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Control" sheetId="1" r:id="rId4"/>
    <sheet state="visible" name="Project Level Change Control" sheetId="2" r:id="rId5"/>
    <sheet state="visible" name="Instructions" sheetId="3" r:id="rId6"/>
    <sheet state="visible" name="1-Facility Questionnaire" sheetId="4" r:id="rId7"/>
    <sheet state="visible" name="2-Building" sheetId="5" r:id="rId8"/>
    <sheet state="visible" name="3-Devices Types" sheetId="6" r:id="rId9"/>
    <sheet state="visible" name="4-All Devices" sheetId="7" r:id="rId10"/>
    <sheet state="visible" name="5-Controls Panels" sheetId="8" r:id="rId11"/>
    <sheet state="visible" name="6-Private Network Switch" sheetId="9" r:id="rId12"/>
    <sheet state="visible" name="7-Passive Discovery Tool Data" sheetId="10" r:id="rId13"/>
    <sheet state="visible" name="8- Clarifications" sheetId="11" r:id="rId14"/>
    <sheet state="visible" name="9 - Controls SME Reporting" sheetId="12" r:id="rId15"/>
    <sheet state="visible" name="10 - Corphosting" sheetId="13" r:id="rId16"/>
    <sheet state="visible" name="11-Temporary Devices" sheetId="14" r:id="rId17"/>
    <sheet state="visible" name="12-VLook" sheetId="15" r:id="rId18"/>
  </sheets>
  <definedNames>
    <definedName name="Manufacturer">'12-VLook'!$D$2:$D$2870</definedName>
    <definedName name="CommunicationType">'12-VLook'!$A$2:$A$2870</definedName>
    <definedName name="CorphostingDeviceTypeLookup">'12-VLook'!$N$2:$N$2870</definedName>
    <definedName name="Protocol">'12-VLook'!$B$2:$B$2050</definedName>
    <definedName name="DeviceTypesWithFirmware">'12-VLook'!$O$2:$O$2050</definedName>
    <definedName name="FloorNumber">'12-VLook'!$K$2:$K$2050</definedName>
    <definedName name="DeviceName">'12-VLook'!$P$2:$P$2870</definedName>
    <definedName name="ModelFromLBAM">'12-VLook'!$F$2:$F$2050</definedName>
    <definedName name="DeviceRiskLevel">'12-VLook'!$H$2:$H$2050</definedName>
    <definedName name="NetworkSwitchManufacturer">'12-VLook'!$M$2:$M$2050</definedName>
    <definedName name="System">'12-VLook'!$C$2:$C$2050</definedName>
    <definedName name="ManufacturerFromLBAM">'12-VLook'!$E$2:$E$2870</definedName>
    <definedName name="SwitchType">'12-VLook'!$G$2:$G$2050</definedName>
    <definedName name="QualifiedApproved">'12-VLook'!$I$2:$I$2050</definedName>
    <definedName name="NetworkSpeed">'12-VLook'!$L$2:$L$2050</definedName>
    <definedName name="AssetTypeAbbreviation">'12-VLook'!$J$2:$J$2870</definedName>
    <definedName hidden="1" localSheetId="5" name="_xlnm._FilterDatabase">'3-Devices Types'!$A$4:$S$104</definedName>
    <definedName hidden="1" localSheetId="6" name="_xlnm._FilterDatabase">'4-All Devices'!$A$4:$BG$3906</definedName>
    <definedName hidden="1" localSheetId="7" name="_xlnm._FilterDatabase">'5-Controls Panels'!$A$4:$T$93</definedName>
    <definedName hidden="1" localSheetId="8" name="_xlnm._FilterDatabase">'6-Private Network Switch'!$A$4:$U$104</definedName>
    <definedName hidden="1" localSheetId="10" name="_xlnm._FilterDatabase">'8- Clarifications'!$A$4:$G$4</definedName>
    <definedName hidden="1" localSheetId="13" name="_xlnm._FilterDatabase">'11-Temporary Devices'!$A$4:$AD$99</definedName>
    <definedName hidden="1" localSheetId="14" name="_xlnm._FilterDatabase">'12-VLook'!$A$1:$M$502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"Guidance
As part of Google's exciting Digital Building (BOS) Programme, we need to assess the readiness of our existing estate. A site survey will soon be conducted at all eligible locations to enable us to determine building readiness and plan for its inclusion in the programme accordingly. Ahead of the survey we need to:
  1. Gather the below information
  2. Schedule a kick off meeting with you and the local suppliers identified below
The BOS team will conduct a pre-survey kick off meeting with you, relevant suppliers, and the surveyor to make the process as simple as possible and to minimise the impact on your time. We are therefore asking Google FMs and Property Managers to:
  1. Check the high-level information provided in the form below 
  2. Provide the contact details for relevant local systems suppliers so our survey teams can liaise with them directly 
  3. Facilitate and attend the kick off meeting so that pre-survey information sharing can take place and any required site/system access and scheduling can be carried out
Please review the pre-populated information in the Blue sections and provide the contact information for your local suppliers for the systems identified in the Red section. We have provided an additional information section in Yellow below where you can provide any relevant additional comments you may feel we need to be aware of, for example any upcoming works to upgrade / replace existing systems onsite. 
Thank you in advance for your assistance with this process.  
The BOS Programme Team "								</t>
      </text>
    </comment>
    <comment authorId="0" ref="A3">
      <text>
        <t xml:space="preserve">SITE CODE</t>
      </text>
    </comment>
    <comment authorId="0" ref="A8">
      <text>
        <t xml:space="preserve">"Guidance
Please provide the contact information for your local suppliers for the systems identified below. We will need your assistance to ensure that the parties identified below attend the kick off meet and provide the required information and access to their systems during the survey process, including any super user / admin passwords and documentation (e.g. O&amp;M, As Built Drawings, etc.). The Surveyor will liaise with the parties identified below directly to gather the information they require so as to minimise the impact on you and your team. 
NOTES: 
1. If there is more than one instance of any given system or multiple suppliers, please add row to the list below as required. 
2. If the supplier is a party contracted to the landlord, please provide their contact information and note accordingly in the Additional Comments field.</t>
      </text>
    </comment>
    <comment authorId="0" ref="A27">
      <text>
        <t xml:space="preserve">Guidance
If you are able to do so, and to aide the survey process. Please provide the following high-level information which will aid in the development of the audit scope. 
NOTE: If you are unable to provide this information easily, we will gather it during the survey process from the local suppliers</t>
      </text>
    </comment>
    <comment authorId="0" ref="A35">
      <text>
        <t xml:space="preserve">Guidance: If there are any works planned on the systems identified above, including maintenance tasks, upgrades, planned shutdowns, tests, etc. then please list below</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Provide the link to the project site on Google Drive.</t>
      </text>
    </comment>
    <comment authorId="0" ref="B4">
      <text>
        <t xml:space="preserve">To be in the below specified format:
XX-XXX-XXXX</t>
      </text>
    </comment>
    <comment authorId="0" ref="B5">
      <text>
        <t xml:space="preserve">Provide the building address as specified on Floorscope.</t>
      </text>
    </comment>
    <comment authorId="0" ref="B6">
      <text>
        <t xml:space="preserve">Specify if the building is owned or leased by Google.</t>
      </text>
    </comment>
    <comment authorId="0" ref="B7">
      <text>
        <t xml:space="preserve">Specify the lease expiry date as agreed with the Landlord.
To be in the below specified format:
DD-MM-YYYY</t>
      </text>
    </comment>
    <comment authorId="0" ref="B8">
      <text>
        <t xml:space="preserve">Is the building considered strategic by Google?</t>
      </text>
    </comment>
    <comment authorId="0" ref="B12">
      <text>
        <t xml:space="preserve">Specify the headcount in the building.</t>
      </text>
    </comment>
    <comment authorId="0" ref="B13">
      <text>
        <t xml:space="preserve">Specify the percentage Google occupies in the building.
E.g. 100% etc</t>
      </text>
    </comment>
    <comment authorId="0" ref="B14">
      <text>
        <t xml:space="preserve">Specify the Building Size in Sq. Ft.
E.g. 100,000</t>
      </text>
    </comment>
    <comment authorId="0" ref="B15">
      <text>
        <t xml:space="preserve">Specify the total number of floors in the building.
Integer Only
E.g. 0,1,2,3 etc</t>
      </text>
    </comment>
    <comment authorId="0" ref="B16">
      <text>
        <t xml:space="preserve">Specify the number of floors in the building that Google occupy.
Integer Only
E.g. 0,1,2,3 etc</t>
      </text>
    </comment>
    <comment authorId="0" ref="B17">
      <text>
        <t xml:space="preserve">Is basement included in number of floors occupied by Google?</t>
      </text>
    </comment>
    <comment authorId="0" ref="B18">
      <text>
        <t xml:space="preserve">Is roof included in number of floors occupied by Google?</t>
      </text>
    </comment>
    <comment authorId="0" ref="B19">
      <text>
        <t xml:space="preserve">Specify if Google FM manage systems (BMS, LCS, EMS etc) on Google floors.</t>
      </text>
    </comment>
    <comment authorId="0" ref="B20">
      <text>
        <t xml:space="preserve">Specify if Google FM manage the Building Main Plant (Chillers, Boilers, Pumps, Electrical Stations etc) and Common area in the building.</t>
      </text>
    </comment>
    <comment authorId="0" ref="B21">
      <text>
        <t xml:space="preserve">Are there any critical system failures or known high risk vulnerabilities? 
If Yes, describe in comments.</t>
      </text>
    </comment>
    <comment authorId="0" ref="B22">
      <text>
        <t xml:space="preserve">Are there any critical or high priority system alarms? 
If yes, describe in Comments</t>
      </text>
    </comment>
    <comment authorId="0" ref="B23">
      <text>
        <t xml:space="preserve">Specify if any proposed changes to the building, additional phases or retrofits are planned in the next year?
Provide details under comments</t>
      </text>
    </comment>
    <comment authorId="0" ref="B25">
      <text>
        <t xml:space="preserve">Landlord / Building Management Office (BMO), Leasee, 3rd Party Contractor</t>
      </text>
    </comment>
    <comment authorId="0" ref="B26">
      <text>
        <t xml:space="preserve">Specify the relationship with the Landlord:
Positive = Cooperative and agrees to share basebuild data with Google
Negative = Uncooperative and does not agrees to share basebuild data with Google</t>
      </text>
    </comment>
    <comment authorId="0" ref="B27">
      <text>
        <t xml:space="preserve">Provide the Name(s) the Administrator(s), (Building Engineer, Landlord, FM, etc)</t>
      </text>
    </comment>
    <comment authorId="0" ref="B29">
      <text>
        <t xml:space="preserve">Provide the Lead FM name &amp; LLDAP</t>
      </text>
    </comment>
    <comment authorId="0" ref="B30">
      <text>
        <t xml:space="preserve">Provide the On-Site Technical FM Name &amp; LLDAP
</t>
      </text>
    </comment>
    <comment authorId="0" ref="B31">
      <text>
        <t xml:space="preserve">Specify the level of on-site technical expertise.</t>
      </text>
    </comment>
    <comment authorId="0" ref="B32">
      <text>
        <t xml:space="preserve">Provide details under comments.</t>
      </text>
    </comment>
    <comment authorId="0" ref="B33">
      <text>
        <t xml:space="preserve">Provide details under comments.</t>
      </text>
    </comment>
    <comment authorId="0" ref="B34">
      <text>
        <t xml:space="preserve">Provide details under comments.</t>
      </text>
    </comment>
    <comment authorId="0" ref="B35">
      <text>
        <t xml:space="preserve">Provide details under comments.</t>
      </text>
    </comment>
    <comment authorId="0" ref="B37">
      <text>
        <t xml:space="preserve">Specify the number of MDF, IDF and Razors in the building that Google occupy.
Integer Only
E.g. 0,1,2,3 etc</t>
      </text>
    </comment>
    <comment authorId="0" ref="B38">
      <text>
        <t xml:space="preserve">Provide the link to the line drawings on Google Drive.</t>
      </text>
    </comment>
    <comment authorId="0" ref="B40">
      <text>
        <t xml:space="preserve">"Yes or No or N/A. 
Please record all IoT devices on the '3-Device Types' and '4-All Devices' worksheets and provide narrative and supporting documentation including: 
1. Identifying physical location (on annotated floorplans)
2. Nature/function of device
3. Business owner (if identified) 
4. Device information (product data sheets, supplier information and other relevant information) "</t>
      </text>
    </comment>
    <comment authorId="0" ref="B41">
      <text>
        <t xml:space="preserve">"Yes or No"
</t>
      </text>
    </comment>
    <comment authorId="0" ref="B43">
      <text>
        <t xml:space="preserve">Provide narrative description</t>
      </text>
    </comment>
    <comment authorId="0" ref="B44">
      <text>
        <t xml:space="preserve">Specify the number systems in the building that Google occupy.
Integer Only
E.g. 0,1,2,3 etc</t>
      </text>
    </comment>
    <comment authorId="0" ref="B45">
      <text>
        <t xml:space="preserve">Provide either REWS Room ID OR Room Description of the Front End / Operating GUI Physical Location (e.g. IDF room, Basement)</t>
      </text>
    </comment>
    <comment authorId="0" ref="B46">
      <text>
        <t xml:space="preserve">Specify if the documentation for the system has been provided and moved to correct folders on Google Drive.
Provide link in comments</t>
      </text>
    </comment>
    <comment authorId="0" ref="B47">
      <text>
        <t xml:space="preserve">State Yes or No 
Please provide details / dates / scope etc in comments column. This will include annotated plans, topology and schematics scanned into PDF</t>
      </text>
    </comment>
    <comment authorId="0" ref="B48">
      <text>
        <t xml:space="preserve">Provide link in pdf format.</t>
      </text>
    </comment>
    <comment authorId="0" ref="B49">
      <text>
        <t xml:space="preserve">Provide link in pdf format.</t>
      </text>
    </comment>
    <comment authorId="0" ref="B50">
      <text>
        <t xml:space="preserve">Provide link in pdf format.</t>
      </text>
    </comment>
    <comment authorId="0" ref="B51">
      <text>
        <t xml:space="preserve">Provide link in pdf format.</t>
      </text>
    </comment>
    <comment authorId="0" ref="B52">
      <text>
        <t xml:space="preserve">Provide an up to date Headend screenshots in jpeg/png format:
1) Navigation Tree
2) List of Users
3) Application System Info
4) OS System info
5) License Info</t>
      </text>
    </comment>
    <comment authorId="0" ref="B53">
      <text>
        <t xml:space="preserve">Provide link to a system asset register if applicable.</t>
      </text>
    </comment>
    <comment authorId="0" ref="B54">
      <text>
        <t xml:space="preserve">Specify if a tagging schema was followed. For new construction, was the Google Digital Building Ontology schema followed.</t>
      </text>
    </comment>
    <comment authorId="0" ref="B55">
      <text>
        <t xml:space="preserve">Specify who manages the system</t>
      </text>
    </comment>
    <comment authorId="0" ref="B56">
      <text>
        <t xml:space="preserve">Provide narrative description of access</t>
      </text>
    </comment>
    <comment authorId="0" ref="B57">
      <text>
        <t xml:space="preserve">Specify interface details under comments</t>
      </text>
    </comment>
    <comment authorId="0" ref="B58">
      <text>
        <t xml:space="preserve">Provide narrative description of access</t>
      </text>
    </comment>
    <comment authorId="0" ref="B59">
      <text>
        <t xml:space="preserve">Provide narrative description under comments.</t>
      </text>
    </comment>
    <comment authorId="0" ref="B60">
      <text>
        <t xml:space="preserve">Provide narrative description under comments.</t>
      </text>
    </comment>
    <comment authorId="0" ref="B61">
      <text>
        <t xml:space="preserve">Specify the number of users that have access.
Integer Only
E.g. 0,1,2,3 etc</t>
      </text>
    </comment>
    <comment authorId="0" ref="B62">
      <text>
        <t xml:space="preserve">Actual (or Estimate if not known) install date</t>
      </text>
    </comment>
    <comment authorId="0" ref="B63">
      <text>
        <t xml:space="preserve">If &gt;1 system, specify each</t>
      </text>
    </comment>
    <comment authorId="0" ref="B64">
      <text>
        <t xml:space="preserve">If &gt;1 system, specify each</t>
      </text>
    </comment>
    <comment authorId="0" ref="B65">
      <text>
        <t xml:space="preserve">Specify the main control protocol used for the System(s)</t>
      </text>
    </comment>
    <comment authorId="0" ref="B66">
      <text>
        <t xml:space="preserve">Specify the name of the headend software
E.g. Tridium Niagara N4</t>
      </text>
    </comment>
    <comment authorId="0" ref="B67">
      <text>
        <t xml:space="preserve">Specify the name of the Operating System of Front End Server
E.g. Windows 10</t>
      </text>
    </comment>
    <comment authorId="0" ref="B68">
      <text>
        <t xml:space="preserve">Specify what tool is used to configure the system</t>
      </text>
    </comment>
    <comment authorId="0" ref="B69">
      <text>
        <t xml:space="preserve">If yes, provide details including IP address and full url. </t>
      </text>
    </comment>
    <comment authorId="0" ref="B70">
      <text>
        <t xml:space="preserve">Specify if there is more than one user view workstation(s).
Provide narrative description under comments.</t>
      </text>
    </comment>
    <comment authorId="0" ref="B71">
      <text>
        <t xml:space="preserve">Provide narrative description under comments.</t>
      </text>
    </comment>
    <comment authorId="0" ref="B72">
      <text>
        <t xml:space="preserve">Provide narrative description under comments.
If No, please specify what the network is that is being used and who owns it and the topology and link to topology diagrams</t>
      </text>
    </comment>
    <comment authorId="0" ref="B73">
      <text>
        <t xml:space="preserve">Provide narrative description under comments.</t>
      </text>
    </comment>
    <comment authorId="0" ref="B74">
      <text>
        <t xml:space="preserve">Provide narrative description under comments.</t>
      </text>
    </comment>
    <comment authorId="0" ref="B75">
      <text>
        <t xml:space="preserve">Provide narrative description under comments.</t>
      </text>
    </comment>
    <comment authorId="0" ref="B76">
      <text>
        <t xml:space="preserve">Provide narrative description under comments.</t>
      </text>
    </comment>
    <comment authorId="0" ref="B78">
      <text>
        <t xml:space="preserve">Provide narrative description</t>
      </text>
    </comment>
    <comment authorId="0" ref="B79">
      <text>
        <t xml:space="preserve">Specify the number systems in the building that Google occupy.
Integer Only
E.g. 0,1,2,3 etc</t>
      </text>
    </comment>
    <comment authorId="0" ref="B80">
      <text>
        <t xml:space="preserve">Provide either REWS Room ID OR Room Description of the Front End / Operating GUI Physical Location (e.g. IDF room, Basement)</t>
      </text>
    </comment>
    <comment authorId="0" ref="B81">
      <text>
        <t xml:space="preserve">Specify if the documentation for the system has been provided and moved to correct folders on Google Drive.
Provide link in comments</t>
      </text>
    </comment>
    <comment authorId="0" ref="B82">
      <text>
        <t xml:space="preserve">Provide link in pdf format.</t>
      </text>
    </comment>
    <comment authorId="0" ref="B83">
      <text>
        <t xml:space="preserve">Provide link in pdf format.</t>
      </text>
    </comment>
    <comment authorId="0" ref="B84">
      <text>
        <t xml:space="preserve">Provide link in pdf format.</t>
      </text>
    </comment>
    <comment authorId="0" ref="B85">
      <text>
        <t xml:space="preserve">Provide link in pdf format.</t>
      </text>
    </comment>
    <comment authorId="0" ref="B86">
      <text>
        <t xml:space="preserve">Provide an up to date Headend screenshots in jpeg/png format:
1) Navigation Tree
2) List of Users
3) Application System Info
4) OS System info
5) License Info</t>
      </text>
    </comment>
    <comment authorId="0" ref="B87">
      <text>
        <t xml:space="preserve">Provide link to a system asset register if applicable.</t>
      </text>
    </comment>
    <comment authorId="0" ref="B88">
      <text>
        <t xml:space="preserve">Specify if tagging schema was followed as per BOS Naming and Labelling Standard.</t>
      </text>
    </comment>
    <comment authorId="0" ref="B89">
      <text>
        <t xml:space="preserve">Specify who manages the system</t>
      </text>
    </comment>
    <comment authorId="0" ref="B90">
      <text>
        <t xml:space="preserve">Provide narrative description of access</t>
      </text>
    </comment>
    <comment authorId="0" ref="B91">
      <text>
        <t xml:space="preserve">Specify interface details under comments</t>
      </text>
    </comment>
    <comment authorId="0" ref="B92">
      <text>
        <t xml:space="preserve">Provide narrative description of access</t>
      </text>
    </comment>
    <comment authorId="0" ref="B93">
      <text>
        <t xml:space="preserve">Provide narrative description under comments.</t>
      </text>
    </comment>
    <comment authorId="0" ref="B94">
      <text>
        <t xml:space="preserve">Provide narrative description under comments.</t>
      </text>
    </comment>
    <comment authorId="0" ref="B95">
      <text>
        <t xml:space="preserve">Specify the number of users that have access.
Integer Only
E.g. 0,1,2,3 etc</t>
      </text>
    </comment>
    <comment authorId="0" ref="B96">
      <text>
        <t xml:space="preserve">Actual (or Estimate if not known) install date</t>
      </text>
    </comment>
    <comment authorId="0" ref="B97">
      <text>
        <t xml:space="preserve">If &gt;1 system, specify each</t>
      </text>
    </comment>
    <comment authorId="0" ref="B98">
      <text>
        <t xml:space="preserve">If &gt;1 system, specify each</t>
      </text>
    </comment>
    <comment authorId="0" ref="B99">
      <text>
        <t xml:space="preserve">Specify the main control protocol used for the System(s)</t>
      </text>
    </comment>
    <comment authorId="0" ref="B100">
      <text>
        <t xml:space="preserve">Specify the name of the headend software
E.g. Tridium Niagara N4</t>
      </text>
    </comment>
    <comment authorId="0" ref="B101">
      <text>
        <t xml:space="preserve">Specify the name of the Operating System of Front End Server
E.g. Windows 10</t>
      </text>
    </comment>
    <comment authorId="0" ref="B102">
      <text>
        <t xml:space="preserve">Specify what tool is used to configure the system</t>
      </text>
    </comment>
    <comment authorId="0" ref="B103">
      <text>
        <t xml:space="preserve">If yes, provide details including IP address and full url. </t>
      </text>
    </comment>
    <comment authorId="0" ref="B104">
      <text>
        <t xml:space="preserve">Specify if there is more than one user view workstation(s).
Provide narrative description under comments.</t>
      </text>
    </comment>
    <comment authorId="0" ref="B105">
      <text>
        <t xml:space="preserve">Provide narrative description under comments.</t>
      </text>
    </comment>
    <comment authorId="0" ref="B106">
      <text>
        <t xml:space="preserve">Provide narrative description under comments.
If No, please specify what the network is that is being used and who owns it and the topology and link to topology diagrams</t>
      </text>
    </comment>
    <comment authorId="0" ref="B107">
      <text>
        <t xml:space="preserve">Provide narrative description under comments.</t>
      </text>
    </comment>
    <comment authorId="0" ref="B108">
      <text>
        <t xml:space="preserve">Provide narrative description under comments.</t>
      </text>
    </comment>
    <comment authorId="0" ref="B109">
      <text>
        <t xml:space="preserve">Provide narrative description under comments.</t>
      </text>
    </comment>
    <comment authorId="0" ref="B110">
      <text>
        <t xml:space="preserve">Provide narrative description under comments.</t>
      </text>
    </comment>
    <comment authorId="0" ref="B112">
      <text>
        <t xml:space="preserve">Provide narrative description</t>
      </text>
    </comment>
    <comment authorId="0" ref="B113">
      <text>
        <t xml:space="preserve">Specify the number systems in the building that Google occupy.
Integer Only
E.g. 0,1,2,3 etc</t>
      </text>
    </comment>
    <comment authorId="0" ref="B114">
      <text>
        <t xml:space="preserve">Provide either REWS Room ID OR Room Description of the Front End / Operating GUI Physical Location (e.g. IDF room, Basement)</t>
      </text>
    </comment>
    <comment authorId="0" ref="B115">
      <text>
        <t xml:space="preserve">Specify if the documentation for the system has been provided and moved to correct folders on Google Drive.
Provide link in comments</t>
      </text>
    </comment>
    <comment authorId="0" ref="B116">
      <text>
        <t xml:space="preserve">Provide link in pdf format.</t>
      </text>
    </comment>
    <comment authorId="0" ref="B117">
      <text>
        <t xml:space="preserve">Provide link in pdf format.</t>
      </text>
    </comment>
    <comment authorId="0" ref="B118">
      <text>
        <t xml:space="preserve">Provide link in pdf format.</t>
      </text>
    </comment>
    <comment authorId="0" ref="B119">
      <text>
        <t xml:space="preserve">Provide link in pdf format.</t>
      </text>
    </comment>
    <comment authorId="0" ref="B120">
      <text>
        <t xml:space="preserve">Provide an up to date Headend screenshots in jpeg/png format:
1) Navigation Tree
2) List of Users
3) Application System Info
4) OS System info
5) License Info</t>
      </text>
    </comment>
    <comment authorId="0" ref="B121">
      <text>
        <t xml:space="preserve">Provide link to a system asset register if applicable.</t>
      </text>
    </comment>
    <comment authorId="0" ref="B122">
      <text>
        <t xml:space="preserve">Specify if tagging schema was followed as per BOS Naming and Labelling Standard.</t>
      </text>
    </comment>
    <comment authorId="0" ref="B123">
      <text>
        <t xml:space="preserve">Specify who manages the system</t>
      </text>
    </comment>
    <comment authorId="0" ref="B124">
      <text>
        <t xml:space="preserve">Provide narrative description of access</t>
      </text>
    </comment>
    <comment authorId="0" ref="B125">
      <text>
        <t xml:space="preserve">Specify interface details under comments</t>
      </text>
    </comment>
    <comment authorId="0" ref="B126">
      <text>
        <t xml:space="preserve">Provide narrative description of access</t>
      </text>
    </comment>
    <comment authorId="0" ref="B127">
      <text>
        <t xml:space="preserve">Provide narrative description under comments.</t>
      </text>
    </comment>
    <comment authorId="0" ref="B128">
      <text>
        <t xml:space="preserve">Provide narrative description under comments.</t>
      </text>
    </comment>
    <comment authorId="0" ref="B129">
      <text>
        <t xml:space="preserve">Specify the number of users that have access.
Integer Only
E.g. 0,1,2,3 etc</t>
      </text>
    </comment>
    <comment authorId="0" ref="B130">
      <text>
        <t xml:space="preserve">Actual (or Estimate if not known) install date</t>
      </text>
    </comment>
    <comment authorId="0" ref="B131">
      <text>
        <t xml:space="preserve">If &gt;1 system, specify each</t>
      </text>
    </comment>
    <comment authorId="0" ref="B132">
      <text>
        <t xml:space="preserve">If &gt;1 system, specify each</t>
      </text>
    </comment>
    <comment authorId="0" ref="B133">
      <text>
        <t xml:space="preserve">Specify the main control protocol used for the System(s)</t>
      </text>
    </comment>
    <comment authorId="0" ref="B134">
      <text>
        <t xml:space="preserve">Specify the name of the headend software
E.g. Tridium Niagara N4</t>
      </text>
    </comment>
    <comment authorId="0" ref="B135">
      <text>
        <t xml:space="preserve">Specify the name of the Operating System of Front End Server
E.g. Windows 10</t>
      </text>
    </comment>
    <comment authorId="0" ref="B136">
      <text>
        <t xml:space="preserve">Specify what tool is used to configure the system</t>
      </text>
    </comment>
    <comment authorId="0" ref="B137">
      <text>
        <t xml:space="preserve">If yes, provide details including IP address and full url. </t>
      </text>
    </comment>
    <comment authorId="0" ref="B138">
      <text>
        <t xml:space="preserve">Specify if there is more than one user view workstation(s).
Provide narrative description under comments.</t>
      </text>
    </comment>
    <comment authorId="0" ref="B139">
      <text>
        <t xml:space="preserve">Provide narrative description under comments.</t>
      </text>
    </comment>
    <comment authorId="0" ref="B140">
      <text>
        <t xml:space="preserve">Provide narrative description under comments.
If No, please specify what the network is that is being used and who owns it and the topology and link to topology diagrams</t>
      </text>
    </comment>
    <comment authorId="0" ref="B141">
      <text>
        <t xml:space="preserve">Provide narrative description under comments.</t>
      </text>
    </comment>
    <comment authorId="0" ref="B142">
      <text>
        <t xml:space="preserve">Provide narrative description under comments.</t>
      </text>
    </comment>
    <comment authorId="0" ref="B143">
      <text>
        <t xml:space="preserve">Provide narrative description under comments.</t>
      </text>
    </comment>
    <comment authorId="0" ref="B144">
      <text>
        <t xml:space="preserve">Provide narrative description under comments.</t>
      </text>
    </comment>
    <comment authorId="0" ref="B146">
      <text>
        <t xml:space="preserve">Provide narrative description</t>
      </text>
    </comment>
    <comment authorId="0" ref="B147">
      <text>
        <t xml:space="preserve">Specify the number systems in the building that Google occupy.
Integer Only
E.g. 0,1,2,3 etc</t>
      </text>
    </comment>
    <comment authorId="0" ref="B148">
      <text>
        <t xml:space="preserve">Provide either REWS Room ID OR Room Description of the Front End / Operating GUI Physical Location (e.g. IDF room, Basement)</t>
      </text>
    </comment>
    <comment authorId="0" ref="B149">
      <text>
        <t xml:space="preserve">Specify if the documentation for the system has been provided and moved to correct folders on Google Drive.
Provide link in comments</t>
      </text>
    </comment>
    <comment authorId="0" ref="B150">
      <text>
        <t xml:space="preserve">Provide link in pdf format.</t>
      </text>
    </comment>
    <comment authorId="0" ref="B151">
      <text>
        <t xml:space="preserve">Provide link in pdf format.</t>
      </text>
    </comment>
    <comment authorId="0" ref="B152">
      <text>
        <t xml:space="preserve">Provide link in pdf format.</t>
      </text>
    </comment>
    <comment authorId="0" ref="B153">
      <text>
        <t xml:space="preserve">Provide link in pdf format.</t>
      </text>
    </comment>
    <comment authorId="0" ref="B154">
      <text>
        <t xml:space="preserve">Provide an up to date Headend screenshots in jpeg/png format:
1) Navigation Tree
2) List of Users
3) Application System Info
4) OS System info
5) License Info</t>
      </text>
    </comment>
    <comment authorId="0" ref="B155">
      <text>
        <t xml:space="preserve">Provide link to a system asset register if applicable.</t>
      </text>
    </comment>
    <comment authorId="0" ref="B156">
      <text>
        <t xml:space="preserve">Specify if tagging schema was followed as per BOS Naming and Labelling Standard.</t>
      </text>
    </comment>
    <comment authorId="0" ref="B157">
      <text>
        <t xml:space="preserve">Specify who manages the system</t>
      </text>
    </comment>
    <comment authorId="0" ref="B158">
      <text>
        <t xml:space="preserve">Provide narrative description of access</t>
      </text>
    </comment>
    <comment authorId="0" ref="B159">
      <text>
        <t xml:space="preserve">Specify interface details under comments</t>
      </text>
    </comment>
    <comment authorId="0" ref="B160">
      <text>
        <t xml:space="preserve">Provide narrative description of access</t>
      </text>
    </comment>
    <comment authorId="0" ref="B161">
      <text>
        <t xml:space="preserve">Provide narrative description under comments.</t>
      </text>
    </comment>
    <comment authorId="0" ref="B162">
      <text>
        <t xml:space="preserve">Provide narrative description under comments.</t>
      </text>
    </comment>
    <comment authorId="0" ref="B163">
      <text>
        <t xml:space="preserve">Specify the number of users that have access.
Integer Only
E.g. 0,1,2,3 etc</t>
      </text>
    </comment>
    <comment authorId="0" ref="B164">
      <text>
        <t xml:space="preserve">Actual (or Estimate if not known) install date</t>
      </text>
    </comment>
    <comment authorId="0" ref="B165">
      <text>
        <t xml:space="preserve">If &gt;1 system, specify each</t>
      </text>
    </comment>
    <comment authorId="0" ref="B166">
      <text>
        <t xml:space="preserve">If &gt;1 system, specify each</t>
      </text>
    </comment>
    <comment authorId="0" ref="B167">
      <text>
        <t xml:space="preserve">Specify the main control protocol used for the System(s)</t>
      </text>
    </comment>
    <comment authorId="0" ref="B168">
      <text>
        <t xml:space="preserve">Specify the name of the headend software
E.g. Tridium Niagara N4</t>
      </text>
    </comment>
    <comment authorId="0" ref="B169">
      <text>
        <t xml:space="preserve">Specify the name of the Operating System of Front End Server
E.g. Windows 10</t>
      </text>
    </comment>
    <comment authorId="0" ref="B170">
      <text>
        <t xml:space="preserve">Specify what tool is used to configure the system</t>
      </text>
    </comment>
    <comment authorId="0" ref="B171">
      <text>
        <t xml:space="preserve">If yes, provide details including IP address and full url. </t>
      </text>
    </comment>
    <comment authorId="0" ref="B172">
      <text>
        <t xml:space="preserve">Specify if there is more than one user view workstation(s).
Provide narrative description under comments.</t>
      </text>
    </comment>
    <comment authorId="0" ref="B173">
      <text>
        <t xml:space="preserve">Provide narrative description under comments.</t>
      </text>
    </comment>
    <comment authorId="0" ref="B174">
      <text>
        <t xml:space="preserve">Provide narrative description under comments.
If No, please specify what the network is that is being used and who owns it and the topology and link to topology diagrams</t>
      </text>
    </comment>
    <comment authorId="0" ref="B175">
      <text>
        <t xml:space="preserve">Provide narrative description under comments.</t>
      </text>
    </comment>
    <comment authorId="0" ref="B176">
      <text>
        <t xml:space="preserve">Provide narrative description under comments.</t>
      </text>
    </comment>
    <comment authorId="0" ref="B177">
      <text>
        <t xml:space="preserve">Provide narrative description under comments.</t>
      </text>
    </comment>
    <comment authorId="0" ref="B178">
      <text>
        <t xml:space="preserve">Provide narrative description under comments.</t>
      </text>
    </comment>
    <comment authorId="0" ref="B180">
      <text>
        <t xml:space="preserve">Provide narrative description</t>
      </text>
    </comment>
    <comment authorId="0" ref="B181">
      <text>
        <t xml:space="preserve">Specify the number systems in the building that Google occupy.
Integer Only
E.g. 0,1,2,3 etc</t>
      </text>
    </comment>
    <comment authorId="0" ref="B182">
      <text>
        <t xml:space="preserve">Provide either REWS Room ID OR Room Description of the Front End / Operating GUI Physical Location (e.g. IDF room, Basement)</t>
      </text>
    </comment>
    <comment authorId="0" ref="B183">
      <text>
        <t xml:space="preserve">Specify if the documentation for the system has been provided and moved to correct folders on Google Drive.
Provide link in comments</t>
      </text>
    </comment>
    <comment authorId="0" ref="B184">
      <text>
        <t xml:space="preserve">Provide link in pdf format.</t>
      </text>
    </comment>
    <comment authorId="0" ref="B185">
      <text>
        <t xml:space="preserve">Provide link in pdf format.</t>
      </text>
    </comment>
    <comment authorId="0" ref="B186">
      <text>
        <t xml:space="preserve">Provide link in pdf format.</t>
      </text>
    </comment>
    <comment authorId="0" ref="B187">
      <text>
        <t xml:space="preserve">Provide link in pdf format.</t>
      </text>
    </comment>
    <comment authorId="0" ref="B188">
      <text>
        <t xml:space="preserve">Provide an up to date Headend screenshots in jpeg/png format:
1) Navigation Tree
2) List of Users
3) Application System Info
4) OS System info
5) License Info</t>
      </text>
    </comment>
    <comment authorId="0" ref="B189">
      <text>
        <t xml:space="preserve">Provide link to a system asset register if applicable.</t>
      </text>
    </comment>
    <comment authorId="0" ref="B190">
      <text>
        <t xml:space="preserve">Specify if tagging schema was followed as per BOS Naming and Labelling Standard.</t>
      </text>
    </comment>
    <comment authorId="0" ref="B191">
      <text>
        <t xml:space="preserve">Specify who manages the system</t>
      </text>
    </comment>
    <comment authorId="0" ref="B192">
      <text>
        <t xml:space="preserve">Provide narrative description of access</t>
      </text>
    </comment>
    <comment authorId="0" ref="B193">
      <text>
        <t xml:space="preserve">Specify interface details under comments</t>
      </text>
    </comment>
    <comment authorId="0" ref="B194">
      <text>
        <t xml:space="preserve">Provide narrative description of access</t>
      </text>
    </comment>
    <comment authorId="0" ref="B195">
      <text>
        <t xml:space="preserve">Provide narrative description under comments.</t>
      </text>
    </comment>
    <comment authorId="0" ref="B196">
      <text>
        <t xml:space="preserve">Provide narrative description under comments.</t>
      </text>
    </comment>
    <comment authorId="0" ref="B197">
      <text>
        <t xml:space="preserve">Specify the number of users that have access.
Integer Only
E.g. 0,1,2,3 etc</t>
      </text>
    </comment>
    <comment authorId="0" ref="B198">
      <text>
        <t xml:space="preserve">Actual (or Estimate if not known) install date</t>
      </text>
    </comment>
    <comment authorId="0" ref="B199">
      <text>
        <t xml:space="preserve">If &gt;1 system, specify each</t>
      </text>
    </comment>
    <comment authorId="0" ref="B200">
      <text>
        <t xml:space="preserve">If &gt;1 system, specify each</t>
      </text>
    </comment>
    <comment authorId="0" ref="B201">
      <text>
        <t xml:space="preserve">Specify the main control protocol used for the System(s)</t>
      </text>
    </comment>
    <comment authorId="0" ref="B202">
      <text>
        <t xml:space="preserve">Specify the name of the headend software
E.g. Tridium Niagara N4</t>
      </text>
    </comment>
    <comment authorId="0" ref="B203">
      <text>
        <t xml:space="preserve">Specify the name of the Operating System of Front End Server
E.g. Windows 10</t>
      </text>
    </comment>
    <comment authorId="0" ref="B204">
      <text>
        <t xml:space="preserve">Specify what tool is used to configure the system</t>
      </text>
    </comment>
    <comment authorId="0" ref="B205">
      <text>
        <t xml:space="preserve">If yes, provide details including IP address and full url. </t>
      </text>
    </comment>
    <comment authorId="0" ref="B206">
      <text>
        <t xml:space="preserve">Specify if there is more than one user view workstation(s).
Provide narrative description under comments.</t>
      </text>
    </comment>
    <comment authorId="0" ref="B207">
      <text>
        <t xml:space="preserve">Provide narrative description under comments.</t>
      </text>
    </comment>
    <comment authorId="0" ref="B208">
      <text>
        <t xml:space="preserve">Provide narrative description under comments.
If No, please specify what the network is that is being used and who owns it and the topology and link to topology diagrams</t>
      </text>
    </comment>
    <comment authorId="0" ref="B209">
      <text>
        <t xml:space="preserve">Provide narrative description under comments.</t>
      </text>
    </comment>
    <comment authorId="0" ref="B210">
      <text>
        <t xml:space="preserve">Provide narrative description under comments.</t>
      </text>
    </comment>
    <comment authorId="0" ref="B211">
      <text>
        <t xml:space="preserve">Provide narrative description under comments.</t>
      </text>
    </comment>
    <comment authorId="0" ref="B212">
      <text>
        <t xml:space="preserve">Provide narrative description under comments.</t>
      </text>
    </comment>
    <comment authorId="0" ref="B214">
      <text>
        <t xml:space="preserve">Provide narrative description</t>
      </text>
    </comment>
    <comment authorId="0" ref="B215">
      <text>
        <t xml:space="preserve">Specify the number systems in the building that Google occupy.
Integer Only
E.g. 0,1,2,3 etc</t>
      </text>
    </comment>
    <comment authorId="0" ref="B216">
      <text>
        <t xml:space="preserve">Provide either REWS Room ID OR Room Description of the Front End / Operating GUI Physical Location (e.g. IDF room, Basement)</t>
      </text>
    </comment>
    <comment authorId="0" ref="B217">
      <text>
        <t xml:space="preserve">Specify if the documentation for the system has been provided and moved to correct folders on Google Drive.
Provide link in comments</t>
      </text>
    </comment>
    <comment authorId="0" ref="B218">
      <text>
        <t xml:space="preserve">Provide link in pdf format.</t>
      </text>
    </comment>
    <comment authorId="0" ref="B219">
      <text>
        <t xml:space="preserve">Provide link in pdf format.</t>
      </text>
    </comment>
    <comment authorId="0" ref="B220">
      <text>
        <t xml:space="preserve">Provide link in pdf format.</t>
      </text>
    </comment>
    <comment authorId="0" ref="B221">
      <text>
        <t xml:space="preserve">Provide link in pdf format.</t>
      </text>
    </comment>
    <comment authorId="0" ref="B222">
      <text>
        <t xml:space="preserve">Provide an up to date Headend screenshots in jpeg/png format:
1) Navigation Tree
2) List of Users
3) Application System Info
4) OS System info
5) License Info</t>
      </text>
    </comment>
    <comment authorId="0" ref="B223">
      <text>
        <t xml:space="preserve">Provide link to a system asset register if applicable.</t>
      </text>
    </comment>
    <comment authorId="0" ref="B224">
      <text>
        <t xml:space="preserve">Specify if tagging schema was followed as per BOS Naming and Labelling Standard.</t>
      </text>
    </comment>
    <comment authorId="0" ref="B225">
      <text>
        <t xml:space="preserve">Specify who manages the system</t>
      </text>
    </comment>
    <comment authorId="0" ref="B226">
      <text>
        <t xml:space="preserve">Provide narrative description of access</t>
      </text>
    </comment>
    <comment authorId="0" ref="B227">
      <text>
        <t xml:space="preserve">Specify interface details under comments</t>
      </text>
    </comment>
    <comment authorId="0" ref="B228">
      <text>
        <t xml:space="preserve">Provide narrative description of access</t>
      </text>
    </comment>
    <comment authorId="0" ref="B229">
      <text>
        <t xml:space="preserve">Provide narrative description under comments.</t>
      </text>
    </comment>
    <comment authorId="0" ref="B230">
      <text>
        <t xml:space="preserve">Provide narrative description under comments.</t>
      </text>
    </comment>
    <comment authorId="0" ref="B231">
      <text>
        <t xml:space="preserve">Specify the number of users that have access.
Integer Only
E.g. 0,1,2,3 etc</t>
      </text>
    </comment>
    <comment authorId="0" ref="B232">
      <text>
        <t xml:space="preserve">Actual (or Estimate if not known) install date</t>
      </text>
    </comment>
    <comment authorId="0" ref="B233">
      <text>
        <t xml:space="preserve">If &gt;1 system, specify each</t>
      </text>
    </comment>
    <comment authorId="0" ref="B234">
      <text>
        <t xml:space="preserve">If &gt;1 system, specify each</t>
      </text>
    </comment>
    <comment authorId="0" ref="B235">
      <text>
        <t xml:space="preserve">Specify the main control protocol used for the System(s)</t>
      </text>
    </comment>
    <comment authorId="0" ref="B236">
      <text>
        <t xml:space="preserve">Specify the name of the headend software
E.g. Tridium Niagara N4</t>
      </text>
    </comment>
    <comment authorId="0" ref="B237">
      <text>
        <t xml:space="preserve">Specify the name of the Operating System of Front End Server
E.g. Windows 10</t>
      </text>
    </comment>
    <comment authorId="0" ref="B238">
      <text>
        <t xml:space="preserve">Specify what tool is used to configure the system</t>
      </text>
    </comment>
    <comment authorId="0" ref="B239">
      <text>
        <t xml:space="preserve">If yes, provide details including IP address and full url. </t>
      </text>
    </comment>
    <comment authorId="0" ref="B240">
      <text>
        <t xml:space="preserve">Specify if there is more than one user view workstation(s).
Provide narrative description under comments.</t>
      </text>
    </comment>
    <comment authorId="0" ref="B241">
      <text>
        <t xml:space="preserve">Provide narrative description under comments.</t>
      </text>
    </comment>
    <comment authorId="0" ref="B242">
      <text>
        <t xml:space="preserve">Provide narrative description under comments.
If No, please specify what the network is that is being used and who owns it and the topology and link to topology diagrams</t>
      </text>
    </comment>
    <comment authorId="0" ref="B243">
      <text>
        <t xml:space="preserve">Provide narrative description under comments.</t>
      </text>
    </comment>
    <comment authorId="0" ref="B244">
      <text>
        <t xml:space="preserve">Provide narrative description under comments.</t>
      </text>
    </comment>
    <comment authorId="0" ref="B245">
      <text>
        <t xml:space="preserve">Provide narrative description under comments.</t>
      </text>
    </comment>
    <comment authorId="0" ref="B246">
      <text>
        <t xml:space="preserve">Provide narrative description under comments.</t>
      </text>
    </comment>
    <comment authorId="0" ref="B248">
      <text>
        <t xml:space="preserve">Provide narrative description</t>
      </text>
    </comment>
    <comment authorId="0" ref="B249">
      <text>
        <t xml:space="preserve">Specify the number systems in the building that Google occupy.
Integer Only
E.g. 0,1,2,3 etc</t>
      </text>
    </comment>
    <comment authorId="0" ref="A250">
      <text>
        <t xml:space="preserve">Provide details of the Food (Catering) Systems discovered during the survey, record in the All IP Devices and Device Catalogue tabs and provide narrative </t>
      </text>
    </comment>
    <comment authorId="0" ref="A251">
      <text>
        <t xml:space="preserve">Provide details of the Food (Catering) Systems discovered during the survey, record in the All IP Devices and Device Catalogue tabs and provide narrative </t>
      </text>
    </comment>
    <comment authorId="0" ref="A252">
      <text>
        <t xml:space="preserve">Provide details of the Food (Catering) Systems discovered during the survey, record in the All IP Devices and Device Catalogue tabs and provide narrative </t>
      </text>
    </comment>
    <comment authorId="0" ref="A253">
      <text>
        <t xml:space="preserve">Provide details of the Food (Catering) Systems discovered during the survey, record in the All IP Devices and Device Catalogue tabs and provide narrative </t>
      </text>
    </comment>
    <comment authorId="0" ref="A254">
      <text>
        <t xml:space="preserve">Provide details of the Leanpath Smart Scale discovered during the survey, record in the All IP Devices and Device Catalogue tabs and provide narrative </t>
      </text>
    </comment>
    <comment authorId="0" ref="A255">
      <text>
        <t xml:space="preserve">Provide either REWS Room ID OR Room Description of the BMS Front End / Operating GUI Physical Location (e.g. IDF room, Basement)
</t>
      </text>
    </comment>
    <comment authorId="0" ref="B255">
      <text>
        <t xml:space="preserve">Provide either REWS Room ID OR Room Description of the Front End / Operating GUI Physical Location (e.g. IDF room, Basement)</t>
      </text>
    </comment>
    <comment authorId="0" ref="B256">
      <text>
        <t xml:space="preserve">Specify if the documentation for the system has been provided and moved to correct folders on Google Drive.
Provide link in comments</t>
      </text>
    </comment>
    <comment authorId="0" ref="B257">
      <text>
        <t xml:space="preserve">Provide link in pdf format.</t>
      </text>
    </comment>
    <comment authorId="0" ref="B258">
      <text>
        <t xml:space="preserve">Provide link in pdf format.</t>
      </text>
    </comment>
    <comment authorId="0" ref="B259">
      <text>
        <t xml:space="preserve">Provide link in pdf format.</t>
      </text>
    </comment>
    <comment authorId="0" ref="B260">
      <text>
        <t xml:space="preserve">Provide link in pdf format.</t>
      </text>
    </comment>
    <comment authorId="0" ref="B261">
      <text>
        <t xml:space="preserve">Provide an up to date Headend screenshots in jpeg/png format:
1) Navigation Tree
2) List of Users
3) Application System Info
4) OS System info
5) License Info</t>
      </text>
    </comment>
    <comment authorId="0" ref="B262">
      <text>
        <t xml:space="preserve">Provide link to a system asset register if applicable.</t>
      </text>
    </comment>
    <comment authorId="0" ref="B263">
      <text>
        <t xml:space="preserve">Specify if tagging schema was followed as per BOS Naming and Labelling Standard.</t>
      </text>
    </comment>
    <comment authorId="0" ref="B264">
      <text>
        <t xml:space="preserve">Specify who manages the system</t>
      </text>
    </comment>
    <comment authorId="0" ref="B265">
      <text>
        <t xml:space="preserve">Provide narrative description under comments.</t>
      </text>
    </comment>
    <comment authorId="0" ref="B266">
      <text>
        <t xml:space="preserve">Provide narrative description under comments.</t>
      </text>
    </comment>
    <comment authorId="0" ref="B267">
      <text>
        <t xml:space="preserve">Specify the number of users that have access.
Integer Only
E.g. 0,1,2,3 etc</t>
      </text>
    </comment>
    <comment authorId="0" ref="B268">
      <text>
        <t xml:space="preserve">Actual (or Estimate if not known) install date</t>
      </text>
    </comment>
    <comment authorId="0" ref="B269">
      <text>
        <t xml:space="preserve">If &gt;1 system, specify each</t>
      </text>
    </comment>
    <comment authorId="0" ref="B270">
      <text>
        <t xml:space="preserve">If &gt;1 system, specify each</t>
      </text>
    </comment>
    <comment authorId="0" ref="B271">
      <text>
        <t xml:space="preserve">Specify the main control protocol used for the System(s)</t>
      </text>
    </comment>
    <comment authorId="0" ref="B272">
      <text>
        <t xml:space="preserve">Specify the name of the headend software
E.g. Tridium Niagara N4</t>
      </text>
    </comment>
    <comment authorId="0" ref="B273">
      <text>
        <t xml:space="preserve">Specify the name of the Operating System of Front End Server
E.g. Windows 10</t>
      </text>
    </comment>
    <comment authorId="0" ref="B274">
      <text>
        <t xml:space="preserve">Specify what tool is used to configure the system</t>
      </text>
    </comment>
    <comment authorId="0" ref="B275">
      <text>
        <t xml:space="preserve">If yes, provide details including IP address and full url. </t>
      </text>
    </comment>
    <comment authorId="0" ref="B276">
      <text>
        <t xml:space="preserve">Specify if there is more than one user view workstation(s).
Provide narrative description under comments.</t>
      </text>
    </comment>
    <comment authorId="0" ref="B277">
      <text>
        <t xml:space="preserve">Provide narrative description under comments.</t>
      </text>
    </comment>
    <comment authorId="0" ref="B278">
      <text>
        <t xml:space="preserve">Provide narrative description under comments.
If No, please specify what the network is that is being used and who owns it and the topology and link to topology diagrams</t>
      </text>
    </comment>
    <comment authorId="0" ref="B279">
      <text>
        <t xml:space="preserve">Provide narrative description under comments.</t>
      </text>
    </comment>
    <comment authorId="0" ref="B280">
      <text>
        <t xml:space="preserve">Provide narrative description under comments.</t>
      </text>
    </comment>
    <comment authorId="0" ref="B281">
      <text>
        <t xml:space="preserve">Provide narrative description under comments.</t>
      </text>
    </comment>
    <comment authorId="0" ref="B282">
      <text>
        <t xml:space="preserve">Provide narrative description under comments.</t>
      </text>
    </comment>
    <comment authorId="0" ref="A283">
      <text>
        <t xml:space="preserve">Automatic Transfer Switches (ATS)
Uninterruptible Power Supply (UPS)
Generator
Critical Air Conditioning Systems (CRACS) 
Leak Detection 
Pool and Spa Pack Systems
EV Charging Stations 
DC Micro Grids
PV or Other Generation Systems
Irrigation System 
Other: please describe</t>
      </text>
    </comment>
    <comment authorId="0" ref="B284">
      <text>
        <t xml:space="preserve">Provide narrative description</t>
      </text>
    </comment>
    <comment authorId="0" ref="B285">
      <text>
        <t xml:space="preserve">Specify the number systems in the building that Google occupy.
Integer Only
E.g. 0,1,2,3 etc</t>
      </text>
    </comment>
    <comment authorId="0" ref="B286">
      <text>
        <t xml:space="preserve">Provide either REWS Room ID OR Room Description of the Front End / Operating GUI Physical Location (e.g. IDF room, Basement)</t>
      </text>
    </comment>
    <comment authorId="0" ref="B287">
      <text>
        <t xml:space="preserve">Specify if the documentation for the system has been provided and moved to correct folders on Google Drive.
Provide link in comments</t>
      </text>
    </comment>
    <comment authorId="0" ref="B288">
      <text>
        <t xml:space="preserve">Provide link in pdf format.</t>
      </text>
    </comment>
    <comment authorId="0" ref="B289">
      <text>
        <t xml:space="preserve">Provide link in pdf format.</t>
      </text>
    </comment>
    <comment authorId="0" ref="B290">
      <text>
        <t xml:space="preserve">Provide link in pdf format.</t>
      </text>
    </comment>
    <comment authorId="0" ref="B291">
      <text>
        <t xml:space="preserve">Provide link in pdf format.</t>
      </text>
    </comment>
    <comment authorId="0" ref="B292">
      <text>
        <t xml:space="preserve">Provide an up to date Headend screenshots in jpeg/png format:
1) Navigation Tree
2) List of Users
3) Application System Info
4) OS System info
5) License Info</t>
      </text>
    </comment>
    <comment authorId="0" ref="B293">
      <text>
        <t xml:space="preserve">Provide link to a system asset register if applicable.</t>
      </text>
    </comment>
    <comment authorId="0" ref="B294">
      <text>
        <t xml:space="preserve">Specify if tagging schema was followed as per BOS Naming and Labelling Standard.</t>
      </text>
    </comment>
    <comment authorId="0" ref="B295">
      <text>
        <t xml:space="preserve">Specify who manages the system</t>
      </text>
    </comment>
    <comment authorId="0" ref="B296">
      <text>
        <t xml:space="preserve">Provide narrative description of access</t>
      </text>
    </comment>
    <comment authorId="0" ref="B297">
      <text>
        <t xml:space="preserve">Specify interface details under comments</t>
      </text>
    </comment>
    <comment authorId="0" ref="B298">
      <text>
        <t xml:space="preserve">Provide narrative description of access</t>
      </text>
    </comment>
    <comment authorId="0" ref="B299">
      <text>
        <t xml:space="preserve">Provide narrative description under comments.</t>
      </text>
    </comment>
    <comment authorId="0" ref="B300">
      <text>
        <t xml:space="preserve">Provide narrative description under comments.</t>
      </text>
    </comment>
    <comment authorId="0" ref="B301">
      <text>
        <t xml:space="preserve">Specify the number of users that have access.
Integer Only
E.g. 0,1,2,3 etc</t>
      </text>
    </comment>
    <comment authorId="0" ref="B302">
      <text>
        <t xml:space="preserve">Actual (or Estimate if not known) install date</t>
      </text>
    </comment>
    <comment authorId="0" ref="B303">
      <text>
        <t xml:space="preserve">If &gt;1 system, specify each</t>
      </text>
    </comment>
    <comment authorId="0" ref="B304">
      <text>
        <t xml:space="preserve">If &gt;1 system, specify each</t>
      </text>
    </comment>
    <comment authorId="0" ref="B305">
      <text>
        <t xml:space="preserve">Specify the main control protocol used for the System(s)</t>
      </text>
    </comment>
    <comment authorId="0" ref="B306">
      <text>
        <t xml:space="preserve">Specify the name of the headend software
E.g. Tridium Niagara N4</t>
      </text>
    </comment>
    <comment authorId="0" ref="B307">
      <text>
        <t xml:space="preserve">Specify the name of the Operating System of Front End Server
E.g. Windows 10</t>
      </text>
    </comment>
    <comment authorId="0" ref="B308">
      <text>
        <t xml:space="preserve">Specify what tool is used to configure the system</t>
      </text>
    </comment>
    <comment authorId="0" ref="B309">
      <text>
        <t xml:space="preserve">If yes, provide details including IP address and full url. </t>
      </text>
    </comment>
    <comment authorId="0" ref="B310">
      <text>
        <t xml:space="preserve">Specify if there is more than one user view workstation(s).
Provide narrative description under comments.</t>
      </text>
    </comment>
    <comment authorId="0" ref="B311">
      <text>
        <t xml:space="preserve">Provide narrative description under comments.</t>
      </text>
    </comment>
    <comment authorId="0" ref="B312">
      <text>
        <t xml:space="preserve">Provide narrative description under comments.
If No, please specify what the network is that is being used and who owns it and the topology and link to topology diagrams</t>
      </text>
    </comment>
    <comment authorId="0" ref="B313">
      <text>
        <t xml:space="preserve">Provide narrative description under comments.</t>
      </text>
    </comment>
    <comment authorId="0" ref="B314">
      <text>
        <t xml:space="preserve">Provide narrative description under comments.</t>
      </text>
    </comment>
    <comment authorId="0" ref="B315">
      <text>
        <t xml:space="preserve">Provide narrative description under comments.</t>
      </text>
    </comment>
    <comment authorId="0" ref="B316">
      <text>
        <t xml:space="preserve">Provide narrative description under comments.</t>
      </text>
    </comment>
    <comment authorId="0" ref="A317">
      <text>
        <t xml:space="preserve">Automatic Transfer Switches (ATS)
Uninterruptible Power Supply (UPS)
Generator
Critical Air Conditioning Systems (CRACS) 
Leak Detection 
Pool and Spa Pack Systems
EV Charging Stations 
DC Micro Grids
PV or Other Generation Systems
Irrigation System 
Other: please describe</t>
      </text>
    </comment>
    <comment authorId="0" ref="B318">
      <text>
        <t xml:space="preserve">Provide narrative description</t>
      </text>
    </comment>
    <comment authorId="0" ref="B319">
      <text>
        <t xml:space="preserve">Specify the number systems in the building that Google occupy.
Integer Only
E.g. 0,1,2,3 etc</t>
      </text>
    </comment>
    <comment authorId="0" ref="B320">
      <text>
        <t xml:space="preserve">Provide either REWS Room ID OR Room Description of the Front End / Operating GUI Physical Location (e.g. IDF room, Basement)</t>
      </text>
    </comment>
    <comment authorId="0" ref="B321">
      <text>
        <t xml:space="preserve">Specify if the documentation for the system has been provided and moved to correct folders on Google Drive.
Provide link in comments</t>
      </text>
    </comment>
    <comment authorId="0" ref="B322">
      <text>
        <t xml:space="preserve">Provide link in pdf format.</t>
      </text>
    </comment>
    <comment authorId="0" ref="B323">
      <text>
        <t xml:space="preserve">Provide link in pdf format.</t>
      </text>
    </comment>
    <comment authorId="0" ref="B324">
      <text>
        <t xml:space="preserve">Provide link in pdf format.</t>
      </text>
    </comment>
    <comment authorId="0" ref="B325">
      <text>
        <t xml:space="preserve">Provide link in pdf format.</t>
      </text>
    </comment>
    <comment authorId="0" ref="B326">
      <text>
        <t xml:space="preserve">Provide an up to date Headend screenshots in jpeg/png format:
1) Navigation Tree
2) List of Users
3) Application System Info
4) OS System info
5) License Info</t>
      </text>
    </comment>
    <comment authorId="0" ref="B327">
      <text>
        <t xml:space="preserve">Provide link to a system asset register if applicable.</t>
      </text>
    </comment>
    <comment authorId="0" ref="B328">
      <text>
        <t xml:space="preserve">Specify if tagging schema was followed as per BOS Naming and Labelling Standard.</t>
      </text>
    </comment>
    <comment authorId="0" ref="B329">
      <text>
        <t xml:space="preserve">Specify who manages the system</t>
      </text>
    </comment>
    <comment authorId="0" ref="B330">
      <text>
        <t xml:space="preserve">Provide narrative description of access</t>
      </text>
    </comment>
    <comment authorId="0" ref="B331">
      <text>
        <t xml:space="preserve">Specify interface details under comments</t>
      </text>
    </comment>
    <comment authorId="0" ref="B332">
      <text>
        <t xml:space="preserve">Provide narrative description of access</t>
      </text>
    </comment>
    <comment authorId="0" ref="B333">
      <text>
        <t xml:space="preserve">Provide narrative description under comments.</t>
      </text>
    </comment>
    <comment authorId="0" ref="B334">
      <text>
        <t xml:space="preserve">Provide narrative description under comments.</t>
      </text>
    </comment>
    <comment authorId="0" ref="B335">
      <text>
        <t xml:space="preserve">Specify the number of users that have access.
Integer Only
E.g. 0,1,2,3 etc</t>
      </text>
    </comment>
    <comment authorId="0" ref="B336">
      <text>
        <t xml:space="preserve">Actual (or Estimate if not known) install date</t>
      </text>
    </comment>
    <comment authorId="0" ref="B337">
      <text>
        <t xml:space="preserve">If &gt;1 system, specify each</t>
      </text>
    </comment>
    <comment authorId="0" ref="B338">
      <text>
        <t xml:space="preserve">If &gt;1 system, specify each</t>
      </text>
    </comment>
    <comment authorId="0" ref="B339">
      <text>
        <t xml:space="preserve">Specify the main control protocol used for the System(s)</t>
      </text>
    </comment>
    <comment authorId="0" ref="B340">
      <text>
        <t xml:space="preserve">Specify the name of the headend software
E.g. Tridium Niagara N4</t>
      </text>
    </comment>
    <comment authorId="0" ref="B341">
      <text>
        <t xml:space="preserve">Specify the name of the Operating System of Front End Server
E.g. Windows 10</t>
      </text>
    </comment>
    <comment authorId="0" ref="B342">
      <text>
        <t xml:space="preserve">Specify what tool is used to configure the system</t>
      </text>
    </comment>
    <comment authorId="0" ref="B343">
      <text>
        <t xml:space="preserve">If yes, provide details including IP address and full url. </t>
      </text>
    </comment>
    <comment authorId="0" ref="B344">
      <text>
        <t xml:space="preserve">Specify if there is more than one user view workstation(s).
Provide narrative description under comments.</t>
      </text>
    </comment>
    <comment authorId="0" ref="B345">
      <text>
        <t xml:space="preserve">Provide narrative description under comments.</t>
      </text>
    </comment>
    <comment authorId="0" ref="B346">
      <text>
        <t xml:space="preserve">Provide narrative description under comments.
If No, please specify what the network is that is being used and who owns it and the topology and link to topology diagrams</t>
      </text>
    </comment>
    <comment authorId="0" ref="B347">
      <text>
        <t xml:space="preserve">Provide narrative description under comments.</t>
      </text>
    </comment>
    <comment authorId="0" ref="B348">
      <text>
        <t xml:space="preserve">Provide narrative description under comments.</t>
      </text>
    </comment>
    <comment authorId="0" ref="B349">
      <text>
        <t xml:space="preserve">Provide narrative description under comments.</t>
      </text>
    </comment>
    <comment authorId="0" ref="B350">
      <text>
        <t xml:space="preserve">Provide narrative description under comments.</t>
      </text>
    </comment>
    <comment authorId="0" ref="A351">
      <text>
        <t xml:space="preserve">Automatic Transfer Switches (ATS)
Uninterruptible Power Supply (UPS)
Generator
Critical Air Conditioning Systems (CRACS) 
Leak Detection 
Pool and Spa Pack Systems
EV Charging Stations 
DC Micro Grids
PV or Other Generation Systems
Irrigation System 
Other: please describe</t>
      </text>
    </comment>
    <comment authorId="0" ref="B352">
      <text>
        <t xml:space="preserve">Provide narrative description</t>
      </text>
    </comment>
    <comment authorId="0" ref="B353">
      <text>
        <t xml:space="preserve">Specify the number systems in the building that Google occupy.
Integer Only
E.g. 0,1,2,3 etc</t>
      </text>
    </comment>
    <comment authorId="0" ref="B354">
      <text>
        <t xml:space="preserve">Provide either REWS Room ID OR Room Description of the Front End / Operating GUI Physical Location (e.g. IDF room, Basement)</t>
      </text>
    </comment>
    <comment authorId="0" ref="B355">
      <text>
        <t xml:space="preserve">Specify if the documentation for the system has been provided and moved to correct folders on Google Drive.
Provide link in comments</t>
      </text>
    </comment>
    <comment authorId="0" ref="B356">
      <text>
        <t xml:space="preserve">Provide link in pdf format.</t>
      </text>
    </comment>
    <comment authorId="0" ref="B357">
      <text>
        <t xml:space="preserve">Provide link in pdf format.</t>
      </text>
    </comment>
    <comment authorId="0" ref="B358">
      <text>
        <t xml:space="preserve">Provide link in pdf format.</t>
      </text>
    </comment>
    <comment authorId="0" ref="B359">
      <text>
        <t xml:space="preserve">Provide link in pdf format.</t>
      </text>
    </comment>
    <comment authorId="0" ref="B360">
      <text>
        <t xml:space="preserve">Provide an up to date Headend screenshots in jpeg/png format:
1) Navigation Tree
2) List of Users
3) Application System Info
4) OS System info
5) License Info</t>
      </text>
    </comment>
    <comment authorId="0" ref="B361">
      <text>
        <t xml:space="preserve">Provide link to a system asset register if applicable.</t>
      </text>
    </comment>
    <comment authorId="0" ref="B362">
      <text>
        <t xml:space="preserve">Specify if tagging schema was followed as per BOS Naming and Labelling Standard.</t>
      </text>
    </comment>
    <comment authorId="0" ref="B363">
      <text>
        <t xml:space="preserve">Specify who manages the system</t>
      </text>
    </comment>
    <comment authorId="0" ref="B364">
      <text>
        <t xml:space="preserve">Provide narrative description of access</t>
      </text>
    </comment>
    <comment authorId="0" ref="B365">
      <text>
        <t xml:space="preserve">Specify interface details under comments</t>
      </text>
    </comment>
    <comment authorId="0" ref="B366">
      <text>
        <t xml:space="preserve">Provide narrative description of access</t>
      </text>
    </comment>
    <comment authorId="0" ref="B367">
      <text>
        <t xml:space="preserve">Provide narrative description under comments.</t>
      </text>
    </comment>
    <comment authorId="0" ref="B368">
      <text>
        <t xml:space="preserve">Provide narrative description under comments.</t>
      </text>
    </comment>
    <comment authorId="0" ref="B369">
      <text>
        <t xml:space="preserve">Specify the number of users that have access.
Integer Only
E.g. 0,1,2,3 etc</t>
      </text>
    </comment>
    <comment authorId="0" ref="B370">
      <text>
        <t xml:space="preserve">Actual (or Estimate if not known) install date</t>
      </text>
    </comment>
    <comment authorId="0" ref="B371">
      <text>
        <t xml:space="preserve">If &gt;1 system, specify each</t>
      </text>
    </comment>
    <comment authorId="0" ref="B372">
      <text>
        <t xml:space="preserve">If &gt;1 system, specify each</t>
      </text>
    </comment>
    <comment authorId="0" ref="B373">
      <text>
        <t xml:space="preserve">Specify the main control protocol used for the System(s)</t>
      </text>
    </comment>
    <comment authorId="0" ref="B374">
      <text>
        <t xml:space="preserve">Specify the name of the headend software
E.g. Tridium Niagara N4</t>
      </text>
    </comment>
    <comment authorId="0" ref="B375">
      <text>
        <t xml:space="preserve">Specify the name of the Operating System of Front End Server
E.g. Windows 10</t>
      </text>
    </comment>
    <comment authorId="0" ref="B376">
      <text>
        <t xml:space="preserve">Specify what tool is used to configure the system</t>
      </text>
    </comment>
    <comment authorId="0" ref="B377">
      <text>
        <t xml:space="preserve">If yes, provide details including IP address and full url. </t>
      </text>
    </comment>
    <comment authorId="0" ref="B378">
      <text>
        <t xml:space="preserve">Specify if there is more than one user view workstation(s).
Provide narrative description under comments.</t>
      </text>
    </comment>
    <comment authorId="0" ref="B379">
      <text>
        <t xml:space="preserve">Provide narrative description under comments.</t>
      </text>
    </comment>
    <comment authorId="0" ref="B380">
      <text>
        <t xml:space="preserve">Provide narrative description under comments.
If No, please specify what the network is that is being used and who owns it and the topology and link to topology diagrams</t>
      </text>
    </comment>
    <comment authorId="0" ref="B381">
      <text>
        <t xml:space="preserve">Provide narrative description under comments.</t>
      </text>
    </comment>
    <comment authorId="0" ref="B382">
      <text>
        <t xml:space="preserve">Provide narrative description under comments.</t>
      </text>
    </comment>
    <comment authorId="0" ref="B383">
      <text>
        <t xml:space="preserve">Provide narrative description under comments.</t>
      </text>
    </comment>
    <comment authorId="0" ref="B384">
      <text>
        <t xml:space="preserve">Provide narrative description under comments.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S4">
      <text>
        <t xml:space="preserve">Specify the device risk level based on the criteria provided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tc={0f99193a-114b-42de-80f0-a90a539b5792}</author>
    <author>tc={49c6d4ef-c36d-4876-8bf0-59933d33dad1}</author>
    <author>tc={95927abf-8b8c-4174-a52d-cf49d66697b8}</author>
    <author>tc={cba2a417-1a12-465f-8d9a-5b67df9891ec}</author>
  </authors>
  <commentList>
    <comment authorId="0" ref="BC4">
      <text>
        <t xml:space="preserve">Provide a link to the drive folder for the site where any relevant photos are stored 
(E.g. Controller/Device photo, Panel Photo etc
PASTE FILE LINK URL DIRECTLY  TO CELL, DO NOT LINK CELL TO URL)</t>
      </text>
    </comment>
    <comment authorId="1" xr:uid="{0f99193a-114b-42de-80f0-a90a539b5792}" ref="F2982">
      <text>
        <t xml:space="preserve">[Threaded comment]
 Your version of Excel allows you to read this threaded comment; however, any edits to it will get removed if the file is opened in a newer version of Excel. Learn more: https://go.microsoft.com/fwlink/?linkid=870924
Comment:
	@saravanakumar.p@rewsprojects.com Please confirm the model number or attache data sheet
Assigned to saravanakumar.p@rewsprojects.com
Reply:
	https://drive.google.com/file/d/16nTmeAqSm556hzdAjdeJvULQh2wrAeAp/view?usp=drive_link
</t>
      </text>
    </comment>
    <comment authorId="2" xr:uid="{49c6d4ef-c36d-4876-8bf0-59933d33dad1}" ref="F2982">
      <text>
        <t xml:space="preserve">[Threaded comment]
 Your version of Excel allows you to read this threaded comment; however, any edits to it will get removed if the file is opened in a newer version of Excel. Learn more: https://go.microsoft.com/fwlink/?linkid=870924
Comment:
	@saravanakumar.p@rewsprojects.com 
We will need the actual VRF model here as we are adding the individual units.
Assigned to saravanakumar.p@rewsprojects.com
Reply:
	As discussed We will considered one Gate way for VRF Units
</t>
      </text>
    </comment>
    <comment authorId="3" xr:uid="{95927abf-8b8c-4174-a52d-cf49d66697b8}" ref="F3058">
      <text>
        <t xml:space="preserve">[Threaded comment]
 Your version of Excel allows you to read this threaded comment; however, any edits to it will get removed if the file is opened in a newer version of Excel. Learn more: https://go.microsoft.com/fwlink/?linkid=870924
Comment:
	@saravanakumar.p@rewsprojects.com Please check the model selected
Assigned to saravanakumar.p@rewsprojects.com
</t>
      </text>
    </comment>
    <comment authorId="4" xr:uid="{cba2a417-1a12-465f-8d9a-5b67df9891ec}" ref="AF159">
      <text>
        <t xml:space="preserve">[Threaded comment]
 Your version of Excel allows you to read this threaded comment; however, any edits to it will get removed if the file is opened in a newer version of Excel. Learn more: https://go.microsoft.com/fwlink/?linkid=870924
Comment:
	Type Error 5C:C2:13:06:8d:A6
Reply:
	Ticket has been raised. https://gutsv3.corp.google.com/#ticket/232204188
Reply:
	As requested, we've updated the MAC address from the old value to the new one. Here are the details:
ArrID : 690669fb-285d-43cb-aa15-aaaaaac00d56
FQDN : in-blr-ananta-ddc-355.blr.bosiot.in.goog.
IPv4 : 100.95.214.231
IPv4 Netblock : 100.95.208.0/20
DHCP MAC Address : 5c:c2:13:06:8d:a6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4">
      <text>
        <t xml:space="preserve">Provide a link to the drive folder for the site where any relevant photos are stored 
(E.g. Controller/Device photo, Panel Photo etc
PASTE FILE LINK URL DIRECTLY  TO CELL, DO NOT LINK CELL TO URL)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On New Construction projects, private/shadow/temporary networks are strictly forbidden. Refer to go/deployment-guidelines for details on device deployment guidelines.</t>
      </text>
    </comment>
    <comment authorId="0" ref="S4">
      <text>
        <t xml:space="preserve">Provide a link to the drive folder for the site where any relevant photos are stored 
(E.g. Controller/Device photo, Panel Photo etc
PASTE FILE LINK URL DIRECTLY  TO CELL, DO NOT LINK CELL TO URL)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AUTO POPULATED
*****</t>
      </text>
    </comment>
    <comment authorId="0" ref="I2">
      <text>
        <t xml:space="preserve">*****
AUTO POPULATED
*****</t>
      </text>
    </comment>
    <comment authorId="0" ref="J2">
      <text>
        <t xml:space="preserve">*****
AUTO POPULATED
*****</t>
      </text>
    </comment>
    <comment authorId="0" ref="I3">
      <text>
        <t xml:space="preserve">*****
AUTO POPULATED
*****</t>
      </text>
    </comment>
    <comment authorId="0" ref="J3">
      <text>
        <t xml:space="preserve">*****
AUTO POPULATED
*****</t>
      </text>
    </comment>
    <comment authorId="0" ref="B4">
      <text>
        <t xml:space="preserve">This column to be completed by CONTROLS SME / REWS PM ONLY</t>
      </text>
    </comment>
    <comment authorId="0" ref="C4">
      <text>
        <t xml:space="preserve">This column to be completed by CONTROLS SME / REWS PM ONLY</t>
      </text>
    </comment>
    <comment authorId="0" ref="D4">
      <text>
        <t xml:space="preserve">This column to be completed by CONTROLS SME / REWS PM ONLY</t>
      </text>
    </comment>
    <comment authorId="0" ref="E4">
      <text>
        <t xml:space="preserve">This column to be completed by CONTROLS SME / REWS PM ONLY</t>
      </text>
    </comment>
    <comment authorId="0" ref="F4">
      <text>
        <t xml:space="preserve">This column to be completed by SURVEYOR ONLY.</t>
      </text>
    </comment>
    <comment authorId="0" ref="G4">
      <text>
        <t xml:space="preserve">This column to be completed by SURVEYOR ONLY.</t>
      </text>
    </comment>
    <comment authorId="0" ref="H4">
      <text>
        <t xml:space="preserve">*** 
TO BE COMPLETED BY SURVEYOR ***</t>
      </text>
    </comment>
    <comment authorId="0" ref="I4">
      <text>
        <t xml:space="preserve">This column to be completed by CONTROLS SME / REWS PM ONLY</t>
      </text>
    </comment>
    <comment authorId="0" ref="J4">
      <text>
        <t xml:space="preserve">This column to be completed by CONTROLS SME / REWS PM ONLY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Validation:
red: incorrect format</t>
      </text>
    </comment>
    <comment authorId="0" ref="E1">
      <text>
        <t xml:space="preserve">Validation:
yellow: duplicate
red: incorrect format</t>
      </text>
    </comment>
    <comment authorId="0" ref="F1">
      <text>
        <t xml:space="preserve">Validation:
Red: incorrect format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Validation:
red: incorrect format</t>
      </text>
    </comment>
    <comment authorId="0" ref="AC4">
      <text>
        <t xml:space="preserve">Validation:
yellow: duplicate
red: incorrect format</t>
      </text>
    </comment>
    <comment authorId="0" ref="AD4">
      <text>
        <t xml:space="preserve">Validation:
Red: incorrect format</t>
      </text>
    </comment>
  </commentList>
</comments>
</file>

<file path=xl/sharedStrings.xml><?xml version="1.0" encoding="utf-8"?>
<sst xmlns="http://schemas.openxmlformats.org/spreadsheetml/2006/main" count="86488" uniqueCount="11245">
  <si>
    <t>Version Control and Governance</t>
  </si>
  <si>
    <t>Document Instructions</t>
  </si>
  <si>
    <r>
      <rPr>
        <rFont val="Google Sans"/>
      </rPr>
      <t xml:space="preserve">Refer </t>
    </r>
    <r>
      <rPr>
        <rFont val="Google Sans"/>
        <color rgb="FF1155CC"/>
        <u/>
      </rPr>
      <t>Instructions tab</t>
    </r>
  </si>
  <si>
    <t>Revision History</t>
  </si>
  <si>
    <t>Revision Date</t>
  </si>
  <si>
    <t>Version</t>
  </si>
  <si>
    <t>Revised By</t>
  </si>
  <si>
    <t>Description of Changes</t>
  </si>
  <si>
    <t>npert@</t>
  </si>
  <si>
    <t>Added an option for N/A for serial relationships in the dropdown</t>
  </si>
  <si>
    <t>b/290725624. device status column added  to control panel and private network switch tabs (retired / active ) so they can be retired in LBAM</t>
  </si>
  <si>
    <t>The total number of shares to the VLook sheet reached its maximum. A copy of the sheet has been made and the import on the VLook tab updated to conect to the new url</t>
  </si>
  <si>
    <r>
      <rPr>
        <rFont val="Google Sans"/>
        <sz val="11.0"/>
      </rPr>
      <t xml:space="preserve">Updated field validation as per </t>
    </r>
    <r>
      <rPr>
        <rFont val="Google Sans"/>
        <color rgb="FF1155CC"/>
        <sz val="11.0"/>
        <u/>
      </rPr>
      <t>this</t>
    </r>
    <r>
      <rPr>
        <rFont val="Google Sans"/>
        <sz val="11.0"/>
      </rPr>
      <t xml:space="preserve"> doc for LBAM bulk upoad requirements</t>
    </r>
  </si>
  <si>
    <t>alanjackson@</t>
  </si>
  <si>
    <t>Updated sheet with new menu item for Add-Ons, including a sub-menu for the ability to generate new GUIDs for one or many cells to support QR code payload asset.guid information</t>
  </si>
  <si>
    <t>Added help text to column "Device ID &amp; Any Other Information" to include examples of other IDs that can be stored</t>
  </si>
  <si>
    <r>
      <rPr>
        <rFont val="Google Sans"/>
        <sz val="11.0"/>
      </rPr>
      <t>MUD File columns deleted from Tab3  (</t>
    </r>
    <r>
      <rPr>
        <rFont val="Google Sans"/>
        <color rgb="FF1155CC"/>
        <sz val="11.0"/>
        <u/>
      </rPr>
      <t>b/275347101</t>
    </r>
    <r>
      <rPr>
        <rFont val="Google Sans"/>
        <sz val="11.0"/>
      </rPr>
      <t>)</t>
    </r>
  </si>
  <si>
    <r>
      <rPr>
        <rFont val="Google Sans"/>
        <sz val="11.0"/>
      </rPr>
      <t>Default hide the columns related to IP Peer - Peer Comms (</t>
    </r>
    <r>
      <rPr>
        <rFont val="Google Sans"/>
        <color rgb="FF1155CC"/>
        <sz val="11.0"/>
        <u/>
      </rPr>
      <t>b/272695271</t>
    </r>
    <r>
      <rPr>
        <rFont val="Google Sans"/>
        <sz val="11.0"/>
      </rPr>
      <t>)
Add conditional formatting to highlight use of vague systems (</t>
    </r>
    <r>
      <rPr>
        <rFont val="Google Sans"/>
        <color rgb="FF1155CC"/>
        <sz val="11.0"/>
        <u/>
      </rPr>
      <t>b/252788003</t>
    </r>
    <r>
      <rPr>
        <rFont val="Google Sans"/>
        <sz val="11.0"/>
      </rPr>
      <t>)
Added asset function validation against LBAM table (</t>
    </r>
    <r>
      <rPr>
        <rFont val="Google Sans"/>
        <color rgb="FF1155CC"/>
        <sz val="11.0"/>
        <u/>
      </rPr>
      <t>b/276901321</t>
    </r>
    <r>
      <rPr>
        <rFont val="Google Sans"/>
        <sz val="11.0"/>
      </rPr>
      <t>)
Added Device Connection Type (</t>
    </r>
    <r>
      <rPr>
        <rFont val="Google Sans"/>
        <color rgb="FF1155CC"/>
        <sz val="11.0"/>
        <u/>
      </rPr>
      <t>b/235549300</t>
    </r>
    <r>
      <rPr>
        <rFont val="Google Sans"/>
        <sz val="11.0"/>
      </rPr>
      <t>)</t>
    </r>
  </si>
  <si>
    <r>
      <rPr>
        <rFont val="Google Sans"/>
        <sz val="11.0"/>
      </rPr>
      <t>Column renamed to "Jack Label" (March 2021)
Temporary device tab added (June 2021)
Corphosting column added to identify corphosting status of each asset (Feb 2022)
Device Owner Added (as requested by Caiti Banks Sept 2022)
Serial Relationship column added Sept 20</t>
    </r>
    <r>
      <rPr>
        <rFont val="Google Sans"/>
        <color rgb="FF000000"/>
        <sz val="11.0"/>
      </rPr>
      <t xml:space="preserve">23 </t>
    </r>
    <r>
      <rPr>
        <rFont val="Google Sans"/>
        <color rgb="FF1155CC"/>
        <sz val="11.0"/>
        <u/>
      </rPr>
      <t>b/254291005</t>
    </r>
    <r>
      <rPr>
        <rFont val="Google Sans"/>
        <sz val="11.0"/>
      </rPr>
      <t>)
POE drop down Adde</t>
    </r>
    <r>
      <rPr>
        <rFont val="Google Sans"/>
        <color rgb="FF000000"/>
        <sz val="11.0"/>
      </rPr>
      <t>d (</t>
    </r>
    <r>
      <rPr>
        <rFont val="Google Sans"/>
        <color rgb="FF1155CC"/>
        <sz val="11.0"/>
        <u/>
      </rPr>
      <t>b/256110818</t>
    </r>
    <r>
      <rPr>
        <rFont val="Google Sans"/>
        <sz val="11.0"/>
      </rPr>
      <t>) [UPoE+ added dropdown by approval ONLY)</t>
    </r>
  </si>
  <si>
    <t>npert@
nsass@</t>
  </si>
  <si>
    <t>Merging of DBRS Audit and Appendix 6 V1.4 with fields reviewed and agreed during the Rews Enriched data for LBAM works
Stronger validation of data entry (using data validation and conditional formatting)
Addition of a Temporary Devices Tab to track both temporary commissioning devices and interim MDF/IDF monitoring systems
Link between Tabs 3 and 4 reduced to be just Manufacturer and Model (removing the firmware) as firmware was defined as an equipment level attribute during LBAM data review
Addition of a CorpHosted Field to track whether a device needed corphosting
Addition of a Corphosting tab to assist in the corphosting process (still required copying and pasting into EFIM template)
Generation of GUID directly in the sheet
Auto creation of QR code payload
Update to Instructions
Script for menu item to autohide sheets depending on use (NC/Audit)
Script to only offer devices for selected manufacturer</t>
  </si>
  <si>
    <t>nsass@</t>
  </si>
  <si>
    <t>Restructuring and Streamlining columns
Alignment with DBRS Workbook for Service Now Upload
Addition of Instructions
Addition of Validations as per SSOT document
Addition of Data Ownership</t>
  </si>
  <si>
    <t>Reviewer Table</t>
  </si>
  <si>
    <t>Name</t>
  </si>
  <si>
    <t xml:space="preserve">Date </t>
  </si>
  <si>
    <t>LGTM</t>
  </si>
  <si>
    <t>Comments</t>
  </si>
  <si>
    <t>Maryam Ahmad</t>
  </si>
  <si>
    <t>PENDING</t>
  </si>
  <si>
    <t>Jean-baptiste Marigo</t>
  </si>
  <si>
    <t>Richard Reid</t>
  </si>
  <si>
    <t>REVIEWED</t>
  </si>
  <si>
    <t>VaANANTAus comments to be addressed - resolved as of 29/07/2023</t>
  </si>
  <si>
    <t>Christopher May</t>
  </si>
  <si>
    <t>Avdoot Venkateswaran</t>
  </si>
  <si>
    <t>Thang Nguyen</t>
  </si>
  <si>
    <t>Clare Meredith</t>
  </si>
  <si>
    <t>Caiti Banks</t>
  </si>
  <si>
    <t>WAITING</t>
  </si>
  <si>
    <t>Approved, aware of all changes, new requirements reviewed and submitted 5/24</t>
  </si>
  <si>
    <t>Joe Benn</t>
  </si>
  <si>
    <t>Kyle Hasegawa</t>
  </si>
  <si>
    <t>Jason McElroy</t>
  </si>
  <si>
    <t>Natalie Skvortsova</t>
  </si>
  <si>
    <t>Trevor Pering</t>
  </si>
  <si>
    <t>Francesco Anselmo</t>
  </si>
  <si>
    <t>Samuel King</t>
  </si>
  <si>
    <t>Sohaib Sheikh</t>
  </si>
  <si>
    <t>Kaloyan Kaloyanov</t>
  </si>
  <si>
    <t>Ian McGrath</t>
  </si>
  <si>
    <t>Patrick Nehls</t>
  </si>
  <si>
    <t>Sean Mcnulty</t>
  </si>
  <si>
    <t>Approver Table</t>
  </si>
  <si>
    <t>Mark Farrow</t>
  </si>
  <si>
    <t>APPROVED</t>
  </si>
  <si>
    <t>Alan Jackson</t>
  </si>
  <si>
    <t>Project Level Change Control</t>
  </si>
  <si>
    <t>LDAP</t>
  </si>
  <si>
    <t>Instruction for Appendix 6  - Digital Building Device Register</t>
  </si>
  <si>
    <t>General Guidance</t>
  </si>
  <si>
    <t>No.</t>
  </si>
  <si>
    <t>Description</t>
  </si>
  <si>
    <r>
      <rPr>
        <rFont val="Google Sans"/>
      </rPr>
      <t xml:space="preserve">The Appendix 6 - Digital Building Device Register is a critical aspect of project delivery and acts as a central data repository for </t>
    </r>
    <r>
      <rPr>
        <rFont val="Google Sans"/>
        <b/>
      </rPr>
      <t xml:space="preserve">all </t>
    </r>
    <r>
      <rPr>
        <rFont val="Google Sans"/>
      </rPr>
      <t>building systems data. It is to be used for corphosting/enrolling all IP devices onto the GEN network and also to upload all record data (IP and serial) to an asset database used by Google.</t>
    </r>
  </si>
  <si>
    <t>Create a copy of this template and use it for your specific project / audit with correct building code.</t>
  </si>
  <si>
    <t>This sheet should be centrally managed by a single entity. 
For new construction / upgrade projects:
Compliant
- Design - MEP designer 
- Construction - General Contractor or Variable PM for India
Smart Ready
- Design - DBC
- Construction - MSI
For DBRS audits:
- Surveyor conducting the audit</t>
  </si>
  <si>
    <t>For new construction / upgrade projects: All device parameters of every device must be provided to Google at least 4-6 weeks (subject to project size) pANANTAr to the installation and commissioning on site.</t>
  </si>
  <si>
    <t>The data populated by the System Owners / Surveyors should not have any obvious gaps or issues.</t>
  </si>
  <si>
    <t>There should be no entries like ‘unknown’ or ‘N/A’ for fields that are expected. For a ‘unknown’ or ‘N/A’ response, provide a justification for that row item in the comments column in its respective tab.</t>
  </si>
  <si>
    <t>There are many validation checks incorporated with cells as follows:
- All cells that are mandatory to be filled are in "Yellow". Once these are filled, they would turn "White". If the entry is Not Applicable the N/A should be entered. If information for the entry could not be found then "Not Verified" should be entered.
- Certain columns should not have duplicates. If there is a duplication error, the cell will highlight in "Red".
- Certain cells will only take input in a certain format and will show an error message if not in the correct format such as IP address, Subnet Mask, Default Gateway, MAC address.
- Cells with a dropdown should only be filled with items selectable from the list provided.
- The QR Payload is automatically generated based on the information entered in other cells
- The hostname is automatically generated based on the information entered in other cells
- Device Type is automatically generated based on the manufacturer and model entered in the corresponding columns
- Photos column will only accept URL's, N/A, or Not verified.
- Datasheets and Technical manuals columns will only accept URL's, N/A, or Not verified. All datasheets should be stored on Google Drive and not a link to an external web site that is liable to change</t>
  </si>
  <si>
    <t>A consistent format should be used throughout this device register:
- A consistent font and size of text to be used
- Data fields should be consistent across all cells (columns and rows)</t>
  </si>
  <si>
    <t>On cells with dropdown, select the information as per the project / audit. In some extreme cases, the dropdowns might not show the specific information, if so, overwrite the cell with correct information and justify in the comments section.</t>
  </si>
  <si>
    <t xml:space="preserve">When copying and pasting into this document from any source (internal or external), 
- Right click on the cell
- Select Paste Special dropdown option
- Select Paste values only (Ctrl, Shift, V)
Do not use Ctrl &amp; V as this will override any validation rules which may disrupt the sheet. </t>
  </si>
  <si>
    <t>Specific Guidance</t>
  </si>
  <si>
    <t>This Tab is provided for Change Control to ensure changes made within the document are recorded</t>
  </si>
  <si>
    <t>As a minimum the following changes should be recorded:
 • Issue from MSI/DBC/GC to SME/GEN Deploy for device provisioning
 • When Updated by SME with Provisioining information issued by Corphosting Team
 • Any changes of MAC address after devices provisioned that require GUTS ticket to change them
 • Final submission for import into SAP after PC</t>
  </si>
  <si>
    <t>The revision date has to be recorded
The revision version must be incremented
The person making the change and their LDAP must be recorded
In the comments a full description of the changes between the versions needs to be recorded</t>
  </si>
  <si>
    <t>1-Facility Questionnaire for DBRS Audits</t>
  </si>
  <si>
    <t>This tab will be hidden from new build projects and only shown for audits.</t>
  </si>
  <si>
    <t>To be filled out by the FM pANANTAr to Audits being carried out</t>
  </si>
  <si>
    <t>Tab 2 - Building</t>
  </si>
  <si>
    <t>The Building Tab is used to capture broad building and system level information. The tab is structured in sections relating to different systems, for example BMS, LCS, EMS etc to be populated by individual Systems Owner / Surveyor</t>
  </si>
  <si>
    <t>Row 3-23
General question about the building which should be available with:
For New Construction - REWS PM and Local/Embedded PM
For DBRS Audit - Surveyor POC to  verify from Local FM</t>
  </si>
  <si>
    <t>Row 25-27
General question about the Landlord which should be available with:
For New Construction - REWS PM and Local/Embedded PM. PM to liaise with Landlord to obtain the information.
For DBRS Audit -Surveyor POC to  verify from Local FM</t>
  </si>
  <si>
    <t>Row 29-35
General question about the FM which should be available with:
For New Construction - Local FM on the project
For DBRS Audit - Local FM in the building</t>
  </si>
  <si>
    <t>Row 37-38
General question about the MDF/IDF Information which should be available with:
For New Construction - GEN Deploy TPM on the project
For DBRS Audit - Surveyor POC to  verify from Local FM/GEN</t>
  </si>
  <si>
    <t>Row 40-41
General question about the OT / Private Network Information which should be available with:
For New Construction - System Owner on the project
For DBRS Audit - Surveyor to obtain the data through the audit</t>
  </si>
  <si>
    <t>Row 43 - 76
General question about the BMS installed in the building(s).
Note: If the system does not apply to the project / audit, fill with N/A.</t>
  </si>
  <si>
    <t>Row 78 - 110
General question about the LCS installed in the building(s).
Note: If the system does not apply to the project / audit, fill with N/A.</t>
  </si>
  <si>
    <t>Row 112 - 144
General question about the EMS installed in the building(s).
Note: If the system does not apply to the project / audit, fill with N/A.</t>
  </si>
  <si>
    <t>Row 146 - 178
General question about the Lift/Elevator installed in the building(s).
Note: If the system does not apply to the project / audit, fill with N/A.</t>
  </si>
  <si>
    <t>Row 180 - 212
General question about the Fire Alarm System installed in the building(s).
Note: If the system does not apply to the project / audit, fill with N/A.</t>
  </si>
  <si>
    <t>Row 214 - 246
General question about the Blinds/Drapes installed in the building(s).
Note: If the system does not apply to the project / audit, fill with N/A.</t>
  </si>
  <si>
    <t>Row 248 - 282
General question about the Google Food installed in the building(s).
Note: If the system does not apply to the project / audit, fill with N/A.</t>
  </si>
  <si>
    <t>Row 284 - 316
General question about the Misc. System 1 installed in the building(s).
Note: If the system does not apply to the project / audit, fill with N/A.</t>
  </si>
  <si>
    <t>Row 318 - 350
General question about the Misc. System 2 installed in the building(s).
Note: If the system does not apply to the project / audit, fill with N/A.</t>
  </si>
  <si>
    <t>Row 350 - 384
General question about the Misc. System 3 installed in the building(s).
Note: If the system does not apply to the project / audit, fill with N/A.</t>
  </si>
  <si>
    <t>Tab 3 - Devices Types</t>
  </si>
  <si>
    <t>The Device Types tab should contain a catalogue of all the devices types listed in the All Devices tab.
For New Construction - IP devices, Serial devices and/or any other communication type to be recorded
For DBRS Audit - Only IP devices onlyto be recorded</t>
  </si>
  <si>
    <t>A complete row of data should be entered for each device type instance. Where a device is installed multiple times and has more than one version of firmware installed, then a row should be completed for each version of the firmware</t>
  </si>
  <si>
    <t>Relevant examples have been specified in Row 3 (expand the row using the '+'), use this as reference to populate the rest of the sheet</t>
  </si>
  <si>
    <t>All "Yellow" cells in Columns B, G to Q should be completed
The Column B 'Device Type Look-up' drop-down will populate once devices are entered in the 'All Devices' tab</t>
  </si>
  <si>
    <t>All "Light Grey" cells (columns C - F) should auto complete, do not enter any information in these cells.
Note: Columns C - F should automatically populate based on Column B, but it is the responsibility of the System Owner / Surveyor to ensure this is completed and provides the correct information.
Column S should only be completed by the Controls SME for Audits. Risk Level definitions are included in the Audit MOP.</t>
  </si>
  <si>
    <t>Columns J and K for file links to product information, user manuals, data sheets etc. should have correct links and must be completed by the individual System Owner / Surveyor</t>
  </si>
  <si>
    <t>All document links to product documentation, user manuals, datasheets etc. should be located within the correct folders of the shared Google drive</t>
  </si>
  <si>
    <t>Tab 4 - All Devices</t>
  </si>
  <si>
    <t>The All Devices tab should contain a full list of every device instance installed as a part of the project. 
For New Construction - IP devices, Serial devices and/or any other communication type to be recorded
For DBRS Audit - Only IP devices to be recorded</t>
  </si>
  <si>
    <t>Location Construction ID on new construction projects should reference the ID used on the Architect/MEP/GC drawings pANANTAr to Floorscope locations being available.</t>
  </si>
  <si>
    <t>For each device instance installed in the building, the entire row of data (all relevant columns) must be entered in the tab</t>
  </si>
  <si>
    <t>Relevant examples have been specified in Row 4 (expand the row using the '+'), use this as reference to populate the rest of the sheet</t>
  </si>
  <si>
    <t>Column BC to link site photos, etc. should have correct links and must be completed by the individual System Owner / Surveyor</t>
  </si>
  <si>
    <t>All site photos etc. should be located within the correct folders of the shared Google drive</t>
  </si>
  <si>
    <t>Row 2 highlights on who should fill the a particular column.  For New Construction the System Owner is the Person/Trade that is resposible for installing the device such as the Controls Contractor or Lighting Contractor. For Audits or Remediation the responsibility for completing these sections is details in the relevant MOPs.</t>
  </si>
  <si>
    <t>Check that no duplicate data has been entered - cells highlight duplicate MAC addresses, IP addresses etc in red using conditional formatting</t>
  </si>
  <si>
    <t>Private network equipment (switches / routers / etc.) are not classed as IP Devices and should be captured in Tab 6 only.</t>
  </si>
  <si>
    <t>All "Dark Grey" columns are for future use and are not required to be completed by the Systems Owner / Surveyor</t>
  </si>
  <si>
    <t>Tab 5 - Control Panels</t>
  </si>
  <si>
    <t>For each control panel switch installed as a part the project, a complete row of data including all columns must be entered in the tab</t>
  </si>
  <si>
    <t>Check that no duplicate data has been entered wherever applicable</t>
  </si>
  <si>
    <t>Fields requiring document links to product documentation, user manuals, site photos, etc. must be completed by the individual system owner</t>
  </si>
  <si>
    <t>All document links to product documentation, user manuals, site photos, etc. should work correctly and the files should be located within the correct folders of the shared Google drive</t>
  </si>
  <si>
    <t>Row 2 highlights on who should fill the a particular column</t>
  </si>
  <si>
    <t>Tab 6 - Private Network Switch</t>
  </si>
  <si>
    <r>
      <rPr>
        <rFont val="Google Sans"/>
      </rPr>
      <t xml:space="preserve">On New Construction - Private network switches / routers / modems are </t>
    </r>
    <r>
      <rPr>
        <rFont val="Google Sans"/>
        <b/>
      </rPr>
      <t>NOT ALLOWED</t>
    </r>
    <r>
      <rPr>
        <rFont val="Google Sans"/>
      </rPr>
      <t xml:space="preserve">. It is expected no data will be entered in Tab 6 unless the document is being used for a Digital Building Remediation Survey audit.
On New Construction projects, private/shadow/temporary networks are strictly forbidden. Refer to </t>
    </r>
    <r>
      <rPr>
        <rFont val="Google Sans"/>
        <color rgb="FF1155CC"/>
        <u/>
      </rPr>
      <t>go/deployment-guidelines</t>
    </r>
    <r>
      <rPr>
        <rFont val="Google Sans"/>
      </rPr>
      <t xml:space="preserve"> for details on device deployment guidelines.</t>
    </r>
  </si>
  <si>
    <t>For each private network switch identified during the audit, a complete row of data including all columns must be entered in the tab</t>
  </si>
  <si>
    <t>Fields requiring document links to product documentation, user manuals, site photos, etc. must be completed by the individual System Owner / Surveyor</t>
  </si>
  <si>
    <t>Tab 7 - Passive Discovery Tool Data (Armis / DBRS Audits / Wireshark for NC) [Not Required]</t>
  </si>
  <si>
    <t>This tab can be used for logging and necessary output from network scanning tools (not a requirement)</t>
  </si>
  <si>
    <r>
      <rPr>
        <rFont val="Google Sans"/>
        <color rgb="FF000000"/>
        <sz val="11.0"/>
      </rPr>
      <t xml:space="preserve">The use of network analysis tools is discouraged. When device or network troubleshooting is required the Controls SME should issue an </t>
    </r>
    <r>
      <rPr>
        <rFont val="Google Sans"/>
        <color rgb="FF1155CC"/>
        <sz val="11.0"/>
        <u/>
      </rPr>
      <t xml:space="preserve">IoT help ticket </t>
    </r>
    <r>
      <rPr>
        <rFont val="Google Sans"/>
        <color rgb="FF000000"/>
        <sz val="11.0"/>
      </rPr>
      <t>for assistance</t>
    </r>
  </si>
  <si>
    <t>Tab 8 - Clarifications (DBRS Audit Only)</t>
  </si>
  <si>
    <t>This tab should only be used for DBRS Audits and does not apply to New construction  / Upgrade projects</t>
  </si>
  <si>
    <t>The Controls SME for the DBRS audit will raise any clarifications required from the Surveyor during the Audit process</t>
  </si>
  <si>
    <t>Tab 12- Vlook</t>
  </si>
  <si>
    <r>
      <rPr>
        <rFont val="Google Sans"/>
        <color rgb="FFFF0000"/>
      </rPr>
      <t xml:space="preserve">DO NOT ALTER OR MODIFY THIS TAB </t>
    </r>
    <r>
      <rPr>
        <rFont val="Google Sans"/>
        <color rgb="FF000000"/>
      </rPr>
      <t>On first load it will be necessary to grant access rights to access the VLook master spreadsheet. This can be done by highlighting Cell A1 and clicking the button to grant access</t>
    </r>
  </si>
  <si>
    <t>Tab 9 - Controls SME Reporting</t>
  </si>
  <si>
    <t>This sheet is for use by SME's to quickly evaluate the subsystem types filled in to tabs 3 and 4</t>
  </si>
  <si>
    <t>Tab 10- BASE corphosting / device enrollment template</t>
  </si>
  <si>
    <t>The 10-Corphosting tab has been created for ease of copy and pasting the data required for the BASE CorpEng provisioning Template. The first 4 columns will be auto generated based on the information entered in Tab 4-All Devices. The net block will need to be assigned by GEN Deploy then the contents of the sheet copied (Values Only) to the BASE Corpeng Template</t>
  </si>
  <si>
    <t>The MAC addresses are filtered from the 4-All Devices Tab and the corresponding fields placed in the requested hostname, zone and device type columns. The device type must match an existing qualified device type (as listed in the VLook tab). If it does not, adjust the manufacturer and model in Tab 4 so that it matches the required format.</t>
  </si>
  <si>
    <r>
      <rPr>
        <rFont val="Google Sans"/>
        <color rgb="FF000000"/>
      </rPr>
      <t>To Corphost devices please follow the C39 procedure on the</t>
    </r>
    <r>
      <rPr>
        <rFont val="Google Sans"/>
        <color rgb="FF1155CC"/>
        <u/>
      </rPr>
      <t xml:space="preserve"> GTE IoTDeploy</t>
    </r>
    <r>
      <rPr>
        <rFont val="Google Sans"/>
        <color rgb="FF000000"/>
      </rPr>
      <t xml:space="preserve"> site</t>
    </r>
  </si>
  <si>
    <t>Tab 11- Temporary Devices</t>
  </si>
  <si>
    <t>Complete a row for each temporary device that will be included on the project that will be removed/de-corphosted before project completion. This includes but not limited to temporary commisioning laptops and interim MDF/IF monitoring devices</t>
  </si>
  <si>
    <t>Dates of installation and removal  need to be recorded in the relevant columns</t>
  </si>
  <si>
    <r>
      <rPr>
        <rFont val="Google Sans"/>
        <color rgb="FF000000"/>
      </rPr>
      <t xml:space="preserve">To Corphost temporary devices please follow the C12 procedure on the </t>
    </r>
    <r>
      <rPr>
        <rFont val="Google Sans"/>
        <color rgb="FF1155CC"/>
        <u/>
      </rPr>
      <t>GTE IoTDeploy site</t>
    </r>
  </si>
  <si>
    <t>FACILITY QUESTIONNAIRE</t>
  </si>
  <si>
    <t xml:space="preserve">Building Information </t>
  </si>
  <si>
    <t xml:space="preserve">Site Code </t>
  </si>
  <si>
    <t>IN-BLR-ANANTA</t>
  </si>
  <si>
    <t>Survey Date</t>
  </si>
  <si>
    <t>Surveyor</t>
  </si>
  <si>
    <t xml:space="preserve">Is the building accessable </t>
  </si>
  <si>
    <t xml:space="preserve">RTO Status </t>
  </si>
  <si>
    <t xml:space="preserve">Local Vendor/Supplier Information </t>
  </si>
  <si>
    <t xml:space="preserve">Category </t>
  </si>
  <si>
    <t>Vendor/Supplier Company Name</t>
  </si>
  <si>
    <t>Contact Name</t>
  </si>
  <si>
    <r>
      <rPr>
        <rFont val="Arial"/>
        <sz val="11.0"/>
      </rPr>
      <t xml:space="preserve">Contact Email
</t>
    </r>
    <r>
      <rPr>
        <rFont val="Arial"/>
        <sz val="11.0"/>
      </rPr>
      <t>(include LDAP where applicable )</t>
    </r>
  </si>
  <si>
    <t>Contact Phone</t>
  </si>
  <si>
    <t>Confirmed Attendance &amp; Access for Survey</t>
  </si>
  <si>
    <t>Additional Comments</t>
  </si>
  <si>
    <t>BMS (Building Management System)</t>
  </si>
  <si>
    <t>LCS (Lighting Control System)</t>
  </si>
  <si>
    <t>EMS (Emergency Management System)</t>
  </si>
  <si>
    <t>Lift</t>
  </si>
  <si>
    <t>Food</t>
  </si>
  <si>
    <t>Fire Alarm</t>
  </si>
  <si>
    <t>Mechanical</t>
  </si>
  <si>
    <t xml:space="preserve">Electrical </t>
  </si>
  <si>
    <t>Blinds/Curtains</t>
  </si>
  <si>
    <t>Other-Specify</t>
  </si>
  <si>
    <t>Confirmation of existing maintenance practices to hardware/software - Are they specifically targeted at the update and maintenance of hardware/software firmware and licenses?</t>
  </si>
  <si>
    <t>Headend graphic snapshots for all systems</t>
  </si>
  <si>
    <t>High-Level Information (Optional)</t>
  </si>
  <si>
    <t>Quantity (If Known)</t>
  </si>
  <si>
    <t>Connected to BMS?</t>
  </si>
  <si>
    <t>Number of Chillers</t>
  </si>
  <si>
    <t>Number of Boilers</t>
  </si>
  <si>
    <t>Number of Air Handling Units (AHUs)</t>
  </si>
  <si>
    <t>Number of Fan Coil Units (FCUs)</t>
  </si>
  <si>
    <t>Number of UPS</t>
  </si>
  <si>
    <t xml:space="preserve">Is there a BMS system in this building?
If yes, does it feed any other buildings?
If not, where is it located?
</t>
  </si>
  <si>
    <r>
      <rPr>
        <rFont val="Arial"/>
        <b/>
        <sz val="11.0"/>
      </rPr>
      <t xml:space="preserve">Planned Works </t>
    </r>
    <r>
      <rPr>
        <rFont val="Arial"/>
        <b/>
        <sz val="11.0"/>
      </rPr>
      <t>(that include BOS related elememts , network connections , IP devices etc)</t>
    </r>
  </si>
  <si>
    <t>System</t>
  </si>
  <si>
    <t>Planned Works?</t>
  </si>
  <si>
    <r>
      <rPr>
        <rFont val="Arial"/>
        <sz val="11.0"/>
      </rPr>
      <t>Description</t>
    </r>
    <r>
      <rPr>
        <rFont val="Arial"/>
        <sz val="11.0"/>
      </rPr>
      <t xml:space="preserve"> and location </t>
    </r>
    <r>
      <rPr>
        <rFont val="Arial"/>
        <sz val="11.0"/>
      </rPr>
      <t xml:space="preserve"> of Works</t>
    </r>
  </si>
  <si>
    <t>Planned Start Date</t>
  </si>
  <si>
    <t>Planned End Date</t>
  </si>
  <si>
    <t>PANANTArity</t>
  </si>
  <si>
    <r>
      <rPr>
        <rFont val="Arial"/>
        <sz val="11.0"/>
      </rPr>
      <t xml:space="preserve">Comments </t>
    </r>
    <r>
      <rPr>
        <rFont val="Arial"/>
        <sz val="11.0"/>
      </rPr>
      <t xml:space="preserve">and contacts regarding works </t>
    </r>
  </si>
  <si>
    <t>Please Specify</t>
  </si>
  <si>
    <t>Are there any other site/OT considerations you think the team need to be aware of</t>
  </si>
  <si>
    <t>Further Comments</t>
  </si>
  <si>
    <t xml:space="preserve">Insert Any Further Comments Here
</t>
  </si>
  <si>
    <t>Access Requirements</t>
  </si>
  <si>
    <t>Health &amp; Safety and Site Access</t>
  </si>
  <si>
    <t>Response</t>
  </si>
  <si>
    <t xml:space="preserve">Are Landlord or Google Onboarding required to access any part of the building required for survey? </t>
  </si>
  <si>
    <t>Is a H&amp;S Risk Assessment and Method Statement (RAMS) required pANANTAr to work taking place on site</t>
  </si>
  <si>
    <t>Is a permit to work or landlord approval/license or other permission required pANANTAr to work taking place on site?</t>
  </si>
  <si>
    <t>Does the Landlord require notice ahead of any works taking place and/or in order to provide access?</t>
  </si>
  <si>
    <t xml:space="preserve">Confirm that keys (including master keys) will be ready for the start of the survey to access risers, IDF/MDF rooms, control/machine/plant rooms, intake rooms etc. 
Is a master key available? </t>
  </si>
  <si>
    <t>Confirm keys available for all controls panels, cubicles, cabinets, network racks, etc.</t>
  </si>
  <si>
    <t>Will our access affect any operational duties?</t>
  </si>
  <si>
    <t>Confirm access available to IDF / MDF Rooms - Is IT attendance required?</t>
  </si>
  <si>
    <t>Confirm if out-of-hours access would be required for special areas - i.e finance / confidential areas</t>
  </si>
  <si>
    <t>Confirm there will be 8.00am to 8.00pm access for surveyor to access all parts of the building</t>
  </si>
  <si>
    <t xml:space="preserve">Any special security or clearance required for the survey team? </t>
  </si>
  <si>
    <t xml:space="preserve">Any special safety gear you expect the surveyor team to bring with them? </t>
  </si>
  <si>
    <t>Will survey teams be exposed to any extreme environmental conditions (i.e. heat, cold, wet, arid, extreme brightness/darkness)? If so, will survey team be provided appropriate protective gear/instructions for any such environments?</t>
  </si>
  <si>
    <t>Are there any areas where systems / equipment failing under the scope of this survey located where access poses a risk to workers, e.g. lift pits, confined spaces, machine/plant rooms, chemical stores, under floors, above ceilings, roof top, next to voids, working at height, etc.?</t>
  </si>
  <si>
    <t>Please confirm if maintenance team can provide ceiling void access on the day of survey including removal of ceiling tiles, carpet and floor tiles</t>
  </si>
  <si>
    <t>Please confirm working at height and are there any additional safety equipment required (outside of the earplugs and safety glasses)?</t>
  </si>
  <si>
    <t>Guidance
Please advise if there are any special access requirements needed in order to access the site or restricted areas / landlord areas in the field below.</t>
  </si>
  <si>
    <t xml:space="preserve">Insert Here
</t>
  </si>
  <si>
    <t>Questions</t>
  </si>
  <si>
    <t>Response by</t>
  </si>
  <si>
    <t>Building Information</t>
  </si>
  <si>
    <t>PM (for New Construction)
FM (for Existing Buildings)</t>
  </si>
  <si>
    <t>Link to Project Site</t>
  </si>
  <si>
    <t>Building ID/Code</t>
  </si>
  <si>
    <t>Building Address</t>
  </si>
  <si>
    <t>Ownership Type</t>
  </si>
  <si>
    <t>Leased</t>
  </si>
  <si>
    <t>Lease Expiry Date</t>
  </si>
  <si>
    <t>Would you consider this a Strategic Building for Google?</t>
  </si>
  <si>
    <t>Yes</t>
  </si>
  <si>
    <t>Model of the building</t>
  </si>
  <si>
    <t>Model 1</t>
  </si>
  <si>
    <t>Cyber Compliant or Smart Ready?</t>
  </si>
  <si>
    <t>Smart Ready</t>
  </si>
  <si>
    <t>IoT Lite, IoT Hybrid or IoT Heavy?</t>
  </si>
  <si>
    <t>IoT Heavy</t>
  </si>
  <si>
    <t>Headcount in the building</t>
  </si>
  <si>
    <t>Google occupied % in the building</t>
  </si>
  <si>
    <t>Building Size in SQFT</t>
  </si>
  <si>
    <t>Total number of floors in the building</t>
  </si>
  <si>
    <t>3 Basements + GF + 11 Floors + Roof</t>
  </si>
  <si>
    <t>Number of floors occupied by Google</t>
  </si>
  <si>
    <t>Basement Included?</t>
  </si>
  <si>
    <t>Roof Included?</t>
  </si>
  <si>
    <t>Does Google Facilities manage the Systems on Google Floors?</t>
  </si>
  <si>
    <t>Does Google Facilities manage the Building Main Plant and Common Areas?</t>
  </si>
  <si>
    <t>Any Critical System Issues? Please describe.</t>
  </si>
  <si>
    <t>No</t>
  </si>
  <si>
    <t>High Priority System Alarms? Please describe.</t>
  </si>
  <si>
    <t>N/A</t>
  </si>
  <si>
    <t>Alarms are configured as per Appendix-1</t>
  </si>
  <si>
    <t>Any proposed changes to the building, additional phases or retrofits in the next year?</t>
  </si>
  <si>
    <t>Landlord Information</t>
  </si>
  <si>
    <t>Who operates the Building Main Plant and Common Areas?</t>
  </si>
  <si>
    <t>Landlord Relationship</t>
  </si>
  <si>
    <t>Positive</t>
  </si>
  <si>
    <t>Name(s) the Administrator(s), (Building Engineer, Landlord, FM, etc)</t>
  </si>
  <si>
    <t>FM Information</t>
  </si>
  <si>
    <t>Response by FM</t>
  </si>
  <si>
    <t>Lead FM name &amp; LLDAP</t>
  </si>
  <si>
    <t>On-Site Technical FM Name &amp; LLDAP</t>
  </si>
  <si>
    <t>On-Site Technical Expertise</t>
  </si>
  <si>
    <t xml:space="preserve">Are keys available to BMS, LCS, EMS, and any other panels? </t>
  </si>
  <si>
    <t>Does FM have a system for managing Panel Keys?</t>
  </si>
  <si>
    <t xml:space="preserve">Are passwords available to BMS, LCS, EMS, and/or any other system front ends? </t>
  </si>
  <si>
    <t>Does FM have a system for managing passwords?</t>
  </si>
  <si>
    <t>MDF/IDF Information</t>
  </si>
  <si>
    <t>Response by GEN</t>
  </si>
  <si>
    <t>Number of MDFs, IDFS and Razors in the Building?</t>
  </si>
  <si>
    <t>Annotated floorplans showing Locations of MDFs, IDFS and Razors?</t>
  </si>
  <si>
    <t>OT / Private Network Information</t>
  </si>
  <si>
    <t>Response by System Contractor</t>
  </si>
  <si>
    <t>Are there any Private / OT Networks onsite? If yes, provide details and record network devices in the Private Network Equipment tab.</t>
  </si>
  <si>
    <t>Are there any connections to 3rd party networks or landlords networks</t>
  </si>
  <si>
    <t>Building Management System (BMS) Information</t>
  </si>
  <si>
    <t>Response by BMS Vendor / Contractor</t>
  </si>
  <si>
    <t>Details on the BMS System Installed on Google Floors</t>
  </si>
  <si>
    <t>Number of Building Management Systems?</t>
  </si>
  <si>
    <t>BMS Server Location</t>
  </si>
  <si>
    <t>Documentation provided and moved to correct folders?</t>
  </si>
  <si>
    <t>Any upgrades, adds, moves, changes affecting accuracy of the O&amp;M information?</t>
  </si>
  <si>
    <t>Link to Network Topology Diagram/Schematic</t>
  </si>
  <si>
    <t>Link to Description of Operation</t>
  </si>
  <si>
    <t>Link to Control Panel Drawings</t>
  </si>
  <si>
    <t>Link to Points Schedule or Points List</t>
  </si>
  <si>
    <t>Link to BMS Headend Screenshots</t>
  </si>
  <si>
    <t>Link to System Asset Register</t>
  </si>
  <si>
    <t>Was a Tagging Schema used on the BMS?</t>
  </si>
  <si>
    <t>Who manages the BMS that operates the Google spaces?</t>
  </si>
  <si>
    <t>Is there a seperate Landlord BMS? If Yes provide details and Scope of Control</t>
  </si>
  <si>
    <t>Is there an Interface between the Landlord BMS and the Google BMS?</t>
  </si>
  <si>
    <t>If Landlord Manages the BMS, do Google have access?</t>
  </si>
  <si>
    <t>Do FM have Credentials for operating system and application front ends?</t>
  </si>
  <si>
    <t>Is there a default or obvious/weak password that may still exist on any applications or devices? If yes, provide details</t>
  </si>
  <si>
    <t>How many users have access on site and do any have Super User/Admin Access for the Front End Software Tools</t>
  </si>
  <si>
    <t>Install Date</t>
  </si>
  <si>
    <t>BMS System Manufacturer(s)</t>
  </si>
  <si>
    <t xml:space="preserve">BMS System Software Version </t>
  </si>
  <si>
    <t>BMS Main Protocol</t>
  </si>
  <si>
    <t xml:space="preserve">BMS Front End Software Brand/Software Name </t>
  </si>
  <si>
    <t>BMS Front End Server Operating System</t>
  </si>
  <si>
    <t>What is the BMS Configuration Tool?</t>
  </si>
  <si>
    <t xml:space="preserve">Browser based connectivity over a http connection? </t>
  </si>
  <si>
    <t>Does the Site have one or more User View Workstation(s)?</t>
  </si>
  <si>
    <t>Does the BMS have a IP Backbone?</t>
  </si>
  <si>
    <t>Is the BMS currently using Google Corpnet/NetOps Managed Network for Communication?</t>
  </si>
  <si>
    <t>Is the BMS integrated with any other systems?</t>
  </si>
  <si>
    <t>Include Firewall / Network Guides related to the BMS from the Manufacturer</t>
  </si>
  <si>
    <t xml:space="preserve">Is the current BMS implementation capable of supporting BACNet? </t>
  </si>
  <si>
    <t>Any Additional Information?</t>
  </si>
  <si>
    <t>Lighting Control System (LCS) Information</t>
  </si>
  <si>
    <t>Response by LCS Vendor / Contractor</t>
  </si>
  <si>
    <t>Details on the LCS System Installed on Google Floors</t>
  </si>
  <si>
    <t>Number of Lighting Control Systems?</t>
  </si>
  <si>
    <t>LCS Server Location</t>
  </si>
  <si>
    <t>Link to LCS Headend Screenshots</t>
  </si>
  <si>
    <t>Was a Tagging Schema used on the LCS?</t>
  </si>
  <si>
    <t>Who manages the LCS that operates the Google spaces?</t>
  </si>
  <si>
    <t>Is there a seperate Landlord LCS? If Yes provide details and Scope of Control</t>
  </si>
  <si>
    <t>Is there an Interface between the Landlord LCS and the Google LCS?</t>
  </si>
  <si>
    <t>If Landlord Manages the LCS, what access does Google have?</t>
  </si>
  <si>
    <t>LCS System Manufacturer(s)</t>
  </si>
  <si>
    <t xml:space="preserve">LCS System Software Version </t>
  </si>
  <si>
    <t>LCS Main Protocol</t>
  </si>
  <si>
    <t xml:space="preserve">LCS Front End Software Brand/Software Name </t>
  </si>
  <si>
    <t>LCS Front End Server Operating System</t>
  </si>
  <si>
    <t>What is the LCS Configuration Tool?</t>
  </si>
  <si>
    <t>Does the LCS have a IP Backbone?</t>
  </si>
  <si>
    <t>Is the LCS currently using Google Corpnet/NetOps Managed Network for Communication?</t>
  </si>
  <si>
    <t>Is the LCS integrated with any other systems?</t>
  </si>
  <si>
    <t>Include Firewall / Network Guides related to the LCS from the Manufacturer</t>
  </si>
  <si>
    <t xml:space="preserve">Is the current LCS implementation capable of supporting BACNet? </t>
  </si>
  <si>
    <t>Energy Management System (EMS) Information</t>
  </si>
  <si>
    <t>Response by EMS Vendor / Contractor</t>
  </si>
  <si>
    <t>Details on the EMS System Installed on Google Floors</t>
  </si>
  <si>
    <t>Number of Energy Management Systems?</t>
  </si>
  <si>
    <t>EMS Server Location</t>
  </si>
  <si>
    <t>Link to EMS Headend Screenshots</t>
  </si>
  <si>
    <t>Was a Tagging Schema used on the EMS?</t>
  </si>
  <si>
    <t>Who manages the EMS that operates the Google spaces?</t>
  </si>
  <si>
    <t>Is there a seperate Landlord EMS? If Yes provide details and Scope of Control</t>
  </si>
  <si>
    <t>Is there an Interface between the Landlord EMS and the Google EMS?</t>
  </si>
  <si>
    <t>If Landlord Manages the EMS, what access does Google have?</t>
  </si>
  <si>
    <t>EMS System Manufacturer(s)</t>
  </si>
  <si>
    <t xml:space="preserve">EMS System Software Version </t>
  </si>
  <si>
    <t>EMS Main Protocol</t>
  </si>
  <si>
    <t xml:space="preserve">EMS Front End Software Brand/Software Name </t>
  </si>
  <si>
    <t>EMS Front End Server Operating System</t>
  </si>
  <si>
    <t>What is the EMS Configuration Tool?</t>
  </si>
  <si>
    <t>Does the EMS have a IP Backbone?</t>
  </si>
  <si>
    <t>Is the EMS currently using Google Corpnet/NetOps Managed Network for Communication?</t>
  </si>
  <si>
    <t>Is the EMS integrated with any other systems?</t>
  </si>
  <si>
    <t>Include Firewall / Network Guides related to the EMS from the Manufacturer</t>
  </si>
  <si>
    <t xml:space="preserve">Is the current EMS implementation capable of supporting BACNet? </t>
  </si>
  <si>
    <t>Lift / Elevators Information</t>
  </si>
  <si>
    <t>Response by Lift/Elevator Vendor / Contractor</t>
  </si>
  <si>
    <t>Details on the Lift / Elevators Installed on Google Floors</t>
  </si>
  <si>
    <t>Number of Lifts / Elevator Systems?</t>
  </si>
  <si>
    <t>Lifts / Elevator Server Location</t>
  </si>
  <si>
    <t>Link to Lifts / Elevator Headend Screenshots</t>
  </si>
  <si>
    <t>Was a Tagging Schema used on the Lifts / Elevator?</t>
  </si>
  <si>
    <t>Who manages the Lifts / Elevator that operates the Google spaces?</t>
  </si>
  <si>
    <t>Is there a seperate Landlord Lifts / Elevator? If Yes provide details and Scope of Control</t>
  </si>
  <si>
    <t>Is there an Interface between the Landlord Lifts / Elevator and the Google Lifts / Elevator?</t>
  </si>
  <si>
    <t>If Landlord Manages the Lifts / Elevator, what access does Google have?</t>
  </si>
  <si>
    <t>Lifts / Elevator System Manufacturer(s)</t>
  </si>
  <si>
    <t xml:space="preserve">Lifts / Elevator System Software Version </t>
  </si>
  <si>
    <t>Lifts / Elevator Main Protocol</t>
  </si>
  <si>
    <t xml:space="preserve">Lifts / Elevator Front End Software Brand/Software Name </t>
  </si>
  <si>
    <t>Lifts / Elevator Front End Server Operating System</t>
  </si>
  <si>
    <t>What is the Lifts / Elevator Configuration Tool?</t>
  </si>
  <si>
    <t>Does the Lifts / Elevator have a IP Backbone?</t>
  </si>
  <si>
    <t>Is the Lifts / Elevator currently using Google Corpnet/NetOps Managed Network for Communication?</t>
  </si>
  <si>
    <t>Is the Lifts / Elevator integrated with any other systems?</t>
  </si>
  <si>
    <t>Include Firewall / Network Guides related to the Lifts / Elevator from the Manufacturer</t>
  </si>
  <si>
    <t xml:space="preserve">Is the current Lifts / Elevator implementation capable of supporting BACNet? </t>
  </si>
  <si>
    <t>Fire Alarm System Information</t>
  </si>
  <si>
    <t>Response by Fire Vendor / Contractor</t>
  </si>
  <si>
    <t>Details on the Fire Alarm System Installed on Google Floors</t>
  </si>
  <si>
    <t>Number of Fire Alarm Systems?</t>
  </si>
  <si>
    <t>Fire Alarm Server Location</t>
  </si>
  <si>
    <t>Link to Fire Alarm Headend Screenshots</t>
  </si>
  <si>
    <t>Was a Tagging Schema used on the Fire Alarm?</t>
  </si>
  <si>
    <t>Who manages the Fire Alarm that operates the Google spaces?</t>
  </si>
  <si>
    <t>Is there a seperate Landlord Fire Alarm? If Yes provide details and Scope of Control</t>
  </si>
  <si>
    <t>Is there an Interface between the Landlord Fire Alarm and the Google Fire Alarm? If yes please state the nature of the connection, the end to end devices and locations in the comments</t>
  </si>
  <si>
    <t>If Landlord Manages the Fire Alarm, what access does Google have?</t>
  </si>
  <si>
    <t>Fire Alarm System Manufacturer(s)</t>
  </si>
  <si>
    <t xml:space="preserve">Fire Alarm System Software Version </t>
  </si>
  <si>
    <t>Fire Alarm Main Protocol</t>
  </si>
  <si>
    <t xml:space="preserve">Fire Alarm Front End Software Brand/Software Name </t>
  </si>
  <si>
    <t>Fire Alarm Front End Server Operating System</t>
  </si>
  <si>
    <t>What is the Fire Alarm Configuration Tool?</t>
  </si>
  <si>
    <t>Does the Fire Alarm have a IP Backbone?</t>
  </si>
  <si>
    <t>Is the Fire Alarm currently using Google Corpnet/NetOps Managed Network for Communication?</t>
  </si>
  <si>
    <t>Is the Fire Alarm integrated with any other systems?</t>
  </si>
  <si>
    <t>Include Firewall / Network Guides related to the Fire Alarm from the Manufacturer</t>
  </si>
  <si>
    <t xml:space="preserve">Is the current Fire Alarm implementation capable of supporting BACNet? </t>
  </si>
  <si>
    <t>Blinds/Drapes Information</t>
  </si>
  <si>
    <t>Response by Blinds/Drapes Vendor / Contractor</t>
  </si>
  <si>
    <t>Details on the Blinds / Drapes System Installed on Google Floors</t>
  </si>
  <si>
    <t>Number of Blinds / Drapes Management Systems?</t>
  </si>
  <si>
    <t>Blinds / Drapes Server Location</t>
  </si>
  <si>
    <t>Link to Blinds / Drapes Headend Screenshots</t>
  </si>
  <si>
    <t>Was a Tagging Schema used on the Blinds / Drapes?</t>
  </si>
  <si>
    <t>Who manages the Blinds / Drapes that operates the Google spaces?</t>
  </si>
  <si>
    <t>Is there a seperate Landlord Blinds / Drapes? If Yes provide details and Scope of Control</t>
  </si>
  <si>
    <t>Is there an Interface between the Landlord Blinds / Drapes and the Google Blinds / Drapes?</t>
  </si>
  <si>
    <t>If Landlord Manages the Blinds / Drapes, what access does Google have?</t>
  </si>
  <si>
    <t>Blinds / Drapes System Manufacturer(s)</t>
  </si>
  <si>
    <t xml:space="preserve">Blinds / Drapes System Version </t>
  </si>
  <si>
    <t>Blinds / Drapes Main Protocol</t>
  </si>
  <si>
    <t xml:space="preserve">Blinds / Drapes Front End Software Brand/Software Name </t>
  </si>
  <si>
    <t>Blinds / Drapes Front End Server Operating System</t>
  </si>
  <si>
    <t>What is the Blinds / Drapes Configuration Tool?</t>
  </si>
  <si>
    <t>Does the Blinds / Drapes have a IP Backbone?</t>
  </si>
  <si>
    <t>Is the Blinds / Drapes currently using Google Corpnet/NetOps Managed Network for Communication?</t>
  </si>
  <si>
    <t>Is the Blinds / Drapes integrated with any other systems?</t>
  </si>
  <si>
    <t>Include Firewall / Network Guides related to the Blinds / Drapes from the Manufacturer</t>
  </si>
  <si>
    <t xml:space="preserve">Is the current Blinds / Drapes implementation capable of supporting BACNet? </t>
  </si>
  <si>
    <t>Google Food (Catering) Information</t>
  </si>
  <si>
    <t>Response by Googlee Food Vendor / Contractor</t>
  </si>
  <si>
    <t>Details on the Google Food System Installed on Google Floors</t>
  </si>
  <si>
    <t>Number of Food / Catering Systems?</t>
  </si>
  <si>
    <t>Food Catering System #1</t>
  </si>
  <si>
    <t>Food Catering System #2</t>
  </si>
  <si>
    <t>Food Catering System #3</t>
  </si>
  <si>
    <t>Food Catering System #4</t>
  </si>
  <si>
    <t>Leanpath Smart Scales</t>
  </si>
  <si>
    <t>Food Catering System Server Location</t>
  </si>
  <si>
    <t>Link to Food / Catering Headend Screenshots</t>
  </si>
  <si>
    <t>Was a Tagging Schema used on the Food / Catering?</t>
  </si>
  <si>
    <t>Who manages the Food / Catering that operates the Google spaces?</t>
  </si>
  <si>
    <t>Food / Catering System Manufacturer(s)</t>
  </si>
  <si>
    <t xml:space="preserve">Food / Catering System Version </t>
  </si>
  <si>
    <t>Food / Catering Main Protocol</t>
  </si>
  <si>
    <t xml:space="preserve">Food / Catering Front End Software Brand/Software Name </t>
  </si>
  <si>
    <t>Food / Catering Front End Server Operating System</t>
  </si>
  <si>
    <t>What is the Food / Catering Configuration Tool?</t>
  </si>
  <si>
    <t>Does the Food / Catering have a IP Backbone?</t>
  </si>
  <si>
    <t>Is the Food / Catering currently using Google Corpnet/NetOps Managed Network for Communication?</t>
  </si>
  <si>
    <t>Is the Food / Catering integrated with any other systems?</t>
  </si>
  <si>
    <t>Include Firewall / Network Guides related to the Food / Catering from the Manufacturer</t>
  </si>
  <si>
    <t xml:space="preserve">Is the current Food / Catering implementation capable of supporting BACNet? </t>
  </si>
  <si>
    <t>Misc. System 1. Information</t>
  </si>
  <si>
    <t>Response by Misc. System Vendor / Contractor</t>
  </si>
  <si>
    <t>Details on the Misc. System 1 Installed on Google Floors</t>
  </si>
  <si>
    <t>Number of Systems?</t>
  </si>
  <si>
    <t>System Server Location</t>
  </si>
  <si>
    <t>Link to System Headend Screenshots</t>
  </si>
  <si>
    <t>Was a Tagging Schema used on the System?</t>
  </si>
  <si>
    <t>Who manages the System that operates the Google spaces?</t>
  </si>
  <si>
    <t>Is there a seperate Landlord System? If Yes provide details and Scope of Control</t>
  </si>
  <si>
    <t>Is there an Interface between the Landlord System and the Google System?</t>
  </si>
  <si>
    <t>If Landlord Manages the System, what access does Google have?</t>
  </si>
  <si>
    <t>System Manufacturer(s)</t>
  </si>
  <si>
    <t xml:space="preserve">System Version </t>
  </si>
  <si>
    <t>Main Protocol</t>
  </si>
  <si>
    <t xml:space="preserve">Front End Software Brand/Software Name </t>
  </si>
  <si>
    <t>Front End Server Operating System</t>
  </si>
  <si>
    <t>What is the Configuration Tool?</t>
  </si>
  <si>
    <t>Does the System have a IP Backbone?</t>
  </si>
  <si>
    <t>Is the System currently using Google Corpnet/NetOps Managed Network for Communication?</t>
  </si>
  <si>
    <t>Is the System integrated with any other systems?</t>
  </si>
  <si>
    <t>Include Firewall / Network Guides related to the System from the Manufacturer</t>
  </si>
  <si>
    <t xml:space="preserve">Is the current System implementation capable of supporting BACNet? </t>
  </si>
  <si>
    <t>Misc. System 2. Information</t>
  </si>
  <si>
    <t>Details on the Misc. System 2 Installed on Google Floors</t>
  </si>
  <si>
    <t>Misc. System 3. Information</t>
  </si>
  <si>
    <t>Details on the Misc. System 3 Installed on Google Floors</t>
  </si>
  <si>
    <t>Device Types</t>
  </si>
  <si>
    <t>Risk &amp; Remediation</t>
  </si>
  <si>
    <t>To be filled by:</t>
  </si>
  <si>
    <t>System Owner</t>
  </si>
  <si>
    <t>DBC (Design), MSI (Construction) for Smart Ready / MEP (Design), GC (Construction)  for Cyber Compliant</t>
  </si>
  <si>
    <t>SME</t>
  </si>
  <si>
    <t>Notes</t>
  </si>
  <si>
    <t>Select the Device lookup from the dropdown to auto populate columns C to J. This will fill in the information as filled in Tab 4-All IP Devices 
(Format: Device Manufacturer-Device Model-Firmware Version )</t>
  </si>
  <si>
    <r>
      <rPr>
        <rFont val="Google Sans"/>
        <b/>
        <i/>
        <color rgb="FFFF0000"/>
        <sz val="11.0"/>
      </rPr>
      <t xml:space="preserve">AUTO POPULATED
</t>
    </r>
    <r>
      <rPr>
        <rFont val="Google Sans"/>
        <b/>
        <i/>
        <color rgb="FF0000FF"/>
        <sz val="11.0"/>
      </rPr>
      <t>(DO NOT EDIT THIS FIELD)</t>
    </r>
  </si>
  <si>
    <r>
      <rPr>
        <rFont val="Google Sans"/>
        <b/>
        <i/>
        <color rgb="FFFF0000"/>
        <sz val="11.0"/>
      </rPr>
      <t xml:space="preserve">AUTO POPULATED
</t>
    </r>
    <r>
      <rPr>
        <rFont val="Google Sans"/>
        <b/>
        <i/>
        <color rgb="FF0000FF"/>
        <sz val="11.0"/>
      </rPr>
      <t>(DO NOT EDIT THIS FIELD)</t>
    </r>
  </si>
  <si>
    <r>
      <rPr>
        <rFont val="Google Sans"/>
        <b/>
        <i/>
        <color rgb="FFFF0000"/>
        <sz val="11.0"/>
      </rPr>
      <t xml:space="preserve">AUTO POPULATED
</t>
    </r>
    <r>
      <rPr>
        <rFont val="Google Sans"/>
        <b/>
        <i/>
        <color rgb="FF0000FF"/>
        <sz val="11.0"/>
      </rPr>
      <t>(DO NOT EDIT THIS FIELD)</t>
    </r>
  </si>
  <si>
    <r>
      <rPr>
        <rFont val="Google Sans"/>
        <b/>
        <i/>
        <color rgb="FFFF0000"/>
        <sz val="11.0"/>
      </rPr>
      <t xml:space="preserve">AUTO POPULATED
</t>
    </r>
    <r>
      <rPr>
        <rFont val="Google Sans"/>
        <b/>
        <i/>
        <color rgb="FF0000FF"/>
        <sz val="11.0"/>
      </rPr>
      <t>(DO NOT EDIT THIS FIELD)</t>
    </r>
  </si>
  <si>
    <r>
      <rPr>
        <rFont val="Google Sans"/>
        <b/>
        <i/>
        <color rgb="FFFF0000"/>
        <sz val="11.0"/>
      </rPr>
      <t xml:space="preserve">Specify the manufacturers part number for the device, this should be available from the datasheet / part number list.
</t>
    </r>
    <r>
      <rPr>
        <rFont val="Google Sans"/>
        <b/>
        <i/>
        <color rgb="FF0000FF"/>
        <sz val="11.0"/>
      </rPr>
      <t>(e.g. 80054180)</t>
    </r>
  </si>
  <si>
    <r>
      <rPr>
        <rFont val="Google Sans"/>
        <b/>
        <i/>
        <color rgb="FFFF0000"/>
        <sz val="11.0"/>
      </rPr>
      <t xml:space="preserve">Specify the communication speed of the device
</t>
    </r>
    <r>
      <rPr>
        <rFont val="Google Sans"/>
        <b/>
        <i/>
        <color rgb="FF0000FF"/>
        <sz val="11.0"/>
      </rPr>
      <t>(e.g. 100MB/1G/10G full/half duplex)</t>
    </r>
  </si>
  <si>
    <r>
      <rPr>
        <rFont val="Google Sans"/>
        <b/>
        <i/>
        <color rgb="FFFF0000"/>
        <sz val="11.0"/>
      </rPr>
      <t xml:space="preserve">Specify if there is a requirement for a license for the devices and documents the details along with a screenshot
</t>
    </r>
    <r>
      <rPr>
        <rFont val="Google Sans"/>
        <b/>
        <i/>
        <color rgb="FF0000FF"/>
        <sz val="11.0"/>
      </rPr>
      <t>(e.g. Controls Software Licensing Details)</t>
    </r>
  </si>
  <si>
    <r>
      <rPr>
        <rFont val="Google Sans"/>
        <b/>
        <i/>
        <color rgb="FFFF0000"/>
        <sz val="11.0"/>
      </rPr>
      <t xml:space="preserve">Provide link to the datasheet on Google Drive.
(Coordinate with REWS PM for the folder location and access)
</t>
    </r>
    <r>
      <rPr>
        <rFont val="Google Sans"/>
        <b/>
        <i/>
        <color rgb="FF0000FF"/>
        <sz val="11.0"/>
      </rPr>
      <t>(e.g. Link to Datasheet)</t>
    </r>
  </si>
  <si>
    <r>
      <rPr>
        <rFont val="Google Sans"/>
        <b/>
        <i/>
        <color rgb="FFFF0000"/>
        <sz val="11.0"/>
      </rPr>
      <t xml:space="preserve">Provide link to the user and technical manuals on Google Drive
(Coordinate with REWS PM for the folder location and access)
</t>
    </r>
    <r>
      <rPr>
        <rFont val="Google Sans"/>
        <b/>
        <i/>
        <color rgb="FF0000FF"/>
        <sz val="11.0"/>
      </rPr>
      <t>(e.g. Link to User / Technical Manual)</t>
    </r>
  </si>
  <si>
    <r>
      <rPr>
        <rFont val="Google Sans"/>
        <b/>
        <i/>
        <color rgb="FFFF0000"/>
        <sz val="11.0"/>
      </rPr>
      <t xml:space="preserve">Specify all the inbound protocols, source port, and the source required by the device.
</t>
    </r>
    <r>
      <rPr>
        <rFont val="Google Sans"/>
        <b/>
        <i/>
        <color rgb="FF0000FF"/>
        <sz val="11.0"/>
      </rPr>
      <t>(e.g. UDP, 47808, Controller)</t>
    </r>
  </si>
  <si>
    <r>
      <rPr>
        <rFont val="Google Sans"/>
        <b/>
        <i/>
        <color rgb="FFFF0000"/>
        <sz val="11.0"/>
      </rPr>
      <t xml:space="preserve">Specify all the outbound protocols, destination ports, and destinations used by the device
</t>
    </r>
    <r>
      <rPr>
        <rFont val="Google Sans"/>
        <b/>
        <i/>
        <color rgb="FF0000FF"/>
        <sz val="11.0"/>
      </rPr>
      <t>(e.g. TCP, 433, mqtt.google.com)</t>
    </r>
  </si>
  <si>
    <r>
      <rPr>
        <rFont val="Google Sans"/>
        <b/>
        <i/>
        <color rgb="FFFF0000"/>
        <sz val="11.0"/>
      </rPr>
      <t xml:space="preserve">Specify if any services have been currently enabled on the firmware for the project
</t>
    </r>
    <r>
      <rPr>
        <rFont val="Google Sans"/>
        <b/>
        <i/>
        <color rgb="FF0000FF"/>
        <sz val="11.0"/>
      </rPr>
      <t>(e.g. SMTP/25)</t>
    </r>
  </si>
  <si>
    <r>
      <rPr>
        <rFont val="Google Sans"/>
        <b/>
        <i/>
        <color rgb="FFFF0000"/>
        <sz val="11.0"/>
      </rPr>
      <t xml:space="preserve">Specify if any services have been currently disabled on the firmware for the project
</t>
    </r>
    <r>
      <rPr>
        <rFont val="Google Sans"/>
        <b/>
        <i/>
        <color rgb="FF0000FF"/>
        <sz val="11.0"/>
      </rPr>
      <t>(e.g. Telnet/23)</t>
    </r>
  </si>
  <si>
    <r>
      <rPr>
        <rFont val="Google Sans"/>
        <b/>
        <i/>
        <color rgb="FFFF0000"/>
        <sz val="11.0"/>
      </rPr>
      <t xml:space="preserve">Specify if the device has encountered any issues during commissioning.
</t>
    </r>
    <r>
      <rPr>
        <rFont val="Google Sans"/>
        <b/>
        <i/>
        <color rgb="FF0000FF"/>
        <sz val="11.0"/>
      </rPr>
      <t xml:space="preserve">(e.g. The device uses proprietary protocols or device version has been superseded by a new revision) </t>
    </r>
  </si>
  <si>
    <t>Specify if there is any resolution plan for the known issues by the manufacturer.
(E.g. The known issue will be captured under the manufacturers roadmap i.e. NTP will be available in Q3)</t>
  </si>
  <si>
    <t>Provide any comments if applicable.</t>
  </si>
  <si>
    <t>Specify the device risk level based on the criteria provided</t>
  </si>
  <si>
    <t>Device Type Lookup</t>
  </si>
  <si>
    <t>Device / Asset Manufacturer</t>
  </si>
  <si>
    <t>Device / Asset Model (manufacturer)</t>
  </si>
  <si>
    <t>Manufacturer Part Number</t>
  </si>
  <si>
    <t>Communication Speed
(10/100/1G)</t>
  </si>
  <si>
    <t>License Info</t>
  </si>
  <si>
    <t>Technical Data Sheet</t>
  </si>
  <si>
    <t>User / Technical Manuals</t>
  </si>
  <si>
    <t>Inbound Protocol, Source Port &amp; Source</t>
  </si>
  <si>
    <t>Outbound Protocol, Destination Port &amp; Destination</t>
  </si>
  <si>
    <t>Which services are currently enabled &amp; port number on Firmware</t>
  </si>
  <si>
    <t>Which services are currently disabled &amp; port number on Firmware</t>
  </si>
  <si>
    <t>Known issues</t>
  </si>
  <si>
    <t>Known Issue Resolution</t>
  </si>
  <si>
    <t>Device Risk level</t>
  </si>
  <si>
    <t>ALC-G5CE</t>
  </si>
  <si>
    <t>G5CE</t>
  </si>
  <si>
    <t>10/100 Mb Half/Full Duplex</t>
  </si>
  <si>
    <t>ALC-OFHI</t>
  </si>
  <si>
    <t>OFHI</t>
  </si>
  <si>
    <t>SAUTER-EYGT103F001</t>
  </si>
  <si>
    <t>EY-GT103F001</t>
  </si>
  <si>
    <t>SAUTER-EYRC504FXXX</t>
  </si>
  <si>
    <t>EY-RC504FXXX</t>
  </si>
  <si>
    <t>TRANE-TRACERSC</t>
  </si>
  <si>
    <t>TRACER SC+</t>
  </si>
  <si>
    <t>TRIDIUM-JACE8000</t>
  </si>
  <si>
    <t>JACE 8000</t>
  </si>
  <si>
    <t>NEPTRONIC-EVCBSERIES</t>
  </si>
  <si>
    <t>AQUAGEN-EVCBSERIES</t>
  </si>
  <si>
    <t>AQUAGEN-UWM220DN50DN500</t>
  </si>
  <si>
    <t>DAIKIN-FXZQ32BVM6</t>
  </si>
  <si>
    <t>EATON-93PR</t>
  </si>
  <si>
    <t>EATON-R3G630RB3203</t>
  </si>
  <si>
    <t>SCHNEIDER-PM2200</t>
  </si>
  <si>
    <t>NICOTRA-DDMP</t>
  </si>
  <si>
    <t>PVRCONTROLS-CRC202000</t>
  </si>
  <si>
    <t>SCHNEIDER-EASYLOGICEM6436HRS</t>
  </si>
  <si>
    <t>SCHNEIDER-IEM3000</t>
  </si>
  <si>
    <t>SELECCONTROLS-FLEXYSRAIL</t>
  </si>
  <si>
    <t>DAIKIN-DTA116A51</t>
  </si>
  <si>
    <t>General Device Info</t>
  </si>
  <si>
    <t>QR Code Info</t>
  </si>
  <si>
    <t>Install Info</t>
  </si>
  <si>
    <t>Firmware Version</t>
  </si>
  <si>
    <t>Protocol Info</t>
  </si>
  <si>
    <t>BACnet Information</t>
  </si>
  <si>
    <t>ModBus Information</t>
  </si>
  <si>
    <t>LONWorks Information</t>
  </si>
  <si>
    <t>Any Other Protocol</t>
  </si>
  <si>
    <t>Network Information</t>
  </si>
  <si>
    <t>IP Network Information</t>
  </si>
  <si>
    <t>GEN Network Switch Information</t>
  </si>
  <si>
    <t>IP Peer - Peer Comms</t>
  </si>
  <si>
    <t>MQTT</t>
  </si>
  <si>
    <t>Serial Comms</t>
  </si>
  <si>
    <t>Connection Type</t>
  </si>
  <si>
    <t>Condition Assessment</t>
  </si>
  <si>
    <t>Qualification</t>
  </si>
  <si>
    <t>Photos</t>
  </si>
  <si>
    <t>Owner</t>
  </si>
  <si>
    <t>Not to be filled</t>
  </si>
  <si>
    <t>MSI (Smart Ready) / System Owner (Cyber Compliant)</t>
  </si>
  <si>
    <t xml:space="preserve">MSI (Smart Ready) / System Owner (Cyber Compliant)			</t>
  </si>
  <si>
    <t>SME - Info via CorpEng BASE after Device Enrolment (GUTS Ticket)</t>
  </si>
  <si>
    <r>
      <rPr>
        <rFont val="Google Sans"/>
        <b/>
        <color rgb="FF000000"/>
        <sz val="11.0"/>
      </rPr>
      <t>SME - Info via EFIM after Device Enrollment (GUTS Ticket) 
[</t>
    </r>
    <r>
      <rPr>
        <rFont val="Google Sans"/>
        <b/>
        <color rgb="FF1155CC"/>
        <sz val="11.0"/>
        <u/>
      </rPr>
      <t>C39 Overview</t>
    </r>
    <r>
      <rPr>
        <rFont val="Google Sans"/>
        <b/>
        <color rgb="FF000000"/>
        <sz val="11.0"/>
      </rPr>
      <t>]</t>
    </r>
  </si>
  <si>
    <t>SME - Imported from GTE Dashboard</t>
  </si>
  <si>
    <t>FM</t>
  </si>
  <si>
    <t>DBRS Surveyor</t>
  </si>
  <si>
    <r>
      <rPr>
        <rFont val="Google Sans"/>
        <b/>
        <i/>
        <color rgb="FFFF0000"/>
        <sz val="10.0"/>
      </rPr>
      <t xml:space="preserve">Specify the system the device is used for.
</t>
    </r>
    <r>
      <rPr>
        <rFont val="Google Sans"/>
        <b/>
        <i/>
        <color rgb="FF0000FF"/>
        <sz val="10.0"/>
      </rPr>
      <t>(E.g. From Dropdown)</t>
    </r>
  </si>
  <si>
    <r>
      <rPr>
        <rFont val="Google Sans"/>
        <b/>
        <i/>
        <color rgb="FFFF0000"/>
        <sz val="10.0"/>
      </rPr>
      <t xml:space="preserve">Specify the asset name as defined in the BOS Naming and Labeling Standard 
</t>
    </r>
    <r>
      <rPr>
        <rFont val="Google Sans"/>
        <b/>
        <i/>
        <color rgb="FF0000FF"/>
        <sz val="10.0"/>
      </rPr>
      <t>(E.g. DDC-1, HLI-2 etc.)</t>
    </r>
  </si>
  <si>
    <r>
      <rPr>
        <rFont val="Google Sans"/>
        <color rgb="FF222222"/>
        <sz val="11.0"/>
      </rPr>
      <t xml:space="preserve">If asset name cannot be assigned in the device due to technical or regional reasons, or if this is an audit, specify the user defined asset name as recorded on the device or software 
</t>
    </r>
    <r>
      <rPr>
        <rFont val="Google Sans"/>
        <color rgb="FF0000FF"/>
        <sz val="11.0"/>
      </rPr>
      <t>(E.g. as entered on the device or in the software etc.)</t>
    </r>
  </si>
  <si>
    <r>
      <rPr>
        <rFont val="Google Sans"/>
        <b/>
        <i/>
        <color rgb="FFFF0000"/>
        <sz val="10.0"/>
      </rPr>
      <t xml:space="preserve">Specify the manufacturer of the device.
</t>
    </r>
    <r>
      <rPr>
        <rFont val="Google Sans"/>
        <b/>
        <i/>
        <color rgb="FF0000FF"/>
        <sz val="10.0"/>
      </rPr>
      <t>(E.g. Tridium, EasyIO, Schneider)</t>
    </r>
  </si>
  <si>
    <r>
      <rPr>
        <rFont val="Google Sans"/>
        <b/>
        <i/>
        <color rgb="FFFF0000"/>
        <sz val="10.0"/>
      </rPr>
      <t xml:space="preserve">Specify the model type / number of the device.
</t>
    </r>
    <r>
      <rPr>
        <rFont val="Google Sans"/>
        <b/>
        <i/>
        <color rgb="FF0000FF"/>
        <sz val="10.0"/>
      </rPr>
      <t>(E.g. JACE8000, FS-32, ASP)</t>
    </r>
  </si>
  <si>
    <r>
      <rPr>
        <rFont val="Google Sans"/>
        <b/>
        <i/>
        <color rgb="FFFF0000"/>
        <sz val="10.0"/>
      </rPr>
      <t xml:space="preserve">Specify the Asset Rank
</t>
    </r>
    <r>
      <rPr>
        <rFont val="Google Sans"/>
        <b/>
        <i/>
        <color rgb="FF0000FF"/>
        <sz val="10.0"/>
      </rPr>
      <t>(e.g. Low, Standard, 
Critical, Life Safety)</t>
    </r>
  </si>
  <si>
    <r>
      <rPr>
        <rFont val="Google Sans"/>
        <b/>
        <i/>
        <color rgb="FFFF0000"/>
        <sz val="10.0"/>
      </rPr>
      <t xml:space="preserve">Specify the communication type
</t>
    </r>
    <r>
      <rPr>
        <rFont val="Google Sans"/>
        <b/>
        <i/>
        <color rgb="FF0000FF"/>
        <sz val="10.0"/>
      </rPr>
      <t>(e.g. IP or serial i.e. RS485)</t>
    </r>
  </si>
  <si>
    <r>
      <rPr>
        <rFont val="Google Sans"/>
        <b/>
        <i/>
        <color rgb="FFFF0000"/>
        <sz val="10.0"/>
      </rPr>
      <t xml:space="preserve">Specify the function the device is used for.
</t>
    </r>
    <r>
      <rPr>
        <rFont val="Google Sans"/>
        <b/>
        <i/>
        <color rgb="FF0000FF"/>
        <sz val="10.0"/>
      </rPr>
      <t xml:space="preserve">(e.g. FCU, AHU, LTGW, etc.)
</t>
    </r>
    <r>
      <rPr>
        <rFont val="Google Sans"/>
        <b/>
        <i/>
        <color rgb="FFFF0000"/>
        <sz val="10.0"/>
      </rPr>
      <t xml:space="preserve">for example if a DDC controller was on a FCU, enter FCU. See this </t>
    </r>
    <r>
      <rPr>
        <rFont val="Google Sans"/>
        <b/>
        <i/>
        <color rgb="FF1155CC"/>
        <sz val="10.0"/>
        <u/>
      </rPr>
      <t>link</t>
    </r>
  </si>
  <si>
    <r>
      <rPr>
        <rFont val="Google Sans"/>
        <b/>
        <i/>
        <color rgb="FFFF0000"/>
        <sz val="10.0"/>
      </rPr>
      <t xml:space="preserve">Specify the floor on which the device is installed.
</t>
    </r>
    <r>
      <rPr>
        <rFont val="Google Sans"/>
        <b/>
        <i/>
        <color rgb="FF0000FF"/>
        <sz val="10.0"/>
      </rPr>
      <t>(E.g. 1, 2, 3)</t>
    </r>
  </si>
  <si>
    <r>
      <rPr>
        <rFont val="Google Sans"/>
        <b/>
        <i/>
        <color rgb="FFFF0000"/>
        <sz val="10.0"/>
      </rPr>
      <t xml:space="preserve">Specify the location of the Device based on the REWS ID in FloorScope.
</t>
    </r>
    <r>
      <rPr>
        <rFont val="Google Sans"/>
        <b/>
        <i/>
        <color rgb="FF0000FF"/>
        <sz val="10.0"/>
      </rPr>
      <t xml:space="preserve">(E.g. 101, B155, etc.) </t>
    </r>
    <r>
      <rPr>
        <rFont val="Google Sans"/>
        <b/>
        <i/>
        <color rgb="FFFF0000"/>
        <sz val="10.0"/>
      </rPr>
      <t>or if on New Construction, the Construction ID</t>
    </r>
  </si>
  <si>
    <r>
      <rPr>
        <rFont val="Google Sans"/>
        <b/>
        <i/>
        <color rgb="FFFF0000"/>
        <sz val="10.0"/>
      </rPr>
      <t xml:space="preserve">Specify the control panel reference for the device if applicable.
</t>
    </r>
    <r>
      <rPr>
        <rFont val="Google Sans"/>
        <b/>
        <i/>
        <color rgb="FF0000FF"/>
        <sz val="10.0"/>
      </rPr>
      <t>(E.g. CTRP-1)</t>
    </r>
  </si>
  <si>
    <r>
      <rPr>
        <rFont val="Google Sans"/>
        <b/>
        <i/>
        <color rgb="FFFF0000"/>
        <sz val="10.0"/>
      </rPr>
      <t xml:space="preserve">Enter the serial number from the device </t>
    </r>
    <r>
      <rPr>
        <rFont val="Google Sans"/>
        <b/>
        <i/>
        <color rgb="FF0000FF"/>
        <sz val="10.0"/>
      </rPr>
      <t>(E.g. S/N 1524342)</t>
    </r>
  </si>
  <si>
    <r>
      <rPr>
        <rFont val="Google Sans"/>
        <b/>
        <i/>
        <color rgb="FFFF0000"/>
        <sz val="10.0"/>
      </rPr>
      <t xml:space="preserve">Perform a check to confirm status (Including end to end checks to headend.
</t>
    </r>
    <r>
      <rPr>
        <rFont val="Google Sans"/>
        <b/>
        <i/>
        <color rgb="FF0000FF"/>
        <sz val="10.0"/>
      </rPr>
      <t>(E.g.Active, Retired)</t>
    </r>
  </si>
  <si>
    <r>
      <rPr>
        <rFont val="Google Sans"/>
        <b/>
        <i/>
        <color rgb="FFFF0000"/>
        <sz val="10.0"/>
      </rPr>
      <t xml:space="preserve">Specify if QR Code has been applied to the Device
</t>
    </r>
    <r>
      <rPr>
        <rFont val="Google Sans"/>
        <b/>
        <i/>
        <color rgb="FF0000FF"/>
        <sz val="10.0"/>
      </rPr>
      <t xml:space="preserve">(E.g. Yes) </t>
    </r>
  </si>
  <si>
    <r>
      <rPr>
        <rFont val="Google Sans"/>
        <b/>
        <i/>
        <color rgb="FFFF0000"/>
        <sz val="10.0"/>
      </rPr>
      <t xml:space="preserve">Human readable QR code that gets printed on the QR code label
 prefix_AssetName_suffix where prefix is optional site name and suffix is optional FM description
</t>
    </r>
    <r>
      <rPr>
        <rFont val="Google Sans"/>
        <b/>
        <i/>
        <color rgb="FF0000FF"/>
        <sz val="10.0"/>
      </rPr>
      <t xml:space="preserve">(E.g. DDC-1_1-Boilers, LTHW-3_1-3) </t>
    </r>
  </si>
  <si>
    <r>
      <rPr>
        <rFont val="Google Sans"/>
        <b/>
        <i/>
        <color rgb="FFFF0000"/>
        <sz val="10.0"/>
      </rPr>
      <t xml:space="preserve">Specify the GUID. 
examples -
If BIM:
</t>
    </r>
    <r>
      <rPr>
        <rFont val="Google Sans"/>
        <b/>
        <i/>
        <color rgb="FF0000FF"/>
        <sz val="10.0"/>
      </rPr>
      <t>ifc://04aEp5ymD_$u5IxhJN2aGi</t>
    </r>
    <r>
      <rPr>
        <rFont val="Google Sans"/>
        <b/>
        <i/>
        <color rgb="FFFF0000"/>
        <sz val="10.0"/>
      </rPr>
      <t xml:space="preserve">
If not BIM:
</t>
    </r>
    <r>
      <rPr>
        <rFont val="Google Sans"/>
        <b/>
        <i/>
        <color rgb="FF0000FF"/>
        <sz val="10.0"/>
      </rPr>
      <t xml:space="preserve">uuid://d3501378-dd50-47c5-ae26-806726e1b749
</t>
    </r>
    <r>
      <rPr>
        <rFont val="Google Sans"/>
        <b/>
        <i/>
        <color rgb="FFFF0000"/>
        <sz val="10.0"/>
      </rPr>
      <t>Can be generated using the menu Add-Ons &gt; Insert &gt; Insert GUID</t>
    </r>
  </si>
  <si>
    <t>Auto Generated</t>
  </si>
  <si>
    <r>
      <rPr>
        <rFont val="Google Sans"/>
        <b/>
        <i/>
        <color rgb="FFFF0000"/>
        <sz val="10.0"/>
      </rPr>
      <t xml:space="preserve">Please enter the installation Vendors name if known
</t>
    </r>
    <r>
      <rPr>
        <rFont val="Google Sans"/>
        <b/>
        <i/>
        <color rgb="FF0000FF"/>
        <sz val="10.0"/>
      </rPr>
      <t xml:space="preserve">(E.g. ACME controls)
</t>
    </r>
  </si>
  <si>
    <r>
      <rPr>
        <rFont val="Google Sans"/>
        <b/>
        <i/>
        <color rgb="FFFF0000"/>
        <sz val="10.0"/>
      </rPr>
      <t xml:space="preserve">Enter the Start Date for Warranty (PC date for New Construction) Or  Install Date if no Warranty
 </t>
    </r>
    <r>
      <rPr>
        <rFont val="Google Sans"/>
        <b/>
        <i/>
        <color rgb="FF0000FF"/>
        <sz val="10.0"/>
      </rPr>
      <t>(Use US Format mm/dd/yy)</t>
    </r>
  </si>
  <si>
    <r>
      <rPr>
        <rFont val="Google Sans"/>
        <b/>
        <i/>
        <color rgb="FFFF0000"/>
        <sz val="10.0"/>
      </rPr>
      <t xml:space="preserve">Enter the end Date for Warranty
</t>
    </r>
    <r>
      <rPr>
        <rFont val="Google Sans"/>
        <b/>
        <i/>
        <color rgb="FF0000FF"/>
        <sz val="10.0"/>
      </rPr>
      <t>(Use US Format mm/dd/yy)</t>
    </r>
  </si>
  <si>
    <r>
      <rPr>
        <rFont val="Google Sans"/>
        <b/>
        <i/>
        <color rgb="FFFF0000"/>
        <sz val="11.0"/>
      </rPr>
      <t xml:space="preserve">Specify the software version of the device
</t>
    </r>
    <r>
      <rPr>
        <rFont val="Google Sans"/>
        <b/>
        <i/>
        <color rgb="FF0000FF"/>
        <sz val="11.0"/>
      </rPr>
      <t>(e.g. xxxxxx)</t>
    </r>
  </si>
  <si>
    <r>
      <rPr>
        <rFont val="Google Sans"/>
        <b/>
        <i/>
        <color rgb="FFFF0000"/>
        <sz val="10.0"/>
      </rPr>
      <t xml:space="preserve">Specify the Default Firmware Version of the device when installed on the project.
</t>
    </r>
    <r>
      <rPr>
        <rFont val="Google Sans"/>
        <b/>
        <i/>
        <color rgb="FF0000FF"/>
        <sz val="10.0"/>
      </rPr>
      <t>(E.g. 2.3.0.1)</t>
    </r>
  </si>
  <si>
    <r>
      <rPr>
        <rFont val="Google Sans"/>
        <b/>
        <i/>
        <color rgb="FFFF0000"/>
        <sz val="10.0"/>
      </rPr>
      <t xml:space="preserve">Specify the Upgraded Firmware Version of the device if upgraded during the project.
</t>
    </r>
    <r>
      <rPr>
        <rFont val="Google Sans"/>
        <b/>
        <i/>
        <color rgb="FF0000FF"/>
        <sz val="10.0"/>
      </rPr>
      <t>(Note: Any new firmware requires qualification)
(E.g. 2.3.2.5)</t>
    </r>
  </si>
  <si>
    <r>
      <rPr>
        <rFont val="Google Sans"/>
        <b/>
        <i/>
        <color rgb="FFFF0000"/>
        <sz val="10.0"/>
      </rPr>
      <t xml:space="preserve">Specify the control protocol(s) used by the device.
</t>
    </r>
    <r>
      <rPr>
        <rFont val="Google Sans"/>
        <b/>
        <i/>
        <color rgb="FF0000FF"/>
        <sz val="10.0"/>
      </rPr>
      <t xml:space="preserve">(E.g. BACnet IP &amp; MQTT)
</t>
    </r>
    <r>
      <rPr>
        <rFont val="Google Sans"/>
        <b/>
        <i/>
        <color rgb="FFFF0000"/>
        <sz val="10.0"/>
      </rPr>
      <t>If there are multiple protocols used by the Device, add them to the comments column</t>
    </r>
  </si>
  <si>
    <r>
      <rPr>
        <rFont val="Google Sans"/>
        <b/>
        <i/>
        <color rgb="FFFF0000"/>
        <sz val="10.0"/>
      </rPr>
      <t xml:space="preserve">Specify the BACnet Address of the device if the device supports BACnet Protocol.
</t>
    </r>
    <r>
      <rPr>
        <rFont val="Google Sans"/>
        <b/>
        <i/>
        <color rgb="FF0000FF"/>
        <sz val="10.0"/>
      </rPr>
      <t>(E.g. 123456)</t>
    </r>
  </si>
  <si>
    <t>Specify the Network Number configured for the device if the device supports BACnet Protocol.
(E.g. 1)
(Note: This should be as per manufacturer's guidance))</t>
  </si>
  <si>
    <r>
      <rPr>
        <rFont val="Google Sans"/>
        <b/>
        <i/>
        <color rgb="FFFF0000"/>
        <sz val="10.0"/>
      </rPr>
      <t xml:space="preserve">Specify the Modbus ID of the device if the device supports Modbus Protocol.
</t>
    </r>
    <r>
      <rPr>
        <rFont val="Google Sans"/>
        <b/>
        <i/>
        <color rgb="FF0000FF"/>
        <sz val="10.0"/>
      </rPr>
      <t>(E.g. 10,11,12)</t>
    </r>
  </si>
  <si>
    <r>
      <rPr>
        <rFont val="Google Sans"/>
        <b/>
        <i/>
        <color rgb="FFFF0000"/>
        <sz val="10.0"/>
      </rPr>
      <t xml:space="preserve">Specify the Neuron ID of the device if the device supports LONWorks Protocol.
</t>
    </r>
    <r>
      <rPr>
        <rFont val="Google Sans"/>
        <b/>
        <i/>
        <color rgb="FF0000FF"/>
        <sz val="10.0"/>
      </rPr>
      <t>(E.g. 04ab345dfk97)</t>
    </r>
  </si>
  <si>
    <t>Specify the Device ID for devices such as DALI, MBUS, BACNet MSTP "MAC" Address or any other ID that would be useful to record. Max 30 Characters.</t>
  </si>
  <si>
    <r>
      <rPr>
        <rFont val="Google Sans"/>
        <b/>
        <i/>
        <color rgb="FFFF0000"/>
      </rPr>
      <t xml:space="preserve">Enter Corphosting State
</t>
    </r>
    <r>
      <rPr>
        <rFont val="Google Sans"/>
        <b/>
        <i/>
        <color rgb="FF0000FF"/>
      </rPr>
      <t xml:space="preserve">Corphosted: </t>
    </r>
    <r>
      <rPr>
        <rFont val="Google Sans"/>
        <b/>
        <i/>
        <color rgb="FFFF0000"/>
      </rPr>
      <t xml:space="preserve">Corphosting complete
</t>
    </r>
    <r>
      <rPr>
        <rFont val="Google Sans"/>
        <b/>
        <i/>
        <color rgb="FF0000FF"/>
      </rPr>
      <t xml:space="preserve">None:- </t>
    </r>
    <r>
      <rPr>
        <rFont val="Google Sans"/>
        <b/>
        <i/>
        <color rgb="FFFF0000"/>
      </rPr>
      <t xml:space="preserve">No Corphosting Required
</t>
    </r>
    <r>
      <rPr>
        <rFont val="Google Sans"/>
        <b/>
        <i/>
        <color rgb="FF0000FF"/>
      </rPr>
      <t xml:space="preserve">Add: </t>
    </r>
    <r>
      <rPr>
        <rFont val="Google Sans"/>
        <b/>
        <i/>
        <color rgb="FFFF0000"/>
      </rPr>
      <t xml:space="preserve">create a Corphosting request
</t>
    </r>
    <r>
      <rPr>
        <rFont val="Google Sans"/>
        <b/>
        <i/>
        <color rgb="FF0000FF"/>
      </rPr>
      <t xml:space="preserve">Modify: </t>
    </r>
    <r>
      <rPr>
        <rFont val="Google Sans"/>
        <b/>
        <i/>
        <color rgb="FFFF0000"/>
      </rPr>
      <t xml:space="preserve">Corphosting needs changing
</t>
    </r>
    <r>
      <rPr>
        <rFont val="Google Sans"/>
        <b/>
        <i/>
        <color rgb="FF0000FF"/>
      </rPr>
      <t xml:space="preserve">Delete: </t>
    </r>
    <r>
      <rPr>
        <rFont val="Google Sans"/>
        <b/>
        <i/>
        <color rgb="FFFF0000"/>
      </rPr>
      <t>Remove Corphosting</t>
    </r>
  </si>
  <si>
    <r>
      <rPr>
        <rFont val="Google Sans"/>
        <b/>
        <i/>
        <color rgb="FFFF0000"/>
        <sz val="10.0"/>
      </rPr>
      <t xml:space="preserve">Specify the Ethernet MAC Address of the device.
</t>
    </r>
    <r>
      <rPr>
        <rFont val="Google Sans"/>
        <b/>
        <i/>
        <color rgb="FF0000FF"/>
        <sz val="10.0"/>
      </rPr>
      <t xml:space="preserve">(E.g. 1A:2B:3C:4D:5E:6F)
</t>
    </r>
    <r>
      <rPr>
        <rFont val="Google Sans"/>
        <b/>
        <i/>
        <color rgb="FFFF0000"/>
        <sz val="10.0"/>
      </rPr>
      <t>**Required for hosting the device on Google GEN network**</t>
    </r>
  </si>
  <si>
    <r>
      <rPr>
        <rFont val="Google Sans"/>
        <b/>
        <i/>
        <color rgb="FFFF0000"/>
        <sz val="10.0"/>
      </rPr>
      <t xml:space="preserve">HostName
</t>
    </r>
    <r>
      <rPr>
        <rFont val="Google Sans"/>
        <b/>
        <i/>
        <color rgb="FF0000FF"/>
        <sz val="10.0"/>
      </rPr>
      <t>Auto Generated from Building Name and QR Code Asset Name</t>
    </r>
  </si>
  <si>
    <r>
      <rPr>
        <rFont val="Google Sans"/>
        <b/>
        <i/>
        <color rgb="FFFF0000"/>
        <sz val="10.0"/>
      </rPr>
      <t xml:space="preserve">Specify the Private IP Address used for commissioning the device on a private network.
</t>
    </r>
    <r>
      <rPr>
        <rFont val="Google Sans"/>
        <b/>
        <i/>
        <color rgb="FF0000FF"/>
        <sz val="10.0"/>
      </rPr>
      <t>(E.g. 192.168.10.1)</t>
    </r>
  </si>
  <si>
    <r>
      <rPr>
        <rFont val="Google Sans"/>
        <b/>
        <i/>
        <color rgb="FFFF0000"/>
        <sz val="10.0"/>
      </rPr>
      <t xml:space="preserve">Specify the Private Subnet Mask used for commissioning the device on a private network.
</t>
    </r>
    <r>
      <rPr>
        <rFont val="Google Sans"/>
        <b/>
        <i/>
        <color rgb="FF0000FF"/>
        <sz val="10.0"/>
      </rPr>
      <t>(E.g. 255.255.255.0)</t>
    </r>
  </si>
  <si>
    <r>
      <rPr>
        <rFont val="Google Sans"/>
        <b/>
        <i/>
        <color rgb="FFFF0000"/>
        <sz val="10.0"/>
      </rPr>
      <t xml:space="preserve">Specify the default gateway used for commissioning the device on a private network.
</t>
    </r>
    <r>
      <rPr>
        <rFont val="Google Sans"/>
        <b/>
        <i/>
        <color rgb="FF0000FF"/>
        <sz val="10.0"/>
      </rPr>
      <t>(E.g. 192.168.0.1)</t>
    </r>
  </si>
  <si>
    <r>
      <rPr>
        <rFont val="Google Sans"/>
        <b/>
        <i/>
        <color rgb="FFFF0000"/>
        <sz val="10.0"/>
      </rPr>
      <t xml:space="preserve">This information will be supplied by EFIM-Ops when the devices are provisioned.
DHCP assigned Corp IP Address should be entered here. Devices should not be assigned a static IP address
</t>
    </r>
    <r>
      <rPr>
        <rFont val="Google Sans"/>
        <b/>
        <i/>
        <color rgb="FF0000FF"/>
        <sz val="10.0"/>
      </rPr>
      <t xml:space="preserve">(E.g. 172.28.68.1)
</t>
    </r>
  </si>
  <si>
    <r>
      <rPr>
        <rFont val="Google Sans"/>
        <b/>
        <i/>
        <color rgb="FFFF0000"/>
        <sz val="10.0"/>
      </rPr>
      <t xml:space="preserve">This information will be supplied by EFIM-Ops when the devices are provisioned and it should be documented here.
Specify the Corp Subnet Mask assigned the device by the DHCP Server on the Corp Network.
</t>
    </r>
    <r>
      <rPr>
        <rFont val="Google Sans"/>
        <b/>
        <i/>
        <color rgb="FF0000FF"/>
        <sz val="10.0"/>
      </rPr>
      <t>(E.g. 255.254.0.0)</t>
    </r>
  </si>
  <si>
    <r>
      <rPr>
        <rFont val="Google Sans"/>
        <b/>
        <i/>
        <color rgb="FFFF0000"/>
        <sz val="10.0"/>
      </rPr>
      <t xml:space="preserve">Specify whether PoE is required and which standard
</t>
    </r>
    <r>
      <rPr>
        <rFont val="Google Sans"/>
        <b/>
        <i/>
        <color rgb="FF0000FF"/>
        <sz val="10.0"/>
      </rPr>
      <t xml:space="preserve">(E.g. None, PoE, PoE+)
</t>
    </r>
    <r>
      <rPr>
        <rFont val="Google Sans"/>
        <b/>
        <i/>
        <color rgb="FFFF0000"/>
        <sz val="10.0"/>
      </rPr>
      <t xml:space="preserve">Supported Types:
IEEE 802.3af (a.k.a PoE Type 1) up to 15.4 watts
IEEE 802.3at (a.k.a PoE+ or PoE Type 2) up to 30 watts
Note: UPOE+ for specific use cases ONLY, pending review and approval.
</t>
    </r>
  </si>
  <si>
    <r>
      <rPr>
        <rFont val="Google Sans"/>
        <b/>
        <i/>
        <color rgb="FFFF0000"/>
        <sz val="10.0"/>
      </rPr>
      <t xml:space="preserve">Specify the Location or panel number (marked up on floorscope of GDesign) for the switch this particular device is connected to.
</t>
    </r>
    <r>
      <rPr>
        <rFont val="Google Sans"/>
        <b/>
        <i/>
        <color rgb="FF0000FF"/>
        <sz val="10.0"/>
      </rPr>
      <t>(E.g. IDF-01-01)</t>
    </r>
  </si>
  <si>
    <r>
      <rPr>
        <rFont val="Google Sans"/>
        <b/>
        <i/>
        <color rgb="FFFF0000"/>
        <sz val="10.0"/>
      </rPr>
      <t xml:space="preserve">Specify the Switch Name to which the device is connected.
</t>
    </r>
    <r>
      <rPr>
        <rFont val="Google Sans"/>
        <b/>
        <i/>
        <color rgb="FF0000FF"/>
        <sz val="10.0"/>
      </rPr>
      <t xml:space="preserve">(E.g. LABSW1-2-3)
</t>
    </r>
    <r>
      <rPr>
        <rFont val="Google Sans"/>
        <b/>
        <i/>
        <color rgb="FFFF0000"/>
        <sz val="10.0"/>
      </rPr>
      <t>Note: Un-managed may not be labelled, note the make instead.</t>
    </r>
  </si>
  <si>
    <r>
      <rPr>
        <rFont val="Google Sans"/>
        <b/>
        <i/>
        <color rgb="FFFF0000"/>
        <sz val="10.0"/>
      </rPr>
      <t xml:space="preserve">Specify the Switch Port ID to which the device is connected.
</t>
    </r>
    <r>
      <rPr>
        <rFont val="Google Sans"/>
        <b/>
        <i/>
        <color rgb="FF0000FF"/>
        <sz val="10.0"/>
      </rPr>
      <t>(E.g.12)</t>
    </r>
  </si>
  <si>
    <r>
      <rPr>
        <rFont val="Google Sans"/>
        <b/>
        <i/>
        <color rgb="FFFF0000"/>
        <sz val="10.0"/>
      </rPr>
      <t xml:space="preserve">Specify the Jack Label Number to which the device is connected.
</t>
    </r>
    <r>
      <rPr>
        <rFont val="Google Sans"/>
        <b/>
        <i/>
        <color rgb="FF0000FF"/>
        <sz val="10.0"/>
      </rPr>
      <t>(E.g. BMS1.2-034)</t>
    </r>
  </si>
  <si>
    <r>
      <rPr>
        <rFont val="Google Sans"/>
        <b/>
        <i/>
        <color rgb="FFFF0000"/>
        <sz val="10.0"/>
      </rPr>
      <t xml:space="preserve">Specify if the device is a Primary Device or Secondary Device TO ANY OTHER DEVICE.
Secondary is controlled by a Primary
</t>
    </r>
    <r>
      <rPr>
        <rFont val="Google Sans"/>
        <b/>
        <i/>
        <color rgb="FF0000FF"/>
        <sz val="10.0"/>
      </rPr>
      <t>(E.g. Primary TO XYZ, Secondary TO XYZ )</t>
    </r>
  </si>
  <si>
    <r>
      <rPr>
        <rFont val="Google Sans"/>
        <b/>
        <i/>
        <color rgb="FFFF0000"/>
        <sz val="10.0"/>
      </rPr>
      <t xml:space="preserve">Specify the Protocol(s) &amp; Ports used by the device for peer-to-peer comms.
</t>
    </r>
    <r>
      <rPr>
        <rFont val="Google Sans"/>
        <b/>
        <i/>
        <color rgb="FF0000FF"/>
        <sz val="10.0"/>
      </rPr>
      <t>(E.g. Port:Service:Protocol)</t>
    </r>
  </si>
  <si>
    <r>
      <rPr>
        <rFont val="Google Sans"/>
        <b/>
        <i/>
        <color rgb="FFFF0000"/>
        <sz val="10.0"/>
      </rPr>
      <t xml:space="preserve">Specify the Endpoint/s the device communicates to for peer-to-peer comms.
</t>
    </r>
    <r>
      <rPr>
        <rFont val="Google Sans"/>
        <b/>
        <i/>
        <color rgb="FF0000FF"/>
        <sz val="10.0"/>
      </rPr>
      <t>(E.g. Controller Name or Headend PC)</t>
    </r>
  </si>
  <si>
    <r>
      <rPr>
        <rFont val="Google Sans"/>
        <b/>
        <i/>
        <color rgb="FFFF0000"/>
        <sz val="10.0"/>
      </rPr>
      <t xml:space="preserve">Specify the IP Packet Transmission method used by the device communicates for peer-to-peer comms.
</t>
    </r>
    <r>
      <rPr>
        <rFont val="Google Sans"/>
        <b/>
        <i/>
        <color rgb="FF0000FF"/>
        <sz val="10.0"/>
      </rPr>
      <t>(E.g. Unicast, MultiCast, Broadcast)</t>
    </r>
  </si>
  <si>
    <r>
      <rPr>
        <rFont val="Google Sans"/>
        <b/>
        <i/>
        <color rgb="FFFF0000"/>
        <sz val="11.0"/>
      </rPr>
      <t xml:space="preserve">Specify whether MQTT has been implemented on the device?
</t>
    </r>
    <r>
      <rPr>
        <rFont val="Google Sans"/>
        <b/>
        <i/>
        <color rgb="FF0000FF"/>
        <sz val="11.0"/>
      </rPr>
      <t>(E.g. Yes/No)</t>
    </r>
  </si>
  <si>
    <r>
      <rPr>
        <rFont val="Google Sans"/>
        <b/>
        <i/>
        <color rgb="FFFF0000"/>
        <sz val="11.0"/>
      </rPr>
      <t xml:space="preserve">If the device is a secondary device on a serial network, specify the primary controller it reports to 
</t>
    </r>
    <r>
      <rPr>
        <rFont val="Google Sans"/>
        <b/>
        <i/>
        <color rgb="FF0000FF"/>
        <sz val="11.0"/>
      </rPr>
      <t>(E.g. HLI-1)</t>
    </r>
  </si>
  <si>
    <r>
      <rPr>
        <rFont val="Google Sans"/>
        <b/>
        <i/>
        <color rgb="FFFF0000"/>
        <sz val="11.0"/>
      </rPr>
      <t xml:space="preserve">Specify the device connection type to cloud?
</t>
    </r>
    <r>
      <rPr>
        <rFont val="Google Sans"/>
        <b/>
        <i/>
        <color rgb="FF0000FF"/>
        <sz val="11.0"/>
      </rPr>
      <t>(E.g. Gateway device/Direct Device/Proxied Device)</t>
    </r>
  </si>
  <si>
    <r>
      <rPr>
        <rFont val="Google Sans"/>
        <b/>
        <i/>
        <color rgb="FFFF0000"/>
        <sz val="10.0"/>
      </rPr>
      <t xml:space="preserve">FM to confirm Condition of equipment.
</t>
    </r>
    <r>
      <rPr>
        <rFont val="Google Sans"/>
        <b/>
        <i/>
        <color rgb="FF0000FF"/>
        <sz val="10.0"/>
      </rPr>
      <t>(E.g.Excellent, Good, Fair, Poor, Offline)</t>
    </r>
  </si>
  <si>
    <r>
      <rPr>
        <rFont val="Google Sans"/>
        <b/>
        <i/>
        <color rgb="FFFF0000"/>
        <sz val="10.0"/>
      </rPr>
      <t xml:space="preserve">FM to enter the maintenance provider for the equipment
</t>
    </r>
    <r>
      <rPr>
        <rFont val="Google Sans"/>
        <b/>
        <i/>
        <color rgb="FF0000FF"/>
        <sz val="10.0"/>
      </rPr>
      <t>(E.g.Acme Controls, Sauter, AAA Lighting Solutions)</t>
    </r>
  </si>
  <si>
    <r>
      <rPr>
        <rFont val="Google Sans"/>
        <b/>
        <i/>
        <color rgb="FFFF0000"/>
        <sz val="10.0"/>
      </rPr>
      <t xml:space="preserve">FM to enter the expected life expectancy.
</t>
    </r>
    <r>
      <rPr>
        <rFont val="Google Sans"/>
        <b/>
        <i/>
        <color rgb="FF0000FF"/>
        <sz val="10.0"/>
      </rPr>
      <t>(in years E.g.5, 10, 20. Integers only)</t>
    </r>
  </si>
  <si>
    <r>
      <rPr>
        <rFont val="Google Sans"/>
        <b/>
        <i/>
        <color rgb="FFFF0000"/>
        <sz val="11.0"/>
      </rPr>
      <t xml:space="preserve">Specify if the device has been put through device qualification process .
</t>
    </r>
    <r>
      <rPr>
        <rFont val="Google Sans"/>
        <b/>
        <i/>
        <color rgb="FF0000FF"/>
        <sz val="11.0"/>
      </rPr>
      <t>(E.g. Yes/No)</t>
    </r>
  </si>
  <si>
    <r>
      <rPr>
        <rFont val="Google Sans"/>
        <b/>
        <i/>
        <color rgb="FFFF0000"/>
        <sz val="11.0"/>
      </rPr>
      <t xml:space="preserve">Provide a link to the drive folder for the site where any relevant photos are stored
</t>
    </r>
    <r>
      <rPr>
        <rFont val="Google Sans"/>
        <b/>
        <i/>
        <color rgb="FF0000FF"/>
        <sz val="11.0"/>
      </rPr>
      <t xml:space="preserve">(E.g. </t>
    </r>
    <r>
      <rPr>
        <rFont val="Google Sans"/>
        <b/>
        <i/>
        <color rgb="FF1155CC"/>
        <sz val="11.0"/>
        <u/>
      </rPr>
      <t>http://drive.google.com/ghoaiab7rgai4</t>
    </r>
    <r>
      <rPr>
        <rFont val="Google Sans"/>
        <b/>
        <i/>
        <color rgb="FF0000FF"/>
        <sz val="11.0"/>
      </rPr>
      <t xml:space="preserve">
PASTE FILE LINK URL DIRECTLY TO CELL, DO NOT LINK CELL TO URL)</t>
    </r>
  </si>
  <si>
    <r>
      <rPr>
        <rFont val="Google Sans"/>
        <b/>
        <i/>
        <color rgb="FFFF0000"/>
        <sz val="10.0"/>
      </rPr>
      <t xml:space="preserve">Select which Google partner is the device owner.
</t>
    </r>
    <r>
      <rPr>
        <rFont val="Google Sans"/>
        <b/>
        <i/>
        <color rgb="FF0000FF"/>
        <sz val="10.0"/>
      </rPr>
      <t>(E.g. WS/Facilities, Food, GFit, Events, GEN, BOPS/AV, SecOps, Landlord, Unknown, Other)</t>
    </r>
  </si>
  <si>
    <r>
      <rPr>
        <rFont val="Google Sans"/>
        <b/>
        <i/>
        <color rgb="FFFF0000"/>
        <sz val="10.0"/>
      </rPr>
      <t xml:space="preserve">This column represents the "device type" for IP devices. Only used for corphosting
</t>
    </r>
    <r>
      <rPr>
        <rFont val="Google Sans"/>
        <b/>
        <i/>
        <color rgb="FF0000FF"/>
        <sz val="10.0"/>
      </rPr>
      <t>&lt;manufacturer&gt;_&lt;model&gt;</t>
    </r>
  </si>
  <si>
    <t>This column represents a Device Lookup ID to link to the device types tab</t>
  </si>
  <si>
    <t>Device/Asset role name (asset.name)</t>
  </si>
  <si>
    <t>User Defined Device Name</t>
  </si>
  <si>
    <t>Device / Asset Rank</t>
  </si>
  <si>
    <t>Communication Type</t>
  </si>
  <si>
    <t>Asset Function</t>
  </si>
  <si>
    <t>Floor</t>
  </si>
  <si>
    <t>Location</t>
  </si>
  <si>
    <t>Panel Reference</t>
  </si>
  <si>
    <t>Manufacturer Provided Device / Asset Serial Number</t>
  </si>
  <si>
    <t>Device / Asset Status</t>
  </si>
  <si>
    <t>QR Code Applied?</t>
  </si>
  <si>
    <t>Human readable QR code</t>
  </si>
  <si>
    <t>GUID</t>
  </si>
  <si>
    <t>QR Code Payload</t>
  </si>
  <si>
    <t>Installers Name</t>
  </si>
  <si>
    <t>Warranty Start Date/ Install Date</t>
  </si>
  <si>
    <t>Warranty End Date</t>
  </si>
  <si>
    <t>Device / Asset Software (OS) Version</t>
  </si>
  <si>
    <t>Default Firmware Version</t>
  </si>
  <si>
    <t>Current Firmware Version</t>
  </si>
  <si>
    <t>Protocol</t>
  </si>
  <si>
    <t>BACNet Device Number</t>
  </si>
  <si>
    <t>Bacnet Network Number</t>
  </si>
  <si>
    <t>Modbus Address</t>
  </si>
  <si>
    <t>Neuron ID</t>
  </si>
  <si>
    <t>Device ID &amp; Any Other Information</t>
  </si>
  <si>
    <t>CorpHosting</t>
  </si>
  <si>
    <t>Ethernet MAC Address</t>
  </si>
  <si>
    <t>Assigned Hostname</t>
  </si>
  <si>
    <t>Private IP Address</t>
  </si>
  <si>
    <t>Private Subnet Mask</t>
  </si>
  <si>
    <t>Private Gateway</t>
  </si>
  <si>
    <t>Corp IP Address</t>
  </si>
  <si>
    <t>Corp IP Subnet Mask (Netblock)</t>
  </si>
  <si>
    <t>Power over Ethernet</t>
  </si>
  <si>
    <t>Switch Location</t>
  </si>
  <si>
    <t>Switch Name</t>
  </si>
  <si>
    <t>Switch Port ID</t>
  </si>
  <si>
    <t>Jack Label</t>
  </si>
  <si>
    <t>Primary/Secondary</t>
  </si>
  <si>
    <t>Protocol/s &amp; Ports</t>
  </si>
  <si>
    <t>Endpoint/s</t>
  </si>
  <si>
    <t>IP Packet Transmission</t>
  </si>
  <si>
    <t>MQTT Implemented</t>
  </si>
  <si>
    <t>Serial Relationships</t>
  </si>
  <si>
    <t>Device Connection Type</t>
  </si>
  <si>
    <t>Maintenance Provider</t>
  </si>
  <si>
    <t>Expected Lifespan</t>
  </si>
  <si>
    <t>Device / Asset Qualified</t>
  </si>
  <si>
    <t>Photos/Snapshots - Link to Device Photo</t>
  </si>
  <si>
    <t>Device Owner</t>
  </si>
  <si>
    <t>Corphosting Device Types</t>
  </si>
  <si>
    <t>Device Lookup ID with Firmware</t>
  </si>
  <si>
    <t>Building Management System</t>
  </si>
  <si>
    <t>DDC-201</t>
  </si>
  <si>
    <t>SAUTER</t>
  </si>
  <si>
    <t>Standard</t>
  </si>
  <si>
    <t>IP (Wired GEN BOS-IoT)</t>
  </si>
  <si>
    <t>DDC</t>
  </si>
  <si>
    <t>B3</t>
  </si>
  <si>
    <t>B3V08</t>
  </si>
  <si>
    <t>HVACCP-201</t>
  </si>
  <si>
    <t>Active</t>
  </si>
  <si>
    <t>uuid://623aa24f-fcb2-449d-b411-c0aae1f7599f</t>
  </si>
  <si>
    <t>Eneffen</t>
  </si>
  <si>
    <t>V3.4</t>
  </si>
  <si>
    <t>5.0.1</t>
  </si>
  <si>
    <t>BACnet IP</t>
  </si>
  <si>
    <t>Corphosted</t>
  </si>
  <si>
    <t>5C:C2:13:05:DA:58</t>
  </si>
  <si>
    <t>100.95.214.178</t>
  </si>
  <si>
    <t>255.255.240.0</t>
  </si>
  <si>
    <t>None</t>
  </si>
  <si>
    <t>Primary</t>
  </si>
  <si>
    <t>BACnet,47808</t>
  </si>
  <si>
    <t>DDC-1</t>
  </si>
  <si>
    <t>Unicast</t>
  </si>
  <si>
    <t>Gateway Device</t>
  </si>
  <si>
    <t>Good</t>
  </si>
  <si>
    <t>Landlord</t>
  </si>
  <si>
    <t>Basebuilder System and connected on Gen Network</t>
  </si>
  <si>
    <t>DDC-202</t>
  </si>
  <si>
    <t>uuid://798bc407-23a3-4137-8f8a-46574963c835</t>
  </si>
  <si>
    <t>5C:C2:13:05:DD:6C</t>
  </si>
  <si>
    <t>100.95.214.200</t>
  </si>
  <si>
    <t>HLI-101</t>
  </si>
  <si>
    <t>DDC-203</t>
  </si>
  <si>
    <t>HVACCP-202</t>
  </si>
  <si>
    <t>uuid://e2145a43-9f4c-452b-b41f-57bcd01c89c9</t>
  </si>
  <si>
    <t>5C:C2:13:06:8D:77</t>
  </si>
  <si>
    <t>100.95.214.207</t>
  </si>
  <si>
    <t>DDC-204</t>
  </si>
  <si>
    <t>B2</t>
  </si>
  <si>
    <t>B207</t>
  </si>
  <si>
    <t>HVACCP-203</t>
  </si>
  <si>
    <t>uuid://815b19a3-96f5-4fd5-8b77-7e10541a6811</t>
  </si>
  <si>
    <t>5C:C2:13:06:87:66</t>
  </si>
  <si>
    <t>100.95.214.199</t>
  </si>
  <si>
    <t>DDC-205</t>
  </si>
  <si>
    <t>HVACCP-204</t>
  </si>
  <si>
    <t>uuid://88a7e6e1-4067-4025-9497-a7b066e9a6f6</t>
  </si>
  <si>
    <t>5C:C2:13:05:DA:45</t>
  </si>
  <si>
    <t>100.95.214.179</t>
  </si>
  <si>
    <t>DDC-206</t>
  </si>
  <si>
    <t>B209</t>
  </si>
  <si>
    <t>HVACCP-205</t>
  </si>
  <si>
    <t>uuid://651ca8e1-1d12-4d21-9040-97b089d55d78</t>
  </si>
  <si>
    <t>5C:C2:13:06:85:DD</t>
  </si>
  <si>
    <t>100.95.214.164</t>
  </si>
  <si>
    <t>DDC-207</t>
  </si>
  <si>
    <t>B1</t>
  </si>
  <si>
    <t>B125</t>
  </si>
  <si>
    <t>HVACCP-206</t>
  </si>
  <si>
    <t>uuid://2be1cc97-0df4-463e-8500-a803e1ecfe00</t>
  </si>
  <si>
    <t>5C:C2:13:06:8D:86</t>
  </si>
  <si>
    <t>100.95.214.228</t>
  </si>
  <si>
    <t>DDC-2</t>
  </si>
  <si>
    <t>DDC-208</t>
  </si>
  <si>
    <t>uuid://43f4fe80-a067-4c2b-b53c-12a57fe1c272</t>
  </si>
  <si>
    <t>5C:C2:13:06:87:7D</t>
  </si>
  <si>
    <t>100.95.214.216</t>
  </si>
  <si>
    <t>DDC-209</t>
  </si>
  <si>
    <t>G</t>
  </si>
  <si>
    <t>G63</t>
  </si>
  <si>
    <t>HVACCP-207</t>
  </si>
  <si>
    <t>uuid://5174e770-2b78-4273-bf77-cba49cb32760</t>
  </si>
  <si>
    <t>5C:C2:13:05:DB:D6</t>
  </si>
  <si>
    <t>100.95.214.198</t>
  </si>
  <si>
    <t>HLI-102</t>
  </si>
  <si>
    <t>DDC-210</t>
  </si>
  <si>
    <t>uuid://deafe2b8-42ec-45ca-b993-9f1bf39af856</t>
  </si>
  <si>
    <t>5C:C2:13:05:DB:90</t>
  </si>
  <si>
    <t>100.95.214.195</t>
  </si>
  <si>
    <t>DDC-211</t>
  </si>
  <si>
    <t>HVACCP-208</t>
  </si>
  <si>
    <t>uuid://414db277-aae3-47a4-9289-9e148598b93c</t>
  </si>
  <si>
    <t>5C:C2:13:05:DB:8A</t>
  </si>
  <si>
    <t>100.95.214.249</t>
  </si>
  <si>
    <t>DDC-212</t>
  </si>
  <si>
    <t>uuid://2d253e85-4b7c-4724-8373-fa4f95452b07</t>
  </si>
  <si>
    <t>5C:C2:13:05:DB:D3</t>
  </si>
  <si>
    <t>100.95.214.172</t>
  </si>
  <si>
    <t>DDC-213</t>
  </si>
  <si>
    <t>HVACCP-209</t>
  </si>
  <si>
    <t>uuid://7263ee0f-2395-4152-b5ce-333f9385b307</t>
  </si>
  <si>
    <t>5C:C2:13:05:DA:5C</t>
  </si>
  <si>
    <t>100.95.214.255</t>
  </si>
  <si>
    <t>DDC-214</t>
  </si>
  <si>
    <t>CG55</t>
  </si>
  <si>
    <t>HVACCP-210</t>
  </si>
  <si>
    <t>uuid://14b10cb6-0b0f-4e2a-94c6-04a19fdf346d</t>
  </si>
  <si>
    <t>5C:C2:13:05:DC:44</t>
  </si>
  <si>
    <t>100.95.214.242</t>
  </si>
  <si>
    <t>DDC-215</t>
  </si>
  <si>
    <t>uuid://8e699904-0771-4a95-85f6-d3d3e0cb4f9e</t>
  </si>
  <si>
    <t>5C:C2:13:05:DB:D7</t>
  </si>
  <si>
    <t>100.95.215.1</t>
  </si>
  <si>
    <t>DDC-216</t>
  </si>
  <si>
    <t>HVACCP-211</t>
  </si>
  <si>
    <t>uuid://c90b9a11-f039-4ebc-b2d7-81909c3a3e41</t>
  </si>
  <si>
    <t>5C:C2:13:05:DC:21</t>
  </si>
  <si>
    <t>100.95.215.53</t>
  </si>
  <si>
    <t>DDC-217</t>
  </si>
  <si>
    <t>uuid://d6563724-45d5-41a5-bae8-4e89d090a893</t>
  </si>
  <si>
    <t>5C:C2:13:05:DA:5E</t>
  </si>
  <si>
    <t>100.95.214.244</t>
  </si>
  <si>
    <t>DDC-218</t>
  </si>
  <si>
    <t>HVACCP-212</t>
  </si>
  <si>
    <t>uuid://b4850729-67fc-4a02-84b2-6c9f0bb2f062</t>
  </si>
  <si>
    <t>5C:C2:13:05:DC:1C</t>
  </si>
  <si>
    <t>100.95.214.253</t>
  </si>
  <si>
    <t>DDC-219</t>
  </si>
  <si>
    <t>uuid://3c49481e-8b81-43db-be47-de4abbc5fa40</t>
  </si>
  <si>
    <t>5C:C2:13:05:DC:1B</t>
  </si>
  <si>
    <t>100.95.215.57</t>
  </si>
  <si>
    <t>DDC-220</t>
  </si>
  <si>
    <t>HVACCP-213</t>
  </si>
  <si>
    <t>uuid://4b197e5d-d3da-4952-acca-055e4229d11b</t>
  </si>
  <si>
    <t>5C:C2:13:05:8D:84</t>
  </si>
  <si>
    <t>100.95.215.21</t>
  </si>
  <si>
    <t>DDC-7</t>
  </si>
  <si>
    <t>DDC-221</t>
  </si>
  <si>
    <t>uuid://99e04d1b-0365-43f2-b832-0484970213d2</t>
  </si>
  <si>
    <t>5C:C2:13:06:8D:EA</t>
  </si>
  <si>
    <t>100.95.215.68</t>
  </si>
  <si>
    <t>DDC-222</t>
  </si>
  <si>
    <t>GI46</t>
  </si>
  <si>
    <t>HVACCP-214</t>
  </si>
  <si>
    <t>uuid://40b72345-4148-49d0-88b7-24bd4b24f738</t>
  </si>
  <si>
    <t>5C:C2:13:06:8D:7F</t>
  </si>
  <si>
    <t>100.95.215.86</t>
  </si>
  <si>
    <t>DDC-8</t>
  </si>
  <si>
    <t>DDC-223</t>
  </si>
  <si>
    <t>HVACCP-215</t>
  </si>
  <si>
    <t>uuid://a586a272-58a3-4884-bb4a-75745c4aa597</t>
  </si>
  <si>
    <t>5C:C2:13:06:8D:F0</t>
  </si>
  <si>
    <t>100.95.215.88</t>
  </si>
  <si>
    <t>DDC-10</t>
  </si>
  <si>
    <t>DDC-224</t>
  </si>
  <si>
    <t>uuid://66786572-8a62-466f-a5aa-d6fae088a238</t>
  </si>
  <si>
    <t>5C:C2:13:06:8D:81</t>
  </si>
  <si>
    <t>100.95.215.48</t>
  </si>
  <si>
    <t>DDC-225</t>
  </si>
  <si>
    <t>GA7</t>
  </si>
  <si>
    <t>HVACCP-216</t>
  </si>
  <si>
    <t>uuid://e18810ed-f85c-4809-a7fa-e3cdc955b900</t>
  </si>
  <si>
    <t>5C:C2:13:06:87:92</t>
  </si>
  <si>
    <t>100.95.215.81</t>
  </si>
  <si>
    <t>DDC-09</t>
  </si>
  <si>
    <t>DDC-226</t>
  </si>
  <si>
    <t>uuid://7e102687-14c8-4a48-bfd1-41403c1ddd8a</t>
  </si>
  <si>
    <t>5C:C2:13:06:8D:8E</t>
  </si>
  <si>
    <t>100.95.215.66</t>
  </si>
  <si>
    <t>DDC-227</t>
  </si>
  <si>
    <t>GB14</t>
  </si>
  <si>
    <t>HVACCP-217</t>
  </si>
  <si>
    <t>uuid://155afd80-23c0-4b4b-87d8-c3ac8b2ba314</t>
  </si>
  <si>
    <t>5C:C2:13:06:87:52</t>
  </si>
  <si>
    <t>100.95.214.192</t>
  </si>
  <si>
    <t>HLI-111</t>
  </si>
  <si>
    <t>DDC-228</t>
  </si>
  <si>
    <t>uuid://de54f464-2895-45f1-bd33-a1d679675d5f</t>
  </si>
  <si>
    <t>5C:C2:13:06:89:54</t>
  </si>
  <si>
    <t>100.95.214.196</t>
  </si>
  <si>
    <t>DDC-229</t>
  </si>
  <si>
    <t>uuid://39683dc8-9a0b-4fc4-80b1-9fed7ef9e19c</t>
  </si>
  <si>
    <t>5C:C2:13:06:8D:82</t>
  </si>
  <si>
    <t>100.95.214.191</t>
  </si>
  <si>
    <t>DDC-230</t>
  </si>
  <si>
    <t>1</t>
  </si>
  <si>
    <t>HVACCP-219</t>
  </si>
  <si>
    <t>uuid://83cbe2aa-fe51-4e43-ba48-0d306709434a</t>
  </si>
  <si>
    <t>5C:C2:13:05:DC:32</t>
  </si>
  <si>
    <t>100.95.214.222</t>
  </si>
  <si>
    <t>DDC-12</t>
  </si>
  <si>
    <t>DDC-231</t>
  </si>
  <si>
    <t>uuid://4cc1a3b1-df93-4f3b-be61-5376ca1a134b</t>
  </si>
  <si>
    <t>5C:C2:13:06:8D:6E</t>
  </si>
  <si>
    <t>100.95.214.204</t>
  </si>
  <si>
    <t>DDC-232</t>
  </si>
  <si>
    <t>HVACCP-220</t>
  </si>
  <si>
    <t>uuid://36322ead-7c81-496d-b7e0-e8a00cf067bd</t>
  </si>
  <si>
    <t>5C:C2:13:05:DD:46</t>
  </si>
  <si>
    <t>100.95.214.208</t>
  </si>
  <si>
    <t>DDC-15</t>
  </si>
  <si>
    <t>DDC-233</t>
  </si>
  <si>
    <t>uuid://a24b8a7c-52b6-4df2-a439-56fa506a7066</t>
  </si>
  <si>
    <t>5C:C2:13:06:8D:90</t>
  </si>
  <si>
    <t>100.95.214.162</t>
  </si>
  <si>
    <t>DDC-234</t>
  </si>
  <si>
    <t>1C44</t>
  </si>
  <si>
    <t>HVACCP-221</t>
  </si>
  <si>
    <t>uuid://402bbb4b-996d-45b6-bb51-648045c4b2ec</t>
  </si>
  <si>
    <t>5C:C2:13:06:85:E0</t>
  </si>
  <si>
    <t>100.95.214.240</t>
  </si>
  <si>
    <t>DDC-13</t>
  </si>
  <si>
    <t>DDC-235</t>
  </si>
  <si>
    <t>uuid://376ac7e5-4e2b-42be-b9d8-791a7511050e</t>
  </si>
  <si>
    <t>5C:C2:13:06:87:93</t>
  </si>
  <si>
    <t>100.95.214.187</t>
  </si>
  <si>
    <t>DDC-236</t>
  </si>
  <si>
    <t>1D96</t>
  </si>
  <si>
    <t>HVACCP-222</t>
  </si>
  <si>
    <t>uuid://254e5403-2626-4fa0-93ef-65d31e198bcf</t>
  </si>
  <si>
    <t>5C:C2:13:06:8D:94</t>
  </si>
  <si>
    <t>100.95.215.3</t>
  </si>
  <si>
    <t>DDC-14</t>
  </si>
  <si>
    <t>DDC-237</t>
  </si>
  <si>
    <t>uuid://55845a91-9c30-4a26-ba68-814b9c6e3991</t>
  </si>
  <si>
    <t>5C:C2:13:06:8D:A4</t>
  </si>
  <si>
    <t>100.95.214.252</t>
  </si>
  <si>
    <t>DDC-238</t>
  </si>
  <si>
    <t>1B27</t>
  </si>
  <si>
    <t>HVACCP-223</t>
  </si>
  <si>
    <t>uuid://0f348df8-d876-4bbc-b03d-32c0635d3745</t>
  </si>
  <si>
    <t>5C:C2:13:06:85:DF</t>
  </si>
  <si>
    <t>100.95.215.6</t>
  </si>
  <si>
    <t>DDC-17</t>
  </si>
  <si>
    <t>DDC-239</t>
  </si>
  <si>
    <t>1A31</t>
  </si>
  <si>
    <t>HVACCP-224</t>
  </si>
  <si>
    <t>uuid://237ea3f7-5c4e-4760-b650-92a9b3fd59f2</t>
  </si>
  <si>
    <t>5C:C2:13:06:8D:7D</t>
  </si>
  <si>
    <t>100.95.215.61</t>
  </si>
  <si>
    <t>DDC-240</t>
  </si>
  <si>
    <t>2</t>
  </si>
  <si>
    <t>HVACCP-225</t>
  </si>
  <si>
    <t>uuid://3d6d649c-c248-4944-b152-f2fa63413847</t>
  </si>
  <si>
    <t>5C:C2:13:06:8D:78</t>
  </si>
  <si>
    <t>100.95.215.49</t>
  </si>
  <si>
    <t>DDC-18</t>
  </si>
  <si>
    <t>DDC-241</t>
  </si>
  <si>
    <t>uuid://e7d2ddfd-b7f6-4513-a7e9-2c87a714d9fd</t>
  </si>
  <si>
    <t>5C:C2:13:06:DC:19</t>
  </si>
  <si>
    <t>100.95.215.55</t>
  </si>
  <si>
    <t>DDC-242</t>
  </si>
  <si>
    <t>HVACCP-226</t>
  </si>
  <si>
    <t>uuid://d809c17f-ed38-4be4-a007-f4c97fcc9a4f</t>
  </si>
  <si>
    <t>5C:C2:13:06:8D:9A</t>
  </si>
  <si>
    <t>100.95.215.60</t>
  </si>
  <si>
    <t>DDC-21</t>
  </si>
  <si>
    <t>DDC-243</t>
  </si>
  <si>
    <t>uuid://15173016-58da-4f7d-9d28-0edca05f05fd</t>
  </si>
  <si>
    <t>5C:C2:13:05:DB:92</t>
  </si>
  <si>
    <t>100.95.215.65</t>
  </si>
  <si>
    <t>DDC-244</t>
  </si>
  <si>
    <t>HVACCP-227</t>
  </si>
  <si>
    <t>uuid://ccde7d7f-3ffd-4273-84ee-59e93e76661b</t>
  </si>
  <si>
    <t>5C:C2:13:05:DB:8B</t>
  </si>
  <si>
    <t>100.95.215.34</t>
  </si>
  <si>
    <t>DDC-19</t>
  </si>
  <si>
    <t>DDC-245</t>
  </si>
  <si>
    <t>uuid://60c6238d-b42a-4a9a-a570-45e3a2383ae9</t>
  </si>
  <si>
    <t>5C:C2:13:05:DB:C2</t>
  </si>
  <si>
    <t>100.95.215.23</t>
  </si>
  <si>
    <t>DDC-246</t>
  </si>
  <si>
    <t>HVACCP-228</t>
  </si>
  <si>
    <t>uuid://d36fad48-6a49-4fb5-825e-6e01c7e4e598</t>
  </si>
  <si>
    <t>5C:C2:13:05:DD:9B</t>
  </si>
  <si>
    <t>100.95.215.16</t>
  </si>
  <si>
    <t>DDC-20</t>
  </si>
  <si>
    <t>DDC-247</t>
  </si>
  <si>
    <t>uuid://69d1edea-c2b8-4e25-bf75-1a2bc9ee250e</t>
  </si>
  <si>
    <t>5C:C2:13:05:DB:DA</t>
  </si>
  <si>
    <t>100.95.215.46</t>
  </si>
  <si>
    <t>DDC-248</t>
  </si>
  <si>
    <t>HVACCP-229</t>
  </si>
  <si>
    <t>uuid://f4797549-784a-492d-a0ce-678051e5c6be</t>
  </si>
  <si>
    <t>5C:C2:13:05:DB:E7</t>
  </si>
  <si>
    <t>100.95.215.71</t>
  </si>
  <si>
    <t>DDC-23</t>
  </si>
  <si>
    <t>DDC-249</t>
  </si>
  <si>
    <t>HVACCP-230</t>
  </si>
  <si>
    <t>uuid://c21fc382-d92a-43da-b955-480f0c68426f</t>
  </si>
  <si>
    <t>5C:C2:13:05:DB:F0</t>
  </si>
  <si>
    <t>100.95.215.99</t>
  </si>
  <si>
    <t>DDC-250</t>
  </si>
  <si>
    <t>HVACCP-231</t>
  </si>
  <si>
    <t>uuid://fe1783b9-e7d5-41fb-afd6-bedfaa9bc857</t>
  </si>
  <si>
    <t>5C:C2:13:05:DC:23</t>
  </si>
  <si>
    <t>100.95.215.109</t>
  </si>
  <si>
    <t>DDC-22</t>
  </si>
  <si>
    <t>DDC-251</t>
  </si>
  <si>
    <t>HVACCP-232</t>
  </si>
  <si>
    <t>uuid://a0fa63ff-a8c4-4b94-89be-aebc632f485f</t>
  </si>
  <si>
    <t>5C:C2:13:05:DB:E4</t>
  </si>
  <si>
    <t>100.95.214.209</t>
  </si>
  <si>
    <t>DDC-252</t>
  </si>
  <si>
    <t>3</t>
  </si>
  <si>
    <t>HVACCP-233</t>
  </si>
  <si>
    <t>uuid://6cfeb34e-8376-4f40-9777-f6f7b82d5ec0</t>
  </si>
  <si>
    <t>5C:C2:13:05:DB:31</t>
  </si>
  <si>
    <t>100.95.214.189</t>
  </si>
  <si>
    <t>DDC-24</t>
  </si>
  <si>
    <t>DDC-253</t>
  </si>
  <si>
    <t>uuid://0b31df4f-f5de-4da1-ba72-014a32c10a84</t>
  </si>
  <si>
    <t>5C:C2:13:05:DB:96</t>
  </si>
  <si>
    <t>100.95.214.212</t>
  </si>
  <si>
    <t>DDC-254</t>
  </si>
  <si>
    <t>HVACCP-234</t>
  </si>
  <si>
    <t>uuid://81a10447-3383-4f2c-abaa-026693916f9c</t>
  </si>
  <si>
    <t>5C:C2:13:05:DB:E2</t>
  </si>
  <si>
    <t>100.95.214.206</t>
  </si>
  <si>
    <t>DDC-27</t>
  </si>
  <si>
    <t>DDC-255</t>
  </si>
  <si>
    <t>uuid://ecef043a-a27b-43c6-8c23-ec1e8b8beb62</t>
  </si>
  <si>
    <t>5C:C2:13:05:DC:17</t>
  </si>
  <si>
    <t>100.95.214.151</t>
  </si>
  <si>
    <t>DDC-256</t>
  </si>
  <si>
    <t>HVACCP-235</t>
  </si>
  <si>
    <t>uuid://47210d86-3d08-4000-94f9-8312123f966f</t>
  </si>
  <si>
    <t>5C:C2:13:05:DC:41</t>
  </si>
  <si>
    <t>100.95.214.236</t>
  </si>
  <si>
    <t>DDC-25</t>
  </si>
  <si>
    <t>DDC-257</t>
  </si>
  <si>
    <t>uuid://07d87fb9-30a0-42f7-8fdf-3e2a646e8eb4</t>
  </si>
  <si>
    <t>5C:C2:13:05:DB:86</t>
  </si>
  <si>
    <t>100.95.214.227</t>
  </si>
  <si>
    <t>DDC-258</t>
  </si>
  <si>
    <t>HVACCP-236</t>
  </si>
  <si>
    <t>uuid://22510830-fce1-4332-9b52-3b38d7b64e28</t>
  </si>
  <si>
    <t>5C:C2:13:05:DB:DB</t>
  </si>
  <si>
    <t>100.95.214.175</t>
  </si>
  <si>
    <t>DDC-26</t>
  </si>
  <si>
    <t>DDC-259</t>
  </si>
  <si>
    <t>uuid://c8d27164-c995-4d38-b281-bdfb1cb5d8d3</t>
  </si>
  <si>
    <t>5C:C2:13:05:DC:0C</t>
  </si>
  <si>
    <t>100.95.214.237</t>
  </si>
  <si>
    <t>DDC-260</t>
  </si>
  <si>
    <t>HVACCP-237</t>
  </si>
  <si>
    <t>uuid://8bcc9969-114e-4e38-91c8-dbb28ddbae8b</t>
  </si>
  <si>
    <t>5C:C2:13:05:DC:4E</t>
  </si>
  <si>
    <t>100.95.215.8</t>
  </si>
  <si>
    <t>DDC-29</t>
  </si>
  <si>
    <t>DDC-261</t>
  </si>
  <si>
    <t>uuid://d89c03d0-f3c9-4247-8e65-b536a94c651a</t>
  </si>
  <si>
    <t>5C:C2:13:05:DB:ED</t>
  </si>
  <si>
    <t>100.95.215.9</t>
  </si>
  <si>
    <t>DDC-262</t>
  </si>
  <si>
    <t>HVACCP-238</t>
  </si>
  <si>
    <t>uuid://a68b6eee-1ea8-414a-a5fa-6e2090c79dd3</t>
  </si>
  <si>
    <t>5C:C2:13:05:DB:F4</t>
  </si>
  <si>
    <t>100.95.215.17</t>
  </si>
  <si>
    <t>DDC-28</t>
  </si>
  <si>
    <t>DDC-263</t>
  </si>
  <si>
    <t>uuid://136a6299-7bdf-4ca4-bf83-37707078dea5</t>
  </si>
  <si>
    <t>5C:C2:13:05:DD:44</t>
  </si>
  <si>
    <t>100.95.215.27</t>
  </si>
  <si>
    <t>DDC-264</t>
  </si>
  <si>
    <t>4</t>
  </si>
  <si>
    <t>4C35</t>
  </si>
  <si>
    <t>HVACCP-239</t>
  </si>
  <si>
    <t>uuid://47187648-2fb9-4564-a350-07c59a16c12c</t>
  </si>
  <si>
    <t>5C:C2:13:05:DD:9E</t>
  </si>
  <si>
    <t>100.95.215.69</t>
  </si>
  <si>
    <t>DDC-30</t>
  </si>
  <si>
    <t>DDC-265</t>
  </si>
  <si>
    <t>uuid://7a4ce1f1-7138-4e76-bbe4-ca4f52cd1976</t>
  </si>
  <si>
    <t>5C:C2:13:05:DC:24</t>
  </si>
  <si>
    <t>100.95.215.28</t>
  </si>
  <si>
    <t>DDC-266</t>
  </si>
  <si>
    <t>HVACCP-240</t>
  </si>
  <si>
    <t>uuid://07d958f7-cd31-4b95-9605-bfbef9ea298a</t>
  </si>
  <si>
    <t>5C:C2:13:05:DB:D0</t>
  </si>
  <si>
    <t>100.95.215.76</t>
  </si>
  <si>
    <t>DDC-33</t>
  </si>
  <si>
    <t>DDC-267</t>
  </si>
  <si>
    <t>uuid://8a5154e3-d8e4-4658-ad8b-b1df5e8c998c</t>
  </si>
  <si>
    <t>5C:C2:13:05:DD:CF</t>
  </si>
  <si>
    <t>100.95.215.42</t>
  </si>
  <si>
    <t>DDC-268</t>
  </si>
  <si>
    <t>HVACCP-241</t>
  </si>
  <si>
    <t>uuid://d3f236b0-8e0c-436e-8546-463da225e9df</t>
  </si>
  <si>
    <t>5C:C2:13:05:DC:29</t>
  </si>
  <si>
    <t>100.95.215.44</t>
  </si>
  <si>
    <t>DDC-31</t>
  </si>
  <si>
    <t>DDC-269</t>
  </si>
  <si>
    <t>uuid://6a9aef26-53ee-4ee6-bcb2-7e0cdf74b204</t>
  </si>
  <si>
    <t>5C:C2:13:05:DB:E0</t>
  </si>
  <si>
    <t>100.95.215.79</t>
  </si>
  <si>
    <t>DDC-270</t>
  </si>
  <si>
    <t>HVACCP-242</t>
  </si>
  <si>
    <t>uuid://76ae0373-95a5-4f8e-86c9-7fba87b03f73</t>
  </si>
  <si>
    <t>5C:C2:13:05:DB:8F</t>
  </si>
  <si>
    <t>100.95.215.70</t>
  </si>
  <si>
    <t>DDC-32</t>
  </si>
  <si>
    <t>DDC-271</t>
  </si>
  <si>
    <t>uuid://ea13530e-dd64-4119-8ce2-a30ae9a2ee53</t>
  </si>
  <si>
    <t>5C:C2:13:05:DB:E3</t>
  </si>
  <si>
    <t>100.95.215.80</t>
  </si>
  <si>
    <t>DDC-272</t>
  </si>
  <si>
    <t>HVACCP-243</t>
  </si>
  <si>
    <t>uuid://8c3e5d58-636d-45ed-a59a-41a2426c8fc9</t>
  </si>
  <si>
    <t>5C:C2:13:05:DD:57</t>
  </si>
  <si>
    <t>100.95.215.83</t>
  </si>
  <si>
    <t>DDC-34</t>
  </si>
  <si>
    <t>DDC-273</t>
  </si>
  <si>
    <t>uuid://698191b9-41a8-4702-aa5b-c2610c7616ee</t>
  </si>
  <si>
    <t>5C:C2:13:05:DB:E9</t>
  </si>
  <si>
    <t>100.95.215.77</t>
  </si>
  <si>
    <t>DDC-274</t>
  </si>
  <si>
    <t>HVACCP-244</t>
  </si>
  <si>
    <t>uuid://5336fbc0-cc3f-4819-a418-dda066fbea00</t>
  </si>
  <si>
    <t>5C:C2:13:05:DD:AA</t>
  </si>
  <si>
    <t>100.95.215.105</t>
  </si>
  <si>
    <t>DDC-35</t>
  </si>
  <si>
    <t>DDC-275</t>
  </si>
  <si>
    <t>uuid://49fb5711-3a68-4a63-bec9-18b1b3d71fef</t>
  </si>
  <si>
    <t>5C:C2:13:05:DB:85</t>
  </si>
  <si>
    <t>100.95.215.67</t>
  </si>
  <si>
    <t>DDC-276</t>
  </si>
  <si>
    <t>5</t>
  </si>
  <si>
    <t>HVACCP-245</t>
  </si>
  <si>
    <t>uuid://85875265-f491-46cd-a16f-096bfe0f5285</t>
  </si>
  <si>
    <t>5C:C2:13:05:DC:DE</t>
  </si>
  <si>
    <t>100.95.215.98</t>
  </si>
  <si>
    <t>DDC-36</t>
  </si>
  <si>
    <t>DDC-277</t>
  </si>
  <si>
    <t>uuid://a2269f35-0398-4634-9006-53398ca4f712</t>
  </si>
  <si>
    <t>5C:C2:13:05:DC:43</t>
  </si>
  <si>
    <t>100.95.214.211</t>
  </si>
  <si>
    <t>DDC-278</t>
  </si>
  <si>
    <t>HVACCP-246</t>
  </si>
  <si>
    <t>uuid://cc3b7ff9-5634-4512-92f2-86e15329efeb</t>
  </si>
  <si>
    <t>5C:C2:13:05:DB:E8</t>
  </si>
  <si>
    <t>100.95.215.189</t>
  </si>
  <si>
    <t>DDC-39</t>
  </si>
  <si>
    <t>DDC-279</t>
  </si>
  <si>
    <t>uuid://9bfc7b15-dcca-4180-b845-3f0d15558ca1</t>
  </si>
  <si>
    <t>5C:C2:13:05:DA:4A</t>
  </si>
  <si>
    <t>100.95.214.213</t>
  </si>
  <si>
    <t>DDC-280</t>
  </si>
  <si>
    <t>HVACCP-247</t>
  </si>
  <si>
    <t>uuid://66fc23e4-c8e2-4e81-b9fb-d9f68d36a9a5</t>
  </si>
  <si>
    <t>5C:C2:13:05:DC:45</t>
  </si>
  <si>
    <t>100.95.214.201</t>
  </si>
  <si>
    <t>DDC-37</t>
  </si>
  <si>
    <t>DDC-281</t>
  </si>
  <si>
    <t>uuid://5602d62a-9586-4ac0-a305-856cf2957dc3</t>
  </si>
  <si>
    <t>5C:C2:13:05:DB:87</t>
  </si>
  <si>
    <t>100.95.214.202</t>
  </si>
  <si>
    <t>DDC-282</t>
  </si>
  <si>
    <t>HVACCP-248</t>
  </si>
  <si>
    <t>uuid://17a34c3e-9210-4234-ad19-729872f6c44c</t>
  </si>
  <si>
    <t>5C:C2:13:05:DC:54</t>
  </si>
  <si>
    <t>100.95.214.131</t>
  </si>
  <si>
    <t>DDC-38</t>
  </si>
  <si>
    <t>DDC-283</t>
  </si>
  <si>
    <t>uuid://c02dd6a3-9a25-41eb-a776-7e46a78d70cc</t>
  </si>
  <si>
    <t>5C:C2:13:05:DA:56</t>
  </si>
  <si>
    <t>100.95.214.214</t>
  </si>
  <si>
    <t>DDC-284</t>
  </si>
  <si>
    <t>HVACCP-249</t>
  </si>
  <si>
    <t>uuid://2f9ecaf5-bada-4b6d-a6af-4e9eafacb84c</t>
  </si>
  <si>
    <t>5C:C2:13:05:DA:5D</t>
  </si>
  <si>
    <t>100.95.214.229</t>
  </si>
  <si>
    <t>DDC-41</t>
  </si>
  <si>
    <t>DDC-285</t>
  </si>
  <si>
    <t>uuid://2666271f-65b1-43d1-b5a4-76669e204761</t>
  </si>
  <si>
    <t>5C:C2:13:05:DB:C8</t>
  </si>
  <si>
    <t>100.95.214.241</t>
  </si>
  <si>
    <t>DDC-286</t>
  </si>
  <si>
    <t>HVACCP-250</t>
  </si>
  <si>
    <t>uuid://0641d5a3-2144-495d-945e-1f54d430a912</t>
  </si>
  <si>
    <t>5C:C2:13:05:DB:89</t>
  </si>
  <si>
    <t>100.95.214.170</t>
  </si>
  <si>
    <t>DDC-40</t>
  </si>
  <si>
    <t>DDC-287</t>
  </si>
  <si>
    <t>uuid://dfbb95b1-6b7a-4d4f-b8e0-4ed7f6f60765</t>
  </si>
  <si>
    <t>5C:C2:13:05:DB:E5</t>
  </si>
  <si>
    <t>100.95.214.223</t>
  </si>
  <si>
    <t>DDC-288</t>
  </si>
  <si>
    <t>6</t>
  </si>
  <si>
    <t>663</t>
  </si>
  <si>
    <t>HVACCP-251</t>
  </si>
  <si>
    <t>uuid://14e714ab-2e37-471a-a5fd-3d680832cc40</t>
  </si>
  <si>
    <t>5C:C2:13:05:DA:55</t>
  </si>
  <si>
    <t>100.95.215.7</t>
  </si>
  <si>
    <t>DDC-49</t>
  </si>
  <si>
    <t>DDC-289</t>
  </si>
  <si>
    <t>uuid://95d74681-3a7e-4e9a-abae-1c8b3d0ad098</t>
  </si>
  <si>
    <t>5C:C2:13:05:D6:55</t>
  </si>
  <si>
    <t>100.95.215.18</t>
  </si>
  <si>
    <t>DDC-290</t>
  </si>
  <si>
    <t>HVACCP-252</t>
  </si>
  <si>
    <t>uuid://b2deae73-462f-4be1-a1e4-7c97413bf34e</t>
  </si>
  <si>
    <t>5C:C2:13:05:DA:4C</t>
  </si>
  <si>
    <t>100.95.215.64</t>
  </si>
  <si>
    <t>DDC-46</t>
  </si>
  <si>
    <t>DDC-291</t>
  </si>
  <si>
    <t>uuid://8efacd68-a795-43d0-952f-91b76303f93e</t>
  </si>
  <si>
    <t>5C:C2:13:05:DC:22</t>
  </si>
  <si>
    <t>100.95.215.51</t>
  </si>
  <si>
    <t>DDC-292</t>
  </si>
  <si>
    <t>HVACCP-253</t>
  </si>
  <si>
    <t>uuid://708c6283-2e30-42be-a23e-3b8fcfd91e08</t>
  </si>
  <si>
    <t>5C:C2:13:05:DB:8E</t>
  </si>
  <si>
    <t>100.95.215.62</t>
  </si>
  <si>
    <t>DDC-44</t>
  </si>
  <si>
    <t>DDC-293</t>
  </si>
  <si>
    <t>uuid://68997bf0-4281-4bf0-b627-5249c4e64a6b</t>
  </si>
  <si>
    <t>5C:C2:13:05:DA:3C</t>
  </si>
  <si>
    <t>100.95.215.30</t>
  </si>
  <si>
    <t>DDC-294</t>
  </si>
  <si>
    <t>HVACCP-254</t>
  </si>
  <si>
    <t>uuid://2a843720-8a9b-410a-95c3-4c4792ac9c2f</t>
  </si>
  <si>
    <t>5C:C2:13:05:DB:D4</t>
  </si>
  <si>
    <t>100.95.215.47</t>
  </si>
  <si>
    <t>DDC-45</t>
  </si>
  <si>
    <t>DDC-295</t>
  </si>
  <si>
    <t>uuid://055fb66f-8350-4409-83af-63367c7826c4</t>
  </si>
  <si>
    <t>5C:C2:13:05:DD:55</t>
  </si>
  <si>
    <t>100.95.215.78</t>
  </si>
  <si>
    <t>DDC-296</t>
  </si>
  <si>
    <t>HVACCP-255</t>
  </si>
  <si>
    <t>uuid://518530b6-467b-4652-b772-f0dfcad5eeb5</t>
  </si>
  <si>
    <t>5C:C2:13:05:DC:12</t>
  </si>
  <si>
    <t>100.95.215.91</t>
  </si>
  <si>
    <t>DDC-48</t>
  </si>
  <si>
    <t>DDC-297</t>
  </si>
  <si>
    <t>uuid://1375279e-a059-4269-88ce-807fde3fa67f</t>
  </si>
  <si>
    <t>5C:C2:13:05:DC:3A</t>
  </si>
  <si>
    <t>100.95.215.75</t>
  </si>
  <si>
    <t>DDC-298</t>
  </si>
  <si>
    <t>HVACCP-256</t>
  </si>
  <si>
    <t>uuid://d9d0c0a5-9e36-4bbc-a70f-70fd248a4b0a</t>
  </si>
  <si>
    <t>5C:C2:13:05:DC:55</t>
  </si>
  <si>
    <t>100.95.215.90</t>
  </si>
  <si>
    <t>DDC-47</t>
  </si>
  <si>
    <t>DDC-299</t>
  </si>
  <si>
    <t>uuid://4d419f11-d8a6-4818-840c-2ad94d577d3f</t>
  </si>
  <si>
    <t>5C:C2:13:05:DC:4A</t>
  </si>
  <si>
    <t>100.95.215.100</t>
  </si>
  <si>
    <t>DDC-300</t>
  </si>
  <si>
    <t>7</t>
  </si>
  <si>
    <t>HVACCP-257</t>
  </si>
  <si>
    <t>uuid://57f8fb2c-f6a7-4e61-a30d-4e7d7e797b67</t>
  </si>
  <si>
    <t>5C:C2:13:05:DD:BE</t>
  </si>
  <si>
    <t>100.95.215.63</t>
  </si>
  <si>
    <t>HLI-059</t>
  </si>
  <si>
    <t>DDC-301</t>
  </si>
  <si>
    <t>uuid://696d0eba-2c93-4184-a074-6de9e4f885b3</t>
  </si>
  <si>
    <t>5C:C2:13:05:DC:1F</t>
  </si>
  <si>
    <t>100.95.215.59</t>
  </si>
  <si>
    <t>DDC-302</t>
  </si>
  <si>
    <t>HVACCP-258</t>
  </si>
  <si>
    <t>uuid://02673cea-a6dd-40f0-9742-83ce15d006d5</t>
  </si>
  <si>
    <t>5C:C2:13:05:DC:FA</t>
  </si>
  <si>
    <t>100.95.215.107</t>
  </si>
  <si>
    <t>DDC-52</t>
  </si>
  <si>
    <t>DDC-303</t>
  </si>
  <si>
    <t>uuid://8cb6ef71-a324-4f22-9d58-d9424822bda8</t>
  </si>
  <si>
    <t>5C:C2:13:05:DB:DC</t>
  </si>
  <si>
    <t>100.95.215.104</t>
  </si>
  <si>
    <t>DDC-304</t>
  </si>
  <si>
    <t>HVACCP-259</t>
  </si>
  <si>
    <t>uuid://4024fcd6-dd60-4021-9a53-e1b8baab8fea</t>
  </si>
  <si>
    <t>5C:C2:13:05:DD:56</t>
  </si>
  <si>
    <t>100.95.215.112</t>
  </si>
  <si>
    <t>DDC-50</t>
  </si>
  <si>
    <t>DDC-305</t>
  </si>
  <si>
    <t>uuid://f839b55d-4829-4f1f-8b74-711bb9f7c218</t>
  </si>
  <si>
    <t>5C:C2:13:05:DA:59</t>
  </si>
  <si>
    <t>100.95.214.254</t>
  </si>
  <si>
    <t>DDC-306</t>
  </si>
  <si>
    <t>HVACCP-260</t>
  </si>
  <si>
    <t>uuid://0fd768e7-90ef-4c09-a739-2b5a33e9e6a2</t>
  </si>
  <si>
    <t>5C:C2:13:05:DB:88</t>
  </si>
  <si>
    <t>100.95.214.219</t>
  </si>
  <si>
    <t>DDC-51</t>
  </si>
  <si>
    <t>DDC-307</t>
  </si>
  <si>
    <t>uuid://85fe1c59-6be2-41ca-9352-3380eba7858f</t>
  </si>
  <si>
    <t>5C:C2:13:05:DB:E1</t>
  </si>
  <si>
    <t>100.95.214.149</t>
  </si>
  <si>
    <t>DDC-308</t>
  </si>
  <si>
    <t>HVACCP-261</t>
  </si>
  <si>
    <t>uuid://58d034cd-752d-4ab5-a620-55dfb8edb52b</t>
  </si>
  <si>
    <t>5C:C2:13:05:DC:10</t>
  </si>
  <si>
    <t>100.95.214.233</t>
  </si>
  <si>
    <t>DDC-54</t>
  </si>
  <si>
    <t>DDC-309</t>
  </si>
  <si>
    <t>uuid://8b490867-3a7a-4413-8e24-7c504c7688eb</t>
  </si>
  <si>
    <t>5C:C2:13:05:DD:45</t>
  </si>
  <si>
    <t>100.95.214.220</t>
  </si>
  <si>
    <t>DDC-310</t>
  </si>
  <si>
    <t>HVACCP-262</t>
  </si>
  <si>
    <t>uuid://bfc9ce60-cf08-4976-8ff5-76b80f7f947e</t>
  </si>
  <si>
    <t>5C:C2:13:05:DD:97</t>
  </si>
  <si>
    <t>100.95.214.239</t>
  </si>
  <si>
    <t>DDC-53</t>
  </si>
  <si>
    <t>DDC-311</t>
  </si>
  <si>
    <t>uuid://b2b0701a-51b6-41d7-a275-52a03e455a23</t>
  </si>
  <si>
    <t>5C:C2:13:05:DC:16</t>
  </si>
  <si>
    <t>100.95.214.251</t>
  </si>
  <si>
    <t>DDC-312</t>
  </si>
  <si>
    <t>8</t>
  </si>
  <si>
    <t>HVACCP-263</t>
  </si>
  <si>
    <t>uuid://6c8ae8a1-7bc6-4396-a261-687b21daa3e0</t>
  </si>
  <si>
    <t>5C:C2:13:05:DA:57</t>
  </si>
  <si>
    <t>100.95.215.5</t>
  </si>
  <si>
    <t>HLI-67</t>
  </si>
  <si>
    <t>DDC-313</t>
  </si>
  <si>
    <t>uuid://7a16fbb5-e41f-4a1a-9637-d8d323fae267</t>
  </si>
  <si>
    <t>5C:C2:13:05:DC:13</t>
  </si>
  <si>
    <t>100.95.214.218</t>
  </si>
  <si>
    <t>DDC-314</t>
  </si>
  <si>
    <t>HVACCP-264</t>
  </si>
  <si>
    <t>uuid://cb5919ff-68d7-4036-a9ff-58db120232c8</t>
  </si>
  <si>
    <t>5C:C2:13:05:DB:E6</t>
  </si>
  <si>
    <t>100.95.215.14</t>
  </si>
  <si>
    <t>DDC-57</t>
  </si>
  <si>
    <t>DDC-315</t>
  </si>
  <si>
    <t>uuid://6a45ae6c-7f97-44c0-bbec-4dc61c6bbe91</t>
  </si>
  <si>
    <t>5C:C2:13:05:DB:81</t>
  </si>
  <si>
    <t>100.95.214.124</t>
  </si>
  <si>
    <t>DDC-316</t>
  </si>
  <si>
    <t>HVACCP-265</t>
  </si>
  <si>
    <t>uuid://0066ae70-7950-4732-bfd3-37f7bac24c1a</t>
  </si>
  <si>
    <t>5C:C2:13:05:DB:C7</t>
  </si>
  <si>
    <t>100.95.215.11</t>
  </si>
  <si>
    <t>DDC-55</t>
  </si>
  <si>
    <t>DDC-317</t>
  </si>
  <si>
    <t>uuid://c7ef4322-9676-4c26-a9c4-2e20b1cdff9d</t>
  </si>
  <si>
    <t>5C:C2:13:05:DB:F6</t>
  </si>
  <si>
    <t>100.95.215.15</t>
  </si>
  <si>
    <t>DDC-318</t>
  </si>
  <si>
    <t>HVACCP-266</t>
  </si>
  <si>
    <t>uuid://0fab45a7-4f6d-4759-8baa-0700284da854</t>
  </si>
  <si>
    <t>5C:C2:13:05:DD:BD</t>
  </si>
  <si>
    <t>100.95.215.20</t>
  </si>
  <si>
    <t>DDC-56</t>
  </si>
  <si>
    <t>DDC-319</t>
  </si>
  <si>
    <t>uuid://0cfa4cfe-69a7-40b0-8f82-c47dbb474005</t>
  </si>
  <si>
    <t>5C:C2:13:05:DC:18</t>
  </si>
  <si>
    <t>100.95.215.33</t>
  </si>
  <si>
    <t>DDC-320</t>
  </si>
  <si>
    <t>HVACCP-267</t>
  </si>
  <si>
    <t>uuid://aa89e2c0-8cd6-41d8-a612-eda407325255</t>
  </si>
  <si>
    <t>5C:C2:13:06:DD:B9</t>
  </si>
  <si>
    <t>100.95.215.22</t>
  </si>
  <si>
    <t>HLI-73</t>
  </si>
  <si>
    <t>DDC-321</t>
  </si>
  <si>
    <t>uuid://41be248b-23a9-470f-88db-5d9ecf5c4bc2</t>
  </si>
  <si>
    <t>5C:C2:13:05:DB:94</t>
  </si>
  <si>
    <t>100.95.214.205</t>
  </si>
  <si>
    <t>DDC-322</t>
  </si>
  <si>
    <t>HVACCP-268</t>
  </si>
  <si>
    <t>uuid://7dee5d9c-0990-4f83-b38a-87803daca8b1</t>
  </si>
  <si>
    <t>5C:C2:13:05:DA:60</t>
  </si>
  <si>
    <t>100.95.214.243</t>
  </si>
  <si>
    <t>HLI-76</t>
  </si>
  <si>
    <t>DDC-323</t>
  </si>
  <si>
    <t>uuid://a0140c57-8ef6-45b4-9fac-2f34cdab2d47</t>
  </si>
  <si>
    <t>5C:C2:13:05:DA:4B</t>
  </si>
  <si>
    <t>100.95.215.43</t>
  </si>
  <si>
    <t>DDC-324</t>
  </si>
  <si>
    <t>9</t>
  </si>
  <si>
    <t>HVACCP-269</t>
  </si>
  <si>
    <t>uuid://d8115dac-d611-437a-ad3e-a21f89bee657</t>
  </si>
  <si>
    <t>5C:C2:13:06:87:77</t>
  </si>
  <si>
    <t>100.95.215.52</t>
  </si>
  <si>
    <t>HLI-75</t>
  </si>
  <si>
    <t>DDC-325</t>
  </si>
  <si>
    <t>uuid://ed1995cc-e1cf-498e-a3fc-e2f9d500942d</t>
  </si>
  <si>
    <t>5C:C2:13:06:8D:AA</t>
  </si>
  <si>
    <t>100.95.215.13</t>
  </si>
  <si>
    <t>DDC-326</t>
  </si>
  <si>
    <t>HVACCP-270</t>
  </si>
  <si>
    <t>uuid://7cc162fe-e478-4220-88cb-5dd37b417b9e</t>
  </si>
  <si>
    <t>5C:C2:13:05:DC:09</t>
  </si>
  <si>
    <t>100.95.215.2</t>
  </si>
  <si>
    <t>DDC-327</t>
  </si>
  <si>
    <t>uuid://efbc1193-ff7b-4ebb-b625-6c3694cd9808</t>
  </si>
  <si>
    <t>5C:C2:13:06:8D:9F</t>
  </si>
  <si>
    <t>100.95.214.190</t>
  </si>
  <si>
    <t>DDC-328</t>
  </si>
  <si>
    <t>HVACCP-271</t>
  </si>
  <si>
    <t>uuid://fca941a9-7a1a-46fb-afbb-d26c092e29de</t>
  </si>
  <si>
    <t>5C:C2:13:06:87:74</t>
  </si>
  <si>
    <t>100.95.214.217</t>
  </si>
  <si>
    <t>DDC-59</t>
  </si>
  <si>
    <t>DDC-329</t>
  </si>
  <si>
    <t>uuid://3d329fe3-33bb-4c03-9441-8c8fd145f347</t>
  </si>
  <si>
    <t>5C:C2:13:06:87:88</t>
  </si>
  <si>
    <t>100.95.214.224</t>
  </si>
  <si>
    <t>DDC-330</t>
  </si>
  <si>
    <t>HVACCP-272</t>
  </si>
  <si>
    <t>uuid://da91bed2-4bbf-4819-8310-2cd5c3a2ea1a</t>
  </si>
  <si>
    <t>5C:C2:13:06:8D:A2</t>
  </si>
  <si>
    <t>100.95.214.226</t>
  </si>
  <si>
    <t>DDC-60</t>
  </si>
  <si>
    <t>DDC-331</t>
  </si>
  <si>
    <t>uuid://7ed5e48e-aaa0-4ab8-9e8c-cb593c6286d5</t>
  </si>
  <si>
    <t>5C:C2:13:06:8D:7E</t>
  </si>
  <si>
    <t>100.95.214.234</t>
  </si>
  <si>
    <t>DDC-332</t>
  </si>
  <si>
    <t>HVACCP-273</t>
  </si>
  <si>
    <t>uuid://46bda16f-02e7-4277-ba59-57c41b4a3d84</t>
  </si>
  <si>
    <t>5C:C2:13:06:8D:A8</t>
  </si>
  <si>
    <t>100.95.214.246</t>
  </si>
  <si>
    <t>DDC-58</t>
  </si>
  <si>
    <t>DDC-333</t>
  </si>
  <si>
    <t>uuid://4d9682ea-0e2d-43b6-b684-1d2fb915144e</t>
  </si>
  <si>
    <t>5C:C2:13:05:DB:F8</t>
  </si>
  <si>
    <t>100.95.214.225</t>
  </si>
  <si>
    <t>DDC-334</t>
  </si>
  <si>
    <t>HVACCP-274</t>
  </si>
  <si>
    <t>uuid://8ba80a8f-1a0c-4e3b-ac61-3d9fe1a3d28e</t>
  </si>
  <si>
    <t>5C:C2:13:06:8D:83</t>
  </si>
  <si>
    <t>100.95.215.10</t>
  </si>
  <si>
    <t>DDC-61</t>
  </si>
  <si>
    <t>DDC-335</t>
  </si>
  <si>
    <t>uuid://f666b1cd-6b8d-4ef9-8da9-e1e7b6dd9cf1</t>
  </si>
  <si>
    <t>5C:C2:13:06:8D:96</t>
  </si>
  <si>
    <t>100.95.214.173</t>
  </si>
  <si>
    <t>DDC-336</t>
  </si>
  <si>
    <t>10</t>
  </si>
  <si>
    <t>10C4</t>
  </si>
  <si>
    <t>HVACCP-275</t>
  </si>
  <si>
    <t>uuid://49903f1e-e070-4526-aee6-aa23587b6306</t>
  </si>
  <si>
    <t>5C:C2:13:06:8D:6D</t>
  </si>
  <si>
    <t>100.95.214.194</t>
  </si>
  <si>
    <t>HLI-82</t>
  </si>
  <si>
    <t>DDC-337</t>
  </si>
  <si>
    <t>uuid://92b1911a-194c-4466-9481-b2d76006925b</t>
  </si>
  <si>
    <t>5C:C2:13:06:8D:71</t>
  </si>
  <si>
    <t>100.95.214.238</t>
  </si>
  <si>
    <t>DDC-338</t>
  </si>
  <si>
    <t>HVACCP-276</t>
  </si>
  <si>
    <t>uuid://a8e5ae5f-cc6a-42ae-8344-60300ebd1755</t>
  </si>
  <si>
    <t>5C:C2:13:06:8D:8C</t>
  </si>
  <si>
    <t>100.95.214.245</t>
  </si>
  <si>
    <t>DDC-66</t>
  </si>
  <si>
    <t>DDC-339</t>
  </si>
  <si>
    <t>uuid://4f1fc4df-06dd-4734-8c1a-f93040d72e24</t>
  </si>
  <si>
    <t>5C:C2:13:06:8D:99</t>
  </si>
  <si>
    <t>100.95.214.174</t>
  </si>
  <si>
    <t>DDC-340</t>
  </si>
  <si>
    <t>HVACCP-277</t>
  </si>
  <si>
    <t>uuid://2bd84e96-0a00-4554-b489-24b918629c6f</t>
  </si>
  <si>
    <t>5C:C2:13:05:DC:3C</t>
  </si>
  <si>
    <t>100.95.215.31</t>
  </si>
  <si>
    <t>DDC-64</t>
  </si>
  <si>
    <t>DDC-341</t>
  </si>
  <si>
    <t>uuid://d8d26a29-86ee-4e9d-a9b0-bc4173b7c9d9</t>
  </si>
  <si>
    <t>5C:C2:13:05:C2:3D</t>
  </si>
  <si>
    <t>100.95.215.29</t>
  </si>
  <si>
    <t>DDC-342</t>
  </si>
  <si>
    <t>HVACCP-278</t>
  </si>
  <si>
    <t>uuid://11294498-4bd1-49a6-8980-3afcfb11612e</t>
  </si>
  <si>
    <t>5C:C2:13:06:87:81</t>
  </si>
  <si>
    <t>100.95.215.26</t>
  </si>
  <si>
    <t>DDC-65</t>
  </si>
  <si>
    <t>DDC-343</t>
  </si>
  <si>
    <t>uuid://f9b32f16-86f0-4635-954f-d12d2373eb8c</t>
  </si>
  <si>
    <t>5C:C2:13:06:8D:A1</t>
  </si>
  <si>
    <t>100.95.215.37</t>
  </si>
  <si>
    <t>DDC-344</t>
  </si>
  <si>
    <t>HVACCP-279</t>
  </si>
  <si>
    <t>uuid://817924fc-2777-433a-9cee-c4a58f4b31ca</t>
  </si>
  <si>
    <t>5C:C2:13:06:87:9A</t>
  </si>
  <si>
    <t>100.95.215.25</t>
  </si>
  <si>
    <t>DDC-68</t>
  </si>
  <si>
    <t>DDC-345</t>
  </si>
  <si>
    <t>uuid://1a58def1-7f5d-4d85-883f-b985673975cd</t>
  </si>
  <si>
    <t>5C:C2:13:06:8D:A3</t>
  </si>
  <si>
    <t>100.95.215.35</t>
  </si>
  <si>
    <t>DDC-346</t>
  </si>
  <si>
    <t>HVACCP-280</t>
  </si>
  <si>
    <t>uuid://dc09e627-3ae4-4cda-b682-7317d959d3f3</t>
  </si>
  <si>
    <t>5C:C2:13:06:8D:85</t>
  </si>
  <si>
    <t>DDC-67</t>
  </si>
  <si>
    <t>DDC-347</t>
  </si>
  <si>
    <t>uuid://165e5d8c-54b1-4633-b974-0172ec0c52d5</t>
  </si>
  <si>
    <t>5C:C2:13:06:8D:93</t>
  </si>
  <si>
    <t>DDC-348</t>
  </si>
  <si>
    <t>11</t>
  </si>
  <si>
    <t>1163</t>
  </si>
  <si>
    <t>HVACCP-281</t>
  </si>
  <si>
    <t>uuid://2c9b5a09-a5ef-4727-8a13-740690d8745b</t>
  </si>
  <si>
    <t>5C:C2:13:06:8D:9C</t>
  </si>
  <si>
    <t>100.95.215.56</t>
  </si>
  <si>
    <t>HLI-90</t>
  </si>
  <si>
    <t>DDC-349</t>
  </si>
  <si>
    <t>uuid://914eeda4-86e9-49f5-b973-d989b59331c3</t>
  </si>
  <si>
    <t>5C:C2:13:06:89:49</t>
  </si>
  <si>
    <t>100.95.214.250</t>
  </si>
  <si>
    <t>DDC-350</t>
  </si>
  <si>
    <t>1175</t>
  </si>
  <si>
    <t>HVACCP-282</t>
  </si>
  <si>
    <t>uuid://dcc690c6-4c3d-4a2f-a937-4e8c7405fb50</t>
  </si>
  <si>
    <t>5C:C2:13:06:89:5F</t>
  </si>
  <si>
    <t>100.95.214.210</t>
  </si>
  <si>
    <t>DDC-72</t>
  </si>
  <si>
    <t>DDC-351</t>
  </si>
  <si>
    <t>uuid://ae38d33d-f3eb-47fb-bffa-bf802da7c6b5</t>
  </si>
  <si>
    <t>5C:C2:13:06:D9:5F</t>
  </si>
  <si>
    <t>100.95.214.92</t>
  </si>
  <si>
    <t>DDC-352</t>
  </si>
  <si>
    <t>1119</t>
  </si>
  <si>
    <t>HVACCP-283</t>
  </si>
  <si>
    <t>uuid://de3a2adb-d593-4715-9e60-8d19bd2a4648</t>
  </si>
  <si>
    <t>5C:C2:13:06:8D:91</t>
  </si>
  <si>
    <t>100.95.214.235</t>
  </si>
  <si>
    <t>DDC-70</t>
  </si>
  <si>
    <t>DDC-353</t>
  </si>
  <si>
    <t>uuid://95fa44e5-ed6f-4743-9315-b0c80a06a679</t>
  </si>
  <si>
    <t>5C:C2:13:06:87:6F</t>
  </si>
  <si>
    <t>100.95.214.215</t>
  </si>
  <si>
    <t>DDC-354</t>
  </si>
  <si>
    <t>1148</t>
  </si>
  <si>
    <t>HVACCP-284</t>
  </si>
  <si>
    <t>uuid://fb8560c5-eb56-4378-81f2-368b1afbfd7e</t>
  </si>
  <si>
    <t>5C:C2:13:06:85:E4</t>
  </si>
  <si>
    <t>100.95.214.221</t>
  </si>
  <si>
    <t>DDC-71</t>
  </si>
  <si>
    <t>DDC-355</t>
  </si>
  <si>
    <t>uuid://2c6bee09-9ff8-4160-989e-199d41cfb5b7</t>
  </si>
  <si>
    <t>5C:C2:13:06:8D:A6</t>
  </si>
  <si>
    <t>100.95.214.231</t>
  </si>
  <si>
    <t>DDC-356</t>
  </si>
  <si>
    <t>1133</t>
  </si>
  <si>
    <t>HVACCP-285</t>
  </si>
  <si>
    <t>uuid://f0a1c64b-cc09-40e2-8baa-884eb3eb14e6</t>
  </si>
  <si>
    <t>5C:C2:13:06:87:96</t>
  </si>
  <si>
    <t>100.95.215.4</t>
  </si>
  <si>
    <t>HLI-96</t>
  </si>
  <si>
    <t>DDC-357</t>
  </si>
  <si>
    <t>uuid://d0b42074-726b-44d0-b175-2a57929b5cca</t>
  </si>
  <si>
    <t>5C:C2:13:05:DB:8C</t>
  </si>
  <si>
    <t>100.95.215.239</t>
  </si>
  <si>
    <t>DDC-358</t>
  </si>
  <si>
    <t>1134</t>
  </si>
  <si>
    <t>HVACCP-286</t>
  </si>
  <si>
    <t>uuid://fa188101-5795-4c02-b849-b8724c10fce7</t>
  </si>
  <si>
    <t>5C:C2:13:06:89:36</t>
  </si>
  <si>
    <t>100.95.215.252</t>
  </si>
  <si>
    <t>DDC--73</t>
  </si>
  <si>
    <t>DDC-359</t>
  </si>
  <si>
    <t>uuid://56340620-761d-420a-b8be-829233511f7c</t>
  </si>
  <si>
    <t>5C:C2:13:06:8D:EC</t>
  </si>
  <si>
    <t>100.95.215.117</t>
  </si>
  <si>
    <t>DDC-360</t>
  </si>
  <si>
    <t>Roof</t>
  </si>
  <si>
    <t>HVACCP-287</t>
  </si>
  <si>
    <t>uuid://2b0e4823-456b-4464-80bf-303bd00d7711</t>
  </si>
  <si>
    <t>5C:C2:13:06:87:8E</t>
  </si>
  <si>
    <t>100.95.214.163</t>
  </si>
  <si>
    <t>HLI-112</t>
  </si>
  <si>
    <t>DDC-361</t>
  </si>
  <si>
    <t>uuid://62fa2251-6b5c-4283-b1d9-c2de5fccc97f</t>
  </si>
  <si>
    <t>5C:C2:13:06:8D:9B</t>
  </si>
  <si>
    <t>100.95.214.232</t>
  </si>
  <si>
    <t>DDC-362</t>
  </si>
  <si>
    <t>HVACCP-288</t>
  </si>
  <si>
    <t>uuid://f33d7caa-f2e7-4c74-a390-a99479361171</t>
  </si>
  <si>
    <t>5C:C2:13:05:DC:05</t>
  </si>
  <si>
    <t>100.95.215.24</t>
  </si>
  <si>
    <t>DDC-363</t>
  </si>
  <si>
    <t>HVACCP-289</t>
  </si>
  <si>
    <t>uuid://71afdd41-d065-403c-8027-f38c5ddd6d40</t>
  </si>
  <si>
    <t>5C:C2:13:06:8D:72</t>
  </si>
  <si>
    <t>100.95.215.0</t>
  </si>
  <si>
    <t>DDC-364</t>
  </si>
  <si>
    <t>HVACCP-290</t>
  </si>
  <si>
    <t>uuid://7980d338-9f29-4b3f-bc52-ad2a4a899fc1</t>
  </si>
  <si>
    <t>5C:C2:13:06:8D:98</t>
  </si>
  <si>
    <t>100.95.215.240</t>
  </si>
  <si>
    <t>DDC-365</t>
  </si>
  <si>
    <t>HVACCP-291</t>
  </si>
  <si>
    <t>uuid://9d9a0405-69d8-435f-9e17-e31156964e4c</t>
  </si>
  <si>
    <t>5C:C2:13:05:DB:EB</t>
  </si>
  <si>
    <t>100.95.214.247</t>
  </si>
  <si>
    <t>DDC-366</t>
  </si>
  <si>
    <t>uuid://cbf3a9d9-ae84-4128-a345-1e2960959560</t>
  </si>
  <si>
    <t>5C:C2:13:05:DB:D9</t>
  </si>
  <si>
    <t>100.95.215.12</t>
  </si>
  <si>
    <t>DDC-367</t>
  </si>
  <si>
    <t>HVACCP-292</t>
  </si>
  <si>
    <t>uuid://8fa79af1-907c-4012-bec4-d7b485fee812</t>
  </si>
  <si>
    <t>5C:C2:13:06:89:4C</t>
  </si>
  <si>
    <t>100.95.215.39</t>
  </si>
  <si>
    <t>DDC-368</t>
  </si>
  <si>
    <t>uuid://06eb5b30-5602-4fd1-b002-3512d53c9257</t>
  </si>
  <si>
    <t>5C:C2:13:06:87:69</t>
  </si>
  <si>
    <t>100.95.215.32</t>
  </si>
  <si>
    <t>DDC-369</t>
  </si>
  <si>
    <t>HVACCP-293</t>
  </si>
  <si>
    <t>uuid://34c10833-bade-44c0-8fb9-a1a9f661e1f0</t>
  </si>
  <si>
    <t>5C:C2:13:06:87:95</t>
  </si>
  <si>
    <t>100.95.214.166</t>
  </si>
  <si>
    <t>DDC-370</t>
  </si>
  <si>
    <t>uuid://636567e0-7534-4e72-a22a-1830d807f7e9</t>
  </si>
  <si>
    <t>5C:C2:13:06:87:80</t>
  </si>
  <si>
    <t>100.95.215.41</t>
  </si>
  <si>
    <t>HLI-5</t>
  </si>
  <si>
    <t>DDC-371</t>
  </si>
  <si>
    <t>BM</t>
  </si>
  <si>
    <t>3M53</t>
  </si>
  <si>
    <t>HVACCP-294</t>
  </si>
  <si>
    <t>uuid://f570e494-a574-4f57-a7c1-013e656421e2</t>
  </si>
  <si>
    <t>5C:C2:13:06:87:6A</t>
  </si>
  <si>
    <t>100.95.215.36</t>
  </si>
  <si>
    <t>DDC-372</t>
  </si>
  <si>
    <t>HVACCP-295</t>
  </si>
  <si>
    <t>uuid://e7002d83-82c3-4e4e-bbcd-457ce2c923c6</t>
  </si>
  <si>
    <t>5C:C2:13:05:DB:97</t>
  </si>
  <si>
    <t>100.95.214.230</t>
  </si>
  <si>
    <t>DDC-373</t>
  </si>
  <si>
    <t>uuid://bd4623ce-b295-4879-a820-8d9605d1f91d</t>
  </si>
  <si>
    <t>5C:C2:13:05:DD:41</t>
  </si>
  <si>
    <t>100.95.215.54</t>
  </si>
  <si>
    <t>DDC-374</t>
  </si>
  <si>
    <t>HVACCP-296</t>
  </si>
  <si>
    <t>uuid://4b066c6e-db45-4bd9-9351-a801b6dd3496</t>
  </si>
  <si>
    <t>5C:C2:13:05:DB:DD</t>
  </si>
  <si>
    <t>100.95.214.248</t>
  </si>
  <si>
    <t>DDC-375</t>
  </si>
  <si>
    <t>uuid://f483ca42-7a32-4c49-9b69-32e0a8d000ad</t>
  </si>
  <si>
    <t>5C:C2:13:05:DB:DE</t>
  </si>
  <si>
    <t>100.95.215.40</t>
  </si>
  <si>
    <t>DDC-376</t>
  </si>
  <si>
    <t>HVACCP-297</t>
  </si>
  <si>
    <t>uuid://f643add4-44d4-4878-a0da-c231f949a557</t>
  </si>
  <si>
    <t>5C:C2:13:05:8F:84</t>
  </si>
  <si>
    <t>100.95.214.70</t>
  </si>
  <si>
    <t>DDC-377</t>
  </si>
  <si>
    <t>HVACCP-298</t>
  </si>
  <si>
    <t>uuid://aa0dd8ff-2344-4aeb-9d90-40e18f201c70</t>
  </si>
  <si>
    <t>5C:C2:13:07:7A:03</t>
  </si>
  <si>
    <t>100.95.214.12</t>
  </si>
  <si>
    <t>DDC-378</t>
  </si>
  <si>
    <t>HVACCP-299</t>
  </si>
  <si>
    <t>uuid://fb556347-4075-4d9a-a42e-3530a60a0952</t>
  </si>
  <si>
    <t>5C:C2:13:07:7A:4C</t>
  </si>
  <si>
    <t>100.95.215.103</t>
  </si>
  <si>
    <t>HLI-201</t>
  </si>
  <si>
    <t>HLI</t>
  </si>
  <si>
    <t>uuid://703cdf42-3c94-4429-be79-c58a3e7abbee</t>
  </si>
  <si>
    <t>7.8(r625)</t>
  </si>
  <si>
    <t>BACnet IP, Modbus RTU</t>
  </si>
  <si>
    <t>B8:27:EB:7E:CA:FE</t>
  </si>
  <si>
    <t>100.95.215.19</t>
  </si>
  <si>
    <t>HLI-9</t>
  </si>
  <si>
    <t>HLI-202</t>
  </si>
  <si>
    <t>uuid://1940f66c-1506-4745-b117-b71fcff25e29</t>
  </si>
  <si>
    <t>B8:27:EB:31:28:A9</t>
  </si>
  <si>
    <t>100.95.215.110</t>
  </si>
  <si>
    <t>HLI-3</t>
  </si>
  <si>
    <t>HLI-203</t>
  </si>
  <si>
    <t>uuid://c4739f4b-6d9a-41bd-9b39-0499ca9bb8b0</t>
  </si>
  <si>
    <t>B8:27:EB:D2:50:12</t>
  </si>
  <si>
    <t>100.95.215.89</t>
  </si>
  <si>
    <t>HLI-204</t>
  </si>
  <si>
    <t>uuid://d9c4997a-ef68-4686-8b14-9bfe3b24a1b5</t>
  </si>
  <si>
    <t>B8:27:EB:E8:B4:3F</t>
  </si>
  <si>
    <t>100.95.215.87</t>
  </si>
  <si>
    <t>HLI-205</t>
  </si>
  <si>
    <t>uuid://6ccb4429-cd03-4698-aaa9-de2a31ba9f4e</t>
  </si>
  <si>
    <t>B8:27:EB:1F:CF:FE</t>
  </si>
  <si>
    <t>100.95.215.74</t>
  </si>
  <si>
    <t>HLI-206</t>
  </si>
  <si>
    <t>uuid://c313e2a5-9131-4de9-95d8-dbdc41278e27</t>
  </si>
  <si>
    <t>B8:27:EB:68:DF:B6</t>
  </si>
  <si>
    <t>100.95.215.134</t>
  </si>
  <si>
    <t>HLI-207</t>
  </si>
  <si>
    <t>uuid://4e11f245-9e7c-461e-8333-2de39cbc4ecf</t>
  </si>
  <si>
    <t>B8:27:EB:73:58:EF</t>
  </si>
  <si>
    <t>100.95.215.118</t>
  </si>
  <si>
    <t>HLI-208</t>
  </si>
  <si>
    <t>uuid://4137e9d1-55e7-426e-a7ce-42c5791c72ed</t>
  </si>
  <si>
    <t>B8:27:EB:B1:CB:B1</t>
  </si>
  <si>
    <t>100.95.215.119</t>
  </si>
  <si>
    <t>HLI-209</t>
  </si>
  <si>
    <t>uuid://1ddccd80-34f7-460e-9811-306d804c348a</t>
  </si>
  <si>
    <t>B8:27:EB:C2:6D:B4</t>
  </si>
  <si>
    <t>100.95.215.151</t>
  </si>
  <si>
    <t>HLI-8</t>
  </si>
  <si>
    <t>HLI-210</t>
  </si>
  <si>
    <t>uuid://dc06620b-3aee-47d8-bbc0-ff54803dd52b</t>
  </si>
  <si>
    <t>B8:27:EB:A9:2D:7A</t>
  </si>
  <si>
    <t>100.95.215.96</t>
  </si>
  <si>
    <t>HLI-211</t>
  </si>
  <si>
    <t>163</t>
  </si>
  <si>
    <t>uuid://fdbd1d5b-f7ca-4b82-bc09-6d232c7a01e4</t>
  </si>
  <si>
    <t>B8:27:EB:85:FE:65</t>
  </si>
  <si>
    <t>100.95.215.45</t>
  </si>
  <si>
    <t>HLI-212</t>
  </si>
  <si>
    <t>175</t>
  </si>
  <si>
    <t>uuid://1d945ade-2d1b-4a51-9651-5e050dec213c</t>
  </si>
  <si>
    <t>B8:27:EB:6A:5A:81</t>
  </si>
  <si>
    <t>100.95.215.108</t>
  </si>
  <si>
    <t>HLI-213</t>
  </si>
  <si>
    <t>248</t>
  </si>
  <si>
    <t>uuid://9391a76e-ecd5-4670-96b5-8db8f27e8fec</t>
  </si>
  <si>
    <t>B8:27:EB:EB:9F:A6</t>
  </si>
  <si>
    <t>100.95.215.120</t>
  </si>
  <si>
    <t>HLI-214</t>
  </si>
  <si>
    <t>234</t>
  </si>
  <si>
    <t>uuid://64eaf74d-0653-477b-a226-f767d5747e84</t>
  </si>
  <si>
    <t>B8:27:EB:91:A0:1B</t>
  </si>
  <si>
    <t>100.95.215.141</t>
  </si>
  <si>
    <t>HLI-215</t>
  </si>
  <si>
    <t>363</t>
  </si>
  <si>
    <t>uuid://fbd9b26d-b4dc-4754-a9c9-b6ea0ffee9ad</t>
  </si>
  <si>
    <t>B8:27:EB:E3:3A:6B</t>
  </si>
  <si>
    <t>100.95.215.58</t>
  </si>
  <si>
    <t>HLI-59</t>
  </si>
  <si>
    <t>HLI-216</t>
  </si>
  <si>
    <t>419</t>
  </si>
  <si>
    <t>uuid://9ddfce80-b33d-44bf-91e0-7e77571615c7</t>
  </si>
  <si>
    <t>B8:27:EB:5C:50:E6</t>
  </si>
  <si>
    <t xml:space="preserve">
100.95.215.73</t>
  </si>
  <si>
    <t>HLI-217</t>
  </si>
  <si>
    <t>448</t>
  </si>
  <si>
    <t>uuid://ce6693fa-e342-480b-821d-0637d3898bab</t>
  </si>
  <si>
    <t>B8:27:EB:E5:F0:39</t>
  </si>
  <si>
    <t>100.95.215.113</t>
  </si>
  <si>
    <t>HLI-218</t>
  </si>
  <si>
    <t>475</t>
  </si>
  <si>
    <t>uuid://f6a46821-5f00-4fed-b24c-eb091695e80b</t>
  </si>
  <si>
    <t>B8:27:EB:70:3A:EE</t>
  </si>
  <si>
    <t>100.95.215.116</t>
  </si>
  <si>
    <t>HLI-219</t>
  </si>
  <si>
    <t>533</t>
  </si>
  <si>
    <t>uuid://307e74f4-a36c-41cf-8b94-58f209a68b6b</t>
  </si>
  <si>
    <t>B8:27:EB:95:96:A1</t>
  </si>
  <si>
    <t>100.95.215.82</t>
  </si>
  <si>
    <t>HLI-220</t>
  </si>
  <si>
    <t>534</t>
  </si>
  <si>
    <t>uuid://394413c3-6c5e-41db-a1eb-65f7868fe439</t>
  </si>
  <si>
    <t>B8:27:EB:BD:3F:ED</t>
  </si>
  <si>
    <t>100.95.215.38</t>
  </si>
  <si>
    <t>HLI-221</t>
  </si>
  <si>
    <t>uuid://d822a9a5-3bfa-4475-bc11-3241e367f315</t>
  </si>
  <si>
    <t>B8:27:EB:6C:12:56</t>
  </si>
  <si>
    <t>100.95.215.128</t>
  </si>
  <si>
    <t>HLI-222</t>
  </si>
  <si>
    <t>675</t>
  </si>
  <si>
    <t>uuid://b6860186-c1eb-4513-bea6-8b8b3b493e6c</t>
  </si>
  <si>
    <t>B8:27:EB:D3:AE:FB</t>
  </si>
  <si>
    <t>100.95.215.136</t>
  </si>
  <si>
    <t>HLI-223</t>
  </si>
  <si>
    <t>748</t>
  </si>
  <si>
    <t>uuid://c8f85db5-9eef-4177-92dc-8f9fc58896f2</t>
  </si>
  <si>
    <t>B8:27:EB:51:B3:97</t>
  </si>
  <si>
    <t>100.95.215.143</t>
  </si>
  <si>
    <t>HLI-224</t>
  </si>
  <si>
    <t>734</t>
  </si>
  <si>
    <t>uuid://4c95a4b9-1287-41f1-9cb2-ec949284c3d2</t>
  </si>
  <si>
    <t>B8:27:EB:62:9A:15</t>
  </si>
  <si>
    <t>100.95.215.95</t>
  </si>
  <si>
    <t>HLI-225</t>
  </si>
  <si>
    <t>863</t>
  </si>
  <si>
    <t>uuid://6172a7bf-13d1-46a6-8a3e-e4ee6f94daad</t>
  </si>
  <si>
    <t>B8:27:EB:EA:DA:83</t>
  </si>
  <si>
    <t>100.95.215.102</t>
  </si>
  <si>
    <t>HLI-33</t>
  </si>
  <si>
    <t>HLI-226</t>
  </si>
  <si>
    <t>819</t>
  </si>
  <si>
    <t>uuid://5ac1841c-65d2-4915-9928-a6598bdffb7f</t>
  </si>
  <si>
    <t>B8:27:EB:18:AE:60</t>
  </si>
  <si>
    <t>100.95.215.106</t>
  </si>
  <si>
    <t>HLI-227</t>
  </si>
  <si>
    <t>833</t>
  </si>
  <si>
    <t>uuid://04f968f6-c615-4066-9617-ae118af010a5</t>
  </si>
  <si>
    <t>B8:27:EB:74:05:E7</t>
  </si>
  <si>
    <t>100.95.215.114</t>
  </si>
  <si>
    <t>HLI-228</t>
  </si>
  <si>
    <t>919</t>
  </si>
  <si>
    <t>uuid://fe4654f5-4c1a-4693-ac5d-b5ff7e0d141e</t>
  </si>
  <si>
    <t>B8:27:EB:73:CC:ED</t>
  </si>
  <si>
    <t>100.95.215.147</t>
  </si>
  <si>
    <t>HLI-229</t>
  </si>
  <si>
    <t>948</t>
  </si>
  <si>
    <t>uuid://36d765c4-f251-4f77-9fee-48199db83f91</t>
  </si>
  <si>
    <t>B8:27:EB:12:82:C2</t>
  </si>
  <si>
    <t>100.95.215.125</t>
  </si>
  <si>
    <t>HLI-230</t>
  </si>
  <si>
    <t>uuid://c0dd3fb0-da43-4229-88d9-f8770093b999</t>
  </si>
  <si>
    <t>B8:27:EB:E3:3A:D7</t>
  </si>
  <si>
    <t>100.95.215.133</t>
  </si>
  <si>
    <t>HLI-231</t>
  </si>
  <si>
    <t>uuid://005ea14e-0636-4266-b5d9-3581c351a917</t>
  </si>
  <si>
    <t>B8:27:EB:AA:F1:1A</t>
  </si>
  <si>
    <t>100.95.215.93</t>
  </si>
  <si>
    <t>HLI-232</t>
  </si>
  <si>
    <t>uuid://20e825a2-136b-4117-bc78-9ede2c791040</t>
  </si>
  <si>
    <t>B8:27:EB:0A:CC:68</t>
  </si>
  <si>
    <t>100.95.215.121</t>
  </si>
  <si>
    <t>HLI-233</t>
  </si>
  <si>
    <t>uuid://62153e60-f2e3-4d95-a435-72fc8d621ea9</t>
  </si>
  <si>
    <t>B8:27:EB:AC:D0:00</t>
  </si>
  <si>
    <t>100.95.215.127</t>
  </si>
  <si>
    <t>HLI-234</t>
  </si>
  <si>
    <t>1156</t>
  </si>
  <si>
    <t>uuid://87d1b971-d9d0-4c3b-bb48-9103624c4ee2</t>
  </si>
  <si>
    <t>B8:27:EB:7A:07:0E</t>
  </si>
  <si>
    <t>100.95.215.94</t>
  </si>
  <si>
    <t>HLI-235</t>
  </si>
  <si>
    <t>uuid://090805a7-6d38-451e-8da4-ffebe2ae0f22</t>
  </si>
  <si>
    <t>B8:27:EB:F1:86:78</t>
  </si>
  <si>
    <t>100.95.215.97</t>
  </si>
  <si>
    <t>HLI-40</t>
  </si>
  <si>
    <t>HLI-236</t>
  </si>
  <si>
    <t>GD24</t>
  </si>
  <si>
    <t>uuid://0db97346-2795-43c5-a8de-5fcf3a5fe324</t>
  </si>
  <si>
    <t>B8:27:EB:9F:B3:AB</t>
  </si>
  <si>
    <t>100.95.215.148</t>
  </si>
  <si>
    <t>HLI-237</t>
  </si>
  <si>
    <t>HVACCP-218</t>
  </si>
  <si>
    <t>uuid://97cacada-c706-41b8-b463-657f024b21ae</t>
  </si>
  <si>
    <t>B8:27:EB:BC:EE:11</t>
  </si>
  <si>
    <t>100.95.215.135</t>
  </si>
  <si>
    <t>HLI-238</t>
  </si>
  <si>
    <t>uuid://244837fd-2c33-4605-bf10-b8e691bea148</t>
  </si>
  <si>
    <t>B8:27:EB:90:96:09</t>
  </si>
  <si>
    <t>100.95.215.129</t>
  </si>
  <si>
    <t>HLI-117</t>
  </si>
  <si>
    <t>HLI-239</t>
  </si>
  <si>
    <t>uuid://a5f5c2fc-8667-4655-8a81-5c3bf915f28c</t>
  </si>
  <si>
    <t>B8:27:EB:0B:E0:5F</t>
  </si>
  <si>
    <t>100.95.215.246</t>
  </si>
  <si>
    <t>HLI-240</t>
  </si>
  <si>
    <t>uuid://8d2f2e63-d441-4b06-be37-2dd711690044</t>
  </si>
  <si>
    <t>B8:27:EB:F6:21:AD</t>
  </si>
  <si>
    <t>100.95.215.84</t>
  </si>
  <si>
    <t>HLI-241</t>
  </si>
  <si>
    <t>3M52</t>
  </si>
  <si>
    <t>uuid://05dce1cb-8c5e-4b9a-b722-96251fa175f5</t>
  </si>
  <si>
    <t>B8:27:EB:BC:3F:9F</t>
  </si>
  <si>
    <t>100.95.215.124</t>
  </si>
  <si>
    <t>HLI-242</t>
  </si>
  <si>
    <t>uuid://1b161825-16ee-4f22-b78b-598878784675</t>
  </si>
  <si>
    <t>B8:27:EB:DC:F2:E9</t>
  </si>
  <si>
    <t>100.95.215.140</t>
  </si>
  <si>
    <t>HLI-243</t>
  </si>
  <si>
    <t>uuid://2dd525d2-012f-44a7-b17d-4f0f0d365ce8</t>
  </si>
  <si>
    <t>B8:27:EB:76:5C:3A</t>
  </si>
  <si>
    <t>100.95.215.250</t>
  </si>
  <si>
    <t>HLI-244</t>
  </si>
  <si>
    <t>uuid://b37a5bf2-13cd-4c14-9eef-8f331422e807</t>
  </si>
  <si>
    <t>B8:27:EB:B0:A8:95</t>
  </si>
  <si>
    <t>100.95.215.139</t>
  </si>
  <si>
    <t>HLI-2</t>
  </si>
  <si>
    <t>HLI-245</t>
  </si>
  <si>
    <t>uuid://e6b0e023-98df-4501-b91e-e8bec928dd8c</t>
  </si>
  <si>
    <t>B8:27:EB:81:DD:C8</t>
  </si>
  <si>
    <t>100.95.215.137</t>
  </si>
  <si>
    <t>HLI-246</t>
  </si>
  <si>
    <t>uuid://40026ad6-4591-4e74-a69c-36472218e053</t>
  </si>
  <si>
    <t>B8:27:EB:CE:18:87</t>
  </si>
  <si>
    <t>100.95.215.126</t>
  </si>
  <si>
    <t>ALC</t>
  </si>
  <si>
    <t>HVACCP-1</t>
  </si>
  <si>
    <t>RT644001KQ</t>
  </si>
  <si>
    <t>uuid://51c49cec-d6e4-4f24-9380-e7ba6294f3ac</t>
  </si>
  <si>
    <t>Chubb</t>
  </si>
  <si>
    <t>drv_gen5_108-04-20088</t>
  </si>
  <si>
    <t>107.06.2102</t>
  </si>
  <si>
    <t>108.04.20167</t>
  </si>
  <si>
    <t>BACnet IP, MQTT</t>
  </si>
  <si>
    <t>00:E0:C9:28:D1:75</t>
  </si>
  <si>
    <t>100.95.214.23</t>
  </si>
  <si>
    <t>HMI-1</t>
  </si>
  <si>
    <t>Broadcast</t>
  </si>
  <si>
    <t>Excellent</t>
  </si>
  <si>
    <t>WS/Facilities</t>
  </si>
  <si>
    <t>HLI-1</t>
  </si>
  <si>
    <t>RT64400C9Q</t>
  </si>
  <si>
    <t>uuid://def104f6-06b9-4dc9-9b05-7c8628796e3b</t>
  </si>
  <si>
    <t>00:E0:C9:28:E3:AB</t>
  </si>
  <si>
    <t>100.95.213.249</t>
  </si>
  <si>
    <t>HVACCP-2</t>
  </si>
  <si>
    <t>RT6440023Q</t>
  </si>
  <si>
    <t>uuid://1e221d6c-3e80-45d2-8d5a-0e7ca228219b</t>
  </si>
  <si>
    <t>00:E0:C9:28:D1:9B</t>
  </si>
  <si>
    <t>100.95.213.250</t>
  </si>
  <si>
    <t>DDC-3</t>
  </si>
  <si>
    <t>HVACCP-3</t>
  </si>
  <si>
    <t>RT644000ZQ</t>
  </si>
  <si>
    <t>uuid://95aa0c33-7283-44d9-9bcf-69b6fc035bba</t>
  </si>
  <si>
    <t>00:E0:C9:28:D1:4B</t>
  </si>
  <si>
    <t>100.95.213.203</t>
  </si>
  <si>
    <t>Service Port is required Trouble Shooting &amp; Maintenace .Service Port is not Physically Blocked. Service Port access is protected Via Password</t>
  </si>
  <si>
    <t>DDC-4</t>
  </si>
  <si>
    <t>HVACCP-4</t>
  </si>
  <si>
    <t>RT64300RCQ</t>
  </si>
  <si>
    <t>uuid://742c604b-212c-449a-83cf-7ff8324721cd</t>
  </si>
  <si>
    <t>00:E0:C9:28:C9:B2</t>
  </si>
  <si>
    <t>100.95.213.217</t>
  </si>
  <si>
    <t>RT64400D4Q</t>
  </si>
  <si>
    <t>uuid://45634714-3ddf-45d9-8f49-2f1424e2e7ab</t>
  </si>
  <si>
    <t>00:E0:C9:28:E3:E9</t>
  </si>
  <si>
    <t>100.95.214.14</t>
  </si>
  <si>
    <t>DDC-5</t>
  </si>
  <si>
    <t>B117</t>
  </si>
  <si>
    <t>HVACCP-5</t>
  </si>
  <si>
    <t>RT64300I0Q</t>
  </si>
  <si>
    <t>uuid://9362b2a4-4380-4c83-b8a4-718b1c383b48</t>
  </si>
  <si>
    <t>00:E0:C9:28:BE:84</t>
  </si>
  <si>
    <t>100.95.214.9</t>
  </si>
  <si>
    <t>DDC-6</t>
  </si>
  <si>
    <t>B10103</t>
  </si>
  <si>
    <t>HVACCP-6</t>
  </si>
  <si>
    <t>RT64300GRQ</t>
  </si>
  <si>
    <t>uuid://49aa2228-b241-4b6c-92f4-e79464e302a6</t>
  </si>
  <si>
    <t>00:E0:C9:28:BE:2A</t>
  </si>
  <si>
    <t>100.95.213.245</t>
  </si>
  <si>
    <t>RT644006WQ</t>
  </si>
  <si>
    <t>uuid://bc5abfbc-5a71-4697-b481-36ec546ea2ff</t>
  </si>
  <si>
    <t>00:E0:C9:28:DA:D1</t>
  </si>
  <si>
    <t>100.95.214.32</t>
  </si>
  <si>
    <t>HLI-4</t>
  </si>
  <si>
    <t>RT64400CCQ</t>
  </si>
  <si>
    <t>uuid://3da34e01-064a-428f-9f52-e6c3dc824776</t>
  </si>
  <si>
    <t>00:E0:C9:28:E3:B1</t>
  </si>
  <si>
    <t>100.95.213.243</t>
  </si>
  <si>
    <t>HVACCP-7</t>
  </si>
  <si>
    <t>RT644008EQ</t>
  </si>
  <si>
    <t>uuid://2cc10227-4bab-4aa3-af77-bcf405aeb8a1</t>
  </si>
  <si>
    <t>00:E0:C9:28:DB:3D</t>
  </si>
  <si>
    <t>100.95.213.253</t>
  </si>
  <si>
    <t>RT644007HQ</t>
  </si>
  <si>
    <t>uuid://ed8d0e68-9cf7-4f34-9a5a-e1b03acb91a0</t>
  </si>
  <si>
    <t>00:E0:C9:28:DA:FB</t>
  </si>
  <si>
    <t>100.95.213.229</t>
  </si>
  <si>
    <t>HVACCP-8</t>
  </si>
  <si>
    <t>RT64400AJQ</t>
  </si>
  <si>
    <t>uuid://a369a9a0-4d32-4dad-b03d-b46b21de830b</t>
  </si>
  <si>
    <t>00:E0:C9:28:E3:2F</t>
  </si>
  <si>
    <t>100.95.214.34</t>
  </si>
  <si>
    <t>HLI-6</t>
  </si>
  <si>
    <t>HVACCP-9</t>
  </si>
  <si>
    <t>RT644004MQ</t>
  </si>
  <si>
    <t>uuid://36e3d4c8-69e3-42f1-9e66-c34b66d8785c</t>
  </si>
  <si>
    <t>00:E0:C9:28:DA:2D</t>
  </si>
  <si>
    <t>100.95.214.30</t>
  </si>
  <si>
    <t>DDC-9</t>
  </si>
  <si>
    <t>HVACCP-10</t>
  </si>
  <si>
    <t>RT644003YQ</t>
  </si>
  <si>
    <t>uuid://5e374706-90b7-4495-b9d1-36bca034ce5f</t>
  </si>
  <si>
    <t>00:E0:C9:28:D2:21</t>
  </si>
  <si>
    <t>100.95.213.207</t>
  </si>
  <si>
    <t>HLI-7</t>
  </si>
  <si>
    <t>RT644006BQ</t>
  </si>
  <si>
    <t>uuid://d7600d39-34a8-43ac-ab3a-674d405c1b30</t>
  </si>
  <si>
    <t>00:E0:C9:28:DA:A7</t>
  </si>
  <si>
    <t>100.95.213.159</t>
  </si>
  <si>
    <t>HVACCP-11</t>
  </si>
  <si>
    <t>RT64400ALQ</t>
  </si>
  <si>
    <t>uuid://2d6d81c5-79c2-48aa-afcd-478a0fa588ca</t>
  </si>
  <si>
    <t>00:E0:C9:28:E3:33</t>
  </si>
  <si>
    <t>100.95.213.227</t>
  </si>
  <si>
    <t>HVACCP-12</t>
  </si>
  <si>
    <t>RT644007GQ</t>
  </si>
  <si>
    <t>uuid://76ae41ea-158e-437f-b686-b8662d9b050b</t>
  </si>
  <si>
    <t>00:E0:C9:28:DA:F9</t>
  </si>
  <si>
    <t>100.95.214.41</t>
  </si>
  <si>
    <t>RT6440094Q</t>
  </si>
  <si>
    <t>uuid://eb1828db-5fe0-4942-802b-2ac174d1a3b8</t>
  </si>
  <si>
    <t>00:E0:C9:28:DB:71</t>
  </si>
  <si>
    <t>100.95.214.27</t>
  </si>
  <si>
    <t>HLI-10</t>
  </si>
  <si>
    <t>HVACCP-13</t>
  </si>
  <si>
    <t>RT644005VQ</t>
  </si>
  <si>
    <t>uuid://e60a22fc-fce1-4399-8ea4-3e1d5197e0d8</t>
  </si>
  <si>
    <t>00:E0:C9:28:DA:87</t>
  </si>
  <si>
    <t>100.95.214.3</t>
  </si>
  <si>
    <t>DDC-11</t>
  </si>
  <si>
    <t>HVACCP-14</t>
  </si>
  <si>
    <t>RT64300LUQ</t>
  </si>
  <si>
    <t>uuid://aa49282d-e36b-4a81-84cf-e096c56caa6c</t>
  </si>
  <si>
    <t>00:E0:C9:28:C8:26</t>
  </si>
  <si>
    <t>100.95.214.47</t>
  </si>
  <si>
    <t>HLI-11</t>
  </si>
  <si>
    <t>RT644008SQ</t>
  </si>
  <si>
    <t>uuid://f1fca8dc-a63e-481d-bed2-446f204bf0ea</t>
  </si>
  <si>
    <t>00:E0:C9:28:DB:59</t>
  </si>
  <si>
    <t>100.95.213.246</t>
  </si>
  <si>
    <t>HVACCP-15</t>
  </si>
  <si>
    <t>RT6440033Q</t>
  </si>
  <si>
    <t>uuid://e6006b4e-bb5d-4d3c-856e-800ae48ad25e</t>
  </si>
  <si>
    <t>00:E0:C9:28:D1:E3</t>
  </si>
  <si>
    <t>100.95.214.31</t>
  </si>
  <si>
    <t>HLI-12</t>
  </si>
  <si>
    <t>RT6440003Q</t>
  </si>
  <si>
    <t>uuid://e2181e30-6c34-403a-af4e-95f4a48b705e</t>
  </si>
  <si>
    <t>00:E0:C9:28:D1:0B</t>
  </si>
  <si>
    <t>100.95.214.45</t>
  </si>
  <si>
    <t>HVACCP-16</t>
  </si>
  <si>
    <t>RT644001HQ</t>
  </si>
  <si>
    <t>uuid://ee9666b4-a40e-4555-afff-44a07ebb1b75</t>
  </si>
  <si>
    <t>00:E0:C9:28:D1:6F</t>
  </si>
  <si>
    <t>100.95.214.58</t>
  </si>
  <si>
    <t>HLI-13</t>
  </si>
  <si>
    <t>RT6440070Q</t>
  </si>
  <si>
    <t>uuid://1ff37f04-8dd0-4489-a389-5e00e2081a2f</t>
  </si>
  <si>
    <t>00:E0:C9:28:DA:D9</t>
  </si>
  <si>
    <t>100.95.213.223</t>
  </si>
  <si>
    <t>HVACCP-17</t>
  </si>
  <si>
    <t>RT644002DQ</t>
  </si>
  <si>
    <t>uuid://1fa8f639-38a3-4909-b783-0bbc06195db0</t>
  </si>
  <si>
    <t>00:E0:C9:28:D1:AF</t>
  </si>
  <si>
    <t>100.95.214.49</t>
  </si>
  <si>
    <t>HLI-14</t>
  </si>
  <si>
    <t>RT64400NPQ</t>
  </si>
  <si>
    <t>uuid://9e6f1139-7905-40ef-922a-58a991e7671e</t>
  </si>
  <si>
    <t>00:E0:C9:28:C8:AC</t>
  </si>
  <si>
    <t>100.95.214.26</t>
  </si>
  <si>
    <t>HVACCP-18</t>
  </si>
  <si>
    <t>RT644004KQ</t>
  </si>
  <si>
    <t>uuid://cc96e61b-1305-4586-8e5c-59a3e4820e72</t>
  </si>
  <si>
    <t>00:E0:C9:28:D2:4D</t>
  </si>
  <si>
    <t>100.95.213.240</t>
  </si>
  <si>
    <t>HLI-15</t>
  </si>
  <si>
    <t>RT6440017Q</t>
  </si>
  <si>
    <t>uuid://923d8cba-5723-429e-9e55-44e6a3193bd5</t>
  </si>
  <si>
    <t>00:E0:C9:28:D1:5B</t>
  </si>
  <si>
    <t>100.95.214.6</t>
  </si>
  <si>
    <t>DDC-16</t>
  </si>
  <si>
    <t>HVACCP-19</t>
  </si>
  <si>
    <t>RT64400DNQ</t>
  </si>
  <si>
    <t>uuid://8e421482-9312-484e-874a-f1ecac97019d</t>
  </si>
  <si>
    <t>00:E0:C9:28:E4:0F</t>
  </si>
  <si>
    <t>100.95.214.76</t>
  </si>
  <si>
    <t>HLI-16</t>
  </si>
  <si>
    <t>RT644005FQ</t>
  </si>
  <si>
    <t>uuid://90524b35-fb52-4c89-b09d-701072d83075</t>
  </si>
  <si>
    <t>00:E0:C9:28:DA:67</t>
  </si>
  <si>
    <t>100.95.214.48</t>
  </si>
  <si>
    <t>HVACCP-20</t>
  </si>
  <si>
    <t>RT64400CMQ</t>
  </si>
  <si>
    <t>uuid://9f6b0878-9f2a-4799-89c1-7694758f55de</t>
  </si>
  <si>
    <t>00:E0:C9:28:E3:C5</t>
  </si>
  <si>
    <t>100.95.214.54</t>
  </si>
  <si>
    <t>HLI-17</t>
  </si>
  <si>
    <t>RT64400DEQ</t>
  </si>
  <si>
    <t>uuid://8b21b21e-f1a5-441e-a21a-0beab4b52da8</t>
  </si>
  <si>
    <t>00:E0:C9:28:E3:FD</t>
  </si>
  <si>
    <t>100.95.214.69</t>
  </si>
  <si>
    <t>HVACCP-21</t>
  </si>
  <si>
    <t>RT644008PQ</t>
  </si>
  <si>
    <t>uuid://ab66c648-683f-4572-a63f-9605da96056e</t>
  </si>
  <si>
    <t>00:E0:C9:28:DB:53</t>
  </si>
  <si>
    <t>100.95.214.79</t>
  </si>
  <si>
    <t>HLI-18</t>
  </si>
  <si>
    <t>RT64300I1Q</t>
  </si>
  <si>
    <t>uuid://49c87636-ac93-4eb6-9a1f-28c68841dacc</t>
  </si>
  <si>
    <t>00:E0:C9:28:BE:86</t>
  </si>
  <si>
    <t>100.95.214.90</t>
  </si>
  <si>
    <t>HVACCP-22</t>
  </si>
  <si>
    <t>RT64300PTQ</t>
  </si>
  <si>
    <t>uuid://354a889d-2234-48db-a58c-954ccdb38fa0</t>
  </si>
  <si>
    <t>00:E0:C9:28:C9:44</t>
  </si>
  <si>
    <t>100.95.214.94</t>
  </si>
  <si>
    <t>HLI-19</t>
  </si>
  <si>
    <t>RT64300L2Q</t>
  </si>
  <si>
    <t>uuid://12ce8a32-bd11-4141-80ad-d9c0adef9c50</t>
  </si>
  <si>
    <t>00:E0:C9:28:BF:60</t>
  </si>
  <si>
    <t>100.95.214.71</t>
  </si>
  <si>
    <t>HVACCP-23</t>
  </si>
  <si>
    <t>RT64300I2Q</t>
  </si>
  <si>
    <t>uuid://601a4a95-97c8-40f4-9247-f5008feda534</t>
  </si>
  <si>
    <t>00:E0:C9:28:BE:88</t>
  </si>
  <si>
    <t>100.95.214.61</t>
  </si>
  <si>
    <t>HLI-20</t>
  </si>
  <si>
    <t>RT64300PWQ</t>
  </si>
  <si>
    <t>uuid://87bd5a28-4ebd-4e1e-8c2f-9955d59e6db4</t>
  </si>
  <si>
    <t>00:E0:C9:28:C9:4A</t>
  </si>
  <si>
    <t>100.95.214.66</t>
  </si>
  <si>
    <t>HVACCP-24</t>
  </si>
  <si>
    <t>RT644000JQ</t>
  </si>
  <si>
    <t>uuid://ecdaf36f-7e6d-494c-8f56-56d91011ef58</t>
  </si>
  <si>
    <t>00:E0:C9:28:D1:2B</t>
  </si>
  <si>
    <t>100.95.214.25</t>
  </si>
  <si>
    <t>HLI-21</t>
  </si>
  <si>
    <t>RT644000RQ</t>
  </si>
  <si>
    <t>uuid://e46d0036-abbb-4de0-b57b-9d7adc760bf3</t>
  </si>
  <si>
    <t>00:E0:C9:28:C8:F8</t>
  </si>
  <si>
    <t>100.95.214.37</t>
  </si>
  <si>
    <t>HVACCP-25</t>
  </si>
  <si>
    <t>RT644000FQ</t>
  </si>
  <si>
    <t>uuid://13c33296-4f7d-49c9-99d8-e79ef116beb0</t>
  </si>
  <si>
    <t>00:E0:C9:28:D1:23</t>
  </si>
  <si>
    <t>100.95.214.56</t>
  </si>
  <si>
    <t>HLI-22</t>
  </si>
  <si>
    <t>RT6440074Q</t>
  </si>
  <si>
    <t>uuid://49629af4-53cf-4b9e-89af-9028b90df042</t>
  </si>
  <si>
    <t>00:E0:C9:28:DA:E1</t>
  </si>
  <si>
    <t>100.95.214.46</t>
  </si>
  <si>
    <t>HVACCP-26</t>
  </si>
  <si>
    <t>RT644002PQ</t>
  </si>
  <si>
    <t>uuid://9b8c2fd0-abfc-431a-97a1-85abb353af3f</t>
  </si>
  <si>
    <t>00:E0:C9:28:D1:C7</t>
  </si>
  <si>
    <t>100.95.214.16</t>
  </si>
  <si>
    <t>HLI-23</t>
  </si>
  <si>
    <t>RT64300RFQ</t>
  </si>
  <si>
    <t>uuid://62061220-9ec3-419f-8312-b42abb33af15</t>
  </si>
  <si>
    <t>00:E0:C9:28:C9:B8</t>
  </si>
  <si>
    <t>100.95.214.55</t>
  </si>
  <si>
    <t>HLI-24</t>
  </si>
  <si>
    <t>HVACCP-27</t>
  </si>
  <si>
    <t>RT64300R8Q</t>
  </si>
  <si>
    <t>uuid://92eb68ec-a24c-432b-a1a4-4bff26d0c14d</t>
  </si>
  <si>
    <t>00:E0:C9:28:C9:AA</t>
  </si>
  <si>
    <t>100.95.214.50</t>
  </si>
  <si>
    <t>HLI-25</t>
  </si>
  <si>
    <t>RT64400BNQ</t>
  </si>
  <si>
    <t>uuid://90e30a3e-2bc8-4c56-a13f-fdca8d9e7137</t>
  </si>
  <si>
    <t>00:E0:C9:28:E3:7F</t>
  </si>
  <si>
    <t>100.95.214.24</t>
  </si>
  <si>
    <t>HLI-26</t>
  </si>
  <si>
    <t>RT64400BMQ</t>
  </si>
  <si>
    <t>uuid://8406fff5-acb5-4758-b512-68a5104f9244</t>
  </si>
  <si>
    <t>00:E0:C9:28:E3:7D</t>
  </si>
  <si>
    <t>100.95.214.59</t>
  </si>
  <si>
    <t>HVACCP-28</t>
  </si>
  <si>
    <t>RT644002NQ</t>
  </si>
  <si>
    <t>uuid://382c2523-f3cd-43c6-bf5c-196562e99e25</t>
  </si>
  <si>
    <t>00:E0:C9:28:D1:C3</t>
  </si>
  <si>
    <t>100.95.214.2</t>
  </si>
  <si>
    <t>HVACCP-29</t>
  </si>
  <si>
    <t>RT644007AQ</t>
  </si>
  <si>
    <t>uuid://20beb736-7f04-4756-bc7f-8b1abc3e08f6</t>
  </si>
  <si>
    <t>00:E0:C9:28:DA:ED</t>
  </si>
  <si>
    <t>100.95.214.52</t>
  </si>
  <si>
    <t>HLI-27</t>
  </si>
  <si>
    <t>RT644005CQ</t>
  </si>
  <si>
    <t>uuid://a075d653-56b6-48d8-a138-7793c423bd45</t>
  </si>
  <si>
    <t>00:E0:C9:28:DA:61</t>
  </si>
  <si>
    <t>100.95.214.64</t>
  </si>
  <si>
    <t>HVACCP-30</t>
  </si>
  <si>
    <t>RT6440021Q</t>
  </si>
  <si>
    <t>uuid://d5d2fd84-90e6-4428-b8e1-748680d2ae4c</t>
  </si>
  <si>
    <t>00:E0:C9:28:D1:97</t>
  </si>
  <si>
    <t>100.95.214.77</t>
  </si>
  <si>
    <t>HLI-28</t>
  </si>
  <si>
    <t>RT644008FQ</t>
  </si>
  <si>
    <t>uuid://0f070013-d08d-41dc-80d8-a0aa7b70a288</t>
  </si>
  <si>
    <t>00:E0:C9:28:DB:3F</t>
  </si>
  <si>
    <t>100.95.214.57</t>
  </si>
  <si>
    <t>HVACCP-31</t>
  </si>
  <si>
    <t>RT644000BQ</t>
  </si>
  <si>
    <t>uuid://a97eccb7-bd93-4b4a-91a5-75dda25563e3</t>
  </si>
  <si>
    <t>00:E0:C9:28:D1:1B</t>
  </si>
  <si>
    <t>100.95.214.78</t>
  </si>
  <si>
    <t>HLI-29</t>
  </si>
  <si>
    <t>RT644001XQ</t>
  </si>
  <si>
    <t>uuid://9ada036a-5edf-484b-8d64-20db63b63da0</t>
  </si>
  <si>
    <t>00:E0:C9:28:D1:8F</t>
  </si>
  <si>
    <t>100.95.214.93</t>
  </si>
  <si>
    <t>HVACCP-32</t>
  </si>
  <si>
    <t>RT6440010Q</t>
  </si>
  <si>
    <t>uuid://60a9ccab-3264-45da-b41f-4b342c82d38c</t>
  </si>
  <si>
    <t>00:E0:C9:28:D1:7D</t>
  </si>
  <si>
    <t>100.95.214.87</t>
  </si>
  <si>
    <t>HLI-30</t>
  </si>
  <si>
    <t>RT64300REQ</t>
  </si>
  <si>
    <t>uuid://c51763c7-89ab-4982-a231-5d32aa798aba</t>
  </si>
  <si>
    <t>00:E0:C9:28:C9:B6</t>
  </si>
  <si>
    <t>100.95.214.75</t>
  </si>
  <si>
    <t>HVACCP-33</t>
  </si>
  <si>
    <t>RT644007MQ</t>
  </si>
  <si>
    <t>uuid://b2960367-840b-4faa-ae7e-8d512b2cdacd</t>
  </si>
  <si>
    <t>00:E0:C9:28:DB:05</t>
  </si>
  <si>
    <t>100.95.214.72</t>
  </si>
  <si>
    <t>HLI-31</t>
  </si>
  <si>
    <t>RT64400BHQ</t>
  </si>
  <si>
    <t>uuid://81e6e8d0-43f4-4b2f-81ab-adda3886028d</t>
  </si>
  <si>
    <t>00:E0:C9:28:E3:73</t>
  </si>
  <si>
    <t>100.95.214.91</t>
  </si>
  <si>
    <t>HVACCP-34</t>
  </si>
  <si>
    <t>RT644003LQ</t>
  </si>
  <si>
    <t>uuid://5ad86633-94ff-4d97-a7cf-64f96f641049</t>
  </si>
  <si>
    <t>00:E0:C9:28:D2:07</t>
  </si>
  <si>
    <t>100.95.214.42</t>
  </si>
  <si>
    <t>HLI-32</t>
  </si>
  <si>
    <t>RT64300R9Q</t>
  </si>
  <si>
    <t>uuid://04fc17cf-bdab-4818-abe6-d62266b3dcce</t>
  </si>
  <si>
    <t>00:E0:C9:28:C9:AC</t>
  </si>
  <si>
    <t>100.95.214.35</t>
  </si>
  <si>
    <t>RT64400QQ</t>
  </si>
  <si>
    <t>uuid://5590f5cb-6b47-4538-8321-41ba27689bf1</t>
  </si>
  <si>
    <t>00:E0:C9:28:E3:CD</t>
  </si>
  <si>
    <t>100.95.214.33</t>
  </si>
  <si>
    <t>HVACCP-35</t>
  </si>
  <si>
    <t>RT6440055Q</t>
  </si>
  <si>
    <t>uuid://2ad4634f-3fb5-45a0-b114-8f271804d4e9</t>
  </si>
  <si>
    <t>00:E0:C9:28:DA:53</t>
  </si>
  <si>
    <t>100.95.214.39</t>
  </si>
  <si>
    <t>HLI-34</t>
  </si>
  <si>
    <t>RT644000LQ</t>
  </si>
  <si>
    <t>uuid://8bf2f3b5-fcef-4b71-adb2-db1320e82f5e</t>
  </si>
  <si>
    <t>00:E0:C9:28:D1:2F</t>
  </si>
  <si>
    <t>100.95.214.51</t>
  </si>
  <si>
    <t>HVACCP-36</t>
  </si>
  <si>
    <t>RT644001EQ</t>
  </si>
  <si>
    <t>uuid://8023e97d-2d00-4db8-b92b-4c6d2503c0d6</t>
  </si>
  <si>
    <t>00:E0:C9:28:D1:69</t>
  </si>
  <si>
    <t>100.95.214.15</t>
  </si>
  <si>
    <t>HLI-35</t>
  </si>
  <si>
    <t>RT64300GVQ</t>
  </si>
  <si>
    <t>uuid://b0961897-de71-4533-9bac-588f90935afd</t>
  </si>
  <si>
    <t>00:E0:C9:28:BE:32</t>
  </si>
  <si>
    <t>100.95.214.29</t>
  </si>
  <si>
    <t>HVACCP-37</t>
  </si>
  <si>
    <t>RT6440049Q</t>
  </si>
  <si>
    <t>uuid://afd63913-9d56-44cc-8ef7-eea55ecc83eb</t>
  </si>
  <si>
    <t>00:E0:C9:28:D2:37</t>
  </si>
  <si>
    <t>100.95.214.10</t>
  </si>
  <si>
    <t>HLI-36</t>
  </si>
  <si>
    <t>RT644000TQ</t>
  </si>
  <si>
    <t>uuid://e4afbe37-79a4-4991-92ae-72ba61d0d16d</t>
  </si>
  <si>
    <t>00:E0:C9:28:D1:3F</t>
  </si>
  <si>
    <t>100.95.214.73</t>
  </si>
  <si>
    <t>HVACCP-38</t>
  </si>
  <si>
    <t>RT644000DQ</t>
  </si>
  <si>
    <t>uuid://058f6c9f-0f5d-4440-a649-d2752332d20d</t>
  </si>
  <si>
    <t>00:E0:C9:28:D1:1F</t>
  </si>
  <si>
    <t>100.95.213.251</t>
  </si>
  <si>
    <t>HLI-37</t>
  </si>
  <si>
    <t>RT6440004Q</t>
  </si>
  <si>
    <t>uuid://c04c3d52-8138-46c9-923f-18508cb080bd</t>
  </si>
  <si>
    <t>00:E0:C9:28:D1:0D</t>
  </si>
  <si>
    <t>100.95.214.67</t>
  </si>
  <si>
    <t>HVACCP-39</t>
  </si>
  <si>
    <t>RT644003SQ</t>
  </si>
  <si>
    <t>uuid://5092b889-c845-4355-9941-d448df99d920</t>
  </si>
  <si>
    <t>00:E0:C9:28:D2:15</t>
  </si>
  <si>
    <t>100.95.214.60</t>
  </si>
  <si>
    <t>HLI-38</t>
  </si>
  <si>
    <t>RT644007DQ</t>
  </si>
  <si>
    <t>uuid://c649a0ef-f844-41a1-86d5-c544d87302a3</t>
  </si>
  <si>
    <t>00:E0:C9:28:DA:F3</t>
  </si>
  <si>
    <t>100.95.214.62</t>
  </si>
  <si>
    <t>HVACCP-40</t>
  </si>
  <si>
    <t>RT6440054Q</t>
  </si>
  <si>
    <t>uuid://0ea5df0e-d286-4747-a0b9-0ce15af24a2d</t>
  </si>
  <si>
    <t>00:E0:C9:28:DA:51</t>
  </si>
  <si>
    <t>100.95.214.68</t>
  </si>
  <si>
    <t>HLI-39</t>
  </si>
  <si>
    <t>RT644004WQ</t>
  </si>
  <si>
    <t>uuid://7f2a932a-393e-48e8-80a5-5e5c1ce220e8</t>
  </si>
  <si>
    <t>00:E0:C9:28:DA:41</t>
  </si>
  <si>
    <t>100.95.214.74</t>
  </si>
  <si>
    <t>RT644009CQ</t>
  </si>
  <si>
    <t>uuid://c5d482d9-34a9-4347-9edd-f597ec3c3c5a</t>
  </si>
  <si>
    <t>00:E0:C9:28:E2:D9</t>
  </si>
  <si>
    <t>100.95.214.80</t>
  </si>
  <si>
    <t>HLI-41</t>
  </si>
  <si>
    <t>RT6440095Q</t>
  </si>
  <si>
    <t>uuid://bf1b2bc6-6984-4feb-b39d-ae3d57fc1376</t>
  </si>
  <si>
    <t>00:E0:C9:28:DB:73</t>
  </si>
  <si>
    <t>100.95.214.97</t>
  </si>
  <si>
    <t>HVACCP-41</t>
  </si>
  <si>
    <t>RT64300LKQ</t>
  </si>
  <si>
    <t>uuid://156574a4-f1ed-4ae2-ba19-0e1990e39c8f</t>
  </si>
  <si>
    <t>00:E0:C9:28:C8:12</t>
  </si>
  <si>
    <t>100.95.213.228</t>
  </si>
  <si>
    <t>HLI-42</t>
  </si>
  <si>
    <t>RT64300NSQ</t>
  </si>
  <si>
    <t>uuid://3f5852e9-7447-4ea0-903a-80b10381a35a</t>
  </si>
  <si>
    <t>00:E0:C9:28:C8:B2</t>
  </si>
  <si>
    <t>100.95.214.99</t>
  </si>
  <si>
    <t>HVACCP-42</t>
  </si>
  <si>
    <t>RT644001RQ</t>
  </si>
  <si>
    <t>uuid://d7afc6ea-715e-4469-8522-8f565bf0d3fc</t>
  </si>
  <si>
    <t>00:E0:C9:28:D1:83</t>
  </si>
  <si>
    <t>100.95.214.89</t>
  </si>
  <si>
    <t>HLI-43</t>
  </si>
  <si>
    <t>RT644000XQ</t>
  </si>
  <si>
    <t>uuid://841a6a3a-cfcf-4824-b9d0-ac23f154efb4</t>
  </si>
  <si>
    <t>00:E0:C9:28:D1:47</t>
  </si>
  <si>
    <t>100.95.214.86</t>
  </si>
  <si>
    <t>HVACCP-43</t>
  </si>
  <si>
    <t>RT644003XQ</t>
  </si>
  <si>
    <t>uuid://bdd0a508-470a-4e25-b611-50132d724402</t>
  </si>
  <si>
    <t>00:E0:C9:28:D2:1F</t>
  </si>
  <si>
    <t>100.95.214.85</t>
  </si>
  <si>
    <t>HLI-44</t>
  </si>
  <si>
    <t>RT6440088Q</t>
  </si>
  <si>
    <t>uuid://343acc04-ba16-4717-a8cc-527b3728a39d</t>
  </si>
  <si>
    <t>00:E0:C9:28:DB:31</t>
  </si>
  <si>
    <t>100.95.214.108</t>
  </si>
  <si>
    <t>HVACCP-44</t>
  </si>
  <si>
    <t>RT644005RQ</t>
  </si>
  <si>
    <t>uuid://4e9cc271-1f8c-4778-bf2a-4b86f5c8d800</t>
  </si>
  <si>
    <t>00:E0:C9:28:DA:7F</t>
  </si>
  <si>
    <t>100.95.214.84</t>
  </si>
  <si>
    <t>HLI-45</t>
  </si>
  <si>
    <t>RT644002GQ</t>
  </si>
  <si>
    <t>uuid://f887389f-249c-491b-b606-cec66df54541</t>
  </si>
  <si>
    <t>00:E0:C9:28:D1:D5</t>
  </si>
  <si>
    <t>100.95.214.98</t>
  </si>
  <si>
    <t>HVACCP-45</t>
  </si>
  <si>
    <t>RT644000QQ</t>
  </si>
  <si>
    <t>uuid://9aa2bc45-321a-41e9-b647-0891ff2559ce</t>
  </si>
  <si>
    <t>00:E0:C9:28:D1:39</t>
  </si>
  <si>
    <t>100.95.214.114</t>
  </si>
  <si>
    <t>HLI-46</t>
  </si>
  <si>
    <t>RT6440007Q</t>
  </si>
  <si>
    <t>uuid://6f04368a-97af-4df8-82d3-62bcd261a1ef</t>
  </si>
  <si>
    <t>00:E0:C9:28:D1:13</t>
  </si>
  <si>
    <t>100.95.214.113</t>
  </si>
  <si>
    <t>DDC-42</t>
  </si>
  <si>
    <t>5D44</t>
  </si>
  <si>
    <t>HVACCP-46</t>
  </si>
  <si>
    <t>RT6440030Q</t>
  </si>
  <si>
    <t>uuid://0cc6447e-7dce-4de6-9b05-7da2eb589185</t>
  </si>
  <si>
    <t>00:E0:C9:28:D1:DD</t>
  </si>
  <si>
    <t>100.95.214.104</t>
  </si>
  <si>
    <t>HLI-47</t>
  </si>
  <si>
    <t>RT644009SQ</t>
  </si>
  <si>
    <t>uuid://1a829a1b-643a-4566-bff5-4eb31c6ef62d</t>
  </si>
  <si>
    <t>00:E0:C9:28:E2:F9</t>
  </si>
  <si>
    <t>100.95.214.65</t>
  </si>
  <si>
    <t>HLI-48</t>
  </si>
  <si>
    <t>RT644000UQ</t>
  </si>
  <si>
    <t>uuid://0f71c40b-7b0e-426d-b0e1-9f8348ca8a9b</t>
  </si>
  <si>
    <t>00:E0:C9:28:D1:41</t>
  </si>
  <si>
    <t>100.95.214.117</t>
  </si>
  <si>
    <t>HLI-49</t>
  </si>
  <si>
    <t>HVACCP-47</t>
  </si>
  <si>
    <t>RT64400B9Q</t>
  </si>
  <si>
    <t>uuid://276dff3b-c17d-40bd-a433-2046ffbdf8bb</t>
  </si>
  <si>
    <t>00:E0:C9:28:E3:63</t>
  </si>
  <si>
    <t>100.95.214.63</t>
  </si>
  <si>
    <t>DDC-43</t>
  </si>
  <si>
    <t>HVACCP-48</t>
  </si>
  <si>
    <t>RT644007KQ</t>
  </si>
  <si>
    <t>uuid://a228fffd-0631-4f31-a489-4b8b8d3efc09</t>
  </si>
  <si>
    <t>00:E0:C9:28:DB:01</t>
  </si>
  <si>
    <t>100.95.214.95</t>
  </si>
  <si>
    <t>HLI-50</t>
  </si>
  <si>
    <t>RT644009BQ</t>
  </si>
  <si>
    <t>uuid://066c66cb-4618-48ea-9f12-3c833f16dbbf</t>
  </si>
  <si>
    <t>00:E0:C9:28:E2:D7</t>
  </si>
  <si>
    <t>100.95.214.120</t>
  </si>
  <si>
    <t>HLI-51</t>
  </si>
  <si>
    <t>HVACCP-49</t>
  </si>
  <si>
    <t>RT64400C4Q</t>
  </si>
  <si>
    <t>uuid://37f9c71d-f608-4649-81c7-79ef65b2e327</t>
  </si>
  <si>
    <t>00:E0:C9:28:E3:A1</t>
  </si>
  <si>
    <t>100.95.214.122</t>
  </si>
  <si>
    <t>HLI-52</t>
  </si>
  <si>
    <t>RT644004QQ</t>
  </si>
  <si>
    <t>uuid://89cf634e-b516-4737-ae73-bda0c1e2b957</t>
  </si>
  <si>
    <t>00:E0:C9:28:DA:35</t>
  </si>
  <si>
    <t>100.95.214.83</t>
  </si>
  <si>
    <t>HLI-53</t>
  </si>
  <si>
    <t>RT644008VQ</t>
  </si>
  <si>
    <t>uuid://21d46bf1-cce8-424a-bfa0-04c8a33e115b</t>
  </si>
  <si>
    <t>00:E0:C9:28:DA:00</t>
  </si>
  <si>
    <t>100.95.215.184</t>
  </si>
  <si>
    <t>HVACCP-50</t>
  </si>
  <si>
    <t>RT6440000Q</t>
  </si>
  <si>
    <t>uuid://56da8de2-69bd-4cd1-8d62-f8807048a0de</t>
  </si>
  <si>
    <t>00:E0:C9:28:D1:1D</t>
  </si>
  <si>
    <t>100.95.214.44</t>
  </si>
  <si>
    <t>HLI-54</t>
  </si>
  <si>
    <t>RT64300S0Q</t>
  </si>
  <si>
    <t>uuid://537cd68e-46e6-489a-b1ef-9c38702e9c0d</t>
  </si>
  <si>
    <t>00:E0:C9:28:C9:E2</t>
  </si>
  <si>
    <t>100.95.214.115</t>
  </si>
  <si>
    <t>HVACCP-51</t>
  </si>
  <si>
    <t>uuid://616e05b9-5fd5-455a-a5df-321fad92c3a8</t>
  </si>
  <si>
    <t>00:E0:C9:28:D1:35</t>
  </si>
  <si>
    <t>100.95.214.36</t>
  </si>
  <si>
    <t>HLI-55</t>
  </si>
  <si>
    <t>RT644000NQ</t>
  </si>
  <si>
    <t>uuid://242766bf-b32a-49aa-afde-922c76052716</t>
  </si>
  <si>
    <t>00:E0:C9:28:D1:33</t>
  </si>
  <si>
    <t>100.95.214.101</t>
  </si>
  <si>
    <t>HVACCP-52</t>
  </si>
  <si>
    <t>RT64400AGQ</t>
  </si>
  <si>
    <t>uuid://ed480c42-56a6-4304-8509-b1ff5d8878e4</t>
  </si>
  <si>
    <t>00:E0:C9:28:E3:29</t>
  </si>
  <si>
    <t>100.95.214.110</t>
  </si>
  <si>
    <t>HLI-56</t>
  </si>
  <si>
    <t>RT644009GQ</t>
  </si>
  <si>
    <t>uuid://a2ead946-bac5-427a-b734-4662e42b4fbe</t>
  </si>
  <si>
    <t>00:E0:C9:28:E2:E1</t>
  </si>
  <si>
    <t>100.95.214.96</t>
  </si>
  <si>
    <t>HVACCP-53</t>
  </si>
  <si>
    <t>RT644005IQ</t>
  </si>
  <si>
    <t>uuid://830e0cd2-c530-4bfc-b5b7-235a210fa2fd</t>
  </si>
  <si>
    <t>00:E0:C9:28:D8:6D</t>
  </si>
  <si>
    <t>100.95.214.130</t>
  </si>
  <si>
    <t>HLI-57</t>
  </si>
  <si>
    <t>RT64400DCQ</t>
  </si>
  <si>
    <t>uuid://ee46cadb-0e6a-4b2a-b3df-a0de4f82c096</t>
  </si>
  <si>
    <t>00:E0:C9:28:E3:F9</t>
  </si>
  <si>
    <t>100.95.214.7</t>
  </si>
  <si>
    <t>HVACCP-54</t>
  </si>
  <si>
    <t>RT644004GQ</t>
  </si>
  <si>
    <t>uuid://23e05640-ffc6-4b09-9d8e-daad4301d35d</t>
  </si>
  <si>
    <t>00:E0:C9:28:D2:45</t>
  </si>
  <si>
    <t>100.95.214.105</t>
  </si>
  <si>
    <t>HLI-58</t>
  </si>
  <si>
    <t>RT644001UQ</t>
  </si>
  <si>
    <t>uuid://5124d8bc-a259-45ac-bc90-7def5dad0e12</t>
  </si>
  <si>
    <t>00:E0:C9:28:D1:89</t>
  </si>
  <si>
    <t>100.95.214.43</t>
  </si>
  <si>
    <t>HVACCP-55</t>
  </si>
  <si>
    <t>RT6440099Q</t>
  </si>
  <si>
    <t>uuid://b8f86634-d003-4b7a-a838-00c6fddf0348</t>
  </si>
  <si>
    <t>00:E0:C9:28:E2:D3</t>
  </si>
  <si>
    <t>100.95.214.140</t>
  </si>
  <si>
    <t>HVACCP-56</t>
  </si>
  <si>
    <t>RT6440040Q</t>
  </si>
  <si>
    <t>uuid://eb566dd5-3eff-451f-a2d3-4b01d9de12cb</t>
  </si>
  <si>
    <t>00:E0:C9:28:D2:25</t>
  </si>
  <si>
    <t>100.95.214.106</t>
  </si>
  <si>
    <t>HLI-60</t>
  </si>
  <si>
    <t>RT64400CRQ</t>
  </si>
  <si>
    <t>uuid://fb157638-4186-4206-b696-fc56b7445bd1</t>
  </si>
  <si>
    <t>00:E0:C9:28:E3:CF</t>
  </si>
  <si>
    <t>100.95.214.142</t>
  </si>
  <si>
    <t>HVACCP-57</t>
  </si>
  <si>
    <t>RT644000EQ</t>
  </si>
  <si>
    <t>uuid://d15567a8-b41e-4e67-b146-8b20c97c9cc4</t>
  </si>
  <si>
    <t>00:E0:C9:28:D1:21</t>
  </si>
  <si>
    <t>100.95.214.126</t>
  </si>
  <si>
    <t>HLI-61</t>
  </si>
  <si>
    <t>RT644002CQ</t>
  </si>
  <si>
    <t>uuid://1d73bac1-4a35-4e4c-a9a9-49fd918db617</t>
  </si>
  <si>
    <t>00:E0:C9:28:D1:AD</t>
  </si>
  <si>
    <t>100.95.214.150</t>
  </si>
  <si>
    <t>HVACCP-58</t>
  </si>
  <si>
    <t>RT644007YQ</t>
  </si>
  <si>
    <t>uuid://0d4a3a76-7741-4d93-9f3a-c08788f1ed03</t>
  </si>
  <si>
    <t>00:E0:C9:28:DB:1D</t>
  </si>
  <si>
    <t>100.95.214.118</t>
  </si>
  <si>
    <t>HLI-62</t>
  </si>
  <si>
    <t>RT643000VQ</t>
  </si>
  <si>
    <t>uuid://ff8306a2-5324-4ce2-b45d-7340b75c6f0f</t>
  </si>
  <si>
    <t>00:E0:C9:28:C9:00</t>
  </si>
  <si>
    <t>100.95.214.127</t>
  </si>
  <si>
    <t>HVACCP-59</t>
  </si>
  <si>
    <t>RT6440061Q</t>
  </si>
  <si>
    <t>uuid://b2d9b1f9-5285-4331-8956-41c6de234f8d</t>
  </si>
  <si>
    <t>00:E0:C9:28:DA:93</t>
  </si>
  <si>
    <t>100.95.214.107</t>
  </si>
  <si>
    <t>HLI-63</t>
  </si>
  <si>
    <t>RT644003WQ</t>
  </si>
  <si>
    <t>uuid://b4507d36-f013-426c-863d-bba6bf8eb2fb</t>
  </si>
  <si>
    <t>00:E0:C9:28:D2:1D</t>
  </si>
  <si>
    <t>100.95.214.134</t>
  </si>
  <si>
    <t>HVACCP-60</t>
  </si>
  <si>
    <t>RT644005HQ</t>
  </si>
  <si>
    <t>uuid://e6cee0cc-309b-45f5-afa1-1a770d575abd</t>
  </si>
  <si>
    <t>00:E0:C9:28:DA:6B</t>
  </si>
  <si>
    <t>100.95.214.112</t>
  </si>
  <si>
    <t>HLI-64</t>
  </si>
  <si>
    <t>RT644000PQ</t>
  </si>
  <si>
    <t>uuid://de22413b-0ffb-4e5c-80d0-ea3aac0d988b</t>
  </si>
  <si>
    <t>00:E0:C9:28:D1:37</t>
  </si>
  <si>
    <t>100.95.214.116</t>
  </si>
  <si>
    <t>HVACCP-61</t>
  </si>
  <si>
    <t>RT6440060Q</t>
  </si>
  <si>
    <t>uuid://f6cb0eab-a8db-481c-a40c-0f9f4880f615</t>
  </si>
  <si>
    <t>00:E0:C9:28:DA:91</t>
  </si>
  <si>
    <t>100.95.214.121</t>
  </si>
  <si>
    <t>HLI-65</t>
  </si>
  <si>
    <t>RT6440046Q</t>
  </si>
  <si>
    <t>uuid://85f8f21e-043d-4f10-93a2-f67979e41e6a</t>
  </si>
  <si>
    <t>00:E0:C9:28:D2:31</t>
  </si>
  <si>
    <t>100.95.214.128</t>
  </si>
  <si>
    <t>HLI-66</t>
  </si>
  <si>
    <t>RT64300NJQ</t>
  </si>
  <si>
    <t>uuid://5df4213c-b782-49d2-aaea-e35efe53dce2</t>
  </si>
  <si>
    <t>00:E0:C9:28:C8:A0</t>
  </si>
  <si>
    <t>100.95.214.146</t>
  </si>
  <si>
    <t>HVACCP-62</t>
  </si>
  <si>
    <t>RT644003AQ</t>
  </si>
  <si>
    <t>uuid://83089105-29a1-4c36-99c4-ac9a57c12dde</t>
  </si>
  <si>
    <t>00:E0:C9:28:00:00</t>
  </si>
  <si>
    <t>100.95.214.19</t>
  </si>
  <si>
    <t>HLI-68</t>
  </si>
  <si>
    <t>RT6440084Q</t>
  </si>
  <si>
    <t>uuid://cd5060f3-8a7f-47ec-b3dd-357c14ef47a9</t>
  </si>
  <si>
    <t>00:E0:C9:28:DB:29</t>
  </si>
  <si>
    <t>100.95.214.148</t>
  </si>
  <si>
    <t>HVACCP-63</t>
  </si>
  <si>
    <t>RT6440039Q</t>
  </si>
  <si>
    <t>uuid://5a21e0e8-bcd6-4ee4-a43b-78f6222d46e5</t>
  </si>
  <si>
    <t>00:E0:C9:28:D1:EF</t>
  </si>
  <si>
    <t>100.95.214.38</t>
  </si>
  <si>
    <t>HLI-69</t>
  </si>
  <si>
    <t>RT6440062Q</t>
  </si>
  <si>
    <t>uuid://54b2c946-ae97-4aaf-b415-2f83fd2d90b7</t>
  </si>
  <si>
    <t>00:E0:C9:28:DA:95</t>
  </si>
  <si>
    <t>100.95.214.81</t>
  </si>
  <si>
    <t>HVACCP-64</t>
  </si>
  <si>
    <t>RT644001QQ</t>
  </si>
  <si>
    <t>uuid://50b0984b-2f6c-4f0a-b998-39b0a65f5d93</t>
  </si>
  <si>
    <t>00:E0:C9:28:D1:81</t>
  </si>
  <si>
    <t>100.95.214.147</t>
  </si>
  <si>
    <t>HLI-70</t>
  </si>
  <si>
    <t>RT644007CQ</t>
  </si>
  <si>
    <t>uuid://a9c50594-8637-4758-b6fd-6e523590143d</t>
  </si>
  <si>
    <t>00:E0:C9:28:DA:F1</t>
  </si>
  <si>
    <t>100.95.214.103</t>
  </si>
  <si>
    <t>HVACCP-65</t>
  </si>
  <si>
    <t>RT644004UQ</t>
  </si>
  <si>
    <t>uuid://5848f99e-d84c-40dc-96e9-8abf690fa7e1</t>
  </si>
  <si>
    <t>00:E0:C9:28:DA:3D</t>
  </si>
  <si>
    <t>100.95.214.135</t>
  </si>
  <si>
    <t>HLI-71</t>
  </si>
  <si>
    <t>RT644004AQ</t>
  </si>
  <si>
    <t>uuid://c8ba27f4-be56-4337-af77-0bfb24bb4a6e</t>
  </si>
  <si>
    <t>00:E0:C9:28:D2:39</t>
  </si>
  <si>
    <t>100.95.214.137</t>
  </si>
  <si>
    <t>HVACCP-66</t>
  </si>
  <si>
    <t>RT644000AQ</t>
  </si>
  <si>
    <t>uuid://3f892793-ff98-4ea6-aeaa-f7669d8a99d3</t>
  </si>
  <si>
    <t>00:E0:C9:28:D1:19</t>
  </si>
  <si>
    <t>100.95.214.153</t>
  </si>
  <si>
    <t>HLI-72</t>
  </si>
  <si>
    <t>RT6440045Q</t>
  </si>
  <si>
    <t>uuid://8a5fda8b-ba65-4773-b05e-d495994ab352</t>
  </si>
  <si>
    <t>00:E0:C9:28:D2:2F</t>
  </si>
  <si>
    <t>100.95.214.109</t>
  </si>
  <si>
    <t>HVACCP-67</t>
  </si>
  <si>
    <t>RT644009KQ</t>
  </si>
  <si>
    <t>uuid://054fe689-b6e6-4aef-a2f7-ee91fc82a1cc</t>
  </si>
  <si>
    <t>00:E0:C9:28:E2:E9</t>
  </si>
  <si>
    <t>100.95.214.125</t>
  </si>
  <si>
    <t>HLI-74</t>
  </si>
  <si>
    <t>RT6440041Q</t>
  </si>
  <si>
    <t>uuid://cc323667-e9cb-492a-a849-6ec92ce616d6</t>
  </si>
  <si>
    <t>00:E0:C9:28:D2:27</t>
  </si>
  <si>
    <t>100.95.214.100</t>
  </si>
  <si>
    <t>HVACCP-68</t>
  </si>
  <si>
    <t>RT644000WQ</t>
  </si>
  <si>
    <t>uuid://de63acfd-20a3-45db-8190-1642b058ff89</t>
  </si>
  <si>
    <t>00:E0:C9:28:D1:45</t>
  </si>
  <si>
    <t>100.95.214.139</t>
  </si>
  <si>
    <t>RT6440083Q</t>
  </si>
  <si>
    <t>uuid://bc8d17de-46e3-42ab-9009-e158f42f6117</t>
  </si>
  <si>
    <t>00:E0:C9:28:DB:27</t>
  </si>
  <si>
    <t>100.95.214.28</t>
  </si>
  <si>
    <t>HVACCP-69</t>
  </si>
  <si>
    <t>RT644004RQ</t>
  </si>
  <si>
    <t>uuid://21c36cb2-8b61-45f4-8f99-5d068462b2db</t>
  </si>
  <si>
    <t>00:E0:C9:28:DA:37</t>
  </si>
  <si>
    <t>100.95.214.165</t>
  </si>
  <si>
    <t>HLI-77</t>
  </si>
  <si>
    <t>RT644007TQ</t>
  </si>
  <si>
    <t>uuid://5b96fd6e-ebe7-4648-8468-cc19ee7bdb48</t>
  </si>
  <si>
    <t>00:E0:C9:28:DB:13</t>
  </si>
  <si>
    <t>100.95.214.168</t>
  </si>
  <si>
    <t>HVACCP-70</t>
  </si>
  <si>
    <t>RT6440031Q</t>
  </si>
  <si>
    <t>uuid://e3a7a713-ac5d-4a30-8d2f-b1539dc96986</t>
  </si>
  <si>
    <t>00:E0:C9:28:D1:DF</t>
  </si>
  <si>
    <t>100.95.214.154</t>
  </si>
  <si>
    <t>HLI-78</t>
  </si>
  <si>
    <t>RT6440006Q</t>
  </si>
  <si>
    <t>uuid://a411f60e-a0d0-44d1-a950-f78423944462</t>
  </si>
  <si>
    <t>00:E0:C9:28:D1:11</t>
  </si>
  <si>
    <t>100.95.214.169</t>
  </si>
  <si>
    <t>HLI-79</t>
  </si>
  <si>
    <t>HVACCP-71</t>
  </si>
  <si>
    <t>RT644003MQ</t>
  </si>
  <si>
    <t>uuid://a95f2afd-f521-42a6-840c-a8dd8c26e8e1</t>
  </si>
  <si>
    <t>00:E0:C9:28:D2:09</t>
  </si>
  <si>
    <t>100.95.214.123</t>
  </si>
  <si>
    <t>HVACCP-72</t>
  </si>
  <si>
    <t>RT64300LSQ</t>
  </si>
  <si>
    <t>uuid://3fc6be45-b85f-4fe7-adb7-c2dcc3e30383</t>
  </si>
  <si>
    <t>00:E0:C9:28:C8:22</t>
  </si>
  <si>
    <t>100.95.214.158</t>
  </si>
  <si>
    <t>HLI-80</t>
  </si>
  <si>
    <t>RT644006CQ</t>
  </si>
  <si>
    <t>uuid://35d133ed-06ff-4c52-a5e4-8681b1372bf6</t>
  </si>
  <si>
    <t>00:E0:C9:28:DA:A9</t>
  </si>
  <si>
    <t>100.95.214.181</t>
  </si>
  <si>
    <t>DDC-62</t>
  </si>
  <si>
    <t>HVACCP-73</t>
  </si>
  <si>
    <t>RT644004BQ</t>
  </si>
  <si>
    <t>uuid://0a119a58-6ac4-4d9c-9dc2-63c81532a420</t>
  </si>
  <si>
    <t>00:E0:C9:28:D2:3B</t>
  </si>
  <si>
    <t>100.95.214.159</t>
  </si>
  <si>
    <t>HLI-81</t>
  </si>
  <si>
    <t>RT644009AQ</t>
  </si>
  <si>
    <t>uuid://2ff77399-9d42-4aed-b50c-76b9bddf3fc2</t>
  </si>
  <si>
    <t>00:E0:C9:28:E2:D5</t>
  </si>
  <si>
    <t>100.95.214.111</t>
  </si>
  <si>
    <t>DDC-63</t>
  </si>
  <si>
    <t>HVACCP-74</t>
  </si>
  <si>
    <t>RT64300M2Q</t>
  </si>
  <si>
    <t>uuid://37eeb8a1-0eb3-483f-adc4-4d8a1b3e8325</t>
  </si>
  <si>
    <t>00:E0:C9:28:C8:36</t>
  </si>
  <si>
    <t>100.95.214.144</t>
  </si>
  <si>
    <t>HVACCP-75</t>
  </si>
  <si>
    <t>RT644000HQ</t>
  </si>
  <si>
    <t>uuid://fa16aea9-4524-45d5-b18e-676a2663f8b5</t>
  </si>
  <si>
    <t>00:E0:C9:28:D1:27</t>
  </si>
  <si>
    <t>100.95.214.53</t>
  </si>
  <si>
    <t>HLI-83</t>
  </si>
  <si>
    <t>RT6440029Q</t>
  </si>
  <si>
    <t>uuid://2d49e908-85d7-4dcb-bf3c-d7b7903a6811</t>
  </si>
  <si>
    <t>00:E0:C9:28:D1:A7</t>
  </si>
  <si>
    <t>100.95.214.155</t>
  </si>
  <si>
    <t>HLI-84</t>
  </si>
  <si>
    <t>RT64400581Q</t>
  </si>
  <si>
    <t>uuid://8dc73817-9be5-4235-9df7-92b31e03c5a0</t>
  </si>
  <si>
    <t>00:E0:C9:28:DB:23</t>
  </si>
  <si>
    <t>100.95.214.129</t>
  </si>
  <si>
    <t>HVACCP-76</t>
  </si>
  <si>
    <t>RT6440022Q</t>
  </si>
  <si>
    <t>uuid://715e84e3-31ae-4254-9bc9-0cb5f7643105</t>
  </si>
  <si>
    <t>00:E0:C9:28:D1:99</t>
  </si>
  <si>
    <t>100.95.214.176</t>
  </si>
  <si>
    <t>HLI-85</t>
  </si>
  <si>
    <t>RT64300PUQ</t>
  </si>
  <si>
    <t>uuid://55418cd5-5055-442a-a0ce-7d098c687e77</t>
  </si>
  <si>
    <t>00:E0:C9:28:C9:46</t>
  </si>
  <si>
    <t>100.95.214.102</t>
  </si>
  <si>
    <t>HVACCP-77</t>
  </si>
  <si>
    <t>RT644003NQ</t>
  </si>
  <si>
    <t>uuid://f8b47eee-9e94-4ea3-9b0e-223518ea269a</t>
  </si>
  <si>
    <t>00:E0:C9:28:D2:0B</t>
  </si>
  <si>
    <t>100.95.214.171</t>
  </si>
  <si>
    <t>HLI-86</t>
  </si>
  <si>
    <t>RT644001ZQ</t>
  </si>
  <si>
    <t>uuid://f588734d-4d0e-42b0-9a85-b1f383ae86b9</t>
  </si>
  <si>
    <t>00:E0:C9:28:D1:93</t>
  </si>
  <si>
    <t>100.95.214.82</t>
  </si>
  <si>
    <t>HVACCP-78</t>
  </si>
  <si>
    <t>RT644001VQ</t>
  </si>
  <si>
    <t>uuid://4684f78c-c774-4acb-a5b0-be7b901dc6d7</t>
  </si>
  <si>
    <t>00:E0:C9:28:D1:8B</t>
  </si>
  <si>
    <t>100.95.214.183</t>
  </si>
  <si>
    <t>HLI-87</t>
  </si>
  <si>
    <t>RT64300PVQ</t>
  </si>
  <si>
    <t>uuid://104ad182-2a15-4755-9a27-f70fcacb777c</t>
  </si>
  <si>
    <t>00:E0:C9:28:C9:48</t>
  </si>
  <si>
    <t>100.95.214.203</t>
  </si>
  <si>
    <t>HVACCP-79</t>
  </si>
  <si>
    <t>RT6440037Q</t>
  </si>
  <si>
    <t>uuid://9a7996b6-0de4-4adf-8b93-6ed75f152a4c</t>
  </si>
  <si>
    <t>00:E0:C9:28:D1:EB</t>
  </si>
  <si>
    <t>100.95.214.133</t>
  </si>
  <si>
    <t>HLI-88</t>
  </si>
  <si>
    <t>RT644008CQ</t>
  </si>
  <si>
    <t>uuid://4d4768d2-ece7-4d82-9b73-0ce881e1b0cc</t>
  </si>
  <si>
    <t>00:E0:C9:28:DB:39</t>
  </si>
  <si>
    <t>100.95.214.40</t>
  </si>
  <si>
    <t>HVACCP-80</t>
  </si>
  <si>
    <t>RT644003QQ</t>
  </si>
  <si>
    <t>uuid://392c081e-f6d4-4421-9ec8-71e60dec2911</t>
  </si>
  <si>
    <t>00:E0:C9:28:D2:11</t>
  </si>
  <si>
    <t>100.95.214.132</t>
  </si>
  <si>
    <t>HLI-89</t>
  </si>
  <si>
    <t>RT644001AQ</t>
  </si>
  <si>
    <t>uuid://dee4e383-7dd8-4af4-beea-5699af45098e</t>
  </si>
  <si>
    <t>00:E0:C9:28:D1:61</t>
  </si>
  <si>
    <t>100.95.214.145</t>
  </si>
  <si>
    <t>DDC-69</t>
  </si>
  <si>
    <t>HVACCP-81</t>
  </si>
  <si>
    <t>RT644005ZQ</t>
  </si>
  <si>
    <t>uuid://e6b04a8b-2161-4374-97ea-89ec186368ad</t>
  </si>
  <si>
    <t>00:E0:C9:28:DA:8F</t>
  </si>
  <si>
    <t>100.95.214.160</t>
  </si>
  <si>
    <t>HVACCP-82</t>
  </si>
  <si>
    <t>RT643007BQ</t>
  </si>
  <si>
    <t>uuid://bbc63d14-edc8-4859-b2d5-18c95b148ad0</t>
  </si>
  <si>
    <t>00:E0:C9:28:DA:EF</t>
  </si>
  <si>
    <t>100.95.214.88</t>
  </si>
  <si>
    <t>HLI-91</t>
  </si>
  <si>
    <t>RT644009TQ</t>
  </si>
  <si>
    <t>uuid://71e457d4-aa34-466e-98fe-c7e96f6ee3e2</t>
  </si>
  <si>
    <t>00:E0:C9:28:E2:FB</t>
  </si>
  <si>
    <t>100.95.214.141</t>
  </si>
  <si>
    <t>HVACCP-83</t>
  </si>
  <si>
    <t>RT644002UQ</t>
  </si>
  <si>
    <t>uuid://8a263825-0a45-446a-b6ff-a1036bdda899</t>
  </si>
  <si>
    <t>00:E0:C9:28:D1:D1</t>
  </si>
  <si>
    <t>100.95.214.156</t>
  </si>
  <si>
    <t>HLI-92</t>
  </si>
  <si>
    <t>RT644003GQ</t>
  </si>
  <si>
    <t>uuid://052044fa-f4ee-480b-a0b5-aedf45f2f4c8</t>
  </si>
  <si>
    <t>00:E0:C9:28:D1:FD</t>
  </si>
  <si>
    <t>100.95.214.136</t>
  </si>
  <si>
    <t>HVACCP-84</t>
  </si>
  <si>
    <t>RT644003BQ</t>
  </si>
  <si>
    <t>uuid://6af7ec7c-c36c-4b3c-9834-bab1ae7f685a</t>
  </si>
  <si>
    <t>00:E0:C9:28:D1:F3</t>
  </si>
  <si>
    <t>100.95.214.161</t>
  </si>
  <si>
    <t>HLI-93</t>
  </si>
  <si>
    <t>RT644000YQ</t>
  </si>
  <si>
    <t>uuid://11cf8430-273f-4a3a-aabc-254284d7a80f</t>
  </si>
  <si>
    <t>00:E0:C9:28:D1:49</t>
  </si>
  <si>
    <t>100.95.214.184</t>
  </si>
  <si>
    <t>HVACCP-85</t>
  </si>
  <si>
    <t>RT64300LTQ</t>
  </si>
  <si>
    <t>uuid://97fe5850-cedf-45e9-8f89-845f8e451bdf</t>
  </si>
  <si>
    <t>00:E0:C9:28:C8:24</t>
  </si>
  <si>
    <t>100.95.214.188</t>
  </si>
  <si>
    <t>HLI-94</t>
  </si>
  <si>
    <t>RT644003PQ</t>
  </si>
  <si>
    <t>uuid://a6e09a0e-ec65-44f5-94ec-e4018ccc0a85</t>
  </si>
  <si>
    <t>00:E0:C9:28:D2:0F</t>
  </si>
  <si>
    <t>100.95.214.157</t>
  </si>
  <si>
    <t>DDC-73</t>
  </si>
  <si>
    <t>HVACCP-86</t>
  </si>
  <si>
    <t>RT644002TQ</t>
  </si>
  <si>
    <t>uuid://7833dc94-098f-40b9-b623-c7b93063aeb9</t>
  </si>
  <si>
    <t>00:E0:C9:28:D1:CF</t>
  </si>
  <si>
    <t>100.95.214.119</t>
  </si>
  <si>
    <t>HLI-95</t>
  </si>
  <si>
    <t>uuid://21fdc81c-1507-4925-9b35-6eda247a57aa</t>
  </si>
  <si>
    <t>00:E0:C9:28:DA:3F</t>
  </si>
  <si>
    <t>100.95.214.182</t>
  </si>
  <si>
    <t>HVACCP-87</t>
  </si>
  <si>
    <t>RT644005OQ</t>
  </si>
  <si>
    <t>uuid://bc256bf0-4d28-4664-83f3-aaad9e27f7e9</t>
  </si>
  <si>
    <t>00:E0:C9:28:DA:49</t>
  </si>
  <si>
    <t>100.95.214.152</t>
  </si>
  <si>
    <t>HLI-97</t>
  </si>
  <si>
    <t>RT644009WQ</t>
  </si>
  <si>
    <t>uuid://e8a26836-a975-461c-8992-2f53c90ac790</t>
  </si>
  <si>
    <t>00:E0:C9:28:E3:01</t>
  </si>
  <si>
    <t>100.95.214.185</t>
  </si>
  <si>
    <t>DDC-74</t>
  </si>
  <si>
    <t>HVACCP-88</t>
  </si>
  <si>
    <t>RT644007UQ</t>
  </si>
  <si>
    <t>uuid://d5bccb07-eb4d-47c2-935f-494e2b2dad04</t>
  </si>
  <si>
    <t>00:E0:C9:28:DB:15</t>
  </si>
  <si>
    <t>100.95.214.186</t>
  </si>
  <si>
    <t>HLI-98</t>
  </si>
  <si>
    <t>RT64400A1Q</t>
  </si>
  <si>
    <t>uuid://d3740d21-d42a-49f3-927e-b9ff9b26be53</t>
  </si>
  <si>
    <t>00:E0:C9:28:E3:0B</t>
  </si>
  <si>
    <t>100.95.214.193</t>
  </si>
  <si>
    <t>DDC-75</t>
  </si>
  <si>
    <t>HVACCP-89</t>
  </si>
  <si>
    <t>RT64400B0Q</t>
  </si>
  <si>
    <t>uuid://44f2547b-f75b-4593-ba22-955fb14e3cba</t>
  </si>
  <si>
    <t>00:E0:C9:28:E3:81</t>
  </si>
  <si>
    <t>100.95.214.138</t>
  </si>
  <si>
    <t>HLI-99</t>
  </si>
  <si>
    <t>RT644009XQ</t>
  </si>
  <si>
    <t>uuid://edc00bf2-bd94-4fb0-9770-115c4da6d60e</t>
  </si>
  <si>
    <t>00:E0:C9:28:E3:03</t>
  </si>
  <si>
    <t>100.95.214.177</t>
  </si>
  <si>
    <t>DDC-76</t>
  </si>
  <si>
    <t>HVACCP-90</t>
  </si>
  <si>
    <t>RT64400BPQ</t>
  </si>
  <si>
    <t>uuid://4bfa152e-139a-4007-b4d9-b42591fc6335</t>
  </si>
  <si>
    <t>00:E0:C9:28:E3:83</t>
  </si>
  <si>
    <t>100.95.214.180</t>
  </si>
  <si>
    <t>HLI-100</t>
  </si>
  <si>
    <t>RT644009UQ</t>
  </si>
  <si>
    <t>uuid://804b274c-f978-435c-8e90-99554d567872</t>
  </si>
  <si>
    <t>00:E0:C9:28:32:FD</t>
  </si>
  <si>
    <t>HVACCP-91</t>
  </si>
  <si>
    <t>RT64400AIQ</t>
  </si>
  <si>
    <t>uuid://4bb96118-54f0-4f3d-8cfe-0ea715c9a415</t>
  </si>
  <si>
    <t>00:E0:C9:28:E3:2D</t>
  </si>
  <si>
    <t>100.95.214.197</t>
  </si>
  <si>
    <t>HVACCP-92</t>
  </si>
  <si>
    <t>RT64400CBQ</t>
  </si>
  <si>
    <t>uuid://7575901c-5a3c-41ae-b019-45688de99a84</t>
  </si>
  <si>
    <t>00:E0:C9:28:E3:AF</t>
  </si>
  <si>
    <t>100.95.214.143</t>
  </si>
  <si>
    <t>HLI-103</t>
  </si>
  <si>
    <t>HVACCP-93</t>
  </si>
  <si>
    <t>RT64400BKQ</t>
  </si>
  <si>
    <t>uuid://ca232895-2c93-4f17-b779-24bf468c83b1</t>
  </si>
  <si>
    <t>00:E0:C9:28:E3:79</t>
  </si>
  <si>
    <t>100.95.214.167</t>
  </si>
  <si>
    <t>HLI-104</t>
  </si>
  <si>
    <t>HVACCP-94</t>
  </si>
  <si>
    <t>RT64600DOQ</t>
  </si>
  <si>
    <t>uuid://207ed045-0806-4ba6-ae11-d9f29cc66fe5</t>
  </si>
  <si>
    <t>00:e0:c9:29:59:93</t>
  </si>
  <si>
    <t>100.95.215.183</t>
  </si>
  <si>
    <t>HLI-105</t>
  </si>
  <si>
    <t>RT64600D7Q</t>
  </si>
  <si>
    <t>uuid://ef0d9d75-3dc1-4933-afc4-788843083bf1</t>
  </si>
  <si>
    <t>00:e0:c9:29:59:71</t>
  </si>
  <si>
    <t>100.95.215.188</t>
  </si>
  <si>
    <t>HLI-106</t>
  </si>
  <si>
    <t>RT64600BDQ</t>
  </si>
  <si>
    <t>uuid://68cdc51f-c81b-4ce3-a015-e9bf52af433d</t>
  </si>
  <si>
    <t>00:e0:c9:29:58:ed</t>
  </si>
  <si>
    <t>100.95.215.169</t>
  </si>
  <si>
    <t>HLI-107</t>
  </si>
  <si>
    <t>RT64600CRQ</t>
  </si>
  <si>
    <t>uuid://93accdcf-a23f-4da4-b556-87ae9447f9d9</t>
  </si>
  <si>
    <t>00:e0:c9:29:59:51</t>
  </si>
  <si>
    <t>100.95.215.150</t>
  </si>
  <si>
    <t>HLI-108</t>
  </si>
  <si>
    <t>HVACCP-95</t>
  </si>
  <si>
    <t>RT64300NGQ</t>
  </si>
  <si>
    <t>uuid://266e4268-92ac-411d-a26b-9bc858d132e6</t>
  </si>
  <si>
    <t>00:e0:c9:28:c8:9a</t>
  </si>
  <si>
    <t>100.95.215.170</t>
  </si>
  <si>
    <t>HLI-109</t>
  </si>
  <si>
    <t>RT64600DTQ</t>
  </si>
  <si>
    <t>uuid://93359c51-fee7-4791-b462-b4e166dba06c</t>
  </si>
  <si>
    <t>00:e0:c9:29:59:9d</t>
  </si>
  <si>
    <t>100.95.215.176</t>
  </si>
  <si>
    <t>HLI-110</t>
  </si>
  <si>
    <t>RT64600DSQ</t>
  </si>
  <si>
    <t>uuid://46790fe1-5e9d-4795-9847-d0b901b5acfc</t>
  </si>
  <si>
    <t>00:e0:c9:29:59:9b</t>
  </si>
  <si>
    <t>100.95.215.168</t>
  </si>
  <si>
    <t>HVACCP-96</t>
  </si>
  <si>
    <t>RT644002EQ</t>
  </si>
  <si>
    <t>uuid://2bf5db5e-9d81-4c7d-b109-cebbed92f6ff</t>
  </si>
  <si>
    <t>00:e0:c9:28:d1:b1</t>
  </si>
  <si>
    <t>100.95.215.198</t>
  </si>
  <si>
    <t>HVACCP-100</t>
  </si>
  <si>
    <t>RT6440020Q</t>
  </si>
  <si>
    <t>uuid://9855221a-416d-4244-a702-d2e6827fbb80</t>
  </si>
  <si>
    <t>00:e0:c9:28:d1:95</t>
  </si>
  <si>
    <t>100.95.215.173</t>
  </si>
  <si>
    <t>HLI-113</t>
  </si>
  <si>
    <t>RT64400BGQ</t>
  </si>
  <si>
    <t>uuid://f05c7afc-abea-449d-a2cd-60bae72743c5</t>
  </si>
  <si>
    <t>00:e0:c9:28:e3:71</t>
  </si>
  <si>
    <t>100.95.215.179</t>
  </si>
  <si>
    <t>HLI-114</t>
  </si>
  <si>
    <t>RT64400BFQ</t>
  </si>
  <si>
    <t>uuid://20f25134-8fad-4bd9-8183-048c584381cd</t>
  </si>
  <si>
    <t>00:e0:c9:28:e3:6f</t>
  </si>
  <si>
    <t>100.95.215.185</t>
  </si>
  <si>
    <t>HLI-115</t>
  </si>
  <si>
    <t>RT64400DGQ</t>
  </si>
  <si>
    <t>uuid://93855159-0b81-45a6-8828-2ff994193d97</t>
  </si>
  <si>
    <t>00:e0:c9:28:e4:01</t>
  </si>
  <si>
    <t>100.95.215.123</t>
  </si>
  <si>
    <t>HLI-116</t>
  </si>
  <si>
    <t>RT6440082Q</t>
  </si>
  <si>
    <t>uuid://f03e81f0-fd0b-4123-85d0-d93a419484bc</t>
  </si>
  <si>
    <t>00:e0:c9:28:db:25</t>
  </si>
  <si>
    <t>100.95.215.204</t>
  </si>
  <si>
    <t>RT644004XQ</t>
  </si>
  <si>
    <t>uuid://c505736a-bf0b-4e2b-846e-102341bdbb44</t>
  </si>
  <si>
    <t>00:e0:c9:28:da:43</t>
  </si>
  <si>
    <t>100.95.215.161</t>
  </si>
  <si>
    <t>HLI-118</t>
  </si>
  <si>
    <t>RT644002IQ</t>
  </si>
  <si>
    <t>uuid://fed7ea73-46b0-4cc0-a922-c1f1ac8e6bcd</t>
  </si>
  <si>
    <t>00:e0:c9:28:d1:b9</t>
  </si>
  <si>
    <t>100.95.215.196</t>
  </si>
  <si>
    <t>HLI-119</t>
  </si>
  <si>
    <t>RT64500GGQ</t>
  </si>
  <si>
    <t>uuid://6a895db8-2d73-4410-9fd8-f0815041bff3</t>
  </si>
  <si>
    <t>00:e0:c9:29:29:2a</t>
  </si>
  <si>
    <t>100.95.215.200</t>
  </si>
  <si>
    <t>HLI-120</t>
  </si>
  <si>
    <t>uuid://6ac6b50a-aea7-48d7-bcbe-262824d1b677</t>
  </si>
  <si>
    <t>00:e0:c9:2a:3b:ae</t>
  </si>
  <si>
    <t>100.95.215.238</t>
  </si>
  <si>
    <t>HLI-301</t>
  </si>
  <si>
    <t>Tridium</t>
  </si>
  <si>
    <t>M</t>
  </si>
  <si>
    <t>uuid://7679b9e8-bb89-4493-8fd7-5b7147157f5e</t>
  </si>
  <si>
    <t>Trane</t>
  </si>
  <si>
    <t>CC:33:31:8F:73:70</t>
  </si>
  <si>
    <t>Jace Controller not Installed at Site.</t>
  </si>
  <si>
    <t>HLI-302</t>
  </si>
  <si>
    <t>uuid://b8a7cd6b-784a-4d75-8b2f-04a068de986a</t>
  </si>
  <si>
    <t>AC:1F:0F:E1:B8:7B</t>
  </si>
  <si>
    <t>HLI-303</t>
  </si>
  <si>
    <t>TRANE</t>
  </si>
  <si>
    <t>HVACCP-301</t>
  </si>
  <si>
    <t>E21K08105</t>
  </si>
  <si>
    <t>uuid://758b1152-3e73-4863-b46d-423f5df62ae3</t>
  </si>
  <si>
    <t>v5.70.1731</t>
  </si>
  <si>
    <t>00:12:EA:15:57:B8</t>
  </si>
  <si>
    <t>100.95.215.138</t>
  </si>
  <si>
    <t>HLI-304</t>
  </si>
  <si>
    <t>E24E06090</t>
  </si>
  <si>
    <t>uuid://35691f3e-6364-422f-badf-fde9e33729f7</t>
  </si>
  <si>
    <t>00:12:EA:15:84:6D</t>
  </si>
  <si>
    <t>100.95.215.160</t>
  </si>
  <si>
    <t>VAV-1</t>
  </si>
  <si>
    <t>Neptronic</t>
  </si>
  <si>
    <t>EVCB SERIES</t>
  </si>
  <si>
    <t>Serial</t>
  </si>
  <si>
    <t>VAVCTR</t>
  </si>
  <si>
    <t>uuid://9bb583f2-3aec-45e6-aea2-45ce2fdb930c</t>
  </si>
  <si>
    <t>Airmech</t>
  </si>
  <si>
    <t>BACnet MS/TP</t>
  </si>
  <si>
    <t>Secondary to HLI-005</t>
  </si>
  <si>
    <t>Proxied Device</t>
  </si>
  <si>
    <t>VAV-2</t>
  </si>
  <si>
    <t xml:space="preserve">GC8 </t>
  </si>
  <si>
    <t>uuid://e8d4f9c2-555a-4890-8a32-7f68a82be9a3</t>
  </si>
  <si>
    <t>VAV-3</t>
  </si>
  <si>
    <t xml:space="preserve">GC7 </t>
  </si>
  <si>
    <t>uuid://971a39e7-52f5-4d19-b9af-1abc3a629551</t>
  </si>
  <si>
    <t>VAV-4</t>
  </si>
  <si>
    <t>GC7</t>
  </si>
  <si>
    <t>uuid://828d3d7b-5274-4c27-b5c6-d54511f514b2</t>
  </si>
  <si>
    <t>VAV-5</t>
  </si>
  <si>
    <t xml:space="preserve">CG05 </t>
  </si>
  <si>
    <t>uuid://d843a460-0abc-4520-810f-dfb0a0a4130a</t>
  </si>
  <si>
    <t>VAV-6</t>
  </si>
  <si>
    <t>GC14</t>
  </si>
  <si>
    <t>uuid://93035b42-b971-4e87-9c8a-9f97c7d919f2</t>
  </si>
  <si>
    <t>VAV-7</t>
  </si>
  <si>
    <t>uuid://2c01dd67-f4a2-4aa7-9bca-b96190d8fc21</t>
  </si>
  <si>
    <t>VAV-8</t>
  </si>
  <si>
    <t xml:space="preserve">CG07 </t>
  </si>
  <si>
    <t>uuid://559e4480-8195-4653-9c05-b36ccd47c672</t>
  </si>
  <si>
    <t>VAV-9</t>
  </si>
  <si>
    <t xml:space="preserve">G70 </t>
  </si>
  <si>
    <t>uuid://4fdf5dc9-0fdc-42d2-be94-c86a567bffe7</t>
  </si>
  <si>
    <t>VAV-10</t>
  </si>
  <si>
    <t>GC24</t>
  </si>
  <si>
    <t>uuid://098f8993-1ed0-4331-9650-e139ee518a0d</t>
  </si>
  <si>
    <t>VAV-11</t>
  </si>
  <si>
    <t xml:space="preserve">GC23 </t>
  </si>
  <si>
    <t>uuid://4ff40827-e495-4a3c-bd0c-ca697ab38da8</t>
  </si>
  <si>
    <t>VAV-12</t>
  </si>
  <si>
    <t xml:space="preserve">GC22 </t>
  </si>
  <si>
    <t>uuid://117dc1d7-fe73-4550-9cf9-f5a5679b3dc3</t>
  </si>
  <si>
    <t>VAV-13</t>
  </si>
  <si>
    <t xml:space="preserve">GC20 </t>
  </si>
  <si>
    <t>uuid://fb8d274c-a2f0-44b6-90f1-1de8adcc900a</t>
  </si>
  <si>
    <t>VAV-14</t>
  </si>
  <si>
    <t xml:space="preserve">CG04 </t>
  </si>
  <si>
    <t>uuid://c75c7cde-e1d0-4714-8ff7-23eb1cda6284</t>
  </si>
  <si>
    <t>VAV-15</t>
  </si>
  <si>
    <t xml:space="preserve">GC16 </t>
  </si>
  <si>
    <t>uuid://bca693c6-494f-46a7-bd6a-f9d66106eee5</t>
  </si>
  <si>
    <t>VAV-16</t>
  </si>
  <si>
    <t xml:space="preserve">GC19 </t>
  </si>
  <si>
    <t>uuid://42e0eb38-c10c-4a43-a4ef-f14031344dba</t>
  </si>
  <si>
    <t>VAV-17</t>
  </si>
  <si>
    <t>GC18</t>
  </si>
  <si>
    <t>uuid://40df1b95-b7c8-4e95-a692-8437fed59bb3</t>
  </si>
  <si>
    <t>VAV-18</t>
  </si>
  <si>
    <t xml:space="preserve">GC27 </t>
  </si>
  <si>
    <t>uuid://dee00bab-cf86-48fe-99a4-43fcce5116c0</t>
  </si>
  <si>
    <t>VAV-19</t>
  </si>
  <si>
    <t xml:space="preserve"> GI11 </t>
  </si>
  <si>
    <t>uuid://964ad1a5-910b-4b9f-a0f6-e30ba8084094</t>
  </si>
  <si>
    <t>VAV-20</t>
  </si>
  <si>
    <t xml:space="preserve">G15 </t>
  </si>
  <si>
    <t>uuid://358e35f8-b44b-4212-8fdf-a27637e11ccd</t>
  </si>
  <si>
    <t>VAV-21</t>
  </si>
  <si>
    <t xml:space="preserve"> G19 </t>
  </si>
  <si>
    <t>uuid://1f0dd49b-0f55-4d40-a81b-b0bc23d02b3e</t>
  </si>
  <si>
    <t>VAV-22</t>
  </si>
  <si>
    <t>GD26</t>
  </si>
  <si>
    <t>uuid://7ae096fa-0010-4b03-abc7-120025541966</t>
  </si>
  <si>
    <t>VAV-23</t>
  </si>
  <si>
    <t xml:space="preserve"> GD29</t>
  </si>
  <si>
    <t>uuid://5363a79c-83e5-4c41-b2d4-a3fd3714778e</t>
  </si>
  <si>
    <t>VAV-24</t>
  </si>
  <si>
    <t>GD8</t>
  </si>
  <si>
    <t>uuid://88331df4-9e76-4c60-af59-aedd39df987c</t>
  </si>
  <si>
    <t>VAV-25</t>
  </si>
  <si>
    <t>CG51</t>
  </si>
  <si>
    <t>uuid://b7b9fa01-e42a-41c7-8862-795d23f1966d</t>
  </si>
  <si>
    <t>VAV-26</t>
  </si>
  <si>
    <t xml:space="preserve">GD7 </t>
  </si>
  <si>
    <t>uuid://df70033a-e58b-48cd-8686-83b889a38ecb</t>
  </si>
  <si>
    <t>VAV-27</t>
  </si>
  <si>
    <t xml:space="preserve">GD6 </t>
  </si>
  <si>
    <t>uuid://a9ed1ef4-9925-44c5-a2b2-1be9fbdc21d2</t>
  </si>
  <si>
    <t>VAV-28</t>
  </si>
  <si>
    <t xml:space="preserve">GD5 </t>
  </si>
  <si>
    <t>uuid://c1858fa6-ce39-449d-8100-86526d564d14</t>
  </si>
  <si>
    <t>VAV-29</t>
  </si>
  <si>
    <t xml:space="preserve">GD4 </t>
  </si>
  <si>
    <t>uuid://2687b98b-23e3-4065-a72b-dc9ee021cc91</t>
  </si>
  <si>
    <t>VAV-30</t>
  </si>
  <si>
    <t xml:space="preserve">GD3 </t>
  </si>
  <si>
    <t>uuid://ae20e9f8-e6e5-4692-8a75-abcb42cf9cd0</t>
  </si>
  <si>
    <t>VAV-31</t>
  </si>
  <si>
    <t xml:space="preserve">GD2 </t>
  </si>
  <si>
    <t>uuid://98bbb1a9-30ec-4c3a-8d74-5a19ca0c99a5</t>
  </si>
  <si>
    <t>VAV-32</t>
  </si>
  <si>
    <t xml:space="preserve">GD9 </t>
  </si>
  <si>
    <t>uuid://408e2f64-8d6d-4c94-9f66-82010de80794</t>
  </si>
  <si>
    <t>VAV-33</t>
  </si>
  <si>
    <t>GD1</t>
  </si>
  <si>
    <t>uuid://1b3f2a68-7c5a-4cea-8955-b89c49d1ae00</t>
  </si>
  <si>
    <t>VAV-34</t>
  </si>
  <si>
    <t xml:space="preserve">GD11 </t>
  </si>
  <si>
    <t>uuid://1335d5e3-6f39-4bee-b1ae-b2089cdb6cc3</t>
  </si>
  <si>
    <t>VAV-35</t>
  </si>
  <si>
    <t xml:space="preserve">GD17 </t>
  </si>
  <si>
    <t>uuid://1ce7a051-7fb7-49f2-a765-1f30f7f01c52</t>
  </si>
  <si>
    <t>VAV-36</t>
  </si>
  <si>
    <t xml:space="preserve">GD14 </t>
  </si>
  <si>
    <t>uuid://74be80cc-6545-48a7-b619-e5884c309eba</t>
  </si>
  <si>
    <t>VAV-37</t>
  </si>
  <si>
    <t xml:space="preserve">GD16 </t>
  </si>
  <si>
    <t>uuid://0a88b9d1-d8bb-4512-9e15-f42cee233a14</t>
  </si>
  <si>
    <t>VAV-38</t>
  </si>
  <si>
    <t xml:space="preserve">CG38 </t>
  </si>
  <si>
    <t>uuid://0a90b1f5-c0f8-461c-ae8e-dc2e134274c6</t>
  </si>
  <si>
    <t>VAV-39</t>
  </si>
  <si>
    <t>CG37</t>
  </si>
  <si>
    <t>uuid://0f7cba2a-2609-40b1-a70a-632266b8e495</t>
  </si>
  <si>
    <t>VAV-40</t>
  </si>
  <si>
    <t>uuid://84e4bfe2-4428-42fc-8e89-6a629ad4443e</t>
  </si>
  <si>
    <t>VAV-41</t>
  </si>
  <si>
    <t xml:space="preserve">GA5 </t>
  </si>
  <si>
    <t>uuid://98f269d4-d1ad-4e84-8a88-f51491ae65cd</t>
  </si>
  <si>
    <t>VAV-42</t>
  </si>
  <si>
    <t xml:space="preserve"> GA3 </t>
  </si>
  <si>
    <t>uuid://3f2eb546-2616-4565-a5e5-10c2ad36417b</t>
  </si>
  <si>
    <t>VAV-43</t>
  </si>
  <si>
    <t xml:space="preserve">CG42 </t>
  </si>
  <si>
    <t>uuid://150aca48-7473-4a1d-b633-86f8b5ded0cc</t>
  </si>
  <si>
    <t>VAV-44</t>
  </si>
  <si>
    <t xml:space="preserve">GV79 </t>
  </si>
  <si>
    <t>uuid://a4bdd57d-f0af-4461-8e39-9052c1fa700a</t>
  </si>
  <si>
    <t>VAV-45</t>
  </si>
  <si>
    <t>CG35</t>
  </si>
  <si>
    <t>uuid://8ea40451-53f1-4054-b741-96e89e40c0d2</t>
  </si>
  <si>
    <t>VAV-46</t>
  </si>
  <si>
    <t xml:space="preserve">CG34 </t>
  </si>
  <si>
    <t>uuid://dd9f4c96-1404-47a6-becb-9ccac9c4cbc3</t>
  </si>
  <si>
    <t>VAV-47</t>
  </si>
  <si>
    <t xml:space="preserve">CG33 </t>
  </si>
  <si>
    <t>uuid://cc8cda0d-bf38-4613-9b60-76a2dbadde99</t>
  </si>
  <si>
    <t>VAV-48</t>
  </si>
  <si>
    <t xml:space="preserve">CG16 </t>
  </si>
  <si>
    <t>uuid://4ed61a02-ded0-41f2-aec9-0a57ce770745</t>
  </si>
  <si>
    <t>VAV-49</t>
  </si>
  <si>
    <t xml:space="preserve">CG13 </t>
  </si>
  <si>
    <t>uuid://b98019cb-d51d-4a97-a231-107cba3cf6ca</t>
  </si>
  <si>
    <t>VAV-50</t>
  </si>
  <si>
    <t xml:space="preserve">CG15 </t>
  </si>
  <si>
    <t>uuid://36f2237b-89f3-425a-9ccb-2b674ed04e0a</t>
  </si>
  <si>
    <t>VAV-51</t>
  </si>
  <si>
    <t xml:space="preserve">CG17 </t>
  </si>
  <si>
    <t>uuid://d21b359a-70d2-4aa1-bc51-d6ce8368b05a</t>
  </si>
  <si>
    <t>VAV-52</t>
  </si>
  <si>
    <t xml:space="preserve">GV72 </t>
  </si>
  <si>
    <t>uuid://3b700f32-6cc4-4a82-8b28-82dc361fef97</t>
  </si>
  <si>
    <t>VAV-53</t>
  </si>
  <si>
    <t xml:space="preserve">CG21 </t>
  </si>
  <si>
    <t>uuid://6f6b1f98-5c2e-43ae-9074-44120a2d3ba2</t>
  </si>
  <si>
    <t>VAV-54</t>
  </si>
  <si>
    <t xml:space="preserve"> CG20 </t>
  </si>
  <si>
    <t>uuid://75101763-3f59-4faa-b075-ff067f8a0ce4</t>
  </si>
  <si>
    <t>VAV-55</t>
  </si>
  <si>
    <t>uuid://55ca850f-cfc8-40cb-b57b-ea0f2deaaba9</t>
  </si>
  <si>
    <t>VAV-56</t>
  </si>
  <si>
    <t xml:space="preserve">CG19 </t>
  </si>
  <si>
    <t>uuid://a45c2219-9f5d-43e5-9a94-30f49f5ab060</t>
  </si>
  <si>
    <t>VAV-57</t>
  </si>
  <si>
    <t xml:space="preserve">GB5 </t>
  </si>
  <si>
    <t>uuid://46c25379-9ba6-406c-b4c4-e8cf986558d4</t>
  </si>
  <si>
    <t>VAV-58</t>
  </si>
  <si>
    <t xml:space="preserve">GB7 </t>
  </si>
  <si>
    <t>uuid://abc0819b-5a7a-43d9-8c89-e3f797f05210</t>
  </si>
  <si>
    <t>VAV-59</t>
  </si>
  <si>
    <t>uuid://40ad3560-50bf-4eeb-9972-00ca0bee3d6a</t>
  </si>
  <si>
    <t>VAV-60</t>
  </si>
  <si>
    <t xml:space="preserve">GB8 </t>
  </si>
  <si>
    <t>uuid://b3c1917e-3a27-4bf9-bed2-a6cc7fc5fb0b</t>
  </si>
  <si>
    <t>VAV-61</t>
  </si>
  <si>
    <t xml:space="preserve">GB4 </t>
  </si>
  <si>
    <t>uuid://f3ca8c6e-0084-44d4-9a6b-a9e2f7e17681</t>
  </si>
  <si>
    <t>VAV-62</t>
  </si>
  <si>
    <t>uuid://a252dfc7-c57c-44fa-ad7c-837f979d7c42</t>
  </si>
  <si>
    <t>VAV-63</t>
  </si>
  <si>
    <t xml:space="preserve">1C120 </t>
  </si>
  <si>
    <t>uuid://982b619e-676b-4f58-89cf-96cdda324814</t>
  </si>
  <si>
    <t>VAV-64</t>
  </si>
  <si>
    <t xml:space="preserve">1C123 </t>
  </si>
  <si>
    <t>uuid://e91253d9-fab8-4b3c-85a0-4749f4b67eee</t>
  </si>
  <si>
    <t>VAV-65</t>
  </si>
  <si>
    <t xml:space="preserve">1C125 </t>
  </si>
  <si>
    <t>uuid://aebcb1ec-15b0-4820-9ae9-0af07afac5d3</t>
  </si>
  <si>
    <t>VAV-66</t>
  </si>
  <si>
    <t xml:space="preserve">1C33 </t>
  </si>
  <si>
    <t>uuid://3439694e-1d40-4802-ad30-017eb1edbdbb</t>
  </si>
  <si>
    <t>VAV-67</t>
  </si>
  <si>
    <t xml:space="preserve">1C36 </t>
  </si>
  <si>
    <t>uuid://5c5e2237-5400-490d-bb70-500b341827c5</t>
  </si>
  <si>
    <t>VAV-68</t>
  </si>
  <si>
    <t xml:space="preserve">1C34  &amp; 1C35 </t>
  </si>
  <si>
    <t>uuid://980f56da-ec5b-4612-b14e-d979f392d0e3</t>
  </si>
  <si>
    <t>VAV-69</t>
  </si>
  <si>
    <t xml:space="preserve">1C32 </t>
  </si>
  <si>
    <t>uuid://6a9a6609-24cf-4775-ac1a-33aa9e8cf971</t>
  </si>
  <si>
    <t>VAV-70</t>
  </si>
  <si>
    <t>1C128 - W/S</t>
  </si>
  <si>
    <t>uuid://8e5c3159-1838-40a8-be49-6a9767ed1840</t>
  </si>
  <si>
    <t>VAV-71</t>
  </si>
  <si>
    <t>1C096</t>
  </si>
  <si>
    <t>uuid://4a2a6ece-91e5-44bd-8861-1415590c058e</t>
  </si>
  <si>
    <t>VAV-72</t>
  </si>
  <si>
    <t xml:space="preserve">1C38 1C39 </t>
  </si>
  <si>
    <t>uuid://799cc41f-338e-4151-83f2-beb94884c453</t>
  </si>
  <si>
    <t>VAV-73</t>
  </si>
  <si>
    <t xml:space="preserve">1C56 </t>
  </si>
  <si>
    <t>uuid://f4679ed5-c49b-4281-a45e-f3b19ae47921</t>
  </si>
  <si>
    <t>VAV-74</t>
  </si>
  <si>
    <t xml:space="preserve"> 1C101 </t>
  </si>
  <si>
    <t>uuid://fc7a0ca1-c8bf-4850-94be-12008078fea5</t>
  </si>
  <si>
    <t>VAV-75</t>
  </si>
  <si>
    <t xml:space="preserve">1C37 </t>
  </si>
  <si>
    <t>uuid://1df1ce51-c030-4ef3-a364-5148167fc101</t>
  </si>
  <si>
    <t>VAV-76</t>
  </si>
  <si>
    <t xml:space="preserve">C183 </t>
  </si>
  <si>
    <t>uuid://9f907e66-544c-4f37-bc51-fff9785c7031</t>
  </si>
  <si>
    <t>VAV-77</t>
  </si>
  <si>
    <t xml:space="preserve">1C27  &amp; 1C28 </t>
  </si>
  <si>
    <t>uuid://88ee97ad-4523-4cb5-ba7d-9d92c123750e</t>
  </si>
  <si>
    <t>VAV-78</t>
  </si>
  <si>
    <t xml:space="preserve">1C19  1C20 </t>
  </si>
  <si>
    <t>uuid://9ad65991-114e-4581-9cc6-be96c57c9230</t>
  </si>
  <si>
    <t>VAV-79</t>
  </si>
  <si>
    <t xml:space="preserve">1C16 &amp; 1C17 </t>
  </si>
  <si>
    <t>uuid://1bb28c5b-f210-47b9-85cf-41564c3c6b70</t>
  </si>
  <si>
    <t>VAV-80</t>
  </si>
  <si>
    <t xml:space="preserve">170 </t>
  </si>
  <si>
    <t>uuid://c3f229d0-864c-407b-b305-929505699399</t>
  </si>
  <si>
    <t>VAV-81</t>
  </si>
  <si>
    <t xml:space="preserve">1C25  1C26 </t>
  </si>
  <si>
    <t>uuid://7ee00099-bfd7-4fee-afcb-301f0f9e1c65</t>
  </si>
  <si>
    <t>VAV-82</t>
  </si>
  <si>
    <t>IC107 - W/S</t>
  </si>
  <si>
    <t>uuid://e15be3ee-75e3-4601-9c60-d6493383b45c</t>
  </si>
  <si>
    <t>VAV-83</t>
  </si>
  <si>
    <t xml:space="preserve">1C15 </t>
  </si>
  <si>
    <t>uuid://c74b0412-50d4-40bc-b679-62d4f5a77b59</t>
  </si>
  <si>
    <t>VAV-84</t>
  </si>
  <si>
    <t>uuid://658ed822-0297-4624-8fa2-9787d3590928</t>
  </si>
  <si>
    <t>VAV-85</t>
  </si>
  <si>
    <t xml:space="preserve">1C12 </t>
  </si>
  <si>
    <t>uuid://f3e5c44e-1ac7-46c8-8522-4613c24f8c55</t>
  </si>
  <si>
    <t>VAV-86</t>
  </si>
  <si>
    <t xml:space="preserve">IC18 </t>
  </si>
  <si>
    <t>uuid://4728fa26-2f67-410c-a7e6-638ffeb7a95b</t>
  </si>
  <si>
    <t>VAV-87</t>
  </si>
  <si>
    <t xml:space="preserve">1C13 </t>
  </si>
  <si>
    <t>uuid://463a4750-8682-4190-ba31-d033cb098a3b</t>
  </si>
  <si>
    <t>VAV-88</t>
  </si>
  <si>
    <t xml:space="preserve">1C21  &amp; 1C22 </t>
  </si>
  <si>
    <t>uuid://da02b55f-f38a-4526-9655-e687eff93e4c</t>
  </si>
  <si>
    <t>VAV-89</t>
  </si>
  <si>
    <t xml:space="preserve">1C14 </t>
  </si>
  <si>
    <t>uuid://cdf5f61b-2583-47fa-959e-e8eb5df37774</t>
  </si>
  <si>
    <t>VAV-90</t>
  </si>
  <si>
    <t xml:space="preserve">1C23 &amp; 1C24 </t>
  </si>
  <si>
    <t>uuid://d61eb7ed-2ea0-4ef4-a72b-892f56ac3ec1</t>
  </si>
  <si>
    <t>VAV-91</t>
  </si>
  <si>
    <t>1C105 - W/S</t>
  </si>
  <si>
    <t>uuid://9f0d5959-85ac-42f8-bf23-1350c591480e</t>
  </si>
  <si>
    <t>VAV-92</t>
  </si>
  <si>
    <t xml:space="preserve">1C47 </t>
  </si>
  <si>
    <t>uuid://890c4e4c-c2be-4de1-acba-01ea156e5d40</t>
  </si>
  <si>
    <t>VAV-93</t>
  </si>
  <si>
    <t xml:space="preserve">1C10  &amp; 1C11 </t>
  </si>
  <si>
    <t>uuid://51a15e56-7e4c-4bd6-98a2-d0c6e3e91176</t>
  </si>
  <si>
    <t>VAV-94</t>
  </si>
  <si>
    <t xml:space="preserve">1C9 </t>
  </si>
  <si>
    <t>uuid://1f8521a1-f0fc-48de-8e19-c342c05f8745</t>
  </si>
  <si>
    <t>VAV-95</t>
  </si>
  <si>
    <t xml:space="preserve">1C8 </t>
  </si>
  <si>
    <t>uuid://36e8cb8e-b99a-41c2-9d83-8a416018139a</t>
  </si>
  <si>
    <t>VAV-96</t>
  </si>
  <si>
    <t xml:space="preserve">1C3 </t>
  </si>
  <si>
    <t>uuid://c15f4e1e-cb25-48b2-a8bd-4b5d716a323e</t>
  </si>
  <si>
    <t>VAV-97</t>
  </si>
  <si>
    <t xml:space="preserve">1B17 </t>
  </si>
  <si>
    <t>uuid://79c15786-e079-40fd-87e5-4f3073b28de8</t>
  </si>
  <si>
    <t>VAV-98</t>
  </si>
  <si>
    <t xml:space="preserve">C179 </t>
  </si>
  <si>
    <t>uuid://e9c6dba2-1a91-460e-ac7f-a8b69b68e217</t>
  </si>
  <si>
    <t>VAV-99</t>
  </si>
  <si>
    <t xml:space="preserve">1B20 </t>
  </si>
  <si>
    <t>uuid://0f881498-80d9-46f1-b522-66e91508def8</t>
  </si>
  <si>
    <t>VAV-100</t>
  </si>
  <si>
    <t>1B2  1B3  &amp; 1B4</t>
  </si>
  <si>
    <t>uuid://0fac7a20-2730-4538-9db2-926163388aff</t>
  </si>
  <si>
    <t>VAV-101</t>
  </si>
  <si>
    <t xml:space="preserve">1B6 </t>
  </si>
  <si>
    <t>uuid://54a38aae-b51b-4153-9246-9c3598e3c8b4</t>
  </si>
  <si>
    <t>VAV-102</t>
  </si>
  <si>
    <t xml:space="preserve">1B10 </t>
  </si>
  <si>
    <t>uuid://79a5e6f8-e65c-4ee9-aa10-af52ce3ca25b</t>
  </si>
  <si>
    <t>VAV-103</t>
  </si>
  <si>
    <t xml:space="preserve">1B11 </t>
  </si>
  <si>
    <t>uuid://c7c93dd6-31cb-45d2-9a6e-6a6dc21714fb</t>
  </si>
  <si>
    <t>VAV-104</t>
  </si>
  <si>
    <t xml:space="preserve">1B093 </t>
  </si>
  <si>
    <t>uuid://a3f8a2e0-4ed5-4f1e-99cf-42ecbca47688</t>
  </si>
  <si>
    <t>VAV-105</t>
  </si>
  <si>
    <t xml:space="preserve">1B12 </t>
  </si>
  <si>
    <t>uuid://554de1d1-7af7-4490-9268-c8e8d385123f</t>
  </si>
  <si>
    <t>VAV-106</t>
  </si>
  <si>
    <t xml:space="preserve">1B13 </t>
  </si>
  <si>
    <t>uuid://fca4988e-769c-4d9e-8b3f-51fdd6a55215</t>
  </si>
  <si>
    <t>VAV-107</t>
  </si>
  <si>
    <t xml:space="preserve">1C6  &amp; 1C7 </t>
  </si>
  <si>
    <t>uuid://5e8ddf5d-75fd-4ae7-9535-3975e5144104</t>
  </si>
  <si>
    <t>VAV-108</t>
  </si>
  <si>
    <t xml:space="preserve">1C028 </t>
  </si>
  <si>
    <t>uuid://d8d4fb31-51b4-41d1-b446-e21e4d5373ce</t>
  </si>
  <si>
    <t>VAV-109</t>
  </si>
  <si>
    <t xml:space="preserve">1C42 </t>
  </si>
  <si>
    <t>uuid://b879f911-e60c-4a5b-b7a6-05a7273c9c04</t>
  </si>
  <si>
    <t>VAV-110</t>
  </si>
  <si>
    <t xml:space="preserve">IC025 </t>
  </si>
  <si>
    <t>uuid://54550d70-0172-4bb7-ac1b-d7ad94e184ed</t>
  </si>
  <si>
    <t>VAV-111</t>
  </si>
  <si>
    <t xml:space="preserve">1D52 </t>
  </si>
  <si>
    <t>uuid://eb9545c6-8abf-42ca-9ef7-8a21b63829a7</t>
  </si>
  <si>
    <t>VAV-112</t>
  </si>
  <si>
    <t>uuid://9164bd77-bf29-43fd-ad6a-ec9035245820</t>
  </si>
  <si>
    <t>VAV-113</t>
  </si>
  <si>
    <t xml:space="preserve">IC001 </t>
  </si>
  <si>
    <t>uuid://df4ccd0d-3717-429a-99d3-70cfeba7e4fc</t>
  </si>
  <si>
    <t>VAV-114</t>
  </si>
  <si>
    <t xml:space="preserve">1C021 </t>
  </si>
  <si>
    <t>uuid://cdbd5464-fdbc-41e0-b380-848c80bef426</t>
  </si>
  <si>
    <t>VAV-115</t>
  </si>
  <si>
    <t xml:space="preserve">1C40 </t>
  </si>
  <si>
    <t>uuid://ec570e83-c181-4ff7-8e4c-75dcd5b1c599</t>
  </si>
  <si>
    <t>VAV-116</t>
  </si>
  <si>
    <t xml:space="preserve">1C4  &amp; 1C5 </t>
  </si>
  <si>
    <t>uuid://a7fea2ef-b582-4b19-9378-90366f9e15d4</t>
  </si>
  <si>
    <t>VAV-117</t>
  </si>
  <si>
    <t>Cancelled</t>
  </si>
  <si>
    <t>uuid://f00f9aec-bce8-4930-8f15-2e5d377735c4</t>
  </si>
  <si>
    <t>VAV-118</t>
  </si>
  <si>
    <t>uuid://4f611879-268a-450d-8b1a-bf563e8aab9d</t>
  </si>
  <si>
    <t>VAV-119</t>
  </si>
  <si>
    <t>uuid://acc4ecb6-3eaa-4402-9a2b-305805d921e1</t>
  </si>
  <si>
    <t>VAV-120</t>
  </si>
  <si>
    <t xml:space="preserve">1B26 </t>
  </si>
  <si>
    <t>uuid://d2eb4f82-f28e-4791-b029-12c0588e399a</t>
  </si>
  <si>
    <t>VAV-121</t>
  </si>
  <si>
    <t xml:space="preserve">IB007 </t>
  </si>
  <si>
    <t>uuid://431e6be7-a0c1-4b03-b90e-26a10958c8fc</t>
  </si>
  <si>
    <t>VAV-122</t>
  </si>
  <si>
    <t xml:space="preserve">1B036 </t>
  </si>
  <si>
    <t>uuid://cc584d60-626a-450b-8b01-fe2b8d395aa8</t>
  </si>
  <si>
    <t>VAV-123</t>
  </si>
  <si>
    <t xml:space="preserve">1B26  &amp; 1B9 </t>
  </si>
  <si>
    <t>uuid://a46e6566-ba7b-4588-b040-c235eed835c0</t>
  </si>
  <si>
    <t>VAV-124</t>
  </si>
  <si>
    <t xml:space="preserve">IB024 </t>
  </si>
  <si>
    <t>uuid://a4d134c1-c1e4-4328-8466-774fd6426744</t>
  </si>
  <si>
    <t>VAV-125</t>
  </si>
  <si>
    <t xml:space="preserve">1B32 </t>
  </si>
  <si>
    <t>uuid://3a0160aa-7b80-4dae-8246-aed9b87eb395</t>
  </si>
  <si>
    <t>VAV-126</t>
  </si>
  <si>
    <t xml:space="preserve">1B045 </t>
  </si>
  <si>
    <t>uuid://c9c34094-1481-4998-9e2b-708872dd006e</t>
  </si>
  <si>
    <t>VAV-127</t>
  </si>
  <si>
    <t xml:space="preserve">1B049 </t>
  </si>
  <si>
    <t>uuid://01856a8d-2f93-46a5-bf59-e9d0365b4553</t>
  </si>
  <si>
    <t>VAV-128</t>
  </si>
  <si>
    <t xml:space="preserve">1B35  &amp; </t>
  </si>
  <si>
    <t>uuid://608e187e-3706-499c-9686-9bd208e833f7</t>
  </si>
  <si>
    <t>VAV-129</t>
  </si>
  <si>
    <t>Open Collaboration</t>
  </si>
  <si>
    <t>uuid://06a92d30-c939-438c-b6ea-f26cbd06e5e2</t>
  </si>
  <si>
    <t>VAV-130</t>
  </si>
  <si>
    <t>Interior Encroachment</t>
  </si>
  <si>
    <t>uuid://cbfa92fa-8074-4be6-9fe4-f6c36ef2ee4f</t>
  </si>
  <si>
    <t>VAV-131</t>
  </si>
  <si>
    <t xml:space="preserve">182 </t>
  </si>
  <si>
    <t>uuid://e5e25f6b-ad25-4d37-a8b0-7e5663affaf9</t>
  </si>
  <si>
    <t>VAV-132</t>
  </si>
  <si>
    <t xml:space="preserve">1D109 </t>
  </si>
  <si>
    <t>uuid://54e7aaeb-9213-4def-880d-58b035e2100e</t>
  </si>
  <si>
    <t>VAV-133</t>
  </si>
  <si>
    <t xml:space="preserve">1D40 &amp; 1D41 </t>
  </si>
  <si>
    <t>uuid://9927d086-22e6-43d0-b9f7-72e18f28f3f2</t>
  </si>
  <si>
    <t>VAV-134</t>
  </si>
  <si>
    <t xml:space="preserve">1D36  &amp; 1D37 </t>
  </si>
  <si>
    <t>uuid://034e31f7-386f-42e2-aa07-c22b8b5a0061</t>
  </si>
  <si>
    <t>VAV-135</t>
  </si>
  <si>
    <t xml:space="preserve">1D32 </t>
  </si>
  <si>
    <t>uuid://ed442d6e-7a66-4824-8d2a-feaba4ce0b08</t>
  </si>
  <si>
    <t>VAV-136</t>
  </si>
  <si>
    <t xml:space="preserve">1D35 </t>
  </si>
  <si>
    <t>uuid://e056edc8-9824-458b-a635-7238e2cdca6f</t>
  </si>
  <si>
    <t>VAV-137</t>
  </si>
  <si>
    <t xml:space="preserve">1D84 </t>
  </si>
  <si>
    <t>uuid://0270931e-b1c9-4aa5-a0c5-67f323d9d92c</t>
  </si>
  <si>
    <t>VAV-138</t>
  </si>
  <si>
    <t xml:space="preserve">1D31 </t>
  </si>
  <si>
    <t>uuid://1a39beb0-77dc-41f5-84a5-3d0d6cd8ff9c</t>
  </si>
  <si>
    <t>VAV-139</t>
  </si>
  <si>
    <t xml:space="preserve">1D30 </t>
  </si>
  <si>
    <t>uuid://f57a97ca-64a7-486f-94b4-6e7a4ac2851a</t>
  </si>
  <si>
    <t>VAV-140</t>
  </si>
  <si>
    <t xml:space="preserve">1D75 </t>
  </si>
  <si>
    <t>uuid://a22511ad-300f-423b-827f-cc7061186b44</t>
  </si>
  <si>
    <t>VAV-141</t>
  </si>
  <si>
    <t xml:space="preserve">1D20 </t>
  </si>
  <si>
    <t>uuid://c253ca97-24ef-4419-b911-752dac1a1f51</t>
  </si>
  <si>
    <t>VAV-142</t>
  </si>
  <si>
    <t xml:space="preserve">1D21 </t>
  </si>
  <si>
    <t>uuid://07e338ae-79bd-49c8-a420-051d6ccb23b0</t>
  </si>
  <si>
    <t>VAV-143</t>
  </si>
  <si>
    <t xml:space="preserve">1D25 </t>
  </si>
  <si>
    <t>uuid://21fd2a74-abc1-4811-8028-6087baebeae9</t>
  </si>
  <si>
    <t>VAV-144</t>
  </si>
  <si>
    <t xml:space="preserve">1D28  &amp; 1D29 </t>
  </si>
  <si>
    <t>uuid://d3a878da-8367-443e-80dd-548048f98c58</t>
  </si>
  <si>
    <t>VAV-145</t>
  </si>
  <si>
    <t xml:space="preserve"> 1D89 </t>
  </si>
  <si>
    <t>uuid://338e85e0-3177-40b8-a1ea-6628030e6d22</t>
  </si>
  <si>
    <t>VAV-146</t>
  </si>
  <si>
    <t>uuid://c3a2e929-0cd3-4c9e-9014-6db4f43b14d0</t>
  </si>
  <si>
    <t>VAV-147</t>
  </si>
  <si>
    <t xml:space="preserve">1D168 </t>
  </si>
  <si>
    <t>uuid://eae18daf-408b-40e5-88b1-d5eda93df4c3</t>
  </si>
  <si>
    <t>VAV-148</t>
  </si>
  <si>
    <t xml:space="preserve">1D39 </t>
  </si>
  <si>
    <t>uuid://346c6ca8-3945-4e2c-8718-10db1ebf13cc</t>
  </si>
  <si>
    <t>VAV-149</t>
  </si>
  <si>
    <t>1D38  &amp; 1D42</t>
  </si>
  <si>
    <t>uuid://a04086d6-04e1-45ad-9dd0-b84fb2c97bd9</t>
  </si>
  <si>
    <t>VAV-150</t>
  </si>
  <si>
    <t xml:space="preserve">1D171 </t>
  </si>
  <si>
    <t>uuid://d4f407d6-b779-4daf-8b3f-578e455ed5de</t>
  </si>
  <si>
    <t>VAV-151</t>
  </si>
  <si>
    <t xml:space="preserve">1D173 </t>
  </si>
  <si>
    <t>uuid://1877b1dd-2ecd-4be7-a765-ad068a40d66f</t>
  </si>
  <si>
    <t>VAV-152</t>
  </si>
  <si>
    <t xml:space="preserve">1D44 &amp; 1D45 </t>
  </si>
  <si>
    <t>uuid://d8faa8f3-c908-4ed6-8eb9-58c9548b8166</t>
  </si>
  <si>
    <t>VAV-153</t>
  </si>
  <si>
    <t xml:space="preserve">1D43 </t>
  </si>
  <si>
    <t>uuid://012e5762-4305-446e-adfb-8758395ecb9b</t>
  </si>
  <si>
    <t>VAV-154</t>
  </si>
  <si>
    <t xml:space="preserve">1D195 </t>
  </si>
  <si>
    <t>uuid://f7697f4e-0fbe-46c9-a39d-b09469597b1d</t>
  </si>
  <si>
    <t>VAV-155</t>
  </si>
  <si>
    <t xml:space="preserve">1D48 </t>
  </si>
  <si>
    <t>uuid://41b3922b-99ce-4b47-bb09-5a2ef5afb494</t>
  </si>
  <si>
    <t>VAV-156</t>
  </si>
  <si>
    <t xml:space="preserve">1D135 </t>
  </si>
  <si>
    <t>uuid://b7efe57c-9962-4d24-8895-5ffe5417dbd7</t>
  </si>
  <si>
    <t>VAV-157</t>
  </si>
  <si>
    <t>uuid://708ab11d-4c8f-46a4-a99f-ca1d3439826c</t>
  </si>
  <si>
    <t>VAV-158</t>
  </si>
  <si>
    <t xml:space="preserve">1D207 </t>
  </si>
  <si>
    <t>uuid://fc256dd7-13a5-4853-b0e3-693a9c01a01e</t>
  </si>
  <si>
    <t>VAV-159</t>
  </si>
  <si>
    <t xml:space="preserve">1D138 </t>
  </si>
  <si>
    <t>uuid://499f1f00-43d6-40ee-8c6b-c46053a43ccd</t>
  </si>
  <si>
    <t>VAV-160</t>
  </si>
  <si>
    <t xml:space="preserve">1D51 </t>
  </si>
  <si>
    <t>uuid://26266fdc-6be5-47f5-a1a0-4e389cce00bf</t>
  </si>
  <si>
    <t>VAV-161</t>
  </si>
  <si>
    <t xml:space="preserve">1D221 </t>
  </si>
  <si>
    <t>uuid://a7933a2f-6b90-4639-81ea-f9a6b8ffa2fd</t>
  </si>
  <si>
    <t>VAV-162</t>
  </si>
  <si>
    <t xml:space="preserve">1D69 </t>
  </si>
  <si>
    <t>uuid://f61a6bf6-981f-46b9-b49d-f13dc16625f6</t>
  </si>
  <si>
    <t>VAV-163</t>
  </si>
  <si>
    <t xml:space="preserve">1D71 </t>
  </si>
  <si>
    <t>uuid://0a4c3a05-4438-4b3f-a3ad-678de8e9fb6d</t>
  </si>
  <si>
    <t>VAV-164</t>
  </si>
  <si>
    <t xml:space="preserve">1D11 </t>
  </si>
  <si>
    <t>uuid://b6e5e194-8b88-4872-9319-e7a421197b01</t>
  </si>
  <si>
    <t>VAV-165</t>
  </si>
  <si>
    <t xml:space="preserve">1D17 </t>
  </si>
  <si>
    <t>uuid://53239bb4-5617-4649-b220-f959b76a76ba</t>
  </si>
  <si>
    <t>VAV-166</t>
  </si>
  <si>
    <t xml:space="preserve">1D13 </t>
  </si>
  <si>
    <t>uuid://0d701348-4017-47c8-af86-2b7a463ab86f</t>
  </si>
  <si>
    <t>VAV-167</t>
  </si>
  <si>
    <t xml:space="preserve">1D9 </t>
  </si>
  <si>
    <t>uuid://633a0af2-9e65-459e-bc89-6558840866b1</t>
  </si>
  <si>
    <t>VAV-168</t>
  </si>
  <si>
    <t xml:space="preserve">1D7 </t>
  </si>
  <si>
    <t>uuid://6c493413-0a09-43bb-9393-1275d5cd5791</t>
  </si>
  <si>
    <t>VAV-169</t>
  </si>
  <si>
    <t xml:space="preserve">1D8 </t>
  </si>
  <si>
    <t>uuid://82dcbcec-0fff-4a9d-a7cf-f8a1d98f06e0</t>
  </si>
  <si>
    <t>VAV-170</t>
  </si>
  <si>
    <t xml:space="preserve"> 1D023 </t>
  </si>
  <si>
    <t>uuid://1afc2e13-5823-489d-adea-1dfc90e384b4</t>
  </si>
  <si>
    <t>VAV-171</t>
  </si>
  <si>
    <t xml:space="preserve">1D67 </t>
  </si>
  <si>
    <t>uuid://a03fb1a7-77d3-4cab-961a-50fd85f7c9d2</t>
  </si>
  <si>
    <t>VAV-172</t>
  </si>
  <si>
    <t>1D63</t>
  </si>
  <si>
    <t>uuid://63f2da09-d5df-40f8-a75f-16d5bf30332e</t>
  </si>
  <si>
    <t>VAV-173</t>
  </si>
  <si>
    <t xml:space="preserve">1D59 </t>
  </si>
  <si>
    <t>uuid://a52555f4-01bb-43cc-93aa-34c918845e21</t>
  </si>
  <si>
    <t>VAV-174</t>
  </si>
  <si>
    <t xml:space="preserve">C101 </t>
  </si>
  <si>
    <t>uuid://6a595678-e760-4b18-9bb8-f3df5c46753c</t>
  </si>
  <si>
    <t>VAV-175</t>
  </si>
  <si>
    <t xml:space="preserve">1D5 </t>
  </si>
  <si>
    <t>uuid://e7e58f3c-da83-4690-9339-7826df2e5e1a</t>
  </si>
  <si>
    <t>VAV-176</t>
  </si>
  <si>
    <t xml:space="preserve">1D4 </t>
  </si>
  <si>
    <t>uuid://31d1dd72-b9b8-46ac-ac40-1431de72e002</t>
  </si>
  <si>
    <t>VAV-177</t>
  </si>
  <si>
    <t xml:space="preserve">1D3 </t>
  </si>
  <si>
    <t>uuid://420daf78-3150-449f-8a40-014f814fbf13</t>
  </si>
  <si>
    <t>VAV-178</t>
  </si>
  <si>
    <t xml:space="preserve">1D2 </t>
  </si>
  <si>
    <t>uuid://80f14865-dc60-404b-aab3-f8dba853feeb</t>
  </si>
  <si>
    <t>VAV-179</t>
  </si>
  <si>
    <t xml:space="preserve">1D1 </t>
  </si>
  <si>
    <t>uuid://97ecf8a4-f288-4a1f-930f-582abc59cb8b</t>
  </si>
  <si>
    <t>VAV-180</t>
  </si>
  <si>
    <t xml:space="preserve">1D035 </t>
  </si>
  <si>
    <t>uuid://c5f8acc1-0fb9-4c02-b9c1-bf574eeb315f</t>
  </si>
  <si>
    <t>VAV-181</t>
  </si>
  <si>
    <t xml:space="preserve">1D74 </t>
  </si>
  <si>
    <t>uuid://dd9f8188-d5dc-40a4-b6d7-fbba1248504d</t>
  </si>
  <si>
    <t>VAV-182</t>
  </si>
  <si>
    <t xml:space="preserve">1D093 </t>
  </si>
  <si>
    <t>uuid://7836a5a7-e299-48e5-8dbd-267c604936df</t>
  </si>
  <si>
    <t>VAV-183</t>
  </si>
  <si>
    <t xml:space="preserve">1D18 </t>
  </si>
  <si>
    <t>uuid://de75aa53-8ce1-4d8e-869a-7592b85c5534</t>
  </si>
  <si>
    <t>VAV-184</t>
  </si>
  <si>
    <t>1D17</t>
  </si>
  <si>
    <t>uuid://eb7f0d4c-df65-414a-a7a3-66fd4c13d894</t>
  </si>
  <si>
    <t>VAV-185</t>
  </si>
  <si>
    <t xml:space="preserve">1D16 </t>
  </si>
  <si>
    <t>uuid://13f5ceb0-0060-4904-b60b-e9de4460aba6</t>
  </si>
  <si>
    <t>VAV-186</t>
  </si>
  <si>
    <t xml:space="preserve">1D14  &amp; 1D15 </t>
  </si>
  <si>
    <t>uuid://2d5fb0d4-205d-4648-bb4d-8c09ef93e143</t>
  </si>
  <si>
    <t>VAV-187</t>
  </si>
  <si>
    <t>C115</t>
  </si>
  <si>
    <t>uuid://8b3660e0-ec79-482e-8dac-f2f4a43f8b89</t>
  </si>
  <si>
    <t>VAV-188</t>
  </si>
  <si>
    <t>uuid://4974a912-031b-4698-b7a2-1585d9b0eeb1</t>
  </si>
  <si>
    <t>VAV-189</t>
  </si>
  <si>
    <t xml:space="preserve">1A17 </t>
  </si>
  <si>
    <t>uuid://5f88c334-25ee-4b67-befe-520d28fb204c</t>
  </si>
  <si>
    <t>VAV-190</t>
  </si>
  <si>
    <t>uuid://4f62ae0a-c1c1-44d1-af4d-648ab678c200</t>
  </si>
  <si>
    <t>VAV-191</t>
  </si>
  <si>
    <t>uuid://f292b628-80ab-40a7-924a-4227c243fbe5</t>
  </si>
  <si>
    <t>VAV-192</t>
  </si>
  <si>
    <t>uuid://382897f6-debe-46ca-a8bc-8ad7b9c9ed8e</t>
  </si>
  <si>
    <t>VAV-193</t>
  </si>
  <si>
    <t xml:space="preserve">1A24 </t>
  </si>
  <si>
    <t>uuid://889c9ddf-6e89-4e7a-b150-d74d7c0d8076</t>
  </si>
  <si>
    <t>VAV-194</t>
  </si>
  <si>
    <t>1A6</t>
  </si>
  <si>
    <t>uuid://f59a60ff-b883-4cfc-ba0d-8675489acf79</t>
  </si>
  <si>
    <t>VAV-195</t>
  </si>
  <si>
    <t>1A7  &amp; 1A25</t>
  </si>
  <si>
    <t>uuid://75280b33-7547-46ac-a650-fa9064411e6a</t>
  </si>
  <si>
    <t>VAV-196</t>
  </si>
  <si>
    <t>1A12</t>
  </si>
  <si>
    <t>uuid://e2e47c75-d5a3-444e-9813-e3cd137012be</t>
  </si>
  <si>
    <t>VAV-197</t>
  </si>
  <si>
    <t xml:space="preserve">1A13 </t>
  </si>
  <si>
    <t>uuid://79af4388-5107-4af8-b423-cabca2bdd171</t>
  </si>
  <si>
    <t>VAV-198</t>
  </si>
  <si>
    <t xml:space="preserve">1A14 </t>
  </si>
  <si>
    <t>uuid://14d70fe0-3288-4469-a274-4a4ee900d4b1</t>
  </si>
  <si>
    <t>VAV-199</t>
  </si>
  <si>
    <t xml:space="preserve">1A33 </t>
  </si>
  <si>
    <t>uuid://b5cab621-520e-43d3-bb8b-4c0fc0ef6d1c</t>
  </si>
  <si>
    <t>VAV-200</t>
  </si>
  <si>
    <t xml:space="preserve">1A34 </t>
  </si>
  <si>
    <t>uuid://570d9eb5-8654-45b5-87e3-df0b868ceb64</t>
  </si>
  <si>
    <t>VAV-201</t>
  </si>
  <si>
    <t xml:space="preserve">1A32 </t>
  </si>
  <si>
    <t>uuid://a75752f2-f064-4e5a-8cca-70607dd4af15</t>
  </si>
  <si>
    <t>VAV-202</t>
  </si>
  <si>
    <t>1A10</t>
  </si>
  <si>
    <t>uuid://78e6b886-ad78-48be-b6cd-e103a88193b2</t>
  </si>
  <si>
    <t>VAV-203</t>
  </si>
  <si>
    <t xml:space="preserve">1A11 </t>
  </si>
  <si>
    <t>uuid://fe9e423a-9402-4fd1-8089-35413889e41c</t>
  </si>
  <si>
    <t>VAV-204</t>
  </si>
  <si>
    <t>1A36</t>
  </si>
  <si>
    <t>uuid://7865a920-bc93-45cd-9d20-1ed8d38c636a</t>
  </si>
  <si>
    <t>VAV-205</t>
  </si>
  <si>
    <t xml:space="preserve">1A39 </t>
  </si>
  <si>
    <t>uuid://3913df51-9836-4d28-bd3e-41c850b1550c</t>
  </si>
  <si>
    <t>VAV-206</t>
  </si>
  <si>
    <t xml:space="preserve">1A37 </t>
  </si>
  <si>
    <t>uuid://d66de565-8a51-49f9-bd78-d623fee3594e</t>
  </si>
  <si>
    <t>VAV-207</t>
  </si>
  <si>
    <t xml:space="preserve">C108 </t>
  </si>
  <si>
    <t>uuid://4277cec2-f13e-4a69-9ad1-eb9bdbce9e20</t>
  </si>
  <si>
    <t>VAV-208</t>
  </si>
  <si>
    <t xml:space="preserve">1A38 </t>
  </si>
  <si>
    <t>uuid://7016bb99-afba-499c-b40f-8c633f907569</t>
  </si>
  <si>
    <t>VAV-209</t>
  </si>
  <si>
    <t xml:space="preserve">1A16 </t>
  </si>
  <si>
    <t>uuid://5dc75054-bf85-4682-9d35-1b0e37fcb9b3</t>
  </si>
  <si>
    <t>VAV-210</t>
  </si>
  <si>
    <t xml:space="preserve">1A40 </t>
  </si>
  <si>
    <t>uuid://9b13c6a9-db2d-4f33-804a-ac7a259b972c</t>
  </si>
  <si>
    <t>VAV-211</t>
  </si>
  <si>
    <t xml:space="preserve">1A42 </t>
  </si>
  <si>
    <t>uuid://8fd0ff2e-29e8-4dd0-8db7-5e9d0c49ffc0</t>
  </si>
  <si>
    <t>VAV-212</t>
  </si>
  <si>
    <t xml:space="preserve">1A43 </t>
  </si>
  <si>
    <t>uuid://fdb3efd1-8092-4297-a7ed-c57d82b98403</t>
  </si>
  <si>
    <t>VAV-213</t>
  </si>
  <si>
    <t xml:space="preserve"> GI48 </t>
  </si>
  <si>
    <t>uuid://7eb4054d-70ff-412d-82cb-04fb5d6f762a</t>
  </si>
  <si>
    <t>VAV-214</t>
  </si>
  <si>
    <t xml:space="preserve">GI48 </t>
  </si>
  <si>
    <t>uuid://8e010289-6f7b-4564-ae9e-e06dba90ae9c</t>
  </si>
  <si>
    <t>VAV-215</t>
  </si>
  <si>
    <t>uuid://7a579fd4-173c-45c0-a977-ecd65e891d3e</t>
  </si>
  <si>
    <t>VAV-216</t>
  </si>
  <si>
    <t>263</t>
  </si>
  <si>
    <t>uuid://2911438e-c64e-4067-9cb6-93c516833dbd</t>
  </si>
  <si>
    <t>VAV-217</t>
  </si>
  <si>
    <t>2C145</t>
  </si>
  <si>
    <t>uuid://f411b978-a5ef-4cf2-9edd-b18ec7c278d1</t>
  </si>
  <si>
    <t>VAV-218</t>
  </si>
  <si>
    <t xml:space="preserve">2C123 </t>
  </si>
  <si>
    <t>uuid://780b8c8e-8896-47d0-97e2-a07fad4e68e2</t>
  </si>
  <si>
    <t>VAV-219</t>
  </si>
  <si>
    <t>2C126</t>
  </si>
  <si>
    <t>uuid://e52deead-29dc-4b50-9270-4dea050bbfc1</t>
  </si>
  <si>
    <t>VAV-220</t>
  </si>
  <si>
    <t xml:space="preserve"> 2C17 </t>
  </si>
  <si>
    <t>uuid://05aaf8d7-9ad2-4e34-b25b-a7cbc80d9f30</t>
  </si>
  <si>
    <t>VAV-221</t>
  </si>
  <si>
    <t xml:space="preserve">2C27 &amp; 2C26 </t>
  </si>
  <si>
    <t>uuid://295aae2e-da2a-4360-9eb2-9aac6e39d2d2</t>
  </si>
  <si>
    <t>VAV-222</t>
  </si>
  <si>
    <t xml:space="preserve">2C36 </t>
  </si>
  <si>
    <t>uuid://fb45d3d7-a017-4eec-9977-d8c4638085ac</t>
  </si>
  <si>
    <t>VAV-223</t>
  </si>
  <si>
    <t xml:space="preserve">2C39  &amp; 2C38 </t>
  </si>
  <si>
    <t>uuid://63909227-03a2-4522-8f78-07c8727a2cc0</t>
  </si>
  <si>
    <t>VAV-224</t>
  </si>
  <si>
    <t xml:space="preserve">2C40 </t>
  </si>
  <si>
    <t>uuid://7cdd86ae-6e88-4d6a-aec8-ccc5abf452fd</t>
  </si>
  <si>
    <t>VAV-225</t>
  </si>
  <si>
    <t xml:space="preserve">2C37 </t>
  </si>
  <si>
    <t>uuid://3b62f20e-89b7-4249-97a3-0086c93d43e8</t>
  </si>
  <si>
    <t>VAV-226</t>
  </si>
  <si>
    <t xml:space="preserve">2C174 </t>
  </si>
  <si>
    <t>uuid://9cfa172c-a628-4db5-a271-1fc89dea5082</t>
  </si>
  <si>
    <t>VAV-227</t>
  </si>
  <si>
    <t xml:space="preserve">2C192 </t>
  </si>
  <si>
    <t>uuid://4046a8b1-4f4d-403e-8c66-73fe3e029b3f</t>
  </si>
  <si>
    <t>VAV-228</t>
  </si>
  <si>
    <t xml:space="preserve">2C190 </t>
  </si>
  <si>
    <t>uuid://e6ab5a7e-2b07-4e35-97c4-36af035233a9</t>
  </si>
  <si>
    <t>VAV-229</t>
  </si>
  <si>
    <t xml:space="preserve">2C194 </t>
  </si>
  <si>
    <t>uuid://58b2b27c-c658-4bfb-b52e-3f1dae3a42c3</t>
  </si>
  <si>
    <t>VAV-230</t>
  </si>
  <si>
    <t xml:space="preserve">2C43 &amp; 2C44 </t>
  </si>
  <si>
    <t>uuid://8b3067ec-bbe6-4d4d-a1b5-8dc5b2597e39</t>
  </si>
  <si>
    <t>VAV-231</t>
  </si>
  <si>
    <t xml:space="preserve">2C42  &amp; 2C41 </t>
  </si>
  <si>
    <t>uuid://0a091120-cc7f-4689-801c-fe4230acfd8a</t>
  </si>
  <si>
    <t>VAV-232</t>
  </si>
  <si>
    <t>2C197</t>
  </si>
  <si>
    <t>uuid://a6a3a487-55b6-4330-b174-e74c300f4420</t>
  </si>
  <si>
    <t>VAV-233</t>
  </si>
  <si>
    <t>Coffee Corner</t>
  </si>
  <si>
    <t>uuid://d85f58b7-b412-4e7c-9cd9-a477687e1f4b</t>
  </si>
  <si>
    <t>VAV-234</t>
  </si>
  <si>
    <t>Electrical Room</t>
  </si>
  <si>
    <t>uuid://5b4eff37-9f3d-4138-8575-b0f23b741d7f</t>
  </si>
  <si>
    <t>VAV-235</t>
  </si>
  <si>
    <t xml:space="preserve">2C29&amp; 2C30 </t>
  </si>
  <si>
    <t>uuid://a1589db8-2c88-417c-8c3d-48c5ebbc01be</t>
  </si>
  <si>
    <t>VAV-236</t>
  </si>
  <si>
    <t xml:space="preserve">2C28 </t>
  </si>
  <si>
    <t>uuid://1b830620-5788-435d-aad0-7850747196dd</t>
  </si>
  <si>
    <t>VAV-237</t>
  </si>
  <si>
    <t>Caredoor Glass Area</t>
  </si>
  <si>
    <t>uuid://877fbc9a-19e2-472d-8c1a-fd36248e63b6</t>
  </si>
  <si>
    <t>VAV-238</t>
  </si>
  <si>
    <t xml:space="preserve">2C17 </t>
  </si>
  <si>
    <t>uuid://2bc911e1-83f8-4fe3-bc72-3931ba5f1fdd</t>
  </si>
  <si>
    <t>VAV-239</t>
  </si>
  <si>
    <t xml:space="preserve">2C16 </t>
  </si>
  <si>
    <t>uuid://d0848f41-d902-447f-a100-cf1da19de898</t>
  </si>
  <si>
    <t>VAV-240</t>
  </si>
  <si>
    <t>Near by Electrical DB</t>
  </si>
  <si>
    <t>uuid://2d2cae35-83d6-4df8-8601-5f40f757bc75</t>
  </si>
  <si>
    <t>VAV-241</t>
  </si>
  <si>
    <t xml:space="preserve">2C18 </t>
  </si>
  <si>
    <t>uuid://ba41c116-21ce-4031-aa61-f8339dcd40c8</t>
  </si>
  <si>
    <t>VAV-242</t>
  </si>
  <si>
    <t xml:space="preserve">2C14 </t>
  </si>
  <si>
    <t>uuid://c22124ab-85a1-42c7-beeb-13c15681583c</t>
  </si>
  <si>
    <t>VAV-243</t>
  </si>
  <si>
    <t xml:space="preserve">2C12 </t>
  </si>
  <si>
    <t>uuid://b78d4210-c34c-42fe-890c-871163e5e5bd</t>
  </si>
  <si>
    <t>VAV-244</t>
  </si>
  <si>
    <t xml:space="preserve">2C13 </t>
  </si>
  <si>
    <t>uuid://994a33d2-59ed-4532-96bf-736b68bcfa76</t>
  </si>
  <si>
    <t>VAV-245</t>
  </si>
  <si>
    <t xml:space="preserve">2C15 </t>
  </si>
  <si>
    <t>uuid://bd246068-e2fa-4fc8-9114-dcb7bce25502</t>
  </si>
  <si>
    <t>VAV-246</t>
  </si>
  <si>
    <t xml:space="preserve">2C25 &amp; 2C24 </t>
  </si>
  <si>
    <t>uuid://b6b81e84-b8d5-46d8-ac64-f8850b6d4710</t>
  </si>
  <si>
    <t>VAV-247</t>
  </si>
  <si>
    <t xml:space="preserve">2C21 </t>
  </si>
  <si>
    <t>uuid://236bb7ba-63cc-4407-bb35-35fb0c69cafe</t>
  </si>
  <si>
    <t>VAV-248</t>
  </si>
  <si>
    <t>2C20&amp; 2C19</t>
  </si>
  <si>
    <t>uuid://41339396-b91b-4258-bcc8-46348b6e9e40</t>
  </si>
  <si>
    <t>VAV-249</t>
  </si>
  <si>
    <t xml:space="preserve">2C23  &amp; 2C22 </t>
  </si>
  <si>
    <t>uuid://04a4da25-9d4d-4780-87a8-7048e828656d</t>
  </si>
  <si>
    <t>VAV-250</t>
  </si>
  <si>
    <t xml:space="preserve">2C32  &amp; 2C31 </t>
  </si>
  <si>
    <t>uuid://6bb1e8c7-5fb8-4e92-88eb-816b8b51bbda</t>
  </si>
  <si>
    <t>VAV-251</t>
  </si>
  <si>
    <t xml:space="preserve">2C222 </t>
  </si>
  <si>
    <t>uuid://d71ea298-5728-42a8-88cf-04255c79d683</t>
  </si>
  <si>
    <t>VAV-252</t>
  </si>
  <si>
    <t xml:space="preserve">2C079 </t>
  </si>
  <si>
    <t>uuid://ada5158f-473c-4878-ac6e-2ad66cf4567d</t>
  </si>
  <si>
    <t>VAV-253</t>
  </si>
  <si>
    <t xml:space="preserve">2C059 </t>
  </si>
  <si>
    <t>uuid://2d1fe1ee-eb36-4929-9734-e2f7f92e3d87</t>
  </si>
  <si>
    <t>VAV-254</t>
  </si>
  <si>
    <t xml:space="preserve">2C11 </t>
  </si>
  <si>
    <t>uuid://be112a8f-0d13-4642-9ec4-f5a97c0690e6</t>
  </si>
  <si>
    <t>VAV-255</t>
  </si>
  <si>
    <t xml:space="preserve">2C089 </t>
  </si>
  <si>
    <t>uuid://78f6574a-4cde-468d-aa71-092a9cbaef65</t>
  </si>
  <si>
    <t>VAV-256</t>
  </si>
  <si>
    <t xml:space="preserve">C242 </t>
  </si>
  <si>
    <t>uuid://84a3057c-3c4a-4ec7-a184-f38384bee59e</t>
  </si>
  <si>
    <t>VAV-257</t>
  </si>
  <si>
    <t xml:space="preserve">2B1 </t>
  </si>
  <si>
    <t>uuid://29742bf7-ef6b-4e7b-a5ca-621b91b01177</t>
  </si>
  <si>
    <t>VAV-258</t>
  </si>
  <si>
    <t xml:space="preserve">2C238 </t>
  </si>
  <si>
    <t>uuid://c1b82f58-de9f-43f3-a61b-b9b67491c79f</t>
  </si>
  <si>
    <t>VAV-259</t>
  </si>
  <si>
    <t xml:space="preserve">2B2 </t>
  </si>
  <si>
    <t>uuid://8ea15f49-8d55-459c-8237-50b7fda18048</t>
  </si>
  <si>
    <t>VAV-260</t>
  </si>
  <si>
    <t>Life Lobby</t>
  </si>
  <si>
    <t>uuid://aa48691f-1c29-4377-80ef-0ac707dd9aaa</t>
  </si>
  <si>
    <t>VAV-261</t>
  </si>
  <si>
    <t xml:space="preserve">2B3 </t>
  </si>
  <si>
    <t>uuid://80d913dd-11d1-482c-9b20-5e017c2ee819</t>
  </si>
  <si>
    <t>VAV-262</t>
  </si>
  <si>
    <t>2B25</t>
  </si>
  <si>
    <t>uuid://7fb96250-31f8-4a7e-bf29-cafbfb04d951</t>
  </si>
  <si>
    <t>VAV-263</t>
  </si>
  <si>
    <t>uuid://6f977508-2947-4a6d-97b0-f61b07ac879f</t>
  </si>
  <si>
    <t>VAV-264</t>
  </si>
  <si>
    <t xml:space="preserve">C237 </t>
  </si>
  <si>
    <t>uuid://39d5757e-2606-4141-ab6b-f892a2209858</t>
  </si>
  <si>
    <t>VAV-265</t>
  </si>
  <si>
    <t>FA - AHU Room</t>
  </si>
  <si>
    <t>uuid://0b2ea9b7-fccd-41d0-8292-50bd7c29020a</t>
  </si>
  <si>
    <t>VAV-266</t>
  </si>
  <si>
    <t xml:space="preserve">261 </t>
  </si>
  <si>
    <t>uuid://c3ac231e-14cb-430f-9021-8b81bbf74fcd</t>
  </si>
  <si>
    <t>VAV-267</t>
  </si>
  <si>
    <t>Micro Kitchen Area</t>
  </si>
  <si>
    <t>uuid://91a33e6b-b437-47cc-89a8-4cde822e6225</t>
  </si>
  <si>
    <t>VAV-268</t>
  </si>
  <si>
    <t xml:space="preserve">2C005 </t>
  </si>
  <si>
    <t>uuid://739b6060-2b29-431e-bb97-ae95c564deb7</t>
  </si>
  <si>
    <t>VAV-269</t>
  </si>
  <si>
    <t xml:space="preserve">2C019 </t>
  </si>
  <si>
    <t>uuid://6546625a-4771-4ae9-a62e-99b68ff9947f</t>
  </si>
  <si>
    <t>VAV-270</t>
  </si>
  <si>
    <t>2C029</t>
  </si>
  <si>
    <t>uuid://31574193-4551-4d72-80c2-71d0c7e31986</t>
  </si>
  <si>
    <t>VAV-271</t>
  </si>
  <si>
    <t xml:space="preserve">2C033 </t>
  </si>
  <si>
    <t>uuid://eedde031-906d-4300-a8e6-51adaee580f3</t>
  </si>
  <si>
    <t>VAV-272</t>
  </si>
  <si>
    <t xml:space="preserve">2C3&amp; 2C4 </t>
  </si>
  <si>
    <t>uuid://405bd479-e59b-4582-978c-be527260fa57</t>
  </si>
  <si>
    <t>VAV-273</t>
  </si>
  <si>
    <t xml:space="preserve">2C5 </t>
  </si>
  <si>
    <t>uuid://308e7cb9-b8ca-4946-bd41-db87faedcabf</t>
  </si>
  <si>
    <t>VAV-274</t>
  </si>
  <si>
    <t>2C7</t>
  </si>
  <si>
    <t>uuid://bf1a72c2-2248-454e-b089-2161f03c6956</t>
  </si>
  <si>
    <t>VAV-275</t>
  </si>
  <si>
    <t xml:space="preserve">2C8 </t>
  </si>
  <si>
    <t>uuid://73464e0f-afd6-447d-b406-45309190c6f8</t>
  </si>
  <si>
    <t>VAV-276</t>
  </si>
  <si>
    <t xml:space="preserve">2C6 </t>
  </si>
  <si>
    <t>uuid://22eae7a4-a32c-491a-8ac1-5dbbf63db7d8</t>
  </si>
  <si>
    <t>VAV-277</t>
  </si>
  <si>
    <t xml:space="preserve">2B17 </t>
  </si>
  <si>
    <t>uuid://68214546-61ee-4fb1-bda5-73d3a944e5a7</t>
  </si>
  <si>
    <t>VAV-278</t>
  </si>
  <si>
    <t xml:space="preserve">2B151 </t>
  </si>
  <si>
    <t>uuid://f787a0fc-0572-4ab5-a524-8fb45c36569f</t>
  </si>
  <si>
    <t>VAV-279</t>
  </si>
  <si>
    <t xml:space="preserve">2B149 </t>
  </si>
  <si>
    <t>uuid://62300e63-8351-45eb-9670-362047dd0b0d</t>
  </si>
  <si>
    <t>VAV-280</t>
  </si>
  <si>
    <t>2B108</t>
  </si>
  <si>
    <t>uuid://1b2191fb-8844-4a7f-9283-0f65157ca2bd</t>
  </si>
  <si>
    <t>VAV-281</t>
  </si>
  <si>
    <t xml:space="preserve">2B083 </t>
  </si>
  <si>
    <t>uuid://1524c982-1f76-4b64-ab21-d2dd9913aaaf</t>
  </si>
  <si>
    <t>VAV-282</t>
  </si>
  <si>
    <t>2B16</t>
  </si>
  <si>
    <t>uuid://de648035-79f3-4c66-a615-5e4c6e5b0d14</t>
  </si>
  <si>
    <t>VAV-283</t>
  </si>
  <si>
    <t>2B067</t>
  </si>
  <si>
    <t>uuid://21e33e12-ab5e-411f-8647-b618ee82cf41</t>
  </si>
  <si>
    <t>VAV-284</t>
  </si>
  <si>
    <t>2B15</t>
  </si>
  <si>
    <t>uuid://436f18a2-3ccb-4fe7-a039-57fb3300f347</t>
  </si>
  <si>
    <t>VAV-285</t>
  </si>
  <si>
    <t xml:space="preserve">2B14 </t>
  </si>
  <si>
    <t>uuid://52d0eeaa-760b-4d83-bbf8-eb96fa8b3390</t>
  </si>
  <si>
    <t>VAV-286</t>
  </si>
  <si>
    <t xml:space="preserve">SB7 &amp; SB8 </t>
  </si>
  <si>
    <t>uuid://19937bfe-bf22-4bf2-a975-8cec4afe0b61</t>
  </si>
  <si>
    <t>VAV-287</t>
  </si>
  <si>
    <t>uuid://bf6a6c75-6392-41df-807e-6f22a1ff25bf</t>
  </si>
  <si>
    <t>VAV-288</t>
  </si>
  <si>
    <t xml:space="preserve">205 </t>
  </si>
  <si>
    <t>uuid://29ab865d-159d-4fe5-b347-2fcf61618889</t>
  </si>
  <si>
    <t>VAV-289</t>
  </si>
  <si>
    <t>uuid://028b4acb-c1d8-414f-b501-b1a32b9ce591</t>
  </si>
  <si>
    <t>VAV-290</t>
  </si>
  <si>
    <t xml:space="preserve">2B4 </t>
  </si>
  <si>
    <t>uuid://779f7251-b3c4-4fec-aa6a-2c6a76a3257e</t>
  </si>
  <si>
    <t>VAV-291</t>
  </si>
  <si>
    <t>2B5  &amp; 2B6</t>
  </si>
  <si>
    <t>uuid://1754b177-a8c3-4a2a-ba16-882557584b57</t>
  </si>
  <si>
    <t>VAV-292</t>
  </si>
  <si>
    <t>2B29</t>
  </si>
  <si>
    <t>uuid://e8128aba-ad1b-42e2-af91-76196f7be09a</t>
  </si>
  <si>
    <t>VAV-293</t>
  </si>
  <si>
    <t xml:space="preserve">2B040 </t>
  </si>
  <si>
    <t>uuid://1226562a-23c0-4df0-bca0-f46d5edc7187</t>
  </si>
  <si>
    <t>VAV-294</t>
  </si>
  <si>
    <t xml:space="preserve">2B045 </t>
  </si>
  <si>
    <t>uuid://ff0f0277-5a84-40d6-baf4-052bd732e85c</t>
  </si>
  <si>
    <t>VAV-295</t>
  </si>
  <si>
    <t xml:space="preserve">2B9&amp; 2B10 </t>
  </si>
  <si>
    <t>uuid://90e3f4a4-944e-4a93-96d6-09e9f69221ff</t>
  </si>
  <si>
    <t>VAV-296</t>
  </si>
  <si>
    <t>2B11 - Huddle Jigri</t>
  </si>
  <si>
    <t>uuid://b1b2bd79-8183-4124-a795-6b4f95b051c6</t>
  </si>
  <si>
    <t>VAV-297</t>
  </si>
  <si>
    <t>275</t>
  </si>
  <si>
    <t>uuid://f50d0184-d0ee-465f-9e41-772982ccf9e2</t>
  </si>
  <si>
    <t>VAV-298</t>
  </si>
  <si>
    <t xml:space="preserve">2D77 </t>
  </si>
  <si>
    <t>uuid://39d6ca32-697d-4bb8-b2c7-37e677c185a5</t>
  </si>
  <si>
    <t>VAV-299</t>
  </si>
  <si>
    <t xml:space="preserve">2D172 </t>
  </si>
  <si>
    <t>uuid://ff46309e-709d-45e6-bb2a-163ae93cd87d</t>
  </si>
  <si>
    <t>VAV-300</t>
  </si>
  <si>
    <t xml:space="preserve">2D174 </t>
  </si>
  <si>
    <t>uuid://d5e78361-e59d-4413-b703-7cedb47cd67e</t>
  </si>
  <si>
    <t>VAV-301</t>
  </si>
  <si>
    <t xml:space="preserve">2D39 </t>
  </si>
  <si>
    <t>uuid://6799fba2-2c47-4578-8553-e466e80a05f9</t>
  </si>
  <si>
    <t>VAV-302</t>
  </si>
  <si>
    <t xml:space="preserve">2D38 </t>
  </si>
  <si>
    <t>uuid://4f31d898-5ab8-4b8a-ba85-d996812008cb</t>
  </si>
  <si>
    <t>VAV-303</t>
  </si>
  <si>
    <t xml:space="preserve">2D37 </t>
  </si>
  <si>
    <t>uuid://a4feb30d-5ce8-4b22-9369-ea202e633f04</t>
  </si>
  <si>
    <t>VAV-304</t>
  </si>
  <si>
    <t>2D35</t>
  </si>
  <si>
    <t>uuid://2f681d40-e633-4b2e-b385-5cb761a01b03</t>
  </si>
  <si>
    <t>VAV-305</t>
  </si>
  <si>
    <t xml:space="preserve">2D36 </t>
  </si>
  <si>
    <t>uuid://bdbecacb-640c-416a-90a6-a8bc5ee5124a</t>
  </si>
  <si>
    <t>VAV-306</t>
  </si>
  <si>
    <t>2D65</t>
  </si>
  <si>
    <t>uuid://c23ea40b-470a-4dcc-839c-13e29f9aaaea</t>
  </si>
  <si>
    <t>VAV-307</t>
  </si>
  <si>
    <t>2D64</t>
  </si>
  <si>
    <t>uuid://3657414b-e6ea-443a-ae18-4ccf1189ba57</t>
  </si>
  <si>
    <t>VAV-308</t>
  </si>
  <si>
    <t xml:space="preserve">2D199 </t>
  </si>
  <si>
    <t>uuid://ea3ea115-e090-4b5b-9de6-4bb5804fa4a8</t>
  </si>
  <si>
    <t>VAV-309</t>
  </si>
  <si>
    <t xml:space="preserve">2D42  &amp; 2D43 </t>
  </si>
  <si>
    <t>uuid://a1325977-5164-46d2-89d7-ae648bbe6042</t>
  </si>
  <si>
    <t>VAV-310</t>
  </si>
  <si>
    <t xml:space="preserve">2D206 </t>
  </si>
  <si>
    <t>uuid://6a392ba1-535b-4d0e-b133-50d20147d153</t>
  </si>
  <si>
    <t>VAV-311</t>
  </si>
  <si>
    <t xml:space="preserve">2D44 </t>
  </si>
  <si>
    <t>uuid://3bc36d96-bd0c-46ce-a959-e6348907fd5f</t>
  </si>
  <si>
    <t>VAV-312</t>
  </si>
  <si>
    <t>2D222</t>
  </si>
  <si>
    <t>uuid://63bd2f0f-d1ee-49e1-b286-941cea517971</t>
  </si>
  <si>
    <t>VAV-313</t>
  </si>
  <si>
    <t xml:space="preserve">2D66 </t>
  </si>
  <si>
    <t>uuid://379f414f-437e-4e5f-a68b-e924f808414e</t>
  </si>
  <si>
    <t>VAV-314</t>
  </si>
  <si>
    <t>2D46 &amp; 2D45</t>
  </si>
  <si>
    <t>uuid://6ba15eec-24bc-4c5d-9882-d70e0bf38d2e</t>
  </si>
  <si>
    <t>VAV-315</t>
  </si>
  <si>
    <t xml:space="preserve">2D228 </t>
  </si>
  <si>
    <t>uuid://14e44f68-8a66-4a14-a93d-619ac6d76af7</t>
  </si>
  <si>
    <t>VAV-316</t>
  </si>
  <si>
    <t xml:space="preserve">282 </t>
  </si>
  <si>
    <t>uuid://a4c6288a-5247-42bd-a3fc-2548623ecfc9</t>
  </si>
  <si>
    <t>VAV-317</t>
  </si>
  <si>
    <t xml:space="preserve">2D40 &amp; 2D41 </t>
  </si>
  <si>
    <t>uuid://db05e8bb-ab45-42da-bbd5-cde1ec833ccd</t>
  </si>
  <si>
    <t>VAV-318</t>
  </si>
  <si>
    <t xml:space="preserve">2D62 </t>
  </si>
  <si>
    <t>uuid://b94b3f95-c464-4b15-ab98-7948882c6a3b</t>
  </si>
  <si>
    <t>VAV-319</t>
  </si>
  <si>
    <t xml:space="preserve">2D150 </t>
  </si>
  <si>
    <t>uuid://32637550-2f97-4ac8-9d50-2ec6fa571a9e</t>
  </si>
  <si>
    <t>VAV-320</t>
  </si>
  <si>
    <t xml:space="preserve">2D153 </t>
  </si>
  <si>
    <t>uuid://07735349-2920-4a54-86a2-d6f5886ded4a</t>
  </si>
  <si>
    <t>VAV-321</t>
  </si>
  <si>
    <t xml:space="preserve">2D24 </t>
  </si>
  <si>
    <t>uuid://3d5d77d5-43a7-4883-9700-431cb20365be</t>
  </si>
  <si>
    <t>VAV-322</t>
  </si>
  <si>
    <t xml:space="preserve">2D23 </t>
  </si>
  <si>
    <t>uuid://67b80dea-3b49-40b3-b426-8b75db036fc1</t>
  </si>
  <si>
    <t>VAV-323</t>
  </si>
  <si>
    <t xml:space="preserve">2D22 </t>
  </si>
  <si>
    <t>uuid://12828c53-274a-4fde-b719-33597e82d0bb</t>
  </si>
  <si>
    <t>VAV-324</t>
  </si>
  <si>
    <t xml:space="preserve">2D61 </t>
  </si>
  <si>
    <t>uuid://97bd83fa-1d6c-4c69-8bae-54d3d75381b4</t>
  </si>
  <si>
    <t>VAV-325</t>
  </si>
  <si>
    <t xml:space="preserve">2D21 </t>
  </si>
  <si>
    <t>uuid://338972f1-d19c-4da2-8890-6e32a441e3eb</t>
  </si>
  <si>
    <t>VAV-326</t>
  </si>
  <si>
    <t>2D16</t>
  </si>
  <si>
    <t>uuid://4c4b384b-6b64-46c3-8e18-d7c7444a412b</t>
  </si>
  <si>
    <t>VAV-327</t>
  </si>
  <si>
    <t xml:space="preserve">2D17 </t>
  </si>
  <si>
    <t>uuid://3875be90-cf96-46b4-b7b6-38142ff22676</t>
  </si>
  <si>
    <t>VAV-328</t>
  </si>
  <si>
    <t xml:space="preserve">2D20 </t>
  </si>
  <si>
    <t>uuid://ba97a804-0764-4ecb-8186-477a0610ab5e</t>
  </si>
  <si>
    <t>VAV-329</t>
  </si>
  <si>
    <t xml:space="preserve">2D18 &amp; 2D19 </t>
  </si>
  <si>
    <t>uuid://8c60d48f-9659-4d2f-84b9-cf1a7edd1c77</t>
  </si>
  <si>
    <t>VAV-330</t>
  </si>
  <si>
    <t xml:space="preserve">2D25 </t>
  </si>
  <si>
    <t>uuid://ae6e29ed-fa84-4375-b904-eeb851b9942f</t>
  </si>
  <si>
    <t>VAV-331</t>
  </si>
  <si>
    <t xml:space="preserve">2D29 </t>
  </si>
  <si>
    <t>uuid://571eb1db-29b6-4747-b0ab-fced30f5fa12</t>
  </si>
  <si>
    <t>VAV-332</t>
  </si>
  <si>
    <t>2D33  &amp; 2D32</t>
  </si>
  <si>
    <t>uuid://5c75d0df-6710-4905-af33-0cef21aed8ce</t>
  </si>
  <si>
    <t>VAV-333</t>
  </si>
  <si>
    <t xml:space="preserve">2D34 </t>
  </si>
  <si>
    <t>uuid://14881b86-a1a7-45c8-afae-9ec08a5ea4db</t>
  </si>
  <si>
    <t>VAV-334</t>
  </si>
  <si>
    <t xml:space="preserve">2D74 </t>
  </si>
  <si>
    <t>uuid://7998f169-b2d9-4bdb-8779-80ed6f7d74d5</t>
  </si>
  <si>
    <t>VAV-335</t>
  </si>
  <si>
    <t>uuid://90c4ca6d-c407-4488-9919-52726aff0c2a</t>
  </si>
  <si>
    <t>VAV-336</t>
  </si>
  <si>
    <t xml:space="preserve">2D2 &amp; 2D1 </t>
  </si>
  <si>
    <t>uuid://043ca254-466f-4656-8804-e456ebe15e52</t>
  </si>
  <si>
    <t>VAV-337</t>
  </si>
  <si>
    <t xml:space="preserve">2D56 </t>
  </si>
  <si>
    <t>uuid://795be3ae-2dd3-4c73-af45-b8b2b4a0d4eb</t>
  </si>
  <si>
    <t>VAV-338</t>
  </si>
  <si>
    <t xml:space="preserve">218 </t>
  </si>
  <si>
    <t>uuid://52a37257-6d31-4275-9c73-bf9ccdc9bd10</t>
  </si>
  <si>
    <t>VAV-339</t>
  </si>
  <si>
    <t xml:space="preserve">2D013 </t>
  </si>
  <si>
    <t>uuid://5bd88ef4-5457-4316-a425-9d569fffe1ac</t>
  </si>
  <si>
    <t>VAV-340</t>
  </si>
  <si>
    <t xml:space="preserve">2D027 </t>
  </si>
  <si>
    <t>uuid://5f7b14bf-5cb2-4a27-a4f0-50a150c9efcd</t>
  </si>
  <si>
    <t>VAV-341</t>
  </si>
  <si>
    <t xml:space="preserve">2D028 </t>
  </si>
  <si>
    <t>uuid://7df1f81f-79b2-43a4-8ad3-d8d177823925</t>
  </si>
  <si>
    <t>VAV-342</t>
  </si>
  <si>
    <t xml:space="preserve">2D042 </t>
  </si>
  <si>
    <t>uuid://39172294-5655-48eb-9ce5-f63a23b32383</t>
  </si>
  <si>
    <t>VAV-343</t>
  </si>
  <si>
    <t xml:space="preserve">2D5 </t>
  </si>
  <si>
    <t>uuid://dd0540ba-cd73-4d1e-9001-073f7cd77180</t>
  </si>
  <si>
    <t>VAV-344</t>
  </si>
  <si>
    <t xml:space="preserve">2D9 </t>
  </si>
  <si>
    <t>uuid://2eab5f27-e3e6-472d-ace8-8bf05245c39b</t>
  </si>
  <si>
    <t>VAV-345</t>
  </si>
  <si>
    <t xml:space="preserve">2D7 </t>
  </si>
  <si>
    <t>uuid://d9f55266-3e5e-4c60-995f-4c5ef709055a</t>
  </si>
  <si>
    <t>VAV-346</t>
  </si>
  <si>
    <t>2D10</t>
  </si>
  <si>
    <t>uuid://d8afa32e-e682-4a74-9737-19fa8eb85ae7</t>
  </si>
  <si>
    <t>VAV-347</t>
  </si>
  <si>
    <t xml:space="preserve">2D8 </t>
  </si>
  <si>
    <t>uuid://2a06d2ff-b4cb-4177-8bf2-5ffb5fb424ce</t>
  </si>
  <si>
    <t>VAV-348</t>
  </si>
  <si>
    <t xml:space="preserve">2D58 </t>
  </si>
  <si>
    <t>uuid://e24f881f-fa53-4720-8080-e996e27e52e1</t>
  </si>
  <si>
    <t>VAV-349</t>
  </si>
  <si>
    <t xml:space="preserve">2D103 </t>
  </si>
  <si>
    <t>uuid://bfa6a32e-672d-4215-9b41-57b8993772e1</t>
  </si>
  <si>
    <t>VAV-350</t>
  </si>
  <si>
    <t xml:space="preserve">2D056 </t>
  </si>
  <si>
    <t>uuid://e0a98d64-771b-4618-a456-e0318b290809</t>
  </si>
  <si>
    <t>VAV-351</t>
  </si>
  <si>
    <t xml:space="preserve">2D062 </t>
  </si>
  <si>
    <t>uuid://675760ec-8884-47a5-9e00-18113d2783bf</t>
  </si>
  <si>
    <t>VAV-352</t>
  </si>
  <si>
    <t>2D60</t>
  </si>
  <si>
    <t>uuid://e327af95-251e-43b5-be42-921743884fa9</t>
  </si>
  <si>
    <t>VAV-353</t>
  </si>
  <si>
    <t xml:space="preserve">2D15 </t>
  </si>
  <si>
    <t>uuid://99a2e656-5278-4723-b990-7eeb9b5a2b42</t>
  </si>
  <si>
    <t>VAV-354</t>
  </si>
  <si>
    <t>2D13</t>
  </si>
  <si>
    <t>uuid://b5c4ba71-bee8-4bbe-8891-90c5c5cf4c44</t>
  </si>
  <si>
    <t>VAV-355</t>
  </si>
  <si>
    <t xml:space="preserve">2D12 </t>
  </si>
  <si>
    <t>uuid://c8b0475b-5e48-4917-b7ee-93dc01d89c5b</t>
  </si>
  <si>
    <t>VAV-356</t>
  </si>
  <si>
    <t xml:space="preserve">2D107 </t>
  </si>
  <si>
    <t>uuid://1acd9ad2-d3e5-42d8-a34c-923cdb334f82</t>
  </si>
  <si>
    <t>VAV-357</t>
  </si>
  <si>
    <t>2A23</t>
  </si>
  <si>
    <t>uuid://d92faf76-c7b8-4bb1-8d1c-5b8492e99405</t>
  </si>
  <si>
    <t>VAV-358</t>
  </si>
  <si>
    <t>uuid://b3e2c9a9-db1f-45a3-a5e0-08e3b1cd7873</t>
  </si>
  <si>
    <t>VAV-359</t>
  </si>
  <si>
    <t xml:space="preserve">2A25 </t>
  </si>
  <si>
    <t>uuid://6378ed34-ec2c-45fe-a1c6-9be199af9b7b</t>
  </si>
  <si>
    <t>VAV-360</t>
  </si>
  <si>
    <t xml:space="preserve">2A1 </t>
  </si>
  <si>
    <t>uuid://ab252c67-d014-4208-90d0-95fbb412e1ce</t>
  </si>
  <si>
    <t>VAV-361</t>
  </si>
  <si>
    <t xml:space="preserve">2A2 </t>
  </si>
  <si>
    <t>uuid://e3661664-c402-40fb-8ee9-f2212fe293cf</t>
  </si>
  <si>
    <t>VAV-362</t>
  </si>
  <si>
    <t>uuid://2aaa7f25-8a8d-4ca0-aa09-f1d2a150e328</t>
  </si>
  <si>
    <t>VAV-363</t>
  </si>
  <si>
    <t>2A29</t>
  </si>
  <si>
    <t>uuid://0eacf7ab-ab16-4d2e-9963-136654d5fe4e</t>
  </si>
  <si>
    <t>VAV-364</t>
  </si>
  <si>
    <t>uuid://146f1227-bab8-4b51-929b-f63b14e42371</t>
  </si>
  <si>
    <t>VAV-365</t>
  </si>
  <si>
    <t xml:space="preserve">256 </t>
  </si>
  <si>
    <t>uuid://a5e7cc09-7f82-4c77-86b9-3d1c859a934a</t>
  </si>
  <si>
    <t>VAV-366</t>
  </si>
  <si>
    <t>2A5 - Baushoti &amp; 2A6 - Buniyaad</t>
  </si>
  <si>
    <t>uuid://cc38ad5a-c25a-4aff-9664-42aa1be36519</t>
  </si>
  <si>
    <t>VAV-367</t>
  </si>
  <si>
    <t>uuid://b9194166-59eb-4ec9-8b42-44d43cb5cfb3</t>
  </si>
  <si>
    <t>VAV-368</t>
  </si>
  <si>
    <t xml:space="preserve">2A4 </t>
  </si>
  <si>
    <t>uuid://ea241a67-05fe-43de-a812-e06ec53a460e</t>
  </si>
  <si>
    <t>VAV-369</t>
  </si>
  <si>
    <t xml:space="preserve">2A010 </t>
  </si>
  <si>
    <t>uuid://4f061c78-6581-48dd-8d59-882c829413e7</t>
  </si>
  <si>
    <t>VAV-370</t>
  </si>
  <si>
    <t>2A007</t>
  </si>
  <si>
    <t>uuid://64770d50-ebd3-4a45-a780-d98669e7d485</t>
  </si>
  <si>
    <t>VAV-371</t>
  </si>
  <si>
    <t xml:space="preserve">2A3 </t>
  </si>
  <si>
    <t>uuid://5e30ef18-f49b-4a80-a43c-07e51260c9d1</t>
  </si>
  <si>
    <t>VAV-372</t>
  </si>
  <si>
    <t xml:space="preserve">2A27 </t>
  </si>
  <si>
    <t>uuid://45fe3998-2bcf-4640-ac3c-cb124d6375dd</t>
  </si>
  <si>
    <t>VAV-373</t>
  </si>
  <si>
    <t xml:space="preserve">2A21  &amp; 2A20 </t>
  </si>
  <si>
    <t>uuid://59a56190-3a26-4df6-a94c-71bb613e5716</t>
  </si>
  <si>
    <t>VAV-374</t>
  </si>
  <si>
    <t xml:space="preserve">2A22 </t>
  </si>
  <si>
    <t>uuid://7655f4b3-621c-4316-858e-3cc59eaaea99</t>
  </si>
  <si>
    <t>VAV-375</t>
  </si>
  <si>
    <t xml:space="preserve">2A19 </t>
  </si>
  <si>
    <t>uuid://0f8fb924-e56c-4a17-95cf-a046b4d3f589</t>
  </si>
  <si>
    <t>VAV-376</t>
  </si>
  <si>
    <t xml:space="preserve">2A18 </t>
  </si>
  <si>
    <t>uuid://23e8a4de-5350-4a8e-97ba-00acd9b53786</t>
  </si>
  <si>
    <t>VAV-377</t>
  </si>
  <si>
    <t xml:space="preserve">2A30 </t>
  </si>
  <si>
    <t>uuid://156195b5-61d6-456e-be23-661753942cbd</t>
  </si>
  <si>
    <t>VAV-378</t>
  </si>
  <si>
    <t>2A9  &amp; 2A10</t>
  </si>
  <si>
    <t>uuid://32a22302-fed3-4b33-99d5-f92c3d35656c</t>
  </si>
  <si>
    <t>VAV-379</t>
  </si>
  <si>
    <t xml:space="preserve">2A7 &amp; 2A8 </t>
  </si>
  <si>
    <t>uuid://30bd3586-2199-44ca-a554-85478da12ba2</t>
  </si>
  <si>
    <t>VAV-380</t>
  </si>
  <si>
    <t xml:space="preserve">2A11 </t>
  </si>
  <si>
    <t>uuid://52b84cb8-301e-4eca-8f65-73774f819b76</t>
  </si>
  <si>
    <t>VAV-381</t>
  </si>
  <si>
    <t xml:space="preserve">2A12 </t>
  </si>
  <si>
    <t>uuid://70819693-230f-4784-a75f-a7c44ab389f3</t>
  </si>
  <si>
    <t>VAV-382</t>
  </si>
  <si>
    <t xml:space="preserve">2A13 </t>
  </si>
  <si>
    <t>uuid://7d18e93d-4df4-4d5f-afcd-897619da97e1</t>
  </si>
  <si>
    <t>VAV-383</t>
  </si>
  <si>
    <t xml:space="preserve">2A42 </t>
  </si>
  <si>
    <t>uuid://688ba160-3311-4b22-92a4-d135bb95f68e</t>
  </si>
  <si>
    <t>VAV-384</t>
  </si>
  <si>
    <t xml:space="preserve">2A37 </t>
  </si>
  <si>
    <t>uuid://8ea1309e-d68b-402f-888a-70eabcae3dee</t>
  </si>
  <si>
    <t>VAV-385</t>
  </si>
  <si>
    <t>2A38</t>
  </si>
  <si>
    <t>uuid://877a39a7-3f64-45cb-898c-dca2f59ee55b</t>
  </si>
  <si>
    <t>VAV-386</t>
  </si>
  <si>
    <t>2A059</t>
  </si>
  <si>
    <t>uuid://16d17d1c-534f-45a1-9d55-8426d6c9f681</t>
  </si>
  <si>
    <t>VAV-387</t>
  </si>
  <si>
    <t xml:space="preserve">2A085 </t>
  </si>
  <si>
    <t>uuid://c3c83d2f-8829-4d0c-bf74-8b7e6ff05314</t>
  </si>
  <si>
    <t>VAV-388</t>
  </si>
  <si>
    <t xml:space="preserve">2A093 </t>
  </si>
  <si>
    <t>uuid://70ede1fb-dfbf-49e2-b13c-12e4de8036e2</t>
  </si>
  <si>
    <t>VAV-389</t>
  </si>
  <si>
    <t xml:space="preserve">3C33 </t>
  </si>
  <si>
    <t>uuid://cce17bbc-a1ac-44bb-9622-b6762947f822</t>
  </si>
  <si>
    <t>VAV-390</t>
  </si>
  <si>
    <t>Central MK</t>
  </si>
  <si>
    <t>uuid://5a373525-3f5d-410f-bd53-2aae71b4e3a6</t>
  </si>
  <si>
    <t>VAV-391</t>
  </si>
  <si>
    <t>3C26</t>
  </si>
  <si>
    <t>uuid://d22da028-1f4b-423e-97e1-2186e530a5dd</t>
  </si>
  <si>
    <t>VAV-392</t>
  </si>
  <si>
    <t xml:space="preserve">3C24 </t>
  </si>
  <si>
    <t>uuid://c57e8acc-5215-48b9-bbca-80100149a88f</t>
  </si>
  <si>
    <t>VAV-393</t>
  </si>
  <si>
    <t xml:space="preserve">3C23 </t>
  </si>
  <si>
    <t>uuid://6379fa1e-c02e-4d52-87d2-47b92a8cb3ff</t>
  </si>
  <si>
    <t>VAV-394</t>
  </si>
  <si>
    <t xml:space="preserve">3C22 </t>
  </si>
  <si>
    <t>uuid://4452b3e1-fdd4-44fe-8f61-db4fb400ceab</t>
  </si>
  <si>
    <t>VAV-395</t>
  </si>
  <si>
    <t xml:space="preserve">3C21 </t>
  </si>
  <si>
    <t>uuid://89236733-bae8-4c9c-a5ea-0df8cf3f3171</t>
  </si>
  <si>
    <t>VAV-396</t>
  </si>
  <si>
    <t xml:space="preserve">3C20 </t>
  </si>
  <si>
    <t>uuid://4072d47f-6419-43ea-bf94-0d99108099b6</t>
  </si>
  <si>
    <t>VAV-397</t>
  </si>
  <si>
    <t xml:space="preserve"> 3I90 </t>
  </si>
  <si>
    <t>uuid://16342a04-92d1-4f62-a445-d2e9e04daf99</t>
  </si>
  <si>
    <t>VAV-398</t>
  </si>
  <si>
    <t xml:space="preserve"> 3C6 </t>
  </si>
  <si>
    <t>uuid://81c5aedf-923d-40da-8964-b048799bb312</t>
  </si>
  <si>
    <t>VAV-399</t>
  </si>
  <si>
    <t xml:space="preserve">3C14 </t>
  </si>
  <si>
    <t>uuid://8cf6ba4f-c8a3-485d-8b2c-4e7a4d4381c3</t>
  </si>
  <si>
    <t>VAV-400</t>
  </si>
  <si>
    <t xml:space="preserve">3C7 </t>
  </si>
  <si>
    <t>uuid://344e30d8-7ed5-4c81-8676-ea6e33bb8bb5</t>
  </si>
  <si>
    <t>VAV-401</t>
  </si>
  <si>
    <t xml:space="preserve">C3103 </t>
  </si>
  <si>
    <t>uuid://95e3e786-f241-4bf9-9a21-b419dab6f18b</t>
  </si>
  <si>
    <t>VAV-402</t>
  </si>
  <si>
    <t xml:space="preserve">370 </t>
  </si>
  <si>
    <t>uuid://79f77a3e-7756-40f1-a1f6-f7c634d4e89c</t>
  </si>
  <si>
    <t>VAV-403</t>
  </si>
  <si>
    <t>uuid://143ef8a2-fb45-400c-aa86-dfff3567bb03</t>
  </si>
  <si>
    <t>VAV-404</t>
  </si>
  <si>
    <t xml:space="preserve">3C11 </t>
  </si>
  <si>
    <t>uuid://7a98aac1-afaf-48d3-9b4c-66ded06af9cb</t>
  </si>
  <si>
    <t>VAV-405</t>
  </si>
  <si>
    <t xml:space="preserve">3C10 </t>
  </si>
  <si>
    <t>uuid://954876ab-2fd5-4b0e-99ec-d07ac8eb9269</t>
  </si>
  <si>
    <t>VAV-406</t>
  </si>
  <si>
    <t xml:space="preserve">3C9 </t>
  </si>
  <si>
    <t>uuid://2c76ed27-d38f-49c1-9c34-8409a8a9cd28</t>
  </si>
  <si>
    <t>VAV-407</t>
  </si>
  <si>
    <t xml:space="preserve">3B9 </t>
  </si>
  <si>
    <t>uuid://bfd956b6-dac8-4112-a01d-971f1e9f216f</t>
  </si>
  <si>
    <t>VAV-408</t>
  </si>
  <si>
    <t xml:space="preserve"> 3I60 </t>
  </si>
  <si>
    <t>uuid://d824a77e-aa81-40c4-9202-61d6d43025bc</t>
  </si>
  <si>
    <t>VAV-409</t>
  </si>
  <si>
    <t xml:space="preserve">3B3 </t>
  </si>
  <si>
    <t>uuid://5a813fe6-a2f8-47e3-a8ab-b61905c4aad6</t>
  </si>
  <si>
    <t>VAV-410</t>
  </si>
  <si>
    <t>3B3</t>
  </si>
  <si>
    <t>uuid://c02abc9a-12ef-4877-aa7b-8b0227dfafe1</t>
  </si>
  <si>
    <t>VAV-411</t>
  </si>
  <si>
    <t>3B5</t>
  </si>
  <si>
    <t>uuid://f41d7b72-3a70-4d67-9e04-952626eb51ed</t>
  </si>
  <si>
    <t>VAV-412</t>
  </si>
  <si>
    <t xml:space="preserve">3B5 </t>
  </si>
  <si>
    <t>uuid://416928db-6e63-4702-9c3b-19e0edcb171f</t>
  </si>
  <si>
    <t>VAV-413</t>
  </si>
  <si>
    <t xml:space="preserve">3I20 </t>
  </si>
  <si>
    <t>uuid://b413d3c4-8d13-4278-b807-82bc1b938234</t>
  </si>
  <si>
    <t>VAV-414</t>
  </si>
  <si>
    <t xml:space="preserve">3B8 </t>
  </si>
  <si>
    <t>uuid://dbd33e36-03e8-489a-9f2d-a3550f2f8af9</t>
  </si>
  <si>
    <t>VAV-415</t>
  </si>
  <si>
    <t xml:space="preserve">3B11 </t>
  </si>
  <si>
    <t>uuid://c43fe94e-523d-4f79-a370-c0e48d2b995b</t>
  </si>
  <si>
    <t>VAV-416</t>
  </si>
  <si>
    <t xml:space="preserve">3B12 </t>
  </si>
  <si>
    <t>uuid://a016612b-abef-4233-9115-c65b6f7f882a</t>
  </si>
  <si>
    <t>VAV-417</t>
  </si>
  <si>
    <t xml:space="preserve">3B13 </t>
  </si>
  <si>
    <t>uuid://3fd4dffa-0eae-49d1-aa0f-7f5d56df1f00</t>
  </si>
  <si>
    <t>VAV-418</t>
  </si>
  <si>
    <t xml:space="preserve">3B14 </t>
  </si>
  <si>
    <t>uuid://b8e77db4-8158-4389-ac98-54bee42a58eb</t>
  </si>
  <si>
    <t>VAV-419</t>
  </si>
  <si>
    <t xml:space="preserve">3B15 </t>
  </si>
  <si>
    <t>uuid://b0f98121-97ff-430e-ad50-59784a541bcb</t>
  </si>
  <si>
    <t>VAV-420</t>
  </si>
  <si>
    <t xml:space="preserve">3I40 </t>
  </si>
  <si>
    <t>uuid://a155a382-9f8e-4cba-aabe-ec192007726c</t>
  </si>
  <si>
    <t>VAV-421</t>
  </si>
  <si>
    <t xml:space="preserve"> C381 </t>
  </si>
  <si>
    <t>uuid://38400843-9a43-4046-a19b-103a4575b0e8</t>
  </si>
  <si>
    <t>VAV-422</t>
  </si>
  <si>
    <t xml:space="preserve">3I94 </t>
  </si>
  <si>
    <t>uuid://1d01ca87-25bd-4411-a595-b3c722df0e52</t>
  </si>
  <si>
    <t>VAV-423</t>
  </si>
  <si>
    <t xml:space="preserve">3B10 </t>
  </si>
  <si>
    <t>uuid://918d3706-3836-4aba-b4c9-258bd6692f6a</t>
  </si>
  <si>
    <t>VAV-424</t>
  </si>
  <si>
    <t>319</t>
  </si>
  <si>
    <t>uuid://4f702f36-ca28-42f1-af49-a43ec10ee4d7</t>
  </si>
  <si>
    <t>VAV-425</t>
  </si>
  <si>
    <t>MK Kitchen</t>
  </si>
  <si>
    <t>uuid://ab62fba2-2584-42a8-9e90-2e4112f4eafc</t>
  </si>
  <si>
    <t>VAV-426</t>
  </si>
  <si>
    <t xml:space="preserve">3C38 </t>
  </si>
  <si>
    <t>uuid://623cb34e-ed8c-4e9c-baed-c22d8744c320</t>
  </si>
  <si>
    <t>VAV-427</t>
  </si>
  <si>
    <t xml:space="preserve">3C37 </t>
  </si>
  <si>
    <t>uuid://bbd037b6-a6d7-4b2b-8886-65a24f8dd705</t>
  </si>
  <si>
    <t>VAV-428</t>
  </si>
  <si>
    <t xml:space="preserve">3I64 </t>
  </si>
  <si>
    <t>uuid://8098d9e8-a0fe-4ace-939d-e038dabaaf9c</t>
  </si>
  <si>
    <t>VAV-429</t>
  </si>
  <si>
    <t xml:space="preserve">3A53 </t>
  </si>
  <si>
    <t>uuid://d095e37f-f231-400b-b17e-0e2f97c5ac83</t>
  </si>
  <si>
    <t>VAV-430</t>
  </si>
  <si>
    <t xml:space="preserve">3A54 </t>
  </si>
  <si>
    <t>uuid://1207c44c-9386-4e8e-89de-f95fcc7fa82c</t>
  </si>
  <si>
    <t>VAV-431</t>
  </si>
  <si>
    <t>3A55</t>
  </si>
  <si>
    <t>uuid://cbcf0ee8-bab4-4767-8120-3c6bf5d5fbbf</t>
  </si>
  <si>
    <t>VAV-432</t>
  </si>
  <si>
    <t>3A56</t>
  </si>
  <si>
    <t>uuid://8220d6c3-97c7-4499-9b26-76b6d597acaa</t>
  </si>
  <si>
    <t>VAV-433</t>
  </si>
  <si>
    <t xml:space="preserve">3A209 </t>
  </si>
  <si>
    <t>uuid://4311b6fb-fe25-4c1b-b4a3-cbcb7d196dfd</t>
  </si>
  <si>
    <t>VAV-434</t>
  </si>
  <si>
    <t>Electrical Room -3</t>
  </si>
  <si>
    <t>uuid://76c1f815-b78b-4562-8497-d622c97c9458</t>
  </si>
  <si>
    <t>VAV-435</t>
  </si>
  <si>
    <t xml:space="preserve">304 &amp; C387 </t>
  </si>
  <si>
    <t>uuid://df29b19d-f9fe-4dc6-aa56-11ed50f00b3e</t>
  </si>
  <si>
    <t>VAV-436</t>
  </si>
  <si>
    <t>uuid://10e89343-fb2a-4827-b6d1-55ead9557f3c</t>
  </si>
  <si>
    <t>VAV-437</t>
  </si>
  <si>
    <t>uuid://6e5d76bc-7369-4636-98fa-6682f856b760</t>
  </si>
  <si>
    <t>VAV-438</t>
  </si>
  <si>
    <t>uuid://4d17ae1a-2fbf-4437-822a-8c4e353d0a53</t>
  </si>
  <si>
    <t>VAV-439</t>
  </si>
  <si>
    <t>uuid://5e6db514-2dae-463d-8944-646afd038fad</t>
  </si>
  <si>
    <t>VAV-440</t>
  </si>
  <si>
    <t xml:space="preserve">3A50  &amp; 3A51 </t>
  </si>
  <si>
    <t>uuid://1722cb4a-3df8-43a0-9542-f620739b6f03</t>
  </si>
  <si>
    <t>VAV-441</t>
  </si>
  <si>
    <t xml:space="preserve">3A49 </t>
  </si>
  <si>
    <t>uuid://200089be-b180-418c-94d7-7a21609fce9d</t>
  </si>
  <si>
    <t>VAV-442</t>
  </si>
  <si>
    <t xml:space="preserve">3A95 </t>
  </si>
  <si>
    <t>uuid://d6d4ac0b-fed4-437f-bbbc-8300ab87f2cf</t>
  </si>
  <si>
    <t>VAV-443</t>
  </si>
  <si>
    <t>3A159</t>
  </si>
  <si>
    <t>uuid://f944bc05-fb33-4471-9fb6-c42e24f8f25f</t>
  </si>
  <si>
    <t>VAV-444</t>
  </si>
  <si>
    <t xml:space="preserve">3A159 </t>
  </si>
  <si>
    <t>uuid://ba2d386a-6c5f-43ca-ad81-1ec3a614e918</t>
  </si>
  <si>
    <t>VAV-445</t>
  </si>
  <si>
    <t xml:space="preserve">3A89 </t>
  </si>
  <si>
    <t>uuid://8b641809-72af-491d-a278-a66f8ca05094</t>
  </si>
  <si>
    <t>VAV-446</t>
  </si>
  <si>
    <t>3A187</t>
  </si>
  <si>
    <t>uuid://cc60653c-9254-435b-9655-bf0d3413afad</t>
  </si>
  <si>
    <t>VAV-447</t>
  </si>
  <si>
    <t xml:space="preserve">3A195 </t>
  </si>
  <si>
    <t>uuid://493c6916-ad0f-47df-ad27-fb11a35f0ba3</t>
  </si>
  <si>
    <t>VAV-448</t>
  </si>
  <si>
    <t>Electrical Room - 4</t>
  </si>
  <si>
    <t>uuid://a27a0a39-a8d7-4f28-91f9-00dee499d8e3</t>
  </si>
  <si>
    <t>VAV-449</t>
  </si>
  <si>
    <t>3D38  &amp; 3D39</t>
  </si>
  <si>
    <t>uuid://d8b8e862-2277-40c7-8974-aa8dfdfe36bf</t>
  </si>
  <si>
    <t>VAV-450</t>
  </si>
  <si>
    <t>Lounge</t>
  </si>
  <si>
    <t>uuid://5f94d15b-5465-4cab-a06b-8c764b304e25</t>
  </si>
  <si>
    <t>VAV-451</t>
  </si>
  <si>
    <t xml:space="preserve">3D21  </t>
  </si>
  <si>
    <t>uuid://ee3505e9-ef09-4ed7-a904-645eb2cee1d2</t>
  </si>
  <si>
    <t>VAV-452</t>
  </si>
  <si>
    <t xml:space="preserve">3D22 </t>
  </si>
  <si>
    <t>uuid://21497c9d-7827-483e-9ee3-b9d9cb351d8d</t>
  </si>
  <si>
    <t>VAV-453</t>
  </si>
  <si>
    <t xml:space="preserve">3D34 </t>
  </si>
  <si>
    <t>uuid://3bff1c5b-52df-44b4-871d-3d8033f89419</t>
  </si>
  <si>
    <t>VAV-454</t>
  </si>
  <si>
    <t xml:space="preserve">3D33 </t>
  </si>
  <si>
    <t>uuid://1ec2d047-377a-4fa8-a99a-278df3c78db1</t>
  </si>
  <si>
    <t>VAV-455</t>
  </si>
  <si>
    <t xml:space="preserve">3D32 </t>
  </si>
  <si>
    <t>uuid://87256e17-e5ae-49fa-b614-247c4ca907b8</t>
  </si>
  <si>
    <t>VAV-456</t>
  </si>
  <si>
    <t>Near by Phone Booth</t>
  </si>
  <si>
    <t>uuid://0c77c416-92ac-451d-8d7c-fe0c1868855b</t>
  </si>
  <si>
    <t>VAV-457</t>
  </si>
  <si>
    <t xml:space="preserve">3D30 &amp; 3D31 </t>
  </si>
  <si>
    <t>uuid://8a2e926f-ea30-454c-a4bd-9f19431da176</t>
  </si>
  <si>
    <t>VAV-458</t>
  </si>
  <si>
    <t xml:space="preserve">3D27 </t>
  </si>
  <si>
    <t>uuid://c8e7ecc0-293f-4465-9e3f-32402b9c36d5</t>
  </si>
  <si>
    <t>VAV-459</t>
  </si>
  <si>
    <t>3D23</t>
  </si>
  <si>
    <t>uuid://6bca4142-047b-43cb-84eb-279de41497bf</t>
  </si>
  <si>
    <t>VAV-460</t>
  </si>
  <si>
    <t>3D16 &amp; 3D17</t>
  </si>
  <si>
    <t>uuid://83e6d18e-07ba-4aec-b56d-f9b402fdcb01</t>
  </si>
  <si>
    <t>VAV-461</t>
  </si>
  <si>
    <t xml:space="preserve">3D18 </t>
  </si>
  <si>
    <t>uuid://9be8b899-8459-489b-bde0-a8c525c42b55</t>
  </si>
  <si>
    <t>VAV-462</t>
  </si>
  <si>
    <t>3D15</t>
  </si>
  <si>
    <t>uuid://bbcf7d07-d9df-4355-88f0-721e0dbdb8c9</t>
  </si>
  <si>
    <t>VAV-463</t>
  </si>
  <si>
    <t xml:space="preserve">3D19 </t>
  </si>
  <si>
    <t>uuid://d5bcd2cc-eb2f-4c86-96d0-fd63731fc15d</t>
  </si>
  <si>
    <t>VAV-464</t>
  </si>
  <si>
    <t>uuid://7561e0b2-5c5e-4b9c-8b2a-0963482162c0</t>
  </si>
  <si>
    <t>VAV-465</t>
  </si>
  <si>
    <t xml:space="preserve">3D58 </t>
  </si>
  <si>
    <t>uuid://aecae208-b6de-4745-9337-acff2dd18ef4</t>
  </si>
  <si>
    <t>VAV-466</t>
  </si>
  <si>
    <t xml:space="preserve">3D20 </t>
  </si>
  <si>
    <t>uuid://6a52d23f-9a8c-454b-ab1c-5d8575b344ca</t>
  </si>
  <si>
    <t>VAV-467</t>
  </si>
  <si>
    <t>uuid://3b3cfe85-c580-4912-ad1b-4554cc23b09b</t>
  </si>
  <si>
    <t>VAV-468</t>
  </si>
  <si>
    <t xml:space="preserve">3D187 </t>
  </si>
  <si>
    <t>uuid://1bd5371f-19fc-4330-87cd-593f56ab597c</t>
  </si>
  <si>
    <t>VAV-469</t>
  </si>
  <si>
    <t>3D192</t>
  </si>
  <si>
    <t>uuid://caaa74d9-3067-489c-b91a-4a227a687af0</t>
  </si>
  <si>
    <t>VAV-470</t>
  </si>
  <si>
    <t xml:space="preserve">3D214 </t>
  </si>
  <si>
    <t>uuid://a408528d-2d74-4e5e-87ed-0d07659c0596</t>
  </si>
  <si>
    <t>VAV-471</t>
  </si>
  <si>
    <t xml:space="preserve">3D37 </t>
  </si>
  <si>
    <t>uuid://693f5a8d-682b-4575-bb1e-d6ea3c6a8301</t>
  </si>
  <si>
    <t>VAV-472</t>
  </si>
  <si>
    <t xml:space="preserve">3D36 </t>
  </si>
  <si>
    <t>uuid://d23cf3c4-9b7a-454d-b75a-9180b115c8fb</t>
  </si>
  <si>
    <t>VAV-473</t>
  </si>
  <si>
    <t xml:space="preserve">3D35 </t>
  </si>
  <si>
    <t>uuid://67a87451-d653-4bef-9c92-fb3b423698f8</t>
  </si>
  <si>
    <t>VAV-474</t>
  </si>
  <si>
    <t>3D154</t>
  </si>
  <si>
    <t>uuid://90842c7e-7f4f-4c9c-861a-00b39c16190e</t>
  </si>
  <si>
    <t>VAV-475</t>
  </si>
  <si>
    <t>uuid://5382d7e5-2e02-43e4-bb20-27116d3ea0f6</t>
  </si>
  <si>
    <t>VAV-476</t>
  </si>
  <si>
    <t xml:space="preserve"> 3D37 </t>
  </si>
  <si>
    <t>uuid://b4ea7d1a-bf84-4b34-b0f3-d306f35a8fed</t>
  </si>
  <si>
    <t>VAV-477</t>
  </si>
  <si>
    <t xml:space="preserve"> 3D40</t>
  </si>
  <si>
    <t>uuid://74841fc2-6fbd-4d11-afa9-b5c078b19d5e</t>
  </si>
  <si>
    <t>VAV-478</t>
  </si>
  <si>
    <t xml:space="preserve">3D40&amp; 3D41 </t>
  </si>
  <si>
    <t>uuid://c6bd1d53-8378-4ab7-88c3-95b7c7da2379</t>
  </si>
  <si>
    <t>VAV-479</t>
  </si>
  <si>
    <t xml:space="preserve">3D223 </t>
  </si>
  <si>
    <t>uuid://08983be0-9ef4-4cee-8e03-f2c275d52a84</t>
  </si>
  <si>
    <t>VAV-480</t>
  </si>
  <si>
    <t>No name</t>
  </si>
  <si>
    <t>uuid://16cc3e2b-202a-47dd-b680-90a88de9fbfb</t>
  </si>
  <si>
    <t>VAV-481</t>
  </si>
  <si>
    <t>Near by W/S</t>
  </si>
  <si>
    <t>uuid://1a4cb16b-1c42-4fc6-98a0-8175edb4a7bc</t>
  </si>
  <si>
    <t>VAV-482</t>
  </si>
  <si>
    <t>Near by staircase</t>
  </si>
  <si>
    <t>uuid://0f99e0dc-742c-4c68-bee2-aac528a85d18</t>
  </si>
  <si>
    <t>VAV-483</t>
  </si>
  <si>
    <t>uuid://2c98cbf8-fe0b-48a2-82eb-9184ef367962</t>
  </si>
  <si>
    <t>VAV-484</t>
  </si>
  <si>
    <t>Near By No name</t>
  </si>
  <si>
    <t>uuid://5f6ff1ed-35c8-44c8-9983-338cfb77ab15</t>
  </si>
  <si>
    <t>VAV-485</t>
  </si>
  <si>
    <t>uuid://185905c7-431c-4d52-bab1-5f959b63bc3e</t>
  </si>
  <si>
    <t>VAV-486</t>
  </si>
  <si>
    <t>Micro Kitchen</t>
  </si>
  <si>
    <t>uuid://53d25a2f-fa46-4577-8bc8-d216ba220447</t>
  </si>
  <si>
    <t>VAV-487</t>
  </si>
  <si>
    <t>uuid://fd4ef3ea-f86f-40b2-ab97-671be6e37e15</t>
  </si>
  <si>
    <t>VAV-488</t>
  </si>
  <si>
    <t xml:space="preserve"> 3C116 </t>
  </si>
  <si>
    <t>uuid://160ca675-922f-4f58-864b-50d870bb5626</t>
  </si>
  <si>
    <t>VAV-489</t>
  </si>
  <si>
    <t>uuid://c5c411ff-567f-4d10-86c7-a4c0231d36d0</t>
  </si>
  <si>
    <t>VAV-490</t>
  </si>
  <si>
    <t xml:space="preserve">3I52 </t>
  </si>
  <si>
    <t>uuid://76c815d4-1b1c-4b54-ac01-c6b9bb914e30</t>
  </si>
  <si>
    <t>VAV-491</t>
  </si>
  <si>
    <t>C309</t>
  </si>
  <si>
    <t>uuid://d28b2644-27b3-4524-9b5f-a4246560650c</t>
  </si>
  <si>
    <t>VAV-492</t>
  </si>
  <si>
    <t xml:space="preserve">3D4 </t>
  </si>
  <si>
    <t>uuid://09bde241-7540-420e-af24-b7d5ac3d8ff6</t>
  </si>
  <si>
    <t>VAV-493</t>
  </si>
  <si>
    <t xml:space="preserve">3D3 </t>
  </si>
  <si>
    <t>uuid://5c1d8a52-fe95-45fa-b24f-5fc71c8c0326</t>
  </si>
  <si>
    <t>VAV-494</t>
  </si>
  <si>
    <t xml:space="preserve">3D5 </t>
  </si>
  <si>
    <t>uuid://81ed347d-98f6-4fb7-891d-051134655c7d</t>
  </si>
  <si>
    <t>VAV-495</t>
  </si>
  <si>
    <t xml:space="preserve">3D7 </t>
  </si>
  <si>
    <t>uuid://beaf33d9-46a5-43a6-9317-c70c9ead9a31</t>
  </si>
  <si>
    <t>VAV-496</t>
  </si>
  <si>
    <t xml:space="preserve">3D8 </t>
  </si>
  <si>
    <t>uuid://b1ce15ad-6d42-48a7-8926-c9d9aa39c494</t>
  </si>
  <si>
    <t>VAV-497</t>
  </si>
  <si>
    <t xml:space="preserve">3D6 </t>
  </si>
  <si>
    <t>uuid://68ae764d-2b85-4869-bd60-9ee1c7138f5a</t>
  </si>
  <si>
    <t>VAV-498</t>
  </si>
  <si>
    <t>3D54</t>
  </si>
  <si>
    <t>uuid://9e3008a2-58dc-4ca9-a448-dafeed026417</t>
  </si>
  <si>
    <t>VAV-499</t>
  </si>
  <si>
    <t xml:space="preserve">3D53 </t>
  </si>
  <si>
    <t>uuid://0e1501b1-9ec4-4c37-a081-82123e78029c</t>
  </si>
  <si>
    <t>VAV-500</t>
  </si>
  <si>
    <t xml:space="preserve">3D52 </t>
  </si>
  <si>
    <t>uuid://603c0b4c-cb03-41cd-b72a-f3d4697b323a</t>
  </si>
  <si>
    <t>VAV-501</t>
  </si>
  <si>
    <t>3D103</t>
  </si>
  <si>
    <t>uuid://05f11648-f1fa-41aa-a571-91fc9f53ce6c</t>
  </si>
  <si>
    <t>VAV-502</t>
  </si>
  <si>
    <t>C319</t>
  </si>
  <si>
    <t>uuid://1a97cb81-6c0f-4d04-83d3-dcef96787a1f</t>
  </si>
  <si>
    <t>VAV-503</t>
  </si>
  <si>
    <t>3D067</t>
  </si>
  <si>
    <t>uuid://9042a9b4-2bb6-4d78-881d-3b909b4f121d</t>
  </si>
  <si>
    <t>VAV-504</t>
  </si>
  <si>
    <t>3D12</t>
  </si>
  <si>
    <t>uuid://b190e2dd-705c-469c-9bb5-9e19eacafd10</t>
  </si>
  <si>
    <t>VAV-505</t>
  </si>
  <si>
    <t xml:space="preserve">3D13 </t>
  </si>
  <si>
    <t>uuid://56c81a58-72fa-4d16-a5b6-0f62966757ed</t>
  </si>
  <si>
    <t>VAV-506</t>
  </si>
  <si>
    <t xml:space="preserve">3D11 </t>
  </si>
  <si>
    <t>uuid://2332410c-d170-4558-8139-301f025ed902</t>
  </si>
  <si>
    <t>VAV-507</t>
  </si>
  <si>
    <t xml:space="preserve">3D10 </t>
  </si>
  <si>
    <t>uuid://46a8f139-7acb-41cc-bc93-fc9ca997bcf7</t>
  </si>
  <si>
    <t>VAV-508</t>
  </si>
  <si>
    <t xml:space="preserve">3D114 </t>
  </si>
  <si>
    <t>uuid://f669fb6c-e028-42c6-8f0e-6333457d3571</t>
  </si>
  <si>
    <t>VAV-509</t>
  </si>
  <si>
    <t>IDF Room -2</t>
  </si>
  <si>
    <t>uuid://93d629a1-987f-4b58-8d83-e5e310536636</t>
  </si>
  <si>
    <t>VAV-510</t>
  </si>
  <si>
    <t>uuid://5e9c9f2f-7c47-45d9-927f-5bf8eeae3d3a</t>
  </si>
  <si>
    <t>VAV-511</t>
  </si>
  <si>
    <t xml:space="preserve">3A2 </t>
  </si>
  <si>
    <t>uuid://f19f3478-385c-422d-880d-019740be51a5</t>
  </si>
  <si>
    <t>VAV-512</t>
  </si>
  <si>
    <t>uuid://d581c0db-d0b2-4ca1-b9df-54b2bb024eac</t>
  </si>
  <si>
    <t>VAV-513</t>
  </si>
  <si>
    <t>3A3</t>
  </si>
  <si>
    <t>uuid://8c9e0949-5914-4df4-9a55-6e8b052b2d79</t>
  </si>
  <si>
    <t>VAV-514</t>
  </si>
  <si>
    <t>uuid://0467a320-86be-4548-acb5-ae2e3587709f</t>
  </si>
  <si>
    <t>VAV-515</t>
  </si>
  <si>
    <t>uuid://8442433a-fac7-4568-b9e3-1ad4229f80d8</t>
  </si>
  <si>
    <t>VAV-516</t>
  </si>
  <si>
    <t>uuid://6e0c2811-16e7-4f17-8880-fa064370fea9</t>
  </si>
  <si>
    <t>VAV-517</t>
  </si>
  <si>
    <t>Near by Restroom</t>
  </si>
  <si>
    <t>uuid://6d91eb3e-0b93-4f64-8ac4-c8246f1ad78e</t>
  </si>
  <si>
    <t>VAV-518</t>
  </si>
  <si>
    <t>uuid://3b8aa62f-cf31-462d-a32e-1fd0c56c81ef</t>
  </si>
  <si>
    <t>VAV-519</t>
  </si>
  <si>
    <t>3A20  &amp; 3A19</t>
  </si>
  <si>
    <t>uuid://c85896f3-9d44-4ffb-bbcd-6042a355fa50</t>
  </si>
  <si>
    <t>VAV-520</t>
  </si>
  <si>
    <t xml:space="preserve"> 3A20</t>
  </si>
  <si>
    <t>uuid://9a258f71-c19f-42e5-abcd-9cabd0c523fa</t>
  </si>
  <si>
    <t>VAV-521</t>
  </si>
  <si>
    <t xml:space="preserve">3A5 </t>
  </si>
  <si>
    <t>uuid://12fece8c-f8f4-4d3b-9070-fbd776e37f24</t>
  </si>
  <si>
    <t>VAV-522</t>
  </si>
  <si>
    <t xml:space="preserve">3A4 </t>
  </si>
  <si>
    <t>uuid://79913c2c-c44b-4be0-bd25-ea4d60ef6141</t>
  </si>
  <si>
    <t>VAV-523</t>
  </si>
  <si>
    <t xml:space="preserve">3A13 </t>
  </si>
  <si>
    <t>uuid://8cacba2e-4265-4c08-8a8f-c224419a9701</t>
  </si>
  <si>
    <t>VAV-524</t>
  </si>
  <si>
    <t xml:space="preserve">3A6 </t>
  </si>
  <si>
    <t>uuid://8b84e693-a7c7-4ecd-9fb1-369bfbf1e6a3</t>
  </si>
  <si>
    <t>VAV-525</t>
  </si>
  <si>
    <t xml:space="preserve">3A7 </t>
  </si>
  <si>
    <t>uuid://c7331dca-6066-4447-a150-c91f3049e2fe</t>
  </si>
  <si>
    <t>VAV-526</t>
  </si>
  <si>
    <t xml:space="preserve"> 3A7 </t>
  </si>
  <si>
    <t>uuid://2919a380-9b25-481c-8653-099a7fbded4a</t>
  </si>
  <si>
    <t>VAV-527</t>
  </si>
  <si>
    <t>3A12</t>
  </si>
  <si>
    <t>uuid://f09a8877-28e9-43b2-8571-6b30d8ee433a</t>
  </si>
  <si>
    <t>VAV-528</t>
  </si>
  <si>
    <t xml:space="preserve">3A010 </t>
  </si>
  <si>
    <t>uuid://e47b500a-a571-4c63-82e3-085ab3d7ad05</t>
  </si>
  <si>
    <t>VAV-529</t>
  </si>
  <si>
    <t xml:space="preserve">3A14 </t>
  </si>
  <si>
    <t>uuid://caa92be7-f614-4fe2-8508-187ba9664c3d</t>
  </si>
  <si>
    <t>VAV-530</t>
  </si>
  <si>
    <t xml:space="preserve">3A15 &amp; 3A16 </t>
  </si>
  <si>
    <t>uuid://4ba03169-a526-4b0b-a8c8-cdcbea523f59</t>
  </si>
  <si>
    <t>VAV-531</t>
  </si>
  <si>
    <t xml:space="preserve">3A017 </t>
  </si>
  <si>
    <t>uuid://2a3cde6f-ddd8-4e24-9637-fde4e9331d80</t>
  </si>
  <si>
    <t>VAV-532</t>
  </si>
  <si>
    <t>3A057</t>
  </si>
  <si>
    <t>uuid://7fdd3ab0-bb7a-4ec9-8d72-9d9bc2e45997</t>
  </si>
  <si>
    <t>VAV-533</t>
  </si>
  <si>
    <t xml:space="preserve">3A23 &amp; 3A24 </t>
  </si>
  <si>
    <t>uuid://2e7b8cf4-e932-4f7c-9116-df908431495f</t>
  </si>
  <si>
    <t>VAV-534</t>
  </si>
  <si>
    <t xml:space="preserve">3A22 </t>
  </si>
  <si>
    <t>uuid://d9209efb-3dfb-443d-8b84-f14d9e274571</t>
  </si>
  <si>
    <t>VAV-535</t>
  </si>
  <si>
    <t>uuid://3179cfba-0e8f-49b1-a177-237c75f6811a</t>
  </si>
  <si>
    <t>VAV-536</t>
  </si>
  <si>
    <t xml:space="preserve">3A27 </t>
  </si>
  <si>
    <t>uuid://bfce415b-b1e1-4685-8dc2-ec8edda1ea1b</t>
  </si>
  <si>
    <t>VAV-537</t>
  </si>
  <si>
    <t xml:space="preserve">3A28 </t>
  </si>
  <si>
    <t>uuid://9b01b9e3-e71a-445a-81b2-eda6fb25bb85</t>
  </si>
  <si>
    <t>VAV-538</t>
  </si>
  <si>
    <t>uuid://8595ec99-695c-43d2-aa79-ae1478233532</t>
  </si>
  <si>
    <t>VAV-539</t>
  </si>
  <si>
    <t xml:space="preserve">3A40 </t>
  </si>
  <si>
    <t>uuid://4d80f52c-9b61-4944-9f4f-07d27d287a07</t>
  </si>
  <si>
    <t>VAV-540</t>
  </si>
  <si>
    <t>3A38</t>
  </si>
  <si>
    <t>uuid://2fc4b1fe-2b62-4670-93c2-baeb2bb24e45</t>
  </si>
  <si>
    <t>VAV-541</t>
  </si>
  <si>
    <t>3A37</t>
  </si>
  <si>
    <t>uuid://669be45c-1e13-450a-802e-e91098edee29</t>
  </si>
  <si>
    <t>VAV-542</t>
  </si>
  <si>
    <t xml:space="preserve">3A36 </t>
  </si>
  <si>
    <t>uuid://c82b7cad-a8e7-4ae9-9a2c-8c894be48bd2</t>
  </si>
  <si>
    <t>VAV-543</t>
  </si>
  <si>
    <t xml:space="preserve">3A061 </t>
  </si>
  <si>
    <t>uuid://4ea9313d-9d9c-4f81-859c-9cc6bf481a5c</t>
  </si>
  <si>
    <t>VAV-544</t>
  </si>
  <si>
    <t xml:space="preserve">3A084 </t>
  </si>
  <si>
    <t>uuid://d4ed1409-47cd-4f4f-aa97-92d0f59b8370</t>
  </si>
  <si>
    <t>VAV-545</t>
  </si>
  <si>
    <t>uuid://d22af8f8-9579-4c6e-8064-9e20968cbb56</t>
  </si>
  <si>
    <t>VAV-546</t>
  </si>
  <si>
    <t>uuid://a83cb3be-e59a-44ba-8222-cf694583012d</t>
  </si>
  <si>
    <t>VAV-547</t>
  </si>
  <si>
    <t>uuid://cc94dbd9-ea0f-4391-80bb-68cc1559f0af</t>
  </si>
  <si>
    <t>VAV-548</t>
  </si>
  <si>
    <t xml:space="preserve"> 3A32 </t>
  </si>
  <si>
    <t>uuid://1adfeacc-21d8-49cf-a68a-26983849ea80</t>
  </si>
  <si>
    <t>VAV-549</t>
  </si>
  <si>
    <t xml:space="preserve">3A32  3A33 </t>
  </si>
  <si>
    <t>uuid://26290b5b-bafa-4a80-9eb1-3a70f42b7248</t>
  </si>
  <si>
    <t>VAV-550</t>
  </si>
  <si>
    <t xml:space="preserve">3A42 </t>
  </si>
  <si>
    <t>uuid://58aba42e-d96e-4517-aa51-99bc96b18b4c</t>
  </si>
  <si>
    <t>VAV-551</t>
  </si>
  <si>
    <t xml:space="preserve">3A43 </t>
  </si>
  <si>
    <t>uuid://113026e7-d325-477c-b106-e2d406727dac</t>
  </si>
  <si>
    <t>VAV-552</t>
  </si>
  <si>
    <t xml:space="preserve">3A44 </t>
  </si>
  <si>
    <t>uuid://0efa2491-7813-4ec5-8109-02ba53b8b2d4</t>
  </si>
  <si>
    <t>VAV-553</t>
  </si>
  <si>
    <t>3A45</t>
  </si>
  <si>
    <t>uuid://e1988440-fdc9-4553-a8ab-97643753fd7b</t>
  </si>
  <si>
    <t>VAV-554</t>
  </si>
  <si>
    <t xml:space="preserve">3A47 &amp; 3A46 </t>
  </si>
  <si>
    <t>uuid://47a4906a-5eec-41b7-8f11-1891e38296e2</t>
  </si>
  <si>
    <t>VAV-555</t>
  </si>
  <si>
    <t>3A82</t>
  </si>
  <si>
    <t>uuid://292029a8-a316-4295-9ad7-9e4d5d88ec8a</t>
  </si>
  <si>
    <t>VAV-556</t>
  </si>
  <si>
    <t xml:space="preserve"> 3A151 </t>
  </si>
  <si>
    <t>uuid://7f6c2527-3428-4c23-993a-d7999173a37d</t>
  </si>
  <si>
    <t>VAV-557</t>
  </si>
  <si>
    <t xml:space="preserve">3A152 </t>
  </si>
  <si>
    <t>uuid://d4cb449b-6986-4223-8f6c-cde44b325add</t>
  </si>
  <si>
    <t>VAV-558</t>
  </si>
  <si>
    <t>C403</t>
  </si>
  <si>
    <t>uuid://7d73d2a3-8806-4c6a-bfa6-07cea565f904</t>
  </si>
  <si>
    <t>VAV-559</t>
  </si>
  <si>
    <t>Shower room</t>
  </si>
  <si>
    <t>uuid://2b51d5ce-a493-4712-aa12-910bb5c08682</t>
  </si>
  <si>
    <t>VAV-560</t>
  </si>
  <si>
    <t>uuid://03ab3e0a-c2ab-4c22-9703-89afbb9cd3e6</t>
  </si>
  <si>
    <t>VAV-561</t>
  </si>
  <si>
    <t xml:space="preserve">4I54 </t>
  </si>
  <si>
    <t>uuid://4c6f0967-bfc1-4089-a762-c49a1664b7ce</t>
  </si>
  <si>
    <t>VAV-562</t>
  </si>
  <si>
    <t xml:space="preserve">4I48 </t>
  </si>
  <si>
    <t>uuid://384882e9-32b7-4ef1-8269-fc01395254f7</t>
  </si>
  <si>
    <t>VAV-563</t>
  </si>
  <si>
    <t xml:space="preserve">4I49 </t>
  </si>
  <si>
    <t>uuid://d84e1c3a-8c12-47e5-b7a3-8ff6bc175314</t>
  </si>
  <si>
    <t>VAV-564</t>
  </si>
  <si>
    <t xml:space="preserve">4I47 </t>
  </si>
  <si>
    <t>uuid://09af95d1-b5a9-4d64-b6b5-59ad3f7ef82c</t>
  </si>
  <si>
    <t>VAV-565</t>
  </si>
  <si>
    <t xml:space="preserve">4I46 </t>
  </si>
  <si>
    <t>uuid://45d8264c-222e-432b-8931-982329d90b3f</t>
  </si>
  <si>
    <t>VAV-566</t>
  </si>
  <si>
    <t xml:space="preserve">4C6 </t>
  </si>
  <si>
    <t>uuid://5b9f9110-8688-434f-b78c-b36699de4ae0</t>
  </si>
  <si>
    <t>VAV-567</t>
  </si>
  <si>
    <t>4C5</t>
  </si>
  <si>
    <t>uuid://7fda87e0-7558-4524-b468-834b52b108e6</t>
  </si>
  <si>
    <t>VAV-568</t>
  </si>
  <si>
    <t>4C4</t>
  </si>
  <si>
    <t>uuid://98aeda96-ba94-4214-b3e4-749454c9b63c</t>
  </si>
  <si>
    <t>VAV-569</t>
  </si>
  <si>
    <t xml:space="preserve">4C16 </t>
  </si>
  <si>
    <t>uuid://e1e698f6-bf10-442b-873d-cd55c88409c3</t>
  </si>
  <si>
    <t>VAV-570</t>
  </si>
  <si>
    <t xml:space="preserve"> 4C15</t>
  </si>
  <si>
    <t>uuid://62be638f-61ae-4548-a489-eb88613734bc</t>
  </si>
  <si>
    <t>VAV-571</t>
  </si>
  <si>
    <t xml:space="preserve">4C11 </t>
  </si>
  <si>
    <t>uuid://b5c0b5cd-e64b-44d0-ad8d-2e05dfe9d8fe</t>
  </si>
  <si>
    <t>VAV-572</t>
  </si>
  <si>
    <t>4C12</t>
  </si>
  <si>
    <t>uuid://b791c0ed-2b5e-48f2-ba80-1c6ba0fe4b95</t>
  </si>
  <si>
    <t>VAV-573</t>
  </si>
  <si>
    <t xml:space="preserve">C432 </t>
  </si>
  <si>
    <t>uuid://95f599fd-8fe4-4103-b0f6-98b043a13419</t>
  </si>
  <si>
    <t>VAV-574</t>
  </si>
  <si>
    <t xml:space="preserve">4C32 </t>
  </si>
  <si>
    <t>uuid://dac0bba2-efc8-4b2c-8430-421d73b3fce6</t>
  </si>
  <si>
    <t>VAV-575</t>
  </si>
  <si>
    <t xml:space="preserve">4C26 </t>
  </si>
  <si>
    <t>uuid://e7ec8544-4e6e-404c-9aaa-596448d3ce06</t>
  </si>
  <si>
    <t>VAV-576</t>
  </si>
  <si>
    <t xml:space="preserve">4C33 </t>
  </si>
  <si>
    <t>uuid://4f6f0587-ffde-4496-8af6-b53a5658da5e</t>
  </si>
  <si>
    <t>VAV-577</t>
  </si>
  <si>
    <t xml:space="preserve">4C34 </t>
  </si>
  <si>
    <t>uuid://a3aa1990-62a1-4059-8515-d017f0b16f00</t>
  </si>
  <si>
    <t>VAV-578</t>
  </si>
  <si>
    <t xml:space="preserve">4C31 </t>
  </si>
  <si>
    <t>uuid://e37c907f-1631-436f-bd40-0d5295fd1834</t>
  </si>
  <si>
    <t>VAV-579</t>
  </si>
  <si>
    <t xml:space="preserve">4C30 </t>
  </si>
  <si>
    <t>uuid://06249025-e203-4aec-8c14-2a5bed70f464</t>
  </si>
  <si>
    <t>VAV-580</t>
  </si>
  <si>
    <t>4C29</t>
  </si>
  <si>
    <t>uuid://d25c5939-7700-4f91-8103-4613f95e5e3a</t>
  </si>
  <si>
    <t>VAV-581</t>
  </si>
  <si>
    <t xml:space="preserve">4C28 </t>
  </si>
  <si>
    <t>uuid://9f1a1740-cd25-4031-9a8f-56aaaf1edff2</t>
  </si>
  <si>
    <t>VAV-582</t>
  </si>
  <si>
    <t xml:space="preserve">4C27 </t>
  </si>
  <si>
    <t>uuid://f1cbacdb-8034-4f14-be38-0bf8c6e42910</t>
  </si>
  <si>
    <t>VAV-583</t>
  </si>
  <si>
    <t xml:space="preserve">4C24 </t>
  </si>
  <si>
    <t>uuid://8ebfc50b-8e2e-4c1f-97ab-9890603e7ace</t>
  </si>
  <si>
    <t>VAV-584</t>
  </si>
  <si>
    <t>uuid://55c5565e-c54f-4d1a-b0e9-e3f8271907ba</t>
  </si>
  <si>
    <t>VAV-585</t>
  </si>
  <si>
    <t xml:space="preserve">418 </t>
  </si>
  <si>
    <t>uuid://13526ff6-dcb1-4e8c-b5b7-f10230fd6a94</t>
  </si>
  <si>
    <t>VAV-586</t>
  </si>
  <si>
    <t>4D51</t>
  </si>
  <si>
    <t>uuid://69ffb2e3-1f7a-4a18-bb83-b4118261b48c</t>
  </si>
  <si>
    <t>VAV-587</t>
  </si>
  <si>
    <t xml:space="preserve">416 </t>
  </si>
  <si>
    <t>uuid://33dadb7e-41b9-4129-901f-6831157aec1c</t>
  </si>
  <si>
    <t>VAV-588</t>
  </si>
  <si>
    <t xml:space="preserve"> 4D010 </t>
  </si>
  <si>
    <t>uuid://7bd89100-2300-407d-9577-d2cacf16b9fb</t>
  </si>
  <si>
    <t>VAV-589</t>
  </si>
  <si>
    <t>4D009</t>
  </si>
  <si>
    <t>uuid://6d788aa0-0d74-4fb0-81b6-c7ce87fff0fb</t>
  </si>
  <si>
    <t>VAV-590</t>
  </si>
  <si>
    <t xml:space="preserve">4D52 </t>
  </si>
  <si>
    <t>uuid://389309bd-92d6-45f8-9239-8b01f06b798f</t>
  </si>
  <si>
    <t>VAV-591</t>
  </si>
  <si>
    <t xml:space="preserve">4D53 </t>
  </si>
  <si>
    <t>uuid://177177ae-f525-4fd6-ac60-de5c8bd6e7fa</t>
  </si>
  <si>
    <t>VAV-592</t>
  </si>
  <si>
    <t xml:space="preserve">405 </t>
  </si>
  <si>
    <t>uuid://a10705e6-21da-4992-b5ed-ff455e6fd3df</t>
  </si>
  <si>
    <t>VAV-593</t>
  </si>
  <si>
    <t xml:space="preserve">404  &amp; C417 </t>
  </si>
  <si>
    <t>uuid://540ffa71-f2e5-44d0-bde3-afd1e7336f46</t>
  </si>
  <si>
    <t>VAV-594</t>
  </si>
  <si>
    <t>Lift Lobby</t>
  </si>
  <si>
    <t>uuid://c37b53ba-aac4-4601-87a3-fad46ad8cd33</t>
  </si>
  <si>
    <t>VAV-595</t>
  </si>
  <si>
    <t>uuid://05e85c29-eb13-4728-9d6d-79ed69c92df3</t>
  </si>
  <si>
    <t>VAV-596</t>
  </si>
  <si>
    <t xml:space="preserve">4B26 </t>
  </si>
  <si>
    <t>uuid://8f6fcd9b-5eb3-4f23-96e3-05b44edb3d94</t>
  </si>
  <si>
    <t>VAV-597</t>
  </si>
  <si>
    <t>uuid://e1c6c1d8-7711-4616-8dab-f0df940546be</t>
  </si>
  <si>
    <t>VAV-598</t>
  </si>
  <si>
    <t xml:space="preserve">4B1 </t>
  </si>
  <si>
    <t>uuid://4a5f8ead-53f0-4afb-89fd-ac40206d4e42</t>
  </si>
  <si>
    <t>VAV-599</t>
  </si>
  <si>
    <t>4B1</t>
  </si>
  <si>
    <t>uuid://884bf360-5228-4a87-b28b-e3190a0c0b91</t>
  </si>
  <si>
    <t>VAV-600</t>
  </si>
  <si>
    <t xml:space="preserve">4B3 ,4B4 </t>
  </si>
  <si>
    <t>uuid://2bb0b3d6-d38a-4c2e-8f24-1c099c4aeac4</t>
  </si>
  <si>
    <t>VAV-601</t>
  </si>
  <si>
    <t xml:space="preserve">4B007 </t>
  </si>
  <si>
    <t>uuid://8e6d938e-c390-4f7c-9396-ef0b8d0fba0f</t>
  </si>
  <si>
    <t>VAV-602</t>
  </si>
  <si>
    <t xml:space="preserve">4B021 </t>
  </si>
  <si>
    <t>uuid://be432084-4105-494d-909a-6da45d4c333b</t>
  </si>
  <si>
    <t>VAV-603</t>
  </si>
  <si>
    <t xml:space="preserve">4B8  &amp; 4B9 </t>
  </si>
  <si>
    <t>uuid://c9fbc427-ffa9-4560-83ec-73949fac848d</t>
  </si>
  <si>
    <t>VAV-604</t>
  </si>
  <si>
    <t xml:space="preserve">4B35 </t>
  </si>
  <si>
    <t>uuid://cee35a81-de8c-44d7-b883-83afb9180c35</t>
  </si>
  <si>
    <t>VAV-605</t>
  </si>
  <si>
    <t xml:space="preserve">4B034 </t>
  </si>
  <si>
    <t>uuid://16286ea4-6a17-4f05-a549-71dfd8916903</t>
  </si>
  <si>
    <t>VAV-606</t>
  </si>
  <si>
    <t>4B10</t>
  </si>
  <si>
    <t>uuid://50ba9f42-344b-4303-a616-9e3b12752855</t>
  </si>
  <si>
    <t>VAV-607</t>
  </si>
  <si>
    <t xml:space="preserve"> 4B048</t>
  </si>
  <si>
    <t>uuid://aadc5624-d5f2-4536-84bb-370dc4572c8e</t>
  </si>
  <si>
    <t>VAV-608</t>
  </si>
  <si>
    <t>uuid://70d02bf0-aefd-4581-8e4f-5a00cdb9bfba</t>
  </si>
  <si>
    <t>VAV-609</t>
  </si>
  <si>
    <t>uuid://4ffeade2-b171-4d73-804a-d362cd8a021d</t>
  </si>
  <si>
    <t>VAV-610</t>
  </si>
  <si>
    <t xml:space="preserve">4D22 </t>
  </si>
  <si>
    <t>uuid://6bcc08e4-3729-4241-bd11-4efc1f494320</t>
  </si>
  <si>
    <t>VAV-611</t>
  </si>
  <si>
    <t xml:space="preserve">4B21 </t>
  </si>
  <si>
    <t>uuid://e483af56-c7f4-4a27-b33a-3071234254c9</t>
  </si>
  <si>
    <t>VAV-612</t>
  </si>
  <si>
    <t xml:space="preserve">4B20 </t>
  </si>
  <si>
    <t>uuid://4dc03567-06c0-4b7d-abc0-88362d4f04a5</t>
  </si>
  <si>
    <t>VAV-613</t>
  </si>
  <si>
    <t xml:space="preserve">4B19 </t>
  </si>
  <si>
    <t>uuid://adbda402-eacd-4944-9a84-1265387ccc8a</t>
  </si>
  <si>
    <t>VAV-614</t>
  </si>
  <si>
    <t xml:space="preserve">4B39 </t>
  </si>
  <si>
    <t>uuid://a7aac8a8-e72e-4205-9686-6b2bf635022d</t>
  </si>
  <si>
    <t>VAV-615</t>
  </si>
  <si>
    <t>4B17 &amp; 4B16</t>
  </si>
  <si>
    <t>uuid://d6eb0c76-b580-4aae-a47c-88406f98d9a7</t>
  </si>
  <si>
    <t>VAV-616</t>
  </si>
  <si>
    <t xml:space="preserve">4B085 </t>
  </si>
  <si>
    <t>uuid://97c9781e-065e-406a-bda7-292fcddece3c</t>
  </si>
  <si>
    <t>VAV-617</t>
  </si>
  <si>
    <t xml:space="preserve">4B086 </t>
  </si>
  <si>
    <t>uuid://0a5259c9-3a7e-4ab2-855b-b54329dc3188</t>
  </si>
  <si>
    <t>VAV-618</t>
  </si>
  <si>
    <t xml:space="preserve">4A131 </t>
  </si>
  <si>
    <t>uuid://89f2aa39-9142-4c75-8cee-379cdef348b7</t>
  </si>
  <si>
    <t>VAV-619</t>
  </si>
  <si>
    <t xml:space="preserve">4A132 </t>
  </si>
  <si>
    <t>uuid://a5d726f2-c8de-42dd-9de4-f24cdf18d3a5</t>
  </si>
  <si>
    <t>VAV-620</t>
  </si>
  <si>
    <t>4B46</t>
  </si>
  <si>
    <t>uuid://52eccc11-3755-4094-9a0b-dc5b32c7856e</t>
  </si>
  <si>
    <t>VAV-621</t>
  </si>
  <si>
    <t xml:space="preserve">4A49 </t>
  </si>
  <si>
    <t>uuid://a21d75ec-af40-4518-a4cf-287aec5c99f5</t>
  </si>
  <si>
    <t>VAV-622</t>
  </si>
  <si>
    <t xml:space="preserve">4B23 4B24 </t>
  </si>
  <si>
    <t>uuid://906c6474-e04b-4b06-9a81-3933c4380fee</t>
  </si>
  <si>
    <t>VAV-623</t>
  </si>
  <si>
    <t>uuid://150a0767-ef36-4f56-b6b2-a791678283f7</t>
  </si>
  <si>
    <t>VAV-624</t>
  </si>
  <si>
    <t xml:space="preserve">4D43 &amp; 4D44 </t>
  </si>
  <si>
    <t>uuid://9436d686-1214-446e-a8f6-65f4ff32cfba</t>
  </si>
  <si>
    <t>VAV-625</t>
  </si>
  <si>
    <t>uuid://183cd405-0c7a-4d5c-9f37-d926ed546c71</t>
  </si>
  <si>
    <t>VAV-626</t>
  </si>
  <si>
    <t xml:space="preserve"> 4D24 </t>
  </si>
  <si>
    <t>uuid://2e32c278-d370-49a6-bb50-9334f996e7aa</t>
  </si>
  <si>
    <t>VAV-627</t>
  </si>
  <si>
    <t xml:space="preserve">4D25 </t>
  </si>
  <si>
    <t>uuid://65e03815-5134-4cf2-964a-7ffadc61131d</t>
  </si>
  <si>
    <t>VAV-628</t>
  </si>
  <si>
    <t xml:space="preserve">4D23 </t>
  </si>
  <si>
    <t>uuid://9ad6837b-4391-4277-a24c-91ca178d8bd1</t>
  </si>
  <si>
    <t>VAV-629</t>
  </si>
  <si>
    <t>uuid://cd52a965-1717-4129-974d-9f9f9aed8bd1</t>
  </si>
  <si>
    <t>VAV-630</t>
  </si>
  <si>
    <t>uuid://ae510a19-44a1-4872-a150-ef50bd3a8b79</t>
  </si>
  <si>
    <t>VAV-631</t>
  </si>
  <si>
    <t xml:space="preserve"> 4D22 </t>
  </si>
  <si>
    <t>uuid://4795d84d-ea1e-49de-b239-ee6cd133fed0</t>
  </si>
  <si>
    <t>VAV-632</t>
  </si>
  <si>
    <t xml:space="preserve">4D18 </t>
  </si>
  <si>
    <t>uuid://29ec9801-3246-4f49-b79f-35e8f3b03758</t>
  </si>
  <si>
    <t>VAV-633</t>
  </si>
  <si>
    <t xml:space="preserve">4D21 </t>
  </si>
  <si>
    <t>uuid://06da6256-a4ee-473c-9f4a-3ef86397008a</t>
  </si>
  <si>
    <t>VAV-634</t>
  </si>
  <si>
    <t xml:space="preserve">4D19 &amp; 4D20 </t>
  </si>
  <si>
    <t>uuid://23af033d-6533-41f6-9923-2818392826ce</t>
  </si>
  <si>
    <t>VAV-635</t>
  </si>
  <si>
    <t>4D26</t>
  </si>
  <si>
    <t>uuid://28e43373-7963-41f7-b156-fc993cbb9ba9</t>
  </si>
  <si>
    <t>VAV-636</t>
  </si>
  <si>
    <t xml:space="preserve">4D30 </t>
  </si>
  <si>
    <t>uuid://2ebb6dae-5a9d-4901-8ef6-fd02c4090b6f</t>
  </si>
  <si>
    <t>VAV-637</t>
  </si>
  <si>
    <t xml:space="preserve">4D37 </t>
  </si>
  <si>
    <t>uuid://a814cfd7-32f1-47da-8814-0192e767b876</t>
  </si>
  <si>
    <t>VAV-638</t>
  </si>
  <si>
    <t xml:space="preserve">4D33 &amp; 4D34 </t>
  </si>
  <si>
    <t>uuid://ea1c14d9-0525-41ea-92b2-7f15ad4248e4</t>
  </si>
  <si>
    <t>VAV-639</t>
  </si>
  <si>
    <t>4D35</t>
  </si>
  <si>
    <t>uuid://cf6d4ad9-6887-4895-aa2a-684e94467b1f</t>
  </si>
  <si>
    <t>VAV-640</t>
  </si>
  <si>
    <t>4D36</t>
  </si>
  <si>
    <t>uuid://847cacba-a132-4568-bf8f-799093c05038</t>
  </si>
  <si>
    <t>VAV-641</t>
  </si>
  <si>
    <t xml:space="preserve"> 4D32 </t>
  </si>
  <si>
    <t>uuid://90bce27c-6116-454c-8427-d50e8b7e043b</t>
  </si>
  <si>
    <t>VAV-642</t>
  </si>
  <si>
    <t>uuid://59893f51-e932-4d3f-bd24-16e8f3131eae</t>
  </si>
  <si>
    <t>VAV-643</t>
  </si>
  <si>
    <t>4D214</t>
  </si>
  <si>
    <t>uuid://07dd8332-0e38-4c37-a25f-dc924fd4d8ba</t>
  </si>
  <si>
    <t>VAV-644</t>
  </si>
  <si>
    <t xml:space="preserve">4D223 </t>
  </si>
  <si>
    <t>uuid://9b3d633c-dbbf-4372-9dcd-f5512dd31166</t>
  </si>
  <si>
    <t>VAV-645</t>
  </si>
  <si>
    <t xml:space="preserve">4D226 </t>
  </si>
  <si>
    <t>uuid://042b013b-96c6-4ebb-a853-ccc29002a68e</t>
  </si>
  <si>
    <t>VAV-646</t>
  </si>
  <si>
    <t xml:space="preserve">4D40 </t>
  </si>
  <si>
    <t>uuid://7895fdaa-d221-4890-b188-f06b97ab7be2</t>
  </si>
  <si>
    <t>VAV-647</t>
  </si>
  <si>
    <t xml:space="preserve">4D39 </t>
  </si>
  <si>
    <t>uuid://edde7b20-2695-4359-b634-a1462ddf6ba9</t>
  </si>
  <si>
    <t>VAV-648</t>
  </si>
  <si>
    <t xml:space="preserve">4D38 </t>
  </si>
  <si>
    <t>uuid://85bc6024-593c-48cf-bd6a-b9b5c2e38341</t>
  </si>
  <si>
    <t>VAV-649</t>
  </si>
  <si>
    <t xml:space="preserve">4D169 </t>
  </si>
  <si>
    <t>uuid://710c6d2a-36c6-4402-9da3-7add1a4bf0b4</t>
  </si>
  <si>
    <t>VAV-650</t>
  </si>
  <si>
    <t xml:space="preserve"> 4D37</t>
  </si>
  <si>
    <t>uuid://7d93e46c-0143-475d-b115-d794a49b6911</t>
  </si>
  <si>
    <t>VAV-651</t>
  </si>
  <si>
    <t xml:space="preserve"> 4D40</t>
  </si>
  <si>
    <t>uuid://086ff60e-9ecf-4102-b33d-a39e0604bcb4</t>
  </si>
  <si>
    <t>VAV-652</t>
  </si>
  <si>
    <t xml:space="preserve">4D228 </t>
  </si>
  <si>
    <t>uuid://fe2e4fe0-1c6a-4d20-b3c6-0998f24747d2</t>
  </si>
  <si>
    <t>VAV-653</t>
  </si>
  <si>
    <t>4D45&amp; 4D46</t>
  </si>
  <si>
    <t>uuid://530c6bc3-2bca-4de7-b79f-26d7065575cc</t>
  </si>
  <si>
    <t>VAV-654</t>
  </si>
  <si>
    <t xml:space="preserve">4D263 </t>
  </si>
  <si>
    <t>uuid://3fd582c5-b74f-4d12-aaf9-a29512eccead</t>
  </si>
  <si>
    <t>VAV-655</t>
  </si>
  <si>
    <t xml:space="preserve">4D47 </t>
  </si>
  <si>
    <t>uuid://97eb47cc-9365-44c2-8176-51383171e351</t>
  </si>
  <si>
    <t>VAV-656</t>
  </si>
  <si>
    <t xml:space="preserve">4D280 </t>
  </si>
  <si>
    <t>uuid://d9344aa0-173b-44d5-ad4a-ab12addaee9e</t>
  </si>
  <si>
    <t>VAV-657</t>
  </si>
  <si>
    <t>Near by Staircase</t>
  </si>
  <si>
    <t>uuid://bef101a7-1e38-4a30-9991-4bbd8800bac9</t>
  </si>
  <si>
    <t>VAV-658</t>
  </si>
  <si>
    <t xml:space="preserve">4D48 r &amp; 4D49 </t>
  </si>
  <si>
    <t>uuid://5eb8d741-3d5d-415d-b27c-c46b16d88446</t>
  </si>
  <si>
    <t>VAV-659</t>
  </si>
  <si>
    <t>4D49</t>
  </si>
  <si>
    <t>uuid://25dc513a-b589-4420-9dc9-c695cd738f99</t>
  </si>
  <si>
    <t>VAV-660</t>
  </si>
  <si>
    <t>uuid://efbf9918-0ced-4c37-90bd-c771f9e5f93c</t>
  </si>
  <si>
    <t>VAV-661</t>
  </si>
  <si>
    <t xml:space="preserve">4D1  &amp; 4D2 </t>
  </si>
  <si>
    <t>uuid://0cef517b-1bd7-4621-903a-672193394495</t>
  </si>
  <si>
    <t>VAV-662</t>
  </si>
  <si>
    <t>4D63</t>
  </si>
  <si>
    <t>uuid://ebbe3aa9-edbe-46ec-8f56-4eb026a17c62</t>
  </si>
  <si>
    <t>VAV-663</t>
  </si>
  <si>
    <t xml:space="preserve">4D11 </t>
  </si>
  <si>
    <t>uuid://bbc4fc05-84cd-4d98-bc2f-2ee70ed91bcb</t>
  </si>
  <si>
    <t>VAV-664</t>
  </si>
  <si>
    <t xml:space="preserve">4D9 </t>
  </si>
  <si>
    <t>uuid://9bb087c1-9692-47dc-b434-3e392784dc47</t>
  </si>
  <si>
    <t>VAV-665</t>
  </si>
  <si>
    <t xml:space="preserve">4D10 </t>
  </si>
  <si>
    <t>uuid://6600311b-5c77-4fdb-90f6-c349b41dab60</t>
  </si>
  <si>
    <t>VAV-666</t>
  </si>
  <si>
    <t xml:space="preserve">4D8 </t>
  </si>
  <si>
    <t>uuid://e44028d5-9788-4849-820e-05061074f3c5</t>
  </si>
  <si>
    <t>VAV-667</t>
  </si>
  <si>
    <t xml:space="preserve">4D7 </t>
  </si>
  <si>
    <t>uuid://863c42ca-d936-44b7-97d8-d2c3923ea4a3</t>
  </si>
  <si>
    <t>VAV-668</t>
  </si>
  <si>
    <t xml:space="preserve"> 4D7</t>
  </si>
  <si>
    <t>uuid://d0e6a597-2ab9-46f0-a4ef-bc0171d8f00f</t>
  </si>
  <si>
    <t>VAV-669</t>
  </si>
  <si>
    <t xml:space="preserve">4D054 </t>
  </si>
  <si>
    <t>uuid://cebd90b9-9b3d-4872-a7d4-94982710e53f</t>
  </si>
  <si>
    <t>VAV-670</t>
  </si>
  <si>
    <t xml:space="preserve"> 4D044 </t>
  </si>
  <si>
    <t>uuid://1d36f76e-c7c7-4cb3-a178-efc8a38ea701</t>
  </si>
  <si>
    <t>VAV-671</t>
  </si>
  <si>
    <t xml:space="preserve"> 4D030 </t>
  </si>
  <si>
    <t>uuid://fc107fc2-b671-4c2b-85d7-0ab5703c5053</t>
  </si>
  <si>
    <t>VAV-672</t>
  </si>
  <si>
    <t xml:space="preserve"> Bhojua</t>
  </si>
  <si>
    <t>uuid://e4d40e3a-b1b8-40a3-b8a6-513bc81dbfdf</t>
  </si>
  <si>
    <t>VAV-673</t>
  </si>
  <si>
    <t xml:space="preserve">4D118 </t>
  </si>
  <si>
    <t>uuid://bdc68795-4011-4979-b685-885875dd9e13</t>
  </si>
  <si>
    <t>VAV-674</t>
  </si>
  <si>
    <t>4D096</t>
  </si>
  <si>
    <t>uuid://c4d93e5a-411e-4bb8-8ce3-3bf90a399fc2</t>
  </si>
  <si>
    <t>VAV-675</t>
  </si>
  <si>
    <t xml:space="preserve"> 4D077 </t>
  </si>
  <si>
    <t>uuid://e8705cbf-3590-4028-a304-595b9d9aff9e</t>
  </si>
  <si>
    <t>VAV-676</t>
  </si>
  <si>
    <t xml:space="preserve">4D15 </t>
  </si>
  <si>
    <t>uuid://f822995c-a6cc-4811-bf2c-449124868fa0</t>
  </si>
  <si>
    <t>VAV-677</t>
  </si>
  <si>
    <t xml:space="preserve">4D16 </t>
  </si>
  <si>
    <t>uuid://0dfb262f-a71f-4ccf-9650-b038cec30629</t>
  </si>
  <si>
    <t>VAV-678</t>
  </si>
  <si>
    <t>4D14</t>
  </si>
  <si>
    <t>uuid://9aeaf6a5-d360-4fb7-96e7-e470e2f03bbe</t>
  </si>
  <si>
    <t>VAV-679</t>
  </si>
  <si>
    <t xml:space="preserve">4D13V </t>
  </si>
  <si>
    <t>uuid://a976f0a4-ed49-47e9-91dc-6c2f7622c856</t>
  </si>
  <si>
    <t>VAV-680</t>
  </si>
  <si>
    <t xml:space="preserve">4D121 </t>
  </si>
  <si>
    <t>uuid://b63a6260-6cfc-4ae4-967a-ebbc04deb22a</t>
  </si>
  <si>
    <t>VAV-681</t>
  </si>
  <si>
    <t>IDF Room - 2</t>
  </si>
  <si>
    <t>uuid://77571221-3c6c-4fba-97d4-77e67a87392a</t>
  </si>
  <si>
    <t>VAV-682</t>
  </si>
  <si>
    <t xml:space="preserve">4A2 </t>
  </si>
  <si>
    <t>uuid://e0dbd577-b418-4cba-a2d5-deeb01a46e09</t>
  </si>
  <si>
    <t>VAV-683</t>
  </si>
  <si>
    <t xml:space="preserve"> 4A2 </t>
  </si>
  <si>
    <t>uuid://20a68802-9ca5-4c63-8702-ff556f8b93c3</t>
  </si>
  <si>
    <t>VAV-684</t>
  </si>
  <si>
    <t>uuid://dc9b85fc-434e-43f7-a1a9-6613f6a58cd6</t>
  </si>
  <si>
    <t>VAV-685</t>
  </si>
  <si>
    <t xml:space="preserve">4A3 </t>
  </si>
  <si>
    <t>uuid://78a0a142-547f-4fa4-be9c-1eddbbd06249</t>
  </si>
  <si>
    <t>VAV-686</t>
  </si>
  <si>
    <t>uuid://fe35fb16-f1ec-4923-87c8-b01f6246962b</t>
  </si>
  <si>
    <t>VAV-687</t>
  </si>
  <si>
    <t xml:space="preserve"> 4A3</t>
  </si>
  <si>
    <t>uuid://9654cd19-ddf0-4913-b55b-17593ebcac7e</t>
  </si>
  <si>
    <t>VAV-688</t>
  </si>
  <si>
    <t xml:space="preserve">455 &amp; C472 </t>
  </si>
  <si>
    <t>uuid://c9fbc6df-ac91-427f-8557-3a8bbec2e9d1</t>
  </si>
  <si>
    <t>VAV-689</t>
  </si>
  <si>
    <t>uuid://d85344ad-91dc-428d-8e46-199a6e898d1e</t>
  </si>
  <si>
    <t>VAV-690</t>
  </si>
  <si>
    <t>uuid://07208b5b-752f-40e9-b905-0408337da248</t>
  </si>
  <si>
    <t>VAV-691</t>
  </si>
  <si>
    <t>4A19  &amp; 4A20</t>
  </si>
  <si>
    <t>uuid://2c060f9e-4218-416e-874b-f66740627050</t>
  </si>
  <si>
    <t>VAV-692</t>
  </si>
  <si>
    <t xml:space="preserve"> 4A20 </t>
  </si>
  <si>
    <t>uuid://85bb4086-1f7a-4356-bb84-bee18556aa00</t>
  </si>
  <si>
    <t>VAV-693</t>
  </si>
  <si>
    <t xml:space="preserve">4A5 </t>
  </si>
  <si>
    <t>uuid://07379a83-9bd0-46c5-a1f7-2a0840900397</t>
  </si>
  <si>
    <t>VAV-694</t>
  </si>
  <si>
    <t xml:space="preserve">4A4 </t>
  </si>
  <si>
    <t>uuid://7ea4bbdc-18c9-45b9-a711-4889eedaf956</t>
  </si>
  <si>
    <t>VAV-695</t>
  </si>
  <si>
    <t xml:space="preserve">4A13 </t>
  </si>
  <si>
    <t>uuid://ec22171a-58eb-4dee-89a6-f3a443df9d78</t>
  </si>
  <si>
    <t>VAV-696</t>
  </si>
  <si>
    <t xml:space="preserve">4A6 </t>
  </si>
  <si>
    <t>uuid://b2e576a3-0560-4c23-8122-1ca0da3de0d1</t>
  </si>
  <si>
    <t>VAV-697</t>
  </si>
  <si>
    <t>4A7</t>
  </si>
  <si>
    <t>uuid://e691fde1-017a-4c0b-a513-07853d4faa73</t>
  </si>
  <si>
    <t>VAV-698</t>
  </si>
  <si>
    <t xml:space="preserve"> 4A7 </t>
  </si>
  <si>
    <t>uuid://2027d208-b3d0-437c-98c3-f92c6ddee344</t>
  </si>
  <si>
    <t>VAV-699</t>
  </si>
  <si>
    <t xml:space="preserve">4A12 </t>
  </si>
  <si>
    <t>uuid://6c683c48-accc-4e06-a2eb-801e58cb2280</t>
  </si>
  <si>
    <t>VAV-700</t>
  </si>
  <si>
    <t xml:space="preserve">4A010 </t>
  </si>
  <si>
    <t>uuid://97419914-a88a-4cb3-92ea-bf4502ffae9c</t>
  </si>
  <si>
    <t>VAV-701</t>
  </si>
  <si>
    <t xml:space="preserve">4A14 </t>
  </si>
  <si>
    <t>uuid://67976b37-dd99-4e78-b6f4-f8e13d22e30b</t>
  </si>
  <si>
    <t>VAV-702</t>
  </si>
  <si>
    <t xml:space="preserve">4A15&amp; 4A16 </t>
  </si>
  <si>
    <t>uuid://673142d7-adf0-490f-ba7b-c8b4f01ec0ae</t>
  </si>
  <si>
    <t>VAV-703</t>
  </si>
  <si>
    <t xml:space="preserve">4A017 </t>
  </si>
  <si>
    <t>uuid://3504a5a7-66c7-437a-9b94-94237b7ce8b0</t>
  </si>
  <si>
    <t>VAV-704</t>
  </si>
  <si>
    <t>4A020</t>
  </si>
  <si>
    <t>uuid://1940136b-2a2b-4922-b83b-d3565e1ed4b2</t>
  </si>
  <si>
    <t>VAV-705</t>
  </si>
  <si>
    <t xml:space="preserve">4A23 a &amp; 4A24 </t>
  </si>
  <si>
    <t>uuid://5f56dc75-ee69-44d4-8726-ffac54c78373</t>
  </si>
  <si>
    <t>VAV-706</t>
  </si>
  <si>
    <t>4A25  &amp; 4A26</t>
  </si>
  <si>
    <t>uuid://2a6d79df-5448-4938-b0a4-43285522763f</t>
  </si>
  <si>
    <t>VAV-707</t>
  </si>
  <si>
    <t xml:space="preserve">4A21&amp; 4A22 </t>
  </si>
  <si>
    <t>uuid://915379a1-c6fa-41a3-b523-55603a2751fd</t>
  </si>
  <si>
    <t>VAV-708</t>
  </si>
  <si>
    <t xml:space="preserve">4A27 </t>
  </si>
  <si>
    <t>uuid://e9ce5f02-9a23-4e38-9095-632e9a5a3b66</t>
  </si>
  <si>
    <t>VAV-709</t>
  </si>
  <si>
    <t xml:space="preserve">4A40 </t>
  </si>
  <si>
    <t>uuid://b0c66b5e-61a2-4a0e-af40-e1374b699fc2</t>
  </si>
  <si>
    <t>VAV-710</t>
  </si>
  <si>
    <t xml:space="preserve">4A38  &amp; 4A39 </t>
  </si>
  <si>
    <t>uuid://5ecc446a-91d9-4088-aaf7-86d6adcff570</t>
  </si>
  <si>
    <t>VAV-711</t>
  </si>
  <si>
    <t>4A37</t>
  </si>
  <si>
    <t>uuid://93308b57-8c85-411a-ab42-5b6bf2efb2e0</t>
  </si>
  <si>
    <t>VAV-712</t>
  </si>
  <si>
    <t>4A36</t>
  </si>
  <si>
    <t>uuid://cb7931e2-18e4-48ea-8f96-3d0c16bee7e5</t>
  </si>
  <si>
    <t>VAV-713</t>
  </si>
  <si>
    <t>4A28</t>
  </si>
  <si>
    <t>uuid://fef0ed9f-7a7d-49de-a2c8-f6f3aed0a274</t>
  </si>
  <si>
    <t>VAV-714</t>
  </si>
  <si>
    <t xml:space="preserve"> 4A060</t>
  </si>
  <si>
    <t>uuid://da4033f6-457b-403b-8b29-ae312a5b3145</t>
  </si>
  <si>
    <t>VAV-715</t>
  </si>
  <si>
    <t>4A084</t>
  </si>
  <si>
    <t>uuid://f0c244b2-37d4-463b-87ae-908f177298d9</t>
  </si>
  <si>
    <t>VAV-716</t>
  </si>
  <si>
    <t xml:space="preserve"> 4A084</t>
  </si>
  <si>
    <t>uuid://7aaad882-44d0-4de9-836d-612ef1a11aee</t>
  </si>
  <si>
    <t>VAV-717</t>
  </si>
  <si>
    <t xml:space="preserve"> 4A31 </t>
  </si>
  <si>
    <t>uuid://135aec52-edcc-4154-a762-86592557a37a</t>
  </si>
  <si>
    <t>VAV-718</t>
  </si>
  <si>
    <t xml:space="preserve">4A66 </t>
  </si>
  <si>
    <t>uuid://b2eccf45-e4ee-4eef-9f15-a06a4cc0d028</t>
  </si>
  <si>
    <t>VAV-719</t>
  </si>
  <si>
    <t>uuid://0a3ce3f9-95af-491e-b7f5-46f67e7972b7</t>
  </si>
  <si>
    <t>VAV-720</t>
  </si>
  <si>
    <t xml:space="preserve">4A35 </t>
  </si>
  <si>
    <t>uuid://6e898530-b6e0-48d2-8785-eb433d8529c8</t>
  </si>
  <si>
    <t>VAV-721</t>
  </si>
  <si>
    <t xml:space="preserve">4A32  &amp; 4A33 </t>
  </si>
  <si>
    <t>uuid://497f2559-79d5-48bc-a5ef-a8a967a99964</t>
  </si>
  <si>
    <t>VAV-722</t>
  </si>
  <si>
    <t xml:space="preserve">4A42 </t>
  </si>
  <si>
    <t>uuid://87c9c7b2-5c03-418b-ac2c-6cec04270e37</t>
  </si>
  <si>
    <t>VAV-723</t>
  </si>
  <si>
    <t xml:space="preserve">4A43 </t>
  </si>
  <si>
    <t>uuid://c0ec461e-2e18-4220-b4fc-e1d9e28df31c</t>
  </si>
  <si>
    <t>VAV-724</t>
  </si>
  <si>
    <t>4A44</t>
  </si>
  <si>
    <t>uuid://16a01e6d-1d30-4ff9-914b-5dedc2bbe57c</t>
  </si>
  <si>
    <t>VAV-725</t>
  </si>
  <si>
    <t xml:space="preserve">4A45 </t>
  </si>
  <si>
    <t>uuid://a7fc5bb7-c539-49d2-89ed-86f11e50b45e</t>
  </si>
  <si>
    <t>VAV-726</t>
  </si>
  <si>
    <t xml:space="preserve">4A46 &amp; 4A47 </t>
  </si>
  <si>
    <t>uuid://6744c704-7278-4018-8c3f-d940f2456c7c</t>
  </si>
  <si>
    <t>VAV-727</t>
  </si>
  <si>
    <t>uuid://b8843978-7572-4c45-80bb-357a744c2255</t>
  </si>
  <si>
    <t>VAV-728</t>
  </si>
  <si>
    <t>4A124</t>
  </si>
  <si>
    <t>uuid://8b99d5c7-5e26-4586-991d-859c9d75b0f9</t>
  </si>
  <si>
    <t>VAV-729</t>
  </si>
  <si>
    <t>4A125</t>
  </si>
  <si>
    <t>uuid://99def754-9a6d-4142-93d8-2ad4828dd00d</t>
  </si>
  <si>
    <t>VAV-730</t>
  </si>
  <si>
    <t>uuid://f7598356-d78d-4412-8d07-44ee481d5040</t>
  </si>
  <si>
    <t>VAV-731</t>
  </si>
  <si>
    <t>5C150</t>
  </si>
  <si>
    <t>uuid://5b1296a7-aa7f-41a4-a349-a00525e9cba4</t>
  </si>
  <si>
    <t>VAV-732</t>
  </si>
  <si>
    <t xml:space="preserve">5C154 </t>
  </si>
  <si>
    <t>uuid://61f7c2c0-03b2-4c1f-9570-a7888dc04c6c</t>
  </si>
  <si>
    <t>VAV-733</t>
  </si>
  <si>
    <t xml:space="preserve">5C149 </t>
  </si>
  <si>
    <t>uuid://1109cba7-f10e-4ab8-9ec2-6e617a8c277e</t>
  </si>
  <si>
    <t>VAV-734</t>
  </si>
  <si>
    <t xml:space="preserve">5C156 </t>
  </si>
  <si>
    <t>uuid://0ebaf624-1200-4826-ae94-4c111fbfd11d</t>
  </si>
  <si>
    <t>VAV-735</t>
  </si>
  <si>
    <t xml:space="preserve">5C147 </t>
  </si>
  <si>
    <t>uuid://b8ad086c-d13d-4e7e-ae9d-f9fe6877fc38</t>
  </si>
  <si>
    <t>VAV-736</t>
  </si>
  <si>
    <t xml:space="preserve">5C29  &amp; 5C30 </t>
  </si>
  <si>
    <t>uuid://14a07d18-e3ed-4b41-94e7-f6040e79c7b3</t>
  </si>
  <si>
    <t>VAV-737</t>
  </si>
  <si>
    <t xml:space="preserve">5C192 </t>
  </si>
  <si>
    <t>uuid://3aac20e4-3a8b-46f3-852a-aad762ceb7b8</t>
  </si>
  <si>
    <t>VAV-738</t>
  </si>
  <si>
    <t>5C124</t>
  </si>
  <si>
    <t>uuid://d3a0fc9a-91d8-4ffb-8ab3-38cd69c1dccb</t>
  </si>
  <si>
    <t>VAV-739</t>
  </si>
  <si>
    <t xml:space="preserve">5C33 </t>
  </si>
  <si>
    <t>uuid://9c43dc78-0b74-4940-84fa-fa2d67942d41</t>
  </si>
  <si>
    <t>VAV-740</t>
  </si>
  <si>
    <t>5C31 &amp; 5C32</t>
  </si>
  <si>
    <t>uuid://04c974e4-bf73-4e79-882a-bfd80388eba4</t>
  </si>
  <si>
    <t>VAV-741</t>
  </si>
  <si>
    <t>5C126</t>
  </si>
  <si>
    <t>uuid://65bcafdc-ee1b-463b-85e8-7fbc3d88af6b</t>
  </si>
  <si>
    <t>VAV-742</t>
  </si>
  <si>
    <t xml:space="preserve">5C54 </t>
  </si>
  <si>
    <t>uuid://c692c073-9960-4b93-80d2-d12d076c989e</t>
  </si>
  <si>
    <t>VAV-743</t>
  </si>
  <si>
    <t xml:space="preserve">5C34 </t>
  </si>
  <si>
    <t>uuid://8c32d08d-f60b-41e2-a500-09d6b99b2cf4</t>
  </si>
  <si>
    <t>VAV-744</t>
  </si>
  <si>
    <t xml:space="preserve">570 </t>
  </si>
  <si>
    <t>uuid://c314edea-0773-4346-a662-ea3711f5ebba</t>
  </si>
  <si>
    <t>VAV-745</t>
  </si>
  <si>
    <t>5C45</t>
  </si>
  <si>
    <t>uuid://854fa997-8c3c-4d85-b046-4510dff988bb</t>
  </si>
  <si>
    <t>VAV-746</t>
  </si>
  <si>
    <t xml:space="preserve">5C48 </t>
  </si>
  <si>
    <t>uuid://efccfba7-4fc6-46ef-9231-d888ced74975</t>
  </si>
  <si>
    <t>VAV-747</t>
  </si>
  <si>
    <t xml:space="preserve">5C49 </t>
  </si>
  <si>
    <t>uuid://d4464256-c325-4e65-92e2-4e9fe2c0c358</t>
  </si>
  <si>
    <t>VAV-748</t>
  </si>
  <si>
    <t xml:space="preserve">5C23  &amp; 5C22 </t>
  </si>
  <si>
    <t>uuid://685c2079-90da-4960-abce-7609f1528540</t>
  </si>
  <si>
    <t>VAV-749</t>
  </si>
  <si>
    <t xml:space="preserve">5C095 </t>
  </si>
  <si>
    <t>uuid://0c10f57e-203e-40ed-8788-a90f04fdaed4</t>
  </si>
  <si>
    <t>VAV-750</t>
  </si>
  <si>
    <t>5C21  &amp; 5C20</t>
  </si>
  <si>
    <t>uuid://5bc12f8d-de14-41d3-b7e8-7518b3c7c03b</t>
  </si>
  <si>
    <t>VAV-751</t>
  </si>
  <si>
    <t xml:space="preserve">5C27 &amp; 5C26 </t>
  </si>
  <si>
    <t>uuid://8f2b5b6f-5af5-428a-b781-55dc800be79c</t>
  </si>
  <si>
    <t>VAV-752</t>
  </si>
  <si>
    <t>5C25 &amp; 5C24</t>
  </si>
  <si>
    <t>uuid://af126dfa-304a-4d6f-bdda-4657b0b83cad</t>
  </si>
  <si>
    <t>VAV-753</t>
  </si>
  <si>
    <t xml:space="preserve">5C19  &amp; 5C18 </t>
  </si>
  <si>
    <t>uuid://75e73b73-c356-4eef-be30-93a7f5fe4425</t>
  </si>
  <si>
    <t>VAV-754</t>
  </si>
  <si>
    <t xml:space="preserve">5C15  &amp; 5C17 </t>
  </si>
  <si>
    <t>uuid://9c4e1b8a-fb0d-4293-b2de-8e7cf745a477</t>
  </si>
  <si>
    <t>VAV-755</t>
  </si>
  <si>
    <t xml:space="preserve">5C14 &amp; 5C16 </t>
  </si>
  <si>
    <t>uuid://e025d11d-0b48-461f-8859-25fbdaf06423</t>
  </si>
  <si>
    <t>VAV-756</t>
  </si>
  <si>
    <t xml:space="preserve">5C13 </t>
  </si>
  <si>
    <t>uuid://ee837ae4-485b-44d9-8195-8a7fd5bd88b2</t>
  </si>
  <si>
    <t>VAV-757</t>
  </si>
  <si>
    <t xml:space="preserve">5C11 </t>
  </si>
  <si>
    <t>uuid://5ad1f497-4b44-4011-859f-3019e82d7a85</t>
  </si>
  <si>
    <t>VAV-758</t>
  </si>
  <si>
    <t>uuid://b10dc91c-ccad-42c9-90d1-31bcc652194b</t>
  </si>
  <si>
    <t>VAV-759</t>
  </si>
  <si>
    <t xml:space="preserve">5C40 </t>
  </si>
  <si>
    <t>uuid://44e964b2-db6c-4254-850f-f29f7f5ff73a</t>
  </si>
  <si>
    <t>VAV-760</t>
  </si>
  <si>
    <t xml:space="preserve">516 </t>
  </si>
  <si>
    <t>uuid://005b43d6-8ab5-470f-968d-ac1badc65848</t>
  </si>
  <si>
    <t>VAV-761</t>
  </si>
  <si>
    <t>5C005</t>
  </si>
  <si>
    <t>uuid://5a6d5cbc-b145-41c2-934e-0a896c0d47c4</t>
  </si>
  <si>
    <t>VAV-762</t>
  </si>
  <si>
    <t xml:space="preserve">C520 </t>
  </si>
  <si>
    <t>uuid://55d53816-2ab3-4c19-94ab-6a261037094e</t>
  </si>
  <si>
    <t>VAV-763</t>
  </si>
  <si>
    <t xml:space="preserve">5C026 </t>
  </si>
  <si>
    <t>uuid://6288287f-7810-48eb-8ff1-6b9ea3440982</t>
  </si>
  <si>
    <t>VAV-764</t>
  </si>
  <si>
    <t xml:space="preserve">5C052 </t>
  </si>
  <si>
    <t>uuid://22f28398-1643-4a2a-b475-45d19646cc1a</t>
  </si>
  <si>
    <t>VAV-765</t>
  </si>
  <si>
    <t xml:space="preserve">5C061 </t>
  </si>
  <si>
    <t>uuid://e7916264-080f-4e81-aa6f-a165a2be1d67</t>
  </si>
  <si>
    <t>VAV-766</t>
  </si>
  <si>
    <t xml:space="preserve">5C7  &amp; 5C8 </t>
  </si>
  <si>
    <t>uuid://8c63b00f-beda-4d52-bc4d-154272eb0078</t>
  </si>
  <si>
    <t>VAV-767</t>
  </si>
  <si>
    <t xml:space="preserve">5C4 </t>
  </si>
  <si>
    <t>uuid://e0b443aa-43c9-4f5b-8e98-bf99aa48c875</t>
  </si>
  <si>
    <t>VAV-768</t>
  </si>
  <si>
    <t xml:space="preserve">5C9  &amp; 5C10 </t>
  </si>
  <si>
    <t>uuid://34ef4384-9d52-4c8c-ab1d-7bef970a3884</t>
  </si>
  <si>
    <t>VAV-769</t>
  </si>
  <si>
    <t xml:space="preserve">5C3 </t>
  </si>
  <si>
    <t>uuid://51438666-dbd2-4ddd-9641-3baa68442057</t>
  </si>
  <si>
    <t>VAV-770</t>
  </si>
  <si>
    <t xml:space="preserve">5C2 </t>
  </si>
  <si>
    <t>uuid://4613d5d3-f179-4c6e-a764-5cd7675a10c5</t>
  </si>
  <si>
    <t>VAV-771</t>
  </si>
  <si>
    <t>C544</t>
  </si>
  <si>
    <t>uuid://78a19404-3363-4a22-b600-9fa061ac8d9b</t>
  </si>
  <si>
    <t>VAV-772</t>
  </si>
  <si>
    <t xml:space="preserve">C516 </t>
  </si>
  <si>
    <t>uuid://016516ec-834e-4785-baab-c6177e5f5816</t>
  </si>
  <si>
    <t>VAV-773</t>
  </si>
  <si>
    <t xml:space="preserve">5B1 </t>
  </si>
  <si>
    <t>uuid://5ec7533d-016d-49c0-93e9-c4d896364096</t>
  </si>
  <si>
    <t>VAV-774</t>
  </si>
  <si>
    <t xml:space="preserve">5B3 </t>
  </si>
  <si>
    <t>uuid://c5230b8d-c899-4da1-9fd9-f0dcc60859f2</t>
  </si>
  <si>
    <t>VAV-775</t>
  </si>
  <si>
    <t xml:space="preserve">5B39 </t>
  </si>
  <si>
    <t>uuid://f972cde4-cc50-4756-adbc-027fe89f0d9d</t>
  </si>
  <si>
    <t>VAV-776</t>
  </si>
  <si>
    <t xml:space="preserve">5B11 </t>
  </si>
  <si>
    <t>uuid://04ecbf86-7da3-435f-9e54-0b2b6c4da913</t>
  </si>
  <si>
    <t>VAV-777</t>
  </si>
  <si>
    <t xml:space="preserve">5B7 </t>
  </si>
  <si>
    <t>uuid://53ff7b3a-3bef-4bf9-8119-deb1f66e926a</t>
  </si>
  <si>
    <t>VAV-778</t>
  </si>
  <si>
    <t xml:space="preserve">C543 </t>
  </si>
  <si>
    <t>uuid://a2ca465e-428c-409e-ad21-c17cf0a7ca92</t>
  </si>
  <si>
    <t>VAV-779</t>
  </si>
  <si>
    <t xml:space="preserve">5B4 </t>
  </si>
  <si>
    <t>uuid://2f0b43e1-9dbf-423d-9482-943b02886611</t>
  </si>
  <si>
    <t>VAV-780</t>
  </si>
  <si>
    <t xml:space="preserve">C505 </t>
  </si>
  <si>
    <t>uuid://3184b5fd-caf7-46aa-b151-0e0cbcbbc13c</t>
  </si>
  <si>
    <t>VAV-781</t>
  </si>
  <si>
    <t>5B43</t>
  </si>
  <si>
    <t>uuid://852a92f2-7acd-432f-91fb-6b9abc213222</t>
  </si>
  <si>
    <t>VAV-782</t>
  </si>
  <si>
    <t>C514</t>
  </si>
  <si>
    <t>uuid://80a8e57b-2dd9-4660-8eb4-1a8cb0c79281</t>
  </si>
  <si>
    <t>VAV-783</t>
  </si>
  <si>
    <t xml:space="preserve">C506 </t>
  </si>
  <si>
    <t>uuid://007948cb-1a0a-480e-a87d-f7ee15045026</t>
  </si>
  <si>
    <t>VAV-784</t>
  </si>
  <si>
    <t>uuid://a8fc35ca-4fc5-459f-abb4-fdef04c20cbe</t>
  </si>
  <si>
    <t>VAV-785</t>
  </si>
  <si>
    <t xml:space="preserve">505 </t>
  </si>
  <si>
    <t>uuid://1bd010dc-bb73-4ce6-a68f-41d3547533cd</t>
  </si>
  <si>
    <t>VAV-786</t>
  </si>
  <si>
    <t xml:space="preserve">5B36 </t>
  </si>
  <si>
    <t>uuid://f6598954-7d51-4bd4-bcde-764930489d4e</t>
  </si>
  <si>
    <t>VAV-787</t>
  </si>
  <si>
    <t xml:space="preserve">5B31 &amp; 5B32 </t>
  </si>
  <si>
    <t>uuid://3d09d4b7-0fd6-4626-ad73-80f9369c5159</t>
  </si>
  <si>
    <t>VAV-788</t>
  </si>
  <si>
    <t xml:space="preserve">5B35  </t>
  </si>
  <si>
    <t>uuid://ae9a3cfa-6f5d-430b-b171-b14a8e9601a2</t>
  </si>
  <si>
    <t>VAV-789</t>
  </si>
  <si>
    <t xml:space="preserve">5B33 </t>
  </si>
  <si>
    <t>uuid://7ca0603f-fd28-4846-9869-b3c3be6da04a</t>
  </si>
  <si>
    <t>VAV-790</t>
  </si>
  <si>
    <t>5B29</t>
  </si>
  <si>
    <t>uuid://4fe8d136-5c0f-4e52-bd3e-28e7ae027954</t>
  </si>
  <si>
    <t>VAV-791</t>
  </si>
  <si>
    <t>5B25</t>
  </si>
  <si>
    <t>uuid://0f3c2121-db2f-4370-9bc6-d1759b0c9926</t>
  </si>
  <si>
    <t>VAV-792</t>
  </si>
  <si>
    <t xml:space="preserve">C507 </t>
  </si>
  <si>
    <t>uuid://7058f2a5-31c0-42ee-af86-1d6bbc0815bf</t>
  </si>
  <si>
    <t>VAV-793</t>
  </si>
  <si>
    <t xml:space="preserve">5B15 </t>
  </si>
  <si>
    <t>uuid://effcd09f-4180-45cc-b7bf-5cc333c04435</t>
  </si>
  <si>
    <t>VAV-794</t>
  </si>
  <si>
    <t xml:space="preserve">C513 </t>
  </si>
  <si>
    <t>uuid://b13645b3-16cb-4f9b-a86c-de8212dccb3e</t>
  </si>
  <si>
    <t>VAV-795</t>
  </si>
  <si>
    <t xml:space="preserve">5B057 </t>
  </si>
  <si>
    <t>uuid://6ff7f279-b32a-4211-aceb-7c633858de78</t>
  </si>
  <si>
    <t>VAV-796</t>
  </si>
  <si>
    <t>5B017</t>
  </si>
  <si>
    <t>uuid://dfe3085d-065c-434a-a60a-418b72e7c789</t>
  </si>
  <si>
    <t>VAV-797</t>
  </si>
  <si>
    <t xml:space="preserve">5B13&amp; 5B14 </t>
  </si>
  <si>
    <t>uuid://b1091594-d2db-472d-bd5f-b531e32eb1d8</t>
  </si>
  <si>
    <t>VAV-798</t>
  </si>
  <si>
    <t xml:space="preserve">5B12 </t>
  </si>
  <si>
    <t>uuid://70c04f3d-a266-49b0-9512-f197b48269e8</t>
  </si>
  <si>
    <t>VAV-799</t>
  </si>
  <si>
    <t xml:space="preserve">5B5 </t>
  </si>
  <si>
    <t>uuid://69db2b1d-4193-4c0a-a660-eb91c3e19814</t>
  </si>
  <si>
    <t>VAV-800</t>
  </si>
  <si>
    <t xml:space="preserve">5B006 </t>
  </si>
  <si>
    <t>uuid://f44e284b-bcf8-428e-9f71-67cd37cc6b9b</t>
  </si>
  <si>
    <t>VAV-801</t>
  </si>
  <si>
    <t>5B6</t>
  </si>
  <si>
    <t>uuid://fb60ff5b-370d-44d5-b106-05e9322aa224</t>
  </si>
  <si>
    <t>VAV-802</t>
  </si>
  <si>
    <t>uuid://8b7296f9-ec4d-4c9a-a778-f19f51a63ba4</t>
  </si>
  <si>
    <t>VAV-803</t>
  </si>
  <si>
    <t>5B60</t>
  </si>
  <si>
    <t>uuid://79939184-7e62-4b51-be5b-6ef065ec3870</t>
  </si>
  <si>
    <t>VAV-804</t>
  </si>
  <si>
    <t xml:space="preserve"> 5B164 </t>
  </si>
  <si>
    <t>uuid://992a3c3d-c45d-48e8-bf2b-510b938e417e</t>
  </si>
  <si>
    <t>VAV-805</t>
  </si>
  <si>
    <t>5B2 &amp; 5B28</t>
  </si>
  <si>
    <t>uuid://69a5c84e-6155-4a65-a6d7-f44d7ee39667</t>
  </si>
  <si>
    <t>VAV-806</t>
  </si>
  <si>
    <t>5B138</t>
  </si>
  <si>
    <t>uuid://3b0049eb-a343-4e7b-979e-9b680f275e23</t>
  </si>
  <si>
    <t>VAV-807</t>
  </si>
  <si>
    <t xml:space="preserve">5B133 </t>
  </si>
  <si>
    <t>uuid://6aba8d85-0c03-44c9-ad93-7a84127d51ae</t>
  </si>
  <si>
    <t>VAV-808</t>
  </si>
  <si>
    <t>5B30</t>
  </si>
  <si>
    <t>uuid://ff510cb4-20a3-4165-b762-c475730a9d4a</t>
  </si>
  <si>
    <t>VAV-809</t>
  </si>
  <si>
    <t xml:space="preserve">5B57 </t>
  </si>
  <si>
    <t>uuid://eff16b47-3f23-4cbb-8ae1-4e63c6c1953f</t>
  </si>
  <si>
    <t>VAV-810</t>
  </si>
  <si>
    <t>5B26</t>
  </si>
  <si>
    <t>uuid://2a549f72-a7d3-4c07-afa2-3fa8e4fcdebb</t>
  </si>
  <si>
    <t>VAV-811</t>
  </si>
  <si>
    <t xml:space="preserve">5B50 </t>
  </si>
  <si>
    <t>uuid://b67f78a1-de94-4fb9-8d2a-4b11cbf32f70</t>
  </si>
  <si>
    <t>VAV-812</t>
  </si>
  <si>
    <t>5B19 &amp; 5B20</t>
  </si>
  <si>
    <t>uuid://023a9186-7f62-44e4-b7bf-0b6d920881b3</t>
  </si>
  <si>
    <t>VAV-813</t>
  </si>
  <si>
    <t xml:space="preserve">5B21&amp; 5B22 </t>
  </si>
  <si>
    <t>uuid://4e78f852-c1a4-4d5d-8318-97c921dee351</t>
  </si>
  <si>
    <t>VAV-814</t>
  </si>
  <si>
    <t xml:space="preserve">5B17  &amp; 5B18 </t>
  </si>
  <si>
    <t>uuid://d8caf4b0-ec64-43ec-b520-ad037dad7b73</t>
  </si>
  <si>
    <t>VAV-815</t>
  </si>
  <si>
    <t>5B075</t>
  </si>
  <si>
    <t>uuid://b9ab9ac5-c095-4b24-bb1d-9c906c9cb6f1</t>
  </si>
  <si>
    <t>VAV-816</t>
  </si>
  <si>
    <t xml:space="preserve">5B089 </t>
  </si>
  <si>
    <t>uuid://4d52b313-be09-4cae-a020-a0d74998930a</t>
  </si>
  <si>
    <t>VAV-817</t>
  </si>
  <si>
    <t xml:space="preserve">5B102 </t>
  </si>
  <si>
    <t>uuid://b4cb1692-1884-427b-8b90-18d84f1361c7</t>
  </si>
  <si>
    <t>VAV-818</t>
  </si>
  <si>
    <t xml:space="preserve">582 </t>
  </si>
  <si>
    <t>uuid://42f09cd5-51bd-4220-8b51-303062f88e78</t>
  </si>
  <si>
    <t>VAV-819</t>
  </si>
  <si>
    <t xml:space="preserve">5D8 </t>
  </si>
  <si>
    <t>uuid://fdfe6088-f9f0-4940-b038-3cca86c0acf3</t>
  </si>
  <si>
    <t>VAV-820</t>
  </si>
  <si>
    <t xml:space="preserve">5D46 </t>
  </si>
  <si>
    <t>uuid://5080658b-f44b-4aea-8258-c89ad748c96d</t>
  </si>
  <si>
    <t>VAV-821</t>
  </si>
  <si>
    <t xml:space="preserve">5D45 </t>
  </si>
  <si>
    <t>uuid://84c2812e-3938-4a4e-adf9-7e88f02a71f5</t>
  </si>
  <si>
    <t>VAV-822</t>
  </si>
  <si>
    <t xml:space="preserve">5D44 </t>
  </si>
  <si>
    <t>uuid://8b89cee2-73ea-44e1-86cf-38761402c29f</t>
  </si>
  <si>
    <t>VAV-823</t>
  </si>
  <si>
    <t xml:space="preserve">5D6 </t>
  </si>
  <si>
    <t>uuid://01a358e1-cfe2-44e6-83c4-1d2c1fa44f79</t>
  </si>
  <si>
    <t>VAV-824</t>
  </si>
  <si>
    <t xml:space="preserve">5D43 </t>
  </si>
  <si>
    <t>uuid://91daf9e6-e36b-4e4e-9fa2-28c7a27ad79d</t>
  </si>
  <si>
    <t>VAV-825</t>
  </si>
  <si>
    <t xml:space="preserve">5D7 </t>
  </si>
  <si>
    <t>uuid://94b4b3c2-5a2f-4bed-92c4-d88f8a98b3a8</t>
  </si>
  <si>
    <t>VAV-826</t>
  </si>
  <si>
    <t>5D4  &amp; 5D5</t>
  </si>
  <si>
    <t>uuid://48b34db0-d381-476f-9c33-c7b15c246791</t>
  </si>
  <si>
    <t>VAV-827</t>
  </si>
  <si>
    <t xml:space="preserve"> 5D065</t>
  </si>
  <si>
    <t>uuid://e05b859b-982c-4459-b1af-2ae2f0e6121e</t>
  </si>
  <si>
    <t>VAV-828</t>
  </si>
  <si>
    <t xml:space="preserve">5D11 &amp; 5D12 </t>
  </si>
  <si>
    <t>uuid://130db8a2-a123-488a-afbc-f02a4f714a6d</t>
  </si>
  <si>
    <t>VAV-829</t>
  </si>
  <si>
    <t xml:space="preserve">5D15 </t>
  </si>
  <si>
    <t>uuid://e8eb96ac-d62b-4720-834d-8ef2209cc933</t>
  </si>
  <si>
    <t>VAV-830</t>
  </si>
  <si>
    <t xml:space="preserve">C5116 </t>
  </si>
  <si>
    <t>uuid://531d69fa-6ed7-4d99-91bd-a5495bb32637</t>
  </si>
  <si>
    <t>VAV-831</t>
  </si>
  <si>
    <t xml:space="preserve">5D14 </t>
  </si>
  <si>
    <t>uuid://20bfca37-5639-4d16-88fe-aef9c3d48e76</t>
  </si>
  <si>
    <t>VAV-832</t>
  </si>
  <si>
    <t>5D13</t>
  </si>
  <si>
    <t>uuid://1c02e04c-c651-476d-9866-bd6d6072eea3</t>
  </si>
  <si>
    <t>VAV-833</t>
  </si>
  <si>
    <t xml:space="preserve"> 5D13 </t>
  </si>
  <si>
    <t>uuid://2cb63841-2e14-462c-8298-1a4aeb194e50</t>
  </si>
  <si>
    <t>VAV-834</t>
  </si>
  <si>
    <t>uuid://476c1e81-f8cb-49e4-86c2-62628b7ff046</t>
  </si>
  <si>
    <t>VAV-835</t>
  </si>
  <si>
    <t xml:space="preserve">5D18 </t>
  </si>
  <si>
    <t>uuid://fb632438-6476-40db-80c8-9ab32f477056</t>
  </si>
  <si>
    <t>VAV-836</t>
  </si>
  <si>
    <t>uuid://bceadbd2-9318-4102-9a4f-a29e1f111168</t>
  </si>
  <si>
    <t>VAV-837</t>
  </si>
  <si>
    <t>5D098</t>
  </si>
  <si>
    <t>uuid://d04782e9-dc6c-482c-98a2-228bd2c2b4c0</t>
  </si>
  <si>
    <t>VAV-838</t>
  </si>
  <si>
    <t>5D16&amp; 5D17</t>
  </si>
  <si>
    <t>uuid://f09830ad-4400-4c13-b1a3-7b810a48f0df</t>
  </si>
  <si>
    <t>VAV-839</t>
  </si>
  <si>
    <t xml:space="preserve">5D104 </t>
  </si>
  <si>
    <t>uuid://967c38e4-c71e-4524-a2e4-a77b3a6ef106</t>
  </si>
  <si>
    <t>VAV-840</t>
  </si>
  <si>
    <t>5D102</t>
  </si>
  <si>
    <t>uuid://70fc53e6-392b-42b6-8860-3663e4e43289</t>
  </si>
  <si>
    <t>VAV-841</t>
  </si>
  <si>
    <t xml:space="preserve">5D20 &amp; 5D21 </t>
  </si>
  <si>
    <t>uuid://a79844fe-af7a-4e12-a016-9e526f813093</t>
  </si>
  <si>
    <t>VAV-842</t>
  </si>
  <si>
    <t xml:space="preserve">C5112 </t>
  </si>
  <si>
    <t>uuid://a1145976-d47f-4dcc-92c2-da00f3fe4ae8</t>
  </si>
  <si>
    <t>VAV-843</t>
  </si>
  <si>
    <t>5D145</t>
  </si>
  <si>
    <t>uuid://07b42c43-4572-4ed6-b810-75c0aca4c180</t>
  </si>
  <si>
    <t>VAV-844</t>
  </si>
  <si>
    <t xml:space="preserve">5D22 </t>
  </si>
  <si>
    <t>uuid://63d327ee-3b5a-4304-b6fe-a024695fa1ae</t>
  </si>
  <si>
    <t>VAV-845</t>
  </si>
  <si>
    <t xml:space="preserve">5D154 </t>
  </si>
  <si>
    <t>uuid://b244e111-362b-435e-9d00-16db66dd976c</t>
  </si>
  <si>
    <t>VAV-846</t>
  </si>
  <si>
    <t>5D23 - 5D24</t>
  </si>
  <si>
    <t>uuid://c0d866c4-23eb-4b1c-961b-14f1406cda21</t>
  </si>
  <si>
    <t>VAV-847</t>
  </si>
  <si>
    <t xml:space="preserve">5D60 </t>
  </si>
  <si>
    <t>uuid://2b2d0e18-562f-4ffa-beb2-9393218d2df6</t>
  </si>
  <si>
    <t>VAV-848</t>
  </si>
  <si>
    <t xml:space="preserve">C5121 </t>
  </si>
  <si>
    <t>uuid://944f7f10-245e-46be-9d78-a0edef852868</t>
  </si>
  <si>
    <t>VAV-849</t>
  </si>
  <si>
    <t>uuid://ace9b8a9-ae31-4fb2-8bdd-5bb33c0fafa9</t>
  </si>
  <si>
    <t>VAV-850</t>
  </si>
  <si>
    <t>5D36</t>
  </si>
  <si>
    <t>uuid://516cb30a-e5b3-4181-bd8b-42f509636812</t>
  </si>
  <si>
    <t>VAV-851</t>
  </si>
  <si>
    <t xml:space="preserve">5D35 </t>
  </si>
  <si>
    <t>uuid://42905ce9-3cff-448b-840e-a28545786bcc</t>
  </si>
  <si>
    <t>VAV-852</t>
  </si>
  <si>
    <t xml:space="preserve">5D2 </t>
  </si>
  <si>
    <t>uuid://e2f0b5ff-b568-49b6-8d8b-293cedf8832d</t>
  </si>
  <si>
    <t>VAV-853</t>
  </si>
  <si>
    <t xml:space="preserve">518 </t>
  </si>
  <si>
    <t>uuid://bda1c040-3992-46bb-a4b5-89333e79f766</t>
  </si>
  <si>
    <t>VAV-854</t>
  </si>
  <si>
    <t xml:space="preserve"> 5D013 </t>
  </si>
  <si>
    <t>uuid://b37079c7-60d3-423a-b1a8-f1afdbed2562</t>
  </si>
  <si>
    <t>VAV-855</t>
  </si>
  <si>
    <t>5D024</t>
  </si>
  <si>
    <t>uuid://8536de1d-fa0e-466f-bcfc-349fcaaaff66</t>
  </si>
  <si>
    <t>VAV-856</t>
  </si>
  <si>
    <t>5D025</t>
  </si>
  <si>
    <t>uuid://31b8b6e9-b3ef-4a1c-b9f6-bcf5e31da2b6</t>
  </si>
  <si>
    <t>VAV-857</t>
  </si>
  <si>
    <t xml:space="preserve">5D041 </t>
  </si>
  <si>
    <t>uuid://abe44948-b952-488e-bf6c-afe14ab548b5</t>
  </si>
  <si>
    <t>VAV-858</t>
  </si>
  <si>
    <t>C551</t>
  </si>
  <si>
    <t>uuid://e06705a3-58c8-4a33-9f81-67aac987f87e</t>
  </si>
  <si>
    <t>VAV-859</t>
  </si>
  <si>
    <t>C526</t>
  </si>
  <si>
    <t>uuid://bd513b9b-5502-496a-9d7e-8eb2869861de</t>
  </si>
  <si>
    <t>VAV-860</t>
  </si>
  <si>
    <t>5A46</t>
  </si>
  <si>
    <t>uuid://fab3a723-89e5-45c0-a376-026d42eecf1f</t>
  </si>
  <si>
    <t>VAV-861</t>
  </si>
  <si>
    <t xml:space="preserve">5A1 </t>
  </si>
  <si>
    <t>uuid://59b4a6b3-9ccf-400b-86e2-f1ddb04475b1</t>
  </si>
  <si>
    <t>VAV-862</t>
  </si>
  <si>
    <t>C503</t>
  </si>
  <si>
    <t>uuid://710c5ed7-c608-4b5e-ade6-a9a938441b43</t>
  </si>
  <si>
    <t>VAV-863</t>
  </si>
  <si>
    <t xml:space="preserve">5A51 </t>
  </si>
  <si>
    <t>uuid://4e41e948-26c7-499c-a269-c280b1491d73</t>
  </si>
  <si>
    <t>VAV-864</t>
  </si>
  <si>
    <t xml:space="preserve">5A2 </t>
  </si>
  <si>
    <t>uuid://f4f8651f-0785-4a2a-a2b8-f2dd0c4acc1b</t>
  </si>
  <si>
    <t>VAV-865</t>
  </si>
  <si>
    <t xml:space="preserve">C502 </t>
  </si>
  <si>
    <t>uuid://32572c73-7989-47f5-8926-faa8b25b1af9</t>
  </si>
  <si>
    <t>VAV-866</t>
  </si>
  <si>
    <t>C529</t>
  </si>
  <si>
    <t>uuid://0bcc8d78-8536-4bca-9276-f8a95b2a37cf</t>
  </si>
  <si>
    <t>VAV-867</t>
  </si>
  <si>
    <t>556</t>
  </si>
  <si>
    <t>uuid://8f148e72-c196-4aca-a45e-630a2646ad46</t>
  </si>
  <si>
    <t>VAV-868</t>
  </si>
  <si>
    <t>uuid://46d56b3c-ba2e-4295-b87c-157e841fcbd2</t>
  </si>
  <si>
    <t>VAV-869</t>
  </si>
  <si>
    <t xml:space="preserve">5A65  &amp; 5A44 </t>
  </si>
  <si>
    <t>uuid://44cc482c-cf71-4e96-8964-479b3ae2457a</t>
  </si>
  <si>
    <t>VAV-870</t>
  </si>
  <si>
    <t>5A119 - W/S</t>
  </si>
  <si>
    <t>uuid://0ab2772a-e67a-4ddb-a902-8ae3eb8d24b2</t>
  </si>
  <si>
    <t>VAV-871</t>
  </si>
  <si>
    <t>5A42 - Firdaus</t>
  </si>
  <si>
    <t>uuid://f10a3f10-2946-4b48-a62f-eb544ae78ed5</t>
  </si>
  <si>
    <t>VAV-872</t>
  </si>
  <si>
    <t>5A41 - Eka</t>
  </si>
  <si>
    <t>uuid://fa28ccbd-ec91-4716-8ac0-6fe12e01994c</t>
  </si>
  <si>
    <t>VAV-873</t>
  </si>
  <si>
    <t xml:space="preserve">5A37 5A38 </t>
  </si>
  <si>
    <t>uuid://0113a168-546b-4375-acb0-d89416345afb</t>
  </si>
  <si>
    <t>VAV-874</t>
  </si>
  <si>
    <t xml:space="preserve">5A39 </t>
  </si>
  <si>
    <t>uuid://d8823aa4-1a4e-4534-a52e-40189788be51</t>
  </si>
  <si>
    <t>VAV-875</t>
  </si>
  <si>
    <t xml:space="preserve">5A35 </t>
  </si>
  <si>
    <t>uuid://7d2160d1-ef45-4046-a6d6-3f0bea9d4833</t>
  </si>
  <si>
    <t>VAV-876</t>
  </si>
  <si>
    <t xml:space="preserve">5A36 </t>
  </si>
  <si>
    <t>uuid://3aa419b8-3ccd-4650-896b-02ca3f19dadc</t>
  </si>
  <si>
    <t>VAV-877</t>
  </si>
  <si>
    <t xml:space="preserve">5A31 &amp; 5A32 </t>
  </si>
  <si>
    <t>uuid://7da86d25-da94-4f3d-afd3-e52344f9eab6</t>
  </si>
  <si>
    <t>VAV-878</t>
  </si>
  <si>
    <t xml:space="preserve">5A67 </t>
  </si>
  <si>
    <t>uuid://f64be95d-3e55-4119-9470-b074f07d2865</t>
  </si>
  <si>
    <t>VAV-879</t>
  </si>
  <si>
    <t xml:space="preserve">5A68 </t>
  </si>
  <si>
    <t>uuid://370d1209-b7e9-4109-ab6f-cca87a612915</t>
  </si>
  <si>
    <t>VAV-880</t>
  </si>
  <si>
    <t xml:space="preserve">5A084 </t>
  </si>
  <si>
    <t>uuid://7a44bacd-98d4-4a0e-b899-612f0144b35e</t>
  </si>
  <si>
    <t>VAV-881</t>
  </si>
  <si>
    <t>uuid://3d1c9911-baaf-41a4-8081-06abbea4e95d</t>
  </si>
  <si>
    <t>VAV-882</t>
  </si>
  <si>
    <t xml:space="preserve">5A62 </t>
  </si>
  <si>
    <t>uuid://2a80724f-00e6-4166-bdfd-fada043320f7</t>
  </si>
  <si>
    <t>VAV-883</t>
  </si>
  <si>
    <t xml:space="preserve"> 5A060 </t>
  </si>
  <si>
    <t>uuid://eaf44ef4-37ad-46f9-ab76-d35e22acfeba</t>
  </si>
  <si>
    <t>VAV-884</t>
  </si>
  <si>
    <t>5A24 &amp; 5A25</t>
  </si>
  <si>
    <t>uuid://c9362344-c8e4-4c3b-a1bc-be9f1215d1c1</t>
  </si>
  <si>
    <t>VAV-885</t>
  </si>
  <si>
    <t>C530</t>
  </si>
  <si>
    <t>uuid://cddd89ab-70a9-4244-bb62-6c7d8ad20b40</t>
  </si>
  <si>
    <t>VAV-886</t>
  </si>
  <si>
    <t>uuid://ad768997-cca1-43b9-89d8-e544390fa666</t>
  </si>
  <si>
    <t>VAV-887</t>
  </si>
  <si>
    <t xml:space="preserve">5A27 </t>
  </si>
  <si>
    <t>uuid://95c88ed0-3304-48d4-93b0-9bc56b2c3c00</t>
  </si>
  <si>
    <t>VAV-888</t>
  </si>
  <si>
    <t xml:space="preserve">5A20 &amp; 5A21 </t>
  </si>
  <si>
    <t>uuid://81475a49-4f5a-4475-abdf-d217f28108dc</t>
  </si>
  <si>
    <t>VAV-889</t>
  </si>
  <si>
    <t xml:space="preserve">5A22 &amp; 5A23 </t>
  </si>
  <si>
    <t>uuid://0e4a0934-fcc4-4ea4-bbb7-d8ee94930999</t>
  </si>
  <si>
    <t>VAV-890</t>
  </si>
  <si>
    <t xml:space="preserve">5A020 </t>
  </si>
  <si>
    <t>uuid://b58bf5b2-efac-49f4-ac53-3a87f17db74e</t>
  </si>
  <si>
    <t>VAV-891</t>
  </si>
  <si>
    <t xml:space="preserve">5A018 </t>
  </si>
  <si>
    <t>uuid://6e5c9d2d-8c9b-4c83-91d5-9dc4076eb990</t>
  </si>
  <si>
    <t>VAV-892</t>
  </si>
  <si>
    <t xml:space="preserve">5A14  &amp; 5A15 </t>
  </si>
  <si>
    <t>uuid://3752c60f-fd60-4659-8f50-f3c20becc260</t>
  </si>
  <si>
    <t>VAV-893</t>
  </si>
  <si>
    <t xml:space="preserve">5A13 </t>
  </si>
  <si>
    <t>uuid://ca879102-c434-486b-8656-b029a69e8df2</t>
  </si>
  <si>
    <t>VAV-894</t>
  </si>
  <si>
    <t xml:space="preserve">5A18  &amp; 5A19 </t>
  </si>
  <si>
    <t>uuid://cb507ede-f7dd-4b6e-ad0d-fd211ff8c070</t>
  </si>
  <si>
    <t>VAV-895</t>
  </si>
  <si>
    <t xml:space="preserve">C500 </t>
  </si>
  <si>
    <t>uuid://481cf5f3-ad1f-427f-af34-cddaa5de629a</t>
  </si>
  <si>
    <t>VAV-896</t>
  </si>
  <si>
    <t xml:space="preserve">5A4 </t>
  </si>
  <si>
    <t>uuid://433716f9-5fdb-46ea-ad60-b5c845a27636</t>
  </si>
  <si>
    <t>VAV-897</t>
  </si>
  <si>
    <t xml:space="preserve">5A3 </t>
  </si>
  <si>
    <t>uuid://beddc9b0-0256-4d5e-9b1d-2c4b6561adf4</t>
  </si>
  <si>
    <t>VAV-898</t>
  </si>
  <si>
    <t xml:space="preserve"> 5A011 </t>
  </si>
  <si>
    <t>uuid://f9697063-5222-4255-9d1b-4548cc4a6bbf</t>
  </si>
  <si>
    <t>VAV-899</t>
  </si>
  <si>
    <t>5A12</t>
  </si>
  <si>
    <t>uuid://131e6fc3-b46f-4f00-8105-905a29fef731</t>
  </si>
  <si>
    <t>VAV-900</t>
  </si>
  <si>
    <t xml:space="preserve">5A11 </t>
  </si>
  <si>
    <t>uuid://4b56ceb5-a89f-4988-ae87-f45a09dede42</t>
  </si>
  <si>
    <t>VAV-901</t>
  </si>
  <si>
    <t xml:space="preserve">5A5 </t>
  </si>
  <si>
    <t>uuid://02f32ee2-116d-4ca5-a545-772752eae651</t>
  </si>
  <si>
    <t>VAV-902</t>
  </si>
  <si>
    <t>5A47</t>
  </si>
  <si>
    <t>uuid://f4b93b07-ef28-43da-9545-afb6f9107965</t>
  </si>
  <si>
    <t>VAV-903</t>
  </si>
  <si>
    <t>5A6</t>
  </si>
  <si>
    <t>uuid://1b3e22c1-e55d-4c98-8b85-a55da86eb9c5</t>
  </si>
  <si>
    <t>VAV-904</t>
  </si>
  <si>
    <t>uuid://8402d3b0-d350-41d7-9a86-0ee258e3b24d</t>
  </si>
  <si>
    <t>VAV-905</t>
  </si>
  <si>
    <t>uuid://e48b4d49-4d62-4c4b-9ec4-61c63f51cb78</t>
  </si>
  <si>
    <t>VAV-906</t>
  </si>
  <si>
    <t>uuid://27e7d5eb-732c-4583-8bde-d96a7087e67e</t>
  </si>
  <si>
    <t>VAV-907</t>
  </si>
  <si>
    <t>uuid://4c58d863-5439-4f58-881b-5d38039f0fa8</t>
  </si>
  <si>
    <t>VAV-908</t>
  </si>
  <si>
    <t>uuid://7b4522d0-2ab1-4943-b30e-f4eb8c15e526</t>
  </si>
  <si>
    <t>VAV-909</t>
  </si>
  <si>
    <t>uuid://22a1a332-cb7f-44df-9c81-f2bd038e8d89</t>
  </si>
  <si>
    <t>VAV-910</t>
  </si>
  <si>
    <t xml:space="preserve">682 </t>
  </si>
  <si>
    <t>uuid://6c408452-98aa-4c2b-8f06-42af89425597</t>
  </si>
  <si>
    <t>KNND</t>
  </si>
  <si>
    <t>VAV-911</t>
  </si>
  <si>
    <t xml:space="preserve">6D248 </t>
  </si>
  <si>
    <t>uuid://045598dc-9681-4db0-93c0-01c1ec1f822c</t>
  </si>
  <si>
    <t>VAV-912</t>
  </si>
  <si>
    <t xml:space="preserve">6D48 </t>
  </si>
  <si>
    <t>uuid://25e1fb42-3131-4c1d-a865-a108b72c8ce9</t>
  </si>
  <si>
    <t>VAV-913</t>
  </si>
  <si>
    <t xml:space="preserve">6D259 </t>
  </si>
  <si>
    <t>uuid://20c798b4-0a7d-44be-a3ad-1d7731164380</t>
  </si>
  <si>
    <t>VAV-914</t>
  </si>
  <si>
    <t xml:space="preserve">6D262 </t>
  </si>
  <si>
    <t>uuid://a88fde70-5d7d-4338-ba7d-946a94a372cd</t>
  </si>
  <si>
    <t>VAV-915</t>
  </si>
  <si>
    <t xml:space="preserve">6D288 </t>
  </si>
  <si>
    <t>uuid://0a4a6aef-0ffb-4797-9fcc-9f3a2d7175c2</t>
  </si>
  <si>
    <t>VAV-916</t>
  </si>
  <si>
    <t xml:space="preserve">6I21 </t>
  </si>
  <si>
    <t>uuid://caa25792-1edd-4eb5-a517-f90c56d7889d</t>
  </si>
  <si>
    <t>VAV-917</t>
  </si>
  <si>
    <t xml:space="preserve">6D47 </t>
  </si>
  <si>
    <t>uuid://7c25b213-dc06-4ac0-b882-9a707ddb7b71</t>
  </si>
  <si>
    <t>VAV-918</t>
  </si>
  <si>
    <t xml:space="preserve">6D46 </t>
  </si>
  <si>
    <t>uuid://3eedd337-2979-4b08-bdca-52380f27d18f</t>
  </si>
  <si>
    <t>VAV-919</t>
  </si>
  <si>
    <t>6D45</t>
  </si>
  <si>
    <t>uuid://56a800e9-fcf2-47b2-9473-39b47d163a22</t>
  </si>
  <si>
    <t>VAV-920</t>
  </si>
  <si>
    <t>uuid://01c58f97-74da-4f78-a025-116198945908</t>
  </si>
  <si>
    <t>VAV-921</t>
  </si>
  <si>
    <t xml:space="preserve">6D301 </t>
  </si>
  <si>
    <t>uuid://00fa3a04-caa8-45c6-8f97-d5dff1e17cf7</t>
  </si>
  <si>
    <t>VAV-922</t>
  </si>
  <si>
    <t xml:space="preserve">6D302 </t>
  </si>
  <si>
    <t>uuid://9c670faa-7b30-4c66-bc02-34d0ff470130</t>
  </si>
  <si>
    <t>VAV-923</t>
  </si>
  <si>
    <t>6D309</t>
  </si>
  <si>
    <t>uuid://1df77fcc-f33b-401c-8b90-32b33bb07f42</t>
  </si>
  <si>
    <t>VAV-924</t>
  </si>
  <si>
    <t xml:space="preserve">6D75 </t>
  </si>
  <si>
    <t>uuid://fac434db-d4be-4a6c-981f-3ff58e71c00e</t>
  </si>
  <si>
    <t>VAV-925</t>
  </si>
  <si>
    <t xml:space="preserve">6D310 </t>
  </si>
  <si>
    <t>uuid://35e4c04b-cc1f-4298-a225-b65ce8e56344</t>
  </si>
  <si>
    <t>VAV-926</t>
  </si>
  <si>
    <t>6D313</t>
  </si>
  <si>
    <t>uuid://004c0853-e256-447f-9995-8e124c7fda64</t>
  </si>
  <si>
    <t>VAV-927</t>
  </si>
  <si>
    <t>FA Ahu Room</t>
  </si>
  <si>
    <t>uuid://ddc1f165-7e2d-481e-a4f9-cd23a7497fea</t>
  </si>
  <si>
    <t>VAV-928</t>
  </si>
  <si>
    <t>6D60</t>
  </si>
  <si>
    <t>uuid://29891655-e421-4697-a6c3-2fdf73e9ab19</t>
  </si>
  <si>
    <t>VAV-929</t>
  </si>
  <si>
    <t xml:space="preserve">6D31 </t>
  </si>
  <si>
    <t>uuid://9b4a20c6-d1a1-4eae-b8f8-a46d458d3263</t>
  </si>
  <si>
    <t>VAV-930</t>
  </si>
  <si>
    <t xml:space="preserve">6D223 </t>
  </si>
  <si>
    <t>uuid://c0068241-0cb1-4c02-a5a1-06c61b18ac5d</t>
  </si>
  <si>
    <t>VAV-931</t>
  </si>
  <si>
    <t xml:space="preserve">6D32 </t>
  </si>
  <si>
    <t>uuid://91e47987-aee2-43db-9f51-c010f161a13b</t>
  </si>
  <si>
    <t>VAV-932</t>
  </si>
  <si>
    <t xml:space="preserve">6D70 </t>
  </si>
  <si>
    <t>uuid://cc258f7d-ef88-4115-91f5-9cd8ceabd083</t>
  </si>
  <si>
    <t>VAV-933</t>
  </si>
  <si>
    <t xml:space="preserve">6D33 </t>
  </si>
  <si>
    <t>uuid://8c1cf90c-be58-4bc4-9ae5-f4d1ef03e30e</t>
  </si>
  <si>
    <t>VAV-934</t>
  </si>
  <si>
    <t xml:space="preserve">6D37 </t>
  </si>
  <si>
    <t>uuid://7bdc1aed-c2f1-4784-8744-036abddaaffd</t>
  </si>
  <si>
    <t>VAV-935</t>
  </si>
  <si>
    <t xml:space="preserve">6D41 </t>
  </si>
  <si>
    <t>uuid://0786828e-a2ec-47e5-8894-6e1e84859bb5</t>
  </si>
  <si>
    <t>VAV-936</t>
  </si>
  <si>
    <t xml:space="preserve">6D44 </t>
  </si>
  <si>
    <t>uuid://48778f90-fe02-404c-92bb-778a71d95133</t>
  </si>
  <si>
    <t>VAV-937</t>
  </si>
  <si>
    <t xml:space="preserve">6D43 </t>
  </si>
  <si>
    <t>uuid://912e9f49-796b-4c7c-99e6-50e570dc7af1</t>
  </si>
  <si>
    <t>VAV-938</t>
  </si>
  <si>
    <t xml:space="preserve">6D42 </t>
  </si>
  <si>
    <t>uuid://105f22d4-813d-4d47-8a9a-56e78a4706a2</t>
  </si>
  <si>
    <t>VAV-939</t>
  </si>
  <si>
    <t xml:space="preserve">6I23 </t>
  </si>
  <si>
    <t>uuid://b9b3358a-966e-43a2-b044-c897e09a1cf3</t>
  </si>
  <si>
    <t>VAV-940</t>
  </si>
  <si>
    <t xml:space="preserve">6D30 </t>
  </si>
  <si>
    <t>uuid://a6475ee9-f3a6-4120-89f4-d9b0604ad61e</t>
  </si>
  <si>
    <t>VAV-941</t>
  </si>
  <si>
    <t xml:space="preserve">6D57 </t>
  </si>
  <si>
    <t>uuid://18f9c395-904b-4094-9acd-181a00b75154</t>
  </si>
  <si>
    <t>VAV-942</t>
  </si>
  <si>
    <t xml:space="preserve">6D29 </t>
  </si>
  <si>
    <t>uuid://4caf4f13-3739-43b7-9a1d-8b819bdf6f39</t>
  </si>
  <si>
    <t>VAV-943</t>
  </si>
  <si>
    <t xml:space="preserve">6D24 </t>
  </si>
  <si>
    <t>uuid://b606a9b5-062e-4a8b-975e-31e64565dc8a</t>
  </si>
  <si>
    <t>VAV-944</t>
  </si>
  <si>
    <t xml:space="preserve">6D25 </t>
  </si>
  <si>
    <t>uuid://a30f9cdc-749d-4ea3-8487-55247f480073</t>
  </si>
  <si>
    <t>VAV-945</t>
  </si>
  <si>
    <t xml:space="preserve">6D28 </t>
  </si>
  <si>
    <t>uuid://c4182b56-657d-4855-8aec-0e1024120cfb</t>
  </si>
  <si>
    <t>VAV-946</t>
  </si>
  <si>
    <t xml:space="preserve">6D26 </t>
  </si>
  <si>
    <t>uuid://49c070f3-8951-4805-bcfe-6645e404b618</t>
  </si>
  <si>
    <t>VAV-947</t>
  </si>
  <si>
    <t>618</t>
  </si>
  <si>
    <t>uuid://f4acd108-c19e-4ea4-9879-b24fc0f3b90f</t>
  </si>
  <si>
    <t>VAV-948</t>
  </si>
  <si>
    <t xml:space="preserve">6D17 </t>
  </si>
  <si>
    <t>uuid://0645bd8a-7797-4558-b8f4-6859fce7d738</t>
  </si>
  <si>
    <t>VAV-949</t>
  </si>
  <si>
    <t xml:space="preserve">6D15 </t>
  </si>
  <si>
    <t>uuid://85b1cd5b-ae51-45ea-81cf-00c9cce421bd</t>
  </si>
  <si>
    <t>VAV-950</t>
  </si>
  <si>
    <t>6D18</t>
  </si>
  <si>
    <t>uuid://b68e6010-8b54-4375-b7e7-e8207e213165</t>
  </si>
  <si>
    <t>VAV-951</t>
  </si>
  <si>
    <t xml:space="preserve">6D16 </t>
  </si>
  <si>
    <t>uuid://ec40d58a-779d-4f45-a0e5-c4b20ddaa0d8</t>
  </si>
  <si>
    <t>VAV-952</t>
  </si>
  <si>
    <t xml:space="preserve">6D13 </t>
  </si>
  <si>
    <t>uuid://a1fe2f5f-7555-441e-b201-b749e49c6733</t>
  </si>
  <si>
    <t>VAV-953</t>
  </si>
  <si>
    <t xml:space="preserve">6D114 </t>
  </si>
  <si>
    <t>uuid://0c9f565e-f822-417c-9637-e150c442f330</t>
  </si>
  <si>
    <t>VAV-954</t>
  </si>
  <si>
    <t xml:space="preserve">6D110 </t>
  </si>
  <si>
    <t>uuid://7aa6c52a-0642-447d-baa2-d787da0f7aca</t>
  </si>
  <si>
    <t>VAV-955</t>
  </si>
  <si>
    <t xml:space="preserve">6D092 </t>
  </si>
  <si>
    <t>uuid://a94b7966-c8d5-4725-a12e-fd75570d2bd0</t>
  </si>
  <si>
    <t>VAV-956</t>
  </si>
  <si>
    <t xml:space="preserve">6D098 </t>
  </si>
  <si>
    <t>uuid://16893f4b-b9e8-4a8b-a70b-e92ed20c36bb</t>
  </si>
  <si>
    <t>VAV-957</t>
  </si>
  <si>
    <t xml:space="preserve">6D0 </t>
  </si>
  <si>
    <t>uuid://c0cb12c6-479f-4087-9b87-de2ab7515463</t>
  </si>
  <si>
    <t>VAV-958</t>
  </si>
  <si>
    <t xml:space="preserve">6D77 </t>
  </si>
  <si>
    <t>uuid://b615c480-69c3-4d1d-82e7-89dcfef9a3a6</t>
  </si>
  <si>
    <t>VAV-959</t>
  </si>
  <si>
    <t xml:space="preserve">6D10 </t>
  </si>
  <si>
    <t>uuid://c5477bf7-66ed-4dfc-a715-39c04393119f</t>
  </si>
  <si>
    <t>VAV-960</t>
  </si>
  <si>
    <t>uuid://9f613467-059c-402e-b1b2-c29d58b7b400</t>
  </si>
  <si>
    <t>VAV-961</t>
  </si>
  <si>
    <t>IDF ROOM - 2</t>
  </si>
  <si>
    <t>uuid://15493146-6765-415a-8a9f-265f3030c56f</t>
  </si>
  <si>
    <t>VAV-962</t>
  </si>
  <si>
    <t xml:space="preserve">6A2 </t>
  </si>
  <si>
    <t>uuid://41a59ae3-be20-4b0c-bcf7-1cd26abc9b97</t>
  </si>
  <si>
    <t>VAV-963</t>
  </si>
  <si>
    <t>uuid://b803498a-4f18-451b-b15a-5bcd4e06726b</t>
  </si>
  <si>
    <t>VAV-964</t>
  </si>
  <si>
    <t>6A61</t>
  </si>
  <si>
    <t>uuid://e71e41e5-3bf1-490e-bc8d-b422cae4e728</t>
  </si>
  <si>
    <t>VAV-965</t>
  </si>
  <si>
    <t xml:space="preserve">6A3 </t>
  </si>
  <si>
    <t>uuid://86a9e3eb-0374-4f61-86a8-5f704858f57c</t>
  </si>
  <si>
    <t>VAV-966</t>
  </si>
  <si>
    <t>uuid://bfde87d6-3b3f-475e-a753-0317137bd5ee</t>
  </si>
  <si>
    <t>VAV-967</t>
  </si>
  <si>
    <t>Near by lift lobby</t>
  </si>
  <si>
    <t>uuid://63b770f9-73bf-40b2-9fff-0caa08456c30</t>
  </si>
  <si>
    <t>VAV-968</t>
  </si>
  <si>
    <t>6D162</t>
  </si>
  <si>
    <t>uuid://207fdbe0-0f9f-493d-a2e5-ef349f4b3219</t>
  </si>
  <si>
    <t>VAV-969</t>
  </si>
  <si>
    <t>6D20</t>
  </si>
  <si>
    <t>uuid://f8bca6dd-0bd4-4ddb-bbf3-f8a8e6b1daa6</t>
  </si>
  <si>
    <t>VAV-970</t>
  </si>
  <si>
    <t xml:space="preserve">6D21 </t>
  </si>
  <si>
    <t>uuid://db49e1a9-dc4a-483c-967a-4b0d318ebcd0</t>
  </si>
  <si>
    <t>VAV-971</t>
  </si>
  <si>
    <t xml:space="preserve">6D22 </t>
  </si>
  <si>
    <t>uuid://975d8be1-e0a6-4478-89fd-86a4d698cfb7</t>
  </si>
  <si>
    <t>VAV-972</t>
  </si>
  <si>
    <t>uuid://b81db653-803d-4223-a414-4bb13f86d5e0</t>
  </si>
  <si>
    <t>VAV-973</t>
  </si>
  <si>
    <t xml:space="preserve">6D117 </t>
  </si>
  <si>
    <t>uuid://08449172-4ff1-41af-b100-5373a2ad1591</t>
  </si>
  <si>
    <t>VAV-974</t>
  </si>
  <si>
    <t xml:space="preserve">6D140 </t>
  </si>
  <si>
    <t>uuid://effe33bf-9da8-4fa1-b28b-4c391272e4b7</t>
  </si>
  <si>
    <t>VAV-975</t>
  </si>
  <si>
    <t xml:space="preserve">6D182 </t>
  </si>
  <si>
    <t>uuid://4d2b5e51-04a3-4e03-8ef8-4be31ede4493</t>
  </si>
  <si>
    <t>VAV-976</t>
  </si>
  <si>
    <t xml:space="preserve">6A78 </t>
  </si>
  <si>
    <t>uuid://4d01dd5d-c206-4156-b7b7-012c003ccbe7</t>
  </si>
  <si>
    <t>VAV-977</t>
  </si>
  <si>
    <t xml:space="preserve">6A76 </t>
  </si>
  <si>
    <t>uuid://2d74143a-ba75-4f5b-afd4-b6b63aea4ab4</t>
  </si>
  <si>
    <t>VAV-978</t>
  </si>
  <si>
    <t>6A152</t>
  </si>
  <si>
    <t>uuid://d573fe91-ac9a-483c-9e53-ee3619cfdfd1</t>
  </si>
  <si>
    <t>VAV-979</t>
  </si>
  <si>
    <t xml:space="preserve">6A149 </t>
  </si>
  <si>
    <t>uuid://a33090c0-5221-471e-b5d0-5c1792670b7e</t>
  </si>
  <si>
    <t>VAV-980</t>
  </si>
  <si>
    <t xml:space="preserve">6A45 </t>
  </si>
  <si>
    <t>uuid://540fc9f4-803a-4798-b718-6cc084163365</t>
  </si>
  <si>
    <t>VAV-981</t>
  </si>
  <si>
    <t>6A44</t>
  </si>
  <si>
    <t>uuid://1cb46ca4-4df8-47b6-b306-9d61500d748e</t>
  </si>
  <si>
    <t>VAV-982</t>
  </si>
  <si>
    <t xml:space="preserve">6A43 </t>
  </si>
  <si>
    <t>uuid://9360259e-517f-41a1-8190-6e21b68892d5</t>
  </si>
  <si>
    <t>VAV-983</t>
  </si>
  <si>
    <t xml:space="preserve">6A38 </t>
  </si>
  <si>
    <t>uuid://61c9ee79-4893-4654-94ae-19837b286058</t>
  </si>
  <si>
    <t>VAV-984</t>
  </si>
  <si>
    <t>uuid://0528b455-e5a3-43cb-9d9b-1849627ede05</t>
  </si>
  <si>
    <t>VAV-985</t>
  </si>
  <si>
    <t xml:space="preserve">6A37 </t>
  </si>
  <si>
    <t>uuid://e8650e61-c4c2-4ce4-a591-7b7f845ba767</t>
  </si>
  <si>
    <t>VAV-986</t>
  </si>
  <si>
    <t xml:space="preserve">6A32 </t>
  </si>
  <si>
    <t>uuid://f90f62ed-44b5-42fb-b222-331ec8b36225</t>
  </si>
  <si>
    <t>VAV-987</t>
  </si>
  <si>
    <t>6A110 - W/S</t>
  </si>
  <si>
    <t>uuid://d8cb1ac6-649f-4877-b975-33f62941c1e3</t>
  </si>
  <si>
    <t>VAV-988</t>
  </si>
  <si>
    <t xml:space="preserve">6A127 </t>
  </si>
  <si>
    <t>uuid://12bd2e57-94fb-4cdd-9392-57e1591517f8</t>
  </si>
  <si>
    <t>VAV-989</t>
  </si>
  <si>
    <t xml:space="preserve">6I43 </t>
  </si>
  <si>
    <t>uuid://960df468-f586-4c48-b74e-4567bd96e8ac</t>
  </si>
  <si>
    <t>VAV-990</t>
  </si>
  <si>
    <t xml:space="preserve">6A28 </t>
  </si>
  <si>
    <t>uuid://7bdb5c21-394b-4d94-9c53-ab3db15db614</t>
  </si>
  <si>
    <t>VAV-991</t>
  </si>
  <si>
    <t xml:space="preserve">6A71 </t>
  </si>
  <si>
    <t>uuid://4a53fbb1-a7d0-4bef-9bfa-f19103e5421d</t>
  </si>
  <si>
    <t>VAV-992</t>
  </si>
  <si>
    <t xml:space="preserve">6A095 </t>
  </si>
  <si>
    <t>uuid://5d1576ff-00cd-463b-a8f6-29b0bd2258dd</t>
  </si>
  <si>
    <t>VAV-993</t>
  </si>
  <si>
    <t>6A096</t>
  </si>
  <si>
    <t>uuid://5a772263-622e-4059-b4e6-faec729a0945</t>
  </si>
  <si>
    <t>VAV-994</t>
  </si>
  <si>
    <t xml:space="preserve">6A072 </t>
  </si>
  <si>
    <t>uuid://0bb725ed-5453-40c9-b8c5-2233c9b3e5d3</t>
  </si>
  <si>
    <t>VAV-995</t>
  </si>
  <si>
    <t xml:space="preserve">6A21 </t>
  </si>
  <si>
    <t>uuid://f0e3212c-6a89-482d-b355-4fb3f54e5533</t>
  </si>
  <si>
    <t>VAV-996</t>
  </si>
  <si>
    <t xml:space="preserve">6A25 </t>
  </si>
  <si>
    <t>uuid://25ff05e6-b16e-4872-baa0-8bd6ff8c1216</t>
  </si>
  <si>
    <t>VAV-997</t>
  </si>
  <si>
    <t>FA AHU Room</t>
  </si>
  <si>
    <t>uuid://a0ded119-9765-4e85-97e9-942079ecd46a</t>
  </si>
  <si>
    <t>VAV-998</t>
  </si>
  <si>
    <t xml:space="preserve">6A058 </t>
  </si>
  <si>
    <t>uuid://d5d4dd4e-f0a3-45ba-b208-600e5e79fc99</t>
  </si>
  <si>
    <t>VAV-999</t>
  </si>
  <si>
    <t xml:space="preserve">6A018 </t>
  </si>
  <si>
    <t>uuid://4581f954-05de-44e3-b9e2-1adf63a7a577</t>
  </si>
  <si>
    <t>VAV-1000</t>
  </si>
  <si>
    <t xml:space="preserve">6A14 </t>
  </si>
  <si>
    <t>uuid://3b8acced-c6c9-4fe0-8f67-c03c378a5c54</t>
  </si>
  <si>
    <t>VAV-1001</t>
  </si>
  <si>
    <t xml:space="preserve">6A15 </t>
  </si>
  <si>
    <t>uuid://a05f70d3-bcf9-431c-921c-086124b9dd1e</t>
  </si>
  <si>
    <t>VAV-1002</t>
  </si>
  <si>
    <t xml:space="preserve">6A4 </t>
  </si>
  <si>
    <t>uuid://ac932fd1-f06b-4157-8a6b-d8f0aa552814</t>
  </si>
  <si>
    <t>VAV-1003</t>
  </si>
  <si>
    <t xml:space="preserve">6A012 </t>
  </si>
  <si>
    <t>uuid://b1f67eb6-848e-46e0-b49e-1f7b66cc60f3</t>
  </si>
  <si>
    <t>VAV-1004</t>
  </si>
  <si>
    <t xml:space="preserve">6A13 </t>
  </si>
  <si>
    <t>uuid://87751c10-acc9-441e-b315-5343b2e4e0f5</t>
  </si>
  <si>
    <t>VAV-1005</t>
  </si>
  <si>
    <t xml:space="preserve">6A12 </t>
  </si>
  <si>
    <t>uuid://c0b8210f-55d8-40ac-a3aa-4e15c8d3485d</t>
  </si>
  <si>
    <t>VAV-1006</t>
  </si>
  <si>
    <t xml:space="preserve">6A6 </t>
  </si>
  <si>
    <t>uuid://4a51a9c4-4039-471b-87a8-574824a0acc8</t>
  </si>
  <si>
    <t>VAV-1007</t>
  </si>
  <si>
    <t xml:space="preserve">6A62 </t>
  </si>
  <si>
    <t>uuid://bb9e21e5-5d06-4509-8799-8d0ffaac5f24</t>
  </si>
  <si>
    <t>VAV-1008</t>
  </si>
  <si>
    <t xml:space="preserve">6A7 </t>
  </si>
  <si>
    <t>uuid://9b01a382-945e-43c8-b9e0-14b956d8367b</t>
  </si>
  <si>
    <t>VAV-1009</t>
  </si>
  <si>
    <t xml:space="preserve">656 </t>
  </si>
  <si>
    <t>uuid://4bf632b0-dffc-4448-a9dc-f8bdd88c3299</t>
  </si>
  <si>
    <t>VAV-1010</t>
  </si>
  <si>
    <t xml:space="preserve">C618 </t>
  </si>
  <si>
    <t>uuid://7956b934-0e17-4019-91d8-a2025debe28b</t>
  </si>
  <si>
    <t>VAV-1011</t>
  </si>
  <si>
    <t xml:space="preserve">6A40 </t>
  </si>
  <si>
    <t>uuid://994df963-1d62-4fd8-9e5d-8c16fe730e3f</t>
  </si>
  <si>
    <t>VAV-1012</t>
  </si>
  <si>
    <t xml:space="preserve">6A36 </t>
  </si>
  <si>
    <t>uuid://9267a591-621b-4343-b4a2-e6858cb19672</t>
  </si>
  <si>
    <t>VAV-1013</t>
  </si>
  <si>
    <t xml:space="preserve">6A27 </t>
  </si>
  <si>
    <t>uuid://ba4912a6-724a-4554-a915-aaa2053a40dd</t>
  </si>
  <si>
    <t>VAV-1014</t>
  </si>
  <si>
    <t xml:space="preserve">C621 </t>
  </si>
  <si>
    <t>uuid://36f69040-1a32-4b51-8607-e30a6894522c</t>
  </si>
  <si>
    <t>VAV-1015</t>
  </si>
  <si>
    <t xml:space="preserve">6A19 </t>
  </si>
  <si>
    <t>uuid://f81ecb43-9934-4cb7-95bc-619bdf380e36</t>
  </si>
  <si>
    <t>VAV-1016</t>
  </si>
  <si>
    <t>uuid://1e651d81-d7af-4ec5-84b9-41e3400eceef</t>
  </si>
  <si>
    <t>VAV-1017</t>
  </si>
  <si>
    <t xml:space="preserve">6A5 </t>
  </si>
  <si>
    <t>uuid://7f709152-1bfc-4167-964b-c5387cadb609</t>
  </si>
  <si>
    <t>VAV-1018</t>
  </si>
  <si>
    <t xml:space="preserve">6A23 </t>
  </si>
  <si>
    <t>uuid://48283697-b577-47d0-98b8-a2616d648b20</t>
  </si>
  <si>
    <t>VAV-1019</t>
  </si>
  <si>
    <t xml:space="preserve">6B38 </t>
  </si>
  <si>
    <t>uuid://28187cae-4f33-4f69-9273-fb7ee5c70fd5</t>
  </si>
  <si>
    <t>VAV-1020</t>
  </si>
  <si>
    <t xml:space="preserve">6A54 </t>
  </si>
  <si>
    <t>uuid://42e8aa9a-5bc0-4718-a488-b160f6e073bc</t>
  </si>
  <si>
    <t>VAV-1021</t>
  </si>
  <si>
    <t xml:space="preserve">6A55 </t>
  </si>
  <si>
    <t>uuid://34e5c713-a976-4487-953e-aef40ac5e40f</t>
  </si>
  <si>
    <t>VAV-1022</t>
  </si>
  <si>
    <t xml:space="preserve">6A56 </t>
  </si>
  <si>
    <t>uuid://e0b4f348-4d8e-479b-9425-dbed8a6807f9</t>
  </si>
  <si>
    <t>VAV-1023</t>
  </si>
  <si>
    <t>IDF ROOM - 1</t>
  </si>
  <si>
    <t>uuid://f76807af-10d6-42f6-bcb8-2f4a5cecee95</t>
  </si>
  <si>
    <t>VAV-1024</t>
  </si>
  <si>
    <t>6A207</t>
  </si>
  <si>
    <t>uuid://cc1d947c-2314-44a6-a930-26cbb9cd4014</t>
  </si>
  <si>
    <t>VAV-1025</t>
  </si>
  <si>
    <t xml:space="preserve">6A193 </t>
  </si>
  <si>
    <t>uuid://2504e851-ed67-42cf-af22-3606dda1fdf5</t>
  </si>
  <si>
    <t>VAV-1026</t>
  </si>
  <si>
    <t xml:space="preserve">6B32 </t>
  </si>
  <si>
    <t>uuid://e669cc22-237e-4318-88a0-889a7b21893a</t>
  </si>
  <si>
    <t>VAV-1027</t>
  </si>
  <si>
    <t xml:space="preserve">605 </t>
  </si>
  <si>
    <t>uuid://3cbf9b93-ac41-4850-b101-2d186810ac47</t>
  </si>
  <si>
    <t>VAV-1028</t>
  </si>
  <si>
    <t>604</t>
  </si>
  <si>
    <t>uuid://00528938-084b-4054-8b34-fcd394b92289</t>
  </si>
  <si>
    <t>VAV-1029</t>
  </si>
  <si>
    <t>607</t>
  </si>
  <si>
    <t>uuid://fc46a68f-4ea4-4344-a2d7-2e673272aac2</t>
  </si>
  <si>
    <t>VAV-1030</t>
  </si>
  <si>
    <t xml:space="preserve">614 </t>
  </si>
  <si>
    <t>uuid://206f6517-51ff-4821-bde0-35fe97dd4913</t>
  </si>
  <si>
    <t>VAV-1031</t>
  </si>
  <si>
    <t xml:space="preserve">C635 </t>
  </si>
  <si>
    <t>uuid://a25f34cf-9d02-482e-9d1d-6e27c79ef102</t>
  </si>
  <si>
    <t>VAV-1032</t>
  </si>
  <si>
    <t xml:space="preserve">6A42 </t>
  </si>
  <si>
    <t>uuid://94f88334-4638-4933-b220-ad311837fded</t>
  </si>
  <si>
    <t>VAV-1033</t>
  </si>
  <si>
    <t xml:space="preserve">6A50 &amp; 6A51 </t>
  </si>
  <si>
    <t>uuid://9339a2cf-dd6b-4aa6-b4c8-726946efa387</t>
  </si>
  <si>
    <t>VAV-1034</t>
  </si>
  <si>
    <t xml:space="preserve">6B39 </t>
  </si>
  <si>
    <t>uuid://9a17221a-9389-492b-b449-111aa0f0dd84</t>
  </si>
  <si>
    <t>VAV-1035</t>
  </si>
  <si>
    <t>6A172</t>
  </si>
  <si>
    <t>uuid://1c8c10b5-115d-4fd5-a0b8-7db5604fac5a</t>
  </si>
  <si>
    <t>VAV-1036</t>
  </si>
  <si>
    <t xml:space="preserve">6A174 </t>
  </si>
  <si>
    <t>uuid://540cfec1-1d4a-4099-9222-7cf0d6b4ae00</t>
  </si>
  <si>
    <t>VAV-1037</t>
  </si>
  <si>
    <t>uuid://b30f936e-5ca3-4f33-9654-b3876a6cf2df</t>
  </si>
  <si>
    <t>VAV-1038</t>
  </si>
  <si>
    <t xml:space="preserve">6C34 </t>
  </si>
  <si>
    <t>uuid://8d11f5c4-6a92-44dc-988c-7a7c08052bf7</t>
  </si>
  <si>
    <t>VAV-1039</t>
  </si>
  <si>
    <t>IDF Room - 3</t>
  </si>
  <si>
    <t>uuid://09985979-714a-46f2-aedc-5db2387ba3e9</t>
  </si>
  <si>
    <t>VAV-1040</t>
  </si>
  <si>
    <t>uuid://46cb4f47-46b3-4b8c-a90f-cf31b996a720</t>
  </si>
  <si>
    <t>VAV-1041</t>
  </si>
  <si>
    <t>uuid://c757cfd4-9107-4852-aae4-cc278f5cbab9</t>
  </si>
  <si>
    <t>VAV-1042</t>
  </si>
  <si>
    <t xml:space="preserve">6D038 </t>
  </si>
  <si>
    <t>uuid://ab677259-ef2b-4cb4-a74e-a8ca8885ba94</t>
  </si>
  <si>
    <t>VAV-1043</t>
  </si>
  <si>
    <t xml:space="preserve">6D022 </t>
  </si>
  <si>
    <t>uuid://6373c19a-654d-4465-9439-bbd64fc32ff2</t>
  </si>
  <si>
    <t>VAV-1044</t>
  </si>
  <si>
    <t xml:space="preserve">6D7 </t>
  </si>
  <si>
    <t>uuid://b326ce5c-9a6c-4463-959e-5c3caceb9518</t>
  </si>
  <si>
    <t>VAV-1045</t>
  </si>
  <si>
    <t xml:space="preserve">6D019 </t>
  </si>
  <si>
    <t>uuid://bf50984a-9c4d-4dae-98ab-9119919f8e53</t>
  </si>
  <si>
    <t>VAV-1046</t>
  </si>
  <si>
    <t xml:space="preserve">6D004 </t>
  </si>
  <si>
    <t>uuid://adcc2a3f-5c30-4989-9860-bfea5d27a5d6</t>
  </si>
  <si>
    <t>VAV-1047</t>
  </si>
  <si>
    <t xml:space="preserve">616 </t>
  </si>
  <si>
    <t>uuid://fbd4f099-f36b-4209-8aec-ef3f9d56d452</t>
  </si>
  <si>
    <t>VAV-1048</t>
  </si>
  <si>
    <t xml:space="preserve">6D049 </t>
  </si>
  <si>
    <t>uuid://8ef51c3a-1965-4ed6-9d55-274d9d46bd52</t>
  </si>
  <si>
    <t>VAV-1049</t>
  </si>
  <si>
    <t xml:space="preserve">6D067 </t>
  </si>
  <si>
    <t>uuid://844e89dd-9fcb-4d71-9f59-35e77f1fc05d</t>
  </si>
  <si>
    <t>VAV-1050</t>
  </si>
  <si>
    <t xml:space="preserve">6D075 </t>
  </si>
  <si>
    <t>uuid://8ca84e2a-dbee-4232-a901-3d12fa5d8886</t>
  </si>
  <si>
    <t>VAV-1051</t>
  </si>
  <si>
    <t xml:space="preserve">6C25 </t>
  </si>
  <si>
    <t>uuid://98d66943-5911-4e41-94f9-b0fa83e1119b</t>
  </si>
  <si>
    <t>VAV-1052</t>
  </si>
  <si>
    <t>uuid://90351497-d880-4cef-99bc-db62687c44a1</t>
  </si>
  <si>
    <t>VAV-1053</t>
  </si>
  <si>
    <t xml:space="preserve">6C27 </t>
  </si>
  <si>
    <t>uuid://eeb08cc0-a7c1-4921-86d4-664f26da67e6</t>
  </si>
  <si>
    <t>VAV-1054</t>
  </si>
  <si>
    <t xml:space="preserve">6C26 </t>
  </si>
  <si>
    <t>uuid://dc8b0b63-a874-41ec-aaea-c92c0ddc0683</t>
  </si>
  <si>
    <t>VAV-1055</t>
  </si>
  <si>
    <t xml:space="preserve">6C24 </t>
  </si>
  <si>
    <t>uuid://d3405004-53a8-4634-8685-e5f9ebf1fd54</t>
  </si>
  <si>
    <t>VAV-1056</t>
  </si>
  <si>
    <t xml:space="preserve">6C23 </t>
  </si>
  <si>
    <t>uuid://d71e69e9-c802-4aca-bfbb-cba215426485</t>
  </si>
  <si>
    <t>VAV-1057</t>
  </si>
  <si>
    <t xml:space="preserve">6C22 </t>
  </si>
  <si>
    <t>uuid://cad478f2-f2e7-4262-833b-928d2b984ae5</t>
  </si>
  <si>
    <t>VAV-1058</t>
  </si>
  <si>
    <t xml:space="preserve">6C21 </t>
  </si>
  <si>
    <t>uuid://2e06cdf5-cfc4-4dc2-8566-4b3f43a8d8a9</t>
  </si>
  <si>
    <t>VAV-1059</t>
  </si>
  <si>
    <t xml:space="preserve">6C8 </t>
  </si>
  <si>
    <t>uuid://18f6f59d-e14e-4790-b264-732355fb4223</t>
  </si>
  <si>
    <t>VAV-1060</t>
  </si>
  <si>
    <t>6C12</t>
  </si>
  <si>
    <t>uuid://93957275-5012-443e-a567-c23020d23bf1</t>
  </si>
  <si>
    <t>VAV-1061</t>
  </si>
  <si>
    <t xml:space="preserve">6C10 </t>
  </si>
  <si>
    <t>uuid://3cd8fd18-7a4d-4e23-8312-cea35ff93a7c</t>
  </si>
  <si>
    <t>VAV-1062</t>
  </si>
  <si>
    <t xml:space="preserve">6C13 </t>
  </si>
  <si>
    <t>uuid://86b51ddd-aab3-4cf0-8adc-cb08ef02afe2</t>
  </si>
  <si>
    <t>VAV-1063</t>
  </si>
  <si>
    <t xml:space="preserve">6C19 </t>
  </si>
  <si>
    <t>uuid://a7939d3d-cd61-4ca5-9170-bf17ba97b7b9</t>
  </si>
  <si>
    <t>VAV-1064</t>
  </si>
  <si>
    <t xml:space="preserve">6C17 </t>
  </si>
  <si>
    <t>uuid://26be4b87-e00e-4552-84d6-2f27cbc99c37</t>
  </si>
  <si>
    <t>VAV-1065</t>
  </si>
  <si>
    <t>670</t>
  </si>
  <si>
    <t>uuid://1f1fd230-8f5d-476c-a596-007ed7e49b85</t>
  </si>
  <si>
    <t>VAV-1066</t>
  </si>
  <si>
    <t xml:space="preserve">6C16 </t>
  </si>
  <si>
    <t>uuid://aa47850c-6578-45cc-8246-989348d7db86</t>
  </si>
  <si>
    <t>VAV-1067</t>
  </si>
  <si>
    <t>uuid://667fbef2-fcd1-49ee-b893-7030d82ffe81</t>
  </si>
  <si>
    <t>VAV-1068</t>
  </si>
  <si>
    <t>6C15</t>
  </si>
  <si>
    <t>uuid://c8edd260-02ae-465c-a9d3-3c1ee2195b00</t>
  </si>
  <si>
    <t>VAV-1069</t>
  </si>
  <si>
    <t xml:space="preserve">6C14 </t>
  </si>
  <si>
    <t>uuid://df7eddb7-3abb-45ab-8eca-08b5eb6470f9</t>
  </si>
  <si>
    <t>VAV-1070</t>
  </si>
  <si>
    <t xml:space="preserve">6B11 &amp; 6B13 </t>
  </si>
  <si>
    <t>uuid://e166f330-8ea9-4869-a922-2c97ca64c72f</t>
  </si>
  <si>
    <t>VAV-1071</t>
  </si>
  <si>
    <t xml:space="preserve">6B12 &amp; 6B14 </t>
  </si>
  <si>
    <t>uuid://824a1738-4608-4602-a647-28f3e3215637</t>
  </si>
  <si>
    <t>VAV-1072</t>
  </si>
  <si>
    <t xml:space="preserve">6B16 </t>
  </si>
  <si>
    <t>uuid://fd68d3db-3636-47de-8c90-70927e7b58e2</t>
  </si>
  <si>
    <t>VAV-1073</t>
  </si>
  <si>
    <t xml:space="preserve">6B15 </t>
  </si>
  <si>
    <t>uuid://f4bfe43b-13a0-42b8-828f-20014e23caa1</t>
  </si>
  <si>
    <t>VAV-1074</t>
  </si>
  <si>
    <t xml:space="preserve">6I79 &amp; 6180 </t>
  </si>
  <si>
    <t>uuid://6e495e22-bd23-4548-bd8f-7f9ec1cce209</t>
  </si>
  <si>
    <t>VAV-1075</t>
  </si>
  <si>
    <t xml:space="preserve">6B18 </t>
  </si>
  <si>
    <t>uuid://e9379cbd-7492-4ea0-9c5f-585df4eb2f54</t>
  </si>
  <si>
    <t>VAV-1076</t>
  </si>
  <si>
    <t>6B24 - Central Kitchen</t>
  </si>
  <si>
    <t>uuid://5b3fac11-b29c-4f20-8ce7-ddb57d219c0d</t>
  </si>
  <si>
    <t>VAV-1077</t>
  </si>
  <si>
    <t xml:space="preserve">6I82 </t>
  </si>
  <si>
    <t>uuid://8867badd-5f23-4953-b78d-2ef94de85bcf</t>
  </si>
  <si>
    <t>VAV-1078</t>
  </si>
  <si>
    <t xml:space="preserve">6B19 </t>
  </si>
  <si>
    <t>uuid://49431fe0-5acc-4dc2-b756-083199de4070</t>
  </si>
  <si>
    <t>VAV-1079</t>
  </si>
  <si>
    <t xml:space="preserve">6I84 </t>
  </si>
  <si>
    <t>uuid://5e6cc911-ae0c-4044-a497-a128f1861b35</t>
  </si>
  <si>
    <t>VAV-1080</t>
  </si>
  <si>
    <t>6B26</t>
  </si>
  <si>
    <t>uuid://7b50a1ba-696c-46f3-945a-e6533d5a4b4f</t>
  </si>
  <si>
    <t>VAV-1081</t>
  </si>
  <si>
    <t xml:space="preserve">6B27 </t>
  </si>
  <si>
    <t>uuid://3b811a57-196f-4dce-9fdc-b04a2d6ed845</t>
  </si>
  <si>
    <t>VAV-1082</t>
  </si>
  <si>
    <t xml:space="preserve">6B28 </t>
  </si>
  <si>
    <t>uuid://adb0056c-c969-4bb5-ae04-d8911a9ab9d9</t>
  </si>
  <si>
    <t>VAV-1083</t>
  </si>
  <si>
    <t>6B30</t>
  </si>
  <si>
    <t>uuid://c00451b7-80ae-44b5-a4a0-4e802821a363</t>
  </si>
  <si>
    <t>VAV-1084</t>
  </si>
  <si>
    <t>6I85 &amp; 6I86</t>
  </si>
  <si>
    <t>uuid://15b581a5-cdf0-4dd5-b28b-891ab67677bd</t>
  </si>
  <si>
    <t>VAV-1085</t>
  </si>
  <si>
    <t xml:space="preserve">6I86 </t>
  </si>
  <si>
    <t>uuid://99fcdfd5-c458-4f5d-ad24-a3c368019560</t>
  </si>
  <si>
    <t>VAV-1086</t>
  </si>
  <si>
    <t>6I87</t>
  </si>
  <si>
    <t>uuid://c69c15c5-9850-4045-ba68-094c8cacf61b</t>
  </si>
  <si>
    <t>VAV-1087</t>
  </si>
  <si>
    <t xml:space="preserve">6B29 </t>
  </si>
  <si>
    <t>uuid://a1c60c46-b9f8-4e74-99df-f46dfb381bf5</t>
  </si>
  <si>
    <t>VAV-1088</t>
  </si>
  <si>
    <t>6B23</t>
  </si>
  <si>
    <t>uuid://32b1acec-5424-47d6-a5b2-3a87b28e1692</t>
  </si>
  <si>
    <t>VAV-1089</t>
  </si>
  <si>
    <t>No Name</t>
  </si>
  <si>
    <t>uuid://562aca93-a128-4789-b534-a0da11bc2b3e</t>
  </si>
  <si>
    <t>VAV-1090</t>
  </si>
  <si>
    <t>782</t>
  </si>
  <si>
    <t>uuid://78f29ef7-f2ec-4ea8-bb83-441dae00bdb3</t>
  </si>
  <si>
    <t>VAV-1091</t>
  </si>
  <si>
    <t>7D38 &amp; 7D39</t>
  </si>
  <si>
    <t>uuid://be5bb5a8-8ccf-4a9a-a537-ab2e3629b3c8</t>
  </si>
  <si>
    <t>VAV-1092</t>
  </si>
  <si>
    <t xml:space="preserve">7D76 </t>
  </si>
  <si>
    <t>uuid://31cb40fc-eb33-46d5-84fc-a1713e283bcd</t>
  </si>
  <si>
    <t>VAV-1093</t>
  </si>
  <si>
    <t xml:space="preserve">7D48 </t>
  </si>
  <si>
    <t>uuid://28b3d218-106b-4b66-958f-de85ad49b256</t>
  </si>
  <si>
    <t>VAV-1094</t>
  </si>
  <si>
    <t>7D177 -</t>
  </si>
  <si>
    <t>uuid://9b784d77-a64b-470e-bd7b-e27b697cf3b4</t>
  </si>
  <si>
    <t>VAV-1095</t>
  </si>
  <si>
    <t xml:space="preserve">7D199 </t>
  </si>
  <si>
    <t>uuid://06e21245-8243-4c9c-b099-6aa7bd79b0ce</t>
  </si>
  <si>
    <t>VAV-1096</t>
  </si>
  <si>
    <t xml:space="preserve">7D201 </t>
  </si>
  <si>
    <t>uuid://0a72b095-654d-4985-8fa7-c1bb1066e5c2</t>
  </si>
  <si>
    <t>VAV-1097</t>
  </si>
  <si>
    <t>7D204</t>
  </si>
  <si>
    <t>uuid://b069c4c4-1456-4682-a9ec-2206d93b3647</t>
  </si>
  <si>
    <t>VAV-1098</t>
  </si>
  <si>
    <t xml:space="preserve">7D40 &amp; 7D41 </t>
  </si>
  <si>
    <t>uuid://112ecc2b-73c8-46ce-9532-459018ae61b6</t>
  </si>
  <si>
    <t>VAV-1099</t>
  </si>
  <si>
    <t xml:space="preserve">7D242 </t>
  </si>
  <si>
    <t>uuid://bc11dbda-6d93-44b8-8475-e0776a8357a7</t>
  </si>
  <si>
    <t>VAV-1100</t>
  </si>
  <si>
    <t xml:space="preserve">7D42 </t>
  </si>
  <si>
    <t>uuid://c9ed37a5-54cc-4fe0-8f1e-3f313572ef06</t>
  </si>
  <si>
    <t>VAV-1101</t>
  </si>
  <si>
    <t xml:space="preserve">7D250 </t>
  </si>
  <si>
    <t>uuid://6f87c47e-0e71-4750-9f5e-9fdec23ccde5</t>
  </si>
  <si>
    <t>VAV-1102</t>
  </si>
  <si>
    <t xml:space="preserve">7D47 </t>
  </si>
  <si>
    <t>uuid://55bd0a3e-0484-4c47-a0af-b4330bfaed97</t>
  </si>
  <si>
    <t>VAV-1103</t>
  </si>
  <si>
    <t xml:space="preserve">7D43  &amp; 7D44 </t>
  </si>
  <si>
    <t>uuid://97f412a2-6e63-47ce-ad2e-24f9d57d2fea</t>
  </si>
  <si>
    <t>VAV-1104</t>
  </si>
  <si>
    <t xml:space="preserve">7D256 </t>
  </si>
  <si>
    <t>uuid://61412ed3-d56d-48f4-85ea-e8c621e1951b</t>
  </si>
  <si>
    <t>VAV-1105</t>
  </si>
  <si>
    <t>uuid://b6e0f242-c552-4145-96b5-3c3757bda6d5</t>
  </si>
  <si>
    <t>VAV-1106</t>
  </si>
  <si>
    <t xml:space="preserve">7D63 </t>
  </si>
  <si>
    <t>uuid://f43174c2-d3c6-4487-bec9-cd35547a9e3e</t>
  </si>
  <si>
    <t>VAV-1107</t>
  </si>
  <si>
    <t xml:space="preserve">7D154 </t>
  </si>
  <si>
    <t>uuid://2210b879-a6b7-4ea8-b7f5-822ae1ba5d2e</t>
  </si>
  <si>
    <t>VAV-1108</t>
  </si>
  <si>
    <t xml:space="preserve">7D64 </t>
  </si>
  <si>
    <t>uuid://b3c242d7-fe3f-4f7a-adb3-5bb4b46fcfab</t>
  </si>
  <si>
    <t>VAV-1109</t>
  </si>
  <si>
    <t xml:space="preserve">7D151 </t>
  </si>
  <si>
    <t>uuid://d1c63b1d-7aac-4279-8ebf-153c504283ec</t>
  </si>
  <si>
    <t>VAV-1110</t>
  </si>
  <si>
    <t>7D25</t>
  </si>
  <si>
    <t>uuid://ddcfd746-1658-4db2-8426-9af5a75f7deb</t>
  </si>
  <si>
    <t>VAV-1111</t>
  </si>
  <si>
    <t xml:space="preserve">7D26 </t>
  </si>
  <si>
    <t>uuid://21ceca27-1b3d-4f93-8131-d13f0d5f1785</t>
  </si>
  <si>
    <t>VAV-1112</t>
  </si>
  <si>
    <t xml:space="preserve">7D37 </t>
  </si>
  <si>
    <t>uuid://788946dc-b078-437a-bb17-4732701044f4</t>
  </si>
  <si>
    <t>VAV-1113</t>
  </si>
  <si>
    <t xml:space="preserve">7D30 </t>
  </si>
  <si>
    <t>uuid://7d98c8ae-fbdf-44e5-bc4a-e1d0f126b6ff</t>
  </si>
  <si>
    <t>VAV-1114</t>
  </si>
  <si>
    <t>7D34&amp; 7D33</t>
  </si>
  <si>
    <t>uuid://bdaf0618-b10e-469c-a520-4412a03b42bf</t>
  </si>
  <si>
    <t>VAV-1115</t>
  </si>
  <si>
    <t>uuid://7de44d13-3064-4799-bdb5-31c19c1ce3ba</t>
  </si>
  <si>
    <t>VAV-1116</t>
  </si>
  <si>
    <t>uuid://eeb6fdd5-df98-44e1-948a-79cde5d0aff7</t>
  </si>
  <si>
    <t>VAV-1117</t>
  </si>
  <si>
    <t xml:space="preserve">C735 </t>
  </si>
  <si>
    <t>uuid://6731f70d-6ac8-44e4-9279-8ce45d96a37f</t>
  </si>
  <si>
    <t>VAV-1118</t>
  </si>
  <si>
    <t xml:space="preserve">7D23 </t>
  </si>
  <si>
    <t>uuid://014cce00-d009-4dd0-8f39-e4f1d33d323c</t>
  </si>
  <si>
    <t>VAV-1119</t>
  </si>
  <si>
    <t xml:space="preserve">7D60 </t>
  </si>
  <si>
    <t>uuid://c2710310-d672-466f-bb1a-059508b3e2a6</t>
  </si>
  <si>
    <t>VAV-1120</t>
  </si>
  <si>
    <t>uuid://314bc689-9c66-470f-9777-133589fa3be1</t>
  </si>
  <si>
    <t>VAV-1121</t>
  </si>
  <si>
    <t xml:space="preserve">7D17 </t>
  </si>
  <si>
    <t>uuid://68957b93-ca14-4e33-acda-7c9bc9689a54</t>
  </si>
  <si>
    <t>VAV-1122</t>
  </si>
  <si>
    <t xml:space="preserve">7D18 </t>
  </si>
  <si>
    <t>uuid://a33e751d-5dd5-46f3-8f7e-c6b96a48182d</t>
  </si>
  <si>
    <t>VAV-1123</t>
  </si>
  <si>
    <t xml:space="preserve">7D21 </t>
  </si>
  <si>
    <t>uuid://4e98552d-1a01-4e8d-aae1-1fa3f7a07975</t>
  </si>
  <si>
    <t>VAV-1124</t>
  </si>
  <si>
    <t xml:space="preserve">7D19  &amp; 7D20 </t>
  </si>
  <si>
    <t>uuid://7b7a80e0-42bb-4b2a-ab8a-ca5554d775b6</t>
  </si>
  <si>
    <t>VAV-1125</t>
  </si>
  <si>
    <t xml:space="preserve">718 </t>
  </si>
  <si>
    <t>uuid://8deb4d4a-8711-4cb3-ad16-1827c21ddee0</t>
  </si>
  <si>
    <t>VAV-1126</t>
  </si>
  <si>
    <t>7D8</t>
  </si>
  <si>
    <t>uuid://92e3ebcc-5b1b-47a4-9ada-c49248db753d</t>
  </si>
  <si>
    <t>VAV-1127</t>
  </si>
  <si>
    <t xml:space="preserve">7D10 </t>
  </si>
  <si>
    <t>uuid://33bed2a8-2f05-4d17-9702-d55f8a4f5fad</t>
  </si>
  <si>
    <t>VAV-1128</t>
  </si>
  <si>
    <t xml:space="preserve">7D9 </t>
  </si>
  <si>
    <t>uuid://3ea144c5-ea36-48f9-8840-b26f72f232c5</t>
  </si>
  <si>
    <t>VAV-1129</t>
  </si>
  <si>
    <t xml:space="preserve">7D11 </t>
  </si>
  <si>
    <t>uuid://109d1b9a-7b47-4384-8f27-c029e77b3339</t>
  </si>
  <si>
    <t>VAV-1130</t>
  </si>
  <si>
    <t xml:space="preserve">7D6 </t>
  </si>
  <si>
    <t>uuid://fe5f3dbe-4ebc-4520-a649-293ef820769d</t>
  </si>
  <si>
    <t>VAV-1131</t>
  </si>
  <si>
    <t xml:space="preserve">7D046 </t>
  </si>
  <si>
    <t>uuid://04529148-9f82-485d-985a-2f9fd15adf48</t>
  </si>
  <si>
    <t>VAV-1132</t>
  </si>
  <si>
    <t xml:space="preserve">7D037 </t>
  </si>
  <si>
    <t>uuid://beb64e57-b388-45e0-99ea-4480e30be4b2</t>
  </si>
  <si>
    <t>VAV-1133</t>
  </si>
  <si>
    <t xml:space="preserve">7D027 </t>
  </si>
  <si>
    <t>uuid://1e70a825-aba9-4dbd-9ea7-9ad07407660d</t>
  </si>
  <si>
    <t>VAV-1134</t>
  </si>
  <si>
    <t xml:space="preserve">7D012 </t>
  </si>
  <si>
    <t>uuid://15bac5f4-313d-4ef3-887d-e93b3a284197</t>
  </si>
  <si>
    <t>VAV-1135</t>
  </si>
  <si>
    <t xml:space="preserve">7D1  &amp; 7D2 </t>
  </si>
  <si>
    <t>uuid://98d2b10f-0d09-4767-ae41-c41b3c7a17c5</t>
  </si>
  <si>
    <t>VAV-1136</t>
  </si>
  <si>
    <t>7D79</t>
  </si>
  <si>
    <t>uuid://681612ba-01f4-45da-95fc-b261debd9fdf</t>
  </si>
  <si>
    <t>VAV-1137</t>
  </si>
  <si>
    <t xml:space="preserve">7D3 </t>
  </si>
  <si>
    <t>uuid://7a167bd8-7de3-4b65-9a93-c5a2045d29db</t>
  </si>
  <si>
    <t>VAV-1138</t>
  </si>
  <si>
    <t>uuid://2d61035a-4b88-4110-8855-31a613145f18</t>
  </si>
  <si>
    <t>VAV-1139</t>
  </si>
  <si>
    <t>uuid://65ba1828-af0b-4ef0-89af-aa83dd2cf5fc</t>
  </si>
  <si>
    <t>VAV-1140</t>
  </si>
  <si>
    <t xml:space="preserve">7A2 </t>
  </si>
  <si>
    <t>uuid://8c95576a-f04d-44cf-b382-d1500385ddb3</t>
  </si>
  <si>
    <t>VAV-1141</t>
  </si>
  <si>
    <t xml:space="preserve">751 </t>
  </si>
  <si>
    <t>uuid://abb0337a-656f-4c20-9eaa-352efaa88443</t>
  </si>
  <si>
    <t>VAV-1142</t>
  </si>
  <si>
    <t xml:space="preserve">C770 </t>
  </si>
  <si>
    <t>uuid://52903f3b-f2bc-490e-8784-0eb244124573</t>
  </si>
  <si>
    <t>VAV-1143</t>
  </si>
  <si>
    <t xml:space="preserve">7A3 </t>
  </si>
  <si>
    <t>uuid://a73a7e0e-d67e-43be-abef-10335aa94050</t>
  </si>
  <si>
    <t>VAV-1144</t>
  </si>
  <si>
    <t xml:space="preserve">753 </t>
  </si>
  <si>
    <t>uuid://74f06410-3c3f-455c-9cca-4d05ad7849db</t>
  </si>
  <si>
    <t>VAV-1145</t>
  </si>
  <si>
    <t xml:space="preserve">C771 </t>
  </si>
  <si>
    <t>uuid://1f06fcbb-c768-4f2a-8577-399400107605</t>
  </si>
  <si>
    <t>VAV-1146</t>
  </si>
  <si>
    <t xml:space="preserve">7D103 </t>
  </si>
  <si>
    <t>uuid://797e0756-0d28-448e-9513-ac2e4789b43f</t>
  </si>
  <si>
    <t>VAV-1147</t>
  </si>
  <si>
    <t xml:space="preserve">7D13 </t>
  </si>
  <si>
    <t>uuid://6d3028ef-dceb-4d8b-986c-142befb9fc94</t>
  </si>
  <si>
    <t>VAV-1148</t>
  </si>
  <si>
    <t xml:space="preserve">7D14 </t>
  </si>
  <si>
    <t>uuid://b9748b7e-d827-4d23-a4e3-ddbc99bcc3ce</t>
  </si>
  <si>
    <t>VAV-1149</t>
  </si>
  <si>
    <t>7D1E</t>
  </si>
  <si>
    <t>uuid://43a93591-16ab-4f30-b831-5eb8a90a1c3e</t>
  </si>
  <si>
    <t>VAV-1150</t>
  </si>
  <si>
    <t>uuid://b8344a27-12bd-4d85-b7f9-ad8346b0ca3b</t>
  </si>
  <si>
    <t>VAV-1151</t>
  </si>
  <si>
    <t xml:space="preserve">C764 </t>
  </si>
  <si>
    <t>uuid://5eeb700b-211c-4c6c-b1b4-25d74da0c76e</t>
  </si>
  <si>
    <t>VAV-1152</t>
  </si>
  <si>
    <t xml:space="preserve">7D061 </t>
  </si>
  <si>
    <t>uuid://f042ea9f-5563-45c9-9f53-8a1a5e059228</t>
  </si>
  <si>
    <t>VAV-1153</t>
  </si>
  <si>
    <t>7D115</t>
  </si>
  <si>
    <t>uuid://2ad4ccfa-b25d-426b-986f-90627c8a1f56</t>
  </si>
  <si>
    <t>VAV-1154</t>
  </si>
  <si>
    <t>7A21 &amp; 7A22</t>
  </si>
  <si>
    <t>uuid://256f575a-816e-4591-be17-ad8007e78995</t>
  </si>
  <si>
    <t>VAV-1155</t>
  </si>
  <si>
    <t xml:space="preserve">7A25  &amp; 7A26 </t>
  </si>
  <si>
    <t>uuid://d2942688-e5d7-4325-a512-443f5f70df41</t>
  </si>
  <si>
    <t>VAV-1156</t>
  </si>
  <si>
    <t xml:space="preserve">7A45 </t>
  </si>
  <si>
    <t>uuid://689d5603-cfd2-4d42-8f2a-fcbfc31cb834</t>
  </si>
  <si>
    <t>VAV-1157</t>
  </si>
  <si>
    <t xml:space="preserve">7A44 </t>
  </si>
  <si>
    <t>uuid://b48e64df-9fc9-44e7-933c-e8d731ad2c3a</t>
  </si>
  <si>
    <t>VAV-1158</t>
  </si>
  <si>
    <t xml:space="preserve">7A43 </t>
  </si>
  <si>
    <t>uuid://aa22afb9-71f2-4bbb-b69f-6eb34c2d9723</t>
  </si>
  <si>
    <t>VAV-1159</t>
  </si>
  <si>
    <t xml:space="preserve">7A39  &amp; 7A38 </t>
  </si>
  <si>
    <t>uuid://237028d2-2d78-42d5-94be-91f9d7be1e2f</t>
  </si>
  <si>
    <t>VAV-1160</t>
  </si>
  <si>
    <t xml:space="preserve">7A42 </t>
  </si>
  <si>
    <t>uuid://a81de3c3-7f8e-4a8d-bb63-9c8ee71f076e</t>
  </si>
  <si>
    <t>VAV-1161</t>
  </si>
  <si>
    <t xml:space="preserve">7A37 </t>
  </si>
  <si>
    <t>uuid://3e5a774d-b971-41f0-b50c-b1cde130f259</t>
  </si>
  <si>
    <t>VAV-1162</t>
  </si>
  <si>
    <t xml:space="preserve">7A32  &amp; 7A33 </t>
  </si>
  <si>
    <t>uuid://088b66d5-11b2-481a-9aab-0f3c104595bb</t>
  </si>
  <si>
    <t>VAV-1163</t>
  </si>
  <si>
    <t>7A28</t>
  </si>
  <si>
    <t>uuid://fdf12f06-433d-43eb-8a98-7c68c1f3d15b</t>
  </si>
  <si>
    <t>VAV-1164</t>
  </si>
  <si>
    <t>7A76</t>
  </si>
  <si>
    <t>uuid://5a9e761d-4291-4071-90f7-de38fec083e9</t>
  </si>
  <si>
    <t>VAV-1165</t>
  </si>
  <si>
    <t xml:space="preserve">7A64 </t>
  </si>
  <si>
    <t>uuid://198d646d-c889-450f-a12f-5e14f111c692</t>
  </si>
  <si>
    <t>VAV-1166</t>
  </si>
  <si>
    <t>7A083</t>
  </si>
  <si>
    <t>uuid://f3f79142-f8dd-41e4-aa21-c3c7e620664d</t>
  </si>
  <si>
    <t>VAV-1167</t>
  </si>
  <si>
    <t xml:space="preserve">7A093 </t>
  </si>
  <si>
    <t>uuid://cd5c3b1c-6594-4e50-927f-9c7d126e374b</t>
  </si>
  <si>
    <t>VAV-1168</t>
  </si>
  <si>
    <t xml:space="preserve">7A83 </t>
  </si>
  <si>
    <t>uuid://47891b79-868d-4d2c-a423-8c53b42a5f87</t>
  </si>
  <si>
    <t>VAV-1169</t>
  </si>
  <si>
    <t xml:space="preserve">7A072 </t>
  </si>
  <si>
    <t>uuid://faed80e3-1c62-46c6-83d2-9f577ebd7975</t>
  </si>
  <si>
    <t>VAV-1170</t>
  </si>
  <si>
    <t>7A46t &amp; 7A47</t>
  </si>
  <si>
    <t>uuid://15b2d91b-3abd-4405-856a-6ba65b7f4ec0</t>
  </si>
  <si>
    <t>VAV-1171</t>
  </si>
  <si>
    <t xml:space="preserve">7A73 </t>
  </si>
  <si>
    <t>uuid://39833c51-7b50-471d-8ebc-b3e3cd9a3c48</t>
  </si>
  <si>
    <t>VAV-1172</t>
  </si>
  <si>
    <t xml:space="preserve">7A133 </t>
  </si>
  <si>
    <t>uuid://eb256eb0-938b-452f-9e87-10378fe1aa08</t>
  </si>
  <si>
    <t>VAV-1173</t>
  </si>
  <si>
    <t xml:space="preserve">7A141 </t>
  </si>
  <si>
    <t>uuid://535be9e9-c8fd-4775-9a16-1f0ce0917c0a</t>
  </si>
  <si>
    <t>VAV-1174</t>
  </si>
  <si>
    <t>uuid://01c66a8c-5e21-4397-9159-ab428cd86df2</t>
  </si>
  <si>
    <t>VAV-1175</t>
  </si>
  <si>
    <t xml:space="preserve">756 </t>
  </si>
  <si>
    <t>uuid://7eec30cf-fc91-4042-9d01-a4b9975b146b</t>
  </si>
  <si>
    <t>VAV-1176</t>
  </si>
  <si>
    <t xml:space="preserve">755 </t>
  </si>
  <si>
    <t>uuid://1a9500a1-3fef-4f8c-a534-b0ef37fc2d87</t>
  </si>
  <si>
    <t>VAV-1177</t>
  </si>
  <si>
    <t>7A40</t>
  </si>
  <si>
    <t>uuid://7e30d880-37e5-4396-8dd8-ab09c9b152d9</t>
  </si>
  <si>
    <t>VAV-1178</t>
  </si>
  <si>
    <t xml:space="preserve">7A65 </t>
  </si>
  <si>
    <t>uuid://cbd90b5d-4ce0-43b2-9df8-8582c4e5b6e7</t>
  </si>
  <si>
    <t>VAV-1179</t>
  </si>
  <si>
    <t>7A27</t>
  </si>
  <si>
    <t>uuid://1689d65b-427a-4d34-98e7-1e42efac4cce</t>
  </si>
  <si>
    <t>VAV-1180</t>
  </si>
  <si>
    <t xml:space="preserve">C719 </t>
  </si>
  <si>
    <t>uuid://4b9fb257-76ee-429e-b04c-86dd9d30d69d</t>
  </si>
  <si>
    <t>VAV-1181</t>
  </si>
  <si>
    <t>7A19 &amp; 7A20</t>
  </si>
  <si>
    <t>uuid://fdff64d9-5a4f-4365-b4d0-bbaaaff081e5</t>
  </si>
  <si>
    <t>VAV-1182</t>
  </si>
  <si>
    <t xml:space="preserve">758 </t>
  </si>
  <si>
    <t>uuid://ef20700b-0b0d-4f52-8fe8-6ea6e99da72c</t>
  </si>
  <si>
    <t>VAV-1183</t>
  </si>
  <si>
    <t xml:space="preserve">7A5 </t>
  </si>
  <si>
    <t>uuid://da6f5621-1e17-417b-aa82-c7c0aaeb8e4d</t>
  </si>
  <si>
    <t>VAV-1184</t>
  </si>
  <si>
    <t xml:space="preserve">7A23  &amp; 7A24 </t>
  </si>
  <si>
    <t>uuid://09852e58-c671-4816-8e11-f6c30bc5bdff</t>
  </si>
  <si>
    <t>VAV-1185</t>
  </si>
  <si>
    <t xml:space="preserve">7A058 </t>
  </si>
  <si>
    <t>uuid://4ce1ab36-5448-4b80-bb67-d567fd24f14a</t>
  </si>
  <si>
    <t>VAV-1186</t>
  </si>
  <si>
    <t xml:space="preserve">7A018 </t>
  </si>
  <si>
    <t>uuid://c51535bd-8885-4389-b295-9c81c811d005</t>
  </si>
  <si>
    <t>VAV-1187</t>
  </si>
  <si>
    <t xml:space="preserve">7A14 </t>
  </si>
  <si>
    <t>uuid://d0c4b5e8-5e11-4e31-bc90-6162df18546f</t>
  </si>
  <si>
    <t>VAV-1188</t>
  </si>
  <si>
    <t xml:space="preserve">7A15  &amp; 7A16 </t>
  </si>
  <si>
    <t>uuid://bda02dfb-3f92-497c-b30f-431ff3b4526f</t>
  </si>
  <si>
    <t>VAV-1189</t>
  </si>
  <si>
    <t xml:space="preserve">7A4 </t>
  </si>
  <si>
    <t>uuid://4e88870c-29a9-4ab5-8bf5-e0d598eea78c</t>
  </si>
  <si>
    <t>VAV-1190</t>
  </si>
  <si>
    <t xml:space="preserve">7A010 </t>
  </si>
  <si>
    <t>uuid://4f24985b-af34-47dd-9ac2-83802898b233</t>
  </si>
  <si>
    <t>VAV-1191</t>
  </si>
  <si>
    <t xml:space="preserve">7A13 </t>
  </si>
  <si>
    <t>uuid://6fad2e6b-c6b0-4cdd-9a53-3f6a6b56093f</t>
  </si>
  <si>
    <t>VAV-1192</t>
  </si>
  <si>
    <t xml:space="preserve">7A12 </t>
  </si>
  <si>
    <t>uuid://8f9fa93e-1d84-4ebe-b129-87b0f1267269</t>
  </si>
  <si>
    <t>VAV-1193</t>
  </si>
  <si>
    <t xml:space="preserve">7A6 </t>
  </si>
  <si>
    <t>uuid://b9f4eafe-f98b-49da-b1dd-7bbe08ac7064</t>
  </si>
  <si>
    <t>VAV-1194</t>
  </si>
  <si>
    <t xml:space="preserve">C733 </t>
  </si>
  <si>
    <t>uuid://056d5f73-d5bd-45dc-813b-f760655dacda</t>
  </si>
  <si>
    <t>VAV-1195</t>
  </si>
  <si>
    <t xml:space="preserve">7A7 </t>
  </si>
  <si>
    <t>uuid://44a8cc88-efbb-4bfc-94ea-267c6f60bc72</t>
  </si>
  <si>
    <t>VAV-1196</t>
  </si>
  <si>
    <t xml:space="preserve">C7106 </t>
  </si>
  <si>
    <t>uuid://a86daee2-a1fa-4bfb-b66e-bdfe9711860b</t>
  </si>
  <si>
    <t>VAV-1197</t>
  </si>
  <si>
    <t xml:space="preserve">7B16  &amp;7A17 </t>
  </si>
  <si>
    <t>uuid://2647babe-28aa-457e-abea-34b0a502fd42</t>
  </si>
  <si>
    <t>VAV-1198</t>
  </si>
  <si>
    <t xml:space="preserve">702 </t>
  </si>
  <si>
    <t>uuid://bc4242cf-30e1-4657-abfb-11729d1abe67</t>
  </si>
  <si>
    <t>VAV-1199</t>
  </si>
  <si>
    <t xml:space="preserve">7B20 &amp; 7B21 </t>
  </si>
  <si>
    <t>uuid://63fc94ab-0d26-46f8-84df-46c034950a40</t>
  </si>
  <si>
    <t>VAV-1200</t>
  </si>
  <si>
    <t>7B18 Nook Kamarbandh &amp; 7B19 - Nook Kameez</t>
  </si>
  <si>
    <t>uuid://bc7f53ab-eb35-46c8-9e9e-941d65f2352b</t>
  </si>
  <si>
    <t>VAV-1201</t>
  </si>
  <si>
    <t>7B22 - Nook Karnaphoo &amp; 7B23 - Huddle Room</t>
  </si>
  <si>
    <t>uuid://93e21884-190b-444d-8063-f85695278e70</t>
  </si>
  <si>
    <t>VAV-1202</t>
  </si>
  <si>
    <t>7B019 - W/S</t>
  </si>
  <si>
    <t>uuid://dd2090a1-f5b7-4418-8239-e381b8686716</t>
  </si>
  <si>
    <t>VAV-1203</t>
  </si>
  <si>
    <t>7B017 - W/S</t>
  </si>
  <si>
    <t>uuid://f752b383-f8b5-4fe7-a95f-0ea45f997dcb</t>
  </si>
  <si>
    <t>VAV-1204</t>
  </si>
  <si>
    <t xml:space="preserve">7B12 </t>
  </si>
  <si>
    <t>uuid://c12d8c94-018c-4f1b-83e6-d26e17af48cc</t>
  </si>
  <si>
    <t>VAV-1205</t>
  </si>
  <si>
    <t xml:space="preserve">7B13  &amp; 7B14 </t>
  </si>
  <si>
    <t>uuid://fc076b4c-ce9e-4ba3-a164-2fe677671111</t>
  </si>
  <si>
    <t>VAV-1206</t>
  </si>
  <si>
    <t xml:space="preserve">7B5 </t>
  </si>
  <si>
    <t>uuid://e86f09bf-401b-48ea-9203-d3d16bc4e9ed</t>
  </si>
  <si>
    <t>VAV-1207</t>
  </si>
  <si>
    <t xml:space="preserve">7B006 </t>
  </si>
  <si>
    <t>uuid://e86d0160-56ce-4a91-924e-b058f4886128</t>
  </si>
  <si>
    <t>VAV-1208</t>
  </si>
  <si>
    <t xml:space="preserve">7B6 </t>
  </si>
  <si>
    <t>uuid://49d53b86-dc7e-441d-b784-5f26dde07277</t>
  </si>
  <si>
    <t>VAV-1209</t>
  </si>
  <si>
    <t>7B54 - Lounge</t>
  </si>
  <si>
    <t>uuid://a8202cb8-d47f-4485-81ba-d4953801df73</t>
  </si>
  <si>
    <t>VAV-1210</t>
  </si>
  <si>
    <t>7B081 - W/S</t>
  </si>
  <si>
    <t>uuid://d0f6d07c-e7f3-46a2-8fd2-894104dc374a</t>
  </si>
  <si>
    <t>VAV-1211</t>
  </si>
  <si>
    <t>7B095 - W/S</t>
  </si>
  <si>
    <t>uuid://bb40c614-424d-455e-aae5-079c941567bc</t>
  </si>
  <si>
    <t>VAV-1212</t>
  </si>
  <si>
    <t>7B109 - W/S</t>
  </si>
  <si>
    <t>uuid://fd927fc3-d7f2-4854-bfeb-2c05b1badf89</t>
  </si>
  <si>
    <t>VAV-1213</t>
  </si>
  <si>
    <t>7B079 - W/S</t>
  </si>
  <si>
    <t>uuid://8d506524-d53f-45a7-83de-28d5c72059cc</t>
  </si>
  <si>
    <t>VAV-1214</t>
  </si>
  <si>
    <t>705 - Electrical</t>
  </si>
  <si>
    <t>uuid://706161ff-d24a-4c11-9554-dbe07942744f</t>
  </si>
  <si>
    <t>VAV-1215</t>
  </si>
  <si>
    <t>C708 - Primary Circulation</t>
  </si>
  <si>
    <t>uuid://63229054-d4ae-4677-9c0e-c32edc5b3386</t>
  </si>
  <si>
    <t>VAV-1216</t>
  </si>
  <si>
    <t>7B33 - Nook Kurta</t>
  </si>
  <si>
    <t>uuid://65903ff4-c048-47d6-8fa9-2dcee0dea905</t>
  </si>
  <si>
    <t>VAV-1217</t>
  </si>
  <si>
    <t>7B69 - Copy and Print Kaisurali</t>
  </si>
  <si>
    <t>uuid://fae21771-ac58-4ef0-9dff-969043e9e579</t>
  </si>
  <si>
    <t>VAV-1218</t>
  </si>
  <si>
    <t>7B26 - Kediyu</t>
  </si>
  <si>
    <t>uuid://929c2f43-fd81-4d1e-a1d4-838743cac16f</t>
  </si>
  <si>
    <t>VAV-1219</t>
  </si>
  <si>
    <t>7B38 - Nook Lehenga &amp; 7B68 - Lounge</t>
  </si>
  <si>
    <t>uuid://a6da58f5-547a-4e7c-981b-6bb5ef26d398</t>
  </si>
  <si>
    <t>VAV-1220</t>
  </si>
  <si>
    <t>7B36 - Latkan</t>
  </si>
  <si>
    <t>uuid://696e7cb4-f864-4a98-aba6-6fc4ca772cda</t>
  </si>
  <si>
    <t>VAV-1221</t>
  </si>
  <si>
    <t>7B36 - Kiviole</t>
  </si>
  <si>
    <t>uuid://42d284f3-decb-40de-86fa-c9dc11fe5c96</t>
  </si>
  <si>
    <t>VAV-1222</t>
  </si>
  <si>
    <t>uuid://0cd7768a-1e96-43ab-9422-cb4eb0f5fc9c</t>
  </si>
  <si>
    <t>VAV-1223</t>
  </si>
  <si>
    <t>7B35 - Huddle Kingri</t>
  </si>
  <si>
    <t>uuid://844f61c3-8919-4f05-897c-caba514baf35</t>
  </si>
  <si>
    <t>VAV-1224</t>
  </si>
  <si>
    <t>7B141 - W/S</t>
  </si>
  <si>
    <t>uuid://9630b376-1cb5-441a-85bd-28ee93bc2cc9</t>
  </si>
  <si>
    <t>VAV-1225</t>
  </si>
  <si>
    <t>7B60 - Open Collaboration</t>
  </si>
  <si>
    <t>uuid://612f492e-f1b4-4dec-86ba-ef7f63aa86f5</t>
  </si>
  <si>
    <t>VAV-1226</t>
  </si>
  <si>
    <t>7B6 - Huddle Himru</t>
  </si>
  <si>
    <t>uuid://dd9af3ea-0170-4669-9488-b50712dd4b3a</t>
  </si>
  <si>
    <t>VAV-1227</t>
  </si>
  <si>
    <t>7B26 - Huddle Kashida</t>
  </si>
  <si>
    <t>uuid://bdc70918-b3b7-4d56-b7df-0e5f86ac9821</t>
  </si>
  <si>
    <t>VAV-1228</t>
  </si>
  <si>
    <t>7A49 - Huddle Gota</t>
  </si>
  <si>
    <t>uuid://447a910c-f7bf-42c6-99d6-3bd6c6552f4e</t>
  </si>
  <si>
    <t>VAV-1229</t>
  </si>
  <si>
    <t>7B39 - Nook Leheriya &amp; 7B40 - Nook Lokar</t>
  </si>
  <si>
    <t>uuid://99052f90-8465-4202-86f3-ebb5f7bfeb8b</t>
  </si>
  <si>
    <t>VAV-1230</t>
  </si>
  <si>
    <t>7B66 - Lounge</t>
  </si>
  <si>
    <t>uuid://40d302a4-9cd8-4fb0-b888-4aacd2fbe4e4</t>
  </si>
  <si>
    <t>VAV-1231</t>
  </si>
  <si>
    <t>7A139 - W/S</t>
  </si>
  <si>
    <t>uuid://8de51982-6628-4fb7-ac19-1882e58e33f1</t>
  </si>
  <si>
    <t>VAV-1232</t>
  </si>
  <si>
    <t>7A141 - W/S</t>
  </si>
  <si>
    <t>uuid://43f3f58b-6bd4-4258-8db2-e908456269fe</t>
  </si>
  <si>
    <t>VAV-1233</t>
  </si>
  <si>
    <t>uuid://7552e2a7-7c49-4a99-8a82-79751d2c2fb8</t>
  </si>
  <si>
    <t>VAV-1234</t>
  </si>
  <si>
    <t>7C42 - Storage</t>
  </si>
  <si>
    <t>uuid://a9a0017d-5f56-44a1-b33c-1d7270a6f917</t>
  </si>
  <si>
    <t>VAV-1235</t>
  </si>
  <si>
    <t>7C5 - Mascara</t>
  </si>
  <si>
    <t>uuid://235f1c45-9c05-4c6c-a106-0232050bfc19</t>
  </si>
  <si>
    <t>VAV-1236</t>
  </si>
  <si>
    <t>7C7 - Mundu</t>
  </si>
  <si>
    <t>uuid://79f9b308-1c4b-43d4-9e9a-da1deb79fbe4</t>
  </si>
  <si>
    <t>VAV-1237</t>
  </si>
  <si>
    <t>7C6 - Mulmul</t>
  </si>
  <si>
    <t>uuid://892df2c6-e971-4f16-98ec-8de73922bdf1</t>
  </si>
  <si>
    <t>VAV-1238</t>
  </si>
  <si>
    <t>7C8 - Nakshi</t>
  </si>
  <si>
    <t>uuid://81e190df-3da5-47f0-88ab-223c372cbf7b</t>
  </si>
  <si>
    <t>VAV-1239</t>
  </si>
  <si>
    <t>7C3 - Nook Mehendi</t>
  </si>
  <si>
    <t>uuid://18593dcf-362f-4c93-8516-638d3cfdbd77</t>
  </si>
  <si>
    <t>VAV-1240</t>
  </si>
  <si>
    <t>7C035 - W/S</t>
  </si>
  <si>
    <t>uuid://af7f215f-cf83-4363-8986-ba4845b48836</t>
  </si>
  <si>
    <t>VAV-1241</t>
  </si>
  <si>
    <t>717 - Lounge</t>
  </si>
  <si>
    <t>uuid://1cc1b6c6-a917-4708-a761-610498d896a9</t>
  </si>
  <si>
    <t>VAV-1242</t>
  </si>
  <si>
    <t>7C019 - W/S</t>
  </si>
  <si>
    <t>uuid://b09f47ca-2e1c-44fb-814a-b1d54b372351</t>
  </si>
  <si>
    <t>VAV-1243</t>
  </si>
  <si>
    <t>7C013 - W/S</t>
  </si>
  <si>
    <t>uuid://2c58ee3e-56a9-45f5-99ab-4c90acfd7a18</t>
  </si>
  <si>
    <t>VAV-1244</t>
  </si>
  <si>
    <t>7C005 - W/S</t>
  </si>
  <si>
    <t>uuid://1aafd445-eea3-4924-97b9-6fc9eff6e359</t>
  </si>
  <si>
    <t>VAV-1245</t>
  </si>
  <si>
    <t>7C11 - Nauvaari</t>
  </si>
  <si>
    <t>uuid://af26b66d-a8cb-4efc-aa2b-2295015c44bc</t>
  </si>
  <si>
    <t>VAV-1246</t>
  </si>
  <si>
    <t>7C10 - Nook Nath</t>
  </si>
  <si>
    <t>uuid://5792362e-c8c3-40af-9d34-28261a19e0b7</t>
  </si>
  <si>
    <t>VAV-1247</t>
  </si>
  <si>
    <t>7C055 - W/S</t>
  </si>
  <si>
    <t>uuid://bf099edb-8b45-46d1-9982-0edaf2ce005f</t>
  </si>
  <si>
    <t>VAV-1248</t>
  </si>
  <si>
    <t>uuid://e616faa0-baee-46c2-b90b-17b78fc253f1</t>
  </si>
  <si>
    <t>VAV-1249</t>
  </si>
  <si>
    <t>7C075 - W/S</t>
  </si>
  <si>
    <t>uuid://e04343c7-4873-4a4f-9377-ddd8f795b8a0</t>
  </si>
  <si>
    <t>VAV-1250</t>
  </si>
  <si>
    <t>7B1 - Haar</t>
  </si>
  <si>
    <t>uuid://2e91710e-be21-4217-8bbd-462da2cb9b57</t>
  </si>
  <si>
    <t>VAV-1251</t>
  </si>
  <si>
    <t>7B1 - Hastkala</t>
  </si>
  <si>
    <t>uuid://dfca8192-3cbb-4838-8941-f4bc0db5ded3</t>
  </si>
  <si>
    <t>VAV-1252</t>
  </si>
  <si>
    <t>C7105 - Team Circulation</t>
  </si>
  <si>
    <t>uuid://8b85fcd6-23b4-497c-802e-0ac92135a466</t>
  </si>
  <si>
    <t>VAV-1253</t>
  </si>
  <si>
    <t>7B11 - Huddle Jhola</t>
  </si>
  <si>
    <t>uuid://3889a4a1-2b3a-4937-8f4f-7d358762f093</t>
  </si>
  <si>
    <t>VAV-1254</t>
  </si>
  <si>
    <t>7B7 - Ilkal</t>
  </si>
  <si>
    <t>uuid://f1ff80eb-0e7d-47a7-be32-c9124b6507ab</t>
  </si>
  <si>
    <t>VAV-1255</t>
  </si>
  <si>
    <t>7B44 - Lounge</t>
  </si>
  <si>
    <t>uuid://042e8d62-5855-43b1-8c84-8c01d9835c14</t>
  </si>
  <si>
    <t>VAV-1256</t>
  </si>
  <si>
    <t>7B1A - Lounge</t>
  </si>
  <si>
    <t>uuid://95aa7606-b74e-43eb-8400-c521dea4586b</t>
  </si>
  <si>
    <t>VAV-1257</t>
  </si>
  <si>
    <t>7B4 - Hathkargha</t>
  </si>
  <si>
    <t>uuid://2e04f1f1-07c4-4bb9-96fa-8afc7a2fbbf2</t>
  </si>
  <si>
    <t>VAV-1258</t>
  </si>
  <si>
    <t>709 ABC - Lift Lobby</t>
  </si>
  <si>
    <t>uuid://db24d3fb-bdf2-4cb2-bc1d-d3aa00dcc93f</t>
  </si>
  <si>
    <t>VAV-1259</t>
  </si>
  <si>
    <t>IDF ROOM -1</t>
  </si>
  <si>
    <t>uuid://901eb3ee-03a7-4b59-a449-afb71cb56164</t>
  </si>
  <si>
    <t>VAV-1260</t>
  </si>
  <si>
    <t>7B4A - Lounge</t>
  </si>
  <si>
    <t>uuid://a27310fc-93e7-4c61-8540-241bb2fbaa6c</t>
  </si>
  <si>
    <t>VAV-1261</t>
  </si>
  <si>
    <t>706 ABC - Lift Lobby</t>
  </si>
  <si>
    <t>uuid://c1feb25c-b92b-4293-836c-8d4116ee1c26</t>
  </si>
  <si>
    <t>VAV-1262</t>
  </si>
  <si>
    <t>C7131 - Primary Circulation</t>
  </si>
  <si>
    <t>uuid://d47ac185-d76a-4602-bbfd-7e8ec3bfd157</t>
  </si>
  <si>
    <t>VAV-1263</t>
  </si>
  <si>
    <t>7C097 - W/S</t>
  </si>
  <si>
    <t>uuid://5b269f34-a6ea-45a8-9c01-4d9c3652bb58</t>
  </si>
  <si>
    <t>VAV-1264</t>
  </si>
  <si>
    <t>7C158 - W/S</t>
  </si>
  <si>
    <t>uuid://9b79043a-9ac2-4d5b-b25d-be5613a45e4c</t>
  </si>
  <si>
    <t>VAV-1265</t>
  </si>
  <si>
    <t>7C188 - W/S</t>
  </si>
  <si>
    <t>uuid://a0586b70-dd83-4d94-ba8b-02fcb237e426</t>
  </si>
  <si>
    <t>VAV-1266</t>
  </si>
  <si>
    <t>7C190 - W/S</t>
  </si>
  <si>
    <t>uuid://1144ef38-f0de-44d7-a604-e388a593586d</t>
  </si>
  <si>
    <t>VAV-1267</t>
  </si>
  <si>
    <t>7C37 - Ringaa</t>
  </si>
  <si>
    <t>uuid://0ecdd7b6-cc98-4bff-b3c3-8bf6de2e5d99</t>
  </si>
  <si>
    <t>VAV-1268</t>
  </si>
  <si>
    <t>7C198 - W/S</t>
  </si>
  <si>
    <t>uuid://8f71b733-b253-4657-b9d0-648402687fab</t>
  </si>
  <si>
    <t>VAV-1269</t>
  </si>
  <si>
    <t>7C38 - Nook Sila</t>
  </si>
  <si>
    <t>uuid://e83e8872-364c-4a25-bf72-72dcf7f39a64</t>
  </si>
  <si>
    <t>VAV-1270</t>
  </si>
  <si>
    <t>7C206 - W/S</t>
  </si>
  <si>
    <t>uuid://e16ace2f-2de6-4a96-9a96-0813052a45a8</t>
  </si>
  <si>
    <t>VAV-1271</t>
  </si>
  <si>
    <t xml:space="preserve">7C39  &amp; 7C40 </t>
  </si>
  <si>
    <t>uuid://ca62f07b-aef3-4100-bc93-ae576a95815f</t>
  </si>
  <si>
    <t>VAV-1272</t>
  </si>
  <si>
    <t xml:space="preserve">7C54 </t>
  </si>
  <si>
    <t>uuid://23c24128-50ca-4639-89ce-c91705b2b338</t>
  </si>
  <si>
    <t>VAV-1273</t>
  </si>
  <si>
    <t xml:space="preserve">7C139 </t>
  </si>
  <si>
    <t>uuid://cc21b877-a4b5-46ce-9abf-174ea1407281</t>
  </si>
  <si>
    <t>VAV-1274</t>
  </si>
  <si>
    <t xml:space="preserve">7C142 </t>
  </si>
  <si>
    <t>uuid://049b52c0-741d-4463-8e0d-e7d9813d1dd7</t>
  </si>
  <si>
    <t>VAV-1275</t>
  </si>
  <si>
    <t xml:space="preserve">7C128 </t>
  </si>
  <si>
    <t>uuid://5d7f32e6-e4e5-470e-9b13-29b171b22cc0</t>
  </si>
  <si>
    <t>VAV-1276</t>
  </si>
  <si>
    <t>7C50</t>
  </si>
  <si>
    <t>uuid://de393389-18a5-402b-b460-b772316a2b29</t>
  </si>
  <si>
    <t>VAV-1277</t>
  </si>
  <si>
    <t xml:space="preserve">7C26  &amp; 7C27 </t>
  </si>
  <si>
    <t>uuid://448975c5-deec-47c9-b539-967101ed7508</t>
  </si>
  <si>
    <t>VAV-1278</t>
  </si>
  <si>
    <t>7C35 l &amp; 7C36</t>
  </si>
  <si>
    <t>uuid://267569e3-9629-40c7-b538-766b8f5f7c20</t>
  </si>
  <si>
    <t>VAV-1279</t>
  </si>
  <si>
    <t xml:space="preserve">7C34 </t>
  </si>
  <si>
    <t>uuid://7f0ac964-14d3-470c-94ab-a30fdd95fb58</t>
  </si>
  <si>
    <t>VAV-1280</t>
  </si>
  <si>
    <t>7C31  &amp; 7C32</t>
  </si>
  <si>
    <t>uuid://66e07777-8398-4919-beac-2f1186e23630</t>
  </si>
  <si>
    <t>VAV-1281</t>
  </si>
  <si>
    <t xml:space="preserve">7C52 </t>
  </si>
  <si>
    <t>uuid://4aeab3ac-7aad-429f-9722-437624fea1df</t>
  </si>
  <si>
    <t>VAV-1282</t>
  </si>
  <si>
    <t>uuid://d91612ca-1f31-40c8-874b-c7ee0f909080</t>
  </si>
  <si>
    <t>VAV-1283</t>
  </si>
  <si>
    <t xml:space="preserve">770 </t>
  </si>
  <si>
    <t>uuid://ebab4982-7bb7-4dec-b3d6-84120a4422bf</t>
  </si>
  <si>
    <t>VAV-1284</t>
  </si>
  <si>
    <t xml:space="preserve">7C29 </t>
  </si>
  <si>
    <t>uuid://27bd241c-99d0-4c66-9a8a-bd53ac009e56</t>
  </si>
  <si>
    <t>VAV-1285</t>
  </si>
  <si>
    <t xml:space="preserve">C798 </t>
  </si>
  <si>
    <t>uuid://4b226cfb-3ab3-43f1-a72e-5a889f934b25</t>
  </si>
  <si>
    <t>VAV-1286</t>
  </si>
  <si>
    <t xml:space="preserve">7I28 </t>
  </si>
  <si>
    <t>uuid://a3ffe350-ef4d-4cc5-9a29-31cd8e937d69</t>
  </si>
  <si>
    <t>VAV-1287</t>
  </si>
  <si>
    <t xml:space="preserve">7C17 </t>
  </si>
  <si>
    <t>uuid://5350ac67-7fee-4da0-a28c-a8dcf4bfc184</t>
  </si>
  <si>
    <t>VAV-1288</t>
  </si>
  <si>
    <t xml:space="preserve">7C49 </t>
  </si>
  <si>
    <t>uuid://b779b760-672f-4051-ab33-ad8df7c577db</t>
  </si>
  <si>
    <t>VAV-1289</t>
  </si>
  <si>
    <t xml:space="preserve">7C13 </t>
  </si>
  <si>
    <t>uuid://48ad337d-30cf-48f5-9548-8937bd34ef4b</t>
  </si>
  <si>
    <t>VAV-1290</t>
  </si>
  <si>
    <t xml:space="preserve">7C14 </t>
  </si>
  <si>
    <t>uuid://d849ec9d-2074-4b44-af15-50a8eaae98f9</t>
  </si>
  <si>
    <t>VAV-1291</t>
  </si>
  <si>
    <t xml:space="preserve">7C12 </t>
  </si>
  <si>
    <t>uuid://6b2f0099-688c-4fc6-806c-9c9981347c6e</t>
  </si>
  <si>
    <t>VAV-1292</t>
  </si>
  <si>
    <t xml:space="preserve">7C18 </t>
  </si>
  <si>
    <t>uuid://f11b0cd2-a814-4a13-980c-09cdb1813aba</t>
  </si>
  <si>
    <t>VAV-1293</t>
  </si>
  <si>
    <t xml:space="preserve">7C16 </t>
  </si>
  <si>
    <t>uuid://86db6d02-86cf-45b6-b6b7-8505aee1e10e</t>
  </si>
  <si>
    <t>VAV-1294</t>
  </si>
  <si>
    <t xml:space="preserve">7C25&amp; 7C26 </t>
  </si>
  <si>
    <t>uuid://8fe6d6a0-d373-4891-a3ae-8d5dfb2cfef4</t>
  </si>
  <si>
    <t>VAV-1295</t>
  </si>
  <si>
    <t xml:space="preserve">7C15 </t>
  </si>
  <si>
    <t>uuid://9de91e31-4380-4611-a1e1-dea3d2f49f0f</t>
  </si>
  <si>
    <t>VAV-1296</t>
  </si>
  <si>
    <t>7C22  &amp; 7C23</t>
  </si>
  <si>
    <t>uuid://367c05e7-c64e-4ab6-9d47-ffc4fbe13953</t>
  </si>
  <si>
    <t>VAV-1297</t>
  </si>
  <si>
    <t xml:space="preserve">7C21 </t>
  </si>
  <si>
    <t>uuid://d59d0999-8648-4f34-8ae9-d5e3f96badb7</t>
  </si>
  <si>
    <t>VAV-1298</t>
  </si>
  <si>
    <t xml:space="preserve">7C19 &amp; 7C20 </t>
  </si>
  <si>
    <t>uuid://b7a4beed-f5b3-495a-8a6d-c8829aa9f8f1</t>
  </si>
  <si>
    <t>VAV-1299</t>
  </si>
  <si>
    <t>uuid://0fe6314b-546d-444f-9713-cbde58080e24</t>
  </si>
  <si>
    <t>VAV-1300</t>
  </si>
  <si>
    <t>uuid://966a368a-e11d-4184-ac85-9774f34522c1</t>
  </si>
  <si>
    <t>VAV-1301</t>
  </si>
  <si>
    <t>uuid://20553f7c-f82e-404f-a8f0-57ac20b3d4a3</t>
  </si>
  <si>
    <t>VAV-1302</t>
  </si>
  <si>
    <t>uuid://8bbe3f8f-3701-4b55-96fd-71729fdb6282</t>
  </si>
  <si>
    <t>VAV-1303</t>
  </si>
  <si>
    <t>uuid://8c6acade-200d-4d61-93c8-5061ab041bcf</t>
  </si>
  <si>
    <t>VAV-1304</t>
  </si>
  <si>
    <t>uuid://3ea491a6-19bd-4f4e-93fe-8299fe848463</t>
  </si>
  <si>
    <t>VAV-1305</t>
  </si>
  <si>
    <t>uuid://f3c66135-364d-4946-a812-de772b3b2708</t>
  </si>
  <si>
    <t>VAV-1306</t>
  </si>
  <si>
    <t>uuid://796dfbdd-9150-4c9d-9904-f5767fef56bb</t>
  </si>
  <si>
    <t>VAV-1307</t>
  </si>
  <si>
    <t>uuid://a38b734d-c1fb-480f-9d08-85f9f03636e0</t>
  </si>
  <si>
    <t>VAV-1308</t>
  </si>
  <si>
    <t>uuid://83dd3d8c-5c2a-470d-95e5-a53f1c43abda</t>
  </si>
  <si>
    <t>VAV-1309</t>
  </si>
  <si>
    <t>uuid://7a8e1aaa-5e43-4b33-8dac-b1572fab502d</t>
  </si>
  <si>
    <t>VAV-1310</t>
  </si>
  <si>
    <t>uuid://4540b217-30e6-492d-a0e0-29dfc0bcd6e9</t>
  </si>
  <si>
    <t>VAV-1311</t>
  </si>
  <si>
    <t>uuid://232d5b99-d129-45e3-b7f0-ce716fced4ec</t>
  </si>
  <si>
    <t>VAV-1312</t>
  </si>
  <si>
    <t>uuid://76b89001-ef0a-4ead-bf48-94647e4e0a28</t>
  </si>
  <si>
    <t>VAV-1313</t>
  </si>
  <si>
    <t>uuid://5043aab4-c00e-4a5d-8fbf-b2fc485c15b6</t>
  </si>
  <si>
    <t>VAV-1314</t>
  </si>
  <si>
    <t>uuid://19028763-a981-4351-aeca-0c4a61447379</t>
  </si>
  <si>
    <t>VAV-1315</t>
  </si>
  <si>
    <t>uuid://b1632cf8-5a18-40fd-a4a2-1ff50905ce38</t>
  </si>
  <si>
    <t>VAV-1316</t>
  </si>
  <si>
    <t>uuid://84d15f04-9d1a-4509-ab8f-e089a43acee4</t>
  </si>
  <si>
    <t>VAV-1317</t>
  </si>
  <si>
    <t>uuid://14933536-2ef7-423a-81ed-e889fefb88c1</t>
  </si>
  <si>
    <t>VAV-1318</t>
  </si>
  <si>
    <t>uuid://ac790100-7df6-4803-85b4-3742605312be</t>
  </si>
  <si>
    <t>VAV-1319</t>
  </si>
  <si>
    <t>uuid://6b2f883b-b159-425e-89e5-46d1e0859312</t>
  </si>
  <si>
    <t>VAV-1320</t>
  </si>
  <si>
    <t>uuid://dae44943-20ca-4607-bae0-1a8fa9acb3e7</t>
  </si>
  <si>
    <t>VAV-1321</t>
  </si>
  <si>
    <t>uuid://87c40db6-05cf-4aa4-bf36-58c10be9aed3</t>
  </si>
  <si>
    <t>VAV-1322</t>
  </si>
  <si>
    <t>uuid://61b23708-e887-40c1-a567-191e42f4a0af</t>
  </si>
  <si>
    <t>VAV-1323</t>
  </si>
  <si>
    <t>uuid://cdee5d39-d277-4408-b79c-b2f070bdbdc8</t>
  </si>
  <si>
    <t>VAV-1324</t>
  </si>
  <si>
    <t>uuid://c2cbf48f-5b8b-404a-8d93-d43c5e8b8d8c</t>
  </si>
  <si>
    <t>VAV-1325</t>
  </si>
  <si>
    <t>uuid://034d8113-937c-4439-9eef-05b84d88599a</t>
  </si>
  <si>
    <t>VAV-1326</t>
  </si>
  <si>
    <t>uuid://afc9c89f-2d66-4319-93f3-a717a2a6234c</t>
  </si>
  <si>
    <t>VAV-1327</t>
  </si>
  <si>
    <t>uuid://b3b978ec-0f13-4b97-8a8d-2cd4f3e397ff</t>
  </si>
  <si>
    <t>VAV-1328</t>
  </si>
  <si>
    <t>uuid://baf4ad76-7d0d-42e2-aa08-75e26717d850</t>
  </si>
  <si>
    <t>VAV-1329</t>
  </si>
  <si>
    <t>uuid://d31b5771-d63e-4479-81ce-515b1318e298</t>
  </si>
  <si>
    <t>VAV-1330</t>
  </si>
  <si>
    <t>uuid://f55f3781-9018-490c-8391-106355ec179c</t>
  </si>
  <si>
    <t>VAV-1331</t>
  </si>
  <si>
    <t>uuid://3b6cbfbc-a156-4fff-93fe-685355224011</t>
  </si>
  <si>
    <t>VAV-1332</t>
  </si>
  <si>
    <t>uuid://a99c5289-382e-447d-887c-90e4884f7b6a</t>
  </si>
  <si>
    <t>VAV-1333</t>
  </si>
  <si>
    <t>uuid://23139bc6-31c1-40cb-9177-4e7a9cdd062b</t>
  </si>
  <si>
    <t>VAV-1334</t>
  </si>
  <si>
    <t>uuid://1a715de3-8483-4a76-9479-ed2a8c0ac131</t>
  </si>
  <si>
    <t>VAV-1335</t>
  </si>
  <si>
    <t>uuid://cc84b70d-0d44-4de8-869f-52954b607a4d</t>
  </si>
  <si>
    <t>VAV-1336</t>
  </si>
  <si>
    <t>uuid://a4f9d366-2010-4f1e-a4ec-bcc75ab385d7</t>
  </si>
  <si>
    <t>VAV-1337</t>
  </si>
  <si>
    <t>uuid://874c70fd-0c2e-4b0c-ba69-27fa3b7328c4</t>
  </si>
  <si>
    <t>VAV-1338</t>
  </si>
  <si>
    <t>uuid://932f4dcd-699c-455e-86f3-69ca8cd6ea82</t>
  </si>
  <si>
    <t>VAV-1339</t>
  </si>
  <si>
    <t>uuid://a57166bb-8d1a-43f9-b98d-b6ec486da9a7</t>
  </si>
  <si>
    <t>VAV-1340</t>
  </si>
  <si>
    <t>uuid://1e746667-0a13-4736-8a07-9cf51aa1878b</t>
  </si>
  <si>
    <t>VAV-1341</t>
  </si>
  <si>
    <t>uuid://2da434aa-9a9d-41b1-9a4e-63de74ddd68d</t>
  </si>
  <si>
    <t>VAV-1342</t>
  </si>
  <si>
    <t>uuid://a0dbf264-9456-4eea-baec-2766b6fb0ec3</t>
  </si>
  <si>
    <t>VAV-1343</t>
  </si>
  <si>
    <t>uuid://6e18bc05-e153-4c6a-9d2e-803b45720082</t>
  </si>
  <si>
    <t>VAV-1344</t>
  </si>
  <si>
    <t>uuid://3db9c9e5-b6f0-4f38-af27-d005e722900a</t>
  </si>
  <si>
    <t>VAV-1345</t>
  </si>
  <si>
    <t>uuid://573d5bb0-9f3b-49b6-b9c5-3a13e3b9ced0</t>
  </si>
  <si>
    <t>VAV-1346</t>
  </si>
  <si>
    <t>uuid://37a9ba83-df07-4890-a209-a57c38207e2b</t>
  </si>
  <si>
    <t>VAV-1347</t>
  </si>
  <si>
    <t>uuid://270fbc6b-86a5-4397-b0af-c6480f5922d7</t>
  </si>
  <si>
    <t>VAV-1348</t>
  </si>
  <si>
    <t>uuid://ff1d953d-f465-4dcb-9077-669ddb570ce2</t>
  </si>
  <si>
    <t>VAV-1349</t>
  </si>
  <si>
    <t>uuid://9277efea-e11c-481c-9e2b-916f1c151aaa</t>
  </si>
  <si>
    <t>VAV-1350</t>
  </si>
  <si>
    <t>uuid://3a3d57bd-ea71-40a8-9be7-d0dd76ec2b18</t>
  </si>
  <si>
    <t>VAV-1351</t>
  </si>
  <si>
    <t>uuid://7af4d102-f339-4f76-8e09-fe5b20a2f70b</t>
  </si>
  <si>
    <t>VAV-1352</t>
  </si>
  <si>
    <t>uuid://b0d6e10d-a25a-41d7-a712-b3c71f0f32e7</t>
  </si>
  <si>
    <t>VAV-1353</t>
  </si>
  <si>
    <t>uuid://99c3630e-154b-44ee-803b-f11a26e2b039</t>
  </si>
  <si>
    <t>VAV-1354</t>
  </si>
  <si>
    <t>uuid://a8a8b932-d190-4f8c-a052-e5d146cc467c</t>
  </si>
  <si>
    <t>VAV-1355</t>
  </si>
  <si>
    <t>uuid://eabcfa74-3f41-463c-bcac-f06e7a30ab23</t>
  </si>
  <si>
    <t>VAV-1356</t>
  </si>
  <si>
    <t>uuid://e66aab02-e743-4eb5-9b5c-87b1ec31ba72</t>
  </si>
  <si>
    <t>VAV-1357</t>
  </si>
  <si>
    <t>uuid://853f8f77-0b73-4d12-9fb4-3dbd25f96d64</t>
  </si>
  <si>
    <t>VAV-1358</t>
  </si>
  <si>
    <t>uuid://467a406a-1ee7-4c0d-8775-4a6ff4b6b886</t>
  </si>
  <si>
    <t>VAV-1359</t>
  </si>
  <si>
    <t>uuid://eb43037c-dd7d-4af1-805a-95084da61a06</t>
  </si>
  <si>
    <t>VAV-1360</t>
  </si>
  <si>
    <t>uuid://9b014f1b-93e4-4228-8703-fbc0ad03bdcc</t>
  </si>
  <si>
    <t>VAV-1361</t>
  </si>
  <si>
    <t>uuid://6c4e6e18-8dd8-47dc-886b-c8f50b8d12a0</t>
  </si>
  <si>
    <t>VAV-1362</t>
  </si>
  <si>
    <t>uuid://b5ed697b-e224-4250-8e50-67b168b2d87f</t>
  </si>
  <si>
    <t>VAV-1363</t>
  </si>
  <si>
    <t>uuid://6b0907a2-9055-4e87-a792-c6d01904877d</t>
  </si>
  <si>
    <t>VAV-1364</t>
  </si>
  <si>
    <t>uuid://17c6d1f7-1337-4a05-b531-4eb9e2589200</t>
  </si>
  <si>
    <t>VAV-1365</t>
  </si>
  <si>
    <t>uuid://14b17971-2ec5-457d-b0fb-68cf62ce1f30</t>
  </si>
  <si>
    <t>VAV-1366</t>
  </si>
  <si>
    <t>uuid://6ca7d471-96c7-47f4-ae6f-41076176ea16</t>
  </si>
  <si>
    <t>VAV-1367</t>
  </si>
  <si>
    <t>uuid://4d4804d7-5bda-47fd-bfbc-224999dcd7ec</t>
  </si>
  <si>
    <t>VAV-1368</t>
  </si>
  <si>
    <t>uuid://d38e245d-cf89-4bdc-a0cf-2dbfa3001bd2</t>
  </si>
  <si>
    <t>VAV-1369</t>
  </si>
  <si>
    <t>uuid://e8d2e3d4-332a-441a-aae2-c8f80631ffe5</t>
  </si>
  <si>
    <t>VAV-1370</t>
  </si>
  <si>
    <t>uuid://53dc3260-4e29-41f9-9586-007d763be23d</t>
  </si>
  <si>
    <t>VAV-1371</t>
  </si>
  <si>
    <t>uuid://e2f4692a-3bae-413e-a14c-2dea049c675a</t>
  </si>
  <si>
    <t>VAV-1372</t>
  </si>
  <si>
    <t>uuid://9b57c318-6765-433a-8068-ac2ff4724d7c</t>
  </si>
  <si>
    <t>VAV-1373</t>
  </si>
  <si>
    <t>uuid://4bd24ecb-34b3-49ea-9f20-e74dbcc7ab12</t>
  </si>
  <si>
    <t>VAV-1374</t>
  </si>
  <si>
    <t>uuid://fe4e81a5-2970-483f-8f17-58b2b8f69090</t>
  </si>
  <si>
    <t>VAV-1375</t>
  </si>
  <si>
    <t>uuid://25170859-1c5e-42ab-b0a3-a43ee06831fd</t>
  </si>
  <si>
    <t>VAV-1376</t>
  </si>
  <si>
    <t>uuid://ae507039-0708-4cf9-b2c2-20833661f6de</t>
  </si>
  <si>
    <t>VAV-1377</t>
  </si>
  <si>
    <t>uuid://92766c92-44b4-4802-aca8-ee6378eae0a7</t>
  </si>
  <si>
    <t>VAV-1378</t>
  </si>
  <si>
    <t>uuid://c10bb0ec-53ed-42c0-9d4a-c938d74f5cef</t>
  </si>
  <si>
    <t>VAV-1379</t>
  </si>
  <si>
    <t>uuid://790811b5-4c9a-4410-85ec-7c52b7ec23ee</t>
  </si>
  <si>
    <t>VAV-1380</t>
  </si>
  <si>
    <t>uuid://3b203234-380b-416c-881e-78417d7d00fe</t>
  </si>
  <si>
    <t>VAV-1381</t>
  </si>
  <si>
    <t>uuid://99e9647b-d76c-4926-afc6-92bf302d14a4</t>
  </si>
  <si>
    <t>VAV-1382</t>
  </si>
  <si>
    <t>uuid://e0271211-5cc7-4db5-8904-6f5ace72950f</t>
  </si>
  <si>
    <t>VAV-1383</t>
  </si>
  <si>
    <t>uuid://b702b632-8ee8-44ef-bdc6-63a3d036db53</t>
  </si>
  <si>
    <t>VAV-1384</t>
  </si>
  <si>
    <t>uuid://5b153160-b748-470e-b61b-6f083f4eb21a</t>
  </si>
  <si>
    <t>VAV-1385</t>
  </si>
  <si>
    <t>uuid://c03286b4-79af-4347-994f-0192a6804d92</t>
  </si>
  <si>
    <t>VAV-1386</t>
  </si>
  <si>
    <t>uuid://37868c26-f9a2-419c-bd00-6775ab1cbfc7</t>
  </si>
  <si>
    <t>VAV-1387</t>
  </si>
  <si>
    <t>uuid://5dc278f5-0e63-41f7-bde0-d3edac0ec6bd</t>
  </si>
  <si>
    <t>VAV-1388</t>
  </si>
  <si>
    <t>uuid://956ff28e-56ac-4308-8e11-a6b97abcdd8a</t>
  </si>
  <si>
    <t>VAV-1389</t>
  </si>
  <si>
    <t>uuid://fd62d37b-a7a8-4b4e-a0e2-4217b499cc26</t>
  </si>
  <si>
    <t>VAV-1390</t>
  </si>
  <si>
    <t>uuid://c481044d-ce97-42fa-bd1e-e03ed023bc8e</t>
  </si>
  <si>
    <t>VAV-1391</t>
  </si>
  <si>
    <t>uuid://fdbd51c9-9271-4d15-a7a7-0cb23f995919</t>
  </si>
  <si>
    <t>VAV-1392</t>
  </si>
  <si>
    <t>uuid://3e3beed9-8c6d-4725-8656-c7f1023ab00f</t>
  </si>
  <si>
    <t>VAV-1393</t>
  </si>
  <si>
    <t>uuid://b6f1d504-d16a-48d3-83f0-c8d0938dc3e8</t>
  </si>
  <si>
    <t>VAV-1394</t>
  </si>
  <si>
    <t>uuid://e621bfe0-ad06-466c-aa16-851acdd31351</t>
  </si>
  <si>
    <t>VAV-1395</t>
  </si>
  <si>
    <t>uuid://12f9e767-f3ba-4299-b50c-971a1f729e75</t>
  </si>
  <si>
    <t>VAV-1396</t>
  </si>
  <si>
    <t>uuid://f8a4735c-ffb6-4bf2-b17c-312d02d0a05c</t>
  </si>
  <si>
    <t>VAV-1397</t>
  </si>
  <si>
    <t>uuid://40f9a7f5-55f2-4e18-b8ad-990314e3ee13</t>
  </si>
  <si>
    <t>VAV-1398</t>
  </si>
  <si>
    <t>uuid://2a5898a0-21e3-4eda-bce4-7cb288208630</t>
  </si>
  <si>
    <t>VAV-1399</t>
  </si>
  <si>
    <t>uuid://79ea488d-04df-4b06-8ad2-c04b784e7c3d</t>
  </si>
  <si>
    <t>VAV-1400</t>
  </si>
  <si>
    <t>uuid://7bc23157-ebec-47c5-bc36-e811a745f2f9</t>
  </si>
  <si>
    <t>VAV-1401</t>
  </si>
  <si>
    <t>uuid://e2b7bfef-31d0-464b-b02d-01ffa6afa510</t>
  </si>
  <si>
    <t>VAV-1402</t>
  </si>
  <si>
    <t>uuid://89cc3540-76d6-48ec-a2b6-c5548ac34e2a</t>
  </si>
  <si>
    <t>VAV-1403</t>
  </si>
  <si>
    <t>uuid://b7a1dc71-5f54-4b60-9557-7ee483cd01af</t>
  </si>
  <si>
    <t>VAV-1404</t>
  </si>
  <si>
    <t>uuid://ba37ba03-37c2-4478-af22-60d637d38b87</t>
  </si>
  <si>
    <t>VAV-1405</t>
  </si>
  <si>
    <t>uuid://f9d867cf-f6db-4fb6-8c76-7b0be35de814</t>
  </si>
  <si>
    <t>VAV-1406</t>
  </si>
  <si>
    <t>uuid://d0c47543-cf03-49b4-afac-6ae21d51d9a0</t>
  </si>
  <si>
    <t>VAV-1407</t>
  </si>
  <si>
    <t>uuid://3796af04-b207-486e-a29f-fd16942e8db6</t>
  </si>
  <si>
    <t>VAV-1408</t>
  </si>
  <si>
    <t>uuid://e19df2ab-ae3d-470f-aba0-e18677a67d1a</t>
  </si>
  <si>
    <t>VAV-1409</t>
  </si>
  <si>
    <t>uuid://361a0cde-b593-4192-9ac0-07a87557ecbe</t>
  </si>
  <si>
    <t>VAV-1410</t>
  </si>
  <si>
    <t>uuid://e06b6e93-7a39-47fb-8498-80433ef01a50</t>
  </si>
  <si>
    <t>VAV-1411</t>
  </si>
  <si>
    <t>uuid://5f05adca-1cb1-41b8-9831-b6f5753c9c36</t>
  </si>
  <si>
    <t>VAV-1412</t>
  </si>
  <si>
    <t>uuid://54c8e976-b02a-402f-aebb-aa3c3a4f5ed7</t>
  </si>
  <si>
    <t>VAV-1413</t>
  </si>
  <si>
    <t>uuid://5f400606-1c08-44e8-90f8-7a03badec714</t>
  </si>
  <si>
    <t>VAV-1414</t>
  </si>
  <si>
    <t>uuid://d7dc8dca-7250-493b-ab76-027ff2606d0c</t>
  </si>
  <si>
    <t>VAV-1415</t>
  </si>
  <si>
    <t>uuid://8b69a368-35f9-40d6-9f78-33ff5d07d77f</t>
  </si>
  <si>
    <t>VAV-1416</t>
  </si>
  <si>
    <t>uuid://74363a55-7f86-4f81-85a9-c2e4653904a4</t>
  </si>
  <si>
    <t>VAV-1417</t>
  </si>
  <si>
    <t>uuid://1ce9e58b-cc06-4b1b-a3eb-ddfcb1b8148b</t>
  </si>
  <si>
    <t>VAV-1418</t>
  </si>
  <si>
    <t>uuid://c41a526c-4b99-4f1e-bd11-d4b054bcd724</t>
  </si>
  <si>
    <t>VAV-1419</t>
  </si>
  <si>
    <t>uuid://bfa4239b-4640-4706-bbae-b945a4137657</t>
  </si>
  <si>
    <t>VAV-1420</t>
  </si>
  <si>
    <t>uuid://d1ba338c-9575-47ec-8838-add79b809513</t>
  </si>
  <si>
    <t>VAV-1421</t>
  </si>
  <si>
    <t>uuid://cc17e760-a595-4bd5-a622-9fea4cee66fc</t>
  </si>
  <si>
    <t>VAV-1422</t>
  </si>
  <si>
    <t>uuid://be045ae9-6008-4e8b-a6f1-622017411b94</t>
  </si>
  <si>
    <t>VAV-1423</t>
  </si>
  <si>
    <t>uuid://d78c7d8e-0eb6-4ac5-852b-983ee3bda207</t>
  </si>
  <si>
    <t>VAV-1424</t>
  </si>
  <si>
    <t>uuid://5bddc969-9d6d-40b7-9c3a-7b65ba900943</t>
  </si>
  <si>
    <t>VAV-1425</t>
  </si>
  <si>
    <t>uuid://6d74261e-d4cc-44f7-849a-67e8b5cea290</t>
  </si>
  <si>
    <t>VAV-1426</t>
  </si>
  <si>
    <t>uuid://ca89345a-73d5-489a-bd16-b61a9045bb8f</t>
  </si>
  <si>
    <t>VAV-1427</t>
  </si>
  <si>
    <t>uuid://1810442e-b334-438b-9c77-83b5e0a891e0</t>
  </si>
  <si>
    <t>VAV-1428</t>
  </si>
  <si>
    <t>uuid://316d8e0f-96f0-4dba-a8bd-52b677b49707</t>
  </si>
  <si>
    <t>VAV-1429</t>
  </si>
  <si>
    <t>uuid://436493b6-96bd-4c26-937b-7421c3207a75</t>
  </si>
  <si>
    <t>VAV-1430</t>
  </si>
  <si>
    <t>uuid://2081eed2-1d21-4ef0-898c-112fcc9d3d8f</t>
  </si>
  <si>
    <t>VAV-1431</t>
  </si>
  <si>
    <t>uuid://0af1af3d-de6a-40c7-a66c-44c4e3d0624d</t>
  </si>
  <si>
    <t>VAV-1432</t>
  </si>
  <si>
    <t>uuid://d37a7635-37e6-44bd-8c4a-6b6227543599</t>
  </si>
  <si>
    <t>VAV-1433</t>
  </si>
  <si>
    <t>uuid://0a074f7c-fe28-4471-8bec-41caed9041fd</t>
  </si>
  <si>
    <t>VAV-1434</t>
  </si>
  <si>
    <t>uuid://d2540b1a-4880-48de-8db1-0075a314f828</t>
  </si>
  <si>
    <t>VAV-1435</t>
  </si>
  <si>
    <t>uuid://deb30663-03d9-43a3-b3c9-6fda2e050259</t>
  </si>
  <si>
    <t>VAV-1436</t>
  </si>
  <si>
    <t>uuid://8e464837-15f3-4ce7-a0d4-82c9be47f7de</t>
  </si>
  <si>
    <t>VAV-1437</t>
  </si>
  <si>
    <t>uuid://4320846b-662f-46a5-b8f1-787eef08c8cd</t>
  </si>
  <si>
    <t>VAV-1438</t>
  </si>
  <si>
    <t>uuid://aab8bc69-7f1a-4ea9-9eaf-a8b24cbb6244</t>
  </si>
  <si>
    <t>VAV-1439</t>
  </si>
  <si>
    <t>uuid://88d69868-b748-4c5d-aa1b-cd3b3cd7134c</t>
  </si>
  <si>
    <t>VAV-1440</t>
  </si>
  <si>
    <t>uuid://aecdf528-9401-4d36-a478-7d03c597b75c</t>
  </si>
  <si>
    <t>VAV-1441</t>
  </si>
  <si>
    <t>uuid://70fbeb48-94c3-471e-af96-76071c70b71b</t>
  </si>
  <si>
    <t>VAV-1442</t>
  </si>
  <si>
    <t>uuid://e2a214ef-6925-4e14-b621-87c3d64e42b5</t>
  </si>
  <si>
    <t>VAV-1443</t>
  </si>
  <si>
    <t>uuid://7759808c-6734-4e45-8df9-3a32082dfd55</t>
  </si>
  <si>
    <t>VAV-1444</t>
  </si>
  <si>
    <t>uuid://2cbb6b9c-24fc-4d29-acc0-a7dddaf18d2b</t>
  </si>
  <si>
    <t>VAV-1445</t>
  </si>
  <si>
    <t>uuid://10f446b2-a295-4122-91eb-fe8466be4e2f</t>
  </si>
  <si>
    <t>VAV-1446</t>
  </si>
  <si>
    <t>uuid://c5431bdd-449c-44fc-867c-bf9cd7d16ca2</t>
  </si>
  <si>
    <t>VAV-1447</t>
  </si>
  <si>
    <t>uuid://69197153-9db8-40d2-bfcb-7c995437bac2</t>
  </si>
  <si>
    <t>VAV-1448</t>
  </si>
  <si>
    <t>uuid://f92d28b8-c2bc-46c4-a79b-67afe7187388</t>
  </si>
  <si>
    <t>VAV-1449</t>
  </si>
  <si>
    <t>uuid://897729eb-b9aa-4ebc-a5d1-3fb37deae378</t>
  </si>
  <si>
    <t>VAV-1450</t>
  </si>
  <si>
    <t>uuid://d5626ba4-035a-4d64-971e-06ec581d34f7</t>
  </si>
  <si>
    <t>VAV-1451</t>
  </si>
  <si>
    <t>uuid://cb0ad6c4-580b-48a2-84a1-ed60eb699a40</t>
  </si>
  <si>
    <t>VAV-1452</t>
  </si>
  <si>
    <t>uuid://6512fbce-fced-4f08-a620-4b7d1ff44a76</t>
  </si>
  <si>
    <t>VAV-1453</t>
  </si>
  <si>
    <t>uuid://a08d57fc-13f6-41f4-aba9-179fa5906e71</t>
  </si>
  <si>
    <t>VAV-1454</t>
  </si>
  <si>
    <t>uuid://b0262345-a5eb-4ff1-8a89-e7bfb3258983</t>
  </si>
  <si>
    <t>VAV-1455</t>
  </si>
  <si>
    <t>uuid://4bc4df52-c31c-4112-92d5-2fa80cb11cf5</t>
  </si>
  <si>
    <t>VAV-1456</t>
  </si>
  <si>
    <t>uuid://1c4425ac-1368-4385-972f-4f6e4126523b</t>
  </si>
  <si>
    <t>VAV-1457</t>
  </si>
  <si>
    <t>uuid://73ad1c03-196a-45b3-9428-db5436ddcfc7</t>
  </si>
  <si>
    <t>VAV-1458</t>
  </si>
  <si>
    <t>uuid://2f8648bb-34ca-4abe-a04f-684c3f5e0492</t>
  </si>
  <si>
    <t>VAV-1459</t>
  </si>
  <si>
    <t>uuid://b82b6b92-c68c-46b2-8d6e-92cf93060d2b</t>
  </si>
  <si>
    <t>VAV-1460</t>
  </si>
  <si>
    <t>uuid://34de397c-d33d-4def-9ce5-9f566744ccf0</t>
  </si>
  <si>
    <t>VAV-1461</t>
  </si>
  <si>
    <t>uuid://6deaad71-5c9a-4e70-b275-efa57e16dd50</t>
  </si>
  <si>
    <t>VAV-1462</t>
  </si>
  <si>
    <t>uuid://199c22e3-6291-4ce1-b72d-142603f746ba</t>
  </si>
  <si>
    <t>VAV-1463</t>
  </si>
  <si>
    <t>uuid://de250d12-eb82-4c33-ab19-54ca9fd560d4</t>
  </si>
  <si>
    <t>VAV-1464</t>
  </si>
  <si>
    <t>uuid://2782856e-93f0-4da3-8681-110032edb173</t>
  </si>
  <si>
    <t>VAV-1465</t>
  </si>
  <si>
    <t>uuid://356bd6c5-3e64-40ca-805a-a1a880ab4efd</t>
  </si>
  <si>
    <t>VAV-1466</t>
  </si>
  <si>
    <t>uuid://543a7ce0-a8ce-4df6-82dc-84483e76ea60</t>
  </si>
  <si>
    <t>VAV-1467</t>
  </si>
  <si>
    <t>uuid://d7d72243-4305-496b-80d0-be7c6c26714d</t>
  </si>
  <si>
    <t>VAV-1468</t>
  </si>
  <si>
    <t>uuid://6a94cd8a-53ec-4d92-b80f-09b6113ab59c</t>
  </si>
  <si>
    <t>VAV-1469</t>
  </si>
  <si>
    <t>uuid://c2a13b27-14cf-4e69-86bd-88b6fb3d29b7</t>
  </si>
  <si>
    <t>VAV-1470</t>
  </si>
  <si>
    <t>uuid://af17cbdc-f292-4544-a688-13a1cb53b3d4</t>
  </si>
  <si>
    <t>VAV-1471</t>
  </si>
  <si>
    <t>uuid://fe60b038-41c9-4a44-95eb-803c77bba123</t>
  </si>
  <si>
    <t>VAV-1472</t>
  </si>
  <si>
    <t>uuid://701d7c02-625f-4ded-842e-31315e86c8dd</t>
  </si>
  <si>
    <t>VAV-1473</t>
  </si>
  <si>
    <t>uuid://41ac9b15-1291-49b5-9b20-63ca277218f8</t>
  </si>
  <si>
    <t>VAV-1474</t>
  </si>
  <si>
    <t>uuid://57c4aac2-b5d5-40fe-89c6-5972ffab256f</t>
  </si>
  <si>
    <t>VAV-1475</t>
  </si>
  <si>
    <t>uuid://25c6ce92-5ae5-4133-bb84-90876f18c8d5</t>
  </si>
  <si>
    <t>VAV-1476</t>
  </si>
  <si>
    <t>uuid://f005e3ba-3ec3-48ac-8098-29f6fcb1de6d</t>
  </si>
  <si>
    <t>VAV-1477</t>
  </si>
  <si>
    <t>uuid://56f3bd65-c9dd-45b3-a63e-d7cfd8e008c7</t>
  </si>
  <si>
    <t>VAV-1478</t>
  </si>
  <si>
    <t>uuid://1ff2d401-f899-4ea0-9825-ca1f0cae7271</t>
  </si>
  <si>
    <t>VAV-1479</t>
  </si>
  <si>
    <t>uuid://810e2efa-5ab3-49c6-bd1c-901c287ae1e7</t>
  </si>
  <si>
    <t>VAV-1480</t>
  </si>
  <si>
    <t>uuid://a79871b3-4e8b-462a-ad70-158e3ab24252</t>
  </si>
  <si>
    <t>VAV-1481</t>
  </si>
  <si>
    <t>uuid://b3171012-ffe5-412a-833f-225d0cec31f7</t>
  </si>
  <si>
    <t>VAV-1482</t>
  </si>
  <si>
    <t>uuid://2ccb73cb-e563-4f3f-b428-ab6d80802ccd</t>
  </si>
  <si>
    <t>VAV-1483</t>
  </si>
  <si>
    <t>uuid://a8437dfc-c5fe-4f50-8a70-dc68f14c644b</t>
  </si>
  <si>
    <t>VAV-1484</t>
  </si>
  <si>
    <t>uuid://b451556c-ce9e-4a9b-bd70-8d95132f2837</t>
  </si>
  <si>
    <t>VAV-1485</t>
  </si>
  <si>
    <t>uuid://ee062b9f-f4e3-4a69-9f8b-cfc78d23ea64</t>
  </si>
  <si>
    <t>VAV-1486</t>
  </si>
  <si>
    <t>uuid://8e6da2a7-b759-4d18-ab3e-6a3765d9c89a</t>
  </si>
  <si>
    <t>VAV-1487</t>
  </si>
  <si>
    <t>uuid://e7cefd51-ac65-4e8d-b4e4-c83358ebae7f</t>
  </si>
  <si>
    <t>VAV-1488</t>
  </si>
  <si>
    <t>uuid://f12c7c21-1e88-47db-9482-8122a1733fc0</t>
  </si>
  <si>
    <t>VAV-1489</t>
  </si>
  <si>
    <t>uuid://f89be8f4-8f34-4592-b183-9bdf153767b2</t>
  </si>
  <si>
    <t>VAV-1490</t>
  </si>
  <si>
    <t>uuid://763b3895-31d0-4363-8206-73b1f76f8b80</t>
  </si>
  <si>
    <t>VAV-1491</t>
  </si>
  <si>
    <t>uuid://13df17dc-3744-4a05-a773-42244f743688</t>
  </si>
  <si>
    <t>VAV-1492</t>
  </si>
  <si>
    <t>uuid://70a2307b-ecef-45eb-8c1b-a225f658da1a</t>
  </si>
  <si>
    <t>VAV-1493</t>
  </si>
  <si>
    <t>uuid://8e549ad4-8864-41d6-a2f1-0a1605587673</t>
  </si>
  <si>
    <t>VAV-1494</t>
  </si>
  <si>
    <t>uuid://5729110e-05cb-4c1e-bf4b-e9df3c6edae7</t>
  </si>
  <si>
    <t>VAV-1495</t>
  </si>
  <si>
    <t>uuid://640d1590-c431-4b23-b99e-b1f41218f1d4</t>
  </si>
  <si>
    <t>VAV-1496</t>
  </si>
  <si>
    <t>uuid://d353595e-76cb-4381-912f-2c812a76000f</t>
  </si>
  <si>
    <t>VAV-1497</t>
  </si>
  <si>
    <t>uuid://59fd420f-b903-44c2-8a70-6277de8895f4</t>
  </si>
  <si>
    <t>VAV-1498</t>
  </si>
  <si>
    <t>uuid://3f158992-ba31-4681-aa79-b28f69377007</t>
  </si>
  <si>
    <t>VAV-1499</t>
  </si>
  <si>
    <t>uuid://b0ce1a3b-74c5-41a3-9bef-fb2107ec9234</t>
  </si>
  <si>
    <t>VAV-1500</t>
  </si>
  <si>
    <t>uuid://b498c149-7d00-4641-b356-eacc9a27964c</t>
  </si>
  <si>
    <t>VAV-1501</t>
  </si>
  <si>
    <t>uuid://4ceb180f-93df-43cb-a511-5c15219a6a5b</t>
  </si>
  <si>
    <t>VAV-1502</t>
  </si>
  <si>
    <t>uuid://59bd8dd4-4138-41bb-9e15-6a80c4a6a743</t>
  </si>
  <si>
    <t>VAV-1503</t>
  </si>
  <si>
    <t>uuid://1d76e420-4ad2-479d-a94a-a3dd47f2cf12</t>
  </si>
  <si>
    <t>VAV-1504</t>
  </si>
  <si>
    <t>uuid://e9c79d35-5b9d-4a14-bf78-a0fbcf1aaefd</t>
  </si>
  <si>
    <t>VAV-1505</t>
  </si>
  <si>
    <t>uuid://897b4410-03be-4d76-b5fa-bbba55ae323b</t>
  </si>
  <si>
    <t>VAV-1506</t>
  </si>
  <si>
    <t>uuid://1281dcec-2fc7-42f9-8a5f-dee9221cd978</t>
  </si>
  <si>
    <t>VAV-1507</t>
  </si>
  <si>
    <t>uuid://209126c7-3c52-474d-8739-883011e5d329</t>
  </si>
  <si>
    <t>VAV-1508</t>
  </si>
  <si>
    <t>uuid://4c5e4df1-a39e-4838-83e6-e6126f8a156b</t>
  </si>
  <si>
    <t>VAV-1509</t>
  </si>
  <si>
    <t>uuid://2cd77b1d-0111-4f63-9946-b1cef47d7398</t>
  </si>
  <si>
    <t>VAV-1510</t>
  </si>
  <si>
    <t>uuid://971376d5-adb5-4939-a14a-dce40880dfe1</t>
  </si>
  <si>
    <t>VAV-1511</t>
  </si>
  <si>
    <t>uuid://6a70031c-6533-4928-a46d-734a8578319b</t>
  </si>
  <si>
    <t>VAV-1512</t>
  </si>
  <si>
    <t>uuid://020a3cac-4b4a-4863-bac0-5af6c9bfab6b</t>
  </si>
  <si>
    <t>VAV-1513</t>
  </si>
  <si>
    <t>uuid://2cb53179-0184-43f7-b199-d656da8aaea3</t>
  </si>
  <si>
    <t>VAV-1514</t>
  </si>
  <si>
    <t>uuid://4c24c03c-80c8-47f7-8d6a-3497f20962bc</t>
  </si>
  <si>
    <t>VAV-1515</t>
  </si>
  <si>
    <t>uuid://0cbec98f-42f1-4d64-9d7a-ba1a2cb28947</t>
  </si>
  <si>
    <t>VAV-1516</t>
  </si>
  <si>
    <t>uuid://8f575ead-c155-4c1c-9522-53023eb9cd91</t>
  </si>
  <si>
    <t>VAV-1517</t>
  </si>
  <si>
    <t>uuid://73a3d0c4-94e4-4205-805b-4eae7ea1e13c</t>
  </si>
  <si>
    <t>VAV-1518</t>
  </si>
  <si>
    <t>uuid://3817293e-aaf7-441c-a946-f3e8d969a0df</t>
  </si>
  <si>
    <t>VAV-1519</t>
  </si>
  <si>
    <t>uuid://59360e3b-d5b4-40e2-8417-197bfff192f5</t>
  </si>
  <si>
    <t>VAV-1520</t>
  </si>
  <si>
    <t>uuid://dcceccb3-cea0-4798-aa28-fd55aa4c48b0</t>
  </si>
  <si>
    <t>VAV-1521</t>
  </si>
  <si>
    <t>uuid://7a2d5ab6-ac9b-4240-8f37-724f85eb2cf4</t>
  </si>
  <si>
    <t>VAV-1522</t>
  </si>
  <si>
    <t>uuid://b8de1306-9d51-4afc-b2bf-7060a8eead95</t>
  </si>
  <si>
    <t>VAV-1523</t>
  </si>
  <si>
    <t>uuid://7b14a5f9-d48a-4642-b20f-c25440f8e909</t>
  </si>
  <si>
    <t>VAV-1524</t>
  </si>
  <si>
    <t>uuid://1eb3c2f0-dc8c-4ae4-8f51-a89e1f2c8f92</t>
  </si>
  <si>
    <t>VAV-1525</t>
  </si>
  <si>
    <t>uuid://984924a7-98c4-4b22-b70b-5ccf242136ad</t>
  </si>
  <si>
    <t>VAV-1526</t>
  </si>
  <si>
    <t>uuid://c60ae84b-413f-41d8-99e4-77ceff36fd8b</t>
  </si>
  <si>
    <t>VAV-1527</t>
  </si>
  <si>
    <t>uuid://4df605ee-0bc4-48fd-a4b7-2a744ef0d9d1</t>
  </si>
  <si>
    <t>VAV-1528</t>
  </si>
  <si>
    <t>uuid://34e47564-e6e9-4bf2-aabb-5fc2b2b6ca9d</t>
  </si>
  <si>
    <t>VAV-1529</t>
  </si>
  <si>
    <t>uuid://b15f894a-17aa-46e0-b3a0-182368cee28b</t>
  </si>
  <si>
    <t>VAV-1530</t>
  </si>
  <si>
    <t>uuid://7dab5c73-8f16-442b-ba4f-b71848f310d6</t>
  </si>
  <si>
    <t>VAV-1531</t>
  </si>
  <si>
    <t>uuid://94b93997-b7d7-417c-9e2c-edda02ae8d86</t>
  </si>
  <si>
    <t>VAV-1532</t>
  </si>
  <si>
    <t>uuid://ccbedd10-3c44-405a-81d5-fdea4deba1d4</t>
  </si>
  <si>
    <t>VAV-1533</t>
  </si>
  <si>
    <t>uuid://019b2984-b342-4ccd-b28b-cc8cfd9bb88b</t>
  </si>
  <si>
    <t>VAV-1534</t>
  </si>
  <si>
    <t>uuid://af604f1f-97c1-49f5-9e9b-35129638b7bc</t>
  </si>
  <si>
    <t>VAV-1535</t>
  </si>
  <si>
    <t>uuid://de34f59e-a0bf-4a8f-a857-4a7d7599c002</t>
  </si>
  <si>
    <t>VAV-1536</t>
  </si>
  <si>
    <t>uuid://94e22b9d-2954-41ae-abea-d06630bdc43c</t>
  </si>
  <si>
    <t>VAV-1537</t>
  </si>
  <si>
    <t>uuid://3c91e19e-e2c3-4c0d-8b78-cadbd44f7a27</t>
  </si>
  <si>
    <t>VAV-1538</t>
  </si>
  <si>
    <t>uuid://ca2a2669-9c40-4c64-a67a-0a3511f01c2e</t>
  </si>
  <si>
    <t>VAV-1539</t>
  </si>
  <si>
    <t>uuid://e3fefae1-e4dd-4153-8162-fcc2299776b6</t>
  </si>
  <si>
    <t>VAV-1540</t>
  </si>
  <si>
    <t>uuid://b65b9a58-d6e3-41a9-b5c0-ec6e0e5fa9d8</t>
  </si>
  <si>
    <t>VAV-1541</t>
  </si>
  <si>
    <t>uuid://ff800d41-2f7e-4ab5-9afc-2af53ed5bbcc</t>
  </si>
  <si>
    <t>VAV-1542</t>
  </si>
  <si>
    <t>uuid://d0ca29eb-faf2-4cfd-88d8-2fc8224f5509</t>
  </si>
  <si>
    <t>VAV-1543</t>
  </si>
  <si>
    <t>uuid://657a50e0-3aca-47d0-b9c0-28bc927f30ad</t>
  </si>
  <si>
    <t>VAV-1544</t>
  </si>
  <si>
    <t>uuid://0664148e-85eb-492a-8622-e40442e3e384</t>
  </si>
  <si>
    <t>VAV-1545</t>
  </si>
  <si>
    <t>uuid://52ee0467-32f7-4358-854e-293bc05d91a2</t>
  </si>
  <si>
    <t>VAV-1546</t>
  </si>
  <si>
    <t>uuid://844d85ba-55bd-420e-8c7f-9c0b1db5bd4b</t>
  </si>
  <si>
    <t>VAV-1547</t>
  </si>
  <si>
    <t>uuid://7d341b64-306c-4c2f-bb29-00e0dd490d49</t>
  </si>
  <si>
    <t>VAV-1548</t>
  </si>
  <si>
    <t>uuid://3dc0eed0-5bf3-4689-b11c-101f0347a6b3</t>
  </si>
  <si>
    <t>VAV-1549</t>
  </si>
  <si>
    <t>uuid://3f23f9a7-a09d-42b1-8aaf-8e905142b8ac</t>
  </si>
  <si>
    <t>VAV-1550</t>
  </si>
  <si>
    <t>uuid://467e80d3-3f5c-4a23-a5df-efc6c66db767</t>
  </si>
  <si>
    <t>VAV-1551</t>
  </si>
  <si>
    <t>uuid://a4b5e1fb-174d-4973-948d-e9a8096e6e3f</t>
  </si>
  <si>
    <t>VAV-1552</t>
  </si>
  <si>
    <t>uuid://36e83223-f0a9-406b-b0f2-7832cde2ca72</t>
  </si>
  <si>
    <t>VAV-1553</t>
  </si>
  <si>
    <t>uuid://59cae752-c5de-48e7-8096-35468131393f</t>
  </si>
  <si>
    <t>VAV-1554</t>
  </si>
  <si>
    <t>uuid://8f3efbcf-50a5-4d8a-976a-7338082ac5fe</t>
  </si>
  <si>
    <t>VAV-1555</t>
  </si>
  <si>
    <t>uuid://84af9458-1653-4ea9-9c7a-6f6092237de8</t>
  </si>
  <si>
    <t>VAV-1556</t>
  </si>
  <si>
    <t>uuid://4c9d7e4a-c3ff-4881-acc5-78ba41b52f7c</t>
  </si>
  <si>
    <t>VAV-1557</t>
  </si>
  <si>
    <t>uuid://daf41adb-f5d5-41e3-8af5-a74a8e1638a0</t>
  </si>
  <si>
    <t>VAV-1558</t>
  </si>
  <si>
    <t>uuid://3a01a646-06e1-4a71-94c9-faa39dae035d</t>
  </si>
  <si>
    <t>VAV-1559</t>
  </si>
  <si>
    <t>uuid://8a4a562d-c2fc-463c-b836-b959e0c27f37</t>
  </si>
  <si>
    <t>VAV-1560</t>
  </si>
  <si>
    <t>uuid://009377de-4e94-441a-aba4-91adcd8bd344</t>
  </si>
  <si>
    <t>VAV-1561</t>
  </si>
  <si>
    <t>uuid://e951bb5a-ac5f-44c9-a20b-2e7dbc635ac7</t>
  </si>
  <si>
    <t>VAV-1562</t>
  </si>
  <si>
    <t>uuid://87999ea8-e5f7-4cca-a862-1a661afceed6</t>
  </si>
  <si>
    <t>VAV-1563</t>
  </si>
  <si>
    <t>uuid://cd583ac8-6394-484e-ad9a-e3035a58650f</t>
  </si>
  <si>
    <t>VAV-1564</t>
  </si>
  <si>
    <t>uuid://a7639eae-c1cb-4cc4-aaa8-d2d27bd81ce8</t>
  </si>
  <si>
    <t>VAV-1565</t>
  </si>
  <si>
    <t>uuid://bf26aafb-719d-43f8-a241-b6c6938559a2</t>
  </si>
  <si>
    <t>VAV-1566</t>
  </si>
  <si>
    <t>uuid://3047b36e-c7e2-45c1-bf4f-5bb353b46d32</t>
  </si>
  <si>
    <t>VAV-1567</t>
  </si>
  <si>
    <t>uuid://117afd9c-caf8-4d95-8128-74a1f9253500</t>
  </si>
  <si>
    <t>VAV-1568</t>
  </si>
  <si>
    <t>uuid://b41439b9-ba38-4c26-a92c-f13438a6778f</t>
  </si>
  <si>
    <t>VAV-1569</t>
  </si>
  <si>
    <t>uuid://aa3462a4-36c2-4a99-b1ed-eeb5dca2f19e</t>
  </si>
  <si>
    <t>VAV-1570</t>
  </si>
  <si>
    <t>uuid://6cf1ddcd-59ce-4de0-81f1-8a94d4a828fd</t>
  </si>
  <si>
    <t>VAV-1571</t>
  </si>
  <si>
    <t>uuid://aa9151c0-1aa8-47cc-bbf1-d8c857ff2f20</t>
  </si>
  <si>
    <t>VAV-1572</t>
  </si>
  <si>
    <t>uuid://1eaa98b0-e72d-40c0-8e2a-097435f4bc75</t>
  </si>
  <si>
    <t>VAV-1573</t>
  </si>
  <si>
    <t>uuid://b8e6d72a-053a-4fbc-b0d7-12f287d9f870</t>
  </si>
  <si>
    <t>VAV-1574</t>
  </si>
  <si>
    <t>uuid://8dd950dc-a6e0-4d9c-86e4-db4c906eac2f</t>
  </si>
  <si>
    <t>VAV-1575</t>
  </si>
  <si>
    <t>uuid://282c898e-9c1d-41c1-a93c-626334911f5d</t>
  </si>
  <si>
    <t>VAV-1576</t>
  </si>
  <si>
    <t>uuid://359d5839-d23b-4fe0-a773-7db73434cba5</t>
  </si>
  <si>
    <t>VAV-1577</t>
  </si>
  <si>
    <t>uuid://4c9ba00b-dee6-4842-a945-695eabcfdb98</t>
  </si>
  <si>
    <t>VAV-1578</t>
  </si>
  <si>
    <t>uuid://831e4230-1cd3-419d-afd9-cc1ef47c0403</t>
  </si>
  <si>
    <t>VAV-1579</t>
  </si>
  <si>
    <t>uuid://7794382b-ffec-4acd-820f-beeb98bec46a</t>
  </si>
  <si>
    <t>VAV-1580</t>
  </si>
  <si>
    <t>uuid://3d08fef1-89b4-4a5d-8192-9838fa36edcf</t>
  </si>
  <si>
    <t>VAV-1581</t>
  </si>
  <si>
    <t>uuid://876e3740-77ea-4ccb-8210-b67c40453f9d</t>
  </si>
  <si>
    <t>VAV-1582</t>
  </si>
  <si>
    <t>uuid://cfb70d64-cc1d-4d59-b910-d2fac3448440</t>
  </si>
  <si>
    <t>VAV-1583</t>
  </si>
  <si>
    <t>uuid://c05e5f42-90a5-4bf0-ad9d-08cd52e92059</t>
  </si>
  <si>
    <t>VAV-1584</t>
  </si>
  <si>
    <t>uuid://81c5b5e3-7cc4-4a6b-8052-6580785be383</t>
  </si>
  <si>
    <t>VAV-1585</t>
  </si>
  <si>
    <t>uuid://beeab895-481f-4631-9506-ca65d33bdd81</t>
  </si>
  <si>
    <t>VAV-1586</t>
  </si>
  <si>
    <t>uuid://66410abd-e557-4d49-b609-b9ecfedd7c53</t>
  </si>
  <si>
    <t>VAV-1587</t>
  </si>
  <si>
    <t>uuid://5d02738a-4468-45d8-af84-9be6736e4c54</t>
  </si>
  <si>
    <t>VAV-1588</t>
  </si>
  <si>
    <t>uuid://164afea1-c36a-4201-9e98-e6c1b18eeeb3</t>
  </si>
  <si>
    <t>VAV-1589</t>
  </si>
  <si>
    <t>uuid://3120b506-b758-491d-a13c-252864a77fea</t>
  </si>
  <si>
    <t>VAV-1590</t>
  </si>
  <si>
    <t>uuid://40b8eabe-e975-44e7-843b-8fcb62b4fe54</t>
  </si>
  <si>
    <t>VAV-1591</t>
  </si>
  <si>
    <t>uuid://d6d69cdd-9224-4d6d-bc7a-8a96c6b95345</t>
  </si>
  <si>
    <t>VAV-1592</t>
  </si>
  <si>
    <t>uuid://ab9fabfa-dc0f-4f84-8f55-58925339c635</t>
  </si>
  <si>
    <t>VAV-1593</t>
  </si>
  <si>
    <t>uuid://8e51aa05-5bc6-45d9-9d70-76b15df8ce25</t>
  </si>
  <si>
    <t>VAV-1594</t>
  </si>
  <si>
    <t>uuid://aed99121-9822-44e4-9890-8b61728d489e</t>
  </si>
  <si>
    <t>VAV-1595</t>
  </si>
  <si>
    <t>uuid://d585b36a-00c0-42a5-b935-78ca5061ae7b</t>
  </si>
  <si>
    <t>VAV-1596</t>
  </si>
  <si>
    <t>uuid://d3b99560-e277-4d0f-a70b-08fdb9ded4b4</t>
  </si>
  <si>
    <t>VAV-1597</t>
  </si>
  <si>
    <t>uuid://dce6e198-0c4d-40a5-88ad-0b19db2e31f8</t>
  </si>
  <si>
    <t>VAV-1598</t>
  </si>
  <si>
    <t>uuid://139753c7-aa84-42de-ad80-e850cd96d41b</t>
  </si>
  <si>
    <t>VAV-1599</t>
  </si>
  <si>
    <t>uuid://3115bf54-c117-48a1-9bbd-fa7b382db08c</t>
  </si>
  <si>
    <t>VAV-1600</t>
  </si>
  <si>
    <t>uuid://298f236e-1c35-459b-b3a3-3cf8148026c1</t>
  </si>
  <si>
    <t>VAV-1601</t>
  </si>
  <si>
    <t>uuid://ada77f2e-f768-4501-8344-d8c60e644684</t>
  </si>
  <si>
    <t>VAV-1602</t>
  </si>
  <si>
    <t>uuid://d8c3cd0d-5336-4d33-be5e-9cce9cf46255</t>
  </si>
  <si>
    <t>VAV-1603</t>
  </si>
  <si>
    <t>uuid://b4440121-7ed9-4a7f-b7ac-a7b327a1a30e</t>
  </si>
  <si>
    <t>VAV-1604</t>
  </si>
  <si>
    <t>uuid://34304c43-9491-4d08-b3db-cb1a0bb71606</t>
  </si>
  <si>
    <t>VAV-1605</t>
  </si>
  <si>
    <t>uuid://366632e9-5516-4ce3-9585-8f0105280118</t>
  </si>
  <si>
    <t>VAV-1606</t>
  </si>
  <si>
    <t>uuid://43acbc93-4e40-4b11-bdd6-eec14e844310</t>
  </si>
  <si>
    <t>VAV-1607</t>
  </si>
  <si>
    <t>uuid://cd9500cb-86c0-4f34-a789-d001f2ead6f7</t>
  </si>
  <si>
    <t>VAV-1608</t>
  </si>
  <si>
    <t>uuid://bbe78c04-c06f-4a67-9b44-29785d2a50a9</t>
  </si>
  <si>
    <t>VAV-1609</t>
  </si>
  <si>
    <t>uuid://2033f258-795c-43bf-93fd-3d48d8deecc2</t>
  </si>
  <si>
    <t>VAV-1610</t>
  </si>
  <si>
    <t>uuid://ad7fa402-0a6b-4295-8ad9-2b17156a1590</t>
  </si>
  <si>
    <t>VAV-1611</t>
  </si>
  <si>
    <t>uuid://7e7c3916-3f7c-4690-b50c-0fe37e21feae</t>
  </si>
  <si>
    <t>VAV-1612</t>
  </si>
  <si>
    <t>uuid://4ed4e130-39c3-4f7c-ac38-599fc7af27df</t>
  </si>
  <si>
    <t>VAV-1613</t>
  </si>
  <si>
    <t>uuid://e8ce658b-4a4c-4175-8448-d84ba62a7a14</t>
  </si>
  <si>
    <t>VAV-1614</t>
  </si>
  <si>
    <t>uuid://38d342e7-03ee-4b64-8eaa-79cdaf29ec0a</t>
  </si>
  <si>
    <t>VAV-1615</t>
  </si>
  <si>
    <t>uuid://764e029b-2ae5-4aa8-8581-c6537e068701</t>
  </si>
  <si>
    <t>VAV-1616</t>
  </si>
  <si>
    <t>uuid://139523a6-0afb-42e6-a596-32b96cb6ec06</t>
  </si>
  <si>
    <t>VAV-1617</t>
  </si>
  <si>
    <t>uuid://c57ab6e7-7b4e-4c12-a160-5ab831d3bbb9</t>
  </si>
  <si>
    <t>VAV-1618</t>
  </si>
  <si>
    <t>uuid://5cf9cb99-cba4-4f2d-b3b6-e6712841be66</t>
  </si>
  <si>
    <t>VAV-1619</t>
  </si>
  <si>
    <t>uuid://4d2c21b7-d67e-404f-b667-6309ef05eb52</t>
  </si>
  <si>
    <t>VAV-1620</t>
  </si>
  <si>
    <t>uuid://685e4e93-ec92-4d78-94a2-fc1012171873</t>
  </si>
  <si>
    <t>VAV-1621</t>
  </si>
  <si>
    <t>uuid://9ed3b826-be34-49d5-9e76-033eda63b18a</t>
  </si>
  <si>
    <t>VAV-1622</t>
  </si>
  <si>
    <t>uuid://18b3b3c9-bf7c-429d-bb6c-655633cfb3c8</t>
  </si>
  <si>
    <t>VAV-1623</t>
  </si>
  <si>
    <t>uuid://14190e4e-8c4e-433f-9a19-77ff0dabda30</t>
  </si>
  <si>
    <t>VAV-1624</t>
  </si>
  <si>
    <t>uuid://5261e561-93c1-43b1-ae84-8b3487bd373f</t>
  </si>
  <si>
    <t>VAV-1625</t>
  </si>
  <si>
    <t>uuid://0d123681-1edb-45b0-8896-019bd3a3529f</t>
  </si>
  <si>
    <t>VAV-1626</t>
  </si>
  <si>
    <t>uuid://ed1b8975-d7c2-4fb8-adfc-4f9fd2e996e9</t>
  </si>
  <si>
    <t>VAV-1627</t>
  </si>
  <si>
    <t>uuid://c427094f-1ce8-4597-bd2f-76578ca27c0f</t>
  </si>
  <si>
    <t>VAV-1628</t>
  </si>
  <si>
    <t>uuid://1d8c8558-b4c0-4e94-a311-9075bed91355</t>
  </si>
  <si>
    <t>VAV-1629</t>
  </si>
  <si>
    <t>uuid://e03ad359-20bc-45c7-9dda-f0a9434ca03e</t>
  </si>
  <si>
    <t>VAV-1630</t>
  </si>
  <si>
    <t>uuid://ba371ab0-c168-44ae-9c0e-a9735d0e53a6</t>
  </si>
  <si>
    <t>VAV-1631</t>
  </si>
  <si>
    <t>uuid://bf244323-334a-49f4-8e72-2f30b4ec26fa</t>
  </si>
  <si>
    <t>VAV-1632</t>
  </si>
  <si>
    <t>uuid://8822c291-cf92-42aa-978f-8ad6d5390c48</t>
  </si>
  <si>
    <t>VAV-1633</t>
  </si>
  <si>
    <t>uuid://962f87de-3538-4e40-b88b-3785dcea71d6</t>
  </si>
  <si>
    <t>VAV-1634</t>
  </si>
  <si>
    <t>uuid://c5450ad2-e23f-49e8-809a-5fd3ddc4eba6</t>
  </si>
  <si>
    <t>VAV-1635</t>
  </si>
  <si>
    <t>uuid://c75a1b2f-e2e1-4990-8145-5f5547955dc5</t>
  </si>
  <si>
    <t>VAV-1636</t>
  </si>
  <si>
    <t>uuid://02f36830-97d8-4d34-85df-d801e337b85b</t>
  </si>
  <si>
    <t>VAV-1637</t>
  </si>
  <si>
    <t>uuid://83a910a1-16ab-4d7a-9e4c-c904eaf08c71</t>
  </si>
  <si>
    <t>VAV-1638</t>
  </si>
  <si>
    <t>uuid://2021b0d2-4107-4c44-8814-347c7e21d1a9</t>
  </si>
  <si>
    <t>VAV-1639</t>
  </si>
  <si>
    <t>uuid://7db2932e-0f68-4658-b794-a50bbeaec453</t>
  </si>
  <si>
    <t>VAV-1640</t>
  </si>
  <si>
    <t>uuid://50bb6a20-ba6b-4574-8072-351f5fec5232</t>
  </si>
  <si>
    <t>VAV-1641</t>
  </si>
  <si>
    <t>uuid://15fd5c99-f306-4624-af13-4746b95024b3</t>
  </si>
  <si>
    <t>VAV-1642</t>
  </si>
  <si>
    <t>uuid://c6664faf-09c6-43f2-9bc4-430c2245b40d</t>
  </si>
  <si>
    <t>VAV-1643</t>
  </si>
  <si>
    <t>uuid://14aeaa36-539f-457c-a417-3a90a434adba</t>
  </si>
  <si>
    <t>VAV-1644</t>
  </si>
  <si>
    <t>uuid://2027fb9b-ab74-4c7a-9374-17a4e9a3abd4</t>
  </si>
  <si>
    <t>VAV-1645</t>
  </si>
  <si>
    <t>uuid://19db5f7a-2077-4a3a-88ba-c314ddc45d8a</t>
  </si>
  <si>
    <t>VAV-1646</t>
  </si>
  <si>
    <t>uuid://0f43add3-f3d7-45e6-aee2-7ba8313e5ab7</t>
  </si>
  <si>
    <t>VAV-1647</t>
  </si>
  <si>
    <t>uuid://03043924-2ddd-4b0d-87a8-51f991dab673</t>
  </si>
  <si>
    <t>VAV-1648</t>
  </si>
  <si>
    <t>uuid://96a243b0-994f-4766-865d-ea41530204a0</t>
  </si>
  <si>
    <t>VAV-1649</t>
  </si>
  <si>
    <t>uuid://db995b50-af34-4603-8906-470f1da1addf</t>
  </si>
  <si>
    <t>VAV-1650</t>
  </si>
  <si>
    <t>uuid://2c158347-4d31-44e4-affc-ec9a613a5107</t>
  </si>
  <si>
    <t>VAV-1651</t>
  </si>
  <si>
    <t>uuid://e41d7abe-f3fb-440a-8c31-ba68d98e33f5</t>
  </si>
  <si>
    <t>VAV-1652</t>
  </si>
  <si>
    <t>uuid://845bdc07-1b3e-407b-ad8f-9ac650c2a9ff</t>
  </si>
  <si>
    <t>VAV-1653</t>
  </si>
  <si>
    <t>uuid://f7107c8b-e1f9-4511-9077-fd6d69fb7594</t>
  </si>
  <si>
    <t>VAV-1654</t>
  </si>
  <si>
    <t>uuid://53b3e406-e5fb-46eb-83c0-7ccb88d891bc</t>
  </si>
  <si>
    <t>VAV-1655</t>
  </si>
  <si>
    <t>uuid://0dc81375-889f-497e-84c4-04b74e48949e</t>
  </si>
  <si>
    <t>VAV-1656</t>
  </si>
  <si>
    <t>uuid://23bd1aa5-92e5-4608-9014-ca6d8b701020</t>
  </si>
  <si>
    <t>VAV-1657</t>
  </si>
  <si>
    <t>uuid://656a75b3-7a8c-4011-8ee8-b0376f25eb3f</t>
  </si>
  <si>
    <t>VAV-1658</t>
  </si>
  <si>
    <t>uuid://0b1db99d-9485-40b7-812b-1e58a888a2f4</t>
  </si>
  <si>
    <t>VAV-1659</t>
  </si>
  <si>
    <t>uuid://b6404152-2428-46b4-912a-9fcbb6503e81</t>
  </si>
  <si>
    <t>VAV-1660</t>
  </si>
  <si>
    <t>uuid://8b0b209a-bc0c-4abc-b79b-e0c2148cacd9</t>
  </si>
  <si>
    <t>VAV-1661</t>
  </si>
  <si>
    <t>uuid://3dcd29a0-3928-4901-b2d2-cedaf7eb3b93</t>
  </si>
  <si>
    <t>VAV-1662</t>
  </si>
  <si>
    <t>uuid://0783bb13-97d0-440f-bca4-ab67bd404d34</t>
  </si>
  <si>
    <t>VAV-1663</t>
  </si>
  <si>
    <t>uuid://8fbfee7b-68fb-467d-9c2c-7fe99deddd0f</t>
  </si>
  <si>
    <t>VAV-1664</t>
  </si>
  <si>
    <t>uuid://a707aee0-a24d-493a-929b-aef87ffc4c17</t>
  </si>
  <si>
    <t>VAV-1665</t>
  </si>
  <si>
    <t>uuid://cc5b25a0-db55-46ea-8bcc-91f33d1496d3</t>
  </si>
  <si>
    <t>VAV-1666</t>
  </si>
  <si>
    <t>uuid://428c016e-3523-49e8-b5d0-fb2cae364a75</t>
  </si>
  <si>
    <t>VAV-1667</t>
  </si>
  <si>
    <t>uuid://064c08ba-e521-4de0-8794-caef26b8780f</t>
  </si>
  <si>
    <t>VAV-1668</t>
  </si>
  <si>
    <t>uuid://47209a59-2cd2-408a-b2d7-97b267b395f8</t>
  </si>
  <si>
    <t>VAV-1669</t>
  </si>
  <si>
    <t>uuid://c96e7eb7-2aba-41cd-ab1e-88a67ad2f032</t>
  </si>
  <si>
    <t>VAV-1670</t>
  </si>
  <si>
    <t>uuid://286fd125-0800-4757-bdf2-b132438b60ad</t>
  </si>
  <si>
    <t>VAV-1671</t>
  </si>
  <si>
    <t>uuid://d351192b-a964-4d9f-89a4-83922fd67036</t>
  </si>
  <si>
    <t>VAV-1672</t>
  </si>
  <si>
    <t>uuid://253d326b-77fa-4940-98c7-f09210198975</t>
  </si>
  <si>
    <t>VAV-1673</t>
  </si>
  <si>
    <t>uuid://f032dc3a-eac1-42b7-b83b-edc47a599aab</t>
  </si>
  <si>
    <t>VAV-1674</t>
  </si>
  <si>
    <t>uuid://8bb1eee6-9dd1-4fb8-a38e-e634e9f3a0a2</t>
  </si>
  <si>
    <t>VAV-1675</t>
  </si>
  <si>
    <t>uuid://d84418ff-9b75-4eb6-abed-ac4a604e3363</t>
  </si>
  <si>
    <t>VAV-1676</t>
  </si>
  <si>
    <t>uuid://f6bedcc2-1bfa-4d4e-bac1-214da148c067</t>
  </si>
  <si>
    <t>VAV-1677</t>
  </si>
  <si>
    <t>uuid://d0580cbd-5d48-47d6-9d5e-540b6444a75e</t>
  </si>
  <si>
    <t>VAV-1678</t>
  </si>
  <si>
    <t>uuid://2bbafdbf-a6c6-4398-ad2f-c04aefb7be4c</t>
  </si>
  <si>
    <t>VAV-1679</t>
  </si>
  <si>
    <t>uuid://79f22b89-3f93-4aeb-bc49-6046ad2a3d1d</t>
  </si>
  <si>
    <t>VAV-1680</t>
  </si>
  <si>
    <t>uuid://5338e28e-11a2-4167-8174-11db037e5010</t>
  </si>
  <si>
    <t>VAV-1681</t>
  </si>
  <si>
    <t>uuid://02fcfdad-eace-4d4c-b208-fe0e9414a8a7</t>
  </si>
  <si>
    <t>VAV-1682</t>
  </si>
  <si>
    <t>uuid://245b6aaa-6509-454b-8ab5-5842e211ba59</t>
  </si>
  <si>
    <t>VAV-1683</t>
  </si>
  <si>
    <t>uuid://b1670fc7-5719-44f3-aacf-2df13269a786</t>
  </si>
  <si>
    <t>VAV-1684</t>
  </si>
  <si>
    <t>uuid://edeecd41-6690-4653-9bd6-e9e072be49b4</t>
  </si>
  <si>
    <t>VAV-1685</t>
  </si>
  <si>
    <t>uuid://8935c138-c504-4f55-b96b-c2a78e469a98</t>
  </si>
  <si>
    <t>VAV-1686</t>
  </si>
  <si>
    <t>uuid://644b6661-4acc-4b7b-9640-23818e70714c</t>
  </si>
  <si>
    <t>VAV-1687</t>
  </si>
  <si>
    <t>uuid://053a200f-8c0d-47f3-8edd-3f9bb0294b32</t>
  </si>
  <si>
    <t>VAV-1688</t>
  </si>
  <si>
    <t>uuid://ff4ac8c2-f1f4-42dd-99bc-e6c749f02956</t>
  </si>
  <si>
    <t>VAV-1689</t>
  </si>
  <si>
    <t>uuid://1fb43f16-0db8-4133-bc72-509c316ae064</t>
  </si>
  <si>
    <t>VAV-1690</t>
  </si>
  <si>
    <t>uuid://cbe7204a-a651-41c7-816f-39b765229f04</t>
  </si>
  <si>
    <t>VAV-1691</t>
  </si>
  <si>
    <t>uuid://a56b5a9a-f738-422e-8246-d2dc2ab59c5c</t>
  </si>
  <si>
    <t>VAV-1692</t>
  </si>
  <si>
    <t>uuid://a3ee0544-bb75-4af9-a93a-f5e9ae179a94</t>
  </si>
  <si>
    <t>VAV-1693</t>
  </si>
  <si>
    <t>uuid://d0003b66-0390-47ad-8ae3-436bb9f67eba</t>
  </si>
  <si>
    <t>VAV-1694</t>
  </si>
  <si>
    <t>uuid://bf339e10-fa3b-4d57-8292-c0f0056bf70a</t>
  </si>
  <si>
    <t>VAV-1695</t>
  </si>
  <si>
    <t>uuid://2a289872-0c1f-471d-90ae-bd59468a1e54</t>
  </si>
  <si>
    <t>VAV-1696</t>
  </si>
  <si>
    <t>uuid://5ac70458-78bb-4c51-9a2b-6cbffedcfcdc</t>
  </si>
  <si>
    <t>VAV-1697</t>
  </si>
  <si>
    <t>uuid://ab6acc34-87ed-407f-8427-e8ddd229d3f1</t>
  </si>
  <si>
    <t>VAV-1698</t>
  </si>
  <si>
    <t>uuid://c388292c-f9cf-45f6-af26-b5b4784730aa</t>
  </si>
  <si>
    <t>VAV-1699</t>
  </si>
  <si>
    <t>uuid://f1943622-6bb8-4b01-a092-bf4fc73acf92</t>
  </si>
  <si>
    <t>VAV-1700</t>
  </si>
  <si>
    <t>uuid://32f6c5ae-27ee-42c6-a43a-bea3d07ab5f1</t>
  </si>
  <si>
    <t>VAV-1701</t>
  </si>
  <si>
    <t>uuid://4d078b92-9af5-4e7f-9726-edafa3d74225</t>
  </si>
  <si>
    <t>VAV-1702</t>
  </si>
  <si>
    <t>uuid://99faa09b-0dc0-4672-9f06-08cefc28c972</t>
  </si>
  <si>
    <t>VAV-1703</t>
  </si>
  <si>
    <t>uuid://995f4040-abcb-4c65-950e-c3cf1b9fe000</t>
  </si>
  <si>
    <t>VAV-1704</t>
  </si>
  <si>
    <t>uuid://7772504f-18e7-45d8-91be-03f5388e4b1b</t>
  </si>
  <si>
    <t>VAV-1705</t>
  </si>
  <si>
    <t>uuid://598d017a-397b-4bfb-8376-542ec3d1e72c</t>
  </si>
  <si>
    <t>VAV-1706</t>
  </si>
  <si>
    <t>uuid://f20bdaf1-6d06-4881-88a0-165a516d290f</t>
  </si>
  <si>
    <t>VAV-1707</t>
  </si>
  <si>
    <t>uuid://a6e69845-1cca-41b5-8bcd-c16adf463dda</t>
  </si>
  <si>
    <t>VAV-1708</t>
  </si>
  <si>
    <t>uuid://3db580ee-5620-4cf4-893d-3f2fca961da5</t>
  </si>
  <si>
    <t>VAV-1709</t>
  </si>
  <si>
    <t>uuid://97bc8502-b24d-4849-9820-e1177cb2b7d0</t>
  </si>
  <si>
    <t>VAV-1710</t>
  </si>
  <si>
    <t>uuid://7a3b2798-e7e5-4fd4-a403-8037c5bca193</t>
  </si>
  <si>
    <t>VAV-1711</t>
  </si>
  <si>
    <t>uuid://4d3cee97-0919-467b-800d-640a8e206dba</t>
  </si>
  <si>
    <t>VAV-1712</t>
  </si>
  <si>
    <t>uuid://3bcbd528-32d8-46ea-a3cd-4e1725799b14</t>
  </si>
  <si>
    <t>VAV-1713</t>
  </si>
  <si>
    <t>uuid://251bc4ba-d9ca-48e0-8c2e-a027b0fe4936</t>
  </si>
  <si>
    <t>VAV-1714</t>
  </si>
  <si>
    <t>uuid://fae3951e-f14e-4c0e-837c-a331a3aec950</t>
  </si>
  <si>
    <t>VAV-1715</t>
  </si>
  <si>
    <t>uuid://271ae6f1-d38b-4f9b-94f6-24b47c552e57</t>
  </si>
  <si>
    <t>VAV-1716</t>
  </si>
  <si>
    <t>uuid://397f54bf-9e95-487b-9160-44f65fa04dea</t>
  </si>
  <si>
    <t>VAV-1717</t>
  </si>
  <si>
    <t>uuid://0c5a736b-0030-422c-bbd4-5a1c67227c35</t>
  </si>
  <si>
    <t>VAV-1718</t>
  </si>
  <si>
    <t>uuid://07d0f06f-ce38-42e1-ae80-1d56d1da264a</t>
  </si>
  <si>
    <t>VAV-1719</t>
  </si>
  <si>
    <t>uuid://38f8509e-6e95-45c9-94e8-a289495f4252</t>
  </si>
  <si>
    <t>VAV-1720</t>
  </si>
  <si>
    <t>uuid://7fe85fcb-bdee-4a59-ae22-a504d9793295</t>
  </si>
  <si>
    <t>VAV-1721</t>
  </si>
  <si>
    <t>uuid://2f907253-a30f-4e83-b1da-bca5e1af4d7d</t>
  </si>
  <si>
    <t>VAV-1722</t>
  </si>
  <si>
    <t>uuid://91457d28-4c78-42b6-8e89-432f5461faa1</t>
  </si>
  <si>
    <t>VAV-1723</t>
  </si>
  <si>
    <t>uuid://99d926fa-e0dc-41f6-a5c9-bd396ac67b6c</t>
  </si>
  <si>
    <t>VAV-1724</t>
  </si>
  <si>
    <t>uuid://bdb1bdc2-2cc3-4703-8224-68c9de87e68d</t>
  </si>
  <si>
    <t>VAV-1725</t>
  </si>
  <si>
    <t>uuid://9da1a7ae-5bf1-4c5b-bad2-ca31340d06dc</t>
  </si>
  <si>
    <t>VAV-1726</t>
  </si>
  <si>
    <t>uuid://b911aa1a-fe5d-4501-beb0-80bce4975e95</t>
  </si>
  <si>
    <t>VAV-1727</t>
  </si>
  <si>
    <t>uuid://26a3ae10-42b5-4205-b2f2-98bcaae4a2fc</t>
  </si>
  <si>
    <t>VAV-1728</t>
  </si>
  <si>
    <t>uuid://fcc3e677-6a60-4a99-b2b0-db06cb5ade37</t>
  </si>
  <si>
    <t>VAV-1729</t>
  </si>
  <si>
    <t>uuid://99bf8345-64b4-44d2-80bf-240bca15e9ad</t>
  </si>
  <si>
    <t>VAV-1730</t>
  </si>
  <si>
    <t>uuid://2f0365ef-d3e3-4f89-93a1-a3b488aa7b9e</t>
  </si>
  <si>
    <t>100.95.213.254</t>
  </si>
  <si>
    <t>VAV-1731</t>
  </si>
  <si>
    <t>uuid://cc40713e-1caf-43cf-852c-4b471e77971f</t>
  </si>
  <si>
    <t>100.95.213.214</t>
  </si>
  <si>
    <t>VAV-1732</t>
  </si>
  <si>
    <t>uuid://48f9a05f-1b27-4149-af49-7800adce19b3</t>
  </si>
  <si>
    <t>100.95.213.209</t>
  </si>
  <si>
    <t>VAV-1733</t>
  </si>
  <si>
    <t>uuid://6a11fb62-d416-434f-b641-54ed32a944aa</t>
  </si>
  <si>
    <t>100.95.213.239</t>
  </si>
  <si>
    <t>VAV-1734</t>
  </si>
  <si>
    <t>uuid://668a66f3-9609-424c-9614-21a1dabdb0c2</t>
  </si>
  <si>
    <t>100.95.213.157</t>
  </si>
  <si>
    <t>VAV-1735</t>
  </si>
  <si>
    <t>uuid://b2b6020d-7daf-455f-adaf-f883df458900</t>
  </si>
  <si>
    <t>100.95.213.212</t>
  </si>
  <si>
    <t>VAV-1736</t>
  </si>
  <si>
    <t>uuid://a40a7ee2-d4b2-414b-b370-4091fb6c3f7d</t>
  </si>
  <si>
    <t>100.95.213.235</t>
  </si>
  <si>
    <t>VAV-1737</t>
  </si>
  <si>
    <t>uuid://bad7f0ef-593d-4b06-afe5-526d4127903b</t>
  </si>
  <si>
    <t>100.95.213.197</t>
  </si>
  <si>
    <t>VAV-1738</t>
  </si>
  <si>
    <t>uuid://3a156296-195b-43cd-8dc6-7465c36a4e9a</t>
  </si>
  <si>
    <t>100.95.214.1</t>
  </si>
  <si>
    <t>VAV-1739</t>
  </si>
  <si>
    <t>uuid://ab71fa53-dc5b-41d7-9323-0c197d1405c1</t>
  </si>
  <si>
    <t>100.95.214.8</t>
  </si>
  <si>
    <t>VAV-1740</t>
  </si>
  <si>
    <t>uuid://046ce59b-f89f-43f9-9cf2-4eec27b98773</t>
  </si>
  <si>
    <t>100.95.213.252</t>
  </si>
  <si>
    <t>VAV-1741</t>
  </si>
  <si>
    <t>uuid://789592fe-155e-4cd3-b8a7-eea1970fc8a8</t>
  </si>
  <si>
    <t>100.95.213.247</t>
  </si>
  <si>
    <t>VAV-1742</t>
  </si>
  <si>
    <t>uuid://fb64e924-a5c4-4930-a94f-115897d62ecd</t>
  </si>
  <si>
    <t>VAV-1743</t>
  </si>
  <si>
    <t>uuid://3a1d0798-51ad-4f75-8c2c-85bd82e36db4</t>
  </si>
  <si>
    <t>100.95.214.4</t>
  </si>
  <si>
    <t>VAV-1744</t>
  </si>
  <si>
    <t>uuid://b5663f45-1592-4e7c-beb1-b7c1cac114a8</t>
  </si>
  <si>
    <t>100.95.214.13</t>
  </si>
  <si>
    <t>VAV-1745</t>
  </si>
  <si>
    <t>uuid://b4785468-1afc-4c47-960d-1889d5d09527</t>
  </si>
  <si>
    <t>100.95.213.255</t>
  </si>
  <si>
    <t>VAV-1746</t>
  </si>
  <si>
    <t>uuid://35bfda7b-2c6d-4eee-a670-bdfa7641c1bc</t>
  </si>
  <si>
    <t>100.95.213.219</t>
  </si>
  <si>
    <t>VAV-1747</t>
  </si>
  <si>
    <t>uuid://ef2b3dbe-b457-4218-96e1-7e38cd8660cd</t>
  </si>
  <si>
    <t>100.95.214.0</t>
  </si>
  <si>
    <t>VAV-1748</t>
  </si>
  <si>
    <t>uuid://b123d120-5a84-45f9-a905-4855b98b5afb</t>
  </si>
  <si>
    <t>100.95.214.17</t>
  </si>
  <si>
    <t>VAV-1749</t>
  </si>
  <si>
    <t>uuid://a53581da-5134-4ca2-a253-ccf03a4f314a</t>
  </si>
  <si>
    <t>100.95.213.172</t>
  </si>
  <si>
    <t>VAV-1750</t>
  </si>
  <si>
    <t>uuid://ebfebb5d-2f9e-45f3-8501-8fc60f999b58</t>
  </si>
  <si>
    <t>VAV-1751</t>
  </si>
  <si>
    <t>uuid://20ea2175-a897-49e9-9d05-25b830ab8080</t>
  </si>
  <si>
    <t>100.95.214.18</t>
  </si>
  <si>
    <t>VAV-1752</t>
  </si>
  <si>
    <t>uuid://ba200cfa-66be-49be-8a56-0eb52ac62a44</t>
  </si>
  <si>
    <t>100.95.214.21</t>
  </si>
  <si>
    <t>VAV-1753</t>
  </si>
  <si>
    <t>uuid://ec6a0912-1194-4136-a9ac-3cfd5fdebfd4</t>
  </si>
  <si>
    <t>100.95.214.22</t>
  </si>
  <si>
    <t>VAV-1754</t>
  </si>
  <si>
    <t>uuid://de6a7516-3688-4519-9533-b391201fbc89</t>
  </si>
  <si>
    <t>100.95.214.5</t>
  </si>
  <si>
    <t>VAV-1755</t>
  </si>
  <si>
    <t>uuid://3e32fa60-d8f5-439e-84b3-b39a1dd92151</t>
  </si>
  <si>
    <t>100.95.214.11</t>
  </si>
  <si>
    <t>VAV-1756</t>
  </si>
  <si>
    <t>uuid://e0cd7d19-8610-4bc5-b5c0-8f76b1682fa2</t>
  </si>
  <si>
    <t>100.95.213.193</t>
  </si>
  <si>
    <t>VAV-1757</t>
  </si>
  <si>
    <t>uuid://ab5a123c-4334-4abc-bb22-a2bb1afc81d5</t>
  </si>
  <si>
    <t>100.95.214.20</t>
  </si>
  <si>
    <t>VAV-1758</t>
  </si>
  <si>
    <t>uuid://8d8e0633-8df2-4fea-8525-b53fa73e8ead</t>
  </si>
  <si>
    <t>VAV-1759</t>
  </si>
  <si>
    <t>uuid://6da10ead-a85f-4674-83e0-9cfd13d386be</t>
  </si>
  <si>
    <t>VAV-1760</t>
  </si>
  <si>
    <t>uuid://627b1155-a656-4ff9-a2f1-39a9bc65f967</t>
  </si>
  <si>
    <t>VAV-1761</t>
  </si>
  <si>
    <t>uuid://8057256a-1e31-4e5b-90c1-989940b1b935</t>
  </si>
  <si>
    <t>VAV-1762</t>
  </si>
  <si>
    <t>uuid://1945bb90-1135-4a5a-8a23-52ff1a64c89d</t>
  </si>
  <si>
    <t>VAV-1763</t>
  </si>
  <si>
    <t>uuid://40ab3305-a0cb-4df8-89ca-655a37c9b2e8</t>
  </si>
  <si>
    <t>VAV-1764</t>
  </si>
  <si>
    <t>uuid://8e4a041d-9251-4499-861d-7ee2cc387227</t>
  </si>
  <si>
    <t>VAV-1765</t>
  </si>
  <si>
    <t>uuid://a5d26117-40e1-42a5-ba7b-a3e4e7725855</t>
  </si>
  <si>
    <t>VAV-1766</t>
  </si>
  <si>
    <t>uuid://8795a7b3-fd29-4c47-9ff3-698fb3f78b34</t>
  </si>
  <si>
    <t>VAV-1767</t>
  </si>
  <si>
    <t>uuid://bc8f36fd-8acc-4f3d-956f-4d2b1c9872ef</t>
  </si>
  <si>
    <t>VAV-1768</t>
  </si>
  <si>
    <t>uuid://45616b73-dbae-4306-aa63-64db91c3114e</t>
  </si>
  <si>
    <t>VAV-1769</t>
  </si>
  <si>
    <t>uuid://61a0f050-106d-453b-b16d-74993300ab18</t>
  </si>
  <si>
    <t>VAV-1770</t>
  </si>
  <si>
    <t>uuid://bc1e834d-162b-4671-beaf-6c14fd640427</t>
  </si>
  <si>
    <t>VAV-1771</t>
  </si>
  <si>
    <t>uuid://9a5c09d9-df5c-470e-a6b4-cf32e67d5830</t>
  </si>
  <si>
    <t>VAV-1772</t>
  </si>
  <si>
    <t>uuid://db8347c1-8084-44a3-8c92-848052a936ef</t>
  </si>
  <si>
    <t>VAV-1773</t>
  </si>
  <si>
    <t>uuid://6f520622-f5fd-4fd6-a6be-15238884e990</t>
  </si>
  <si>
    <t>VAV-1774</t>
  </si>
  <si>
    <t>uuid://bea9cd45-829b-4e0b-b10e-5b2a864f042b</t>
  </si>
  <si>
    <t>VAV-1775</t>
  </si>
  <si>
    <t>uuid://4cc249b3-ec9a-4ac7-8b6b-19c2bff6a806</t>
  </si>
  <si>
    <t>VAV-1776</t>
  </si>
  <si>
    <t>uuid://bbae864b-047e-4fda-86c6-5c53d83453e4</t>
  </si>
  <si>
    <t>VAV-1777</t>
  </si>
  <si>
    <t>uuid://11b4ca68-d380-4bef-9e6b-35b6e75e56e9</t>
  </si>
  <si>
    <t>VAV-1778</t>
  </si>
  <si>
    <t>uuid://c43b1adc-6f0d-400a-b0f0-4c1a1964344d</t>
  </si>
  <si>
    <t>VAV-1779</t>
  </si>
  <si>
    <t>uuid://e75ea6b6-0a5d-42db-a2f1-bdbbc8ceb7ef</t>
  </si>
  <si>
    <t>VAV-1780</t>
  </si>
  <si>
    <t>uuid://750bcc0d-c990-4a51-9653-a6da0c879c7c</t>
  </si>
  <si>
    <t>VAV-1781</t>
  </si>
  <si>
    <t>uuid://dd3882b9-2f7d-4316-a72b-570ddf538998</t>
  </si>
  <si>
    <t>VAV-1782</t>
  </si>
  <si>
    <t>uuid://ccba5e17-d1e5-4fc6-8675-7e63a1223a9a</t>
  </si>
  <si>
    <t>VAV-1783</t>
  </si>
  <si>
    <t>uuid://fe78bcc6-217d-45df-9ea9-ab9baf6da550</t>
  </si>
  <si>
    <t>VAV-1784</t>
  </si>
  <si>
    <t>uuid://ed1adb53-8673-45b2-9a49-ac2826643bf6</t>
  </si>
  <si>
    <t>VAV-1785</t>
  </si>
  <si>
    <t>uuid://17da8925-6e54-418d-b34b-2a0bf233a740</t>
  </si>
  <si>
    <t>VAV-1786</t>
  </si>
  <si>
    <t>uuid://0ce825e2-1bb9-4935-beb4-bde161ae577d</t>
  </si>
  <si>
    <t>VAV-1787</t>
  </si>
  <si>
    <t>uuid://85cc8b77-2331-4e9a-a9f9-6d31fc27bcbe</t>
  </si>
  <si>
    <t>VAV-1788</t>
  </si>
  <si>
    <t>uuid://e545ffe5-2e82-4539-815a-6f4e26ff7dbe</t>
  </si>
  <si>
    <t>VAV-1789</t>
  </si>
  <si>
    <t>uuid://d23e4cce-4b45-47d5-aac6-7a21fb845698</t>
  </si>
  <si>
    <t>VAV-1790</t>
  </si>
  <si>
    <t>uuid://30e9ef95-f0e1-420e-a4d3-9db5505d1e9c</t>
  </si>
  <si>
    <t>VAV-1791</t>
  </si>
  <si>
    <t>uuid://56343e58-220d-4f4c-8b62-65453b2f1adc</t>
  </si>
  <si>
    <t>VAV-1792</t>
  </si>
  <si>
    <t>uuid://0b54b71c-29ba-4363-8bb6-069b995a7f6e</t>
  </si>
  <si>
    <t>VAV-1793</t>
  </si>
  <si>
    <t>uuid://dcfeda11-72d9-4581-9126-bce41a6cea2e</t>
  </si>
  <si>
    <t>VAV-1794</t>
  </si>
  <si>
    <t>uuid://31a0b51b-5384-4d30-8c08-3af2cdf3f0cf</t>
  </si>
  <si>
    <t>VAV-1795</t>
  </si>
  <si>
    <t>uuid://4aeddb84-466a-4d07-9401-d0c10d1aa4ff</t>
  </si>
  <si>
    <t>VAV-1796</t>
  </si>
  <si>
    <t>uuid://646667eb-4d1d-474f-b85d-406e7af9bd93</t>
  </si>
  <si>
    <t>VAV-1797</t>
  </si>
  <si>
    <t>uuid://e7cfa322-fe71-4016-b737-4275364aae39</t>
  </si>
  <si>
    <t>VAV-1798</t>
  </si>
  <si>
    <t>uuid://3a74bebd-ccf0-43d6-aec1-eb282089c2b5</t>
  </si>
  <si>
    <t>VAV-1799</t>
  </si>
  <si>
    <t>uuid://87394cd1-3cff-4218-b365-9c4efd6299aa</t>
  </si>
  <si>
    <t>VAV-1800</t>
  </si>
  <si>
    <t>uuid://aee00a9a-817e-4ab7-a2c3-d9bc9d08e93d</t>
  </si>
  <si>
    <t>VAV-1801</t>
  </si>
  <si>
    <t>uuid://1275456f-617b-446c-9f90-ebcdf4d4a386</t>
  </si>
  <si>
    <t>VAV-1802</t>
  </si>
  <si>
    <t>uuid://aef3e087-2667-4bfd-9316-29ad7f0d5c4a</t>
  </si>
  <si>
    <t>VAV-1803</t>
  </si>
  <si>
    <t>uuid://768a00ac-f111-4a3e-9464-f2c6d105af8e</t>
  </si>
  <si>
    <t>VAV-1804</t>
  </si>
  <si>
    <t>uuid://035ebc0d-6bc6-4407-8a34-7ac21ed440f4</t>
  </si>
  <si>
    <t>VAV-1805</t>
  </si>
  <si>
    <t>uuid://6938e252-0fd6-444d-af5c-bb8f3f7f45ba</t>
  </si>
  <si>
    <t>VAV-1806</t>
  </si>
  <si>
    <t>uuid://059873aa-bbe4-4b2a-8d44-4f0087b1649b</t>
  </si>
  <si>
    <t>VAV-1807</t>
  </si>
  <si>
    <t>uuid://fc8f5d66-b349-49ec-acaf-7a1b16f3208f</t>
  </si>
  <si>
    <t>VAV-1808</t>
  </si>
  <si>
    <t>uuid://aa57c6f0-5ef0-4f3e-9060-1bde53a72e69</t>
  </si>
  <si>
    <t>VAV-1809</t>
  </si>
  <si>
    <t>uuid://3442cb1b-bbe3-46d7-9a6f-52c5b41f3f48</t>
  </si>
  <si>
    <t>VAV-1810</t>
  </si>
  <si>
    <t>uuid://bbb7b0a8-40e0-4ac7-b3ef-14079e6518eb</t>
  </si>
  <si>
    <t>VAV-1811</t>
  </si>
  <si>
    <t>uuid://5e51447c-6e97-47dd-b012-ab4cbe0b7cdb</t>
  </si>
  <si>
    <t>VAV-1812</t>
  </si>
  <si>
    <t>uuid://0258d925-1ce6-49b2-95df-b948a5973a97</t>
  </si>
  <si>
    <t>VAV-1813</t>
  </si>
  <si>
    <t>uuid://a0050dc8-b42f-41e4-a7df-350cdef0c16d</t>
  </si>
  <si>
    <t>VAV-1814</t>
  </si>
  <si>
    <t>uuid://3ef3a436-b1fe-4ecf-a427-41e26df10aaa</t>
  </si>
  <si>
    <t>VAV-1815</t>
  </si>
  <si>
    <t>uuid://b46705f1-1ae5-4da3-b4b3-125c94721d34</t>
  </si>
  <si>
    <t>VAV-1816</t>
  </si>
  <si>
    <t>uuid://9c15a84c-ea31-4afa-8206-1cbc7fed0d67</t>
  </si>
  <si>
    <t>VAV-1817</t>
  </si>
  <si>
    <t>uuid://35f916e0-e1ce-4997-9b85-b690606d9bd9</t>
  </si>
  <si>
    <t>VAV-1818</t>
  </si>
  <si>
    <t>uuid://265a07f6-4352-40fe-bb3e-a69578af9ebd</t>
  </si>
  <si>
    <t>VAV-1819</t>
  </si>
  <si>
    <t>uuid://d4b535e3-2443-475e-a2f0-5336c6c35865</t>
  </si>
  <si>
    <t>VAV-1820</t>
  </si>
  <si>
    <t>uuid://788b21ab-5d40-42b9-8c44-92fa889e34e8</t>
  </si>
  <si>
    <t>VAV-1821</t>
  </si>
  <si>
    <t>uuid://806d315b-f357-4cf2-9816-ef6390a175f8</t>
  </si>
  <si>
    <t>VAV-1822</t>
  </si>
  <si>
    <t>uuid://b25f87c6-f40d-4b4a-bac8-911af3502ef5</t>
  </si>
  <si>
    <t>VAV-1823</t>
  </si>
  <si>
    <t>uuid://2da84b30-94cf-40e3-b1a2-1c3826ddec17</t>
  </si>
  <si>
    <t>VAV-1824</t>
  </si>
  <si>
    <t>uuid://8eb039d8-c2f5-4689-b741-fc8d70b5f437</t>
  </si>
  <si>
    <t>VAV-1825</t>
  </si>
  <si>
    <t>uuid://348fe527-b2a3-451d-9eab-32385fff6a03</t>
  </si>
  <si>
    <t>VAV-1826</t>
  </si>
  <si>
    <t>uuid://f0ed6de8-9f75-4b06-9bd8-2596020aef0c</t>
  </si>
  <si>
    <t>VAV-1827</t>
  </si>
  <si>
    <t>uuid://728d46b5-6c50-4f35-a50f-a66e93556da7</t>
  </si>
  <si>
    <t>VAV-1828</t>
  </si>
  <si>
    <t>uuid://db783223-0f97-42f3-a2b2-af4b3d220c9d</t>
  </si>
  <si>
    <t>VAV-1829</t>
  </si>
  <si>
    <t>uuid://0b6f9ee8-6b26-40c5-ad36-5daeb94bad28</t>
  </si>
  <si>
    <t>VAV-1830</t>
  </si>
  <si>
    <t>uuid://ce4dca5c-3a9d-44a6-b079-96aa4c4f4bbb</t>
  </si>
  <si>
    <t>VAV-1831</t>
  </si>
  <si>
    <t>uuid://6c6f35f2-08da-42dc-a25b-4c4d1291c699</t>
  </si>
  <si>
    <t>VAV-1832</t>
  </si>
  <si>
    <t>uuid://a777c9cc-34d2-4f74-9427-1d5442b90714</t>
  </si>
  <si>
    <t>VAV-1833</t>
  </si>
  <si>
    <t>uuid://d718571e-60f4-4338-8124-e971c0271976</t>
  </si>
  <si>
    <t>VAV-1834</t>
  </si>
  <si>
    <t>uuid://9d62af84-4faf-4d4d-86d8-4b2b1751b00e</t>
  </si>
  <si>
    <t>VAV-1835</t>
  </si>
  <si>
    <t>uuid://d948d4ec-048b-4d46-8346-184e0b55c086</t>
  </si>
  <si>
    <t>VAV-1836</t>
  </si>
  <si>
    <t>uuid://8bdf0c06-5418-4633-af03-1aa076ebd1d8</t>
  </si>
  <si>
    <t>VAV-1837</t>
  </si>
  <si>
    <t>uuid://8e460b9d-bae1-4b24-9dcc-1729013e0103</t>
  </si>
  <si>
    <t>VAV-1838</t>
  </si>
  <si>
    <t>uuid://f360af69-724a-4ec3-ba83-995fc272fe00</t>
  </si>
  <si>
    <t>VAV-1839</t>
  </si>
  <si>
    <t>uuid://cb216d77-2d87-4fce-add3-8f0ed3bc8af2</t>
  </si>
  <si>
    <t>VAV-1840</t>
  </si>
  <si>
    <t>uuid://fce6c1d9-f015-40ca-83f3-e3256d247f78</t>
  </si>
  <si>
    <t>VAV-1841</t>
  </si>
  <si>
    <t>uuid://913fd684-4ba4-4c47-8779-573031c05ee8</t>
  </si>
  <si>
    <t>VAV-1842</t>
  </si>
  <si>
    <t>uuid://80fe467b-d4c2-44a4-8b0f-b01168cdc857</t>
  </si>
  <si>
    <t>VAV-1843</t>
  </si>
  <si>
    <t>uuid://c94794fb-cede-4071-b666-81040d359e94</t>
  </si>
  <si>
    <t>VAV-1844</t>
  </si>
  <si>
    <t>uuid://55cec9b4-8d17-476c-9857-ca7c7d2092ae</t>
  </si>
  <si>
    <t>VAV-1845</t>
  </si>
  <si>
    <t>uuid://117216f1-d50f-415e-8ce1-7d94d25aed4d</t>
  </si>
  <si>
    <t>VAV-1846</t>
  </si>
  <si>
    <t>uuid://b6248042-0e65-4ee5-9744-5668f0a975d9</t>
  </si>
  <si>
    <t>VAV-1847</t>
  </si>
  <si>
    <t>uuid://ccc55255-6d01-4051-82ea-6a58bd940c5c</t>
  </si>
  <si>
    <t>VAV-1848</t>
  </si>
  <si>
    <t>uuid://69047461-af98-4119-80e6-798c0722787f</t>
  </si>
  <si>
    <t>VAV-1849</t>
  </si>
  <si>
    <t>uuid://bf904a4c-d6b0-424b-a724-f5d531a6b055</t>
  </si>
  <si>
    <t>VAV-1850</t>
  </si>
  <si>
    <t>uuid://a53ecc4a-4fe9-40fa-8b2d-01694db945dc</t>
  </si>
  <si>
    <t>VAV-1851</t>
  </si>
  <si>
    <t>uuid://49357c5c-592b-4505-992c-53fa9b3383bd</t>
  </si>
  <si>
    <t>VAV-1852</t>
  </si>
  <si>
    <t>uuid://03415b20-7ff8-42e5-82b5-43903959475e</t>
  </si>
  <si>
    <t>VAV-1853</t>
  </si>
  <si>
    <t>uuid://909baaec-8b3d-43a6-8c23-bb8e70b9d965</t>
  </si>
  <si>
    <t>VAV-1854</t>
  </si>
  <si>
    <t>uuid://fb234a84-17b9-454b-ba31-67e824551991</t>
  </si>
  <si>
    <t>VAV-1855</t>
  </si>
  <si>
    <t>uuid://1499f38e-d9a8-43c7-9822-1cdc5acb133c</t>
  </si>
  <si>
    <t>VAV-1856</t>
  </si>
  <si>
    <t>uuid://3b27208b-1bd1-4b1c-8ae3-f45de22bfb9a</t>
  </si>
  <si>
    <t>VAV-1857</t>
  </si>
  <si>
    <t>uuid://e403b8e3-e016-4d16-a670-a5e4de44cf6c</t>
  </si>
  <si>
    <t>VAV-1858</t>
  </si>
  <si>
    <t>uuid://cc91d80d-d6e3-4592-b707-57bb843984a8</t>
  </si>
  <si>
    <t>VAV-1859</t>
  </si>
  <si>
    <t>uuid://154b4adb-4895-43f2-9b7f-7743ebf32d69</t>
  </si>
  <si>
    <t>VAV-1860</t>
  </si>
  <si>
    <t>uuid://54e86d5c-e45e-471f-965f-71f732698134</t>
  </si>
  <si>
    <t>VAV-1861</t>
  </si>
  <si>
    <t>uuid://c06ec8c2-3079-4535-bdcd-6af933f87c48</t>
  </si>
  <si>
    <t>VAV-1862</t>
  </si>
  <si>
    <t>uuid://c44d6f1b-a628-45e8-a4dd-78c1d46343be</t>
  </si>
  <si>
    <t>VAV-1863</t>
  </si>
  <si>
    <t>uuid://e3942446-3812-4a08-a7f0-c806b2391e04</t>
  </si>
  <si>
    <t>VAV-1864</t>
  </si>
  <si>
    <t>uuid://4ab03671-474c-4d14-aa91-2f76b2757c6c</t>
  </si>
  <si>
    <t>VAV-1865</t>
  </si>
  <si>
    <t>uuid://aae598b1-0b95-44b7-855d-254b7867e7eb</t>
  </si>
  <si>
    <t>VAV-1866</t>
  </si>
  <si>
    <t>uuid://c8c8874b-8222-42e1-b54b-e30e420a5075</t>
  </si>
  <si>
    <t>VAV-1867</t>
  </si>
  <si>
    <t>uuid://00387ae9-a422-40ec-8c9c-bd412f1e5952</t>
  </si>
  <si>
    <t>VAV-1868</t>
  </si>
  <si>
    <t>uuid://c9cb69e2-bce8-42a7-b557-e39f44080d2e</t>
  </si>
  <si>
    <t>VAV-1869</t>
  </si>
  <si>
    <t>uuid://0a3e62f9-d79d-452b-89ae-3b2ab1c64871</t>
  </si>
  <si>
    <t>VAV-1870</t>
  </si>
  <si>
    <t>uuid://8fd75229-995c-44ba-bc2b-065cca3de25c</t>
  </si>
  <si>
    <t>VAV-1871</t>
  </si>
  <si>
    <t>uuid://e85c520e-9851-46fd-9730-0810ebcb575e</t>
  </si>
  <si>
    <t>VAV-1872</t>
  </si>
  <si>
    <t>uuid://75a6bd4b-d306-4b9d-9f2a-0c7732f7e08f</t>
  </si>
  <si>
    <t>VAV-1873</t>
  </si>
  <si>
    <t>uuid://d7f8e93b-4d98-4c66-9004-68b5428f976d</t>
  </si>
  <si>
    <t>VAV-1874</t>
  </si>
  <si>
    <t>uuid://9c001125-92a5-4ff0-9173-3545ed61e48a</t>
  </si>
  <si>
    <t>VAV-1875</t>
  </si>
  <si>
    <t>uuid://cd1792a1-d803-48d9-8621-c9374dfe1de2</t>
  </si>
  <si>
    <t>VAV-1876</t>
  </si>
  <si>
    <t>uuid://857e7fd0-340d-4b11-bb61-162c11c5f7f1</t>
  </si>
  <si>
    <t>VAV-1877</t>
  </si>
  <si>
    <t>uuid://fb5b6abe-16de-473c-8ead-1f489359cdf6</t>
  </si>
  <si>
    <t>VAV-1878</t>
  </si>
  <si>
    <t>uuid://afe8c39a-f645-4f1d-837c-72857819486a</t>
  </si>
  <si>
    <t>VAV-1879</t>
  </si>
  <si>
    <t>uuid://b116c83c-a2fd-4672-9e98-aee74ecd576e</t>
  </si>
  <si>
    <t>VAV-1880</t>
  </si>
  <si>
    <t>uuid://19c228a9-615f-4e80-93cf-a4d66147722c</t>
  </si>
  <si>
    <t>VAV-1881</t>
  </si>
  <si>
    <t>uuid://c280e9bb-c00d-4e4e-ba69-a46b09c92c4d</t>
  </si>
  <si>
    <t>VAV-1882</t>
  </si>
  <si>
    <t>uuid://ed1cc254-e8e6-4597-a664-ee8bc5ce3c0a</t>
  </si>
  <si>
    <t>VAV-1883</t>
  </si>
  <si>
    <t>uuid://71d51803-fa18-4813-b27e-73d6f5c9c927</t>
  </si>
  <si>
    <t>VAV-1884</t>
  </si>
  <si>
    <t>uuid://0b3ac11c-8bdd-4aab-8979-e16e420a0594</t>
  </si>
  <si>
    <t>VAV-1885</t>
  </si>
  <si>
    <t>uuid://f5e8aaa0-f186-4fb9-9423-801261c42051</t>
  </si>
  <si>
    <t>VAV-1886</t>
  </si>
  <si>
    <t>uuid://12598981-5257-47d7-adeb-c1c39c7359a3</t>
  </si>
  <si>
    <t>VAV-1887</t>
  </si>
  <si>
    <t>uuid://e2a25823-1ab6-48c3-bb04-45cb4181bdc8</t>
  </si>
  <si>
    <t>VAV-1888</t>
  </si>
  <si>
    <t>uuid://342be80b-4a19-4b28-bc86-c0252bb140d8</t>
  </si>
  <si>
    <t>VAV-1889</t>
  </si>
  <si>
    <t>uuid://9a0bba79-ae50-4445-b686-55d6e4b6b845</t>
  </si>
  <si>
    <t>VAV-1890</t>
  </si>
  <si>
    <t>uuid://11197132-00ad-4d2b-8e81-ebd6227a9a4d</t>
  </si>
  <si>
    <t>VAV-1891</t>
  </si>
  <si>
    <t>uuid://32950f4e-aa57-455c-83a6-028d0cc8226b</t>
  </si>
  <si>
    <t>VAV-1892</t>
  </si>
  <si>
    <t>uuid://f676b347-ef5c-49ac-bc0e-853c6c7d482b</t>
  </si>
  <si>
    <t>VAV-1893</t>
  </si>
  <si>
    <t>uuid://c93434c2-48cd-402b-8a48-d17da6097580</t>
  </si>
  <si>
    <t>VAV-1894</t>
  </si>
  <si>
    <t>uuid://de27fafb-87aa-416f-b042-ea73cf393499</t>
  </si>
  <si>
    <t>VAV-1895</t>
  </si>
  <si>
    <t>uuid://92fae43f-8043-428f-9160-ca21fcd41a84</t>
  </si>
  <si>
    <t>VAV-1896</t>
  </si>
  <si>
    <t>uuid://7013cb23-d78b-46ec-ae2d-a68521111547</t>
  </si>
  <si>
    <t>VAV-1897</t>
  </si>
  <si>
    <t>uuid://07f607ad-8d27-4a20-a17e-d9645cc55c28</t>
  </si>
  <si>
    <t>VAV-1898</t>
  </si>
  <si>
    <t>uuid://f8d5484d-cd2d-44ed-abb6-d44451c85fa5</t>
  </si>
  <si>
    <t>VAV-1899</t>
  </si>
  <si>
    <t>uuid://48b5d962-5cbb-47b8-9ebb-6052c336b237</t>
  </si>
  <si>
    <t>VAV-1900</t>
  </si>
  <si>
    <t>uuid://cc1c36d9-1577-4517-9a77-8d898541055c</t>
  </si>
  <si>
    <t>VAV-1901</t>
  </si>
  <si>
    <t>uuid://8dce94a1-2cb2-4a06-be2a-0aad183d7443</t>
  </si>
  <si>
    <t>VAV-1902</t>
  </si>
  <si>
    <t>uuid://a6d4c6c3-1235-42f5-bfcc-2bd30c9ed97c</t>
  </si>
  <si>
    <t>VAV-1903</t>
  </si>
  <si>
    <t>uuid://07644a49-c9bb-49a5-82fc-1f2acbca1e63</t>
  </si>
  <si>
    <t>VAV-1904</t>
  </si>
  <si>
    <t>uuid://45e7dd13-75c4-473d-9c47-ba41507d2e67</t>
  </si>
  <si>
    <t>VAV-1905</t>
  </si>
  <si>
    <t>uuid://38d1ba59-3997-49f1-bcad-7c56b55c6f15</t>
  </si>
  <si>
    <t>VAV-1906</t>
  </si>
  <si>
    <t>uuid://23486b5c-d586-48d5-8e24-19dd057a9ec3</t>
  </si>
  <si>
    <t>VAV-1907</t>
  </si>
  <si>
    <t>uuid://ec851377-c22a-4310-b882-4fafc6601e0d</t>
  </si>
  <si>
    <t>VAV-1908</t>
  </si>
  <si>
    <t>uuid://595281d7-fefc-4558-bce7-12457a98d4cf</t>
  </si>
  <si>
    <t>VAV-1909</t>
  </si>
  <si>
    <t>uuid://94cce398-a078-4adc-b9fe-a77b0cff2196</t>
  </si>
  <si>
    <t>VAV-1910</t>
  </si>
  <si>
    <t>uuid://f44a710c-3d8d-43a8-a0a9-d2acf4170e9e</t>
  </si>
  <si>
    <t>VAV-1911</t>
  </si>
  <si>
    <t>uuid://0fe1a18c-da43-49b0-a33e-8f60d81b5e30</t>
  </si>
  <si>
    <t>VAV-1912</t>
  </si>
  <si>
    <t>uuid://5c613aef-6e28-4e46-887c-bdce36ca49da</t>
  </si>
  <si>
    <t>VAV-1913</t>
  </si>
  <si>
    <t>uuid://d684669d-7db2-444c-9757-c6148866702d</t>
  </si>
  <si>
    <t>VAV-1914</t>
  </si>
  <si>
    <t>uuid://f2032233-3bcf-49bb-9252-5593e81a93ce</t>
  </si>
  <si>
    <t>VAV-1915</t>
  </si>
  <si>
    <t>uuid://126025e6-ff40-43e6-95cd-fed5e964e348</t>
  </si>
  <si>
    <t>VAV-1916</t>
  </si>
  <si>
    <t>uuid://015d3e97-b144-4190-9d49-bf32ea67eed5</t>
  </si>
  <si>
    <t>VAV-1917</t>
  </si>
  <si>
    <t>uuid://8ff027d3-3cc1-40d3-a0e9-05d9ce9a122f</t>
  </si>
  <si>
    <t>VAV-1918</t>
  </si>
  <si>
    <t>uuid://bcfeb0b5-f0b6-4b1b-9610-16fadd241ca3</t>
  </si>
  <si>
    <t>VAV-1919</t>
  </si>
  <si>
    <t>uuid://1b0c244d-f7c7-4749-8090-b99546af93e0</t>
  </si>
  <si>
    <t>VAV-1920</t>
  </si>
  <si>
    <t>uuid://5476ae4b-56ba-497c-93a7-23c1a146c854</t>
  </si>
  <si>
    <t>VAV-1921</t>
  </si>
  <si>
    <t>uuid://763ad478-d963-4f66-a21a-fb9110099c71</t>
  </si>
  <si>
    <t>VAV-1922</t>
  </si>
  <si>
    <t>uuid://dcdd4151-369a-47ff-99e9-6583a7e36397</t>
  </si>
  <si>
    <t>VAV-1923</t>
  </si>
  <si>
    <t>uuid://adfeb26e-5ce4-4c62-9a57-35529325c696</t>
  </si>
  <si>
    <t>VAV-1924</t>
  </si>
  <si>
    <t>uuid://3ea1f8b5-4588-4e82-ac75-97375e253984</t>
  </si>
  <si>
    <t>VAV-1925</t>
  </si>
  <si>
    <t>uuid://9ba9e6bd-d4c2-4aed-9b03-3346a9ea183b</t>
  </si>
  <si>
    <t>VAV-1926</t>
  </si>
  <si>
    <t>uuid://8b24c860-e9cc-485e-b573-5d6bd41f17f8</t>
  </si>
  <si>
    <t>VAV-1927</t>
  </si>
  <si>
    <t>uuid://c450fd46-b542-40d4-b532-1175861c38b3</t>
  </si>
  <si>
    <t>VAV-1928</t>
  </si>
  <si>
    <t>uuid://70a34105-c99a-464e-bbc1-a4293add9871</t>
  </si>
  <si>
    <t>VAV-1929</t>
  </si>
  <si>
    <t>uuid://c834b4db-7030-4b78-9d4c-814e8a1ba687</t>
  </si>
  <si>
    <t>VAV-1930</t>
  </si>
  <si>
    <t>uuid://06ad870c-bcc2-4337-998e-9bd3d956e321</t>
  </si>
  <si>
    <t>VAV-1931</t>
  </si>
  <si>
    <t>uuid://9f698ce1-0737-48cb-a077-1c7260a501c1</t>
  </si>
  <si>
    <t>VAV-1932</t>
  </si>
  <si>
    <t>uuid://7e6d06b6-bffb-4fc8-8ff7-8d41cd0b2a9a</t>
  </si>
  <si>
    <t>VAV-1933</t>
  </si>
  <si>
    <t>uuid://80b595f9-4942-41e1-968e-732ee2cc8a01</t>
  </si>
  <si>
    <t>VAV-1934</t>
  </si>
  <si>
    <t>uuid://c61c27c3-742b-4f6c-a8a8-64d038e8718d</t>
  </si>
  <si>
    <t>VAV-1935</t>
  </si>
  <si>
    <t>uuid://46d92550-c71d-42fc-8ac6-698cc698cdc6</t>
  </si>
  <si>
    <t>VAV-1936</t>
  </si>
  <si>
    <t>uuid://11afe40e-764e-41f6-9eb2-5ea7ea97f2d8</t>
  </si>
  <si>
    <t>VAV-1937</t>
  </si>
  <si>
    <t>uuid://93a67d87-bcbb-4d0d-b3c8-53d7fe1c1406</t>
  </si>
  <si>
    <t>VAV-1938</t>
  </si>
  <si>
    <t>uuid://72323ac7-12c6-4eed-b8f2-85e5e8ae456d</t>
  </si>
  <si>
    <t>VAV-1939</t>
  </si>
  <si>
    <t>uuid://40abca2e-7b85-4d7a-8ce2-9b3ca779bd04</t>
  </si>
  <si>
    <t>VAV-1940</t>
  </si>
  <si>
    <t>uuid://796fd432-f454-4947-9870-79b7eb385b2d</t>
  </si>
  <si>
    <t>VAV-1941</t>
  </si>
  <si>
    <t>uuid://49454f84-2f38-4ec3-8ace-67c6d689bd09</t>
  </si>
  <si>
    <t>VAV-1942</t>
  </si>
  <si>
    <t>uuid://b2f9a70f-bec4-4ed4-8066-673a6e42b55b</t>
  </si>
  <si>
    <t>VAV-1943</t>
  </si>
  <si>
    <t>uuid://13dbb037-14c7-43e4-b6e2-a8d120fc45df</t>
  </si>
  <si>
    <t>VAV-1944</t>
  </si>
  <si>
    <t>uuid://a289ed67-23a7-4a4b-be6d-281f047d5d48</t>
  </si>
  <si>
    <t>VAV-1945</t>
  </si>
  <si>
    <t>uuid://ba23d656-9fce-4a11-9dc7-44cca5446bac</t>
  </si>
  <si>
    <t>VAV-1946</t>
  </si>
  <si>
    <t>uuid://f9f8f506-7a95-4c0e-9dbb-6dd312da75f3</t>
  </si>
  <si>
    <t>VAV-1947</t>
  </si>
  <si>
    <t>uuid://4d7d4504-e8fa-48e0-80fa-d337a53381f2</t>
  </si>
  <si>
    <t>VAV-1948</t>
  </si>
  <si>
    <t>uuid://71903a49-d069-44a7-b497-37205f5c1d21</t>
  </si>
  <si>
    <t>VAV-1949</t>
  </si>
  <si>
    <t>uuid://8442ea77-2446-4910-a370-45f8bd9415ca</t>
  </si>
  <si>
    <t>VAV-1950</t>
  </si>
  <si>
    <t>uuid://d17f74d7-6cc1-45a2-8ac4-788cebd2f799</t>
  </si>
  <si>
    <t>VAV-1951</t>
  </si>
  <si>
    <t>uuid://de73a76c-ef8e-445d-9356-2b6d35a59f70</t>
  </si>
  <si>
    <t>VAV-1952</t>
  </si>
  <si>
    <t>uuid://17c7d6e4-4981-4505-9242-2e185ce057eb</t>
  </si>
  <si>
    <t>VAV-1953</t>
  </si>
  <si>
    <t>uuid://5f473b37-9ec9-4663-9e1b-f882faa50a5a</t>
  </si>
  <si>
    <t>VAV-1954</t>
  </si>
  <si>
    <t>uuid://8c024f40-1899-4858-9ce7-d7543cc0c538</t>
  </si>
  <si>
    <t>VAV-1955</t>
  </si>
  <si>
    <t>uuid://bda37bdf-c97f-4343-bd67-d38c979c4584</t>
  </si>
  <si>
    <t>VAV-1956</t>
  </si>
  <si>
    <t>uuid://5a2a82c2-d26d-46f3-8653-c2a21ea495e2</t>
  </si>
  <si>
    <t>VAV-1957</t>
  </si>
  <si>
    <t>uuid://9879ce42-0747-4e06-b639-7e262a147e29</t>
  </si>
  <si>
    <t>AHU ROOM-06 (AHU-11 &amp; 12)    TOP LEFT Loop - 2</t>
  </si>
  <si>
    <t>VAV-1958</t>
  </si>
  <si>
    <t>uuid://922547df-9697-4865-a36d-d31c1218cc62</t>
  </si>
  <si>
    <t>VAV-1959</t>
  </si>
  <si>
    <t>uuid://c25268a9-f35b-4bf4-82f4-becda70989f1</t>
  </si>
  <si>
    <t>VAV-1960</t>
  </si>
  <si>
    <t>uuid://7456551a-0671-4164-b7c0-42fcafbead25</t>
  </si>
  <si>
    <t>VAV-1961</t>
  </si>
  <si>
    <t>uuid://73b77ce4-915d-4225-9029-6bc7d16018d1</t>
  </si>
  <si>
    <t>VAV-1962</t>
  </si>
  <si>
    <t>uuid://fa43dc26-b880-418b-bda2-0bea2f19d9a3</t>
  </si>
  <si>
    <t>VAV-1963</t>
  </si>
  <si>
    <t>uuid://be11d8cf-e05c-4622-879e-00d78597412e</t>
  </si>
  <si>
    <t>VAV-1964</t>
  </si>
  <si>
    <t>uuid://7bb181cb-1054-41d6-bda6-17f83a018aa2</t>
  </si>
  <si>
    <t>VAV-1965</t>
  </si>
  <si>
    <t>uuid://76bfe4a9-37f0-469f-b7ac-f90450c29159</t>
  </si>
  <si>
    <t>VAV-1966</t>
  </si>
  <si>
    <t>uuid://f2de4f70-cee4-4ba7-8244-f96886063fa4</t>
  </si>
  <si>
    <t>VAV-1967</t>
  </si>
  <si>
    <t>uuid://32378023-59d8-4627-848a-59b35f6cee46</t>
  </si>
  <si>
    <t>VAV-1968</t>
  </si>
  <si>
    <t>uuid://71a39d90-6d9f-400d-b8a0-c60ee746a6d7</t>
  </si>
  <si>
    <t>VAV-1969</t>
  </si>
  <si>
    <t>uuid://6320d62e-b5e7-458a-a20a-823127c3ed84</t>
  </si>
  <si>
    <t>VAV-1970</t>
  </si>
  <si>
    <t>uuid://66a15362-62f9-4204-a436-58e922efbdfb</t>
  </si>
  <si>
    <t>VAV-1971</t>
  </si>
  <si>
    <t>uuid://9d4d3f2d-953b-402a-8e42-019f579b92c0</t>
  </si>
  <si>
    <t>VAV-1972</t>
  </si>
  <si>
    <t>uuid://96b76411-cdff-4e25-8d93-e8f1412936dc</t>
  </si>
  <si>
    <t>VAV-1973</t>
  </si>
  <si>
    <t>uuid://1aa30cc5-acde-4e0a-affc-f7cc99a83435</t>
  </si>
  <si>
    <t>AHU ROOM-07 (AHU-13) BOTTOM RIGHT(SINGLE AHU)  Loop-1</t>
  </si>
  <si>
    <t>VAV-1974</t>
  </si>
  <si>
    <t>uuid://41def74e-767b-4935-9c54-bc857061c5f4</t>
  </si>
  <si>
    <t>VAV-1975</t>
  </si>
  <si>
    <t>uuid://7102ecd6-fa6b-42ae-b316-b93d81ca805b</t>
  </si>
  <si>
    <t>VAV-1976</t>
  </si>
  <si>
    <t>uuid://56759076-b2a0-4307-aa17-2f5e3a19069d</t>
  </si>
  <si>
    <t>VAV-1977</t>
  </si>
  <si>
    <t>uuid://ddb0f6c0-8434-42e8-8187-398f31dc934f</t>
  </si>
  <si>
    <t>VAV-1978</t>
  </si>
  <si>
    <t>uuid://418c58ef-9ede-4d6c-9723-3bfbcef31c6c</t>
  </si>
  <si>
    <t>VAV-1979</t>
  </si>
  <si>
    <t>uuid://a798eb6a-65e0-4e9e-8cb5-b484d30e66dd</t>
  </si>
  <si>
    <t>VAV-1980</t>
  </si>
  <si>
    <t>uuid://9101fcae-7348-44e6-9edb-02863470f782</t>
  </si>
  <si>
    <t>VAV-1981</t>
  </si>
  <si>
    <t>uuid://fe1d3b55-31d5-4eab-a87a-4fdc3448d515</t>
  </si>
  <si>
    <t>VAV-1982</t>
  </si>
  <si>
    <t>uuid://a7d1ab88-8058-4a26-ba73-fd092f7f1d83</t>
  </si>
  <si>
    <t>VAV-1983</t>
  </si>
  <si>
    <t>uuid://bc6fc8a7-3c6e-49d7-a84f-f21c27dad063</t>
  </si>
  <si>
    <t>VAV-1984</t>
  </si>
  <si>
    <t>uuid://24fbbd9e-c70f-4ef3-9c16-c5766b3a8baf</t>
  </si>
  <si>
    <t>VAV-1985</t>
  </si>
  <si>
    <t>uuid://9a908b97-5e3e-4d63-82a5-cf76c797bc60</t>
  </si>
  <si>
    <t>VAV-1986</t>
  </si>
  <si>
    <t>uuid://66be4453-966e-4cab-89d1-84ef162f6f6a</t>
  </si>
  <si>
    <t>VAV-1987</t>
  </si>
  <si>
    <t>uuid://8f4d1549-96a3-477e-957e-b152f302c017</t>
  </si>
  <si>
    <t>VAV-1988</t>
  </si>
  <si>
    <t>uuid://22cf0202-9d99-4937-b6af-05c7264d99f1</t>
  </si>
  <si>
    <t>VAV-1989</t>
  </si>
  <si>
    <t>uuid://89097c5b-a28e-4210-bb5f-0e00562045d1</t>
  </si>
  <si>
    <t>VAV-1990</t>
  </si>
  <si>
    <t>uuid://d6b1ed40-d273-433e-b8ba-6d8325f3ba01</t>
  </si>
  <si>
    <t>EM-1</t>
  </si>
  <si>
    <t>SCHNEIDER</t>
  </si>
  <si>
    <t>PM2200</t>
  </si>
  <si>
    <t>EM</t>
  </si>
  <si>
    <t>B1I99</t>
  </si>
  <si>
    <t>uuid://a4da800f-a7b7-47f6-8161-4d2faffab949</t>
  </si>
  <si>
    <t>Micron</t>
  </si>
  <si>
    <t>Modbus RTU</t>
  </si>
  <si>
    <t>EM-2</t>
  </si>
  <si>
    <t>EASYLOGIC EM6436H RS</t>
  </si>
  <si>
    <t>uuid://e576d9e1-d410-4e55-976c-787d3571b9f6</t>
  </si>
  <si>
    <t>EM-3</t>
  </si>
  <si>
    <t>uuid://3adfd422-e637-421a-a188-da44d447cc28</t>
  </si>
  <si>
    <t>EM-4</t>
  </si>
  <si>
    <t>uuid://2efe55a7-a47b-42ec-ab34-2eb44492ba57</t>
  </si>
  <si>
    <t>EM-5</t>
  </si>
  <si>
    <t>uuid://38a6d2cc-2d65-474a-9750-ef0b710da56b</t>
  </si>
  <si>
    <t>EM-6</t>
  </si>
  <si>
    <t>GC26</t>
  </si>
  <si>
    <t>uuid://b14171be-dab2-4c5d-a5c6-1af5569bbda4</t>
  </si>
  <si>
    <t>EM-7</t>
  </si>
  <si>
    <t>uuid://415adcbc-c22a-43f5-9a22-8ed25ee47c67</t>
  </si>
  <si>
    <t>EM-8</t>
  </si>
  <si>
    <t>uuid://779a7175-3dde-481c-9592-ed0adfccd2ae</t>
  </si>
  <si>
    <t>EM-9</t>
  </si>
  <si>
    <t>uuid://198a7d48-fe7a-4d0e-85a7-ce9917739525</t>
  </si>
  <si>
    <t>EM-10</t>
  </si>
  <si>
    <t>uuid://8b0a2504-2727-4728-93a5-de4cea0f8d40</t>
  </si>
  <si>
    <t>EM-11</t>
  </si>
  <si>
    <t>uuid://ef4729bb-f1e4-4693-b5e7-71f8f0998e8a</t>
  </si>
  <si>
    <t>EM-12</t>
  </si>
  <si>
    <t>uuid://ac42cee8-479f-4179-b681-3b9390379a0c</t>
  </si>
  <si>
    <t>EM-13</t>
  </si>
  <si>
    <t>uuid://24ca14ce-1a64-4100-aa66-01fc1a718581</t>
  </si>
  <si>
    <t>EM-14</t>
  </si>
  <si>
    <t>uuid://24cab94d-1393-492e-b990-e361af002780</t>
  </si>
  <si>
    <t>EM-15</t>
  </si>
  <si>
    <t>uuid://3e88fafb-5d93-403e-b05a-c90d4fa12610</t>
  </si>
  <si>
    <t>EM-16</t>
  </si>
  <si>
    <t>uuid://a938830f-8808-470b-94f2-47d4774cf74e</t>
  </si>
  <si>
    <t>EM-17</t>
  </si>
  <si>
    <t>uuid://f3e4ec8b-3235-4012-9cd1-29a43d2a4fad</t>
  </si>
  <si>
    <t>EM-18</t>
  </si>
  <si>
    <t>IB27</t>
  </si>
  <si>
    <t>uuid://08690d5a-4b5b-4e57-91e5-4961b40d0bee</t>
  </si>
  <si>
    <t>EM-19</t>
  </si>
  <si>
    <t>uuid://7392fc2d-6106-435a-b6a2-fe6d1c9792e0</t>
  </si>
  <si>
    <t>EM-20</t>
  </si>
  <si>
    <t>uuid://b12eb63a-02d6-4c7e-b40b-bcd47b3f3d86</t>
  </si>
  <si>
    <t>EM-21</t>
  </si>
  <si>
    <t>uuid://af53d373-fe62-40f1-b717-2537110f1209</t>
  </si>
  <si>
    <t>EM-22</t>
  </si>
  <si>
    <t>uuid://26dc872d-ef89-47ab-8aad-32af1b90a0ba</t>
  </si>
  <si>
    <t>EM-23</t>
  </si>
  <si>
    <t>uuid://11ca21a3-cd7f-4a9f-97a9-918552479e05</t>
  </si>
  <si>
    <t>EM-24</t>
  </si>
  <si>
    <t>uuid://92a5030e-2b6e-413b-8623-d3a5dcc2b5da</t>
  </si>
  <si>
    <t>EM-25</t>
  </si>
  <si>
    <t>uuid://c1e3a0c0-6bd1-4a86-a30f-1d63d9e59b14</t>
  </si>
  <si>
    <t>EM-26</t>
  </si>
  <si>
    <t>uuid://6891a95e-322a-4adc-ba01-68b2b4fb6d3f</t>
  </si>
  <si>
    <t>EM-27</t>
  </si>
  <si>
    <t>uuid://a547908e-64c9-4722-903e-1fe1d2631457</t>
  </si>
  <si>
    <t>EM-28</t>
  </si>
  <si>
    <t>uuid://516480ba-88c9-437e-bb4a-28cd1d2a71de</t>
  </si>
  <si>
    <t>EM-29</t>
  </si>
  <si>
    <t>uuid://ab9abafc-e586-4f05-9366-566356487a28</t>
  </si>
  <si>
    <t>EM-30</t>
  </si>
  <si>
    <t>uuid://5ad21117-c0eb-4e32-8e51-927f53dfced5</t>
  </si>
  <si>
    <t>EM-31</t>
  </si>
  <si>
    <t>uuid://9284c760-590d-4abb-afe6-68225f84f939</t>
  </si>
  <si>
    <t>EM-32</t>
  </si>
  <si>
    <t>uuid://35d0980a-71ab-485e-a813-cec2366dffac</t>
  </si>
  <si>
    <t>EM-33</t>
  </si>
  <si>
    <t>uuid://3b9d82af-9cf1-453e-b46e-914efe4f61d6</t>
  </si>
  <si>
    <t>EM-34</t>
  </si>
  <si>
    <t>uuid://4d87fb04-29f2-48f2-910b-4adde35a504f</t>
  </si>
  <si>
    <t>EM-35</t>
  </si>
  <si>
    <t>uuid://c0e4a3d4-d013-4693-92c0-c043f655d744</t>
  </si>
  <si>
    <t>EM-36</t>
  </si>
  <si>
    <t>uuid://8079ea7c-f3d0-4b0b-bb89-de611dcffd80</t>
  </si>
  <si>
    <t>EM-37</t>
  </si>
  <si>
    <t>uuid://24f7c456-4db4-46a1-a0e3-f6bc4593a04f</t>
  </si>
  <si>
    <t>EM-38</t>
  </si>
  <si>
    <t>uuid://69d87379-0cb9-4f99-ac12-562d8d9c59d6</t>
  </si>
  <si>
    <t>EM-39</t>
  </si>
  <si>
    <t>5D41</t>
  </si>
  <si>
    <t>uuid://eece6445-8538-43b6-93bc-68c0ef242f6e</t>
  </si>
  <si>
    <t>EM-40</t>
  </si>
  <si>
    <t>uuid://42f03782-6763-42e4-8a88-6ea0cae4fbc8</t>
  </si>
  <si>
    <t>EM-41</t>
  </si>
  <si>
    <t>uuid://4f0d6074-925d-4c81-b7b8-9a2a7d21bb00</t>
  </si>
  <si>
    <t>EM-42</t>
  </si>
  <si>
    <t>uuid://8e307516-c0c7-4947-a715-12de039fdee4</t>
  </si>
  <si>
    <t>EM-43</t>
  </si>
  <si>
    <t>uuid://f2c74c32-5b2c-4d3a-80f2-aa191d259322</t>
  </si>
  <si>
    <t>EM-44</t>
  </si>
  <si>
    <t>uuid://5e0726ef-f9d0-4de6-8ace-c5efc8f1d568</t>
  </si>
  <si>
    <t>EM-45</t>
  </si>
  <si>
    <t>uuid://3a6db8ef-b1d0-46c9-bd3b-a80f97af7378</t>
  </si>
  <si>
    <t>EM-46</t>
  </si>
  <si>
    <t>uuid://5aec6711-a8ec-4f98-9fe5-85311a2a7073</t>
  </si>
  <si>
    <t>EM-47</t>
  </si>
  <si>
    <t>uuid://f5106620-4c57-461f-8072-44cafc358740</t>
  </si>
  <si>
    <t>EM-48</t>
  </si>
  <si>
    <t>uuid://897fdda2-75da-48f0-95d8-e28c379db008</t>
  </si>
  <si>
    <t>EM-49</t>
  </si>
  <si>
    <t>uuid://edf2f013-e93f-4998-9b63-9ab0461f9c86</t>
  </si>
  <si>
    <t>EM-50</t>
  </si>
  <si>
    <t>uuid://8425ca0d-1b9d-42dd-a6b5-215a7a77f9bc</t>
  </si>
  <si>
    <t>EM-51</t>
  </si>
  <si>
    <t>uuid://6eda6c01-affb-474a-bd97-e6a2a9dd504a</t>
  </si>
  <si>
    <t>EM-52</t>
  </si>
  <si>
    <t>uuid://1ffeaf15-e27e-4fcc-9304-a07f0f7d9b33</t>
  </si>
  <si>
    <t>EM-53</t>
  </si>
  <si>
    <t>uuid://b84d561b-0f5c-4494-a568-80ee97d359e7</t>
  </si>
  <si>
    <t>EM-54</t>
  </si>
  <si>
    <t>uuid://7c2f7d6f-1ec3-47c9-86a0-abc1f4dc06ad</t>
  </si>
  <si>
    <t>EM-55</t>
  </si>
  <si>
    <t>uuid://8166dcef-c22f-4803-a8e9-46911c9497c0</t>
  </si>
  <si>
    <t>EM-56</t>
  </si>
  <si>
    <t>uuid://d7161478-c3a2-498e-a874-b5c0e0fdcae6</t>
  </si>
  <si>
    <t>EM-57</t>
  </si>
  <si>
    <t>uuid://05fb76f7-7fe7-4897-8f39-7c62849d6c53</t>
  </si>
  <si>
    <t>EM-58</t>
  </si>
  <si>
    <t>uuid://8416de64-69a8-4d31-b361-692e0708f553</t>
  </si>
  <si>
    <t>EM-59</t>
  </si>
  <si>
    <t>uuid://8294b6ae-e238-4354-aaa6-ec6482df81bd</t>
  </si>
  <si>
    <t>EM-60</t>
  </si>
  <si>
    <t>uuid://94cb7ca8-be7d-4bb1-8fb0-0eb8274a0c24</t>
  </si>
  <si>
    <t>EM-61</t>
  </si>
  <si>
    <t>uuid://a4b490ae-dacb-4f66-ba64-d8f69f139f2c</t>
  </si>
  <si>
    <t>EM-62</t>
  </si>
  <si>
    <t>uuid://13b5f3c6-22b1-4b25-ae3c-06d7d79986ec</t>
  </si>
  <si>
    <t>EM-63</t>
  </si>
  <si>
    <t>uuid://df2e8013-c8bb-484f-9d55-b22a494663ca</t>
  </si>
  <si>
    <t>EM-64</t>
  </si>
  <si>
    <t>uuid://582a505f-dc58-4a3d-bda3-c68e874b13ca</t>
  </si>
  <si>
    <t>EM-65</t>
  </si>
  <si>
    <t>uuid://17481a17-a7ef-474a-8f69-0ebc5496ad3d</t>
  </si>
  <si>
    <t>EM-66</t>
  </si>
  <si>
    <t>uuid://a36e78ec-8a0a-48e7-a1a7-1b57009d7c3b</t>
  </si>
  <si>
    <t>EM-67</t>
  </si>
  <si>
    <t>uuid://a21509f1-1937-4622-a943-8fc9a16c0428</t>
  </si>
  <si>
    <t>EM-68</t>
  </si>
  <si>
    <t>uuid://1c57c085-e832-40e6-bedb-85d34c522b13</t>
  </si>
  <si>
    <t>EM-69</t>
  </si>
  <si>
    <t>uuid://98b0b1bc-ddb9-4ab0-9034-8ed96fbf9897</t>
  </si>
  <si>
    <t>EM-70</t>
  </si>
  <si>
    <t>uuid://60d3cde1-c2a4-4d72-8c72-aa368dd4ce4d</t>
  </si>
  <si>
    <t>EM-71</t>
  </si>
  <si>
    <t>uuid://da646467-3e8a-4edd-a44d-770bcab5a5ac</t>
  </si>
  <si>
    <t>EM-72</t>
  </si>
  <si>
    <t>uuid://78ba3aa5-136e-4c5a-a2d5-d3b1c46562a3</t>
  </si>
  <si>
    <t>EM-73</t>
  </si>
  <si>
    <t>uuid://963f2bad-433a-40ff-afbb-d228048712bb</t>
  </si>
  <si>
    <t>EM-74</t>
  </si>
  <si>
    <t>uuid://b7f4c83d-91b3-4c23-ad23-e3a5e91e954c</t>
  </si>
  <si>
    <t>EM-75</t>
  </si>
  <si>
    <t>uuid://22ec20e7-14b9-4e98-8365-f04d9135b348</t>
  </si>
  <si>
    <t>EM-76</t>
  </si>
  <si>
    <t>uuid://80330382-c4e3-4d92-bfbd-367860d39bda</t>
  </si>
  <si>
    <t>EM-77</t>
  </si>
  <si>
    <t>uuid://fe4fd650-68dd-400e-ad83-d31a508c6441</t>
  </si>
  <si>
    <t>EM-78</t>
  </si>
  <si>
    <t>uuid://74fcaf34-9073-4c9a-af0a-feb1163bba57</t>
  </si>
  <si>
    <t>EM-79</t>
  </si>
  <si>
    <t>uuid://74e27837-54d3-492d-9868-7dee1b7dd8f2</t>
  </si>
  <si>
    <t>EM-80</t>
  </si>
  <si>
    <t>uuid://26ab393f-c480-49b6-a54a-c8d992c4e2db</t>
  </si>
  <si>
    <t>EM-81</t>
  </si>
  <si>
    <t>uuid://3d7feaca-f4fb-4367-9069-f3038cb0fef6</t>
  </si>
  <si>
    <t>EM-82</t>
  </si>
  <si>
    <t>uuid://a6113f0b-15ca-4638-a7af-ff88965e4d25</t>
  </si>
  <si>
    <t>EM-83</t>
  </si>
  <si>
    <t>uuid://91c5bc4c-008c-4b6b-be3e-91f11978beec</t>
  </si>
  <si>
    <t>EM-84</t>
  </si>
  <si>
    <t>uuid://0fb74d10-e988-45d7-9903-5470c7ca50ea</t>
  </si>
  <si>
    <t>EM-85</t>
  </si>
  <si>
    <t>uuid://6cae4c03-b6bc-465e-a707-8067b74384f6</t>
  </si>
  <si>
    <t>EM-86</t>
  </si>
  <si>
    <t>uuid://f8ccbc38-5041-45ed-852b-eb84f2b72efe</t>
  </si>
  <si>
    <t>EM-87</t>
  </si>
  <si>
    <t>uuid://026d4c28-38ea-4622-b510-73a7005d5ff8</t>
  </si>
  <si>
    <t>EM-88</t>
  </si>
  <si>
    <t>uuid://9b703f19-0604-4f8e-8441-268ced385b36</t>
  </si>
  <si>
    <t>EM-89</t>
  </si>
  <si>
    <t>uuid://b2e22f5c-ef5f-456e-901a-f1986cd6aabc</t>
  </si>
  <si>
    <t>EM-90</t>
  </si>
  <si>
    <t>uuid://f2b933fb-b661-46dc-bb2b-1affe5cc5114</t>
  </si>
  <si>
    <t>EM-91</t>
  </si>
  <si>
    <t>uuid://4b952c8b-8b4a-45ab-a083-f22aa3175009</t>
  </si>
  <si>
    <t>EM-92</t>
  </si>
  <si>
    <t>uuid://bb12d3de-7419-43bf-873c-084f212fbb95</t>
  </si>
  <si>
    <t>EM-93</t>
  </si>
  <si>
    <t>uuid://8dbf5b81-e021-4a82-a524-4a3b5557b3a6</t>
  </si>
  <si>
    <t>EM-94</t>
  </si>
  <si>
    <t>uuid://ad0ee72a-b7a5-4a12-b6ad-99be8772264e</t>
  </si>
  <si>
    <t>EM-95</t>
  </si>
  <si>
    <t>uuid://c6fa060a-c7d0-4cb6-a5f6-ea4293f1caae</t>
  </si>
  <si>
    <t>EM-96</t>
  </si>
  <si>
    <t>uuid://35b2fc11-bd6a-476d-b87a-e5a45bfe2b6a</t>
  </si>
  <si>
    <t>EM-97</t>
  </si>
  <si>
    <t>uuid://7a4b7c8c-fdc7-4fa4-9395-bd27e89c6fb6</t>
  </si>
  <si>
    <t>EM-98</t>
  </si>
  <si>
    <t>uuid://53b26948-a277-4624-bb98-5a0617c1fe43</t>
  </si>
  <si>
    <t>EM-99</t>
  </si>
  <si>
    <t>uuid://b6ee4c67-d8ac-45b4-bd8d-6bb55ab3615e</t>
  </si>
  <si>
    <t>EM-100</t>
  </si>
  <si>
    <t>uuid://18d85c8d-bc6f-42fc-bb24-dfc5203523f4</t>
  </si>
  <si>
    <t>EM-101</t>
  </si>
  <si>
    <t>uuid://6639b7df-de70-496d-9c9c-289d7a9e6f2c</t>
  </si>
  <si>
    <t>EM-102</t>
  </si>
  <si>
    <t>uuid://087928a1-a2d3-42fe-8396-429aedce920d</t>
  </si>
  <si>
    <t>EM-103</t>
  </si>
  <si>
    <t>uuid://df6de6b4-33d1-49c3-837c-18aeb086d041</t>
  </si>
  <si>
    <t>EM-104</t>
  </si>
  <si>
    <t>uuid://f36bd281-2b90-4e7a-b94a-9d687ba33199</t>
  </si>
  <si>
    <t>Sankar Electricals</t>
  </si>
  <si>
    <t>SESIPL</t>
  </si>
  <si>
    <t>EM-105</t>
  </si>
  <si>
    <t>uuid://09a128f0-a15d-4051-91a1-75476d76e4b2</t>
  </si>
  <si>
    <t>EM-106</t>
  </si>
  <si>
    <t>uuid://94e0ec17-de57-41e3-bd43-26822357e78c</t>
  </si>
  <si>
    <t>EM-107</t>
  </si>
  <si>
    <t>uuid://2b23ce94-8c7c-48af-92e1-98120f76457c</t>
  </si>
  <si>
    <t>EM-108</t>
  </si>
  <si>
    <t>uuid://86a9ff06-5673-4547-907a-ea4c1d4854db</t>
  </si>
  <si>
    <t>EM-109</t>
  </si>
  <si>
    <t>uuid://24bec362-7ddd-4f05-b17c-86af84224397</t>
  </si>
  <si>
    <t>EM-110</t>
  </si>
  <si>
    <t>uuid://fce44ffa-eb2a-49ad-b6fa-0c4167159ba8</t>
  </si>
  <si>
    <t>EM-111</t>
  </si>
  <si>
    <t>uuid://08c77d4d-467a-4993-a7df-d9919d2e5e94</t>
  </si>
  <si>
    <t>EM-112</t>
  </si>
  <si>
    <t>uuid://24c48c12-058d-4049-98b5-b0c4773c8e81</t>
  </si>
  <si>
    <t>EM-113</t>
  </si>
  <si>
    <t>uuid://195ee3a7-275e-407e-98c0-75c09bae2b5e</t>
  </si>
  <si>
    <t>EM-114</t>
  </si>
  <si>
    <t>uuid://7974a644-dc41-440a-83ad-2e0f006edf53</t>
  </si>
  <si>
    <t>EM-115</t>
  </si>
  <si>
    <t>uuid://3c2b94fb-cb6d-4cfa-bd6b-ed3f0c182748</t>
  </si>
  <si>
    <t>EM-116</t>
  </si>
  <si>
    <t>uuid://7c468891-318c-4fa6-857a-f523677b9f31</t>
  </si>
  <si>
    <t>EM-117</t>
  </si>
  <si>
    <t>uuid://51c217d7-735a-46aa-92b7-59f09daa798a</t>
  </si>
  <si>
    <t>EM-118</t>
  </si>
  <si>
    <t>uuid://51026d1a-da05-4bf3-a980-743754ec4a0d</t>
  </si>
  <si>
    <t>EM-119</t>
  </si>
  <si>
    <t>uuid://60b350d2-a531-4c6b-8207-131960769c05</t>
  </si>
  <si>
    <t>EM-120</t>
  </si>
  <si>
    <t>uuid://711a586c-f718-458c-8a8b-1b449a1e6783</t>
  </si>
  <si>
    <t>EM-121</t>
  </si>
  <si>
    <t>uuid://4d82831e-06a0-4e51-9a42-081f494f6fd2</t>
  </si>
  <si>
    <t>EM-122</t>
  </si>
  <si>
    <t>uuid://9b54b386-aed8-4ed3-81b3-b8a97f0595c9</t>
  </si>
  <si>
    <t>EM-123</t>
  </si>
  <si>
    <t>uuid://e249a9d0-ea92-48da-a290-5c5c85a55ccd</t>
  </si>
  <si>
    <t>EM-124</t>
  </si>
  <si>
    <t>uuid://1dca7380-9ff9-4f0c-9a22-78e5cb2f8106</t>
  </si>
  <si>
    <t>EM-125</t>
  </si>
  <si>
    <t>uuid://ee3c99c5-ecda-4b7f-9f91-aa6c2afeb636</t>
  </si>
  <si>
    <t>EM-126</t>
  </si>
  <si>
    <t>uuid://6281d348-09f7-4068-abd2-e5d888689b7c</t>
  </si>
  <si>
    <t>EM-127</t>
  </si>
  <si>
    <t>uuid://b7d480f0-bc69-4b79-bc5f-bee292b7af36</t>
  </si>
  <si>
    <t>EM-128</t>
  </si>
  <si>
    <t>uuid://6a26ada9-032e-47c6-80e4-484cf76747d6</t>
  </si>
  <si>
    <t>EM-129</t>
  </si>
  <si>
    <t>uuid://c30755e4-43d3-4818-b858-e07829b06d95</t>
  </si>
  <si>
    <t>EM-130</t>
  </si>
  <si>
    <t>IEM3000</t>
  </si>
  <si>
    <t>905</t>
  </si>
  <si>
    <t>uuid://88c28ec7-46ec-484a-bb8a-6d2039843c92</t>
  </si>
  <si>
    <t>EM-131</t>
  </si>
  <si>
    <t>uuid://06b253d2-84e6-498d-9daa-2b0c89c47b51</t>
  </si>
  <si>
    <t>EM-132</t>
  </si>
  <si>
    <t>956</t>
  </si>
  <si>
    <t>uuid://dbe8d875-3d5e-45dc-8e31-9c3dfa9a1eec</t>
  </si>
  <si>
    <t>EM-133</t>
  </si>
  <si>
    <t>uuid://72486a5d-dbff-4a07-811a-8408e1976ccf</t>
  </si>
  <si>
    <t>EM-134</t>
  </si>
  <si>
    <t>G56</t>
  </si>
  <si>
    <t>uuid://6bdff10c-04b8-4e1e-b4e8-d1c1a8e1177e</t>
  </si>
  <si>
    <t>EM-135</t>
  </si>
  <si>
    <t>uuid://0d84611a-ac77-479f-8a9a-341ffaf1b6e5</t>
  </si>
  <si>
    <t>EM-136</t>
  </si>
  <si>
    <t>G05</t>
  </si>
  <si>
    <t>uuid://d44e9071-f677-4c68-9563-13a156adbee9</t>
  </si>
  <si>
    <t>EM-137</t>
  </si>
  <si>
    <t>uuid://88b42b49-eca8-4646-a4b4-0cc7a64e8f69</t>
  </si>
  <si>
    <t>EM-138</t>
  </si>
  <si>
    <t>uuid://aa7d6a6f-145d-4af9-89da-f2b8c8e71d89</t>
  </si>
  <si>
    <t>EM-139</t>
  </si>
  <si>
    <t>uuid://586955a9-975a-4a78-980e-6b2e8627bbfc</t>
  </si>
  <si>
    <t>EM-140</t>
  </si>
  <si>
    <t>uuid://5289607c-0131-4f66-b46d-9ec50fb2ecdd</t>
  </si>
  <si>
    <t>EM-141</t>
  </si>
  <si>
    <t>uuid://30e239cd-1c99-440b-b372-b583ec225a09</t>
  </si>
  <si>
    <t>EM-142</t>
  </si>
  <si>
    <t>uuid://be8d3d6e-4bbc-4930-a103-95d78ba880cf</t>
  </si>
  <si>
    <t>EM-143</t>
  </si>
  <si>
    <t>uuid://f4e515f0-03b6-46d2-b876-724b4a123604</t>
  </si>
  <si>
    <t>EM-144</t>
  </si>
  <si>
    <t>uuid://e2861983-2b1e-44d4-8c8f-4c17c783a755</t>
  </si>
  <si>
    <t>EM-145</t>
  </si>
  <si>
    <t>205</t>
  </si>
  <si>
    <t>uuid://e3b44e98-93ce-47ce-893d-9fee6d8f773f</t>
  </si>
  <si>
    <t>EM-146</t>
  </si>
  <si>
    <t>uuid://77bf1d0f-4a2b-4f8a-8357-06735fd56900</t>
  </si>
  <si>
    <t>EM-147</t>
  </si>
  <si>
    <t>uuid://32db984a-252a-4272-b6a3-96bf724b2abd</t>
  </si>
  <si>
    <t>EM-148</t>
  </si>
  <si>
    <t>uuid://913f636f-ec8f-45f7-862d-61f7c26b8924</t>
  </si>
  <si>
    <t>EM-149</t>
  </si>
  <si>
    <t>uuid://d665f009-9411-4c78-a758-e00ab98961fa</t>
  </si>
  <si>
    <t>EM-150</t>
  </si>
  <si>
    <t>305</t>
  </si>
  <si>
    <t>uuid://8e5b4351-cc83-4937-a41f-8862755ad859</t>
  </si>
  <si>
    <t>EM-151</t>
  </si>
  <si>
    <t>456</t>
  </si>
  <si>
    <t>uuid://26ad3396-b845-4758-8ea3-ee81a4a72430</t>
  </si>
  <si>
    <t>EM-152</t>
  </si>
  <si>
    <t>uuid://39764020-a11c-4977-a1c6-01a71bfbb694</t>
  </si>
  <si>
    <t>EM-153</t>
  </si>
  <si>
    <t>405</t>
  </si>
  <si>
    <t>uuid://41555c9e-fb59-46b8-a55d-a9de235c0043</t>
  </si>
  <si>
    <t>EM-154</t>
  </si>
  <si>
    <t>uuid://4bf59106-2975-4ea0-ad8d-f06fbea296b1</t>
  </si>
  <si>
    <t>EM-155</t>
  </si>
  <si>
    <t>505</t>
  </si>
  <si>
    <t>uuid://756a409a-a96e-46cb-ab3f-60e3fd7d7841</t>
  </si>
  <si>
    <t>EM-156</t>
  </si>
  <si>
    <t>uuid://aa2bb59e-2dbe-491f-b809-201dc6f5bff8</t>
  </si>
  <si>
    <t>EM-157</t>
  </si>
  <si>
    <t>uuid://8216141c-e5cc-4201-9369-ac914cc6873e</t>
  </si>
  <si>
    <t>EM-158</t>
  </si>
  <si>
    <t>uuid://a9d7d989-eb81-42ac-9e46-a60e94a1ea3f</t>
  </si>
  <si>
    <t>EM-159</t>
  </si>
  <si>
    <t>656</t>
  </si>
  <si>
    <t>uuid://35e5ede8-e6ec-4d4e-b927-96c2c0c76266</t>
  </si>
  <si>
    <t>EM-160</t>
  </si>
  <si>
    <t>uuid://b3264151-9fdc-497d-94a9-bb506e309aa3</t>
  </si>
  <si>
    <t>EM-161</t>
  </si>
  <si>
    <t>uuid://691cb694-92ef-446e-8eec-b550fa102b43</t>
  </si>
  <si>
    <t>EM-162</t>
  </si>
  <si>
    <t>605</t>
  </si>
  <si>
    <t>uuid://e65624c3-fabd-43a6-a47f-811dd021e6c6</t>
  </si>
  <si>
    <t>EM-163</t>
  </si>
  <si>
    <t>uuid://b9561a42-08f5-47e4-8f07-9832af5ea27e</t>
  </si>
  <si>
    <t>EM-164</t>
  </si>
  <si>
    <t>uuid://77cc921b-1beb-42b1-9281-b210bb3370f5</t>
  </si>
  <si>
    <t>EM-165</t>
  </si>
  <si>
    <t>705</t>
  </si>
  <si>
    <t>uuid://7c8acb97-a533-40b5-8f83-85b34e92f84b</t>
  </si>
  <si>
    <t>EM-166</t>
  </si>
  <si>
    <t>uuid://d30d81dd-34dd-42e3-8c46-4b60ed107053</t>
  </si>
  <si>
    <t>EM-167</t>
  </si>
  <si>
    <t>uuid://c2873138-a672-4448-8c7f-f4b177d3aadc</t>
  </si>
  <si>
    <t>EM-168</t>
  </si>
  <si>
    <t>uuid://3b82fd6a-7738-45ef-9f51-98a5faccc413</t>
  </si>
  <si>
    <t>EM-169</t>
  </si>
  <si>
    <t>805</t>
  </si>
  <si>
    <t>uuid://4e7e41e3-7531-4f22-b772-bb3e4fa02d4a</t>
  </si>
  <si>
    <t>EM-170</t>
  </si>
  <si>
    <t>uuid://c3b4cc82-9149-43be-8af3-a73771212dc4</t>
  </si>
  <si>
    <t>EM-171</t>
  </si>
  <si>
    <t>856</t>
  </si>
  <si>
    <t>uuid://ce86e2da-1448-4670-bcca-c983f640033f</t>
  </si>
  <si>
    <t>EM-172</t>
  </si>
  <si>
    <t>uuid://45273d2f-7bcb-43af-b11d-00cf7092ec65</t>
  </si>
  <si>
    <t>EM-173</t>
  </si>
  <si>
    <t>1005</t>
  </si>
  <si>
    <t>uuid://ad075a58-7698-4d4a-9ed1-6bc15456f70f</t>
  </si>
  <si>
    <t>EM-174</t>
  </si>
  <si>
    <t>1056</t>
  </si>
  <si>
    <t>uuid://65bf6803-6d16-4f9f-a17f-a1e00ee92c47</t>
  </si>
  <si>
    <t>EM-175</t>
  </si>
  <si>
    <t>1075</t>
  </si>
  <si>
    <t>uuid://5ef64c33-0e46-432d-b76c-e3b7cca11e0e</t>
  </si>
  <si>
    <t>EM-176</t>
  </si>
  <si>
    <t>uuid://2d26ebe5-bcdf-4d50-a923-789a7650a36f</t>
  </si>
  <si>
    <t>EM-177</t>
  </si>
  <si>
    <t>1070</t>
  </si>
  <si>
    <t>uuid://a1229b81-5940-461e-9f40-2b70bae967a8</t>
  </si>
  <si>
    <t>EM-178</t>
  </si>
  <si>
    <t>uuid://6a5508af-7a73-478a-b86c-1ca4f0cf9b3d</t>
  </si>
  <si>
    <t>EM-179</t>
  </si>
  <si>
    <t>uuid://841f508d-894d-4672-bc39-dbf7579cb15c</t>
  </si>
  <si>
    <t>EM-180</t>
  </si>
  <si>
    <t>uuid://79ca0148-e369-4b44-8ec5-6b40f5efb39c</t>
  </si>
  <si>
    <t>EM-181</t>
  </si>
  <si>
    <t>uuid://b7fbf898-06e2-4297-aa05-6ceb5c7b78f9</t>
  </si>
  <si>
    <t>EM-182</t>
  </si>
  <si>
    <t>uuid://c1e361a0-1fc4-414e-a00a-0e5481e54312</t>
  </si>
  <si>
    <t>EM-183</t>
  </si>
  <si>
    <t>1105</t>
  </si>
  <si>
    <t>uuid://95197071-1dd1-4dcb-a971-89d7cc04167a</t>
  </si>
  <si>
    <t>EM-184</t>
  </si>
  <si>
    <t>uuid://3ad742df-6962-4653-9eae-1124f4103bbf</t>
  </si>
  <si>
    <t>EM-185</t>
  </si>
  <si>
    <t>uuid://abc59966-fa51-4c58-bb4d-02303a72bf0c</t>
  </si>
  <si>
    <t>EM-186</t>
  </si>
  <si>
    <t>uuid://6cad9c9c-a5a8-4598-ba40-d58bdb3cf70d</t>
  </si>
  <si>
    <t>EM-187</t>
  </si>
  <si>
    <t>1170</t>
  </si>
  <si>
    <t>uuid://9923faf1-edbd-4d58-9481-2f95155f043c</t>
  </si>
  <si>
    <t>EM-188</t>
  </si>
  <si>
    <t>uuid://cb5d3106-620d-4bf0-a5de-f18a8a5e04af</t>
  </si>
  <si>
    <t>EM-189</t>
  </si>
  <si>
    <t>uuid://f844a50a-58da-4e1e-bfd4-73447342db61</t>
  </si>
  <si>
    <t>EM-190</t>
  </si>
  <si>
    <t>uuid://8c34bf57-d447-4967-85a7-bde152681c53</t>
  </si>
  <si>
    <t>EM-191</t>
  </si>
  <si>
    <t>uuid://4c980298-79b9-41b6-81bd-6fe3d220b92d</t>
  </si>
  <si>
    <t>EM-192</t>
  </si>
  <si>
    <t>uuid://175e4269-6739-4488-a317-783ebe25a9e7</t>
  </si>
  <si>
    <t>EM-193</t>
  </si>
  <si>
    <t>uuid://948466eb-b511-4a4d-a642-9d4c6c55d3ff</t>
  </si>
  <si>
    <t>EM-194</t>
  </si>
  <si>
    <t>uuid://dcb22044-8174-4c4d-bf12-0a88c4e5772b</t>
  </si>
  <si>
    <t>EM-195</t>
  </si>
  <si>
    <t>uuid://e4376010-bd5d-4da9-a2e4-26a01b158461</t>
  </si>
  <si>
    <t>EM-196</t>
  </si>
  <si>
    <t>uuid://956236c3-7d38-4b5b-bd39-bce321945f34</t>
  </si>
  <si>
    <t>EM-197</t>
  </si>
  <si>
    <t>uuid://3126faad-901c-4436-9cbe-03e470530b9a</t>
  </si>
  <si>
    <t>EM-198</t>
  </si>
  <si>
    <t>uuid://8d34c939-40c8-4087-aa65-0fe066b15a27</t>
  </si>
  <si>
    <t>EM-199</t>
  </si>
  <si>
    <t>uuid://208ab1d6-2650-45d1-a4f3-e288b92c1eea</t>
  </si>
  <si>
    <t>EM-200</t>
  </si>
  <si>
    <t>uuid://b5243576-477b-4e9e-a124-2afd916be4d6</t>
  </si>
  <si>
    <t>EM-501</t>
  </si>
  <si>
    <t>B1I17</t>
  </si>
  <si>
    <t>uuid://5702b245-6655-49b1-b69a-8d2629aeb7ca</t>
  </si>
  <si>
    <t>EM-502</t>
  </si>
  <si>
    <t>uuid://4d95e3f9-d06a-4006-b46c-3c3635087034</t>
  </si>
  <si>
    <t>EM-503</t>
  </si>
  <si>
    <t>uuid://4bf23dd3-8b3b-4be7-b572-3c988bed8270</t>
  </si>
  <si>
    <t>EM-504</t>
  </si>
  <si>
    <t>uuid://b89dbd0b-9926-47ab-84ae-23cbc315d259</t>
  </si>
  <si>
    <t>EM-505</t>
  </si>
  <si>
    <t>uuid://955b3047-d0d2-4e45-b38e-7578a4d56344</t>
  </si>
  <si>
    <t>EM-506</t>
  </si>
  <si>
    <t>uuid://9019c5e0-60f1-4d31-9b27-d7eb6d05c842</t>
  </si>
  <si>
    <t>EM-507</t>
  </si>
  <si>
    <t>uuid://8897c894-5cc2-4bfb-9bc3-072cc6d52468</t>
  </si>
  <si>
    <t>EM-508</t>
  </si>
  <si>
    <t>CB11616</t>
  </si>
  <si>
    <t>uuid://c722b17d-e103-4639-85ee-5921a7388826</t>
  </si>
  <si>
    <t>EM-509</t>
  </si>
  <si>
    <t>uuid://da693ced-3257-422e-9fb2-3563674076ea</t>
  </si>
  <si>
    <t>EM-510</t>
  </si>
  <si>
    <t>uuid://a3bfdd2c-024a-482c-acaa-c729d1bf801b</t>
  </si>
  <si>
    <t>EM-511</t>
  </si>
  <si>
    <t>uuid://0eecf617-0821-4a94-a7f3-e2bb148c4c22</t>
  </si>
  <si>
    <t>EM-512</t>
  </si>
  <si>
    <t>uuid://68d107eb-3cd1-476b-80ac-b6d6a979f1b3</t>
  </si>
  <si>
    <t>EM-513</t>
  </si>
  <si>
    <t>CB151</t>
  </si>
  <si>
    <t>uuid://dd7e09f1-2bdc-484e-b788-1805a1b7c73c</t>
  </si>
  <si>
    <t>EM-514</t>
  </si>
  <si>
    <t>uuid://8b774f2c-0348-44fe-910e-5af4b4f076a9</t>
  </si>
  <si>
    <t>EM-515</t>
  </si>
  <si>
    <t>uuid://2f9165f2-4748-44e8-87f6-c369db40af22</t>
  </si>
  <si>
    <t>EM-516</t>
  </si>
  <si>
    <t>uuid://0e28eb8e-29fb-49e7-8ad8-79817ca7792c</t>
  </si>
  <si>
    <t>EM-517</t>
  </si>
  <si>
    <t>uuid://51fef764-39ae-4cfa-921d-fdee6282e0c3</t>
  </si>
  <si>
    <t>EM-518</t>
  </si>
  <si>
    <t>B190</t>
  </si>
  <si>
    <t>uuid://7d0a9182-28d2-4a16-ba5a-436e921df012</t>
  </si>
  <si>
    <t>EM-519</t>
  </si>
  <si>
    <t>uuid://cd76f09f-eca7-4030-a718-933b1764d706</t>
  </si>
  <si>
    <t>EM-520</t>
  </si>
  <si>
    <t>uuid://58fe58eb-a629-4236-a399-a5d9c8bb922b</t>
  </si>
  <si>
    <t>EM-521</t>
  </si>
  <si>
    <t>uuid://aef073bc-2193-4b54-b2cb-003d7e3dd7c2</t>
  </si>
  <si>
    <t>EM-522</t>
  </si>
  <si>
    <t>uuid://1c72f3aa-e075-4734-8626-21ae3e7aa098</t>
  </si>
  <si>
    <t>EM-523</t>
  </si>
  <si>
    <t>uuid://6aa65fe5-c06a-47cf-aa20-1ca73a8252a1</t>
  </si>
  <si>
    <t>EM-524</t>
  </si>
  <si>
    <t>uuid://cefbad90-0bf1-4f76-9782-eafa6908c693</t>
  </si>
  <si>
    <t>EM-525</t>
  </si>
  <si>
    <t>uuid://60913064-1bcb-4822-b574-6530c50e1d2e</t>
  </si>
  <si>
    <t>EM-526</t>
  </si>
  <si>
    <t>uuid://9fbf9aa4-8cbd-417f-af7f-9c8a3ee0ddce</t>
  </si>
  <si>
    <t>EM-527</t>
  </si>
  <si>
    <t>B193</t>
  </si>
  <si>
    <t>uuid://1234aba1-9e02-4a4c-8d9e-a562cca87411</t>
  </si>
  <si>
    <t>EM-528</t>
  </si>
  <si>
    <t>uuid://0c228fed-c375-4b21-a4d4-3eb9a7f0c524</t>
  </si>
  <si>
    <t>EM-529</t>
  </si>
  <si>
    <t>uuid://28636cf9-12a1-440a-bda4-df664c4cef32</t>
  </si>
  <si>
    <t>EM-530</t>
  </si>
  <si>
    <t>uuid://582efcf1-d91d-467f-8a36-496af10e4871</t>
  </si>
  <si>
    <t>EM-531</t>
  </si>
  <si>
    <t>uuid://cf98b195-fb53-4eac-bb68-fee0d67e602b</t>
  </si>
  <si>
    <t>EM-532</t>
  </si>
  <si>
    <t>uuid://cb2eefd1-3a62-40ad-b401-7a9f31a6fafa</t>
  </si>
  <si>
    <t>EM-533</t>
  </si>
  <si>
    <t>uuid://4e4070e9-196d-4bb6-8bc3-e644338026fe</t>
  </si>
  <si>
    <t>x</t>
  </si>
  <si>
    <t>EM-534</t>
  </si>
  <si>
    <t>uuid://bfdb166c-4b98-4333-b671-e41fe2429993</t>
  </si>
  <si>
    <t>EM-535</t>
  </si>
  <si>
    <t>uuid://dcaaa1f6-25b2-4602-848e-4e77ef085c99</t>
  </si>
  <si>
    <t>EM-201</t>
  </si>
  <si>
    <t>PM1130H</t>
  </si>
  <si>
    <t>uuid://99713d71-8dd7-4685-b3ea-5cba1dfe6fbd</t>
  </si>
  <si>
    <t>Base Builder</t>
  </si>
  <si>
    <t>EM-202</t>
  </si>
  <si>
    <t>uuid://529747ab-c8d8-41c1-91eb-acd1ecf5abd5</t>
  </si>
  <si>
    <t>EM-203</t>
  </si>
  <si>
    <t>uuid://3c894332-2a59-455c-a036-ba68cd17997a</t>
  </si>
  <si>
    <t>EM-204</t>
  </si>
  <si>
    <t>uuid://09059af9-f625-4b7d-89c5-e34be5563f31</t>
  </si>
  <si>
    <t>EM-205</t>
  </si>
  <si>
    <t>uuid://2534484e-061e-4729-bc70-198fa47eb120</t>
  </si>
  <si>
    <t>EM-206</t>
  </si>
  <si>
    <t>uuid://5c6d86fd-8ba8-490b-ad66-37e46416538f</t>
  </si>
  <si>
    <t>EM-207</t>
  </si>
  <si>
    <t>uuid://97c8dfac-2b81-4417-a7b6-a550cbad52cb</t>
  </si>
  <si>
    <t>EM-208</t>
  </si>
  <si>
    <t>uuid://449faeea-e7f8-450e-ba5e-892acb53021d</t>
  </si>
  <si>
    <t>EM-209</t>
  </si>
  <si>
    <t>uuid://858ec68d-9265-4952-9a32-42e547d0fb3f</t>
  </si>
  <si>
    <t>EM-210</t>
  </si>
  <si>
    <t>uuid://d14b21d2-830c-4a8d-839e-d90a36d98836</t>
  </si>
  <si>
    <t>EM-211</t>
  </si>
  <si>
    <t>uuid://eb024ac2-c85c-41f1-afbf-d10f0468d7f0</t>
  </si>
  <si>
    <t>EM-212</t>
  </si>
  <si>
    <t>uuid://ac86eaa0-c5df-49f8-86a3-2d9390c4f6bf</t>
  </si>
  <si>
    <t>EM-213</t>
  </si>
  <si>
    <t>uuid://7d5241e5-7d35-4c84-a58b-93e3501f4009</t>
  </si>
  <si>
    <t>EM-214</t>
  </si>
  <si>
    <t>uuid://b2d6f81a-20c2-4049-8200-d4371fae18c2</t>
  </si>
  <si>
    <t>EM-215</t>
  </si>
  <si>
    <t>uuid://72b23a2c-fc0d-45f2-ad0a-b7884d2f0f29</t>
  </si>
  <si>
    <t>EM-216</t>
  </si>
  <si>
    <t>uuid://f2bddb61-a85f-4d69-9a4b-d0fcc2dedd6b</t>
  </si>
  <si>
    <t>EM-217</t>
  </si>
  <si>
    <t>uuid://9329c398-b020-47e7-ad68-627290ec4267</t>
  </si>
  <si>
    <t>EM-218</t>
  </si>
  <si>
    <t>uuid://7ef17ca5-248b-4b0f-be64-189923cb90ca</t>
  </si>
  <si>
    <t>EM-219</t>
  </si>
  <si>
    <t>uuid://a0a11442-483f-4553-90c2-97eea249b2db</t>
  </si>
  <si>
    <t>EM-220</t>
  </si>
  <si>
    <t>uuid://f03939ca-8b82-49ef-bdf3-0d610d1b41d7</t>
  </si>
  <si>
    <t>EM-221</t>
  </si>
  <si>
    <t>uuid://23d7c5b3-adae-4dea-8553-ff4e07dd4d52</t>
  </si>
  <si>
    <t>EM-222</t>
  </si>
  <si>
    <t>uuid://bb03ab1c-3472-4db7-8452-780f44ba6420</t>
  </si>
  <si>
    <t>EM-223</t>
  </si>
  <si>
    <t>uuid://31930388-10cb-409a-bd51-1c6b7a67ae17</t>
  </si>
  <si>
    <t>EM-224</t>
  </si>
  <si>
    <t>uuid://700dfad5-d975-4f15-bb98-e7943d1e42f8</t>
  </si>
  <si>
    <t>EM-225</t>
  </si>
  <si>
    <t>uuid://cc9c4726-f95f-4f0e-8fb9-0cf15247402e</t>
  </si>
  <si>
    <t>EM-226</t>
  </si>
  <si>
    <t>uuid://bd3e0d50-aa7d-4d40-8bc6-d1fcca740a94</t>
  </si>
  <si>
    <t>EM-227</t>
  </si>
  <si>
    <t>uuid://5c5c72d8-405b-4c7a-865a-717f3a863477</t>
  </si>
  <si>
    <t>EM-228</t>
  </si>
  <si>
    <t>uuid://49cf4cf2-5467-499e-95ae-0c85f1dad323</t>
  </si>
  <si>
    <t>EM-229</t>
  </si>
  <si>
    <t>uuid://c53238dd-b138-4c9c-9f9b-c1097f7c3dab</t>
  </si>
  <si>
    <t>EM-230</t>
  </si>
  <si>
    <t>uuid://a9591666-2cec-46b7-8669-f6e47e2fa033</t>
  </si>
  <si>
    <t>EM-231</t>
  </si>
  <si>
    <t>uuid://077001d5-3df5-4541-a7c3-26914669df31</t>
  </si>
  <si>
    <t>EM-232</t>
  </si>
  <si>
    <t>uuid://bf886712-28a2-45ee-904b-5dd8503e0fda</t>
  </si>
  <si>
    <t>EM-233</t>
  </si>
  <si>
    <t>uuid://234399ed-3b94-4b64-8812-4ecb56bed3c4</t>
  </si>
  <si>
    <t>EM-234</t>
  </si>
  <si>
    <t>uuid://1d8c7291-2910-46b7-a302-e811ca2b7db8</t>
  </si>
  <si>
    <t>EM-235</t>
  </si>
  <si>
    <t>uuid://754c9be2-dbc3-4a6d-a07b-07eee4e82b6f</t>
  </si>
  <si>
    <t>EM-236</t>
  </si>
  <si>
    <t>uuid://1e3a2440-1f16-4427-a985-9ab403ecba01</t>
  </si>
  <si>
    <t>EM-237</t>
  </si>
  <si>
    <t>uuid://30fd74d2-df90-4593-80f5-7b7636b83de4</t>
  </si>
  <si>
    <t>EM-238</t>
  </si>
  <si>
    <t>uuid://83945c0d-f25a-4c1a-8495-822de19f594c</t>
  </si>
  <si>
    <t>EM-239</t>
  </si>
  <si>
    <t>uuid://833eed2c-c97e-453b-b4b6-422776383ffc</t>
  </si>
  <si>
    <t>EM-240</t>
  </si>
  <si>
    <t>uuid://b9ec3f82-b948-4447-9fb4-21055e1869e9</t>
  </si>
  <si>
    <t>EM-241</t>
  </si>
  <si>
    <t>uuid://c16a5057-d959-40e4-89df-a672aae53759</t>
  </si>
  <si>
    <t>EM-242</t>
  </si>
  <si>
    <t>uuid://3796ff94-5248-4fc6-8679-c0b84afd387a</t>
  </si>
  <si>
    <t>EM-243</t>
  </si>
  <si>
    <t>uuid://52f4d639-afdf-42a3-84ac-76bf9726b0e4</t>
  </si>
  <si>
    <t>EM-244</t>
  </si>
  <si>
    <t>uuid://1f17ce52-89fc-4e5a-bd2b-c1bc36e2d7ac</t>
  </si>
  <si>
    <t>EM-245</t>
  </si>
  <si>
    <t>uuid://5f5c2dcd-0ee6-44af-8199-b1a8554c1e3a</t>
  </si>
  <si>
    <t>EM-246</t>
  </si>
  <si>
    <t>uuid://a578d36b-6346-4086-b810-e4a0f5ddc016</t>
  </si>
  <si>
    <t>EM-247</t>
  </si>
  <si>
    <t>uuid://6b39599f-8d90-42a4-8000-a7700b1c1983</t>
  </si>
  <si>
    <t>EM-248</t>
  </si>
  <si>
    <t>uuid://66d2340b-f986-47cd-a1dd-ea03e47a9a2a</t>
  </si>
  <si>
    <t>EM-249</t>
  </si>
  <si>
    <t>uuid://d749611c-87fc-41a4-9572-acaa67d8c5ef</t>
  </si>
  <si>
    <t>EM-250</t>
  </si>
  <si>
    <t>uuid://06bfa98f-f702-486b-99aa-51c94a0b644f</t>
  </si>
  <si>
    <t>EM-251</t>
  </si>
  <si>
    <t>uuid://671e8f5f-11bd-4406-bd81-eca7d3079c2d</t>
  </si>
  <si>
    <t>EM-252</t>
  </si>
  <si>
    <t>uuid://aaad358a-fe08-4e01-9c56-cd05c51f567a</t>
  </si>
  <si>
    <t>EM-253</t>
  </si>
  <si>
    <t>uuid://8d0e8f8b-55cc-41c9-a311-3276ea66d826</t>
  </si>
  <si>
    <t>EM-254</t>
  </si>
  <si>
    <t>uuid://faec4715-3b27-4e1b-8a05-cf73ce540703</t>
  </si>
  <si>
    <t>EM-255</t>
  </si>
  <si>
    <t>uuid://d9c7fc57-2c85-44c1-b85d-429d6e1041ac</t>
  </si>
  <si>
    <t>EM-256</t>
  </si>
  <si>
    <t>uuid://046435b7-3953-41cc-8b04-adfbd6998dac</t>
  </si>
  <si>
    <t>EM-257</t>
  </si>
  <si>
    <t>uuid://180a829f-2d00-480e-8d5a-a1e8fb4cb1ff</t>
  </si>
  <si>
    <t>EM-258</t>
  </si>
  <si>
    <t>uuid://56dca120-4980-4c99-81df-e65fb7cfec07</t>
  </si>
  <si>
    <t>EM-259</t>
  </si>
  <si>
    <t>uuid://2838e48f-1935-479d-a9e3-93ab9a9bc99b</t>
  </si>
  <si>
    <t>EM-260</t>
  </si>
  <si>
    <t>uuid://348450b5-ee31-47ee-beda-fa9904b011a3</t>
  </si>
  <si>
    <t>EM-261</t>
  </si>
  <si>
    <t>uuid://73aab994-5f6f-4511-864a-2caeee643cda</t>
  </si>
  <si>
    <t>EM-262</t>
  </si>
  <si>
    <t>uuid://0fa7670f-5517-43a8-85a1-d2327dd0f7ef</t>
  </si>
  <si>
    <t>EM-263</t>
  </si>
  <si>
    <t>uuid://1b9cd512-805e-47df-bf43-79462278b00d</t>
  </si>
  <si>
    <t>EM-264</t>
  </si>
  <si>
    <t>uuid://7f6d29d3-e81d-4f90-b013-afbe19f836a7</t>
  </si>
  <si>
    <t>EM-265</t>
  </si>
  <si>
    <t>uuid://1a5927fb-1759-4693-aba0-1009c0b88748</t>
  </si>
  <si>
    <t>EM-266</t>
  </si>
  <si>
    <t>uuid://48f572af-b067-4bf2-ad48-93a2fe1fb34a</t>
  </si>
  <si>
    <t>EM-267</t>
  </si>
  <si>
    <t>uuid://b000a0c9-ab02-4448-938e-944ffb6225f8</t>
  </si>
  <si>
    <t>EM-268</t>
  </si>
  <si>
    <t>uuid://9b2cf6b2-ca48-41b0-8723-fbb253cd074d</t>
  </si>
  <si>
    <t>EM-269</t>
  </si>
  <si>
    <t>uuid://fb80fd25-60c3-4ad7-b916-60112383407a</t>
  </si>
  <si>
    <t>EM-270</t>
  </si>
  <si>
    <t>uuid://ce4140e6-40fd-4226-b1d7-d351a81304a7</t>
  </si>
  <si>
    <t>EM-271</t>
  </si>
  <si>
    <t>uuid://a81cefd1-17a2-4a32-91d8-bac62982a761</t>
  </si>
  <si>
    <t>EM-272</t>
  </si>
  <si>
    <t>uuid://ca5641b4-f566-4249-a608-c7737db6d29c</t>
  </si>
  <si>
    <t>EM-273</t>
  </si>
  <si>
    <t>uuid://0fcab712-e5d2-4331-845d-621666d3e49d</t>
  </si>
  <si>
    <t>EM-274</t>
  </si>
  <si>
    <t>uuid://f35c50b3-9a4e-4c89-85cf-1536dfac5b88</t>
  </si>
  <si>
    <t>EM-275</t>
  </si>
  <si>
    <t>uuid://4f212177-6b56-4871-8fd3-491f525c9095</t>
  </si>
  <si>
    <t>EM-276</t>
  </si>
  <si>
    <t>uuid://c6838a96-17dc-4e22-8bc0-0c30a96a8fb6</t>
  </si>
  <si>
    <t>EM-277</t>
  </si>
  <si>
    <t>uuid://024527e6-6318-4703-a897-1ad510b0ec2b</t>
  </si>
  <si>
    <t>EM-278</t>
  </si>
  <si>
    <t>uuid://7c215020-0e0b-44bc-ae61-d3ac0c5ff0c2</t>
  </si>
  <si>
    <t>EM-279</t>
  </si>
  <si>
    <t>uuid://52aa7633-661b-483f-960f-298836d1cacf</t>
  </si>
  <si>
    <t>EM-280</t>
  </si>
  <si>
    <t>uuid://3f8ec0d7-aa5d-4baa-b37b-52e3e8da10af</t>
  </si>
  <si>
    <t>EM-281</t>
  </si>
  <si>
    <t>uuid://06e71a5c-2bed-4a15-8929-cf8d8ff68890</t>
  </si>
  <si>
    <t>EM-282</t>
  </si>
  <si>
    <t>EM6400NG</t>
  </si>
  <si>
    <t>HT Yard</t>
  </si>
  <si>
    <t>uuid://f00f7588-838c-4130-a8e3-d461596719ae</t>
  </si>
  <si>
    <t>EM-283</t>
  </si>
  <si>
    <t>uuid://a4f251c2-2d6b-4997-b9a8-7a8892491d11</t>
  </si>
  <si>
    <t>EM-284</t>
  </si>
  <si>
    <t>uuid://aae545d4-5e8f-4fe3-bf02-a2c8325f8d1b</t>
  </si>
  <si>
    <t>EM-285</t>
  </si>
  <si>
    <t>uuid://c9fb2b1b-352e-4d79-9508-7734b4c75399</t>
  </si>
  <si>
    <t>EM-286</t>
  </si>
  <si>
    <t>uuid://dec4ffbb-e943-4a81-aa1c-945147f0765a</t>
  </si>
  <si>
    <t>EM-287</t>
  </si>
  <si>
    <t>3M13</t>
  </si>
  <si>
    <t>uuid://13ded2f3-f46d-4e26-a917-d0c7f72a673c</t>
  </si>
  <si>
    <t>EM-288</t>
  </si>
  <si>
    <t>uuid://74aba57c-e9d3-48b7-ab14-77df86469fdb</t>
  </si>
  <si>
    <t>EM-289</t>
  </si>
  <si>
    <t>uuid://4d3f67ac-b8ab-473c-ab20-28e55fa0f0ab</t>
  </si>
  <si>
    <t>EM-290</t>
  </si>
  <si>
    <t>uuid://27ff6eca-c7e7-4b46-8121-f268c84f5a21</t>
  </si>
  <si>
    <t>EM-291</t>
  </si>
  <si>
    <t>uuid://1d35a788-3dda-47fe-a452-8802f6e946d9</t>
  </si>
  <si>
    <t>EM-292</t>
  </si>
  <si>
    <t>uuid://8a0d3256-98e9-45ab-9abe-6c9a7be1b39e</t>
  </si>
  <si>
    <t>EM-293</t>
  </si>
  <si>
    <t>uuid://4698f876-cbb5-4775-813e-a8e9eb342288</t>
  </si>
  <si>
    <t>EM-294</t>
  </si>
  <si>
    <t>uuid://060deadf-f101-43c8-9e87-7d8dc9b33637</t>
  </si>
  <si>
    <t>EM-295</t>
  </si>
  <si>
    <t>uuid://ebccdf98-7364-4829-9b94-e6a908a8937c</t>
  </si>
  <si>
    <t>EM-296</t>
  </si>
  <si>
    <t>uuid://c4fb6f22-a0fb-45db-8683-07cc4d2d8b05</t>
  </si>
  <si>
    <t>EM-297</t>
  </si>
  <si>
    <t>uuid://b58c1149-2e80-4b24-be4f-503c1bfaaef1</t>
  </si>
  <si>
    <t>EM-298</t>
  </si>
  <si>
    <t>uuid://bb7cf367-f499-4dfb-95b3-73ba4a07f805</t>
  </si>
  <si>
    <t>EM-299</t>
  </si>
  <si>
    <t>uuid://98ae492e-3656-4a81-a9c5-ec9ae803c788</t>
  </si>
  <si>
    <t>EM-300</t>
  </si>
  <si>
    <t>uuid://2d7b3433-286b-4467-9490-cf11478338b2</t>
  </si>
  <si>
    <t>EM-301</t>
  </si>
  <si>
    <t>uuid://72ffc26c-8f5f-4d35-9dda-f3035e4f1d8f</t>
  </si>
  <si>
    <t>EM-302</t>
  </si>
  <si>
    <t>uuid://fe133827-df9a-4e47-aa07-07e1492fd3e6</t>
  </si>
  <si>
    <t>EM-303</t>
  </si>
  <si>
    <t>uuid://1d7127d6-11fb-48c6-a682-cfd7ae55bcf2</t>
  </si>
  <si>
    <t>EM-304</t>
  </si>
  <si>
    <t>uuid://8743fcb0-1a0b-4ef4-a302-f3c480a2605a</t>
  </si>
  <si>
    <t>EM-305</t>
  </si>
  <si>
    <t>uuid://7c80559d-1cc8-458b-9f1e-18990314bcfc</t>
  </si>
  <si>
    <t>EM-306</t>
  </si>
  <si>
    <t>uuid://35a201a2-f451-4659-b56b-313fe3679a3b</t>
  </si>
  <si>
    <t>EM-307</t>
  </si>
  <si>
    <t>uuid://b90af705-e292-4822-8c89-2283abd01936</t>
  </si>
  <si>
    <t>EM-308</t>
  </si>
  <si>
    <t>uuid://bf60f683-3521-4a55-b3cd-8b411b450dd3</t>
  </si>
  <si>
    <t>EM-309</t>
  </si>
  <si>
    <t>uuid://efeeed9b-d529-4466-b332-72bacb6357f6</t>
  </si>
  <si>
    <t>EM-310</t>
  </si>
  <si>
    <t>uuid://b70c8e19-f574-4512-85fb-42b9d0bef591</t>
  </si>
  <si>
    <t>EM-311</t>
  </si>
  <si>
    <t>uuid://fe177b26-3f02-4c97-a88d-d592e76e5a96</t>
  </si>
  <si>
    <t>EM-312</t>
  </si>
  <si>
    <t>uuid://06080176-0540-4cd7-b185-b2ac911365d6</t>
  </si>
  <si>
    <t>EM-313</t>
  </si>
  <si>
    <t>uuid://820f4436-d084-4ead-8583-07810235a885</t>
  </si>
  <si>
    <t>EM-314</t>
  </si>
  <si>
    <t>uuid://e7f490ba-f452-4d9f-b844-bef030c9cff7</t>
  </si>
  <si>
    <t>EM-315</t>
  </si>
  <si>
    <t>uuid://3b6ab617-3f03-44b2-9d5e-94cade381dd2</t>
  </si>
  <si>
    <t>EM-316</t>
  </si>
  <si>
    <t>uuid://41cfc894-64ad-4f5e-bee5-628651fe90c3</t>
  </si>
  <si>
    <t>EM-317</t>
  </si>
  <si>
    <t>uuid://4b115484-740a-4bdc-aef5-d0bfdd555665</t>
  </si>
  <si>
    <t>EM-318</t>
  </si>
  <si>
    <t>uuid://9a025f7d-19da-476a-a5c6-238765aeeb2d</t>
  </si>
  <si>
    <t>EM-319</t>
  </si>
  <si>
    <t>uuid://256b0232-a973-4c23-8446-7f5e0815a168</t>
  </si>
  <si>
    <t>EM-320</t>
  </si>
  <si>
    <t>uuid://6a22211b-d2f1-426b-8cf9-658e16cdf671</t>
  </si>
  <si>
    <t>EM-321</t>
  </si>
  <si>
    <t>uuid://e9ee0090-4d08-4b46-8fa7-a10889e4dead</t>
  </si>
  <si>
    <t>EM-322</t>
  </si>
  <si>
    <t>uuid://236d8d46-e456-480e-90c0-093c67419e60</t>
  </si>
  <si>
    <t>EM-323</t>
  </si>
  <si>
    <t>uuid://1dde354c-51a0-407d-8e72-91428cae0ba6</t>
  </si>
  <si>
    <t>EM-324</t>
  </si>
  <si>
    <t>uuid://f562d4e4-89fd-4cb1-9fe9-0432a3414889</t>
  </si>
  <si>
    <t>EM-325</t>
  </si>
  <si>
    <t>uuid://378de1a6-7613-47e3-9302-71f697446ecf</t>
  </si>
  <si>
    <t>EM-326</t>
  </si>
  <si>
    <t>uuid://8c3fef3d-597e-4ca7-9a16-6c4849d04b55</t>
  </si>
  <si>
    <t>EM-327</t>
  </si>
  <si>
    <t>uuid://199900dd-24a5-469f-bf0f-3dac4fac2a0d</t>
  </si>
  <si>
    <t>EM-328</t>
  </si>
  <si>
    <t>uuid://9c20d835-7f2c-46e5-9eb3-8bf6cb67651b</t>
  </si>
  <si>
    <t>EM-329</t>
  </si>
  <si>
    <t>uuid://ef40aa13-5bf1-4ede-a8d7-24e4e8003c1d</t>
  </si>
  <si>
    <t>EM-330</t>
  </si>
  <si>
    <t>uuid://e7d778b2-e03c-4941-853b-8dab2984bf58</t>
  </si>
  <si>
    <t>EM-331</t>
  </si>
  <si>
    <t>uuid://b9a72bb1-d08d-46f2-babe-45d98f364b24</t>
  </si>
  <si>
    <t>EM-332</t>
  </si>
  <si>
    <t>uuid://ddd12cb5-f9b4-4cf3-8566-986af64d4bbb</t>
  </si>
  <si>
    <t>EM-333</t>
  </si>
  <si>
    <t>uuid://a4b06254-dadc-4dc4-a2e1-707d4270fa43</t>
  </si>
  <si>
    <t>EM-334</t>
  </si>
  <si>
    <t>uuid://989bb3b9-fa36-4adb-827a-7bc1c87be84b</t>
  </si>
  <si>
    <t>EM-335</t>
  </si>
  <si>
    <t>uuid://c5e8bbd9-b7df-4df5-a3ab-f0945dd49344</t>
  </si>
  <si>
    <t>EM-336</t>
  </si>
  <si>
    <t>uuid://2cb3984d-4bb5-40fc-80b3-ac8f17615bc3</t>
  </si>
  <si>
    <t>EM-337</t>
  </si>
  <si>
    <t>uuid://ed55688a-253c-473a-87e7-d4bca3447214</t>
  </si>
  <si>
    <t>EM-338</t>
  </si>
  <si>
    <t>uuid://a9685567-4930-4e2b-8d48-5bac36de092f</t>
  </si>
  <si>
    <t>EM-339</t>
  </si>
  <si>
    <t>uuid://b1984b57-0ab4-4ca9-9c25-439149d87bce</t>
  </si>
  <si>
    <t>EM-340</t>
  </si>
  <si>
    <t>uuid://8b7b5ca8-2977-4faa-9128-7d485087f3e4</t>
  </si>
  <si>
    <t>EM-341</t>
  </si>
  <si>
    <t>uuid://528eff34-9b1c-4904-96de-3079bdc2c424</t>
  </si>
  <si>
    <t>EM-342</t>
  </si>
  <si>
    <t>uuid://eed7aeb2-a0d9-44bd-b6f9-cc83ef53460a</t>
  </si>
  <si>
    <t>EM-343</t>
  </si>
  <si>
    <t>uuid://51ef76d6-5cea-428f-a2ec-4165189423f8</t>
  </si>
  <si>
    <t>EM-344</t>
  </si>
  <si>
    <t>uuid://78bf19ad-8af5-4b10-9d3e-61764b963c92</t>
  </si>
  <si>
    <t>EM-345</t>
  </si>
  <si>
    <t>uuid://c062a3a3-f255-40ea-be85-232bb85de1d9</t>
  </si>
  <si>
    <t>EM-346</t>
  </si>
  <si>
    <t>uuid://2501004e-9e18-4c45-b7ca-0f6356df1406</t>
  </si>
  <si>
    <t>EM-347</t>
  </si>
  <si>
    <t>uuid://533f0a40-b21b-4a61-a278-8e62c922f16a</t>
  </si>
  <si>
    <t>EM-348</t>
  </si>
  <si>
    <t>uuid://27cec207-3c95-4398-9734-f3a8e9c19005</t>
  </si>
  <si>
    <t>EM-349</t>
  </si>
  <si>
    <t>uuid://426d2396-9444-40d8-8a6f-df9839a8033d</t>
  </si>
  <si>
    <t>EM-350</t>
  </si>
  <si>
    <t>uuid://463680bb-aeac-4836-bcee-d7a6551b114f</t>
  </si>
  <si>
    <t>EM-351</t>
  </si>
  <si>
    <t>uuid://059cccf3-7ac1-4213-9e68-89a227e26516</t>
  </si>
  <si>
    <t>EM-352</t>
  </si>
  <si>
    <t>uuid://bf99c2d9-6999-4f62-920e-fb4dd70c10a4</t>
  </si>
  <si>
    <t>EM-353</t>
  </si>
  <si>
    <t>uuid://242d3887-479c-4cdb-aa94-2e4ef8c2be13</t>
  </si>
  <si>
    <t>EM-354</t>
  </si>
  <si>
    <t>uuid://a01d54ce-6ade-46c2-a29f-ee86bf82045c</t>
  </si>
  <si>
    <t>EM-355</t>
  </si>
  <si>
    <t>uuid://fd77c328-9a5e-4703-9481-3ff9894ad319</t>
  </si>
  <si>
    <t>EM-356</t>
  </si>
  <si>
    <t>uuid://6b42f6a1-f902-4a45-a0e9-bd50481e900a</t>
  </si>
  <si>
    <t>EM-357</t>
  </si>
  <si>
    <t>uuid://48172a45-17d4-473d-9bf2-f888684bde74</t>
  </si>
  <si>
    <t>EM-358</t>
  </si>
  <si>
    <t>uuid://4a315da7-d4e5-4afe-95ac-dca319d4b8e4</t>
  </si>
  <si>
    <t>EM-359</t>
  </si>
  <si>
    <t>uuid://b5039cab-c17a-4ad4-8541-a1f9b9575240</t>
  </si>
  <si>
    <t>EM-360</t>
  </si>
  <si>
    <t>uuid://94d4bcd1-68f4-4465-af33-7ceebfc10ca0</t>
  </si>
  <si>
    <t>EM-361</t>
  </si>
  <si>
    <t>uuid://bcde0ddc-67e6-4ecc-9868-7a7bce18ab9f</t>
  </si>
  <si>
    <t>EM-362</t>
  </si>
  <si>
    <t>uuid://34ce869f-0ace-45a9-9c86-116281fad169</t>
  </si>
  <si>
    <t>EM-363</t>
  </si>
  <si>
    <t>uuid://16f1f3cb-6aad-462c-b9b8-237405d3cd6c</t>
  </si>
  <si>
    <t>EM-364</t>
  </si>
  <si>
    <t>uuid://83d93b31-7066-413e-b272-409a099731e2</t>
  </si>
  <si>
    <t>EM-365</t>
  </si>
  <si>
    <t>uuid://fc64c413-1f6a-4457-bf9d-1e4942a94d57</t>
  </si>
  <si>
    <t>EM-366</t>
  </si>
  <si>
    <t>uuid://238e0e04-960d-4f28-8b76-98df1efe0f30</t>
  </si>
  <si>
    <t>EM-367</t>
  </si>
  <si>
    <t>uuid://9d4ffb56-d800-4a39-bb70-145b601513c0</t>
  </si>
  <si>
    <t>EM-368</t>
  </si>
  <si>
    <t>uuid://46c0391e-1096-4cf2-8302-d25a65b97543</t>
  </si>
  <si>
    <t>EM-369</t>
  </si>
  <si>
    <t>uuid://144b8b32-286d-4510-9ec2-0ed252b2a0f2</t>
  </si>
  <si>
    <t>EM-370</t>
  </si>
  <si>
    <t>uuid://3f3b1d3f-4724-4358-bf4e-58d715d4e048</t>
  </si>
  <si>
    <t>EM-371</t>
  </si>
  <si>
    <t>uuid://011902a5-ae0f-4951-a96c-560a7d5f5a9c</t>
  </si>
  <si>
    <t>EM-372</t>
  </si>
  <si>
    <t>uuid://f40a2340-067c-4066-b117-72c2d19c69bd</t>
  </si>
  <si>
    <t>EM-373</t>
  </si>
  <si>
    <t>uuid://c6d189fa-4078-4495-b35e-a19e21dd3279</t>
  </si>
  <si>
    <t>EM-374</t>
  </si>
  <si>
    <t>uuid://bd25ba93-3457-41d8-825e-987946f2a733</t>
  </si>
  <si>
    <t>EM-375</t>
  </si>
  <si>
    <t>uuid://727646e7-8224-4f2c-80b0-b31e7abb4b4e</t>
  </si>
  <si>
    <t>EM-376</t>
  </si>
  <si>
    <t>uuid://6474ed1d-f062-4e6a-a4b0-7e3375f64bed</t>
  </si>
  <si>
    <t>EM-377</t>
  </si>
  <si>
    <t>uuid://9dd11a69-3ba4-441c-b683-1c30f96de9a9</t>
  </si>
  <si>
    <t>EM-378</t>
  </si>
  <si>
    <t>uuid://16d75ea5-dc21-4255-8242-95f6cbadccd5</t>
  </si>
  <si>
    <t>EM-379</t>
  </si>
  <si>
    <t>uuid://a97a7f23-c387-42ec-bb51-f871e8490613</t>
  </si>
  <si>
    <t>EM-380</t>
  </si>
  <si>
    <t>uuid://4b1fb9ac-f1cb-47c0-9844-1bae57c95bb4</t>
  </si>
  <si>
    <t>EM-381</t>
  </si>
  <si>
    <t>uuid://792a56c1-718b-49a6-9a28-c837417349c6</t>
  </si>
  <si>
    <t>EM-382</t>
  </si>
  <si>
    <t>uuid://217576b4-fa2a-4198-8dcc-8892b1a8867c</t>
  </si>
  <si>
    <t>EM-383</t>
  </si>
  <si>
    <t>uuid://4b61c472-322b-480a-8642-feb0cc3e6ed4</t>
  </si>
  <si>
    <t>EM-384</t>
  </si>
  <si>
    <t>uuid://226dda7b-6e08-427b-8b65-e71bc8408f9e</t>
  </si>
  <si>
    <t>EM-385</t>
  </si>
  <si>
    <t>uuid://0df196e5-1ba6-48b6-8e45-699624f725ae</t>
  </si>
  <si>
    <t>GEN-1</t>
  </si>
  <si>
    <t>CUMMINS</t>
  </si>
  <si>
    <t>COMMAND CONTROLLER</t>
  </si>
  <si>
    <t>GEN</t>
  </si>
  <si>
    <t>uuid://1335fbce-a924-4db3-bfc4-1cf09ce2fc65</t>
  </si>
  <si>
    <t>GEN-2</t>
  </si>
  <si>
    <t>uuid://8b70ae0b-0731-477c-b7d1-38a37a1e775c</t>
  </si>
  <si>
    <t>GEN-3</t>
  </si>
  <si>
    <t>uuid://3aeff09e-d98a-467f-bab1-e9318f19a048</t>
  </si>
  <si>
    <t>GEN-4</t>
  </si>
  <si>
    <t>uuid://1006e230-6be1-43de-b40f-23b29a4b5ae6</t>
  </si>
  <si>
    <t>GEN-5</t>
  </si>
  <si>
    <t>uuid://3423f0fd-06d9-4e92-8bb1-4ad9d74ffc90</t>
  </si>
  <si>
    <t>GEN-6</t>
  </si>
  <si>
    <t>uuid://12719ad4-4082-41be-8fcf-f0b4c23711ea</t>
  </si>
  <si>
    <t>GEN-7</t>
  </si>
  <si>
    <t>uuid://39c9406e-152b-459c-9cba-10615869a610</t>
  </si>
  <si>
    <t>GEN-8</t>
  </si>
  <si>
    <t>uuid://1a2c5f5e-207f-426a-965e-92b6c411336c</t>
  </si>
  <si>
    <t>GEN-9</t>
  </si>
  <si>
    <t>uuid://ad249d54-1190-4c00-ad65-fe772e30e24f</t>
  </si>
  <si>
    <t>TXMR-1</t>
  </si>
  <si>
    <t>TXMR</t>
  </si>
  <si>
    <t>uuid://35e2f67f-6e2c-4049-9264-90ccee52da05</t>
  </si>
  <si>
    <t>Make and Model to be added in the Appendix-6</t>
  </si>
  <si>
    <t>TXMR-2</t>
  </si>
  <si>
    <t>uuid://43ded273-c6ad-45f5-8300-d0378f88f12a</t>
  </si>
  <si>
    <t>TXMR-3</t>
  </si>
  <si>
    <t>uuid://edb588ff-a915-4af6-a6f8-df4d2f7e545a</t>
  </si>
  <si>
    <t>TXMR-4</t>
  </si>
  <si>
    <t>uuid://563b6610-5a45-45a0-a6c6-988a59430d40</t>
  </si>
  <si>
    <t>TXMR-5</t>
  </si>
  <si>
    <t>uuid://0acf2ddf-072a-4add-97ef-7cd11451732f</t>
  </si>
  <si>
    <t>TXMR-6</t>
  </si>
  <si>
    <t>uuid://69009cf8-a07c-4bed-975e-d433e951737e</t>
  </si>
  <si>
    <t>VFD-1</t>
  </si>
  <si>
    <t>ABB</t>
  </si>
  <si>
    <t>ACS310 DRIVE</t>
  </si>
  <si>
    <t>VFD</t>
  </si>
  <si>
    <t>uuid://30953b29-4558-4b6d-972e-5f9305bfd57b</t>
  </si>
  <si>
    <t>VFD-2</t>
  </si>
  <si>
    <t>uuid://50c7fc16-753b-4c53-8923-d85e92af94a9</t>
  </si>
  <si>
    <t>VFD-3</t>
  </si>
  <si>
    <t>uuid://c942b371-efce-4ef9-8ae4-7420f590bef0</t>
  </si>
  <si>
    <t>VFD-4</t>
  </si>
  <si>
    <t>uuid://54456cab-5536-44eb-bfc4-99b442110558</t>
  </si>
  <si>
    <t>VFD-5</t>
  </si>
  <si>
    <t>uuid://53330b77-a7ca-4631-920a-ff1a37d26ac3</t>
  </si>
  <si>
    <t>VFD-6</t>
  </si>
  <si>
    <t>uuid://7ffc860c-dd20-418f-9dc5-dcd1690fa127</t>
  </si>
  <si>
    <t>VFD-7</t>
  </si>
  <si>
    <t>uuid://7680b2b4-fa6d-4468-ae78-27931ffb2c64</t>
  </si>
  <si>
    <t>VFD-8</t>
  </si>
  <si>
    <t>uuid://95ee7522-db56-4b3e-b7d2-21bfe0edc394</t>
  </si>
  <si>
    <t>VFD-9</t>
  </si>
  <si>
    <t>uuid://07208532-17d9-45ea-b647-ef239da680d5</t>
  </si>
  <si>
    <t>VFD-10</t>
  </si>
  <si>
    <t>uuid://7f9654a7-ae6d-4f4b-9f39-563fc8c8cdf1</t>
  </si>
  <si>
    <t>VFD-11</t>
  </si>
  <si>
    <t>uuid://c2fa9dea-f165-4985-9df9-1b1faede3c56</t>
  </si>
  <si>
    <t>VFD-12</t>
  </si>
  <si>
    <t>uuid://d19e8cb3-ede9-4b44-90d8-df36969a3a38</t>
  </si>
  <si>
    <t>VFD-13</t>
  </si>
  <si>
    <t>uuid://9743eeb4-73d4-47b0-bcb9-19d75f2a0fbd</t>
  </si>
  <si>
    <t>VFD-14</t>
  </si>
  <si>
    <t>uuid://f63502a5-43e5-4a5a-89db-0ae678ae45fe</t>
  </si>
  <si>
    <t>VFD-15</t>
  </si>
  <si>
    <t>NIDEC</t>
  </si>
  <si>
    <t>UNIDRIVE M200</t>
  </si>
  <si>
    <t>uuid://d0d7b474-eeb0-4ef2-80da-f6dee8d29e16</t>
  </si>
  <si>
    <t>VFD-16</t>
  </si>
  <si>
    <t>uuid://38f84806-8536-4bbb-ac40-0f9f1a9a513b</t>
  </si>
  <si>
    <t>WST-1</t>
  </si>
  <si>
    <t>VAISALA</t>
  </si>
  <si>
    <t>CUSTOM</t>
  </si>
  <si>
    <t>WST</t>
  </si>
  <si>
    <t>uuid://77886c41-690b-4b3d-9b02-c8b2f546d3fd</t>
  </si>
  <si>
    <t>UPS-201</t>
  </si>
  <si>
    <t>SOCOMEC</t>
  </si>
  <si>
    <t>UPS</t>
  </si>
  <si>
    <t>uuid://be27b51c-e2cf-4ad5-91e0-05ccc6b8c404</t>
  </si>
  <si>
    <t>UPS-202</t>
  </si>
  <si>
    <t>uuid://bbc52a6d-c017-488a-94ed-5c22b5a6acc2</t>
  </si>
  <si>
    <t>UPS-203</t>
  </si>
  <si>
    <t>uuid://e89425b4-88f2-4e61-b009-aff6a635c300</t>
  </si>
  <si>
    <t>UPS-204</t>
  </si>
  <si>
    <t>uuid://cde10480-fca6-4a15-84d2-be0818a7c04d</t>
  </si>
  <si>
    <t>UPS-205</t>
  </si>
  <si>
    <t>uuid://b2465a41-18e1-4ef8-94cc-d0a0bf471d02</t>
  </si>
  <si>
    <t>UPS-206</t>
  </si>
  <si>
    <t>uuid://10c5c710-1f02-42ca-9a40-1b975795e4c6</t>
  </si>
  <si>
    <t>UPS-207</t>
  </si>
  <si>
    <t>uuid://647b77c7-8ba6-4511-9862-597cf78a2ee1</t>
  </si>
  <si>
    <t>CRAC-1</t>
  </si>
  <si>
    <t>SELEC CONTROLS</t>
  </si>
  <si>
    <t>FLEXYS RAIL</t>
  </si>
  <si>
    <t>CRAC</t>
  </si>
  <si>
    <t>5C46</t>
  </si>
  <si>
    <t>uuid://b6b978c1-d6b2-46a0-941f-c72f4aa5e90c</t>
  </si>
  <si>
    <t>Staulz Make CRAC Unit Installed for 5F MDF Room</t>
  </si>
  <si>
    <t>CRAC-2</t>
  </si>
  <si>
    <t>uuid://5fdc9d6e-3c60-471a-93f4-99626a8f3563</t>
  </si>
  <si>
    <t>UPS-1</t>
  </si>
  <si>
    <t>EATON</t>
  </si>
  <si>
    <t>93PR</t>
  </si>
  <si>
    <t>5D30</t>
  </si>
  <si>
    <t>uuid://b4b9bae3-5aec-43c9-8190-c44a5c857e39</t>
  </si>
  <si>
    <t>UPS-2</t>
  </si>
  <si>
    <t>uuid://46e52777-534b-4baf-8bcb-e3fe7d98a222</t>
  </si>
  <si>
    <t>UPS-3</t>
  </si>
  <si>
    <t>uuid://1e5f0f80-6add-4e48-9905-d98ea6af3499</t>
  </si>
  <si>
    <t>UPS-4</t>
  </si>
  <si>
    <t>uuid://d50ff9e1-fc04-4897-acd2-59b09888a10f</t>
  </si>
  <si>
    <t>UPS-5</t>
  </si>
  <si>
    <t>uuid://fae6b488-1d49-493e-a1db-2f0ced7e785a</t>
  </si>
  <si>
    <t>UPS-6</t>
  </si>
  <si>
    <t>uuid://dcbf44e1-eb9a-457e-9588-816949b57c5c</t>
  </si>
  <si>
    <t>BATT-1</t>
  </si>
  <si>
    <t>SAMSUNG</t>
  </si>
  <si>
    <t>PHR3462-001A</t>
  </si>
  <si>
    <t>CNTRL</t>
  </si>
  <si>
    <t>uuid://f3d33cc0-4dd6-4dd2-a567-2a9ff9c1535d</t>
  </si>
  <si>
    <t>BATT-2</t>
  </si>
  <si>
    <t>uuid://7bc8b3fe-1a8e-4287-b787-b8b10ae44696</t>
  </si>
  <si>
    <t>BATT-3</t>
  </si>
  <si>
    <t>uuid://f70e2a2f-1ef5-4b30-8bb5-3f71e675bef7</t>
  </si>
  <si>
    <t>BATT-4</t>
  </si>
  <si>
    <t>uuid://95a13010-4f66-4541-ab34-e733fcedae83</t>
  </si>
  <si>
    <t>BATT-5</t>
  </si>
  <si>
    <t>uuid://b9f1b910-b796-4096-8171-1b79e90c5ba5</t>
  </si>
  <si>
    <t>BATT-6</t>
  </si>
  <si>
    <t>uuid://f853fea4-eeca-4244-8cce-640413540614</t>
  </si>
  <si>
    <t>HMS-1</t>
  </si>
  <si>
    <t>HMS</t>
  </si>
  <si>
    <t>5D38</t>
  </si>
  <si>
    <t>HMS-2</t>
  </si>
  <si>
    <t>FM-1</t>
  </si>
  <si>
    <t>uuid://472ad009-48d0-48b1-a215-6db690fcbbdd</t>
  </si>
  <si>
    <t>Bagmane</t>
  </si>
  <si>
    <t>FM-2</t>
  </si>
  <si>
    <t>uuid://f521ffe7-d374-4044-b9a7-e1741a34f964</t>
  </si>
  <si>
    <t>FM-3</t>
  </si>
  <si>
    <t>uuid://8b1c0019-8588-4ed2-b8e9-c178e8bae79b</t>
  </si>
  <si>
    <t>WM-1</t>
  </si>
  <si>
    <t>Aquagen</t>
  </si>
  <si>
    <t>UWM-220 DN-50-DN500</t>
  </si>
  <si>
    <t>WM</t>
  </si>
  <si>
    <t>CB156</t>
  </si>
  <si>
    <t>uuid://2e634df7-09f2-404d-90ca-25ac80499491</t>
  </si>
  <si>
    <t>Santech</t>
  </si>
  <si>
    <t>WM-2</t>
  </si>
  <si>
    <t>uuid://55708803-9d55-44c5-901b-0e9802671788</t>
  </si>
  <si>
    <t>WM-3</t>
  </si>
  <si>
    <t>uuid://1cf50ce3-b31d-43cd-9f76-13cab17c22af</t>
  </si>
  <si>
    <t>WM-4</t>
  </si>
  <si>
    <t>uuid://32a9b0b9-b861-4450-bb01-76818ce13614</t>
  </si>
  <si>
    <t>WM-5</t>
  </si>
  <si>
    <t>uuid://c02be63c-5cc4-4e2c-8a1e-a5eb94f17bc6</t>
  </si>
  <si>
    <t>WM-6</t>
  </si>
  <si>
    <t>3V77</t>
  </si>
  <si>
    <t>uuid://697a2b88-c0b9-4bd1-806f-888d2a9e3021</t>
  </si>
  <si>
    <t>WM-7</t>
  </si>
  <si>
    <t>uuid://8f428575-85a3-4add-8001-fc2a479bde46</t>
  </si>
  <si>
    <t>WM-8</t>
  </si>
  <si>
    <t>uuid://1dc27706-325d-418e-92d3-aa973cfd7194</t>
  </si>
  <si>
    <t>WM-9</t>
  </si>
  <si>
    <t>uuid://73e3b200-c114-4a8f-99cb-5fc4d51b709b</t>
  </si>
  <si>
    <t>WM-10</t>
  </si>
  <si>
    <t>uuid://13bef6fe-2ffe-46ee-9bc6-50ffcdfba710</t>
  </si>
  <si>
    <t>WM-11</t>
  </si>
  <si>
    <t>3V88</t>
  </si>
  <si>
    <t>uuid://772dafd5-0e8a-4685-93e3-86b3e98d97d0</t>
  </si>
  <si>
    <t>WM-12</t>
  </si>
  <si>
    <t>uuid://f4cc6a90-fab6-4166-b779-2b4dccf95778</t>
  </si>
  <si>
    <t>WM-13</t>
  </si>
  <si>
    <t>uuid://9533752b-e154-4630-8b1c-d0fa72452b2f</t>
  </si>
  <si>
    <t>WM-14</t>
  </si>
  <si>
    <t>uuid://8f40b16b-cf96-49d6-a735-622acde51912</t>
  </si>
  <si>
    <t>WM-15</t>
  </si>
  <si>
    <t>uuid://25ec565c-a802-42dd-85f0-33d3356b23b8</t>
  </si>
  <si>
    <t>WM-16</t>
  </si>
  <si>
    <t>uuid://dd65f99b-b1c6-4c38-92e6-46d0933678ee</t>
  </si>
  <si>
    <t>WM-17</t>
  </si>
  <si>
    <t>uuid://30bdc524-0fe2-4a84-8a2f-e971c1b782bf</t>
  </si>
  <si>
    <t>WM-18</t>
  </si>
  <si>
    <t>uuid://9558268a-1a26-4efe-80d2-c6f7dfb61898</t>
  </si>
  <si>
    <t>WM-19</t>
  </si>
  <si>
    <t>6V72</t>
  </si>
  <si>
    <t>uuid://45e1abf9-9d83-49bc-93ae-4d24e259fc2b</t>
  </si>
  <si>
    <t>WM-20</t>
  </si>
  <si>
    <t>uuid://7dd42668-f3aa-4b8a-9497-160683420482</t>
  </si>
  <si>
    <t>WM-21</t>
  </si>
  <si>
    <t>uuid://66c25dfa-1dd1-45c8-a7f6-cef51bd2821e</t>
  </si>
  <si>
    <t>WM-22</t>
  </si>
  <si>
    <t>uuid://25dd3f1c-6932-476d-87af-4063a0b13c00</t>
  </si>
  <si>
    <t>WM-23</t>
  </si>
  <si>
    <t>uuid://492274bf-070d-4f81-a90b-12345d2443db</t>
  </si>
  <si>
    <t>WM-24</t>
  </si>
  <si>
    <t>6V42</t>
  </si>
  <si>
    <t>uuid://c2180422-4421-4db6-82e0-8a44bc9971e1</t>
  </si>
  <si>
    <t>WM-25</t>
  </si>
  <si>
    <t>uuid://6027732b-c682-4655-bf08-76b5c477b2f4</t>
  </si>
  <si>
    <t>WM-26</t>
  </si>
  <si>
    <t>uuid://8dbed196-062a-444a-9d3a-f4e5a271d914</t>
  </si>
  <si>
    <t>WM-27</t>
  </si>
  <si>
    <t>uuid://24d53259-5f63-4e3e-9445-db9c5fd2ec1b</t>
  </si>
  <si>
    <t>WM-28</t>
  </si>
  <si>
    <t>uuid://62f8c676-9b32-479b-a71f-4664ea95762f</t>
  </si>
  <si>
    <t>WM-29</t>
  </si>
  <si>
    <t>10V77</t>
  </si>
  <si>
    <t>uuid://fecbc1fd-4c77-484b-89c2-861f4a43580e</t>
  </si>
  <si>
    <t>WM-30</t>
  </si>
  <si>
    <t>uuid://67c4d856-9309-45a4-8022-4c5a381cb773</t>
  </si>
  <si>
    <t>WM-31</t>
  </si>
  <si>
    <t>uuid://717408c7-1915-4b52-89fd-13483e8aa19a</t>
  </si>
  <si>
    <t>WM-32</t>
  </si>
  <si>
    <t>uuid://ff55f5a3-e3ff-4e27-ac86-b45a65fe3345</t>
  </si>
  <si>
    <t>WM-33</t>
  </si>
  <si>
    <t>uuid://034abc5c-2a94-4b97-8ee9-76d08fe8ce1a</t>
  </si>
  <si>
    <t>WM-34</t>
  </si>
  <si>
    <t>uuid://94052343-5e76-4f6d-aa67-b37e23a8d7af</t>
  </si>
  <si>
    <t>WM-35</t>
  </si>
  <si>
    <t>10V47</t>
  </si>
  <si>
    <t>uuid://f56eb89b-7ac8-4487-b35e-82f9dc683deb</t>
  </si>
  <si>
    <t>WM-36</t>
  </si>
  <si>
    <t>uuid://8a57a40a-6a60-459c-8e47-4a656a628304</t>
  </si>
  <si>
    <t>WM-37</t>
  </si>
  <si>
    <t>uuid://042c28b1-06af-4e2a-b6c5-3b35b1ac3cfd</t>
  </si>
  <si>
    <t>WM-38</t>
  </si>
  <si>
    <t>uuid://0641c82b-de39-4d01-b681-87c6e0a46f93</t>
  </si>
  <si>
    <t>WM-39</t>
  </si>
  <si>
    <t>uuid://654e30ec-fd48-4584-a340-c7b09d4d6463</t>
  </si>
  <si>
    <t>WM-40</t>
  </si>
  <si>
    <t>uuid://df79da67-f267-4002-bf21-5cc012ea9a84</t>
  </si>
  <si>
    <t>WM-41</t>
  </si>
  <si>
    <t>uuid://5f4410de-bd84-4566-81c8-ae2c5491581a</t>
  </si>
  <si>
    <t>WM-42</t>
  </si>
  <si>
    <t>uuid://42c668cd-ce72-426a-b4db-0f406e63f41e</t>
  </si>
  <si>
    <t>WM-43</t>
  </si>
  <si>
    <t>uuid://6113ffd6-1809-47d4-a8a1-7781d6f9a988</t>
  </si>
  <si>
    <t>WM-44</t>
  </si>
  <si>
    <t>uuid://968a0b46-d2c7-4180-a80d-10133eaf401f</t>
  </si>
  <si>
    <t>WM-45</t>
  </si>
  <si>
    <t>uuid://bb3917c3-3655-4c33-ab7a-3899b83c07c4</t>
  </si>
  <si>
    <t>WM-46</t>
  </si>
  <si>
    <t>uuid://1c405918-02e3-4df5-9ab3-a8181eadb560</t>
  </si>
  <si>
    <t>WM-47</t>
  </si>
  <si>
    <t>uuid://f11fb65f-46d1-4eca-a6a4-98a56b525ba4</t>
  </si>
  <si>
    <t>WM-48</t>
  </si>
  <si>
    <t>uuid://c2dcefdb-6584-418a-8750-faf693043611</t>
  </si>
  <si>
    <t>WM-49</t>
  </si>
  <si>
    <t>uuid://e9ee37df-f863-4ef2-891f-69d33236c421</t>
  </si>
  <si>
    <t>WM-50</t>
  </si>
  <si>
    <t>uuid://848737f9-1370-4b9d-bd0f-caf89457aa01</t>
  </si>
  <si>
    <t>FRZ-1</t>
  </si>
  <si>
    <t>PVR Controls</t>
  </si>
  <si>
    <t>CRC-202000</t>
  </si>
  <si>
    <t>FRZ</t>
  </si>
  <si>
    <t>uuid://f02c234b-1355-4004-808c-0dcad87f6812</t>
  </si>
  <si>
    <t>FRZ-2</t>
  </si>
  <si>
    <t>uuid://747bdbd0-5e73-46dc-a8b6-78fcba05579e</t>
  </si>
  <si>
    <t>FRZ-3</t>
  </si>
  <si>
    <t>uuid://3e625980-ea23-4d8e-86d3-db0bbc3f2d0e</t>
  </si>
  <si>
    <t>FRZ-4</t>
  </si>
  <si>
    <t>uuid://dda4e7b0-f418-4862-a0ce-c1529403af43</t>
  </si>
  <si>
    <t>FRZ-5</t>
  </si>
  <si>
    <t>uuid://99de4598-4c3b-46aa-aae7-7976d7546a37</t>
  </si>
  <si>
    <t>FRZ-6</t>
  </si>
  <si>
    <t>uuid://2d87809d-4a7a-4587-a86e-fb530b9af6b4</t>
  </si>
  <si>
    <t>FRZ-7</t>
  </si>
  <si>
    <t>uuid://1da582f4-5f55-4f90-98cc-eb3745274bc0</t>
  </si>
  <si>
    <t>FRZ-8</t>
  </si>
  <si>
    <t>uuid://377ff335-d855-48e8-a03e-960a3c841df9</t>
  </si>
  <si>
    <t>FRZ-9</t>
  </si>
  <si>
    <t>uuid://b4e496da-5b22-40f0-a884-c23660600ad4</t>
  </si>
  <si>
    <t>FRZ-10</t>
  </si>
  <si>
    <t>uuid://0adfac1f-f4a1-402e-892b-4db2626b97d7</t>
  </si>
  <si>
    <t>FRZ-11</t>
  </si>
  <si>
    <t>uuid://c2aeec98-45cd-4ebf-9d82-b28d6df4a37c</t>
  </si>
  <si>
    <t>FRZ-12</t>
  </si>
  <si>
    <t>uuid://f4d2dcff-d631-43b8-aa25-e7bdff89d6eb</t>
  </si>
  <si>
    <t>FRZ-13</t>
  </si>
  <si>
    <t>uuid://2ba60723-6e28-41c8-b8a3-3ecd5c2c97a1</t>
  </si>
  <si>
    <t>FRZ-14</t>
  </si>
  <si>
    <t>uuid://3f146046-f86b-4c24-bc77-e3c67a27cbcb</t>
  </si>
  <si>
    <t>FRZ-15</t>
  </si>
  <si>
    <t>uuid://3dad4be1-5cc8-4a54-a038-86ccb7702e01</t>
  </si>
  <si>
    <t>FRZ-16</t>
  </si>
  <si>
    <t>uuid://0c8f87e9-79c2-402c-a7d7-1668ea30e620</t>
  </si>
  <si>
    <t>FRZ-17</t>
  </si>
  <si>
    <t>uuid://f2b1c12d-d282-4b11-8716-de5fc60fa123</t>
  </si>
  <si>
    <t>FRZ-18</t>
  </si>
  <si>
    <t>uuid://08cb94f9-86ef-4e0f-b0d9-68927d6de36c</t>
  </si>
  <si>
    <t>FRZ-19</t>
  </si>
  <si>
    <t>uuid://b4ff875f-8137-47b5-830e-7f6fabb41c51</t>
  </si>
  <si>
    <t>FRZ-20</t>
  </si>
  <si>
    <t>uuid://096d7cd9-1969-4386-aff0-9fda8e8ddee2</t>
  </si>
  <si>
    <t>FRZ-21</t>
  </si>
  <si>
    <t>uuid://77f31329-2399-470e-a228-78ebae18836b</t>
  </si>
  <si>
    <t>FRZ-22</t>
  </si>
  <si>
    <t>uuid://8ae94520-9a22-4d8b-9047-bbef672d5967</t>
  </si>
  <si>
    <t>FRZ-23</t>
  </si>
  <si>
    <t>uuid://e61a5176-6477-4290-92e8-93442c66545a</t>
  </si>
  <si>
    <t>FRZ-24</t>
  </si>
  <si>
    <t>uuid://8458bc94-fc41-4f27-8806-cdfe7e5fce18</t>
  </si>
  <si>
    <t>FRZ-25</t>
  </si>
  <si>
    <t>uuid://bdfe4c6b-5be3-429f-a67c-e261e1dcccfd</t>
  </si>
  <si>
    <t>FRZ-26</t>
  </si>
  <si>
    <t>uuid://51b44815-23f2-4f0a-9556-460a8c608620</t>
  </si>
  <si>
    <t>FRZ-27</t>
  </si>
  <si>
    <t>uuid://351932fc-953e-4b9f-8acf-6e8a15a36791</t>
  </si>
  <si>
    <t>FRZ-28</t>
  </si>
  <si>
    <t>uuid://f35e9d8e-0d94-4ff3-8322-98e618e76be1</t>
  </si>
  <si>
    <t>EF-1</t>
  </si>
  <si>
    <t>Nicotra</t>
  </si>
  <si>
    <t>DDMP</t>
  </si>
  <si>
    <t>EF</t>
  </si>
  <si>
    <t>GD25</t>
  </si>
  <si>
    <t>uuid://2bd7bd65-db75-46b9-9f56-32afaf6e32ac</t>
  </si>
  <si>
    <t>EF-2</t>
  </si>
  <si>
    <t>GD28</t>
  </si>
  <si>
    <t>uuid://6c234097-6467-44b5-980b-8515d2b56e10</t>
  </si>
  <si>
    <t>EF-3</t>
  </si>
  <si>
    <t>uuid://4989fb11-a2dd-4ccd-93a7-d20ef4987841</t>
  </si>
  <si>
    <t>EF-4</t>
  </si>
  <si>
    <t>4V57</t>
  </si>
  <si>
    <t>uuid://5e717e0b-bc44-4a5a-94b2-ad923fc2a923</t>
  </si>
  <si>
    <t>EF-5</t>
  </si>
  <si>
    <t>uuid://9b9013a6-3fb5-4e32-9919-8338c5042c45</t>
  </si>
  <si>
    <t>EF-6</t>
  </si>
  <si>
    <t>5D31</t>
  </si>
  <si>
    <t>uuid://c45f8a61-bb9c-4ebe-a012-c99b5b79850b</t>
  </si>
  <si>
    <t>EF-7</t>
  </si>
  <si>
    <t>5D39</t>
  </si>
  <si>
    <t>uuid://6631f219-d1b3-40bf-aca4-59e14c4d858f</t>
  </si>
  <si>
    <t>VRF-1</t>
  </si>
  <si>
    <t>DAIKIN</t>
  </si>
  <si>
    <t>DTA116A51</t>
  </si>
  <si>
    <t>VRF</t>
  </si>
  <si>
    <t>CB111</t>
  </si>
  <si>
    <t>uuid://e17a7ac7-372c-4bbe-9702-1d5e9794a269</t>
  </si>
  <si>
    <t>Total 13nos. of VFR Units are connected in the Common Gateway</t>
  </si>
  <si>
    <t>HM-201</t>
  </si>
  <si>
    <t>KAMSTRUP</t>
  </si>
  <si>
    <t>MULTICAL 603</t>
  </si>
  <si>
    <t>HM</t>
  </si>
  <si>
    <t>uuid://c3020ac6-d063-409b-8258-48940d8e1d6c</t>
  </si>
  <si>
    <t>HM-202</t>
  </si>
  <si>
    <t>uuid://0dede324-e3eb-4d2e-95fd-f55df5946f9f</t>
  </si>
  <si>
    <t>HM-203</t>
  </si>
  <si>
    <t>uuid://c1fc3b8c-7b84-4d49-8411-6f9eacaa70f4</t>
  </si>
  <si>
    <t>HM-204</t>
  </si>
  <si>
    <t>uuid://c244de14-9b0f-4810-b812-be5fb7ae184a</t>
  </si>
  <si>
    <t>HM-205</t>
  </si>
  <si>
    <t>uuid://77de43ba-8a8f-4079-b6e4-3f36368bdc8a</t>
  </si>
  <si>
    <t>HM-206</t>
  </si>
  <si>
    <t>uuid://2ef84820-3945-44b5-9305-453461fc6236</t>
  </si>
  <si>
    <t>HM-207</t>
  </si>
  <si>
    <t>uuid://67ff1141-6b19-46c7-8969-b26e835dfc2c</t>
  </si>
  <si>
    <t>HM-208</t>
  </si>
  <si>
    <t>uuid://f7fc7e35-a4d1-45cc-8468-4deb751b0f1b</t>
  </si>
  <si>
    <t>HM-209</t>
  </si>
  <si>
    <t>uuid://6f7b650f-ed1f-4af0-8e85-cbab26e02778</t>
  </si>
  <si>
    <t>HM-210</t>
  </si>
  <si>
    <t>uuid://751be76f-62b6-41b4-9ae4-236e012f35db</t>
  </si>
  <si>
    <t>HM-211</t>
  </si>
  <si>
    <t>uuid://18982db3-1b37-4a5c-8304-4ccc801cb734</t>
  </si>
  <si>
    <t>HM-212</t>
  </si>
  <si>
    <t>uuid://c3a1fe56-d169-4a6a-86b1-9d8dcac35663</t>
  </si>
  <si>
    <t>HM-213</t>
  </si>
  <si>
    <t>uuid://42001688-4bd1-411e-8ce6-b5c6b2915102</t>
  </si>
  <si>
    <t>HM-214</t>
  </si>
  <si>
    <t>uuid://fefb758b-5717-420e-a514-60c0f2a7bebc</t>
  </si>
  <si>
    <t>HM-215</t>
  </si>
  <si>
    <t>uuid://cd4b5128-c50b-48a0-8893-a7db8517fd7f</t>
  </si>
  <si>
    <t>HM-216</t>
  </si>
  <si>
    <t>uuid://cdb30245-c459-4427-b3ba-4d445166ae70</t>
  </si>
  <si>
    <t>HM-217</t>
  </si>
  <si>
    <t>uuid://d38539fb-f1a1-4d38-bbed-67eb86b0e3c3</t>
  </si>
  <si>
    <t>HM-218</t>
  </si>
  <si>
    <t>uuid://12fac86d-8f80-4478-a50b-dd94afeced40</t>
  </si>
  <si>
    <t>HM-219</t>
  </si>
  <si>
    <t>uuid://9bf9e16f-17f9-4f19-822a-1f6b2978a00c</t>
  </si>
  <si>
    <t>HM-220</t>
  </si>
  <si>
    <t>uuid://9daa67cf-aa99-4af1-9781-57997a53f733</t>
  </si>
  <si>
    <t>HM-221</t>
  </si>
  <si>
    <t>uuid://896c0b7b-3e2f-47c7-bef2-98428801203d</t>
  </si>
  <si>
    <t>HM-222</t>
  </si>
  <si>
    <t>1019</t>
  </si>
  <si>
    <t>uuid://64d539b4-16a1-4481-b3cb-4aeb80f8e16f</t>
  </si>
  <si>
    <t>HM-223</t>
  </si>
  <si>
    <t>uuid://b212a321-a382-40b9-b583-264d2b7d61fc</t>
  </si>
  <si>
    <t>HM-224</t>
  </si>
  <si>
    <t>uuid://379dc1fc-2648-49ce-8135-ed50ce261a70</t>
  </si>
  <si>
    <t>HM-225</t>
  </si>
  <si>
    <t>uuid://c6f9b275-d503-4748-802e-00dc5e9b191c</t>
  </si>
  <si>
    <t>HM-226</t>
  </si>
  <si>
    <t>uuid://2ecde826-c5d6-44b3-9606-90d48be8023c</t>
  </si>
  <si>
    <t>HM-227</t>
  </si>
  <si>
    <t>uuid://a6fb62df-aabf-4650-84bc-6ac3e43b3c09</t>
  </si>
  <si>
    <t>HM-228</t>
  </si>
  <si>
    <t>uuid://d091de24-ae00-42e1-ac15-61b585668fa7</t>
  </si>
  <si>
    <t>HM-229</t>
  </si>
  <si>
    <t>uuid://42f8e814-2de3-45c6-abbc-c906354893e4</t>
  </si>
  <si>
    <t>HM-230</t>
  </si>
  <si>
    <t>uuid://1951613d-f605-4fac-aba0-ee61cd305716</t>
  </si>
  <si>
    <t>HM-231</t>
  </si>
  <si>
    <t>uuid://f8b80fb3-de12-4cd6-a7bc-ef90a586d985</t>
  </si>
  <si>
    <t>HM-232</t>
  </si>
  <si>
    <t>uuid://5cd5c9a2-d510-425c-9449-599dff84accc</t>
  </si>
  <si>
    <t>HM-233</t>
  </si>
  <si>
    <t>uuid://db58de2b-2ff5-4662-8b17-2479e4dd8e55</t>
  </si>
  <si>
    <t>HM-234</t>
  </si>
  <si>
    <t>1033</t>
  </si>
  <si>
    <t>uuid://1e065350-8cf3-49c6-a9ec-194a01ca7b08</t>
  </si>
  <si>
    <t>HM-235</t>
  </si>
  <si>
    <t>uuid://4e76bbe3-a195-4941-b0cb-82f71b95fbc6</t>
  </si>
  <si>
    <t>HM-236</t>
  </si>
  <si>
    <t>uuid://618b0208-5f69-4674-aab9-adfdcd9c4af1</t>
  </si>
  <si>
    <t>HM-237</t>
  </si>
  <si>
    <t>uuid://aea47224-decb-4536-b17c-b325b434c4ad</t>
  </si>
  <si>
    <t>HM-238</t>
  </si>
  <si>
    <t>uuid://66214d30-efaa-499c-8303-6dea96a2d285</t>
  </si>
  <si>
    <t>HM-239</t>
  </si>
  <si>
    <t>uuid://a00024c2-36b5-47d0-98d4-e248f8b0bf7e</t>
  </si>
  <si>
    <t>HM-240</t>
  </si>
  <si>
    <t>uuid://709b3852-9d06-4feb-9c85-4ec48b9441fb</t>
  </si>
  <si>
    <t>HM-241</t>
  </si>
  <si>
    <t>uuid://7e04022e-6c2a-4a7a-84ad-94f024b0d073</t>
  </si>
  <si>
    <t>HM-242</t>
  </si>
  <si>
    <t>uuid://9131e3ac-be6c-46f5-9055-ad4afd573826</t>
  </si>
  <si>
    <t>HM-243</t>
  </si>
  <si>
    <t>uuid://525ed535-8534-4682-8a1e-2056b5b60faf</t>
  </si>
  <si>
    <t>HM-244</t>
  </si>
  <si>
    <t>uuid://2f7d6d18-4118-4c6a-b18d-14726287eecf</t>
  </si>
  <si>
    <t>HM-245</t>
  </si>
  <si>
    <t>uuid://ce55acc8-0693-43f3-bc7f-3ab0a4769e16</t>
  </si>
  <si>
    <t>HM-246</t>
  </si>
  <si>
    <t>1034</t>
  </si>
  <si>
    <t>uuid://4457c2da-eb77-4762-a502-b49eefb5185a</t>
  </si>
  <si>
    <t>HM-247</t>
  </si>
  <si>
    <t>uuid://deb4c721-aea8-4b22-b747-175bda38a801</t>
  </si>
  <si>
    <t>HM-248</t>
  </si>
  <si>
    <t>uuid://cf6302c2-7440-4f9b-aa7e-320101a3c8f2</t>
  </si>
  <si>
    <t>HM-249</t>
  </si>
  <si>
    <t>uuid://e2946495-dc81-4c2b-805e-f0d323e59fd2</t>
  </si>
  <si>
    <t>HM-250</t>
  </si>
  <si>
    <t>uuid://bef67e8b-7ba6-44f7-ac09-a8201e85c6ba</t>
  </si>
  <si>
    <t>HM-251</t>
  </si>
  <si>
    <t>uuid://6fee4ac2-9bc0-4bf9-8194-c3e8133c5479</t>
  </si>
  <si>
    <t>HM-252</t>
  </si>
  <si>
    <t>uuid://6dd5d8ed-8044-4e4b-ac6b-575e71872c2b</t>
  </si>
  <si>
    <t>HM-253</t>
  </si>
  <si>
    <t>uuid://91d18aed-f729-4948-8863-42cb2944d006</t>
  </si>
  <si>
    <t>HM-254</t>
  </si>
  <si>
    <t>uuid://5e466cd5-5e15-40a5-a336-ce3c2ee6217c</t>
  </si>
  <si>
    <t>HM-255</t>
  </si>
  <si>
    <t>uuid://e52e24b4-743c-4ea7-bf48-2b0208e1cbe8</t>
  </si>
  <si>
    <t>HM-256</t>
  </si>
  <si>
    <t>uuid://f1a9a985-26a3-4da3-a49e-b18b9e1341f0</t>
  </si>
  <si>
    <t>HM-257</t>
  </si>
  <si>
    <t>uuid://babd2721-d5a5-47e3-a0cd-2f62599784c0</t>
  </si>
  <si>
    <t>HM-258</t>
  </si>
  <si>
    <t>uuid://1fd2a898-fc32-4442-9395-dfa7ec99be0a</t>
  </si>
  <si>
    <t>HM-259</t>
  </si>
  <si>
    <t>uuid://1daf0187-4f10-4a12-aad1-fb8d0d4f8e80</t>
  </si>
  <si>
    <t>HM-260</t>
  </si>
  <si>
    <t>uuid://11f8e769-24ac-4d38-aae3-bcb19ba00557</t>
  </si>
  <si>
    <t>HM-261</t>
  </si>
  <si>
    <t>uuid://c5de5d86-98d8-4386-9d19-1f185fcd676d</t>
  </si>
  <si>
    <t>HM-262</t>
  </si>
  <si>
    <t>uuid://295930c3-52c2-4e61-a183-05440433ad41</t>
  </si>
  <si>
    <t>HM-263</t>
  </si>
  <si>
    <t>uuid://1a3d6c51-f648-4d70-8788-cb3a3290b6f1</t>
  </si>
  <si>
    <t>HM-264</t>
  </si>
  <si>
    <t>uuid://ca91c370-aba1-4f5c-9bf0-911d87ff445f</t>
  </si>
  <si>
    <t>HM-265</t>
  </si>
  <si>
    <t>uuid://e62e15ea-ace5-482e-9335-ed28cca7063e</t>
  </si>
  <si>
    <t>HM-266</t>
  </si>
  <si>
    <t>uuid://c65fc86b-d080-4f2e-9a1d-1283a9a29d75</t>
  </si>
  <si>
    <t>HM-267</t>
  </si>
  <si>
    <t>uuid://c44b643d-0a77-4673-be52-1235ffbae5e7</t>
  </si>
  <si>
    <t>HM-268</t>
  </si>
  <si>
    <t>uuid://59ea025f-a3f3-4b2a-98f4-d270a10b6309</t>
  </si>
  <si>
    <t>HM-269</t>
  </si>
  <si>
    <t>1048</t>
  </si>
  <si>
    <t>uuid://6320edec-e530-49bf-b5d1-927fa1e8cdf9</t>
  </si>
  <si>
    <t>HM-270</t>
  </si>
  <si>
    <t>uuid://6e3cdbdd-20d9-450b-b536-b07ffecc1e48</t>
  </si>
  <si>
    <t>FAN-1</t>
  </si>
  <si>
    <t>AHU07 FAN01</t>
  </si>
  <si>
    <t>R3G630-RB32-03</t>
  </si>
  <si>
    <t>FAN</t>
  </si>
  <si>
    <t>uuid://5548b661-36b3-4ff4-a99f-ee67a97b90f5</t>
  </si>
  <si>
    <t>FAN-2</t>
  </si>
  <si>
    <t>AHU07 FAN02</t>
  </si>
  <si>
    <t>uuid://e522f561-ef9e-4cdf-a564-2d620e3c5300</t>
  </si>
  <si>
    <t>FAN-3</t>
  </si>
  <si>
    <t>AHU07 FAN03</t>
  </si>
  <si>
    <t>uuid://b3842153-0cc9-4424-8c56-8d971e77e872</t>
  </si>
  <si>
    <t>FAN-4</t>
  </si>
  <si>
    <t>AHU19 FAN01</t>
  </si>
  <si>
    <t>uuid://1420d3b2-dd3b-43d6-a067-c50d57e6eaec</t>
  </si>
  <si>
    <t>FAN-5</t>
  </si>
  <si>
    <t>AHU19 FAN02</t>
  </si>
  <si>
    <t>uuid://6cf3060e-0e89-4071-9f17-1b2703bd0be9</t>
  </si>
  <si>
    <t>FAN-6</t>
  </si>
  <si>
    <t>AHU19 FAN03</t>
  </si>
  <si>
    <t>uuid://6a4e52a6-2f45-41cf-9474-10c19b347752</t>
  </si>
  <si>
    <t>FAN-7</t>
  </si>
  <si>
    <t>AHU03 FAN01</t>
  </si>
  <si>
    <t>uuid://b7daa699-749b-426c-832c-bc2f34730556</t>
  </si>
  <si>
    <t>FAN-8</t>
  </si>
  <si>
    <t>AHU03 FAN02</t>
  </si>
  <si>
    <t>uuid://148f9ef0-1ea8-4edf-b078-4ac31ced2bd3</t>
  </si>
  <si>
    <t>FAN-9</t>
  </si>
  <si>
    <t>AHU03 FAN03</t>
  </si>
  <si>
    <t>uuid://9ae82cdb-9c7c-4127-b634-8fb1a6cf6a9e</t>
  </si>
  <si>
    <t>FAN-10</t>
  </si>
  <si>
    <t>AHU04 FAN01</t>
  </si>
  <si>
    <t>uuid://7bb8ee4b-1f5c-4092-9bd0-26e3b32645e6</t>
  </si>
  <si>
    <t>FAN-11</t>
  </si>
  <si>
    <t>AHU04 FAN02</t>
  </si>
  <si>
    <t>uuid://6602c0e0-bf07-4bcb-9598-b949021f4ba6</t>
  </si>
  <si>
    <t>FAN-12</t>
  </si>
  <si>
    <t>AHU04 FAN03</t>
  </si>
  <si>
    <t>uuid://6467b210-8266-4252-ae59-de06f0a558e5</t>
  </si>
  <si>
    <t>FAN-13</t>
  </si>
  <si>
    <t>AHU15 FAN01</t>
  </si>
  <si>
    <t>uuid://15f4c7ac-965e-4527-855e-8a88b6bf623f</t>
  </si>
  <si>
    <t>FAN-14</t>
  </si>
  <si>
    <t>AHU15 FAN02</t>
  </si>
  <si>
    <t>uuid://9bd23eaf-a1f1-437e-abce-9d66001cfc6c</t>
  </si>
  <si>
    <t>FAN-15</t>
  </si>
  <si>
    <t>AHU15 FAN03</t>
  </si>
  <si>
    <t>uuid://55b1980d-d198-4f13-9025-89c0911ba0ef</t>
  </si>
  <si>
    <t>FAN-16</t>
  </si>
  <si>
    <t>AHU16 FAN01</t>
  </si>
  <si>
    <t>uuid://74dcb6e3-5133-4c63-87ba-2a870ddaeb3d</t>
  </si>
  <si>
    <t>FAN-17</t>
  </si>
  <si>
    <t>AHU16 FAN02</t>
  </si>
  <si>
    <t>uuid://16a9de75-880c-4449-ab99-c1218433ff79</t>
  </si>
  <si>
    <t>FAN-18</t>
  </si>
  <si>
    <t>AHU16 FAN03</t>
  </si>
  <si>
    <t>uuid://801c7708-77e0-412b-93f7-aa0541d80107</t>
  </si>
  <si>
    <t>FAN-19</t>
  </si>
  <si>
    <t>AHU35 FAN01</t>
  </si>
  <si>
    <t>uuid://58b36669-6e09-44fe-b709-b909aa52e032</t>
  </si>
  <si>
    <t>FAN-20</t>
  </si>
  <si>
    <t>AHU35 FAN02</t>
  </si>
  <si>
    <t>uuid://c0e56d6d-6375-42fe-96a6-79eaaf00c1e2</t>
  </si>
  <si>
    <t>FAN-21</t>
  </si>
  <si>
    <t>AHU35 FAN03</t>
  </si>
  <si>
    <t>uuid://e8db88cb-e3c3-445a-9368-0e046c1ba3a4</t>
  </si>
  <si>
    <t>FAN-22</t>
  </si>
  <si>
    <t>AHU11 FAN01</t>
  </si>
  <si>
    <t>uuid://c37f80ef-697a-46df-be2e-43ceda259563</t>
  </si>
  <si>
    <t>FAN-23</t>
  </si>
  <si>
    <t>AHU11 FAN02</t>
  </si>
  <si>
    <t>uuid://9866e3b9-0ee5-4fb1-8874-3bcce9f87f59</t>
  </si>
  <si>
    <t>FAN-24</t>
  </si>
  <si>
    <t>AHU11 FAN03</t>
  </si>
  <si>
    <t>uuid://c5c15005-b10f-4f10-8500-5f5db50eae66</t>
  </si>
  <si>
    <t>FAN-25</t>
  </si>
  <si>
    <t>AHU12 FAN01</t>
  </si>
  <si>
    <t>uuid://8bc253f7-fe31-477b-a391-c1ae3fbc6f30</t>
  </si>
  <si>
    <t>FAN-26</t>
  </si>
  <si>
    <t>AHU12 FAN02</t>
  </si>
  <si>
    <t>uuid://1cf30d8e-353e-4a80-a3e4-3a12c6a75141</t>
  </si>
  <si>
    <t>FAN-27</t>
  </si>
  <si>
    <t>AHU12 FAN03</t>
  </si>
  <si>
    <t>uuid://b1bfc3ac-f134-4e8d-8f80-6e567acc232e</t>
  </si>
  <si>
    <t>FAN-28</t>
  </si>
  <si>
    <t>AHU23 FAN01</t>
  </si>
  <si>
    <t>uuid://64e3b331-4674-4794-9ffd-b5e7da86e9b3</t>
  </si>
  <si>
    <t>FAN-29</t>
  </si>
  <si>
    <t>AHU23 FAN02</t>
  </si>
  <si>
    <t>uuid://a922de57-f554-45fc-b108-479c2c4bc5fe</t>
  </si>
  <si>
    <t>FAN-30</t>
  </si>
  <si>
    <t>AHU23 FAN03</t>
  </si>
  <si>
    <t>uuid://c2a459d1-01e0-4cdf-a7a0-7bd2da61c300</t>
  </si>
  <si>
    <t>FAN-31</t>
  </si>
  <si>
    <t>AHU23 FAN04</t>
  </si>
  <si>
    <t>uuid://82e8288e-5056-4593-bbc9-e120ac7d78f3</t>
  </si>
  <si>
    <t>FAN-32</t>
  </si>
  <si>
    <t>AHU24 FAN01</t>
  </si>
  <si>
    <t>uuid://5d3057dd-5bfa-4508-8006-7f0d8c1659dd</t>
  </si>
  <si>
    <t>FAN-33</t>
  </si>
  <si>
    <t>AHU24 FAN02</t>
  </si>
  <si>
    <t>uuid://f51d3587-234a-494b-a93e-dd41a084ac94</t>
  </si>
  <si>
    <t>FAN-34</t>
  </si>
  <si>
    <t>AHU24 FAN03</t>
  </si>
  <si>
    <t>uuid://c1fab396-3ba6-41d4-ad3a-f993b5112f7a</t>
  </si>
  <si>
    <t>FAN-35</t>
  </si>
  <si>
    <t>AHU24 FAN04</t>
  </si>
  <si>
    <t>uuid://51c9fba1-f3d8-4504-973e-e337509901fb</t>
  </si>
  <si>
    <t>FAN-36</t>
  </si>
  <si>
    <t>AHU01 FAN01</t>
  </si>
  <si>
    <t>uuid://86b4d854-ef07-47d2-8ecf-e9b15633fbbb</t>
  </si>
  <si>
    <t>FAN-37</t>
  </si>
  <si>
    <t>AHU01 FAN02</t>
  </si>
  <si>
    <t>uuid://bcd76a74-394f-4e11-82ef-715c7303f5ee</t>
  </si>
  <si>
    <t>FAN-38</t>
  </si>
  <si>
    <t>AHU01 FAN03</t>
  </si>
  <si>
    <t>uuid://b3bb09de-b0d2-438a-84ce-a2ca636a9cb8</t>
  </si>
  <si>
    <t>FAN-39</t>
  </si>
  <si>
    <t>AHU02 FAN01</t>
  </si>
  <si>
    <t>uuid://8ffcafe3-9c0f-4849-8bcd-dc5c1187be60</t>
  </si>
  <si>
    <t>FAN-40</t>
  </si>
  <si>
    <t>AHU02 FAN02</t>
  </si>
  <si>
    <t>uuid://0d1dd92a-8940-4c62-a356-501e642f1e8e</t>
  </si>
  <si>
    <t>FAN-41</t>
  </si>
  <si>
    <t>AHU02 FAN03</t>
  </si>
  <si>
    <t>uuid://1874341b-df7a-486e-a76d-23f2c8b6c7aa</t>
  </si>
  <si>
    <t>FAN-42</t>
  </si>
  <si>
    <t>AHU14 FAN01</t>
  </si>
  <si>
    <t>uuid://32633ca0-96bb-4bd7-b0eb-0fdf90e71f23</t>
  </si>
  <si>
    <t>FAN-43</t>
  </si>
  <si>
    <t>AHU14 FAN02</t>
  </si>
  <si>
    <t>uuid://148b6452-09fc-4f5b-8f5d-b66fc674041f</t>
  </si>
  <si>
    <t>FAN-44</t>
  </si>
  <si>
    <t>AHU14 FAN03</t>
  </si>
  <si>
    <t>uuid://16c90898-0fdd-40e7-b28d-af51e3bc119d</t>
  </si>
  <si>
    <t>FAN-45</t>
  </si>
  <si>
    <t>AHU14 FAN04</t>
  </si>
  <si>
    <t>uuid://197327d8-78ec-4bbe-9485-37b9f2ce2340</t>
  </si>
  <si>
    <t>FAN-46</t>
  </si>
  <si>
    <t>AHU13 FAN01</t>
  </si>
  <si>
    <t>uuid://771751fd-54d8-4d9c-b0df-ec9b07711f11</t>
  </si>
  <si>
    <t>FAN-47</t>
  </si>
  <si>
    <t>AHU13 FAN02</t>
  </si>
  <si>
    <t>uuid://e3f9f226-d955-40b7-98c0-78ca2455b1e4</t>
  </si>
  <si>
    <t>FAN-48</t>
  </si>
  <si>
    <t>AHU13 FAN03</t>
  </si>
  <si>
    <t>uuid://7035daeb-a837-44a5-a1d8-4ec98fab9ea6</t>
  </si>
  <si>
    <t>FAN-49</t>
  </si>
  <si>
    <t>AHU13 FAN04</t>
  </si>
  <si>
    <t>uuid://190baf94-3aab-4f85-be0a-4d66387bd95f</t>
  </si>
  <si>
    <t>FAN-50</t>
  </si>
  <si>
    <t>AHU33 FAN01</t>
  </si>
  <si>
    <t>375</t>
  </si>
  <si>
    <t>uuid://6929f637-7c34-4d6a-b210-8f7bae49bbfe</t>
  </si>
  <si>
    <t>FAN-51</t>
  </si>
  <si>
    <t>AHU33 FAN02</t>
  </si>
  <si>
    <t>uuid://a5e0f663-e841-4860-9f87-39fd058aac99</t>
  </si>
  <si>
    <t>FAN-52</t>
  </si>
  <si>
    <t>AHU33 FAN03</t>
  </si>
  <si>
    <t>uuid://997918c6-6932-4322-b537-cf1f759b6bec</t>
  </si>
  <si>
    <t>FAN-53</t>
  </si>
  <si>
    <t>AHU34 FAN01</t>
  </si>
  <si>
    <t>uuid://20e896fb-0763-4197-9496-0884f9f611d9</t>
  </si>
  <si>
    <t>FAN-54</t>
  </si>
  <si>
    <t>AHU34 FAN02</t>
  </si>
  <si>
    <t>uuid://fc5ff88f-fa89-4c47-8794-a8eda516d06f</t>
  </si>
  <si>
    <t>FAN-55</t>
  </si>
  <si>
    <t>AHU34 FAN03</t>
  </si>
  <si>
    <t>uuid://1057f2b1-1d4f-4af5-8a1a-5c6be1d58bc7</t>
  </si>
  <si>
    <t>FAN-56</t>
  </si>
  <si>
    <t>AHU09 FAN01</t>
  </si>
  <si>
    <t>uuid://acb01c38-c790-40b7-8979-8269afc36729</t>
  </si>
  <si>
    <t>FAN-57</t>
  </si>
  <si>
    <t>AHU09 FAN02</t>
  </si>
  <si>
    <t>uuid://8bf4852b-ddd0-473a-977d-e2e417048406</t>
  </si>
  <si>
    <t>FAN-58</t>
  </si>
  <si>
    <t>AHU09 FAN03</t>
  </si>
  <si>
    <t>uuid://91fdb6bb-f495-4897-9942-8a665ff98ad4</t>
  </si>
  <si>
    <t>FAN-59</t>
  </si>
  <si>
    <t>AHU09 FAN04</t>
  </si>
  <si>
    <t>uuid://e2b716bf-febd-4149-8df8-3de238ae446d</t>
  </si>
  <si>
    <t>FAN-60</t>
  </si>
  <si>
    <t>AHU10 FAN01</t>
  </si>
  <si>
    <t>uuid://5b2dd798-403e-4abe-b28e-358d4c9c9649</t>
  </si>
  <si>
    <t>FAN-61</t>
  </si>
  <si>
    <t>AHU10 FAN02</t>
  </si>
  <si>
    <t>uuid://95f1fc77-d859-4af2-a901-a8bf64281918</t>
  </si>
  <si>
    <t>FAN-62</t>
  </si>
  <si>
    <t>AHU10 FAN03</t>
  </si>
  <si>
    <t>uuid://876b7359-b0aa-48ad-ba55-ca8755d5084d</t>
  </si>
  <si>
    <t>FAN-63</t>
  </si>
  <si>
    <t>AHU10 FAN04</t>
  </si>
  <si>
    <t>uuid://1b3ac3b1-8ca1-408c-aa1d-8534e6900518</t>
  </si>
  <si>
    <t>FAN-64</t>
  </si>
  <si>
    <t>AHU21 FAN01</t>
  </si>
  <si>
    <t>uuid://ba33b20f-60b0-4d57-800e-5564a4a28951</t>
  </si>
  <si>
    <t>FAN-65</t>
  </si>
  <si>
    <t>AHU21 FAN02</t>
  </si>
  <si>
    <t>uuid://d1451e6a-cbd0-45cc-ab80-23dce1974dbd</t>
  </si>
  <si>
    <t>FAN-66</t>
  </si>
  <si>
    <t>AHU21 FAN03</t>
  </si>
  <si>
    <t>uuid://7a22e0e4-a98a-49d1-b575-71bc77b43784</t>
  </si>
  <si>
    <t>FAN-67</t>
  </si>
  <si>
    <t>AHU21 FAN04</t>
  </si>
  <si>
    <t>uuid://2907ab63-09ea-4f6b-8fe4-3f523470bbf3</t>
  </si>
  <si>
    <t>FAN-68</t>
  </si>
  <si>
    <t>AHU22 FAN01</t>
  </si>
  <si>
    <t>uuid://6f30d2ce-8af9-484c-840a-252df52fbb57</t>
  </si>
  <si>
    <t>FAN-69</t>
  </si>
  <si>
    <t>AHU22 FAN02</t>
  </si>
  <si>
    <t>uuid://5d270dab-c32b-4e60-809a-5ca063ddb844</t>
  </si>
  <si>
    <t>FAN-70</t>
  </si>
  <si>
    <t>AHU22 FAN03</t>
  </si>
  <si>
    <t>uuid://78352ea9-23dc-48ba-86ab-5d613b4e4b49</t>
  </si>
  <si>
    <t>FAN-71</t>
  </si>
  <si>
    <t>AHU22 FAN04</t>
  </si>
  <si>
    <t>uuid://c0b5701f-155b-4c0e-9906-604522bbbfb1</t>
  </si>
  <si>
    <t>FAN-72</t>
  </si>
  <si>
    <t>AHU05 FAN01</t>
  </si>
  <si>
    <t>uuid://e3ce7194-a1bc-48d3-ab03-0c39f71beb59</t>
  </si>
  <si>
    <t>FAN-73</t>
  </si>
  <si>
    <t>AHU05 FAN02</t>
  </si>
  <si>
    <t>uuid://dfd8ede4-bdab-4ba1-b13b-57f4bfc77175</t>
  </si>
  <si>
    <t>FAN-74</t>
  </si>
  <si>
    <t>AHU06 FAN01</t>
  </si>
  <si>
    <t>uuid://7bf7fcc9-ccd1-411d-b2d4-9764bc4840bf</t>
  </si>
  <si>
    <t>FAN-75</t>
  </si>
  <si>
    <t>AHU06 FAN02</t>
  </si>
  <si>
    <t>uuid://c3109ac3-9f3b-441e-b7b0-1ed00f6b9273</t>
  </si>
  <si>
    <t>FAN-76</t>
  </si>
  <si>
    <t>AHU17 FAN01</t>
  </si>
  <si>
    <t>uuid://12913690-1ef3-4ec9-bd88-bef7c6089812</t>
  </si>
  <si>
    <t>FAN-77</t>
  </si>
  <si>
    <t>AHU17 FAN02</t>
  </si>
  <si>
    <t>uuid://ede08314-5fe1-47ae-ab72-dfd47787a18e</t>
  </si>
  <si>
    <t>FAN-78</t>
  </si>
  <si>
    <t>AHU17 FAN03</t>
  </si>
  <si>
    <t>uuid://85850697-c8b8-4ae1-b304-16d97298e25c</t>
  </si>
  <si>
    <t>FAN-79</t>
  </si>
  <si>
    <t>AHU53 FAN01</t>
  </si>
  <si>
    <t>434</t>
  </si>
  <si>
    <t>uuid://3e75eca4-336c-467c-a22b-b28a32c5ac8d</t>
  </si>
  <si>
    <t>FAN-80</t>
  </si>
  <si>
    <t>AHU53 FAN02</t>
  </si>
  <si>
    <t>uuid://970bcb43-e036-4aef-81b7-4aed0422344f</t>
  </si>
  <si>
    <t>FAN-81</t>
  </si>
  <si>
    <t>AHU53 FAN03</t>
  </si>
  <si>
    <t>uuid://f8c72771-8cbc-451c-b05d-67f6645a1ca9</t>
  </si>
  <si>
    <t>FAN-82</t>
  </si>
  <si>
    <t>AHU54 FAN01</t>
  </si>
  <si>
    <t>uuid://54a34c35-f624-4d48-8d11-4ca7c8998d22</t>
  </si>
  <si>
    <t>FAN-83</t>
  </si>
  <si>
    <t>AHU54 FAN02</t>
  </si>
  <si>
    <t>uuid://aa9dd868-6300-45c3-af0b-c30cf1f469da</t>
  </si>
  <si>
    <t>FAN-84</t>
  </si>
  <si>
    <t>AHU54 FAN03</t>
  </si>
  <si>
    <t>uuid://d413f2f9-c560-4cfb-9b1d-c371d5b819a7</t>
  </si>
  <si>
    <t>FAN-85</t>
  </si>
  <si>
    <t>AHU29 FAN01</t>
  </si>
  <si>
    <t>uuid://24a41937-d810-49a2-b817-e8c6a0e5db04</t>
  </si>
  <si>
    <t>FAN-86</t>
  </si>
  <si>
    <t>AHU29 FAN02</t>
  </si>
  <si>
    <t>uuid://6898945c-2c84-44e7-a04b-f612acb45823</t>
  </si>
  <si>
    <t>FAN-87</t>
  </si>
  <si>
    <t>AHU29 FAN03</t>
  </si>
  <si>
    <t>uuid://02d4f16c-7813-4616-8b11-11f885f6c9ed</t>
  </si>
  <si>
    <t>FAN-88</t>
  </si>
  <si>
    <t>AHU29 FAN04</t>
  </si>
  <si>
    <t>FXZQ32BVM6</t>
  </si>
  <si>
    <t>uuid://7193e77d-73d7-495f-a2cf-81d63b7fe088</t>
  </si>
  <si>
    <t>FAN-89</t>
  </si>
  <si>
    <t>AHU30 FAN01</t>
  </si>
  <si>
    <t>uuid://53b7f159-13a7-414a-916e-a3db77328f26</t>
  </si>
  <si>
    <t>FAN-90</t>
  </si>
  <si>
    <t>AHU30 FAN02</t>
  </si>
  <si>
    <t>uuid://e28a6dc5-eb71-4bbf-a73a-ca59ab2cdb33</t>
  </si>
  <si>
    <t>FAN-91</t>
  </si>
  <si>
    <t>AHU41 FAN01</t>
  </si>
  <si>
    <t>334</t>
  </si>
  <si>
    <t>uuid://35888a97-077b-4fa3-96d6-f07785c480c5</t>
  </si>
  <si>
    <t>FAN-92</t>
  </si>
  <si>
    <t>AHU41 FAN02</t>
  </si>
  <si>
    <t>uuid://b7e1aa87-0bfd-4599-8929-2764d8b4ab69</t>
  </si>
  <si>
    <t>FAN-93</t>
  </si>
  <si>
    <t>AHU41 FAN03</t>
  </si>
  <si>
    <t>uuid://7f7d11fa-1d23-40a0-ae36-c75e09565f18</t>
  </si>
  <si>
    <t>FAN-94</t>
  </si>
  <si>
    <t>AHU42 FAN01</t>
  </si>
  <si>
    <t>uuid://456f299a-d565-4d10-9e08-25c4c1c6299a</t>
  </si>
  <si>
    <t>FAN-95</t>
  </si>
  <si>
    <t>AHU42 FAN02</t>
  </si>
  <si>
    <t>uuid://6ec6502d-e72b-45ba-b906-5965d0e30250</t>
  </si>
  <si>
    <t>FAN-96</t>
  </si>
  <si>
    <t>AHU42 FAN03</t>
  </si>
  <si>
    <t>uuid://2232dd69-4d45-4e49-acd8-dd4647395ffd</t>
  </si>
  <si>
    <t>FAN-97</t>
  </si>
  <si>
    <t>AHU39 FAN01</t>
  </si>
  <si>
    <t>uuid://5eb995e9-f1c7-4fff-aca5-609bb1869413</t>
  </si>
  <si>
    <t>FAN-98</t>
  </si>
  <si>
    <t>AHU39 FAN02</t>
  </si>
  <si>
    <t>uuid://d1cfcf9b-f39a-4c4d-bf02-752ca4be8a2c</t>
  </si>
  <si>
    <t>FAN-99</t>
  </si>
  <si>
    <t>AHU39 FAN03</t>
  </si>
  <si>
    <t>uuid://607b3fb1-dbab-4445-bfc1-d6e446ef5fa2</t>
  </si>
  <si>
    <t>FAN-100</t>
  </si>
  <si>
    <t>AHU40 FAN01</t>
  </si>
  <si>
    <t>uuid://4582d4f4-d434-43a9-9c1d-787805b699e2</t>
  </si>
  <si>
    <t>FAN-101</t>
  </si>
  <si>
    <t>AHU40 FAN02</t>
  </si>
  <si>
    <t>uuid://187cfc41-345a-44e5-9049-935189d726a9</t>
  </si>
  <si>
    <t>FAN-102</t>
  </si>
  <si>
    <t>AHU40 FAN03</t>
  </si>
  <si>
    <t>uuid://8597a82c-21b9-44ea-8acf-2a29efe9c28c</t>
  </si>
  <si>
    <t>FAN-103</t>
  </si>
  <si>
    <t>AHU27 FAN01</t>
  </si>
  <si>
    <t>219</t>
  </si>
  <si>
    <t>uuid://3538e396-0d68-4be4-a0ec-22c586d4f8bb</t>
  </si>
  <si>
    <t>FAN-104</t>
  </si>
  <si>
    <t>AHU27 FAN02</t>
  </si>
  <si>
    <t>uuid://5456a24b-7b85-4251-bf84-698589f86950</t>
  </si>
  <si>
    <t>FAN-105</t>
  </si>
  <si>
    <t>AHU27 FAN03</t>
  </si>
  <si>
    <t>uuid://68dd2a19-0fb7-468e-bf70-9ab83aa0afbc</t>
  </si>
  <si>
    <t>FAN-106</t>
  </si>
  <si>
    <t>AHU27 FAN04</t>
  </si>
  <si>
    <t>uuid://054b91fc-d860-4a41-ab31-47bd52729a5e</t>
  </si>
  <si>
    <t>FAN-107</t>
  </si>
  <si>
    <t>AHU28 FAN01</t>
  </si>
  <si>
    <t>uuid://83cb84ca-7b6b-4388-ae5e-475708c8ee67</t>
  </si>
  <si>
    <t>FAN-108</t>
  </si>
  <si>
    <t>AHU28 FAN02</t>
  </si>
  <si>
    <t>uuid://9eee20eb-5a3f-4310-8fff-a2be09bcbcc3</t>
  </si>
  <si>
    <t>FAN-109</t>
  </si>
  <si>
    <t>AHU28 FAN03</t>
  </si>
  <si>
    <t>uuid://52636b1e-0e6b-4061-a81e-f99267d7e599</t>
  </si>
  <si>
    <t>FAN-110</t>
  </si>
  <si>
    <t>AHU28 FAN04</t>
  </si>
  <si>
    <t>uuid://31f8bf7c-b60b-478e-a2b3-efd4d8294794</t>
  </si>
  <si>
    <t>FAN-111</t>
  </si>
  <si>
    <t>AHU76 FAN01</t>
  </si>
  <si>
    <t>619</t>
  </si>
  <si>
    <t>uuid://095d940e-55ad-4399-9f2b-33b9d898b75e</t>
  </si>
  <si>
    <t>FAN-112</t>
  </si>
  <si>
    <t>AHU76 FAN02</t>
  </si>
  <si>
    <t>uuid://a260070e-5b84-4821-8024-92d83fcdabd3</t>
  </si>
  <si>
    <t>FAN-113</t>
  </si>
  <si>
    <t>AHU76 FAN03</t>
  </si>
  <si>
    <t>uuid://321708b7-5ee2-43a1-b2d8-c6429d590206</t>
  </si>
  <si>
    <t>FAN-114</t>
  </si>
  <si>
    <t>AHU75 FAN01</t>
  </si>
  <si>
    <t>uuid://a390153b-6258-4156-abe2-8a4acaae3ea0</t>
  </si>
  <si>
    <t>FAN-115</t>
  </si>
  <si>
    <t>AHU75 FAN02</t>
  </si>
  <si>
    <t>uuid://b8929741-8301-4abb-96a3-c5e9f7986722</t>
  </si>
  <si>
    <t>FAN-116</t>
  </si>
  <si>
    <t>AHU75 FAN03</t>
  </si>
  <si>
    <t>uuid://888b21f1-3b31-4f78-916a-0e31e443a5a7</t>
  </si>
  <si>
    <t>FAN-117</t>
  </si>
  <si>
    <t>AHU63 FAN01</t>
  </si>
  <si>
    <t>519</t>
  </si>
  <si>
    <t>uuid://b3fe1d68-4a71-4695-8c7e-0a9d08fce417</t>
  </si>
  <si>
    <t>FAN-118</t>
  </si>
  <si>
    <t>AHU63 FAN02</t>
  </si>
  <si>
    <t>uuid://07d693ee-a7fc-403d-ad42-970e8efd9e0a</t>
  </si>
  <si>
    <t>FAN-119</t>
  </si>
  <si>
    <t>AHU63 FAN03</t>
  </si>
  <si>
    <t>uuid://866ddf9c-be5c-4962-bb60-84dbf339f755</t>
  </si>
  <si>
    <t>FAN-120</t>
  </si>
  <si>
    <t>AHU64 FAN01</t>
  </si>
  <si>
    <t>uuid://1ca7b7e4-22a7-416f-aa30-70ee209b7062</t>
  </si>
  <si>
    <t>FAN-121</t>
  </si>
  <si>
    <t>AHU64 FAN02</t>
  </si>
  <si>
    <t>uuid://22334eb0-369a-4208-87be-f6395aefbce4</t>
  </si>
  <si>
    <t>FAN-122</t>
  </si>
  <si>
    <t>AHU64 FAN03</t>
  </si>
  <si>
    <t>uuid://ad6b6908-cf52-4849-90f7-3223b290e4b0</t>
  </si>
  <si>
    <t>FAN-123</t>
  </si>
  <si>
    <t>AHU51 FAN01</t>
  </si>
  <si>
    <t>uuid://bbf07014-060e-47e0-a683-fa81f8960b12</t>
  </si>
  <si>
    <t>FAN-124</t>
  </si>
  <si>
    <t>AHU51 FAN02</t>
  </si>
  <si>
    <t>uuid://99067c54-c007-4682-a5a7-2bb307918cd3</t>
  </si>
  <si>
    <t>FAN-125</t>
  </si>
  <si>
    <t>AHU51 FAN03</t>
  </si>
  <si>
    <t>uuid://7580e270-dab6-4cb9-b2bf-147d4f3ac6d8</t>
  </si>
  <si>
    <t>FAN-126</t>
  </si>
  <si>
    <t>AHU52 FAN01</t>
  </si>
  <si>
    <t>uuid://4da44ce3-8fdc-48ac-a0c7-1e69058b981a</t>
  </si>
  <si>
    <t>FAN-127</t>
  </si>
  <si>
    <t>AHU52 FAN02</t>
  </si>
  <si>
    <t>uuid://f95cb344-7a3c-4d2c-b86e-39e3eb3ea3e2</t>
  </si>
  <si>
    <t>FAN-128</t>
  </si>
  <si>
    <t>AHU52 FAN03</t>
  </si>
  <si>
    <t>uuid://cd17c207-eb86-4fb1-b41a-fa57b19b6796</t>
  </si>
  <si>
    <t>FAN-129</t>
  </si>
  <si>
    <t>AHU38 FAN01</t>
  </si>
  <si>
    <t>348</t>
  </si>
  <si>
    <t>uuid://4fa2e2e7-4bab-4f0a-85f3-7fb5f846bcb3</t>
  </si>
  <si>
    <t>FAN-130</t>
  </si>
  <si>
    <t>AHU38 FAN02</t>
  </si>
  <si>
    <t>uuid://922dc178-835f-4ad9-92c6-930f2b6e67c6</t>
  </si>
  <si>
    <t>FAN-131</t>
  </si>
  <si>
    <t>AHU38 FAN03</t>
  </si>
  <si>
    <t>uuid://89f95b60-a552-45db-951f-ec90db8e157e</t>
  </si>
  <si>
    <t>FAN-132</t>
  </si>
  <si>
    <t>AHU25 FAN01</t>
  </si>
  <si>
    <t>uuid://7100b7f2-3832-40d9-ab80-9546c15d1bce</t>
  </si>
  <si>
    <t>FAN-133</t>
  </si>
  <si>
    <t>AHU25 FAN02</t>
  </si>
  <si>
    <t>uuid://40645af4-7a97-4fcb-9c2b-5c3516bc87c7</t>
  </si>
  <si>
    <t>FAN-134</t>
  </si>
  <si>
    <t>AHU25 FAN03</t>
  </si>
  <si>
    <t>uuid://be80dfb5-72ce-4fd5-bd0d-570369a48245</t>
  </si>
  <si>
    <t>FAN-135</t>
  </si>
  <si>
    <t>AHU25 FAN04</t>
  </si>
  <si>
    <t>uuid://29cb6b4e-f94b-420a-bf81-021d656550ec</t>
  </si>
  <si>
    <t>FAN-136</t>
  </si>
  <si>
    <t>AHU26 FAN01</t>
  </si>
  <si>
    <t>uuid://d3c63f5f-0d0a-49cd-a6ce-b62b96db7928</t>
  </si>
  <si>
    <t>FAN-137</t>
  </si>
  <si>
    <t>AHU26 FAN02</t>
  </si>
  <si>
    <t>uuid://039866b2-060b-4767-8c9e-d6e9d44d6d66</t>
  </si>
  <si>
    <t>FAN-138</t>
  </si>
  <si>
    <t>AHU26 FAN03</t>
  </si>
  <si>
    <t>uuid://56f4551a-6ebb-4830-bffa-78b2f287db8a</t>
  </si>
  <si>
    <t>FAN-139</t>
  </si>
  <si>
    <t>AHU26 FAN04</t>
  </si>
  <si>
    <t>uuid://d375a1a9-a867-43bf-aa84-5076d149c6e8</t>
  </si>
  <si>
    <t>FAN-140</t>
  </si>
  <si>
    <t>AHU37 FAN01</t>
  </si>
  <si>
    <t>uuid://268bd9df-f5f8-4ec0-8291-8c264b296bae</t>
  </si>
  <si>
    <t>FAN-141</t>
  </si>
  <si>
    <t>AHU37 FAN02</t>
  </si>
  <si>
    <t>uuid://c418efa2-1141-47e6-bf9e-5f6472894db6</t>
  </si>
  <si>
    <t>FAN-142</t>
  </si>
  <si>
    <t>AHU37 FAN03</t>
  </si>
  <si>
    <t>uuid://7869da54-e1ce-4e6c-8a7b-76730d2cc783</t>
  </si>
  <si>
    <t>FAN-143</t>
  </si>
  <si>
    <t>AHU49 FAN01</t>
  </si>
  <si>
    <t>uuid://59bbecd0-cf3f-439a-a172-7b54a9452d6f</t>
  </si>
  <si>
    <t>FAN-144</t>
  </si>
  <si>
    <t>AHU49 FAN02</t>
  </si>
  <si>
    <t>uuid://222a317b-c067-4c8e-ab58-2b9ba234b9f3</t>
  </si>
  <si>
    <t>FAN-145</t>
  </si>
  <si>
    <t>AHU49 FAN03</t>
  </si>
  <si>
    <t>uuid://0545b578-d831-4bca-ade1-6b0f67385cd6</t>
  </si>
  <si>
    <t>FAN-146</t>
  </si>
  <si>
    <t>AHU50 FAN01</t>
  </si>
  <si>
    <t>uuid://d061e3c1-d508-4f85-9191-0a297e7cda82</t>
  </si>
  <si>
    <t>FAN-147</t>
  </si>
  <si>
    <t>AHU50 FAN02</t>
  </si>
  <si>
    <t>uuid://16e23058-f34d-4265-af7c-7117b03886e5</t>
  </si>
  <si>
    <t>FAN-148</t>
  </si>
  <si>
    <t>AHU50 FAN03</t>
  </si>
  <si>
    <t>uuid://4eb389ef-3d90-4cc5-9c77-45fbf1fe5ea8</t>
  </si>
  <si>
    <t>FAN-149</t>
  </si>
  <si>
    <t>AHU61 FAN01</t>
  </si>
  <si>
    <t>548</t>
  </si>
  <si>
    <t>uuid://528d7bfc-85e4-4226-ba2a-2dce2fbff421</t>
  </si>
  <si>
    <t>FAN-150</t>
  </si>
  <si>
    <t>AHU61 FAN02</t>
  </si>
  <si>
    <t>uuid://1bdd9965-2cf8-462b-af7c-89f38207b02c</t>
  </si>
  <si>
    <t>FAN-151</t>
  </si>
  <si>
    <t>AHU61 FAN03</t>
  </si>
  <si>
    <t>uuid://98fb4eed-6554-4478-b6ec-0684b75a23e2</t>
  </si>
  <si>
    <t>FAN-152</t>
  </si>
  <si>
    <t>AHU73 FAN01</t>
  </si>
  <si>
    <t>648</t>
  </si>
  <si>
    <t>uuid://948cf513-2ccf-4e4f-bb63-91198b0d2cf2</t>
  </si>
  <si>
    <t>FAN-153</t>
  </si>
  <si>
    <t>AHU73 FAN02</t>
  </si>
  <si>
    <t>uuid://70370910-e7e0-45dd-8307-7f54c1ad60f2</t>
  </si>
  <si>
    <t>FAN-154</t>
  </si>
  <si>
    <t>AHU73 FAN03</t>
  </si>
  <si>
    <t>uuid://665ced1a-2868-4a78-a04a-3b1bf0cc6864</t>
  </si>
  <si>
    <t>FAN-155</t>
  </si>
  <si>
    <t>AHU74 FAN01</t>
  </si>
  <si>
    <t>uuid://4b7838fb-5f1e-4d44-a327-cd4d4160fa6c</t>
  </si>
  <si>
    <t>FAN-156</t>
  </si>
  <si>
    <t>AHU74 FAN02</t>
  </si>
  <si>
    <t>uuid://f9bf9ed3-e72f-44b8-b34e-0bd62538b344</t>
  </si>
  <si>
    <t>FAN-157</t>
  </si>
  <si>
    <t>AHU74 FAN03</t>
  </si>
  <si>
    <t>uuid://afb4198a-a7a0-4b44-af30-2d11a0bba5b2</t>
  </si>
  <si>
    <t>FAN-158</t>
  </si>
  <si>
    <t>AHU62 FAN01</t>
  </si>
  <si>
    <t>uuid://67ca421d-da4f-4978-9973-468cad12bbb1</t>
  </si>
  <si>
    <t>FAN-159</t>
  </si>
  <si>
    <t>AHU62 FAN02</t>
  </si>
  <si>
    <t>uuid://ff95d52a-cb3f-48df-9d01-9057ae386869</t>
  </si>
  <si>
    <t>FAN-160</t>
  </si>
  <si>
    <t>AHU62 FAN03</t>
  </si>
  <si>
    <t>uuid://d571bd11-f660-4678-8df0-38720d84c0f5</t>
  </si>
  <si>
    <t>FAN-161</t>
  </si>
  <si>
    <t>AHU85 FAN01</t>
  </si>
  <si>
    <t>uuid://baa34a18-5ae1-4321-a21e-da889a6cdf3d</t>
  </si>
  <si>
    <t>FAN-162</t>
  </si>
  <si>
    <t>AHU85 FAN02</t>
  </si>
  <si>
    <t>uuid://1d6e346b-5bae-4792-a1ab-b82cfad5fcbb</t>
  </si>
  <si>
    <t>FAN-163</t>
  </si>
  <si>
    <t>AHU85 FAN03</t>
  </si>
  <si>
    <t>uuid://47ec8f3e-60a0-4aab-a7c4-fe072cbf8f4a</t>
  </si>
  <si>
    <t>FAN-164</t>
  </si>
  <si>
    <t>AHU86 FAN01</t>
  </si>
  <si>
    <t>uuid://848f97e9-21e2-441a-ad46-6e57f4902943</t>
  </si>
  <si>
    <t>FAN-165</t>
  </si>
  <si>
    <t>AHU86 FAN02</t>
  </si>
  <si>
    <t>uuid://eb5d5db8-bc2e-45a8-98fb-0a029831a591</t>
  </si>
  <si>
    <t>FAN-166</t>
  </si>
  <si>
    <t>AHU86 FAN03</t>
  </si>
  <si>
    <t>uuid://318835b1-4bb9-45ec-9010-da527b3f258c</t>
  </si>
  <si>
    <t>FAN-167</t>
  </si>
  <si>
    <t>AHU55 FAN01</t>
  </si>
  <si>
    <t>433</t>
  </si>
  <si>
    <t>uuid://0d12319b-d3b5-44c7-8486-4d23ee639052</t>
  </si>
  <si>
    <t>FAN-168</t>
  </si>
  <si>
    <t>AHU55 FAN02</t>
  </si>
  <si>
    <t>uuid://df20cd1a-f031-402d-a611-135db20ef014</t>
  </si>
  <si>
    <t>FAN-169</t>
  </si>
  <si>
    <t>AHU55 FAN03</t>
  </si>
  <si>
    <t>uuid://74bd2788-3356-40c3-a966-eece4fd640ec</t>
  </si>
  <si>
    <t>FAN-170</t>
  </si>
  <si>
    <t>AHU56 FAN01</t>
  </si>
  <si>
    <t>uuid://b24ca889-451d-4df5-adc2-f90c1d2632d2</t>
  </si>
  <si>
    <t>FAN-171</t>
  </si>
  <si>
    <t>AHU56 FAN02</t>
  </si>
  <si>
    <t>uuid://102f90b9-0358-48c5-9011-526c7f23a9f4</t>
  </si>
  <si>
    <t>FAN-172</t>
  </si>
  <si>
    <t>AHU56 FAN03</t>
  </si>
  <si>
    <t>uuid://01773e96-b00a-440e-b788-4d58dfa41a06</t>
  </si>
  <si>
    <t>FAN-173</t>
  </si>
  <si>
    <t>AHU43 FAN01</t>
  </si>
  <si>
    <t>333</t>
  </si>
  <si>
    <t>uuid://07ebffa2-59af-4778-ba77-c2108c1f45cc</t>
  </si>
  <si>
    <t>FAN-174</t>
  </si>
  <si>
    <t>AHU43 FAN02</t>
  </si>
  <si>
    <t>uuid://92710b4a-65dc-4547-9268-ffc06686aee6</t>
  </si>
  <si>
    <t>FAN-175</t>
  </si>
  <si>
    <t>AHU43 FAN03</t>
  </si>
  <si>
    <t>uuid://49073e47-9f95-4ae7-9923-c99c2fbd0a55</t>
  </si>
  <si>
    <t>FAN-176</t>
  </si>
  <si>
    <t>AHU44 FAN01</t>
  </si>
  <si>
    <t>uuid://fae74b80-5e9e-4a55-bfde-fa5bd90dc9b5</t>
  </si>
  <si>
    <t>FAN-177</t>
  </si>
  <si>
    <t>AHU44 FAN02</t>
  </si>
  <si>
    <t>uuid://3f0fb3ba-0715-415b-94e3-c74c69adc702</t>
  </si>
  <si>
    <t>FAN-178</t>
  </si>
  <si>
    <t>AHU44 FAN03</t>
  </si>
  <si>
    <t>uuid://9a28ee41-0f63-4ab7-a61f-13a564f69ecd</t>
  </si>
  <si>
    <t>FAN-179</t>
  </si>
  <si>
    <t>AHU32 FAN01</t>
  </si>
  <si>
    <t>233</t>
  </si>
  <si>
    <t>uuid://d817c928-903e-4f23-a4fa-d8701abc0063</t>
  </si>
  <si>
    <t>FAN-180</t>
  </si>
  <si>
    <t>AHU32 FAN02</t>
  </si>
  <si>
    <t>uuid://56013f10-abdb-4d35-a1ba-3e180d4b6fe2</t>
  </si>
  <si>
    <t>FAN-181</t>
  </si>
  <si>
    <t>AHU31 FAN01</t>
  </si>
  <si>
    <t>uuid://3012018e-eb3e-4fe3-849a-135bcda6be6f</t>
  </si>
  <si>
    <t>FAN-182</t>
  </si>
  <si>
    <t>AHU31 FAN02</t>
  </si>
  <si>
    <t>uuid://ae23699e-7aa6-4b1e-992e-01244ef9c2e4</t>
  </si>
  <si>
    <t>FAN-183</t>
  </si>
  <si>
    <t>AHU31 FAN03</t>
  </si>
  <si>
    <t>uuid://9a121900-bfed-4cf3-b443-83f7f94472bf</t>
  </si>
  <si>
    <t>FAN-184</t>
  </si>
  <si>
    <t>AHU31 FAN04</t>
  </si>
  <si>
    <t>uuid://de63c5a7-51b3-4b6b-92d6-11f75da976fe</t>
  </si>
  <si>
    <t>FAN-185</t>
  </si>
  <si>
    <t>AHU79 FAN01</t>
  </si>
  <si>
    <t>633</t>
  </si>
  <si>
    <t>uuid://d5fe0fcc-a2d2-4541-93cf-f7e356633eac</t>
  </si>
  <si>
    <t>FAN-186</t>
  </si>
  <si>
    <t>AHU79 FAN02</t>
  </si>
  <si>
    <t>uuid://a8107e81-8732-4883-afa8-77c03df561ff</t>
  </si>
  <si>
    <t>FAN-187</t>
  </si>
  <si>
    <t>AHU79 FAN03</t>
  </si>
  <si>
    <t>uuid://144cf5c4-8210-4acd-97a4-d1ef24e7815c</t>
  </si>
  <si>
    <t>FAN-188</t>
  </si>
  <si>
    <t>AHU80 FAN01</t>
  </si>
  <si>
    <t>uuid://a4c459b7-8869-41fd-a4c0-17da01e6de6f</t>
  </si>
  <si>
    <t>FAN-189</t>
  </si>
  <si>
    <t>AHU80 FAN02</t>
  </si>
  <si>
    <t>uuid://358a1942-6280-432b-8b2d-8a8c1c64dba9</t>
  </si>
  <si>
    <t>FAN-190</t>
  </si>
  <si>
    <t>AHU80 FAN03</t>
  </si>
  <si>
    <t>uuid://a024b261-d79a-4f02-b7d9-14b33868aeac</t>
  </si>
  <si>
    <t>FAN-191</t>
  </si>
  <si>
    <t>AHU67 FAN02</t>
  </si>
  <si>
    <t>uuid://89d3573f-ceaa-4a26-92a7-a33bbacb0cce</t>
  </si>
  <si>
    <t>FAN-192</t>
  </si>
  <si>
    <t>AHU67 FAN03</t>
  </si>
  <si>
    <t>uuid://d6dabaae-0750-4bc2-950a-5d26032c5978</t>
  </si>
  <si>
    <t>FAN-193</t>
  </si>
  <si>
    <t>AHU68 FAN01</t>
  </si>
  <si>
    <t>uuid://7b8a6bb6-7da2-4b01-9c3b-4aa825d8b04c</t>
  </si>
  <si>
    <t>FAN-194</t>
  </si>
  <si>
    <t>AHU68 FAN02</t>
  </si>
  <si>
    <t>uuid://57b2783e-61de-41eb-942f-f5a375fefce7</t>
  </si>
  <si>
    <t>FAN-195</t>
  </si>
  <si>
    <t>AHU68 FAN03</t>
  </si>
  <si>
    <t>uuid://25957cd9-7c4a-4c41-8c84-8acc97513cf6</t>
  </si>
  <si>
    <t>FAN-196</t>
  </si>
  <si>
    <t>AHU91 FAN01</t>
  </si>
  <si>
    <t>733</t>
  </si>
  <si>
    <t>uuid://297bc689-ed0c-4b00-b756-6d6735301849</t>
  </si>
  <si>
    <t>FAN-197</t>
  </si>
  <si>
    <t>AHU91 FAN02</t>
  </si>
  <si>
    <t>uuid://5e0ac090-64ff-46ff-83cf-e7167a0e048c</t>
  </si>
  <si>
    <t>FAN-198</t>
  </si>
  <si>
    <t>AHU91 FAN03</t>
  </si>
  <si>
    <t>uuid://9adc5afd-249e-43d4-9cfd-7585f3d4685a</t>
  </si>
  <si>
    <t>FAN-199</t>
  </si>
  <si>
    <t>AHU92 FAN01</t>
  </si>
  <si>
    <t>uuid://708b7783-8377-4062-bd89-8381c747c9e9</t>
  </si>
  <si>
    <t>FAN-200</t>
  </si>
  <si>
    <t>AHU92 FAN02</t>
  </si>
  <si>
    <t>uuid://2ce6eaeb-2713-413f-adfc-eda6e3ec37a0</t>
  </si>
  <si>
    <t>FAN-201</t>
  </si>
  <si>
    <t>AHU92 FAN03</t>
  </si>
  <si>
    <t>uuid://3dc8d9e3-810e-4cad-8049-60cf5ed28aaa</t>
  </si>
  <si>
    <t>FAN-202</t>
  </si>
  <si>
    <t>AHU36 FAN01</t>
  </si>
  <si>
    <t>uuid://d581d93c-1eef-4302-8b9d-f881b272aa1f</t>
  </si>
  <si>
    <t>FAN-203</t>
  </si>
  <si>
    <t>AHU36 FAN02</t>
  </si>
  <si>
    <t>uuid://0d47bdcc-9e3f-4e74-9b61-4bb2781beb8e</t>
  </si>
  <si>
    <t>FAN-204</t>
  </si>
  <si>
    <t>AHU36 FAN03</t>
  </si>
  <si>
    <t>uuid://acd50599-ef92-4561-a9d1-9e11f8a35811</t>
  </si>
  <si>
    <t>FAN-205</t>
  </si>
  <si>
    <t>AHU47 FAN01</t>
  </si>
  <si>
    <t>463</t>
  </si>
  <si>
    <t>uuid://2031482a-82b2-476a-b52b-ee18e1c6d5b7</t>
  </si>
  <si>
    <t>FAN-206</t>
  </si>
  <si>
    <t>AHU47 FAN02</t>
  </si>
  <si>
    <t>uuid://474bf407-0bc3-4a0d-9384-223588d0e021</t>
  </si>
  <si>
    <t>FAN-207</t>
  </si>
  <si>
    <t>AHU47 FAN03</t>
  </si>
  <si>
    <t>uuid://66c47712-ac88-4339-b4b3-94429d59a09c</t>
  </si>
  <si>
    <t>FAN-208</t>
  </si>
  <si>
    <t>AHU48 FAN01</t>
  </si>
  <si>
    <t>uuid://cc22384d-61b4-4aa0-aa27-b19117bfd412</t>
  </si>
  <si>
    <t>FAN-209</t>
  </si>
  <si>
    <t>AHU48 FAN02</t>
  </si>
  <si>
    <t>uuid://4082f561-0346-4805-b06b-150b2c312555</t>
  </si>
  <si>
    <t>FAN-210</t>
  </si>
  <si>
    <t>AHU48 FAN03</t>
  </si>
  <si>
    <t>uuid://8a04c0b7-365d-4d6c-b84f-4edbf64e24c1</t>
  </si>
  <si>
    <t>FAN-211</t>
  </si>
  <si>
    <t>AHU59 FAN01</t>
  </si>
  <si>
    <t>563</t>
  </si>
  <si>
    <t>uuid://d21834a7-2c53-4943-98f4-1ce34c9e95de</t>
  </si>
  <si>
    <t>FAN-212</t>
  </si>
  <si>
    <t>AHU59 FAN02</t>
  </si>
  <si>
    <t>uuid://ac65f06c-570f-4d76-b36a-ada2a9ff3d01</t>
  </si>
  <si>
    <t>FAN-213</t>
  </si>
  <si>
    <t>AHU59 FAN03</t>
  </si>
  <si>
    <t>uuid://cc8f96d2-f976-4016-a504-26128aac1847</t>
  </si>
  <si>
    <t>FAN-214</t>
  </si>
  <si>
    <t>AHU60 FAN01</t>
  </si>
  <si>
    <t>uuid://584b1192-b232-4c53-afc6-016dbdba0834</t>
  </si>
  <si>
    <t>FAN-215</t>
  </si>
  <si>
    <t>AHU60 FAN02</t>
  </si>
  <si>
    <t>uuid://6bb32c3e-5a44-4531-82f8-b736be6c3712</t>
  </si>
  <si>
    <t>FAN-216</t>
  </si>
  <si>
    <t>AHU60 FAN03</t>
  </si>
  <si>
    <t>uuid://fb02fa0b-10f8-41ea-83b7-881bd63b8f7a</t>
  </si>
  <si>
    <t>FAN-217</t>
  </si>
  <si>
    <t>AHU71 FAN01</t>
  </si>
  <si>
    <t>uuid://f49322f0-4733-4ab9-9bbd-9427f03a596d</t>
  </si>
  <si>
    <t>FAN-218</t>
  </si>
  <si>
    <t>AHU71 FAN02</t>
  </si>
  <si>
    <t>uuid://b954125f-f168-4c5e-9217-0bbb954d9831</t>
  </si>
  <si>
    <t>FAN-219</t>
  </si>
  <si>
    <t>AHU71 FAN03</t>
  </si>
  <si>
    <t>uuid://e0abab99-a535-4771-ac50-1b0471e4b8b4</t>
  </si>
  <si>
    <t>FAN-220</t>
  </si>
  <si>
    <t>AHU72 FAN01</t>
  </si>
  <si>
    <t>uuid://f0f63636-46a5-4619-8432-049e3de37061</t>
  </si>
  <si>
    <t>FAN-221</t>
  </si>
  <si>
    <t>AHU72 FAN02</t>
  </si>
  <si>
    <t>uuid://22ea85fb-b3d9-411a-9c67-a67611d7a015</t>
  </si>
  <si>
    <t>FAN-222</t>
  </si>
  <si>
    <t>AHU72 FAN03</t>
  </si>
  <si>
    <t>uuid://a6634478-8a34-4b74-b2e6-1685c8724ceb</t>
  </si>
  <si>
    <t>FAN-223</t>
  </si>
  <si>
    <t>AHU83 FAN01</t>
  </si>
  <si>
    <t>763</t>
  </si>
  <si>
    <t>uuid://47c6eb69-4fa0-42cb-821b-5961cf275d57</t>
  </si>
  <si>
    <t>FAN-224</t>
  </si>
  <si>
    <t>AHU83 FAN02</t>
  </si>
  <si>
    <t>uuid://74a8deed-b5f6-4e59-99c6-8613d01ca007</t>
  </si>
  <si>
    <t>FAN-225</t>
  </si>
  <si>
    <t>AHU83 FAN03</t>
  </si>
  <si>
    <t>uuid://84f0efdc-b961-48ae-b894-111481324c8d</t>
  </si>
  <si>
    <t>FAN-226</t>
  </si>
  <si>
    <t>AHU84 FAN01</t>
  </si>
  <si>
    <t>uuid://3cf30495-80f7-4815-a555-3e289f61e90e</t>
  </si>
  <si>
    <t>FAN-227</t>
  </si>
  <si>
    <t>AHU84 FAN02</t>
  </si>
  <si>
    <t>uuid://25146faa-fa4c-436f-8dee-b292ee7ef2c2</t>
  </si>
  <si>
    <t>FAN-228</t>
  </si>
  <si>
    <t>AHU84 FAN03</t>
  </si>
  <si>
    <t>uuid://f78ecfd8-2e69-4b5e-8712-9a3ac77effb5</t>
  </si>
  <si>
    <t>FAN-229</t>
  </si>
  <si>
    <t>AHU45 FAN01</t>
  </si>
  <si>
    <t>uuid://5947a102-c127-4ddf-b27e-4e1501615da6</t>
  </si>
  <si>
    <t>FAN-230</t>
  </si>
  <si>
    <t>AHU45 FAN02</t>
  </si>
  <si>
    <t>uuid://92bb9399-a5ff-4d56-a42f-965b0d202032</t>
  </si>
  <si>
    <t>FAN-231</t>
  </si>
  <si>
    <t>AHU45 FAN03</t>
  </si>
  <si>
    <t>uuid://cf2f83f3-9cad-4b6d-85c7-cddf510315e1</t>
  </si>
  <si>
    <t>FAN-232</t>
  </si>
  <si>
    <t>AHU46 FAN01</t>
  </si>
  <si>
    <t>uuid://c21de8ab-e881-4b77-b778-ff3b880431a0</t>
  </si>
  <si>
    <t>FAN-233</t>
  </si>
  <si>
    <t>AHU46 FAN02</t>
  </si>
  <si>
    <t>uuid://1064a0de-1d07-48c6-ae19-1a77ea3d9d40</t>
  </si>
  <si>
    <t>FAN-234</t>
  </si>
  <si>
    <t>AHU46 FAN03</t>
  </si>
  <si>
    <t>uuid://bf922179-b81a-4c4f-9729-08a6cd2516da</t>
  </si>
  <si>
    <t>FAN-235</t>
  </si>
  <si>
    <t>AHU57 FAN01</t>
  </si>
  <si>
    <t>575</t>
  </si>
  <si>
    <t>uuid://ed79b1fb-3524-49f5-b5ac-8fe46f50cef4</t>
  </si>
  <si>
    <t>FAN-236</t>
  </si>
  <si>
    <t>AHU57 FAN02</t>
  </si>
  <si>
    <t>uuid://0716cc77-04b4-4047-b74a-f998ce787640</t>
  </si>
  <si>
    <t>FAN-237</t>
  </si>
  <si>
    <t>AHU57 FAN03</t>
  </si>
  <si>
    <t>uuid://aa156599-3a61-48e6-97c9-ac859b589412</t>
  </si>
  <si>
    <t>FAN-238</t>
  </si>
  <si>
    <t>AHU58 FAN01</t>
  </si>
  <si>
    <t>uuid://65aba770-29eb-4a99-8220-466e87c7b481</t>
  </si>
  <si>
    <t>FAN-239</t>
  </si>
  <si>
    <t>AHU58 FAN02</t>
  </si>
  <si>
    <t>uuid://60e2e95a-ac42-43f9-86f5-441c8d8b0848</t>
  </si>
  <si>
    <t>FAN-240</t>
  </si>
  <si>
    <t>AHU58 FAN03</t>
  </si>
  <si>
    <t>uuid://f32ad115-1f7c-4b20-a754-014d4e19177d</t>
  </si>
  <si>
    <t>FAN-241</t>
  </si>
  <si>
    <t>AHU69 FAN01</t>
  </si>
  <si>
    <t>uuid://c150aba2-52d0-45f5-948f-3aaa5a249dee</t>
  </si>
  <si>
    <t>FAN-242</t>
  </si>
  <si>
    <t>AHU69 FAN02</t>
  </si>
  <si>
    <t>uuid://1d21ad08-44cd-4154-8ccb-1328dcda91e8</t>
  </si>
  <si>
    <t>FAN-243</t>
  </si>
  <si>
    <t>AHU69 FAN03</t>
  </si>
  <si>
    <t>uuid://6685d619-ac4c-40b4-9cc1-299c287f403f</t>
  </si>
  <si>
    <t>FAN-244</t>
  </si>
  <si>
    <t>AHU70 FAN01</t>
  </si>
  <si>
    <t>uuid://ebaf07f7-b52b-4bcd-9f35-680b90d495c5</t>
  </si>
  <si>
    <t>FAN-245</t>
  </si>
  <si>
    <t>AHU70 FAN02</t>
  </si>
  <si>
    <t>uuid://f3b445e6-514d-45a3-b779-1f408b59a4dc</t>
  </si>
  <si>
    <t>FAN-246</t>
  </si>
  <si>
    <t>AHU70 FAN03</t>
  </si>
  <si>
    <t>uuid://1bef8c65-1ee2-4f3b-a2c0-3bd47f0402ea</t>
  </si>
  <si>
    <t>FAN-247</t>
  </si>
  <si>
    <t>AHU82 FAN01</t>
  </si>
  <si>
    <t>775</t>
  </si>
  <si>
    <t>uuid://76a52a44-1452-429e-aead-45fd1050e7fc</t>
  </si>
  <si>
    <t>FAN-248</t>
  </si>
  <si>
    <t>AHU82 FAN02</t>
  </si>
  <si>
    <t>uuid://224bd96c-bce1-4301-a811-c34d6c3dfeb8</t>
  </si>
  <si>
    <t>FAN-249</t>
  </si>
  <si>
    <t>AHU82 FAN03</t>
  </si>
  <si>
    <t>uuid://773967fb-653d-4986-ad9c-cbe05392518c</t>
  </si>
  <si>
    <t>FAN-250</t>
  </si>
  <si>
    <t>AHU81 FAN01</t>
  </si>
  <si>
    <t>uuid://f902a17b-69db-4b4c-b042-e6861b3fa4f1</t>
  </si>
  <si>
    <t>FAN-251</t>
  </si>
  <si>
    <t>AHU81 FAN02</t>
  </si>
  <si>
    <t>uuid://73a7cdd9-2033-444d-8c20-fbff08ff446e</t>
  </si>
  <si>
    <t>FAN-252</t>
  </si>
  <si>
    <t>AHU81 FAN03</t>
  </si>
  <si>
    <t>uuid://81973464-621b-4807-b17b-258d481d698d</t>
  </si>
  <si>
    <t>FAN-253</t>
  </si>
  <si>
    <t>AHU77 FAN01</t>
  </si>
  <si>
    <t>634</t>
  </si>
  <si>
    <t>uuid://12ae5eef-9d5e-4452-bf53-36498768c5e1</t>
  </si>
  <si>
    <t>FAN-254</t>
  </si>
  <si>
    <t>AHU77 FAN02</t>
  </si>
  <si>
    <t>uuid://21cc5a56-914f-45b0-a615-d61004bb6c8b</t>
  </si>
  <si>
    <t>FAN-255</t>
  </si>
  <si>
    <t>AHU77 FAN03</t>
  </si>
  <si>
    <t>uuid://52408713-e425-4d08-aae1-15c69694b36b</t>
  </si>
  <si>
    <t>FAN-256</t>
  </si>
  <si>
    <t>AHU78 FAN01</t>
  </si>
  <si>
    <t>uuid://68e2dade-7c11-4796-9a12-84ae798e4082</t>
  </si>
  <si>
    <t>FAN-257</t>
  </si>
  <si>
    <t>AHU78 FAN02</t>
  </si>
  <si>
    <t>uuid://943ab03f-ea8b-4385-aad1-817d734656e5</t>
  </si>
  <si>
    <t>FAN-258</t>
  </si>
  <si>
    <t>AHU78 FAN03</t>
  </si>
  <si>
    <t>uuid://ba4f646c-53c5-4e24-8910-cca6e9c2fa36</t>
  </si>
  <si>
    <t>FAN-259</t>
  </si>
  <si>
    <t>AHU65 FAN01</t>
  </si>
  <si>
    <t>uuid://26e364b0-a8b8-4f23-9d92-1e636b2b8ddf</t>
  </si>
  <si>
    <t>FAN-260</t>
  </si>
  <si>
    <t>AHU65 FAN02</t>
  </si>
  <si>
    <t>uuid://e06e1eb3-c29e-4c75-ac2f-182bab0b9170</t>
  </si>
  <si>
    <t>FAN-261</t>
  </si>
  <si>
    <t>AHU65 FAN03</t>
  </si>
  <si>
    <t>uuid://5ae6fdaa-f6a1-48cc-904e-60a35b7f6d4b</t>
  </si>
  <si>
    <t>FAN-262</t>
  </si>
  <si>
    <t>AHU66 FAN01</t>
  </si>
  <si>
    <t>uuid://787c789e-3695-4820-a23e-1e16d5595186</t>
  </si>
  <si>
    <t>FAN-263</t>
  </si>
  <si>
    <t>AHU66 FAN02</t>
  </si>
  <si>
    <t>uuid://6a42a9a5-344a-41ba-8e7e-06d49eb2eaf9</t>
  </si>
  <si>
    <t>FAN-264</t>
  </si>
  <si>
    <t>AHU66 FAN03</t>
  </si>
  <si>
    <t>uuid://3b9cfd0c-fdd3-4bae-aaeb-97e23aaa30f9</t>
  </si>
  <si>
    <t>FAN-265</t>
  </si>
  <si>
    <t>AHU89 FAN01</t>
  </si>
  <si>
    <t>uuid://c84449d4-855a-4c9c-a50b-6990257dd60a</t>
  </si>
  <si>
    <t>FAN-266</t>
  </si>
  <si>
    <t>AHU89 FAN02</t>
  </si>
  <si>
    <t>uuid://8d318680-c47d-4a57-98cd-8cdf297a490a</t>
  </si>
  <si>
    <t>FAN-267</t>
  </si>
  <si>
    <t>AHU89 FAN03</t>
  </si>
  <si>
    <t>uuid://f6d7a2b4-b524-4c92-805e-0de51a3ef278</t>
  </si>
  <si>
    <t>FAN-268</t>
  </si>
  <si>
    <t>AHU90 FAN01</t>
  </si>
  <si>
    <t>uuid://06e6b501-c571-4ee4-8ad3-261fa9c399cb</t>
  </si>
  <si>
    <t>FAN-269</t>
  </si>
  <si>
    <t>AHU90 FAN02</t>
  </si>
  <si>
    <t>uuid://a1d695bf-20bd-4336-bef6-7b485372cbd2</t>
  </si>
  <si>
    <t>FAN-270</t>
  </si>
  <si>
    <t>AHU90 FAN03</t>
  </si>
  <si>
    <t>uuid://8ace0434-196c-4082-a6f8-6b569df2d657</t>
  </si>
  <si>
    <t>FAN-271</t>
  </si>
  <si>
    <t>AHU101 FAN01</t>
  </si>
  <si>
    <t>834</t>
  </si>
  <si>
    <t>uuid://1af57b1a-14b3-42f5-a7fd-c667d286f7d1</t>
  </si>
  <si>
    <t>FAN-272</t>
  </si>
  <si>
    <t>AHU101 FAN02</t>
  </si>
  <si>
    <t>uuid://0a232627-a38a-4e6f-8e36-a09537662c96</t>
  </si>
  <si>
    <t>FAN-273</t>
  </si>
  <si>
    <t>AHU101 FAN03</t>
  </si>
  <si>
    <t>uuid://108f64a6-801d-47f3-8a70-2db96ce42dae</t>
  </si>
  <si>
    <t>FAN-274</t>
  </si>
  <si>
    <t>AHU102 FAN01</t>
  </si>
  <si>
    <t>uuid://9025f95a-ee14-4642-ac5c-3dacb4e98b10</t>
  </si>
  <si>
    <t>FAN-275</t>
  </si>
  <si>
    <t>AHU102 FAN02</t>
  </si>
  <si>
    <t>uuid://24527aa9-3b88-437c-b31d-e823b9baa72c</t>
  </si>
  <si>
    <t>FAN-276</t>
  </si>
  <si>
    <t>AHU102 FAN03</t>
  </si>
  <si>
    <t>uuid://e5414beb-0cdf-48f3-9513-63ce2c168762</t>
  </si>
  <si>
    <t>FAN-277</t>
  </si>
  <si>
    <t>AHU113 FAN01</t>
  </si>
  <si>
    <t>934</t>
  </si>
  <si>
    <t>uuid://656d1b37-1afd-4c51-b77f-1ddcd97312ce</t>
  </si>
  <si>
    <t>FAN-278</t>
  </si>
  <si>
    <t>AHU113 FAN02</t>
  </si>
  <si>
    <t>uuid://6712e217-dc38-4314-b132-2b0a1f462a13</t>
  </si>
  <si>
    <t>FAN-279</t>
  </si>
  <si>
    <t>AHU113 FAN03</t>
  </si>
  <si>
    <t>uuid://317127d6-5e28-4970-912e-556a25dafa6c</t>
  </si>
  <si>
    <t>FAN-280</t>
  </si>
  <si>
    <t>AHU114 FAN01</t>
  </si>
  <si>
    <t>uuid://7ee893dd-5962-4729-9ef5-8b70d3f0690b</t>
  </si>
  <si>
    <t>FAN-281</t>
  </si>
  <si>
    <t>AHU114 FAN02</t>
  </si>
  <si>
    <t>uuid://985dad8a-6bfc-4c68-abce-e29d98847daf</t>
  </si>
  <si>
    <t>FAN-282</t>
  </si>
  <si>
    <t>AHU114 FAN03</t>
  </si>
  <si>
    <t>uuid://13fb1db0-c265-4494-b28d-33c14bfac233</t>
  </si>
  <si>
    <t>FAN-283</t>
  </si>
  <si>
    <t>AHU87 FAN01</t>
  </si>
  <si>
    <t>719</t>
  </si>
  <si>
    <t>uuid://f9cab069-9cb1-463b-9a0b-b247c56d2887</t>
  </si>
  <si>
    <t>FAN-284</t>
  </si>
  <si>
    <t>AHU87 FAN02</t>
  </si>
  <si>
    <t>uuid://7da00fe8-74b1-435d-8508-076a53e6be35</t>
  </si>
  <si>
    <t>FAN-285</t>
  </si>
  <si>
    <t>AHU87 FAN03</t>
  </si>
  <si>
    <t>uuid://537787fd-8629-49f4-98a1-af1e518e42fc</t>
  </si>
  <si>
    <t>FAN-286</t>
  </si>
  <si>
    <t>AHU88 FAN01</t>
  </si>
  <si>
    <t>uuid://4936e47d-a625-4e0e-b034-6cefb635b036</t>
  </si>
  <si>
    <t>FAN-287</t>
  </si>
  <si>
    <t>AHU88 FAN02</t>
  </si>
  <si>
    <t>uuid://99daf871-cc2e-448d-bcc2-a408f34adaf3</t>
  </si>
  <si>
    <t>FAN-288</t>
  </si>
  <si>
    <t>AHU88 FAN03</t>
  </si>
  <si>
    <t>uuid://431a7d14-077b-43d0-bea9-093d1364d2f8</t>
  </si>
  <si>
    <t>FAN-289</t>
  </si>
  <si>
    <t>AHU99 FAN01</t>
  </si>
  <si>
    <t>uuid://622de91e-ad51-413d-bc43-0ff964f23e10</t>
  </si>
  <si>
    <t>FAN-290</t>
  </si>
  <si>
    <t>AHU99 FAN02</t>
  </si>
  <si>
    <t>uuid://09e409f3-6e8e-4c56-b9ad-ae3c154359bf</t>
  </si>
  <si>
    <t>FAN-291</t>
  </si>
  <si>
    <t>AHU99 FAN03</t>
  </si>
  <si>
    <t>uuid://20b9c68b-6adf-4f19-98f7-e5f1b9aa748c</t>
  </si>
  <si>
    <t>FAN-292</t>
  </si>
  <si>
    <t>AHU100 FAN01</t>
  </si>
  <si>
    <t>uuid://b43fe899-062d-4307-9057-eb4ac55c9441</t>
  </si>
  <si>
    <t>FAN-293</t>
  </si>
  <si>
    <t>AHU100 FAN02</t>
  </si>
  <si>
    <t>uuid://e68794e7-121c-4567-bc86-4538f0f73b7a</t>
  </si>
  <si>
    <t>FAN-294</t>
  </si>
  <si>
    <t>AHU100 FAN03</t>
  </si>
  <si>
    <t>uuid://fb80bbab-2326-4152-9a27-6ff0831a5669</t>
  </si>
  <si>
    <t>FAN-295</t>
  </si>
  <si>
    <t>AHU111 FAN01</t>
  </si>
  <si>
    <t>uuid://ee760ba9-b44b-4c4e-8032-5b7650e576ed</t>
  </si>
  <si>
    <t>FAN-296</t>
  </si>
  <si>
    <t>AHU111 FAN02</t>
  </si>
  <si>
    <t>uuid://c06fef8b-0b4b-4005-80aa-de1662ad703a</t>
  </si>
  <si>
    <t>FAN-297</t>
  </si>
  <si>
    <t>AHU111 FAN03</t>
  </si>
  <si>
    <t>uuid://3b69dd96-b9f1-4bfc-a9fb-84299b0ea3fc</t>
  </si>
  <si>
    <t>FAN-298</t>
  </si>
  <si>
    <t>AHU112 FAN01</t>
  </si>
  <si>
    <t>uuid://814cb19c-ce7f-44bd-b469-69977039ed98</t>
  </si>
  <si>
    <t>FAN-299</t>
  </si>
  <si>
    <t>AHU112 FAN02</t>
  </si>
  <si>
    <t>uuid://fa6af5a0-a21b-46ac-900a-80aa3d865179</t>
  </si>
  <si>
    <t>FAN-300</t>
  </si>
  <si>
    <t>AHU112 FAN03</t>
  </si>
  <si>
    <t>uuid://640e3259-1998-4652-912b-7ea2557440e6</t>
  </si>
  <si>
    <t>FAN-301</t>
  </si>
  <si>
    <t>AHU123 FAN01</t>
  </si>
  <si>
    <t>uuid://69a776ed-232a-46dc-ae9f-13c2c15954d9</t>
  </si>
  <si>
    <t>FAN-302</t>
  </si>
  <si>
    <t>AHU123 FAN02</t>
  </si>
  <si>
    <t>uuid://970cb644-1487-4436-be0b-75ccd1425e37</t>
  </si>
  <si>
    <t>FAN-303</t>
  </si>
  <si>
    <t>AHU123 FAN03</t>
  </si>
  <si>
    <t>uuid://08c6ac8a-6db1-4463-86db-df4c46fa39d3</t>
  </si>
  <si>
    <t>FAN-304</t>
  </si>
  <si>
    <t>AHU124 FAN01</t>
  </si>
  <si>
    <t>uuid://825d49b9-baf4-470a-9686-d434f7658da9</t>
  </si>
  <si>
    <t>FAN-305</t>
  </si>
  <si>
    <t>AHU124 FAN02</t>
  </si>
  <si>
    <t>uuid://5b5edcf2-a6f9-41cf-8f5b-dfcf98536675</t>
  </si>
  <si>
    <t>FAN-306</t>
  </si>
  <si>
    <t>AHU124 FAN03</t>
  </si>
  <si>
    <t>uuid://12a33508-1c3f-4ec5-bfcd-de0948a60b64</t>
  </si>
  <si>
    <t>FAN-307</t>
  </si>
  <si>
    <t>AHU136 FAN01</t>
  </si>
  <si>
    <t>uuid://d76d72d0-7fd6-4ff6-8c04-53d809bb1a7c</t>
  </si>
  <si>
    <t>FAN-308</t>
  </si>
  <si>
    <t>AHU136 FAN02</t>
  </si>
  <si>
    <t>uuid://813b890c-b8b2-432a-bffa-020febb5f0a6</t>
  </si>
  <si>
    <t>FAN-309</t>
  </si>
  <si>
    <t>AHU136 FAN03</t>
  </si>
  <si>
    <t>uuid://f060b4a7-535c-4502-a8a4-b10527a4b4b9</t>
  </si>
  <si>
    <t>FAN-310</t>
  </si>
  <si>
    <t>AHU135 FAN01</t>
  </si>
  <si>
    <t>uuid://dc0f8011-7a30-4ea9-8e3c-e830627e335b</t>
  </si>
  <si>
    <t>FAN-311</t>
  </si>
  <si>
    <t>AHU135 FAN02</t>
  </si>
  <si>
    <t>uuid://cab48813-8bc6-4f3e-9f59-bdbac47ff9c3</t>
  </si>
  <si>
    <t>FAN-312</t>
  </si>
  <si>
    <t>AHU135 FAN03</t>
  </si>
  <si>
    <t>uuid://a9eeb873-b7cf-40ec-873e-906fe072bf50</t>
  </si>
  <si>
    <t>FAN-313</t>
  </si>
  <si>
    <t>AHU97 FAN01</t>
  </si>
  <si>
    <t>848</t>
  </si>
  <si>
    <t>uuid://7b6c62fa-502f-4c38-b567-3c8b341df40c</t>
  </si>
  <si>
    <t>FAN-314</t>
  </si>
  <si>
    <t>AHU97 FAN02</t>
  </si>
  <si>
    <t>uuid://2e86feb5-9ca2-46e7-a1b5-03a9e46c43fc</t>
  </si>
  <si>
    <t>FAN-315</t>
  </si>
  <si>
    <t>AHU97 FAN03</t>
  </si>
  <si>
    <t>uuid://9e60e849-b839-4f91-9854-d747deb94303</t>
  </si>
  <si>
    <t>FAN-316</t>
  </si>
  <si>
    <t>AHU98 FAN01</t>
  </si>
  <si>
    <t>uuid://a1706700-cd5f-427b-a159-05f99d2eff97</t>
  </si>
  <si>
    <t>FAN-317</t>
  </si>
  <si>
    <t>AHU98 FAN02</t>
  </si>
  <si>
    <t>uuid://5f44814a-2140-45c5-b150-dc4f16e510c9</t>
  </si>
  <si>
    <t>FAN-318</t>
  </si>
  <si>
    <t>AHU98 FAN03</t>
  </si>
  <si>
    <t>uuid://40c8f94c-29b6-4a26-a9d2-29d1f5290c52</t>
  </si>
  <si>
    <t>FAN-319</t>
  </si>
  <si>
    <t>AHU109 FAN01</t>
  </si>
  <si>
    <t>uuid://4676c6e7-0e39-4126-9e9b-06503c95c384</t>
  </si>
  <si>
    <t>FAN-320</t>
  </si>
  <si>
    <t>AHU109 FAN02</t>
  </si>
  <si>
    <t>uuid://2c6f7365-eca1-465c-ba5d-4857098d6f7d</t>
  </si>
  <si>
    <t>FAN-321</t>
  </si>
  <si>
    <t>AHU109 FAN03</t>
  </si>
  <si>
    <t>uuid://61e7999d-77fb-41b7-9633-52d9513041d8</t>
  </si>
  <si>
    <t>FAN-322</t>
  </si>
  <si>
    <t>AHU110 FAN01</t>
  </si>
  <si>
    <t>uuid://2d359290-00c4-4201-8f2d-7e0f963bcb1c</t>
  </si>
  <si>
    <t>FAN-323</t>
  </si>
  <si>
    <t>AHU110 FAN02</t>
  </si>
  <si>
    <t>uuid://9842d113-1add-4568-9325-d92f46a0d6ab</t>
  </si>
  <si>
    <t>FAN-324</t>
  </si>
  <si>
    <t>AHU110 FAN03</t>
  </si>
  <si>
    <t>uuid://1404d46f-e261-4847-820b-334dc6548e60</t>
  </si>
  <si>
    <t>FAN-325</t>
  </si>
  <si>
    <t>AHU121 FAN01</t>
  </si>
  <si>
    <t>uuid://1140dc57-ba56-410b-9949-e28127cf28c0</t>
  </si>
  <si>
    <t>FAN-326</t>
  </si>
  <si>
    <t>AHU121 FAN02</t>
  </si>
  <si>
    <t>uuid://c7c89cc2-6cf2-433c-9177-6ee18120780b</t>
  </si>
  <si>
    <t>FAN-327</t>
  </si>
  <si>
    <t>AHU121 FAN03</t>
  </si>
  <si>
    <t>uuid://6c5fde22-0121-47b5-9b25-3a1d172c69c6</t>
  </si>
  <si>
    <t>FAN-328</t>
  </si>
  <si>
    <t>AHU122 FAN01</t>
  </si>
  <si>
    <t>uuid://c29b123a-54a0-4849-b1ac-d7a11e8fafe9</t>
  </si>
  <si>
    <t>FAN-329</t>
  </si>
  <si>
    <t>AHU122 FAN02</t>
  </si>
  <si>
    <t>uuid://6e97681e-23a0-4813-8a8c-deac02d5a4de</t>
  </si>
  <si>
    <t>FAN-330</t>
  </si>
  <si>
    <t>AHU122 FAN03</t>
  </si>
  <si>
    <t>uuid://8fee2f07-b557-4a71-8db0-0e9960bbed63</t>
  </si>
  <si>
    <t>FAN-331</t>
  </si>
  <si>
    <t>AHU133 FAN01</t>
  </si>
  <si>
    <t>uuid://07d08094-f7d2-4c6e-b97d-08c786a536f9</t>
  </si>
  <si>
    <t>FAN-332</t>
  </si>
  <si>
    <t>AHU133 FAN02</t>
  </si>
  <si>
    <t>uuid://09cdc64c-83b5-44db-bb55-81853bb53057</t>
  </si>
  <si>
    <t>FAN-333</t>
  </si>
  <si>
    <t>AHU133 FAN03</t>
  </si>
  <si>
    <t>uuid://f064b181-5048-445d-a867-b7f1197c4810</t>
  </si>
  <si>
    <t>FAN-334</t>
  </si>
  <si>
    <t>AHU134 FAN01</t>
  </si>
  <si>
    <t>uuid://fb6c141a-aff3-407f-9759-5d0c2e07b243</t>
  </si>
  <si>
    <t>FAN-335</t>
  </si>
  <si>
    <t>AHU134 FAN02</t>
  </si>
  <si>
    <t>uuid://920e8ce6-a7d9-49c8-a88a-65b6a5aa9880</t>
  </si>
  <si>
    <t>FAN-336</t>
  </si>
  <si>
    <t>AHU134 FAN03</t>
  </si>
  <si>
    <t>uuid://45ebde05-7d1a-4bef-aec0-d3c70529cbc4</t>
  </si>
  <si>
    <t>FAN-337</t>
  </si>
  <si>
    <t>AHU95 FAN01</t>
  </si>
  <si>
    <t>uuid://3f93b87d-71d9-40bc-be88-6f04ea5c919d</t>
  </si>
  <si>
    <t>FAN-338</t>
  </si>
  <si>
    <t>AHU95 FAN02</t>
  </si>
  <si>
    <t>uuid://b0dad265-8ba7-4541-a1c8-b8d8448b04ed</t>
  </si>
  <si>
    <t>FAN-339</t>
  </si>
  <si>
    <t>AHU95 FAN03</t>
  </si>
  <si>
    <t>uuid://3a51a6b6-765c-4cf3-82cb-cd381d53acc4</t>
  </si>
  <si>
    <t>FAN-340</t>
  </si>
  <si>
    <t>AHU96 FAN01</t>
  </si>
  <si>
    <t>uuid://d5c80f85-abd0-4f4b-b808-5774b93b483d</t>
  </si>
  <si>
    <t>FAN-341</t>
  </si>
  <si>
    <t>AHU96 FAN02</t>
  </si>
  <si>
    <t>uuid://961e212d-b5c2-47f6-a0db-7a2b64ea0310</t>
  </si>
  <si>
    <t>FAN-342</t>
  </si>
  <si>
    <t>AHU96 FAN03</t>
  </si>
  <si>
    <t>uuid://c17c70b8-74b0-4351-94ae-837e839f8c39</t>
  </si>
  <si>
    <t>FAN-343</t>
  </si>
  <si>
    <t>AHU107 FAN01</t>
  </si>
  <si>
    <t>963</t>
  </si>
  <si>
    <t>uuid://2e857b73-8b49-48b2-9e78-f140b5ffe448</t>
  </si>
  <si>
    <t>FAN-344</t>
  </si>
  <si>
    <t>AHU107 FAN02</t>
  </si>
  <si>
    <t>uuid://9d0ac074-e93c-4d0f-aed2-ebed87692d28</t>
  </si>
  <si>
    <t>FAN-345</t>
  </si>
  <si>
    <t>AHU107 FAN03</t>
  </si>
  <si>
    <t>uuid://de1934e9-7b11-4642-b0f2-5b8bce05300a</t>
  </si>
  <si>
    <t>FAN-346</t>
  </si>
  <si>
    <t>AHU108 FAN01</t>
  </si>
  <si>
    <t>uuid://cd213695-eed1-4925-b4fb-0a5a412d3fcc</t>
  </si>
  <si>
    <t>FAN-347</t>
  </si>
  <si>
    <t>AHU108 FAN02</t>
  </si>
  <si>
    <t>uuid://3a9f85b6-ea9f-4142-9a40-4a4a9be80db8</t>
  </si>
  <si>
    <t>FAN-348</t>
  </si>
  <si>
    <t>AHU108 FAN03</t>
  </si>
  <si>
    <t>uuid://f7c1f0a2-82de-438f-ae73-b15512f93152</t>
  </si>
  <si>
    <t>FAN-349</t>
  </si>
  <si>
    <t>AHU119 FAN01</t>
  </si>
  <si>
    <t>uuid://83dc623e-02cd-4d62-bd21-835d6d2d4b35</t>
  </si>
  <si>
    <t>FAN-350</t>
  </si>
  <si>
    <t>AHU119 FAN02</t>
  </si>
  <si>
    <t>uuid://e61c437d-1c70-4899-beea-a8c128b97b80</t>
  </si>
  <si>
    <t>FAN-351</t>
  </si>
  <si>
    <t>AHU119 FAN03</t>
  </si>
  <si>
    <t>uuid://d63b01a4-0417-481e-bbc6-aa5990621db3</t>
  </si>
  <si>
    <t>FAN-352</t>
  </si>
  <si>
    <t>AHU120 FAN01</t>
  </si>
  <si>
    <t>uuid://0ff398db-f967-4e8a-b0e7-996502adda19</t>
  </si>
  <si>
    <t>FAN-353</t>
  </si>
  <si>
    <t>AHU120 FAN02</t>
  </si>
  <si>
    <t>uuid://ed32fe79-5688-41b7-94e0-4662c2905956</t>
  </si>
  <si>
    <t>FAN-354</t>
  </si>
  <si>
    <t>AHU120 FAN03</t>
  </si>
  <si>
    <t>uuid://73ad56fb-6603-4d76-8a8a-dae1ce0c8f3e</t>
  </si>
  <si>
    <t>FAN-355</t>
  </si>
  <si>
    <t>AHU131 FAN01</t>
  </si>
  <si>
    <t>uuid://255231eb-9bff-49f5-b888-f97beb620c7e</t>
  </si>
  <si>
    <t>FAN-356</t>
  </si>
  <si>
    <t>AHU131 FAN02</t>
  </si>
  <si>
    <t>uuid://eba177f2-6f8b-4ea4-ba4a-c9b617172f1b</t>
  </si>
  <si>
    <t>FAN-357</t>
  </si>
  <si>
    <t>AHU131 FAN03</t>
  </si>
  <si>
    <t>uuid://1b6c6869-2ba1-49bc-b9be-26a4740668f5</t>
  </si>
  <si>
    <t>FAN-358</t>
  </si>
  <si>
    <t>AHU132 FAN01</t>
  </si>
  <si>
    <t>uuid://db281ff0-cb50-4804-aa6c-89ac4a16afc5</t>
  </si>
  <si>
    <t>FAN-359</t>
  </si>
  <si>
    <t>AHU132 FAN02</t>
  </si>
  <si>
    <t>uuid://f9e7470d-6bda-4317-9cc6-ce07fcf1e945</t>
  </si>
  <si>
    <t>FAN-360</t>
  </si>
  <si>
    <t>AHU132 FAN03</t>
  </si>
  <si>
    <t>uuid://aa14fd5d-77f2-4aeb-8f48-4e920924022f</t>
  </si>
  <si>
    <t>FAN-361</t>
  </si>
  <si>
    <t>AHU103 FAN01</t>
  </si>
  <si>
    <t>uuid://5f21fcb5-1188-40a2-8e83-65806c5315cb</t>
  </si>
  <si>
    <t>FAN-362</t>
  </si>
  <si>
    <t>AHU103 FAN02</t>
  </si>
  <si>
    <t>uuid://65f480b4-329b-466e-b534-60f1a3a13b47</t>
  </si>
  <si>
    <t>FAN-363</t>
  </si>
  <si>
    <t>AHU103 FAN03</t>
  </si>
  <si>
    <t>uuid://5a1daaa4-a759-4d23-ba1a-a9dbe0945085</t>
  </si>
  <si>
    <t>FAN-364</t>
  </si>
  <si>
    <t>AHU104 FAN01</t>
  </si>
  <si>
    <t>uuid://c7963880-48a4-4e1e-a549-20416fcb455e</t>
  </si>
  <si>
    <t>FAN-365</t>
  </si>
  <si>
    <t>AHU104 FAN02</t>
  </si>
  <si>
    <t>uuid://c4ec0f0a-4071-45d7-a8c4-59eba5491ddd</t>
  </si>
  <si>
    <t>FAN-366</t>
  </si>
  <si>
    <t>AHU104 FAN03</t>
  </si>
  <si>
    <t>uuid://c2a0bc18-8181-4482-9206-30e0d45c5f1c</t>
  </si>
  <si>
    <t>FAN-367</t>
  </si>
  <si>
    <t>AHU115 FAN01</t>
  </si>
  <si>
    <t>933</t>
  </si>
  <si>
    <t>uuid://f2300c76-13ae-4984-9955-9681ee00eb0e</t>
  </si>
  <si>
    <t>FAN-368</t>
  </si>
  <si>
    <t>AHU115 FAN02</t>
  </si>
  <si>
    <t>uuid://9163355a-5e8f-4ee3-86fb-026e6a963e7f</t>
  </si>
  <si>
    <t>FAN-369</t>
  </si>
  <si>
    <t>AHU115 FAN03</t>
  </si>
  <si>
    <t>uuid://ca99b0de-76e1-49fe-b9aa-153943b16362</t>
  </si>
  <si>
    <t>FAN-370</t>
  </si>
  <si>
    <t>AHU116 FAN01</t>
  </si>
  <si>
    <t>uuid://fae426f6-7dcd-4615-8ee8-9807a962dd9d</t>
  </si>
  <si>
    <t>FAN-371</t>
  </si>
  <si>
    <t>AHU116 FAN02</t>
  </si>
  <si>
    <t>uuid://75c629c1-610d-4506-a1ba-7ae7c67567d0</t>
  </si>
  <si>
    <t>FAN-372</t>
  </si>
  <si>
    <t>AHU116 FAN03</t>
  </si>
  <si>
    <t>uuid://894c1aa8-6b2f-41ae-8b97-468124e0111d</t>
  </si>
  <si>
    <t>FAN-373</t>
  </si>
  <si>
    <t>AHU127 FAN01</t>
  </si>
  <si>
    <t>uuid://09fb9f68-48d8-43fc-bdf7-5ddfcc9f1a3e</t>
  </si>
  <si>
    <t>FAN-374</t>
  </si>
  <si>
    <t>AHU127 FAN02</t>
  </si>
  <si>
    <t>uuid://6139612b-9f61-4d47-b42f-a5c99813ec39</t>
  </si>
  <si>
    <t>FAN-375</t>
  </si>
  <si>
    <t>AHU127 FAN03</t>
  </si>
  <si>
    <t>uuid://a31cdbfb-0bf9-4b14-8b13-5c43e3063d91</t>
  </si>
  <si>
    <t>FAN-376</t>
  </si>
  <si>
    <t>AHU128 FAN01</t>
  </si>
  <si>
    <t>uuid://b7064509-016c-42ed-bd5c-28b56072bd86</t>
  </si>
  <si>
    <t>FAN-377</t>
  </si>
  <si>
    <t>AHU128 FAN02</t>
  </si>
  <si>
    <t>uuid://3e341e00-62d5-414a-a253-adecb5e33c54</t>
  </si>
  <si>
    <t>FAN-378</t>
  </si>
  <si>
    <t>AHU128 FAN03</t>
  </si>
  <si>
    <t>uuid://c25c9578-a594-4566-82cb-52dbf7b2eb67</t>
  </si>
  <si>
    <t>FAN-379</t>
  </si>
  <si>
    <t>AHU139 FAN01</t>
  </si>
  <si>
    <t>uuid://d87a33e6-5f30-49d2-9e6f-b7dbbbd8b515</t>
  </si>
  <si>
    <t>FAN-380</t>
  </si>
  <si>
    <t>AHU139 FAN02</t>
  </si>
  <si>
    <t>uuid://f16894da-c444-419e-8859-75de83ea27a8</t>
  </si>
  <si>
    <t>FAN-381</t>
  </si>
  <si>
    <t>AHU139 FAN03</t>
  </si>
  <si>
    <t>uuid://b1b107af-ede4-40d7-a2a8-e89c6cefb85e</t>
  </si>
  <si>
    <t>FAN-382</t>
  </si>
  <si>
    <t>AHU140 FAN01</t>
  </si>
  <si>
    <t>uuid://fa83c43b-8f7a-417b-b420-046d9ff8318e</t>
  </si>
  <si>
    <t>FAN-383</t>
  </si>
  <si>
    <t>AHU140 FAN02</t>
  </si>
  <si>
    <t>uuid://e3e612e0-7e85-4511-8618-7803809e2860</t>
  </si>
  <si>
    <t>FAN-384</t>
  </si>
  <si>
    <t>AHU140 FAN03</t>
  </si>
  <si>
    <t>uuid://fabb3899-f5d6-4e1a-90c1-cc4be8423848</t>
  </si>
  <si>
    <t>FAN-385</t>
  </si>
  <si>
    <t>AHU93 FAN01</t>
  </si>
  <si>
    <t>875</t>
  </si>
  <si>
    <t>uuid://1a0e8429-d096-4f87-82c7-46a8a61cb568</t>
  </si>
  <si>
    <t>FAN-386</t>
  </si>
  <si>
    <t>AHU93 FAN02</t>
  </si>
  <si>
    <t>uuid://b284c95e-2516-45c9-9423-a35b91e9a74d</t>
  </si>
  <si>
    <t>FAN-387</t>
  </si>
  <si>
    <t>AHU93 FAN03</t>
  </si>
  <si>
    <t>uuid://5c6a48bf-438c-45cf-8dd2-4e60dc0362e9</t>
  </si>
  <si>
    <t>FAN-388</t>
  </si>
  <si>
    <t>AHU94 FAN01</t>
  </si>
  <si>
    <t>uuid://e770d2b2-a038-4d31-846d-0be2b387d47b</t>
  </si>
  <si>
    <t>FAN-389</t>
  </si>
  <si>
    <t>AHU94 FAN02</t>
  </si>
  <si>
    <t>uuid://cf93fc2b-69dc-43b2-9d64-70149d8e0aa3</t>
  </si>
  <si>
    <t>FAN-390</t>
  </si>
  <si>
    <t>AHU94 FAN03</t>
  </si>
  <si>
    <t>uuid://0dd54f91-831b-43a8-8fda-4efd83822c6b</t>
  </si>
  <si>
    <t>FAN-391</t>
  </si>
  <si>
    <t>AHU105 FAN01</t>
  </si>
  <si>
    <t>975</t>
  </si>
  <si>
    <t>uuid://903b5d5a-fc60-4e4a-8d06-502d9a22b00f</t>
  </si>
  <si>
    <t>FAN-392</t>
  </si>
  <si>
    <t>AHU105 FAN02</t>
  </si>
  <si>
    <t>uuid://43dc5318-a86f-4397-a0a4-b49731a66710</t>
  </si>
  <si>
    <t>FAN-393</t>
  </si>
  <si>
    <t>AHU105 FAN03</t>
  </si>
  <si>
    <t>uuid://9eee83d4-4fe6-45df-8334-1668f3cd8744</t>
  </si>
  <si>
    <t>FAN-394</t>
  </si>
  <si>
    <t>AHU106 FAN01</t>
  </si>
  <si>
    <t>uuid://a6d5f883-51ff-4e95-aa11-40af52f8936d</t>
  </si>
  <si>
    <t>FAN-395</t>
  </si>
  <si>
    <t>AHU106 FAN02</t>
  </si>
  <si>
    <t>uuid://66519dca-253f-4fea-89c5-e93ba943a42b</t>
  </si>
  <si>
    <t>FAN-396</t>
  </si>
  <si>
    <t>AHU106 FAN03</t>
  </si>
  <si>
    <t>uuid://be46dd60-0e60-44b9-af20-c272704282d2</t>
  </si>
  <si>
    <t>FAN-397</t>
  </si>
  <si>
    <t>AHU117 FAN01</t>
  </si>
  <si>
    <t>uuid://af89e986-4ada-45f9-b1b7-663be1630420</t>
  </si>
  <si>
    <t>FAN-398</t>
  </si>
  <si>
    <t>AHU117 FAN02</t>
  </si>
  <si>
    <t>uuid://ae52f52d-db4e-4fd3-a1a0-20d789c08432</t>
  </si>
  <si>
    <t>FAN-399</t>
  </si>
  <si>
    <t>AHU117 FAN03</t>
  </si>
  <si>
    <t>uuid://85dc5c0a-cdf1-45c3-8a10-1434a7a12b66</t>
  </si>
  <si>
    <t>FAN-400</t>
  </si>
  <si>
    <t>AHU118 FAN01</t>
  </si>
  <si>
    <t>uuid://f024fefd-4657-491f-ba6c-df002a8e6060</t>
  </si>
  <si>
    <t>FAN-401</t>
  </si>
  <si>
    <t>AHU118 FAN02</t>
  </si>
  <si>
    <t>uuid://30b148bd-4f4a-40a2-942d-198efbdd54fd</t>
  </si>
  <si>
    <t>FAN-402</t>
  </si>
  <si>
    <t>AHU118 FAN03</t>
  </si>
  <si>
    <t>uuid://2bfdd52d-0cc6-4f92-8372-b54c6071adb6</t>
  </si>
  <si>
    <t>FAN-403</t>
  </si>
  <si>
    <t>AHU129 FAN01</t>
  </si>
  <si>
    <t>uuid://d4afb4d5-2ff4-46f4-b797-a1750d47e049</t>
  </si>
  <si>
    <t>FAN-404</t>
  </si>
  <si>
    <t>AHU129 FAN02</t>
  </si>
  <si>
    <t>uuid://2971e60d-709b-4328-a01e-48079250072e</t>
  </si>
  <si>
    <t>FAN-405</t>
  </si>
  <si>
    <t>AHU129 FAN03</t>
  </si>
  <si>
    <t>uuid://44c2bcb7-cda5-4305-baa4-d816fb7bc434</t>
  </si>
  <si>
    <t>FAN-406</t>
  </si>
  <si>
    <t>AHU130 FAN01</t>
  </si>
  <si>
    <t>uuid://5254cced-7f16-48fb-87ff-25b1898d8ee4</t>
  </si>
  <si>
    <t>FAN-407</t>
  </si>
  <si>
    <t>AHU130 FAN02</t>
  </si>
  <si>
    <t>uuid://a11b6ad4-1834-48a1-86bb-8a971bf6fdd6</t>
  </si>
  <si>
    <t>FAN-408</t>
  </si>
  <si>
    <t>AHU130 FAN03</t>
  </si>
  <si>
    <t>uuid://78bce4e4-9532-4983-bc59-d543f8a0f7a6</t>
  </si>
  <si>
    <t>FAN-409</t>
  </si>
  <si>
    <t>AHU125 FAN01</t>
  </si>
  <si>
    <t>uuid://0c7adae0-eea3-4da9-862f-1dd8ba49611f</t>
  </si>
  <si>
    <t>FAN-410</t>
  </si>
  <si>
    <t>AHU125 FAN02</t>
  </si>
  <si>
    <t>uuid://4fd1414a-ace1-4398-a21b-8d7693c56921</t>
  </si>
  <si>
    <t>FAN-411</t>
  </si>
  <si>
    <t>AHU125 FAN03</t>
  </si>
  <si>
    <t>uuid://a2cdd119-575a-45d6-80ce-78e5b422cb50</t>
  </si>
  <si>
    <t>FAN-412</t>
  </si>
  <si>
    <t>AHU126 FAN01</t>
  </si>
  <si>
    <t>uuid://f72be7d8-9bdf-4dac-843b-fe251f51a6fd</t>
  </si>
  <si>
    <t>FAN-413</t>
  </si>
  <si>
    <t>AHU126 FAN02</t>
  </si>
  <si>
    <t>uuid://cf1b7ae1-68d1-4247-85f4-744d554d4e79</t>
  </si>
  <si>
    <t>FAN-414</t>
  </si>
  <si>
    <t>AHU126 FAN03</t>
  </si>
  <si>
    <t>uuid://13f7228d-f399-493a-9b43-660794d446bd</t>
  </si>
  <si>
    <t>FAN-415</t>
  </si>
  <si>
    <t>AHU137 FAN01</t>
  </si>
  <si>
    <t>uuid://188ccb24-7c22-4173-94c5-4d38b4081e3f</t>
  </si>
  <si>
    <t>FAN-416</t>
  </si>
  <si>
    <t>AHU137 FAN02</t>
  </si>
  <si>
    <t>uuid://7eacec09-225f-4ad1-8cb7-a1d814073821</t>
  </si>
  <si>
    <t>FAN-417</t>
  </si>
  <si>
    <t>AHU137 FAN03</t>
  </si>
  <si>
    <t>uuid://0fb13cbf-74ba-4a93-9a09-d3c0b8916c2b</t>
  </si>
  <si>
    <t>FAN-418</t>
  </si>
  <si>
    <t>AHU138 FAN01</t>
  </si>
  <si>
    <t>uuid://8568f1d1-51e5-4714-8fbd-3901b226e071</t>
  </si>
  <si>
    <t>FAN-419</t>
  </si>
  <si>
    <t>AHU138 FAN02</t>
  </si>
  <si>
    <t>uuid://500fe65b-336b-4a33-bcef-cb6c29394ab1</t>
  </si>
  <si>
    <t>FAN-420</t>
  </si>
  <si>
    <t>AHU138 FAN03</t>
  </si>
  <si>
    <t>uuid://35792bab-a6d4-40e2-9dec-2aa44f628d92</t>
  </si>
  <si>
    <t>uuid://5ca04782-18c6-487c-a320-911a92f22bae</t>
  </si>
  <si>
    <t>uuid://6b7bdc13-36c0-4862-9be1-d2298d6a1cc2</t>
  </si>
  <si>
    <t>uuid://10978034-3fab-4798-a450-34c7c23f900b</t>
  </si>
  <si>
    <t>uuid://f63f93f3-70cb-4315-ad71-c79e6ebeb119</t>
  </si>
  <si>
    <t>uuid://5fc4db6c-c9a0-4ece-a44c-56bc89e42b4d</t>
  </si>
  <si>
    <t>uuid://48b18076-bce3-4b1f-a1c6-cf3fca18372a</t>
  </si>
  <si>
    <t>uuid://1264a0fc-a3ec-47e1-8f35-086f4b2863c1</t>
  </si>
  <si>
    <t>uuid://9ac6d7b6-b2c3-4ebf-b636-12c6ecfea71a</t>
  </si>
  <si>
    <t>uuid://8432f366-664f-4f42-8469-ed17b08b7a33</t>
  </si>
  <si>
    <t>uuid://d4a596d9-fb94-43e8-8e56-e44d4cca03f3</t>
  </si>
  <si>
    <t>uuid://12a34c20-5f06-400a-ba23-9eb0461a6487</t>
  </si>
  <si>
    <t>uuid://e35503ef-4403-4772-a466-3e8702678c36</t>
  </si>
  <si>
    <t>General Site Info</t>
  </si>
  <si>
    <r>
      <rPr>
        <rFont val="Google Sans"/>
        <b/>
        <i/>
        <color rgb="FFFF0000"/>
        <sz val="10.0"/>
      </rPr>
      <t xml:space="preserve">Specify the system the control panel is used for.
</t>
    </r>
    <r>
      <rPr>
        <rFont val="Google Sans"/>
        <b/>
        <i/>
        <color rgb="FF0000FF"/>
        <sz val="10.0"/>
      </rPr>
      <t>(E.g. From Dropdown)</t>
    </r>
  </si>
  <si>
    <r>
      <rPr>
        <rFont val="Google Sans"/>
        <b/>
        <i/>
        <color rgb="FFFF0000"/>
        <sz val="10.0"/>
      </rPr>
      <t xml:space="preserve">Specify the asset name as defined in the BOS Naming and Labeling Standard 
</t>
    </r>
    <r>
      <rPr>
        <rFont val="Google Sans"/>
        <b/>
        <i/>
        <color rgb="FF0000FF"/>
        <sz val="10.0"/>
      </rPr>
      <t>(E.g. CTRP-1 etc.)</t>
    </r>
  </si>
  <si>
    <r>
      <rPr>
        <rFont val="Google Sans"/>
        <b/>
        <i/>
        <color rgb="FFFF0000"/>
        <sz val="10.0"/>
      </rPr>
      <t xml:space="preserve">Specify the manufacturer of the control panel.
</t>
    </r>
    <r>
      <rPr>
        <rFont val="Google Sans"/>
        <b/>
        <i/>
        <color rgb="FF0000FF"/>
        <sz val="10.0"/>
      </rPr>
      <t>(E.g. Schneider, Generic)</t>
    </r>
  </si>
  <si>
    <r>
      <rPr>
        <rFont val="Google Sans"/>
        <b/>
        <i/>
        <color rgb="FFFF0000"/>
        <sz val="10.0"/>
      </rPr>
      <t xml:space="preserve">Specify the model type of the control panel
</t>
    </r>
    <r>
      <rPr>
        <rFont val="Google Sans"/>
        <b/>
        <i/>
        <color rgb="FF0000FF"/>
        <sz val="10.0"/>
      </rPr>
      <t>(E.g. Generic)</t>
    </r>
  </si>
  <si>
    <r>
      <rPr>
        <rFont val="Google Sans"/>
        <b/>
        <i/>
        <color rgb="FFFF0000"/>
        <sz val="10.0"/>
      </rPr>
      <t xml:space="preserve">Specify the floor on which the control panel is installed.
</t>
    </r>
    <r>
      <rPr>
        <rFont val="Google Sans"/>
        <b/>
        <i/>
        <color rgb="FF0000FF"/>
        <sz val="10.0"/>
      </rPr>
      <t>(E.g. 1,2,3)</t>
    </r>
  </si>
  <si>
    <r>
      <rPr>
        <rFont val="Google Sans"/>
        <b/>
        <i/>
        <color rgb="FFFF0000"/>
        <sz val="10.0"/>
      </rPr>
      <t xml:space="preserve">Specify the location of the Device based on the REWS ID in FloorScope.
</t>
    </r>
    <r>
      <rPr>
        <rFont val="Google Sans"/>
        <b/>
        <i/>
        <color rgb="FF0000FF"/>
        <sz val="10.0"/>
      </rPr>
      <t xml:space="preserve">(E.g. 101, B155, etc.) </t>
    </r>
    <r>
      <rPr>
        <rFont val="Google Sans"/>
        <b/>
        <i/>
        <color rgb="FFFF0000"/>
        <sz val="10.0"/>
      </rPr>
      <t>or if on New Construction, the Construction ID</t>
    </r>
  </si>
  <si>
    <r>
      <rPr>
        <rFont val="Google Sans"/>
        <b/>
        <i/>
        <color rgb="FFFF0000"/>
        <sz val="10.0"/>
      </rPr>
      <t xml:space="preserve">Specify the control panel reference if no asset name.
</t>
    </r>
    <r>
      <rPr>
        <rFont val="Google Sans"/>
        <b/>
        <i/>
        <color rgb="FF0000FF"/>
        <sz val="10.0"/>
      </rPr>
      <t>(E.g.MCC1)</t>
    </r>
  </si>
  <si>
    <r>
      <rPr>
        <rFont val="Google Sans"/>
        <b/>
        <i/>
        <color rgb="FFFF0000"/>
        <sz val="10.0"/>
      </rPr>
      <t xml:space="preserve">Perform a check to confirm status (Including end to end checks to headend.
</t>
    </r>
    <r>
      <rPr>
        <rFont val="Google Sans"/>
        <b/>
        <i/>
        <color rgb="FF0000FF"/>
        <sz val="10.0"/>
      </rPr>
      <t>(E.g.Active, Retired)</t>
    </r>
  </si>
  <si>
    <r>
      <rPr>
        <rFont val="Google Sans"/>
        <b/>
        <i/>
        <color rgb="FFFF0000"/>
        <sz val="10.0"/>
      </rPr>
      <t xml:space="preserve">Specify if QR Code has been applied to the Device
</t>
    </r>
    <r>
      <rPr>
        <rFont val="Google Sans"/>
        <b/>
        <i/>
        <color rgb="FF0000FF"/>
        <sz val="10.0"/>
      </rPr>
      <t xml:space="preserve">(E.g. Yes) </t>
    </r>
  </si>
  <si>
    <r>
      <rPr>
        <rFont val="Google Sans"/>
        <b/>
        <i/>
        <color rgb="FFFF0000"/>
        <sz val="10.0"/>
      </rPr>
      <t xml:space="preserve">Human readable QR code that gets printed on the QR code label
 prefix_AssetName_suffix where prefix is optional site name and suffix is optional FM description
</t>
    </r>
    <r>
      <rPr>
        <rFont val="Google Sans"/>
        <b/>
        <i/>
        <color rgb="FF0000FF"/>
        <sz val="10.0"/>
      </rPr>
      <t xml:space="preserve">(E.g. CTRP-1_1-Boilers) </t>
    </r>
  </si>
  <si>
    <r>
      <rPr>
        <rFont val="Google Sans"/>
        <b/>
        <i/>
        <color rgb="FFFF0000"/>
        <sz val="10.0"/>
      </rPr>
      <t xml:space="preserve">Specify the GUID. 
examples -
If BIM:
</t>
    </r>
    <r>
      <rPr>
        <rFont val="Google Sans"/>
        <b/>
        <i/>
        <color rgb="FF0000FF"/>
        <sz val="10.0"/>
      </rPr>
      <t>ifc://04aEp5ymD_$u5IxhJN2aGi</t>
    </r>
    <r>
      <rPr>
        <rFont val="Google Sans"/>
        <b/>
        <i/>
        <color rgb="FFFF0000"/>
        <sz val="10.0"/>
      </rPr>
      <t xml:space="preserve">
If not BIM:
</t>
    </r>
    <r>
      <rPr>
        <rFont val="Google Sans"/>
        <b/>
        <i/>
        <color rgb="FF0000FF"/>
        <sz val="10.0"/>
      </rPr>
      <t xml:space="preserve">uuid://d3501378-dd50-47c5-ae26-806726e1b749
</t>
    </r>
    <r>
      <rPr>
        <rFont val="Google Sans"/>
        <b/>
        <i/>
        <color rgb="FFFF0000"/>
        <sz val="10.0"/>
      </rPr>
      <t>Can be generated using the menu Add-Ons &gt; Insert &gt; Insert GUID</t>
    </r>
  </si>
  <si>
    <r>
      <rPr>
        <rFont val="Google Sans"/>
        <b/>
        <i/>
        <color rgb="FFFF0000"/>
        <sz val="10.0"/>
      </rPr>
      <t xml:space="preserve">Specify all the Devices installed within the Control Panel.
</t>
    </r>
    <r>
      <rPr>
        <rFont val="Google Sans"/>
        <b/>
        <i/>
        <color rgb="FF0000FF"/>
        <sz val="10.0"/>
      </rPr>
      <t>(E.g. Trend IQ4E/64 etc.)</t>
    </r>
  </si>
  <si>
    <r>
      <rPr>
        <rFont val="Google Sans"/>
        <b/>
        <i/>
        <color rgb="FFFF0000"/>
        <sz val="10.0"/>
      </rPr>
      <t xml:space="preserve">Specify all the IO Module(s) installed within the Control Panel.
</t>
    </r>
    <r>
      <rPr>
        <rFont val="Google Sans"/>
        <b/>
        <i/>
        <color rgb="FF0000FF"/>
        <sz val="10.0"/>
      </rPr>
      <t>(E.g. 8UI, 8AO, 16DI etc.)</t>
    </r>
  </si>
  <si>
    <r>
      <rPr>
        <rFont val="Google Sans"/>
        <b/>
        <i/>
        <color rgb="FFFF0000"/>
        <sz val="10.0"/>
      </rPr>
      <t xml:space="preserve">Specify the communication type between the IP device and IO Modules.
</t>
    </r>
    <r>
      <rPr>
        <rFont val="Google Sans"/>
        <b/>
        <i/>
        <color rgb="FF0000FF"/>
        <sz val="10.0"/>
      </rPr>
      <t>(E.g. IP, RS485, RS232)</t>
    </r>
  </si>
  <si>
    <r>
      <rPr>
        <rFont val="Google Sans"/>
        <b/>
        <i/>
        <color rgb="FFFF0000"/>
        <sz val="10.0"/>
      </rPr>
      <t xml:space="preserve">Specify the total quantity of IP devices installed and commissioned in the Control Panel.
</t>
    </r>
    <r>
      <rPr>
        <rFont val="Google Sans"/>
        <b/>
        <i/>
        <color rgb="FF0000FF"/>
        <sz val="10.0"/>
      </rPr>
      <t>(E.g. 3)</t>
    </r>
  </si>
  <si>
    <r>
      <rPr>
        <rFont val="Google Sans"/>
        <b/>
        <i/>
        <color rgb="FFFF0000"/>
        <sz val="10.0"/>
      </rPr>
      <t xml:space="preserve">Provide a link to the drive folder for the site where any relevant photos are stored
</t>
    </r>
    <r>
      <rPr>
        <rFont val="Google Sans"/>
        <b/>
        <i/>
        <color rgb="FF0000FF"/>
        <sz val="10.0"/>
      </rPr>
      <t>(E.g. Controller/Device photo, Panel Photo etc
PASTE FILE LINK URL DIRECTLY TO CELL, DO NOT LINK CELL TO URL)</t>
    </r>
  </si>
  <si>
    <r>
      <rPr>
        <rFont val="Google Sans"/>
        <b/>
        <i/>
        <color rgb="FFFF0000"/>
        <sz val="10.0"/>
      </rPr>
      <t xml:space="preserve">Select which Google partner is the device owner.
</t>
    </r>
    <r>
      <rPr>
        <rFont val="Google Sans"/>
        <b/>
        <i/>
        <color rgb="FF0000FF"/>
        <sz val="10.0"/>
      </rPr>
      <t>(E.g. WS/Facilities, Food, GFit, Events, GEN, BOPS/AV, SecOps, Landlord, Unknown, Other)</t>
    </r>
  </si>
  <si>
    <t>Device(s)</t>
  </si>
  <si>
    <t>IO Module(s)</t>
  </si>
  <si>
    <t>Quantity</t>
  </si>
  <si>
    <t>Generic</t>
  </si>
  <si>
    <t>uuid://345dd62f-6cd1-41bc-97ae-ee6f73b7fb77</t>
  </si>
  <si>
    <t>EY-RC504F001 x 3
EY-GT103F001 x 1
EY-EM511F001 x 14
EY-EM512F001 x 3</t>
  </si>
  <si>
    <t>96UI,48AO,48DO</t>
  </si>
  <si>
    <t>uuid://55c15c77-0c15-4603-8c09-fda166ff41b5</t>
  </si>
  <si>
    <t>EY-EM511F001 x 8
EY-EM512F001 x 3</t>
  </si>
  <si>
    <t>60UI,30AO,30DO</t>
  </si>
  <si>
    <t>uuid://fe318830-ef6e-4eee-9e16-87930cd4bf7e</t>
  </si>
  <si>
    <t>EY-RC504F001 x 1
EY-EM511F001 x 4</t>
  </si>
  <si>
    <t>24UI,12AO,12DO</t>
  </si>
  <si>
    <t>uuid://94bba911-12ed-45c4-88f4-ea246158ae1b</t>
  </si>
  <si>
    <t>EY-RC504F001 x 1
EY-EM511F001 x 15</t>
  </si>
  <si>
    <t>90UI,45AO,45DO</t>
  </si>
  <si>
    <t>uuid://385c4c09-b989-41b8-8e41-80acae9012de</t>
  </si>
  <si>
    <t>EY-RC504F001 x 1
EY-EM511F001 x 12
EY-EM512F001 x 2</t>
  </si>
  <si>
    <t>80UI,40AO,40DO</t>
  </si>
  <si>
    <t>uuid://945dc0f6-43bf-49ae-978b-0604f293c104</t>
  </si>
  <si>
    <t>EY-RC504F001 x 2                              
EY-GT103F001 x 2
EY-EM511F001 x 16
EY-EM512F001 x 4</t>
  </si>
  <si>
    <t>112UI,56AO,56DO</t>
  </si>
  <si>
    <t>uuid://5d3c901b-d19e-43c7-8d29-c5d4069de854</t>
  </si>
  <si>
    <t>EY-RC504F001 x 2
EY-GT103F001 x 1
EY-EM511F001 x 19
EY-EM512F001 x 7</t>
  </si>
  <si>
    <t>142UI,76AO,76DO</t>
  </si>
  <si>
    <t>uuid://a05c5bb4-6518-43fe-8c45-a2368da3768e</t>
  </si>
  <si>
    <t>EY-RC504F001 x 2
EY-EM511F001 x 26</t>
  </si>
  <si>
    <t>162UI,81AO,81DO</t>
  </si>
  <si>
    <t>uuid://90e8cfe4-1456-4848-ad23-a29b25c8e570</t>
  </si>
  <si>
    <t>EY-RC504F001 x 1
EY-GT103F001 x 1
EY-EM511F001 x 13
EY-EM512F001 x 1</t>
  </si>
  <si>
    <t>82UI,41AO,41DO</t>
  </si>
  <si>
    <t>uuid://f9b5e5cb-27d5-4873-a6e8-311db7322491</t>
  </si>
  <si>
    <t>EY-RC504F001 x 2
EY-GT103F001 x 2
EY-EM510F001 x 22
EY-EM512F001 x 4</t>
  </si>
  <si>
    <t>148UI,74AO,140DO</t>
  </si>
  <si>
    <t>uuid://a8a0a823-5a85-4210-9b05-e04cc285f949</t>
  </si>
  <si>
    <t>EY-RC504F001 x 2
EY-GT103F001 x 1
EY-EM510F001 x 23</t>
  </si>
  <si>
    <t>138UI,69AO,138DO</t>
  </si>
  <si>
    <t>uuid://092ce00f-b322-4df0-8e3d-626af0af4985</t>
  </si>
  <si>
    <t>EY-RC504F001 x 2
EY-EM510F001 x 21</t>
  </si>
  <si>
    <t>126UI,63AO,126DO</t>
  </si>
  <si>
    <t>uuid://02a77914-29d2-4450-a1a0-6806bfadabbc</t>
  </si>
  <si>
    <t>EY-RC504F001 x 2
EY-GT103F001 x 1
EY-EM510F001 x 9
EY-EM512F001 x 1</t>
  </si>
  <si>
    <t>58UI,29AO,29DO</t>
  </si>
  <si>
    <t>uuid://bab81677-3085-4a6b-aebf-bd3004f62309</t>
  </si>
  <si>
    <t>EY-RC504F001 x 1
EY-GT103F001 x 2
EY-EM511F001 x 1
EY-EM512F001 x 8</t>
  </si>
  <si>
    <t>38UI,19AO,19DO</t>
  </si>
  <si>
    <t>uuid://92ca128a-16fb-4504-bb2a-5adfa1f9dd86</t>
  </si>
  <si>
    <t>EY-RC504F001 x 2
EY-GT103F001 x 1
EY-EM511F001 x 6
EY-EM512F001 x 5</t>
  </si>
  <si>
    <t>56UI,28AO,28DO</t>
  </si>
  <si>
    <t>uuid://aa4b1faf-c921-4cc1-b676-f848bb9fa106</t>
  </si>
  <si>
    <t>EY-RC504F001 x 2
EY-GT103F001 x 1
EY-EM511F001 x 5
EY-EM512F001 x 6</t>
  </si>
  <si>
    <t>54UI,27AO,27DO</t>
  </si>
  <si>
    <t>uuid://60f60fc5-5a70-4af8-832c-c8759de77066</t>
  </si>
  <si>
    <t>EY-RC504F001 x 3
EY-GT103F001 x 1
EY-EM511F001 x 3
EY-EM512F001 x 5</t>
  </si>
  <si>
    <t>uuid://4a0dff4f-16c4-4b26-b007-cd825a371fc3</t>
  </si>
  <si>
    <t>EY-GT103F001 x 2</t>
  </si>
  <si>
    <t>uuid://f6ee51a2-b23b-4842-b5ba-de6d8a5c1f9e</t>
  </si>
  <si>
    <t>uuid://76e2ff02-50ed-4b3f-927e-207766083f25</t>
  </si>
  <si>
    <t>EY-RC504F001 x 2
EY-GT103F001 x 1
EY-EM511F001 x 7
EY-EM512F001 x 4</t>
  </si>
  <si>
    <t>uuid://1c4f2059-a411-4414-a8d4-91f162dbd904</t>
  </si>
  <si>
    <t>EY-RC504F001 x 2
EY-EM511F001 x 7
EY-EM512F001 x 2</t>
  </si>
  <si>
    <t>50UI,25AO,25DO</t>
  </si>
  <si>
    <t>uuid://ae495e99-73a6-4ba1-90bf-a83df1e8d967</t>
  </si>
  <si>
    <t>EY-RC504F001 x 2
EY-EM511F001 x 6
EY-EM512F001 x 4</t>
  </si>
  <si>
    <t>52UI,26AO,26DO</t>
  </si>
  <si>
    <t>uuid://75efa8fd-d6e8-4a11-8ff5-88410f1fdb8b</t>
  </si>
  <si>
    <t>EY-RC504F001 x 1
EY-EM511F001 x 1
EY-EM512F001 x 7</t>
  </si>
  <si>
    <t>34UI,17AO,17DO</t>
  </si>
  <si>
    <t>uuid://233483e4-7766-4744-9f7f-9cca8776d909</t>
  </si>
  <si>
    <t>uuid://2732e048-389e-472e-a3f0-9ec7ba0e5944</t>
  </si>
  <si>
    <t>EY-RC504F001 x 2
EY-EM511F001 x 8
EY-EM512F001 x 2</t>
  </si>
  <si>
    <t>uuid://213f13e8-24f3-4e22-a6f7-4c2b26a5731d</t>
  </si>
  <si>
    <t>uuid://f39c2d10-def7-426b-be99-91cb399a7c8b</t>
  </si>
  <si>
    <t>uuid://15f6b010-3226-4613-a720-387990d45c3c</t>
  </si>
  <si>
    <t>uuid://3de1a157-25f8-4b3e-9454-cde0a358e6ae</t>
  </si>
  <si>
    <t>uuid://37a19aa3-8b3b-4ef8-a3b7-9a8f1566c322</t>
  </si>
  <si>
    <t>EY-RC504F001 x 1
EY-EM511F001 x 1
EY-EM512F001 x 6</t>
  </si>
  <si>
    <t>30UI,15AO,15DO</t>
  </si>
  <si>
    <t>uuid://8296c61d-9bca-4280-a111-aef7cfa8b6ec</t>
  </si>
  <si>
    <t>EY-RC504F001 x 1
EY-GT103F001 x 1
EY-EM511F001 x 1
EY-EM512F001 x 6</t>
  </si>
  <si>
    <t>uuid://a506e157-ae6d-4e05-8744-b3dfcbb05a6d</t>
  </si>
  <si>
    <t>uuid://66587174-8e89-4647-9489-643f4b86e0d9</t>
  </si>
  <si>
    <t>uuid://1276f297-42af-4f71-840e-4880841f8540</t>
  </si>
  <si>
    <t>uuid://87420244-750e-4849-86f2-c2528c1c69ab</t>
  </si>
  <si>
    <t>uuid://34b099aa-516e-4bd2-8550-c5679a196852</t>
  </si>
  <si>
    <t>uuid://0b8e5a97-c023-475d-9056-a020e38edd77</t>
  </si>
  <si>
    <t>uuid://d2b47890-3a19-4b2a-87b6-6f49a9512ade</t>
  </si>
  <si>
    <t>uuid://5705e32c-46d3-4e4f-86b0-6c7f0152e0e3</t>
  </si>
  <si>
    <t>uuid://1d4b3b3e-fe9c-4f25-aa33-14e9f067385b</t>
  </si>
  <si>
    <t>uuid://592c1864-1f02-4690-b340-38e4cf2553c1</t>
  </si>
  <si>
    <t>uuid://bdc2218b-8e94-44ad-bba5-5dd22bb6673a</t>
  </si>
  <si>
    <t>uuid://07b96867-26e2-47b0-ad31-945c9635632b</t>
  </si>
  <si>
    <t>uuid://da1e4003-00a7-4f8c-8d5d-1488db2f6c6d</t>
  </si>
  <si>
    <t>uuid://4f1fbd9c-2790-46b6-9816-0372f0cf4172</t>
  </si>
  <si>
    <t>uuid://9b6d75d1-6165-440b-845b-5809aa54502e</t>
  </si>
  <si>
    <t>uuid://95438b04-4aba-4871-8a7a-70be6b6ba6a2</t>
  </si>
  <si>
    <t>uuid://a739f97c-9bc0-40fa-a298-a76b9d8a7e47</t>
  </si>
  <si>
    <t>uuid://ac074926-1cab-4122-9df5-a4fdb7772f64</t>
  </si>
  <si>
    <t>uuid://26a64616-7e8b-4682-b12c-c9f8a06d1f6e</t>
  </si>
  <si>
    <t>uuid://1c55640a-2517-4bfe-af5f-394207c29438</t>
  </si>
  <si>
    <t>EY-RC504F001 x 2
EY-GT103F001 x 1
EY-EM511F001 x 8
EY-EM512F001 x 2</t>
  </si>
  <si>
    <t>uuid://f0e26e24-e421-4b35-9ccd-a5528bb01693</t>
  </si>
  <si>
    <t>uuid://671e8d9e-c19c-4779-b76a-cb7aec6de5c5</t>
  </si>
  <si>
    <t>uuid://68112ab0-72be-46e7-8554-3ae30dce5144</t>
  </si>
  <si>
    <t>uuid://5e2b7222-46b5-42d9-a030-a1d82fe93cc7</t>
  </si>
  <si>
    <t>uuid://9235d6c3-947e-4278-8e01-c8ee7613ae17</t>
  </si>
  <si>
    <t>uuid://8adff7b1-f953-4cdd-9d54-d69668233261</t>
  </si>
  <si>
    <t>uuid://d98f1e49-df85-4a70-b463-49e99c6954db</t>
  </si>
  <si>
    <t>uuid://5181c8b6-d8c0-45c0-82b8-1a5e3d0dd875</t>
  </si>
  <si>
    <t>uuid://b9c9d2d9-98b0-4835-a75c-a75d787726fc</t>
  </si>
  <si>
    <t>uuid://a2fe2098-df75-4898-abef-1e60091995c5</t>
  </si>
  <si>
    <t>uuid://22563fa5-07dd-40a8-91ee-779f69499c59</t>
  </si>
  <si>
    <t>uuid://6caf6a9a-de42-471c-a984-e57fbb49d6de</t>
  </si>
  <si>
    <t>uuid://f05eac38-1578-44d1-9c5a-9203990f70e2</t>
  </si>
  <si>
    <t>uuid://cd00cee3-e26f-4c6d-bf8d-e8d8f12f8427</t>
  </si>
  <si>
    <t>uuid://d456842c-2170-4f63-8310-f9e9a74f2784</t>
  </si>
  <si>
    <t>uuid://4854a3f0-4c64-4085-a594-fc640299a268</t>
  </si>
  <si>
    <t>uuid://2f6094c4-13ed-4541-a605-38842468889e</t>
  </si>
  <si>
    <t>uuid://33f00080-cd5c-4d68-a89c-b5ddee943ede</t>
  </si>
  <si>
    <t>uuid://1c9785ca-2cdd-4939-a31c-7ff523935cc1</t>
  </si>
  <si>
    <t>uuid://806d4e5e-4871-45c3-9a43-68ca3538b04b</t>
  </si>
  <si>
    <t>uuid://00f1fa1c-b5cb-4e98-923b-8b34f5f89304</t>
  </si>
  <si>
    <t>uuid://d96dacb7-6612-4191-ac51-8bb5a7634a74</t>
  </si>
  <si>
    <t>uuid://cdb0a82c-4224-4374-80d0-58048f84c0a1</t>
  </si>
  <si>
    <t>uuid://8426df91-575f-4ced-8cb5-e50337cd805b</t>
  </si>
  <si>
    <t>uuid://1ba70eb1-4bbe-4569-bd8c-0617fe5f21c1</t>
  </si>
  <si>
    <t>uuid://529ed076-d748-41fd-8575-b2f7e4fbfdb7</t>
  </si>
  <si>
    <t>uuid://9927e6d3-2576-48e4-97e7-679e893d6791</t>
  </si>
  <si>
    <t>uuid://aef7fd4d-c997-4027-a233-9b8a54a3d2c3</t>
  </si>
  <si>
    <t>EY-RC504F001 x 2
EY-GT103F001 x 1
EY-EM511F001 x 6
EY-EM512F001 x 4</t>
  </si>
  <si>
    <t>uuid://f1f0a90a-8edd-4250-9b5b-cfdf59f34e7c</t>
  </si>
  <si>
    <t>uuid://316ef8e3-cacc-4d08-b9eb-44881ce0a840</t>
  </si>
  <si>
    <t>EY-RC504F001 x 2
EY-GT103F001 x 1
EY-EM511F001 x 8
EY-EM512F001 x 3</t>
  </si>
  <si>
    <t>uuid://01b2d4a8-c812-4922-84c9-800b4dbc68f1</t>
  </si>
  <si>
    <t>uuid://5caf32af-73f8-424b-bf77-7be0b427cc5e</t>
  </si>
  <si>
    <t>EY-RC504F001 x 2
EY-EM511F001 x 5
EY-EM512F001 x 6</t>
  </si>
  <si>
    <t>uuid://db864793-6da2-4546-8fb0-eeafce4c6256</t>
  </si>
  <si>
    <t>uuid://a76b4d21-1631-4566-92ba-62c2ff113dba</t>
  </si>
  <si>
    <t>uuid://38c003a6-d4f7-4a2b-9fdc-f64bfd63ee1f</t>
  </si>
  <si>
    <t>EY-RC504F001 x 2
EY-EM511F001 x 7
EY-EM512F001 x 4</t>
  </si>
  <si>
    <t>uuid://aa8397e0-3456-4738-b0b5-963fada9d9c1</t>
  </si>
  <si>
    <t>EY-RC504F001 x 2
EY-EM510F001 x 24
EY-EM512F001 x 3</t>
  </si>
  <si>
    <t>156UI,78AO,150DO</t>
  </si>
  <si>
    <t>uuid://1b8bff91-6b2c-4ed6-a789-37cd9e98a890</t>
  </si>
  <si>
    <t>EY-RC504F001 x 2
EY-GT103F001 x 2
EY-EM510F001 x 14</t>
  </si>
  <si>
    <t>84UI,42AO,84DO</t>
  </si>
  <si>
    <t>uuid://0da954be-523d-43a6-9055-f21940fedcd5</t>
  </si>
  <si>
    <t>EY-RC504F001 x 1
EY-EM510F001 x 11
EY-EM512F001 x 3</t>
  </si>
  <si>
    <t>78UI,39AO,72DO</t>
  </si>
  <si>
    <t>uuid://0f7ade39-596c-44d5-93c4-e953332e3067</t>
  </si>
  <si>
    <t>EY-RC504F001 x 1
EY-EM510F001 x 15</t>
  </si>
  <si>
    <t>90UI,45AO,90DO</t>
  </si>
  <si>
    <t>uuid://b49cfa1a-bac5-4dae-a337-530dbf997873</t>
  </si>
  <si>
    <t>EY-RC504F001 x 2
EY-EM510F001 x 15
EY-EM512F001 x 4</t>
  </si>
  <si>
    <t>106UI,53AO,98DO</t>
  </si>
  <si>
    <t>uuid://e6f0be56-b3cf-4129-bfdc-51e6fa7c592d</t>
  </si>
  <si>
    <t>EY-RC504F001 x 2
EY-EM510F001 x 12
EY-EM512F001 x 6</t>
  </si>
  <si>
    <t>96UI,48AO,84DO</t>
  </si>
  <si>
    <t>uuid://3dcb5daf-488d-4f37-9b2a-f60a65dddbdc</t>
  </si>
  <si>
    <t>EY-RC504F001 x 2
EY-GT103F001 x 1
EY-EM510F001 x 15
EY-EM512F001 x 3</t>
  </si>
  <si>
    <t>102UI,51AO,96DO</t>
  </si>
  <si>
    <t>uuid://855b1620-f7d6-4393-a91d-f6dc482d6e23</t>
  </si>
  <si>
    <t>EY-RC504F001 x 1
EY-GT103F001 x 1
EY-EM510F001 x 14
EY-EM512F001 x 2</t>
  </si>
  <si>
    <t>92UI,46AO,88DO</t>
  </si>
  <si>
    <t>uuid://44ee5ea8-71c8-41a1-baf5-42a06e4d1de5</t>
  </si>
  <si>
    <t>EY-RC504F001 x 2
EY-GT103F001 x 1
EY-EM510F001 x 13
EY-EM512F001 x 5</t>
  </si>
  <si>
    <t>98UI,49AO,88DO</t>
  </si>
  <si>
    <t>uuid://75eae645-d0ca-4c3e-ad8f-d8a090f2b375</t>
  </si>
  <si>
    <t>EY-RC504F001 x 2
EY-EM510F001 x 16
EY-EM512F001 x 6</t>
  </si>
  <si>
    <t>120UI,49AO,88DO</t>
  </si>
  <si>
    <t>uuid://158a3fea-736c-4210-ab7e-661309bbb16e</t>
  </si>
  <si>
    <t>G5CE x 1
OFHI x 1
SE6166SP x 1</t>
  </si>
  <si>
    <t>16UI,6AO,6DO</t>
  </si>
  <si>
    <t>uuid://b77b03ec-31c5-4279-8bb7-213a9161f2af</t>
  </si>
  <si>
    <t>G5CE x 1
SE6166SP x 2</t>
  </si>
  <si>
    <t>32UI,12AO,12DO</t>
  </si>
  <si>
    <t>uuid://15269ddd-3e08-42ee-b9fa-7f72fd2e8b15</t>
  </si>
  <si>
    <t>G5CE x 1
SE6166SP x 1</t>
  </si>
  <si>
    <t>uuid://3424ca58-43e3-4bb4-b686-0e8b8a21e436</t>
  </si>
  <si>
    <t>G5CE x 1
OFHI x 1
SE6166SP x 2</t>
  </si>
  <si>
    <t>uuid://1d18c1e7-5095-47c7-a720-e99c26e1dd66</t>
  </si>
  <si>
    <t>uuid://f1cc6925-6a2e-42e4-aed6-c4c8950f9bc2</t>
  </si>
  <si>
    <t>G5CE x 1
OFHI x 2
SE6166SP x 3</t>
  </si>
  <si>
    <t>48UI,18AO,18DO</t>
  </si>
  <si>
    <t>uuid://c50baed3-0e07-4ca7-8a1e-237190a58016</t>
  </si>
  <si>
    <t>G5CE x 1
OFHI x 1
SE6166SP x 4
SE6104SP x 1</t>
  </si>
  <si>
    <t>74UI,28AO,30DO</t>
  </si>
  <si>
    <t>uuid://1a21adca-650e-4a97-899c-ac13272cb750</t>
  </si>
  <si>
    <t>uuid://d415a1d0-38d2-465a-a031-ee421f72aa36</t>
  </si>
  <si>
    <t>G5CE x 1
SE6166SP x 3
SE6104SP x 1</t>
  </si>
  <si>
    <t>58UI,22AO,24DO</t>
  </si>
  <si>
    <t>uuid://4487c7eb-d951-444b-a031-d445ed4f99fe</t>
  </si>
  <si>
    <t>G5CE x 1
OFHI x 1
SE6166SP x 1
SE6104SP x 2</t>
  </si>
  <si>
    <t>36UI,14AO,18DO</t>
  </si>
  <si>
    <t>uuid://f688ba02-a1e9-475c-891b-8d26b3b5daf1</t>
  </si>
  <si>
    <t>G5CE x 1
SE6166SP x 1
SE6104SP x 1</t>
  </si>
  <si>
    <t>26UI,10AO,12DO</t>
  </si>
  <si>
    <t>uuid://86d7c503-67da-41c7-9a7b-1bf404750b49</t>
  </si>
  <si>
    <t>OFHI x 2
SE6166SP x 3</t>
  </si>
  <si>
    <t>uuid://8a4e2b7f-ebd2-48cd-85ed-db89918b40b4</t>
  </si>
  <si>
    <t>G5CE x 1</t>
  </si>
  <si>
    <t>uuid://49df1c70-0fb6-4554-b088-88882ec234a3</t>
  </si>
  <si>
    <t>G5CE x 1
OFHI x 1
SE6166SP x 2
SE6104SP x 1</t>
  </si>
  <si>
    <t>42UI,16AO,18DO</t>
  </si>
  <si>
    <t>uuid://6bedd5a8-7761-43e7-9552-ce111c9df5d4</t>
  </si>
  <si>
    <t>G5CE x 2
SE6166SP x 1
SE6104SP x 2</t>
  </si>
  <si>
    <t>uuid://c78563b5-7d4b-4942-bbc2-da0fd9108cbe</t>
  </si>
  <si>
    <t>uuid://424dcc97-931f-447a-95d2-fd325aa80a3e</t>
  </si>
  <si>
    <t>uuid://8dca5a90-a4c7-4713-88c6-76ebbbb14c68</t>
  </si>
  <si>
    <t>G5CE x 2
SE6166SP x 2</t>
  </si>
  <si>
    <t>uuid://a777b265-8488-4071-9be2-45f71fee834d</t>
  </si>
  <si>
    <t>G5CE x 2
SE6166SP x 3</t>
  </si>
  <si>
    <t>uuid://fffa4762-b191-4fdb-9ac3-f1e6438d50e7</t>
  </si>
  <si>
    <t>G5CE x 2
SE6166SP x 2
SE6104SP x 1</t>
  </si>
  <si>
    <t>uuid://096e921b-f2fe-494b-af88-0c3bc36d0ac1</t>
  </si>
  <si>
    <t>uuid://40e124f5-d5e9-47e8-a073-26e8c08ac326</t>
  </si>
  <si>
    <t>uuid://784e8e75-b5fc-40c7-bc53-e0abcf4575c8</t>
  </si>
  <si>
    <t>uuid://5b8c6b71-c77a-4776-bcf4-398688d230e3</t>
  </si>
  <si>
    <t>uuid://10c92143-66e3-43cb-88d4-90c1d3b93bcd</t>
  </si>
  <si>
    <t>uuid://95cc9195-2236-498e-a95e-1e5a9fdb1538</t>
  </si>
  <si>
    <t>uuid://ff3a4a1b-422c-4a93-b5a9-79f74fda87c0</t>
  </si>
  <si>
    <t>G5CE x 1
OFHI x 2</t>
  </si>
  <si>
    <t>uuid://6df1ae25-561c-43b9-b64d-a80107516906</t>
  </si>
  <si>
    <t>uuid://1a38bbf1-207c-4d53-9958-b1b9e56180c0</t>
  </si>
  <si>
    <t>G5CE x 2
SE6166SP x 1
SE6104SP x 1</t>
  </si>
  <si>
    <t>uuid://4ea1f795-a066-4793-bbb9-ce8acfb2ea74</t>
  </si>
  <si>
    <t>G5CE x 1
OFHI x 1
SE6166SP x 3
SE6104SP x 1</t>
  </si>
  <si>
    <t>uuid://82af4585-1fb2-478f-acaa-7227c60f6998</t>
  </si>
  <si>
    <t>uuid://3a0a576b-24fd-4320-93f2-afb358894653</t>
  </si>
  <si>
    <t>uuid://fc0359ce-26cd-4f33-ab49-7e466a4898d8</t>
  </si>
  <si>
    <t>uuid://89c23e7b-23e3-4588-9fe9-99fbcc509bb6</t>
  </si>
  <si>
    <t>G5CE x 2
OFHI x 1
SE6166SP x 2</t>
  </si>
  <si>
    <t>uuid://f71ea233-3548-43bf-92db-6364f775cd20</t>
  </si>
  <si>
    <t>uuid://13447c16-057a-40db-8fb4-af3ec088cde1</t>
  </si>
  <si>
    <t>uuid://579fe1b2-bafe-473c-bfde-37355d0aaeed</t>
  </si>
  <si>
    <t>uuid://28d4e350-3cc3-4c08-a446-6561afd8605e</t>
  </si>
  <si>
    <t>G5CE x 2
SE6166SP x 3
SE6104SP x 1</t>
  </si>
  <si>
    <t>uuid://0a4e94cd-6317-4950-8756-38c1c913b9b9</t>
  </si>
  <si>
    <t>uuid://031d97be-cac6-41fa-adcd-0a8d2ed04075</t>
  </si>
  <si>
    <t>G5CE x 2
OFHI x 2
SE6166SP x 2</t>
  </si>
  <si>
    <t>uuid://eef3117e-16dd-4124-91da-d2de8ad542d2</t>
  </si>
  <si>
    <t>uuid://d54441dd-ac8a-4c75-a704-e91cc3c7c04e</t>
  </si>
  <si>
    <t>uuid://a7e281b7-6bbf-4f8b-afb0-fa7b9b060161</t>
  </si>
  <si>
    <t>uuid://b8738ea8-4a93-4968-932d-e6cd30f31eeb</t>
  </si>
  <si>
    <t>uuid://6f2914eb-6fc2-4a5e-9b48-26c34177cdff</t>
  </si>
  <si>
    <t>uuid://a28adb42-3856-4b15-abfa-1eeb28db3cf3</t>
  </si>
  <si>
    <t>uuid://64524a9c-5def-44a0-b306-247978e834a8</t>
  </si>
  <si>
    <t>OFHI x 1</t>
  </si>
  <si>
    <t>uuid://ded8fe9f-3fc5-429f-887e-c0b446219c3a</t>
  </si>
  <si>
    <t>G5CE x 1
OFHI x 1
SE6166SP x 3</t>
  </si>
  <si>
    <t>uuid://d5752be3-ef4c-433d-8095-eb621c06e6e9</t>
  </si>
  <si>
    <t>G5CE x 2
OFHI x 1
SE6166SP x 1</t>
  </si>
  <si>
    <t>uuid://2fba4620-6cdd-4c3a-a521-30a1c2b0bff5</t>
  </si>
  <si>
    <t>uuid://58971d0b-b5cc-4fcb-bf7b-3f0c1135867e</t>
  </si>
  <si>
    <t>uuid://826eef0d-7997-4562-93b5-367dba3d4905</t>
  </si>
  <si>
    <t>uuid://a266ba2f-cbee-433b-8da4-a6caa41fcb23</t>
  </si>
  <si>
    <t>uuid://1af4e582-b0ab-42f6-a45d-4f597e2bff5a</t>
  </si>
  <si>
    <t>uuid://0b71231d-5b3c-43ea-83ea-9d165630351f</t>
  </si>
  <si>
    <t>SE6166SP x 6</t>
  </si>
  <si>
    <t>96UI,36AO,36DO</t>
  </si>
  <si>
    <t>uuid://40f3ead5-f5d3-48ea-8683-63467e20993e</t>
  </si>
  <si>
    <t>uuid://f87eac8c-211a-4565-bf66-f1e72b61b6a5</t>
  </si>
  <si>
    <t>uuid://7af3946e-351e-4af3-92a6-70a1ad5c817d</t>
  </si>
  <si>
    <t>uuid://c5a47992-0646-430c-96b6-cc148d88df8b</t>
  </si>
  <si>
    <t>uuid://22f052a8-21d0-45a3-81ae-82920b6eb1da</t>
  </si>
  <si>
    <t>uuid://30785af4-a44c-4735-9280-386ec4294aa5</t>
  </si>
  <si>
    <t>G5CE x 3
SE6166SP x 2
SE6104SP x 1</t>
  </si>
  <si>
    <t>uuid://f48d277d-ca7c-4c31-9252-657081bb4372</t>
  </si>
  <si>
    <t>uuid://bdc1e65c-e236-4250-989d-a73559aeb97f</t>
  </si>
  <si>
    <t>uuid://a9eaa704-3685-4e21-ba0e-0d5f396465ad</t>
  </si>
  <si>
    <t>uuid://3c8dbf5a-e9a6-42ca-be22-8e87a887f854</t>
  </si>
  <si>
    <t>uuid://ca6bf799-4872-412d-8053-1602efd85bd1</t>
  </si>
  <si>
    <t>uuid://887f7a67-f934-460d-a36f-953cf07cfa18</t>
  </si>
  <si>
    <t>uuid://0db41898-7a7b-4dc6-b0dc-4d3c9a9bacc5</t>
  </si>
  <si>
    <t>uuid://ed3a9e3f-918f-45d9-8769-fb703c166dd6</t>
  </si>
  <si>
    <t>uuid://7010e729-6baf-41cb-b57f-73c2e3c65101</t>
  </si>
  <si>
    <t>uuid://043b0987-9f6c-4c0a-b1a5-e6e93a1efb38</t>
  </si>
  <si>
    <t>uuid://942f20d5-71e9-4619-8688-9c89f18537b8</t>
  </si>
  <si>
    <t>uuid://dc3c00e3-c38a-46ee-882e-798629b9dbfc</t>
  </si>
  <si>
    <t>uuid://4989b447-a1a0-42af-8265-558d70f57e81</t>
  </si>
  <si>
    <t>G5CE x 1
SE6166SP x 2
SE6104SP x 2</t>
  </si>
  <si>
    <t>52UI,20AO,24DO</t>
  </si>
  <si>
    <t>uuid://fdf7baaf-3373-47d8-8e8c-81df4e855ea4</t>
  </si>
  <si>
    <t>uuid://2b1a8615-ea4c-41e2-98c7-11cf39e444c5</t>
  </si>
  <si>
    <t>uuid://0010f999-7748-4fe1-ac15-c7ecb4e3108b</t>
  </si>
  <si>
    <t>uuid://95770721-8e29-4dd0-b187-e0820fad63cc</t>
  </si>
  <si>
    <t>uuid://a8af149b-4e6f-4bea-ae33-6af169a9ff11</t>
  </si>
  <si>
    <t>SE6166SP x 3</t>
  </si>
  <si>
    <t>uuid://1d6b8d8e-12d2-47e6-a1be-f9f748ba7bee</t>
  </si>
  <si>
    <t>uuid://72d03049-c9a5-434d-a4cc-cc9bfc3a2d5d</t>
  </si>
  <si>
    <t>G5CE x 1
SE6166SP x 5</t>
  </si>
  <si>
    <t>80UI,30AO,30DO</t>
  </si>
  <si>
    <t>uuid://8d8b8afc-31ac-4fed-bb06-a4b56fa5cb4f</t>
  </si>
  <si>
    <t>uuid://ffb96195-2265-4b4f-b8c4-4fa1691c6ecf</t>
  </si>
  <si>
    <t>uuid://c2b17716-9e52-4257-befd-74122c92fb5b</t>
  </si>
  <si>
    <t>uuid://0259dbb4-4737-4d21-8af1-b53556b2ae26</t>
  </si>
  <si>
    <t>uuid://8e1f954e-197b-47af-a60b-3b3341fd6b4e</t>
  </si>
  <si>
    <t>uuid://445fd816-2504-42f1-8c2c-f2698eb9f65f</t>
  </si>
  <si>
    <t>uuid://6ba12f1c-a73b-4d73-85d1-5aec163b7091</t>
  </si>
  <si>
    <t>uuid://e3dfd913-5e49-4855-925a-96fa07beda53</t>
  </si>
  <si>
    <t>uuid://3767e2b6-17db-41a7-a6aa-4c629a3f5b3e</t>
  </si>
  <si>
    <t>uuid://cb348465-2496-47d4-8c5d-cd4afa44dab2</t>
  </si>
  <si>
    <t>uuid://dfa93334-446d-4a18-9026-a26fd63dd20a</t>
  </si>
  <si>
    <t>OFHI x 1
SE6166SP x 1
SE6104SP x 2</t>
  </si>
  <si>
    <t>36UI,14AO,20DO</t>
  </si>
  <si>
    <t>uuid://81c62bcd-4deb-4e0d-8af2-6da27c7691da</t>
  </si>
  <si>
    <t>uuid://0af8c4a1-f0e7-4d9d-90e9-93cda4d9c8b6</t>
  </si>
  <si>
    <t>uuid://130d9b82-9d41-4cf1-a7d2-908549c44bad</t>
  </si>
  <si>
    <t>G5CE x 4</t>
  </si>
  <si>
    <t>uuid://f290be96-0fd5-4a5c-90b7-06ba66594b6b</t>
  </si>
  <si>
    <t>HVACCP-97</t>
  </si>
  <si>
    <t>uuid://dc93c1f7-dbcc-41fc-a71f-2ff72f472931</t>
  </si>
  <si>
    <t>OFHI x 4</t>
  </si>
  <si>
    <t>HVACCP-98</t>
  </si>
  <si>
    <t>uuid://04e2f87d-e6fc-4967-b981-fc3733ebaa47</t>
  </si>
  <si>
    <t>HVACCP-99</t>
  </si>
  <si>
    <t>uuid://3bc8515a-a1c8-4dd2-a5c5-0f016e19e5d0</t>
  </si>
  <si>
    <t>uuid://d6293b7b-a140-43bb-8d9a-be72ba30f4c8</t>
  </si>
  <si>
    <t>G5CE x 5</t>
  </si>
  <si>
    <t>HVACCP-101</t>
  </si>
  <si>
    <t>uuid://ac917317-34fb-4b6d-9b3e-fcf8faaf0a1c</t>
  </si>
  <si>
    <t>SE6166SP x 4</t>
  </si>
  <si>
    <t>64UI,24AO,24DO</t>
  </si>
  <si>
    <t>HVACCP-102</t>
  </si>
  <si>
    <t>uuid://64dfa6e1-8162-4583-8278-fdbdbe1c8101</t>
  </si>
  <si>
    <t>HVACCP-103</t>
  </si>
  <si>
    <t>uuid://54d0d314-ab3e-4d38-ba0d-6cfc911f6c07</t>
  </si>
  <si>
    <t>SE6104SP x 1</t>
  </si>
  <si>
    <t>10UI,4AO,6DO</t>
  </si>
  <si>
    <t>READ
THIS</t>
  </si>
  <si>
    <t>Private Network Switch/Hub/Router Info</t>
  </si>
  <si>
    <r>
      <rPr>
        <rFont val="Google Sans"/>
        <b/>
        <i/>
        <color rgb="FFFF0000"/>
        <sz val="10.0"/>
      </rPr>
      <t xml:space="preserve">Specify the system the switch/router/hub is used for.
</t>
    </r>
    <r>
      <rPr>
        <rFont val="Google Sans"/>
        <b/>
        <i/>
        <color rgb="FF0000FF"/>
        <sz val="10.0"/>
      </rPr>
      <t>(e.g. From Dropdown)</t>
    </r>
  </si>
  <si>
    <r>
      <rPr>
        <rFont val="Google Sans"/>
        <b/>
        <i/>
        <color rgb="FFFF0000"/>
        <sz val="10.0"/>
      </rPr>
      <t xml:space="preserve">Identify the network the switch/router/hub is part of. 
If more than one private network, ensure devices are correctly associated with the network they are part of. 
</t>
    </r>
    <r>
      <rPr>
        <rFont val="Google Sans"/>
        <b/>
        <i/>
        <color rgb="FF0000FF"/>
        <sz val="10.0"/>
      </rPr>
      <t>(e.g. Private BMS Network)</t>
    </r>
  </si>
  <si>
    <r>
      <rPr>
        <rFont val="Google Sans"/>
        <b/>
        <i/>
        <color rgb="FFFF0000"/>
        <sz val="10.0"/>
      </rPr>
      <t xml:space="preserve">Specify the floor on which the switch/router/hub is installed.
</t>
    </r>
    <r>
      <rPr>
        <rFont val="Google Sans"/>
        <b/>
        <i/>
        <color rgb="FF0000FF"/>
        <sz val="10.0"/>
      </rPr>
      <t>(e.g. 1,2 ,3  from dropdown)</t>
    </r>
  </si>
  <si>
    <r>
      <rPr>
        <rFont val="Google Sans"/>
        <b/>
        <i/>
        <color rgb="FFFF0000"/>
        <sz val="10.0"/>
      </rPr>
      <t xml:space="preserve">Specify the location of the Device based on the REWS ID in FloorScope.
</t>
    </r>
    <r>
      <rPr>
        <rFont val="Google Sans"/>
        <b/>
        <i/>
        <color rgb="FF0000FF"/>
        <sz val="10.0"/>
      </rPr>
      <t xml:space="preserve">(E.g. 101, B155, etc.) </t>
    </r>
    <r>
      <rPr>
        <rFont val="Google Sans"/>
        <b/>
        <i/>
        <color rgb="FFFF0000"/>
        <sz val="10.0"/>
      </rPr>
      <t>or if on New Construction, the Construction ID</t>
    </r>
  </si>
  <si>
    <r>
      <rPr>
        <rFont val="Google Sans"/>
        <b/>
        <i/>
        <color rgb="FFFF0000"/>
        <sz val="10.0"/>
      </rPr>
      <t xml:space="preserve">Specify the control panel reference for the switch/router/hub if applicable
</t>
    </r>
    <r>
      <rPr>
        <rFont val="Google Sans"/>
        <b/>
        <i/>
        <color rgb="FF0000FF"/>
        <sz val="10.0"/>
      </rPr>
      <t>(e.g. MCC-1)</t>
    </r>
  </si>
  <si>
    <r>
      <rPr>
        <rFont val="Google Sans"/>
        <b/>
        <i/>
        <color rgb="FFFF0000"/>
        <sz val="10.0"/>
      </rPr>
      <t xml:space="preserve">Perform a check to confirm status (Including end to end checks to headend.
</t>
    </r>
    <r>
      <rPr>
        <rFont val="Google Sans"/>
        <b/>
        <i/>
        <color rgb="FF0000FF"/>
        <sz val="10.0"/>
      </rPr>
      <t>(E.g.Active,  Retired)</t>
    </r>
  </si>
  <si>
    <r>
      <rPr>
        <rFont val="Google Sans"/>
        <b/>
        <i/>
        <color rgb="FFFF0000"/>
        <sz val="10.0"/>
      </rPr>
      <t xml:space="preserve">Specify if QR Code has been applied to the Device
</t>
    </r>
    <r>
      <rPr>
        <rFont val="Google Sans"/>
        <b/>
        <i/>
        <color rgb="FF0000FF"/>
        <sz val="10.0"/>
      </rPr>
      <t xml:space="preserve">(E.g. Yes) </t>
    </r>
  </si>
  <si>
    <r>
      <rPr>
        <rFont val="Google Sans"/>
        <b/>
        <i/>
        <color rgb="FFFF0000"/>
        <sz val="10.0"/>
      </rPr>
      <t xml:space="preserve">Human readable QR code that gets printed on the QR code label
 prefix_AssetName_suffix where prefix is optional site name and suffix is optional FM description
</t>
    </r>
    <r>
      <rPr>
        <rFont val="Google Sans"/>
        <b/>
        <i/>
        <color rgb="FF0000FF"/>
        <sz val="10.0"/>
      </rPr>
      <t xml:space="preserve">(E.g. CTRP-1_1-Boilers) </t>
    </r>
  </si>
  <si>
    <r>
      <rPr>
        <rFont val="Google Sans"/>
        <b/>
        <i/>
        <color rgb="FFFF0000"/>
        <sz val="10.0"/>
      </rPr>
      <t xml:space="preserve">Specify the GUID. 
examples -
If BIM:
</t>
    </r>
    <r>
      <rPr>
        <rFont val="Google Sans"/>
        <b/>
        <i/>
        <color rgb="FF0000FF"/>
        <sz val="10.0"/>
      </rPr>
      <t>ifc://04aEp5ymD_$u5IxhJN2aGi</t>
    </r>
    <r>
      <rPr>
        <rFont val="Google Sans"/>
        <b/>
        <i/>
        <color rgb="FFFF0000"/>
        <sz val="10.0"/>
      </rPr>
      <t xml:space="preserve">
If not BIM:
</t>
    </r>
    <r>
      <rPr>
        <rFont val="Google Sans"/>
        <b/>
        <i/>
        <color rgb="FF0000FF"/>
        <sz val="10.0"/>
      </rPr>
      <t xml:space="preserve">uuid://d3501378-dd50-47c5-ae26-806726e1b749
</t>
    </r>
    <r>
      <rPr>
        <rFont val="Google Sans"/>
        <b/>
        <i/>
        <color rgb="FFFF0000"/>
        <sz val="10.0"/>
      </rPr>
      <t>Can be generated using the menu Add-Ons &gt; Insert &gt; Insert GUID</t>
    </r>
  </si>
  <si>
    <r>
      <rPr>
        <rFont val="Google Sans"/>
        <b/>
        <i/>
        <color rgb="FFFF0000"/>
        <sz val="10.0"/>
      </rPr>
      <t xml:space="preserve">Specify the switch/router/hub type.
</t>
    </r>
    <r>
      <rPr>
        <rFont val="Google Sans"/>
        <b/>
        <i/>
        <color rgb="FF0000FF"/>
        <sz val="10.0"/>
      </rPr>
      <t>(e.g. Unmanaged Switch)</t>
    </r>
  </si>
  <si>
    <r>
      <rPr>
        <rFont val="Google Sans"/>
        <b/>
        <i/>
        <color rgb="FFFF0000"/>
        <sz val="10.0"/>
      </rPr>
      <t xml:space="preserve">Specify the name / reference of the switch/router/hub if applicable.
</t>
    </r>
    <r>
      <rPr>
        <rFont val="Google Sans"/>
        <b/>
        <i/>
        <color rgb="FF0000FF"/>
        <sz val="10.0"/>
      </rPr>
      <t>(e.g. xxx-xxx-xxx etc)</t>
    </r>
  </si>
  <si>
    <r>
      <rPr>
        <rFont val="Google Sans"/>
        <b/>
        <i/>
        <color rgb="FFFF0000"/>
        <sz val="10.0"/>
      </rPr>
      <t xml:space="preserve">Specify the manufacturer of the switch/router/hub.
</t>
    </r>
    <r>
      <rPr>
        <rFont val="Google Sans"/>
        <b/>
        <i/>
        <color rgb="FF0000FF"/>
        <sz val="10.0"/>
      </rPr>
      <t>(e.g. Phoenix Contact, Cisco etc)</t>
    </r>
  </si>
  <si>
    <r>
      <rPr>
        <rFont val="Google Sans"/>
        <b/>
        <i/>
        <color rgb="FFFF0000"/>
        <sz val="10.0"/>
      </rPr>
      <t xml:space="preserve">Specify the model number of the switch/router/hub.
</t>
    </r>
    <r>
      <rPr>
        <rFont val="Google Sans"/>
        <b/>
        <i/>
        <color rgb="FF0000FF"/>
        <sz val="10.0"/>
      </rPr>
      <t>(e.g. FL SWITCH SFNB 8 TX
Order No.: 2891002)</t>
    </r>
  </si>
  <si>
    <r>
      <rPr>
        <rFont val="Google Sans"/>
        <b/>
        <i/>
        <color rgb="FFFF0000"/>
        <sz val="10.0"/>
      </rPr>
      <t xml:space="preserve">Specify quantity of switch/router/hub.
</t>
    </r>
    <r>
      <rPr>
        <rFont val="Google Sans"/>
        <b/>
        <i/>
        <color rgb="FF0000FF"/>
        <sz val="10.0"/>
      </rPr>
      <t>(e.g. 5)</t>
    </r>
  </si>
  <si>
    <r>
      <rPr>
        <rFont val="Google Sans"/>
        <b/>
        <i/>
        <color rgb="FFFF0000"/>
        <sz val="10.0"/>
      </rPr>
      <t xml:space="preserve">Specify the total number of ports on the switch/router/hub.
</t>
    </r>
    <r>
      <rPr>
        <rFont val="Google Sans"/>
        <b/>
        <i/>
        <color rgb="FF0000FF"/>
        <sz val="10.0"/>
      </rPr>
      <t>(e.g. 5, 24, 48)</t>
    </r>
  </si>
  <si>
    <r>
      <rPr>
        <rFont val="Google Sans"/>
        <b/>
        <i/>
        <color rgb="FFFF0000"/>
        <sz val="10.0"/>
      </rPr>
      <t xml:space="preserve">Specify the total number of ports in use/connected to on the switch/router/hub.
</t>
    </r>
    <r>
      <rPr>
        <rFont val="Google Sans"/>
        <b/>
        <i/>
        <color rgb="FF0000FF"/>
        <sz val="10.0"/>
      </rPr>
      <t>(e.g. 3 , 13, 37)</t>
    </r>
  </si>
  <si>
    <r>
      <rPr>
        <rFont val="Google Sans"/>
        <b/>
        <i/>
        <color rgb="FFFF0000"/>
        <sz val="11.0"/>
      </rPr>
      <t xml:space="preserve">Provide a link to the drive folder for the site where any relevant photos are stored
</t>
    </r>
    <r>
      <rPr>
        <rFont val="Google Sans"/>
        <b/>
        <i/>
        <color rgb="FF0000FF"/>
        <sz val="11.0"/>
      </rPr>
      <t>(E.g. Controller/Device photo, Panel Photo etc
PASTE FILE LINK URL DIRECTLY TO CELL, DO NOT LINK CELL TO URL)</t>
    </r>
  </si>
  <si>
    <r>
      <rPr>
        <rFont val="Google Sans"/>
        <b/>
        <i/>
        <color rgb="FFFF0000"/>
        <sz val="10.0"/>
      </rPr>
      <t xml:space="preserve">Select which Google partner is the device owner.
</t>
    </r>
    <r>
      <rPr>
        <rFont val="Google Sans"/>
        <b/>
        <i/>
        <color rgb="FF0000FF"/>
        <sz val="10.0"/>
      </rPr>
      <t>(E.g. WS/Facilities, Food, GFit, Events, GEN, BOPS/AV, SecOps, Landlord, Unknown, Other)</t>
    </r>
  </si>
  <si>
    <t>Private / OT Network</t>
  </si>
  <si>
    <t>Device Type</t>
  </si>
  <si>
    <t>Device Name / Reference</t>
  </si>
  <si>
    <t>Device Manufacturer</t>
  </si>
  <si>
    <t>Device Model</t>
  </si>
  <si>
    <t>Total Number of Ports</t>
  </si>
  <si>
    <t>Total Number of Used Ports</t>
  </si>
  <si>
    <t>Please paste the results of the network scan tool here (if applicable)</t>
  </si>
  <si>
    <t>Note here if discovery tool not used during Audit</t>
  </si>
  <si>
    <t>Clarification's . Provide responses  to QA Clarifications requested by the Controls SME within 48 hours. Any query as to meaning or definition of item should be requested immediatly, or during EQA if applicable.</t>
  </si>
  <si>
    <t>Total Comments</t>
  </si>
  <si>
    <t>%</t>
  </si>
  <si>
    <t>Open</t>
  </si>
  <si>
    <t>Resolved</t>
  </si>
  <si>
    <t>Ref.</t>
  </si>
  <si>
    <t>Document Reference</t>
  </si>
  <si>
    <t>Raised By SME</t>
  </si>
  <si>
    <t>SME Date Raised</t>
  </si>
  <si>
    <t xml:space="preserve">Surveyor response date </t>
  </si>
  <si>
    <t>Surveyor Initial</t>
  </si>
  <si>
    <t>Surveyor Response</t>
  </si>
  <si>
    <t>SME Status 
(Open, Resolved)</t>
  </si>
  <si>
    <t>SME Date resolved</t>
  </si>
  <si>
    <t>NOTE: THIS TAB USED FOR SME REPORTING AND QA CHECKS ONLY - NOT UPLOADED TO SERVICENOW</t>
  </si>
  <si>
    <t>QA Check</t>
  </si>
  <si>
    <t>TAB 3 DEVICES</t>
  </si>
  <si>
    <t>TAB 4 DEVICES</t>
  </si>
  <si>
    <t>X-CHECK 
(TAB 3 - TAB 4)</t>
  </si>
  <si>
    <t>No. of Google Operated BOS Systems Identified</t>
  </si>
  <si>
    <t>Device Risks</t>
  </si>
  <si>
    <t>No. of Systems</t>
  </si>
  <si>
    <t>IP Devices</t>
  </si>
  <si>
    <t>P0</t>
  </si>
  <si>
    <t>P1</t>
  </si>
  <si>
    <t>P2</t>
  </si>
  <si>
    <t>P3</t>
  </si>
  <si>
    <t>BMS</t>
  </si>
  <si>
    <t>Building Management System*</t>
  </si>
  <si>
    <t>LCS</t>
  </si>
  <si>
    <t>Lighting Control System*</t>
  </si>
  <si>
    <t>EMS</t>
  </si>
  <si>
    <t>Energy Management System*</t>
  </si>
  <si>
    <t>Food / Catering</t>
  </si>
  <si>
    <t>Google Food*</t>
  </si>
  <si>
    <t>Lifts</t>
  </si>
  <si>
    <t>Lift/Elevators*</t>
  </si>
  <si>
    <t>Connected IOT</t>
  </si>
  <si>
    <t>IoT</t>
  </si>
  <si>
    <t>G-Fit</t>
  </si>
  <si>
    <t>Uninterruptible Power Supply (UPS)</t>
  </si>
  <si>
    <t>Fire Alarm System*</t>
  </si>
  <si>
    <t>Blinds/Drapes/Shutters</t>
  </si>
  <si>
    <t>Other Systems</t>
  </si>
  <si>
    <t>*</t>
  </si>
  <si>
    <t>Totals</t>
  </si>
  <si>
    <t>Total No. of Risks / Issues Identified</t>
  </si>
  <si>
    <t>No. of P0 Risks / Issues Identified</t>
  </si>
  <si>
    <t>Columns:</t>
  </si>
  <si>
    <t>requested hostname (see go/base-corphosting, required)</t>
  </si>
  <si>
    <t>zone (required)</t>
  </si>
  <si>
    <t>device type (required)</t>
  </si>
  <si>
    <t>mac address (required)</t>
  </si>
  <si>
    <t>Netblock (see go/netblocks, required)</t>
  </si>
  <si>
    <t>Location (optional)</t>
  </si>
  <si>
    <t>Serial Number (optional)</t>
  </si>
  <si>
    <t>Asset Tag (optional)</t>
  </si>
  <si>
    <t>Corphost Status from Tab 4</t>
  </si>
  <si>
    <t>Example:</t>
  </si>
  <si>
    <t>ie-dub-1gc-ddc1</t>
  </si>
  <si>
    <t>dub</t>
  </si>
  <si>
    <t>istar_ultra</t>
  </si>
  <si>
    <t>2D:F9:A7:DE:BE:AF</t>
  </si>
  <si>
    <t>172.28.8.0/24</t>
  </si>
  <si>
    <t>Connected to IE-DUB-1GC-ACCSW2.1.1.7/7</t>
  </si>
  <si>
    <t>blr</t>
  </si>
  <si>
    <t>bos_saintgobain_sagewindow</t>
  </si>
  <si>
    <t>100.95.208.0/20</t>
  </si>
  <si>
    <t>bos_sauter_ecos504
bos_sauter_ecos505</t>
  </si>
  <si>
    <t>bos_sauter_eygt</t>
  </si>
  <si>
    <t>bos_lutron_qp5xlpoe</t>
  </si>
  <si>
    <t>bos_alc_g5ce</t>
  </si>
  <si>
    <t>bos_alc_ofhi</t>
  </si>
  <si>
    <t>bos_tridium_jace8000</t>
  </si>
  <si>
    <t>bos_trane_sc</t>
  </si>
  <si>
    <t>Installation</t>
  </si>
  <si>
    <r>
      <rPr>
        <rFont val="Google Sans"/>
        <b/>
        <i/>
        <color rgb="FFFF0000"/>
        <sz val="10.0"/>
      </rPr>
      <t xml:space="preserve">Specify the system the device is used for.
</t>
    </r>
    <r>
      <rPr>
        <rFont val="Google Sans"/>
        <b/>
        <i/>
        <color rgb="FF0000FF"/>
        <sz val="10.0"/>
      </rPr>
      <t>(E.g. From Dropdown)</t>
    </r>
  </si>
  <si>
    <r>
      <rPr>
        <rFont val="Google Sans"/>
        <b/>
        <i/>
        <color rgb="FFFF0000"/>
        <sz val="10.0"/>
      </rPr>
      <t xml:space="preserve">Description of device including identification/serial number
</t>
    </r>
    <r>
      <rPr>
        <rFont val="Google Sans"/>
        <b/>
        <i/>
        <color rgb="FF0000FF"/>
        <sz val="10.0"/>
      </rPr>
      <t>(E.g. Comisioning Laptop)</t>
    </r>
  </si>
  <si>
    <r>
      <rPr>
        <rFont val="Google Sans"/>
        <b/>
        <i/>
        <color rgb="FFFF0000"/>
        <sz val="10.0"/>
      </rPr>
      <t xml:space="preserve">Specify the manufacturer of the device.
</t>
    </r>
    <r>
      <rPr>
        <rFont val="Google Sans"/>
        <b/>
        <i/>
        <color rgb="FF0000FF"/>
        <sz val="10.0"/>
      </rPr>
      <t>(E.g. Tridium, EasyIO, Schneider)</t>
    </r>
  </si>
  <si>
    <r>
      <rPr>
        <rFont val="Google Sans"/>
        <b/>
        <i/>
        <color rgb="FFFF0000"/>
        <sz val="10.0"/>
      </rPr>
      <t xml:space="preserve">Specify the model of the device.
</t>
    </r>
    <r>
      <rPr>
        <rFont val="Google Sans"/>
        <b/>
        <i/>
        <color rgb="FF0000FF"/>
        <sz val="10.0"/>
      </rPr>
      <t>(E.g. JACE8000, FS-32, ASP)</t>
    </r>
  </si>
  <si>
    <r>
      <rPr>
        <rFont val="Google Sans"/>
        <b/>
        <i/>
        <color rgb="FFFF0000"/>
        <sz val="10.0"/>
      </rPr>
      <t xml:space="preserve">Specify the floor on which the device is installed.
</t>
    </r>
    <r>
      <rPr>
        <rFont val="Google Sans"/>
        <b/>
        <i/>
        <color rgb="FF0000FF"/>
        <sz val="10.0"/>
      </rPr>
      <t>(E.g. 1, 2, 3)</t>
    </r>
  </si>
  <si>
    <t>Specify the location of the Device</t>
  </si>
  <si>
    <r>
      <rPr>
        <rFont val="Google Sans"/>
        <b/>
        <i/>
        <color rgb="FFFF0000"/>
        <sz val="10.0"/>
      </rPr>
      <t xml:space="preserve">Specify the control panel reference for the device if applicable.
</t>
    </r>
    <r>
      <rPr>
        <rFont val="Google Sans"/>
        <b/>
        <i/>
        <color rgb="FF0000FF"/>
        <sz val="10.0"/>
      </rPr>
      <t>(E.g. CTRP-1)</t>
    </r>
  </si>
  <si>
    <t xml:space="preserve">Specify the serial number for the device if applicable.
</t>
  </si>
  <si>
    <r>
      <rPr>
        <rFont val="Google Sans"/>
        <b/>
        <i/>
        <color rgb="FFFF0000"/>
        <sz val="10.0"/>
      </rPr>
      <t xml:space="preserve">Specify the Ethernet MAC Address of the device.
</t>
    </r>
    <r>
      <rPr>
        <rFont val="Google Sans"/>
        <b/>
        <i/>
        <color rgb="FF0000FF"/>
        <sz val="10.0"/>
      </rPr>
      <t>(E.g. 1A:2B:3C:4D:5E:6F)</t>
    </r>
  </si>
  <si>
    <r>
      <rPr>
        <rFont val="Google Sans"/>
        <b/>
        <i/>
        <color rgb="FFFF0000"/>
        <sz val="10.0"/>
      </rPr>
      <t xml:space="preserve">HostName
</t>
    </r>
    <r>
      <rPr>
        <rFont val="Google Sans"/>
        <b/>
        <i/>
        <color rgb="FF0000FF"/>
        <sz val="10.0"/>
      </rPr>
      <t>bosvendor-[site][building]-[Devicemodel]-xx</t>
    </r>
  </si>
  <si>
    <r>
      <rPr>
        <rFont val="Google Sans"/>
        <b/>
        <i/>
        <color rgb="FFFF0000"/>
        <sz val="10.0"/>
      </rPr>
      <t xml:space="preserve">Specify the Private IP Address used for commissioning the device on a private network.
</t>
    </r>
    <r>
      <rPr>
        <rFont val="Google Sans"/>
        <b/>
        <i/>
        <color rgb="FF0000FF"/>
        <sz val="10.0"/>
      </rPr>
      <t>(E.g. 192.168.10.1)</t>
    </r>
  </si>
  <si>
    <r>
      <rPr>
        <rFont val="Google Sans"/>
        <b/>
        <i/>
        <color rgb="FFFF0000"/>
        <sz val="10.0"/>
      </rPr>
      <t xml:space="preserve">Specify the Private Subnet Mask used for commissioning the device on a private network.
</t>
    </r>
    <r>
      <rPr>
        <rFont val="Google Sans"/>
        <b/>
        <i/>
        <color rgb="FF0000FF"/>
        <sz val="10.0"/>
      </rPr>
      <t>(E.g. 255.255.255.0)</t>
    </r>
  </si>
  <si>
    <r>
      <rPr>
        <rFont val="Google Sans"/>
        <b/>
        <i/>
        <color rgb="FFFF0000"/>
        <sz val="10.0"/>
      </rPr>
      <t xml:space="preserve">Specify the default gateway used for commissioning the device on a private network.
</t>
    </r>
    <r>
      <rPr>
        <rFont val="Google Sans"/>
        <b/>
        <i/>
        <color rgb="FF0000FF"/>
        <sz val="10.0"/>
      </rPr>
      <t>(E.g. 192.168.0.1)</t>
    </r>
  </si>
  <si>
    <r>
      <rPr>
        <rFont val="Google Sans"/>
        <b/>
        <i/>
        <color rgb="FFFF0000"/>
        <sz val="10.0"/>
      </rPr>
      <t xml:space="preserve">This information is obtained from NetOps via BASE team.
DHCP assigned Corp IP Address should be entered here. Devices should not be assigned a static IP address
</t>
    </r>
    <r>
      <rPr>
        <rFont val="Google Sans"/>
        <b/>
        <i/>
        <color rgb="FF0000FF"/>
        <sz val="10.0"/>
      </rPr>
      <t xml:space="preserve">(E.g. 172.28.68.1)
</t>
    </r>
  </si>
  <si>
    <r>
      <rPr>
        <rFont val="Google Sans"/>
        <b/>
        <i/>
        <color rgb="FFFF0000"/>
        <sz val="10.0"/>
      </rPr>
      <t xml:space="preserve">This information should be available from NetOps via BASE team and it should be documented here.
Specify the Corp Subnet Mask assigned the device by the DHCP Server on the Corp Network.
</t>
    </r>
    <r>
      <rPr>
        <rFont val="Google Sans"/>
        <b/>
        <i/>
        <color rgb="FF0000FF"/>
        <sz val="10.0"/>
      </rPr>
      <t>(E.g. 255.254.0.0)</t>
    </r>
  </si>
  <si>
    <t>Specify who supplied the device</t>
  </si>
  <si>
    <t>Specify the date the device was installed on the site</t>
  </si>
  <si>
    <t>Specify who installed the device</t>
  </si>
  <si>
    <t>Specify the date the device was removed from site</t>
  </si>
  <si>
    <t>Specify who removed the device</t>
  </si>
  <si>
    <t>Specify the date the device was removed from Corp Hosting (if applicable)</t>
  </si>
  <si>
    <t>LDAP of person verifying removal</t>
  </si>
  <si>
    <t xml:space="preserve">bosvendor-[site][building]-[Devicemodel]-xx </t>
  </si>
  <si>
    <t>Description/Identification</t>
  </si>
  <si>
    <t>Manufacturer</t>
  </si>
  <si>
    <t>Model</t>
  </si>
  <si>
    <t>Serial Number</t>
  </si>
  <si>
    <t>Assigned Hostname (FDQN)</t>
  </si>
  <si>
    <t>Supplied by</t>
  </si>
  <si>
    <t>Date Temporarily Installed</t>
  </si>
  <si>
    <t>Installed by</t>
  </si>
  <si>
    <t>Date Removed</t>
  </si>
  <si>
    <t>Removed by</t>
  </si>
  <si>
    <t>Date De-Corphosed</t>
  </si>
  <si>
    <t>Confirmed Removed</t>
  </si>
  <si>
    <t>bos_vendor_device</t>
  </si>
  <si>
    <t>Device Types w/ Firmware</t>
  </si>
  <si>
    <t>Device Names</t>
  </si>
  <si>
    <t>ABB-ACS310DRIVE</t>
  </si>
  <si>
    <t>Not Verified</t>
  </si>
  <si>
    <t>CUMMINS-COMMANDCONTROLLER</t>
  </si>
  <si>
    <t>KAMSTRUP-MULTICAL603</t>
  </si>
  <si>
    <t>NIDEC-UNIDRIVEM200</t>
  </si>
  <si>
    <t>SAMSUNG-PHR3462001A</t>
  </si>
  <si>
    <t>SCHNEIDER-EM6400NG</t>
  </si>
  <si>
    <t>SCHNEIDER-PM1130H</t>
  </si>
  <si>
    <t>SOCOMEC-</t>
  </si>
  <si>
    <t>VAISALA-CUSTOM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</si>
</sst>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quot;mmm&quot;-&quot;yyyy"/>
    <numFmt numFmtId="165" formatCode="0.0"/>
    <numFmt numFmtId="166" formatCode="d-mmmm yyyy"/>
    <numFmt numFmtId="167" formatCode="dd-mm-yy"/>
    <numFmt numFmtId="168" formatCode="#,0"/>
    <numFmt numFmtId="169" formatCode="mmmm&quot; &quot;yyyy"/>
    <numFmt numFmtId="170" formatCode="d&quot; &quot;mmmm&quot; &quot;yyyy"/>
    <numFmt numFmtId="171" formatCode="mm&quot;/&quot;dd&quot;/&quot;yy"/>
    <numFmt numFmtId="172" formatCode="dd/mm/yyyy"/>
    <numFmt numFmtId="173" formatCode="d&quot; &quot;mmm&quot; &quot;yyyy"/>
  </numFmts>
  <fonts count="51">
    <font>
      <sz val="11.0"/>
      <color rgb="FF000000"/>
      <name val="Calibri"/>
    </font>
    <font>
      <name val="Google Sans"/>
    </font>
    <font>
      <b/>
      <sz val="11.0"/>
      <color rgb="FFFFFFFF"/>
      <name val="Google Sans"/>
    </font>
    <font/>
    <font>
      <u/>
      <color rgb="FF0000FF"/>
      <name val="Google Sans"/>
    </font>
    <font>
      <b/>
      <name val="Google Sans"/>
    </font>
    <font>
      <sz val="11.0"/>
      <name val="Google Sans"/>
    </font>
    <font>
      <u/>
      <sz val="11.0"/>
      <color rgb="FF0000FF"/>
      <name val="Google Sans"/>
    </font>
    <font>
      <u/>
      <sz val="11.0"/>
      <color rgb="FF0000FF"/>
      <name val="Google Sans"/>
    </font>
    <font>
      <u/>
      <sz val="11.0"/>
      <color rgb="FF000000"/>
      <name val="Google Sans"/>
    </font>
    <font>
      <u/>
      <sz val="11.0"/>
      <color rgb="FF0000FF"/>
      <name val="Google Sans"/>
    </font>
    <font>
      <u/>
      <sz val="11.0"/>
      <color rgb="FF0000FF"/>
      <name val="Google Sans"/>
    </font>
    <font>
      <u/>
      <sz val="11.0"/>
      <color rgb="FF000000"/>
      <name val="Google Sans"/>
    </font>
    <font>
      <b/>
      <color rgb="FFFFFFFF"/>
      <name val="Google Sans"/>
    </font>
    <font>
      <b/>
      <sz val="11.0"/>
      <color rgb="FFFFFFFF"/>
      <name val="&quot;Google Sans&quot;"/>
    </font>
    <font>
      <b/>
      <sz val="11.0"/>
      <name val="Google Sans"/>
    </font>
    <font>
      <u/>
      <color rgb="FF0000FF"/>
      <name val="Google Sans"/>
    </font>
    <font>
      <sz val="11.0"/>
      <color rgb="FF000000"/>
      <name val="Google Sans"/>
    </font>
    <font>
      <color rgb="FFFF0000"/>
      <name val="Google Sans"/>
    </font>
    <font>
      <color rgb="FF000000"/>
      <name val="Google Sans"/>
    </font>
    <font>
      <u/>
      <color rgb="FF000000"/>
      <name val="Google Sans"/>
    </font>
    <font>
      <b/>
      <sz val="11.0"/>
      <color rgb="FFFFFFFF"/>
      <name val="Arial"/>
    </font>
    <font>
      <sz val="11.0"/>
      <name val="Arial"/>
    </font>
    <font>
      <sz val="11.0"/>
      <color rgb="FF0000FF"/>
      <name val="Arial"/>
    </font>
    <font>
      <sz val="11.0"/>
      <color rgb="FF3C4043"/>
      <name val="Arial"/>
    </font>
    <font>
      <b/>
      <sz val="11.0"/>
      <color rgb="FF000000"/>
      <name val="Arial"/>
    </font>
    <font>
      <b/>
      <sz val="11.0"/>
      <name val="Arial"/>
    </font>
    <font>
      <b/>
      <sz val="11.0"/>
      <color rgb="FF000000"/>
      <name val="Google Sans"/>
    </font>
    <font>
      <b/>
      <i/>
      <sz val="11.0"/>
      <name val="Google Sans"/>
    </font>
    <font>
      <b/>
      <i/>
      <sz val="11.0"/>
      <color rgb="FFFF0000"/>
      <name val="Google Sans"/>
    </font>
    <font>
      <b/>
      <u/>
      <sz val="11.0"/>
      <color rgb="FF000000"/>
      <name val="Google Sans"/>
    </font>
    <font>
      <b/>
      <i/>
      <sz val="10.0"/>
      <name val="Google Sans"/>
    </font>
    <font>
      <b/>
      <i/>
      <sz val="10.0"/>
      <color rgb="FFFF0000"/>
      <name val="Google Sans"/>
    </font>
    <font>
      <sz val="11.0"/>
      <color rgb="FF222222"/>
      <name val="Google Sans"/>
    </font>
    <font>
      <b/>
      <i/>
      <u/>
      <sz val="10.0"/>
      <color rgb="FFFF0000"/>
      <name val="Google Sans"/>
    </font>
    <font>
      <b/>
      <i/>
      <color rgb="FFFF0000"/>
      <name val="Google Sans"/>
    </font>
    <font>
      <b/>
      <i/>
      <u/>
      <sz val="11.0"/>
      <color rgb="FFFF0000"/>
      <name val="Google Sans"/>
    </font>
    <font>
      <color rgb="FF222222"/>
      <name val="Arial"/>
    </font>
    <font>
      <strike/>
      <sz val="11.0"/>
      <name val="Google Sans"/>
    </font>
    <font>
      <strike/>
      <sz val="11.0"/>
      <color rgb="FF222222"/>
      <name val="Google Sans"/>
    </font>
    <font>
      <strike/>
      <sz val="11.0"/>
      <name val="Arial"/>
    </font>
    <font>
      <sz val="11.0"/>
      <name val="Calibri"/>
    </font>
    <font>
      <b/>
      <sz val="10.0"/>
      <color rgb="FF000000"/>
      <name val="Google Sans"/>
    </font>
    <font>
      <b/>
      <u/>
      <sz val="11.0"/>
      <color rgb="FFFF9900"/>
      <name val="Google Sans"/>
    </font>
    <font>
      <b/>
      <sz val="14.0"/>
      <name val="Google Sans"/>
    </font>
    <font>
      <sz val="11.0"/>
      <color rgb="FFFFFFFF"/>
      <name val="Google Sans"/>
    </font>
    <font>
      <color rgb="FFFFFFFF"/>
      <name val="Google Sans"/>
    </font>
    <font>
      <sz val="11.0"/>
      <color rgb="FF0F9D58"/>
      <name val="Google Sans"/>
    </font>
    <font>
      <b/>
      <color rgb="FF000000"/>
      <name val="Google Sans"/>
    </font>
    <font>
      <sz val="12.0"/>
      <name val="Google Sans"/>
    </font>
    <font>
      <u/>
      <sz val="11.0"/>
      <color rgb="FF0000FF"/>
      <name val="Google Sans"/>
    </font>
  </fonts>
  <fills count="45">
    <fill>
      <patternFill patternType="none"/>
    </fill>
    <fill>
      <patternFill patternType="lightGray"/>
    </fill>
    <fill>
      <patternFill patternType="solid">
        <fgColor rgb="FF073763"/>
        <bgColor rgb="FF073763"/>
      </patternFill>
    </fill>
    <fill>
      <patternFill patternType="solid">
        <fgColor rgb="FFBDBDBD"/>
        <bgColor rgb="FFBDBDBD"/>
      </patternFill>
    </fill>
    <fill>
      <patternFill patternType="solid">
        <fgColor rgb="FFFFFFFF"/>
        <bgColor rgb="FFFFFFFF"/>
      </patternFill>
    </fill>
    <fill>
      <patternFill patternType="solid">
        <fgColor rgb="FF1C4587"/>
        <bgColor rgb="FF1C4587"/>
      </patternFill>
    </fill>
    <fill>
      <patternFill patternType="solid">
        <fgColor rgb="FFD9D9D9"/>
        <bgColor rgb="FFD9D9D9"/>
      </patternFill>
    </fill>
    <fill>
      <patternFill patternType="solid">
        <fgColor rgb="FF6D9EEB"/>
        <bgColor rgb="FF6D9EEB"/>
      </patternFill>
    </fill>
    <fill>
      <patternFill patternType="solid">
        <fgColor rgb="FF4285F4"/>
        <bgColor rgb="FF4285F4"/>
      </patternFill>
    </fill>
    <fill>
      <patternFill patternType="solid">
        <fgColor rgb="FFDB4437"/>
        <bgColor rgb="FFDB4437"/>
      </patternFill>
    </fill>
    <fill>
      <patternFill patternType="solid">
        <fgColor rgb="FFF4CCCC"/>
        <bgColor rgb="FFF4CCCC"/>
      </patternFill>
    </fill>
    <fill>
      <patternFill patternType="solid">
        <fgColor rgb="FF4A86E8"/>
        <bgColor rgb="FF4A86E8"/>
      </patternFill>
    </fill>
    <fill>
      <patternFill patternType="solid">
        <fgColor rgb="FFF3F3F3"/>
        <bgColor rgb="FFF3F3F3"/>
      </patternFill>
    </fill>
    <fill>
      <patternFill patternType="solid">
        <fgColor rgb="FFC9DAF8"/>
        <bgColor rgb="FFC9DAF8"/>
      </patternFill>
    </fill>
    <fill>
      <patternFill patternType="solid">
        <fgColor rgb="FFF6B26B"/>
        <bgColor rgb="FFF6B26B"/>
      </patternFill>
    </fill>
    <fill>
      <patternFill patternType="solid">
        <fgColor rgb="FFB7B7B7"/>
        <bgColor rgb="FFB7B7B7"/>
      </patternFill>
    </fill>
    <fill>
      <patternFill patternType="solid">
        <fgColor rgb="FFEBEBEB"/>
        <bgColor rgb="FFEBEBEB"/>
      </patternFill>
    </fill>
    <fill>
      <patternFill patternType="solid">
        <fgColor rgb="FFF1C232"/>
        <bgColor rgb="FFF1C232"/>
      </patternFill>
    </fill>
    <fill>
      <patternFill patternType="solid">
        <fgColor rgb="FFE69138"/>
        <bgColor rgb="FFE69138"/>
      </patternFill>
    </fill>
    <fill>
      <patternFill patternType="solid">
        <fgColor rgb="FF674EA7"/>
        <bgColor rgb="FF674EA7"/>
      </patternFill>
    </fill>
    <fill>
      <patternFill patternType="solid">
        <fgColor rgb="FF6AA84F"/>
        <bgColor rgb="FF6AA84F"/>
      </patternFill>
    </fill>
    <fill>
      <patternFill patternType="solid">
        <fgColor rgb="FF3D85C6"/>
        <bgColor rgb="FF3D85C6"/>
      </patternFill>
    </fill>
    <fill>
      <patternFill patternType="solid">
        <fgColor rgb="FF45818E"/>
        <bgColor rgb="FF45818E"/>
      </patternFill>
    </fill>
    <fill>
      <patternFill patternType="solid">
        <fgColor rgb="FF3C78D8"/>
        <bgColor rgb="FF3C78D8"/>
      </patternFill>
    </fill>
    <fill>
      <patternFill patternType="solid">
        <fgColor rgb="FFCC0000"/>
        <bgColor rgb="FFCC0000"/>
      </patternFill>
    </fill>
    <fill>
      <patternFill patternType="solid">
        <fgColor rgb="FF38761D"/>
        <bgColor rgb="FF38761D"/>
      </patternFill>
    </fill>
    <fill>
      <patternFill patternType="solid">
        <fgColor rgb="FF9900FF"/>
        <bgColor rgb="FF9900FF"/>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rgb="FFB7E1CD"/>
        <bgColor rgb="FFB7E1CD"/>
      </patternFill>
    </fill>
    <fill>
      <patternFill patternType="solid">
        <fgColor rgb="FFFFFF00"/>
        <bgColor rgb="FFFFFF00"/>
      </patternFill>
    </fill>
    <fill>
      <patternFill patternType="solid">
        <fgColor rgb="FFFF0000"/>
        <bgColor rgb="FFFF0000"/>
      </patternFill>
    </fill>
    <fill>
      <patternFill patternType="solid">
        <fgColor rgb="FFFCE8B2"/>
        <bgColor rgb="FFFCE8B2"/>
      </patternFill>
    </fill>
    <fill>
      <patternFill patternType="solid">
        <fgColor rgb="FF00FFFF"/>
        <bgColor rgb="FF00FFFF"/>
      </patternFill>
    </fill>
    <fill>
      <patternFill patternType="solid">
        <fgColor rgb="FFF4C7C3"/>
        <bgColor rgb="FFF4C7C3"/>
      </patternFill>
    </fill>
    <fill>
      <patternFill patternType="solid">
        <fgColor rgb="FFFBE4D5"/>
        <bgColor rgb="FFFBE4D5"/>
      </patternFill>
    </fill>
    <fill>
      <patternFill patternType="solid">
        <fgColor rgb="FF76A5AF"/>
        <bgColor rgb="FF76A5AF"/>
      </patternFill>
    </fill>
    <fill>
      <patternFill patternType="solid">
        <fgColor rgb="FFFFD966"/>
        <bgColor rgb="FFFFD966"/>
      </patternFill>
    </fill>
    <fill>
      <patternFill patternType="solid">
        <fgColor rgb="FF93C47D"/>
        <bgColor rgb="FF93C47D"/>
      </patternFill>
    </fill>
    <fill>
      <patternFill patternType="solid">
        <fgColor rgb="FF000000"/>
        <bgColor rgb="FF000000"/>
      </patternFill>
    </fill>
    <fill>
      <patternFill patternType="solid">
        <fgColor rgb="FFEFEFEF"/>
        <bgColor rgb="FFEFEFEF"/>
      </patternFill>
    </fill>
    <fill>
      <patternFill patternType="solid">
        <fgColor rgb="FFE5E5E5"/>
        <bgColor rgb="FFE5E5E5"/>
      </patternFill>
    </fill>
  </fills>
  <borders count="22">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border>
    <border>
      <left style="thick">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bottom style="thin">
        <color rgb="FF000000"/>
      </bottom>
    </border>
    <border>
      <left style="thick">
        <color rgb="FF000000"/>
      </left>
      <right style="thin">
        <color rgb="FF000000"/>
      </right>
      <bottom style="thin">
        <color rgb="FF000000"/>
      </bottom>
    </border>
    <border>
      <left style="thick">
        <color rgb="FF000000"/>
      </left>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bottom style="thin">
        <color rgb="FF000000"/>
      </bottom>
    </border>
    <border>
      <right style="thick">
        <color rgb="FF000000"/>
      </right>
      <bottom style="thin">
        <color rgb="FF000000"/>
      </bottom>
    </border>
  </borders>
  <cellStyleXfs count="1">
    <xf borderId="0" fillId="0" fontId="0" numFmtId="0" applyAlignment="1" applyFont="1"/>
  </cellStyleXfs>
  <cellXfs count="60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shrinkToFit="0" vertical="bottom" wrapText="1"/>
    </xf>
    <xf borderId="1" fillId="2" fontId="2" numFmtId="0" xfId="0" applyAlignment="1" applyBorder="1" applyFont="1">
      <alignment horizontal="center" shrinkToFit="0" vertical="bottom" wrapText="1"/>
    </xf>
    <xf borderId="1" fillId="0" fontId="3" numFmtId="0" xfId="0" applyBorder="1" applyFont="1"/>
    <xf borderId="2" fillId="0" fontId="1" numFmtId="0" xfId="0" applyAlignment="1" applyBorder="1" applyFont="1">
      <alignment vertical="bottom"/>
    </xf>
    <xf borderId="1" fillId="0" fontId="4" numFmtId="0" xfId="0" applyAlignment="1" applyBorder="1" applyFont="1">
      <alignment readingOrder="0"/>
    </xf>
    <xf borderId="3" fillId="0" fontId="3" numFmtId="0" xfId="0" applyBorder="1" applyFont="1"/>
    <xf borderId="0" fillId="0" fontId="1" numFmtId="0" xfId="0" applyFont="1"/>
    <xf borderId="1" fillId="0" fontId="1" numFmtId="0" xfId="0" applyBorder="1" applyFont="1"/>
    <xf borderId="3" fillId="3" fontId="5" numFmtId="0" xfId="0" applyAlignment="1" applyBorder="1" applyFill="1" applyFont="1">
      <alignment horizontal="center" shrinkToFit="0" vertical="bottom" wrapText="1"/>
    </xf>
    <xf borderId="3" fillId="0" fontId="6" numFmtId="164" xfId="0" applyAlignment="1" applyBorder="1" applyFont="1" applyNumberFormat="1">
      <alignment horizontal="center" readingOrder="0" shrinkToFit="0" vertical="center" wrapText="1"/>
    </xf>
    <xf borderId="3" fillId="0" fontId="6" numFmtId="165" xfId="0" applyAlignment="1" applyBorder="1" applyFont="1" applyNumberFormat="1">
      <alignment horizontal="center" readingOrder="0" shrinkToFit="0" vertical="center" wrapText="1"/>
    </xf>
    <xf borderId="3" fillId="0" fontId="6"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3" fillId="0" fontId="6" numFmtId="164" xfId="0" applyAlignment="1" applyBorder="1" applyFont="1" applyNumberFormat="1">
      <alignment shrinkToFit="0" vertical="center" wrapText="1"/>
    </xf>
    <xf borderId="4" fillId="0" fontId="6" numFmtId="164" xfId="0" applyAlignment="1" applyBorder="1" applyFont="1" applyNumberFormat="1">
      <alignment horizontal="center" readingOrder="0" shrinkToFit="0" vertical="center" wrapText="1"/>
    </xf>
    <xf borderId="5" fillId="0" fontId="6" numFmtId="165" xfId="0" applyAlignment="1" applyBorder="1" applyFont="1" applyNumberFormat="1">
      <alignment horizontal="center" readingOrder="0" shrinkToFit="0" vertical="center" wrapText="1"/>
    </xf>
    <xf borderId="5" fillId="0" fontId="6" numFmtId="0" xfId="0" applyAlignment="1" applyBorder="1" applyFont="1">
      <alignment readingOrder="0" shrinkToFit="0" vertical="center" wrapText="1"/>
    </xf>
    <xf borderId="6" fillId="0" fontId="6" numFmtId="164" xfId="0" applyAlignment="1" applyBorder="1" applyFont="1" applyNumberFormat="1">
      <alignment horizontal="center" shrinkToFit="0" vertical="center" wrapText="1"/>
    </xf>
    <xf borderId="3" fillId="0" fontId="6" numFmtId="165" xfId="0" applyAlignment="1" applyBorder="1" applyFont="1" applyNumberFormat="1">
      <alignment horizontal="center" shrinkToFit="0" vertical="center" wrapText="1"/>
    </xf>
    <xf borderId="3" fillId="0" fontId="8" numFmtId="0" xfId="0" applyAlignment="1" applyBorder="1" applyFont="1">
      <alignment shrinkToFit="0" vertical="center" wrapText="1"/>
    </xf>
    <xf borderId="4" fillId="0" fontId="6" numFmtId="164"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shrinkToFit="0" vertical="center" wrapText="1"/>
    </xf>
    <xf borderId="4" fillId="0" fontId="6" numFmtId="0" xfId="0" applyAlignment="1" applyBorder="1" applyFont="1">
      <alignment shrinkToFit="0" vertical="center" wrapText="1"/>
    </xf>
    <xf borderId="0" fillId="0" fontId="6" numFmtId="164" xfId="0" applyAlignment="1" applyFont="1" applyNumberFormat="1">
      <alignment horizontal="center" shrinkToFit="0" vertical="center" wrapText="1"/>
    </xf>
    <xf borderId="0" fillId="0" fontId="6" numFmtId="0" xfId="0" applyAlignment="1" applyFont="1">
      <alignment horizontal="center" shrinkToFit="0" vertical="center" wrapText="1"/>
    </xf>
    <xf borderId="0" fillId="0" fontId="6" numFmtId="164" xfId="0" applyAlignment="1" applyFont="1" applyNumberFormat="1">
      <alignment shrinkToFit="0" vertical="center" wrapText="1"/>
    </xf>
    <xf borderId="0" fillId="0" fontId="6" numFmtId="0" xfId="0" applyAlignment="1" applyFont="1">
      <alignment shrinkToFit="0" vertical="center" wrapText="1"/>
    </xf>
    <xf borderId="5" fillId="4" fontId="9" numFmtId="0" xfId="0" applyAlignment="1" applyBorder="1" applyFill="1" applyFont="1">
      <alignment readingOrder="0" vertical="center"/>
    </xf>
    <xf borderId="3" fillId="0" fontId="1" numFmtId="164" xfId="0" applyAlignment="1" applyBorder="1" applyFont="1" applyNumberFormat="1">
      <alignment vertical="center"/>
    </xf>
    <xf borderId="3" fillId="0" fontId="6" numFmtId="0" xfId="0" applyAlignment="1" applyBorder="1" applyFont="1">
      <alignment horizontal="center" readingOrder="0" shrinkToFit="0" vertical="center" wrapText="1"/>
    </xf>
    <xf borderId="3" fillId="4" fontId="1" numFmtId="0" xfId="0" applyAlignment="1" applyBorder="1" applyFont="1">
      <alignment shrinkToFit="0" vertical="center" wrapText="1"/>
    </xf>
    <xf borderId="3" fillId="4" fontId="10" numFmtId="0" xfId="0" applyAlignment="1" applyBorder="1" applyFont="1">
      <alignment readingOrder="0" vertical="center"/>
    </xf>
    <xf borderId="3" fillId="0" fontId="1" numFmtId="164" xfId="0" applyAlignment="1" applyBorder="1" applyFont="1" applyNumberFormat="1">
      <alignment readingOrder="0" vertical="center"/>
    </xf>
    <xf borderId="3" fillId="4" fontId="1" numFmtId="0" xfId="0" applyAlignment="1" applyBorder="1" applyFont="1">
      <alignment readingOrder="0" shrinkToFit="0" vertical="center" wrapText="1"/>
    </xf>
    <xf borderId="3" fillId="4" fontId="1" numFmtId="166" xfId="0" applyAlignment="1" applyBorder="1" applyFont="1" applyNumberFormat="1">
      <alignment readingOrder="0" vertical="center"/>
    </xf>
    <xf borderId="3" fillId="4" fontId="1" numFmtId="166" xfId="0" applyAlignment="1" applyBorder="1" applyFont="1" applyNumberFormat="1">
      <alignment readingOrder="0" shrinkToFit="0" vertical="center" wrapText="1"/>
    </xf>
    <xf borderId="5" fillId="4" fontId="11" numFmtId="0" xfId="0" applyAlignment="1" applyBorder="1" applyFont="1">
      <alignment readingOrder="0" vertical="center"/>
    </xf>
    <xf borderId="3" fillId="4" fontId="6" numFmtId="0" xfId="0" applyBorder="1" applyFont="1"/>
    <xf borderId="3" fillId="4" fontId="12" numFmtId="0" xfId="0" applyBorder="1" applyFont="1"/>
    <xf borderId="3" fillId="0" fontId="1" numFmtId="164" xfId="0" applyAlignment="1" applyBorder="1" applyFont="1" applyNumberFormat="1">
      <alignment readingOrder="0" vertical="bottom"/>
    </xf>
    <xf borderId="3" fillId="0" fontId="6" numFmtId="0" xfId="0" applyAlignment="1" applyBorder="1" applyFont="1">
      <alignment horizontal="center" readingOrder="0" shrinkToFit="0" vertical="bottom" wrapText="1"/>
    </xf>
    <xf borderId="3" fillId="4" fontId="1" numFmtId="0" xfId="0" applyAlignment="1" applyBorder="1" applyFont="1">
      <alignment vertical="bottom"/>
    </xf>
    <xf borderId="3" fillId="4" fontId="1" numFmtId="10" xfId="0" applyAlignment="1" applyBorder="1" applyFont="1" applyNumberFormat="1">
      <alignment vertical="bottom"/>
    </xf>
    <xf borderId="7" fillId="5" fontId="13" numFmtId="0" xfId="0" applyAlignment="1" applyBorder="1" applyFill="1" applyFont="1">
      <alignment horizontal="center" readingOrder="0" shrinkToFit="0" vertical="center" wrapText="1"/>
    </xf>
    <xf borderId="8" fillId="0" fontId="3" numFmtId="0" xfId="0" applyBorder="1" applyFont="1"/>
    <xf borderId="5" fillId="0" fontId="3" numFmtId="0" xfId="0" applyBorder="1" applyFont="1"/>
    <xf borderId="0" fillId="4" fontId="13" numFmtId="0" xfId="0" applyAlignment="1" applyFont="1">
      <alignment horizontal="center" readingOrder="0" shrinkToFit="0" vertical="center" wrapText="1"/>
    </xf>
    <xf borderId="7" fillId="0" fontId="1" numFmtId="0" xfId="0" applyAlignment="1" applyBorder="1" applyFont="1">
      <alignment shrinkToFit="0" vertical="center" wrapText="1"/>
    </xf>
    <xf borderId="0" fillId="4" fontId="1" numFmtId="0" xfId="0" applyAlignment="1" applyFont="1">
      <alignment shrinkToFit="0" vertical="center" wrapText="1"/>
    </xf>
    <xf borderId="4" fillId="6" fontId="5" numFmtId="0" xfId="0" applyAlignment="1" applyBorder="1" applyFill="1" applyFont="1">
      <alignment horizontal="center" readingOrder="0" shrinkToFit="0" vertical="center" wrapText="1"/>
    </xf>
    <xf borderId="0" fillId="4" fontId="5" numFmtId="0" xfId="0" applyAlignment="1" applyFon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4"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4" fillId="0" fontId="1" numFmtId="164"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center" wrapText="1"/>
    </xf>
    <xf borderId="4" fillId="0" fontId="1" numFmtId="0" xfId="0" applyAlignment="1" applyBorder="1" applyFont="1">
      <alignment shrinkToFit="0" vertical="center" wrapText="1"/>
    </xf>
    <xf borderId="0" fillId="0" fontId="1" numFmtId="0" xfId="0" applyAlignment="1" applyFont="1">
      <alignment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2" fontId="14" numFmtId="0" xfId="0" applyAlignment="1" applyFont="1">
      <alignment horizontal="center" shrinkToFit="0" vertical="bottom" wrapText="1"/>
    </xf>
    <xf borderId="0" fillId="2" fontId="13" numFmtId="0" xfId="0" applyAlignment="1" applyFont="1">
      <alignment horizontal="center" readingOrder="0" vertical="center"/>
    </xf>
    <xf borderId="0" fillId="0" fontId="1" numFmtId="0" xfId="0" applyAlignment="1" applyFont="1">
      <alignment horizontal="center"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4"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7" fillId="6" fontId="15" numFmtId="0" xfId="0" applyAlignment="1" applyBorder="1" applyFont="1">
      <alignment readingOrder="0"/>
    </xf>
    <xf borderId="0" fillId="6" fontId="15" numFmtId="0" xfId="0" applyAlignment="1" applyFont="1">
      <alignment readingOrder="0"/>
    </xf>
    <xf borderId="6" fillId="0" fontId="6" numFmtId="0" xfId="0" applyAlignment="1" applyBorder="1" applyFont="1">
      <alignment horizontal="center"/>
    </xf>
    <xf borderId="3" fillId="0" fontId="6" numFmtId="0" xfId="0" applyAlignment="1" applyBorder="1" applyFont="1">
      <alignment readingOrder="0" shrinkToFit="0" wrapText="1"/>
    </xf>
    <xf borderId="0" fillId="0" fontId="6" numFmtId="0" xfId="0" applyAlignment="1" applyFont="1">
      <alignment readingOrder="0" shrinkToFit="0" wrapText="1"/>
    </xf>
    <xf borderId="6" fillId="0" fontId="6" numFmtId="0" xfId="0" applyAlignment="1" applyBorder="1" applyFont="1">
      <alignment horizontal="center" readingOrder="0" vertical="center"/>
    </xf>
    <xf borderId="7" fillId="7" fontId="13" numFmtId="0" xfId="0" applyAlignment="1" applyBorder="1" applyFill="1" applyFont="1">
      <alignment horizontal="left" readingOrder="0" vertical="center"/>
    </xf>
    <xf borderId="0" fillId="7" fontId="13" numFmtId="0" xfId="0" applyAlignment="1" applyFont="1">
      <alignment horizontal="left" readingOrder="0" vertical="center"/>
    </xf>
    <xf borderId="6" fillId="0" fontId="6" numFmtId="0" xfId="0" applyAlignment="1" applyBorder="1" applyFont="1">
      <alignment horizontal="center" readingOrder="0"/>
    </xf>
    <xf borderId="3" fillId="0" fontId="6" numFmtId="0" xfId="0" applyAlignment="1" applyBorder="1" applyFont="1">
      <alignment shrinkToFit="0" wrapText="1"/>
    </xf>
    <xf borderId="0" fillId="0" fontId="6" numFmtId="0" xfId="0" applyAlignment="1" applyFont="1">
      <alignment shrinkToFit="0" wrapText="1"/>
    </xf>
    <xf borderId="7" fillId="6" fontId="5" numFmtId="0" xfId="0" applyAlignment="1" applyBorder="1" applyFont="1">
      <alignment horizontal="left" readingOrder="0" vertical="center"/>
    </xf>
    <xf borderId="0" fillId="6" fontId="5" numFmtId="0" xfId="0" applyAlignment="1" applyFont="1">
      <alignment horizontal="left" readingOrder="0" vertical="center"/>
    </xf>
    <xf borderId="4"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4" fillId="0" fontId="16" numFmtId="0" xfId="0" applyAlignment="1" applyBorder="1" applyFont="1">
      <alignment horizontal="left" readingOrder="0" shrinkToFit="0" vertical="center" wrapText="1"/>
    </xf>
    <xf borderId="4" fillId="0" fontId="17" numFmtId="0" xfId="0" applyAlignment="1" applyBorder="1" applyFont="1">
      <alignment readingOrder="0" shrinkToFit="0" wrapText="1"/>
    </xf>
    <xf borderId="4" fillId="0" fontId="18" numFmtId="0" xfId="0" applyAlignment="1" applyBorder="1" applyFont="1">
      <alignment readingOrder="0" shrinkToFit="0" vertical="center" wrapText="1"/>
    </xf>
    <xf borderId="0" fillId="0" fontId="18" numFmtId="0" xfId="0" applyAlignment="1" applyFont="1">
      <alignment readingOrder="0" shrinkToFit="0" vertical="center" wrapText="1"/>
    </xf>
    <xf borderId="4" fillId="0" fontId="19" numFmtId="0" xfId="0" applyAlignment="1" applyBorder="1" applyFont="1">
      <alignment readingOrder="0" shrinkToFit="0" vertical="center" wrapText="1"/>
    </xf>
    <xf borderId="0" fillId="0" fontId="19" numFmtId="0" xfId="0" applyAlignment="1" applyFont="1">
      <alignment readingOrder="0" shrinkToFit="0" vertical="center" wrapText="1"/>
    </xf>
    <xf borderId="4" fillId="0" fontId="20" numFmtId="0" xfId="0" applyAlignment="1" applyBorder="1" applyFont="1">
      <alignment readingOrder="0" shrinkToFit="0" vertical="center" wrapText="1"/>
    </xf>
    <xf borderId="0" fillId="8" fontId="21" numFmtId="0" xfId="0" applyAlignment="1" applyFill="1" applyFont="1">
      <alignment horizontal="center" readingOrder="0" vertical="center"/>
    </xf>
    <xf borderId="0" fillId="8" fontId="21" numFmtId="0" xfId="0" applyAlignment="1" applyFont="1">
      <alignment horizontal="left" readingOrder="0" shrinkToFit="0" vertical="center" wrapText="1"/>
    </xf>
    <xf borderId="0" fillId="8" fontId="21" numFmtId="0" xfId="0" applyAlignment="1" applyFont="1">
      <alignment horizontal="center" shrinkToFit="0" vertical="center" wrapText="1"/>
    </xf>
    <xf borderId="0" fillId="0" fontId="22" numFmtId="0" xfId="0" applyAlignment="1" applyFont="1">
      <alignment readingOrder="0" vertical="center"/>
    </xf>
    <xf borderId="0" fillId="6" fontId="23" numFmtId="0" xfId="0" applyAlignment="1" applyFont="1">
      <alignment horizontal="center" readingOrder="0" vertical="center"/>
    </xf>
    <xf borderId="0" fillId="0" fontId="22" numFmtId="0" xfId="0" applyAlignment="1" applyFont="1">
      <alignment vertical="center"/>
    </xf>
    <xf borderId="0" fillId="6" fontId="23" numFmtId="167" xfId="0" applyAlignment="1" applyFont="1" applyNumberFormat="1">
      <alignment horizontal="center" readingOrder="0" vertical="center"/>
    </xf>
    <xf borderId="0" fillId="6" fontId="23" numFmtId="0" xfId="0" applyAlignment="1" applyFont="1">
      <alignment horizontal="center" vertical="center"/>
    </xf>
    <xf borderId="9" fillId="9" fontId="21" numFmtId="0" xfId="0" applyAlignment="1" applyBorder="1" applyFill="1" applyFont="1">
      <alignment readingOrder="0" shrinkToFit="0" vertical="center" wrapText="0"/>
    </xf>
    <xf borderId="9" fillId="9" fontId="22" numFmtId="0" xfId="0" applyAlignment="1" applyBorder="1" applyFont="1">
      <alignment horizontal="center" vertical="center"/>
    </xf>
    <xf borderId="0" fillId="9" fontId="22" numFmtId="0" xfId="0" applyAlignment="1" applyFont="1">
      <alignment horizontal="center" vertical="center"/>
    </xf>
    <xf borderId="4" fillId="10" fontId="22" numFmtId="0" xfId="0" applyAlignment="1" applyBorder="1" applyFill="1" applyFont="1">
      <alignment horizontal="center" shrinkToFit="0" vertical="center" wrapText="1"/>
    </xf>
    <xf borderId="4" fillId="10" fontId="22" numFmtId="0" xfId="0" applyAlignment="1" applyBorder="1" applyFont="1">
      <alignment horizontal="center" readingOrder="0" shrinkToFit="0" vertical="center" wrapText="1"/>
    </xf>
    <xf borderId="4" fillId="4" fontId="24" numFmtId="0" xfId="0" applyAlignment="1" applyBorder="1" applyFont="1">
      <alignment horizontal="left" readingOrder="0" vertical="center"/>
    </xf>
    <xf borderId="4" fillId="0" fontId="22" numFmtId="0" xfId="0" applyAlignment="1" applyBorder="1" applyFont="1">
      <alignment horizontal="center" vertical="center"/>
    </xf>
    <xf borderId="4" fillId="0" fontId="22" numFmtId="0" xfId="0" applyAlignment="1" applyBorder="1" applyFont="1">
      <alignment horizontal="center" readingOrder="0" vertical="center"/>
    </xf>
    <xf borderId="4" fillId="4" fontId="22" numFmtId="0" xfId="0" applyAlignment="1" applyBorder="1" applyFont="1">
      <alignment horizontal="left" readingOrder="0" vertical="center"/>
    </xf>
    <xf borderId="4" fillId="4" fontId="22" numFmtId="0" xfId="0" applyAlignment="1" applyBorder="1" applyFont="1">
      <alignment horizontal="left" readingOrder="0" shrinkToFit="0" vertical="center" wrapText="1"/>
    </xf>
    <xf borderId="7" fillId="0" fontId="22" numFmtId="0" xfId="0" applyAlignment="1" applyBorder="1" applyFont="1">
      <alignment horizontal="center" vertical="center"/>
    </xf>
    <xf borderId="4" fillId="11" fontId="25" numFmtId="0" xfId="0" applyAlignment="1" applyBorder="1" applyFill="1" applyFont="1">
      <alignment readingOrder="0" vertical="center"/>
    </xf>
    <xf borderId="4" fillId="11" fontId="25" numFmtId="0" xfId="0" applyAlignment="1" applyBorder="1" applyFont="1">
      <alignment horizontal="center" readingOrder="0" vertical="center"/>
    </xf>
    <xf borderId="0" fillId="4" fontId="22" numFmtId="0" xfId="0" applyAlignment="1" applyFont="1">
      <alignment horizontal="center" shrinkToFit="0" vertical="center" wrapText="1"/>
    </xf>
    <xf borderId="4" fillId="11" fontId="22" numFmtId="0" xfId="0" applyAlignment="1" applyBorder="1" applyFont="1">
      <alignment shrinkToFit="0" vertical="center" wrapText="1"/>
    </xf>
    <xf borderId="4" fillId="11" fontId="22" numFmtId="0" xfId="0" applyAlignment="1" applyBorder="1" applyFont="1">
      <alignment horizontal="center" shrinkToFit="0" vertical="center" wrapText="1"/>
    </xf>
    <xf borderId="4" fillId="0" fontId="22" numFmtId="0" xfId="0" applyAlignment="1" applyBorder="1" applyFont="1">
      <alignment vertical="center"/>
    </xf>
    <xf borderId="0" fillId="4" fontId="23" numFmtId="0" xfId="0" applyAlignment="1" applyFont="1">
      <alignment horizontal="center" vertical="center"/>
    </xf>
    <xf borderId="4" fillId="0" fontId="22" numFmtId="0" xfId="0" applyAlignment="1" applyBorder="1" applyFont="1">
      <alignment readingOrder="0" vertical="center"/>
    </xf>
    <xf borderId="0" fillId="11" fontId="26" numFmtId="0" xfId="0" applyAlignment="1" applyFont="1">
      <alignment readingOrder="0" vertical="center"/>
    </xf>
    <xf borderId="0" fillId="11" fontId="25" numFmtId="0" xfId="0" applyAlignment="1" applyFont="1">
      <alignment horizontal="center" vertical="center"/>
    </xf>
    <xf borderId="4" fillId="11" fontId="22" numFmtId="0" xfId="0" applyAlignment="1" applyBorder="1" applyFont="1">
      <alignment horizontal="center" readingOrder="0" shrinkToFit="0" vertical="center" wrapText="1"/>
    </xf>
    <xf borderId="4" fillId="0" fontId="22" numFmtId="0" xfId="0" applyAlignment="1" applyBorder="1" applyFont="1">
      <alignment readingOrder="0" shrinkToFit="0" vertical="center" wrapText="1"/>
    </xf>
    <xf borderId="0" fillId="0" fontId="22" numFmtId="0" xfId="0" applyAlignment="1" applyFont="1">
      <alignment horizontal="center" vertical="center"/>
    </xf>
    <xf borderId="4" fillId="11" fontId="25" numFmtId="0" xfId="0" applyAlignment="1" applyBorder="1" applyFont="1">
      <alignment vertical="center"/>
    </xf>
    <xf borderId="0" fillId="4" fontId="25" numFmtId="0" xfId="0" applyAlignment="1" applyFont="1">
      <alignment horizontal="center" vertical="center"/>
    </xf>
    <xf borderId="4" fillId="12" fontId="23" numFmtId="168" xfId="0" applyAlignment="1" applyBorder="1" applyFill="1" applyFont="1" applyNumberFormat="1">
      <alignment vertical="center"/>
    </xf>
    <xf borderId="0" fillId="4" fontId="22" numFmtId="0" xfId="0" applyAlignment="1" applyFont="1">
      <alignment horizontal="center" vertical="center"/>
    </xf>
    <xf borderId="4" fillId="11" fontId="25" numFmtId="0" xfId="0" applyAlignment="1" applyBorder="1" applyFont="1">
      <alignment horizontal="center" vertical="center"/>
    </xf>
    <xf borderId="4" fillId="4" fontId="22" numFmtId="0" xfId="0" applyAlignment="1" applyBorder="1" applyFont="1">
      <alignment readingOrder="0" shrinkToFit="0" vertical="center" wrapText="1"/>
    </xf>
    <xf borderId="4" fillId="4" fontId="22" numFmtId="0" xfId="0" applyAlignment="1" applyBorder="1" applyFont="1">
      <alignment shrinkToFit="0" vertical="center" wrapText="1"/>
    </xf>
    <xf borderId="0" fillId="4" fontId="22" numFmtId="0" xfId="0" applyAlignment="1" applyFont="1">
      <alignment horizontal="center" readingOrder="0" shrinkToFit="0" vertical="center" wrapText="1"/>
    </xf>
    <xf borderId="0" fillId="11" fontId="26" numFmtId="0" xfId="0" applyAlignment="1" applyFont="1">
      <alignment shrinkToFit="0" vertical="center" wrapText="1"/>
    </xf>
    <xf borderId="0" fillId="11" fontId="26" numFmtId="0" xfId="0" applyAlignment="1" applyFont="1">
      <alignment horizontal="center" shrinkToFit="0" vertical="center" wrapText="1"/>
    </xf>
    <xf borderId="0" fillId="12" fontId="23" numFmtId="168" xfId="0" applyAlignment="1" applyFont="1" applyNumberFormat="1">
      <alignment vertical="center"/>
    </xf>
    <xf borderId="4" fillId="11" fontId="2" numFmtId="0" xfId="0" applyAlignment="1" applyBorder="1" applyFont="1">
      <alignment horizontal="center" readingOrder="0" shrinkToFit="0" vertical="center" wrapText="1"/>
    </xf>
    <xf borderId="4" fillId="13" fontId="27" numFmtId="0" xfId="0" applyAlignment="1" applyBorder="1" applyFill="1" applyFont="1">
      <alignment horizontal="center" readingOrder="0" shrinkToFit="0" vertical="center" wrapText="1"/>
    </xf>
    <xf borderId="4" fillId="0" fontId="17" numFmtId="0" xfId="0" applyAlignment="1" applyBorder="1" applyFont="1">
      <alignment readingOrder="0" shrinkToFit="0" vertical="center" wrapText="1"/>
    </xf>
    <xf borderId="4" fillId="0" fontId="17" numFmtId="0" xfId="0" applyAlignment="1" applyBorder="1" applyFont="1">
      <alignment horizontal="center" shrinkToFit="0" vertical="center" wrapText="1"/>
    </xf>
    <xf borderId="4" fillId="0" fontId="17" numFmtId="0" xfId="0" applyAlignment="1" applyBorder="1" applyFont="1">
      <alignment horizontal="center" readingOrder="0" shrinkToFit="0" vertical="center" wrapText="1"/>
    </xf>
    <xf borderId="4" fillId="0" fontId="17" numFmtId="9" xfId="0" applyAlignment="1" applyBorder="1" applyFont="1" applyNumberFormat="1">
      <alignment horizontal="center" readingOrder="0" shrinkToFit="0" vertical="center" wrapText="1"/>
    </xf>
    <xf borderId="0" fillId="4" fontId="17" numFmtId="0" xfId="0" applyAlignment="1" applyFont="1">
      <alignment shrinkToFit="0" wrapText="1"/>
    </xf>
    <xf borderId="4" fillId="4" fontId="17" numFmtId="0" xfId="0" applyAlignment="1" applyBorder="1" applyFont="1">
      <alignment readingOrder="0"/>
    </xf>
    <xf borderId="4" fillId="4" fontId="17" numFmtId="0" xfId="0" applyAlignment="1" applyBorder="1" applyFont="1">
      <alignment horizontal="center" shrinkToFit="0" vertical="center" wrapText="1"/>
    </xf>
    <xf borderId="4" fillId="4" fontId="17" numFmtId="0" xfId="0" applyAlignment="1" applyBorder="1" applyFont="1">
      <alignment readingOrder="0" shrinkToFit="0" wrapText="1"/>
    </xf>
    <xf borderId="4" fillId="4" fontId="17" numFmtId="0" xfId="0" applyAlignment="1" applyBorder="1" applyFont="1">
      <alignment horizontal="center" readingOrder="0" shrinkToFit="0" vertical="center" wrapText="1"/>
    </xf>
    <xf borderId="4" fillId="4" fontId="17" numFmtId="0" xfId="0" applyAlignment="1" applyBorder="1" applyFont="1">
      <alignment readingOrder="0" shrinkToFit="0" vertical="center" wrapText="1"/>
    </xf>
    <xf borderId="4" fillId="4" fontId="17" numFmtId="0" xfId="0" applyAlignment="1" applyBorder="1" applyFont="1">
      <alignment shrinkToFit="0" vertical="center" wrapText="1"/>
    </xf>
    <xf borderId="4" fillId="0" fontId="17" numFmtId="0" xfId="0" applyAlignment="1" applyBorder="1" applyFont="1">
      <alignment shrinkToFit="0" vertical="center" wrapText="1"/>
    </xf>
    <xf borderId="4" fillId="0" fontId="17" numFmtId="0" xfId="0" applyAlignment="1" applyBorder="1" applyFont="1">
      <alignment shrinkToFit="0" vertical="center" wrapText="1"/>
    </xf>
    <xf borderId="0" fillId="0" fontId="17" numFmtId="0" xfId="0" applyAlignment="1" applyFont="1">
      <alignment horizontal="center" vertical="center"/>
    </xf>
    <xf borderId="4" fillId="0" fontId="17" numFmtId="169" xfId="0" applyAlignment="1" applyBorder="1" applyFont="1" applyNumberFormat="1">
      <alignment horizontal="center" readingOrder="0" shrinkToFit="0" vertical="center" wrapText="1"/>
    </xf>
    <xf borderId="4" fillId="4" fontId="17" numFmtId="0" xfId="0" applyAlignment="1" applyBorder="1" applyFont="1">
      <alignment shrinkToFit="0" vertical="center" wrapText="1"/>
    </xf>
    <xf borderId="4" fillId="13" fontId="27" numFmtId="0" xfId="0" applyAlignment="1" applyBorder="1" applyFont="1">
      <alignment horizontal="center" shrinkToFit="0" vertical="center" wrapText="1"/>
    </xf>
    <xf borderId="4" fillId="13" fontId="15" numFmtId="0" xfId="0" applyAlignment="1" applyBorder="1" applyFont="1">
      <alignment horizontal="center" readingOrder="0" shrinkToFit="0" vertical="center" wrapText="1"/>
    </xf>
    <xf borderId="6" fillId="0" fontId="17" numFmtId="0" xfId="0" applyAlignment="1" applyBorder="1" applyFont="1">
      <alignment horizontal="center" shrinkToFit="0" vertical="center" wrapText="1"/>
    </xf>
    <xf borderId="6" fillId="0" fontId="17" numFmtId="0" xfId="0" applyAlignment="1" applyBorder="1" applyFont="1">
      <alignment shrinkToFit="0" vertical="center" wrapText="1"/>
    </xf>
    <xf borderId="6" fillId="0" fontId="17" numFmtId="0" xfId="0" applyAlignment="1" applyBorder="1" applyFont="1">
      <alignment horizontal="center" shrinkToFit="0" vertical="center" wrapText="1"/>
    </xf>
    <xf borderId="4" fillId="0" fontId="15" numFmtId="0" xfId="0" applyAlignment="1" applyBorder="1" applyFont="1">
      <alignment horizontal="center" readingOrder="0" shrinkToFit="0" vertical="center" wrapText="1"/>
    </xf>
    <xf borderId="7" fillId="11" fontId="15" numFmtId="0" xfId="0" applyAlignment="1" applyBorder="1" applyFont="1">
      <alignment horizontal="center" readingOrder="0" shrinkToFit="0" vertical="center" wrapText="1"/>
    </xf>
    <xf borderId="4" fillId="14" fontId="15" numFmtId="0" xfId="0" applyAlignment="1" applyBorder="1" applyFill="1" applyFont="1">
      <alignment horizontal="center" readingOrder="0" shrinkToFit="0" vertical="center" wrapText="1"/>
    </xf>
    <xf borderId="4" fillId="15" fontId="15" numFmtId="0" xfId="0" applyAlignment="1" applyBorder="1" applyFill="1" applyFont="1">
      <alignment horizontal="center" shrinkToFit="0" vertical="center" wrapText="1"/>
    </xf>
    <xf borderId="7" fillId="13" fontId="15" numFmtId="0" xfId="0" applyAlignment="1" applyBorder="1" applyFont="1">
      <alignment horizontal="center" readingOrder="0" shrinkToFit="0" vertical="center" wrapText="1"/>
    </xf>
    <xf borderId="4" fillId="15" fontId="15" numFmtId="0" xfId="0" applyAlignment="1" applyBorder="1" applyFont="1">
      <alignment horizontal="center" readingOrder="0" shrinkToFit="0" vertical="center" wrapText="1"/>
    </xf>
    <xf borderId="4" fillId="0" fontId="28" numFmtId="0" xfId="0" applyAlignment="1" applyBorder="1" applyFont="1">
      <alignment horizontal="center" readingOrder="0" shrinkToFit="0" vertical="center" wrapText="1"/>
    </xf>
    <xf borderId="4" fillId="0" fontId="29" numFmtId="0" xfId="0" applyAlignment="1" applyBorder="1" applyFont="1">
      <alignment horizontal="center" readingOrder="0" shrinkToFit="0" vertical="center" wrapText="1"/>
    </xf>
    <xf borderId="4" fillId="16" fontId="29" numFmtId="0" xfId="0" applyAlignment="1" applyBorder="1" applyFill="1" applyFont="1">
      <alignment horizontal="center" readingOrder="0" shrinkToFit="0" vertical="center" wrapText="1"/>
    </xf>
    <xf borderId="4" fillId="15" fontId="29"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6" fillId="0" fontId="27"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12" fontId="6" numFmtId="0" xfId="0" applyAlignment="1" applyBorder="1" applyFont="1">
      <alignment horizontal="center" readingOrder="0" shrinkToFit="0" vertical="center" wrapText="1"/>
    </xf>
    <xf borderId="4" fillId="12"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15" fontId="6" numFmtId="0" xfId="0" applyAlignment="1" applyBorder="1" applyFont="1">
      <alignment readingOrder="0" vertical="center"/>
    </xf>
    <xf borderId="4" fillId="15" fontId="6" numFmtId="0" xfId="0" applyAlignment="1" applyBorder="1" applyFont="1">
      <alignment vertical="center"/>
    </xf>
    <xf borderId="4" fillId="0" fontId="2" numFmtId="0" xfId="0" applyAlignment="1" applyBorder="1" applyFont="1">
      <alignment horizontal="center" readingOrder="0" shrinkToFit="0" vertical="center" wrapText="1"/>
    </xf>
    <xf borderId="7" fillId="11" fontId="2" numFmtId="0" xfId="0" applyAlignment="1" applyBorder="1" applyFont="1">
      <alignment horizontal="center" readingOrder="0" shrinkToFit="0" vertical="center" wrapText="1"/>
    </xf>
    <xf borderId="7" fillId="17" fontId="2" numFmtId="0" xfId="0" applyAlignment="1" applyBorder="1" applyFill="1" applyFont="1">
      <alignment horizontal="center" readingOrder="0" shrinkToFit="0" vertical="center" wrapText="1"/>
    </xf>
    <xf borderId="8" fillId="18" fontId="2" numFmtId="0" xfId="0" applyAlignment="1" applyBorder="1" applyFill="1" applyFont="1">
      <alignment horizontal="center" readingOrder="0" shrinkToFit="0" vertical="center" wrapText="1"/>
    </xf>
    <xf borderId="10" fillId="17" fontId="2" numFmtId="0" xfId="0" applyAlignment="1" applyBorder="1" applyFont="1">
      <alignment horizontal="center" readingOrder="0" shrinkToFit="0" vertical="center" wrapText="1"/>
    </xf>
    <xf borderId="0" fillId="19" fontId="2" numFmtId="0" xfId="0" applyAlignment="1" applyFill="1" applyFont="1">
      <alignment horizontal="center" readingOrder="0" shrinkToFit="0" vertical="center" wrapText="1"/>
    </xf>
    <xf borderId="7" fillId="19" fontId="2" numFmtId="0" xfId="0" applyAlignment="1" applyBorder="1" applyFont="1">
      <alignment horizontal="center" readingOrder="0" shrinkToFit="0" vertical="center" wrapText="1"/>
    </xf>
    <xf borderId="4" fillId="19" fontId="2" numFmtId="0" xfId="0" applyAlignment="1" applyBorder="1" applyFont="1">
      <alignment horizontal="center" shrinkToFit="0" vertical="center" wrapText="1"/>
    </xf>
    <xf borderId="0" fillId="19" fontId="2" numFmtId="0" xfId="0" applyAlignment="1" applyFont="1">
      <alignment horizontal="center" shrinkToFit="0" vertical="center" wrapText="1"/>
    </xf>
    <xf borderId="8" fillId="17" fontId="2" numFmtId="0" xfId="0" applyAlignment="1" applyBorder="1" applyFont="1">
      <alignment horizontal="center" readingOrder="0" shrinkToFit="0" vertical="center" wrapText="1"/>
    </xf>
    <xf borderId="7" fillId="20" fontId="2" numFmtId="0" xfId="0" applyAlignment="1" applyBorder="1" applyFill="1" applyFont="1">
      <alignment horizontal="center" readingOrder="0" shrinkToFit="0" vertical="center" wrapText="1"/>
    </xf>
    <xf borderId="7" fillId="21" fontId="2" numFmtId="0" xfId="0" applyAlignment="1" applyBorder="1" applyFill="1" applyFont="1">
      <alignment horizontal="center" readingOrder="0" shrinkToFit="0" vertical="center" wrapText="1"/>
    </xf>
    <xf borderId="7" fillId="22" fontId="2" numFmtId="0" xfId="0" applyAlignment="1" applyBorder="1" applyFill="1" applyFont="1">
      <alignment horizontal="center" readingOrder="0" shrinkToFit="0" vertical="center" wrapText="1"/>
    </xf>
    <xf borderId="4" fillId="22" fontId="2" numFmtId="0" xfId="0" applyAlignment="1" applyBorder="1" applyFont="1">
      <alignment horizontal="center" readingOrder="0" shrinkToFit="0" vertical="center" wrapText="1"/>
    </xf>
    <xf borderId="5" fillId="22" fontId="2" numFmtId="0" xfId="0" applyAlignment="1" applyBorder="1" applyFont="1">
      <alignment horizontal="center" readingOrder="0" shrinkToFit="0" vertical="center" wrapText="1"/>
    </xf>
    <xf borderId="10" fillId="23" fontId="2" numFmtId="0" xfId="0" applyAlignment="1" applyBorder="1" applyFill="1" applyFont="1">
      <alignment horizontal="center" readingOrder="0" shrinkToFit="0" vertical="center" wrapText="1"/>
    </xf>
    <xf borderId="4" fillId="24" fontId="2" numFmtId="0" xfId="0" applyAlignment="1" applyBorder="1" applyFill="1" applyFont="1">
      <alignment horizontal="center" readingOrder="0" shrinkToFit="0" vertical="center" wrapText="1"/>
    </xf>
    <xf borderId="4" fillId="25" fontId="2" numFmtId="0" xfId="0" applyAlignment="1" applyBorder="1" applyFill="1" applyFont="1">
      <alignment horizontal="center" shrinkToFit="0" vertical="center" wrapText="1"/>
    </xf>
    <xf borderId="1" fillId="26" fontId="2" numFmtId="0" xfId="0" applyAlignment="1" applyBorder="1" applyFill="1" applyFont="1">
      <alignment horizontal="center" readingOrder="0" shrinkToFit="0" vertical="center" wrapText="1"/>
    </xf>
    <xf borderId="10" fillId="18" fontId="2" numFmtId="0" xfId="0" applyAlignment="1" applyBorder="1" applyFont="1">
      <alignment horizontal="center" readingOrder="0" shrinkToFit="0" vertical="center" wrapText="1"/>
    </xf>
    <xf borderId="10" fillId="15" fontId="2" numFmtId="0" xfId="0" applyAlignment="1" applyBorder="1" applyFont="1">
      <alignment horizontal="center" readingOrder="0" shrinkToFit="0" vertical="center" wrapText="1"/>
    </xf>
    <xf borderId="7" fillId="13" fontId="27" numFmtId="0" xfId="0" applyAlignment="1" applyBorder="1" applyFont="1">
      <alignment horizontal="center" readingOrder="0" shrinkToFit="0" vertical="center" wrapText="1"/>
    </xf>
    <xf borderId="7" fillId="27" fontId="27" numFmtId="0" xfId="0" applyAlignment="1" applyBorder="1" applyFill="1" applyFont="1">
      <alignment horizontal="center" readingOrder="0" shrinkToFit="0" vertical="center" wrapText="1"/>
    </xf>
    <xf borderId="8" fillId="28" fontId="27" numFmtId="0" xfId="0" applyAlignment="1" applyBorder="1" applyFill="1" applyFont="1">
      <alignment horizontal="center" readingOrder="0" shrinkToFit="0" vertical="center" wrapText="1"/>
    </xf>
    <xf borderId="10" fillId="27" fontId="27" numFmtId="0" xfId="0" applyAlignment="1" applyBorder="1" applyFont="1">
      <alignment horizontal="center" readingOrder="0" shrinkToFit="0" vertical="center" wrapText="1"/>
    </xf>
    <xf borderId="7" fillId="29" fontId="27" numFmtId="0" xfId="0" applyAlignment="1" applyBorder="1" applyFill="1" applyFont="1">
      <alignment horizontal="center" readingOrder="0" shrinkToFit="0" vertical="center" wrapText="1"/>
    </xf>
    <xf borderId="11" fillId="27" fontId="27" numFmtId="0" xfId="0" applyAlignment="1" applyBorder="1" applyFont="1">
      <alignment horizontal="center" shrinkToFit="0" vertical="center" wrapText="1"/>
    </xf>
    <xf borderId="8" fillId="27" fontId="27" numFmtId="0" xfId="0" applyAlignment="1" applyBorder="1" applyFont="1">
      <alignment horizontal="center" readingOrder="0" shrinkToFit="0" vertical="center" wrapText="1"/>
    </xf>
    <xf borderId="4" fillId="27" fontId="27" numFmtId="0" xfId="0" applyAlignment="1" applyBorder="1" applyFont="1">
      <alignment horizontal="center" readingOrder="0" shrinkToFit="0" vertical="center" wrapText="1"/>
    </xf>
    <xf borderId="7" fillId="30" fontId="27" numFmtId="0" xfId="0" applyAlignment="1" applyBorder="1" applyFill="1" applyFont="1">
      <alignment horizontal="center" readingOrder="0" shrinkToFit="0" vertical="center" wrapText="1"/>
    </xf>
    <xf borderId="7" fillId="30" fontId="30" numFmtId="0" xfId="0" applyAlignment="1" applyBorder="1" applyFont="1">
      <alignment horizontal="center" readingOrder="0" shrinkToFit="0" vertical="center" wrapText="1"/>
    </xf>
    <xf borderId="4" fillId="30" fontId="27" numFmtId="0" xfId="0" applyAlignment="1" applyBorder="1" applyFont="1">
      <alignment horizontal="center" readingOrder="0" shrinkToFit="0" vertical="center" wrapText="1"/>
    </xf>
    <xf borderId="7" fillId="31" fontId="27" numFmtId="0" xfId="0" applyAlignment="1" applyBorder="1" applyFill="1" applyFont="1">
      <alignment horizontal="center" readingOrder="0" shrinkToFit="0" vertical="center" wrapText="1"/>
    </xf>
    <xf borderId="10" fillId="13" fontId="27" numFmtId="0" xfId="0" applyAlignment="1" applyBorder="1" applyFont="1">
      <alignment horizontal="center" readingOrder="0" shrinkToFit="0" vertical="center" wrapText="1"/>
    </xf>
    <xf borderId="4" fillId="10" fontId="15" numFmtId="0" xfId="0" applyAlignment="1" applyBorder="1" applyFont="1">
      <alignment horizontal="center" readingOrder="0" shrinkToFit="0" vertical="center" wrapText="1"/>
    </xf>
    <xf borderId="4" fillId="32" fontId="27" numFmtId="0" xfId="0" applyAlignment="1" applyBorder="1" applyFill="1" applyFont="1">
      <alignment horizontal="center" readingOrder="0" shrinkToFit="0" vertical="center" wrapText="1"/>
    </xf>
    <xf borderId="1" fillId="29" fontId="15" numFmtId="0" xfId="0" applyAlignment="1" applyBorder="1" applyFont="1">
      <alignment horizontal="center" readingOrder="0" shrinkToFit="0" vertical="center" wrapText="1"/>
    </xf>
    <xf borderId="10" fillId="28" fontId="27" numFmtId="0" xfId="0" applyAlignment="1" applyBorder="1" applyFont="1">
      <alignment horizontal="center" readingOrder="0" shrinkToFit="0" vertical="center" wrapText="1"/>
    </xf>
    <xf borderId="11" fillId="15" fontId="27" numFmtId="0" xfId="0" applyAlignment="1" applyBorder="1" applyFont="1">
      <alignment horizontal="center" readingOrder="0" shrinkToFit="0" vertical="center" wrapText="1"/>
    </xf>
    <xf borderId="4" fillId="15" fontId="27" numFmtId="0" xfId="0" applyAlignment="1" applyBorder="1" applyFont="1">
      <alignment horizontal="center" readingOrder="0" shrinkToFit="0" vertical="center" wrapText="1"/>
    </xf>
    <xf borderId="4" fillId="0" fontId="31" numFmtId="0" xfId="0" applyAlignment="1" applyBorder="1" applyFont="1">
      <alignment horizontal="center" readingOrder="0" shrinkToFit="0" vertical="center" wrapText="1"/>
    </xf>
    <xf borderId="4" fillId="0" fontId="32" numFmtId="0" xfId="0" applyAlignment="1" applyBorder="1" applyFont="1">
      <alignment horizontal="center" readingOrder="0" shrinkToFit="0" vertical="center" wrapText="1"/>
    </xf>
    <xf borderId="6" fillId="0" fontId="33" numFmtId="0" xfId="0" applyAlignment="1" applyBorder="1" applyFont="1">
      <alignment horizontal="center" shrinkToFit="0" wrapText="1"/>
    </xf>
    <xf borderId="4" fillId="0" fontId="34" numFmtId="0" xfId="0" applyAlignment="1" applyBorder="1" applyFont="1">
      <alignment horizontal="center" readingOrder="0" shrinkToFit="0" vertical="center" wrapText="1"/>
    </xf>
    <xf borderId="4" fillId="0" fontId="32" numFmtId="49" xfId="0" applyAlignment="1" applyBorder="1" applyFont="1" applyNumberFormat="1">
      <alignment horizontal="center" readingOrder="0" shrinkToFit="0" vertical="center" wrapText="1"/>
    </xf>
    <xf borderId="4" fillId="4" fontId="32" numFmtId="0" xfId="0" applyAlignment="1" applyBorder="1" applyFont="1">
      <alignment horizontal="center" readingOrder="0" shrinkToFit="0" vertical="center" wrapText="1"/>
    </xf>
    <xf borderId="7" fillId="0" fontId="32" numFmtId="0" xfId="0" applyAlignment="1" applyBorder="1" applyFont="1">
      <alignment horizontal="center" readingOrder="0" shrinkToFit="0" vertical="center" wrapText="1"/>
    </xf>
    <xf borderId="11" fillId="0" fontId="29" numFmtId="0" xfId="0" applyAlignment="1" applyBorder="1" applyFont="1">
      <alignment horizontal="center" readingOrder="0" shrinkToFit="0" vertical="center" wrapText="1"/>
    </xf>
    <xf borderId="5" fillId="0" fontId="32" numFmtId="0" xfId="0" applyAlignment="1" applyBorder="1" applyFont="1">
      <alignment horizontal="center" readingOrder="0" shrinkToFit="0" vertical="center" wrapText="1"/>
    </xf>
    <xf borderId="11" fillId="0" fontId="35" numFmtId="0" xfId="0" applyAlignment="1" applyBorder="1" applyFont="1">
      <alignment horizontal="center" readingOrder="0" shrinkToFit="0" vertical="center" wrapText="1"/>
    </xf>
    <xf borderId="8" fillId="0" fontId="32" numFmtId="0" xfId="0" applyAlignment="1" applyBorder="1" applyFont="1">
      <alignment horizontal="center" readingOrder="0" shrinkToFit="0" vertical="center" wrapText="1"/>
    </xf>
    <xf borderId="11" fillId="0" fontId="32" numFmtId="0" xfId="0" applyAlignment="1" applyBorder="1" applyFont="1">
      <alignment horizontal="center" readingOrder="0" shrinkToFit="0" vertical="center" wrapText="1"/>
    </xf>
    <xf borderId="4" fillId="4" fontId="36" numFmtId="0" xfId="0" applyAlignment="1" applyBorder="1" applyFont="1">
      <alignment horizontal="center" readingOrder="0" shrinkToFit="0" vertical="center" wrapText="1"/>
    </xf>
    <xf borderId="10" fillId="0" fontId="32" numFmtId="0" xfId="0" applyAlignment="1" applyBorder="1" applyFont="1">
      <alignment horizontal="center" readingOrder="0" shrinkToFit="0" vertical="center" wrapText="1"/>
    </xf>
    <xf borderId="6" fillId="0" fontId="15" numFmtId="0" xfId="0" applyAlignment="1" applyBorder="1" applyFont="1">
      <alignment horizontal="center" readingOrder="0" shrinkToFit="0" vertical="center" wrapText="1"/>
    </xf>
    <xf borderId="6" fillId="0" fontId="27" numFmtId="0" xfId="0" applyAlignment="1" applyBorder="1" applyFont="1">
      <alignment horizontal="center" shrinkToFit="0" vertical="center" wrapText="1"/>
    </xf>
    <xf borderId="4" fillId="0" fontId="6" numFmtId="0" xfId="0" applyAlignment="1" applyBorder="1" applyFont="1">
      <alignment horizontal="center" shrinkToFit="0" wrapText="1"/>
    </xf>
    <xf borderId="6" fillId="0" fontId="27" numFmtId="49" xfId="0" applyAlignment="1" applyBorder="1" applyFont="1" applyNumberFormat="1">
      <alignment horizontal="center" shrinkToFit="0" vertical="center" wrapText="1"/>
    </xf>
    <xf borderId="6" fillId="0" fontId="27" numFmtId="49" xfId="0" applyAlignment="1" applyBorder="1" applyFont="1" applyNumberFormat="1">
      <alignment horizontal="center" readingOrder="0" shrinkToFit="0" vertical="center" wrapText="1"/>
    </xf>
    <xf borderId="6" fillId="4" fontId="27" numFmtId="0" xfId="0" applyAlignment="1" applyBorder="1" applyFont="1">
      <alignment horizontal="center" readingOrder="0" shrinkToFit="0" vertical="center" wrapText="1"/>
    </xf>
    <xf borderId="7" fillId="0" fontId="27"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6" fillId="0" fontId="27" numFmtId="170" xfId="0" applyAlignment="1" applyBorder="1" applyFont="1" applyNumberFormat="1">
      <alignment horizontal="center" readingOrder="0" shrinkToFit="0" vertical="center" wrapText="1"/>
    </xf>
    <xf borderId="12" fillId="0" fontId="27" numFmtId="170" xfId="0" applyAlignment="1" applyBorder="1" applyFont="1" applyNumberFormat="1">
      <alignment horizontal="center" readingOrder="0" shrinkToFit="0" vertical="center" wrapText="1"/>
    </xf>
    <xf borderId="11" fillId="0" fontId="15" numFmtId="0" xfId="0" applyAlignment="1" applyBorder="1" applyFont="1">
      <alignment horizontal="center" readingOrder="0" shrinkToFit="0" vertical="center" wrapText="1"/>
    </xf>
    <xf borderId="3" fillId="0" fontId="27" numFmtId="0" xfId="0" applyAlignment="1" applyBorder="1" applyFont="1">
      <alignment horizontal="center" readingOrder="0" shrinkToFit="0" vertical="center" wrapText="1"/>
    </xf>
    <xf borderId="12" fillId="0" fontId="27" numFmtId="0" xfId="0" applyAlignment="1" applyBorder="1" applyFont="1">
      <alignment horizontal="center" readingOrder="0" shrinkToFit="0" vertical="center" wrapText="1"/>
    </xf>
    <xf borderId="11" fillId="0" fontId="27" numFmtId="0" xfId="0" applyAlignment="1" applyBorder="1" applyFont="1">
      <alignment horizontal="center" shrinkToFit="0" vertical="center" wrapText="1"/>
    </xf>
    <xf borderId="1" fillId="0" fontId="27" numFmtId="0" xfId="0" applyAlignment="1" applyBorder="1" applyFont="1">
      <alignment horizontal="center" readingOrder="0" shrinkToFit="0" vertical="center" wrapText="1"/>
    </xf>
    <xf borderId="3" fillId="0" fontId="15" numFmtId="0" xfId="0" applyAlignment="1" applyBorder="1" applyFont="1">
      <alignment horizontal="center" readingOrder="0" shrinkToFit="0" vertical="center" wrapText="1"/>
    </xf>
    <xf borderId="13" fillId="0" fontId="27" numFmtId="0" xfId="0" applyAlignment="1" applyBorder="1" applyFont="1">
      <alignment horizontal="center" readingOrder="0" shrinkToFit="0" vertical="center" wrapText="1"/>
    </xf>
    <xf borderId="4" fillId="0" fontId="15" numFmtId="0" xfId="0" applyAlignment="1" applyBorder="1" applyFont="1">
      <alignment horizontal="center" shrinkToFit="0" wrapText="1"/>
    </xf>
    <xf borderId="1" fillId="0" fontId="15" numFmtId="0" xfId="0" applyAlignment="1" applyBorder="1" applyFont="1">
      <alignment horizontal="center" readingOrder="0" shrinkToFit="0" vertical="center" wrapText="1"/>
    </xf>
    <xf borderId="14" fillId="0" fontId="27" numFmtId="0" xfId="0" applyAlignment="1" applyBorder="1" applyFont="1">
      <alignment horizontal="center" readingOrder="0" shrinkToFit="0" vertical="center" wrapText="1"/>
    </xf>
    <xf borderId="11" fillId="0" fontId="27"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4" fontId="33"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0" fontId="6" numFmtId="49" xfId="0" applyAlignment="1" applyBorder="1" applyFont="1" applyNumberFormat="1">
      <alignment horizontal="center" readingOrder="0" shrinkToFit="0" vertical="center" wrapText="1"/>
    </xf>
    <xf borderId="6" fillId="0" fontId="6" numFmtId="49" xfId="0" applyAlignment="1" applyBorder="1" applyFont="1" applyNumberFormat="1">
      <alignment horizontal="center" readingOrder="0" shrinkToFit="0" vertical="center" wrapText="1"/>
    </xf>
    <xf borderId="4" fillId="0" fontId="0" numFmtId="0" xfId="0" applyAlignment="1" applyBorder="1" applyFont="1">
      <alignment horizontal="center" readingOrder="0" shrinkToFit="0" wrapText="0"/>
    </xf>
    <xf borderId="6" fillId="0" fontId="22" numFmtId="0" xfId="0" applyAlignment="1" applyBorder="1" applyFont="1">
      <alignment horizontal="center" readingOrder="0" shrinkToFit="0" vertical="center" wrapText="1"/>
    </xf>
    <xf borderId="4" fillId="0" fontId="6" numFmtId="171" xfId="0" applyAlignment="1" applyBorder="1" applyFont="1" applyNumberFormat="1">
      <alignment horizontal="center" readingOrder="0" shrinkToFit="0" vertical="center" wrapText="1"/>
    </xf>
    <xf borderId="11" fillId="0" fontId="6"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11" fillId="0" fontId="33" numFmtId="0" xfId="0" applyAlignment="1" applyBorder="1" applyFont="1">
      <alignment horizontal="center" readingOrder="0" vertical="center"/>
    </xf>
    <xf borderId="1" fillId="0" fontId="33" numFmtId="0" xfId="0" applyAlignment="1" applyBorder="1" applyFont="1">
      <alignment horizontal="center" readingOrder="0" vertical="center"/>
    </xf>
    <xf borderId="6" fillId="12" fontId="33"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1"/>
    </xf>
    <xf borderId="15" fillId="0" fontId="6"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3" fillId="15" fontId="6" numFmtId="0" xfId="0" applyAlignment="1" applyBorder="1" applyFont="1">
      <alignment horizontal="center" shrinkToFit="0" vertical="center" wrapText="1"/>
    </xf>
    <xf borderId="6" fillId="15" fontId="6" numFmtId="0" xfId="0" applyAlignment="1" applyBorder="1" applyFont="1">
      <alignment horizontal="center" shrinkToFit="0" vertical="center" wrapText="1"/>
    </xf>
    <xf borderId="6" fillId="0" fontId="0" numFmtId="0" xfId="0" applyAlignment="1" applyBorder="1" applyFont="1">
      <alignment horizontal="center" readingOrder="0" shrinkToFit="0" wrapText="0"/>
    </xf>
    <xf borderId="6" fillId="0" fontId="0" numFmtId="0" xfId="0" applyAlignment="1" applyBorder="1" applyFont="1">
      <alignment horizontal="center" readingOrder="0" shrinkToFit="0" vertical="bottom" wrapText="0"/>
    </xf>
    <xf borderId="6" fillId="4" fontId="6"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4" fillId="4" fontId="6" numFmtId="0" xfId="0" applyAlignment="1" applyBorder="1" applyFont="1">
      <alignment horizontal="center" readingOrder="0" shrinkToFit="0" vertical="center" wrapText="1"/>
    </xf>
    <xf borderId="4" fillId="4" fontId="6" numFmtId="0" xfId="0" applyAlignment="1" applyBorder="1" applyFont="1">
      <alignment horizontal="center" readingOrder="0" shrinkToFit="0" vertical="center" wrapText="1"/>
    </xf>
    <xf borderId="6" fillId="4" fontId="0" numFmtId="0" xfId="0" applyAlignment="1" applyBorder="1" applyFont="1">
      <alignment horizontal="center" readingOrder="0" shrinkToFit="0" vertical="bottom" wrapText="0"/>
    </xf>
    <xf borderId="6" fillId="4" fontId="22" numFmtId="0" xfId="0" applyAlignment="1" applyBorder="1" applyFont="1">
      <alignment horizontal="center" readingOrder="0" shrinkToFit="0" vertical="center" wrapText="1"/>
    </xf>
    <xf borderId="4" fillId="4" fontId="6" numFmtId="171" xfId="0" applyAlignment="1" applyBorder="1" applyFont="1" applyNumberFormat="1">
      <alignment horizontal="center" readingOrder="0" shrinkToFit="0" vertical="center" wrapText="1"/>
    </xf>
    <xf borderId="3" fillId="4" fontId="6"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11" fillId="4" fontId="33" numFmtId="0" xfId="0" applyAlignment="1" applyBorder="1" applyFont="1">
      <alignment horizontal="center" readingOrder="0" vertical="center"/>
    </xf>
    <xf borderId="1" fillId="4" fontId="33" numFmtId="0" xfId="0" applyAlignment="1" applyBorder="1" applyFont="1">
      <alignment horizontal="center" readingOrder="0" vertical="center"/>
    </xf>
    <xf borderId="3" fillId="4" fontId="6" numFmtId="0" xfId="0" applyAlignment="1" applyBorder="1" applyFont="1">
      <alignment horizontal="center" readingOrder="0" shrinkToFit="0" vertical="center" wrapText="1"/>
    </xf>
    <xf borderId="13" fillId="4" fontId="6" numFmtId="0" xfId="0" applyAlignment="1" applyBorder="1" applyFont="1">
      <alignment horizontal="center" readingOrder="0" shrinkToFit="0" vertical="center" wrapText="1"/>
    </xf>
    <xf borderId="4" fillId="4" fontId="6" numFmtId="0" xfId="0" applyAlignment="1" applyBorder="1" applyFont="1">
      <alignment readingOrder="0" shrinkToFit="0" vertical="center" wrapText="1"/>
    </xf>
    <xf borderId="1" fillId="4" fontId="6" numFmtId="0" xfId="0" applyAlignment="1" applyBorder="1" applyFont="1">
      <alignment horizontal="center" readingOrder="0" shrinkToFit="0" vertical="center" wrapText="1"/>
    </xf>
    <xf borderId="6" fillId="4" fontId="6" numFmtId="49" xfId="0" applyAlignment="1" applyBorder="1" applyFont="1" applyNumberFormat="1">
      <alignment horizontal="center" readingOrder="0" shrinkToFit="0" vertical="center" wrapText="1"/>
    </xf>
    <xf borderId="6" fillId="4" fontId="6" numFmtId="49" xfId="0" applyAlignment="1" applyBorder="1" applyFont="1" applyNumberFormat="1">
      <alignment horizontal="center" readingOrder="0" shrinkToFit="0" vertical="center" wrapText="1"/>
    </xf>
    <xf borderId="4" fillId="4" fontId="37" numFmtId="0" xfId="0" applyAlignment="1" applyBorder="1" applyFont="1">
      <alignment readingOrder="0"/>
    </xf>
    <xf borderId="6" fillId="4" fontId="6" numFmtId="0" xfId="0" applyAlignment="1" applyBorder="1" applyFont="1">
      <alignment horizontal="center" shrinkToFit="0" wrapText="1"/>
    </xf>
    <xf borderId="6" fillId="4" fontId="33" numFmtId="0" xfId="0" applyAlignment="1" applyBorder="1" applyFont="1">
      <alignment horizontal="center" readingOrder="0" shrinkToFit="0" wrapText="1"/>
    </xf>
    <xf borderId="4" fillId="4" fontId="6" numFmtId="0" xfId="0" applyAlignment="1" applyBorder="1" applyFont="1">
      <alignment horizontal="center" readingOrder="0" shrinkToFit="0" wrapText="1"/>
    </xf>
    <xf borderId="4" fillId="4" fontId="6" numFmtId="0" xfId="0" applyAlignment="1" applyBorder="1" applyFont="1">
      <alignment horizontal="center" shrinkToFit="0" wrapText="1"/>
    </xf>
    <xf borderId="6" fillId="4" fontId="6" numFmtId="49" xfId="0" applyAlignment="1" applyBorder="1" applyFont="1" applyNumberFormat="1">
      <alignment horizontal="center" readingOrder="0" shrinkToFit="0" wrapText="1"/>
    </xf>
    <xf borderId="6" fillId="4" fontId="6" numFmtId="0" xfId="0" applyAlignment="1" applyBorder="1" applyFont="1">
      <alignment horizontal="center" readingOrder="0" shrinkToFit="0" wrapText="1"/>
    </xf>
    <xf borderId="6" fillId="4" fontId="0" numFmtId="0" xfId="0" applyAlignment="1" applyBorder="1" applyFont="1">
      <alignment horizontal="center" readingOrder="0" vertical="bottom"/>
    </xf>
    <xf borderId="6" fillId="4" fontId="22" numFmtId="0" xfId="0" applyAlignment="1" applyBorder="1" applyFont="1">
      <alignment horizontal="center" shrinkToFit="0" wrapText="1"/>
    </xf>
    <xf borderId="6" fillId="4" fontId="6" numFmtId="49" xfId="0" applyAlignment="1" applyBorder="1" applyFont="1" applyNumberFormat="1">
      <alignment horizontal="center" shrinkToFit="0" wrapText="1"/>
    </xf>
    <xf borderId="6" fillId="4" fontId="0" numFmtId="0" xfId="0" applyAlignment="1" applyBorder="1" applyFont="1">
      <alignment horizontal="center" vertical="bottom"/>
    </xf>
    <xf borderId="4" fillId="4" fontId="33" numFmtId="0" xfId="0" applyAlignment="1" applyBorder="1" applyFont="1">
      <alignment horizontal="center" readingOrder="0" vertical="center"/>
    </xf>
    <xf borderId="11" fillId="4" fontId="6" numFmtId="0" xfId="0" applyAlignment="1" applyBorder="1" applyFont="1">
      <alignment horizontal="center" readingOrder="0" shrinkToFit="0" vertical="center" wrapText="1"/>
    </xf>
    <xf borderId="15" fillId="4" fontId="6" numFmtId="0" xfId="0" applyAlignment="1" applyBorder="1" applyFont="1">
      <alignment readingOrder="0" shrinkToFit="0" vertical="center" wrapText="1"/>
    </xf>
    <xf borderId="13" fillId="4" fontId="6"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1" fillId="33" fontId="33" numFmtId="0" xfId="0" applyAlignment="1" applyBorder="1" applyFill="1" applyFont="1">
      <alignment horizontal="center" readingOrder="0" vertical="center"/>
    </xf>
    <xf borderId="6" fillId="4" fontId="33"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34" fontId="38" numFmtId="0" xfId="0" applyAlignment="1" applyBorder="1" applyFill="1" applyFont="1">
      <alignment horizontal="center" readingOrder="0" shrinkToFit="0" vertical="center" wrapText="1"/>
    </xf>
    <xf borderId="6" fillId="34" fontId="38" numFmtId="0" xfId="0" applyAlignment="1" applyBorder="1" applyFont="1">
      <alignment horizontal="center" readingOrder="0" shrinkToFit="0" vertical="center" wrapText="1"/>
    </xf>
    <xf borderId="6" fillId="34" fontId="39" numFmtId="0" xfId="0" applyAlignment="1" applyBorder="1" applyFont="1">
      <alignment horizontal="center" readingOrder="0" shrinkToFit="0" vertical="center" wrapText="1"/>
    </xf>
    <xf borderId="12" fillId="34" fontId="38" numFmtId="0" xfId="0" applyAlignment="1" applyBorder="1" applyFont="1">
      <alignment horizontal="center" readingOrder="0" shrinkToFit="0" vertical="center" wrapText="1"/>
    </xf>
    <xf borderId="6" fillId="34" fontId="40" numFmtId="0" xfId="0" applyAlignment="1" applyBorder="1" applyFont="1">
      <alignment horizontal="center" readingOrder="0" shrinkToFit="0" vertical="center" wrapText="1"/>
    </xf>
    <xf borderId="4" fillId="34" fontId="38" numFmtId="171" xfId="0" applyAlignment="1" applyBorder="1" applyFont="1" applyNumberFormat="1">
      <alignment horizontal="center" readingOrder="0" shrinkToFit="0" vertical="center" wrapText="1"/>
    </xf>
    <xf borderId="11" fillId="34" fontId="38" numFmtId="0" xfId="0" applyAlignment="1" applyBorder="1" applyFont="1">
      <alignment horizontal="center" readingOrder="0" shrinkToFit="0" vertical="center" wrapText="1"/>
    </xf>
    <xf borderId="11" fillId="34" fontId="39" numFmtId="0" xfId="0" applyAlignment="1" applyBorder="1" applyFont="1">
      <alignment horizontal="center" readingOrder="0" vertical="center"/>
    </xf>
    <xf borderId="1" fillId="34" fontId="39" numFmtId="0" xfId="0" applyAlignment="1" applyBorder="1" applyFont="1">
      <alignment horizontal="center" readingOrder="0" vertical="center"/>
    </xf>
    <xf borderId="3" fillId="34" fontId="38" numFmtId="0" xfId="0" applyAlignment="1" applyBorder="1" applyFont="1">
      <alignment horizontal="center" readingOrder="0" shrinkToFit="0" vertical="center" wrapText="1"/>
    </xf>
    <xf borderId="13" fillId="0" fontId="38" numFmtId="0" xfId="0" applyAlignment="1" applyBorder="1" applyFont="1">
      <alignment horizontal="center" readingOrder="0" shrinkToFit="0" vertical="center" wrapText="1"/>
    </xf>
    <xf borderId="4" fillId="34" fontId="38" numFmtId="0" xfId="0" applyAlignment="1" applyBorder="1" applyFont="1">
      <alignment readingOrder="0" shrinkToFit="0" vertical="center" wrapText="1"/>
    </xf>
    <xf borderId="1" fillId="34" fontId="38" numFmtId="0" xfId="0" applyAlignment="1" applyBorder="1" applyFont="1">
      <alignment horizontal="center" readingOrder="0" shrinkToFit="0" vertical="center" wrapText="1"/>
    </xf>
    <xf borderId="6" fillId="0" fontId="6" numFmtId="0" xfId="0" applyAlignment="1" applyBorder="1" applyFont="1">
      <alignment horizontal="center" shrinkToFit="0" wrapText="1"/>
    </xf>
    <xf borderId="12" fillId="35" fontId="41" numFmtId="0" xfId="0" applyBorder="1" applyFill="1" applyFont="1"/>
    <xf borderId="4" fillId="35" fontId="41" numFmtId="171" xfId="0" applyBorder="1" applyFont="1" applyNumberFormat="1"/>
    <xf borderId="11" fillId="35" fontId="41" numFmtId="0" xfId="0" applyBorder="1" applyFont="1"/>
    <xf borderId="3" fillId="35" fontId="41" numFmtId="0" xfId="0" applyBorder="1" applyFont="1"/>
    <xf borderId="6" fillId="35" fontId="41" numFmtId="0" xfId="0" applyBorder="1" applyFont="1"/>
    <xf borderId="3" fillId="0" fontId="6" numFmtId="0" xfId="0" applyAlignment="1" applyBorder="1" applyFont="1">
      <alignment horizontal="center" shrinkToFit="0" wrapText="1"/>
    </xf>
    <xf borderId="11" fillId="35" fontId="41" numFmtId="0" xfId="0" applyAlignment="1" applyBorder="1" applyFont="1">
      <alignment readingOrder="0"/>
    </xf>
    <xf borderId="1" fillId="35" fontId="41" numFmtId="0" xfId="0" applyBorder="1" applyFont="1"/>
    <xf borderId="6" fillId="15" fontId="41" numFmtId="0" xfId="0" applyBorder="1" applyFont="1"/>
    <xf borderId="6" fillId="0" fontId="41" numFmtId="0" xfId="0" applyBorder="1" applyFont="1"/>
    <xf borderId="6" fillId="35" fontId="41" numFmtId="0" xfId="0" applyAlignment="1" applyBorder="1" applyFont="1">
      <alignment readingOrder="0"/>
    </xf>
    <xf borderId="4" fillId="32" fontId="6" numFmtId="0" xfId="0" applyAlignment="1" applyBorder="1" applyFont="1">
      <alignment horizontal="center" readingOrder="0" shrinkToFit="0" wrapText="1"/>
    </xf>
    <xf borderId="4" fillId="35" fontId="41" numFmtId="0" xfId="0" applyBorder="1" applyFont="1"/>
    <xf borderId="1" fillId="0" fontId="41" numFmtId="0" xfId="0" applyBorder="1" applyFont="1"/>
    <xf borderId="7" fillId="35" fontId="41" numFmtId="0" xfId="0" applyBorder="1" applyFont="1"/>
    <xf borderId="5" fillId="35" fontId="41" numFmtId="0" xfId="0" applyBorder="1" applyFont="1"/>
    <xf borderId="8" fillId="0" fontId="41" numFmtId="0" xfId="0" applyBorder="1" applyFont="1"/>
    <xf borderId="4" fillId="35" fontId="41" numFmtId="172" xfId="0" applyBorder="1" applyFont="1" applyNumberFormat="1"/>
    <xf borderId="10" fillId="0" fontId="41" numFmtId="0" xfId="0" applyBorder="1" applyFont="1"/>
    <xf borderId="8" fillId="35" fontId="41" numFmtId="0" xfId="0" applyBorder="1" applyFont="1"/>
    <xf borderId="4" fillId="36" fontId="6" numFmtId="0" xfId="0" applyAlignment="1" applyBorder="1" applyFill="1" applyFont="1">
      <alignment horizontal="center" shrinkToFit="0" wrapText="1"/>
    </xf>
    <xf borderId="6" fillId="36" fontId="6" numFmtId="0" xfId="0" applyAlignment="1" applyBorder="1" applyFont="1">
      <alignment horizontal="center" shrinkToFit="0" wrapText="1"/>
    </xf>
    <xf borderId="7" fillId="36" fontId="41" numFmtId="0" xfId="0" applyBorder="1" applyFont="1"/>
    <xf borderId="4" fillId="36" fontId="41" numFmtId="171" xfId="0" applyBorder="1" applyFont="1" applyNumberFormat="1"/>
    <xf borderId="11" fillId="36" fontId="41" numFmtId="0" xfId="0" applyBorder="1" applyFont="1"/>
    <xf borderId="5" fillId="36" fontId="41" numFmtId="0" xfId="0" applyBorder="1" applyFont="1"/>
    <xf borderId="4" fillId="36" fontId="41" numFmtId="0" xfId="0" applyBorder="1" applyFont="1"/>
    <xf borderId="8" fillId="36" fontId="41" numFmtId="0" xfId="0" applyBorder="1" applyFont="1"/>
    <xf borderId="6" fillId="36" fontId="41" numFmtId="0" xfId="0" applyBorder="1" applyFont="1"/>
    <xf borderId="10" fillId="36" fontId="41" numFmtId="0" xfId="0" applyBorder="1" applyFont="1"/>
    <xf borderId="6" fillId="0" fontId="6" numFmtId="0" xfId="0" applyAlignment="1" applyBorder="1" applyFont="1">
      <alignment horizontal="center" shrinkToFit="0" vertical="center" wrapText="1"/>
    </xf>
    <xf borderId="4" fillId="0" fontId="6" numFmtId="0" xfId="0" applyAlignment="1" applyBorder="1" applyFont="1">
      <alignment horizontal="center" readingOrder="0" shrinkToFit="0" wrapText="1"/>
    </xf>
    <xf borderId="6" fillId="37" fontId="6" numFmtId="0" xfId="0" applyAlignment="1" applyBorder="1" applyFill="1" applyFont="1">
      <alignment horizontal="center" shrinkToFit="0" wrapText="1"/>
    </xf>
    <xf borderId="11" fillId="32" fontId="33" numFmtId="0" xfId="0" applyAlignment="1" applyBorder="1" applyFont="1">
      <alignment horizontal="center"/>
    </xf>
    <xf borderId="6" fillId="35" fontId="41" numFmtId="0" xfId="0" applyAlignment="1" applyBorder="1" applyFont="1">
      <alignment horizontal="center"/>
    </xf>
    <xf borderId="1" fillId="0" fontId="6" numFmtId="0" xfId="0" applyAlignment="1" applyBorder="1" applyFont="1">
      <alignment horizontal="center" shrinkToFit="0" wrapText="1"/>
    </xf>
    <xf borderId="6" fillId="0" fontId="17" numFmtId="0" xfId="0" applyAlignment="1" applyBorder="1" applyFont="1">
      <alignment horizontal="center" readingOrder="0" shrinkToFit="0" vertical="center" wrapText="1"/>
    </xf>
    <xf borderId="6" fillId="35" fontId="41" numFmtId="0" xfId="0" applyAlignment="1" applyBorder="1" applyFont="1">
      <alignment horizontal="center" readingOrder="0"/>
    </xf>
    <xf borderId="4" fillId="35" fontId="41" numFmtId="0" xfId="0" applyAlignment="1" applyBorder="1" applyFont="1">
      <alignment readingOrder="0"/>
    </xf>
    <xf borderId="6" fillId="38" fontId="0" numFmtId="0" xfId="0" applyAlignment="1" applyBorder="1" applyFill="1" applyFont="1">
      <alignment horizontal="center" vertical="bottom"/>
    </xf>
    <xf borderId="6" fillId="4" fontId="41" numFmtId="0" xfId="0" applyAlignment="1" applyBorder="1" applyFont="1">
      <alignment horizontal="center" readingOrder="0"/>
    </xf>
    <xf borderId="12" fillId="4" fontId="41" numFmtId="0" xfId="0" applyBorder="1" applyFont="1"/>
    <xf borderId="4" fillId="4" fontId="41" numFmtId="171" xfId="0" applyBorder="1" applyFont="1" applyNumberFormat="1"/>
    <xf borderId="11" fillId="4" fontId="41" numFmtId="0" xfId="0" applyBorder="1" applyFont="1"/>
    <xf borderId="3" fillId="4" fontId="41" numFmtId="0" xfId="0" applyBorder="1" applyFont="1"/>
    <xf borderId="6" fillId="4" fontId="41" numFmtId="0" xfId="0" applyBorder="1" applyFont="1"/>
    <xf borderId="1" fillId="4" fontId="41" numFmtId="0" xfId="0" applyBorder="1" applyFont="1"/>
    <xf borderId="4" fillId="4" fontId="41" numFmtId="0" xfId="0" applyBorder="1" applyFont="1"/>
    <xf borderId="1" fillId="4" fontId="6" numFmtId="0" xfId="0" applyAlignment="1" applyBorder="1" applyFont="1">
      <alignment horizontal="center" shrinkToFit="0" wrapText="1"/>
    </xf>
    <xf borderId="1" fillId="0" fontId="6" numFmtId="0" xfId="0" applyAlignment="1" applyBorder="1" applyFont="1">
      <alignment horizontal="center" readingOrder="0" shrinkToFit="0" wrapText="1"/>
    </xf>
    <xf borderId="4" fillId="35" fontId="41" numFmtId="0" xfId="0" applyAlignment="1" applyBorder="1" applyFont="1">
      <alignment horizontal="center"/>
    </xf>
    <xf borderId="6" fillId="4" fontId="17" numFmtId="0" xfId="0" applyAlignment="1" applyBorder="1" applyFont="1">
      <alignment horizontal="center" readingOrder="0" shrinkToFit="0" vertical="center" wrapText="1"/>
    </xf>
    <xf borderId="4" fillId="4" fontId="41" numFmtId="0" xfId="0" applyAlignment="1" applyBorder="1" applyFont="1">
      <alignment horizontal="center"/>
    </xf>
    <xf borderId="4" fillId="4" fontId="41" numFmtId="0" xfId="0" applyAlignment="1" applyBorder="1" applyFont="1">
      <alignment readingOrder="0"/>
    </xf>
    <xf borderId="1" fillId="4" fontId="6" numFmtId="0" xfId="0" applyAlignment="1" applyBorder="1" applyFont="1">
      <alignment horizontal="center" readingOrder="0" shrinkToFit="0" wrapText="1"/>
    </xf>
    <xf borderId="6" fillId="33" fontId="6" numFmtId="0" xfId="0" applyAlignment="1" applyBorder="1" applyFont="1">
      <alignment horizontal="center" readingOrder="0" shrinkToFit="0" vertical="center" wrapText="1"/>
    </xf>
    <xf borderId="6" fillId="33" fontId="6" numFmtId="0" xfId="0" applyAlignment="1" applyBorder="1" applyFont="1">
      <alignment horizontal="center" shrinkToFit="0" wrapText="1"/>
    </xf>
    <xf borderId="6" fillId="33" fontId="17" numFmtId="0" xfId="0" applyAlignment="1" applyBorder="1" applyFont="1">
      <alignment horizontal="center" readingOrder="0" shrinkToFit="0" vertical="center" wrapText="1"/>
    </xf>
    <xf borderId="12" fillId="33" fontId="41" numFmtId="0" xfId="0" applyBorder="1" applyFont="1"/>
    <xf borderId="4" fillId="33" fontId="41" numFmtId="171" xfId="0" applyBorder="1" applyFont="1" applyNumberFormat="1"/>
    <xf borderId="11" fillId="33" fontId="41" numFmtId="0" xfId="0" applyBorder="1" applyFont="1"/>
    <xf borderId="3" fillId="33" fontId="41" numFmtId="0" xfId="0" applyBorder="1" applyFont="1"/>
    <xf borderId="6" fillId="33" fontId="41" numFmtId="0" xfId="0" applyBorder="1" applyFont="1"/>
    <xf borderId="6" fillId="33" fontId="0" numFmtId="0" xfId="0" applyAlignment="1" applyBorder="1" applyFont="1">
      <alignment horizontal="center" vertical="bottom"/>
    </xf>
    <xf borderId="1" fillId="33" fontId="41" numFmtId="0" xfId="0" applyBorder="1" applyFont="1"/>
    <xf borderId="4" fillId="33" fontId="41" numFmtId="0" xfId="0" applyBorder="1" applyFont="1"/>
    <xf borderId="4" fillId="33" fontId="41" numFmtId="0" xfId="0" applyAlignment="1" applyBorder="1" applyFont="1">
      <alignment horizontal="center"/>
    </xf>
    <xf borderId="4" fillId="33" fontId="41" numFmtId="0" xfId="0" applyAlignment="1" applyBorder="1" applyFont="1">
      <alignment readingOrder="0"/>
    </xf>
    <xf borderId="1" fillId="33" fontId="6" numFmtId="0" xfId="0" applyAlignment="1" applyBorder="1" applyFont="1">
      <alignment horizontal="center" readingOrder="0" shrinkToFit="0" wrapText="1"/>
    </xf>
    <xf borderId="6" fillId="34" fontId="6" numFmtId="0" xfId="0" applyAlignment="1" applyBorder="1" applyFont="1">
      <alignment horizontal="center" readingOrder="0" shrinkToFit="0" vertical="center" wrapText="1"/>
    </xf>
    <xf borderId="6" fillId="34" fontId="6" numFmtId="0" xfId="0" applyAlignment="1" applyBorder="1" applyFont="1">
      <alignment horizontal="center" shrinkToFit="0" wrapText="1"/>
    </xf>
    <xf borderId="6" fillId="34" fontId="33" numFmtId="0" xfId="0" applyAlignment="1" applyBorder="1" applyFont="1">
      <alignment horizontal="center" readingOrder="0" shrinkToFit="0" vertical="center" wrapText="1"/>
    </xf>
    <xf borderId="4" fillId="34" fontId="6" numFmtId="0" xfId="0" applyAlignment="1" applyBorder="1" applyFont="1">
      <alignment horizontal="center" readingOrder="0" shrinkToFit="0" vertical="center" wrapText="1"/>
    </xf>
    <xf borderId="4" fillId="34" fontId="6" numFmtId="0" xfId="0" applyAlignment="1" applyBorder="1" applyFont="1">
      <alignment horizontal="center" readingOrder="0" shrinkToFit="0" vertical="center" wrapText="1"/>
    </xf>
    <xf borderId="6" fillId="34" fontId="6" numFmtId="49" xfId="0" applyAlignment="1" applyBorder="1" applyFont="1" applyNumberFormat="1">
      <alignment horizontal="center" readingOrder="0" shrinkToFit="0" vertical="center" wrapText="1"/>
    </xf>
    <xf borderId="6" fillId="34" fontId="6" numFmtId="49" xfId="0" applyAlignment="1" applyBorder="1" applyFont="1" applyNumberFormat="1">
      <alignment horizontal="center" readingOrder="0" shrinkToFit="0" vertical="center" wrapText="1"/>
    </xf>
    <xf borderId="6" fillId="34" fontId="17" numFmtId="0" xfId="0" applyAlignment="1" applyBorder="1" applyFont="1">
      <alignment horizontal="center" readingOrder="0" shrinkToFit="0" vertical="center" wrapText="1"/>
    </xf>
    <xf borderId="12" fillId="34" fontId="41" numFmtId="0" xfId="0" applyBorder="1" applyFont="1"/>
    <xf borderId="6" fillId="34" fontId="22" numFmtId="0" xfId="0" applyAlignment="1" applyBorder="1" applyFont="1">
      <alignment horizontal="center" readingOrder="0" shrinkToFit="0" vertical="center" wrapText="1"/>
    </xf>
    <xf borderId="6" fillId="34" fontId="41" numFmtId="0" xfId="0" applyAlignment="1" applyBorder="1" applyFont="1">
      <alignment horizontal="center" readingOrder="0"/>
    </xf>
    <xf borderId="4" fillId="34" fontId="41" numFmtId="171" xfId="0" applyBorder="1" applyFont="1" applyNumberFormat="1"/>
    <xf borderId="11" fillId="34" fontId="41" numFmtId="0" xfId="0" applyBorder="1" applyFont="1"/>
    <xf borderId="3" fillId="34" fontId="41" numFmtId="0" xfId="0" applyBorder="1" applyFont="1"/>
    <xf borderId="6" fillId="34" fontId="41" numFmtId="0" xfId="0" applyBorder="1" applyFont="1"/>
    <xf borderId="6" fillId="34" fontId="0" numFmtId="0" xfId="0" applyAlignment="1" applyBorder="1" applyFont="1">
      <alignment horizontal="center" vertical="bottom"/>
    </xf>
    <xf borderId="1" fillId="34" fontId="41" numFmtId="0" xfId="0" applyBorder="1" applyFont="1"/>
    <xf borderId="4" fillId="34" fontId="41" numFmtId="0" xfId="0" applyBorder="1" applyFont="1"/>
    <xf borderId="3" fillId="34" fontId="6" numFmtId="0" xfId="0" applyAlignment="1" applyBorder="1" applyFont="1">
      <alignment horizontal="center" readingOrder="0" shrinkToFit="0" vertical="center" wrapText="1"/>
    </xf>
    <xf borderId="13" fillId="34" fontId="6" numFmtId="0" xfId="0" applyAlignment="1" applyBorder="1" applyFont="1">
      <alignment horizontal="center" readingOrder="0" shrinkToFit="0" vertical="center" wrapText="1"/>
    </xf>
    <xf borderId="4" fillId="34" fontId="41" numFmtId="0" xfId="0" applyAlignment="1" applyBorder="1" applyFont="1">
      <alignment horizontal="center"/>
    </xf>
    <xf borderId="12" fillId="34" fontId="6" numFmtId="0" xfId="0" applyAlignment="1" applyBorder="1" applyFont="1">
      <alignment horizontal="center" readingOrder="0" shrinkToFit="0" vertical="center" wrapText="1"/>
    </xf>
    <xf borderId="4" fillId="34" fontId="41" numFmtId="0" xfId="0" applyAlignment="1" applyBorder="1" applyFont="1">
      <alignment readingOrder="0"/>
    </xf>
    <xf borderId="15" fillId="34" fontId="6" numFmtId="0" xfId="0" applyAlignment="1" applyBorder="1" applyFont="1">
      <alignment readingOrder="0" shrinkToFit="0" vertical="center" wrapText="1"/>
    </xf>
    <xf borderId="1" fillId="34" fontId="6" numFmtId="0" xfId="0" applyAlignment="1" applyBorder="1" applyFont="1">
      <alignment horizontal="center" readingOrder="0" shrinkToFit="0" wrapText="1"/>
    </xf>
    <xf borderId="13" fillId="34" fontId="6" numFmtId="0" xfId="0" applyAlignment="1" applyBorder="1" applyFont="1">
      <alignment horizontal="center" shrinkToFit="0" vertical="center" wrapText="1"/>
    </xf>
    <xf borderId="6" fillId="34" fontId="6" numFmtId="0" xfId="0" applyAlignment="1" applyBorder="1" applyFont="1">
      <alignment horizontal="center" shrinkToFit="0" vertical="center" wrapText="1"/>
    </xf>
    <xf borderId="6" fillId="0" fontId="6" numFmtId="0" xfId="0" applyAlignment="1" applyBorder="1" applyFont="1">
      <alignment horizontal="center" shrinkToFit="0" vertical="bottom" wrapText="1"/>
    </xf>
    <xf borderId="12" fillId="35" fontId="41" numFmtId="0" xfId="0" applyAlignment="1" applyBorder="1" applyFont="1">
      <alignment vertical="bottom"/>
    </xf>
    <xf borderId="4" fillId="35" fontId="41" numFmtId="171" xfId="0" applyAlignment="1" applyBorder="1" applyFont="1" applyNumberFormat="1">
      <alignment vertical="bottom"/>
    </xf>
    <xf borderId="11" fillId="35" fontId="41" numFmtId="0" xfId="0" applyAlignment="1" applyBorder="1" applyFont="1">
      <alignment vertical="bottom"/>
    </xf>
    <xf borderId="3" fillId="35" fontId="41" numFmtId="0" xfId="0" applyAlignment="1" applyBorder="1" applyFont="1">
      <alignment vertical="bottom"/>
    </xf>
    <xf borderId="6" fillId="35" fontId="41" numFmtId="0" xfId="0" applyAlignment="1" applyBorder="1" applyFont="1">
      <alignment vertical="bottom"/>
    </xf>
    <xf borderId="1" fillId="35" fontId="41" numFmtId="0" xfId="0" applyAlignment="1" applyBorder="1" applyFont="1">
      <alignment vertical="bottom"/>
    </xf>
    <xf borderId="6" fillId="15" fontId="41" numFmtId="0" xfId="0" applyAlignment="1" applyBorder="1" applyFont="1">
      <alignment vertical="bottom"/>
    </xf>
    <xf borderId="6" fillId="0" fontId="41" numFmtId="0" xfId="0" applyAlignment="1" applyBorder="1" applyFont="1">
      <alignment vertical="bottom"/>
    </xf>
    <xf borderId="4" fillId="35" fontId="41" numFmtId="0" xfId="0" applyAlignment="1" applyBorder="1" applyFont="1">
      <alignment vertical="bottom"/>
    </xf>
    <xf borderId="4" fillId="35" fontId="41" numFmtId="0" xfId="0" applyAlignment="1" applyBorder="1" applyFont="1">
      <alignment horizontal="center" vertical="bottom"/>
    </xf>
    <xf borderId="1" fillId="0" fontId="6" numFmtId="0" xfId="0" applyAlignment="1" applyBorder="1" applyFont="1">
      <alignment horizontal="center" shrinkToFit="0" vertical="bottom" wrapText="1"/>
    </xf>
    <xf borderId="6" fillId="4" fontId="6" numFmtId="0" xfId="0" applyAlignment="1" applyBorder="1" applyFont="1">
      <alignment horizontal="center" shrinkToFit="0" vertical="bottom" wrapText="1"/>
    </xf>
    <xf borderId="6" fillId="33" fontId="6" numFmtId="0" xfId="0" applyAlignment="1" applyBorder="1" applyFont="1">
      <alignment horizontal="center" shrinkToFit="0" vertical="bottom" wrapText="1"/>
    </xf>
    <xf borderId="6" fillId="33" fontId="6" numFmtId="0" xfId="0" applyAlignment="1" applyBorder="1" applyFont="1">
      <alignment horizontal="center" readingOrder="0" shrinkToFit="0" wrapText="1"/>
    </xf>
    <xf borderId="6" fillId="33" fontId="41" numFmtId="0" xfId="0" applyAlignment="1" applyBorder="1" applyFont="1">
      <alignment horizontal="center" readingOrder="0"/>
    </xf>
    <xf borderId="1" fillId="33" fontId="6" numFmtId="0" xfId="0" applyAlignment="1" applyBorder="1" applyFont="1">
      <alignment horizontal="center" shrinkToFit="0" wrapText="1"/>
    </xf>
    <xf borderId="6" fillId="35" fontId="41" numFmtId="0" xfId="0" applyAlignment="1" applyBorder="1" applyFont="1">
      <alignment horizontal="center" vertical="bottom"/>
    </xf>
    <xf borderId="4" fillId="0" fontId="41" numFmtId="49" xfId="0" applyAlignment="1" applyBorder="1" applyFont="1" applyNumberFormat="1">
      <alignment horizontal="center" vertical="bottom"/>
    </xf>
    <xf borderId="6" fillId="35" fontId="41" numFmtId="0" xfId="0" applyAlignment="1" applyBorder="1" applyFont="1">
      <alignment readingOrder="0" vertical="bottom"/>
    </xf>
    <xf borderId="1" fillId="0" fontId="6" numFmtId="0" xfId="0" applyAlignment="1" applyBorder="1" applyFont="1">
      <alignment horizontal="center" readingOrder="0" shrinkToFit="0" vertical="bottom" wrapText="1"/>
    </xf>
    <xf borderId="6" fillId="0" fontId="41" numFmtId="0" xfId="0" applyAlignment="1" applyBorder="1" applyFont="1">
      <alignment shrinkToFit="0" vertical="bottom" wrapText="1"/>
    </xf>
    <xf borderId="6" fillId="4" fontId="41" numFmtId="0" xfId="0" applyAlignment="1" applyBorder="1" applyFont="1">
      <alignment horizontal="center" vertical="bottom"/>
    </xf>
    <xf borderId="12" fillId="4" fontId="41" numFmtId="0" xfId="0" applyAlignment="1" applyBorder="1" applyFont="1">
      <alignment vertical="bottom"/>
    </xf>
    <xf borderId="4" fillId="4" fontId="41" numFmtId="171" xfId="0" applyAlignment="1" applyBorder="1" applyFont="1" applyNumberFormat="1">
      <alignment vertical="bottom"/>
    </xf>
    <xf borderId="11" fillId="4" fontId="41" numFmtId="0" xfId="0" applyAlignment="1" applyBorder="1" applyFont="1">
      <alignment vertical="bottom"/>
    </xf>
    <xf borderId="3" fillId="4" fontId="41" numFmtId="0" xfId="0" applyAlignment="1" applyBorder="1" applyFont="1">
      <alignment vertical="bottom"/>
    </xf>
    <xf borderId="6" fillId="4" fontId="41" numFmtId="0" xfId="0" applyAlignment="1" applyBorder="1" applyFont="1">
      <alignment vertical="bottom"/>
    </xf>
    <xf borderId="1" fillId="4" fontId="41" numFmtId="0" xfId="0" applyAlignment="1" applyBorder="1" applyFont="1">
      <alignment vertical="bottom"/>
    </xf>
    <xf borderId="4" fillId="4" fontId="41" numFmtId="0" xfId="0" applyAlignment="1" applyBorder="1" applyFont="1">
      <alignment vertical="bottom"/>
    </xf>
    <xf borderId="4" fillId="4" fontId="41" numFmtId="0" xfId="0" applyAlignment="1" applyBorder="1" applyFont="1">
      <alignment horizontal="center" vertical="bottom"/>
    </xf>
    <xf borderId="1" fillId="4" fontId="6" numFmtId="0" xfId="0" applyAlignment="1" applyBorder="1" applyFont="1">
      <alignment horizontal="center" shrinkToFit="0" vertical="bottom" wrapText="1"/>
    </xf>
    <xf borderId="6" fillId="35" fontId="41" numFmtId="49" xfId="0" applyBorder="1" applyFont="1" applyNumberFormat="1"/>
    <xf borderId="13" fillId="35" fontId="41" numFmtId="0" xfId="0" applyBorder="1" applyFont="1"/>
    <xf borderId="16" fillId="35" fontId="41" numFmtId="0" xfId="0" applyBorder="1" applyFont="1"/>
    <xf borderId="17" fillId="35" fontId="41" numFmtId="0" xfId="0" applyBorder="1" applyFont="1"/>
    <xf borderId="7" fillId="0" fontId="2" numFmtId="0" xfId="0" applyAlignment="1" applyBorder="1" applyFont="1">
      <alignment horizontal="center" readingOrder="0" shrinkToFit="0" vertical="center" wrapText="1"/>
    </xf>
    <xf borderId="7" fillId="23" fontId="2" numFmtId="0" xfId="0" applyAlignment="1" applyBorder="1" applyFont="1">
      <alignment horizontal="center" readingOrder="0" shrinkToFit="0" vertical="center" wrapText="1"/>
    </xf>
    <xf borderId="6" fillId="26" fontId="2" numFmtId="0" xfId="0" applyAlignment="1" applyBorder="1" applyFont="1">
      <alignment horizontal="center" readingOrder="0" shrinkToFit="0" vertical="center" wrapText="1"/>
    </xf>
    <xf borderId="0" fillId="18" fontId="2" numFmtId="0" xfId="0" applyAlignment="1" applyFont="1">
      <alignment horizontal="center" readingOrder="0" shrinkToFit="0" vertical="center" wrapText="1"/>
    </xf>
    <xf borderId="7" fillId="27" fontId="42" numFmtId="0" xfId="0" applyAlignment="1" applyBorder="1" applyFont="1">
      <alignment horizontal="center" readingOrder="0" shrinkToFit="0" vertical="center" wrapText="1"/>
    </xf>
    <xf borderId="6" fillId="29" fontId="15" numFmtId="0" xfId="0" applyAlignment="1" applyBorder="1" applyFont="1">
      <alignment horizontal="center" readingOrder="0" shrinkToFit="0" vertical="center" wrapText="1"/>
    </xf>
    <xf borderId="0" fillId="28" fontId="27" numFmtId="0" xfId="0" applyAlignment="1" applyFont="1">
      <alignment horizontal="center" shrinkToFit="0" vertical="center" wrapText="1"/>
    </xf>
    <xf borderId="7" fillId="4" fontId="32" numFmtId="0" xfId="0" applyAlignment="1" applyBorder="1" applyFont="1">
      <alignment horizontal="center" shrinkToFit="0" wrapText="1"/>
    </xf>
    <xf borderId="0" fillId="0" fontId="27" numFmtId="0" xfId="0" applyAlignment="1" applyFont="1">
      <alignment horizontal="center" readingOrder="0" shrinkToFit="0" vertical="center" wrapText="1"/>
    </xf>
    <xf borderId="4" fillId="0" fontId="27" numFmtId="0" xfId="0" applyAlignment="1" applyBorder="1" applyFont="1">
      <alignment horizontal="center" shrinkToFit="0" vertical="center" wrapText="1"/>
    </xf>
    <xf borderId="4" fillId="0" fontId="27" numFmtId="49" xfId="0" applyAlignment="1" applyBorder="1" applyFont="1" applyNumberFormat="1">
      <alignment horizontal="center" readingOrder="0" shrinkToFit="0" vertical="center" wrapText="1"/>
    </xf>
    <xf borderId="4" fillId="0" fontId="42" numFmtId="0" xfId="0" applyAlignment="1" applyBorder="1" applyFont="1">
      <alignment horizontal="center" readingOrder="0" shrinkToFit="0" vertical="center" wrapText="1"/>
    </xf>
    <xf borderId="7" fillId="0" fontId="42" numFmtId="0" xfId="0" applyAlignment="1" applyBorder="1" applyFont="1">
      <alignment horizontal="center" readingOrder="0" shrinkToFit="0" vertical="center" wrapText="1"/>
    </xf>
    <xf borderId="7" fillId="0" fontId="15" numFmtId="0" xfId="0" applyAlignment="1" applyBorder="1" applyFont="1">
      <alignment horizontal="center" shrinkToFit="0" wrapText="1"/>
    </xf>
    <xf borderId="4" fillId="0" fontId="27" numFmtId="0" xfId="0" applyAlignment="1" applyBorder="1" applyFont="1">
      <alignment horizontal="center" shrinkToFit="0" vertical="center" wrapText="1"/>
    </xf>
    <xf borderId="4" fillId="0" fontId="6" numFmtId="49" xfId="0" applyAlignment="1" applyBorder="1" applyFont="1" applyNumberFormat="1">
      <alignment horizontal="center" readingOrder="0" shrinkToFit="0" vertical="center" wrapText="1"/>
    </xf>
    <xf borderId="7" fillId="0" fontId="6" numFmtId="0" xfId="0" applyAlignment="1" applyBorder="1" applyFont="1">
      <alignment horizontal="left" readingOrder="0" shrinkToFit="0" vertical="center" wrapText="1"/>
    </xf>
    <xf borderId="4" fillId="34" fontId="2" numFmtId="0" xfId="0" applyAlignment="1" applyBorder="1" applyFont="1">
      <alignment horizontal="center" readingOrder="0" shrinkToFit="0" vertical="center" wrapText="1"/>
    </xf>
    <xf borderId="7" fillId="39" fontId="2" numFmtId="0" xfId="0" applyAlignment="1" applyBorder="1" applyFill="1" applyFont="1">
      <alignment horizontal="center" readingOrder="0" shrinkToFit="0" vertical="center" wrapText="1"/>
    </xf>
    <xf borderId="4" fillId="18" fontId="2" numFmtId="0" xfId="0" applyAlignment="1" applyBorder="1" applyFont="1">
      <alignment horizontal="center" readingOrder="0" shrinkToFit="0" vertical="center" wrapText="1"/>
    </xf>
    <xf borderId="7" fillId="27" fontId="15" numFmtId="0" xfId="0" applyAlignment="1" applyBorder="1" applyFont="1">
      <alignment horizontal="center" readingOrder="0" shrinkToFit="0" vertical="center" wrapText="1"/>
    </xf>
    <xf borderId="4" fillId="28" fontId="15" numFmtId="0" xfId="0" applyAlignment="1" applyBorder="1" applyFont="1">
      <alignment horizontal="center" readingOrder="0" shrinkToFit="0" vertical="center" wrapText="1"/>
    </xf>
    <xf borderId="4" fillId="4" fontId="29" numFmtId="0" xfId="0" applyAlignment="1" applyBorder="1" applyFont="1">
      <alignment horizontal="center" shrinkToFit="0" wrapText="1"/>
    </xf>
    <xf borderId="4" fillId="0" fontId="6" numFmtId="0" xfId="0" applyAlignment="1" applyBorder="1" applyFont="1">
      <alignment horizontal="center" readingOrder="1" shrinkToFit="0" vertical="center" wrapText="1"/>
    </xf>
    <xf borderId="4" fillId="0" fontId="6" numFmtId="0" xfId="0" applyAlignment="1" applyBorder="1" applyFont="1">
      <alignment horizontal="center" readingOrder="1" shrinkToFit="0" vertical="center" wrapText="1"/>
    </xf>
    <xf borderId="4" fillId="0" fontId="6" numFmtId="0" xfId="0" applyAlignment="1" applyBorder="1" applyFont="1">
      <alignment readingOrder="0"/>
    </xf>
    <xf borderId="4" fillId="0" fontId="6" numFmtId="0" xfId="0" applyAlignment="1" applyBorder="1" applyFont="1">
      <alignment horizontal="center" readingOrder="1"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1" shrinkToFit="0" vertical="center" wrapText="1"/>
    </xf>
    <xf borderId="0" fillId="0" fontId="6" numFmtId="0" xfId="0" applyAlignment="1" applyFont="1">
      <alignment readingOrder="0" shrinkToFit="0" vertical="center" wrapText="1"/>
    </xf>
    <xf borderId="0" fillId="0" fontId="43" numFmtId="0" xfId="0" applyAlignment="1" applyFont="1">
      <alignment readingOrder="0" vertical="center"/>
    </xf>
    <xf borderId="0" fillId="0" fontId="15" numFmtId="0" xfId="0" applyAlignment="1" applyFont="1">
      <alignment readingOrder="0" shrinkToFit="0" vertical="center" wrapText="1"/>
    </xf>
    <xf borderId="0" fillId="0" fontId="6" numFmtId="0" xfId="0" applyAlignment="1" applyFont="1">
      <alignment vertical="center"/>
    </xf>
    <xf borderId="0" fillId="31" fontId="44" numFmtId="0" xfId="0" applyAlignment="1" applyFont="1">
      <alignment horizontal="left" shrinkToFit="0" vertical="center" wrapText="1"/>
    </xf>
    <xf borderId="2" fillId="0" fontId="3" numFmtId="0" xfId="0" applyBorder="1" applyFont="1"/>
    <xf borderId="5" fillId="40" fontId="15" numFmtId="0" xfId="0" applyAlignment="1" applyBorder="1" applyFill="1" applyFont="1">
      <alignment horizontal="center" shrinkToFit="0" vertical="center" wrapText="1"/>
    </xf>
    <xf borderId="5" fillId="40" fontId="6" numFmtId="0" xfId="0" applyAlignment="1" applyBorder="1" applyFont="1">
      <alignment horizontal="center" shrinkToFit="0" vertical="center" wrapText="1"/>
    </xf>
    <xf borderId="3" fillId="34" fontId="2" numFmtId="9" xfId="0" applyAlignment="1" applyBorder="1" applyFont="1" applyNumberFormat="1">
      <alignment horizontal="center" shrinkToFit="0" vertical="center" wrapText="1"/>
    </xf>
    <xf borderId="3" fillId="34" fontId="2" numFmtId="3" xfId="0" applyAlignment="1" applyBorder="1" applyFont="1" applyNumberFormat="1">
      <alignment horizontal="center" shrinkToFit="0" vertical="center" wrapText="1"/>
    </xf>
    <xf borderId="3" fillId="41" fontId="15" numFmtId="9" xfId="0" applyAlignment="1" applyBorder="1" applyFill="1" applyFont="1" applyNumberFormat="1">
      <alignment horizontal="center" shrinkToFit="0" vertical="center" wrapText="1"/>
    </xf>
    <xf borderId="3" fillId="41" fontId="15" numFmtId="1" xfId="0" applyAlignment="1" applyBorder="1" applyFont="1" applyNumberFormat="1">
      <alignment horizontal="center" vertical="center"/>
    </xf>
    <xf borderId="6" fillId="31" fontId="6" numFmtId="0" xfId="0" applyAlignment="1" applyBorder="1" applyFont="1">
      <alignment horizontal="center" shrinkToFit="0" vertical="center" wrapText="1"/>
    </xf>
    <xf borderId="3" fillId="31" fontId="6" numFmtId="0" xfId="0" applyAlignment="1" applyBorder="1" applyFont="1">
      <alignment horizontal="center" shrinkToFit="0" vertical="center" wrapText="1"/>
    </xf>
    <xf borderId="3" fillId="14" fontId="6" numFmtId="0" xfId="0" applyAlignment="1" applyBorder="1" applyFont="1">
      <alignment horizontal="center" shrinkToFit="0" vertical="center" wrapText="1"/>
    </xf>
    <xf borderId="3" fillId="0" fontId="1" numFmtId="0" xfId="0" applyAlignment="1" applyBorder="1" applyFont="1">
      <alignment horizontal="center" vertical="center"/>
    </xf>
    <xf borderId="3" fillId="0" fontId="1" numFmtId="0" xfId="0" applyAlignment="1" applyBorder="1" applyFont="1">
      <alignment horizontal="center" readingOrder="0" vertical="center"/>
    </xf>
    <xf borderId="3" fillId="0" fontId="1" numFmtId="173" xfId="0" applyAlignment="1" applyBorder="1" applyFont="1" applyNumberFormat="1">
      <alignment horizontal="center" readingOrder="0" vertical="center"/>
    </xf>
    <xf borderId="3" fillId="0" fontId="1" numFmtId="173" xfId="0" applyAlignment="1" applyBorder="1" applyFont="1" applyNumberFormat="1">
      <alignment horizontal="center" vertical="center"/>
    </xf>
    <xf borderId="3" fillId="0" fontId="1" numFmtId="164" xfId="0" applyAlignment="1" applyBorder="1" applyFont="1" applyNumberFormat="1">
      <alignment horizontal="center" vertical="center"/>
    </xf>
    <xf borderId="3" fillId="0" fontId="45" numFmtId="0" xfId="0" applyAlignment="1" applyBorder="1" applyFont="1">
      <alignment horizontal="center" readingOrder="0" shrinkToFit="0" vertical="center" wrapText="1"/>
    </xf>
    <xf borderId="3" fillId="0" fontId="1" numFmtId="0" xfId="0" applyAlignment="1" applyBorder="1" applyFont="1">
      <alignment horizontal="center" vertical="center"/>
    </xf>
    <xf borderId="3" fillId="0" fontId="1" numFmtId="173" xfId="0" applyAlignment="1" applyBorder="1" applyFont="1" applyNumberFormat="1">
      <alignment horizontal="center" vertical="center"/>
    </xf>
    <xf borderId="3" fillId="0" fontId="45" numFmtId="164" xfId="0" applyAlignment="1" applyBorder="1" applyFont="1" applyNumberFormat="1">
      <alignment horizontal="center" shrinkToFit="0" vertical="center" wrapText="1"/>
    </xf>
    <xf borderId="0" fillId="0" fontId="1" numFmtId="0" xfId="0" applyAlignment="1" applyFont="1">
      <alignment vertical="center"/>
    </xf>
    <xf borderId="0" fillId="0" fontId="1" numFmtId="0" xfId="0" applyAlignment="1" applyFont="1">
      <alignment readingOrder="0" vertical="center"/>
    </xf>
    <xf borderId="0" fillId="0" fontId="5" numFmtId="0" xfId="0" applyAlignment="1" applyFont="1">
      <alignment readingOrder="0" vertical="center"/>
    </xf>
    <xf borderId="7" fillId="11" fontId="13" numFmtId="0" xfId="0" applyAlignment="1" applyBorder="1" applyFont="1">
      <alignment horizontal="center" readingOrder="0" shrinkToFit="0" vertical="center" wrapText="1"/>
    </xf>
    <xf borderId="0" fillId="0" fontId="13" numFmtId="0" xfId="0" applyAlignment="1" applyFont="1">
      <alignment horizontal="center" readingOrder="0" shrinkToFit="0" vertical="center" wrapText="1"/>
    </xf>
    <xf borderId="4" fillId="11" fontId="13" numFmtId="0" xfId="0" applyAlignment="1" applyBorder="1" applyFont="1">
      <alignment horizontal="center" readingOrder="0" shrinkToFit="0" vertical="center" wrapText="1"/>
    </xf>
    <xf borderId="0" fillId="0" fontId="46" numFmtId="0" xfId="0" applyAlignment="1" applyFont="1">
      <alignment horizontal="center" readingOrder="0" shrinkToFit="0" vertical="center" wrapText="1"/>
    </xf>
    <xf borderId="4" fillId="0" fontId="19"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0" fillId="0" fontId="1" numFmtId="0" xfId="0" applyAlignment="1" applyFont="1">
      <alignment horizontal="left" shrinkToFit="0" vertical="center" wrapText="1"/>
    </xf>
    <xf borderId="4" fillId="0" fontId="17" numFmtId="0" xfId="0" applyAlignment="1" applyBorder="1" applyFont="1">
      <alignment horizontal="center" shrinkToFit="0" wrapText="1"/>
    </xf>
    <xf borderId="4" fillId="0" fontId="17" numFmtId="0" xfId="0" applyAlignment="1" applyBorder="1" applyFont="1">
      <alignment horizontal="center" shrinkToFit="0" vertical="bottom" wrapText="1"/>
    </xf>
    <xf borderId="4" fillId="4" fontId="17" numFmtId="0" xfId="0" applyAlignment="1" applyBorder="1" applyFont="1">
      <alignment horizontal="center" shrinkToFit="0" wrapText="1"/>
    </xf>
    <xf borderId="0" fillId="0" fontId="47" numFmtId="0" xfId="0" applyAlignment="1" applyFont="1">
      <alignment readingOrder="0" vertical="center"/>
    </xf>
    <xf borderId="5" fillId="0" fontId="47" numFmtId="0" xfId="0" applyAlignment="1" applyBorder="1" applyFont="1">
      <alignment readingOrder="0" vertical="center"/>
    </xf>
    <xf borderId="5" fillId="0" fontId="47" numFmtId="0" xfId="0" applyAlignment="1" applyBorder="1" applyFont="1">
      <alignment readingOrder="0" shrinkToFit="0" vertical="center" wrapText="1"/>
    </xf>
    <xf borderId="7" fillId="11" fontId="13" numFmtId="0" xfId="0" applyAlignment="1" applyBorder="1" applyFont="1">
      <alignment horizontal="right" readingOrder="0" shrinkToFit="0" vertical="center" wrapText="1"/>
    </xf>
    <xf borderId="4" fillId="11" fontId="2" numFmtId="0" xfId="0" applyAlignment="1" applyBorder="1" applyFont="1">
      <alignment horizontal="center"/>
    </xf>
    <xf borderId="7" fillId="0" fontId="13" numFmtId="0" xfId="0" applyAlignment="1" applyBorder="1" applyFont="1">
      <alignment horizontal="right" readingOrder="0" shrinkToFit="0" vertical="center" wrapText="1"/>
    </xf>
    <xf borderId="8" fillId="0" fontId="13" numFmtId="0" xfId="0" applyAlignment="1" applyBorder="1" applyFont="1">
      <alignment horizontal="right" readingOrder="0" shrinkToFit="0" vertical="center" wrapText="1"/>
    </xf>
    <xf borderId="0" fillId="0" fontId="48" numFmtId="0" xfId="0" applyAlignment="1" applyFont="1">
      <alignment horizontal="center" readingOrder="0" shrinkToFit="0" vertical="center" wrapText="1"/>
    </xf>
    <xf borderId="4" fillId="0" fontId="48" numFmtId="0" xfId="0" applyAlignment="1" applyBorder="1" applyFont="1">
      <alignment horizontal="center" readingOrder="0" shrinkToFit="0" vertical="center" wrapText="1"/>
    </xf>
    <xf borderId="0" fillId="42" fontId="46" numFmtId="0" xfId="0" applyAlignment="1" applyFill="1" applyFont="1">
      <alignment shrinkToFit="0" vertical="bottom" wrapText="1"/>
    </xf>
    <xf borderId="17" fillId="42" fontId="46" numFmtId="0" xfId="0" applyAlignment="1" applyBorder="1" applyFont="1">
      <alignment readingOrder="0" shrinkToFit="0" vertical="bottom" wrapText="1"/>
    </xf>
    <xf borderId="0" fillId="42" fontId="46" numFmtId="0" xfId="0" applyAlignment="1" applyFont="1">
      <alignment vertical="bottom"/>
    </xf>
    <xf borderId="0" fillId="28" fontId="1" numFmtId="0" xfId="0" applyAlignment="1" applyFont="1">
      <alignment readingOrder="0" vertical="bottom"/>
    </xf>
    <xf borderId="0" fillId="28" fontId="1" numFmtId="0" xfId="0" applyAlignment="1" applyFont="1">
      <alignment vertical="bottom"/>
    </xf>
    <xf borderId="17" fillId="28" fontId="1" numFmtId="0" xfId="0" applyAlignment="1" applyBorder="1" applyFont="1">
      <alignment readingOrder="0" vertical="bottom"/>
    </xf>
    <xf borderId="0" fillId="42" fontId="1" numFmtId="0" xfId="0" applyAlignment="1" applyFont="1">
      <alignment vertical="bottom"/>
    </xf>
    <xf borderId="0" fillId="43" fontId="1" numFmtId="0" xfId="0" applyAlignment="1" applyFill="1" applyFont="1">
      <alignment vertical="bottom"/>
    </xf>
    <xf borderId="0" fillId="43" fontId="1" numFmtId="0" xfId="0" applyAlignment="1" applyFont="1">
      <alignment readingOrder="0" vertical="bottom"/>
    </xf>
    <xf borderId="0" fillId="4" fontId="1" numFmtId="0" xfId="0" applyAlignment="1" applyFont="1">
      <alignment readingOrder="0" vertical="bottom"/>
    </xf>
    <xf borderId="17" fillId="4" fontId="17" numFmtId="0" xfId="0" applyBorder="1" applyFont="1"/>
    <xf borderId="0" fillId="4" fontId="17" numFmtId="0" xfId="0" applyFont="1"/>
    <xf borderId="0" fillId="0" fontId="49" numFmtId="0" xfId="0" applyAlignment="1" applyFont="1">
      <alignment vertical="bottom"/>
    </xf>
    <xf borderId="0" fillId="0" fontId="1" numFmtId="0" xfId="0" applyAlignment="1" applyFont="1">
      <alignment readingOrder="0" vertical="bottom"/>
    </xf>
    <xf borderId="0" fillId="4" fontId="17" numFmtId="0" xfId="0" applyAlignment="1" applyFont="1">
      <alignment readingOrder="0"/>
    </xf>
    <xf borderId="0" fillId="4" fontId="1" numFmtId="0" xfId="0" applyAlignment="1" applyFont="1">
      <alignment vertical="bottom"/>
    </xf>
    <xf borderId="0" fillId="0" fontId="1" numFmtId="0" xfId="0" applyAlignment="1" applyFont="1">
      <alignment readingOrder="0"/>
    </xf>
    <xf borderId="8" fillId="11" fontId="2" numFmtId="0" xfId="0" applyAlignment="1" applyBorder="1" applyFont="1">
      <alignment horizontal="center" readingOrder="0" shrinkToFit="0" vertical="center" wrapText="1"/>
    </xf>
    <xf borderId="8" fillId="20" fontId="2" numFmtId="0" xfId="0" applyAlignment="1" applyBorder="1" applyFont="1">
      <alignment horizontal="center" readingOrder="0" shrinkToFit="0" vertical="center" wrapText="1"/>
    </xf>
    <xf borderId="15" fillId="0" fontId="3" numFmtId="0" xfId="0" applyBorder="1" applyFont="1"/>
    <xf borderId="15" fillId="18" fontId="2" numFmtId="0" xfId="0" applyAlignment="1" applyBorder="1" applyFont="1">
      <alignment horizontal="center" readingOrder="0" shrinkToFit="0" vertical="center" wrapText="1"/>
    </xf>
    <xf borderId="8" fillId="13" fontId="27" numFmtId="0" xfId="0" applyAlignment="1" applyBorder="1" applyFont="1">
      <alignment horizontal="center" readingOrder="0" shrinkToFit="0" vertical="center" wrapText="1"/>
    </xf>
    <xf borderId="18" fillId="27" fontId="27" numFmtId="0" xfId="0" applyAlignment="1" applyBorder="1" applyFont="1">
      <alignment horizontal="center" readingOrder="0" shrinkToFit="0" vertical="center" wrapText="1"/>
    </xf>
    <xf borderId="8" fillId="30" fontId="27" numFmtId="0" xfId="0" applyAlignment="1" applyBorder="1" applyFont="1">
      <alignment horizontal="center" readingOrder="0" shrinkToFit="0" vertical="center" wrapText="1"/>
    </xf>
    <xf borderId="15" fillId="28" fontId="27" numFmtId="0" xfId="0" applyAlignment="1" applyBorder="1" applyFont="1">
      <alignment horizontal="center" readingOrder="0" shrinkToFit="0" vertical="center" wrapText="1"/>
    </xf>
    <xf borderId="18" fillId="0" fontId="32" numFmtId="0" xfId="0" applyAlignment="1" applyBorder="1" applyFont="1">
      <alignment horizontal="center" readingOrder="0" shrinkToFit="0" vertical="center" wrapText="1"/>
    </xf>
    <xf borderId="19" fillId="0" fontId="32" numFmtId="0" xfId="0" applyAlignment="1" applyBorder="1" applyFont="1">
      <alignment horizontal="center" readingOrder="0" shrinkToFit="0" vertical="center" wrapText="1"/>
    </xf>
    <xf borderId="15" fillId="0" fontId="32" numFmtId="0" xfId="0" applyAlignment="1" applyBorder="1" applyFont="1">
      <alignment horizontal="center" readingOrder="0" shrinkToFit="0" vertical="center" wrapText="1"/>
    </xf>
    <xf borderId="20" fillId="0" fontId="27" numFmtId="0" xfId="0" applyAlignment="1" applyBorder="1" applyFont="1">
      <alignment horizontal="center" readingOrder="0" shrinkToFit="0" vertical="center" wrapText="1"/>
    </xf>
    <xf borderId="21" fillId="0" fontId="15" numFmtId="0" xfId="0" applyAlignment="1" applyBorder="1" applyFont="1">
      <alignment horizontal="center" readingOrder="0" shrinkToFit="0" vertical="center" wrapText="1"/>
    </xf>
    <xf borderId="21" fillId="0" fontId="27"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14" fillId="0" fontId="33" numFmtId="0" xfId="0" applyAlignment="1" applyBorder="1" applyFont="1">
      <alignment horizontal="center" readingOrder="0" vertical="center"/>
    </xf>
    <xf borderId="20" fillId="12" fontId="33" numFmtId="0" xfId="0" applyAlignment="1" applyBorder="1" applyFont="1">
      <alignment horizontal="center" readingOrder="0" shrinkToFit="0" vertical="center" wrapText="1"/>
    </xf>
    <xf borderId="21"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15" fillId="0" fontId="6" numFmtId="0" xfId="0" applyAlignment="1" applyBorder="1" applyFont="1">
      <alignment horizontal="center" readingOrder="0" shrinkToFit="0" vertical="center" wrapText="1"/>
    </xf>
    <xf borderId="15" fillId="0" fontId="6" numFmtId="0" xfId="0" applyAlignment="1" applyBorder="1" applyFont="1">
      <alignment horizontal="center" shrinkToFit="0" vertical="center" wrapText="1"/>
    </xf>
    <xf borderId="8" fillId="0" fontId="6" numFmtId="0" xfId="0" applyAlignment="1" applyBorder="1" applyFont="1">
      <alignment horizontal="center" readingOrder="0" shrinkToFit="0" vertical="center" wrapText="1"/>
    </xf>
    <xf borderId="10" fillId="0" fontId="33" numFmtId="0" xfId="0" applyAlignment="1" applyBorder="1" applyFont="1">
      <alignment horizontal="center" readingOrder="0" vertical="center"/>
    </xf>
    <xf borderId="5" fillId="0" fontId="6"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10" fillId="0" fontId="33" numFmtId="0" xfId="0" applyAlignment="1" applyBorder="1" applyFont="1">
      <alignment horizontal="center" vertical="center"/>
    </xf>
    <xf borderId="17" fillId="4" fontId="19" numFmtId="0" xfId="0" applyAlignment="1" applyBorder="1" applyFont="1">
      <alignment readingOrder="0"/>
    </xf>
    <xf borderId="0" fillId="0" fontId="6" numFmtId="0" xfId="0" applyAlignment="1" applyFont="1">
      <alignment horizontal="center" readingOrder="0" shrinkToFit="0" vertical="center" wrapText="1"/>
    </xf>
    <xf borderId="0" fillId="11" fontId="2" numFmtId="0" xfId="0" applyAlignment="1" applyFont="1">
      <alignment horizontal="center" readingOrder="0" shrinkToFit="0" vertical="center" wrapText="1"/>
    </xf>
    <xf borderId="0" fillId="11" fontId="2" numFmtId="0" xfId="0" applyAlignment="1" applyFont="1">
      <alignment horizontal="center" vertical="center"/>
    </xf>
    <xf borderId="0" fillId="11" fontId="2" numFmtId="49" xfId="0" applyAlignment="1" applyFont="1" applyNumberFormat="1">
      <alignment horizontal="center" vertical="center"/>
    </xf>
    <xf borderId="0" fillId="0" fontId="17" numFmtId="0" xfId="0" applyAlignment="1" applyFont="1">
      <alignment readingOrder="0" shrinkToFit="0" vertical="center" wrapText="1"/>
    </xf>
    <xf borderId="0" fillId="0" fontId="17" numFmtId="49" xfId="0" applyAlignment="1" applyFont="1" applyNumberFormat="1">
      <alignment readingOrder="0" shrinkToFit="0" vertical="center" wrapText="1"/>
    </xf>
    <xf borderId="0" fillId="0" fontId="6" numFmtId="0" xfId="0" applyFont="1"/>
    <xf borderId="0" fillId="0" fontId="17" numFmtId="49" xfId="0" applyFont="1" applyNumberFormat="1"/>
    <xf borderId="0" fillId="4" fontId="17" numFmtId="0" xfId="0" applyFont="1"/>
    <xf borderId="0" fillId="4" fontId="6" numFmtId="0" xfId="0" applyAlignment="1" applyFont="1">
      <alignment readingOrder="0" shrinkToFit="0" vertical="center" wrapText="1"/>
    </xf>
    <xf borderId="0" fillId="44" fontId="17" numFmtId="0" xfId="0" applyAlignment="1" applyFill="1" applyFont="1">
      <alignment horizontal="left" shrinkToFit="0" vertical="center" wrapText="1"/>
    </xf>
    <xf borderId="0" fillId="0" fontId="6" numFmtId="49" xfId="0" applyAlignment="1" applyFont="1" applyNumberFormat="1">
      <alignment readingOrder="0" shrinkToFit="0" vertical="center" wrapText="1"/>
    </xf>
    <xf borderId="0" fillId="0" fontId="17" numFmtId="0" xfId="0" applyFont="1"/>
    <xf borderId="0" fillId="4" fontId="17" numFmtId="0" xfId="0" applyAlignment="1" applyFont="1">
      <alignment readingOrder="0" shrinkToFit="0" vertical="center" wrapText="1"/>
    </xf>
    <xf borderId="0" fillId="0" fontId="17" numFmtId="0" xfId="0" applyAlignment="1" applyFont="1">
      <alignment readingOrder="0"/>
    </xf>
    <xf borderId="0" fillId="0" fontId="6" numFmtId="49" xfId="0" applyFont="1" applyNumberFormat="1"/>
    <xf borderId="0" fillId="0" fontId="17" numFmtId="0" xfId="0" applyAlignment="1" applyFont="1">
      <alignment shrinkToFit="0" vertical="center" wrapText="1"/>
    </xf>
    <xf borderId="0" fillId="0" fontId="6" numFmtId="0" xfId="0" applyAlignment="1" applyFont="1">
      <alignment shrinkToFit="0" vertical="center" wrapText="1"/>
    </xf>
    <xf borderId="0" fillId="0" fontId="6" numFmtId="49" xfId="0" applyAlignment="1" applyFont="1" applyNumberFormat="1">
      <alignment shrinkToFit="0" vertical="center" wrapText="1"/>
    </xf>
    <xf borderId="0" fillId="4" fontId="17" numFmtId="49" xfId="0" applyFont="1" applyNumberFormat="1"/>
    <xf borderId="0" fillId="0" fontId="6" numFmtId="0" xfId="0" applyAlignment="1" applyFont="1">
      <alignment readingOrder="0" shrinkToFit="0" vertical="center" wrapText="1"/>
    </xf>
    <xf borderId="0" fillId="4" fontId="17" numFmtId="49" xfId="0" applyAlignment="1" applyFont="1" applyNumberFormat="1">
      <alignment readingOrder="0" shrinkToFit="0" vertical="center" wrapText="1"/>
    </xf>
    <xf borderId="0" fillId="0" fontId="50" numFmtId="0" xfId="0" applyAlignment="1" applyFont="1">
      <alignment readingOrder="0" shrinkToFit="0" vertical="center" wrapText="1"/>
    </xf>
    <xf borderId="0" fillId="0" fontId="22" numFmtId="0" xfId="0" applyAlignment="1" applyFont="1">
      <alignment readingOrder="0" shrinkToFit="0" vertical="center" wrapText="1"/>
    </xf>
    <xf borderId="0" fillId="0" fontId="22" numFmtId="0" xfId="0" applyFont="1"/>
  </cellXfs>
  <cellStyles count="1">
    <cellStyle xfId="0" name="Normal" builtinId="0"/>
  </cellStyles>
  <dxfs count="17">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E6B8AF"/>
          <bgColor rgb="FFE6B8AF"/>
        </patternFill>
      </fill>
      <border/>
    </dxf>
    <dxf>
      <font/>
      <fill>
        <patternFill patternType="solid">
          <fgColor rgb="FFBDBDBD"/>
          <bgColor rgb="FFBDBDBD"/>
        </patternFill>
      </fill>
      <border/>
    </dxf>
    <dxf>
      <font/>
      <fill>
        <patternFill patternType="solid">
          <fgColor rgb="FFB7B7B7"/>
          <bgColor rgb="FFB7B7B7"/>
        </patternFill>
      </fill>
      <border/>
    </dxf>
    <dxf>
      <font/>
      <fill>
        <patternFill patternType="solid">
          <fgColor rgb="FFF4C7C3"/>
          <bgColor rgb="FFF4C7C3"/>
        </patternFill>
      </fill>
      <border/>
    </dxf>
    <dxf>
      <font/>
      <fill>
        <patternFill patternType="solid">
          <fgColor rgb="FFF6B26B"/>
          <bgColor rgb="FFF6B26B"/>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C9DAF8"/>
          <bgColor rgb="FFC9DAF8"/>
        </patternFill>
      </fill>
      <border/>
    </dxf>
    <dxf>
      <font>
        <b/>
        <color rgb="FFFF0000"/>
      </font>
      <fill>
        <patternFill patternType="none"/>
      </fill>
      <border/>
    </dxf>
    <dxf>
      <font>
        <color rgb="FFFFFFFF"/>
      </font>
      <fill>
        <patternFill patternType="solid">
          <fgColor rgb="FFFF0000"/>
          <bgColor rgb="FFFF0000"/>
        </patternFill>
      </fill>
      <border/>
    </dxf>
    <dxf>
      <font>
        <color rgb="FFFFFFFF"/>
      </font>
      <fill>
        <patternFill patternType="solid">
          <fgColor rgb="FF6AA84F"/>
          <bgColor rgb="FF6AA84F"/>
        </patternFill>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ocumenttasks/documenttask1.xml><?xml version="1.0" encoding="utf-8"?>
<Tasks xmlns="http://schemas.microsoft.com/office/tasks/2019/documenttasks">
  <Task id="{b7837c7a-0880-43d8-85e4-89a8f03e074f}">
    <Anchor>
      <Comment id="{49c6d4ef-c36d-4876-8bf0-59933d33dad1}"/>
    </Anchor>
    <History>
      <Event time="2025-03-05T15:01:44.00" id="{e0bc8b08-a432-4637-bc4d-5d5336236d7b}">
        <Attribution userId="placeholder@email.com" userName="Nitin Deo" userProvider="google-sheets"/>
        <Anchor>
          <Comment id="{49c6d4ef-c36d-4876-8bf0-59933d33dad1}"/>
        </Anchor>
        <Create/>
      </Event>
      <Event time="2025-03-05T15:01:44.00" id="{ee933688-e309-4606-b366-16f78a4ab100}">
        <Attribution userId="placeholder@email.com" userName="Nitin Deo" userProvider="google-sheets"/>
        <Anchor>
          <Comment id="{49c6d4ef-c36d-4876-8bf0-59933d33dad1}"/>
        </Anchor>
        <Assign userId="saravanakumar.p@rewsprojects.com" userName="saravanakumar.p@rewsprojects.com" userProvider="google-sheets"/>
      </Event>
    </History>
  </Task>
  <Task id="{b2de1ea6-43d0-4fb0-a363-232a4dea9dce}">
    <Anchor>
      <Comment id="{95927abf-8b8c-4174-a52d-cf49d66697b8}"/>
    </Anchor>
    <History>
      <Event time="2025-01-29T13:15:54.00" id="{60dc8512-429c-4e36-bf71-439da4508d45}">
        <Attribution userId="placeholder@email.com" userName="Nitin Deo" userProvider="google-sheets"/>
        <Anchor>
          <Comment id="{95927abf-8b8c-4174-a52d-cf49d66697b8}"/>
        </Anchor>
        <Create/>
      </Event>
      <Event time="2025-01-29T13:15:54.00" id="{75b01cec-9db5-42b1-9244-ee61aa85def5}">
        <Attribution userId="placeholder@email.com" userName="Nitin Deo" userProvider="google-sheets"/>
        <Anchor>
          <Comment id="{95927abf-8b8c-4174-a52d-cf49d66697b8}"/>
        </Anchor>
        <Assign userId="saravanakumar.p@rewsprojects.com" userName="saravanakumar.p@rewsprojects.com" userProvider="google-sheets"/>
      </Event>
    </History>
  </Task>
  <Task id="{94d84702-74d9-4adf-a242-f51e7b45ddcd}">
    <Anchor>
      <Comment id="{0f99193a-114b-42de-80f0-a90a539b5792}"/>
    </Anchor>
    <History>
      <Event time="2025-01-29T13:16:22.00" id="{f2990729-e7a1-4d72-b286-4def018ea33a}">
        <Attribution userId="placeholder@email.com" userName="Nitin Deo" userProvider="google-sheets"/>
        <Anchor>
          <Comment id="{0f99193a-114b-42de-80f0-a90a539b5792}"/>
        </Anchor>
        <Create/>
      </Event>
      <Event time="2025-01-29T13:16:22.00" id="{99b41fd8-b907-4f71-b81e-57fc928e5b11}">
        <Attribution userId="placeholder@email.com" userName="Nitin Deo" userProvider="google-sheets"/>
        <Anchor>
          <Comment id="{0f99193a-114b-42de-80f0-a90a539b5792}"/>
        </Anchor>
        <Assign userId="saravanakumar.p@rewsprojects.com" userName="saravanakumar.p@rewsprojects.com" userProvider="google-sheets"/>
      </Event>
    </History>
  </Task>
</Tasks>
</file>

<file path=xl/drawings/_rels/drawing9.xml.rels><?xml version="1.0" encoding="UTF-8" standalone="yes"?><Relationships xmlns="http://schemas.openxmlformats.org/package/2006/relationships"><Relationship Id="rId1" Type="http://schemas.openxmlformats.org/officeDocument/2006/relationships/hyperlink" Target="https://goto.google.com/deployment-guidelines"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6</xdr:row>
      <xdr:rowOff>352425</xdr:rowOff>
    </xdr:from>
    <xdr:ext cx="7724775" cy="1743075"/>
    <xdr:sp>
      <xdr:nvSpPr>
        <xdr:cNvPr id="3" name="Shape 3"/>
        <xdr:cNvSpPr txBox="1"/>
      </xdr:nvSpPr>
      <xdr:spPr>
        <a:xfrm>
          <a:off x="487450" y="435450"/>
          <a:ext cx="7708200" cy="1723800"/>
        </a:xfrm>
        <a:prstGeom prst="rect">
          <a:avLst/>
        </a:prstGeom>
        <a:solidFill>
          <a:srgbClr val="FFFFFF"/>
        </a:solid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500">
              <a:latin typeface="Google Sans"/>
              <a:ea typeface="Google Sans"/>
              <a:cs typeface="Google Sans"/>
              <a:sym typeface="Google Sans"/>
            </a:rPr>
            <a:t>On New Construction projects, private/shadow/temporary networks are strictly forbidden. Refer to </a:t>
          </a:r>
          <a:r>
            <a:rPr lang="en-US" sz="2500" u="sng">
              <a:solidFill>
                <a:srgbClr val="3949AB"/>
              </a:solidFill>
              <a:latin typeface="Google Sans"/>
              <a:ea typeface="Google Sans"/>
              <a:cs typeface="Google Sans"/>
              <a:sym typeface="Google Sans"/>
              <a:hlinkClick r:id="rId1"/>
            </a:rPr>
            <a:t>go/deployment-guidelines</a:t>
          </a:r>
          <a:r>
            <a:rPr lang="en-US" sz="2500">
              <a:latin typeface="Google Sans"/>
              <a:ea typeface="Google Sans"/>
              <a:cs typeface="Google Sans"/>
              <a:sym typeface="Google Sans"/>
            </a:rPr>
            <a:t> for details on device deployment guidelines.</a:t>
          </a:r>
          <a:endParaRPr sz="2500">
            <a:latin typeface="Google Sans"/>
            <a:ea typeface="Google Sans"/>
            <a:cs typeface="Google Sans"/>
            <a:sym typeface="Google Sans"/>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ravanakumar.p@rewsprojects.com" id="{80fe73c2-d2e4-4110-ac2b-1d3a30aadd61}" userId="saravanakumar.p@rewsprojects.com" providerId="google-sheets"/>
  <x18tc:person displayName="Saravana Kumar P (xWF)" id="{f7d8e238-3b93-4297-9bab-4c8ca98d09a5}" providerId="google-sheets"/>
  <x18tc:person displayName="Nitin Deo" id="{8a6abe40-b8f2-4fd8-919a-4cc196969aa4}"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982" dT="2025-03-05T15:01:44.00" personId="{8a6abe40-b8f2-4fd8-919a-4cc196969aa4}" id="{49c6d4ef-c36d-4876-8bf0-59933d33dad1}" done="0">
    <x18tc:text xml:space="preserve">@saravanakumar.p@rewsprojects.com 
We will need the actual VRF model here as we are adding the individual units.
Assigned to saravanakumar.p@rewsprojects.com</x18tc:text>
    <x18tc:mentions>
      <x18tc:mention mentionpersonId="{80fe73c2-d2e4-4110-ac2b-1d3a30aadd61}" mentionId="{eca4d447-5718-4eae-accd-5686e000df9f}" startIndex="0" length="33"/>
    </x18tc:mentions>
  </x18tc:threadedComment>
  <x18tc:threadedComment ref="F2982" dT="2025-03-06T05:36:53.00" personId="{f7d8e238-3b93-4297-9bab-4c8ca98d09a5}" id="{69a789aa-f43e-408c-8934-bd5a4bd4c2a8}" parentId="{49c6d4ef-c36d-4876-8bf0-59933d33dad1}">
    <x18tc:text xml:space="preserve">As discussed We will considered one Gate way for VRF Units</x18tc:text>
  </x18tc:threadedComment>
  <x18tc:threadedComment ref="AF159" dT="2025-03-04T05:40:43.00" personId="{f7d8e238-3b93-4297-9bab-4c8ca98d09a5}" id="{cba2a417-1a12-465f-8d9a-5b67df9891ec}" done="0">
    <x18tc:text xml:space="preserve">Type Error 5C:C2:13:06:8d:A6</x18tc:text>
  </x18tc:threadedComment>
  <x18tc:threadedComment ref="AF159" dT="2025-03-04T05:53:29.00" personId="{8a6abe40-b8f2-4fd8-919a-4cc196969aa4}" id="{f1b9188c-825b-463b-b8ad-b75cad0cee71}" parentId="{cba2a417-1a12-465f-8d9a-5b67df9891ec}">
    <x18tc:text xml:space="preserve">Ticket has been raised. https://gutsv3.corp.google.com/#ticket/232204188</x18tc:text>
    <x18tc:extLst>
      <ext uri="{F7C98A9C-CBB3-438F-8F68-D28B6AF4A901}">
        <xltc2:checksum/>
        <xltc2:hyperlink startIndex="24" length="48" url="https://gutsv3.corp.google.com/#ticket/232204188"/>
      </ext>
    </x18tc:extLst>
  </x18tc:threadedComment>
  <x18tc:threadedComment ref="AF159" dT="2025-03-04T06:22:45.00" personId="{8a6abe40-b8f2-4fd8-919a-4cc196969aa4}" id="{5c46d1f7-0c84-4ee8-a701-53bb454dede0}" parentId="{cba2a417-1a12-465f-8d9a-5b67df9891ec}">
    <x18tc:text xml:space="preserve">As requested, we've updated the MAC address from the old value to the new one. Here are the details:
ArrID : 690669fb-285d-43cb-aa15-aaaaaac00d56
FQDN : in-blr-ananta-ddc-355.blr.bosiot.in.goog.
IPv4 : 100.95.214.231
IPv4 Netblock : 100.95.208.0/20
DHCP MAC Address : 5c:c2:13:06:8d:a6</x18tc:text>
    <x18tc:extLst>
      <ext uri="{F7C98A9C-CBB3-438F-8F68-D28B6AF4A901}">
        <xltc2:checksum/>
        <xltc2:hyperlink startIndex="154" length="35" url="http://in-blr-ananta-ddc-355.blr.bosiot.in"/>
      </ext>
    </x18tc:extLst>
  </x18tc:threadedComment>
  <x18tc:threadedComment ref="F3058" dT="2025-01-29T13:15:54.00" personId="{8a6abe40-b8f2-4fd8-919a-4cc196969aa4}" id="{95927abf-8b8c-4174-a52d-cf49d66697b8}" done="0">
    <x18tc:text xml:space="preserve">@saravanakumar.p@rewsprojects.com Please check the model selected
Assigned to saravanakumar.p@rewsprojects.com</x18tc:text>
    <x18tc:mentions>
      <x18tc:mention mentionpersonId="{80fe73c2-d2e4-4110-ac2b-1d3a30aadd61}" mentionId="{6de6bf27-69e9-4be7-8f06-a50ac91e8ba0}" startIndex="0" length="33"/>
    </x18tc:mentions>
  </x18tc:threadedComment>
  <x18tc:threadedComment ref="F2982" dT="2025-01-29T13:16:22.00" personId="{8a6abe40-b8f2-4fd8-919a-4cc196969aa4}" id="{0f99193a-114b-42de-80f0-a90a539b5792}" done="1">
    <x18tc:text xml:space="preserve">@saravanakumar.p@rewsprojects.com Please confirm the model number or attache data sheet
Assigned to saravanakumar.p@rewsprojects.com</x18tc:text>
    <x18tc:mentions>
      <x18tc:mention mentionpersonId="{80fe73c2-d2e4-4110-ac2b-1d3a30aadd61}" mentionId="{76ae5260-49c2-423c-8283-8de2d4dabffa}" startIndex="0" length="33"/>
    </x18tc:mentions>
  </x18tc:threadedComment>
  <x18tc:threadedComment ref="F2982" dT="2025-03-05T13:26:11.00" personId="{f7d8e238-3b93-4297-9bab-4c8ca98d09a5}" id="{48084742-376a-44f2-8435-43950069e4d7}" parentId="{0f99193a-114b-42de-80f0-a90a539b5792}">
    <x18tc:text xml:space="preserve">https://drive.google.com/file/d/16nTmeAqSm556hzdAjdeJvULQh2wrAeAp/view?usp=drive_link</x18tc:text>
    <x18tc:extLst>
      <ext uri="{F7C98A9C-CBB3-438F-8F68-D28B6AF4A901}">
        <xltc2:checksum/>
        <xltc2:hyperlink startIndex="0" length="85" url="https://drive.google.com/file/d/16nTmeAqSm556hzdAjdeJvULQh2wrAeAp/view?usp=drive_link"/>
      </ext>
    </x18tc:extLs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mailto:sohaibqs@google.com" TargetMode="External"/><Relationship Id="rId22" Type="http://schemas.openxmlformats.org/officeDocument/2006/relationships/hyperlink" Target="mailto:ianmcgrath@google.com" TargetMode="External"/><Relationship Id="rId21" Type="http://schemas.openxmlformats.org/officeDocument/2006/relationships/hyperlink" Target="mailto:kalo@google.com" TargetMode="External"/><Relationship Id="rId24" Type="http://schemas.openxmlformats.org/officeDocument/2006/relationships/hyperlink" Target="mailto:seanmcnulty@google.com" TargetMode="External"/><Relationship Id="rId23" Type="http://schemas.openxmlformats.org/officeDocument/2006/relationships/hyperlink" Target="mailto:pnehls@google.com" TargetMode="External"/><Relationship Id="rId1" Type="http://schemas.openxmlformats.org/officeDocument/2006/relationships/hyperlink" Target="https://docs.google.com/document/d/10dMDGiLTjQ0zzOiP1Ata1pdoUgw5IHMgavXSK3lWKoo/edit?resourcekey=0-sGgR0Jny0MdRiABonAF3OA" TargetMode="External"/><Relationship Id="rId2" Type="http://schemas.openxmlformats.org/officeDocument/2006/relationships/hyperlink" Target="http://b/275347101" TargetMode="External"/><Relationship Id="rId3" Type="http://schemas.openxmlformats.org/officeDocument/2006/relationships/hyperlink" Target="http://b/272695271" TargetMode="External"/><Relationship Id="rId4" Type="http://schemas.openxmlformats.org/officeDocument/2006/relationships/hyperlink" Target="http://b/254291005" TargetMode="External"/><Relationship Id="rId9" Type="http://schemas.openxmlformats.org/officeDocument/2006/relationships/hyperlink" Target="mailto:avdoot@google.com" TargetMode="External"/><Relationship Id="rId26" Type="http://schemas.openxmlformats.org/officeDocument/2006/relationships/hyperlink" Target="mailto:alanjackson@google.com" TargetMode="External"/><Relationship Id="rId25" Type="http://schemas.openxmlformats.org/officeDocument/2006/relationships/hyperlink" Target="mailto:mfarrow@google.com" TargetMode="External"/><Relationship Id="rId27" Type="http://schemas.openxmlformats.org/officeDocument/2006/relationships/drawing" Target="../drawings/drawing1.xml"/><Relationship Id="rId5" Type="http://schemas.openxmlformats.org/officeDocument/2006/relationships/hyperlink" Target="mailto:maryamahmad@google.com" TargetMode="External"/><Relationship Id="rId6" Type="http://schemas.openxmlformats.org/officeDocument/2006/relationships/hyperlink" Target="mailto:jbmarigo@google.com" TargetMode="External"/><Relationship Id="rId7" Type="http://schemas.openxmlformats.org/officeDocument/2006/relationships/hyperlink" Target="mailto:rkreid@google.com" TargetMode="External"/><Relationship Id="rId8" Type="http://schemas.openxmlformats.org/officeDocument/2006/relationships/hyperlink" Target="mailto:cmay@google.com" TargetMode="External"/><Relationship Id="rId11" Type="http://schemas.openxmlformats.org/officeDocument/2006/relationships/hyperlink" Target="mailto:cmeredith@google.com" TargetMode="External"/><Relationship Id="rId10" Type="http://schemas.openxmlformats.org/officeDocument/2006/relationships/hyperlink" Target="mailto:thangn@google.com" TargetMode="External"/><Relationship Id="rId13" Type="http://schemas.openxmlformats.org/officeDocument/2006/relationships/hyperlink" Target="mailto:joebenn@google.com" TargetMode="External"/><Relationship Id="rId12" Type="http://schemas.openxmlformats.org/officeDocument/2006/relationships/hyperlink" Target="mailto:caiti@google.com" TargetMode="External"/><Relationship Id="rId15" Type="http://schemas.openxmlformats.org/officeDocument/2006/relationships/hyperlink" Target="mailto:jmcelroy@google.com" TargetMode="External"/><Relationship Id="rId14" Type="http://schemas.openxmlformats.org/officeDocument/2006/relationships/hyperlink" Target="mailto:kylehase@google.com" TargetMode="External"/><Relationship Id="rId17" Type="http://schemas.openxmlformats.org/officeDocument/2006/relationships/hyperlink" Target="mailto:peringknife@google.com" TargetMode="External"/><Relationship Id="rId16" Type="http://schemas.openxmlformats.org/officeDocument/2006/relationships/hyperlink" Target="mailto:nskvortsova@google.com" TargetMode="External"/><Relationship Id="rId19" Type="http://schemas.openxmlformats.org/officeDocument/2006/relationships/hyperlink" Target="mailto:samuelking@google.com" TargetMode="External"/><Relationship Id="rId18" Type="http://schemas.openxmlformats.org/officeDocument/2006/relationships/hyperlink" Target="mailto:fanselmo@goog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o/deployment-guidelines" TargetMode="External"/><Relationship Id="rId2" Type="http://schemas.openxmlformats.org/officeDocument/2006/relationships/hyperlink" Target="http://go/iot-help" TargetMode="External"/><Relationship Id="rId3" Type="http://schemas.openxmlformats.org/officeDocument/2006/relationships/hyperlink" Target="https://support.google.com/iot-deploy" TargetMode="External"/><Relationship Id="rId4" Type="http://schemas.openxmlformats.org/officeDocument/2006/relationships/hyperlink" Target="https://support.google.com/iot-deploy"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upport.google.com/iot-deploy/answer/12312441?hl=en&amp;ref_topic=12297868&amp;sjid=9046427140248678724-NA" TargetMode="External"/><Relationship Id="rId5" Type="http://schemas.openxmlformats.org/officeDocument/2006/relationships/hyperlink" Target="https://docs.google.com/spreadsheets/d/1127iAP4UqcfRmFgaEdafydCCVokZuk564rfJIqPnMuI/edit?usp=drive_link" TargetMode="External"/><Relationship Id="rId6" Type="http://schemas.openxmlformats.org/officeDocument/2006/relationships/hyperlink" Target="http://drive.google.com/ghoaiab7rgai4" TargetMode="External"/><Relationship Id="rId7" Type="http://schemas.openxmlformats.org/officeDocument/2006/relationships/drawing" Target="../drawings/drawing7.xml"/><Relationship Id="rId8"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hyperlink" Target="http://lh.gd" TargetMode="External"/><Relationship Id="rId2" Type="http://schemas.openxmlformats.org/officeDocument/2006/relationships/hyperlink" Target="http://lh.gd" TargetMode="External"/><Relationship Id="rId3" Type="http://schemas.openxmlformats.org/officeDocument/2006/relationships/hyperlink" Target="http://lh.gd" TargetMode="External"/><Relationship Id="rId4"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26.29"/>
    <col customWidth="1" min="3" max="3" width="18.29"/>
    <col customWidth="1" min="4" max="4" width="24.71"/>
    <col customWidth="1" min="5" max="5" width="89.4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 t="s">
        <v>1</v>
      </c>
      <c r="C4" s="4"/>
      <c r="D4" s="4"/>
      <c r="E4" s="4"/>
      <c r="F4" s="1"/>
      <c r="G4" s="1"/>
      <c r="H4" s="1"/>
      <c r="I4" s="1"/>
      <c r="J4" s="1"/>
      <c r="K4" s="1"/>
      <c r="L4" s="1"/>
      <c r="M4" s="1"/>
      <c r="N4" s="1"/>
      <c r="O4" s="1"/>
      <c r="P4" s="1"/>
      <c r="Q4" s="1"/>
      <c r="R4" s="1"/>
      <c r="S4" s="1"/>
      <c r="T4" s="1"/>
      <c r="U4" s="1"/>
      <c r="V4" s="1"/>
      <c r="W4" s="1"/>
      <c r="X4" s="1"/>
      <c r="Y4" s="1"/>
      <c r="Z4" s="1"/>
    </row>
    <row r="5">
      <c r="A5" s="5"/>
      <c r="B5" s="6" t="s">
        <v>2</v>
      </c>
      <c r="C5" s="4"/>
      <c r="D5" s="4"/>
      <c r="E5" s="7"/>
      <c r="F5" s="1"/>
      <c r="G5" s="1"/>
      <c r="H5" s="1"/>
      <c r="I5" s="1"/>
      <c r="J5" s="1"/>
      <c r="K5" s="1"/>
      <c r="L5" s="1"/>
      <c r="M5" s="1"/>
      <c r="N5" s="1"/>
      <c r="O5" s="1"/>
      <c r="P5" s="1"/>
      <c r="Q5" s="1"/>
      <c r="R5" s="1"/>
      <c r="S5" s="1"/>
      <c r="T5" s="1"/>
      <c r="U5" s="1"/>
      <c r="V5" s="1"/>
      <c r="W5" s="1"/>
      <c r="X5" s="1"/>
      <c r="Y5" s="1"/>
      <c r="Z5" s="1"/>
    </row>
    <row r="6">
      <c r="A6" s="1"/>
      <c r="B6" s="8"/>
      <c r="F6" s="1"/>
      <c r="G6" s="1"/>
      <c r="H6" s="1"/>
      <c r="I6" s="1"/>
      <c r="J6" s="1"/>
      <c r="K6" s="1"/>
      <c r="L6" s="1"/>
      <c r="M6" s="1"/>
      <c r="N6" s="1"/>
      <c r="O6" s="1"/>
      <c r="P6" s="1"/>
      <c r="Q6" s="1"/>
      <c r="R6" s="1"/>
      <c r="S6" s="1"/>
      <c r="T6" s="1"/>
      <c r="U6" s="1"/>
      <c r="V6" s="1"/>
      <c r="W6" s="1"/>
      <c r="X6" s="1"/>
      <c r="Y6" s="1"/>
      <c r="Z6" s="1"/>
    </row>
    <row r="7">
      <c r="A7" s="1"/>
      <c r="B7" s="2" t="s">
        <v>3</v>
      </c>
      <c r="F7" s="1"/>
      <c r="G7" s="1"/>
      <c r="H7" s="1"/>
      <c r="I7" s="1"/>
      <c r="J7" s="1"/>
      <c r="K7" s="1"/>
      <c r="L7" s="1"/>
      <c r="M7" s="1"/>
      <c r="N7" s="1"/>
      <c r="O7" s="1"/>
      <c r="P7" s="1"/>
      <c r="Q7" s="1"/>
      <c r="R7" s="1"/>
      <c r="S7" s="1"/>
      <c r="T7" s="1"/>
      <c r="U7" s="1"/>
      <c r="V7" s="1"/>
      <c r="W7" s="1"/>
      <c r="X7" s="1"/>
      <c r="Y7" s="1"/>
      <c r="Z7" s="1"/>
    </row>
    <row r="8">
      <c r="A8" s="1"/>
      <c r="B8" s="9"/>
      <c r="C8" s="4"/>
      <c r="D8" s="4"/>
      <c r="E8" s="7"/>
      <c r="F8" s="1"/>
      <c r="G8" s="1"/>
      <c r="H8" s="1"/>
      <c r="I8" s="1"/>
      <c r="J8" s="1"/>
      <c r="K8" s="1"/>
      <c r="L8" s="1"/>
      <c r="M8" s="1"/>
      <c r="N8" s="1"/>
      <c r="O8" s="1"/>
      <c r="P8" s="1"/>
      <c r="Q8" s="1"/>
      <c r="R8" s="1"/>
      <c r="S8" s="1"/>
      <c r="T8" s="1"/>
      <c r="U8" s="1"/>
      <c r="V8" s="1"/>
      <c r="W8" s="1"/>
      <c r="X8" s="1"/>
      <c r="Y8" s="1"/>
      <c r="Z8" s="1"/>
    </row>
    <row r="9">
      <c r="A9" s="5"/>
      <c r="B9" s="10" t="s">
        <v>4</v>
      </c>
      <c r="C9" s="10" t="s">
        <v>5</v>
      </c>
      <c r="D9" s="10" t="s">
        <v>6</v>
      </c>
      <c r="E9" s="10" t="s">
        <v>7</v>
      </c>
      <c r="F9" s="1"/>
      <c r="G9" s="1"/>
      <c r="H9" s="1"/>
      <c r="I9" s="1"/>
      <c r="J9" s="1"/>
      <c r="K9" s="1"/>
      <c r="L9" s="1"/>
      <c r="M9" s="1"/>
      <c r="N9" s="1"/>
      <c r="O9" s="1"/>
      <c r="P9" s="1"/>
      <c r="Q9" s="1"/>
      <c r="R9" s="1"/>
      <c r="S9" s="1"/>
      <c r="T9" s="1"/>
      <c r="U9" s="1"/>
      <c r="V9" s="1"/>
      <c r="W9" s="1"/>
      <c r="X9" s="1"/>
      <c r="Y9" s="1"/>
      <c r="Z9" s="1"/>
    </row>
    <row r="10">
      <c r="A10" s="5"/>
      <c r="B10" s="11">
        <v>45119.0</v>
      </c>
      <c r="C10" s="12">
        <v>2.0</v>
      </c>
      <c r="D10" s="13" t="s">
        <v>8</v>
      </c>
      <c r="E10" s="14" t="s">
        <v>9</v>
      </c>
      <c r="F10" s="1"/>
      <c r="G10" s="1"/>
      <c r="H10" s="1"/>
      <c r="I10" s="1"/>
      <c r="J10" s="1"/>
      <c r="K10" s="1"/>
      <c r="L10" s="1"/>
      <c r="M10" s="1"/>
      <c r="N10" s="1"/>
      <c r="O10" s="1"/>
      <c r="P10" s="1"/>
      <c r="Q10" s="1"/>
      <c r="R10" s="1"/>
      <c r="S10" s="1"/>
      <c r="T10" s="1"/>
      <c r="U10" s="1"/>
      <c r="V10" s="1"/>
      <c r="W10" s="1"/>
      <c r="X10" s="1"/>
      <c r="Y10" s="1"/>
      <c r="Z10" s="1"/>
    </row>
    <row r="11">
      <c r="A11" s="5"/>
      <c r="B11" s="11">
        <v>45118.0</v>
      </c>
      <c r="C11" s="12">
        <v>2.0</v>
      </c>
      <c r="D11" s="13" t="s">
        <v>8</v>
      </c>
      <c r="E11" s="14" t="s">
        <v>10</v>
      </c>
      <c r="F11" s="1"/>
      <c r="G11" s="1"/>
      <c r="H11" s="1"/>
      <c r="I11" s="1"/>
      <c r="J11" s="1"/>
      <c r="K11" s="1"/>
      <c r="L11" s="1"/>
      <c r="M11" s="1"/>
      <c r="N11" s="1"/>
      <c r="O11" s="1"/>
      <c r="P11" s="1"/>
      <c r="Q11" s="1"/>
      <c r="R11" s="1"/>
      <c r="S11" s="1"/>
      <c r="T11" s="1"/>
      <c r="U11" s="1"/>
      <c r="V11" s="1"/>
      <c r="W11" s="1"/>
      <c r="X11" s="1"/>
      <c r="Y11" s="1"/>
      <c r="Z11" s="1"/>
    </row>
    <row r="12">
      <c r="A12" s="5"/>
      <c r="B12" s="11">
        <v>45106.0</v>
      </c>
      <c r="C12" s="12">
        <v>2.0</v>
      </c>
      <c r="D12" s="13" t="s">
        <v>8</v>
      </c>
      <c r="E12" s="14" t="s">
        <v>11</v>
      </c>
      <c r="F12" s="1"/>
      <c r="G12" s="1"/>
      <c r="H12" s="1"/>
      <c r="I12" s="1"/>
      <c r="J12" s="1"/>
      <c r="K12" s="1"/>
      <c r="L12" s="1"/>
      <c r="M12" s="1"/>
      <c r="N12" s="1"/>
      <c r="O12" s="1"/>
      <c r="P12" s="1"/>
      <c r="Q12" s="1"/>
      <c r="R12" s="1"/>
      <c r="S12" s="1"/>
      <c r="T12" s="1"/>
      <c r="U12" s="1"/>
      <c r="V12" s="1"/>
      <c r="W12" s="1"/>
      <c r="X12" s="1"/>
      <c r="Y12" s="1"/>
      <c r="Z12" s="1"/>
    </row>
    <row r="13">
      <c r="A13" s="5"/>
      <c r="B13" s="11">
        <v>45098.0</v>
      </c>
      <c r="C13" s="12">
        <v>2.0</v>
      </c>
      <c r="D13" s="13" t="s">
        <v>8</v>
      </c>
      <c r="E13" s="15" t="s">
        <v>12</v>
      </c>
      <c r="F13" s="1"/>
      <c r="G13" s="1"/>
      <c r="H13" s="1"/>
      <c r="I13" s="1"/>
      <c r="J13" s="1"/>
      <c r="K13" s="1"/>
      <c r="L13" s="1"/>
      <c r="M13" s="1"/>
      <c r="N13" s="1"/>
      <c r="O13" s="1"/>
      <c r="P13" s="1"/>
      <c r="Q13" s="1"/>
      <c r="R13" s="1"/>
      <c r="S13" s="1"/>
      <c r="T13" s="1"/>
      <c r="U13" s="1"/>
      <c r="V13" s="1"/>
      <c r="W13" s="1"/>
      <c r="X13" s="1"/>
      <c r="Y13" s="1"/>
      <c r="Z13" s="1"/>
    </row>
    <row r="14">
      <c r="A14" s="5"/>
      <c r="B14" s="11">
        <v>45078.0</v>
      </c>
      <c r="C14" s="12">
        <v>2.0</v>
      </c>
      <c r="D14" s="16" t="s">
        <v>13</v>
      </c>
      <c r="E14" s="13" t="s">
        <v>14</v>
      </c>
      <c r="F14" s="1"/>
      <c r="G14" s="1"/>
      <c r="H14" s="1"/>
      <c r="I14" s="1"/>
      <c r="J14" s="1"/>
      <c r="K14" s="1"/>
      <c r="L14" s="1"/>
      <c r="M14" s="1"/>
      <c r="N14" s="1"/>
      <c r="O14" s="1"/>
      <c r="P14" s="1"/>
      <c r="Q14" s="1"/>
      <c r="R14" s="1"/>
      <c r="S14" s="1"/>
      <c r="T14" s="1"/>
      <c r="U14" s="1"/>
      <c r="V14" s="1"/>
      <c r="W14" s="1"/>
      <c r="X14" s="1"/>
      <c r="Y14" s="1"/>
      <c r="Z14" s="1"/>
    </row>
    <row r="15">
      <c r="A15" s="5"/>
      <c r="B15" s="17">
        <v>45044.0</v>
      </c>
      <c r="C15" s="18">
        <v>2.0</v>
      </c>
      <c r="D15" s="19" t="s">
        <v>8</v>
      </c>
      <c r="E15" s="19" t="s">
        <v>15</v>
      </c>
      <c r="F15" s="1"/>
      <c r="G15" s="1"/>
      <c r="H15" s="1"/>
      <c r="I15" s="1"/>
      <c r="J15" s="1"/>
      <c r="K15" s="1"/>
      <c r="L15" s="1"/>
      <c r="M15" s="1"/>
      <c r="N15" s="1"/>
      <c r="O15" s="1"/>
      <c r="P15" s="1"/>
      <c r="Q15" s="1"/>
      <c r="R15" s="1"/>
      <c r="S15" s="1"/>
      <c r="T15" s="1"/>
      <c r="U15" s="1"/>
      <c r="V15" s="1"/>
      <c r="W15" s="1"/>
      <c r="X15" s="1"/>
      <c r="Y15" s="1"/>
      <c r="Z15" s="1"/>
    </row>
    <row r="16">
      <c r="A16" s="5"/>
      <c r="B16" s="20">
        <v>45030.0</v>
      </c>
      <c r="C16" s="21">
        <v>2.0</v>
      </c>
      <c r="D16" s="16" t="s">
        <v>8</v>
      </c>
      <c r="E16" s="22" t="s">
        <v>16</v>
      </c>
      <c r="F16" s="1"/>
      <c r="G16" s="1"/>
      <c r="H16" s="1"/>
      <c r="I16" s="1"/>
      <c r="J16" s="1"/>
      <c r="K16" s="1"/>
      <c r="L16" s="1"/>
      <c r="M16" s="1"/>
      <c r="N16" s="1"/>
      <c r="O16" s="1"/>
      <c r="P16" s="1"/>
      <c r="Q16" s="1"/>
      <c r="R16" s="1"/>
      <c r="S16" s="1"/>
      <c r="T16" s="1"/>
      <c r="U16" s="1"/>
      <c r="V16" s="1"/>
      <c r="W16" s="1"/>
      <c r="X16" s="1"/>
      <c r="Y16" s="1"/>
      <c r="Z16" s="1"/>
    </row>
    <row r="17">
      <c r="A17" s="5"/>
      <c r="B17" s="20">
        <v>45020.0</v>
      </c>
      <c r="C17" s="21">
        <v>2.0</v>
      </c>
      <c r="D17" s="16" t="s">
        <v>13</v>
      </c>
      <c r="E17" s="15" t="s">
        <v>17</v>
      </c>
      <c r="F17" s="1"/>
      <c r="G17" s="1"/>
      <c r="H17" s="1"/>
      <c r="I17" s="1"/>
      <c r="J17" s="1"/>
      <c r="K17" s="1"/>
      <c r="L17" s="1"/>
      <c r="M17" s="1"/>
      <c r="N17" s="1"/>
      <c r="O17" s="1"/>
      <c r="P17" s="1"/>
      <c r="Q17" s="1"/>
      <c r="R17" s="1"/>
      <c r="S17" s="1"/>
      <c r="T17" s="1"/>
      <c r="U17" s="1"/>
      <c r="V17" s="1"/>
      <c r="W17" s="1"/>
      <c r="X17" s="1"/>
      <c r="Y17" s="1"/>
      <c r="Z17" s="1"/>
    </row>
    <row r="18">
      <c r="A18" s="5"/>
      <c r="B18" s="20">
        <v>44994.0</v>
      </c>
      <c r="C18" s="21">
        <v>2.0</v>
      </c>
      <c r="D18" s="16" t="s">
        <v>8</v>
      </c>
      <c r="E18" s="22" t="s">
        <v>18</v>
      </c>
      <c r="F18" s="1"/>
      <c r="G18" s="1"/>
      <c r="H18" s="1"/>
      <c r="I18" s="1"/>
      <c r="J18" s="1"/>
      <c r="K18" s="1"/>
      <c r="L18" s="1"/>
      <c r="M18" s="1"/>
      <c r="N18" s="1"/>
      <c r="O18" s="1"/>
      <c r="P18" s="1"/>
      <c r="Q18" s="1"/>
      <c r="R18" s="1"/>
      <c r="S18" s="1"/>
      <c r="T18" s="1"/>
      <c r="U18" s="1"/>
      <c r="V18" s="1"/>
      <c r="W18" s="1"/>
      <c r="X18" s="1"/>
      <c r="Y18" s="1"/>
      <c r="Z18" s="1"/>
    </row>
    <row r="19">
      <c r="A19" s="5"/>
      <c r="B19" s="20">
        <v>44134.0</v>
      </c>
      <c r="C19" s="21">
        <v>2.0</v>
      </c>
      <c r="D19" s="16" t="s">
        <v>19</v>
      </c>
      <c r="E19" s="13" t="s">
        <v>20</v>
      </c>
      <c r="F19" s="1"/>
      <c r="G19" s="1"/>
      <c r="H19" s="1"/>
      <c r="I19" s="1"/>
      <c r="J19" s="1"/>
      <c r="K19" s="1"/>
      <c r="L19" s="1"/>
      <c r="M19" s="1"/>
      <c r="N19" s="1"/>
      <c r="O19" s="1"/>
      <c r="P19" s="1"/>
      <c r="Q19" s="1"/>
      <c r="R19" s="1"/>
      <c r="S19" s="1"/>
      <c r="T19" s="1"/>
      <c r="U19" s="1"/>
      <c r="V19" s="1"/>
      <c r="W19" s="1"/>
      <c r="X19" s="1"/>
      <c r="Y19" s="1"/>
      <c r="Z19" s="1"/>
    </row>
    <row r="20">
      <c r="A20" s="1"/>
      <c r="B20" s="23">
        <v>43810.0</v>
      </c>
      <c r="C20" s="24">
        <v>1.4</v>
      </c>
      <c r="D20" s="25" t="s">
        <v>21</v>
      </c>
      <c r="E20" s="26" t="s">
        <v>22</v>
      </c>
      <c r="F20" s="1"/>
      <c r="G20" s="1"/>
      <c r="H20" s="1"/>
      <c r="I20" s="1"/>
      <c r="J20" s="1"/>
      <c r="K20" s="1"/>
      <c r="L20" s="1"/>
      <c r="M20" s="1"/>
      <c r="N20" s="1"/>
      <c r="O20" s="1"/>
      <c r="P20" s="1"/>
      <c r="Q20" s="1"/>
      <c r="R20" s="1"/>
      <c r="S20" s="1"/>
      <c r="T20" s="1"/>
      <c r="U20" s="1"/>
      <c r="V20" s="1"/>
      <c r="W20" s="1"/>
      <c r="X20" s="1"/>
      <c r="Y20" s="1"/>
      <c r="Z20" s="1"/>
    </row>
    <row r="21">
      <c r="A21" s="1"/>
      <c r="B21" s="27"/>
      <c r="C21" s="28"/>
      <c r="D21" s="29"/>
      <c r="E21" s="30"/>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5"/>
      <c r="B23" s="3" t="s">
        <v>23</v>
      </c>
      <c r="C23" s="4"/>
      <c r="D23" s="4"/>
      <c r="E23" s="7"/>
      <c r="F23" s="1"/>
      <c r="G23" s="1"/>
      <c r="H23" s="1"/>
      <c r="I23" s="1"/>
      <c r="J23" s="1"/>
      <c r="K23" s="1"/>
      <c r="L23" s="1"/>
      <c r="M23" s="1"/>
      <c r="N23" s="1"/>
      <c r="O23" s="1"/>
      <c r="P23" s="1"/>
      <c r="Q23" s="1"/>
      <c r="R23" s="1"/>
      <c r="S23" s="1"/>
      <c r="T23" s="1"/>
      <c r="U23" s="1"/>
      <c r="V23" s="1"/>
      <c r="W23" s="1"/>
      <c r="X23" s="1"/>
      <c r="Y23" s="1"/>
      <c r="Z23" s="1"/>
    </row>
    <row r="24">
      <c r="A24" s="5"/>
      <c r="B24" s="10" t="s">
        <v>24</v>
      </c>
      <c r="C24" s="10" t="s">
        <v>25</v>
      </c>
      <c r="D24" s="10" t="s">
        <v>26</v>
      </c>
      <c r="E24" s="10" t="s">
        <v>27</v>
      </c>
      <c r="F24" s="1"/>
      <c r="G24" s="1"/>
      <c r="H24" s="1"/>
      <c r="I24" s="1"/>
      <c r="J24" s="1"/>
      <c r="K24" s="1"/>
      <c r="L24" s="1"/>
      <c r="M24" s="1"/>
      <c r="N24" s="1"/>
      <c r="O24" s="1"/>
      <c r="P24" s="1"/>
      <c r="Q24" s="1"/>
      <c r="R24" s="1"/>
      <c r="S24" s="1"/>
      <c r="T24" s="1"/>
      <c r="U24" s="1"/>
      <c r="V24" s="1"/>
      <c r="W24" s="1"/>
      <c r="X24" s="1"/>
      <c r="Y24" s="1"/>
      <c r="Z24" s="1"/>
    </row>
    <row r="25">
      <c r="A25" s="5"/>
      <c r="B25" s="31" t="s">
        <v>28</v>
      </c>
      <c r="C25" s="32"/>
      <c r="D25" s="33" t="s">
        <v>29</v>
      </c>
      <c r="E25" s="34"/>
      <c r="F25" s="1"/>
      <c r="G25" s="1"/>
      <c r="H25" s="1"/>
      <c r="I25" s="1"/>
      <c r="J25" s="1"/>
      <c r="K25" s="1"/>
      <c r="L25" s="1"/>
      <c r="M25" s="1"/>
      <c r="N25" s="1"/>
      <c r="O25" s="1"/>
      <c r="P25" s="1"/>
      <c r="Q25" s="1"/>
      <c r="R25" s="1"/>
      <c r="S25" s="1"/>
      <c r="T25" s="1"/>
      <c r="U25" s="1"/>
      <c r="V25" s="1"/>
      <c r="W25" s="1"/>
      <c r="X25" s="1"/>
      <c r="Y25" s="1"/>
      <c r="Z25" s="1"/>
    </row>
    <row r="26">
      <c r="A26" s="5"/>
      <c r="B26" s="35" t="s">
        <v>30</v>
      </c>
      <c r="C26" s="32"/>
      <c r="D26" s="33" t="s">
        <v>29</v>
      </c>
      <c r="E26" s="34"/>
      <c r="F26" s="1"/>
      <c r="G26" s="1"/>
      <c r="H26" s="1"/>
      <c r="I26" s="1"/>
      <c r="J26" s="1"/>
      <c r="K26" s="1"/>
      <c r="L26" s="1"/>
      <c r="M26" s="1"/>
      <c r="N26" s="1"/>
      <c r="O26" s="1"/>
      <c r="P26" s="1"/>
      <c r="Q26" s="1"/>
      <c r="R26" s="1"/>
      <c r="S26" s="1"/>
      <c r="T26" s="1"/>
      <c r="U26" s="1"/>
      <c r="V26" s="1"/>
      <c r="W26" s="1"/>
      <c r="X26" s="1"/>
      <c r="Y26" s="1"/>
      <c r="Z26" s="1"/>
    </row>
    <row r="27">
      <c r="A27" s="5"/>
      <c r="B27" s="35" t="s">
        <v>31</v>
      </c>
      <c r="C27" s="36">
        <v>45099.0</v>
      </c>
      <c r="D27" s="33" t="s">
        <v>32</v>
      </c>
      <c r="E27" s="37" t="s">
        <v>33</v>
      </c>
      <c r="F27" s="1"/>
      <c r="G27" s="1"/>
      <c r="H27" s="1"/>
      <c r="I27" s="1"/>
      <c r="J27" s="1"/>
      <c r="K27" s="1"/>
      <c r="L27" s="1"/>
      <c r="M27" s="1"/>
      <c r="N27" s="1"/>
      <c r="O27" s="1"/>
      <c r="P27" s="1"/>
      <c r="Q27" s="1"/>
      <c r="R27" s="1"/>
      <c r="S27" s="1"/>
      <c r="T27" s="1"/>
      <c r="U27" s="1"/>
      <c r="V27" s="1"/>
      <c r="W27" s="1"/>
      <c r="X27" s="1"/>
      <c r="Y27" s="1"/>
      <c r="Z27" s="1"/>
    </row>
    <row r="28">
      <c r="A28" s="5"/>
      <c r="B28" s="35" t="s">
        <v>34</v>
      </c>
      <c r="C28" s="36">
        <v>45072.0</v>
      </c>
      <c r="D28" s="33" t="s">
        <v>32</v>
      </c>
      <c r="E28" s="34"/>
      <c r="F28" s="1"/>
      <c r="G28" s="1"/>
      <c r="H28" s="1"/>
      <c r="I28" s="1"/>
      <c r="J28" s="1"/>
      <c r="K28" s="1"/>
      <c r="L28" s="1"/>
      <c r="M28" s="1"/>
      <c r="N28" s="1"/>
      <c r="O28" s="1"/>
      <c r="P28" s="1"/>
      <c r="Q28" s="1"/>
      <c r="R28" s="1"/>
      <c r="S28" s="1"/>
      <c r="T28" s="1"/>
      <c r="U28" s="1"/>
      <c r="V28" s="1"/>
      <c r="W28" s="1"/>
      <c r="X28" s="1"/>
      <c r="Y28" s="1"/>
      <c r="Z28" s="1"/>
    </row>
    <row r="29">
      <c r="A29" s="5"/>
      <c r="B29" s="35" t="s">
        <v>35</v>
      </c>
      <c r="C29" s="32"/>
      <c r="D29" s="33" t="s">
        <v>29</v>
      </c>
      <c r="E29" s="34"/>
      <c r="F29" s="1"/>
      <c r="G29" s="1"/>
      <c r="H29" s="1"/>
      <c r="I29" s="1"/>
      <c r="J29" s="1"/>
      <c r="K29" s="1"/>
      <c r="L29" s="1"/>
      <c r="M29" s="1"/>
      <c r="N29" s="1"/>
      <c r="O29" s="1"/>
      <c r="P29" s="1"/>
      <c r="Q29" s="1"/>
      <c r="R29" s="1"/>
      <c r="S29" s="1"/>
      <c r="T29" s="1"/>
      <c r="U29" s="1"/>
      <c r="V29" s="1"/>
      <c r="W29" s="1"/>
      <c r="X29" s="1"/>
      <c r="Y29" s="1"/>
      <c r="Z29" s="1"/>
    </row>
    <row r="30">
      <c r="A30" s="5"/>
      <c r="B30" s="35" t="s">
        <v>36</v>
      </c>
      <c r="C30" s="36">
        <v>45084.0</v>
      </c>
      <c r="D30" s="33" t="s">
        <v>32</v>
      </c>
      <c r="E30" s="34"/>
      <c r="F30" s="1"/>
      <c r="G30" s="1"/>
      <c r="H30" s="1"/>
      <c r="I30" s="1"/>
      <c r="J30" s="1"/>
      <c r="K30" s="1"/>
      <c r="L30" s="1"/>
      <c r="M30" s="1"/>
      <c r="N30" s="1"/>
      <c r="O30" s="1"/>
      <c r="P30" s="1"/>
      <c r="Q30" s="1"/>
      <c r="R30" s="1"/>
      <c r="S30" s="1"/>
      <c r="T30" s="1"/>
      <c r="U30" s="1"/>
      <c r="V30" s="1"/>
      <c r="W30" s="1"/>
      <c r="X30" s="1"/>
      <c r="Y30" s="1"/>
      <c r="Z30" s="1"/>
    </row>
    <row r="31">
      <c r="A31" s="5"/>
      <c r="B31" s="35" t="s">
        <v>37</v>
      </c>
      <c r="C31" s="38">
        <v>45058.0</v>
      </c>
      <c r="D31" s="33" t="s">
        <v>32</v>
      </c>
      <c r="E31" s="39"/>
      <c r="F31" s="1"/>
      <c r="G31" s="1"/>
      <c r="H31" s="1"/>
      <c r="I31" s="1"/>
      <c r="J31" s="1"/>
      <c r="K31" s="1"/>
      <c r="L31" s="1"/>
      <c r="M31" s="1"/>
      <c r="N31" s="1"/>
      <c r="O31" s="1"/>
      <c r="P31" s="1"/>
      <c r="Q31" s="1"/>
      <c r="R31" s="1"/>
      <c r="S31" s="1"/>
      <c r="T31" s="1"/>
      <c r="U31" s="1"/>
      <c r="V31" s="1"/>
      <c r="W31" s="1"/>
      <c r="X31" s="1"/>
      <c r="Y31" s="1"/>
      <c r="Z31" s="1"/>
    </row>
    <row r="32">
      <c r="A32" s="5"/>
      <c r="B32" s="35" t="s">
        <v>38</v>
      </c>
      <c r="C32" s="38">
        <v>45070.0</v>
      </c>
      <c r="D32" s="33" t="s">
        <v>39</v>
      </c>
      <c r="E32" s="37" t="s">
        <v>40</v>
      </c>
      <c r="F32" s="1"/>
      <c r="G32" s="1"/>
      <c r="H32" s="1"/>
      <c r="I32" s="1"/>
      <c r="J32" s="1"/>
      <c r="K32" s="1"/>
      <c r="L32" s="1"/>
      <c r="M32" s="1"/>
      <c r="N32" s="1"/>
      <c r="O32" s="1"/>
      <c r="P32" s="1"/>
      <c r="Q32" s="1"/>
      <c r="R32" s="1"/>
      <c r="S32" s="1"/>
      <c r="T32" s="1"/>
      <c r="U32" s="1"/>
      <c r="V32" s="1"/>
      <c r="W32" s="1"/>
      <c r="X32" s="1"/>
      <c r="Y32" s="1"/>
      <c r="Z32" s="1"/>
    </row>
    <row r="33">
      <c r="A33" s="5"/>
      <c r="B33" s="35" t="s">
        <v>41</v>
      </c>
      <c r="C33" s="32"/>
      <c r="D33" s="33" t="s">
        <v>29</v>
      </c>
      <c r="E33" s="34"/>
      <c r="F33" s="1"/>
      <c r="G33" s="1"/>
      <c r="H33" s="1"/>
      <c r="I33" s="1"/>
      <c r="J33" s="1"/>
      <c r="K33" s="1"/>
      <c r="L33" s="1"/>
      <c r="M33" s="1"/>
      <c r="N33" s="1"/>
      <c r="O33" s="1"/>
      <c r="P33" s="1"/>
      <c r="Q33" s="1"/>
      <c r="R33" s="1"/>
      <c r="S33" s="1"/>
      <c r="T33" s="1"/>
      <c r="U33" s="1"/>
      <c r="V33" s="1"/>
      <c r="W33" s="1"/>
      <c r="X33" s="1"/>
      <c r="Y33" s="1"/>
      <c r="Z33" s="1"/>
    </row>
    <row r="34">
      <c r="A34" s="5"/>
      <c r="B34" s="35" t="s">
        <v>42</v>
      </c>
      <c r="C34" s="32"/>
      <c r="D34" s="33" t="s">
        <v>29</v>
      </c>
      <c r="E34" s="34"/>
      <c r="F34" s="1"/>
      <c r="G34" s="1"/>
      <c r="H34" s="1"/>
      <c r="I34" s="1"/>
      <c r="J34" s="1"/>
      <c r="K34" s="1"/>
      <c r="L34" s="1"/>
      <c r="M34" s="1"/>
      <c r="N34" s="1"/>
      <c r="O34" s="1"/>
      <c r="P34" s="1"/>
      <c r="Q34" s="1"/>
      <c r="R34" s="1"/>
      <c r="S34" s="1"/>
      <c r="T34" s="1"/>
      <c r="U34" s="1"/>
      <c r="V34" s="1"/>
      <c r="W34" s="1"/>
      <c r="X34" s="1"/>
      <c r="Y34" s="1"/>
      <c r="Z34" s="1"/>
    </row>
    <row r="35">
      <c r="A35" s="5"/>
      <c r="B35" s="35" t="s">
        <v>43</v>
      </c>
      <c r="C35" s="32"/>
      <c r="D35" s="33" t="s">
        <v>29</v>
      </c>
      <c r="E35" s="34"/>
      <c r="F35" s="1"/>
      <c r="G35" s="1"/>
      <c r="H35" s="1"/>
      <c r="I35" s="1"/>
      <c r="J35" s="1"/>
      <c r="K35" s="1"/>
      <c r="L35" s="1"/>
      <c r="M35" s="1"/>
      <c r="N35" s="1"/>
      <c r="O35" s="1"/>
      <c r="P35" s="1"/>
      <c r="Q35" s="1"/>
      <c r="R35" s="1"/>
      <c r="S35" s="1"/>
      <c r="T35" s="1"/>
      <c r="U35" s="1"/>
      <c r="V35" s="1"/>
      <c r="W35" s="1"/>
      <c r="X35" s="1"/>
      <c r="Y35" s="1"/>
      <c r="Z35" s="1"/>
    </row>
    <row r="36">
      <c r="A36" s="5"/>
      <c r="B36" s="40" t="s">
        <v>44</v>
      </c>
      <c r="C36" s="32"/>
      <c r="D36" s="33" t="s">
        <v>29</v>
      </c>
      <c r="E36" s="34"/>
      <c r="F36" s="1"/>
      <c r="G36" s="1"/>
      <c r="H36" s="1"/>
      <c r="I36" s="1"/>
      <c r="J36" s="1"/>
      <c r="K36" s="1"/>
      <c r="L36" s="1"/>
      <c r="M36" s="1"/>
      <c r="N36" s="1"/>
      <c r="O36" s="1"/>
      <c r="P36" s="1"/>
      <c r="Q36" s="1"/>
      <c r="R36" s="1"/>
      <c r="S36" s="1"/>
      <c r="T36" s="1"/>
      <c r="U36" s="1"/>
      <c r="V36" s="1"/>
      <c r="W36" s="1"/>
      <c r="X36" s="1"/>
      <c r="Y36" s="1"/>
      <c r="Z36" s="1"/>
    </row>
    <row r="37">
      <c r="A37" s="5"/>
      <c r="B37" s="35" t="s">
        <v>45</v>
      </c>
      <c r="C37" s="32"/>
      <c r="D37" s="33" t="s">
        <v>29</v>
      </c>
      <c r="E37" s="34"/>
      <c r="F37" s="1"/>
      <c r="G37" s="1"/>
      <c r="H37" s="1"/>
      <c r="I37" s="1"/>
      <c r="J37" s="1"/>
      <c r="K37" s="1"/>
      <c r="L37" s="1"/>
      <c r="M37" s="1"/>
      <c r="N37" s="1"/>
      <c r="O37" s="1"/>
      <c r="P37" s="1"/>
      <c r="Q37" s="1"/>
      <c r="R37" s="1"/>
      <c r="S37" s="1"/>
      <c r="T37" s="1"/>
      <c r="U37" s="1"/>
      <c r="V37" s="1"/>
      <c r="W37" s="1"/>
      <c r="X37" s="1"/>
      <c r="Y37" s="1"/>
      <c r="Z37" s="1"/>
    </row>
    <row r="38">
      <c r="A38" s="5"/>
      <c r="B38" s="35" t="s">
        <v>46</v>
      </c>
      <c r="C38" s="32"/>
      <c r="D38" s="33" t="s">
        <v>29</v>
      </c>
      <c r="E38" s="34"/>
      <c r="F38" s="1"/>
      <c r="G38" s="1"/>
      <c r="H38" s="1"/>
      <c r="I38" s="1"/>
      <c r="J38" s="1"/>
      <c r="K38" s="1"/>
      <c r="L38" s="1"/>
      <c r="M38" s="1"/>
      <c r="N38" s="1"/>
      <c r="O38" s="1"/>
      <c r="P38" s="1"/>
      <c r="Q38" s="1"/>
      <c r="R38" s="1"/>
      <c r="S38" s="1"/>
      <c r="T38" s="1"/>
      <c r="U38" s="1"/>
      <c r="V38" s="1"/>
      <c r="W38" s="1"/>
      <c r="X38" s="1"/>
      <c r="Y38" s="1"/>
      <c r="Z38" s="1"/>
    </row>
    <row r="39">
      <c r="A39" s="5"/>
      <c r="B39" s="35" t="s">
        <v>47</v>
      </c>
      <c r="C39" s="32"/>
      <c r="D39" s="33" t="s">
        <v>29</v>
      </c>
      <c r="E39" s="34"/>
      <c r="F39" s="1"/>
      <c r="G39" s="1"/>
      <c r="H39" s="1"/>
      <c r="I39" s="1"/>
      <c r="J39" s="1"/>
      <c r="K39" s="1"/>
      <c r="L39" s="1"/>
      <c r="M39" s="1"/>
      <c r="N39" s="1"/>
      <c r="O39" s="1"/>
      <c r="P39" s="1"/>
      <c r="Q39" s="1"/>
      <c r="R39" s="1"/>
      <c r="S39" s="1"/>
      <c r="T39" s="1"/>
      <c r="U39" s="1"/>
      <c r="V39" s="1"/>
      <c r="W39" s="1"/>
      <c r="X39" s="1"/>
      <c r="Y39" s="1"/>
      <c r="Z39" s="1"/>
    </row>
    <row r="40">
      <c r="A40" s="5"/>
      <c r="B40" s="35" t="s">
        <v>48</v>
      </c>
      <c r="C40" s="36">
        <v>45103.0</v>
      </c>
      <c r="D40" s="33" t="s">
        <v>32</v>
      </c>
      <c r="E40" s="37"/>
      <c r="F40" s="1"/>
      <c r="G40" s="1"/>
      <c r="H40" s="1"/>
      <c r="I40" s="1"/>
      <c r="J40" s="1"/>
      <c r="K40" s="1"/>
      <c r="L40" s="1"/>
      <c r="M40" s="1"/>
      <c r="N40" s="1"/>
      <c r="O40" s="1"/>
      <c r="P40" s="1"/>
      <c r="Q40" s="1"/>
      <c r="R40" s="1"/>
      <c r="S40" s="1"/>
      <c r="T40" s="1"/>
      <c r="U40" s="1"/>
      <c r="V40" s="1"/>
      <c r="W40" s="1"/>
      <c r="X40" s="1"/>
      <c r="Y40" s="1"/>
      <c r="Z40" s="1"/>
    </row>
    <row r="41">
      <c r="A41" s="5"/>
      <c r="B41" s="35" t="s">
        <v>49</v>
      </c>
      <c r="C41" s="36">
        <v>45099.0</v>
      </c>
      <c r="D41" s="33" t="s">
        <v>32</v>
      </c>
      <c r="E41" s="34"/>
      <c r="F41" s="1"/>
      <c r="G41" s="1"/>
      <c r="H41" s="1"/>
      <c r="I41" s="1"/>
      <c r="J41" s="1"/>
      <c r="K41" s="1"/>
      <c r="L41" s="1"/>
      <c r="M41" s="1"/>
      <c r="N41" s="1"/>
      <c r="O41" s="1"/>
      <c r="P41" s="1"/>
      <c r="Q41" s="1"/>
      <c r="R41" s="1"/>
      <c r="S41" s="1"/>
      <c r="T41" s="1"/>
      <c r="U41" s="1"/>
      <c r="V41" s="1"/>
      <c r="W41" s="1"/>
      <c r="X41" s="1"/>
      <c r="Y41" s="1"/>
      <c r="Z41" s="1"/>
    </row>
    <row r="42">
      <c r="A42" s="5"/>
      <c r="B42" s="35" t="s">
        <v>50</v>
      </c>
      <c r="C42" s="32"/>
      <c r="D42" s="33" t="s">
        <v>29</v>
      </c>
      <c r="E42" s="34"/>
      <c r="F42" s="1"/>
      <c r="G42" s="1"/>
      <c r="H42" s="1"/>
      <c r="I42" s="1"/>
      <c r="J42" s="1"/>
      <c r="K42" s="1"/>
      <c r="L42" s="1"/>
      <c r="M42" s="1"/>
      <c r="N42" s="1"/>
      <c r="O42" s="1"/>
      <c r="P42" s="1"/>
      <c r="Q42" s="1"/>
      <c r="R42" s="1"/>
      <c r="S42" s="1"/>
      <c r="T42" s="1"/>
      <c r="U42" s="1"/>
      <c r="V42" s="1"/>
      <c r="W42" s="1"/>
      <c r="X42" s="1"/>
      <c r="Y42" s="1"/>
      <c r="Z42" s="1"/>
    </row>
    <row r="43">
      <c r="A43" s="5"/>
      <c r="B43" s="35" t="s">
        <v>51</v>
      </c>
      <c r="C43" s="32"/>
      <c r="D43" s="33" t="s">
        <v>29</v>
      </c>
      <c r="E43" s="34"/>
      <c r="F43" s="1"/>
      <c r="G43" s="1"/>
      <c r="H43" s="1"/>
      <c r="I43" s="1"/>
      <c r="J43" s="1"/>
      <c r="K43" s="1"/>
      <c r="L43" s="1"/>
      <c r="M43" s="1"/>
      <c r="N43" s="1"/>
      <c r="O43" s="1"/>
      <c r="P43" s="1"/>
      <c r="Q43" s="1"/>
      <c r="R43" s="1"/>
      <c r="S43" s="1"/>
      <c r="T43" s="1"/>
      <c r="U43" s="1"/>
      <c r="V43" s="1"/>
      <c r="W43" s="1"/>
      <c r="X43" s="1"/>
      <c r="Y43" s="1"/>
      <c r="Z43" s="1"/>
    </row>
    <row r="44">
      <c r="A44" s="5"/>
      <c r="B44" s="35" t="s">
        <v>52</v>
      </c>
      <c r="C44" s="32"/>
      <c r="D44" s="33" t="s">
        <v>29</v>
      </c>
      <c r="E44" s="34"/>
      <c r="F44" s="1"/>
      <c r="G44" s="1"/>
      <c r="H44" s="1"/>
      <c r="I44" s="1"/>
      <c r="J44" s="1"/>
      <c r="K44" s="1"/>
      <c r="L44" s="1"/>
      <c r="M44" s="1"/>
      <c r="N44" s="1"/>
      <c r="O44" s="1"/>
      <c r="P44" s="1"/>
      <c r="Q44" s="1"/>
      <c r="R44" s="1"/>
      <c r="S44" s="1"/>
      <c r="T44" s="1"/>
      <c r="U44" s="1"/>
      <c r="V44" s="1"/>
      <c r="W44" s="1"/>
      <c r="X44" s="1"/>
      <c r="Y44" s="1"/>
      <c r="Z44" s="1"/>
    </row>
    <row r="45">
      <c r="A45" s="1"/>
      <c r="B45" s="41"/>
      <c r="C45" s="1"/>
      <c r="D45" s="1"/>
      <c r="E45" s="1"/>
      <c r="F45" s="1"/>
      <c r="G45" s="1"/>
      <c r="H45" s="1"/>
      <c r="I45" s="1"/>
      <c r="J45" s="1"/>
      <c r="K45" s="1"/>
      <c r="L45" s="1"/>
      <c r="M45" s="1"/>
      <c r="N45" s="1"/>
      <c r="O45" s="1"/>
      <c r="P45" s="1"/>
      <c r="Q45" s="1"/>
      <c r="R45" s="1"/>
      <c r="S45" s="1"/>
      <c r="T45" s="1"/>
      <c r="U45" s="1"/>
      <c r="V45" s="1"/>
      <c r="W45" s="1"/>
      <c r="X45" s="1"/>
      <c r="Y45" s="1"/>
      <c r="Z45" s="1"/>
    </row>
    <row r="46">
      <c r="A46" s="5"/>
      <c r="B46" s="3" t="s">
        <v>53</v>
      </c>
      <c r="C46" s="4"/>
      <c r="D46" s="4"/>
      <c r="E46" s="7"/>
      <c r="F46" s="1"/>
      <c r="G46" s="1"/>
      <c r="H46" s="1"/>
      <c r="I46" s="1"/>
      <c r="J46" s="1"/>
      <c r="K46" s="1"/>
      <c r="L46" s="1"/>
      <c r="M46" s="1"/>
      <c r="N46" s="1"/>
      <c r="O46" s="1"/>
      <c r="P46" s="1"/>
      <c r="Q46" s="1"/>
      <c r="R46" s="1"/>
      <c r="S46" s="1"/>
      <c r="T46" s="1"/>
      <c r="U46" s="1"/>
      <c r="V46" s="1"/>
      <c r="W46" s="1"/>
      <c r="X46" s="1"/>
      <c r="Y46" s="1"/>
      <c r="Z46" s="1"/>
    </row>
    <row r="47">
      <c r="A47" s="5"/>
      <c r="B47" s="10" t="s">
        <v>24</v>
      </c>
      <c r="C47" s="10" t="s">
        <v>25</v>
      </c>
      <c r="D47" s="10" t="s">
        <v>26</v>
      </c>
      <c r="E47" s="10" t="s">
        <v>27</v>
      </c>
      <c r="F47" s="1"/>
      <c r="G47" s="1"/>
      <c r="H47" s="1"/>
      <c r="I47" s="1"/>
      <c r="J47" s="1"/>
      <c r="K47" s="1"/>
      <c r="L47" s="1"/>
      <c r="M47" s="1"/>
      <c r="N47" s="1"/>
      <c r="O47" s="1"/>
      <c r="P47" s="1"/>
      <c r="Q47" s="1"/>
      <c r="R47" s="1"/>
      <c r="S47" s="1"/>
      <c r="T47" s="1"/>
      <c r="U47" s="1"/>
      <c r="V47" s="1"/>
      <c r="W47" s="1"/>
      <c r="X47" s="1"/>
      <c r="Y47" s="1"/>
      <c r="Z47" s="1"/>
    </row>
    <row r="48">
      <c r="A48" s="5"/>
      <c r="B48" s="42" t="s">
        <v>54</v>
      </c>
      <c r="C48" s="43">
        <v>45072.0</v>
      </c>
      <c r="D48" s="44" t="s">
        <v>55</v>
      </c>
      <c r="E48" s="45"/>
      <c r="F48" s="1"/>
      <c r="G48" s="1"/>
      <c r="H48" s="1"/>
      <c r="I48" s="1"/>
      <c r="J48" s="1"/>
      <c r="K48" s="1"/>
      <c r="L48" s="1"/>
      <c r="M48" s="1"/>
      <c r="N48" s="1"/>
      <c r="O48" s="1"/>
      <c r="P48" s="1"/>
      <c r="Q48" s="1"/>
      <c r="R48" s="1"/>
      <c r="S48" s="1"/>
      <c r="T48" s="1"/>
      <c r="U48" s="1"/>
      <c r="V48" s="1"/>
      <c r="W48" s="1"/>
      <c r="X48" s="1"/>
      <c r="Y48" s="1"/>
      <c r="Z48" s="1"/>
    </row>
    <row r="49">
      <c r="A49" s="5"/>
      <c r="B49" s="42" t="s">
        <v>56</v>
      </c>
      <c r="C49" s="43">
        <v>45054.0</v>
      </c>
      <c r="D49" s="44" t="s">
        <v>55</v>
      </c>
      <c r="E49" s="46"/>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sheetData>
  <mergeCells count="8">
    <mergeCell ref="B2:E2"/>
    <mergeCell ref="B4:E4"/>
    <mergeCell ref="B5:E5"/>
    <mergeCell ref="B6:E6"/>
    <mergeCell ref="B7:E7"/>
    <mergeCell ref="B8:E8"/>
    <mergeCell ref="B23:E23"/>
    <mergeCell ref="B46:E46"/>
  </mergeCells>
  <dataValidations>
    <dataValidation type="list" allowBlank="1" showErrorMessage="1" sqref="D25:D44">
      <formula1>"PENDING,WAITING,REVIEWED"</formula1>
    </dataValidation>
    <dataValidation type="list" allowBlank="1" showErrorMessage="1" sqref="D48:D49">
      <formula1>"PENDING,WAITING,APPROVED"</formula1>
    </dataValidation>
  </dataValidations>
  <hyperlinks>
    <hyperlink display="Refer Instructions tab" location="Instructions!A1" ref="B5"/>
    <hyperlink r:id="rId1" ref="E13"/>
    <hyperlink r:id="rId2" ref="E16"/>
    <hyperlink r:id="rId3" ref="E17"/>
    <hyperlink r:id="rId4" ref="E18"/>
    <hyperlink r:id="rId5" ref="B25"/>
    <hyperlink r:id="rId6" ref="B26"/>
    <hyperlink r:id="rId7" ref="B27"/>
    <hyperlink r:id="rId8" ref="B28"/>
    <hyperlink r:id="rId9" ref="B29"/>
    <hyperlink r:id="rId10" ref="B30"/>
    <hyperlink r:id="rId11" ref="B31"/>
    <hyperlink r:id="rId12" ref="B32"/>
    <hyperlink r:id="rId13" ref="B33"/>
    <hyperlink r:id="rId14" ref="B34"/>
    <hyperlink r:id="rId15" ref="B35"/>
    <hyperlink r:id="rId16" ref="B36"/>
    <hyperlink r:id="rId17" ref="B37"/>
    <hyperlink r:id="rId18" ref="B38"/>
    <hyperlink r:id="rId19" ref="B39"/>
    <hyperlink r:id="rId20" ref="B40"/>
    <hyperlink r:id="rId21" ref="B41"/>
    <hyperlink r:id="rId22" ref="B42"/>
    <hyperlink r:id="rId23" ref="B43"/>
    <hyperlink r:id="rId24" ref="B44"/>
    <hyperlink r:id="rId25" ref="B48"/>
    <hyperlink r:id="rId26" ref="B49"/>
  </hyperlinks>
  <printOptions gridLines="1" horizontalCentered="1"/>
  <pageMargins bottom="0.75" footer="0.0" header="0.0" left="0.7" right="0.7" top="0.75"/>
  <pageSetup fitToHeight="0" paperSize="8" cellComments="atEnd" orientation="landscape" pageOrder="overThenDown"/>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pageSetUpPr fitToPage="1"/>
  </sheetPr>
  <sheetViews>
    <sheetView showGridLines="0" workbookViewId="0"/>
  </sheetViews>
  <sheetFormatPr customHeight="1" defaultColWidth="14.43" defaultRowHeight="15.0"/>
  <cols>
    <col customWidth="1" min="1" max="2" width="21.57"/>
    <col customWidth="1" min="3" max="4" width="35.86"/>
    <col customWidth="1" min="5" max="5" width="71.57"/>
    <col customWidth="1" min="6" max="6" width="4.86"/>
  </cols>
  <sheetData>
    <row r="1" ht="18.75" customHeight="1">
      <c r="A1" s="47" t="s">
        <v>57</v>
      </c>
      <c r="B1" s="48"/>
      <c r="C1" s="48"/>
      <c r="D1" s="48"/>
      <c r="E1" s="49"/>
      <c r="F1" s="50"/>
    </row>
    <row r="2" ht="18.75" customHeight="1">
      <c r="A2" s="51"/>
      <c r="B2" s="48"/>
      <c r="C2" s="48"/>
      <c r="D2" s="48"/>
      <c r="E2" s="49"/>
      <c r="F2" s="52"/>
    </row>
    <row r="3" ht="18.75" customHeight="1">
      <c r="A3" s="47" t="s">
        <v>3</v>
      </c>
      <c r="B3" s="48"/>
      <c r="C3" s="48"/>
      <c r="D3" s="48"/>
      <c r="E3" s="49"/>
      <c r="F3" s="50"/>
    </row>
    <row r="4" ht="18.75" customHeight="1">
      <c r="A4" s="51"/>
      <c r="B4" s="48"/>
      <c r="C4" s="48"/>
      <c r="D4" s="48"/>
      <c r="E4" s="49"/>
      <c r="F4" s="52"/>
    </row>
    <row r="5" ht="18.75" customHeight="1">
      <c r="A5" s="53" t="s">
        <v>4</v>
      </c>
      <c r="B5" s="53" t="s">
        <v>5</v>
      </c>
      <c r="C5" s="53" t="s">
        <v>6</v>
      </c>
      <c r="D5" s="53" t="s">
        <v>58</v>
      </c>
      <c r="E5" s="53" t="s">
        <v>7</v>
      </c>
      <c r="F5" s="54"/>
    </row>
    <row r="6">
      <c r="A6" s="55"/>
      <c r="B6" s="56"/>
      <c r="C6" s="57"/>
      <c r="D6" s="57"/>
      <c r="E6" s="57"/>
      <c r="F6" s="58"/>
    </row>
    <row r="7">
      <c r="A7" s="55"/>
      <c r="B7" s="56"/>
      <c r="C7" s="57"/>
      <c r="D7" s="57"/>
      <c r="E7" s="57"/>
      <c r="F7" s="58"/>
    </row>
    <row r="8" ht="18.75" customHeight="1">
      <c r="A8" s="59"/>
      <c r="B8" s="60"/>
      <c r="C8" s="61"/>
      <c r="D8" s="61"/>
      <c r="E8" s="61"/>
      <c r="F8" s="62"/>
    </row>
    <row r="9" ht="18.75" customHeight="1">
      <c r="A9" s="59"/>
      <c r="B9" s="60"/>
      <c r="C9" s="61"/>
      <c r="D9" s="61"/>
      <c r="E9" s="61"/>
      <c r="F9" s="62"/>
    </row>
    <row r="10" ht="18.75" customHeight="1">
      <c r="A10" s="59"/>
      <c r="B10" s="60"/>
      <c r="C10" s="61"/>
      <c r="D10" s="61"/>
      <c r="E10" s="61"/>
      <c r="F10" s="62"/>
    </row>
    <row r="11" ht="18.75" customHeight="1">
      <c r="A11" s="59"/>
      <c r="B11" s="60"/>
      <c r="C11" s="61"/>
      <c r="D11" s="61"/>
      <c r="E11" s="61"/>
      <c r="F11" s="62"/>
    </row>
    <row r="12" ht="18.75" customHeight="1">
      <c r="A12" s="59"/>
      <c r="B12" s="60"/>
      <c r="C12" s="61"/>
      <c r="D12" s="57"/>
      <c r="E12" s="61"/>
      <c r="F12" s="62"/>
    </row>
    <row r="13" ht="18.75" customHeight="1">
      <c r="A13" s="59"/>
      <c r="B13" s="60"/>
      <c r="C13" s="61"/>
      <c r="D13" s="61"/>
      <c r="E13" s="61"/>
      <c r="F13" s="62"/>
    </row>
    <row r="14" ht="18.75" customHeight="1">
      <c r="A14" s="59"/>
      <c r="B14" s="60"/>
      <c r="C14" s="61"/>
      <c r="D14" s="61"/>
      <c r="E14" s="61"/>
      <c r="F14" s="62"/>
    </row>
    <row r="15" ht="18.75" customHeight="1">
      <c r="A15" s="59"/>
      <c r="B15" s="60"/>
      <c r="C15" s="61"/>
      <c r="D15" s="61"/>
      <c r="E15" s="61"/>
      <c r="F15" s="62"/>
    </row>
    <row r="16" ht="18.75" customHeight="1">
      <c r="A16" s="59"/>
      <c r="B16" s="60"/>
      <c r="C16" s="61"/>
      <c r="D16" s="61"/>
      <c r="E16" s="61"/>
      <c r="F16" s="62"/>
    </row>
    <row r="17" ht="18.75" customHeight="1">
      <c r="A17" s="59"/>
      <c r="B17" s="60"/>
      <c r="C17" s="61"/>
      <c r="D17" s="61"/>
      <c r="E17" s="61"/>
      <c r="F17" s="62"/>
    </row>
    <row r="18" ht="18.75" customHeight="1">
      <c r="A18" s="59"/>
      <c r="B18" s="60"/>
      <c r="C18" s="61"/>
      <c r="D18" s="61"/>
      <c r="E18" s="61"/>
      <c r="F18" s="62"/>
    </row>
    <row r="19" ht="18.75" customHeight="1">
      <c r="A19" s="59"/>
      <c r="B19" s="60"/>
      <c r="C19" s="61"/>
      <c r="D19" s="61"/>
      <c r="E19" s="61"/>
      <c r="F19" s="62"/>
    </row>
    <row r="20" ht="18.75" customHeight="1">
      <c r="A20" s="59"/>
      <c r="B20" s="60"/>
      <c r="C20" s="61"/>
      <c r="D20" s="61"/>
      <c r="E20" s="61"/>
      <c r="F20" s="62"/>
    </row>
    <row r="21" ht="18.75" customHeight="1">
      <c r="A21" s="59"/>
      <c r="B21" s="60"/>
      <c r="C21" s="61"/>
      <c r="D21" s="61"/>
      <c r="E21" s="61"/>
      <c r="F21" s="62"/>
    </row>
    <row r="22" ht="18.75" customHeight="1">
      <c r="A22" s="63"/>
      <c r="B22" s="64"/>
      <c r="C22" s="62"/>
      <c r="D22" s="62"/>
      <c r="E22" s="62"/>
      <c r="F22" s="62"/>
    </row>
  </sheetData>
  <mergeCells count="4">
    <mergeCell ref="A1:E1"/>
    <mergeCell ref="A2:E2"/>
    <mergeCell ref="A3:E3"/>
    <mergeCell ref="A4:E4"/>
  </mergeCells>
  <dataValidations>
    <dataValidation type="custom" allowBlank="1" showDropDown="1" sqref="A6:A21">
      <formula1>OR(NOT(ISERROR(DATEVALUE(A6))), AND(ISNUMBER(A6), LEFT(CELL("format", A6))="D"))</formula1>
    </dataValidation>
  </dataValidations>
  <printOptions gridLines="1" horizontalCentered="1"/>
  <pageMargins bottom="0.75" footer="0.0" header="0.0" left="0.25" right="0.25"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sheetViews>
  <sheetFormatPr customHeight="1" defaultColWidth="14.43" defaultRowHeight="15.0"/>
  <cols>
    <col customWidth="1" min="2" max="4" width="136.14"/>
  </cols>
  <sheetData>
    <row r="1">
      <c r="A1" s="65" t="s">
        <v>59</v>
      </c>
      <c r="C1" s="66"/>
      <c r="D1" s="66"/>
    </row>
    <row r="2">
      <c r="A2" s="67"/>
      <c r="B2" s="58"/>
      <c r="C2" s="58"/>
      <c r="D2" s="58"/>
    </row>
    <row r="3">
      <c r="A3" s="65" t="s">
        <v>60</v>
      </c>
      <c r="C3" s="66"/>
      <c r="D3" s="66"/>
    </row>
    <row r="4">
      <c r="A4" s="68" t="s">
        <v>61</v>
      </c>
      <c r="B4" s="69" t="s">
        <v>62</v>
      </c>
      <c r="C4" s="70"/>
      <c r="D4" s="70"/>
    </row>
    <row r="5">
      <c r="A5" s="71">
        <v>1.0</v>
      </c>
      <c r="B5" s="57" t="s">
        <v>63</v>
      </c>
      <c r="C5" s="58"/>
      <c r="D5" s="58"/>
    </row>
    <row r="6">
      <c r="A6" s="71">
        <v>2.0</v>
      </c>
      <c r="B6" s="57" t="s">
        <v>64</v>
      </c>
      <c r="C6" s="58"/>
      <c r="D6" s="58"/>
    </row>
    <row r="7">
      <c r="A7" s="71">
        <v>3.0</v>
      </c>
      <c r="B7" s="57" t="s">
        <v>65</v>
      </c>
      <c r="C7" s="58"/>
      <c r="D7" s="58"/>
    </row>
    <row r="8">
      <c r="A8" s="71">
        <v>4.0</v>
      </c>
      <c r="B8" s="57" t="s">
        <v>66</v>
      </c>
      <c r="C8" s="58"/>
      <c r="D8" s="58"/>
    </row>
    <row r="9">
      <c r="A9" s="71">
        <v>5.0</v>
      </c>
      <c r="B9" s="57" t="s">
        <v>67</v>
      </c>
      <c r="C9" s="58"/>
      <c r="D9" s="58"/>
    </row>
    <row r="10">
      <c r="A10" s="71">
        <v>6.0</v>
      </c>
      <c r="B10" s="57" t="s">
        <v>68</v>
      </c>
      <c r="C10" s="58"/>
      <c r="D10" s="58"/>
    </row>
    <row r="11">
      <c r="A11" s="71">
        <v>7.0</v>
      </c>
      <c r="B11" s="57" t="s">
        <v>69</v>
      </c>
      <c r="C11" s="58"/>
      <c r="D11" s="58"/>
    </row>
    <row r="12">
      <c r="A12" s="71">
        <v>8.0</v>
      </c>
      <c r="B12" s="57" t="s">
        <v>70</v>
      </c>
      <c r="C12" s="58"/>
      <c r="D12" s="58"/>
    </row>
    <row r="13">
      <c r="A13" s="71">
        <v>9.0</v>
      </c>
      <c r="B13" s="57" t="s">
        <v>71</v>
      </c>
      <c r="C13" s="58"/>
      <c r="D13" s="58"/>
    </row>
    <row r="14">
      <c r="A14" s="71">
        <v>10.0</v>
      </c>
      <c r="B14" s="57" t="s">
        <v>72</v>
      </c>
      <c r="C14" s="58"/>
      <c r="D14" s="58"/>
    </row>
    <row r="15">
      <c r="A15" s="72"/>
      <c r="B15" s="49"/>
      <c r="C15" s="67"/>
      <c r="D15" s="67"/>
    </row>
    <row r="16">
      <c r="A16" s="65" t="s">
        <v>73</v>
      </c>
      <c r="C16" s="66"/>
      <c r="D16" s="66"/>
    </row>
    <row r="17">
      <c r="A17" s="68" t="s">
        <v>61</v>
      </c>
      <c r="B17" s="69" t="s">
        <v>62</v>
      </c>
      <c r="C17" s="70"/>
      <c r="D17" s="70"/>
    </row>
    <row r="18">
      <c r="A18" s="73" t="s">
        <v>57</v>
      </c>
      <c r="B18" s="49"/>
      <c r="C18" s="74"/>
      <c r="D18" s="74"/>
    </row>
    <row r="19">
      <c r="A19" s="75">
        <v>1.0</v>
      </c>
      <c r="B19" s="76" t="s">
        <v>74</v>
      </c>
      <c r="C19" s="77"/>
      <c r="D19" s="77"/>
    </row>
    <row r="20">
      <c r="A20" s="78">
        <v>2.0</v>
      </c>
      <c r="B20" s="76" t="s">
        <v>75</v>
      </c>
      <c r="C20" s="77"/>
      <c r="D20" s="77"/>
    </row>
    <row r="21">
      <c r="A21" s="78">
        <v>3.0</v>
      </c>
      <c r="B21" s="76" t="s">
        <v>76</v>
      </c>
      <c r="C21" s="77"/>
      <c r="D21" s="77"/>
    </row>
    <row r="22">
      <c r="A22" s="71"/>
      <c r="B22" s="57"/>
      <c r="C22" s="58"/>
      <c r="D22" s="58"/>
    </row>
    <row r="23">
      <c r="A23" s="79" t="s">
        <v>73</v>
      </c>
      <c r="B23" s="49"/>
      <c r="C23" s="80"/>
      <c r="D23" s="80"/>
    </row>
    <row r="24">
      <c r="A24" s="68" t="s">
        <v>61</v>
      </c>
      <c r="B24" s="69" t="s">
        <v>62</v>
      </c>
      <c r="C24" s="70"/>
      <c r="D24" s="70"/>
    </row>
    <row r="25">
      <c r="A25" s="73" t="s">
        <v>77</v>
      </c>
      <c r="B25" s="49"/>
      <c r="C25" s="74"/>
      <c r="D25" s="74"/>
    </row>
    <row r="26">
      <c r="A26" s="75">
        <v>1.0</v>
      </c>
      <c r="B26" s="76" t="s">
        <v>78</v>
      </c>
      <c r="C26" s="77"/>
      <c r="D26" s="77"/>
    </row>
    <row r="27">
      <c r="A27" s="81">
        <v>2.0</v>
      </c>
      <c r="B27" s="76" t="s">
        <v>79</v>
      </c>
      <c r="C27" s="77"/>
      <c r="D27" s="77"/>
    </row>
    <row r="28">
      <c r="A28" s="75"/>
      <c r="B28" s="82"/>
      <c r="C28" s="83"/>
      <c r="D28" s="83"/>
    </row>
    <row r="29">
      <c r="A29" s="84" t="s">
        <v>80</v>
      </c>
      <c r="B29" s="49"/>
      <c r="C29" s="85"/>
      <c r="D29" s="85"/>
    </row>
    <row r="30">
      <c r="A30" s="71">
        <v>1.0</v>
      </c>
      <c r="B30" s="57" t="s">
        <v>81</v>
      </c>
      <c r="C30" s="58"/>
      <c r="D30" s="58"/>
    </row>
    <row r="31">
      <c r="A31" s="71">
        <f t="shared" ref="A31:A45" si="1">A30+1</f>
        <v>2</v>
      </c>
      <c r="B31" s="57" t="s">
        <v>82</v>
      </c>
      <c r="C31" s="58"/>
      <c r="D31" s="58"/>
    </row>
    <row r="32">
      <c r="A32" s="71">
        <f t="shared" si="1"/>
        <v>3</v>
      </c>
      <c r="B32" s="57" t="s">
        <v>83</v>
      </c>
      <c r="C32" s="58"/>
      <c r="D32" s="58"/>
    </row>
    <row r="33">
      <c r="A33" s="71">
        <f t="shared" si="1"/>
        <v>4</v>
      </c>
      <c r="B33" s="57" t="s">
        <v>84</v>
      </c>
      <c r="C33" s="58"/>
      <c r="D33" s="58"/>
    </row>
    <row r="34">
      <c r="A34" s="71">
        <f t="shared" si="1"/>
        <v>5</v>
      </c>
      <c r="B34" s="57" t="s">
        <v>85</v>
      </c>
      <c r="C34" s="58"/>
      <c r="D34" s="58"/>
    </row>
    <row r="35">
      <c r="A35" s="71">
        <f t="shared" si="1"/>
        <v>6</v>
      </c>
      <c r="B35" s="57" t="s">
        <v>86</v>
      </c>
      <c r="C35" s="58"/>
      <c r="D35" s="58"/>
    </row>
    <row r="36">
      <c r="A36" s="71">
        <f t="shared" si="1"/>
        <v>7</v>
      </c>
      <c r="B36" s="57" t="s">
        <v>87</v>
      </c>
      <c r="C36" s="58"/>
      <c r="D36" s="58"/>
    </row>
    <row r="37">
      <c r="A37" s="71">
        <f t="shared" si="1"/>
        <v>8</v>
      </c>
      <c r="B37" s="57" t="s">
        <v>88</v>
      </c>
      <c r="C37" s="58"/>
      <c r="D37" s="58"/>
    </row>
    <row r="38">
      <c r="A38" s="71">
        <f t="shared" si="1"/>
        <v>9</v>
      </c>
      <c r="B38" s="57" t="s">
        <v>89</v>
      </c>
      <c r="C38" s="58"/>
      <c r="D38" s="58"/>
    </row>
    <row r="39">
      <c r="A39" s="71">
        <f t="shared" si="1"/>
        <v>10</v>
      </c>
      <c r="B39" s="57" t="s">
        <v>90</v>
      </c>
      <c r="C39" s="58"/>
      <c r="D39" s="58"/>
    </row>
    <row r="40">
      <c r="A40" s="71">
        <f t="shared" si="1"/>
        <v>11</v>
      </c>
      <c r="B40" s="57" t="s">
        <v>91</v>
      </c>
      <c r="C40" s="58"/>
      <c r="D40" s="58"/>
    </row>
    <row r="41">
      <c r="A41" s="71">
        <f t="shared" si="1"/>
        <v>12</v>
      </c>
      <c r="B41" s="57" t="s">
        <v>92</v>
      </c>
      <c r="C41" s="58"/>
      <c r="D41" s="58"/>
    </row>
    <row r="42">
      <c r="A42" s="71">
        <f t="shared" si="1"/>
        <v>13</v>
      </c>
      <c r="B42" s="57" t="s">
        <v>93</v>
      </c>
      <c r="C42" s="58"/>
      <c r="D42" s="58"/>
    </row>
    <row r="43">
      <c r="A43" s="71">
        <f t="shared" si="1"/>
        <v>14</v>
      </c>
      <c r="B43" s="57" t="s">
        <v>94</v>
      </c>
      <c r="C43" s="58"/>
      <c r="D43" s="58"/>
    </row>
    <row r="44">
      <c r="A44" s="71">
        <f t="shared" si="1"/>
        <v>15</v>
      </c>
      <c r="B44" s="57" t="s">
        <v>95</v>
      </c>
      <c r="C44" s="58"/>
      <c r="D44" s="58"/>
    </row>
    <row r="45">
      <c r="A45" s="71">
        <f t="shared" si="1"/>
        <v>16</v>
      </c>
      <c r="B45" s="57" t="s">
        <v>96</v>
      </c>
      <c r="C45" s="58"/>
      <c r="D45" s="58"/>
    </row>
    <row r="46">
      <c r="A46" s="84" t="s">
        <v>97</v>
      </c>
      <c r="B46" s="49"/>
      <c r="C46" s="85"/>
      <c r="D46" s="85"/>
    </row>
    <row r="47">
      <c r="A47" s="71">
        <f>A45+1</f>
        <v>17</v>
      </c>
      <c r="B47" s="57" t="s">
        <v>98</v>
      </c>
      <c r="C47" s="58"/>
      <c r="D47" s="58"/>
    </row>
    <row r="48">
      <c r="A48" s="71">
        <f t="shared" ref="A48:A53" si="2">A47+1</f>
        <v>18</v>
      </c>
      <c r="B48" s="57" t="s">
        <v>99</v>
      </c>
      <c r="C48" s="58"/>
      <c r="D48" s="58"/>
    </row>
    <row r="49">
      <c r="A49" s="71">
        <f t="shared" si="2"/>
        <v>19</v>
      </c>
      <c r="B49" s="57" t="s">
        <v>100</v>
      </c>
      <c r="C49" s="58"/>
      <c r="D49" s="58"/>
    </row>
    <row r="50">
      <c r="A50" s="71">
        <f t="shared" si="2"/>
        <v>20</v>
      </c>
      <c r="B50" s="86" t="s">
        <v>101</v>
      </c>
      <c r="C50" s="87"/>
      <c r="D50" s="87"/>
    </row>
    <row r="51">
      <c r="A51" s="71">
        <f t="shared" si="2"/>
        <v>21</v>
      </c>
      <c r="B51" s="57" t="s">
        <v>102</v>
      </c>
      <c r="C51" s="58"/>
      <c r="D51" s="58"/>
    </row>
    <row r="52">
      <c r="A52" s="71">
        <f t="shared" si="2"/>
        <v>22</v>
      </c>
      <c r="B52" s="86" t="s">
        <v>103</v>
      </c>
      <c r="C52" s="87"/>
      <c r="D52" s="87"/>
    </row>
    <row r="53">
      <c r="A53" s="71">
        <f t="shared" si="2"/>
        <v>23</v>
      </c>
      <c r="B53" s="86" t="s">
        <v>104</v>
      </c>
      <c r="C53" s="87"/>
      <c r="D53" s="87"/>
    </row>
    <row r="54">
      <c r="A54" s="84" t="s">
        <v>105</v>
      </c>
      <c r="B54" s="49"/>
      <c r="C54" s="85"/>
      <c r="D54" s="85"/>
    </row>
    <row r="55">
      <c r="A55" s="71">
        <f>A53+1</f>
        <v>24</v>
      </c>
      <c r="B55" s="86" t="s">
        <v>106</v>
      </c>
      <c r="C55" s="87"/>
      <c r="D55" s="87"/>
    </row>
    <row r="56">
      <c r="A56" s="71">
        <f t="shared" ref="A56:A64" si="3">A55+1</f>
        <v>25</v>
      </c>
      <c r="B56" s="86" t="s">
        <v>107</v>
      </c>
      <c r="C56" s="87"/>
      <c r="D56" s="87"/>
    </row>
    <row r="57">
      <c r="A57" s="71">
        <f t="shared" si="3"/>
        <v>26</v>
      </c>
      <c r="B57" s="86" t="s">
        <v>108</v>
      </c>
      <c r="C57" s="87"/>
      <c r="D57" s="87"/>
    </row>
    <row r="58">
      <c r="A58" s="71">
        <f t="shared" si="3"/>
        <v>27</v>
      </c>
      <c r="B58" s="57" t="s">
        <v>109</v>
      </c>
      <c r="C58" s="58"/>
      <c r="D58" s="58"/>
    </row>
    <row r="59">
      <c r="A59" s="71">
        <f t="shared" si="3"/>
        <v>28</v>
      </c>
      <c r="B59" s="57" t="s">
        <v>110</v>
      </c>
      <c r="C59" s="58"/>
      <c r="D59" s="58"/>
    </row>
    <row r="60">
      <c r="A60" s="71">
        <f t="shared" si="3"/>
        <v>29</v>
      </c>
      <c r="B60" s="86" t="s">
        <v>111</v>
      </c>
      <c r="C60" s="87"/>
      <c r="D60" s="87"/>
    </row>
    <row r="61">
      <c r="A61" s="71">
        <f t="shared" si="3"/>
        <v>30</v>
      </c>
      <c r="B61" s="57" t="s">
        <v>112</v>
      </c>
      <c r="C61" s="58"/>
      <c r="D61" s="58"/>
    </row>
    <row r="62">
      <c r="A62" s="71">
        <f t="shared" si="3"/>
        <v>31</v>
      </c>
      <c r="B62" s="86" t="s">
        <v>113</v>
      </c>
      <c r="C62" s="87"/>
      <c r="D62" s="87"/>
    </row>
    <row r="63">
      <c r="A63" s="71">
        <f t="shared" si="3"/>
        <v>32</v>
      </c>
      <c r="B63" s="86" t="s">
        <v>114</v>
      </c>
      <c r="C63" s="87"/>
      <c r="D63" s="87"/>
    </row>
    <row r="64">
      <c r="A64" s="71">
        <f t="shared" si="3"/>
        <v>33</v>
      </c>
      <c r="B64" s="57" t="s">
        <v>115</v>
      </c>
      <c r="C64" s="58"/>
      <c r="D64" s="58"/>
    </row>
    <row r="65">
      <c r="A65" s="84" t="s">
        <v>116</v>
      </c>
      <c r="B65" s="49"/>
      <c r="C65" s="85"/>
      <c r="D65" s="85"/>
    </row>
    <row r="66">
      <c r="A66" s="71">
        <f>A64+1</f>
        <v>34</v>
      </c>
      <c r="B66" s="86" t="s">
        <v>117</v>
      </c>
      <c r="C66" s="87"/>
      <c r="D66" s="87"/>
    </row>
    <row r="67">
      <c r="A67" s="71">
        <f t="shared" ref="A67:A71" si="4">A66+1</f>
        <v>35</v>
      </c>
      <c r="B67" s="57" t="s">
        <v>109</v>
      </c>
      <c r="C67" s="58"/>
      <c r="D67" s="58"/>
    </row>
    <row r="68">
      <c r="A68" s="71">
        <f t="shared" si="4"/>
        <v>36</v>
      </c>
      <c r="B68" s="57" t="s">
        <v>118</v>
      </c>
      <c r="C68" s="58"/>
      <c r="D68" s="58"/>
    </row>
    <row r="69">
      <c r="A69" s="71">
        <f t="shared" si="4"/>
        <v>37</v>
      </c>
      <c r="B69" s="57" t="s">
        <v>119</v>
      </c>
      <c r="C69" s="58"/>
      <c r="D69" s="58"/>
    </row>
    <row r="70">
      <c r="A70" s="71">
        <f t="shared" si="4"/>
        <v>38</v>
      </c>
      <c r="B70" s="86" t="s">
        <v>120</v>
      </c>
      <c r="C70" s="87"/>
      <c r="D70" s="87"/>
    </row>
    <row r="71">
      <c r="A71" s="71">
        <f t="shared" si="4"/>
        <v>39</v>
      </c>
      <c r="B71" s="57" t="s">
        <v>121</v>
      </c>
      <c r="C71" s="58"/>
      <c r="D71" s="58"/>
    </row>
    <row r="72">
      <c r="A72" s="84" t="s">
        <v>122</v>
      </c>
      <c r="B72" s="49"/>
      <c r="C72" s="85"/>
      <c r="D72" s="85"/>
    </row>
    <row r="73">
      <c r="A73" s="71">
        <f>A71+1</f>
        <v>40</v>
      </c>
      <c r="B73" s="88" t="s">
        <v>123</v>
      </c>
      <c r="C73" s="87"/>
      <c r="D73" s="87"/>
    </row>
    <row r="74">
      <c r="A74" s="71">
        <f t="shared" ref="A74:A78" si="5">A73+1</f>
        <v>41</v>
      </c>
      <c r="B74" s="86" t="s">
        <v>124</v>
      </c>
      <c r="C74" s="87"/>
      <c r="D74" s="87"/>
    </row>
    <row r="75">
      <c r="A75" s="71">
        <f t="shared" si="5"/>
        <v>42</v>
      </c>
      <c r="B75" s="57" t="s">
        <v>109</v>
      </c>
      <c r="C75" s="58"/>
      <c r="D75" s="58"/>
    </row>
    <row r="76">
      <c r="A76" s="71">
        <f t="shared" si="5"/>
        <v>43</v>
      </c>
      <c r="B76" s="57" t="s">
        <v>125</v>
      </c>
      <c r="C76" s="58"/>
      <c r="D76" s="58"/>
    </row>
    <row r="77">
      <c r="A77" s="71">
        <f t="shared" si="5"/>
        <v>44</v>
      </c>
      <c r="B77" s="86" t="s">
        <v>120</v>
      </c>
      <c r="C77" s="87"/>
      <c r="D77" s="87"/>
    </row>
    <row r="78">
      <c r="A78" s="71">
        <f t="shared" si="5"/>
        <v>45</v>
      </c>
      <c r="B78" s="57" t="s">
        <v>121</v>
      </c>
      <c r="C78" s="58"/>
      <c r="D78" s="58"/>
    </row>
    <row r="79">
      <c r="A79" s="84" t="s">
        <v>126</v>
      </c>
      <c r="B79" s="49"/>
      <c r="C79" s="85"/>
      <c r="D79" s="85"/>
    </row>
    <row r="80">
      <c r="A80" s="71">
        <f>A78+1</f>
        <v>46</v>
      </c>
      <c r="B80" s="57" t="s">
        <v>127</v>
      </c>
      <c r="C80" s="58"/>
      <c r="D80" s="58"/>
    </row>
    <row r="81">
      <c r="A81" s="71">
        <f>A80+1</f>
        <v>47</v>
      </c>
      <c r="B81" s="89" t="s">
        <v>128</v>
      </c>
      <c r="C81" s="58"/>
      <c r="D81" s="58"/>
    </row>
    <row r="82">
      <c r="A82" s="84" t="s">
        <v>129</v>
      </c>
      <c r="B82" s="49"/>
      <c r="C82" s="85"/>
      <c r="D82" s="85"/>
    </row>
    <row r="83">
      <c r="A83" s="71">
        <f>A81+1</f>
        <v>48</v>
      </c>
      <c r="B83" s="57" t="s">
        <v>130</v>
      </c>
      <c r="C83" s="58"/>
      <c r="D83" s="58"/>
    </row>
    <row r="84">
      <c r="A84" s="71">
        <f>A83+1</f>
        <v>49</v>
      </c>
      <c r="B84" s="57" t="s">
        <v>131</v>
      </c>
      <c r="C84" s="58"/>
      <c r="D84" s="58"/>
    </row>
    <row r="85">
      <c r="A85" s="84" t="s">
        <v>132</v>
      </c>
      <c r="B85" s="49"/>
      <c r="C85" s="85"/>
      <c r="D85" s="85"/>
    </row>
    <row r="86">
      <c r="A86" s="71">
        <f>A84+1</f>
        <v>50</v>
      </c>
      <c r="B86" s="90" t="s">
        <v>133</v>
      </c>
      <c r="C86" s="91"/>
      <c r="D86" s="91"/>
    </row>
    <row r="87">
      <c r="A87" s="84" t="s">
        <v>134</v>
      </c>
      <c r="B87" s="49"/>
      <c r="C87" s="85"/>
      <c r="D87" s="85"/>
    </row>
    <row r="88">
      <c r="A88" s="71">
        <f>A86+1</f>
        <v>51</v>
      </c>
      <c r="B88" s="92" t="s">
        <v>135</v>
      </c>
      <c r="C88" s="93"/>
      <c r="D88" s="93"/>
    </row>
    <row r="89">
      <c r="A89" s="84" t="s">
        <v>136</v>
      </c>
      <c r="B89" s="49"/>
      <c r="C89" s="85"/>
      <c r="D89" s="85"/>
    </row>
    <row r="90">
      <c r="A90" s="71">
        <f>A88+1</f>
        <v>52</v>
      </c>
      <c r="B90" s="92" t="s">
        <v>137</v>
      </c>
      <c r="C90" s="93"/>
      <c r="D90" s="93"/>
    </row>
    <row r="91">
      <c r="A91" s="71">
        <f t="shared" ref="A91:A92" si="6">A90+1</f>
        <v>53</v>
      </c>
      <c r="B91" s="92" t="s">
        <v>138</v>
      </c>
      <c r="C91" s="93"/>
      <c r="D91" s="93"/>
    </row>
    <row r="92">
      <c r="A92" s="71">
        <f t="shared" si="6"/>
        <v>54</v>
      </c>
      <c r="B92" s="94" t="s">
        <v>139</v>
      </c>
      <c r="C92" s="93"/>
      <c r="D92" s="93"/>
    </row>
    <row r="93">
      <c r="A93" s="84" t="s">
        <v>140</v>
      </c>
      <c r="B93" s="49"/>
      <c r="C93" s="85"/>
      <c r="D93" s="85"/>
    </row>
    <row r="94">
      <c r="A94" s="71">
        <f>A92+1</f>
        <v>55</v>
      </c>
      <c r="B94" s="92" t="s">
        <v>141</v>
      </c>
      <c r="C94" s="93"/>
      <c r="D94" s="93"/>
    </row>
    <row r="95">
      <c r="A95" s="71">
        <v>56.0</v>
      </c>
      <c r="B95" s="92" t="s">
        <v>142</v>
      </c>
      <c r="C95" s="92"/>
      <c r="D95" s="92"/>
    </row>
    <row r="96">
      <c r="A96" s="71">
        <v>57.0</v>
      </c>
      <c r="B96" s="94" t="s">
        <v>143</v>
      </c>
      <c r="C96" s="93"/>
      <c r="D96" s="93"/>
    </row>
  </sheetData>
  <mergeCells count="18">
    <mergeCell ref="A1:B1"/>
    <mergeCell ref="A3:B3"/>
    <mergeCell ref="A15:B15"/>
    <mergeCell ref="A16:B16"/>
    <mergeCell ref="A18:B18"/>
    <mergeCell ref="A23:B23"/>
    <mergeCell ref="A25:B25"/>
    <mergeCell ref="A85:B85"/>
    <mergeCell ref="A87:B87"/>
    <mergeCell ref="A89:B89"/>
    <mergeCell ref="A93:B93"/>
    <mergeCell ref="A29:B29"/>
    <mergeCell ref="A46:B46"/>
    <mergeCell ref="A54:B54"/>
    <mergeCell ref="A65:B65"/>
    <mergeCell ref="A72:B72"/>
    <mergeCell ref="A79:B79"/>
    <mergeCell ref="A82:B82"/>
  </mergeCells>
  <hyperlinks>
    <hyperlink r:id="rId1" ref="B73"/>
    <hyperlink r:id="rId2" ref="B81"/>
    <hyperlink r:id="rId3" location="topic=12297868" ref="B92"/>
    <hyperlink r:id="rId4" location="topic=12288070" ref="B96"/>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pageSetUpPr fitToPage="1"/>
  </sheetPr>
  <sheetViews>
    <sheetView showGridLines="0" workbookViewId="0"/>
  </sheetViews>
  <sheetFormatPr customHeight="1" defaultColWidth="14.43" defaultRowHeight="15.0" outlineLevelRow="1"/>
  <cols>
    <col customWidth="1" min="1" max="1" width="51.86"/>
    <col customWidth="1" min="2" max="7" width="23.0"/>
  </cols>
  <sheetData>
    <row r="1" ht="30.0" customHeight="1">
      <c r="A1" s="95" t="s">
        <v>144</v>
      </c>
    </row>
    <row r="2">
      <c r="A2" s="96" t="s">
        <v>145</v>
      </c>
      <c r="B2" s="97"/>
    </row>
    <row r="3" outlineLevel="1">
      <c r="A3" s="98" t="s">
        <v>146</v>
      </c>
      <c r="B3" s="99" t="s">
        <v>147</v>
      </c>
    </row>
    <row r="4" outlineLevel="1">
      <c r="A4" s="100" t="s">
        <v>148</v>
      </c>
      <c r="B4" s="101">
        <v>36892.0</v>
      </c>
    </row>
    <row r="5" outlineLevel="1">
      <c r="A5" s="100" t="s">
        <v>149</v>
      </c>
      <c r="B5" s="102"/>
    </row>
    <row r="6" outlineLevel="1">
      <c r="A6" s="98" t="s">
        <v>150</v>
      </c>
      <c r="B6" s="102"/>
      <c r="C6" s="102"/>
      <c r="D6" s="102"/>
      <c r="E6" s="102"/>
      <c r="F6" s="102"/>
      <c r="G6" s="102"/>
    </row>
    <row r="7" outlineLevel="1">
      <c r="A7" s="98" t="s">
        <v>151</v>
      </c>
      <c r="B7" s="102"/>
      <c r="C7" s="102"/>
      <c r="D7" s="102"/>
      <c r="E7" s="102"/>
      <c r="F7" s="102"/>
      <c r="G7" s="102"/>
    </row>
    <row r="8">
      <c r="A8" s="103" t="s">
        <v>152</v>
      </c>
      <c r="B8" s="104"/>
      <c r="C8" s="104"/>
      <c r="D8" s="105"/>
      <c r="E8" s="105"/>
      <c r="F8" s="105"/>
      <c r="G8" s="105"/>
    </row>
    <row r="9" outlineLevel="1">
      <c r="A9" s="106" t="s">
        <v>153</v>
      </c>
      <c r="B9" s="106" t="s">
        <v>154</v>
      </c>
      <c r="C9" s="106" t="s">
        <v>155</v>
      </c>
      <c r="D9" s="107" t="s">
        <v>156</v>
      </c>
      <c r="E9" s="106" t="s">
        <v>157</v>
      </c>
      <c r="F9" s="106" t="s">
        <v>158</v>
      </c>
      <c r="G9" s="106" t="s">
        <v>159</v>
      </c>
    </row>
    <row r="10" ht="18.75" customHeight="1" outlineLevel="1">
      <c r="A10" s="108" t="s">
        <v>160</v>
      </c>
      <c r="B10" s="109"/>
      <c r="C10" s="109"/>
      <c r="D10" s="109"/>
      <c r="E10" s="109"/>
      <c r="F10" s="109"/>
      <c r="G10" s="109"/>
    </row>
    <row r="11" ht="18.75" customHeight="1" outlineLevel="1">
      <c r="A11" s="108" t="s">
        <v>161</v>
      </c>
      <c r="B11" s="109"/>
      <c r="C11" s="109"/>
      <c r="D11" s="109"/>
      <c r="E11" s="109"/>
      <c r="F11" s="109"/>
      <c r="G11" s="109"/>
    </row>
    <row r="12" ht="18.75" customHeight="1" outlineLevel="1">
      <c r="A12" s="108" t="s">
        <v>162</v>
      </c>
      <c r="B12" s="109"/>
      <c r="C12" s="109"/>
      <c r="D12" s="109"/>
      <c r="E12" s="109"/>
      <c r="F12" s="109"/>
      <c r="G12" s="109"/>
    </row>
    <row r="13" ht="18.75" customHeight="1" outlineLevel="1">
      <c r="A13" s="108" t="s">
        <v>163</v>
      </c>
      <c r="B13" s="109"/>
      <c r="C13" s="110"/>
      <c r="D13" s="109"/>
      <c r="E13" s="109"/>
      <c r="F13" s="109"/>
      <c r="G13" s="109"/>
    </row>
    <row r="14" ht="18.75" customHeight="1" outlineLevel="1">
      <c r="A14" s="108" t="s">
        <v>164</v>
      </c>
      <c r="B14" s="109"/>
      <c r="C14" s="109"/>
      <c r="D14" s="110"/>
      <c r="E14" s="109"/>
      <c r="F14" s="109"/>
      <c r="G14" s="109"/>
    </row>
    <row r="15" ht="18.75" customHeight="1" outlineLevel="1">
      <c r="A15" s="108" t="s">
        <v>165</v>
      </c>
      <c r="B15" s="109"/>
      <c r="C15" s="109"/>
      <c r="D15" s="109"/>
      <c r="E15" s="109"/>
      <c r="F15" s="109"/>
      <c r="G15" s="109"/>
    </row>
    <row r="16" ht="18.75" customHeight="1" outlineLevel="1">
      <c r="A16" s="108" t="s">
        <v>165</v>
      </c>
      <c r="B16" s="109"/>
      <c r="C16" s="109"/>
      <c r="D16" s="109"/>
      <c r="E16" s="109"/>
      <c r="F16" s="109"/>
      <c r="G16" s="109"/>
    </row>
    <row r="17" ht="18.75" customHeight="1" outlineLevel="1">
      <c r="A17" s="108" t="s">
        <v>166</v>
      </c>
      <c r="B17" s="109"/>
      <c r="C17" s="109"/>
      <c r="D17" s="109"/>
      <c r="E17" s="109"/>
      <c r="F17" s="109"/>
      <c r="G17" s="109"/>
    </row>
    <row r="18" ht="18.75" customHeight="1" outlineLevel="1">
      <c r="A18" s="108" t="s">
        <v>166</v>
      </c>
      <c r="B18" s="109"/>
      <c r="C18" s="109"/>
      <c r="D18" s="109"/>
      <c r="E18" s="109"/>
      <c r="F18" s="109"/>
      <c r="G18" s="109"/>
    </row>
    <row r="19" ht="18.75" customHeight="1" outlineLevel="1">
      <c r="A19" s="111" t="s">
        <v>167</v>
      </c>
      <c r="B19" s="109"/>
      <c r="C19" s="109"/>
      <c r="D19" s="109"/>
      <c r="E19" s="109"/>
      <c r="F19" s="109"/>
      <c r="G19" s="109"/>
    </row>
    <row r="20" ht="18.75" customHeight="1" outlineLevel="1">
      <c r="A20" s="108"/>
      <c r="B20" s="109"/>
      <c r="C20" s="109"/>
      <c r="D20" s="109"/>
      <c r="E20" s="109"/>
      <c r="F20" s="109"/>
      <c r="G20" s="109"/>
    </row>
    <row r="21" ht="18.75" customHeight="1" outlineLevel="1">
      <c r="A21" s="108" t="s">
        <v>168</v>
      </c>
      <c r="B21" s="109"/>
      <c r="C21" s="109"/>
      <c r="D21" s="109"/>
      <c r="E21" s="109"/>
      <c r="F21" s="109"/>
      <c r="G21" s="109"/>
    </row>
    <row r="22" ht="18.75" customHeight="1" outlineLevel="1">
      <c r="A22" s="108" t="s">
        <v>169</v>
      </c>
      <c r="B22" s="109"/>
      <c r="C22" s="109"/>
      <c r="D22" s="109"/>
      <c r="E22" s="109"/>
      <c r="F22" s="109"/>
      <c r="G22" s="109"/>
    </row>
    <row r="23" ht="18.75" customHeight="1" outlineLevel="1">
      <c r="A23" s="108" t="s">
        <v>169</v>
      </c>
      <c r="B23" s="109"/>
      <c r="C23" s="109"/>
      <c r="D23" s="109"/>
      <c r="E23" s="109"/>
      <c r="F23" s="109"/>
      <c r="G23" s="109"/>
    </row>
    <row r="24" ht="18.75" customHeight="1" outlineLevel="1">
      <c r="A24" s="108" t="s">
        <v>169</v>
      </c>
      <c r="B24" s="109"/>
      <c r="C24" s="109"/>
      <c r="D24" s="109"/>
      <c r="E24" s="109"/>
      <c r="F24" s="109"/>
      <c r="G24" s="109"/>
    </row>
    <row r="25" ht="57.0" customHeight="1" outlineLevel="1">
      <c r="A25" s="112" t="s">
        <v>170</v>
      </c>
      <c r="B25" s="113"/>
      <c r="C25" s="48"/>
      <c r="D25" s="48"/>
      <c r="E25" s="48"/>
      <c r="F25" s="48"/>
      <c r="G25" s="49"/>
    </row>
    <row r="26" ht="57.0" customHeight="1" outlineLevel="1">
      <c r="A26" s="112" t="s">
        <v>171</v>
      </c>
      <c r="B26" s="113"/>
      <c r="C26" s="48"/>
      <c r="D26" s="48"/>
      <c r="E26" s="48"/>
      <c r="F26" s="48"/>
      <c r="G26" s="49"/>
    </row>
    <row r="27">
      <c r="A27" s="114" t="s">
        <v>172</v>
      </c>
      <c r="B27" s="115"/>
      <c r="C27" s="115"/>
      <c r="D27" s="115"/>
      <c r="E27" s="116"/>
      <c r="F27" s="116"/>
      <c r="G27" s="116"/>
    </row>
    <row r="28" outlineLevel="1">
      <c r="A28" s="117" t="s">
        <v>62</v>
      </c>
      <c r="B28" s="118" t="s">
        <v>173</v>
      </c>
      <c r="C28" s="118" t="s">
        <v>174</v>
      </c>
      <c r="D28" s="118" t="s">
        <v>27</v>
      </c>
      <c r="E28" s="116"/>
      <c r="F28" s="116"/>
      <c r="G28" s="116"/>
    </row>
    <row r="29" ht="18.75" customHeight="1" outlineLevel="1">
      <c r="A29" s="119" t="s">
        <v>175</v>
      </c>
      <c r="B29" s="109"/>
      <c r="C29" s="109"/>
      <c r="D29" s="109"/>
      <c r="E29" s="120"/>
      <c r="F29" s="120"/>
      <c r="G29" s="116"/>
    </row>
    <row r="30" ht="18.75" customHeight="1" outlineLevel="1">
      <c r="A30" s="119" t="s">
        <v>176</v>
      </c>
      <c r="B30" s="109"/>
      <c r="C30" s="109"/>
      <c r="D30" s="109"/>
      <c r="E30" s="120"/>
      <c r="F30" s="120"/>
      <c r="G30" s="116"/>
    </row>
    <row r="31" ht="18.75" customHeight="1" outlineLevel="1">
      <c r="A31" s="119" t="s">
        <v>177</v>
      </c>
      <c r="B31" s="109"/>
      <c r="C31" s="109"/>
      <c r="D31" s="109"/>
      <c r="E31" s="120"/>
      <c r="F31" s="120"/>
      <c r="G31" s="116"/>
    </row>
    <row r="32" ht="18.75" customHeight="1" outlineLevel="1">
      <c r="A32" s="119" t="s">
        <v>178</v>
      </c>
      <c r="B32" s="109"/>
      <c r="C32" s="109"/>
      <c r="D32" s="109"/>
      <c r="E32" s="120"/>
      <c r="F32" s="120"/>
      <c r="G32" s="116"/>
    </row>
    <row r="33" ht="18.75" customHeight="1" outlineLevel="1">
      <c r="A33" s="119" t="s">
        <v>179</v>
      </c>
      <c r="B33" s="109"/>
      <c r="C33" s="109"/>
      <c r="D33" s="109"/>
      <c r="E33" s="120"/>
      <c r="F33" s="120"/>
      <c r="G33" s="116"/>
    </row>
    <row r="34" ht="69.75" customHeight="1" outlineLevel="1">
      <c r="A34" s="121" t="s">
        <v>180</v>
      </c>
      <c r="B34" s="109"/>
      <c r="C34" s="109"/>
      <c r="D34" s="109"/>
      <c r="E34" s="120"/>
      <c r="F34" s="120"/>
      <c r="G34" s="116"/>
    </row>
    <row r="35">
      <c r="A35" s="122" t="s">
        <v>181</v>
      </c>
      <c r="B35" s="123"/>
      <c r="C35" s="123"/>
      <c r="D35" s="123"/>
      <c r="E35" s="123"/>
      <c r="F35" s="123"/>
      <c r="G35" s="123"/>
    </row>
    <row r="36" outlineLevel="1">
      <c r="A36" s="117" t="s">
        <v>182</v>
      </c>
      <c r="B36" s="118" t="s">
        <v>183</v>
      </c>
      <c r="C36" s="124" t="s">
        <v>184</v>
      </c>
      <c r="D36" s="118" t="s">
        <v>185</v>
      </c>
      <c r="E36" s="118" t="s">
        <v>186</v>
      </c>
      <c r="F36" s="124" t="s">
        <v>187</v>
      </c>
      <c r="G36" s="124" t="s">
        <v>188</v>
      </c>
    </row>
    <row r="37" ht="18.75" customHeight="1" outlineLevel="1">
      <c r="A37" s="119" t="s">
        <v>189</v>
      </c>
      <c r="B37" s="109"/>
      <c r="C37" s="109"/>
      <c r="D37" s="109"/>
      <c r="E37" s="109"/>
      <c r="F37" s="109"/>
      <c r="G37" s="109"/>
    </row>
    <row r="38" ht="18.75" customHeight="1" outlineLevel="1">
      <c r="A38" s="119" t="s">
        <v>189</v>
      </c>
      <c r="B38" s="109"/>
      <c r="C38" s="109"/>
      <c r="D38" s="109"/>
      <c r="E38" s="109"/>
      <c r="F38" s="109"/>
      <c r="G38" s="109"/>
    </row>
    <row r="39" ht="18.75" customHeight="1" outlineLevel="1">
      <c r="A39" s="119" t="s">
        <v>189</v>
      </c>
      <c r="B39" s="109"/>
      <c r="C39" s="109"/>
      <c r="D39" s="109"/>
      <c r="E39" s="109"/>
      <c r="F39" s="109"/>
      <c r="G39" s="109"/>
    </row>
    <row r="40" ht="18.75" customHeight="1" outlineLevel="1">
      <c r="A40" s="119" t="s">
        <v>189</v>
      </c>
      <c r="B40" s="109"/>
      <c r="C40" s="109"/>
      <c r="D40" s="109"/>
      <c r="E40" s="109"/>
      <c r="F40" s="109"/>
      <c r="G40" s="109"/>
    </row>
    <row r="41" ht="31.5" customHeight="1" outlineLevel="1">
      <c r="A41" s="125" t="s">
        <v>190</v>
      </c>
      <c r="B41" s="126"/>
      <c r="C41" s="126"/>
      <c r="D41" s="126"/>
      <c r="E41" s="126"/>
      <c r="F41" s="126"/>
      <c r="G41" s="126"/>
    </row>
    <row r="42" outlineLevel="1">
      <c r="A42" s="127" t="s">
        <v>191</v>
      </c>
      <c r="B42" s="123"/>
      <c r="C42" s="123"/>
      <c r="D42" s="123"/>
      <c r="E42" s="128"/>
      <c r="F42" s="128"/>
      <c r="G42" s="128"/>
    </row>
    <row r="43" outlineLevel="1">
      <c r="A43" s="129" t="s">
        <v>192</v>
      </c>
      <c r="B43" s="109"/>
      <c r="C43" s="109"/>
      <c r="D43" s="110"/>
      <c r="E43" s="120"/>
      <c r="F43" s="130"/>
      <c r="G43" s="130"/>
    </row>
    <row r="44">
      <c r="A44" s="127" t="s">
        <v>193</v>
      </c>
      <c r="B44" s="131"/>
      <c r="C44" s="131"/>
      <c r="D44" s="128"/>
      <c r="E44" s="128"/>
      <c r="F44" s="128"/>
      <c r="G44" s="128"/>
    </row>
    <row r="45" outlineLevel="1">
      <c r="A45" s="117" t="s">
        <v>194</v>
      </c>
      <c r="B45" s="118" t="s">
        <v>195</v>
      </c>
      <c r="C45" s="118" t="s">
        <v>27</v>
      </c>
      <c r="D45" s="116"/>
      <c r="E45" s="116"/>
      <c r="F45" s="116"/>
      <c r="G45" s="130"/>
    </row>
    <row r="46" outlineLevel="1">
      <c r="A46" s="132" t="s">
        <v>196</v>
      </c>
      <c r="B46" s="109"/>
      <c r="C46" s="109"/>
      <c r="D46" s="116"/>
      <c r="E46" s="116"/>
      <c r="F46" s="130"/>
      <c r="G46" s="116"/>
    </row>
    <row r="47" outlineLevel="1">
      <c r="A47" s="132" t="s">
        <v>197</v>
      </c>
      <c r="B47" s="109"/>
      <c r="C47" s="109"/>
      <c r="D47" s="116"/>
      <c r="E47" s="116"/>
      <c r="F47" s="130"/>
      <c r="G47" s="116"/>
    </row>
    <row r="48" outlineLevel="1">
      <c r="A48" s="132" t="s">
        <v>198</v>
      </c>
      <c r="B48" s="109"/>
      <c r="C48" s="109"/>
      <c r="D48" s="116"/>
      <c r="E48" s="116"/>
      <c r="F48" s="130"/>
      <c r="G48" s="116"/>
    </row>
    <row r="49" outlineLevel="1">
      <c r="A49" s="133" t="s">
        <v>199</v>
      </c>
      <c r="B49" s="109"/>
      <c r="C49" s="109"/>
      <c r="D49" s="116"/>
      <c r="E49" s="116"/>
      <c r="F49" s="130"/>
      <c r="G49" s="116"/>
    </row>
    <row r="50" outlineLevel="1">
      <c r="A50" s="132" t="s">
        <v>200</v>
      </c>
      <c r="B50" s="109"/>
      <c r="C50" s="109"/>
      <c r="D50" s="116"/>
      <c r="E50" s="116"/>
      <c r="F50" s="130"/>
      <c r="G50" s="116"/>
    </row>
    <row r="51" outlineLevel="1">
      <c r="A51" s="133" t="s">
        <v>201</v>
      </c>
      <c r="B51" s="109"/>
      <c r="C51" s="109"/>
      <c r="D51" s="116"/>
      <c r="E51" s="116"/>
      <c r="F51" s="130"/>
      <c r="G51" s="116"/>
    </row>
    <row r="52" outlineLevel="1">
      <c r="A52" s="133" t="s">
        <v>202</v>
      </c>
      <c r="B52" s="109"/>
      <c r="C52" s="109"/>
      <c r="D52" s="116"/>
      <c r="E52" s="116"/>
      <c r="F52" s="130"/>
      <c r="G52" s="116"/>
    </row>
    <row r="53" outlineLevel="1">
      <c r="A53" s="132" t="s">
        <v>203</v>
      </c>
      <c r="B53" s="109"/>
      <c r="C53" s="109"/>
      <c r="D53" s="134"/>
      <c r="E53" s="116"/>
      <c r="F53" s="130"/>
      <c r="G53" s="116"/>
    </row>
    <row r="54" outlineLevel="1">
      <c r="A54" s="133" t="s">
        <v>204</v>
      </c>
      <c r="B54" s="109"/>
      <c r="C54" s="109"/>
      <c r="D54" s="116"/>
      <c r="E54" s="116"/>
      <c r="F54" s="126"/>
      <c r="G54" s="116"/>
    </row>
    <row r="55" outlineLevel="1">
      <c r="A55" s="132" t="s">
        <v>205</v>
      </c>
      <c r="B55" s="109"/>
      <c r="C55" s="109"/>
      <c r="D55" s="134"/>
      <c r="E55" s="116"/>
      <c r="F55" s="126"/>
      <c r="G55" s="116"/>
    </row>
    <row r="56" outlineLevel="1">
      <c r="A56" s="132" t="s">
        <v>206</v>
      </c>
      <c r="B56" s="109"/>
      <c r="C56" s="109"/>
      <c r="D56" s="116"/>
      <c r="E56" s="116"/>
      <c r="F56" s="126"/>
      <c r="G56" s="116"/>
    </row>
    <row r="57" outlineLevel="1">
      <c r="A57" s="132" t="s">
        <v>207</v>
      </c>
      <c r="B57" s="109"/>
      <c r="C57" s="109"/>
      <c r="D57" s="116"/>
      <c r="E57" s="116"/>
      <c r="F57" s="126"/>
      <c r="G57" s="116"/>
    </row>
    <row r="58" outlineLevel="1">
      <c r="A58" s="132" t="s">
        <v>208</v>
      </c>
      <c r="B58" s="109"/>
      <c r="C58" s="109"/>
      <c r="D58" s="116"/>
      <c r="E58" s="116"/>
      <c r="F58" s="126"/>
      <c r="G58" s="116"/>
    </row>
    <row r="59" outlineLevel="1">
      <c r="A59" s="133" t="s">
        <v>209</v>
      </c>
      <c r="B59" s="109"/>
      <c r="C59" s="110"/>
      <c r="D59" s="116"/>
      <c r="E59" s="116"/>
      <c r="F59" s="126"/>
      <c r="G59" s="116"/>
    </row>
    <row r="60" outlineLevel="1">
      <c r="A60" s="133" t="s">
        <v>210</v>
      </c>
      <c r="B60" s="109"/>
      <c r="C60" s="109"/>
      <c r="D60" s="116"/>
      <c r="E60" s="116"/>
      <c r="F60" s="126"/>
      <c r="G60" s="116"/>
    </row>
    <row r="61" outlineLevel="1">
      <c r="A61" s="132" t="s">
        <v>211</v>
      </c>
      <c r="B61" s="109"/>
      <c r="C61" s="109"/>
      <c r="D61" s="116"/>
      <c r="E61" s="116"/>
      <c r="F61" s="126"/>
      <c r="G61" s="116"/>
    </row>
    <row r="62" outlineLevel="1">
      <c r="A62" s="135" t="s">
        <v>212</v>
      </c>
      <c r="B62" s="136"/>
      <c r="C62" s="136"/>
      <c r="D62" s="136"/>
      <c r="E62" s="136"/>
      <c r="F62" s="136"/>
      <c r="G62" s="136"/>
    </row>
    <row r="63" ht="91.5" customHeight="1" outlineLevel="1">
      <c r="A63" s="137" t="s">
        <v>213</v>
      </c>
    </row>
  </sheetData>
  <mergeCells count="8">
    <mergeCell ref="A1:G1"/>
    <mergeCell ref="B2:G2"/>
    <mergeCell ref="B3:G3"/>
    <mergeCell ref="B4:G4"/>
    <mergeCell ref="B5:G5"/>
    <mergeCell ref="B25:G25"/>
    <mergeCell ref="B26:G26"/>
    <mergeCell ref="A63:G63"/>
  </mergeCells>
  <conditionalFormatting sqref="B10:G26 B29:D34 B37:G41 B43:D43 B46:C61">
    <cfRule type="containsBlanks" dxfId="0" priority="1">
      <formula>LEN(TRIM(B10))=0</formula>
    </cfRule>
  </conditionalFormatting>
  <dataValidations>
    <dataValidation type="list" allowBlank="1" sqref="A10:A24">
      <formula1>"BMS (Building Management System),LCS (Lighting Control System),EMS (Emergency Management System),Lift,Food,Fire Alarm,Mechanical,Electrical,Blinds/Curtains,Other-Specify"</formula1>
    </dataValidation>
    <dataValidation type="custom" allowBlank="1" showDropDown="1" sqref="B4">
      <formula1>OR(NOT(ISERROR(DATEVALUE(B4))), AND(ISNUMBER(B4), LEFT(CELL("format", B4))="D"))</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3" width="57.29"/>
  </cols>
  <sheetData>
    <row r="1" ht="30.0" customHeight="1">
      <c r="A1" s="138" t="s">
        <v>214</v>
      </c>
      <c r="B1" s="138" t="s">
        <v>215</v>
      </c>
      <c r="C1" s="138" t="s">
        <v>27</v>
      </c>
    </row>
    <row r="2" ht="30.0" customHeight="1">
      <c r="A2" s="139" t="s">
        <v>216</v>
      </c>
      <c r="B2" s="139" t="s">
        <v>217</v>
      </c>
      <c r="C2" s="139" t="s">
        <v>27</v>
      </c>
    </row>
    <row r="3">
      <c r="A3" s="140" t="s">
        <v>218</v>
      </c>
      <c r="B3" s="141"/>
      <c r="C3" s="141"/>
    </row>
    <row r="4">
      <c r="A4" s="140" t="s">
        <v>219</v>
      </c>
      <c r="B4" s="142" t="s">
        <v>147</v>
      </c>
      <c r="C4" s="141"/>
    </row>
    <row r="5">
      <c r="A5" s="140" t="s">
        <v>220</v>
      </c>
      <c r="B5" s="141"/>
      <c r="C5" s="141"/>
    </row>
    <row r="6">
      <c r="A6" s="140" t="s">
        <v>221</v>
      </c>
      <c r="B6" s="142" t="s">
        <v>222</v>
      </c>
      <c r="C6" s="141"/>
    </row>
    <row r="7">
      <c r="A7" s="140" t="s">
        <v>223</v>
      </c>
      <c r="B7" s="142"/>
      <c r="C7" s="141"/>
    </row>
    <row r="8">
      <c r="A8" s="140" t="s">
        <v>224</v>
      </c>
      <c r="B8" s="142" t="s">
        <v>225</v>
      </c>
      <c r="C8" s="141"/>
    </row>
    <row r="9">
      <c r="A9" s="140" t="s">
        <v>226</v>
      </c>
      <c r="B9" s="142" t="s">
        <v>227</v>
      </c>
      <c r="C9" s="141"/>
    </row>
    <row r="10">
      <c r="A10" s="140" t="s">
        <v>228</v>
      </c>
      <c r="B10" s="142" t="s">
        <v>229</v>
      </c>
      <c r="C10" s="141"/>
    </row>
    <row r="11">
      <c r="A11" s="140" t="s">
        <v>230</v>
      </c>
      <c r="B11" s="142" t="s">
        <v>231</v>
      </c>
      <c r="C11" s="141"/>
    </row>
    <row r="12">
      <c r="A12" s="140" t="s">
        <v>232</v>
      </c>
      <c r="B12" s="141"/>
      <c r="C12" s="141"/>
    </row>
    <row r="13">
      <c r="A13" s="140" t="s">
        <v>233</v>
      </c>
      <c r="B13" s="143">
        <v>1.0</v>
      </c>
      <c r="C13" s="141"/>
    </row>
    <row r="14">
      <c r="A14" s="140" t="s">
        <v>234</v>
      </c>
      <c r="B14" s="141"/>
      <c r="C14" s="141"/>
    </row>
    <row r="15">
      <c r="A15" s="140" t="s">
        <v>235</v>
      </c>
      <c r="B15" s="142">
        <v>16.0</v>
      </c>
      <c r="C15" s="142" t="s">
        <v>236</v>
      </c>
    </row>
    <row r="16">
      <c r="A16" s="140" t="s">
        <v>237</v>
      </c>
      <c r="B16" s="142">
        <v>16.0</v>
      </c>
      <c r="C16" s="141"/>
    </row>
    <row r="17">
      <c r="A17" s="140" t="s">
        <v>238</v>
      </c>
      <c r="B17" s="142" t="s">
        <v>225</v>
      </c>
      <c r="C17" s="141"/>
    </row>
    <row r="18">
      <c r="A18" s="140" t="s">
        <v>239</v>
      </c>
      <c r="B18" s="142" t="s">
        <v>225</v>
      </c>
      <c r="C18" s="141"/>
    </row>
    <row r="19">
      <c r="A19" s="140" t="s">
        <v>240</v>
      </c>
      <c r="B19" s="142" t="s">
        <v>225</v>
      </c>
      <c r="C19" s="141"/>
    </row>
    <row r="20">
      <c r="A20" s="140" t="s">
        <v>241</v>
      </c>
      <c r="B20" s="142" t="s">
        <v>225</v>
      </c>
      <c r="C20" s="141"/>
    </row>
    <row r="21">
      <c r="A21" s="144" t="s">
        <v>242</v>
      </c>
      <c r="B21" s="145" t="s">
        <v>243</v>
      </c>
      <c r="C21" s="146"/>
    </row>
    <row r="22">
      <c r="A22" s="147" t="s">
        <v>244</v>
      </c>
      <c r="B22" s="145" t="s">
        <v>245</v>
      </c>
      <c r="C22" s="148" t="s">
        <v>246</v>
      </c>
    </row>
    <row r="23">
      <c r="A23" s="149" t="s">
        <v>247</v>
      </c>
      <c r="B23" s="148" t="s">
        <v>243</v>
      </c>
      <c r="C23" s="146"/>
    </row>
    <row r="24" ht="30.0" customHeight="1">
      <c r="A24" s="139" t="s">
        <v>248</v>
      </c>
      <c r="B24" s="139" t="s">
        <v>217</v>
      </c>
      <c r="C24" s="139" t="s">
        <v>27</v>
      </c>
    </row>
    <row r="25">
      <c r="A25" s="140" t="s">
        <v>249</v>
      </c>
      <c r="B25" s="141"/>
      <c r="C25" s="141"/>
    </row>
    <row r="26">
      <c r="A26" s="140" t="s">
        <v>250</v>
      </c>
      <c r="B26" s="142" t="s">
        <v>251</v>
      </c>
      <c r="C26" s="141"/>
    </row>
    <row r="27">
      <c r="A27" s="140" t="s">
        <v>252</v>
      </c>
      <c r="B27" s="141"/>
      <c r="C27" s="141"/>
    </row>
    <row r="28" ht="30.0" customHeight="1">
      <c r="A28" s="139" t="s">
        <v>253</v>
      </c>
      <c r="B28" s="139" t="s">
        <v>254</v>
      </c>
      <c r="C28" s="139" t="s">
        <v>27</v>
      </c>
    </row>
    <row r="29">
      <c r="A29" s="140" t="s">
        <v>255</v>
      </c>
      <c r="B29" s="141"/>
      <c r="C29" s="141"/>
    </row>
    <row r="30">
      <c r="A30" s="140" t="s">
        <v>256</v>
      </c>
      <c r="B30" s="141"/>
      <c r="C30" s="141"/>
    </row>
    <row r="31">
      <c r="A31" s="140" t="s">
        <v>257</v>
      </c>
      <c r="B31" s="141"/>
      <c r="C31" s="141"/>
    </row>
    <row r="32">
      <c r="A32" s="140" t="s">
        <v>258</v>
      </c>
      <c r="B32" s="142"/>
      <c r="C32" s="141"/>
    </row>
    <row r="33">
      <c r="A33" s="140" t="s">
        <v>259</v>
      </c>
      <c r="B33" s="142"/>
      <c r="C33" s="141"/>
    </row>
    <row r="34">
      <c r="A34" s="140" t="s">
        <v>260</v>
      </c>
      <c r="B34" s="142"/>
      <c r="C34" s="141"/>
    </row>
    <row r="35">
      <c r="A35" s="140" t="s">
        <v>261</v>
      </c>
      <c r="B35" s="142"/>
      <c r="C35" s="141"/>
    </row>
    <row r="36" ht="30.0" customHeight="1">
      <c r="A36" s="139" t="s">
        <v>262</v>
      </c>
      <c r="B36" s="139" t="s">
        <v>263</v>
      </c>
      <c r="C36" s="139" t="s">
        <v>27</v>
      </c>
    </row>
    <row r="37">
      <c r="A37" s="140" t="s">
        <v>264</v>
      </c>
      <c r="B37" s="142"/>
      <c r="C37" s="141"/>
    </row>
    <row r="38">
      <c r="A38" s="140" t="s">
        <v>265</v>
      </c>
      <c r="B38" s="142"/>
      <c r="C38" s="141"/>
    </row>
    <row r="39" ht="30.0" customHeight="1">
      <c r="A39" s="139" t="s">
        <v>266</v>
      </c>
      <c r="B39" s="139" t="s">
        <v>267</v>
      </c>
      <c r="C39" s="139" t="s">
        <v>27</v>
      </c>
    </row>
    <row r="40">
      <c r="A40" s="150" t="s">
        <v>268</v>
      </c>
      <c r="B40" s="148"/>
      <c r="C40" s="141"/>
    </row>
    <row r="41">
      <c r="A41" s="149" t="s">
        <v>269</v>
      </c>
      <c r="B41" s="148"/>
      <c r="C41" s="141"/>
    </row>
    <row r="42" ht="30.0" customHeight="1">
      <c r="A42" s="139" t="s">
        <v>270</v>
      </c>
      <c r="B42" s="139" t="s">
        <v>271</v>
      </c>
      <c r="C42" s="139" t="s">
        <v>27</v>
      </c>
    </row>
    <row r="43">
      <c r="A43" s="149" t="s">
        <v>272</v>
      </c>
      <c r="B43" s="146"/>
      <c r="C43" s="146"/>
    </row>
    <row r="44">
      <c r="A44" s="149" t="s">
        <v>273</v>
      </c>
      <c r="B44" s="146"/>
      <c r="C44" s="146"/>
    </row>
    <row r="45">
      <c r="A45" s="150" t="s">
        <v>274</v>
      </c>
      <c r="B45" s="146"/>
      <c r="C45" s="146"/>
    </row>
    <row r="46">
      <c r="A46" s="150" t="s">
        <v>275</v>
      </c>
      <c r="B46" s="148"/>
      <c r="C46" s="148"/>
    </row>
    <row r="47">
      <c r="A47" s="150" t="s">
        <v>276</v>
      </c>
      <c r="B47" s="141"/>
      <c r="C47" s="141"/>
    </row>
    <row r="48">
      <c r="A48" s="140" t="s">
        <v>277</v>
      </c>
      <c r="B48" s="141"/>
      <c r="C48" s="141"/>
    </row>
    <row r="49">
      <c r="A49" s="151" t="s">
        <v>278</v>
      </c>
      <c r="B49" s="141"/>
      <c r="C49" s="141"/>
    </row>
    <row r="50">
      <c r="A50" s="151" t="s">
        <v>279</v>
      </c>
      <c r="B50" s="141"/>
      <c r="C50" s="141"/>
    </row>
    <row r="51">
      <c r="A51" s="151" t="s">
        <v>280</v>
      </c>
      <c r="B51" s="141"/>
      <c r="C51" s="141"/>
    </row>
    <row r="52">
      <c r="A52" s="151" t="s">
        <v>281</v>
      </c>
      <c r="B52" s="141"/>
      <c r="C52" s="141"/>
    </row>
    <row r="53">
      <c r="A53" s="151" t="s">
        <v>282</v>
      </c>
      <c r="B53" s="141"/>
      <c r="C53" s="141"/>
    </row>
    <row r="54">
      <c r="A54" s="140" t="s">
        <v>283</v>
      </c>
      <c r="B54" s="142"/>
      <c r="C54" s="141"/>
    </row>
    <row r="55">
      <c r="A55" s="152" t="s">
        <v>284</v>
      </c>
      <c r="B55" s="141"/>
      <c r="C55" s="141"/>
    </row>
    <row r="56">
      <c r="A56" s="152" t="s">
        <v>285</v>
      </c>
      <c r="B56" s="142"/>
      <c r="C56" s="141"/>
    </row>
    <row r="57">
      <c r="A57" s="140" t="s">
        <v>286</v>
      </c>
      <c r="B57" s="142"/>
      <c r="C57" s="141"/>
    </row>
    <row r="58">
      <c r="A58" s="140" t="s">
        <v>287</v>
      </c>
      <c r="B58" s="141"/>
      <c r="C58" s="141"/>
    </row>
    <row r="59" ht="26.25" customHeight="1">
      <c r="A59" s="140" t="s">
        <v>288</v>
      </c>
      <c r="B59" s="153"/>
      <c r="C59" s="141"/>
    </row>
    <row r="60">
      <c r="A60" s="140" t="s">
        <v>289</v>
      </c>
      <c r="B60" s="142"/>
      <c r="C60" s="141"/>
    </row>
    <row r="61">
      <c r="A61" s="140" t="s">
        <v>290</v>
      </c>
      <c r="B61" s="141"/>
      <c r="C61" s="141"/>
    </row>
    <row r="62">
      <c r="A62" s="152" t="s">
        <v>291</v>
      </c>
      <c r="B62" s="154"/>
      <c r="C62" s="141"/>
    </row>
    <row r="63">
      <c r="A63" s="152" t="s">
        <v>292</v>
      </c>
      <c r="B63" s="141"/>
      <c r="C63" s="141"/>
    </row>
    <row r="64">
      <c r="A64" s="140" t="s">
        <v>293</v>
      </c>
      <c r="B64" s="141"/>
      <c r="C64" s="141"/>
    </row>
    <row r="65">
      <c r="A65" s="152" t="s">
        <v>294</v>
      </c>
      <c r="B65" s="142"/>
      <c r="C65" s="141"/>
    </row>
    <row r="66">
      <c r="A66" s="140" t="s">
        <v>295</v>
      </c>
      <c r="B66" s="141"/>
      <c r="C66" s="141"/>
    </row>
    <row r="67">
      <c r="A67" s="140" t="s">
        <v>296</v>
      </c>
      <c r="B67" s="141"/>
      <c r="C67" s="141"/>
    </row>
    <row r="68">
      <c r="A68" s="140" t="s">
        <v>297</v>
      </c>
      <c r="B68" s="141"/>
      <c r="C68" s="141"/>
    </row>
    <row r="69">
      <c r="A69" s="152" t="s">
        <v>298</v>
      </c>
      <c r="B69" s="141"/>
      <c r="C69" s="141"/>
    </row>
    <row r="70">
      <c r="A70" s="151" t="s">
        <v>299</v>
      </c>
      <c r="B70" s="142"/>
      <c r="C70" s="141"/>
    </row>
    <row r="71">
      <c r="A71" s="140" t="s">
        <v>300</v>
      </c>
      <c r="B71" s="141"/>
      <c r="C71" s="141"/>
    </row>
    <row r="72">
      <c r="A72" s="152" t="s">
        <v>301</v>
      </c>
      <c r="B72" s="141"/>
      <c r="C72" s="141"/>
    </row>
    <row r="73">
      <c r="A73" s="140" t="s">
        <v>302</v>
      </c>
      <c r="B73" s="141"/>
      <c r="C73" s="141"/>
    </row>
    <row r="74">
      <c r="A74" s="140" t="s">
        <v>303</v>
      </c>
      <c r="B74" s="141"/>
      <c r="C74" s="141"/>
    </row>
    <row r="75">
      <c r="A75" s="150" t="s">
        <v>304</v>
      </c>
      <c r="B75" s="146"/>
      <c r="C75" s="146"/>
    </row>
    <row r="76">
      <c r="A76" s="155" t="s">
        <v>305</v>
      </c>
      <c r="B76" s="146"/>
      <c r="C76" s="146"/>
    </row>
    <row r="77" ht="30.0" customHeight="1">
      <c r="A77" s="156" t="s">
        <v>306</v>
      </c>
      <c r="B77" s="139" t="s">
        <v>307</v>
      </c>
      <c r="C77" s="139" t="s">
        <v>27</v>
      </c>
    </row>
    <row r="78">
      <c r="A78" s="149" t="s">
        <v>308</v>
      </c>
      <c r="B78" s="146"/>
      <c r="C78" s="146"/>
    </row>
    <row r="79">
      <c r="A79" s="149" t="s">
        <v>309</v>
      </c>
      <c r="B79" s="146"/>
      <c r="C79" s="146"/>
    </row>
    <row r="80">
      <c r="A80" s="149" t="s">
        <v>310</v>
      </c>
      <c r="B80" s="146"/>
      <c r="C80" s="146"/>
    </row>
    <row r="81">
      <c r="A81" s="150" t="s">
        <v>275</v>
      </c>
      <c r="B81" s="142"/>
      <c r="C81" s="148"/>
    </row>
    <row r="82">
      <c r="A82" s="140" t="s">
        <v>277</v>
      </c>
      <c r="B82" s="141"/>
      <c r="C82" s="141"/>
    </row>
    <row r="83">
      <c r="A83" s="151" t="s">
        <v>278</v>
      </c>
      <c r="B83" s="141"/>
      <c r="C83" s="141"/>
    </row>
    <row r="84">
      <c r="A84" s="151" t="s">
        <v>279</v>
      </c>
      <c r="B84" s="141"/>
      <c r="C84" s="141"/>
    </row>
    <row r="85">
      <c r="A85" s="151" t="s">
        <v>280</v>
      </c>
      <c r="B85" s="141"/>
      <c r="C85" s="141"/>
    </row>
    <row r="86">
      <c r="A86" s="140" t="s">
        <v>311</v>
      </c>
      <c r="B86" s="141"/>
      <c r="C86" s="141"/>
    </row>
    <row r="87">
      <c r="A87" s="151" t="s">
        <v>282</v>
      </c>
      <c r="B87" s="141"/>
      <c r="C87" s="141"/>
    </row>
    <row r="88">
      <c r="A88" s="140" t="s">
        <v>312</v>
      </c>
      <c r="B88" s="142"/>
      <c r="C88" s="141"/>
    </row>
    <row r="89">
      <c r="A89" s="140" t="s">
        <v>313</v>
      </c>
      <c r="B89" s="141"/>
      <c r="C89" s="141"/>
    </row>
    <row r="90">
      <c r="A90" s="140" t="s">
        <v>314</v>
      </c>
      <c r="B90" s="142"/>
      <c r="C90" s="141"/>
    </row>
    <row r="91">
      <c r="A91" s="140" t="s">
        <v>315</v>
      </c>
      <c r="B91" s="142"/>
      <c r="C91" s="141"/>
    </row>
    <row r="92">
      <c r="A92" s="140" t="s">
        <v>316</v>
      </c>
      <c r="B92" s="141"/>
      <c r="C92" s="141"/>
    </row>
    <row r="93">
      <c r="A93" s="140" t="s">
        <v>288</v>
      </c>
      <c r="B93" s="142"/>
      <c r="C93" s="141"/>
    </row>
    <row r="94">
      <c r="A94" s="140" t="s">
        <v>289</v>
      </c>
      <c r="B94" s="142"/>
      <c r="C94" s="141"/>
    </row>
    <row r="95">
      <c r="A95" s="140" t="s">
        <v>290</v>
      </c>
      <c r="B95" s="141"/>
      <c r="C95" s="141"/>
    </row>
    <row r="96">
      <c r="A96" s="152" t="s">
        <v>291</v>
      </c>
      <c r="B96" s="154"/>
      <c r="C96" s="141"/>
    </row>
    <row r="97">
      <c r="A97" s="140" t="s">
        <v>317</v>
      </c>
      <c r="B97" s="141"/>
      <c r="C97" s="141"/>
    </row>
    <row r="98">
      <c r="A98" s="140" t="s">
        <v>318</v>
      </c>
      <c r="B98" s="141"/>
      <c r="C98" s="141"/>
    </row>
    <row r="99">
      <c r="A99" s="140" t="s">
        <v>319</v>
      </c>
      <c r="B99" s="141"/>
      <c r="C99" s="141"/>
    </row>
    <row r="100">
      <c r="A100" s="140" t="s">
        <v>320</v>
      </c>
      <c r="B100" s="141"/>
      <c r="C100" s="141"/>
    </row>
    <row r="101">
      <c r="A101" s="140" t="s">
        <v>321</v>
      </c>
      <c r="B101" s="141"/>
      <c r="C101" s="141"/>
    </row>
    <row r="102">
      <c r="A102" s="140" t="s">
        <v>322</v>
      </c>
      <c r="B102" s="141"/>
      <c r="C102" s="141"/>
    </row>
    <row r="103">
      <c r="A103" s="152" t="s">
        <v>298</v>
      </c>
      <c r="B103" s="141"/>
      <c r="C103" s="141"/>
    </row>
    <row r="104">
      <c r="A104" s="151" t="s">
        <v>299</v>
      </c>
      <c r="B104" s="142"/>
      <c r="C104" s="141"/>
    </row>
    <row r="105">
      <c r="A105" s="140" t="s">
        <v>323</v>
      </c>
      <c r="B105" s="141"/>
      <c r="C105" s="141"/>
    </row>
    <row r="106">
      <c r="A106" s="140" t="s">
        <v>324</v>
      </c>
      <c r="B106" s="141"/>
      <c r="C106" s="141"/>
    </row>
    <row r="107">
      <c r="A107" s="140" t="s">
        <v>325</v>
      </c>
      <c r="B107" s="141"/>
      <c r="C107" s="141"/>
    </row>
    <row r="108">
      <c r="A108" s="140" t="s">
        <v>326</v>
      </c>
      <c r="B108" s="141"/>
      <c r="C108" s="141"/>
    </row>
    <row r="109">
      <c r="A109" s="149" t="s">
        <v>327</v>
      </c>
      <c r="B109" s="146"/>
      <c r="C109" s="146"/>
    </row>
    <row r="110">
      <c r="A110" s="155" t="s">
        <v>305</v>
      </c>
      <c r="B110" s="146"/>
      <c r="C110" s="146"/>
    </row>
    <row r="111" ht="30.0" customHeight="1">
      <c r="A111" s="156" t="s">
        <v>328</v>
      </c>
      <c r="B111" s="139" t="s">
        <v>329</v>
      </c>
      <c r="C111" s="139" t="s">
        <v>27</v>
      </c>
    </row>
    <row r="112">
      <c r="A112" s="140" t="s">
        <v>330</v>
      </c>
      <c r="B112" s="141"/>
      <c r="C112" s="141"/>
    </row>
    <row r="113">
      <c r="A113" s="140" t="s">
        <v>331</v>
      </c>
      <c r="B113" s="141"/>
      <c r="C113" s="141"/>
    </row>
    <row r="114">
      <c r="A114" s="140" t="s">
        <v>332</v>
      </c>
      <c r="B114" s="141"/>
      <c r="C114" s="141"/>
    </row>
    <row r="115">
      <c r="A115" s="151" t="s">
        <v>275</v>
      </c>
      <c r="B115" s="142"/>
      <c r="C115" s="142"/>
    </row>
    <row r="116">
      <c r="A116" s="140" t="s">
        <v>277</v>
      </c>
      <c r="B116" s="141"/>
      <c r="C116" s="141"/>
    </row>
    <row r="117">
      <c r="A117" s="151" t="s">
        <v>278</v>
      </c>
      <c r="B117" s="141"/>
      <c r="C117" s="141"/>
    </row>
    <row r="118">
      <c r="A118" s="151" t="s">
        <v>279</v>
      </c>
      <c r="B118" s="141"/>
      <c r="C118" s="141"/>
    </row>
    <row r="119">
      <c r="A119" s="151" t="s">
        <v>280</v>
      </c>
      <c r="B119" s="141"/>
      <c r="C119" s="141"/>
    </row>
    <row r="120">
      <c r="A120" s="140" t="s">
        <v>333</v>
      </c>
      <c r="B120" s="141"/>
      <c r="C120" s="141"/>
    </row>
    <row r="121">
      <c r="A121" s="151" t="s">
        <v>282</v>
      </c>
      <c r="B121" s="141"/>
      <c r="C121" s="141"/>
    </row>
    <row r="122">
      <c r="A122" s="140" t="s">
        <v>334</v>
      </c>
      <c r="B122" s="142"/>
      <c r="C122" s="141"/>
    </row>
    <row r="123">
      <c r="A123" s="140" t="s">
        <v>335</v>
      </c>
      <c r="B123" s="141"/>
      <c r="C123" s="141"/>
    </row>
    <row r="124">
      <c r="A124" s="140" t="s">
        <v>336</v>
      </c>
      <c r="B124" s="142"/>
      <c r="C124" s="141"/>
    </row>
    <row r="125">
      <c r="A125" s="140" t="s">
        <v>337</v>
      </c>
      <c r="B125" s="142"/>
      <c r="C125" s="141"/>
    </row>
    <row r="126">
      <c r="A126" s="140" t="s">
        <v>338</v>
      </c>
      <c r="B126" s="141"/>
      <c r="C126" s="141"/>
    </row>
    <row r="127">
      <c r="A127" s="140" t="s">
        <v>288</v>
      </c>
      <c r="B127" s="142"/>
      <c r="C127" s="141"/>
    </row>
    <row r="128">
      <c r="A128" s="140" t="s">
        <v>289</v>
      </c>
      <c r="B128" s="142"/>
      <c r="C128" s="141"/>
    </row>
    <row r="129">
      <c r="A129" s="140" t="s">
        <v>290</v>
      </c>
      <c r="B129" s="141"/>
      <c r="C129" s="141"/>
    </row>
    <row r="130">
      <c r="A130" s="152" t="s">
        <v>291</v>
      </c>
      <c r="B130" s="154"/>
      <c r="C130" s="141"/>
    </row>
    <row r="131">
      <c r="A131" s="140" t="s">
        <v>339</v>
      </c>
      <c r="B131" s="141"/>
      <c r="C131" s="141"/>
    </row>
    <row r="132">
      <c r="A132" s="140" t="s">
        <v>340</v>
      </c>
      <c r="B132" s="141"/>
      <c r="C132" s="141"/>
    </row>
    <row r="133">
      <c r="A133" s="140" t="s">
        <v>341</v>
      </c>
      <c r="B133" s="141"/>
      <c r="C133" s="141"/>
    </row>
    <row r="134">
      <c r="A134" s="140" t="s">
        <v>342</v>
      </c>
      <c r="B134" s="141"/>
      <c r="C134" s="141"/>
    </row>
    <row r="135">
      <c r="A135" s="140" t="s">
        <v>343</v>
      </c>
      <c r="B135" s="141"/>
      <c r="C135" s="141"/>
    </row>
    <row r="136">
      <c r="A136" s="140" t="s">
        <v>344</v>
      </c>
      <c r="B136" s="141"/>
      <c r="C136" s="141"/>
    </row>
    <row r="137">
      <c r="A137" s="152" t="s">
        <v>298</v>
      </c>
      <c r="B137" s="141"/>
      <c r="C137" s="141"/>
    </row>
    <row r="138">
      <c r="A138" s="150" t="s">
        <v>299</v>
      </c>
      <c r="B138" s="148"/>
      <c r="C138" s="146"/>
    </row>
    <row r="139">
      <c r="A139" s="140" t="s">
        <v>345</v>
      </c>
      <c r="B139" s="141"/>
      <c r="C139" s="141"/>
    </row>
    <row r="140">
      <c r="A140" s="140" t="s">
        <v>346</v>
      </c>
      <c r="B140" s="141"/>
      <c r="C140" s="141"/>
    </row>
    <row r="141">
      <c r="A141" s="140" t="s">
        <v>347</v>
      </c>
      <c r="B141" s="141"/>
      <c r="C141" s="141"/>
    </row>
    <row r="142">
      <c r="A142" s="140" t="s">
        <v>348</v>
      </c>
      <c r="B142" s="141"/>
      <c r="C142" s="141"/>
    </row>
    <row r="143">
      <c r="A143" s="140" t="s">
        <v>349</v>
      </c>
      <c r="B143" s="141"/>
      <c r="C143" s="141"/>
    </row>
    <row r="144">
      <c r="A144" s="152" t="s">
        <v>305</v>
      </c>
      <c r="B144" s="141"/>
      <c r="C144" s="141"/>
    </row>
    <row r="145" ht="30.0" customHeight="1">
      <c r="A145" s="139" t="s">
        <v>350</v>
      </c>
      <c r="B145" s="139" t="s">
        <v>351</v>
      </c>
      <c r="C145" s="139" t="s">
        <v>27</v>
      </c>
    </row>
    <row r="146">
      <c r="A146" s="140" t="s">
        <v>352</v>
      </c>
      <c r="B146" s="141"/>
      <c r="C146" s="141"/>
    </row>
    <row r="147">
      <c r="A147" s="140" t="s">
        <v>353</v>
      </c>
      <c r="B147" s="141"/>
      <c r="C147" s="141"/>
    </row>
    <row r="148">
      <c r="A148" s="140" t="s">
        <v>354</v>
      </c>
      <c r="B148" s="141"/>
      <c r="C148" s="141"/>
    </row>
    <row r="149">
      <c r="A149" s="151" t="s">
        <v>275</v>
      </c>
      <c r="B149" s="142"/>
      <c r="C149" s="142"/>
    </row>
    <row r="150">
      <c r="A150" s="140" t="s">
        <v>277</v>
      </c>
      <c r="B150" s="141"/>
      <c r="C150" s="141"/>
    </row>
    <row r="151">
      <c r="A151" s="151" t="s">
        <v>278</v>
      </c>
      <c r="B151" s="141"/>
      <c r="C151" s="141"/>
    </row>
    <row r="152">
      <c r="A152" s="151" t="s">
        <v>279</v>
      </c>
      <c r="B152" s="141"/>
      <c r="C152" s="141"/>
    </row>
    <row r="153">
      <c r="A153" s="151" t="s">
        <v>280</v>
      </c>
      <c r="B153" s="141"/>
      <c r="C153" s="141"/>
    </row>
    <row r="154">
      <c r="A154" s="140" t="s">
        <v>355</v>
      </c>
      <c r="B154" s="141"/>
      <c r="C154" s="141"/>
    </row>
    <row r="155">
      <c r="A155" s="151" t="s">
        <v>282</v>
      </c>
      <c r="B155" s="141"/>
      <c r="C155" s="141"/>
    </row>
    <row r="156">
      <c r="A156" s="140" t="s">
        <v>356</v>
      </c>
      <c r="B156" s="142"/>
      <c r="C156" s="141"/>
    </row>
    <row r="157">
      <c r="A157" s="140" t="s">
        <v>357</v>
      </c>
      <c r="B157" s="141"/>
      <c r="C157" s="141"/>
    </row>
    <row r="158">
      <c r="A158" s="140" t="s">
        <v>358</v>
      </c>
      <c r="B158" s="142"/>
      <c r="C158" s="141"/>
    </row>
    <row r="159">
      <c r="A159" s="140" t="s">
        <v>359</v>
      </c>
      <c r="B159" s="142"/>
      <c r="C159" s="141"/>
    </row>
    <row r="160">
      <c r="A160" s="140" t="s">
        <v>360</v>
      </c>
      <c r="B160" s="141"/>
      <c r="C160" s="141"/>
    </row>
    <row r="161">
      <c r="A161" s="140" t="s">
        <v>288</v>
      </c>
      <c r="B161" s="142"/>
      <c r="C161" s="141"/>
    </row>
    <row r="162">
      <c r="A162" s="140" t="s">
        <v>289</v>
      </c>
      <c r="B162" s="142"/>
      <c r="C162" s="141"/>
    </row>
    <row r="163">
      <c r="A163" s="140" t="s">
        <v>290</v>
      </c>
      <c r="B163" s="141"/>
      <c r="C163" s="141"/>
    </row>
    <row r="164">
      <c r="A164" s="152" t="s">
        <v>291</v>
      </c>
      <c r="B164" s="154"/>
      <c r="C164" s="141"/>
    </row>
    <row r="165">
      <c r="A165" s="140" t="s">
        <v>361</v>
      </c>
      <c r="B165" s="141"/>
      <c r="C165" s="141"/>
    </row>
    <row r="166">
      <c r="A166" s="140" t="s">
        <v>362</v>
      </c>
      <c r="B166" s="141"/>
      <c r="C166" s="141"/>
    </row>
    <row r="167">
      <c r="A167" s="140" t="s">
        <v>363</v>
      </c>
      <c r="B167" s="141"/>
      <c r="C167" s="141"/>
    </row>
    <row r="168">
      <c r="A168" s="140" t="s">
        <v>364</v>
      </c>
      <c r="B168" s="141"/>
      <c r="C168" s="141"/>
    </row>
    <row r="169">
      <c r="A169" s="140" t="s">
        <v>365</v>
      </c>
      <c r="B169" s="141"/>
      <c r="C169" s="141"/>
    </row>
    <row r="170">
      <c r="A170" s="140" t="s">
        <v>366</v>
      </c>
      <c r="B170" s="141"/>
      <c r="C170" s="141"/>
    </row>
    <row r="171">
      <c r="A171" s="152" t="s">
        <v>298</v>
      </c>
      <c r="B171" s="141"/>
      <c r="C171" s="141"/>
    </row>
    <row r="172">
      <c r="A172" s="151" t="s">
        <v>299</v>
      </c>
      <c r="B172" s="142"/>
      <c r="C172" s="141"/>
    </row>
    <row r="173">
      <c r="A173" s="140" t="s">
        <v>367</v>
      </c>
      <c r="B173" s="141"/>
      <c r="C173" s="141"/>
    </row>
    <row r="174">
      <c r="A174" s="140" t="s">
        <v>368</v>
      </c>
      <c r="B174" s="141"/>
      <c r="C174" s="141"/>
    </row>
    <row r="175">
      <c r="A175" s="140" t="s">
        <v>369</v>
      </c>
      <c r="B175" s="141"/>
      <c r="C175" s="141"/>
    </row>
    <row r="176">
      <c r="A176" s="140" t="s">
        <v>370</v>
      </c>
      <c r="B176" s="141"/>
      <c r="C176" s="141"/>
    </row>
    <row r="177">
      <c r="A177" s="140" t="s">
        <v>371</v>
      </c>
      <c r="B177" s="141"/>
      <c r="C177" s="141"/>
    </row>
    <row r="178">
      <c r="A178" s="152" t="s">
        <v>305</v>
      </c>
      <c r="B178" s="141"/>
      <c r="C178" s="141"/>
    </row>
    <row r="179" ht="30.0" customHeight="1">
      <c r="A179" s="139" t="s">
        <v>372</v>
      </c>
      <c r="B179" s="139" t="s">
        <v>373</v>
      </c>
      <c r="C179" s="139" t="s">
        <v>27</v>
      </c>
    </row>
    <row r="180">
      <c r="A180" s="140" t="s">
        <v>374</v>
      </c>
      <c r="B180" s="141"/>
      <c r="C180" s="141"/>
    </row>
    <row r="181">
      <c r="A181" s="140" t="s">
        <v>375</v>
      </c>
      <c r="B181" s="141"/>
      <c r="C181" s="141"/>
    </row>
    <row r="182">
      <c r="A182" s="140" t="s">
        <v>376</v>
      </c>
      <c r="B182" s="141"/>
      <c r="C182" s="141"/>
    </row>
    <row r="183">
      <c r="A183" s="151" t="s">
        <v>275</v>
      </c>
      <c r="B183" s="142"/>
      <c r="C183" s="142"/>
    </row>
    <row r="184">
      <c r="A184" s="140" t="s">
        <v>277</v>
      </c>
      <c r="B184" s="141"/>
      <c r="C184" s="141"/>
    </row>
    <row r="185">
      <c r="A185" s="151" t="s">
        <v>278</v>
      </c>
      <c r="B185" s="141"/>
      <c r="C185" s="141"/>
    </row>
    <row r="186">
      <c r="A186" s="151" t="s">
        <v>279</v>
      </c>
      <c r="B186" s="141"/>
      <c r="C186" s="141"/>
    </row>
    <row r="187">
      <c r="A187" s="151" t="s">
        <v>280</v>
      </c>
      <c r="B187" s="141"/>
      <c r="C187" s="141"/>
    </row>
    <row r="188">
      <c r="A188" s="140" t="s">
        <v>377</v>
      </c>
      <c r="B188" s="141"/>
      <c r="C188" s="141"/>
    </row>
    <row r="189">
      <c r="A189" s="151" t="s">
        <v>282</v>
      </c>
      <c r="B189" s="141"/>
      <c r="C189" s="141"/>
    </row>
    <row r="190">
      <c r="A190" s="140" t="s">
        <v>378</v>
      </c>
      <c r="B190" s="142"/>
      <c r="C190" s="141"/>
    </row>
    <row r="191">
      <c r="A191" s="140" t="s">
        <v>379</v>
      </c>
      <c r="B191" s="141"/>
      <c r="C191" s="141"/>
    </row>
    <row r="192">
      <c r="A192" s="140" t="s">
        <v>380</v>
      </c>
      <c r="B192" s="142"/>
      <c r="C192" s="141"/>
    </row>
    <row r="193">
      <c r="A193" s="140" t="s">
        <v>381</v>
      </c>
      <c r="B193" s="142"/>
      <c r="C193" s="141"/>
    </row>
    <row r="194">
      <c r="A194" s="140" t="s">
        <v>382</v>
      </c>
      <c r="B194" s="141"/>
      <c r="C194" s="141"/>
    </row>
    <row r="195">
      <c r="A195" s="140" t="s">
        <v>288</v>
      </c>
      <c r="B195" s="142"/>
      <c r="C195" s="141"/>
    </row>
    <row r="196">
      <c r="A196" s="140" t="s">
        <v>289</v>
      </c>
      <c r="B196" s="142"/>
      <c r="C196" s="141"/>
    </row>
    <row r="197">
      <c r="A197" s="140" t="s">
        <v>290</v>
      </c>
      <c r="B197" s="141"/>
      <c r="C197" s="141"/>
    </row>
    <row r="198">
      <c r="A198" s="152" t="s">
        <v>291</v>
      </c>
      <c r="B198" s="154"/>
      <c r="C198" s="141"/>
    </row>
    <row r="199">
      <c r="A199" s="140" t="s">
        <v>383</v>
      </c>
      <c r="B199" s="141"/>
      <c r="C199" s="141"/>
    </row>
    <row r="200">
      <c r="A200" s="140" t="s">
        <v>384</v>
      </c>
      <c r="B200" s="141"/>
      <c r="C200" s="141"/>
    </row>
    <row r="201">
      <c r="A201" s="140" t="s">
        <v>385</v>
      </c>
      <c r="B201" s="141"/>
      <c r="C201" s="141"/>
    </row>
    <row r="202">
      <c r="A202" s="140" t="s">
        <v>386</v>
      </c>
      <c r="B202" s="141"/>
      <c r="C202" s="141"/>
    </row>
    <row r="203">
      <c r="A203" s="140" t="s">
        <v>387</v>
      </c>
      <c r="B203" s="141"/>
      <c r="C203" s="141"/>
    </row>
    <row r="204">
      <c r="A204" s="140" t="s">
        <v>388</v>
      </c>
      <c r="B204" s="141"/>
      <c r="C204" s="141"/>
    </row>
    <row r="205">
      <c r="A205" s="152" t="s">
        <v>298</v>
      </c>
      <c r="B205" s="141"/>
      <c r="C205" s="141"/>
    </row>
    <row r="206">
      <c r="A206" s="151" t="s">
        <v>299</v>
      </c>
      <c r="B206" s="142"/>
      <c r="C206" s="141"/>
    </row>
    <row r="207">
      <c r="A207" s="140" t="s">
        <v>389</v>
      </c>
      <c r="B207" s="141"/>
      <c r="C207" s="141"/>
    </row>
    <row r="208">
      <c r="A208" s="140" t="s">
        <v>390</v>
      </c>
      <c r="B208" s="141"/>
      <c r="C208" s="141"/>
    </row>
    <row r="209">
      <c r="A209" s="140" t="s">
        <v>391</v>
      </c>
      <c r="B209" s="141"/>
      <c r="C209" s="141"/>
    </row>
    <row r="210">
      <c r="A210" s="140" t="s">
        <v>392</v>
      </c>
      <c r="B210" s="141"/>
      <c r="C210" s="141"/>
    </row>
    <row r="211">
      <c r="A211" s="140" t="s">
        <v>393</v>
      </c>
      <c r="B211" s="141"/>
      <c r="C211" s="141"/>
    </row>
    <row r="212">
      <c r="A212" s="152" t="s">
        <v>305</v>
      </c>
      <c r="B212" s="141"/>
      <c r="C212" s="141"/>
    </row>
    <row r="213" ht="30.0" customHeight="1">
      <c r="A213" s="139" t="s">
        <v>394</v>
      </c>
      <c r="B213" s="139" t="s">
        <v>395</v>
      </c>
      <c r="C213" s="139" t="s">
        <v>27</v>
      </c>
    </row>
    <row r="214">
      <c r="A214" s="140" t="s">
        <v>396</v>
      </c>
      <c r="B214" s="141"/>
      <c r="C214" s="141"/>
    </row>
    <row r="215">
      <c r="A215" s="140" t="s">
        <v>397</v>
      </c>
      <c r="B215" s="141"/>
      <c r="C215" s="141"/>
    </row>
    <row r="216">
      <c r="A216" s="140" t="s">
        <v>398</v>
      </c>
      <c r="B216" s="141"/>
      <c r="C216" s="141"/>
    </row>
    <row r="217">
      <c r="A217" s="151" t="s">
        <v>275</v>
      </c>
      <c r="B217" s="142"/>
      <c r="C217" s="142"/>
    </row>
    <row r="218">
      <c r="A218" s="140" t="s">
        <v>277</v>
      </c>
      <c r="B218" s="141"/>
      <c r="C218" s="141"/>
    </row>
    <row r="219">
      <c r="A219" s="151" t="s">
        <v>278</v>
      </c>
      <c r="B219" s="141"/>
      <c r="C219" s="141"/>
    </row>
    <row r="220">
      <c r="A220" s="151" t="s">
        <v>279</v>
      </c>
      <c r="B220" s="141"/>
      <c r="C220" s="141"/>
    </row>
    <row r="221">
      <c r="A221" s="151" t="s">
        <v>280</v>
      </c>
      <c r="B221" s="141"/>
      <c r="C221" s="141"/>
    </row>
    <row r="222">
      <c r="A222" s="140" t="s">
        <v>399</v>
      </c>
      <c r="B222" s="141"/>
      <c r="C222" s="141"/>
    </row>
    <row r="223">
      <c r="A223" s="151" t="s">
        <v>282</v>
      </c>
      <c r="B223" s="141"/>
      <c r="C223" s="141"/>
    </row>
    <row r="224">
      <c r="A224" s="140" t="s">
        <v>400</v>
      </c>
      <c r="B224" s="142"/>
      <c r="C224" s="141"/>
    </row>
    <row r="225">
      <c r="A225" s="140" t="s">
        <v>401</v>
      </c>
      <c r="B225" s="141"/>
      <c r="C225" s="141"/>
    </row>
    <row r="226">
      <c r="A226" s="140" t="s">
        <v>402</v>
      </c>
      <c r="B226" s="142"/>
      <c r="C226" s="141"/>
    </row>
    <row r="227">
      <c r="A227" s="140" t="s">
        <v>403</v>
      </c>
      <c r="B227" s="142"/>
      <c r="C227" s="141"/>
    </row>
    <row r="228">
      <c r="A228" s="140" t="s">
        <v>404</v>
      </c>
      <c r="B228" s="141"/>
      <c r="C228" s="141"/>
    </row>
    <row r="229">
      <c r="A229" s="140" t="s">
        <v>288</v>
      </c>
      <c r="B229" s="142"/>
      <c r="C229" s="141"/>
    </row>
    <row r="230">
      <c r="A230" s="140" t="s">
        <v>289</v>
      </c>
      <c r="B230" s="142"/>
      <c r="C230" s="141"/>
    </row>
    <row r="231">
      <c r="A231" s="140" t="s">
        <v>290</v>
      </c>
      <c r="B231" s="141"/>
      <c r="C231" s="141"/>
    </row>
    <row r="232">
      <c r="A232" s="152" t="s">
        <v>291</v>
      </c>
      <c r="B232" s="154"/>
      <c r="C232" s="141"/>
    </row>
    <row r="233">
      <c r="A233" s="140" t="s">
        <v>405</v>
      </c>
      <c r="B233" s="141"/>
      <c r="C233" s="141"/>
    </row>
    <row r="234">
      <c r="A234" s="140" t="s">
        <v>406</v>
      </c>
      <c r="B234" s="141"/>
      <c r="C234" s="141"/>
    </row>
    <row r="235">
      <c r="A235" s="140" t="s">
        <v>407</v>
      </c>
      <c r="B235" s="141"/>
      <c r="C235" s="141"/>
    </row>
    <row r="236">
      <c r="A236" s="140" t="s">
        <v>408</v>
      </c>
      <c r="B236" s="141"/>
      <c r="C236" s="141"/>
    </row>
    <row r="237">
      <c r="A237" s="140" t="s">
        <v>409</v>
      </c>
      <c r="B237" s="141"/>
      <c r="C237" s="141"/>
    </row>
    <row r="238">
      <c r="A238" s="140" t="s">
        <v>410</v>
      </c>
      <c r="B238" s="141"/>
      <c r="C238" s="141"/>
    </row>
    <row r="239">
      <c r="A239" s="152" t="s">
        <v>298</v>
      </c>
      <c r="B239" s="141"/>
      <c r="C239" s="141"/>
    </row>
    <row r="240">
      <c r="A240" s="151" t="s">
        <v>299</v>
      </c>
      <c r="B240" s="142"/>
      <c r="C240" s="141"/>
    </row>
    <row r="241">
      <c r="A241" s="140" t="s">
        <v>411</v>
      </c>
      <c r="B241" s="141"/>
      <c r="C241" s="141"/>
    </row>
    <row r="242">
      <c r="A242" s="140" t="s">
        <v>412</v>
      </c>
      <c r="B242" s="141"/>
      <c r="C242" s="141"/>
    </row>
    <row r="243">
      <c r="A243" s="140" t="s">
        <v>413</v>
      </c>
      <c r="B243" s="141"/>
      <c r="C243" s="141"/>
    </row>
    <row r="244">
      <c r="A244" s="140" t="s">
        <v>414</v>
      </c>
      <c r="B244" s="141"/>
      <c r="C244" s="141"/>
    </row>
    <row r="245">
      <c r="A245" s="140" t="s">
        <v>415</v>
      </c>
      <c r="B245" s="141"/>
      <c r="C245" s="141"/>
    </row>
    <row r="246">
      <c r="A246" s="152" t="s">
        <v>305</v>
      </c>
      <c r="B246" s="141"/>
      <c r="C246" s="141"/>
    </row>
    <row r="247" ht="30.0" customHeight="1">
      <c r="A247" s="157" t="s">
        <v>416</v>
      </c>
      <c r="B247" s="157" t="s">
        <v>417</v>
      </c>
      <c r="C247" s="157" t="s">
        <v>27</v>
      </c>
    </row>
    <row r="248">
      <c r="A248" s="140" t="s">
        <v>418</v>
      </c>
      <c r="B248" s="141"/>
      <c r="C248" s="141"/>
    </row>
    <row r="249">
      <c r="A249" s="140" t="s">
        <v>419</v>
      </c>
      <c r="B249" s="158"/>
      <c r="C249" s="141"/>
    </row>
    <row r="250">
      <c r="A250" s="151" t="s">
        <v>420</v>
      </c>
      <c r="B250" s="141"/>
      <c r="C250" s="141"/>
    </row>
    <row r="251">
      <c r="A251" s="159" t="s">
        <v>421</v>
      </c>
      <c r="B251" s="141"/>
      <c r="C251" s="141"/>
    </row>
    <row r="252">
      <c r="A252" s="159" t="s">
        <v>422</v>
      </c>
      <c r="B252" s="141"/>
      <c r="C252" s="141"/>
    </row>
    <row r="253">
      <c r="A253" s="159" t="s">
        <v>423</v>
      </c>
      <c r="B253" s="141"/>
      <c r="C253" s="141"/>
    </row>
    <row r="254">
      <c r="A254" s="159" t="s">
        <v>424</v>
      </c>
      <c r="B254" s="141"/>
      <c r="C254" s="141"/>
    </row>
    <row r="255">
      <c r="A255" s="140" t="s">
        <v>425</v>
      </c>
      <c r="B255" s="141"/>
      <c r="C255" s="141"/>
    </row>
    <row r="256">
      <c r="A256" s="151" t="s">
        <v>275</v>
      </c>
      <c r="B256" s="148"/>
      <c r="C256" s="142"/>
    </row>
    <row r="257">
      <c r="A257" s="140" t="s">
        <v>277</v>
      </c>
      <c r="B257" s="141"/>
      <c r="C257" s="141"/>
    </row>
    <row r="258">
      <c r="A258" s="151" t="s">
        <v>278</v>
      </c>
      <c r="B258" s="158"/>
      <c r="C258" s="141"/>
    </row>
    <row r="259">
      <c r="A259" s="151" t="s">
        <v>279</v>
      </c>
      <c r="B259" s="158"/>
      <c r="C259" s="141"/>
    </row>
    <row r="260">
      <c r="A260" s="151" t="s">
        <v>280</v>
      </c>
      <c r="B260" s="158"/>
      <c r="C260" s="141"/>
    </row>
    <row r="261">
      <c r="A261" s="140" t="s">
        <v>426</v>
      </c>
      <c r="B261" s="158"/>
      <c r="C261" s="141"/>
    </row>
    <row r="262">
      <c r="A262" s="151" t="s">
        <v>282</v>
      </c>
      <c r="B262" s="158"/>
      <c r="C262" s="141"/>
    </row>
    <row r="263">
      <c r="A263" s="140" t="s">
        <v>427</v>
      </c>
      <c r="B263" s="160"/>
      <c r="C263" s="141"/>
    </row>
    <row r="264">
      <c r="A264" s="140" t="s">
        <v>428</v>
      </c>
      <c r="B264" s="158"/>
      <c r="C264" s="141"/>
    </row>
    <row r="265">
      <c r="A265" s="140" t="s">
        <v>288</v>
      </c>
      <c r="B265" s="142"/>
      <c r="C265" s="141"/>
    </row>
    <row r="266">
      <c r="A266" s="140" t="s">
        <v>289</v>
      </c>
      <c r="B266" s="142"/>
      <c r="C266" s="141"/>
    </row>
    <row r="267">
      <c r="A267" s="140" t="s">
        <v>290</v>
      </c>
      <c r="B267" s="158"/>
      <c r="C267" s="141"/>
    </row>
    <row r="268">
      <c r="A268" s="152" t="s">
        <v>291</v>
      </c>
      <c r="B268" s="154"/>
      <c r="C268" s="141"/>
    </row>
    <row r="269">
      <c r="A269" s="140" t="s">
        <v>429</v>
      </c>
      <c r="B269" s="158"/>
      <c r="C269" s="141"/>
    </row>
    <row r="270">
      <c r="A270" s="140" t="s">
        <v>430</v>
      </c>
      <c r="B270" s="158"/>
      <c r="C270" s="141"/>
    </row>
    <row r="271">
      <c r="A271" s="140" t="s">
        <v>431</v>
      </c>
      <c r="B271" s="158"/>
      <c r="C271" s="141"/>
    </row>
    <row r="272">
      <c r="A272" s="140" t="s">
        <v>432</v>
      </c>
      <c r="B272" s="158"/>
      <c r="C272" s="141"/>
    </row>
    <row r="273">
      <c r="A273" s="140" t="s">
        <v>433</v>
      </c>
      <c r="B273" s="158"/>
      <c r="C273" s="141"/>
    </row>
    <row r="274">
      <c r="A274" s="140" t="s">
        <v>434</v>
      </c>
      <c r="B274" s="158"/>
      <c r="C274" s="141"/>
    </row>
    <row r="275">
      <c r="A275" s="152" t="s">
        <v>298</v>
      </c>
      <c r="B275" s="158"/>
      <c r="C275" s="141"/>
    </row>
    <row r="276">
      <c r="A276" s="151" t="s">
        <v>299</v>
      </c>
      <c r="B276" s="160"/>
      <c r="C276" s="141"/>
    </row>
    <row r="277">
      <c r="A277" s="140" t="s">
        <v>435</v>
      </c>
      <c r="B277" s="158"/>
      <c r="C277" s="141"/>
    </row>
    <row r="278">
      <c r="A278" s="140" t="s">
        <v>436</v>
      </c>
      <c r="B278" s="158"/>
      <c r="C278" s="141"/>
    </row>
    <row r="279">
      <c r="A279" s="140" t="s">
        <v>437</v>
      </c>
      <c r="B279" s="158"/>
      <c r="C279" s="141"/>
    </row>
    <row r="280">
      <c r="A280" s="140" t="s">
        <v>438</v>
      </c>
      <c r="B280" s="158"/>
      <c r="C280" s="141"/>
    </row>
    <row r="281">
      <c r="A281" s="140" t="s">
        <v>439</v>
      </c>
      <c r="B281" s="158"/>
      <c r="C281" s="141"/>
    </row>
    <row r="282">
      <c r="A282" s="152" t="s">
        <v>305</v>
      </c>
      <c r="B282" s="158"/>
      <c r="C282" s="141"/>
    </row>
    <row r="283" ht="30.0" customHeight="1">
      <c r="A283" s="157" t="s">
        <v>440</v>
      </c>
      <c r="B283" s="157" t="s">
        <v>441</v>
      </c>
      <c r="C283" s="157" t="s">
        <v>27</v>
      </c>
    </row>
    <row r="284">
      <c r="A284" s="140" t="s">
        <v>442</v>
      </c>
      <c r="B284" s="141"/>
      <c r="C284" s="141"/>
    </row>
    <row r="285">
      <c r="A285" s="140" t="s">
        <v>443</v>
      </c>
      <c r="B285" s="141"/>
      <c r="C285" s="141"/>
    </row>
    <row r="286">
      <c r="A286" s="140" t="s">
        <v>444</v>
      </c>
      <c r="B286" s="141"/>
      <c r="C286" s="141"/>
    </row>
    <row r="287">
      <c r="A287" s="151" t="s">
        <v>275</v>
      </c>
      <c r="B287" s="142"/>
      <c r="C287" s="142"/>
    </row>
    <row r="288">
      <c r="A288" s="140" t="s">
        <v>277</v>
      </c>
      <c r="B288" s="141"/>
      <c r="C288" s="141"/>
    </row>
    <row r="289">
      <c r="A289" s="151" t="s">
        <v>278</v>
      </c>
      <c r="B289" s="141"/>
      <c r="C289" s="141"/>
    </row>
    <row r="290">
      <c r="A290" s="151" t="s">
        <v>279</v>
      </c>
      <c r="B290" s="141"/>
      <c r="C290" s="141"/>
    </row>
    <row r="291">
      <c r="A291" s="151" t="s">
        <v>280</v>
      </c>
      <c r="B291" s="141"/>
      <c r="C291" s="141"/>
    </row>
    <row r="292">
      <c r="A292" s="140" t="s">
        <v>445</v>
      </c>
      <c r="B292" s="141"/>
      <c r="C292" s="141"/>
    </row>
    <row r="293">
      <c r="A293" s="151" t="s">
        <v>282</v>
      </c>
      <c r="B293" s="141"/>
      <c r="C293" s="141"/>
    </row>
    <row r="294">
      <c r="A294" s="140" t="s">
        <v>446</v>
      </c>
      <c r="B294" s="142"/>
      <c r="C294" s="141"/>
    </row>
    <row r="295">
      <c r="A295" s="140" t="s">
        <v>447</v>
      </c>
      <c r="B295" s="141"/>
      <c r="C295" s="141"/>
    </row>
    <row r="296">
      <c r="A296" s="140" t="s">
        <v>448</v>
      </c>
      <c r="B296" s="142"/>
      <c r="C296" s="141"/>
    </row>
    <row r="297">
      <c r="A297" s="140" t="s">
        <v>449</v>
      </c>
      <c r="B297" s="142"/>
      <c r="C297" s="141"/>
    </row>
    <row r="298">
      <c r="A298" s="140" t="s">
        <v>450</v>
      </c>
      <c r="B298" s="141"/>
      <c r="C298" s="141"/>
    </row>
    <row r="299">
      <c r="A299" s="140" t="s">
        <v>288</v>
      </c>
      <c r="B299" s="142"/>
      <c r="C299" s="141"/>
    </row>
    <row r="300">
      <c r="A300" s="140" t="s">
        <v>289</v>
      </c>
      <c r="B300" s="142"/>
      <c r="C300" s="141"/>
    </row>
    <row r="301">
      <c r="A301" s="140" t="s">
        <v>290</v>
      </c>
      <c r="B301" s="141"/>
      <c r="C301" s="141"/>
    </row>
    <row r="302">
      <c r="A302" s="152" t="s">
        <v>291</v>
      </c>
      <c r="B302" s="154"/>
      <c r="C302" s="141"/>
    </row>
    <row r="303">
      <c r="A303" s="140" t="s">
        <v>451</v>
      </c>
      <c r="B303" s="141"/>
      <c r="C303" s="141"/>
    </row>
    <row r="304">
      <c r="A304" s="140" t="s">
        <v>452</v>
      </c>
      <c r="B304" s="141"/>
      <c r="C304" s="141"/>
    </row>
    <row r="305">
      <c r="A305" s="140" t="s">
        <v>453</v>
      </c>
      <c r="B305" s="141"/>
      <c r="C305" s="141"/>
    </row>
    <row r="306">
      <c r="A306" s="140" t="s">
        <v>454</v>
      </c>
      <c r="B306" s="141"/>
      <c r="C306" s="141"/>
    </row>
    <row r="307">
      <c r="A307" s="140" t="s">
        <v>455</v>
      </c>
      <c r="B307" s="141"/>
      <c r="C307" s="141"/>
    </row>
    <row r="308">
      <c r="A308" s="140" t="s">
        <v>456</v>
      </c>
      <c r="B308" s="141"/>
      <c r="C308" s="141"/>
    </row>
    <row r="309">
      <c r="A309" s="152" t="s">
        <v>298</v>
      </c>
      <c r="B309" s="141"/>
      <c r="C309" s="141"/>
    </row>
    <row r="310">
      <c r="A310" s="151" t="s">
        <v>299</v>
      </c>
      <c r="B310" s="142"/>
      <c r="C310" s="141"/>
    </row>
    <row r="311">
      <c r="A311" s="140" t="s">
        <v>457</v>
      </c>
      <c r="B311" s="141"/>
      <c r="C311" s="141"/>
    </row>
    <row r="312">
      <c r="A312" s="140" t="s">
        <v>458</v>
      </c>
      <c r="B312" s="141"/>
      <c r="C312" s="141"/>
    </row>
    <row r="313">
      <c r="A313" s="140" t="s">
        <v>459</v>
      </c>
      <c r="B313" s="141"/>
      <c r="C313" s="141"/>
    </row>
    <row r="314">
      <c r="A314" s="140" t="s">
        <v>460</v>
      </c>
      <c r="B314" s="141"/>
      <c r="C314" s="141"/>
    </row>
    <row r="315">
      <c r="A315" s="140" t="s">
        <v>461</v>
      </c>
      <c r="B315" s="141"/>
      <c r="C315" s="141"/>
    </row>
    <row r="316">
      <c r="A316" s="152" t="s">
        <v>305</v>
      </c>
      <c r="B316" s="141"/>
      <c r="C316" s="141"/>
    </row>
    <row r="317" ht="30.0" customHeight="1">
      <c r="A317" s="139" t="s">
        <v>462</v>
      </c>
      <c r="B317" s="139" t="s">
        <v>441</v>
      </c>
      <c r="C317" s="139" t="s">
        <v>27</v>
      </c>
    </row>
    <row r="318">
      <c r="A318" s="140" t="s">
        <v>463</v>
      </c>
      <c r="B318" s="141"/>
      <c r="C318" s="141"/>
    </row>
    <row r="319">
      <c r="A319" s="140" t="s">
        <v>443</v>
      </c>
      <c r="B319" s="141"/>
      <c r="C319" s="141"/>
    </row>
    <row r="320">
      <c r="A320" s="140" t="s">
        <v>444</v>
      </c>
      <c r="B320" s="141"/>
      <c r="C320" s="141"/>
    </row>
    <row r="321">
      <c r="A321" s="151" t="s">
        <v>275</v>
      </c>
      <c r="B321" s="142"/>
      <c r="C321" s="142"/>
    </row>
    <row r="322">
      <c r="A322" s="140" t="s">
        <v>277</v>
      </c>
      <c r="B322" s="141"/>
      <c r="C322" s="141"/>
    </row>
    <row r="323">
      <c r="A323" s="151" t="s">
        <v>278</v>
      </c>
      <c r="B323" s="141"/>
      <c r="C323" s="141"/>
    </row>
    <row r="324">
      <c r="A324" s="151" t="s">
        <v>279</v>
      </c>
      <c r="B324" s="141"/>
      <c r="C324" s="141"/>
    </row>
    <row r="325">
      <c r="A325" s="151" t="s">
        <v>280</v>
      </c>
      <c r="B325" s="141"/>
      <c r="C325" s="141"/>
    </row>
    <row r="326">
      <c r="A326" s="140" t="s">
        <v>445</v>
      </c>
      <c r="B326" s="141"/>
      <c r="C326" s="141"/>
    </row>
    <row r="327">
      <c r="A327" s="151" t="s">
        <v>282</v>
      </c>
      <c r="B327" s="141"/>
      <c r="C327" s="141"/>
    </row>
    <row r="328">
      <c r="A328" s="140" t="s">
        <v>446</v>
      </c>
      <c r="B328" s="142"/>
      <c r="C328" s="141"/>
    </row>
    <row r="329">
      <c r="A329" s="140" t="s">
        <v>447</v>
      </c>
      <c r="B329" s="141"/>
      <c r="C329" s="141"/>
    </row>
    <row r="330">
      <c r="A330" s="140" t="s">
        <v>448</v>
      </c>
      <c r="B330" s="142"/>
      <c r="C330" s="141"/>
    </row>
    <row r="331">
      <c r="A331" s="140" t="s">
        <v>449</v>
      </c>
      <c r="B331" s="142"/>
      <c r="C331" s="141"/>
    </row>
    <row r="332">
      <c r="A332" s="140" t="s">
        <v>450</v>
      </c>
      <c r="B332" s="141"/>
      <c r="C332" s="141"/>
    </row>
    <row r="333">
      <c r="A333" s="140" t="s">
        <v>288</v>
      </c>
      <c r="B333" s="142"/>
      <c r="C333" s="141"/>
    </row>
    <row r="334">
      <c r="A334" s="140" t="s">
        <v>289</v>
      </c>
      <c r="B334" s="142"/>
      <c r="C334" s="141"/>
    </row>
    <row r="335">
      <c r="A335" s="140" t="s">
        <v>290</v>
      </c>
      <c r="B335" s="141"/>
      <c r="C335" s="141"/>
    </row>
    <row r="336">
      <c r="A336" s="152" t="s">
        <v>291</v>
      </c>
      <c r="B336" s="154"/>
      <c r="C336" s="141"/>
    </row>
    <row r="337">
      <c r="A337" s="140" t="s">
        <v>451</v>
      </c>
      <c r="B337" s="141"/>
      <c r="C337" s="141"/>
    </row>
    <row r="338">
      <c r="A338" s="140" t="s">
        <v>452</v>
      </c>
      <c r="B338" s="141"/>
      <c r="C338" s="141"/>
    </row>
    <row r="339">
      <c r="A339" s="140" t="s">
        <v>453</v>
      </c>
      <c r="B339" s="141"/>
      <c r="C339" s="141"/>
    </row>
    <row r="340">
      <c r="A340" s="140" t="s">
        <v>454</v>
      </c>
      <c r="B340" s="141"/>
      <c r="C340" s="141"/>
    </row>
    <row r="341">
      <c r="A341" s="140" t="s">
        <v>455</v>
      </c>
      <c r="B341" s="141"/>
      <c r="C341" s="141"/>
    </row>
    <row r="342">
      <c r="A342" s="140" t="s">
        <v>456</v>
      </c>
      <c r="B342" s="141"/>
      <c r="C342" s="141"/>
    </row>
    <row r="343">
      <c r="A343" s="152" t="s">
        <v>298</v>
      </c>
      <c r="B343" s="141"/>
      <c r="C343" s="141"/>
    </row>
    <row r="344">
      <c r="A344" s="151" t="s">
        <v>299</v>
      </c>
      <c r="B344" s="142"/>
      <c r="C344" s="141"/>
    </row>
    <row r="345">
      <c r="A345" s="140" t="s">
        <v>457</v>
      </c>
      <c r="B345" s="141"/>
      <c r="C345" s="141"/>
    </row>
    <row r="346">
      <c r="A346" s="140" t="s">
        <v>458</v>
      </c>
      <c r="B346" s="141"/>
      <c r="C346" s="141"/>
    </row>
    <row r="347">
      <c r="A347" s="140" t="s">
        <v>459</v>
      </c>
      <c r="B347" s="141"/>
      <c r="C347" s="141"/>
    </row>
    <row r="348">
      <c r="A348" s="140" t="s">
        <v>460</v>
      </c>
      <c r="B348" s="141"/>
      <c r="C348" s="141"/>
    </row>
    <row r="349">
      <c r="A349" s="140" t="s">
        <v>461</v>
      </c>
      <c r="B349" s="141"/>
      <c r="C349" s="141"/>
    </row>
    <row r="350">
      <c r="A350" s="152" t="s">
        <v>305</v>
      </c>
      <c r="B350" s="141"/>
      <c r="C350" s="141"/>
    </row>
    <row r="351" ht="30.0" customHeight="1">
      <c r="A351" s="139" t="s">
        <v>464</v>
      </c>
      <c r="B351" s="139" t="s">
        <v>441</v>
      </c>
      <c r="C351" s="139" t="s">
        <v>27</v>
      </c>
    </row>
    <row r="352">
      <c r="A352" s="140" t="s">
        <v>465</v>
      </c>
      <c r="B352" s="141"/>
      <c r="C352" s="141"/>
    </row>
    <row r="353">
      <c r="A353" s="140" t="s">
        <v>443</v>
      </c>
      <c r="B353" s="158"/>
      <c r="C353" s="141"/>
    </row>
    <row r="354">
      <c r="A354" s="140" t="s">
        <v>444</v>
      </c>
      <c r="B354" s="141"/>
      <c r="C354" s="141"/>
    </row>
    <row r="355">
      <c r="A355" s="151" t="s">
        <v>275</v>
      </c>
      <c r="B355" s="148"/>
      <c r="C355" s="142"/>
    </row>
    <row r="356">
      <c r="A356" s="140" t="s">
        <v>277</v>
      </c>
      <c r="B356" s="141"/>
      <c r="C356" s="141"/>
    </row>
    <row r="357">
      <c r="A357" s="151" t="s">
        <v>278</v>
      </c>
      <c r="B357" s="141"/>
      <c r="C357" s="141"/>
    </row>
    <row r="358">
      <c r="A358" s="151" t="s">
        <v>279</v>
      </c>
      <c r="B358" s="141"/>
      <c r="C358" s="141"/>
    </row>
    <row r="359">
      <c r="A359" s="151" t="s">
        <v>280</v>
      </c>
      <c r="B359" s="141"/>
      <c r="C359" s="141"/>
    </row>
    <row r="360">
      <c r="A360" s="140" t="s">
        <v>445</v>
      </c>
      <c r="B360" s="141"/>
      <c r="C360" s="141"/>
    </row>
    <row r="361">
      <c r="A361" s="151" t="s">
        <v>282</v>
      </c>
      <c r="B361" s="141"/>
      <c r="C361" s="141"/>
    </row>
    <row r="362">
      <c r="A362" s="140" t="s">
        <v>446</v>
      </c>
      <c r="B362" s="142"/>
      <c r="C362" s="141"/>
    </row>
    <row r="363">
      <c r="A363" s="140" t="s">
        <v>447</v>
      </c>
      <c r="B363" s="141"/>
      <c r="C363" s="141"/>
    </row>
    <row r="364">
      <c r="A364" s="140" t="s">
        <v>448</v>
      </c>
      <c r="B364" s="142"/>
      <c r="C364" s="141"/>
    </row>
    <row r="365">
      <c r="A365" s="140" t="s">
        <v>449</v>
      </c>
      <c r="B365" s="142"/>
      <c r="C365" s="141"/>
    </row>
    <row r="366">
      <c r="A366" s="140" t="s">
        <v>450</v>
      </c>
      <c r="B366" s="141"/>
      <c r="C366" s="141"/>
    </row>
    <row r="367">
      <c r="A367" s="140" t="s">
        <v>288</v>
      </c>
      <c r="B367" s="142"/>
      <c r="C367" s="141"/>
    </row>
    <row r="368">
      <c r="A368" s="140" t="s">
        <v>289</v>
      </c>
      <c r="B368" s="142"/>
      <c r="C368" s="141"/>
    </row>
    <row r="369">
      <c r="A369" s="140" t="s">
        <v>290</v>
      </c>
      <c r="B369" s="141"/>
      <c r="C369" s="141"/>
    </row>
    <row r="370">
      <c r="A370" s="152" t="s">
        <v>291</v>
      </c>
      <c r="B370" s="154"/>
      <c r="C370" s="141"/>
    </row>
    <row r="371">
      <c r="A371" s="140" t="s">
        <v>451</v>
      </c>
      <c r="B371" s="141"/>
      <c r="C371" s="141"/>
    </row>
    <row r="372">
      <c r="A372" s="140" t="s">
        <v>452</v>
      </c>
      <c r="B372" s="141"/>
      <c r="C372" s="141"/>
    </row>
    <row r="373">
      <c r="A373" s="140" t="s">
        <v>453</v>
      </c>
      <c r="B373" s="141"/>
      <c r="C373" s="141"/>
    </row>
    <row r="374">
      <c r="A374" s="140" t="s">
        <v>454</v>
      </c>
      <c r="B374" s="141"/>
      <c r="C374" s="141"/>
    </row>
    <row r="375">
      <c r="A375" s="140" t="s">
        <v>455</v>
      </c>
      <c r="B375" s="141"/>
      <c r="C375" s="141"/>
    </row>
    <row r="376">
      <c r="A376" s="140" t="s">
        <v>456</v>
      </c>
      <c r="B376" s="141"/>
      <c r="C376" s="141"/>
    </row>
    <row r="377">
      <c r="A377" s="152" t="s">
        <v>298</v>
      </c>
      <c r="B377" s="141"/>
      <c r="C377" s="141"/>
    </row>
    <row r="378">
      <c r="A378" s="151" t="s">
        <v>299</v>
      </c>
      <c r="B378" s="142"/>
      <c r="C378" s="141"/>
    </row>
    <row r="379">
      <c r="A379" s="140" t="s">
        <v>457</v>
      </c>
      <c r="B379" s="141"/>
      <c r="C379" s="141"/>
    </row>
    <row r="380">
      <c r="A380" s="140" t="s">
        <v>458</v>
      </c>
      <c r="B380" s="141"/>
      <c r="C380" s="141"/>
    </row>
    <row r="381">
      <c r="A381" s="140" t="s">
        <v>459</v>
      </c>
      <c r="B381" s="141"/>
      <c r="C381" s="141"/>
    </row>
    <row r="382">
      <c r="A382" s="140" t="s">
        <v>460</v>
      </c>
      <c r="B382" s="141"/>
      <c r="C382" s="141"/>
    </row>
    <row r="383">
      <c r="A383" s="140" t="s">
        <v>461</v>
      </c>
      <c r="B383" s="141"/>
      <c r="C383" s="141"/>
    </row>
    <row r="384">
      <c r="A384" s="152" t="s">
        <v>305</v>
      </c>
      <c r="B384" s="141"/>
      <c r="C384" s="141"/>
    </row>
  </sheetData>
  <conditionalFormatting sqref="B8">
    <cfRule type="notContainsBlanks" dxfId="1" priority="1">
      <formula>LEN(TRIM(B8))&gt;0</formula>
    </cfRule>
  </conditionalFormatting>
  <dataValidations>
    <dataValidation type="list" allowBlank="1" sqref="B41 B263 B276:B281">
      <formula1>"Yes,No"</formula1>
    </dataValidation>
    <dataValidation type="list" allowBlank="1" sqref="B31">
      <formula1>"High,Medium,Low"</formula1>
    </dataValidation>
    <dataValidation type="list" allowBlank="1" sqref="B6">
      <formula1>"Owned,Leased,N/A"</formula1>
    </dataValidation>
    <dataValidation type="list" allowBlank="1" sqref="B9">
      <formula1>"Model 1,Model 2,Model 3,Model 4"</formula1>
    </dataValidation>
    <dataValidation type="custom" allowBlank="1" showDropDown="1" sqref="B62">
      <formula1>OR(NOT(ISERROR(DATEVALUE(B62))), AND(ISNUMBER(B62), LEFT(CELL("format", B62))="D"))</formula1>
    </dataValidation>
    <dataValidation type="list" allowBlank="1" sqref="B59">
      <formula1>"Yes,No,N/A,Not Verified"</formula1>
    </dataValidation>
    <dataValidation type="list" allowBlank="1" sqref="B63 B97 B131 B165 B199 B233 B303 B337 B371">
      <formula1>'12-VLook'!$E$2:$E384</formula1>
    </dataValidation>
    <dataValidation type="list" allowBlank="1" sqref="B8 B17:B23 B32:B35 B40 B46:B47 B54 B56:B57 B60 B69:B75 B81 B88 B90:B91 B93:B94 B103:B109 B115 B122 B124:B125 B127:B128 B137:B143 B149 B156 B158:B159 B161:B162 B171:B177 B183 B190 B192:B193 B195:B196 B205:B211 B217 B224 B226:B227 B229:B230 B239:B245 B256 B265:B266 B287 B294 B296:B297 B299:B300 B309:B315 B321 B328 B330:B331 B333:B334 B343:B349 B355 B362 B364:B365 B367:B368 B377:B383">
      <formula1>"Yes,No,N/A"</formula1>
    </dataValidation>
    <dataValidation type="list" allowBlank="1" sqref="B26">
      <formula1>"Positive,Negative,N/A"</formula1>
    </dataValidation>
    <dataValidation type="list" allowBlank="1" sqref="B55 B89 B123 B157 B191 B225 B295 B329 B363">
      <formula1>"Google,Landlord,N/A"</formula1>
    </dataValidation>
    <dataValidation type="list" allowBlank="1" sqref="B65 B99 B133 B167 B201 B235 B305 B339 B373">
      <formula1>'12-VLook'!$B$2:$B$500</formula1>
    </dataValidation>
    <dataValidation type="list" allowBlank="1" sqref="B10">
      <formula1>"Cyber Complaint,Smart Ready"</formula1>
    </dataValidation>
    <dataValidation type="list" allowBlank="1" sqref="B11">
      <formula1>"IoT Lite,IoT Hybrid,IoT Heavy"</formula1>
    </dataValidation>
  </dataValidations>
  <printOptions gridLines="1" horizontalCentered="1"/>
  <pageMargins bottom="0.75" footer="0.0" header="0.0" left="0.25" right="0.25" top="0.75"/>
  <pageSetup fitToHeight="0" paperSize="8"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10.14"/>
    <col customWidth="1" min="2" max="17" width="35.86"/>
    <col customWidth="1" min="18" max="18" width="102.71"/>
    <col customWidth="1" min="19" max="19" width="35.86"/>
  </cols>
  <sheetData>
    <row r="1" ht="30.0" customHeight="1">
      <c r="A1" s="161"/>
      <c r="B1" s="162" t="s">
        <v>466</v>
      </c>
      <c r="C1" s="48"/>
      <c r="D1" s="48"/>
      <c r="E1" s="49"/>
      <c r="F1" s="162"/>
      <c r="G1" s="49"/>
      <c r="H1" s="162"/>
      <c r="I1" s="49"/>
      <c r="J1" s="162" t="s">
        <v>466</v>
      </c>
      <c r="K1" s="48"/>
      <c r="L1" s="48"/>
      <c r="M1" s="48"/>
      <c r="N1" s="48"/>
      <c r="O1" s="48"/>
      <c r="P1" s="48"/>
      <c r="Q1" s="49"/>
      <c r="R1" s="163" t="s">
        <v>27</v>
      </c>
      <c r="S1" s="164" t="s">
        <v>467</v>
      </c>
    </row>
    <row r="2" ht="30.0" customHeight="1" collapsed="1">
      <c r="A2" s="161" t="s">
        <v>468</v>
      </c>
      <c r="B2" s="165" t="s">
        <v>469</v>
      </c>
      <c r="C2" s="48"/>
      <c r="D2" s="48"/>
      <c r="E2" s="49"/>
      <c r="F2" s="165"/>
      <c r="G2" s="49"/>
      <c r="H2" s="165"/>
      <c r="I2" s="49"/>
      <c r="J2" s="165" t="s">
        <v>469</v>
      </c>
      <c r="K2" s="49"/>
      <c r="L2" s="165" t="s">
        <v>470</v>
      </c>
      <c r="M2" s="48"/>
      <c r="N2" s="48"/>
      <c r="O2" s="48"/>
      <c r="P2" s="48"/>
      <c r="Q2" s="49"/>
      <c r="R2" s="163"/>
      <c r="S2" s="166" t="s">
        <v>471</v>
      </c>
    </row>
    <row r="3" hidden="1" outlineLevel="1">
      <c r="A3" s="167" t="s">
        <v>472</v>
      </c>
      <c r="B3" s="168" t="s">
        <v>473</v>
      </c>
      <c r="C3" s="169" t="s">
        <v>474</v>
      </c>
      <c r="D3" s="169" t="s">
        <v>475</v>
      </c>
      <c r="E3" s="169" t="s">
        <v>476</v>
      </c>
      <c r="F3" s="169" t="s">
        <v>477</v>
      </c>
      <c r="G3" s="168" t="s">
        <v>478</v>
      </c>
      <c r="H3" s="168" t="s">
        <v>479</v>
      </c>
      <c r="I3" s="168" t="s">
        <v>480</v>
      </c>
      <c r="J3" s="168" t="s">
        <v>481</v>
      </c>
      <c r="K3" s="168" t="s">
        <v>482</v>
      </c>
      <c r="L3" s="168" t="s">
        <v>483</v>
      </c>
      <c r="M3" s="168" t="s">
        <v>484</v>
      </c>
      <c r="N3" s="168" t="s">
        <v>485</v>
      </c>
      <c r="O3" s="168" t="s">
        <v>486</v>
      </c>
      <c r="P3" s="168" t="s">
        <v>487</v>
      </c>
      <c r="Q3" s="168" t="s">
        <v>488</v>
      </c>
      <c r="R3" s="168" t="s">
        <v>489</v>
      </c>
      <c r="S3" s="170" t="s">
        <v>490</v>
      </c>
    </row>
    <row r="4" ht="30.0" customHeight="1">
      <c r="A4" s="161" t="s">
        <v>61</v>
      </c>
      <c r="B4" s="161" t="s">
        <v>491</v>
      </c>
      <c r="C4" s="171" t="s">
        <v>182</v>
      </c>
      <c r="D4" s="172" t="s">
        <v>492</v>
      </c>
      <c r="E4" s="172" t="s">
        <v>493</v>
      </c>
      <c r="F4" s="161" t="str">
        <f>Concatenate("Quantity (", Sum(F5:F101), ")")</f>
        <v>Quantity (3244)</v>
      </c>
      <c r="G4" s="161" t="s">
        <v>494</v>
      </c>
      <c r="H4" s="171" t="s">
        <v>495</v>
      </c>
      <c r="I4" s="161" t="s">
        <v>496</v>
      </c>
      <c r="J4" s="171" t="s">
        <v>497</v>
      </c>
      <c r="K4" s="171" t="s">
        <v>498</v>
      </c>
      <c r="L4" s="171" t="s">
        <v>499</v>
      </c>
      <c r="M4" s="171" t="s">
        <v>500</v>
      </c>
      <c r="N4" s="171" t="s">
        <v>501</v>
      </c>
      <c r="O4" s="171" t="s">
        <v>502</v>
      </c>
      <c r="P4" s="171" t="s">
        <v>503</v>
      </c>
      <c r="Q4" s="69" t="s">
        <v>504</v>
      </c>
      <c r="R4" s="171" t="s">
        <v>27</v>
      </c>
      <c r="S4" s="164" t="s">
        <v>505</v>
      </c>
    </row>
    <row r="5" ht="30.0" customHeight="1">
      <c r="A5" s="173">
        <v>1.0</v>
      </c>
      <c r="B5" s="174" t="s">
        <v>506</v>
      </c>
      <c r="C5" s="175" t="str">
        <f t="array" ref="C5">iferror(index('4-All Devices'!$A:$BB, match($B5 ,'4-All Devices'!BG:BG,0 ),match(C$4,'4-All Devices'!$4:$4,0)),"")</f>
        <v>Building Management System</v>
      </c>
      <c r="D5" s="175" t="str">
        <f t="array" ref="D5">iferror(index('4-All Devices'!$A:$BB, match($B5 ,'4-All Devices'!BG:BG,0 ),match(D$4,'4-All Devices'!$4:$4,0)),"")</f>
        <v>ALC</v>
      </c>
      <c r="E5" s="176" t="str">
        <f t="array" ref="E5">iferror(index('4-All Devices'!$A:$BB, match($B5 ,'4-All Devices'!BG:BG,0 ),match(E$4,'4-All Devices'!$4:$4,0)),"")</f>
        <v>G5CE</v>
      </c>
      <c r="F5" s="176">
        <f>if(countifs('4-All Devices'!BG:BG,B5)=0,"",countifs('4-All Devices'!BG:BG,B5))</f>
        <v>151</v>
      </c>
      <c r="G5" s="177" t="s">
        <v>507</v>
      </c>
      <c r="H5" s="174" t="s">
        <v>508</v>
      </c>
      <c r="I5" s="174"/>
      <c r="J5" s="174"/>
      <c r="K5" s="174"/>
      <c r="L5" s="174"/>
      <c r="M5" s="174"/>
      <c r="N5" s="174"/>
      <c r="O5" s="174"/>
      <c r="P5" s="174"/>
      <c r="Q5" s="174"/>
      <c r="R5" s="178"/>
      <c r="S5" s="179"/>
    </row>
    <row r="6" ht="30.0" customHeight="1">
      <c r="A6" s="173">
        <f t="shared" ref="A6:A104" si="1">A5+1</f>
        <v>2</v>
      </c>
      <c r="B6" s="174" t="s">
        <v>509</v>
      </c>
      <c r="C6" s="175" t="str">
        <f t="array" ref="C6">iferror(index('4-All Devices'!$A:$BB, match($B6 ,'4-All Devices'!BG:BG,0 ),match(C$4,'4-All Devices'!$4:$4,0)),"")</f>
        <v>Building Management System</v>
      </c>
      <c r="D6" s="175" t="str">
        <f t="array" ref="D6">iferror(index('4-All Devices'!$A:$BB, match($B6 ,'4-All Devices'!BG:BG,0 ),match(D$4,'4-All Devices'!$4:$4,0)),"")</f>
        <v>ALC</v>
      </c>
      <c r="E6" s="176" t="str">
        <f t="array" ref="E6">iferror(index('4-All Devices'!$A:$BB, match($B6 ,'4-All Devices'!BG:BG,0 ),match(E$4,'4-All Devices'!$4:$4,0)),"")</f>
        <v>OFHI</v>
      </c>
      <c r="F6" s="176">
        <f>if(countifs('4-All Devices'!BG:BG,B6)=0,"",countifs('4-All Devices'!BG:BG,B6))</f>
        <v>45</v>
      </c>
      <c r="G6" s="177" t="s">
        <v>510</v>
      </c>
      <c r="H6" s="174" t="s">
        <v>508</v>
      </c>
      <c r="I6" s="178"/>
      <c r="J6" s="174"/>
      <c r="K6" s="174"/>
      <c r="L6" s="174"/>
      <c r="M6" s="174"/>
      <c r="N6" s="174"/>
      <c r="O6" s="174"/>
      <c r="P6" s="178"/>
      <c r="Q6" s="178"/>
      <c r="R6" s="178"/>
      <c r="S6" s="180"/>
    </row>
    <row r="7" ht="30.0" customHeight="1">
      <c r="A7" s="173">
        <f t="shared" si="1"/>
        <v>3</v>
      </c>
      <c r="B7" s="174" t="s">
        <v>511</v>
      </c>
      <c r="C7" s="175" t="str">
        <f t="array" ref="C7">iferror(index('4-All Devices'!$A:$BB, match($B7 ,'4-All Devices'!BG:BG,0 ),match(C$4,'4-All Devices'!$4:$4,0)),"")</f>
        <v>Building Management System</v>
      </c>
      <c r="D7" s="175" t="str">
        <f t="array" ref="D7">iferror(index('4-All Devices'!$A:$BB, match($B7 ,'4-All Devices'!BG:BG,0 ),match(D$4,'4-All Devices'!$4:$4,0)),"")</f>
        <v>SAUTER</v>
      </c>
      <c r="E7" s="176" t="str">
        <f t="array" ref="E7">iferror(index('4-All Devices'!$A:$BB, match($B7 ,'4-All Devices'!BG:BG,0 ),match(E$4,'4-All Devices'!$4:$4,0)),"")</f>
        <v>EY-GT103F001</v>
      </c>
      <c r="F7" s="176">
        <f>if(countifs('4-All Devices'!BG:BG,B7)=0,"",countifs('4-All Devices'!BG:BG,B7))</f>
        <v>46</v>
      </c>
      <c r="G7" s="177" t="s">
        <v>512</v>
      </c>
      <c r="H7" s="174" t="s">
        <v>508</v>
      </c>
      <c r="I7" s="178"/>
      <c r="J7" s="174"/>
      <c r="K7" s="174"/>
      <c r="L7" s="174"/>
      <c r="M7" s="174"/>
      <c r="N7" s="174"/>
      <c r="O7" s="174"/>
      <c r="P7" s="178"/>
      <c r="Q7" s="178"/>
      <c r="R7" s="178"/>
      <c r="S7" s="180"/>
    </row>
    <row r="8" ht="30.0" customHeight="1">
      <c r="A8" s="173">
        <f t="shared" si="1"/>
        <v>4</v>
      </c>
      <c r="B8" s="174" t="s">
        <v>513</v>
      </c>
      <c r="C8" s="175" t="str">
        <f t="array" ref="C8">iferror(index('4-All Devices'!$A:$BB, match($B8 ,'4-All Devices'!BG:BG,0 ),match(C$4,'4-All Devices'!$4:$4,0)),"")</f>
        <v>Building Management System</v>
      </c>
      <c r="D8" s="175" t="str">
        <f t="array" ref="D8">iferror(index('4-All Devices'!$A:$BB, match($B8 ,'4-All Devices'!BG:BG,0 ),match(D$4,'4-All Devices'!$4:$4,0)),"")</f>
        <v>SAUTER</v>
      </c>
      <c r="E8" s="176" t="str">
        <f t="array" ref="E8">iferror(index('4-All Devices'!$A:$BB, match($B8 ,'4-All Devices'!BG:BG,0 ),match(E$4,'4-All Devices'!$4:$4,0)),"")</f>
        <v>EY-RC504FXXX</v>
      </c>
      <c r="F8" s="176">
        <f>if(countifs('4-All Devices'!BG:BG,B8)=0,"",countifs('4-All Devices'!BG:BG,B8))</f>
        <v>178</v>
      </c>
      <c r="G8" s="177" t="s">
        <v>514</v>
      </c>
      <c r="H8" s="174" t="s">
        <v>508</v>
      </c>
      <c r="I8" s="178"/>
      <c r="J8" s="174"/>
      <c r="K8" s="174"/>
      <c r="L8" s="174"/>
      <c r="M8" s="174"/>
      <c r="N8" s="174"/>
      <c r="O8" s="174"/>
      <c r="P8" s="178"/>
      <c r="Q8" s="178"/>
      <c r="R8" s="178"/>
      <c r="S8" s="180"/>
    </row>
    <row r="9" ht="30.0" customHeight="1">
      <c r="A9" s="173">
        <f t="shared" si="1"/>
        <v>5</v>
      </c>
      <c r="B9" s="174" t="s">
        <v>515</v>
      </c>
      <c r="C9" s="175" t="str">
        <f t="array" ref="C9">iferror(index('4-All Devices'!$A:$BB, match($B9 ,'4-All Devices'!BG:BG,0 ),match(C$4,'4-All Devices'!$4:$4,0)),"")</f>
        <v>Building Management System</v>
      </c>
      <c r="D9" s="175" t="str">
        <f t="array" ref="D9">iferror(index('4-All Devices'!$A:$BB, match($B9 ,'4-All Devices'!BG:BG,0 ),match(D$4,'4-All Devices'!$4:$4,0)),"")</f>
        <v>TRANE</v>
      </c>
      <c r="E9" s="176" t="str">
        <f t="array" ref="E9">iferror(index('4-All Devices'!$A:$BB, match($B9 ,'4-All Devices'!BG:BG,0 ),match(E$4,'4-All Devices'!$4:$4,0)),"")</f>
        <v>TRACER SC+</v>
      </c>
      <c r="F9" s="176">
        <f>if(countifs('4-All Devices'!BG:BG,B9)=0,"",countifs('4-All Devices'!BG:BG,B9))</f>
        <v>2</v>
      </c>
      <c r="G9" s="177" t="s">
        <v>516</v>
      </c>
      <c r="H9" s="174" t="s">
        <v>508</v>
      </c>
      <c r="I9" s="178"/>
      <c r="J9" s="174"/>
      <c r="K9" s="174"/>
      <c r="L9" s="174"/>
      <c r="M9" s="174"/>
      <c r="N9" s="174"/>
      <c r="O9" s="174"/>
      <c r="P9" s="178"/>
      <c r="Q9" s="178"/>
      <c r="R9" s="178"/>
      <c r="S9" s="180"/>
    </row>
    <row r="10" ht="30.0" customHeight="1">
      <c r="A10" s="173">
        <f t="shared" si="1"/>
        <v>6</v>
      </c>
      <c r="B10" s="174" t="s">
        <v>517</v>
      </c>
      <c r="C10" s="175" t="str">
        <f t="array" ref="C10">iferror(index('4-All Devices'!$A:$BB, match($B10 ,'4-All Devices'!BG:BG,0 ),match(C$4,'4-All Devices'!$4:$4,0)),"")</f>
        <v>Building Management System</v>
      </c>
      <c r="D10" s="175" t="str">
        <f t="array" ref="D10">iferror(index('4-All Devices'!$A:$BB, match($B10 ,'4-All Devices'!BG:BG,0 ),match(D$4,'4-All Devices'!$4:$4,0)),"")</f>
        <v>Tridium</v>
      </c>
      <c r="E10" s="176" t="str">
        <f t="array" ref="E10">iferror(index('4-All Devices'!$A:$BB, match($B10 ,'4-All Devices'!BG:BG,0 ),match(E$4,'4-All Devices'!$4:$4,0)),"")</f>
        <v>JACE 8000</v>
      </c>
      <c r="F10" s="176">
        <f>if(countifs('4-All Devices'!BG:BG,B10)=0,"",countifs('4-All Devices'!BG:BG,B10))</f>
        <v>2</v>
      </c>
      <c r="G10" s="177" t="s">
        <v>518</v>
      </c>
      <c r="H10" s="174" t="s">
        <v>508</v>
      </c>
      <c r="I10" s="174"/>
      <c r="J10" s="174"/>
      <c r="K10" s="174"/>
      <c r="L10" s="174"/>
      <c r="M10" s="174"/>
      <c r="N10" s="174"/>
      <c r="O10" s="174"/>
      <c r="P10" s="178"/>
      <c r="Q10" s="178"/>
      <c r="R10" s="178"/>
      <c r="S10" s="180"/>
    </row>
    <row r="11" ht="30.0" customHeight="1">
      <c r="A11" s="173">
        <f t="shared" si="1"/>
        <v>7</v>
      </c>
      <c r="B11" s="174" t="s">
        <v>519</v>
      </c>
      <c r="C11" s="175" t="str">
        <f t="array" ref="C11">iferror(index('4-All Devices'!$A:$BB, match($B11 ,'4-All Devices'!BG:BG,0 ),match(C$4,'4-All Devices'!$4:$4,0)),"")</f>
        <v>Building Management System</v>
      </c>
      <c r="D11" s="175" t="str">
        <f t="array" ref="D11">iferror(index('4-All Devices'!$A:$BB, match($B11 ,'4-All Devices'!BG:BG,0 ),match(D$4,'4-All Devices'!$4:$4,0)),"")</f>
        <v>Neptronic</v>
      </c>
      <c r="E11" s="176" t="str">
        <f t="array" ref="E11">iferror(index('4-All Devices'!$A:$BB, match($B11 ,'4-All Devices'!BG:BG,0 ),match(E$4,'4-All Devices'!$4:$4,0)),"")</f>
        <v>EVCB SERIES</v>
      </c>
      <c r="F11" s="176">
        <f>if(countifs('4-All Devices'!BG:BG,B11)=0,"",countifs('4-All Devices'!BG:BG,B11))</f>
        <v>2122</v>
      </c>
      <c r="G11" s="177"/>
      <c r="H11" s="174" t="s">
        <v>245</v>
      </c>
      <c r="I11" s="174"/>
      <c r="J11" s="174"/>
      <c r="K11" s="174"/>
      <c r="L11" s="174"/>
      <c r="M11" s="174"/>
      <c r="N11" s="174"/>
      <c r="O11" s="174"/>
      <c r="P11" s="178"/>
      <c r="Q11" s="178"/>
      <c r="R11" s="178"/>
      <c r="S11" s="180"/>
    </row>
    <row r="12" ht="30.0" customHeight="1">
      <c r="A12" s="173">
        <f t="shared" si="1"/>
        <v>8</v>
      </c>
      <c r="B12" s="174" t="s">
        <v>520</v>
      </c>
      <c r="C12" s="175" t="str">
        <f t="array" ref="C12">iferror(index('4-All Devices'!$A:$BB, match($B12 ,'4-All Devices'!BG:BG,0 ),match(C$4,'4-All Devices'!$4:$4,0)),"")</f>
        <v>Building Management System</v>
      </c>
      <c r="D12" s="175" t="str">
        <f t="array" ref="D12">iferror(index('4-All Devices'!$A:$BB, match($B12 ,'4-All Devices'!BG:BG,0 ),match(D$4,'4-All Devices'!$4:$4,0)),"")</f>
        <v>Aquagen</v>
      </c>
      <c r="E12" s="176" t="str">
        <f t="array" ref="E12">iferror(index('4-All Devices'!$A:$BB, match($B12 ,'4-All Devices'!BG:BG,0 ),match(E$4,'4-All Devices'!$4:$4,0)),"")</f>
        <v>EVCB SERIES</v>
      </c>
      <c r="F12" s="176">
        <f>if(countifs('4-All Devices'!BG:BG,B12)=0,"",countifs('4-All Devices'!BG:BG,B12))</f>
        <v>165</v>
      </c>
      <c r="G12" s="177"/>
      <c r="H12" s="174" t="s">
        <v>245</v>
      </c>
      <c r="I12" s="178"/>
      <c r="J12" s="174"/>
      <c r="K12" s="174"/>
      <c r="L12" s="174"/>
      <c r="M12" s="174"/>
      <c r="N12" s="174"/>
      <c r="O12" s="174"/>
      <c r="P12" s="178"/>
      <c r="Q12" s="178"/>
      <c r="R12" s="178"/>
      <c r="S12" s="180"/>
    </row>
    <row r="13" ht="30.0" customHeight="1">
      <c r="A13" s="173">
        <f t="shared" si="1"/>
        <v>9</v>
      </c>
      <c r="B13" s="174" t="s">
        <v>521</v>
      </c>
      <c r="C13" s="175" t="str">
        <f t="array" ref="C13">iferror(index('4-All Devices'!$A:$BB, match($B13 ,'4-All Devices'!BG:BG,0 ),match(C$4,'4-All Devices'!$4:$4,0)),"")</f>
        <v>Building Management System</v>
      </c>
      <c r="D13" s="175" t="str">
        <f t="array" ref="D13">iferror(index('4-All Devices'!$A:$BB, match($B13 ,'4-All Devices'!BG:BG,0 ),match(D$4,'4-All Devices'!$4:$4,0)),"")</f>
        <v>Aquagen</v>
      </c>
      <c r="E13" s="176" t="str">
        <f t="array" ref="E13">iferror(index('4-All Devices'!$A:$BB, match($B13 ,'4-All Devices'!BG:BG,0 ),match(E$4,'4-All Devices'!$4:$4,0)),"")</f>
        <v>UWM-220 DN-50-DN500</v>
      </c>
      <c r="F13" s="176">
        <f>if(countifs('4-All Devices'!BG:BG,B13)=0,"",countifs('4-All Devices'!BG:BG,B13))</f>
        <v>50</v>
      </c>
      <c r="G13" s="174"/>
      <c r="H13" s="174" t="s">
        <v>245</v>
      </c>
      <c r="I13" s="178"/>
      <c r="J13" s="174"/>
      <c r="K13" s="174"/>
      <c r="L13" s="174"/>
      <c r="M13" s="174"/>
      <c r="N13" s="174"/>
      <c r="O13" s="174"/>
      <c r="P13" s="178"/>
      <c r="Q13" s="178"/>
      <c r="R13" s="178"/>
      <c r="S13" s="180"/>
    </row>
    <row r="14" ht="30.0" customHeight="1">
      <c r="A14" s="173">
        <f t="shared" si="1"/>
        <v>10</v>
      </c>
      <c r="B14" s="174" t="s">
        <v>522</v>
      </c>
      <c r="C14" s="175" t="str">
        <f t="array" ref="C14">iferror(index('4-All Devices'!$A:$BB, match($B14 ,'4-All Devices'!BG:BG,0 ),match(C$4,'4-All Devices'!$4:$4,0)),"")</f>
        <v>Building Management System</v>
      </c>
      <c r="D14" s="175" t="str">
        <f t="array" ref="D14">iferror(index('4-All Devices'!$A:$BB, match($B14 ,'4-All Devices'!BG:BG,0 ),match(D$4,'4-All Devices'!$4:$4,0)),"")</f>
        <v>DAIKIN</v>
      </c>
      <c r="E14" s="176" t="str">
        <f t="array" ref="E14">iferror(index('4-All Devices'!$A:$BB, match($B14 ,'4-All Devices'!BG:BG,0 ),match(E$4,'4-All Devices'!$4:$4,0)),"")</f>
        <v>FXZQ32BVM6</v>
      </c>
      <c r="F14" s="176">
        <f>if(countifs('4-All Devices'!BG:BG,B14)=0,"",countifs('4-All Devices'!BG:BG,B14))</f>
        <v>66</v>
      </c>
      <c r="G14" s="174"/>
      <c r="H14" s="174" t="s">
        <v>245</v>
      </c>
      <c r="I14" s="178"/>
      <c r="J14" s="174"/>
      <c r="K14" s="174"/>
      <c r="L14" s="174"/>
      <c r="M14" s="174"/>
      <c r="N14" s="174"/>
      <c r="O14" s="174"/>
      <c r="P14" s="178"/>
      <c r="Q14" s="178"/>
      <c r="R14" s="178"/>
      <c r="S14" s="180"/>
    </row>
    <row r="15" ht="30.0" customHeight="1">
      <c r="A15" s="173">
        <f t="shared" si="1"/>
        <v>11</v>
      </c>
      <c r="B15" s="174" t="s">
        <v>523</v>
      </c>
      <c r="C15" s="175" t="str">
        <f t="array" ref="C15">iferror(index('4-All Devices'!$A:$BB, match($B15 ,'4-All Devices'!BG:BG,0 ),match(C$4,'4-All Devices'!$4:$4,0)),"")</f>
        <v>Building Management System</v>
      </c>
      <c r="D15" s="175" t="str">
        <f t="array" ref="D15">iferror(index('4-All Devices'!$A:$BB, match($B15 ,'4-All Devices'!BG:BG,0 ),match(D$4,'4-All Devices'!$4:$4,0)),"")</f>
        <v>EATON</v>
      </c>
      <c r="E15" s="176" t="str">
        <f t="array" ref="E15">iferror(index('4-All Devices'!$A:$BB, match($B15 ,'4-All Devices'!BG:BG,0 ),match(E$4,'4-All Devices'!$4:$4,0)),"")</f>
        <v>93PR</v>
      </c>
      <c r="F15" s="176">
        <f>if(countifs('4-All Devices'!BG:BG,B15)=0,"",countifs('4-All Devices'!BG:BG,B15))</f>
        <v>20</v>
      </c>
      <c r="G15" s="174"/>
      <c r="H15" s="174" t="s">
        <v>245</v>
      </c>
      <c r="I15" s="178"/>
      <c r="J15" s="174"/>
      <c r="K15" s="174"/>
      <c r="L15" s="174"/>
      <c r="M15" s="174"/>
      <c r="N15" s="174"/>
      <c r="O15" s="174"/>
      <c r="P15" s="178"/>
      <c r="Q15" s="178"/>
      <c r="R15" s="178"/>
      <c r="S15" s="180"/>
    </row>
    <row r="16" ht="30.0" customHeight="1">
      <c r="A16" s="173">
        <f t="shared" si="1"/>
        <v>12</v>
      </c>
      <c r="B16" s="174" t="s">
        <v>524</v>
      </c>
      <c r="C16" s="175" t="str">
        <f t="array" ref="C16">iferror(index('4-All Devices'!$A:$BB, match($B16 ,'4-All Devices'!BG:BG,0 ),match(C$4,'4-All Devices'!$4:$4,0)),"")</f>
        <v>Building Management System</v>
      </c>
      <c r="D16" s="175" t="str">
        <f t="array" ref="D16">iferror(index('4-All Devices'!$A:$BB, match($B16 ,'4-All Devices'!BG:BG,0 ),match(D$4,'4-All Devices'!$4:$4,0)),"")</f>
        <v>EATON</v>
      </c>
      <c r="E16" s="176" t="str">
        <f t="array" ref="E16">iferror(index('4-All Devices'!$A:$BB, match($B16 ,'4-All Devices'!BG:BG,0 ),match(E$4,'4-All Devices'!$4:$4,0)),"")</f>
        <v>R3G630-RB32-03</v>
      </c>
      <c r="F16" s="176">
        <f>if(countifs('4-All Devices'!BG:BG,B16)=0,"",countifs('4-All Devices'!BG:BG,B16))</f>
        <v>1</v>
      </c>
      <c r="G16" s="174"/>
      <c r="H16" s="174" t="s">
        <v>245</v>
      </c>
      <c r="I16" s="178"/>
      <c r="J16" s="174"/>
      <c r="K16" s="174"/>
      <c r="L16" s="174"/>
      <c r="M16" s="174"/>
      <c r="N16" s="174"/>
      <c r="O16" s="174"/>
      <c r="P16" s="178"/>
      <c r="Q16" s="178"/>
      <c r="R16" s="178"/>
      <c r="S16" s="180"/>
    </row>
    <row r="17" ht="30.0" customHeight="1">
      <c r="A17" s="173">
        <f t="shared" si="1"/>
        <v>13</v>
      </c>
      <c r="B17" s="174" t="s">
        <v>525</v>
      </c>
      <c r="C17" s="175" t="str">
        <f t="array" ref="C17">iferror(index('4-All Devices'!$A:$BB, match($B17 ,'4-All Devices'!BG:BG,0 ),match(C$4,'4-All Devices'!$4:$4,0)),"")</f>
        <v>Building Management System</v>
      </c>
      <c r="D17" s="175" t="str">
        <f t="array" ref="D17">iferror(index('4-All Devices'!$A:$BB, match($B17 ,'4-All Devices'!BG:BG,0 ),match(D$4,'4-All Devices'!$4:$4,0)),"")</f>
        <v>SCHNEIDER</v>
      </c>
      <c r="E17" s="176" t="str">
        <f t="array" ref="E17">iferror(index('4-All Devices'!$A:$BB, match($B17 ,'4-All Devices'!BG:BG,0 ),match(E$4,'4-All Devices'!$4:$4,0)),"")</f>
        <v>PM2200</v>
      </c>
      <c r="F17" s="176">
        <f>if(countifs('4-All Devices'!BG:BG,B17)=0,"",countifs('4-All Devices'!BG:BG,B17))</f>
        <v>148</v>
      </c>
      <c r="G17" s="174"/>
      <c r="H17" s="174" t="s">
        <v>245</v>
      </c>
      <c r="I17" s="178"/>
      <c r="J17" s="174"/>
      <c r="K17" s="174"/>
      <c r="L17" s="174"/>
      <c r="M17" s="174"/>
      <c r="N17" s="174"/>
      <c r="O17" s="174"/>
      <c r="P17" s="178"/>
      <c r="Q17" s="178"/>
      <c r="R17" s="178"/>
      <c r="S17" s="180"/>
    </row>
    <row r="18" ht="30.0" customHeight="1">
      <c r="A18" s="173">
        <f t="shared" si="1"/>
        <v>14</v>
      </c>
      <c r="B18" s="174" t="s">
        <v>526</v>
      </c>
      <c r="C18" s="175" t="str">
        <f t="array" ref="C18">iferror(index('4-All Devices'!$A:$BB, match($B18 ,'4-All Devices'!BG:BG,0 ),match(C$4,'4-All Devices'!$4:$4,0)),"")</f>
        <v>Building Management System</v>
      </c>
      <c r="D18" s="175" t="str">
        <f t="array" ref="D18">iferror(index('4-All Devices'!$A:$BB, match($B18 ,'4-All Devices'!BG:BG,0 ),match(D$4,'4-All Devices'!$4:$4,0)),"")</f>
        <v>Nicotra</v>
      </c>
      <c r="E18" s="176" t="str">
        <f t="array" ref="E18">iferror(index('4-All Devices'!$A:$BB, match($B18 ,'4-All Devices'!BG:BG,0 ),match(E$4,'4-All Devices'!$4:$4,0)),"")</f>
        <v>DDMP</v>
      </c>
      <c r="F18" s="176">
        <f>if(countifs('4-All Devices'!BG:BG,B18)=0,"",countifs('4-All Devices'!BG:BG,B18))</f>
        <v>49</v>
      </c>
      <c r="G18" s="174"/>
      <c r="H18" s="174" t="s">
        <v>245</v>
      </c>
      <c r="I18" s="178"/>
      <c r="J18" s="174"/>
      <c r="K18" s="174"/>
      <c r="L18" s="174"/>
      <c r="M18" s="174"/>
      <c r="N18" s="174"/>
      <c r="O18" s="174"/>
      <c r="P18" s="178"/>
      <c r="Q18" s="178"/>
      <c r="R18" s="178"/>
      <c r="S18" s="180"/>
    </row>
    <row r="19" ht="30.0" customHeight="1">
      <c r="A19" s="173">
        <f t="shared" si="1"/>
        <v>15</v>
      </c>
      <c r="B19" s="174" t="s">
        <v>527</v>
      </c>
      <c r="C19" s="175" t="str">
        <f t="array" ref="C19">iferror(index('4-All Devices'!$A:$BB, match($B19 ,'4-All Devices'!BG:BG,0 ),match(C$4,'4-All Devices'!$4:$4,0)),"")</f>
        <v>Building Management System</v>
      </c>
      <c r="D19" s="175" t="str">
        <f t="array" ref="D19">iferror(index('4-All Devices'!$A:$BB, match($B19 ,'4-All Devices'!BG:BG,0 ),match(D$4,'4-All Devices'!$4:$4,0)),"")</f>
        <v>PVR Controls</v>
      </c>
      <c r="E19" s="176" t="str">
        <f t="array" ref="E19">iferror(index('4-All Devices'!$A:$BB, match($B19 ,'4-All Devices'!BG:BG,0 ),match(E$4,'4-All Devices'!$4:$4,0)),"")</f>
        <v>CRC-202000</v>
      </c>
      <c r="F19" s="176">
        <f>if(countifs('4-All Devices'!BG:BG,B19)=0,"",countifs('4-All Devices'!BG:BG,B19))</f>
        <v>28</v>
      </c>
      <c r="G19" s="174"/>
      <c r="H19" s="174" t="s">
        <v>245</v>
      </c>
      <c r="I19" s="178"/>
      <c r="J19" s="174"/>
      <c r="K19" s="174"/>
      <c r="L19" s="174"/>
      <c r="M19" s="174"/>
      <c r="N19" s="174"/>
      <c r="O19" s="174"/>
      <c r="P19" s="178"/>
      <c r="Q19" s="178"/>
      <c r="R19" s="178"/>
      <c r="S19" s="180"/>
    </row>
    <row r="20" ht="30.0" customHeight="1">
      <c r="A20" s="173">
        <f t="shared" si="1"/>
        <v>16</v>
      </c>
      <c r="B20" s="174" t="s">
        <v>528</v>
      </c>
      <c r="C20" s="175" t="str">
        <f t="array" ref="C20">iferror(index('4-All Devices'!$A:$BB, match($B20 ,'4-All Devices'!BG:BG,0 ),match(C$4,'4-All Devices'!$4:$4,0)),"")</f>
        <v>Building Management System</v>
      </c>
      <c r="D20" s="175" t="str">
        <f t="array" ref="D20">iferror(index('4-All Devices'!$A:$BB, match($B20 ,'4-All Devices'!BG:BG,0 ),match(D$4,'4-All Devices'!$4:$4,0)),"")</f>
        <v>SCHNEIDER</v>
      </c>
      <c r="E20" s="176" t="str">
        <f t="array" ref="E20">iferror(index('4-All Devices'!$A:$BB, match($B20 ,'4-All Devices'!BG:BG,0 ),match(E$4,'4-All Devices'!$4:$4,0)),"")</f>
        <v>EASYLOGIC EM6436H RS</v>
      </c>
      <c r="F20" s="176">
        <f>if(countifs('4-All Devices'!BG:BG,B20)=0,"",countifs('4-All Devices'!BG:BG,B20))</f>
        <v>100</v>
      </c>
      <c r="G20" s="174"/>
      <c r="H20" s="174" t="s">
        <v>245</v>
      </c>
      <c r="I20" s="178"/>
      <c r="J20" s="174"/>
      <c r="K20" s="174"/>
      <c r="L20" s="174"/>
      <c r="M20" s="174"/>
      <c r="N20" s="174"/>
      <c r="O20" s="174"/>
      <c r="P20" s="178"/>
      <c r="Q20" s="178"/>
      <c r="R20" s="178"/>
      <c r="S20" s="180"/>
    </row>
    <row r="21" ht="30.0" customHeight="1">
      <c r="A21" s="173">
        <f t="shared" si="1"/>
        <v>17</v>
      </c>
      <c r="B21" s="174" t="s">
        <v>529</v>
      </c>
      <c r="C21" s="175" t="str">
        <f t="array" ref="C21">iferror(index('4-All Devices'!$A:$BB, match($B21 ,'4-All Devices'!BG:BG,0 ),match(C$4,'4-All Devices'!$4:$4,0)),"")</f>
        <v>Building Management System</v>
      </c>
      <c r="D21" s="175" t="str">
        <f t="array" ref="D21">iferror(index('4-All Devices'!$A:$BB, match($B21 ,'4-All Devices'!BG:BG,0 ),match(D$4,'4-All Devices'!$4:$4,0)),"")</f>
        <v>SCHNEIDER</v>
      </c>
      <c r="E21" s="176" t="str">
        <f t="array" ref="E21">iferror(index('4-All Devices'!$A:$BB, match($B21 ,'4-All Devices'!BG:BG,0 ),match(E$4,'4-All Devices'!$4:$4,0)),"")</f>
        <v>IEM3000</v>
      </c>
      <c r="F21" s="176">
        <f>if(countifs('4-All Devices'!BG:BG,B21)=0,"",countifs('4-All Devices'!BG:BG,B21))</f>
        <v>68</v>
      </c>
      <c r="G21" s="174"/>
      <c r="H21" s="174" t="s">
        <v>245</v>
      </c>
      <c r="I21" s="178"/>
      <c r="J21" s="174"/>
      <c r="K21" s="174"/>
      <c r="L21" s="174"/>
      <c r="M21" s="174"/>
      <c r="N21" s="174"/>
      <c r="O21" s="174"/>
      <c r="P21" s="178"/>
      <c r="Q21" s="178"/>
      <c r="R21" s="178"/>
      <c r="S21" s="180"/>
    </row>
    <row r="22" ht="30.0" customHeight="1">
      <c r="A22" s="173">
        <f t="shared" si="1"/>
        <v>18</v>
      </c>
      <c r="B22" s="174" t="s">
        <v>530</v>
      </c>
      <c r="C22" s="175" t="str">
        <f t="array" ref="C22">iferror(index('4-All Devices'!$A:$BB, match($B22 ,'4-All Devices'!BG:BG,0 ),match(C$4,'4-All Devices'!$4:$4,0)),"")</f>
        <v>Building Management System</v>
      </c>
      <c r="D22" s="175" t="str">
        <f t="array" ref="D22">iferror(index('4-All Devices'!$A:$BB, match($B22 ,'4-All Devices'!BG:BG,0 ),match(D$4,'4-All Devices'!$4:$4,0)),"")</f>
        <v>SELEC CONTROLS</v>
      </c>
      <c r="E22" s="176" t="str">
        <f t="array" ref="E22">iferror(index('4-All Devices'!$A:$BB, match($B22 ,'4-All Devices'!BG:BG,0 ),match(E$4,'4-All Devices'!$4:$4,0)),"")</f>
        <v>FLEXYS RAIL</v>
      </c>
      <c r="F22" s="176">
        <f>if(countifs('4-All Devices'!BG:BG,B22)=0,"",countifs('4-All Devices'!BG:BG,B22))</f>
        <v>2</v>
      </c>
      <c r="G22" s="174"/>
      <c r="H22" s="174" t="s">
        <v>245</v>
      </c>
      <c r="I22" s="178"/>
      <c r="J22" s="174"/>
      <c r="K22" s="174"/>
      <c r="L22" s="174"/>
      <c r="M22" s="174"/>
      <c r="N22" s="174"/>
      <c r="O22" s="174"/>
      <c r="P22" s="178"/>
      <c r="Q22" s="178"/>
      <c r="R22" s="178"/>
      <c r="S22" s="180"/>
    </row>
    <row r="23" ht="30.0" customHeight="1">
      <c r="A23" s="173">
        <f t="shared" si="1"/>
        <v>19</v>
      </c>
      <c r="B23" s="174" t="s">
        <v>531</v>
      </c>
      <c r="C23" s="175" t="str">
        <f t="array" ref="C23">iferror(index('4-All Devices'!$A:$BB, match($B23 ,'4-All Devices'!BG:BG,0 ),match(C$4,'4-All Devices'!$4:$4,0)),"")</f>
        <v>Building Management System</v>
      </c>
      <c r="D23" s="175" t="str">
        <f t="array" ref="D23">iferror(index('4-All Devices'!$A:$BB, match($B23 ,'4-All Devices'!BG:BG,0 ),match(D$4,'4-All Devices'!$4:$4,0)),"")</f>
        <v>DAIKIN</v>
      </c>
      <c r="E23" s="176" t="str">
        <f t="array" ref="E23">iferror(index('4-All Devices'!$A:$BB, match($B23 ,'4-All Devices'!BG:BG,0 ),match(E$4,'4-All Devices'!$4:$4,0)),"")</f>
        <v>DTA116A51</v>
      </c>
      <c r="F23" s="176">
        <f>if(countifs('4-All Devices'!BG:BG,B23)=0,"",countifs('4-All Devices'!BG:BG,B23))</f>
        <v>1</v>
      </c>
      <c r="G23" s="174"/>
      <c r="H23" s="174" t="s">
        <v>245</v>
      </c>
      <c r="I23" s="178"/>
      <c r="J23" s="174"/>
      <c r="K23" s="174"/>
      <c r="L23" s="174"/>
      <c r="M23" s="174"/>
      <c r="N23" s="174"/>
      <c r="O23" s="174"/>
      <c r="P23" s="178"/>
      <c r="Q23" s="178"/>
      <c r="R23" s="178"/>
      <c r="S23" s="180"/>
    </row>
    <row r="24" ht="30.0" customHeight="1">
      <c r="A24" s="173">
        <f t="shared" si="1"/>
        <v>20</v>
      </c>
      <c r="B24" s="174"/>
      <c r="C24" s="175" t="str">
        <f t="array" ref="C24">iferror(index('4-All Devices'!$A:$BB, match($B24 ,'4-All Devices'!BG:BG,0 ),match(C$4,'4-All Devices'!$4:$4,0)),"")</f>
        <v/>
      </c>
      <c r="D24" s="175" t="str">
        <f t="array" ref="D24">iferror(index('4-All Devices'!$A:$BB, match($B24 ,'4-All Devices'!BG:BG,0 ),match(D$4,'4-All Devices'!$4:$4,0)),"")</f>
        <v/>
      </c>
      <c r="E24" s="176" t="str">
        <f t="array" ref="E24">iferror(index('4-All Devices'!$A:$BB, match($B24 ,'4-All Devices'!BG:BG,0 ),match(E$4,'4-All Devices'!$4:$4,0)),"")</f>
        <v/>
      </c>
      <c r="F24" s="176" t="str">
        <f>if(countifs('4-All Devices'!BG:BG,B24)=0,"",countifs('4-All Devices'!BG:BG,B24))</f>
        <v/>
      </c>
      <c r="G24" s="174"/>
      <c r="H24" s="174"/>
      <c r="I24" s="178"/>
      <c r="J24" s="174"/>
      <c r="K24" s="174"/>
      <c r="L24" s="174"/>
      <c r="M24" s="174"/>
      <c r="N24" s="174"/>
      <c r="O24" s="174"/>
      <c r="P24" s="178"/>
      <c r="Q24" s="178"/>
      <c r="R24" s="178"/>
      <c r="S24" s="180"/>
    </row>
    <row r="25" ht="30.0" customHeight="1">
      <c r="A25" s="173">
        <f t="shared" si="1"/>
        <v>21</v>
      </c>
      <c r="B25" s="174"/>
      <c r="C25" s="175" t="str">
        <f t="array" ref="C25">iferror(index('4-All Devices'!$A:$BB, match($B25 ,'4-All Devices'!BG:BG,0 ),match(C$4,'4-All Devices'!$4:$4,0)),"")</f>
        <v/>
      </c>
      <c r="D25" s="175" t="str">
        <f t="array" ref="D25">iferror(index('4-All Devices'!$A:$BB, match($B25 ,'4-All Devices'!BG:BG,0 ),match(D$4,'4-All Devices'!$4:$4,0)),"")</f>
        <v/>
      </c>
      <c r="E25" s="176" t="str">
        <f t="array" ref="E25">iferror(index('4-All Devices'!$A:$BB, match($B25 ,'4-All Devices'!BG:BG,0 ),match(E$4,'4-All Devices'!$4:$4,0)),"")</f>
        <v/>
      </c>
      <c r="F25" s="176" t="str">
        <f>if(countifs('4-All Devices'!BG:BG,B25)=0,"",countifs('4-All Devices'!BG:BG,B25))</f>
        <v/>
      </c>
      <c r="G25" s="174"/>
      <c r="H25" s="174"/>
      <c r="I25" s="178"/>
      <c r="J25" s="174"/>
      <c r="K25" s="174"/>
      <c r="L25" s="174"/>
      <c r="M25" s="174"/>
      <c r="N25" s="174"/>
      <c r="O25" s="174"/>
      <c r="P25" s="178"/>
      <c r="Q25" s="178"/>
      <c r="R25" s="178"/>
      <c r="S25" s="180"/>
    </row>
    <row r="26" ht="30.0" customHeight="1">
      <c r="A26" s="173">
        <f t="shared" si="1"/>
        <v>22</v>
      </c>
      <c r="B26" s="174"/>
      <c r="C26" s="175" t="str">
        <f t="array" ref="C26">iferror(index('4-All Devices'!$A:$BB, match($B26 ,'4-All Devices'!BG:BG,0 ),match(C$4,'4-All Devices'!$4:$4,0)),"")</f>
        <v/>
      </c>
      <c r="D26" s="175" t="str">
        <f t="array" ref="D26">iferror(index('4-All Devices'!$A:$BB, match($B26 ,'4-All Devices'!BG:BG,0 ),match(D$4,'4-All Devices'!$4:$4,0)),"")</f>
        <v/>
      </c>
      <c r="E26" s="176" t="str">
        <f t="array" ref="E26">iferror(index('4-All Devices'!$A:$BB, match($B26 ,'4-All Devices'!BG:BG,0 ),match(E$4,'4-All Devices'!$4:$4,0)),"")</f>
        <v/>
      </c>
      <c r="F26" s="176" t="str">
        <f>if(countifs('4-All Devices'!BG:BG,B26)=0,"",countifs('4-All Devices'!BG:BG,B26))</f>
        <v/>
      </c>
      <c r="G26" s="174"/>
      <c r="H26" s="174"/>
      <c r="I26" s="178"/>
      <c r="J26" s="174"/>
      <c r="K26" s="174"/>
      <c r="L26" s="174"/>
      <c r="M26" s="174"/>
      <c r="N26" s="174"/>
      <c r="O26" s="174"/>
      <c r="P26" s="178"/>
      <c r="Q26" s="178"/>
      <c r="R26" s="178"/>
      <c r="S26" s="180"/>
    </row>
    <row r="27" ht="30.0" customHeight="1">
      <c r="A27" s="173">
        <f t="shared" si="1"/>
        <v>23</v>
      </c>
      <c r="B27" s="174"/>
      <c r="C27" s="175" t="str">
        <f t="array" ref="C27">iferror(index('4-All Devices'!$A:$BB, match($B27 ,'4-All Devices'!BG:BG,0 ),match(C$4,'4-All Devices'!$4:$4,0)),"")</f>
        <v/>
      </c>
      <c r="D27" s="175" t="str">
        <f t="array" ref="D27">iferror(index('4-All Devices'!$A:$BB, match($B27 ,'4-All Devices'!BG:BG,0 ),match(D$4,'4-All Devices'!$4:$4,0)),"")</f>
        <v/>
      </c>
      <c r="E27" s="176" t="str">
        <f t="array" ref="E27">iferror(index('4-All Devices'!$A:$BB, match($B27 ,'4-All Devices'!BG:BG,0 ),match(E$4,'4-All Devices'!$4:$4,0)),"")</f>
        <v/>
      </c>
      <c r="F27" s="176" t="str">
        <f>if(countifs('4-All Devices'!BG:BG,B27)=0,"",countifs('4-All Devices'!BG:BG,B27))</f>
        <v/>
      </c>
      <c r="G27" s="174"/>
      <c r="H27" s="174"/>
      <c r="I27" s="178"/>
      <c r="J27" s="174"/>
      <c r="K27" s="174"/>
      <c r="L27" s="174"/>
      <c r="M27" s="174"/>
      <c r="N27" s="174"/>
      <c r="O27" s="174"/>
      <c r="P27" s="178"/>
      <c r="Q27" s="178"/>
      <c r="R27" s="178"/>
      <c r="S27" s="180"/>
    </row>
    <row r="28" ht="30.0" customHeight="1">
      <c r="A28" s="173">
        <f t="shared" si="1"/>
        <v>24</v>
      </c>
      <c r="B28" s="174"/>
      <c r="C28" s="175" t="str">
        <f t="array" ref="C28">iferror(index('4-All Devices'!$A:$BB, match($B28 ,'4-All Devices'!BG:BG,0 ),match(C$4,'4-All Devices'!$4:$4,0)),"")</f>
        <v/>
      </c>
      <c r="D28" s="175" t="str">
        <f t="array" ref="D28">iferror(index('4-All Devices'!$A:$BB, match($B28 ,'4-All Devices'!BG:BG,0 ),match(D$4,'4-All Devices'!$4:$4,0)),"")</f>
        <v/>
      </c>
      <c r="E28" s="176" t="str">
        <f t="array" ref="E28">iferror(index('4-All Devices'!$A:$BB, match($B28 ,'4-All Devices'!BG:BG,0 ),match(E$4,'4-All Devices'!$4:$4,0)),"")</f>
        <v/>
      </c>
      <c r="F28" s="176" t="str">
        <f>if(countifs('4-All Devices'!BG:BG,B28)=0,"",countifs('4-All Devices'!BG:BG,B28))</f>
        <v/>
      </c>
      <c r="G28" s="174"/>
      <c r="H28" s="174"/>
      <c r="I28" s="178"/>
      <c r="J28" s="174"/>
      <c r="K28" s="174"/>
      <c r="L28" s="174"/>
      <c r="M28" s="174"/>
      <c r="N28" s="174"/>
      <c r="O28" s="174"/>
      <c r="P28" s="178"/>
      <c r="Q28" s="178"/>
      <c r="R28" s="178"/>
      <c r="S28" s="180"/>
    </row>
    <row r="29" ht="30.0" customHeight="1">
      <c r="A29" s="173">
        <f t="shared" si="1"/>
        <v>25</v>
      </c>
      <c r="B29" s="174"/>
      <c r="C29" s="175" t="str">
        <f t="array" ref="C29">iferror(index('4-All Devices'!$A:$BB, match($B29 ,'4-All Devices'!BG:BG,0 ),match(C$4,'4-All Devices'!$4:$4,0)),"")</f>
        <v/>
      </c>
      <c r="D29" s="175" t="str">
        <f t="array" ref="D29">iferror(index('4-All Devices'!$A:$BB, match($B29 ,'4-All Devices'!BG:BG,0 ),match(D$4,'4-All Devices'!$4:$4,0)),"")</f>
        <v/>
      </c>
      <c r="E29" s="176" t="str">
        <f t="array" ref="E29">iferror(index('4-All Devices'!$A:$BB, match($B29 ,'4-All Devices'!BG:BG,0 ),match(E$4,'4-All Devices'!$4:$4,0)),"")</f>
        <v/>
      </c>
      <c r="F29" s="176" t="str">
        <f>if(countifs('4-All Devices'!BG:BG,B29)=0,"",countifs('4-All Devices'!BG:BG,B29))</f>
        <v/>
      </c>
      <c r="G29" s="174"/>
      <c r="H29" s="174"/>
      <c r="I29" s="178"/>
      <c r="J29" s="174"/>
      <c r="K29" s="174"/>
      <c r="L29" s="174"/>
      <c r="M29" s="174"/>
      <c r="N29" s="174"/>
      <c r="O29" s="174"/>
      <c r="P29" s="178"/>
      <c r="Q29" s="178"/>
      <c r="R29" s="178"/>
      <c r="S29" s="180"/>
    </row>
    <row r="30" ht="30.0" customHeight="1">
      <c r="A30" s="173">
        <f t="shared" si="1"/>
        <v>26</v>
      </c>
      <c r="B30" s="174"/>
      <c r="C30" s="175" t="str">
        <f t="array" ref="C30">iferror(index('4-All Devices'!$A:$BB, match($B30 ,'4-All Devices'!BG:BG,0 ),match(C$4,'4-All Devices'!$4:$4,0)),"")</f>
        <v/>
      </c>
      <c r="D30" s="175" t="str">
        <f t="array" ref="D30">iferror(index('4-All Devices'!$A:$BB, match($B30 ,'4-All Devices'!BG:BG,0 ),match(D$4,'4-All Devices'!$4:$4,0)),"")</f>
        <v/>
      </c>
      <c r="E30" s="176" t="str">
        <f t="array" ref="E30">iferror(index('4-All Devices'!$A:$BB, match($B30 ,'4-All Devices'!BG:BG,0 ),match(E$4,'4-All Devices'!$4:$4,0)),"")</f>
        <v/>
      </c>
      <c r="F30" s="176" t="str">
        <f>if(countifs('4-All Devices'!BG:BG,B30)=0,"",countifs('4-All Devices'!BG:BG,B30))</f>
        <v/>
      </c>
      <c r="G30" s="174"/>
      <c r="H30" s="174"/>
      <c r="I30" s="178"/>
      <c r="J30" s="174"/>
      <c r="K30" s="174"/>
      <c r="L30" s="174"/>
      <c r="M30" s="174"/>
      <c r="N30" s="174"/>
      <c r="O30" s="174"/>
      <c r="P30" s="178"/>
      <c r="Q30" s="178"/>
      <c r="R30" s="178"/>
      <c r="S30" s="180"/>
    </row>
    <row r="31" ht="30.0" customHeight="1">
      <c r="A31" s="173">
        <f t="shared" si="1"/>
        <v>27</v>
      </c>
      <c r="B31" s="174"/>
      <c r="C31" s="175" t="str">
        <f t="array" ref="C31">iferror(index('4-All Devices'!$A:$BB, match($B31 ,'4-All Devices'!BG:BG,0 ),match(C$4,'4-All Devices'!$4:$4,0)),"")</f>
        <v/>
      </c>
      <c r="D31" s="175" t="str">
        <f t="array" ref="D31">iferror(index('4-All Devices'!$A:$BB, match($B31 ,'4-All Devices'!BG:BG,0 ),match(D$4,'4-All Devices'!$4:$4,0)),"")</f>
        <v/>
      </c>
      <c r="E31" s="176" t="str">
        <f t="array" ref="E31">iferror(index('4-All Devices'!$A:$BB, match($B31 ,'4-All Devices'!BG:BG,0 ),match(E$4,'4-All Devices'!$4:$4,0)),"")</f>
        <v/>
      </c>
      <c r="F31" s="176" t="str">
        <f>if(countifs('4-All Devices'!BG:BG,B31)=0,"",countifs('4-All Devices'!BG:BG,B31))</f>
        <v/>
      </c>
      <c r="G31" s="174"/>
      <c r="H31" s="174"/>
      <c r="I31" s="178"/>
      <c r="J31" s="174"/>
      <c r="K31" s="174"/>
      <c r="L31" s="174"/>
      <c r="M31" s="174"/>
      <c r="N31" s="174"/>
      <c r="O31" s="174"/>
      <c r="P31" s="178"/>
      <c r="Q31" s="178"/>
      <c r="R31" s="178"/>
      <c r="S31" s="180"/>
    </row>
    <row r="32" ht="30.0" customHeight="1">
      <c r="A32" s="173">
        <f t="shared" si="1"/>
        <v>28</v>
      </c>
      <c r="B32" s="174"/>
      <c r="C32" s="175" t="str">
        <f t="array" ref="C32">iferror(index('4-All Devices'!$A:$BB, match($B32 ,'4-All Devices'!BG:BG,0 ),match(C$4,'4-All Devices'!$4:$4,0)),"")</f>
        <v/>
      </c>
      <c r="D32" s="175" t="str">
        <f t="array" ref="D32">iferror(index('4-All Devices'!$A:$BB, match($B32 ,'4-All Devices'!BG:BG,0 ),match(D$4,'4-All Devices'!$4:$4,0)),"")</f>
        <v/>
      </c>
      <c r="E32" s="176" t="str">
        <f t="array" ref="E32">iferror(index('4-All Devices'!$A:$BB, match($B32 ,'4-All Devices'!BG:BG,0 ),match(E$4,'4-All Devices'!$4:$4,0)),"")</f>
        <v/>
      </c>
      <c r="F32" s="176" t="str">
        <f>if(countifs('4-All Devices'!BG:BG,B32)=0,"",countifs('4-All Devices'!BG:BG,B32))</f>
        <v/>
      </c>
      <c r="G32" s="174"/>
      <c r="H32" s="174"/>
      <c r="I32" s="178"/>
      <c r="J32" s="174"/>
      <c r="K32" s="174"/>
      <c r="L32" s="174"/>
      <c r="M32" s="174"/>
      <c r="N32" s="174"/>
      <c r="O32" s="174"/>
      <c r="P32" s="178"/>
      <c r="Q32" s="178"/>
      <c r="R32" s="178"/>
      <c r="S32" s="180"/>
    </row>
    <row r="33" ht="30.0" customHeight="1">
      <c r="A33" s="173">
        <f t="shared" si="1"/>
        <v>29</v>
      </c>
      <c r="B33" s="174"/>
      <c r="C33" s="175" t="str">
        <f t="array" ref="C33">iferror(index('4-All Devices'!$A:$BB, match($B33 ,'4-All Devices'!BG:BG,0 ),match(C$4,'4-All Devices'!$4:$4,0)),"")</f>
        <v/>
      </c>
      <c r="D33" s="175" t="str">
        <f t="array" ref="D33">iferror(index('4-All Devices'!$A:$BB, match($B33 ,'4-All Devices'!BG:BG,0 ),match(D$4,'4-All Devices'!$4:$4,0)),"")</f>
        <v/>
      </c>
      <c r="E33" s="176" t="str">
        <f t="array" ref="E33">iferror(index('4-All Devices'!$A:$BB, match($B33 ,'4-All Devices'!BG:BG,0 ),match(E$4,'4-All Devices'!$4:$4,0)),"")</f>
        <v/>
      </c>
      <c r="F33" s="176" t="str">
        <f>if(countifs('4-All Devices'!BG:BG,B33)=0,"",countifs('4-All Devices'!BG:BG,B33))</f>
        <v/>
      </c>
      <c r="G33" s="174"/>
      <c r="H33" s="174"/>
      <c r="I33" s="178"/>
      <c r="J33" s="174"/>
      <c r="K33" s="174"/>
      <c r="L33" s="174"/>
      <c r="M33" s="174"/>
      <c r="N33" s="174"/>
      <c r="O33" s="174"/>
      <c r="P33" s="178"/>
      <c r="Q33" s="178"/>
      <c r="R33" s="178"/>
      <c r="S33" s="180"/>
    </row>
    <row r="34" ht="30.0" customHeight="1">
      <c r="A34" s="173">
        <f t="shared" si="1"/>
        <v>30</v>
      </c>
      <c r="B34" s="174"/>
      <c r="C34" s="175" t="str">
        <f t="array" ref="C34">iferror(index('4-All Devices'!$A:$BB, match($B34 ,'4-All Devices'!BG:BG,0 ),match(C$4,'4-All Devices'!$4:$4,0)),"")</f>
        <v/>
      </c>
      <c r="D34" s="175" t="str">
        <f t="array" ref="D34">iferror(index('4-All Devices'!$A:$BB, match($B34 ,'4-All Devices'!BG:BG,0 ),match(D$4,'4-All Devices'!$4:$4,0)),"")</f>
        <v/>
      </c>
      <c r="E34" s="176" t="str">
        <f t="array" ref="E34">iferror(index('4-All Devices'!$A:$BB, match($B34 ,'4-All Devices'!BG:BG,0 ),match(E$4,'4-All Devices'!$4:$4,0)),"")</f>
        <v/>
      </c>
      <c r="F34" s="176" t="str">
        <f>if(countifs('4-All Devices'!BG:BG,B34)=0,"",countifs('4-All Devices'!BG:BG,B34))</f>
        <v/>
      </c>
      <c r="G34" s="174"/>
      <c r="H34" s="174"/>
      <c r="I34" s="178"/>
      <c r="J34" s="174"/>
      <c r="K34" s="174"/>
      <c r="L34" s="174"/>
      <c r="M34" s="174"/>
      <c r="N34" s="174"/>
      <c r="O34" s="174"/>
      <c r="P34" s="178"/>
      <c r="Q34" s="178"/>
      <c r="R34" s="178"/>
      <c r="S34" s="180"/>
    </row>
    <row r="35" ht="30.0" customHeight="1">
      <c r="A35" s="173">
        <f t="shared" si="1"/>
        <v>31</v>
      </c>
      <c r="B35" s="174"/>
      <c r="C35" s="175" t="str">
        <f t="array" ref="C35">iferror(index('4-All Devices'!$A:$BB, match($B35 ,'4-All Devices'!BG:BG,0 ),match(C$4,'4-All Devices'!$4:$4,0)),"")</f>
        <v/>
      </c>
      <c r="D35" s="175" t="str">
        <f t="array" ref="D35">iferror(index('4-All Devices'!$A:$BB, match($B35 ,'4-All Devices'!BG:BG,0 ),match(D$4,'4-All Devices'!$4:$4,0)),"")</f>
        <v/>
      </c>
      <c r="E35" s="176" t="str">
        <f t="array" ref="E35">iferror(index('4-All Devices'!$A:$BB, match($B35 ,'4-All Devices'!BG:BG,0 ),match(E$4,'4-All Devices'!$4:$4,0)),"")</f>
        <v/>
      </c>
      <c r="F35" s="176" t="str">
        <f>if(countifs('4-All Devices'!BG:BG,B35)=0,"",countifs('4-All Devices'!BG:BG,B35))</f>
        <v/>
      </c>
      <c r="G35" s="174"/>
      <c r="H35" s="174"/>
      <c r="I35" s="178"/>
      <c r="J35" s="174"/>
      <c r="K35" s="174"/>
      <c r="L35" s="174"/>
      <c r="M35" s="174"/>
      <c r="N35" s="174"/>
      <c r="O35" s="174"/>
      <c r="P35" s="178"/>
      <c r="Q35" s="178"/>
      <c r="R35" s="178"/>
      <c r="S35" s="180"/>
    </row>
    <row r="36" ht="30.0" customHeight="1">
      <c r="A36" s="173">
        <f t="shared" si="1"/>
        <v>32</v>
      </c>
      <c r="B36" s="174"/>
      <c r="C36" s="175" t="str">
        <f t="array" ref="C36">iferror(index('4-All Devices'!$A:$BB, match($B36 ,'4-All Devices'!BG:BG,0 ),match(C$4,'4-All Devices'!$4:$4,0)),"")</f>
        <v/>
      </c>
      <c r="D36" s="175" t="str">
        <f t="array" ref="D36">iferror(index('4-All Devices'!$A:$BB, match($B36 ,'4-All Devices'!BG:BG,0 ),match(D$4,'4-All Devices'!$4:$4,0)),"")</f>
        <v/>
      </c>
      <c r="E36" s="176" t="str">
        <f t="array" ref="E36">iferror(index('4-All Devices'!$A:$BB, match($B36 ,'4-All Devices'!BG:BG,0 ),match(E$4,'4-All Devices'!$4:$4,0)),"")</f>
        <v/>
      </c>
      <c r="F36" s="176" t="str">
        <f>if(countifs('4-All Devices'!BG:BG,B36)=0,"",countifs('4-All Devices'!BG:BG,B36))</f>
        <v/>
      </c>
      <c r="G36" s="174"/>
      <c r="H36" s="174"/>
      <c r="I36" s="178"/>
      <c r="J36" s="174"/>
      <c r="K36" s="174"/>
      <c r="L36" s="174"/>
      <c r="M36" s="174"/>
      <c r="N36" s="174"/>
      <c r="O36" s="174"/>
      <c r="P36" s="178"/>
      <c r="Q36" s="178"/>
      <c r="R36" s="178"/>
      <c r="S36" s="180"/>
    </row>
    <row r="37" ht="30.0" customHeight="1">
      <c r="A37" s="173">
        <f t="shared" si="1"/>
        <v>33</v>
      </c>
      <c r="B37" s="174"/>
      <c r="C37" s="175" t="str">
        <f t="array" ref="C37">iferror(index('4-All Devices'!$A:$BB, match($B37 ,'4-All Devices'!BG:BG,0 ),match(C$4,'4-All Devices'!$4:$4,0)),"")</f>
        <v/>
      </c>
      <c r="D37" s="175" t="str">
        <f t="array" ref="D37">iferror(index('4-All Devices'!$A:$BB, match($B37 ,'4-All Devices'!BG:BG,0 ),match(D$4,'4-All Devices'!$4:$4,0)),"")</f>
        <v/>
      </c>
      <c r="E37" s="176" t="str">
        <f t="array" ref="E37">iferror(index('4-All Devices'!$A:$BB, match($B37 ,'4-All Devices'!BG:BG,0 ),match(E$4,'4-All Devices'!$4:$4,0)),"")</f>
        <v/>
      </c>
      <c r="F37" s="176" t="str">
        <f>if(countifs('4-All Devices'!BG:BG,B37)=0,"",countifs('4-All Devices'!BG:BG,B37))</f>
        <v/>
      </c>
      <c r="G37" s="174"/>
      <c r="H37" s="174"/>
      <c r="I37" s="178"/>
      <c r="J37" s="174"/>
      <c r="K37" s="174"/>
      <c r="L37" s="174"/>
      <c r="M37" s="174"/>
      <c r="N37" s="174"/>
      <c r="O37" s="174"/>
      <c r="P37" s="178"/>
      <c r="Q37" s="178"/>
      <c r="R37" s="178"/>
      <c r="S37" s="180"/>
    </row>
    <row r="38" ht="30.0" customHeight="1">
      <c r="A38" s="173">
        <f t="shared" si="1"/>
        <v>34</v>
      </c>
      <c r="B38" s="174"/>
      <c r="C38" s="175" t="str">
        <f t="array" ref="C38">iferror(index('4-All Devices'!$A:$BB, match($B38 ,'4-All Devices'!BG:BG,0 ),match(C$4,'4-All Devices'!$4:$4,0)),"")</f>
        <v/>
      </c>
      <c r="D38" s="175" t="str">
        <f t="array" ref="D38">iferror(index('4-All Devices'!$A:$BB, match($B38 ,'4-All Devices'!BG:BG,0 ),match(D$4,'4-All Devices'!$4:$4,0)),"")</f>
        <v/>
      </c>
      <c r="E38" s="176" t="str">
        <f t="array" ref="E38">iferror(index('4-All Devices'!$A:$BB, match($B38 ,'4-All Devices'!BG:BG,0 ),match(E$4,'4-All Devices'!$4:$4,0)),"")</f>
        <v/>
      </c>
      <c r="F38" s="176" t="str">
        <f>if(countifs('4-All Devices'!BG:BG,B38)=0,"",countifs('4-All Devices'!BG:BG,B38))</f>
        <v/>
      </c>
      <c r="G38" s="174"/>
      <c r="H38" s="174"/>
      <c r="I38" s="178"/>
      <c r="J38" s="174"/>
      <c r="K38" s="174"/>
      <c r="L38" s="174"/>
      <c r="M38" s="174"/>
      <c r="N38" s="174"/>
      <c r="O38" s="174"/>
      <c r="P38" s="178"/>
      <c r="Q38" s="178"/>
      <c r="R38" s="178"/>
      <c r="S38" s="180"/>
    </row>
    <row r="39" ht="30.0" customHeight="1">
      <c r="A39" s="173">
        <f t="shared" si="1"/>
        <v>35</v>
      </c>
      <c r="B39" s="174"/>
      <c r="C39" s="175" t="str">
        <f t="array" ref="C39">iferror(index('4-All Devices'!$A:$BB, match($B39 ,'4-All Devices'!BG:BG,0 ),match(C$4,'4-All Devices'!$4:$4,0)),"")</f>
        <v/>
      </c>
      <c r="D39" s="175" t="str">
        <f t="array" ref="D39">iferror(index('4-All Devices'!$A:$BB, match($B39 ,'4-All Devices'!BG:BG,0 ),match(D$4,'4-All Devices'!$4:$4,0)),"")</f>
        <v/>
      </c>
      <c r="E39" s="176" t="str">
        <f t="array" ref="E39">iferror(index('4-All Devices'!$A:$BB, match($B39 ,'4-All Devices'!BG:BG,0 ),match(E$4,'4-All Devices'!$4:$4,0)),"")</f>
        <v/>
      </c>
      <c r="F39" s="176" t="str">
        <f>if(countifs('4-All Devices'!BG:BG,B39)=0,"",countifs('4-All Devices'!BG:BG,B39))</f>
        <v/>
      </c>
      <c r="G39" s="174"/>
      <c r="H39" s="174"/>
      <c r="I39" s="178"/>
      <c r="J39" s="174"/>
      <c r="K39" s="174"/>
      <c r="L39" s="174"/>
      <c r="M39" s="174"/>
      <c r="N39" s="174"/>
      <c r="O39" s="174"/>
      <c r="P39" s="178"/>
      <c r="Q39" s="178"/>
      <c r="R39" s="178"/>
      <c r="S39" s="180"/>
    </row>
    <row r="40" ht="30.0" customHeight="1">
      <c r="A40" s="173">
        <f t="shared" si="1"/>
        <v>36</v>
      </c>
      <c r="B40" s="174"/>
      <c r="C40" s="175" t="str">
        <f t="array" ref="C40">iferror(index('4-All Devices'!$A:$BB, match($B40 ,'4-All Devices'!BG:BG,0 ),match(C$4,'4-All Devices'!$4:$4,0)),"")</f>
        <v/>
      </c>
      <c r="D40" s="175" t="str">
        <f t="array" ref="D40">iferror(index('4-All Devices'!$A:$BB, match($B40 ,'4-All Devices'!BG:BG,0 ),match(D$4,'4-All Devices'!$4:$4,0)),"")</f>
        <v/>
      </c>
      <c r="E40" s="176" t="str">
        <f t="array" ref="E40">iferror(index('4-All Devices'!$A:$BB, match($B40 ,'4-All Devices'!BG:BG,0 ),match(E$4,'4-All Devices'!$4:$4,0)),"")</f>
        <v/>
      </c>
      <c r="F40" s="176" t="str">
        <f>if(countifs('4-All Devices'!BG:BG,B40)=0,"",countifs('4-All Devices'!BG:BG,B40))</f>
        <v/>
      </c>
      <c r="G40" s="174"/>
      <c r="H40" s="174"/>
      <c r="I40" s="178"/>
      <c r="J40" s="174"/>
      <c r="K40" s="174"/>
      <c r="L40" s="174"/>
      <c r="M40" s="174"/>
      <c r="N40" s="174"/>
      <c r="O40" s="174"/>
      <c r="P40" s="178"/>
      <c r="Q40" s="178"/>
      <c r="R40" s="178"/>
      <c r="S40" s="180"/>
    </row>
    <row r="41" ht="30.0" customHeight="1">
      <c r="A41" s="173">
        <f t="shared" si="1"/>
        <v>37</v>
      </c>
      <c r="B41" s="174"/>
      <c r="C41" s="175" t="str">
        <f t="array" ref="C41">iferror(index('4-All Devices'!$A:$BB, match($B41 ,'4-All Devices'!BG:BG,0 ),match(C$4,'4-All Devices'!$4:$4,0)),"")</f>
        <v/>
      </c>
      <c r="D41" s="175" t="str">
        <f t="array" ref="D41">iferror(index('4-All Devices'!$A:$BB, match($B41 ,'4-All Devices'!BG:BG,0 ),match(D$4,'4-All Devices'!$4:$4,0)),"")</f>
        <v/>
      </c>
      <c r="E41" s="176" t="str">
        <f t="array" ref="E41">iferror(index('4-All Devices'!$A:$BB, match($B41 ,'4-All Devices'!BG:BG,0 ),match(E$4,'4-All Devices'!$4:$4,0)),"")</f>
        <v/>
      </c>
      <c r="F41" s="176" t="str">
        <f>if(countifs('4-All Devices'!BG:BG,B41)=0,"",countifs('4-All Devices'!BG:BG,B41))</f>
        <v/>
      </c>
      <c r="G41" s="174"/>
      <c r="H41" s="174"/>
      <c r="I41" s="178"/>
      <c r="J41" s="174"/>
      <c r="K41" s="174"/>
      <c r="L41" s="174"/>
      <c r="M41" s="174"/>
      <c r="N41" s="174"/>
      <c r="O41" s="174"/>
      <c r="P41" s="178"/>
      <c r="Q41" s="178"/>
      <c r="R41" s="178"/>
      <c r="S41" s="180"/>
    </row>
    <row r="42" ht="30.0" customHeight="1">
      <c r="A42" s="173">
        <f t="shared" si="1"/>
        <v>38</v>
      </c>
      <c r="B42" s="174"/>
      <c r="C42" s="175" t="str">
        <f t="array" ref="C42">iferror(index('4-All Devices'!$A:$BB, match($B42 ,'4-All Devices'!BG:BG,0 ),match(C$4,'4-All Devices'!$4:$4,0)),"")</f>
        <v/>
      </c>
      <c r="D42" s="175" t="str">
        <f t="array" ref="D42">iferror(index('4-All Devices'!$A:$BB, match($B42 ,'4-All Devices'!BG:BG,0 ),match(D$4,'4-All Devices'!$4:$4,0)),"")</f>
        <v/>
      </c>
      <c r="E42" s="176" t="str">
        <f t="array" ref="E42">iferror(index('4-All Devices'!$A:$BB, match($B42 ,'4-All Devices'!BG:BG,0 ),match(E$4,'4-All Devices'!$4:$4,0)),"")</f>
        <v/>
      </c>
      <c r="F42" s="176" t="str">
        <f>if(countifs('4-All Devices'!BG:BG,B42)=0,"",countifs('4-All Devices'!BG:BG,B42))</f>
        <v/>
      </c>
      <c r="G42" s="174"/>
      <c r="H42" s="174"/>
      <c r="I42" s="178"/>
      <c r="J42" s="174"/>
      <c r="K42" s="174"/>
      <c r="L42" s="174"/>
      <c r="M42" s="174"/>
      <c r="N42" s="174"/>
      <c r="O42" s="174"/>
      <c r="P42" s="178"/>
      <c r="Q42" s="178"/>
      <c r="R42" s="178"/>
      <c r="S42" s="180"/>
    </row>
    <row r="43" ht="30.0" customHeight="1">
      <c r="A43" s="173">
        <f t="shared" si="1"/>
        <v>39</v>
      </c>
      <c r="B43" s="174"/>
      <c r="C43" s="175" t="str">
        <f t="array" ref="C43">iferror(index('4-All Devices'!$A:$BB, match($B43 ,'4-All Devices'!BG:BG,0 ),match(C$4,'4-All Devices'!$4:$4,0)),"")</f>
        <v/>
      </c>
      <c r="D43" s="175" t="str">
        <f t="array" ref="D43">iferror(index('4-All Devices'!$A:$BB, match($B43 ,'4-All Devices'!BG:BG,0 ),match(D$4,'4-All Devices'!$4:$4,0)),"")</f>
        <v/>
      </c>
      <c r="E43" s="176" t="str">
        <f t="array" ref="E43">iferror(index('4-All Devices'!$A:$BB, match($B43 ,'4-All Devices'!BG:BG,0 ),match(E$4,'4-All Devices'!$4:$4,0)),"")</f>
        <v/>
      </c>
      <c r="F43" s="176" t="str">
        <f>if(countifs('4-All Devices'!BG:BG,B43)=0,"",countifs('4-All Devices'!BG:BG,B43))</f>
        <v/>
      </c>
      <c r="G43" s="174"/>
      <c r="H43" s="174"/>
      <c r="I43" s="178"/>
      <c r="J43" s="174"/>
      <c r="K43" s="174"/>
      <c r="L43" s="174"/>
      <c r="M43" s="174"/>
      <c r="N43" s="174"/>
      <c r="O43" s="174"/>
      <c r="P43" s="178"/>
      <c r="Q43" s="178"/>
      <c r="R43" s="178"/>
      <c r="S43" s="180"/>
    </row>
    <row r="44" ht="30.0" customHeight="1">
      <c r="A44" s="173">
        <f t="shared" si="1"/>
        <v>40</v>
      </c>
      <c r="B44" s="174"/>
      <c r="C44" s="175" t="str">
        <f t="array" ref="C44">iferror(index('4-All Devices'!$A:$BB, match($B44 ,'4-All Devices'!BG:BG,0 ),match(C$4,'4-All Devices'!$4:$4,0)),"")</f>
        <v/>
      </c>
      <c r="D44" s="175" t="str">
        <f t="array" ref="D44">iferror(index('4-All Devices'!$A:$BB, match($B44 ,'4-All Devices'!BG:BG,0 ),match(D$4,'4-All Devices'!$4:$4,0)),"")</f>
        <v/>
      </c>
      <c r="E44" s="176" t="str">
        <f t="array" ref="E44">iferror(index('4-All Devices'!$A:$BB, match($B44 ,'4-All Devices'!BG:BG,0 ),match(E$4,'4-All Devices'!$4:$4,0)),"")</f>
        <v/>
      </c>
      <c r="F44" s="176" t="str">
        <f>if(countifs('4-All Devices'!BG:BG,B44)=0,"",countifs('4-All Devices'!BG:BG,B44))</f>
        <v/>
      </c>
      <c r="G44" s="174"/>
      <c r="H44" s="174"/>
      <c r="I44" s="178"/>
      <c r="J44" s="174"/>
      <c r="K44" s="174"/>
      <c r="L44" s="174"/>
      <c r="M44" s="174"/>
      <c r="N44" s="174"/>
      <c r="O44" s="174"/>
      <c r="P44" s="178"/>
      <c r="Q44" s="178"/>
      <c r="R44" s="178"/>
      <c r="S44" s="180"/>
    </row>
    <row r="45" ht="30.0" customHeight="1">
      <c r="A45" s="173">
        <f t="shared" si="1"/>
        <v>41</v>
      </c>
      <c r="B45" s="174"/>
      <c r="C45" s="175" t="str">
        <f t="array" ref="C45">iferror(index('4-All Devices'!$A:$BB, match($B45 ,'4-All Devices'!BG:BG,0 ),match(C$4,'4-All Devices'!$4:$4,0)),"")</f>
        <v/>
      </c>
      <c r="D45" s="175" t="str">
        <f t="array" ref="D45">iferror(index('4-All Devices'!$A:$BB, match($B45 ,'4-All Devices'!BG:BG,0 ),match(D$4,'4-All Devices'!$4:$4,0)),"")</f>
        <v/>
      </c>
      <c r="E45" s="176" t="str">
        <f t="array" ref="E45">iferror(index('4-All Devices'!$A:$BB, match($B45 ,'4-All Devices'!BG:BG,0 ),match(E$4,'4-All Devices'!$4:$4,0)),"")</f>
        <v/>
      </c>
      <c r="F45" s="176" t="str">
        <f>if(countifs('4-All Devices'!BG:BG,B45)=0,"",countifs('4-All Devices'!BG:BG,B45))</f>
        <v/>
      </c>
      <c r="G45" s="174"/>
      <c r="H45" s="174"/>
      <c r="I45" s="178"/>
      <c r="J45" s="174"/>
      <c r="K45" s="174"/>
      <c r="L45" s="174"/>
      <c r="M45" s="174"/>
      <c r="N45" s="174"/>
      <c r="O45" s="174"/>
      <c r="P45" s="178"/>
      <c r="Q45" s="178"/>
      <c r="R45" s="178"/>
      <c r="S45" s="180"/>
    </row>
    <row r="46" ht="30.0" customHeight="1">
      <c r="A46" s="173">
        <f t="shared" si="1"/>
        <v>42</v>
      </c>
      <c r="B46" s="174"/>
      <c r="C46" s="175" t="str">
        <f t="array" ref="C46">iferror(index('4-All Devices'!$A:$BB, match($B46 ,'4-All Devices'!BG:BG,0 ),match(C$4,'4-All Devices'!$4:$4,0)),"")</f>
        <v/>
      </c>
      <c r="D46" s="175" t="str">
        <f t="array" ref="D46">iferror(index('4-All Devices'!$A:$BB, match($B46 ,'4-All Devices'!BG:BG,0 ),match(D$4,'4-All Devices'!$4:$4,0)),"")</f>
        <v/>
      </c>
      <c r="E46" s="176" t="str">
        <f t="array" ref="E46">iferror(index('4-All Devices'!$A:$BB, match($B46 ,'4-All Devices'!BG:BG,0 ),match(E$4,'4-All Devices'!$4:$4,0)),"")</f>
        <v/>
      </c>
      <c r="F46" s="176" t="str">
        <f>if(countifs('4-All Devices'!BG:BG,B46)=0,"",countifs('4-All Devices'!BG:BG,B46))</f>
        <v/>
      </c>
      <c r="G46" s="174"/>
      <c r="H46" s="174"/>
      <c r="I46" s="178"/>
      <c r="J46" s="174"/>
      <c r="K46" s="174"/>
      <c r="L46" s="174"/>
      <c r="M46" s="174"/>
      <c r="N46" s="174"/>
      <c r="O46" s="174"/>
      <c r="P46" s="178"/>
      <c r="Q46" s="178"/>
      <c r="R46" s="178"/>
      <c r="S46" s="180"/>
    </row>
    <row r="47" ht="30.0" customHeight="1">
      <c r="A47" s="173">
        <f t="shared" si="1"/>
        <v>43</v>
      </c>
      <c r="B47" s="174"/>
      <c r="C47" s="175" t="str">
        <f t="array" ref="C47">iferror(index('4-All Devices'!$A:$BB, match($B47 ,'4-All Devices'!BG:BG,0 ),match(C$4,'4-All Devices'!$4:$4,0)),"")</f>
        <v/>
      </c>
      <c r="D47" s="175" t="str">
        <f t="array" ref="D47">iferror(index('4-All Devices'!$A:$BB, match($B47 ,'4-All Devices'!BG:BG,0 ),match(D$4,'4-All Devices'!$4:$4,0)),"")</f>
        <v/>
      </c>
      <c r="E47" s="176" t="str">
        <f t="array" ref="E47">iferror(index('4-All Devices'!$A:$BB, match($B47 ,'4-All Devices'!BG:BG,0 ),match(E$4,'4-All Devices'!$4:$4,0)),"")</f>
        <v/>
      </c>
      <c r="F47" s="176" t="str">
        <f>if(countifs('4-All Devices'!BG:BG,B47)=0,"",countifs('4-All Devices'!BG:BG,B47))</f>
        <v/>
      </c>
      <c r="G47" s="174"/>
      <c r="H47" s="174"/>
      <c r="I47" s="178"/>
      <c r="J47" s="174"/>
      <c r="K47" s="174"/>
      <c r="L47" s="174"/>
      <c r="M47" s="174"/>
      <c r="N47" s="174"/>
      <c r="O47" s="174"/>
      <c r="P47" s="178"/>
      <c r="Q47" s="178"/>
      <c r="R47" s="178"/>
      <c r="S47" s="180"/>
    </row>
    <row r="48" ht="30.0" customHeight="1">
      <c r="A48" s="173">
        <f t="shared" si="1"/>
        <v>44</v>
      </c>
      <c r="B48" s="174"/>
      <c r="C48" s="175" t="str">
        <f t="array" ref="C48">iferror(index('4-All Devices'!$A:$BB, match($B48 ,'4-All Devices'!BG:BG,0 ),match(C$4,'4-All Devices'!$4:$4,0)),"")</f>
        <v/>
      </c>
      <c r="D48" s="175" t="str">
        <f t="array" ref="D48">iferror(index('4-All Devices'!$A:$BB, match($B48 ,'4-All Devices'!BG:BG,0 ),match(D$4,'4-All Devices'!$4:$4,0)),"")</f>
        <v/>
      </c>
      <c r="E48" s="176" t="str">
        <f t="array" ref="E48">iferror(index('4-All Devices'!$A:$BB, match($B48 ,'4-All Devices'!BG:BG,0 ),match(E$4,'4-All Devices'!$4:$4,0)),"")</f>
        <v/>
      </c>
      <c r="F48" s="176" t="str">
        <f>if(countifs('4-All Devices'!BG:BG,B48)=0,"",countifs('4-All Devices'!BG:BG,B48))</f>
        <v/>
      </c>
      <c r="G48" s="174"/>
      <c r="H48" s="174"/>
      <c r="I48" s="178"/>
      <c r="J48" s="174"/>
      <c r="K48" s="174"/>
      <c r="L48" s="174"/>
      <c r="M48" s="174"/>
      <c r="N48" s="174"/>
      <c r="O48" s="174"/>
      <c r="P48" s="178"/>
      <c r="Q48" s="178"/>
      <c r="R48" s="178"/>
      <c r="S48" s="180"/>
    </row>
    <row r="49" ht="30.0" customHeight="1">
      <c r="A49" s="173">
        <f t="shared" si="1"/>
        <v>45</v>
      </c>
      <c r="B49" s="174"/>
      <c r="C49" s="175" t="str">
        <f t="array" ref="C49">iferror(index('4-All Devices'!$A:$BB, match($B49 ,'4-All Devices'!BG:BG,0 ),match(C$4,'4-All Devices'!$4:$4,0)),"")</f>
        <v/>
      </c>
      <c r="D49" s="175" t="str">
        <f t="array" ref="D49">iferror(index('4-All Devices'!$A:$BB, match($B49 ,'4-All Devices'!BG:BG,0 ),match(D$4,'4-All Devices'!$4:$4,0)),"")</f>
        <v/>
      </c>
      <c r="E49" s="176" t="str">
        <f t="array" ref="E49">iferror(index('4-All Devices'!$A:$BB, match($B49 ,'4-All Devices'!BG:BG,0 ),match(E$4,'4-All Devices'!$4:$4,0)),"")</f>
        <v/>
      </c>
      <c r="F49" s="176" t="str">
        <f>if(countifs('4-All Devices'!BG:BG,B49)=0,"",countifs('4-All Devices'!BG:BG,B49))</f>
        <v/>
      </c>
      <c r="G49" s="174"/>
      <c r="H49" s="174"/>
      <c r="I49" s="178"/>
      <c r="J49" s="174"/>
      <c r="K49" s="174"/>
      <c r="L49" s="174"/>
      <c r="M49" s="174"/>
      <c r="N49" s="174"/>
      <c r="O49" s="174"/>
      <c r="P49" s="178"/>
      <c r="Q49" s="178"/>
      <c r="R49" s="178"/>
      <c r="S49" s="180"/>
    </row>
    <row r="50" ht="30.0" customHeight="1">
      <c r="A50" s="173">
        <f t="shared" si="1"/>
        <v>46</v>
      </c>
      <c r="B50" s="174"/>
      <c r="C50" s="175" t="str">
        <f t="array" ref="C50">iferror(index('4-All Devices'!$A:$BB, match($B50 ,'4-All Devices'!BG:BG,0 ),match(C$4,'4-All Devices'!$4:$4,0)),"")</f>
        <v/>
      </c>
      <c r="D50" s="175" t="str">
        <f t="array" ref="D50">iferror(index('4-All Devices'!$A:$BB, match($B50 ,'4-All Devices'!BG:BG,0 ),match(D$4,'4-All Devices'!$4:$4,0)),"")</f>
        <v/>
      </c>
      <c r="E50" s="176" t="str">
        <f t="array" ref="E50">iferror(index('4-All Devices'!$A:$BB, match($B50 ,'4-All Devices'!BG:BG,0 ),match(E$4,'4-All Devices'!$4:$4,0)),"")</f>
        <v/>
      </c>
      <c r="F50" s="176" t="str">
        <f>if(countifs('4-All Devices'!BG:BG,B50)=0,"",countifs('4-All Devices'!BG:BG,B50))</f>
        <v/>
      </c>
      <c r="G50" s="174"/>
      <c r="H50" s="174"/>
      <c r="I50" s="178"/>
      <c r="J50" s="174"/>
      <c r="K50" s="174"/>
      <c r="L50" s="174"/>
      <c r="M50" s="174"/>
      <c r="N50" s="174"/>
      <c r="O50" s="174"/>
      <c r="P50" s="178"/>
      <c r="Q50" s="178"/>
      <c r="R50" s="178"/>
      <c r="S50" s="180"/>
    </row>
    <row r="51" ht="30.0" customHeight="1">
      <c r="A51" s="173">
        <f t="shared" si="1"/>
        <v>47</v>
      </c>
      <c r="B51" s="174"/>
      <c r="C51" s="175" t="str">
        <f t="array" ref="C51">iferror(index('4-All Devices'!$A:$BB, match($B51 ,'4-All Devices'!BG:BG,0 ),match(C$4,'4-All Devices'!$4:$4,0)),"")</f>
        <v/>
      </c>
      <c r="D51" s="175" t="str">
        <f t="array" ref="D51">iferror(index('4-All Devices'!$A:$BB, match($B51 ,'4-All Devices'!BG:BG,0 ),match(D$4,'4-All Devices'!$4:$4,0)),"")</f>
        <v/>
      </c>
      <c r="E51" s="176" t="str">
        <f t="array" ref="E51">iferror(index('4-All Devices'!$A:$BB, match($B51 ,'4-All Devices'!BG:BG,0 ),match(E$4,'4-All Devices'!$4:$4,0)),"")</f>
        <v/>
      </c>
      <c r="F51" s="176" t="str">
        <f>if(countifs('4-All Devices'!BG:BG,B51)=0,"",countifs('4-All Devices'!BG:BG,B51))</f>
        <v/>
      </c>
      <c r="G51" s="174"/>
      <c r="H51" s="174"/>
      <c r="I51" s="178"/>
      <c r="J51" s="174"/>
      <c r="K51" s="174"/>
      <c r="L51" s="174"/>
      <c r="M51" s="174"/>
      <c r="N51" s="174"/>
      <c r="O51" s="174"/>
      <c r="P51" s="178"/>
      <c r="Q51" s="178"/>
      <c r="R51" s="178"/>
      <c r="S51" s="180"/>
    </row>
    <row r="52" ht="30.0" customHeight="1">
      <c r="A52" s="173">
        <f t="shared" si="1"/>
        <v>48</v>
      </c>
      <c r="B52" s="174"/>
      <c r="C52" s="175" t="str">
        <f t="array" ref="C52">iferror(index('4-All Devices'!$A:$BB, match($B52 ,'4-All Devices'!BG:BG,0 ),match(C$4,'4-All Devices'!$4:$4,0)),"")</f>
        <v/>
      </c>
      <c r="D52" s="175" t="str">
        <f t="array" ref="D52">iferror(index('4-All Devices'!$A:$BB, match($B52 ,'4-All Devices'!BG:BG,0 ),match(D$4,'4-All Devices'!$4:$4,0)),"")</f>
        <v/>
      </c>
      <c r="E52" s="176" t="str">
        <f t="array" ref="E52">iferror(index('4-All Devices'!$A:$BB, match($B52 ,'4-All Devices'!BG:BG,0 ),match(E$4,'4-All Devices'!$4:$4,0)),"")</f>
        <v/>
      </c>
      <c r="F52" s="176" t="str">
        <f>if(countifs('4-All Devices'!BG:BG,B52)=0,"",countifs('4-All Devices'!BG:BG,B52))</f>
        <v/>
      </c>
      <c r="G52" s="174"/>
      <c r="H52" s="174"/>
      <c r="I52" s="178"/>
      <c r="J52" s="174"/>
      <c r="K52" s="174"/>
      <c r="L52" s="174"/>
      <c r="M52" s="174"/>
      <c r="N52" s="174"/>
      <c r="O52" s="174"/>
      <c r="P52" s="178"/>
      <c r="Q52" s="178"/>
      <c r="R52" s="178"/>
      <c r="S52" s="180"/>
    </row>
    <row r="53" ht="30.0" customHeight="1">
      <c r="A53" s="173">
        <f t="shared" si="1"/>
        <v>49</v>
      </c>
      <c r="B53" s="174"/>
      <c r="C53" s="175" t="str">
        <f t="array" ref="C53">iferror(index('4-All Devices'!$A:$BB, match($B53 ,'4-All Devices'!BG:BG,0 ),match(C$4,'4-All Devices'!$4:$4,0)),"")</f>
        <v/>
      </c>
      <c r="D53" s="175" t="str">
        <f t="array" ref="D53">iferror(index('4-All Devices'!$A:$BB, match($B53 ,'4-All Devices'!BG:BG,0 ),match(D$4,'4-All Devices'!$4:$4,0)),"")</f>
        <v/>
      </c>
      <c r="E53" s="176" t="str">
        <f t="array" ref="E53">iferror(index('4-All Devices'!$A:$BB, match($B53 ,'4-All Devices'!BG:BG,0 ),match(E$4,'4-All Devices'!$4:$4,0)),"")</f>
        <v/>
      </c>
      <c r="F53" s="176" t="str">
        <f>if(countifs('4-All Devices'!BG:BG,B53)=0,"",countifs('4-All Devices'!BG:BG,B53))</f>
        <v/>
      </c>
      <c r="G53" s="174"/>
      <c r="H53" s="174"/>
      <c r="I53" s="178"/>
      <c r="J53" s="174"/>
      <c r="K53" s="174"/>
      <c r="L53" s="174"/>
      <c r="M53" s="174"/>
      <c r="N53" s="174"/>
      <c r="O53" s="174"/>
      <c r="P53" s="178"/>
      <c r="Q53" s="178"/>
      <c r="R53" s="178"/>
      <c r="S53" s="180"/>
    </row>
    <row r="54" ht="30.0" customHeight="1">
      <c r="A54" s="173">
        <f t="shared" si="1"/>
        <v>50</v>
      </c>
      <c r="B54" s="174"/>
      <c r="C54" s="175" t="str">
        <f t="array" ref="C54">iferror(index('4-All Devices'!$A:$BB, match($B54 ,'4-All Devices'!BG:BG,0 ),match(C$4,'4-All Devices'!$4:$4,0)),"")</f>
        <v/>
      </c>
      <c r="D54" s="175" t="str">
        <f t="array" ref="D54">iferror(index('4-All Devices'!$A:$BB, match($B54 ,'4-All Devices'!BG:BG,0 ),match(D$4,'4-All Devices'!$4:$4,0)),"")</f>
        <v/>
      </c>
      <c r="E54" s="176" t="str">
        <f t="array" ref="E54">iferror(index('4-All Devices'!$A:$BB, match($B54 ,'4-All Devices'!BG:BG,0 ),match(E$4,'4-All Devices'!$4:$4,0)),"")</f>
        <v/>
      </c>
      <c r="F54" s="176" t="str">
        <f>if(countifs('4-All Devices'!BG:BG,B54)=0,"",countifs('4-All Devices'!BG:BG,B54))</f>
        <v/>
      </c>
      <c r="G54" s="174"/>
      <c r="H54" s="174"/>
      <c r="I54" s="178"/>
      <c r="J54" s="174"/>
      <c r="K54" s="174"/>
      <c r="L54" s="174"/>
      <c r="M54" s="174"/>
      <c r="N54" s="174"/>
      <c r="O54" s="174"/>
      <c r="P54" s="178"/>
      <c r="Q54" s="178"/>
      <c r="R54" s="178"/>
      <c r="S54" s="180"/>
    </row>
    <row r="55" ht="30.0" customHeight="1">
      <c r="A55" s="173">
        <f t="shared" si="1"/>
        <v>51</v>
      </c>
      <c r="B55" s="174"/>
      <c r="C55" s="175" t="str">
        <f t="array" ref="C55">iferror(index('4-All Devices'!$A:$BB, match($B55 ,'4-All Devices'!BG:BG,0 ),match(C$4,'4-All Devices'!$4:$4,0)),"")</f>
        <v/>
      </c>
      <c r="D55" s="175" t="str">
        <f t="array" ref="D55">iferror(index('4-All Devices'!$A:$BB, match($B55 ,'4-All Devices'!BG:BG,0 ),match(D$4,'4-All Devices'!$4:$4,0)),"")</f>
        <v/>
      </c>
      <c r="E55" s="176" t="str">
        <f t="array" ref="E55">iferror(index('4-All Devices'!$A:$BB, match($B55 ,'4-All Devices'!BG:BG,0 ),match(E$4,'4-All Devices'!$4:$4,0)),"")</f>
        <v/>
      </c>
      <c r="F55" s="176" t="str">
        <f>if(countifs('4-All Devices'!BG:BG,B55)=0,"",countifs('4-All Devices'!BG:BG,B55))</f>
        <v/>
      </c>
      <c r="G55" s="174"/>
      <c r="H55" s="174"/>
      <c r="I55" s="178"/>
      <c r="J55" s="174"/>
      <c r="K55" s="174"/>
      <c r="L55" s="174"/>
      <c r="M55" s="174"/>
      <c r="N55" s="174"/>
      <c r="O55" s="174"/>
      <c r="P55" s="178"/>
      <c r="Q55" s="178"/>
      <c r="R55" s="178"/>
      <c r="S55" s="180"/>
    </row>
    <row r="56" ht="30.0" customHeight="1">
      <c r="A56" s="173">
        <f t="shared" si="1"/>
        <v>52</v>
      </c>
      <c r="B56" s="174"/>
      <c r="C56" s="175" t="str">
        <f t="array" ref="C56">iferror(index('4-All Devices'!$A:$BB, match($B56 ,'4-All Devices'!BG:BG,0 ),match(C$4,'4-All Devices'!$4:$4,0)),"")</f>
        <v/>
      </c>
      <c r="D56" s="175" t="str">
        <f t="array" ref="D56">iferror(index('4-All Devices'!$A:$BB, match($B56 ,'4-All Devices'!BG:BG,0 ),match(D$4,'4-All Devices'!$4:$4,0)),"")</f>
        <v/>
      </c>
      <c r="E56" s="176" t="str">
        <f t="array" ref="E56">iferror(index('4-All Devices'!$A:$BB, match($B56 ,'4-All Devices'!BG:BG,0 ),match(E$4,'4-All Devices'!$4:$4,0)),"")</f>
        <v/>
      </c>
      <c r="F56" s="176" t="str">
        <f>if(countifs('4-All Devices'!BG:BG,B56)=0,"",countifs('4-All Devices'!BG:BG,B56))</f>
        <v/>
      </c>
      <c r="G56" s="174"/>
      <c r="H56" s="174"/>
      <c r="I56" s="178"/>
      <c r="J56" s="174"/>
      <c r="K56" s="174"/>
      <c r="L56" s="174"/>
      <c r="M56" s="174"/>
      <c r="N56" s="174"/>
      <c r="O56" s="174"/>
      <c r="P56" s="178"/>
      <c r="Q56" s="178"/>
      <c r="R56" s="178"/>
      <c r="S56" s="180"/>
    </row>
    <row r="57" ht="30.0" customHeight="1">
      <c r="A57" s="173">
        <f t="shared" si="1"/>
        <v>53</v>
      </c>
      <c r="B57" s="174"/>
      <c r="C57" s="175" t="str">
        <f t="array" ref="C57">iferror(index('4-All Devices'!$A:$BB, match($B57 ,'4-All Devices'!BG:BG,0 ),match(C$4,'4-All Devices'!$4:$4,0)),"")</f>
        <v/>
      </c>
      <c r="D57" s="175" t="str">
        <f t="array" ref="D57">iferror(index('4-All Devices'!$A:$BB, match($B57 ,'4-All Devices'!BG:BG,0 ),match(D$4,'4-All Devices'!$4:$4,0)),"")</f>
        <v/>
      </c>
      <c r="E57" s="176" t="str">
        <f t="array" ref="E57">iferror(index('4-All Devices'!$A:$BB, match($B57 ,'4-All Devices'!BG:BG,0 ),match(E$4,'4-All Devices'!$4:$4,0)),"")</f>
        <v/>
      </c>
      <c r="F57" s="176" t="str">
        <f>if(countifs('4-All Devices'!BG:BG,B57)=0,"",countifs('4-All Devices'!BG:BG,B57))</f>
        <v/>
      </c>
      <c r="G57" s="174"/>
      <c r="H57" s="174"/>
      <c r="I57" s="178"/>
      <c r="J57" s="174"/>
      <c r="K57" s="174"/>
      <c r="L57" s="174"/>
      <c r="M57" s="174"/>
      <c r="N57" s="174"/>
      <c r="O57" s="174"/>
      <c r="P57" s="178"/>
      <c r="Q57" s="178"/>
      <c r="R57" s="178"/>
      <c r="S57" s="180"/>
    </row>
    <row r="58" ht="30.0" customHeight="1">
      <c r="A58" s="173">
        <f t="shared" si="1"/>
        <v>54</v>
      </c>
      <c r="B58" s="174"/>
      <c r="C58" s="175" t="str">
        <f t="array" ref="C58">iferror(index('4-All Devices'!$A:$BB, match($B58 ,'4-All Devices'!BG:BG,0 ),match(C$4,'4-All Devices'!$4:$4,0)),"")</f>
        <v/>
      </c>
      <c r="D58" s="175" t="str">
        <f t="array" ref="D58">iferror(index('4-All Devices'!$A:$BB, match($B58 ,'4-All Devices'!BG:BG,0 ),match(D$4,'4-All Devices'!$4:$4,0)),"")</f>
        <v/>
      </c>
      <c r="E58" s="176" t="str">
        <f t="array" ref="E58">iferror(index('4-All Devices'!$A:$BB, match($B58 ,'4-All Devices'!BG:BG,0 ),match(E$4,'4-All Devices'!$4:$4,0)),"")</f>
        <v/>
      </c>
      <c r="F58" s="176" t="str">
        <f>if(countifs('4-All Devices'!BG:BG,B58)=0,"",countifs('4-All Devices'!BG:BG,B58))</f>
        <v/>
      </c>
      <c r="G58" s="174"/>
      <c r="H58" s="174"/>
      <c r="I58" s="178"/>
      <c r="J58" s="174"/>
      <c r="K58" s="174"/>
      <c r="L58" s="174"/>
      <c r="M58" s="174"/>
      <c r="N58" s="174"/>
      <c r="O58" s="174"/>
      <c r="P58" s="178"/>
      <c r="Q58" s="178"/>
      <c r="R58" s="178"/>
      <c r="S58" s="180"/>
    </row>
    <row r="59" ht="30.0" customHeight="1">
      <c r="A59" s="173">
        <f t="shared" si="1"/>
        <v>55</v>
      </c>
      <c r="B59" s="174"/>
      <c r="C59" s="175" t="str">
        <f t="array" ref="C59">iferror(index('4-All Devices'!$A:$BB, match($B59 ,'4-All Devices'!BG:BG,0 ),match(C$4,'4-All Devices'!$4:$4,0)),"")</f>
        <v/>
      </c>
      <c r="D59" s="175" t="str">
        <f t="array" ref="D59">iferror(index('4-All Devices'!$A:$BB, match($B59 ,'4-All Devices'!BG:BG,0 ),match(D$4,'4-All Devices'!$4:$4,0)),"")</f>
        <v/>
      </c>
      <c r="E59" s="176" t="str">
        <f t="array" ref="E59">iferror(index('4-All Devices'!$A:$BB, match($B59 ,'4-All Devices'!BG:BG,0 ),match(E$4,'4-All Devices'!$4:$4,0)),"")</f>
        <v/>
      </c>
      <c r="F59" s="176" t="str">
        <f>if(countifs('4-All Devices'!BG:BG,B59)=0,"",countifs('4-All Devices'!BG:BG,B59))</f>
        <v/>
      </c>
      <c r="G59" s="174"/>
      <c r="H59" s="174"/>
      <c r="I59" s="178"/>
      <c r="J59" s="174"/>
      <c r="K59" s="174"/>
      <c r="L59" s="174"/>
      <c r="M59" s="174"/>
      <c r="N59" s="174"/>
      <c r="O59" s="174"/>
      <c r="P59" s="178"/>
      <c r="Q59" s="178"/>
      <c r="R59" s="178"/>
      <c r="S59" s="180"/>
    </row>
    <row r="60" ht="30.0" customHeight="1">
      <c r="A60" s="173">
        <f t="shared" si="1"/>
        <v>56</v>
      </c>
      <c r="B60" s="174"/>
      <c r="C60" s="175" t="str">
        <f t="array" ref="C60">iferror(index('4-All Devices'!$A:$BB, match($B60 ,'4-All Devices'!BG:BG,0 ),match(C$4,'4-All Devices'!$4:$4,0)),"")</f>
        <v/>
      </c>
      <c r="D60" s="175" t="str">
        <f t="array" ref="D60">iferror(index('4-All Devices'!$A:$BB, match($B60 ,'4-All Devices'!BG:BG,0 ),match(D$4,'4-All Devices'!$4:$4,0)),"")</f>
        <v/>
      </c>
      <c r="E60" s="176" t="str">
        <f t="array" ref="E60">iferror(index('4-All Devices'!$A:$BB, match($B60 ,'4-All Devices'!BG:BG,0 ),match(E$4,'4-All Devices'!$4:$4,0)),"")</f>
        <v/>
      </c>
      <c r="F60" s="176" t="str">
        <f>if(countifs('4-All Devices'!BG:BG,B60)=0,"",countifs('4-All Devices'!BG:BG,B60))</f>
        <v/>
      </c>
      <c r="G60" s="174"/>
      <c r="H60" s="174"/>
      <c r="I60" s="178"/>
      <c r="J60" s="174"/>
      <c r="K60" s="174"/>
      <c r="L60" s="174"/>
      <c r="M60" s="174"/>
      <c r="N60" s="174"/>
      <c r="O60" s="174"/>
      <c r="P60" s="178"/>
      <c r="Q60" s="178"/>
      <c r="R60" s="178"/>
      <c r="S60" s="180"/>
    </row>
    <row r="61" ht="30.0" customHeight="1">
      <c r="A61" s="173">
        <f t="shared" si="1"/>
        <v>57</v>
      </c>
      <c r="B61" s="174"/>
      <c r="C61" s="175" t="str">
        <f t="array" ref="C61">iferror(index('4-All Devices'!$A:$BB, match($B61 ,'4-All Devices'!BG:BG,0 ),match(C$4,'4-All Devices'!$4:$4,0)),"")</f>
        <v/>
      </c>
      <c r="D61" s="175" t="str">
        <f t="array" ref="D61">iferror(index('4-All Devices'!$A:$BB, match($B61 ,'4-All Devices'!BG:BG,0 ),match(D$4,'4-All Devices'!$4:$4,0)),"")</f>
        <v/>
      </c>
      <c r="E61" s="176" t="str">
        <f t="array" ref="E61">iferror(index('4-All Devices'!$A:$BB, match($B61 ,'4-All Devices'!BG:BG,0 ),match(E$4,'4-All Devices'!$4:$4,0)),"")</f>
        <v/>
      </c>
      <c r="F61" s="176" t="str">
        <f>if(countifs('4-All Devices'!BG:BG,B61)=0,"",countifs('4-All Devices'!BG:BG,B61))</f>
        <v/>
      </c>
      <c r="G61" s="174"/>
      <c r="H61" s="174"/>
      <c r="I61" s="178"/>
      <c r="J61" s="174"/>
      <c r="K61" s="174"/>
      <c r="L61" s="174"/>
      <c r="M61" s="174"/>
      <c r="N61" s="174"/>
      <c r="O61" s="174"/>
      <c r="P61" s="178"/>
      <c r="Q61" s="178"/>
      <c r="R61" s="178"/>
      <c r="S61" s="180"/>
    </row>
    <row r="62" ht="30.0" customHeight="1">
      <c r="A62" s="173">
        <f t="shared" si="1"/>
        <v>58</v>
      </c>
      <c r="B62" s="174"/>
      <c r="C62" s="175" t="str">
        <f t="array" ref="C62">iferror(index('4-All Devices'!$A:$BB, match($B62 ,'4-All Devices'!BG:BG,0 ),match(C$4,'4-All Devices'!$4:$4,0)),"")</f>
        <v/>
      </c>
      <c r="D62" s="175" t="str">
        <f t="array" ref="D62">iferror(index('4-All Devices'!$A:$BB, match($B62 ,'4-All Devices'!BG:BG,0 ),match(D$4,'4-All Devices'!$4:$4,0)),"")</f>
        <v/>
      </c>
      <c r="E62" s="176" t="str">
        <f t="array" ref="E62">iferror(index('4-All Devices'!$A:$BB, match($B62 ,'4-All Devices'!BG:BG,0 ),match(E$4,'4-All Devices'!$4:$4,0)),"")</f>
        <v/>
      </c>
      <c r="F62" s="176" t="str">
        <f>if(countifs('4-All Devices'!BG:BG,B62)=0,"",countifs('4-All Devices'!BG:BG,B62))</f>
        <v/>
      </c>
      <c r="G62" s="174"/>
      <c r="H62" s="174"/>
      <c r="I62" s="178"/>
      <c r="J62" s="174"/>
      <c r="K62" s="174"/>
      <c r="L62" s="174"/>
      <c r="M62" s="174"/>
      <c r="N62" s="174"/>
      <c r="O62" s="174"/>
      <c r="P62" s="178"/>
      <c r="Q62" s="178"/>
      <c r="R62" s="178"/>
      <c r="S62" s="180"/>
    </row>
    <row r="63" ht="30.0" customHeight="1">
      <c r="A63" s="173">
        <f t="shared" si="1"/>
        <v>59</v>
      </c>
      <c r="B63" s="174"/>
      <c r="C63" s="175" t="str">
        <f t="array" ref="C63">iferror(index('4-All Devices'!$A:$BB, match($B63 ,'4-All Devices'!BG:BG,0 ),match(C$4,'4-All Devices'!$4:$4,0)),"")</f>
        <v/>
      </c>
      <c r="D63" s="175" t="str">
        <f t="array" ref="D63">iferror(index('4-All Devices'!$A:$BB, match($B63 ,'4-All Devices'!BG:BG,0 ),match(D$4,'4-All Devices'!$4:$4,0)),"")</f>
        <v/>
      </c>
      <c r="E63" s="176" t="str">
        <f t="array" ref="E63">iferror(index('4-All Devices'!$A:$BB, match($B63 ,'4-All Devices'!BG:BG,0 ),match(E$4,'4-All Devices'!$4:$4,0)),"")</f>
        <v/>
      </c>
      <c r="F63" s="176" t="str">
        <f>if(countifs('4-All Devices'!BG:BG,B63)=0,"",countifs('4-All Devices'!BG:BG,B63))</f>
        <v/>
      </c>
      <c r="G63" s="174"/>
      <c r="H63" s="174"/>
      <c r="I63" s="178"/>
      <c r="J63" s="174"/>
      <c r="K63" s="174"/>
      <c r="L63" s="174"/>
      <c r="M63" s="174"/>
      <c r="N63" s="174"/>
      <c r="O63" s="174"/>
      <c r="P63" s="178"/>
      <c r="Q63" s="178"/>
      <c r="R63" s="178"/>
      <c r="S63" s="180"/>
    </row>
    <row r="64" ht="30.0" customHeight="1">
      <c r="A64" s="173">
        <f t="shared" si="1"/>
        <v>60</v>
      </c>
      <c r="B64" s="174"/>
      <c r="C64" s="175" t="str">
        <f t="array" ref="C64">iferror(index('4-All Devices'!$A:$BB, match($B64 ,'4-All Devices'!BG:BG,0 ),match(C$4,'4-All Devices'!$4:$4,0)),"")</f>
        <v/>
      </c>
      <c r="D64" s="175" t="str">
        <f t="array" ref="D64">iferror(index('4-All Devices'!$A:$BB, match($B64 ,'4-All Devices'!BG:BG,0 ),match(D$4,'4-All Devices'!$4:$4,0)),"")</f>
        <v/>
      </c>
      <c r="E64" s="176" t="str">
        <f t="array" ref="E64">iferror(index('4-All Devices'!$A:$BB, match($B64 ,'4-All Devices'!BG:BG,0 ),match(E$4,'4-All Devices'!$4:$4,0)),"")</f>
        <v/>
      </c>
      <c r="F64" s="176" t="str">
        <f>if(countifs('4-All Devices'!BG:BG,B64)=0,"",countifs('4-All Devices'!BG:BG,B64))</f>
        <v/>
      </c>
      <c r="G64" s="174"/>
      <c r="H64" s="174"/>
      <c r="I64" s="178"/>
      <c r="J64" s="174"/>
      <c r="K64" s="174"/>
      <c r="L64" s="174"/>
      <c r="M64" s="174"/>
      <c r="N64" s="174"/>
      <c r="O64" s="174"/>
      <c r="P64" s="178"/>
      <c r="Q64" s="178"/>
      <c r="R64" s="178"/>
      <c r="S64" s="180"/>
    </row>
    <row r="65" ht="30.0" customHeight="1">
      <c r="A65" s="173">
        <f t="shared" si="1"/>
        <v>61</v>
      </c>
      <c r="B65" s="174"/>
      <c r="C65" s="175" t="str">
        <f t="array" ref="C65">iferror(index('4-All Devices'!$A:$BB, match($B65 ,'4-All Devices'!BG:BG,0 ),match(C$4,'4-All Devices'!$4:$4,0)),"")</f>
        <v/>
      </c>
      <c r="D65" s="175" t="str">
        <f t="array" ref="D65">iferror(index('4-All Devices'!$A:$BB, match($B65 ,'4-All Devices'!BG:BG,0 ),match(D$4,'4-All Devices'!$4:$4,0)),"")</f>
        <v/>
      </c>
      <c r="E65" s="176" t="str">
        <f t="array" ref="E65">iferror(index('4-All Devices'!$A:$BB, match($B65 ,'4-All Devices'!BG:BG,0 ),match(E$4,'4-All Devices'!$4:$4,0)),"")</f>
        <v/>
      </c>
      <c r="F65" s="176" t="str">
        <f>if(countifs('4-All Devices'!BG:BG,B65)=0,"",countifs('4-All Devices'!BG:BG,B65))</f>
        <v/>
      </c>
      <c r="G65" s="174"/>
      <c r="H65" s="174"/>
      <c r="I65" s="178"/>
      <c r="J65" s="174"/>
      <c r="K65" s="174"/>
      <c r="L65" s="174"/>
      <c r="M65" s="174"/>
      <c r="N65" s="174"/>
      <c r="O65" s="174"/>
      <c r="P65" s="178"/>
      <c r="Q65" s="178"/>
      <c r="R65" s="178"/>
      <c r="S65" s="180"/>
    </row>
    <row r="66" ht="30.0" customHeight="1">
      <c r="A66" s="173">
        <f t="shared" si="1"/>
        <v>62</v>
      </c>
      <c r="B66" s="174"/>
      <c r="C66" s="175" t="str">
        <f t="array" ref="C66">iferror(index('4-All Devices'!$A:$BB, match($B66 ,'4-All Devices'!BG:BG,0 ),match(C$4,'4-All Devices'!$4:$4,0)),"")</f>
        <v/>
      </c>
      <c r="D66" s="175" t="str">
        <f t="array" ref="D66">iferror(index('4-All Devices'!$A:$BB, match($B66 ,'4-All Devices'!BG:BG,0 ),match(D$4,'4-All Devices'!$4:$4,0)),"")</f>
        <v/>
      </c>
      <c r="E66" s="176" t="str">
        <f t="array" ref="E66">iferror(index('4-All Devices'!$A:$BB, match($B66 ,'4-All Devices'!BG:BG,0 ),match(E$4,'4-All Devices'!$4:$4,0)),"")</f>
        <v/>
      </c>
      <c r="F66" s="176" t="str">
        <f>if(countifs('4-All Devices'!BG:BG,B66)=0,"",countifs('4-All Devices'!BG:BG,B66))</f>
        <v/>
      </c>
      <c r="G66" s="174"/>
      <c r="H66" s="174"/>
      <c r="I66" s="178"/>
      <c r="J66" s="174"/>
      <c r="K66" s="174"/>
      <c r="L66" s="174"/>
      <c r="M66" s="174"/>
      <c r="N66" s="174"/>
      <c r="O66" s="174"/>
      <c r="P66" s="178"/>
      <c r="Q66" s="178"/>
      <c r="R66" s="178"/>
      <c r="S66" s="180"/>
    </row>
    <row r="67" ht="30.0" customHeight="1">
      <c r="A67" s="173">
        <f t="shared" si="1"/>
        <v>63</v>
      </c>
      <c r="B67" s="174"/>
      <c r="C67" s="175" t="str">
        <f t="array" ref="C67">iferror(index('4-All Devices'!$A:$BB, match($B67 ,'4-All Devices'!BG:BG,0 ),match(C$4,'4-All Devices'!$4:$4,0)),"")</f>
        <v/>
      </c>
      <c r="D67" s="175" t="str">
        <f t="array" ref="D67">iferror(index('4-All Devices'!$A:$BB, match($B67 ,'4-All Devices'!BG:BG,0 ),match(D$4,'4-All Devices'!$4:$4,0)),"")</f>
        <v/>
      </c>
      <c r="E67" s="176" t="str">
        <f t="array" ref="E67">iferror(index('4-All Devices'!$A:$BB, match($B67 ,'4-All Devices'!BG:BG,0 ),match(E$4,'4-All Devices'!$4:$4,0)),"")</f>
        <v/>
      </c>
      <c r="F67" s="176" t="str">
        <f>if(countifs('4-All Devices'!BG:BG,B67)=0,"",countifs('4-All Devices'!BG:BG,B67))</f>
        <v/>
      </c>
      <c r="G67" s="174"/>
      <c r="H67" s="174"/>
      <c r="I67" s="178"/>
      <c r="J67" s="174"/>
      <c r="K67" s="174"/>
      <c r="L67" s="174"/>
      <c r="M67" s="174"/>
      <c r="N67" s="174"/>
      <c r="O67" s="174"/>
      <c r="P67" s="178"/>
      <c r="Q67" s="178"/>
      <c r="R67" s="178"/>
      <c r="S67" s="180"/>
    </row>
    <row r="68" ht="30.0" customHeight="1">
      <c r="A68" s="173">
        <f t="shared" si="1"/>
        <v>64</v>
      </c>
      <c r="B68" s="174"/>
      <c r="C68" s="175" t="str">
        <f t="array" ref="C68">iferror(index('4-All Devices'!$A:$BB, match($B68 ,'4-All Devices'!BG:BG,0 ),match(C$4,'4-All Devices'!$4:$4,0)),"")</f>
        <v/>
      </c>
      <c r="D68" s="175" t="str">
        <f t="array" ref="D68">iferror(index('4-All Devices'!$A:$BB, match($B68 ,'4-All Devices'!BG:BG,0 ),match(D$4,'4-All Devices'!$4:$4,0)),"")</f>
        <v/>
      </c>
      <c r="E68" s="176" t="str">
        <f t="array" ref="E68">iferror(index('4-All Devices'!$A:$BB, match($B68 ,'4-All Devices'!BG:BG,0 ),match(E$4,'4-All Devices'!$4:$4,0)),"")</f>
        <v/>
      </c>
      <c r="F68" s="176" t="str">
        <f>if(countifs('4-All Devices'!BG:BG,B68)=0,"",countifs('4-All Devices'!BG:BG,B68))</f>
        <v/>
      </c>
      <c r="G68" s="174"/>
      <c r="H68" s="174"/>
      <c r="I68" s="178"/>
      <c r="J68" s="174"/>
      <c r="K68" s="174"/>
      <c r="L68" s="174"/>
      <c r="M68" s="174"/>
      <c r="N68" s="174"/>
      <c r="O68" s="174"/>
      <c r="P68" s="178"/>
      <c r="Q68" s="178"/>
      <c r="R68" s="178"/>
      <c r="S68" s="180"/>
    </row>
    <row r="69" ht="30.0" customHeight="1">
      <c r="A69" s="173">
        <f t="shared" si="1"/>
        <v>65</v>
      </c>
      <c r="B69" s="174"/>
      <c r="C69" s="175" t="str">
        <f t="array" ref="C69">iferror(index('4-All Devices'!$A:$BB, match($B69 ,'4-All Devices'!BG:BG,0 ),match(C$4,'4-All Devices'!$4:$4,0)),"")</f>
        <v/>
      </c>
      <c r="D69" s="175" t="str">
        <f t="array" ref="D69">iferror(index('4-All Devices'!$A:$BB, match($B69 ,'4-All Devices'!BG:BG,0 ),match(D$4,'4-All Devices'!$4:$4,0)),"")</f>
        <v/>
      </c>
      <c r="E69" s="176" t="str">
        <f t="array" ref="E69">iferror(index('4-All Devices'!$A:$BB, match($B69 ,'4-All Devices'!BG:BG,0 ),match(E$4,'4-All Devices'!$4:$4,0)),"")</f>
        <v/>
      </c>
      <c r="F69" s="176" t="str">
        <f>if(countifs('4-All Devices'!BG:BG,B69)=0,"",countifs('4-All Devices'!BG:BG,B69))</f>
        <v/>
      </c>
      <c r="G69" s="174"/>
      <c r="H69" s="174"/>
      <c r="I69" s="178"/>
      <c r="J69" s="174"/>
      <c r="K69" s="174"/>
      <c r="L69" s="174"/>
      <c r="M69" s="174"/>
      <c r="N69" s="174"/>
      <c r="O69" s="174"/>
      <c r="P69" s="178"/>
      <c r="Q69" s="178"/>
      <c r="R69" s="178"/>
      <c r="S69" s="180"/>
    </row>
    <row r="70" ht="30.0" customHeight="1">
      <c r="A70" s="173">
        <f t="shared" si="1"/>
        <v>66</v>
      </c>
      <c r="B70" s="174"/>
      <c r="C70" s="175" t="str">
        <f t="array" ref="C70">iferror(index('4-All Devices'!$A:$BB, match($B70 ,'4-All Devices'!BG:BG,0 ),match(C$4,'4-All Devices'!$4:$4,0)),"")</f>
        <v/>
      </c>
      <c r="D70" s="175" t="str">
        <f t="array" ref="D70">iferror(index('4-All Devices'!$A:$BB, match($B70 ,'4-All Devices'!BG:BG,0 ),match(D$4,'4-All Devices'!$4:$4,0)),"")</f>
        <v/>
      </c>
      <c r="E70" s="176" t="str">
        <f t="array" ref="E70">iferror(index('4-All Devices'!$A:$BB, match($B70 ,'4-All Devices'!BG:BG,0 ),match(E$4,'4-All Devices'!$4:$4,0)),"")</f>
        <v/>
      </c>
      <c r="F70" s="176" t="str">
        <f>if(countifs('4-All Devices'!BG:BG,B70)=0,"",countifs('4-All Devices'!BG:BG,B70))</f>
        <v/>
      </c>
      <c r="G70" s="174"/>
      <c r="H70" s="174"/>
      <c r="I70" s="178"/>
      <c r="J70" s="174"/>
      <c r="K70" s="174"/>
      <c r="L70" s="174"/>
      <c r="M70" s="174"/>
      <c r="N70" s="174"/>
      <c r="O70" s="174"/>
      <c r="P70" s="178"/>
      <c r="Q70" s="178"/>
      <c r="R70" s="178"/>
      <c r="S70" s="180"/>
    </row>
    <row r="71" ht="30.0" customHeight="1">
      <c r="A71" s="173">
        <f t="shared" si="1"/>
        <v>67</v>
      </c>
      <c r="B71" s="174"/>
      <c r="C71" s="175" t="str">
        <f t="array" ref="C71">iferror(index('4-All Devices'!$A:$BB, match($B71 ,'4-All Devices'!BG:BG,0 ),match(C$4,'4-All Devices'!$4:$4,0)),"")</f>
        <v/>
      </c>
      <c r="D71" s="175" t="str">
        <f t="array" ref="D71">iferror(index('4-All Devices'!$A:$BB, match($B71 ,'4-All Devices'!BG:BG,0 ),match(D$4,'4-All Devices'!$4:$4,0)),"")</f>
        <v/>
      </c>
      <c r="E71" s="176" t="str">
        <f t="array" ref="E71">iferror(index('4-All Devices'!$A:$BB, match($B71 ,'4-All Devices'!BG:BG,0 ),match(E$4,'4-All Devices'!$4:$4,0)),"")</f>
        <v/>
      </c>
      <c r="F71" s="176" t="str">
        <f>if(countifs('4-All Devices'!BG:BG,B71)=0,"",countifs('4-All Devices'!BG:BG,B71))</f>
        <v/>
      </c>
      <c r="G71" s="174"/>
      <c r="H71" s="174"/>
      <c r="I71" s="178"/>
      <c r="J71" s="174"/>
      <c r="K71" s="174"/>
      <c r="L71" s="174"/>
      <c r="M71" s="174"/>
      <c r="N71" s="174"/>
      <c r="O71" s="174"/>
      <c r="P71" s="178"/>
      <c r="Q71" s="178"/>
      <c r="R71" s="178"/>
      <c r="S71" s="180"/>
    </row>
    <row r="72" ht="30.0" customHeight="1">
      <c r="A72" s="173">
        <f t="shared" si="1"/>
        <v>68</v>
      </c>
      <c r="B72" s="174"/>
      <c r="C72" s="175" t="str">
        <f t="array" ref="C72">iferror(index('4-All Devices'!$A:$BB, match($B72 ,'4-All Devices'!BG:BG,0 ),match(C$4,'4-All Devices'!$4:$4,0)),"")</f>
        <v/>
      </c>
      <c r="D72" s="175" t="str">
        <f t="array" ref="D72">iferror(index('4-All Devices'!$A:$BB, match($B72 ,'4-All Devices'!BG:BG,0 ),match(D$4,'4-All Devices'!$4:$4,0)),"")</f>
        <v/>
      </c>
      <c r="E72" s="176" t="str">
        <f t="array" ref="E72">iferror(index('4-All Devices'!$A:$BB, match($B72 ,'4-All Devices'!BG:BG,0 ),match(E$4,'4-All Devices'!$4:$4,0)),"")</f>
        <v/>
      </c>
      <c r="F72" s="176" t="str">
        <f>if(countifs('4-All Devices'!BG:BG,B72)=0,"",countifs('4-All Devices'!BG:BG,B72))</f>
        <v/>
      </c>
      <c r="G72" s="174"/>
      <c r="H72" s="174"/>
      <c r="I72" s="178"/>
      <c r="J72" s="174"/>
      <c r="K72" s="174"/>
      <c r="L72" s="174"/>
      <c r="M72" s="174"/>
      <c r="N72" s="174"/>
      <c r="O72" s="174"/>
      <c r="P72" s="178"/>
      <c r="Q72" s="178"/>
      <c r="R72" s="178"/>
      <c r="S72" s="180"/>
    </row>
    <row r="73" ht="30.0" customHeight="1">
      <c r="A73" s="173">
        <f t="shared" si="1"/>
        <v>69</v>
      </c>
      <c r="B73" s="174"/>
      <c r="C73" s="175" t="str">
        <f t="array" ref="C73">iferror(index('4-All Devices'!$A:$BB, match($B73 ,'4-All Devices'!BG:BG,0 ),match(C$4,'4-All Devices'!$4:$4,0)),"")</f>
        <v/>
      </c>
      <c r="D73" s="175" t="str">
        <f t="array" ref="D73">iferror(index('4-All Devices'!$A:$BB, match($B73 ,'4-All Devices'!BG:BG,0 ),match(D$4,'4-All Devices'!$4:$4,0)),"")</f>
        <v/>
      </c>
      <c r="E73" s="176" t="str">
        <f t="array" ref="E73">iferror(index('4-All Devices'!$A:$BB, match($B73 ,'4-All Devices'!BG:BG,0 ),match(E$4,'4-All Devices'!$4:$4,0)),"")</f>
        <v/>
      </c>
      <c r="F73" s="176" t="str">
        <f>if(countifs('4-All Devices'!BG:BG,B73)=0,"",countifs('4-All Devices'!BG:BG,B73))</f>
        <v/>
      </c>
      <c r="G73" s="174"/>
      <c r="H73" s="174"/>
      <c r="I73" s="178"/>
      <c r="J73" s="174"/>
      <c r="K73" s="174"/>
      <c r="L73" s="174"/>
      <c r="M73" s="174"/>
      <c r="N73" s="174"/>
      <c r="O73" s="174"/>
      <c r="P73" s="178"/>
      <c r="Q73" s="178"/>
      <c r="R73" s="178"/>
      <c r="S73" s="180"/>
    </row>
    <row r="74" ht="30.0" customHeight="1">
      <c r="A74" s="173">
        <f t="shared" si="1"/>
        <v>70</v>
      </c>
      <c r="B74" s="174"/>
      <c r="C74" s="175" t="str">
        <f t="array" ref="C74">iferror(index('4-All Devices'!$A:$BB, match($B74 ,'4-All Devices'!BG:BG,0 ),match(C$4,'4-All Devices'!$4:$4,0)),"")</f>
        <v/>
      </c>
      <c r="D74" s="175" t="str">
        <f t="array" ref="D74">iferror(index('4-All Devices'!$A:$BB, match($B74 ,'4-All Devices'!BG:BG,0 ),match(D$4,'4-All Devices'!$4:$4,0)),"")</f>
        <v/>
      </c>
      <c r="E74" s="176" t="str">
        <f t="array" ref="E74">iferror(index('4-All Devices'!$A:$BB, match($B74 ,'4-All Devices'!BG:BG,0 ),match(E$4,'4-All Devices'!$4:$4,0)),"")</f>
        <v/>
      </c>
      <c r="F74" s="176" t="str">
        <f>if(countifs('4-All Devices'!BG:BG,B74)=0,"",countifs('4-All Devices'!BG:BG,B74))</f>
        <v/>
      </c>
      <c r="G74" s="174"/>
      <c r="H74" s="174"/>
      <c r="I74" s="178"/>
      <c r="J74" s="174"/>
      <c r="K74" s="174"/>
      <c r="L74" s="174"/>
      <c r="M74" s="174"/>
      <c r="N74" s="174"/>
      <c r="O74" s="174"/>
      <c r="P74" s="178"/>
      <c r="Q74" s="178"/>
      <c r="R74" s="178"/>
      <c r="S74" s="180"/>
    </row>
    <row r="75" ht="30.0" customHeight="1">
      <c r="A75" s="173">
        <f t="shared" si="1"/>
        <v>71</v>
      </c>
      <c r="B75" s="174"/>
      <c r="C75" s="175" t="str">
        <f t="array" ref="C75">iferror(index('4-All Devices'!$A:$BB, match($B75 ,'4-All Devices'!BG:BG,0 ),match(C$4,'4-All Devices'!$4:$4,0)),"")</f>
        <v/>
      </c>
      <c r="D75" s="175" t="str">
        <f t="array" ref="D75">iferror(index('4-All Devices'!$A:$BB, match($B75 ,'4-All Devices'!BG:BG,0 ),match(D$4,'4-All Devices'!$4:$4,0)),"")</f>
        <v/>
      </c>
      <c r="E75" s="176" t="str">
        <f t="array" ref="E75">iferror(index('4-All Devices'!$A:$BB, match($B75 ,'4-All Devices'!BG:BG,0 ),match(E$4,'4-All Devices'!$4:$4,0)),"")</f>
        <v/>
      </c>
      <c r="F75" s="176" t="str">
        <f>if(countifs('4-All Devices'!BG:BG,B75)=0,"",countifs('4-All Devices'!BG:BG,B75))</f>
        <v/>
      </c>
      <c r="G75" s="174"/>
      <c r="H75" s="174"/>
      <c r="I75" s="178"/>
      <c r="J75" s="174"/>
      <c r="K75" s="174"/>
      <c r="L75" s="174"/>
      <c r="M75" s="174"/>
      <c r="N75" s="174"/>
      <c r="O75" s="174"/>
      <c r="P75" s="178"/>
      <c r="Q75" s="178"/>
      <c r="R75" s="178"/>
      <c r="S75" s="180"/>
    </row>
    <row r="76" ht="30.0" customHeight="1">
      <c r="A76" s="173">
        <f t="shared" si="1"/>
        <v>72</v>
      </c>
      <c r="B76" s="174"/>
      <c r="C76" s="175" t="str">
        <f t="array" ref="C76">iferror(index('4-All Devices'!$A:$BB, match($B76 ,'4-All Devices'!BG:BG,0 ),match(C$4,'4-All Devices'!$4:$4,0)),"")</f>
        <v/>
      </c>
      <c r="D76" s="175" t="str">
        <f t="array" ref="D76">iferror(index('4-All Devices'!$A:$BB, match($B76 ,'4-All Devices'!BG:BG,0 ),match(D$4,'4-All Devices'!$4:$4,0)),"")</f>
        <v/>
      </c>
      <c r="E76" s="176" t="str">
        <f t="array" ref="E76">iferror(index('4-All Devices'!$A:$BB, match($B76 ,'4-All Devices'!BG:BG,0 ),match(E$4,'4-All Devices'!$4:$4,0)),"")</f>
        <v/>
      </c>
      <c r="F76" s="176" t="str">
        <f>if(countifs('4-All Devices'!BG:BG,B76)=0,"",countifs('4-All Devices'!BG:BG,B76))</f>
        <v/>
      </c>
      <c r="G76" s="174"/>
      <c r="H76" s="174"/>
      <c r="I76" s="178"/>
      <c r="J76" s="174"/>
      <c r="K76" s="174"/>
      <c r="L76" s="174"/>
      <c r="M76" s="174"/>
      <c r="N76" s="174"/>
      <c r="O76" s="174"/>
      <c r="P76" s="178"/>
      <c r="Q76" s="178"/>
      <c r="R76" s="178"/>
      <c r="S76" s="180"/>
    </row>
    <row r="77" ht="30.0" customHeight="1">
      <c r="A77" s="173">
        <f t="shared" si="1"/>
        <v>73</v>
      </c>
      <c r="B77" s="174"/>
      <c r="C77" s="175" t="str">
        <f t="array" ref="C77">iferror(index('4-All Devices'!$A:$BB, match($B77 ,'4-All Devices'!BG:BG,0 ),match(C$4,'4-All Devices'!$4:$4,0)),"")</f>
        <v/>
      </c>
      <c r="D77" s="175" t="str">
        <f t="array" ref="D77">iferror(index('4-All Devices'!$A:$BB, match($B77 ,'4-All Devices'!BG:BG,0 ),match(D$4,'4-All Devices'!$4:$4,0)),"")</f>
        <v/>
      </c>
      <c r="E77" s="176" t="str">
        <f t="array" ref="E77">iferror(index('4-All Devices'!$A:$BB, match($B77 ,'4-All Devices'!BG:BG,0 ),match(E$4,'4-All Devices'!$4:$4,0)),"")</f>
        <v/>
      </c>
      <c r="F77" s="176" t="str">
        <f>if(countifs('4-All Devices'!BG:BG,B77)=0,"",countifs('4-All Devices'!BG:BG,B77))</f>
        <v/>
      </c>
      <c r="G77" s="174"/>
      <c r="H77" s="174"/>
      <c r="I77" s="178"/>
      <c r="J77" s="174"/>
      <c r="K77" s="174"/>
      <c r="L77" s="174"/>
      <c r="M77" s="174"/>
      <c r="N77" s="174"/>
      <c r="O77" s="174"/>
      <c r="P77" s="178"/>
      <c r="Q77" s="178"/>
      <c r="R77" s="178"/>
      <c r="S77" s="180"/>
    </row>
    <row r="78" ht="30.0" customHeight="1">
      <c r="A78" s="173">
        <f t="shared" si="1"/>
        <v>74</v>
      </c>
      <c r="B78" s="174"/>
      <c r="C78" s="175" t="str">
        <f t="array" ref="C78">iferror(index('4-All Devices'!$A:$BB, match($B78 ,'4-All Devices'!BG:BG,0 ),match(C$4,'4-All Devices'!$4:$4,0)),"")</f>
        <v/>
      </c>
      <c r="D78" s="175" t="str">
        <f t="array" ref="D78">iferror(index('4-All Devices'!$A:$BB, match($B78 ,'4-All Devices'!BG:BG,0 ),match(D$4,'4-All Devices'!$4:$4,0)),"")</f>
        <v/>
      </c>
      <c r="E78" s="176" t="str">
        <f t="array" ref="E78">iferror(index('4-All Devices'!$A:$BB, match($B78 ,'4-All Devices'!BG:BG,0 ),match(E$4,'4-All Devices'!$4:$4,0)),"")</f>
        <v/>
      </c>
      <c r="F78" s="176" t="str">
        <f>if(countifs('4-All Devices'!BG:BG,B78)=0,"",countifs('4-All Devices'!BG:BG,B78))</f>
        <v/>
      </c>
      <c r="G78" s="174"/>
      <c r="H78" s="174"/>
      <c r="I78" s="178"/>
      <c r="J78" s="174"/>
      <c r="K78" s="174"/>
      <c r="L78" s="174"/>
      <c r="M78" s="174"/>
      <c r="N78" s="174"/>
      <c r="O78" s="174"/>
      <c r="P78" s="178"/>
      <c r="Q78" s="178"/>
      <c r="R78" s="178"/>
      <c r="S78" s="180"/>
    </row>
    <row r="79" ht="30.0" customHeight="1">
      <c r="A79" s="173">
        <f t="shared" si="1"/>
        <v>75</v>
      </c>
      <c r="B79" s="174"/>
      <c r="C79" s="175" t="str">
        <f t="array" ref="C79">iferror(index('4-All Devices'!$A:$BB, match($B79 ,'4-All Devices'!BG:BG,0 ),match(C$4,'4-All Devices'!$4:$4,0)),"")</f>
        <v/>
      </c>
      <c r="D79" s="175" t="str">
        <f t="array" ref="D79">iferror(index('4-All Devices'!$A:$BB, match($B79 ,'4-All Devices'!BG:BG,0 ),match(D$4,'4-All Devices'!$4:$4,0)),"")</f>
        <v/>
      </c>
      <c r="E79" s="176" t="str">
        <f t="array" ref="E79">iferror(index('4-All Devices'!$A:$BB, match($B79 ,'4-All Devices'!BG:BG,0 ),match(E$4,'4-All Devices'!$4:$4,0)),"")</f>
        <v/>
      </c>
      <c r="F79" s="176" t="str">
        <f>if(countifs('4-All Devices'!BG:BG,B79)=0,"",countifs('4-All Devices'!BG:BG,B79))</f>
        <v/>
      </c>
      <c r="G79" s="174"/>
      <c r="H79" s="174"/>
      <c r="I79" s="178"/>
      <c r="J79" s="174"/>
      <c r="K79" s="174"/>
      <c r="L79" s="174"/>
      <c r="M79" s="174"/>
      <c r="N79" s="174"/>
      <c r="O79" s="174"/>
      <c r="P79" s="178"/>
      <c r="Q79" s="178"/>
      <c r="R79" s="178"/>
      <c r="S79" s="180"/>
    </row>
    <row r="80" ht="30.0" customHeight="1">
      <c r="A80" s="173">
        <f t="shared" si="1"/>
        <v>76</v>
      </c>
      <c r="B80" s="174"/>
      <c r="C80" s="175" t="str">
        <f t="array" ref="C80">iferror(index('4-All Devices'!$A:$BB, match($B80 ,'4-All Devices'!BG:BG,0 ),match(C$4,'4-All Devices'!$4:$4,0)),"")</f>
        <v/>
      </c>
      <c r="D80" s="175" t="str">
        <f t="array" ref="D80">iferror(index('4-All Devices'!$A:$BB, match($B80 ,'4-All Devices'!BG:BG,0 ),match(D$4,'4-All Devices'!$4:$4,0)),"")</f>
        <v/>
      </c>
      <c r="E80" s="176" t="str">
        <f t="array" ref="E80">iferror(index('4-All Devices'!$A:$BB, match($B80 ,'4-All Devices'!BG:BG,0 ),match(E$4,'4-All Devices'!$4:$4,0)),"")</f>
        <v/>
      </c>
      <c r="F80" s="176" t="str">
        <f>if(countifs('4-All Devices'!BG:BG,B80)=0,"",countifs('4-All Devices'!BG:BG,B80))</f>
        <v/>
      </c>
      <c r="G80" s="174"/>
      <c r="H80" s="174"/>
      <c r="I80" s="178"/>
      <c r="J80" s="174"/>
      <c r="K80" s="174"/>
      <c r="L80" s="174"/>
      <c r="M80" s="174"/>
      <c r="N80" s="174"/>
      <c r="O80" s="174"/>
      <c r="P80" s="178"/>
      <c r="Q80" s="178"/>
      <c r="R80" s="178"/>
      <c r="S80" s="180"/>
    </row>
    <row r="81" ht="30.0" customHeight="1">
      <c r="A81" s="173">
        <f t="shared" si="1"/>
        <v>77</v>
      </c>
      <c r="B81" s="174"/>
      <c r="C81" s="175" t="str">
        <f t="array" ref="C81">iferror(index('4-All Devices'!$A:$BB, match($B81 ,'4-All Devices'!BG:BG,0 ),match(C$4,'4-All Devices'!$4:$4,0)),"")</f>
        <v/>
      </c>
      <c r="D81" s="175" t="str">
        <f t="array" ref="D81">iferror(index('4-All Devices'!$A:$BB, match($B81 ,'4-All Devices'!BG:BG,0 ),match(D$4,'4-All Devices'!$4:$4,0)),"")</f>
        <v/>
      </c>
      <c r="E81" s="176" t="str">
        <f t="array" ref="E81">iferror(index('4-All Devices'!$A:$BB, match($B81 ,'4-All Devices'!BG:BG,0 ),match(E$4,'4-All Devices'!$4:$4,0)),"")</f>
        <v/>
      </c>
      <c r="F81" s="176" t="str">
        <f>if(countifs('4-All Devices'!BG:BG,B81)=0,"",countifs('4-All Devices'!BG:BG,B81))</f>
        <v/>
      </c>
      <c r="G81" s="174"/>
      <c r="H81" s="174"/>
      <c r="I81" s="178"/>
      <c r="J81" s="174"/>
      <c r="K81" s="174"/>
      <c r="L81" s="174"/>
      <c r="M81" s="174"/>
      <c r="N81" s="174"/>
      <c r="O81" s="174"/>
      <c r="P81" s="178"/>
      <c r="Q81" s="178"/>
      <c r="R81" s="178"/>
      <c r="S81" s="180"/>
    </row>
    <row r="82" ht="30.0" customHeight="1">
      <c r="A82" s="173">
        <f t="shared" si="1"/>
        <v>78</v>
      </c>
      <c r="B82" s="174"/>
      <c r="C82" s="175" t="str">
        <f t="array" ref="C82">iferror(index('4-All Devices'!$A:$BB, match($B82 ,'4-All Devices'!BG:BG,0 ),match(C$4,'4-All Devices'!$4:$4,0)),"")</f>
        <v/>
      </c>
      <c r="D82" s="175" t="str">
        <f t="array" ref="D82">iferror(index('4-All Devices'!$A:$BB, match($B82 ,'4-All Devices'!BG:BG,0 ),match(D$4,'4-All Devices'!$4:$4,0)),"")</f>
        <v/>
      </c>
      <c r="E82" s="176" t="str">
        <f t="array" ref="E82">iferror(index('4-All Devices'!$A:$BB, match($B82 ,'4-All Devices'!BG:BG,0 ),match(E$4,'4-All Devices'!$4:$4,0)),"")</f>
        <v/>
      </c>
      <c r="F82" s="176" t="str">
        <f>if(countifs('4-All Devices'!BG:BG,B82)=0,"",countifs('4-All Devices'!BG:BG,B82))</f>
        <v/>
      </c>
      <c r="G82" s="174"/>
      <c r="H82" s="174"/>
      <c r="I82" s="178"/>
      <c r="J82" s="174"/>
      <c r="K82" s="174"/>
      <c r="L82" s="174"/>
      <c r="M82" s="174"/>
      <c r="N82" s="174"/>
      <c r="O82" s="174"/>
      <c r="P82" s="178"/>
      <c r="Q82" s="178"/>
      <c r="R82" s="178"/>
      <c r="S82" s="180"/>
    </row>
    <row r="83" ht="30.0" customHeight="1">
      <c r="A83" s="173">
        <f t="shared" si="1"/>
        <v>79</v>
      </c>
      <c r="B83" s="174"/>
      <c r="C83" s="175" t="str">
        <f t="array" ref="C83">iferror(index('4-All Devices'!$A:$BB, match($B83 ,'4-All Devices'!BG:BG,0 ),match(C$4,'4-All Devices'!$4:$4,0)),"")</f>
        <v/>
      </c>
      <c r="D83" s="175" t="str">
        <f t="array" ref="D83">iferror(index('4-All Devices'!$A:$BB, match($B83 ,'4-All Devices'!BG:BG,0 ),match(D$4,'4-All Devices'!$4:$4,0)),"")</f>
        <v/>
      </c>
      <c r="E83" s="176" t="str">
        <f t="array" ref="E83">iferror(index('4-All Devices'!$A:$BB, match($B83 ,'4-All Devices'!BG:BG,0 ),match(E$4,'4-All Devices'!$4:$4,0)),"")</f>
        <v/>
      </c>
      <c r="F83" s="176" t="str">
        <f>if(countifs('4-All Devices'!BG:BG,B83)=0,"",countifs('4-All Devices'!BG:BG,B83))</f>
        <v/>
      </c>
      <c r="G83" s="174"/>
      <c r="H83" s="174"/>
      <c r="I83" s="178"/>
      <c r="J83" s="174"/>
      <c r="K83" s="174"/>
      <c r="L83" s="174"/>
      <c r="M83" s="174"/>
      <c r="N83" s="174"/>
      <c r="O83" s="174"/>
      <c r="P83" s="178"/>
      <c r="Q83" s="178"/>
      <c r="R83" s="178"/>
      <c r="S83" s="180"/>
    </row>
    <row r="84" ht="30.0" customHeight="1">
      <c r="A84" s="173">
        <f t="shared" si="1"/>
        <v>80</v>
      </c>
      <c r="B84" s="174"/>
      <c r="C84" s="175" t="str">
        <f t="array" ref="C84">iferror(index('4-All Devices'!$A:$BB, match($B84 ,'4-All Devices'!BG:BG,0 ),match(C$4,'4-All Devices'!$4:$4,0)),"")</f>
        <v/>
      </c>
      <c r="D84" s="175" t="str">
        <f t="array" ref="D84">iferror(index('4-All Devices'!$A:$BB, match($B84 ,'4-All Devices'!BG:BG,0 ),match(D$4,'4-All Devices'!$4:$4,0)),"")</f>
        <v/>
      </c>
      <c r="E84" s="176" t="str">
        <f t="array" ref="E84">iferror(index('4-All Devices'!$A:$BB, match($B84 ,'4-All Devices'!BG:BG,0 ),match(E$4,'4-All Devices'!$4:$4,0)),"")</f>
        <v/>
      </c>
      <c r="F84" s="176" t="str">
        <f>if(countifs('4-All Devices'!BG:BG,B84)=0,"",countifs('4-All Devices'!BG:BG,B84))</f>
        <v/>
      </c>
      <c r="G84" s="174"/>
      <c r="H84" s="174"/>
      <c r="I84" s="178"/>
      <c r="J84" s="174"/>
      <c r="K84" s="174"/>
      <c r="L84" s="174"/>
      <c r="M84" s="174"/>
      <c r="N84" s="174"/>
      <c r="O84" s="174"/>
      <c r="P84" s="178"/>
      <c r="Q84" s="178"/>
      <c r="R84" s="178"/>
      <c r="S84" s="180"/>
    </row>
    <row r="85" ht="30.0" customHeight="1">
      <c r="A85" s="173">
        <f t="shared" si="1"/>
        <v>81</v>
      </c>
      <c r="B85" s="174"/>
      <c r="C85" s="175" t="str">
        <f t="array" ref="C85">iferror(index('4-All Devices'!$A:$BB, match($B85 ,'4-All Devices'!BG:BG,0 ),match(C$4,'4-All Devices'!$4:$4,0)),"")</f>
        <v/>
      </c>
      <c r="D85" s="175" t="str">
        <f t="array" ref="D85">iferror(index('4-All Devices'!$A:$BB, match($B85 ,'4-All Devices'!BG:BG,0 ),match(D$4,'4-All Devices'!$4:$4,0)),"")</f>
        <v/>
      </c>
      <c r="E85" s="176" t="str">
        <f t="array" ref="E85">iferror(index('4-All Devices'!$A:$BB, match($B85 ,'4-All Devices'!BG:BG,0 ),match(E$4,'4-All Devices'!$4:$4,0)),"")</f>
        <v/>
      </c>
      <c r="F85" s="176" t="str">
        <f>if(countifs('4-All Devices'!BG:BG,B85)=0,"",countifs('4-All Devices'!BG:BG,B85))</f>
        <v/>
      </c>
      <c r="G85" s="174"/>
      <c r="H85" s="174"/>
      <c r="I85" s="178"/>
      <c r="J85" s="174"/>
      <c r="K85" s="174"/>
      <c r="L85" s="174"/>
      <c r="M85" s="174"/>
      <c r="N85" s="174"/>
      <c r="O85" s="174"/>
      <c r="P85" s="178"/>
      <c r="Q85" s="178"/>
      <c r="R85" s="178"/>
      <c r="S85" s="180"/>
    </row>
    <row r="86" ht="30.0" customHeight="1">
      <c r="A86" s="173">
        <f t="shared" si="1"/>
        <v>82</v>
      </c>
      <c r="B86" s="174"/>
      <c r="C86" s="175" t="str">
        <f t="array" ref="C86">iferror(index('4-All Devices'!$A:$BB, match($B86 ,'4-All Devices'!BG:BG,0 ),match(C$4,'4-All Devices'!$4:$4,0)),"")</f>
        <v/>
      </c>
      <c r="D86" s="175" t="str">
        <f t="array" ref="D86">iferror(index('4-All Devices'!$A:$BB, match($B86 ,'4-All Devices'!BG:BG,0 ),match(D$4,'4-All Devices'!$4:$4,0)),"")</f>
        <v/>
      </c>
      <c r="E86" s="176" t="str">
        <f t="array" ref="E86">iferror(index('4-All Devices'!$A:$BB, match($B86 ,'4-All Devices'!BG:BG,0 ),match(E$4,'4-All Devices'!$4:$4,0)),"")</f>
        <v/>
      </c>
      <c r="F86" s="176" t="str">
        <f>if(countifs('4-All Devices'!BG:BG,B86)=0,"",countifs('4-All Devices'!BG:BG,B86))</f>
        <v/>
      </c>
      <c r="G86" s="174"/>
      <c r="H86" s="174"/>
      <c r="I86" s="178"/>
      <c r="J86" s="174"/>
      <c r="K86" s="174"/>
      <c r="L86" s="174"/>
      <c r="M86" s="174"/>
      <c r="N86" s="174"/>
      <c r="O86" s="174"/>
      <c r="P86" s="178"/>
      <c r="Q86" s="178"/>
      <c r="R86" s="178"/>
      <c r="S86" s="180"/>
    </row>
    <row r="87" ht="30.0" customHeight="1">
      <c r="A87" s="173">
        <f t="shared" si="1"/>
        <v>83</v>
      </c>
      <c r="B87" s="174"/>
      <c r="C87" s="175" t="str">
        <f t="array" ref="C87">iferror(index('4-All Devices'!$A:$BB, match($B87 ,'4-All Devices'!BG:BG,0 ),match(C$4,'4-All Devices'!$4:$4,0)),"")</f>
        <v/>
      </c>
      <c r="D87" s="175" t="str">
        <f t="array" ref="D87">iferror(index('4-All Devices'!$A:$BB, match($B87 ,'4-All Devices'!BG:BG,0 ),match(D$4,'4-All Devices'!$4:$4,0)),"")</f>
        <v/>
      </c>
      <c r="E87" s="176" t="str">
        <f t="array" ref="E87">iferror(index('4-All Devices'!$A:$BB, match($B87 ,'4-All Devices'!BG:BG,0 ),match(E$4,'4-All Devices'!$4:$4,0)),"")</f>
        <v/>
      </c>
      <c r="F87" s="176" t="str">
        <f>if(countifs('4-All Devices'!BG:BG,B87)=0,"",countifs('4-All Devices'!BG:BG,B87))</f>
        <v/>
      </c>
      <c r="G87" s="174"/>
      <c r="H87" s="174"/>
      <c r="I87" s="178"/>
      <c r="J87" s="174"/>
      <c r="K87" s="174"/>
      <c r="L87" s="174"/>
      <c r="M87" s="174"/>
      <c r="N87" s="174"/>
      <c r="O87" s="174"/>
      <c r="P87" s="178"/>
      <c r="Q87" s="178"/>
      <c r="R87" s="178"/>
      <c r="S87" s="180"/>
    </row>
    <row r="88" ht="30.0" customHeight="1">
      <c r="A88" s="173">
        <f t="shared" si="1"/>
        <v>84</v>
      </c>
      <c r="B88" s="174"/>
      <c r="C88" s="175" t="str">
        <f t="array" ref="C88">iferror(index('4-All Devices'!$A:$BB, match($B88 ,'4-All Devices'!BG:BG,0 ),match(C$4,'4-All Devices'!$4:$4,0)),"")</f>
        <v/>
      </c>
      <c r="D88" s="175" t="str">
        <f t="array" ref="D88">iferror(index('4-All Devices'!$A:$BB, match($B88 ,'4-All Devices'!BG:BG,0 ),match(D$4,'4-All Devices'!$4:$4,0)),"")</f>
        <v/>
      </c>
      <c r="E88" s="176" t="str">
        <f t="array" ref="E88">iferror(index('4-All Devices'!$A:$BB, match($B88 ,'4-All Devices'!BG:BG,0 ),match(E$4,'4-All Devices'!$4:$4,0)),"")</f>
        <v/>
      </c>
      <c r="F88" s="176" t="str">
        <f>if(countifs('4-All Devices'!BG:BG,B88)=0,"",countifs('4-All Devices'!BG:BG,B88))</f>
        <v/>
      </c>
      <c r="G88" s="174"/>
      <c r="H88" s="174"/>
      <c r="I88" s="178"/>
      <c r="J88" s="174"/>
      <c r="K88" s="174"/>
      <c r="L88" s="174"/>
      <c r="M88" s="174"/>
      <c r="N88" s="174"/>
      <c r="O88" s="174"/>
      <c r="P88" s="178"/>
      <c r="Q88" s="178"/>
      <c r="R88" s="178"/>
      <c r="S88" s="180"/>
    </row>
    <row r="89" ht="30.0" customHeight="1">
      <c r="A89" s="173">
        <f t="shared" si="1"/>
        <v>85</v>
      </c>
      <c r="B89" s="174"/>
      <c r="C89" s="175" t="str">
        <f t="array" ref="C89">iferror(index('4-All Devices'!$A:$BB, match($B89 ,'4-All Devices'!BG:BG,0 ),match(C$4,'4-All Devices'!$4:$4,0)),"")</f>
        <v/>
      </c>
      <c r="D89" s="175" t="str">
        <f t="array" ref="D89">iferror(index('4-All Devices'!$A:$BB, match($B89 ,'4-All Devices'!BG:BG,0 ),match(D$4,'4-All Devices'!$4:$4,0)),"")</f>
        <v/>
      </c>
      <c r="E89" s="176" t="str">
        <f t="array" ref="E89">iferror(index('4-All Devices'!$A:$BB, match($B89 ,'4-All Devices'!BG:BG,0 ),match(E$4,'4-All Devices'!$4:$4,0)),"")</f>
        <v/>
      </c>
      <c r="F89" s="176" t="str">
        <f>if(countifs('4-All Devices'!BG:BG,B89)=0,"",countifs('4-All Devices'!BG:BG,B89))</f>
        <v/>
      </c>
      <c r="G89" s="174"/>
      <c r="H89" s="174"/>
      <c r="I89" s="178"/>
      <c r="J89" s="174"/>
      <c r="K89" s="174"/>
      <c r="L89" s="174"/>
      <c r="M89" s="174"/>
      <c r="N89" s="174"/>
      <c r="O89" s="174"/>
      <c r="P89" s="178"/>
      <c r="Q89" s="178"/>
      <c r="R89" s="178"/>
      <c r="S89" s="180"/>
    </row>
    <row r="90" ht="30.0" customHeight="1">
      <c r="A90" s="173">
        <f t="shared" si="1"/>
        <v>86</v>
      </c>
      <c r="B90" s="174"/>
      <c r="C90" s="175" t="str">
        <f t="array" ref="C90">iferror(index('4-All Devices'!$A:$BB, match($B90 ,'4-All Devices'!BG:BG,0 ),match(C$4,'4-All Devices'!$4:$4,0)),"")</f>
        <v/>
      </c>
      <c r="D90" s="175" t="str">
        <f t="array" ref="D90">iferror(index('4-All Devices'!$A:$BB, match($B90 ,'4-All Devices'!BG:BG,0 ),match(D$4,'4-All Devices'!$4:$4,0)),"")</f>
        <v/>
      </c>
      <c r="E90" s="176" t="str">
        <f t="array" ref="E90">iferror(index('4-All Devices'!$A:$BB, match($B90 ,'4-All Devices'!BG:BG,0 ),match(E$4,'4-All Devices'!$4:$4,0)),"")</f>
        <v/>
      </c>
      <c r="F90" s="176" t="str">
        <f>if(countifs('4-All Devices'!BG:BG,B90)=0,"",countifs('4-All Devices'!BG:BG,B90))</f>
        <v/>
      </c>
      <c r="G90" s="174"/>
      <c r="H90" s="174"/>
      <c r="I90" s="178"/>
      <c r="J90" s="174"/>
      <c r="K90" s="174"/>
      <c r="L90" s="174"/>
      <c r="M90" s="174"/>
      <c r="N90" s="174"/>
      <c r="O90" s="174"/>
      <c r="P90" s="178"/>
      <c r="Q90" s="178"/>
      <c r="R90" s="178"/>
      <c r="S90" s="180"/>
    </row>
    <row r="91" ht="30.0" customHeight="1">
      <c r="A91" s="173">
        <f t="shared" si="1"/>
        <v>87</v>
      </c>
      <c r="B91" s="174"/>
      <c r="C91" s="175" t="str">
        <f t="array" ref="C91">iferror(index('4-All Devices'!$A:$BB, match($B91 ,'4-All Devices'!BG:BG,0 ),match(C$4,'4-All Devices'!$4:$4,0)),"")</f>
        <v/>
      </c>
      <c r="D91" s="175" t="str">
        <f t="array" ref="D91">iferror(index('4-All Devices'!$A:$BB, match($B91 ,'4-All Devices'!BG:BG,0 ),match(D$4,'4-All Devices'!$4:$4,0)),"")</f>
        <v/>
      </c>
      <c r="E91" s="176" t="str">
        <f t="array" ref="E91">iferror(index('4-All Devices'!$A:$BB, match($B91 ,'4-All Devices'!BG:BG,0 ),match(E$4,'4-All Devices'!$4:$4,0)),"")</f>
        <v/>
      </c>
      <c r="F91" s="176" t="str">
        <f>if(countifs('4-All Devices'!BG:BG,B91)=0,"",countifs('4-All Devices'!BG:BG,B91))</f>
        <v/>
      </c>
      <c r="G91" s="174"/>
      <c r="H91" s="174"/>
      <c r="I91" s="178"/>
      <c r="J91" s="174"/>
      <c r="K91" s="174"/>
      <c r="L91" s="174"/>
      <c r="M91" s="174"/>
      <c r="N91" s="174"/>
      <c r="O91" s="174"/>
      <c r="P91" s="178"/>
      <c r="Q91" s="178"/>
      <c r="R91" s="178"/>
      <c r="S91" s="180"/>
    </row>
    <row r="92" ht="30.0" customHeight="1">
      <c r="A92" s="173">
        <f t="shared" si="1"/>
        <v>88</v>
      </c>
      <c r="B92" s="174"/>
      <c r="C92" s="175" t="str">
        <f t="array" ref="C92">iferror(index('4-All Devices'!$A:$BB, match($B92 ,'4-All Devices'!BG:BG,0 ),match(C$4,'4-All Devices'!$4:$4,0)),"")</f>
        <v/>
      </c>
      <c r="D92" s="175" t="str">
        <f t="array" ref="D92">iferror(index('4-All Devices'!$A:$BB, match($B92 ,'4-All Devices'!BG:BG,0 ),match(D$4,'4-All Devices'!$4:$4,0)),"")</f>
        <v/>
      </c>
      <c r="E92" s="176" t="str">
        <f t="array" ref="E92">iferror(index('4-All Devices'!$A:$BB, match($B92 ,'4-All Devices'!BG:BG,0 ),match(E$4,'4-All Devices'!$4:$4,0)),"")</f>
        <v/>
      </c>
      <c r="F92" s="176" t="str">
        <f>if(countifs('4-All Devices'!BG:BG,B92)=0,"",countifs('4-All Devices'!BG:BG,B92))</f>
        <v/>
      </c>
      <c r="G92" s="174"/>
      <c r="H92" s="174"/>
      <c r="I92" s="178"/>
      <c r="J92" s="174"/>
      <c r="K92" s="174"/>
      <c r="L92" s="174"/>
      <c r="M92" s="174"/>
      <c r="N92" s="174"/>
      <c r="O92" s="174"/>
      <c r="P92" s="178"/>
      <c r="Q92" s="178"/>
      <c r="R92" s="178"/>
      <c r="S92" s="180"/>
    </row>
    <row r="93" ht="30.0" customHeight="1">
      <c r="A93" s="173">
        <f t="shared" si="1"/>
        <v>89</v>
      </c>
      <c r="B93" s="174"/>
      <c r="C93" s="175" t="str">
        <f t="array" ref="C93">iferror(index('4-All Devices'!$A:$BB, match($B93 ,'4-All Devices'!BG:BG,0 ),match(C$4,'4-All Devices'!$4:$4,0)),"")</f>
        <v/>
      </c>
      <c r="D93" s="175" t="str">
        <f t="array" ref="D93">iferror(index('4-All Devices'!$A:$BB, match($B93 ,'4-All Devices'!BG:BG,0 ),match(D$4,'4-All Devices'!$4:$4,0)),"")</f>
        <v/>
      </c>
      <c r="E93" s="176" t="str">
        <f t="array" ref="E93">iferror(index('4-All Devices'!$A:$BB, match($B93 ,'4-All Devices'!BG:BG,0 ),match(E$4,'4-All Devices'!$4:$4,0)),"")</f>
        <v/>
      </c>
      <c r="F93" s="176" t="str">
        <f>if(countifs('4-All Devices'!BG:BG,B93)=0,"",countifs('4-All Devices'!BG:BG,B93))</f>
        <v/>
      </c>
      <c r="G93" s="174"/>
      <c r="H93" s="174"/>
      <c r="I93" s="178"/>
      <c r="J93" s="174"/>
      <c r="K93" s="174"/>
      <c r="L93" s="174"/>
      <c r="M93" s="174"/>
      <c r="N93" s="174"/>
      <c r="O93" s="174"/>
      <c r="P93" s="178"/>
      <c r="Q93" s="178"/>
      <c r="R93" s="178"/>
      <c r="S93" s="180"/>
    </row>
    <row r="94" ht="30.0" customHeight="1">
      <c r="A94" s="173">
        <f t="shared" si="1"/>
        <v>90</v>
      </c>
      <c r="B94" s="174"/>
      <c r="C94" s="175" t="str">
        <f t="array" ref="C94">iferror(index('4-All Devices'!$A:$BB, match($B94 ,'4-All Devices'!BG:BG,0 ),match(C$4,'4-All Devices'!$4:$4,0)),"")</f>
        <v/>
      </c>
      <c r="D94" s="175" t="str">
        <f t="array" ref="D94">iferror(index('4-All Devices'!$A:$BB, match($B94 ,'4-All Devices'!BG:BG,0 ),match(D$4,'4-All Devices'!$4:$4,0)),"")</f>
        <v/>
      </c>
      <c r="E94" s="176" t="str">
        <f t="array" ref="E94">iferror(index('4-All Devices'!$A:$BB, match($B94 ,'4-All Devices'!BG:BG,0 ),match(E$4,'4-All Devices'!$4:$4,0)),"")</f>
        <v/>
      </c>
      <c r="F94" s="176" t="str">
        <f>if(countifs('4-All Devices'!BG:BG,B94)=0,"",countifs('4-All Devices'!BG:BG,B94))</f>
        <v/>
      </c>
      <c r="G94" s="174"/>
      <c r="H94" s="174"/>
      <c r="I94" s="178"/>
      <c r="J94" s="174"/>
      <c r="K94" s="174"/>
      <c r="L94" s="174"/>
      <c r="M94" s="174"/>
      <c r="N94" s="174"/>
      <c r="O94" s="174"/>
      <c r="P94" s="178"/>
      <c r="Q94" s="178"/>
      <c r="R94" s="178"/>
      <c r="S94" s="180"/>
    </row>
    <row r="95" ht="30.0" customHeight="1">
      <c r="A95" s="173">
        <f t="shared" si="1"/>
        <v>91</v>
      </c>
      <c r="B95" s="174"/>
      <c r="C95" s="175" t="str">
        <f t="array" ref="C95">iferror(index('4-All Devices'!$A:$BB, match($B95 ,'4-All Devices'!BG:BG,0 ),match(C$4,'4-All Devices'!$4:$4,0)),"")</f>
        <v/>
      </c>
      <c r="D95" s="175" t="str">
        <f t="array" ref="D95">iferror(index('4-All Devices'!$A:$BB, match($B95 ,'4-All Devices'!BG:BG,0 ),match(D$4,'4-All Devices'!$4:$4,0)),"")</f>
        <v/>
      </c>
      <c r="E95" s="176" t="str">
        <f t="array" ref="E95">iferror(index('4-All Devices'!$A:$BB, match($B95 ,'4-All Devices'!BG:BG,0 ),match(E$4,'4-All Devices'!$4:$4,0)),"")</f>
        <v/>
      </c>
      <c r="F95" s="176" t="str">
        <f>if(countifs('4-All Devices'!BG:BG,B95)=0,"",countifs('4-All Devices'!BG:BG,B95))</f>
        <v/>
      </c>
      <c r="G95" s="174"/>
      <c r="H95" s="174"/>
      <c r="I95" s="178"/>
      <c r="J95" s="174"/>
      <c r="K95" s="174"/>
      <c r="L95" s="174"/>
      <c r="M95" s="174"/>
      <c r="N95" s="174"/>
      <c r="O95" s="174"/>
      <c r="P95" s="178"/>
      <c r="Q95" s="178"/>
      <c r="R95" s="178"/>
      <c r="S95" s="180"/>
    </row>
    <row r="96" ht="30.0" customHeight="1">
      <c r="A96" s="173">
        <f t="shared" si="1"/>
        <v>92</v>
      </c>
      <c r="B96" s="174"/>
      <c r="C96" s="175" t="str">
        <f t="array" ref="C96">iferror(index('4-All Devices'!$A:$BB, match($B96 ,'4-All Devices'!BG:BG,0 ),match(C$4,'4-All Devices'!$4:$4,0)),"")</f>
        <v/>
      </c>
      <c r="D96" s="175" t="str">
        <f t="array" ref="D96">iferror(index('4-All Devices'!$A:$BB, match($B96 ,'4-All Devices'!BG:BG,0 ),match(D$4,'4-All Devices'!$4:$4,0)),"")</f>
        <v/>
      </c>
      <c r="E96" s="176" t="str">
        <f t="array" ref="E96">iferror(index('4-All Devices'!$A:$BB, match($B96 ,'4-All Devices'!BG:BG,0 ),match(E$4,'4-All Devices'!$4:$4,0)),"")</f>
        <v/>
      </c>
      <c r="F96" s="176" t="str">
        <f>if(countifs('4-All Devices'!BG:BG,B96)=0,"",countifs('4-All Devices'!BG:BG,B96))</f>
        <v/>
      </c>
      <c r="G96" s="174"/>
      <c r="H96" s="174"/>
      <c r="I96" s="178"/>
      <c r="J96" s="174"/>
      <c r="K96" s="174"/>
      <c r="L96" s="174"/>
      <c r="M96" s="174"/>
      <c r="N96" s="174"/>
      <c r="O96" s="174"/>
      <c r="P96" s="178"/>
      <c r="Q96" s="178"/>
      <c r="R96" s="178"/>
      <c r="S96" s="180"/>
    </row>
    <row r="97" ht="30.0" customHeight="1">
      <c r="A97" s="173">
        <f t="shared" si="1"/>
        <v>93</v>
      </c>
      <c r="B97" s="174"/>
      <c r="C97" s="175" t="str">
        <f t="array" ref="C97">iferror(index('4-All Devices'!$A:$BB, match($B97 ,'4-All Devices'!BG:BG,0 ),match(C$4,'4-All Devices'!$4:$4,0)),"")</f>
        <v/>
      </c>
      <c r="D97" s="175" t="str">
        <f t="array" ref="D97">iferror(index('4-All Devices'!$A:$BB, match($B97 ,'4-All Devices'!BG:BG,0 ),match(D$4,'4-All Devices'!$4:$4,0)),"")</f>
        <v/>
      </c>
      <c r="E97" s="176" t="str">
        <f t="array" ref="E97">iferror(index('4-All Devices'!$A:$BB, match($B97 ,'4-All Devices'!BG:BG,0 ),match(E$4,'4-All Devices'!$4:$4,0)),"")</f>
        <v/>
      </c>
      <c r="F97" s="176" t="str">
        <f>if(countifs('4-All Devices'!BG:BG,B97)=0,"",countifs('4-All Devices'!BG:BG,B97))</f>
        <v/>
      </c>
      <c r="G97" s="174"/>
      <c r="H97" s="174"/>
      <c r="I97" s="178"/>
      <c r="J97" s="174"/>
      <c r="K97" s="174"/>
      <c r="L97" s="174"/>
      <c r="M97" s="174"/>
      <c r="N97" s="174"/>
      <c r="O97" s="174"/>
      <c r="P97" s="178"/>
      <c r="Q97" s="178"/>
      <c r="R97" s="178"/>
      <c r="S97" s="180"/>
    </row>
    <row r="98" ht="30.0" customHeight="1">
      <c r="A98" s="173">
        <f t="shared" si="1"/>
        <v>94</v>
      </c>
      <c r="B98" s="174"/>
      <c r="C98" s="175" t="str">
        <f t="array" ref="C98">iferror(index('4-All Devices'!$A:$BB, match($B98 ,'4-All Devices'!BG:BG,0 ),match(C$4,'4-All Devices'!$4:$4,0)),"")</f>
        <v/>
      </c>
      <c r="D98" s="175" t="str">
        <f t="array" ref="D98">iferror(index('4-All Devices'!$A:$BB, match($B98 ,'4-All Devices'!BG:BG,0 ),match(D$4,'4-All Devices'!$4:$4,0)),"")</f>
        <v/>
      </c>
      <c r="E98" s="176" t="str">
        <f t="array" ref="E98">iferror(index('4-All Devices'!$A:$BB, match($B98 ,'4-All Devices'!BG:BG,0 ),match(E$4,'4-All Devices'!$4:$4,0)),"")</f>
        <v/>
      </c>
      <c r="F98" s="176" t="str">
        <f>if(countifs('4-All Devices'!BG:BG,B98)=0,"",countifs('4-All Devices'!BG:BG,B98))</f>
        <v/>
      </c>
      <c r="G98" s="174"/>
      <c r="H98" s="174"/>
      <c r="I98" s="178"/>
      <c r="J98" s="174"/>
      <c r="K98" s="174"/>
      <c r="L98" s="174"/>
      <c r="M98" s="174"/>
      <c r="N98" s="174"/>
      <c r="O98" s="174"/>
      <c r="P98" s="178"/>
      <c r="Q98" s="178"/>
      <c r="R98" s="178"/>
      <c r="S98" s="180"/>
    </row>
    <row r="99" ht="30.0" customHeight="1">
      <c r="A99" s="173">
        <f t="shared" si="1"/>
        <v>95</v>
      </c>
      <c r="B99" s="174"/>
      <c r="C99" s="175" t="str">
        <f t="array" ref="C99">iferror(index('4-All Devices'!$A:$BB, match($B99 ,'4-All Devices'!BG:BG,0 ),match(C$4,'4-All Devices'!$4:$4,0)),"")</f>
        <v/>
      </c>
      <c r="D99" s="175" t="str">
        <f t="array" ref="D99">iferror(index('4-All Devices'!$A:$BB, match($B99 ,'4-All Devices'!BG:BG,0 ),match(D$4,'4-All Devices'!$4:$4,0)),"")</f>
        <v/>
      </c>
      <c r="E99" s="176" t="str">
        <f t="array" ref="E99">iferror(index('4-All Devices'!$A:$BB, match($B99 ,'4-All Devices'!BG:BG,0 ),match(E$4,'4-All Devices'!$4:$4,0)),"")</f>
        <v/>
      </c>
      <c r="F99" s="176" t="str">
        <f>if(countifs('4-All Devices'!BG:BG,B99)=0,"",countifs('4-All Devices'!BG:BG,B99))</f>
        <v/>
      </c>
      <c r="G99" s="174"/>
      <c r="H99" s="174"/>
      <c r="I99" s="178"/>
      <c r="J99" s="174"/>
      <c r="K99" s="174"/>
      <c r="L99" s="174"/>
      <c r="M99" s="174"/>
      <c r="N99" s="174"/>
      <c r="O99" s="174"/>
      <c r="P99" s="178"/>
      <c r="Q99" s="178"/>
      <c r="R99" s="178"/>
      <c r="S99" s="180"/>
    </row>
    <row r="100" ht="30.0" customHeight="1">
      <c r="A100" s="173">
        <f t="shared" si="1"/>
        <v>96</v>
      </c>
      <c r="B100" s="174"/>
      <c r="C100" s="175" t="str">
        <f t="array" ref="C100">iferror(index('4-All Devices'!$A:$BB, match($B100 ,'4-All Devices'!BG:BG,0 ),match(C$4,'4-All Devices'!$4:$4,0)),"")</f>
        <v/>
      </c>
      <c r="D100" s="175" t="str">
        <f t="array" ref="D100">iferror(index('4-All Devices'!$A:$BB, match($B100 ,'4-All Devices'!BG:BG,0 ),match(D$4,'4-All Devices'!$4:$4,0)),"")</f>
        <v/>
      </c>
      <c r="E100" s="176" t="str">
        <f t="array" ref="E100">iferror(index('4-All Devices'!$A:$BB, match($B100 ,'4-All Devices'!BG:BG,0 ),match(E$4,'4-All Devices'!$4:$4,0)),"")</f>
        <v/>
      </c>
      <c r="F100" s="176" t="str">
        <f>if(countifs('4-All Devices'!BG:BG,B100)=0,"",countifs('4-All Devices'!BG:BG,B100))</f>
        <v/>
      </c>
      <c r="G100" s="174"/>
      <c r="H100" s="174"/>
      <c r="I100" s="178"/>
      <c r="J100" s="174"/>
      <c r="K100" s="174"/>
      <c r="L100" s="174"/>
      <c r="M100" s="174"/>
      <c r="N100" s="174"/>
      <c r="O100" s="174"/>
      <c r="P100" s="178"/>
      <c r="Q100" s="178"/>
      <c r="R100" s="178"/>
      <c r="S100" s="180"/>
    </row>
    <row r="101" ht="30.0" customHeight="1">
      <c r="A101" s="173">
        <f t="shared" si="1"/>
        <v>97</v>
      </c>
      <c r="B101" s="174"/>
      <c r="C101" s="175" t="str">
        <f t="array" ref="C101">iferror(index('4-All Devices'!$A:$BB, match($B101 ,'4-All Devices'!BG:BG,0 ),match(C$4,'4-All Devices'!$4:$4,0)),"")</f>
        <v/>
      </c>
      <c r="D101" s="175" t="str">
        <f t="array" ref="D101">iferror(index('4-All Devices'!$A:$BB, match($B101 ,'4-All Devices'!BG:BG,0 ),match(D$4,'4-All Devices'!$4:$4,0)),"")</f>
        <v/>
      </c>
      <c r="E101" s="176" t="str">
        <f t="array" ref="E101">iferror(index('4-All Devices'!$A:$BB, match($B101 ,'4-All Devices'!BG:BG,0 ),match(E$4,'4-All Devices'!$4:$4,0)),"")</f>
        <v/>
      </c>
      <c r="F101" s="176" t="str">
        <f>if(countifs('4-All Devices'!BG:BG,B101)=0,"",countifs('4-All Devices'!BG:BG,B101))</f>
        <v/>
      </c>
      <c r="G101" s="174"/>
      <c r="H101" s="174"/>
      <c r="I101" s="178"/>
      <c r="J101" s="174"/>
      <c r="K101" s="174"/>
      <c r="L101" s="174"/>
      <c r="M101" s="174"/>
      <c r="N101" s="174"/>
      <c r="O101" s="174"/>
      <c r="P101" s="178"/>
      <c r="Q101" s="178"/>
      <c r="R101" s="178"/>
      <c r="S101" s="180"/>
    </row>
    <row r="102" ht="30.0" customHeight="1">
      <c r="A102" s="173">
        <f t="shared" si="1"/>
        <v>98</v>
      </c>
      <c r="B102" s="174"/>
      <c r="C102" s="175" t="str">
        <f t="array" ref="C102">iferror(index('4-All Devices'!$A:$BB, match($B102 ,'4-All Devices'!BG:BG,0 ),match(C$4,'4-All Devices'!$4:$4,0)),"")</f>
        <v/>
      </c>
      <c r="D102" s="175" t="str">
        <f t="array" ref="D102">iferror(index('4-All Devices'!$A:$BB, match($B102 ,'4-All Devices'!BG:BG,0 ),match(D$4,'4-All Devices'!$4:$4,0)),"")</f>
        <v/>
      </c>
      <c r="E102" s="176" t="str">
        <f t="array" ref="E102">iferror(index('4-All Devices'!$A:$BB, match($B102 ,'4-All Devices'!BG:BG,0 ),match(E$4,'4-All Devices'!$4:$4,0)),"")</f>
        <v/>
      </c>
      <c r="F102" s="176" t="str">
        <f>if(countifs('4-All Devices'!BG:BG,B102)=0,"",countifs('4-All Devices'!BG:BG,B102))</f>
        <v/>
      </c>
      <c r="G102" s="174"/>
      <c r="H102" s="174"/>
      <c r="I102" s="178"/>
      <c r="J102" s="174"/>
      <c r="K102" s="174"/>
      <c r="L102" s="174"/>
      <c r="M102" s="174"/>
      <c r="N102" s="174"/>
      <c r="O102" s="174"/>
      <c r="P102" s="178"/>
      <c r="Q102" s="178"/>
      <c r="R102" s="178"/>
      <c r="S102" s="180"/>
    </row>
    <row r="103" ht="30.0" customHeight="1">
      <c r="A103" s="173">
        <f t="shared" si="1"/>
        <v>99</v>
      </c>
      <c r="B103" s="174"/>
      <c r="C103" s="175" t="str">
        <f t="array" ref="C103">iferror(index('4-All Devices'!$A:$BB, match($B103 ,'4-All Devices'!BG:BG,0 ),match(C$4,'4-All Devices'!$4:$4,0)),"")</f>
        <v/>
      </c>
      <c r="D103" s="175" t="str">
        <f t="array" ref="D103">iferror(index('4-All Devices'!$A:$BB, match($B103 ,'4-All Devices'!BG:BG,0 ),match(D$4,'4-All Devices'!$4:$4,0)),"")</f>
        <v/>
      </c>
      <c r="E103" s="176" t="str">
        <f t="array" ref="E103">iferror(index('4-All Devices'!$A:$BB, match($B103 ,'4-All Devices'!BG:BG,0 ),match(E$4,'4-All Devices'!$4:$4,0)),"")</f>
        <v/>
      </c>
      <c r="F103" s="176" t="str">
        <f>if(countifs('4-All Devices'!BG:BG,B103)=0,"",countifs('4-All Devices'!BG:BG,B103))</f>
        <v/>
      </c>
      <c r="G103" s="174"/>
      <c r="H103" s="174"/>
      <c r="I103" s="178"/>
      <c r="J103" s="174"/>
      <c r="K103" s="174"/>
      <c r="L103" s="174"/>
      <c r="M103" s="174"/>
      <c r="N103" s="174"/>
      <c r="O103" s="174"/>
      <c r="P103" s="178"/>
      <c r="Q103" s="178"/>
      <c r="R103" s="178"/>
      <c r="S103" s="180"/>
    </row>
    <row r="104" ht="30.0" customHeight="1">
      <c r="A104" s="173">
        <f t="shared" si="1"/>
        <v>100</v>
      </c>
      <c r="B104" s="174"/>
      <c r="C104" s="175" t="str">
        <f t="array" ref="C104">iferror(index('4-All Devices'!$A:$BB, match($B104 ,'4-All Devices'!BG:BG,0 ),match(C$4,'4-All Devices'!$4:$4,0)),"")</f>
        <v/>
      </c>
      <c r="D104" s="175" t="str">
        <f t="array" ref="D104">iferror(index('4-All Devices'!$A:$BB, match($B104 ,'4-All Devices'!BG:BG,0 ),match(D$4,'4-All Devices'!$4:$4,0)),"")</f>
        <v/>
      </c>
      <c r="E104" s="176" t="str">
        <f t="array" ref="E104">iferror(index('4-All Devices'!$A:$BB, match($B104 ,'4-All Devices'!BG:BG,0 ),match(E$4,'4-All Devices'!$4:$4,0)),"")</f>
        <v/>
      </c>
      <c r="F104" s="176" t="str">
        <f>if(countifs('4-All Devices'!BG:BG,B104)=0,"",countifs('4-All Devices'!BG:BG,B104))</f>
        <v/>
      </c>
      <c r="G104" s="174"/>
      <c r="H104" s="174"/>
      <c r="I104" s="178"/>
      <c r="J104" s="174"/>
      <c r="K104" s="174"/>
      <c r="L104" s="174"/>
      <c r="M104" s="174"/>
      <c r="N104" s="174"/>
      <c r="O104" s="174"/>
      <c r="P104" s="178"/>
      <c r="Q104" s="178"/>
      <c r="R104" s="178"/>
      <c r="S104" s="180"/>
    </row>
  </sheetData>
  <autoFilter ref="$A$4:$S$104"/>
  <mergeCells count="9">
    <mergeCell ref="J2:K2"/>
    <mergeCell ref="L2:Q2"/>
    <mergeCell ref="B1:E1"/>
    <mergeCell ref="F1:G1"/>
    <mergeCell ref="H1:I1"/>
    <mergeCell ref="J1:Q1"/>
    <mergeCell ref="B2:E2"/>
    <mergeCell ref="F2:G2"/>
    <mergeCell ref="H2:I2"/>
  </mergeCells>
  <conditionalFormatting sqref="B5:B104 G5:Q104">
    <cfRule type="containsBlanks" dxfId="0" priority="1">
      <formula>LEN(TRIM(B5))=0</formula>
    </cfRule>
  </conditionalFormatting>
  <conditionalFormatting sqref="B5:B104">
    <cfRule type="expression" dxfId="2" priority="2">
      <formula>countif(B:B,B5)&gt;1</formula>
    </cfRule>
  </conditionalFormatting>
  <dataValidations>
    <dataValidation type="list" allowBlank="1" showErrorMessage="1" sqref="B5:B104">
      <formula1>DeviceTypesWithFirmware</formula1>
    </dataValidation>
    <dataValidation type="list" allowBlank="1" sqref="S5:S104">
      <formula1>DeviceRiskLevel</formula1>
    </dataValidation>
    <dataValidation type="list" allowBlank="1" sqref="H5:H104">
      <formula1>NetworkSpeed</formula1>
    </dataValidation>
    <dataValidation type="custom" allowBlank="1" showDropDown="1" sqref="J5:K104">
      <formula1>OR(ISURL(J5), J5 = "N/A", J5 = "Not Verified")</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outlineLevelRow="1"/>
  <cols>
    <col customWidth="1" min="1" max="1" width="10.14"/>
    <col customWidth="1" min="2" max="2" width="33.14"/>
    <col customWidth="1" min="3" max="4" width="25.71"/>
    <col customWidth="1" min="5" max="5" width="27.0"/>
    <col customWidth="1" min="6" max="6" width="32.0"/>
    <col customWidth="1" min="7" max="7" width="22.71"/>
    <col customWidth="1" min="8" max="8" width="19.14"/>
    <col customWidth="1" min="9" max="9" width="19.0"/>
    <col customWidth="1" min="10" max="10" width="14.86"/>
    <col customWidth="1" min="11" max="11" width="12.71"/>
    <col customWidth="1" min="12" max="12" width="25.29"/>
    <col customWidth="1" min="13" max="13" width="35.86"/>
    <col customWidth="1" min="14" max="14" width="31.14"/>
    <col customWidth="1" min="15" max="16" width="35.86"/>
    <col customWidth="1" min="17" max="17" width="52.86"/>
    <col customWidth="1" min="18" max="18" width="105.86"/>
    <col customWidth="1" min="19" max="30" width="35.86"/>
    <col customWidth="1" min="31" max="31" width="41.14"/>
    <col customWidth="1" min="32" max="42" width="35.86"/>
    <col customWidth="1" min="43" max="43" width="31.86"/>
    <col customWidth="1" min="44" max="54" width="35.86"/>
    <col customWidth="1" min="55" max="56" width="40.29"/>
    <col customWidth="1" min="57" max="57" width="71.57"/>
    <col customWidth="1" min="58" max="59" width="35.86"/>
  </cols>
  <sheetData>
    <row r="1" ht="30.0" customHeight="1">
      <c r="A1" s="181"/>
      <c r="B1" s="182" t="s">
        <v>532</v>
      </c>
      <c r="C1" s="48"/>
      <c r="D1" s="48"/>
      <c r="E1" s="48"/>
      <c r="F1" s="48"/>
      <c r="G1" s="48"/>
      <c r="H1" s="48"/>
      <c r="I1" s="48"/>
      <c r="J1" s="48"/>
      <c r="K1" s="48"/>
      <c r="L1" s="48"/>
      <c r="M1" s="48"/>
      <c r="N1" s="49"/>
      <c r="O1" s="183" t="s">
        <v>533</v>
      </c>
      <c r="P1" s="48"/>
      <c r="Q1" s="48"/>
      <c r="R1" s="49"/>
      <c r="S1" s="184" t="s">
        <v>534</v>
      </c>
      <c r="T1" s="48"/>
      <c r="U1" s="48"/>
      <c r="V1" s="185" t="s">
        <v>535</v>
      </c>
      <c r="W1" s="48"/>
      <c r="X1" s="49"/>
      <c r="Y1" s="186" t="s">
        <v>536</v>
      </c>
      <c r="Z1" s="187" t="s">
        <v>537</v>
      </c>
      <c r="AA1" s="49"/>
      <c r="AB1" s="188" t="s">
        <v>538</v>
      </c>
      <c r="AC1" s="189" t="s">
        <v>539</v>
      </c>
      <c r="AD1" s="189" t="s">
        <v>540</v>
      </c>
      <c r="AE1" s="190" t="s">
        <v>541</v>
      </c>
      <c r="AF1" s="48"/>
      <c r="AG1" s="48"/>
      <c r="AH1" s="191" t="s">
        <v>542</v>
      </c>
      <c r="AI1" s="48"/>
      <c r="AJ1" s="48"/>
      <c r="AK1" s="48"/>
      <c r="AL1" s="48"/>
      <c r="AM1" s="49"/>
      <c r="AN1" s="192" t="s">
        <v>543</v>
      </c>
      <c r="AO1" s="48"/>
      <c r="AP1" s="48"/>
      <c r="AQ1" s="49"/>
      <c r="AR1" s="193" t="s">
        <v>544</v>
      </c>
      <c r="AS1" s="48"/>
      <c r="AT1" s="48"/>
      <c r="AU1" s="49"/>
      <c r="AV1" s="194" t="s">
        <v>545</v>
      </c>
      <c r="AW1" s="195" t="s">
        <v>546</v>
      </c>
      <c r="AX1" s="195" t="s">
        <v>547</v>
      </c>
      <c r="AY1" s="196" t="s">
        <v>548</v>
      </c>
      <c r="AZ1" s="48"/>
      <c r="BA1" s="49"/>
      <c r="BB1" s="197" t="s">
        <v>549</v>
      </c>
      <c r="BC1" s="198" t="s">
        <v>550</v>
      </c>
      <c r="BD1" s="199" t="s">
        <v>551</v>
      </c>
      <c r="BE1" s="200" t="s">
        <v>27</v>
      </c>
      <c r="BF1" s="201" t="s">
        <v>552</v>
      </c>
      <c r="BG1" s="49"/>
    </row>
    <row r="2" ht="30.0" customHeight="1">
      <c r="A2" s="161" t="s">
        <v>468</v>
      </c>
      <c r="B2" s="202" t="s">
        <v>469</v>
      </c>
      <c r="C2" s="48"/>
      <c r="D2" s="48"/>
      <c r="E2" s="48"/>
      <c r="F2" s="48"/>
      <c r="G2" s="48"/>
      <c r="H2" s="48"/>
      <c r="I2" s="48"/>
      <c r="J2" s="48"/>
      <c r="K2" s="48"/>
      <c r="L2" s="48"/>
      <c r="M2" s="48"/>
      <c r="N2" s="49"/>
      <c r="O2" s="203" t="s">
        <v>553</v>
      </c>
      <c r="P2" s="48"/>
      <c r="Q2" s="48"/>
      <c r="R2" s="49"/>
      <c r="S2" s="204" t="s">
        <v>469</v>
      </c>
      <c r="T2" s="48"/>
      <c r="U2" s="48"/>
      <c r="V2" s="205" t="s">
        <v>469</v>
      </c>
      <c r="W2" s="48"/>
      <c r="X2" s="49"/>
      <c r="Y2" s="206" t="s">
        <v>469</v>
      </c>
      <c r="Z2" s="48"/>
      <c r="AA2" s="48"/>
      <c r="AB2" s="48"/>
      <c r="AC2" s="48"/>
      <c r="AD2" s="49"/>
      <c r="AE2" s="207" t="s">
        <v>554</v>
      </c>
      <c r="AF2" s="208" t="s">
        <v>469</v>
      </c>
      <c r="AG2" s="209" t="s">
        <v>555</v>
      </c>
      <c r="AH2" s="210" t="s">
        <v>469</v>
      </c>
      <c r="AI2" s="48"/>
      <c r="AJ2" s="49"/>
      <c r="AK2" s="211" t="s">
        <v>556</v>
      </c>
      <c r="AL2" s="49"/>
      <c r="AM2" s="210" t="s">
        <v>469</v>
      </c>
      <c r="AN2" s="210" t="s">
        <v>557</v>
      </c>
      <c r="AO2" s="48"/>
      <c r="AP2" s="48"/>
      <c r="AQ2" s="212" t="s">
        <v>469</v>
      </c>
      <c r="AR2" s="213" t="s">
        <v>469</v>
      </c>
      <c r="AS2" s="48"/>
      <c r="AT2" s="48"/>
      <c r="AU2" s="48"/>
      <c r="AV2" s="48"/>
      <c r="AW2" s="48"/>
      <c r="AX2" s="49"/>
      <c r="AY2" s="214" t="s">
        <v>558</v>
      </c>
      <c r="AZ2" s="48"/>
      <c r="BA2" s="49"/>
      <c r="BB2" s="215" t="s">
        <v>469</v>
      </c>
      <c r="BC2" s="216" t="s">
        <v>559</v>
      </c>
      <c r="BD2" s="217" t="s">
        <v>469</v>
      </c>
      <c r="BE2" s="218" t="s">
        <v>27</v>
      </c>
      <c r="BF2" s="219"/>
      <c r="BG2" s="220"/>
    </row>
    <row r="3" outlineLevel="1">
      <c r="A3" s="221" t="s">
        <v>472</v>
      </c>
      <c r="B3" s="222" t="s">
        <v>560</v>
      </c>
      <c r="C3" s="222" t="s">
        <v>561</v>
      </c>
      <c r="D3" s="223" t="s">
        <v>562</v>
      </c>
      <c r="E3" s="222" t="s">
        <v>563</v>
      </c>
      <c r="F3" s="222" t="s">
        <v>564</v>
      </c>
      <c r="G3" s="222" t="s">
        <v>565</v>
      </c>
      <c r="H3" s="222" t="s">
        <v>566</v>
      </c>
      <c r="I3" s="224" t="s">
        <v>567</v>
      </c>
      <c r="J3" s="225" t="s">
        <v>568</v>
      </c>
      <c r="K3" s="225" t="s">
        <v>569</v>
      </c>
      <c r="L3" s="222" t="s">
        <v>570</v>
      </c>
      <c r="M3" s="222" t="s">
        <v>571</v>
      </c>
      <c r="N3" s="226" t="s">
        <v>572</v>
      </c>
      <c r="O3" s="227" t="s">
        <v>573</v>
      </c>
      <c r="P3" s="227" t="s">
        <v>574</v>
      </c>
      <c r="Q3" s="222" t="s">
        <v>575</v>
      </c>
      <c r="R3" s="222" t="s">
        <v>576</v>
      </c>
      <c r="S3" s="222" t="s">
        <v>577</v>
      </c>
      <c r="T3" s="222" t="s">
        <v>578</v>
      </c>
      <c r="U3" s="227" t="s">
        <v>579</v>
      </c>
      <c r="V3" s="228" t="s">
        <v>580</v>
      </c>
      <c r="W3" s="229" t="s">
        <v>581</v>
      </c>
      <c r="X3" s="222" t="s">
        <v>582</v>
      </c>
      <c r="Y3" s="229" t="s">
        <v>583</v>
      </c>
      <c r="Z3" s="222" t="s">
        <v>584</v>
      </c>
      <c r="AA3" s="222" t="s">
        <v>585</v>
      </c>
      <c r="AB3" s="222" t="s">
        <v>586</v>
      </c>
      <c r="AC3" s="222" t="s">
        <v>587</v>
      </c>
      <c r="AD3" s="227" t="s">
        <v>588</v>
      </c>
      <c r="AE3" s="230" t="s">
        <v>589</v>
      </c>
      <c r="AF3" s="231" t="s">
        <v>590</v>
      </c>
      <c r="AG3" s="222" t="s">
        <v>591</v>
      </c>
      <c r="AH3" s="222" t="s">
        <v>592</v>
      </c>
      <c r="AI3" s="222" t="s">
        <v>593</v>
      </c>
      <c r="AJ3" s="222" t="s">
        <v>594</v>
      </c>
      <c r="AK3" s="222" t="s">
        <v>595</v>
      </c>
      <c r="AL3" s="222" t="s">
        <v>596</v>
      </c>
      <c r="AM3" s="222" t="s">
        <v>597</v>
      </c>
      <c r="AN3" s="222" t="s">
        <v>598</v>
      </c>
      <c r="AO3" s="222" t="s">
        <v>599</v>
      </c>
      <c r="AP3" s="222" t="s">
        <v>600</v>
      </c>
      <c r="AQ3" s="222" t="s">
        <v>601</v>
      </c>
      <c r="AR3" s="222" t="s">
        <v>602</v>
      </c>
      <c r="AS3" s="222" t="s">
        <v>603</v>
      </c>
      <c r="AT3" s="222" t="s">
        <v>604</v>
      </c>
      <c r="AU3" s="227" t="s">
        <v>605</v>
      </c>
      <c r="AV3" s="168" t="s">
        <v>606</v>
      </c>
      <c r="AW3" s="168" t="s">
        <v>607</v>
      </c>
      <c r="AX3" s="168" t="s">
        <v>608</v>
      </c>
      <c r="AY3" s="232" t="s">
        <v>609</v>
      </c>
      <c r="AZ3" s="222" t="s">
        <v>610</v>
      </c>
      <c r="BA3" s="227" t="s">
        <v>611</v>
      </c>
      <c r="BB3" s="168" t="s">
        <v>612</v>
      </c>
      <c r="BC3" s="233" t="s">
        <v>613</v>
      </c>
      <c r="BD3" s="231" t="s">
        <v>614</v>
      </c>
      <c r="BE3" s="234" t="s">
        <v>489</v>
      </c>
      <c r="BF3" s="232" t="s">
        <v>615</v>
      </c>
      <c r="BG3" s="222" t="s">
        <v>616</v>
      </c>
    </row>
    <row r="4">
      <c r="A4" s="235" t="s">
        <v>61</v>
      </c>
      <c r="B4" s="236" t="s">
        <v>182</v>
      </c>
      <c r="C4" s="172" t="s">
        <v>617</v>
      </c>
      <c r="D4" s="237" t="s">
        <v>618</v>
      </c>
      <c r="E4" s="172" t="s">
        <v>492</v>
      </c>
      <c r="F4" s="172" t="s">
        <v>493</v>
      </c>
      <c r="G4" s="161" t="s">
        <v>619</v>
      </c>
      <c r="H4" s="171" t="s">
        <v>620</v>
      </c>
      <c r="I4" s="172" t="s">
        <v>621</v>
      </c>
      <c r="J4" s="238" t="s">
        <v>622</v>
      </c>
      <c r="K4" s="239" t="s">
        <v>623</v>
      </c>
      <c r="L4" s="236" t="s">
        <v>624</v>
      </c>
      <c r="M4" s="172" t="s">
        <v>625</v>
      </c>
      <c r="N4" s="240" t="s">
        <v>626</v>
      </c>
      <c r="O4" s="241" t="s">
        <v>627</v>
      </c>
      <c r="P4" s="241" t="s">
        <v>628</v>
      </c>
      <c r="Q4" s="242" t="s">
        <v>629</v>
      </c>
      <c r="R4" s="242" t="s">
        <v>630</v>
      </c>
      <c r="S4" s="172" t="s">
        <v>631</v>
      </c>
      <c r="T4" s="243" t="s">
        <v>632</v>
      </c>
      <c r="U4" s="244" t="s">
        <v>633</v>
      </c>
      <c r="V4" s="245" t="s">
        <v>634</v>
      </c>
      <c r="W4" s="246" t="s">
        <v>635</v>
      </c>
      <c r="X4" s="172" t="s">
        <v>636</v>
      </c>
      <c r="Y4" s="246" t="s">
        <v>637</v>
      </c>
      <c r="Z4" s="172" t="s">
        <v>638</v>
      </c>
      <c r="AA4" s="172" t="s">
        <v>639</v>
      </c>
      <c r="AB4" s="172" t="s">
        <v>640</v>
      </c>
      <c r="AC4" s="172" t="s">
        <v>641</v>
      </c>
      <c r="AD4" s="247" t="s">
        <v>642</v>
      </c>
      <c r="AE4" s="248" t="s">
        <v>643</v>
      </c>
      <c r="AF4" s="249" t="s">
        <v>644</v>
      </c>
      <c r="AG4" s="172" t="s">
        <v>645</v>
      </c>
      <c r="AH4" s="172" t="s">
        <v>646</v>
      </c>
      <c r="AI4" s="172" t="s">
        <v>647</v>
      </c>
      <c r="AJ4" s="172" t="s">
        <v>648</v>
      </c>
      <c r="AK4" s="172" t="s">
        <v>649</v>
      </c>
      <c r="AL4" s="172" t="s">
        <v>650</v>
      </c>
      <c r="AM4" s="172" t="s">
        <v>651</v>
      </c>
      <c r="AN4" s="172" t="s">
        <v>652</v>
      </c>
      <c r="AO4" s="172" t="s">
        <v>653</v>
      </c>
      <c r="AP4" s="172" t="s">
        <v>654</v>
      </c>
      <c r="AQ4" s="172" t="s">
        <v>655</v>
      </c>
      <c r="AR4" s="172" t="s">
        <v>656</v>
      </c>
      <c r="AS4" s="172" t="s">
        <v>657</v>
      </c>
      <c r="AT4" s="172" t="s">
        <v>658</v>
      </c>
      <c r="AU4" s="247" t="s">
        <v>659</v>
      </c>
      <c r="AV4" s="161" t="s">
        <v>660</v>
      </c>
      <c r="AW4" s="250" t="s">
        <v>661</v>
      </c>
      <c r="AX4" s="250" t="s">
        <v>662</v>
      </c>
      <c r="AY4" s="251" t="s">
        <v>548</v>
      </c>
      <c r="AZ4" s="172" t="s">
        <v>663</v>
      </c>
      <c r="BA4" s="247" t="s">
        <v>664</v>
      </c>
      <c r="BB4" s="161" t="s">
        <v>665</v>
      </c>
      <c r="BC4" s="252" t="s">
        <v>666</v>
      </c>
      <c r="BD4" s="253" t="s">
        <v>667</v>
      </c>
      <c r="BE4" s="254" t="s">
        <v>27</v>
      </c>
      <c r="BF4" s="255" t="s">
        <v>668</v>
      </c>
      <c r="BG4" s="242" t="s">
        <v>669</v>
      </c>
    </row>
    <row r="5">
      <c r="A5" s="173">
        <v>1.0</v>
      </c>
      <c r="B5" s="256" t="s">
        <v>670</v>
      </c>
      <c r="C5" s="257" t="s">
        <v>671</v>
      </c>
      <c r="D5" s="173" t="s">
        <v>671</v>
      </c>
      <c r="E5" s="174" t="s">
        <v>672</v>
      </c>
      <c r="F5" s="174" t="s">
        <v>514</v>
      </c>
      <c r="G5" s="258" t="s">
        <v>673</v>
      </c>
      <c r="H5" s="258" t="s">
        <v>674</v>
      </c>
      <c r="I5" s="258" t="s">
        <v>675</v>
      </c>
      <c r="J5" s="259" t="s">
        <v>676</v>
      </c>
      <c r="K5" s="260" t="s">
        <v>677</v>
      </c>
      <c r="L5" s="258" t="s">
        <v>678</v>
      </c>
      <c r="M5" s="261">
        <v>4.1100123939E11</v>
      </c>
      <c r="N5" s="173" t="s">
        <v>679</v>
      </c>
      <c r="O5" s="173" t="s">
        <v>225</v>
      </c>
      <c r="P5" s="262" t="str">
        <f t="shared" ref="P5:P3473" si="1">CONCATENATE("IN-BLR-ANANTA-",C5,"_",J5)</f>
        <v>IN-BLR-ANANTA-DDC-201_B3</v>
      </c>
      <c r="Q5" s="173" t="s">
        <v>680</v>
      </c>
      <c r="R5" s="258" t="str">
        <f>IFS(C5="","",C5="n/a","N/A",LEN(C5),Concatenate("{",char(34),"asset",char(34),":{",char(34),"guid",char(34),":",char(34),Q5,char(34),",",char(34),"site",char(34),":",char(34),LOWER('2-Building'!$B$4),char(34),",",char(34),"name",char(34),":",char(34),LOWER(C5),char(34),"}}"))</f>
        <v>{"asset":{"guid":"uuid://623aa24f-fcb2-449d-b411-c0aae1f7599f","site":"in-blr-ananta","name":"ddc-201"}}</v>
      </c>
      <c r="S5" s="258" t="s">
        <v>681</v>
      </c>
      <c r="T5" s="263"/>
      <c r="U5" s="263"/>
      <c r="V5" s="264">
        <v>2.23</v>
      </c>
      <c r="W5" s="33" t="s">
        <v>682</v>
      </c>
      <c r="X5" s="258" t="s">
        <v>683</v>
      </c>
      <c r="Y5" s="33" t="s">
        <v>684</v>
      </c>
      <c r="Z5" s="258">
        <v>14001.0</v>
      </c>
      <c r="AA5" s="258">
        <v>11501.0</v>
      </c>
      <c r="AB5" s="258"/>
      <c r="AC5" s="258"/>
      <c r="AD5" s="265"/>
      <c r="AE5" s="266" t="s">
        <v>685</v>
      </c>
      <c r="AF5" s="267" t="s">
        <v>686</v>
      </c>
      <c r="AG5" s="268" t="str">
        <f>IFS(LEN(AF5)=17,LOWER('2-Building'!$B$4 &amp; "-" &amp; C5), AF5="N/A", "N/A", LEN(AF5)=0,"")</f>
        <v>in-blr-ananta-ddc-201</v>
      </c>
      <c r="AH5" s="258"/>
      <c r="AI5" s="258"/>
      <c r="AJ5" s="258"/>
      <c r="AK5" s="258" t="s">
        <v>687</v>
      </c>
      <c r="AL5" s="258" t="s">
        <v>688</v>
      </c>
      <c r="AM5" s="258" t="s">
        <v>689</v>
      </c>
      <c r="AN5" s="258"/>
      <c r="AO5" s="258"/>
      <c r="AP5" s="258"/>
      <c r="AQ5" s="258"/>
      <c r="AR5" s="258" t="s">
        <v>690</v>
      </c>
      <c r="AS5" s="258" t="s">
        <v>691</v>
      </c>
      <c r="AT5" s="258" t="s">
        <v>692</v>
      </c>
      <c r="AU5" s="265" t="s">
        <v>693</v>
      </c>
      <c r="AV5" s="174" t="s">
        <v>243</v>
      </c>
      <c r="AW5" s="269" t="s">
        <v>245</v>
      </c>
      <c r="AX5" s="269" t="s">
        <v>694</v>
      </c>
      <c r="AY5" s="270" t="s">
        <v>695</v>
      </c>
      <c r="AZ5" s="173" t="s">
        <v>681</v>
      </c>
      <c r="BA5" s="265">
        <v>10.0</v>
      </c>
      <c r="BB5" s="174" t="s">
        <v>225</v>
      </c>
      <c r="BC5" s="271"/>
      <c r="BD5" s="272" t="s">
        <v>696</v>
      </c>
      <c r="BE5" s="273" t="s">
        <v>697</v>
      </c>
      <c r="BF5" s="274" t="str">
        <f>IFERROR(__xludf.DUMMYFUNCTION("LOWER(Regexreplace(to_text(E5),""[^A-Za-z0-9]"","""")&amp;""_""&amp;Regexreplace(to_text(F5),""[^A-Za-z0-9]"",""""))"),"sauter_eyrc504fxxx")</f>
        <v>sauter_eyrc504fxxx</v>
      </c>
      <c r="BG5" s="275" t="str">
        <f>IFERROR(__xludf.DUMMYFUNCTION("upper(Regexreplace(to_text(E5),""[^A-Za-z0-9]"","""")&amp;""-""&amp;Regexreplace(to_text(F5),""[^A-Za-z0-9]"",""""))"),"SAUTER-EYRC504FXXX")</f>
        <v>SAUTER-EYRC504FXXX</v>
      </c>
    </row>
    <row r="6" ht="30.0" customHeight="1">
      <c r="A6" s="258">
        <v>2.0</v>
      </c>
      <c r="B6" s="256" t="s">
        <v>670</v>
      </c>
      <c r="C6" s="257" t="s">
        <v>698</v>
      </c>
      <c r="D6" s="173" t="s">
        <v>698</v>
      </c>
      <c r="E6" s="174" t="s">
        <v>672</v>
      </c>
      <c r="F6" s="173" t="s">
        <v>514</v>
      </c>
      <c r="G6" s="258" t="s">
        <v>673</v>
      </c>
      <c r="H6" s="258" t="s">
        <v>674</v>
      </c>
      <c r="I6" s="258" t="s">
        <v>675</v>
      </c>
      <c r="J6" s="259" t="s">
        <v>676</v>
      </c>
      <c r="K6" s="260" t="s">
        <v>677</v>
      </c>
      <c r="L6" s="258" t="s">
        <v>678</v>
      </c>
      <c r="M6" s="276">
        <v>4.1100123515E11</v>
      </c>
      <c r="N6" s="173" t="s">
        <v>679</v>
      </c>
      <c r="O6" s="173" t="s">
        <v>225</v>
      </c>
      <c r="P6" s="262" t="str">
        <f t="shared" si="1"/>
        <v>IN-BLR-ANANTA-DDC-202_B3</v>
      </c>
      <c r="Q6" s="173" t="s">
        <v>699</v>
      </c>
      <c r="R6" s="258" t="str">
        <f>IFS(C6="","",C6="n/a","N/A",LEN(C6),Concatenate("{",char(34),"asset",char(34),":{",char(34),"guid",char(34),":",char(34),Q6,char(34),",",char(34),"site",char(34),":",char(34),LOWER('2-Building'!$B$4),char(34),",",char(34),"name",char(34),":",char(34),LOWER(C6),char(34),"}}"))</f>
        <v>{"asset":{"guid":"uuid://798bc407-23a3-4137-8f8a-46574963c835","site":"in-blr-ananta","name":"ddc-202"}}</v>
      </c>
      <c r="S6" s="258" t="s">
        <v>681</v>
      </c>
      <c r="T6" s="263"/>
      <c r="U6" s="263"/>
      <c r="V6" s="264">
        <v>2.23</v>
      </c>
      <c r="W6" s="33" t="s">
        <v>682</v>
      </c>
      <c r="X6" s="258" t="s">
        <v>683</v>
      </c>
      <c r="Y6" s="33" t="s">
        <v>684</v>
      </c>
      <c r="Z6" s="258">
        <v>14002.0</v>
      </c>
      <c r="AA6" s="258">
        <v>11501.0</v>
      </c>
      <c r="AB6" s="258"/>
      <c r="AC6" s="258"/>
      <c r="AD6" s="265"/>
      <c r="AE6" s="266" t="s">
        <v>685</v>
      </c>
      <c r="AF6" s="267" t="s">
        <v>700</v>
      </c>
      <c r="AG6" s="268" t="str">
        <f>IFS(LEN(AF6)=17,LOWER('2-Building'!$B$4 &amp; "-" &amp; C6), AF6="N/A", "N/A", LEN(AF6)=0,"")</f>
        <v>in-blr-ananta-ddc-202</v>
      </c>
      <c r="AH6" s="258"/>
      <c r="AI6" s="258"/>
      <c r="AJ6" s="258"/>
      <c r="AK6" s="258" t="s">
        <v>701</v>
      </c>
      <c r="AL6" s="258" t="s">
        <v>688</v>
      </c>
      <c r="AM6" s="258" t="s">
        <v>689</v>
      </c>
      <c r="AN6" s="258"/>
      <c r="AO6" s="258"/>
      <c r="AP6" s="258"/>
      <c r="AQ6" s="258"/>
      <c r="AR6" s="258" t="s">
        <v>690</v>
      </c>
      <c r="AS6" s="258" t="s">
        <v>691</v>
      </c>
      <c r="AT6" s="258" t="s">
        <v>702</v>
      </c>
      <c r="AU6" s="265" t="s">
        <v>693</v>
      </c>
      <c r="AV6" s="174" t="s">
        <v>243</v>
      </c>
      <c r="AW6" s="269" t="s">
        <v>245</v>
      </c>
      <c r="AX6" s="269" t="s">
        <v>694</v>
      </c>
      <c r="AY6" s="270" t="s">
        <v>695</v>
      </c>
      <c r="AZ6" s="173" t="s">
        <v>681</v>
      </c>
      <c r="BA6" s="265">
        <v>10.0</v>
      </c>
      <c r="BB6" s="174" t="s">
        <v>225</v>
      </c>
      <c r="BC6" s="271"/>
      <c r="BD6" s="272" t="s">
        <v>696</v>
      </c>
      <c r="BE6" s="273" t="s">
        <v>697</v>
      </c>
      <c r="BF6" s="274" t="str">
        <f>IFERROR(__xludf.DUMMYFUNCTION("LOWER(Regexreplace(to_text(E6),""[^A-Za-z0-9]"","""")&amp;""_""&amp;Regexreplace(to_text(F6),""[^A-Za-z0-9]"",""""))"),"sauter_eyrc504fxxx")</f>
        <v>sauter_eyrc504fxxx</v>
      </c>
      <c r="BG6" s="275" t="str">
        <f>IFERROR(__xludf.DUMMYFUNCTION("upper(Regexreplace(to_text(E6),""[^A-Za-z0-9]"","""")&amp;""-""&amp;Regexreplace(to_text(F6),""[^A-Za-z0-9]"",""""))"),"SAUTER-EYRC504FXXX")</f>
        <v>SAUTER-EYRC504FXXX</v>
      </c>
    </row>
    <row r="7" ht="30.0" customHeight="1">
      <c r="A7" s="173">
        <v>3.0</v>
      </c>
      <c r="B7" s="256" t="s">
        <v>670</v>
      </c>
      <c r="C7" s="257" t="s">
        <v>703</v>
      </c>
      <c r="D7" s="173" t="s">
        <v>703</v>
      </c>
      <c r="E7" s="174" t="s">
        <v>672</v>
      </c>
      <c r="F7" s="173" t="s">
        <v>514</v>
      </c>
      <c r="G7" s="258" t="s">
        <v>673</v>
      </c>
      <c r="H7" s="258" t="s">
        <v>674</v>
      </c>
      <c r="I7" s="258" t="s">
        <v>675</v>
      </c>
      <c r="J7" s="259" t="s">
        <v>676</v>
      </c>
      <c r="K7" s="260" t="s">
        <v>677</v>
      </c>
      <c r="L7" s="258" t="s">
        <v>704</v>
      </c>
      <c r="M7" s="276">
        <v>4.11001359983E11</v>
      </c>
      <c r="N7" s="173" t="s">
        <v>679</v>
      </c>
      <c r="O7" s="173" t="s">
        <v>225</v>
      </c>
      <c r="P7" s="262" t="str">
        <f t="shared" si="1"/>
        <v>IN-BLR-ANANTA-DDC-203_B3</v>
      </c>
      <c r="Q7" s="173" t="s">
        <v>705</v>
      </c>
      <c r="R7" s="258" t="str">
        <f>IFS(C7="","",C7="n/a","N/A",LEN(C7),Concatenate("{",char(34),"asset",char(34),":{",char(34),"guid",char(34),":",char(34),Q7,char(34),",",char(34),"site",char(34),":",char(34),LOWER('2-Building'!$B$4),char(34),",",char(34),"name",char(34),":",char(34),LOWER(C7),char(34),"}}"))</f>
        <v>{"asset":{"guid":"uuid://e2145a43-9f4c-452b-b41f-57bcd01c89c9","site":"in-blr-ananta","name":"ddc-203"}}</v>
      </c>
      <c r="S7" s="258" t="s">
        <v>681</v>
      </c>
      <c r="T7" s="263"/>
      <c r="U7" s="263"/>
      <c r="V7" s="264">
        <v>2.23</v>
      </c>
      <c r="W7" s="33" t="s">
        <v>682</v>
      </c>
      <c r="X7" s="258" t="s">
        <v>683</v>
      </c>
      <c r="Y7" s="33" t="s">
        <v>684</v>
      </c>
      <c r="Z7" s="258">
        <v>14003.0</v>
      </c>
      <c r="AA7" s="258">
        <v>11501.0</v>
      </c>
      <c r="AB7" s="258"/>
      <c r="AC7" s="258"/>
      <c r="AD7" s="265"/>
      <c r="AE7" s="266" t="s">
        <v>685</v>
      </c>
      <c r="AF7" s="267" t="s">
        <v>706</v>
      </c>
      <c r="AG7" s="268" t="str">
        <f>IFS(LEN(AF7)=17,LOWER('2-Building'!$B$4 &amp; "-" &amp; C7), AF7="N/A", "N/A", LEN(AF7)=0,"")</f>
        <v>in-blr-ananta-ddc-203</v>
      </c>
      <c r="AH7" s="258"/>
      <c r="AI7" s="258"/>
      <c r="AJ7" s="258"/>
      <c r="AK7" s="258" t="s">
        <v>707</v>
      </c>
      <c r="AL7" s="258" t="s">
        <v>688</v>
      </c>
      <c r="AM7" s="258" t="s">
        <v>689</v>
      </c>
      <c r="AN7" s="258"/>
      <c r="AO7" s="258"/>
      <c r="AP7" s="258"/>
      <c r="AQ7" s="258"/>
      <c r="AR7" s="258" t="s">
        <v>690</v>
      </c>
      <c r="AS7" s="258" t="s">
        <v>691</v>
      </c>
      <c r="AT7" s="258" t="s">
        <v>702</v>
      </c>
      <c r="AU7" s="265" t="s">
        <v>693</v>
      </c>
      <c r="AV7" s="174" t="s">
        <v>243</v>
      </c>
      <c r="AW7" s="269" t="s">
        <v>245</v>
      </c>
      <c r="AX7" s="269" t="s">
        <v>694</v>
      </c>
      <c r="AY7" s="270" t="s">
        <v>695</v>
      </c>
      <c r="AZ7" s="173" t="s">
        <v>681</v>
      </c>
      <c r="BA7" s="265">
        <v>10.0</v>
      </c>
      <c r="BB7" s="174" t="s">
        <v>225</v>
      </c>
      <c r="BC7" s="271"/>
      <c r="BD7" s="272" t="s">
        <v>696</v>
      </c>
      <c r="BE7" s="273" t="s">
        <v>697</v>
      </c>
      <c r="BF7" s="274" t="str">
        <f>IFERROR(__xludf.DUMMYFUNCTION("LOWER(Regexreplace(to_text(E7),""[^A-Za-z0-9]"","""")&amp;""_""&amp;Regexreplace(to_text(F7),""[^A-Za-z0-9]"",""""))"),"sauter_eyrc504fxxx")</f>
        <v>sauter_eyrc504fxxx</v>
      </c>
      <c r="BG7" s="275" t="str">
        <f>IFERROR(__xludf.DUMMYFUNCTION("upper(Regexreplace(to_text(E7),""[^A-Za-z0-9]"","""")&amp;""-""&amp;Regexreplace(to_text(F7),""[^A-Za-z0-9]"",""""))"),"SAUTER-EYRC504FXXX")</f>
        <v>SAUTER-EYRC504FXXX</v>
      </c>
    </row>
    <row r="8" ht="30.0" customHeight="1">
      <c r="A8" s="258">
        <v>4.0</v>
      </c>
      <c r="B8" s="256" t="s">
        <v>670</v>
      </c>
      <c r="C8" s="257" t="s">
        <v>708</v>
      </c>
      <c r="D8" s="173" t="s">
        <v>708</v>
      </c>
      <c r="E8" s="174" t="s">
        <v>672</v>
      </c>
      <c r="F8" s="173" t="s">
        <v>514</v>
      </c>
      <c r="G8" s="258" t="s">
        <v>673</v>
      </c>
      <c r="H8" s="258" t="s">
        <v>674</v>
      </c>
      <c r="I8" s="258" t="s">
        <v>675</v>
      </c>
      <c r="J8" s="259" t="s">
        <v>709</v>
      </c>
      <c r="K8" s="260" t="s">
        <v>710</v>
      </c>
      <c r="L8" s="258" t="s">
        <v>711</v>
      </c>
      <c r="M8" s="276">
        <v>4.11001359577E11</v>
      </c>
      <c r="N8" s="173" t="s">
        <v>679</v>
      </c>
      <c r="O8" s="173" t="s">
        <v>225</v>
      </c>
      <c r="P8" s="262" t="str">
        <f t="shared" si="1"/>
        <v>IN-BLR-ANANTA-DDC-204_B2</v>
      </c>
      <c r="Q8" s="173" t="s">
        <v>712</v>
      </c>
      <c r="R8" s="258" t="str">
        <f>IFS(C8="","",C8="n/a","N/A",LEN(C8),Concatenate("{",char(34),"asset",char(34),":{",char(34),"guid",char(34),":",char(34),Q8,char(34),",",char(34),"site",char(34),":",char(34),LOWER('2-Building'!$B$4),char(34),",",char(34),"name",char(34),":",char(34),LOWER(C8),char(34),"}}"))</f>
        <v>{"asset":{"guid":"uuid://815b19a3-96f5-4fd5-8b77-7e10541a6811","site":"in-blr-ananta","name":"ddc-204"}}</v>
      </c>
      <c r="S8" s="258" t="s">
        <v>681</v>
      </c>
      <c r="T8" s="263"/>
      <c r="U8" s="263"/>
      <c r="V8" s="264">
        <v>2.23</v>
      </c>
      <c r="W8" s="33" t="s">
        <v>682</v>
      </c>
      <c r="X8" s="258" t="s">
        <v>683</v>
      </c>
      <c r="Y8" s="33" t="s">
        <v>684</v>
      </c>
      <c r="Z8" s="258">
        <v>14004.0</v>
      </c>
      <c r="AA8" s="258">
        <v>11501.0</v>
      </c>
      <c r="AB8" s="258"/>
      <c r="AC8" s="258"/>
      <c r="AD8" s="265"/>
      <c r="AE8" s="266" t="s">
        <v>685</v>
      </c>
      <c r="AF8" s="267" t="s">
        <v>713</v>
      </c>
      <c r="AG8" s="268" t="str">
        <f>IFS(LEN(AF8)=17,LOWER('2-Building'!$B$4 &amp; "-" &amp; C8), AF8="N/A", "N/A", LEN(AF8)=0,"")</f>
        <v>in-blr-ananta-ddc-204</v>
      </c>
      <c r="AH8" s="258"/>
      <c r="AI8" s="258"/>
      <c r="AJ8" s="258"/>
      <c r="AK8" s="258" t="s">
        <v>714</v>
      </c>
      <c r="AL8" s="258" t="s">
        <v>688</v>
      </c>
      <c r="AM8" s="258" t="s">
        <v>689</v>
      </c>
      <c r="AN8" s="258"/>
      <c r="AO8" s="258"/>
      <c r="AP8" s="258"/>
      <c r="AQ8" s="258"/>
      <c r="AR8" s="258" t="s">
        <v>690</v>
      </c>
      <c r="AS8" s="258" t="s">
        <v>691</v>
      </c>
      <c r="AT8" s="258" t="s">
        <v>702</v>
      </c>
      <c r="AU8" s="265" t="s">
        <v>693</v>
      </c>
      <c r="AV8" s="174" t="s">
        <v>243</v>
      </c>
      <c r="AW8" s="269" t="s">
        <v>245</v>
      </c>
      <c r="AX8" s="269" t="s">
        <v>694</v>
      </c>
      <c r="AY8" s="270" t="s">
        <v>695</v>
      </c>
      <c r="AZ8" s="173" t="s">
        <v>681</v>
      </c>
      <c r="BA8" s="265">
        <v>10.0</v>
      </c>
      <c r="BB8" s="174" t="s">
        <v>225</v>
      </c>
      <c r="BC8" s="271"/>
      <c r="BD8" s="272" t="s">
        <v>696</v>
      </c>
      <c r="BE8" s="273" t="s">
        <v>697</v>
      </c>
      <c r="BF8" s="274" t="str">
        <f>IFERROR(__xludf.DUMMYFUNCTION("LOWER(Regexreplace(to_text(E8),""[^A-Za-z0-9]"","""")&amp;""_""&amp;Regexreplace(to_text(F8),""[^A-Za-z0-9]"",""""))"),"sauter_eyrc504fxxx")</f>
        <v>sauter_eyrc504fxxx</v>
      </c>
      <c r="BG8" s="275" t="str">
        <f>IFERROR(__xludf.DUMMYFUNCTION("upper(Regexreplace(to_text(E8),""[^A-Za-z0-9]"","""")&amp;""-""&amp;Regexreplace(to_text(F8),""[^A-Za-z0-9]"",""""))"),"SAUTER-EYRC504FXXX")</f>
        <v>SAUTER-EYRC504FXXX</v>
      </c>
    </row>
    <row r="9" ht="30.0" customHeight="1">
      <c r="A9" s="173">
        <v>5.0</v>
      </c>
      <c r="B9" s="256" t="s">
        <v>670</v>
      </c>
      <c r="C9" s="257" t="s">
        <v>715</v>
      </c>
      <c r="D9" s="173" t="s">
        <v>715</v>
      </c>
      <c r="E9" s="174" t="s">
        <v>672</v>
      </c>
      <c r="F9" s="173" t="s">
        <v>514</v>
      </c>
      <c r="G9" s="258" t="s">
        <v>673</v>
      </c>
      <c r="H9" s="258" t="s">
        <v>674</v>
      </c>
      <c r="I9" s="258" t="s">
        <v>675</v>
      </c>
      <c r="J9" s="259" t="s">
        <v>709</v>
      </c>
      <c r="K9" s="260" t="s">
        <v>710</v>
      </c>
      <c r="L9" s="258" t="s">
        <v>716</v>
      </c>
      <c r="M9" s="276">
        <v>4.11001359983E11</v>
      </c>
      <c r="N9" s="173" t="s">
        <v>679</v>
      </c>
      <c r="O9" s="173" t="s">
        <v>225</v>
      </c>
      <c r="P9" s="262" t="str">
        <f t="shared" si="1"/>
        <v>IN-BLR-ANANTA-DDC-205_B2</v>
      </c>
      <c r="Q9" s="173" t="s">
        <v>717</v>
      </c>
      <c r="R9" s="258" t="str">
        <f>IFS(C9="","",C9="n/a","N/A",LEN(C9),Concatenate("{",char(34),"asset",char(34),":{",char(34),"guid",char(34),":",char(34),Q9,char(34),",",char(34),"site",char(34),":",char(34),LOWER('2-Building'!$B$4),char(34),",",char(34),"name",char(34),":",char(34),LOWER(C9),char(34),"}}"))</f>
        <v>{"asset":{"guid":"uuid://88a7e6e1-4067-4025-9497-a7b066e9a6f6","site":"in-blr-ananta","name":"ddc-205"}}</v>
      </c>
      <c r="S9" s="258" t="s">
        <v>681</v>
      </c>
      <c r="T9" s="263"/>
      <c r="U9" s="263"/>
      <c r="V9" s="264">
        <v>2.23</v>
      </c>
      <c r="W9" s="33" t="s">
        <v>682</v>
      </c>
      <c r="X9" s="258" t="s">
        <v>683</v>
      </c>
      <c r="Y9" s="33" t="s">
        <v>684</v>
      </c>
      <c r="Z9" s="258">
        <v>14005.0</v>
      </c>
      <c r="AA9" s="258">
        <v>11501.0</v>
      </c>
      <c r="AB9" s="258"/>
      <c r="AC9" s="258"/>
      <c r="AD9" s="265"/>
      <c r="AE9" s="266" t="s">
        <v>685</v>
      </c>
      <c r="AF9" s="267" t="s">
        <v>718</v>
      </c>
      <c r="AG9" s="268" t="str">
        <f>IFS(LEN(AF9)=17,LOWER('2-Building'!$B$4 &amp; "-" &amp; C9), AF9="N/A", "N/A", LEN(AF9)=0,"")</f>
        <v>in-blr-ananta-ddc-205</v>
      </c>
      <c r="AH9" s="258"/>
      <c r="AI9" s="258"/>
      <c r="AJ9" s="258"/>
      <c r="AK9" s="258" t="s">
        <v>719</v>
      </c>
      <c r="AL9" s="258" t="s">
        <v>688</v>
      </c>
      <c r="AM9" s="258" t="s">
        <v>689</v>
      </c>
      <c r="AN9" s="258"/>
      <c r="AO9" s="258"/>
      <c r="AP9" s="258"/>
      <c r="AQ9" s="258"/>
      <c r="AR9" s="258" t="s">
        <v>690</v>
      </c>
      <c r="AS9" s="258" t="s">
        <v>691</v>
      </c>
      <c r="AT9" s="258" t="s">
        <v>692</v>
      </c>
      <c r="AU9" s="265" t="s">
        <v>693</v>
      </c>
      <c r="AV9" s="174" t="s">
        <v>243</v>
      </c>
      <c r="AW9" s="269" t="s">
        <v>245</v>
      </c>
      <c r="AX9" s="269" t="s">
        <v>694</v>
      </c>
      <c r="AY9" s="270" t="s">
        <v>695</v>
      </c>
      <c r="AZ9" s="173" t="s">
        <v>681</v>
      </c>
      <c r="BA9" s="265">
        <v>10.0</v>
      </c>
      <c r="BB9" s="174" t="s">
        <v>225</v>
      </c>
      <c r="BC9" s="271"/>
      <c r="BD9" s="272" t="s">
        <v>696</v>
      </c>
      <c r="BE9" s="273" t="s">
        <v>697</v>
      </c>
      <c r="BF9" s="274" t="str">
        <f>IFERROR(__xludf.DUMMYFUNCTION("LOWER(Regexreplace(to_text(E9),""[^A-Za-z0-9]"","""")&amp;""_""&amp;Regexreplace(to_text(F9),""[^A-Za-z0-9]"",""""))"),"sauter_eyrc504fxxx")</f>
        <v>sauter_eyrc504fxxx</v>
      </c>
      <c r="BG9" s="275" t="str">
        <f>IFERROR(__xludf.DUMMYFUNCTION("upper(Regexreplace(to_text(E9),""[^A-Za-z0-9]"","""")&amp;""-""&amp;Regexreplace(to_text(F9),""[^A-Za-z0-9]"",""""))"),"SAUTER-EYRC504FXXX")</f>
        <v>SAUTER-EYRC504FXXX</v>
      </c>
    </row>
    <row r="10" ht="30.0" customHeight="1">
      <c r="A10" s="258">
        <v>6.0</v>
      </c>
      <c r="B10" s="256" t="s">
        <v>670</v>
      </c>
      <c r="C10" s="257" t="s">
        <v>720</v>
      </c>
      <c r="D10" s="173" t="s">
        <v>720</v>
      </c>
      <c r="E10" s="174" t="s">
        <v>672</v>
      </c>
      <c r="F10" s="173" t="s">
        <v>514</v>
      </c>
      <c r="G10" s="258" t="s">
        <v>673</v>
      </c>
      <c r="H10" s="258" t="s">
        <v>674</v>
      </c>
      <c r="I10" s="258" t="s">
        <v>675</v>
      </c>
      <c r="J10" s="259" t="s">
        <v>709</v>
      </c>
      <c r="K10" s="260" t="s">
        <v>721</v>
      </c>
      <c r="L10" s="258" t="s">
        <v>722</v>
      </c>
      <c r="M10" s="276">
        <v>4.11001360022E11</v>
      </c>
      <c r="N10" s="173" t="s">
        <v>679</v>
      </c>
      <c r="O10" s="173" t="s">
        <v>225</v>
      </c>
      <c r="P10" s="262" t="str">
        <f t="shared" si="1"/>
        <v>IN-BLR-ANANTA-DDC-206_B2</v>
      </c>
      <c r="Q10" s="173" t="s">
        <v>723</v>
      </c>
      <c r="R10" s="258" t="str">
        <f>IFS(C10="","",C10="n/a","N/A",LEN(C10),Concatenate("{",char(34),"asset",char(34),":{",char(34),"guid",char(34),":",char(34),Q10,char(34),",",char(34),"site",char(34),":",char(34),LOWER('2-Building'!$B$4),char(34),",",char(34),"name",char(34),":",char(34),LOWER(C10),char(34),"}}"))</f>
        <v>{"asset":{"guid":"uuid://651ca8e1-1d12-4d21-9040-97b089d55d78","site":"in-blr-ananta","name":"ddc-206"}}</v>
      </c>
      <c r="S10" s="258" t="s">
        <v>681</v>
      </c>
      <c r="T10" s="263"/>
      <c r="U10" s="263"/>
      <c r="V10" s="264">
        <v>2.23</v>
      </c>
      <c r="W10" s="33" t="s">
        <v>682</v>
      </c>
      <c r="X10" s="258" t="s">
        <v>683</v>
      </c>
      <c r="Y10" s="33" t="s">
        <v>684</v>
      </c>
      <c r="Z10" s="258">
        <v>14006.0</v>
      </c>
      <c r="AA10" s="258">
        <v>11501.0</v>
      </c>
      <c r="AB10" s="258"/>
      <c r="AC10" s="258"/>
      <c r="AD10" s="265"/>
      <c r="AE10" s="266" t="s">
        <v>685</v>
      </c>
      <c r="AF10" s="267" t="s">
        <v>724</v>
      </c>
      <c r="AG10" s="268" t="str">
        <f>IFS(LEN(AF10)=17,LOWER('2-Building'!$B$4 &amp; "-" &amp; C10), AF10="N/A", "N/A", LEN(AF10)=0,"")</f>
        <v>in-blr-ananta-ddc-206</v>
      </c>
      <c r="AH10" s="258"/>
      <c r="AI10" s="258"/>
      <c r="AJ10" s="258"/>
      <c r="AK10" s="258" t="s">
        <v>725</v>
      </c>
      <c r="AL10" s="258" t="s">
        <v>688</v>
      </c>
      <c r="AM10" s="258" t="s">
        <v>689</v>
      </c>
      <c r="AN10" s="258"/>
      <c r="AO10" s="258"/>
      <c r="AP10" s="258"/>
      <c r="AQ10" s="258"/>
      <c r="AR10" s="258" t="s">
        <v>690</v>
      </c>
      <c r="AS10" s="258" t="s">
        <v>691</v>
      </c>
      <c r="AT10" s="258" t="s">
        <v>702</v>
      </c>
      <c r="AU10" s="265" t="s">
        <v>693</v>
      </c>
      <c r="AV10" s="174" t="s">
        <v>243</v>
      </c>
      <c r="AW10" s="269" t="s">
        <v>245</v>
      </c>
      <c r="AX10" s="269" t="s">
        <v>694</v>
      </c>
      <c r="AY10" s="270" t="s">
        <v>695</v>
      </c>
      <c r="AZ10" s="173" t="s">
        <v>681</v>
      </c>
      <c r="BA10" s="265">
        <v>10.0</v>
      </c>
      <c r="BB10" s="174" t="s">
        <v>225</v>
      </c>
      <c r="BC10" s="271"/>
      <c r="BD10" s="272" t="s">
        <v>696</v>
      </c>
      <c r="BE10" s="273" t="s">
        <v>697</v>
      </c>
      <c r="BF10" s="274" t="str">
        <f>IFERROR(__xludf.DUMMYFUNCTION("LOWER(Regexreplace(to_text(E10),""[^A-Za-z0-9]"","""")&amp;""_""&amp;Regexreplace(to_text(F10),""[^A-Za-z0-9]"",""""))"),"sauter_eyrc504fxxx")</f>
        <v>sauter_eyrc504fxxx</v>
      </c>
      <c r="BG10" s="275" t="str">
        <f>IFERROR(__xludf.DUMMYFUNCTION("upper(Regexreplace(to_text(E10),""[^A-Za-z0-9]"","""")&amp;""-""&amp;Regexreplace(to_text(F10),""[^A-Za-z0-9]"",""""))"),"SAUTER-EYRC504FXXX")</f>
        <v>SAUTER-EYRC504FXXX</v>
      </c>
    </row>
    <row r="11" ht="30.0" customHeight="1">
      <c r="A11" s="173">
        <v>7.0</v>
      </c>
      <c r="B11" s="256" t="s">
        <v>670</v>
      </c>
      <c r="C11" s="257" t="s">
        <v>726</v>
      </c>
      <c r="D11" s="173" t="s">
        <v>726</v>
      </c>
      <c r="E11" s="174" t="s">
        <v>672</v>
      </c>
      <c r="F11" s="173" t="s">
        <v>514</v>
      </c>
      <c r="G11" s="258" t="s">
        <v>673</v>
      </c>
      <c r="H11" s="258" t="s">
        <v>674</v>
      </c>
      <c r="I11" s="258" t="s">
        <v>675</v>
      </c>
      <c r="J11" s="259" t="s">
        <v>727</v>
      </c>
      <c r="K11" s="260" t="s">
        <v>728</v>
      </c>
      <c r="L11" s="258" t="s">
        <v>729</v>
      </c>
      <c r="M11" s="276">
        <v>4.11001359644E11</v>
      </c>
      <c r="N11" s="173" t="s">
        <v>679</v>
      </c>
      <c r="O11" s="173" t="s">
        <v>225</v>
      </c>
      <c r="P11" s="262" t="str">
        <f t="shared" si="1"/>
        <v>IN-BLR-ANANTA-DDC-207_B1</v>
      </c>
      <c r="Q11" s="173" t="s">
        <v>730</v>
      </c>
      <c r="R11" s="258" t="str">
        <f>IFS(C11="","",C11="n/a","N/A",LEN(C11),Concatenate("{",char(34),"asset",char(34),":{",char(34),"guid",char(34),":",char(34),Q11,char(34),",",char(34),"site",char(34),":",char(34),LOWER('2-Building'!$B$4),char(34),",",char(34),"name",char(34),":",char(34),LOWER(C11),char(34),"}}"))</f>
        <v>{"asset":{"guid":"uuid://2be1cc97-0df4-463e-8500-a803e1ecfe00","site":"in-blr-ananta","name":"ddc-207"}}</v>
      </c>
      <c r="S11" s="258" t="s">
        <v>681</v>
      </c>
      <c r="T11" s="263"/>
      <c r="U11" s="263"/>
      <c r="V11" s="264">
        <v>2.23</v>
      </c>
      <c r="W11" s="33" t="s">
        <v>682</v>
      </c>
      <c r="X11" s="258" t="s">
        <v>683</v>
      </c>
      <c r="Y11" s="33" t="s">
        <v>684</v>
      </c>
      <c r="Z11" s="258">
        <v>14007.0</v>
      </c>
      <c r="AA11" s="258">
        <v>11501.0</v>
      </c>
      <c r="AB11" s="258"/>
      <c r="AC11" s="258"/>
      <c r="AD11" s="265"/>
      <c r="AE11" s="266" t="s">
        <v>685</v>
      </c>
      <c r="AF11" s="267" t="s">
        <v>731</v>
      </c>
      <c r="AG11" s="268" t="str">
        <f>IFS(LEN(AF11)=17,LOWER('2-Building'!$B$4 &amp; "-" &amp; C11), AF11="N/A", "N/A", LEN(AF11)=0,"")</f>
        <v>in-blr-ananta-ddc-207</v>
      </c>
      <c r="AH11" s="258"/>
      <c r="AI11" s="258"/>
      <c r="AJ11" s="258"/>
      <c r="AK11" s="258" t="s">
        <v>732</v>
      </c>
      <c r="AL11" s="258" t="s">
        <v>688</v>
      </c>
      <c r="AM11" s="258" t="s">
        <v>689</v>
      </c>
      <c r="AN11" s="258"/>
      <c r="AO11" s="258"/>
      <c r="AP11" s="258"/>
      <c r="AQ11" s="258"/>
      <c r="AR11" s="258" t="s">
        <v>690</v>
      </c>
      <c r="AS11" s="258" t="s">
        <v>691</v>
      </c>
      <c r="AT11" s="258" t="s">
        <v>733</v>
      </c>
      <c r="AU11" s="265" t="s">
        <v>693</v>
      </c>
      <c r="AV11" s="174" t="s">
        <v>243</v>
      </c>
      <c r="AW11" s="269" t="s">
        <v>245</v>
      </c>
      <c r="AX11" s="269" t="s">
        <v>694</v>
      </c>
      <c r="AY11" s="270" t="s">
        <v>695</v>
      </c>
      <c r="AZ11" s="173" t="s">
        <v>681</v>
      </c>
      <c r="BA11" s="265">
        <v>10.0</v>
      </c>
      <c r="BB11" s="174" t="s">
        <v>225</v>
      </c>
      <c r="BC11" s="271"/>
      <c r="BD11" s="272" t="s">
        <v>696</v>
      </c>
      <c r="BE11" s="273" t="s">
        <v>697</v>
      </c>
      <c r="BF11" s="274" t="str">
        <f>IFERROR(__xludf.DUMMYFUNCTION("LOWER(Regexreplace(to_text(E11),""[^A-Za-z0-9]"","""")&amp;""_""&amp;Regexreplace(to_text(F11),""[^A-Za-z0-9]"",""""))"),"sauter_eyrc504fxxx")</f>
        <v>sauter_eyrc504fxxx</v>
      </c>
      <c r="BG11" s="275" t="str">
        <f>IFERROR(__xludf.DUMMYFUNCTION("upper(Regexreplace(to_text(E11),""[^A-Za-z0-9]"","""")&amp;""-""&amp;Regexreplace(to_text(F11),""[^A-Za-z0-9]"",""""))"),"SAUTER-EYRC504FXXX")</f>
        <v>SAUTER-EYRC504FXXX</v>
      </c>
    </row>
    <row r="12" ht="30.0" customHeight="1">
      <c r="A12" s="258">
        <v>8.0</v>
      </c>
      <c r="B12" s="256" t="s">
        <v>670</v>
      </c>
      <c r="C12" s="257" t="s">
        <v>734</v>
      </c>
      <c r="D12" s="173" t="s">
        <v>734</v>
      </c>
      <c r="E12" s="174" t="s">
        <v>672</v>
      </c>
      <c r="F12" s="173" t="s">
        <v>514</v>
      </c>
      <c r="G12" s="258" t="s">
        <v>673</v>
      </c>
      <c r="H12" s="258" t="s">
        <v>674</v>
      </c>
      <c r="I12" s="258" t="s">
        <v>675</v>
      </c>
      <c r="J12" s="259" t="s">
        <v>727</v>
      </c>
      <c r="K12" s="260" t="s">
        <v>728</v>
      </c>
      <c r="L12" s="258" t="s">
        <v>729</v>
      </c>
      <c r="M12" s="276">
        <v>4.11001359578E11</v>
      </c>
      <c r="N12" s="173" t="s">
        <v>679</v>
      </c>
      <c r="O12" s="173" t="s">
        <v>225</v>
      </c>
      <c r="P12" s="262" t="str">
        <f t="shared" si="1"/>
        <v>IN-BLR-ANANTA-DDC-208_B1</v>
      </c>
      <c r="Q12" s="173" t="s">
        <v>735</v>
      </c>
      <c r="R12" s="258" t="str">
        <f>IFS(C12="","",C12="n/a","N/A",LEN(C12),Concatenate("{",char(34),"asset",char(34),":{",char(34),"guid",char(34),":",char(34),Q12,char(34),",",char(34),"site",char(34),":",char(34),LOWER('2-Building'!$B$4),char(34),",",char(34),"name",char(34),":",char(34),LOWER(C12),char(34),"}}"))</f>
        <v>{"asset":{"guid":"uuid://43f4fe80-a067-4c2b-b53c-12a57fe1c272","site":"in-blr-ananta","name":"ddc-208"}}</v>
      </c>
      <c r="S12" s="258" t="s">
        <v>681</v>
      </c>
      <c r="T12" s="263"/>
      <c r="U12" s="263"/>
      <c r="V12" s="264">
        <v>2.23</v>
      </c>
      <c r="W12" s="33" t="s">
        <v>682</v>
      </c>
      <c r="X12" s="258" t="s">
        <v>683</v>
      </c>
      <c r="Y12" s="33" t="s">
        <v>684</v>
      </c>
      <c r="Z12" s="258">
        <v>14008.0</v>
      </c>
      <c r="AA12" s="258">
        <v>11501.0</v>
      </c>
      <c r="AB12" s="258"/>
      <c r="AC12" s="258"/>
      <c r="AD12" s="265"/>
      <c r="AE12" s="266" t="s">
        <v>685</v>
      </c>
      <c r="AF12" s="267" t="s">
        <v>736</v>
      </c>
      <c r="AG12" s="268" t="str">
        <f>IFS(LEN(AF12)=17,LOWER('2-Building'!$B$4 &amp; "-" &amp; C12), AF12="N/A", "N/A", LEN(AF12)=0,"")</f>
        <v>in-blr-ananta-ddc-208</v>
      </c>
      <c r="AH12" s="258"/>
      <c r="AI12" s="258"/>
      <c r="AJ12" s="258"/>
      <c r="AK12" s="258" t="s">
        <v>737</v>
      </c>
      <c r="AL12" s="258" t="s">
        <v>688</v>
      </c>
      <c r="AM12" s="258" t="s">
        <v>689</v>
      </c>
      <c r="AN12" s="258"/>
      <c r="AO12" s="258"/>
      <c r="AP12" s="258"/>
      <c r="AQ12" s="258"/>
      <c r="AR12" s="258" t="s">
        <v>690</v>
      </c>
      <c r="AS12" s="258" t="s">
        <v>691</v>
      </c>
      <c r="AT12" s="258" t="s">
        <v>733</v>
      </c>
      <c r="AU12" s="265" t="s">
        <v>693</v>
      </c>
      <c r="AV12" s="174" t="s">
        <v>243</v>
      </c>
      <c r="AW12" s="269" t="s">
        <v>245</v>
      </c>
      <c r="AX12" s="269" t="s">
        <v>694</v>
      </c>
      <c r="AY12" s="270" t="s">
        <v>695</v>
      </c>
      <c r="AZ12" s="173" t="s">
        <v>681</v>
      </c>
      <c r="BA12" s="265">
        <v>10.0</v>
      </c>
      <c r="BB12" s="174" t="s">
        <v>225</v>
      </c>
      <c r="BC12" s="271"/>
      <c r="BD12" s="272" t="s">
        <v>696</v>
      </c>
      <c r="BE12" s="273" t="s">
        <v>697</v>
      </c>
      <c r="BF12" s="274" t="str">
        <f>IFERROR(__xludf.DUMMYFUNCTION("LOWER(Regexreplace(to_text(E12),""[^A-Za-z0-9]"","""")&amp;""_""&amp;Regexreplace(to_text(F12),""[^A-Za-z0-9]"",""""))"),"sauter_eyrc504fxxx")</f>
        <v>sauter_eyrc504fxxx</v>
      </c>
      <c r="BG12" s="275" t="str">
        <f>IFERROR(__xludf.DUMMYFUNCTION("upper(Regexreplace(to_text(E12),""[^A-Za-z0-9]"","""")&amp;""-""&amp;Regexreplace(to_text(F12),""[^A-Za-z0-9]"",""""))"),"SAUTER-EYRC504FXXX")</f>
        <v>SAUTER-EYRC504FXXX</v>
      </c>
    </row>
    <row r="13" ht="30.0" customHeight="1">
      <c r="A13" s="173">
        <v>9.0</v>
      </c>
      <c r="B13" s="256" t="s">
        <v>670</v>
      </c>
      <c r="C13" s="257" t="s">
        <v>738</v>
      </c>
      <c r="D13" s="173" t="s">
        <v>738</v>
      </c>
      <c r="E13" s="174" t="s">
        <v>672</v>
      </c>
      <c r="F13" s="173" t="s">
        <v>514</v>
      </c>
      <c r="G13" s="258" t="s">
        <v>673</v>
      </c>
      <c r="H13" s="258" t="s">
        <v>674</v>
      </c>
      <c r="I13" s="258" t="s">
        <v>675</v>
      </c>
      <c r="J13" s="259" t="s">
        <v>739</v>
      </c>
      <c r="K13" s="260" t="s">
        <v>740</v>
      </c>
      <c r="L13" s="258" t="s">
        <v>741</v>
      </c>
      <c r="M13" s="276">
        <v>4.11001239379E11</v>
      </c>
      <c r="N13" s="173" t="s">
        <v>679</v>
      </c>
      <c r="O13" s="173" t="s">
        <v>225</v>
      </c>
      <c r="P13" s="262" t="str">
        <f t="shared" si="1"/>
        <v>IN-BLR-ANANTA-DDC-209_G</v>
      </c>
      <c r="Q13" s="173" t="s">
        <v>742</v>
      </c>
      <c r="R13" s="258" t="str">
        <f>IFS(C13="","",C13="n/a","N/A",LEN(C13),Concatenate("{",char(34),"asset",char(34),":{",char(34),"guid",char(34),":",char(34),Q13,char(34),",",char(34),"site",char(34),":",char(34),LOWER('2-Building'!$B$4),char(34),",",char(34),"name",char(34),":",char(34),LOWER(C13),char(34),"}}"))</f>
        <v>{"asset":{"guid":"uuid://5174e770-2b78-4273-bf77-cba49cb32760","site":"in-blr-ananta","name":"ddc-209"}}</v>
      </c>
      <c r="S13" s="258" t="s">
        <v>681</v>
      </c>
      <c r="T13" s="263"/>
      <c r="U13" s="263"/>
      <c r="V13" s="264">
        <v>2.23</v>
      </c>
      <c r="W13" s="33" t="s">
        <v>682</v>
      </c>
      <c r="X13" s="258" t="s">
        <v>683</v>
      </c>
      <c r="Y13" s="33" t="s">
        <v>684</v>
      </c>
      <c r="Z13" s="258">
        <v>14009.0</v>
      </c>
      <c r="AA13" s="258">
        <v>11501.0</v>
      </c>
      <c r="AB13" s="258"/>
      <c r="AC13" s="258"/>
      <c r="AD13" s="265"/>
      <c r="AE13" s="266" t="s">
        <v>685</v>
      </c>
      <c r="AF13" s="267" t="s">
        <v>743</v>
      </c>
      <c r="AG13" s="268" t="str">
        <f>IFS(LEN(AF13)=17,LOWER('2-Building'!$B$4 &amp; "-" &amp; C13), AF13="N/A", "N/A", LEN(AF13)=0,"")</f>
        <v>in-blr-ananta-ddc-209</v>
      </c>
      <c r="AH13" s="258"/>
      <c r="AI13" s="258"/>
      <c r="AJ13" s="258"/>
      <c r="AK13" s="258" t="s">
        <v>744</v>
      </c>
      <c r="AL13" s="258" t="s">
        <v>688</v>
      </c>
      <c r="AM13" s="258" t="s">
        <v>689</v>
      </c>
      <c r="AN13" s="258"/>
      <c r="AO13" s="258"/>
      <c r="AP13" s="258"/>
      <c r="AQ13" s="258"/>
      <c r="AR13" s="258" t="s">
        <v>690</v>
      </c>
      <c r="AS13" s="258" t="s">
        <v>691</v>
      </c>
      <c r="AT13" s="258" t="s">
        <v>745</v>
      </c>
      <c r="AU13" s="265" t="s">
        <v>693</v>
      </c>
      <c r="AV13" s="174" t="s">
        <v>243</v>
      </c>
      <c r="AW13" s="269" t="s">
        <v>245</v>
      </c>
      <c r="AX13" s="269" t="s">
        <v>694</v>
      </c>
      <c r="AY13" s="270" t="s">
        <v>695</v>
      </c>
      <c r="AZ13" s="173" t="s">
        <v>681</v>
      </c>
      <c r="BA13" s="265">
        <v>10.0</v>
      </c>
      <c r="BB13" s="174" t="s">
        <v>225</v>
      </c>
      <c r="BC13" s="271"/>
      <c r="BD13" s="272" t="s">
        <v>696</v>
      </c>
      <c r="BE13" s="273" t="s">
        <v>697</v>
      </c>
      <c r="BF13" s="274" t="str">
        <f>IFERROR(__xludf.DUMMYFUNCTION("LOWER(Regexreplace(to_text(E13),""[^A-Za-z0-9]"","""")&amp;""_""&amp;Regexreplace(to_text(F13),""[^A-Za-z0-9]"",""""))"),"sauter_eyrc504fxxx")</f>
        <v>sauter_eyrc504fxxx</v>
      </c>
      <c r="BG13" s="275" t="str">
        <f>IFERROR(__xludf.DUMMYFUNCTION("upper(Regexreplace(to_text(E13),""[^A-Za-z0-9]"","""")&amp;""-""&amp;Regexreplace(to_text(F13),""[^A-Za-z0-9]"",""""))"),"SAUTER-EYRC504FXXX")</f>
        <v>SAUTER-EYRC504FXXX</v>
      </c>
    </row>
    <row r="14" ht="30.0" customHeight="1">
      <c r="A14" s="258">
        <v>10.0</v>
      </c>
      <c r="B14" s="256" t="s">
        <v>670</v>
      </c>
      <c r="C14" s="257" t="s">
        <v>746</v>
      </c>
      <c r="D14" s="173" t="s">
        <v>746</v>
      </c>
      <c r="E14" s="174" t="s">
        <v>672</v>
      </c>
      <c r="F14" s="173" t="s">
        <v>514</v>
      </c>
      <c r="G14" s="258" t="s">
        <v>673</v>
      </c>
      <c r="H14" s="258" t="s">
        <v>674</v>
      </c>
      <c r="I14" s="258" t="s">
        <v>675</v>
      </c>
      <c r="J14" s="259" t="s">
        <v>739</v>
      </c>
      <c r="K14" s="260" t="s">
        <v>740</v>
      </c>
      <c r="L14" s="258" t="s">
        <v>741</v>
      </c>
      <c r="M14" s="276">
        <v>4.11001237966E11</v>
      </c>
      <c r="N14" s="173" t="s">
        <v>679</v>
      </c>
      <c r="O14" s="173" t="s">
        <v>225</v>
      </c>
      <c r="P14" s="262" t="str">
        <f t="shared" si="1"/>
        <v>IN-BLR-ANANTA-DDC-210_G</v>
      </c>
      <c r="Q14" s="173" t="s">
        <v>747</v>
      </c>
      <c r="R14" s="258" t="str">
        <f>IFS(C14="","",C14="n/a","N/A",LEN(C14),Concatenate("{",char(34),"asset",char(34),":{",char(34),"guid",char(34),":",char(34),Q14,char(34),",",char(34),"site",char(34),":",char(34),LOWER('2-Building'!$B$4),char(34),",",char(34),"name",char(34),":",char(34),LOWER(C14),char(34),"}}"))</f>
        <v>{"asset":{"guid":"uuid://deafe2b8-42ec-45ca-b993-9f1bf39af856","site":"in-blr-ananta","name":"ddc-210"}}</v>
      </c>
      <c r="S14" s="258" t="s">
        <v>681</v>
      </c>
      <c r="T14" s="263"/>
      <c r="U14" s="263"/>
      <c r="V14" s="264">
        <v>2.23</v>
      </c>
      <c r="W14" s="33" t="s">
        <v>682</v>
      </c>
      <c r="X14" s="258" t="s">
        <v>683</v>
      </c>
      <c r="Y14" s="33" t="s">
        <v>684</v>
      </c>
      <c r="Z14" s="258">
        <v>14010.0</v>
      </c>
      <c r="AA14" s="258">
        <v>11501.0</v>
      </c>
      <c r="AB14" s="258"/>
      <c r="AC14" s="258"/>
      <c r="AD14" s="265"/>
      <c r="AE14" s="266" t="s">
        <v>685</v>
      </c>
      <c r="AF14" s="267" t="s">
        <v>748</v>
      </c>
      <c r="AG14" s="268" t="str">
        <f>IFS(LEN(AF14)=17,LOWER('2-Building'!$B$4 &amp; "-" &amp; C14), AF14="N/A", "N/A", LEN(AF14)=0,"")</f>
        <v>in-blr-ananta-ddc-210</v>
      </c>
      <c r="AH14" s="258"/>
      <c r="AI14" s="258"/>
      <c r="AJ14" s="258"/>
      <c r="AK14" s="258" t="s">
        <v>749</v>
      </c>
      <c r="AL14" s="258" t="s">
        <v>688</v>
      </c>
      <c r="AM14" s="258" t="s">
        <v>689</v>
      </c>
      <c r="AN14" s="258"/>
      <c r="AO14" s="258"/>
      <c r="AP14" s="258"/>
      <c r="AQ14" s="258"/>
      <c r="AR14" s="258" t="s">
        <v>690</v>
      </c>
      <c r="AS14" s="258" t="s">
        <v>691</v>
      </c>
      <c r="AT14" s="258" t="s">
        <v>745</v>
      </c>
      <c r="AU14" s="265" t="s">
        <v>693</v>
      </c>
      <c r="AV14" s="174" t="s">
        <v>243</v>
      </c>
      <c r="AW14" s="269" t="s">
        <v>245</v>
      </c>
      <c r="AX14" s="269" t="s">
        <v>694</v>
      </c>
      <c r="AY14" s="270" t="s">
        <v>695</v>
      </c>
      <c r="AZ14" s="173" t="s">
        <v>681</v>
      </c>
      <c r="BA14" s="265">
        <v>10.0</v>
      </c>
      <c r="BB14" s="174" t="s">
        <v>225</v>
      </c>
      <c r="BC14" s="271"/>
      <c r="BD14" s="272" t="s">
        <v>696</v>
      </c>
      <c r="BE14" s="273" t="s">
        <v>697</v>
      </c>
      <c r="BF14" s="274" t="str">
        <f>IFERROR(__xludf.DUMMYFUNCTION("LOWER(Regexreplace(to_text(E14),""[^A-Za-z0-9]"","""")&amp;""_""&amp;Regexreplace(to_text(F14),""[^A-Za-z0-9]"",""""))"),"sauter_eyrc504fxxx")</f>
        <v>sauter_eyrc504fxxx</v>
      </c>
      <c r="BG14" s="275" t="str">
        <f>IFERROR(__xludf.DUMMYFUNCTION("upper(Regexreplace(to_text(E14),""[^A-Za-z0-9]"","""")&amp;""-""&amp;Regexreplace(to_text(F14),""[^A-Za-z0-9]"",""""))"),"SAUTER-EYRC504FXXX")</f>
        <v>SAUTER-EYRC504FXXX</v>
      </c>
    </row>
    <row r="15" ht="30.0" customHeight="1">
      <c r="A15" s="173">
        <v>11.0</v>
      </c>
      <c r="B15" s="256" t="s">
        <v>670</v>
      </c>
      <c r="C15" s="257" t="s">
        <v>750</v>
      </c>
      <c r="D15" s="173" t="s">
        <v>750</v>
      </c>
      <c r="E15" s="174" t="s">
        <v>672</v>
      </c>
      <c r="F15" s="173" t="s">
        <v>514</v>
      </c>
      <c r="G15" s="258" t="s">
        <v>673</v>
      </c>
      <c r="H15" s="258" t="s">
        <v>674</v>
      </c>
      <c r="I15" s="258" t="s">
        <v>675</v>
      </c>
      <c r="J15" s="259" t="s">
        <v>739</v>
      </c>
      <c r="K15" s="260" t="s">
        <v>740</v>
      </c>
      <c r="L15" s="258" t="s">
        <v>751</v>
      </c>
      <c r="M15" s="276">
        <v>4.1100123928E11</v>
      </c>
      <c r="N15" s="173" t="s">
        <v>679</v>
      </c>
      <c r="O15" s="173" t="s">
        <v>225</v>
      </c>
      <c r="P15" s="262" t="str">
        <f t="shared" si="1"/>
        <v>IN-BLR-ANANTA-DDC-211_G</v>
      </c>
      <c r="Q15" s="173" t="s">
        <v>752</v>
      </c>
      <c r="R15" s="258" t="str">
        <f>IFS(C15="","",C15="n/a","N/A",LEN(C15),Concatenate("{",char(34),"asset",char(34),":{",char(34),"guid",char(34),":",char(34),Q15,char(34),",",char(34),"site",char(34),":",char(34),LOWER('2-Building'!$B$4),char(34),",",char(34),"name",char(34),":",char(34),LOWER(C15),char(34),"}}"))</f>
        <v>{"asset":{"guid":"uuid://414db277-aae3-47a4-9289-9e148598b93c","site":"in-blr-ananta","name":"ddc-211"}}</v>
      </c>
      <c r="S15" s="258" t="s">
        <v>681</v>
      </c>
      <c r="T15" s="263"/>
      <c r="U15" s="263"/>
      <c r="V15" s="264">
        <v>2.23</v>
      </c>
      <c r="W15" s="33" t="s">
        <v>682</v>
      </c>
      <c r="X15" s="258" t="s">
        <v>683</v>
      </c>
      <c r="Y15" s="33" t="s">
        <v>684</v>
      </c>
      <c r="Z15" s="258">
        <v>14011.0</v>
      </c>
      <c r="AA15" s="258">
        <v>11501.0</v>
      </c>
      <c r="AB15" s="258"/>
      <c r="AC15" s="258"/>
      <c r="AD15" s="265"/>
      <c r="AE15" s="266" t="s">
        <v>685</v>
      </c>
      <c r="AF15" s="267" t="s">
        <v>753</v>
      </c>
      <c r="AG15" s="268" t="str">
        <f>IFS(LEN(AF15)=17,LOWER('2-Building'!$B$4 &amp; "-" &amp; C15), AF15="N/A", "N/A", LEN(AF15)=0,"")</f>
        <v>in-blr-ananta-ddc-211</v>
      </c>
      <c r="AH15" s="258"/>
      <c r="AI15" s="258"/>
      <c r="AJ15" s="258"/>
      <c r="AK15" s="258" t="s">
        <v>754</v>
      </c>
      <c r="AL15" s="258" t="s">
        <v>688</v>
      </c>
      <c r="AM15" s="258" t="s">
        <v>689</v>
      </c>
      <c r="AN15" s="258"/>
      <c r="AO15" s="258"/>
      <c r="AP15" s="258"/>
      <c r="AQ15" s="258"/>
      <c r="AR15" s="258" t="s">
        <v>690</v>
      </c>
      <c r="AS15" s="258" t="s">
        <v>691</v>
      </c>
      <c r="AT15" s="258" t="s">
        <v>745</v>
      </c>
      <c r="AU15" s="265" t="s">
        <v>693</v>
      </c>
      <c r="AV15" s="174" t="s">
        <v>243</v>
      </c>
      <c r="AW15" s="269" t="s">
        <v>245</v>
      </c>
      <c r="AX15" s="269" t="s">
        <v>694</v>
      </c>
      <c r="AY15" s="270" t="s">
        <v>695</v>
      </c>
      <c r="AZ15" s="173" t="s">
        <v>681</v>
      </c>
      <c r="BA15" s="265">
        <v>10.0</v>
      </c>
      <c r="BB15" s="174" t="s">
        <v>225</v>
      </c>
      <c r="BC15" s="271"/>
      <c r="BD15" s="272" t="s">
        <v>696</v>
      </c>
      <c r="BE15" s="273" t="s">
        <v>697</v>
      </c>
      <c r="BF15" s="274" t="str">
        <f>IFERROR(__xludf.DUMMYFUNCTION("LOWER(Regexreplace(to_text(E15),""[^A-Za-z0-9]"","""")&amp;""_""&amp;Regexreplace(to_text(F15),""[^A-Za-z0-9]"",""""))"),"sauter_eyrc504fxxx")</f>
        <v>sauter_eyrc504fxxx</v>
      </c>
      <c r="BG15" s="275" t="str">
        <f>IFERROR(__xludf.DUMMYFUNCTION("upper(Regexreplace(to_text(E15),""[^A-Za-z0-9]"","""")&amp;""-""&amp;Regexreplace(to_text(F15),""[^A-Za-z0-9]"",""""))"),"SAUTER-EYRC504FXXX")</f>
        <v>SAUTER-EYRC504FXXX</v>
      </c>
    </row>
    <row r="16" ht="30.0" customHeight="1">
      <c r="A16" s="258">
        <v>12.0</v>
      </c>
      <c r="B16" s="256" t="s">
        <v>670</v>
      </c>
      <c r="C16" s="257" t="s">
        <v>755</v>
      </c>
      <c r="D16" s="173" t="s">
        <v>755</v>
      </c>
      <c r="E16" s="174" t="s">
        <v>672</v>
      </c>
      <c r="F16" s="173" t="s">
        <v>514</v>
      </c>
      <c r="G16" s="258" t="s">
        <v>673</v>
      </c>
      <c r="H16" s="258" t="s">
        <v>674</v>
      </c>
      <c r="I16" s="258" t="s">
        <v>675</v>
      </c>
      <c r="J16" s="259" t="s">
        <v>739</v>
      </c>
      <c r="K16" s="260" t="s">
        <v>740</v>
      </c>
      <c r="L16" s="258" t="s">
        <v>751</v>
      </c>
      <c r="M16" s="276">
        <v>4.1100123937E11</v>
      </c>
      <c r="N16" s="173" t="s">
        <v>679</v>
      </c>
      <c r="O16" s="173" t="s">
        <v>225</v>
      </c>
      <c r="P16" s="262" t="str">
        <f t="shared" si="1"/>
        <v>IN-BLR-ANANTA-DDC-212_G</v>
      </c>
      <c r="Q16" s="173" t="s">
        <v>756</v>
      </c>
      <c r="R16" s="258" t="str">
        <f>IFS(C16="","",C16="n/a","N/A",LEN(C16),Concatenate("{",char(34),"asset",char(34),":{",char(34),"guid",char(34),":",char(34),Q16,char(34),",",char(34),"site",char(34),":",char(34),LOWER('2-Building'!$B$4),char(34),",",char(34),"name",char(34),":",char(34),LOWER(C16),char(34),"}}"))</f>
        <v>{"asset":{"guid":"uuid://2d253e85-4b7c-4724-8373-fa4f95452b07","site":"in-blr-ananta","name":"ddc-212"}}</v>
      </c>
      <c r="S16" s="258" t="s">
        <v>681</v>
      </c>
      <c r="T16" s="263"/>
      <c r="U16" s="263"/>
      <c r="V16" s="264">
        <v>2.23</v>
      </c>
      <c r="W16" s="33" t="s">
        <v>682</v>
      </c>
      <c r="X16" s="258" t="s">
        <v>683</v>
      </c>
      <c r="Y16" s="33" t="s">
        <v>684</v>
      </c>
      <c r="Z16" s="258">
        <v>14012.0</v>
      </c>
      <c r="AA16" s="258">
        <v>11501.0</v>
      </c>
      <c r="AB16" s="258"/>
      <c r="AC16" s="258"/>
      <c r="AD16" s="265"/>
      <c r="AE16" s="266" t="s">
        <v>685</v>
      </c>
      <c r="AF16" s="267" t="s">
        <v>757</v>
      </c>
      <c r="AG16" s="268" t="str">
        <f>IFS(LEN(AF16)=17,LOWER('2-Building'!$B$4 &amp; "-" &amp; C16), AF16="N/A", "N/A", LEN(AF16)=0,"")</f>
        <v>in-blr-ananta-ddc-212</v>
      </c>
      <c r="AH16" s="258"/>
      <c r="AI16" s="258"/>
      <c r="AJ16" s="258"/>
      <c r="AK16" s="258" t="s">
        <v>758</v>
      </c>
      <c r="AL16" s="258" t="s">
        <v>688</v>
      </c>
      <c r="AM16" s="258" t="s">
        <v>689</v>
      </c>
      <c r="AN16" s="258"/>
      <c r="AO16" s="258"/>
      <c r="AP16" s="258"/>
      <c r="AQ16" s="258"/>
      <c r="AR16" s="258" t="s">
        <v>690</v>
      </c>
      <c r="AS16" s="258" t="s">
        <v>691</v>
      </c>
      <c r="AT16" s="258" t="s">
        <v>745</v>
      </c>
      <c r="AU16" s="265" t="s">
        <v>693</v>
      </c>
      <c r="AV16" s="174" t="s">
        <v>243</v>
      </c>
      <c r="AW16" s="269" t="s">
        <v>245</v>
      </c>
      <c r="AX16" s="269" t="s">
        <v>694</v>
      </c>
      <c r="AY16" s="270" t="s">
        <v>695</v>
      </c>
      <c r="AZ16" s="173" t="s">
        <v>681</v>
      </c>
      <c r="BA16" s="265">
        <v>10.0</v>
      </c>
      <c r="BB16" s="174" t="s">
        <v>225</v>
      </c>
      <c r="BC16" s="271"/>
      <c r="BD16" s="272" t="s">
        <v>696</v>
      </c>
      <c r="BE16" s="273" t="s">
        <v>697</v>
      </c>
      <c r="BF16" s="274" t="str">
        <f>IFERROR(__xludf.DUMMYFUNCTION("LOWER(Regexreplace(to_text(E16),""[^A-Za-z0-9]"","""")&amp;""_""&amp;Regexreplace(to_text(F16),""[^A-Za-z0-9]"",""""))"),"sauter_eyrc504fxxx")</f>
        <v>sauter_eyrc504fxxx</v>
      </c>
      <c r="BG16" s="275" t="str">
        <f>IFERROR(__xludf.DUMMYFUNCTION("upper(Regexreplace(to_text(E16),""[^A-Za-z0-9]"","""")&amp;""-""&amp;Regexreplace(to_text(F16),""[^A-Za-z0-9]"",""""))"),"SAUTER-EYRC504FXXX")</f>
        <v>SAUTER-EYRC504FXXX</v>
      </c>
    </row>
    <row r="17" ht="30.0" customHeight="1">
      <c r="A17" s="173">
        <v>13.0</v>
      </c>
      <c r="B17" s="256" t="s">
        <v>670</v>
      </c>
      <c r="C17" s="257" t="s">
        <v>759</v>
      </c>
      <c r="D17" s="173" t="s">
        <v>759</v>
      </c>
      <c r="E17" s="174" t="s">
        <v>672</v>
      </c>
      <c r="F17" s="173" t="s">
        <v>514</v>
      </c>
      <c r="G17" s="258" t="s">
        <v>673</v>
      </c>
      <c r="H17" s="258" t="s">
        <v>674</v>
      </c>
      <c r="I17" s="258" t="s">
        <v>675</v>
      </c>
      <c r="J17" s="259" t="s">
        <v>739</v>
      </c>
      <c r="K17" s="260" t="s">
        <v>740</v>
      </c>
      <c r="L17" s="258" t="s">
        <v>760</v>
      </c>
      <c r="M17" s="277">
        <v>4.11001237472E11</v>
      </c>
      <c r="N17" s="173" t="s">
        <v>679</v>
      </c>
      <c r="O17" s="173" t="s">
        <v>225</v>
      </c>
      <c r="P17" s="262" t="str">
        <f t="shared" si="1"/>
        <v>IN-BLR-ANANTA-DDC-213_G</v>
      </c>
      <c r="Q17" s="173" t="s">
        <v>761</v>
      </c>
      <c r="R17" s="258" t="str">
        <f>IFS(C17="","",C17="n/a","N/A",LEN(C17),Concatenate("{",char(34),"asset",char(34),":{",char(34),"guid",char(34),":",char(34),Q17,char(34),",",char(34),"site",char(34),":",char(34),LOWER('2-Building'!$B$4),char(34),",",char(34),"name",char(34),":",char(34),LOWER(C17),char(34),"}}"))</f>
        <v>{"asset":{"guid":"uuid://7263ee0f-2395-4152-b5ce-333f9385b307","site":"in-blr-ananta","name":"ddc-213"}}</v>
      </c>
      <c r="S17" s="258" t="s">
        <v>681</v>
      </c>
      <c r="T17" s="263"/>
      <c r="U17" s="263"/>
      <c r="V17" s="264">
        <v>2.23</v>
      </c>
      <c r="W17" s="33" t="s">
        <v>682</v>
      </c>
      <c r="X17" s="258" t="s">
        <v>683</v>
      </c>
      <c r="Y17" s="33" t="s">
        <v>684</v>
      </c>
      <c r="Z17" s="258">
        <v>14013.0</v>
      </c>
      <c r="AA17" s="258">
        <v>11501.0</v>
      </c>
      <c r="AB17" s="258"/>
      <c r="AC17" s="258"/>
      <c r="AD17" s="265"/>
      <c r="AE17" s="266" t="s">
        <v>685</v>
      </c>
      <c r="AF17" s="267" t="s">
        <v>762</v>
      </c>
      <c r="AG17" s="268" t="str">
        <f>IFS(LEN(AF17)=17,LOWER('2-Building'!$B$4 &amp; "-" &amp; C17), AF17="N/A", "N/A", LEN(AF17)=0,"")</f>
        <v>in-blr-ananta-ddc-213</v>
      </c>
      <c r="AH17" s="258"/>
      <c r="AI17" s="258"/>
      <c r="AJ17" s="258"/>
      <c r="AK17" s="258" t="s">
        <v>763</v>
      </c>
      <c r="AL17" s="258" t="s">
        <v>688</v>
      </c>
      <c r="AM17" s="258" t="s">
        <v>689</v>
      </c>
      <c r="AN17" s="258"/>
      <c r="AO17" s="258"/>
      <c r="AP17" s="258"/>
      <c r="AQ17" s="258"/>
      <c r="AR17" s="258" t="s">
        <v>690</v>
      </c>
      <c r="AS17" s="258" t="s">
        <v>691</v>
      </c>
      <c r="AT17" s="258" t="s">
        <v>745</v>
      </c>
      <c r="AU17" s="265" t="s">
        <v>693</v>
      </c>
      <c r="AV17" s="174" t="s">
        <v>243</v>
      </c>
      <c r="AW17" s="269" t="s">
        <v>245</v>
      </c>
      <c r="AX17" s="269" t="s">
        <v>694</v>
      </c>
      <c r="AY17" s="270" t="s">
        <v>695</v>
      </c>
      <c r="AZ17" s="173" t="s">
        <v>681</v>
      </c>
      <c r="BA17" s="265">
        <v>10.0</v>
      </c>
      <c r="BB17" s="174" t="s">
        <v>225</v>
      </c>
      <c r="BC17" s="271"/>
      <c r="BD17" s="272" t="s">
        <v>696</v>
      </c>
      <c r="BE17" s="273" t="s">
        <v>697</v>
      </c>
      <c r="BF17" s="274" t="str">
        <f>IFERROR(__xludf.DUMMYFUNCTION("LOWER(Regexreplace(to_text(E17),""[^A-Za-z0-9]"","""")&amp;""_""&amp;Regexreplace(to_text(F17),""[^A-Za-z0-9]"",""""))"),"sauter_eyrc504fxxx")</f>
        <v>sauter_eyrc504fxxx</v>
      </c>
      <c r="BG17" s="275" t="str">
        <f>IFERROR(__xludf.DUMMYFUNCTION("upper(Regexreplace(to_text(E17),""[^A-Za-z0-9]"","""")&amp;""-""&amp;Regexreplace(to_text(F17),""[^A-Za-z0-9]"",""""))"),"SAUTER-EYRC504FXXX")</f>
        <v>SAUTER-EYRC504FXXX</v>
      </c>
    </row>
    <row r="18" ht="30.0" customHeight="1">
      <c r="A18" s="258">
        <v>14.0</v>
      </c>
      <c r="B18" s="256" t="s">
        <v>670</v>
      </c>
      <c r="C18" s="257" t="s">
        <v>764</v>
      </c>
      <c r="D18" s="173" t="s">
        <v>764</v>
      </c>
      <c r="E18" s="174" t="s">
        <v>672</v>
      </c>
      <c r="F18" s="173" t="s">
        <v>514</v>
      </c>
      <c r="G18" s="258" t="s">
        <v>673</v>
      </c>
      <c r="H18" s="258" t="s">
        <v>674</v>
      </c>
      <c r="I18" s="258" t="s">
        <v>675</v>
      </c>
      <c r="J18" s="259" t="s">
        <v>739</v>
      </c>
      <c r="K18" s="260" t="s">
        <v>765</v>
      </c>
      <c r="L18" s="258" t="s">
        <v>766</v>
      </c>
      <c r="M18" s="277">
        <v>4.11001239507E11</v>
      </c>
      <c r="N18" s="173" t="s">
        <v>679</v>
      </c>
      <c r="O18" s="173" t="s">
        <v>225</v>
      </c>
      <c r="P18" s="262" t="str">
        <f t="shared" si="1"/>
        <v>IN-BLR-ANANTA-DDC-214_G</v>
      </c>
      <c r="Q18" s="173" t="s">
        <v>767</v>
      </c>
      <c r="R18" s="258" t="str">
        <f>IFS(C18="","",C18="n/a","N/A",LEN(C18),Concatenate("{",char(34),"asset",char(34),":{",char(34),"guid",char(34),":",char(34),Q18,char(34),",",char(34),"site",char(34),":",char(34),LOWER('2-Building'!$B$4),char(34),",",char(34),"name",char(34),":",char(34),LOWER(C18),char(34),"}}"))</f>
        <v>{"asset":{"guid":"uuid://14b10cb6-0b0f-4e2a-94c6-04a19fdf346d","site":"in-blr-ananta","name":"ddc-214"}}</v>
      </c>
      <c r="S18" s="258" t="s">
        <v>681</v>
      </c>
      <c r="T18" s="263"/>
      <c r="U18" s="263"/>
      <c r="V18" s="264">
        <v>2.23</v>
      </c>
      <c r="W18" s="33" t="s">
        <v>682</v>
      </c>
      <c r="X18" s="258" t="s">
        <v>683</v>
      </c>
      <c r="Y18" s="33" t="s">
        <v>684</v>
      </c>
      <c r="Z18" s="258">
        <v>14014.0</v>
      </c>
      <c r="AA18" s="258">
        <v>11501.0</v>
      </c>
      <c r="AB18" s="258"/>
      <c r="AC18" s="258"/>
      <c r="AD18" s="265"/>
      <c r="AE18" s="266" t="s">
        <v>685</v>
      </c>
      <c r="AF18" s="267" t="s">
        <v>768</v>
      </c>
      <c r="AG18" s="268" t="str">
        <f>IFS(LEN(AF18)=17,LOWER('2-Building'!$B$4 &amp; "-" &amp; C18), AF18="N/A", "N/A", LEN(AF18)=0,"")</f>
        <v>in-blr-ananta-ddc-214</v>
      </c>
      <c r="AH18" s="258"/>
      <c r="AI18" s="258"/>
      <c r="AJ18" s="258"/>
      <c r="AK18" s="258" t="s">
        <v>769</v>
      </c>
      <c r="AL18" s="258" t="s">
        <v>688</v>
      </c>
      <c r="AM18" s="258" t="s">
        <v>689</v>
      </c>
      <c r="AN18" s="258"/>
      <c r="AO18" s="258"/>
      <c r="AP18" s="258"/>
      <c r="AQ18" s="258"/>
      <c r="AR18" s="258" t="s">
        <v>690</v>
      </c>
      <c r="AS18" s="258" t="s">
        <v>691</v>
      </c>
      <c r="AT18" s="258" t="s">
        <v>745</v>
      </c>
      <c r="AU18" s="265" t="s">
        <v>693</v>
      </c>
      <c r="AV18" s="174" t="s">
        <v>243</v>
      </c>
      <c r="AW18" s="269" t="s">
        <v>245</v>
      </c>
      <c r="AX18" s="269" t="s">
        <v>694</v>
      </c>
      <c r="AY18" s="270" t="s">
        <v>695</v>
      </c>
      <c r="AZ18" s="173" t="s">
        <v>681</v>
      </c>
      <c r="BA18" s="265">
        <v>10.0</v>
      </c>
      <c r="BB18" s="174" t="s">
        <v>225</v>
      </c>
      <c r="BC18" s="271"/>
      <c r="BD18" s="272" t="s">
        <v>696</v>
      </c>
      <c r="BE18" s="273" t="s">
        <v>697</v>
      </c>
      <c r="BF18" s="274" t="str">
        <f>IFERROR(__xludf.DUMMYFUNCTION("LOWER(Regexreplace(to_text(E18),""[^A-Za-z0-9]"","""")&amp;""_""&amp;Regexreplace(to_text(F18),""[^A-Za-z0-9]"",""""))"),"sauter_eyrc504fxxx")</f>
        <v>sauter_eyrc504fxxx</v>
      </c>
      <c r="BG18" s="275" t="str">
        <f>IFERROR(__xludf.DUMMYFUNCTION("upper(Regexreplace(to_text(E18),""[^A-Za-z0-9]"","""")&amp;""-""&amp;Regexreplace(to_text(F18),""[^A-Za-z0-9]"",""""))"),"SAUTER-EYRC504FXXX")</f>
        <v>SAUTER-EYRC504FXXX</v>
      </c>
    </row>
    <row r="19" ht="30.0" customHeight="1">
      <c r="A19" s="173">
        <v>15.0</v>
      </c>
      <c r="B19" s="256" t="s">
        <v>670</v>
      </c>
      <c r="C19" s="257" t="s">
        <v>770</v>
      </c>
      <c r="D19" s="173" t="s">
        <v>770</v>
      </c>
      <c r="E19" s="174" t="s">
        <v>672</v>
      </c>
      <c r="F19" s="173" t="s">
        <v>514</v>
      </c>
      <c r="G19" s="258" t="s">
        <v>673</v>
      </c>
      <c r="H19" s="258" t="s">
        <v>674</v>
      </c>
      <c r="I19" s="258" t="s">
        <v>675</v>
      </c>
      <c r="J19" s="259" t="s">
        <v>739</v>
      </c>
      <c r="K19" s="260" t="s">
        <v>765</v>
      </c>
      <c r="L19" s="258" t="s">
        <v>766</v>
      </c>
      <c r="M19" s="277">
        <v>4.1100123944E11</v>
      </c>
      <c r="N19" s="173" t="s">
        <v>679</v>
      </c>
      <c r="O19" s="173" t="s">
        <v>225</v>
      </c>
      <c r="P19" s="262" t="str">
        <f t="shared" si="1"/>
        <v>IN-BLR-ANANTA-DDC-215_G</v>
      </c>
      <c r="Q19" s="173" t="s">
        <v>771</v>
      </c>
      <c r="R19" s="258" t="str">
        <f>IFS(C19="","",C19="n/a","N/A",LEN(C19),Concatenate("{",char(34),"asset",char(34),":{",char(34),"guid",char(34),":",char(34),Q19,char(34),",",char(34),"site",char(34),":",char(34),LOWER('2-Building'!$B$4),char(34),",",char(34),"name",char(34),":",char(34),LOWER(C19),char(34),"}}"))</f>
        <v>{"asset":{"guid":"uuid://8e699904-0771-4a95-85f6-d3d3e0cb4f9e","site":"in-blr-ananta","name":"ddc-215"}}</v>
      </c>
      <c r="S19" s="258" t="s">
        <v>681</v>
      </c>
      <c r="T19" s="263"/>
      <c r="U19" s="263"/>
      <c r="V19" s="264">
        <v>2.23</v>
      </c>
      <c r="W19" s="33" t="s">
        <v>682</v>
      </c>
      <c r="X19" s="258" t="s">
        <v>683</v>
      </c>
      <c r="Y19" s="33" t="s">
        <v>684</v>
      </c>
      <c r="Z19" s="258">
        <v>14015.0</v>
      </c>
      <c r="AA19" s="258">
        <v>11501.0</v>
      </c>
      <c r="AB19" s="258"/>
      <c r="AC19" s="258"/>
      <c r="AD19" s="265"/>
      <c r="AE19" s="266" t="s">
        <v>685</v>
      </c>
      <c r="AF19" s="267" t="s">
        <v>772</v>
      </c>
      <c r="AG19" s="268" t="str">
        <f>IFS(LEN(AF19)=17,LOWER('2-Building'!$B$4 &amp; "-" &amp; C19), AF19="N/A", "N/A", LEN(AF19)=0,"")</f>
        <v>in-blr-ananta-ddc-215</v>
      </c>
      <c r="AH19" s="258"/>
      <c r="AI19" s="258"/>
      <c r="AJ19" s="258"/>
      <c r="AK19" s="258" t="s">
        <v>773</v>
      </c>
      <c r="AL19" s="258" t="s">
        <v>688</v>
      </c>
      <c r="AM19" s="258" t="s">
        <v>689</v>
      </c>
      <c r="AN19" s="258"/>
      <c r="AO19" s="258"/>
      <c r="AP19" s="258"/>
      <c r="AQ19" s="258"/>
      <c r="AR19" s="258" t="s">
        <v>690</v>
      </c>
      <c r="AS19" s="258" t="s">
        <v>691</v>
      </c>
      <c r="AT19" s="258" t="s">
        <v>745</v>
      </c>
      <c r="AU19" s="265" t="s">
        <v>693</v>
      </c>
      <c r="AV19" s="174" t="s">
        <v>243</v>
      </c>
      <c r="AW19" s="269" t="s">
        <v>245</v>
      </c>
      <c r="AX19" s="269" t="s">
        <v>694</v>
      </c>
      <c r="AY19" s="270" t="s">
        <v>695</v>
      </c>
      <c r="AZ19" s="173" t="s">
        <v>681</v>
      </c>
      <c r="BA19" s="265">
        <v>10.0</v>
      </c>
      <c r="BB19" s="174" t="s">
        <v>225</v>
      </c>
      <c r="BC19" s="271"/>
      <c r="BD19" s="272" t="s">
        <v>696</v>
      </c>
      <c r="BE19" s="273" t="s">
        <v>697</v>
      </c>
      <c r="BF19" s="274" t="str">
        <f>IFERROR(__xludf.DUMMYFUNCTION("LOWER(Regexreplace(to_text(E19),""[^A-Za-z0-9]"","""")&amp;""_""&amp;Regexreplace(to_text(F19),""[^A-Za-z0-9]"",""""))"),"sauter_eyrc504fxxx")</f>
        <v>sauter_eyrc504fxxx</v>
      </c>
      <c r="BG19" s="275" t="str">
        <f>IFERROR(__xludf.DUMMYFUNCTION("upper(Regexreplace(to_text(E19),""[^A-Za-z0-9]"","""")&amp;""-""&amp;Regexreplace(to_text(F19),""[^A-Za-z0-9]"",""""))"),"SAUTER-EYRC504FXXX")</f>
        <v>SAUTER-EYRC504FXXX</v>
      </c>
    </row>
    <row r="20" ht="30.0" customHeight="1">
      <c r="A20" s="258">
        <v>16.0</v>
      </c>
      <c r="B20" s="256" t="s">
        <v>670</v>
      </c>
      <c r="C20" s="257" t="s">
        <v>774</v>
      </c>
      <c r="D20" s="173" t="s">
        <v>774</v>
      </c>
      <c r="E20" s="174" t="s">
        <v>672</v>
      </c>
      <c r="F20" s="173" t="s">
        <v>514</v>
      </c>
      <c r="G20" s="258" t="s">
        <v>673</v>
      </c>
      <c r="H20" s="258" t="s">
        <v>674</v>
      </c>
      <c r="I20" s="258" t="s">
        <v>675</v>
      </c>
      <c r="J20" s="259" t="s">
        <v>739</v>
      </c>
      <c r="K20" s="260" t="s">
        <v>765</v>
      </c>
      <c r="L20" s="258" t="s">
        <v>775</v>
      </c>
      <c r="M20" s="277">
        <v>4.11001239314E11</v>
      </c>
      <c r="N20" s="173" t="s">
        <v>679</v>
      </c>
      <c r="O20" s="173" t="s">
        <v>225</v>
      </c>
      <c r="P20" s="262" t="str">
        <f t="shared" si="1"/>
        <v>IN-BLR-ANANTA-DDC-216_G</v>
      </c>
      <c r="Q20" s="173" t="s">
        <v>776</v>
      </c>
      <c r="R20" s="258" t="str">
        <f>IFS(C20="","",C20="n/a","N/A",LEN(C20),Concatenate("{",char(34),"asset",char(34),":{",char(34),"guid",char(34),":",char(34),Q20,char(34),",",char(34),"site",char(34),":",char(34),LOWER('2-Building'!$B$4),char(34),",",char(34),"name",char(34),":",char(34),LOWER(C20),char(34),"}}"))</f>
        <v>{"asset":{"guid":"uuid://c90b9a11-f039-4ebc-b2d7-81909c3a3e41","site":"in-blr-ananta","name":"ddc-216"}}</v>
      </c>
      <c r="S20" s="258" t="s">
        <v>681</v>
      </c>
      <c r="T20" s="263"/>
      <c r="U20" s="263"/>
      <c r="V20" s="264">
        <v>2.23</v>
      </c>
      <c r="W20" s="33" t="s">
        <v>682</v>
      </c>
      <c r="X20" s="258" t="s">
        <v>683</v>
      </c>
      <c r="Y20" s="33" t="s">
        <v>684</v>
      </c>
      <c r="Z20" s="258">
        <v>14016.0</v>
      </c>
      <c r="AA20" s="258">
        <v>11501.0</v>
      </c>
      <c r="AB20" s="258"/>
      <c r="AC20" s="258"/>
      <c r="AD20" s="265"/>
      <c r="AE20" s="266" t="s">
        <v>685</v>
      </c>
      <c r="AF20" s="267" t="s">
        <v>777</v>
      </c>
      <c r="AG20" s="268" t="str">
        <f>IFS(LEN(AF20)=17,LOWER('2-Building'!$B$4 &amp; "-" &amp; C20), AF20="N/A", "N/A", LEN(AF20)=0,"")</f>
        <v>in-blr-ananta-ddc-216</v>
      </c>
      <c r="AH20" s="258"/>
      <c r="AI20" s="258"/>
      <c r="AJ20" s="258"/>
      <c r="AK20" s="258" t="s">
        <v>778</v>
      </c>
      <c r="AL20" s="258" t="s">
        <v>688</v>
      </c>
      <c r="AM20" s="258" t="s">
        <v>689</v>
      </c>
      <c r="AN20" s="258"/>
      <c r="AO20" s="258"/>
      <c r="AP20" s="258"/>
      <c r="AQ20" s="258"/>
      <c r="AR20" s="258" t="s">
        <v>690</v>
      </c>
      <c r="AS20" s="258" t="s">
        <v>691</v>
      </c>
      <c r="AT20" s="258" t="s">
        <v>745</v>
      </c>
      <c r="AU20" s="265" t="s">
        <v>693</v>
      </c>
      <c r="AV20" s="174" t="s">
        <v>243</v>
      </c>
      <c r="AW20" s="269" t="s">
        <v>245</v>
      </c>
      <c r="AX20" s="269" t="s">
        <v>694</v>
      </c>
      <c r="AY20" s="270" t="s">
        <v>695</v>
      </c>
      <c r="AZ20" s="173" t="s">
        <v>681</v>
      </c>
      <c r="BA20" s="265">
        <v>10.0</v>
      </c>
      <c r="BB20" s="174" t="s">
        <v>225</v>
      </c>
      <c r="BC20" s="271"/>
      <c r="BD20" s="272" t="s">
        <v>696</v>
      </c>
      <c r="BE20" s="273" t="s">
        <v>697</v>
      </c>
      <c r="BF20" s="274" t="str">
        <f>IFERROR(__xludf.DUMMYFUNCTION("LOWER(Regexreplace(to_text(E20),""[^A-Za-z0-9]"","""")&amp;""_""&amp;Regexreplace(to_text(F20),""[^A-Za-z0-9]"",""""))"),"sauter_eyrc504fxxx")</f>
        <v>sauter_eyrc504fxxx</v>
      </c>
      <c r="BG20" s="275" t="str">
        <f>IFERROR(__xludf.DUMMYFUNCTION("upper(Regexreplace(to_text(E20),""[^A-Za-z0-9]"","""")&amp;""-""&amp;Regexreplace(to_text(F20),""[^A-Za-z0-9]"",""""))"),"SAUTER-EYRC504FXXX")</f>
        <v>SAUTER-EYRC504FXXX</v>
      </c>
    </row>
    <row r="21" ht="30.0" customHeight="1">
      <c r="A21" s="173">
        <v>17.0</v>
      </c>
      <c r="B21" s="256" t="s">
        <v>670</v>
      </c>
      <c r="C21" s="257" t="s">
        <v>779</v>
      </c>
      <c r="D21" s="173" t="s">
        <v>779</v>
      </c>
      <c r="E21" s="174" t="s">
        <v>672</v>
      </c>
      <c r="F21" s="173" t="s">
        <v>514</v>
      </c>
      <c r="G21" s="258" t="s">
        <v>673</v>
      </c>
      <c r="H21" s="258" t="s">
        <v>674</v>
      </c>
      <c r="I21" s="258" t="s">
        <v>675</v>
      </c>
      <c r="J21" s="259" t="s">
        <v>739</v>
      </c>
      <c r="K21" s="260" t="s">
        <v>765</v>
      </c>
      <c r="L21" s="258" t="s">
        <v>775</v>
      </c>
      <c r="M21" s="277">
        <v>4.11001239035E11</v>
      </c>
      <c r="N21" s="173" t="s">
        <v>679</v>
      </c>
      <c r="O21" s="173" t="s">
        <v>225</v>
      </c>
      <c r="P21" s="262" t="str">
        <f t="shared" si="1"/>
        <v>IN-BLR-ANANTA-DDC-217_G</v>
      </c>
      <c r="Q21" s="173" t="s">
        <v>780</v>
      </c>
      <c r="R21" s="258" t="str">
        <f>IFS(C21="","",C21="n/a","N/A",LEN(C21),Concatenate("{",char(34),"asset",char(34),":{",char(34),"guid",char(34),":",char(34),Q21,char(34),",",char(34),"site",char(34),":",char(34),LOWER('2-Building'!$B$4),char(34),",",char(34),"name",char(34),":",char(34),LOWER(C21),char(34),"}}"))</f>
        <v>{"asset":{"guid":"uuid://d6563724-45d5-41a5-bae8-4e89d090a893","site":"in-blr-ananta","name":"ddc-217"}}</v>
      </c>
      <c r="S21" s="258" t="s">
        <v>681</v>
      </c>
      <c r="T21" s="263"/>
      <c r="U21" s="263"/>
      <c r="V21" s="264">
        <v>2.23</v>
      </c>
      <c r="W21" s="33" t="s">
        <v>682</v>
      </c>
      <c r="X21" s="258" t="s">
        <v>683</v>
      </c>
      <c r="Y21" s="33" t="s">
        <v>684</v>
      </c>
      <c r="Z21" s="258">
        <v>14017.0</v>
      </c>
      <c r="AA21" s="258">
        <v>11501.0</v>
      </c>
      <c r="AB21" s="258"/>
      <c r="AC21" s="258"/>
      <c r="AD21" s="265"/>
      <c r="AE21" s="266" t="s">
        <v>685</v>
      </c>
      <c r="AF21" s="267" t="s">
        <v>781</v>
      </c>
      <c r="AG21" s="268" t="str">
        <f>IFS(LEN(AF21)=17,LOWER('2-Building'!$B$4 &amp; "-" &amp; C21), AF21="N/A", "N/A", LEN(AF21)=0,"")</f>
        <v>in-blr-ananta-ddc-217</v>
      </c>
      <c r="AH21" s="258"/>
      <c r="AI21" s="258"/>
      <c r="AJ21" s="258"/>
      <c r="AK21" s="258" t="s">
        <v>782</v>
      </c>
      <c r="AL21" s="258" t="s">
        <v>688</v>
      </c>
      <c r="AM21" s="258" t="s">
        <v>689</v>
      </c>
      <c r="AN21" s="258"/>
      <c r="AO21" s="258"/>
      <c r="AP21" s="258"/>
      <c r="AQ21" s="258"/>
      <c r="AR21" s="258" t="s">
        <v>690</v>
      </c>
      <c r="AS21" s="258" t="s">
        <v>691</v>
      </c>
      <c r="AT21" s="258" t="s">
        <v>745</v>
      </c>
      <c r="AU21" s="265" t="s">
        <v>693</v>
      </c>
      <c r="AV21" s="174" t="s">
        <v>243</v>
      </c>
      <c r="AW21" s="269" t="s">
        <v>245</v>
      </c>
      <c r="AX21" s="269" t="s">
        <v>694</v>
      </c>
      <c r="AY21" s="270" t="s">
        <v>695</v>
      </c>
      <c r="AZ21" s="173" t="s">
        <v>681</v>
      </c>
      <c r="BA21" s="265">
        <v>10.0</v>
      </c>
      <c r="BB21" s="174" t="s">
        <v>225</v>
      </c>
      <c r="BC21" s="271"/>
      <c r="BD21" s="272" t="s">
        <v>696</v>
      </c>
      <c r="BE21" s="273" t="s">
        <v>697</v>
      </c>
      <c r="BF21" s="274" t="str">
        <f>IFERROR(__xludf.DUMMYFUNCTION("LOWER(Regexreplace(to_text(E21),""[^A-Za-z0-9]"","""")&amp;""_""&amp;Regexreplace(to_text(F21),""[^A-Za-z0-9]"",""""))"),"sauter_eyrc504fxxx")</f>
        <v>sauter_eyrc504fxxx</v>
      </c>
      <c r="BG21" s="275" t="str">
        <f>IFERROR(__xludf.DUMMYFUNCTION("upper(Regexreplace(to_text(E21),""[^A-Za-z0-9]"","""")&amp;""-""&amp;Regexreplace(to_text(F21),""[^A-Za-z0-9]"",""""))"),"SAUTER-EYRC504FXXX")</f>
        <v>SAUTER-EYRC504FXXX</v>
      </c>
    </row>
    <row r="22" ht="30.0" customHeight="1">
      <c r="A22" s="258">
        <v>18.0</v>
      </c>
      <c r="B22" s="256" t="s">
        <v>670</v>
      </c>
      <c r="C22" s="257" t="s">
        <v>783</v>
      </c>
      <c r="D22" s="173" t="s">
        <v>783</v>
      </c>
      <c r="E22" s="174" t="s">
        <v>672</v>
      </c>
      <c r="F22" s="173" t="s">
        <v>514</v>
      </c>
      <c r="G22" s="258" t="s">
        <v>673</v>
      </c>
      <c r="H22" s="258" t="s">
        <v>674</v>
      </c>
      <c r="I22" s="258" t="s">
        <v>675</v>
      </c>
      <c r="J22" s="259" t="s">
        <v>739</v>
      </c>
      <c r="K22" s="260" t="s">
        <v>765</v>
      </c>
      <c r="L22" s="258" t="s">
        <v>784</v>
      </c>
      <c r="M22" s="277">
        <v>4.11001239066E11</v>
      </c>
      <c r="N22" s="173" t="s">
        <v>679</v>
      </c>
      <c r="O22" s="173" t="s">
        <v>225</v>
      </c>
      <c r="P22" s="262" t="str">
        <f t="shared" si="1"/>
        <v>IN-BLR-ANANTA-DDC-218_G</v>
      </c>
      <c r="Q22" s="173" t="s">
        <v>785</v>
      </c>
      <c r="R22" s="258" t="str">
        <f>IFS(C22="","",C22="n/a","N/A",LEN(C22),Concatenate("{",char(34),"asset",char(34),":{",char(34),"guid",char(34),":",char(34),Q22,char(34),",",char(34),"site",char(34),":",char(34),LOWER('2-Building'!$B$4),char(34),",",char(34),"name",char(34),":",char(34),LOWER(C22),char(34),"}}"))</f>
        <v>{"asset":{"guid":"uuid://b4850729-67fc-4a02-84b2-6c9f0bb2f062","site":"in-blr-ananta","name":"ddc-218"}}</v>
      </c>
      <c r="S22" s="258" t="s">
        <v>681</v>
      </c>
      <c r="T22" s="263"/>
      <c r="U22" s="263"/>
      <c r="V22" s="264">
        <v>2.23</v>
      </c>
      <c r="W22" s="33" t="s">
        <v>682</v>
      </c>
      <c r="X22" s="258" t="s">
        <v>683</v>
      </c>
      <c r="Y22" s="33" t="s">
        <v>684</v>
      </c>
      <c r="Z22" s="258">
        <v>14018.0</v>
      </c>
      <c r="AA22" s="258">
        <v>11501.0</v>
      </c>
      <c r="AB22" s="258"/>
      <c r="AC22" s="258"/>
      <c r="AD22" s="265"/>
      <c r="AE22" s="266" t="s">
        <v>685</v>
      </c>
      <c r="AF22" s="267" t="s">
        <v>786</v>
      </c>
      <c r="AG22" s="268" t="str">
        <f>IFS(LEN(AF22)=17,LOWER('2-Building'!$B$4 &amp; "-" &amp; C22), AF22="N/A", "N/A", LEN(AF22)=0,"")</f>
        <v>in-blr-ananta-ddc-218</v>
      </c>
      <c r="AH22" s="258"/>
      <c r="AI22" s="258"/>
      <c r="AJ22" s="258"/>
      <c r="AK22" s="258" t="s">
        <v>787</v>
      </c>
      <c r="AL22" s="258" t="s">
        <v>688</v>
      </c>
      <c r="AM22" s="258" t="s">
        <v>689</v>
      </c>
      <c r="AN22" s="258"/>
      <c r="AO22" s="258"/>
      <c r="AP22" s="258"/>
      <c r="AQ22" s="258"/>
      <c r="AR22" s="258" t="s">
        <v>690</v>
      </c>
      <c r="AS22" s="258" t="s">
        <v>691</v>
      </c>
      <c r="AT22" s="258" t="s">
        <v>745</v>
      </c>
      <c r="AU22" s="265" t="s">
        <v>693</v>
      </c>
      <c r="AV22" s="174" t="s">
        <v>243</v>
      </c>
      <c r="AW22" s="269" t="s">
        <v>245</v>
      </c>
      <c r="AX22" s="269" t="s">
        <v>694</v>
      </c>
      <c r="AY22" s="270" t="s">
        <v>695</v>
      </c>
      <c r="AZ22" s="173" t="s">
        <v>681</v>
      </c>
      <c r="BA22" s="265">
        <v>10.0</v>
      </c>
      <c r="BB22" s="174" t="s">
        <v>225</v>
      </c>
      <c r="BC22" s="271"/>
      <c r="BD22" s="272" t="s">
        <v>696</v>
      </c>
      <c r="BE22" s="273" t="s">
        <v>697</v>
      </c>
      <c r="BF22" s="274" t="str">
        <f>IFERROR(__xludf.DUMMYFUNCTION("LOWER(Regexreplace(to_text(E22),""[^A-Za-z0-9]"","""")&amp;""_""&amp;Regexreplace(to_text(F22),""[^A-Za-z0-9]"",""""))"),"sauter_eyrc504fxxx")</f>
        <v>sauter_eyrc504fxxx</v>
      </c>
      <c r="BG22" s="275" t="str">
        <f>IFERROR(__xludf.DUMMYFUNCTION("upper(Regexreplace(to_text(E22),""[^A-Za-z0-9]"","""")&amp;""-""&amp;Regexreplace(to_text(F22),""[^A-Za-z0-9]"",""""))"),"SAUTER-EYRC504FXXX")</f>
        <v>SAUTER-EYRC504FXXX</v>
      </c>
    </row>
    <row r="23" ht="30.0" customHeight="1">
      <c r="A23" s="173">
        <v>19.0</v>
      </c>
      <c r="B23" s="256" t="s">
        <v>670</v>
      </c>
      <c r="C23" s="257" t="s">
        <v>788</v>
      </c>
      <c r="D23" s="173" t="s">
        <v>788</v>
      </c>
      <c r="E23" s="174" t="s">
        <v>672</v>
      </c>
      <c r="F23" s="173" t="s">
        <v>514</v>
      </c>
      <c r="G23" s="258" t="s">
        <v>673</v>
      </c>
      <c r="H23" s="258" t="s">
        <v>674</v>
      </c>
      <c r="I23" s="258" t="s">
        <v>675</v>
      </c>
      <c r="J23" s="259" t="s">
        <v>739</v>
      </c>
      <c r="K23" s="260" t="s">
        <v>765</v>
      </c>
      <c r="L23" s="258" t="s">
        <v>784</v>
      </c>
      <c r="M23" s="277">
        <v>4.11001239414E11</v>
      </c>
      <c r="N23" s="173" t="s">
        <v>679</v>
      </c>
      <c r="O23" s="173" t="s">
        <v>225</v>
      </c>
      <c r="P23" s="262" t="str">
        <f t="shared" si="1"/>
        <v>IN-BLR-ANANTA-DDC-219_G</v>
      </c>
      <c r="Q23" s="173" t="s">
        <v>789</v>
      </c>
      <c r="R23" s="258" t="str">
        <f>IFS(C23="","",C23="n/a","N/A",LEN(C23),Concatenate("{",char(34),"asset",char(34),":{",char(34),"guid",char(34),":",char(34),Q23,char(34),",",char(34),"site",char(34),":",char(34),LOWER('2-Building'!$B$4),char(34),",",char(34),"name",char(34),":",char(34),LOWER(C23),char(34),"}}"))</f>
        <v>{"asset":{"guid":"uuid://3c49481e-8b81-43db-be47-de4abbc5fa40","site":"in-blr-ananta","name":"ddc-219"}}</v>
      </c>
      <c r="S23" s="258" t="s">
        <v>681</v>
      </c>
      <c r="T23" s="263"/>
      <c r="U23" s="263"/>
      <c r="V23" s="264">
        <v>2.23</v>
      </c>
      <c r="W23" s="33" t="s">
        <v>682</v>
      </c>
      <c r="X23" s="258" t="s">
        <v>683</v>
      </c>
      <c r="Y23" s="33" t="s">
        <v>684</v>
      </c>
      <c r="Z23" s="258">
        <v>14019.0</v>
      </c>
      <c r="AA23" s="258">
        <v>11501.0</v>
      </c>
      <c r="AB23" s="258"/>
      <c r="AC23" s="258"/>
      <c r="AD23" s="265"/>
      <c r="AE23" s="266" t="s">
        <v>685</v>
      </c>
      <c r="AF23" s="267" t="s">
        <v>790</v>
      </c>
      <c r="AG23" s="268" t="str">
        <f>IFS(LEN(AF23)=17,LOWER('2-Building'!$B$4 &amp; "-" &amp; C23), AF23="N/A", "N/A", LEN(AF23)=0,"")</f>
        <v>in-blr-ananta-ddc-219</v>
      </c>
      <c r="AH23" s="258"/>
      <c r="AI23" s="258"/>
      <c r="AJ23" s="258"/>
      <c r="AK23" s="258" t="s">
        <v>791</v>
      </c>
      <c r="AL23" s="258" t="s">
        <v>688</v>
      </c>
      <c r="AM23" s="258" t="s">
        <v>689</v>
      </c>
      <c r="AN23" s="258"/>
      <c r="AO23" s="258"/>
      <c r="AP23" s="258"/>
      <c r="AQ23" s="258"/>
      <c r="AR23" s="258" t="s">
        <v>690</v>
      </c>
      <c r="AS23" s="258" t="s">
        <v>691</v>
      </c>
      <c r="AT23" s="258" t="s">
        <v>745</v>
      </c>
      <c r="AU23" s="265" t="s">
        <v>693</v>
      </c>
      <c r="AV23" s="174" t="s">
        <v>243</v>
      </c>
      <c r="AW23" s="269" t="s">
        <v>245</v>
      </c>
      <c r="AX23" s="269" t="s">
        <v>694</v>
      </c>
      <c r="AY23" s="270" t="s">
        <v>695</v>
      </c>
      <c r="AZ23" s="173" t="s">
        <v>681</v>
      </c>
      <c r="BA23" s="265">
        <v>10.0</v>
      </c>
      <c r="BB23" s="174" t="s">
        <v>225</v>
      </c>
      <c r="BC23" s="271"/>
      <c r="BD23" s="272" t="s">
        <v>696</v>
      </c>
      <c r="BE23" s="273" t="s">
        <v>697</v>
      </c>
      <c r="BF23" s="274" t="str">
        <f>IFERROR(__xludf.DUMMYFUNCTION("LOWER(Regexreplace(to_text(E23),""[^A-Za-z0-9]"","""")&amp;""_""&amp;Regexreplace(to_text(F23),""[^A-Za-z0-9]"",""""))"),"sauter_eyrc504fxxx")</f>
        <v>sauter_eyrc504fxxx</v>
      </c>
      <c r="BG23" s="275" t="str">
        <f>IFERROR(__xludf.DUMMYFUNCTION("upper(Regexreplace(to_text(E23),""[^A-Za-z0-9]"","""")&amp;""-""&amp;Regexreplace(to_text(F23),""[^A-Za-z0-9]"",""""))"),"SAUTER-EYRC504FXXX")</f>
        <v>SAUTER-EYRC504FXXX</v>
      </c>
    </row>
    <row r="24" ht="30.0" customHeight="1">
      <c r="A24" s="258">
        <v>20.0</v>
      </c>
      <c r="B24" s="256" t="s">
        <v>670</v>
      </c>
      <c r="C24" s="257" t="s">
        <v>792</v>
      </c>
      <c r="D24" s="173" t="s">
        <v>792</v>
      </c>
      <c r="E24" s="174" t="s">
        <v>672</v>
      </c>
      <c r="F24" s="173" t="s">
        <v>514</v>
      </c>
      <c r="G24" s="258" t="s">
        <v>673</v>
      </c>
      <c r="H24" s="258" t="s">
        <v>674</v>
      </c>
      <c r="I24" s="258" t="s">
        <v>675</v>
      </c>
      <c r="J24" s="259" t="s">
        <v>739</v>
      </c>
      <c r="K24" s="260" t="s">
        <v>740</v>
      </c>
      <c r="L24" s="258" t="s">
        <v>793</v>
      </c>
      <c r="M24" s="277">
        <v>4.11001359649E11</v>
      </c>
      <c r="N24" s="173" t="s">
        <v>679</v>
      </c>
      <c r="O24" s="173" t="s">
        <v>225</v>
      </c>
      <c r="P24" s="262" t="str">
        <f t="shared" si="1"/>
        <v>IN-BLR-ANANTA-DDC-220_G</v>
      </c>
      <c r="Q24" s="173" t="s">
        <v>794</v>
      </c>
      <c r="R24" s="258" t="str">
        <f>IFS(C24="","",C24="n/a","N/A",LEN(C24),Concatenate("{",char(34),"asset",char(34),":{",char(34),"guid",char(34),":",char(34),Q24,char(34),",",char(34),"site",char(34),":",char(34),LOWER('2-Building'!$B$4),char(34),",",char(34),"name",char(34),":",char(34),LOWER(C24),char(34),"}}"))</f>
        <v>{"asset":{"guid":"uuid://4b197e5d-d3da-4952-acca-055e4229d11b","site":"in-blr-ananta","name":"ddc-220"}}</v>
      </c>
      <c r="S24" s="258" t="s">
        <v>681</v>
      </c>
      <c r="T24" s="263"/>
      <c r="U24" s="263"/>
      <c r="V24" s="264">
        <v>2.23</v>
      </c>
      <c r="W24" s="33" t="s">
        <v>682</v>
      </c>
      <c r="X24" s="258" t="s">
        <v>683</v>
      </c>
      <c r="Y24" s="33" t="s">
        <v>684</v>
      </c>
      <c r="Z24" s="258">
        <v>14020.0</v>
      </c>
      <c r="AA24" s="258">
        <v>11501.0</v>
      </c>
      <c r="AB24" s="258"/>
      <c r="AC24" s="258"/>
      <c r="AD24" s="265"/>
      <c r="AE24" s="266" t="s">
        <v>685</v>
      </c>
      <c r="AF24" s="267" t="s">
        <v>795</v>
      </c>
      <c r="AG24" s="268" t="str">
        <f>IFS(LEN(AF24)=17,LOWER('2-Building'!$B$4 &amp; "-" &amp; C24), AF24="N/A", "N/A", LEN(AF24)=0,"")</f>
        <v>in-blr-ananta-ddc-220</v>
      </c>
      <c r="AH24" s="258"/>
      <c r="AI24" s="258"/>
      <c r="AJ24" s="258"/>
      <c r="AK24" s="258" t="s">
        <v>796</v>
      </c>
      <c r="AL24" s="258" t="s">
        <v>688</v>
      </c>
      <c r="AM24" s="258" t="s">
        <v>689</v>
      </c>
      <c r="AN24" s="258"/>
      <c r="AO24" s="258"/>
      <c r="AP24" s="258"/>
      <c r="AQ24" s="258"/>
      <c r="AR24" s="258" t="s">
        <v>690</v>
      </c>
      <c r="AS24" s="258" t="s">
        <v>691</v>
      </c>
      <c r="AT24" s="258" t="s">
        <v>797</v>
      </c>
      <c r="AU24" s="265" t="s">
        <v>693</v>
      </c>
      <c r="AV24" s="174" t="s">
        <v>243</v>
      </c>
      <c r="AW24" s="269" t="s">
        <v>245</v>
      </c>
      <c r="AX24" s="269" t="s">
        <v>694</v>
      </c>
      <c r="AY24" s="270" t="s">
        <v>695</v>
      </c>
      <c r="AZ24" s="173" t="s">
        <v>681</v>
      </c>
      <c r="BA24" s="265">
        <v>10.0</v>
      </c>
      <c r="BB24" s="174" t="s">
        <v>225</v>
      </c>
      <c r="BC24" s="271"/>
      <c r="BD24" s="272" t="s">
        <v>696</v>
      </c>
      <c r="BE24" s="273" t="s">
        <v>697</v>
      </c>
      <c r="BF24" s="274" t="str">
        <f>IFERROR(__xludf.DUMMYFUNCTION("LOWER(Regexreplace(to_text(E24),""[^A-Za-z0-9]"","""")&amp;""_""&amp;Regexreplace(to_text(F24),""[^A-Za-z0-9]"",""""))"),"sauter_eyrc504fxxx")</f>
        <v>sauter_eyrc504fxxx</v>
      </c>
      <c r="BG24" s="275" t="str">
        <f>IFERROR(__xludf.DUMMYFUNCTION("upper(Regexreplace(to_text(E24),""[^A-Za-z0-9]"","""")&amp;""-""&amp;Regexreplace(to_text(F24),""[^A-Za-z0-9]"",""""))"),"SAUTER-EYRC504FXXX")</f>
        <v>SAUTER-EYRC504FXXX</v>
      </c>
    </row>
    <row r="25" ht="30.0" customHeight="1">
      <c r="A25" s="173">
        <v>21.0</v>
      </c>
      <c r="B25" s="256" t="s">
        <v>670</v>
      </c>
      <c r="C25" s="257" t="s">
        <v>798</v>
      </c>
      <c r="D25" s="173" t="s">
        <v>798</v>
      </c>
      <c r="E25" s="174" t="s">
        <v>672</v>
      </c>
      <c r="F25" s="173" t="s">
        <v>514</v>
      </c>
      <c r="G25" s="258" t="s">
        <v>673</v>
      </c>
      <c r="H25" s="258" t="s">
        <v>674</v>
      </c>
      <c r="I25" s="258" t="s">
        <v>675</v>
      </c>
      <c r="J25" s="259" t="s">
        <v>739</v>
      </c>
      <c r="K25" s="260" t="s">
        <v>740</v>
      </c>
      <c r="L25" s="258" t="s">
        <v>793</v>
      </c>
      <c r="M25" s="277">
        <v>4.11001359902E11</v>
      </c>
      <c r="N25" s="173" t="s">
        <v>679</v>
      </c>
      <c r="O25" s="173" t="s">
        <v>225</v>
      </c>
      <c r="P25" s="262" t="str">
        <f t="shared" si="1"/>
        <v>IN-BLR-ANANTA-DDC-221_G</v>
      </c>
      <c r="Q25" s="173" t="s">
        <v>799</v>
      </c>
      <c r="R25" s="258" t="str">
        <f>IFS(C25="","",C25="n/a","N/A",LEN(C25),Concatenate("{",char(34),"asset",char(34),":{",char(34),"guid",char(34),":",char(34),Q25,char(34),",",char(34),"site",char(34),":",char(34),LOWER('2-Building'!$B$4),char(34),",",char(34),"name",char(34),":",char(34),LOWER(C25),char(34),"}}"))</f>
        <v>{"asset":{"guid":"uuid://99e04d1b-0365-43f2-b832-0484970213d2","site":"in-blr-ananta","name":"ddc-221"}}</v>
      </c>
      <c r="S25" s="258" t="s">
        <v>681</v>
      </c>
      <c r="T25" s="263"/>
      <c r="U25" s="263"/>
      <c r="V25" s="264">
        <v>2.23</v>
      </c>
      <c r="W25" s="33" t="s">
        <v>682</v>
      </c>
      <c r="X25" s="258" t="s">
        <v>683</v>
      </c>
      <c r="Y25" s="33" t="s">
        <v>684</v>
      </c>
      <c r="Z25" s="258">
        <v>14021.0</v>
      </c>
      <c r="AA25" s="258">
        <v>11501.0</v>
      </c>
      <c r="AB25" s="258"/>
      <c r="AC25" s="258"/>
      <c r="AD25" s="265"/>
      <c r="AE25" s="266" t="s">
        <v>685</v>
      </c>
      <c r="AF25" s="267" t="s">
        <v>800</v>
      </c>
      <c r="AG25" s="268" t="str">
        <f>IFS(LEN(AF25)=17,LOWER('2-Building'!$B$4 &amp; "-" &amp; C25), AF25="N/A", "N/A", LEN(AF25)=0,"")</f>
        <v>in-blr-ananta-ddc-221</v>
      </c>
      <c r="AH25" s="258"/>
      <c r="AI25" s="258"/>
      <c r="AJ25" s="258"/>
      <c r="AK25" s="258" t="s">
        <v>801</v>
      </c>
      <c r="AL25" s="258" t="s">
        <v>688</v>
      </c>
      <c r="AM25" s="258" t="s">
        <v>689</v>
      </c>
      <c r="AN25" s="258"/>
      <c r="AO25" s="258"/>
      <c r="AP25" s="258"/>
      <c r="AQ25" s="258"/>
      <c r="AR25" s="258" t="s">
        <v>690</v>
      </c>
      <c r="AS25" s="258" t="s">
        <v>691</v>
      </c>
      <c r="AT25" s="258" t="s">
        <v>797</v>
      </c>
      <c r="AU25" s="265" t="s">
        <v>693</v>
      </c>
      <c r="AV25" s="174" t="s">
        <v>243</v>
      </c>
      <c r="AW25" s="269" t="s">
        <v>245</v>
      </c>
      <c r="AX25" s="269" t="s">
        <v>694</v>
      </c>
      <c r="AY25" s="270" t="s">
        <v>695</v>
      </c>
      <c r="AZ25" s="173" t="s">
        <v>681</v>
      </c>
      <c r="BA25" s="265">
        <v>10.0</v>
      </c>
      <c r="BB25" s="174" t="s">
        <v>225</v>
      </c>
      <c r="BC25" s="271"/>
      <c r="BD25" s="272" t="s">
        <v>696</v>
      </c>
      <c r="BE25" s="273" t="s">
        <v>697</v>
      </c>
      <c r="BF25" s="274" t="str">
        <f>IFERROR(__xludf.DUMMYFUNCTION("LOWER(Regexreplace(to_text(E25),""[^A-Za-z0-9]"","""")&amp;""_""&amp;Regexreplace(to_text(F25),""[^A-Za-z0-9]"",""""))"),"sauter_eyrc504fxxx")</f>
        <v>sauter_eyrc504fxxx</v>
      </c>
      <c r="BG25" s="275" t="str">
        <f>IFERROR(__xludf.DUMMYFUNCTION("upper(Regexreplace(to_text(E25),""[^A-Za-z0-9]"","""")&amp;""-""&amp;Regexreplace(to_text(F25),""[^A-Za-z0-9]"",""""))"),"SAUTER-EYRC504FXXX")</f>
        <v>SAUTER-EYRC504FXXX</v>
      </c>
    </row>
    <row r="26" ht="30.0" customHeight="1">
      <c r="A26" s="258">
        <v>22.0</v>
      </c>
      <c r="B26" s="256" t="s">
        <v>670</v>
      </c>
      <c r="C26" s="257" t="s">
        <v>802</v>
      </c>
      <c r="D26" s="173" t="s">
        <v>802</v>
      </c>
      <c r="E26" s="174" t="s">
        <v>672</v>
      </c>
      <c r="F26" s="173" t="s">
        <v>514</v>
      </c>
      <c r="G26" s="258" t="s">
        <v>673</v>
      </c>
      <c r="H26" s="258" t="s">
        <v>674</v>
      </c>
      <c r="I26" s="258" t="s">
        <v>675</v>
      </c>
      <c r="J26" s="259" t="s">
        <v>739</v>
      </c>
      <c r="K26" s="260" t="s">
        <v>803</v>
      </c>
      <c r="L26" s="258" t="s">
        <v>804</v>
      </c>
      <c r="M26" s="277">
        <v>4.11001359942E11</v>
      </c>
      <c r="N26" s="173" t="s">
        <v>679</v>
      </c>
      <c r="O26" s="173" t="s">
        <v>225</v>
      </c>
      <c r="P26" s="262" t="str">
        <f t="shared" si="1"/>
        <v>IN-BLR-ANANTA-DDC-222_G</v>
      </c>
      <c r="Q26" s="173" t="s">
        <v>805</v>
      </c>
      <c r="R26" s="258" t="str">
        <f>IFS(C26="","",C26="n/a","N/A",LEN(C26),Concatenate("{",char(34),"asset",char(34),":{",char(34),"guid",char(34),":",char(34),Q26,char(34),",",char(34),"site",char(34),":",char(34),LOWER('2-Building'!$B$4),char(34),",",char(34),"name",char(34),":",char(34),LOWER(C26),char(34),"}}"))</f>
        <v>{"asset":{"guid":"uuid://40b72345-4148-49d0-88b7-24bd4b24f738","site":"in-blr-ananta","name":"ddc-222"}}</v>
      </c>
      <c r="S26" s="258" t="s">
        <v>681</v>
      </c>
      <c r="T26" s="263"/>
      <c r="U26" s="263"/>
      <c r="V26" s="264">
        <v>2.23</v>
      </c>
      <c r="W26" s="33" t="s">
        <v>682</v>
      </c>
      <c r="X26" s="258" t="s">
        <v>683</v>
      </c>
      <c r="Y26" s="33" t="s">
        <v>684</v>
      </c>
      <c r="Z26" s="258">
        <v>14022.0</v>
      </c>
      <c r="AA26" s="258">
        <v>11501.0</v>
      </c>
      <c r="AB26" s="258"/>
      <c r="AC26" s="258"/>
      <c r="AD26" s="265"/>
      <c r="AE26" s="266" t="s">
        <v>685</v>
      </c>
      <c r="AF26" s="267" t="s">
        <v>806</v>
      </c>
      <c r="AG26" s="268" t="str">
        <f>IFS(LEN(AF26)=17,LOWER('2-Building'!$B$4 &amp; "-" &amp; C26), AF26="N/A", "N/A", LEN(AF26)=0,"")</f>
        <v>in-blr-ananta-ddc-222</v>
      </c>
      <c r="AH26" s="258"/>
      <c r="AI26" s="258"/>
      <c r="AJ26" s="258"/>
      <c r="AK26" s="258" t="s">
        <v>807</v>
      </c>
      <c r="AL26" s="258" t="s">
        <v>688</v>
      </c>
      <c r="AM26" s="258" t="s">
        <v>689</v>
      </c>
      <c r="AN26" s="258"/>
      <c r="AO26" s="258"/>
      <c r="AP26" s="258"/>
      <c r="AQ26" s="258"/>
      <c r="AR26" s="258" t="s">
        <v>690</v>
      </c>
      <c r="AS26" s="258" t="s">
        <v>691</v>
      </c>
      <c r="AT26" s="258" t="s">
        <v>808</v>
      </c>
      <c r="AU26" s="265" t="s">
        <v>693</v>
      </c>
      <c r="AV26" s="174" t="s">
        <v>243</v>
      </c>
      <c r="AW26" s="269" t="s">
        <v>245</v>
      </c>
      <c r="AX26" s="269" t="s">
        <v>694</v>
      </c>
      <c r="AY26" s="270" t="s">
        <v>695</v>
      </c>
      <c r="AZ26" s="173" t="s">
        <v>681</v>
      </c>
      <c r="BA26" s="265">
        <v>10.0</v>
      </c>
      <c r="BB26" s="174" t="s">
        <v>225</v>
      </c>
      <c r="BC26" s="271"/>
      <c r="BD26" s="272" t="s">
        <v>696</v>
      </c>
      <c r="BE26" s="273" t="s">
        <v>697</v>
      </c>
      <c r="BF26" s="274" t="str">
        <f>IFERROR(__xludf.DUMMYFUNCTION("LOWER(Regexreplace(to_text(E26),""[^A-Za-z0-9]"","""")&amp;""_""&amp;Regexreplace(to_text(F26),""[^A-Za-z0-9]"",""""))"),"sauter_eyrc504fxxx")</f>
        <v>sauter_eyrc504fxxx</v>
      </c>
      <c r="BG26" s="275" t="str">
        <f>IFERROR(__xludf.DUMMYFUNCTION("upper(Regexreplace(to_text(E26),""[^A-Za-z0-9]"","""")&amp;""-""&amp;Regexreplace(to_text(F26),""[^A-Za-z0-9]"",""""))"),"SAUTER-EYRC504FXXX")</f>
        <v>SAUTER-EYRC504FXXX</v>
      </c>
    </row>
    <row r="27" ht="30.0" customHeight="1">
      <c r="A27" s="173">
        <v>23.0</v>
      </c>
      <c r="B27" s="256" t="s">
        <v>670</v>
      </c>
      <c r="C27" s="257" t="s">
        <v>809</v>
      </c>
      <c r="D27" s="173" t="s">
        <v>809</v>
      </c>
      <c r="E27" s="174" t="s">
        <v>672</v>
      </c>
      <c r="F27" s="173" t="s">
        <v>514</v>
      </c>
      <c r="G27" s="258" t="s">
        <v>673</v>
      </c>
      <c r="H27" s="258" t="s">
        <v>674</v>
      </c>
      <c r="I27" s="258" t="s">
        <v>675</v>
      </c>
      <c r="J27" s="259" t="s">
        <v>739</v>
      </c>
      <c r="K27" s="260" t="s">
        <v>765</v>
      </c>
      <c r="L27" s="258" t="s">
        <v>810</v>
      </c>
      <c r="M27" s="277">
        <v>4.11001359312E11</v>
      </c>
      <c r="N27" s="173" t="s">
        <v>679</v>
      </c>
      <c r="O27" s="173" t="s">
        <v>225</v>
      </c>
      <c r="P27" s="262" t="str">
        <f t="shared" si="1"/>
        <v>IN-BLR-ANANTA-DDC-223_G</v>
      </c>
      <c r="Q27" s="173" t="s">
        <v>811</v>
      </c>
      <c r="R27" s="258" t="str">
        <f>IFS(C27="","",C27="n/a","N/A",LEN(C27),Concatenate("{",char(34),"asset",char(34),":{",char(34),"guid",char(34),":",char(34),Q27,char(34),",",char(34),"site",char(34),":",char(34),LOWER('2-Building'!$B$4),char(34),",",char(34),"name",char(34),":",char(34),LOWER(C27),char(34),"}}"))</f>
        <v>{"asset":{"guid":"uuid://a586a272-58a3-4884-bb4a-75745c4aa597","site":"in-blr-ananta","name":"ddc-223"}}</v>
      </c>
      <c r="S27" s="258" t="s">
        <v>681</v>
      </c>
      <c r="T27" s="263"/>
      <c r="U27" s="263"/>
      <c r="V27" s="264">
        <v>2.23</v>
      </c>
      <c r="W27" s="33" t="s">
        <v>682</v>
      </c>
      <c r="X27" s="258" t="s">
        <v>683</v>
      </c>
      <c r="Y27" s="33" t="s">
        <v>684</v>
      </c>
      <c r="Z27" s="258">
        <v>14023.0</v>
      </c>
      <c r="AA27" s="258">
        <v>11501.0</v>
      </c>
      <c r="AB27" s="258"/>
      <c r="AC27" s="258"/>
      <c r="AD27" s="265"/>
      <c r="AE27" s="266" t="s">
        <v>685</v>
      </c>
      <c r="AF27" s="267" t="s">
        <v>812</v>
      </c>
      <c r="AG27" s="268" t="str">
        <f>IFS(LEN(AF27)=17,LOWER('2-Building'!$B$4 &amp; "-" &amp; C27), AF27="N/A", "N/A", LEN(AF27)=0,"")</f>
        <v>in-blr-ananta-ddc-223</v>
      </c>
      <c r="AH27" s="258"/>
      <c r="AI27" s="258"/>
      <c r="AJ27" s="258"/>
      <c r="AK27" s="258" t="s">
        <v>813</v>
      </c>
      <c r="AL27" s="258" t="s">
        <v>688</v>
      </c>
      <c r="AM27" s="258" t="s">
        <v>689</v>
      </c>
      <c r="AN27" s="258"/>
      <c r="AO27" s="258"/>
      <c r="AP27" s="258"/>
      <c r="AQ27" s="258"/>
      <c r="AR27" s="258" t="s">
        <v>690</v>
      </c>
      <c r="AS27" s="258" t="s">
        <v>691</v>
      </c>
      <c r="AT27" s="258" t="s">
        <v>814</v>
      </c>
      <c r="AU27" s="265" t="s">
        <v>693</v>
      </c>
      <c r="AV27" s="174" t="s">
        <v>243</v>
      </c>
      <c r="AW27" s="269" t="s">
        <v>245</v>
      </c>
      <c r="AX27" s="269" t="s">
        <v>694</v>
      </c>
      <c r="AY27" s="270" t="s">
        <v>695</v>
      </c>
      <c r="AZ27" s="173" t="s">
        <v>681</v>
      </c>
      <c r="BA27" s="265">
        <v>10.0</v>
      </c>
      <c r="BB27" s="174" t="s">
        <v>225</v>
      </c>
      <c r="BC27" s="271"/>
      <c r="BD27" s="272" t="s">
        <v>696</v>
      </c>
      <c r="BE27" s="273" t="s">
        <v>697</v>
      </c>
      <c r="BF27" s="274" t="str">
        <f>IFERROR(__xludf.DUMMYFUNCTION("LOWER(Regexreplace(to_text(E27),""[^A-Za-z0-9]"","""")&amp;""_""&amp;Regexreplace(to_text(F27),""[^A-Za-z0-9]"",""""))"),"sauter_eyrc504fxxx")</f>
        <v>sauter_eyrc504fxxx</v>
      </c>
      <c r="BG27" s="275" t="str">
        <f>IFERROR(__xludf.DUMMYFUNCTION("upper(Regexreplace(to_text(E27),""[^A-Za-z0-9]"","""")&amp;""-""&amp;Regexreplace(to_text(F27),""[^A-Za-z0-9]"",""""))"),"SAUTER-EYRC504FXXX")</f>
        <v>SAUTER-EYRC504FXXX</v>
      </c>
    </row>
    <row r="28" ht="30.0" customHeight="1">
      <c r="A28" s="258">
        <v>24.0</v>
      </c>
      <c r="B28" s="256" t="s">
        <v>670</v>
      </c>
      <c r="C28" s="257" t="s">
        <v>815</v>
      </c>
      <c r="D28" s="173" t="s">
        <v>815</v>
      </c>
      <c r="E28" s="174" t="s">
        <v>672</v>
      </c>
      <c r="F28" s="173" t="s">
        <v>514</v>
      </c>
      <c r="G28" s="258" t="s">
        <v>673</v>
      </c>
      <c r="H28" s="258" t="s">
        <v>674</v>
      </c>
      <c r="I28" s="258" t="s">
        <v>675</v>
      </c>
      <c r="J28" s="259" t="s">
        <v>739</v>
      </c>
      <c r="K28" s="260" t="s">
        <v>765</v>
      </c>
      <c r="L28" s="258" t="s">
        <v>810</v>
      </c>
      <c r="M28" s="277">
        <v>4.11001359654E11</v>
      </c>
      <c r="N28" s="173" t="s">
        <v>679</v>
      </c>
      <c r="O28" s="173" t="s">
        <v>225</v>
      </c>
      <c r="P28" s="262" t="str">
        <f t="shared" si="1"/>
        <v>IN-BLR-ANANTA-DDC-224_G</v>
      </c>
      <c r="Q28" s="173" t="s">
        <v>816</v>
      </c>
      <c r="R28" s="258" t="str">
        <f>IFS(C28="","",C28="n/a","N/A",LEN(C28),Concatenate("{",char(34),"asset",char(34),":{",char(34),"guid",char(34),":",char(34),Q28,char(34),",",char(34),"site",char(34),":",char(34),LOWER('2-Building'!$B$4),char(34),",",char(34),"name",char(34),":",char(34),LOWER(C28),char(34),"}}"))</f>
        <v>{"asset":{"guid":"uuid://66786572-8a62-466f-a5aa-d6fae088a238","site":"in-blr-ananta","name":"ddc-224"}}</v>
      </c>
      <c r="S28" s="258" t="s">
        <v>681</v>
      </c>
      <c r="T28" s="263"/>
      <c r="U28" s="263"/>
      <c r="V28" s="264">
        <v>2.23</v>
      </c>
      <c r="W28" s="33" t="s">
        <v>682</v>
      </c>
      <c r="X28" s="258" t="s">
        <v>683</v>
      </c>
      <c r="Y28" s="33" t="s">
        <v>684</v>
      </c>
      <c r="Z28" s="258">
        <v>14024.0</v>
      </c>
      <c r="AA28" s="258">
        <v>11501.0</v>
      </c>
      <c r="AB28" s="258"/>
      <c r="AC28" s="258"/>
      <c r="AD28" s="265"/>
      <c r="AE28" s="266" t="s">
        <v>685</v>
      </c>
      <c r="AF28" s="267" t="s">
        <v>817</v>
      </c>
      <c r="AG28" s="268" t="str">
        <f>IFS(LEN(AF28)=17,LOWER('2-Building'!$B$4 &amp; "-" &amp; C28), AF28="N/A", "N/A", LEN(AF28)=0,"")</f>
        <v>in-blr-ananta-ddc-224</v>
      </c>
      <c r="AH28" s="258"/>
      <c r="AI28" s="258"/>
      <c r="AJ28" s="258"/>
      <c r="AK28" s="258" t="s">
        <v>818</v>
      </c>
      <c r="AL28" s="258" t="s">
        <v>688</v>
      </c>
      <c r="AM28" s="258" t="s">
        <v>689</v>
      </c>
      <c r="AN28" s="258"/>
      <c r="AO28" s="258"/>
      <c r="AP28" s="258"/>
      <c r="AQ28" s="258"/>
      <c r="AR28" s="258" t="s">
        <v>690</v>
      </c>
      <c r="AS28" s="258" t="s">
        <v>691</v>
      </c>
      <c r="AT28" s="258" t="s">
        <v>814</v>
      </c>
      <c r="AU28" s="265" t="s">
        <v>693</v>
      </c>
      <c r="AV28" s="174" t="s">
        <v>243</v>
      </c>
      <c r="AW28" s="269" t="s">
        <v>245</v>
      </c>
      <c r="AX28" s="269" t="s">
        <v>694</v>
      </c>
      <c r="AY28" s="270" t="s">
        <v>695</v>
      </c>
      <c r="AZ28" s="173" t="s">
        <v>681</v>
      </c>
      <c r="BA28" s="265">
        <v>10.0</v>
      </c>
      <c r="BB28" s="174" t="s">
        <v>225</v>
      </c>
      <c r="BC28" s="271"/>
      <c r="BD28" s="272" t="s">
        <v>696</v>
      </c>
      <c r="BE28" s="273" t="s">
        <v>697</v>
      </c>
      <c r="BF28" s="274" t="str">
        <f>IFERROR(__xludf.DUMMYFUNCTION("LOWER(Regexreplace(to_text(E28),""[^A-Za-z0-9]"","""")&amp;""_""&amp;Regexreplace(to_text(F28),""[^A-Za-z0-9]"",""""))"),"sauter_eyrc504fxxx")</f>
        <v>sauter_eyrc504fxxx</v>
      </c>
      <c r="BG28" s="275" t="str">
        <f>IFERROR(__xludf.DUMMYFUNCTION("upper(Regexreplace(to_text(E28),""[^A-Za-z0-9]"","""")&amp;""-""&amp;Regexreplace(to_text(F28),""[^A-Za-z0-9]"",""""))"),"SAUTER-EYRC504FXXX")</f>
        <v>SAUTER-EYRC504FXXX</v>
      </c>
    </row>
    <row r="29" ht="30.0" customHeight="1">
      <c r="A29" s="173">
        <v>25.0</v>
      </c>
      <c r="B29" s="256" t="s">
        <v>670</v>
      </c>
      <c r="C29" s="257" t="s">
        <v>819</v>
      </c>
      <c r="D29" s="173" t="s">
        <v>819</v>
      </c>
      <c r="E29" s="174" t="s">
        <v>672</v>
      </c>
      <c r="F29" s="173" t="s">
        <v>514</v>
      </c>
      <c r="G29" s="258" t="s">
        <v>673</v>
      </c>
      <c r="H29" s="258" t="s">
        <v>674</v>
      </c>
      <c r="I29" s="258" t="s">
        <v>675</v>
      </c>
      <c r="J29" s="259" t="s">
        <v>739</v>
      </c>
      <c r="K29" s="260" t="s">
        <v>820</v>
      </c>
      <c r="L29" s="258" t="s">
        <v>821</v>
      </c>
      <c r="M29" s="277">
        <v>4.11001359922E11</v>
      </c>
      <c r="N29" s="173" t="s">
        <v>679</v>
      </c>
      <c r="O29" s="173" t="s">
        <v>225</v>
      </c>
      <c r="P29" s="262" t="str">
        <f t="shared" si="1"/>
        <v>IN-BLR-ANANTA-DDC-225_G</v>
      </c>
      <c r="Q29" s="173" t="s">
        <v>822</v>
      </c>
      <c r="R29" s="258" t="str">
        <f>IFS(C29="","",C29="n/a","N/A",LEN(C29),Concatenate("{",char(34),"asset",char(34),":{",char(34),"guid",char(34),":",char(34),Q29,char(34),",",char(34),"site",char(34),":",char(34),LOWER('2-Building'!$B$4),char(34),",",char(34),"name",char(34),":",char(34),LOWER(C29),char(34),"}}"))</f>
        <v>{"asset":{"guid":"uuid://e18810ed-f85c-4809-a7fa-e3cdc955b900","site":"in-blr-ananta","name":"ddc-225"}}</v>
      </c>
      <c r="S29" s="258" t="s">
        <v>681</v>
      </c>
      <c r="T29" s="263"/>
      <c r="U29" s="263"/>
      <c r="V29" s="264">
        <v>2.23</v>
      </c>
      <c r="W29" s="33" t="s">
        <v>682</v>
      </c>
      <c r="X29" s="258" t="s">
        <v>683</v>
      </c>
      <c r="Y29" s="33" t="s">
        <v>684</v>
      </c>
      <c r="Z29" s="258">
        <v>14025.0</v>
      </c>
      <c r="AA29" s="258">
        <v>11501.0</v>
      </c>
      <c r="AB29" s="258"/>
      <c r="AC29" s="258"/>
      <c r="AD29" s="265"/>
      <c r="AE29" s="266" t="s">
        <v>685</v>
      </c>
      <c r="AF29" s="267" t="s">
        <v>823</v>
      </c>
      <c r="AG29" s="268" t="str">
        <f>IFS(LEN(AF29)=17,LOWER('2-Building'!$B$4 &amp; "-" &amp; C29), AF29="N/A", "N/A", LEN(AF29)=0,"")</f>
        <v>in-blr-ananta-ddc-225</v>
      </c>
      <c r="AH29" s="258"/>
      <c r="AI29" s="258"/>
      <c r="AJ29" s="258"/>
      <c r="AK29" s="258" t="s">
        <v>824</v>
      </c>
      <c r="AL29" s="258" t="s">
        <v>688</v>
      </c>
      <c r="AM29" s="258" t="s">
        <v>689</v>
      </c>
      <c r="AN29" s="258"/>
      <c r="AO29" s="258"/>
      <c r="AP29" s="258"/>
      <c r="AQ29" s="258"/>
      <c r="AR29" s="258" t="s">
        <v>690</v>
      </c>
      <c r="AS29" s="258" t="s">
        <v>691</v>
      </c>
      <c r="AT29" s="258" t="s">
        <v>825</v>
      </c>
      <c r="AU29" s="265" t="s">
        <v>693</v>
      </c>
      <c r="AV29" s="174" t="s">
        <v>243</v>
      </c>
      <c r="AW29" s="269" t="s">
        <v>245</v>
      </c>
      <c r="AX29" s="269" t="s">
        <v>694</v>
      </c>
      <c r="AY29" s="270" t="s">
        <v>695</v>
      </c>
      <c r="AZ29" s="173" t="s">
        <v>681</v>
      </c>
      <c r="BA29" s="265">
        <v>10.0</v>
      </c>
      <c r="BB29" s="174" t="s">
        <v>225</v>
      </c>
      <c r="BC29" s="271"/>
      <c r="BD29" s="272" t="s">
        <v>696</v>
      </c>
      <c r="BE29" s="273" t="s">
        <v>697</v>
      </c>
      <c r="BF29" s="274" t="str">
        <f>IFERROR(__xludf.DUMMYFUNCTION("LOWER(Regexreplace(to_text(E29),""[^A-Za-z0-9]"","""")&amp;""_""&amp;Regexreplace(to_text(F29),""[^A-Za-z0-9]"",""""))"),"sauter_eyrc504fxxx")</f>
        <v>sauter_eyrc504fxxx</v>
      </c>
      <c r="BG29" s="275" t="str">
        <f>IFERROR(__xludf.DUMMYFUNCTION("upper(Regexreplace(to_text(E29),""[^A-Za-z0-9]"","""")&amp;""-""&amp;Regexreplace(to_text(F29),""[^A-Za-z0-9]"",""""))"),"SAUTER-EYRC504FXXX")</f>
        <v>SAUTER-EYRC504FXXX</v>
      </c>
    </row>
    <row r="30" ht="30.0" customHeight="1">
      <c r="A30" s="258">
        <v>26.0</v>
      </c>
      <c r="B30" s="256" t="s">
        <v>670</v>
      </c>
      <c r="C30" s="257" t="s">
        <v>826</v>
      </c>
      <c r="D30" s="173" t="s">
        <v>826</v>
      </c>
      <c r="E30" s="174" t="s">
        <v>672</v>
      </c>
      <c r="F30" s="173" t="s">
        <v>514</v>
      </c>
      <c r="G30" s="258" t="s">
        <v>673</v>
      </c>
      <c r="H30" s="258" t="s">
        <v>674</v>
      </c>
      <c r="I30" s="258" t="s">
        <v>675</v>
      </c>
      <c r="J30" s="259" t="s">
        <v>739</v>
      </c>
      <c r="K30" s="260" t="s">
        <v>820</v>
      </c>
      <c r="L30" s="258" t="s">
        <v>821</v>
      </c>
      <c r="M30" s="277">
        <v>4.11001360193E11</v>
      </c>
      <c r="N30" s="173" t="s">
        <v>679</v>
      </c>
      <c r="O30" s="173" t="s">
        <v>225</v>
      </c>
      <c r="P30" s="262" t="str">
        <f t="shared" si="1"/>
        <v>IN-BLR-ANANTA-DDC-226_G</v>
      </c>
      <c r="Q30" s="173" t="s">
        <v>827</v>
      </c>
      <c r="R30" s="258" t="str">
        <f>IFS(C30="","",C30="n/a","N/A",LEN(C30),Concatenate("{",char(34),"asset",char(34),":{",char(34),"guid",char(34),":",char(34),Q30,char(34),",",char(34),"site",char(34),":",char(34),LOWER('2-Building'!$B$4),char(34),",",char(34),"name",char(34),":",char(34),LOWER(C30),char(34),"}}"))</f>
        <v>{"asset":{"guid":"uuid://7e102687-14c8-4a48-bfd1-41403c1ddd8a","site":"in-blr-ananta","name":"ddc-226"}}</v>
      </c>
      <c r="S30" s="258" t="s">
        <v>681</v>
      </c>
      <c r="T30" s="263"/>
      <c r="U30" s="263"/>
      <c r="V30" s="264">
        <v>2.23</v>
      </c>
      <c r="W30" s="33" t="s">
        <v>682</v>
      </c>
      <c r="X30" s="258" t="s">
        <v>683</v>
      </c>
      <c r="Y30" s="33" t="s">
        <v>684</v>
      </c>
      <c r="Z30" s="258">
        <v>14026.0</v>
      </c>
      <c r="AA30" s="258">
        <v>11501.0</v>
      </c>
      <c r="AB30" s="258"/>
      <c r="AC30" s="258"/>
      <c r="AD30" s="265"/>
      <c r="AE30" s="266" t="s">
        <v>685</v>
      </c>
      <c r="AF30" s="267" t="s">
        <v>828</v>
      </c>
      <c r="AG30" s="268" t="str">
        <f>IFS(LEN(AF30)=17,LOWER('2-Building'!$B$4 &amp; "-" &amp; C30), AF30="N/A", "N/A", LEN(AF30)=0,"")</f>
        <v>in-blr-ananta-ddc-226</v>
      </c>
      <c r="AH30" s="258"/>
      <c r="AI30" s="258"/>
      <c r="AJ30" s="258"/>
      <c r="AK30" s="258" t="s">
        <v>829</v>
      </c>
      <c r="AL30" s="258" t="s">
        <v>688</v>
      </c>
      <c r="AM30" s="258" t="s">
        <v>689</v>
      </c>
      <c r="AN30" s="258"/>
      <c r="AO30" s="258"/>
      <c r="AP30" s="258"/>
      <c r="AQ30" s="258"/>
      <c r="AR30" s="258" t="s">
        <v>690</v>
      </c>
      <c r="AS30" s="258" t="s">
        <v>691</v>
      </c>
      <c r="AT30" s="258" t="s">
        <v>825</v>
      </c>
      <c r="AU30" s="265" t="s">
        <v>693</v>
      </c>
      <c r="AV30" s="174" t="s">
        <v>243</v>
      </c>
      <c r="AW30" s="269" t="s">
        <v>245</v>
      </c>
      <c r="AX30" s="269" t="s">
        <v>694</v>
      </c>
      <c r="AY30" s="270" t="s">
        <v>695</v>
      </c>
      <c r="AZ30" s="173" t="s">
        <v>681</v>
      </c>
      <c r="BA30" s="265">
        <v>10.0</v>
      </c>
      <c r="BB30" s="174" t="s">
        <v>225</v>
      </c>
      <c r="BC30" s="271"/>
      <c r="BD30" s="272" t="s">
        <v>696</v>
      </c>
      <c r="BE30" s="273" t="s">
        <v>697</v>
      </c>
      <c r="BF30" s="274" t="str">
        <f>IFERROR(__xludf.DUMMYFUNCTION("LOWER(Regexreplace(to_text(E30),""[^A-Za-z0-9]"","""")&amp;""_""&amp;Regexreplace(to_text(F30),""[^A-Za-z0-9]"",""""))"),"sauter_eyrc504fxxx")</f>
        <v>sauter_eyrc504fxxx</v>
      </c>
      <c r="BG30" s="275" t="str">
        <f>IFERROR(__xludf.DUMMYFUNCTION("upper(Regexreplace(to_text(E30),""[^A-Za-z0-9]"","""")&amp;""-""&amp;Regexreplace(to_text(F30),""[^A-Za-z0-9]"",""""))"),"SAUTER-EYRC504FXXX")</f>
        <v>SAUTER-EYRC504FXXX</v>
      </c>
    </row>
    <row r="31" ht="30.0" customHeight="1">
      <c r="A31" s="173">
        <v>27.0</v>
      </c>
      <c r="B31" s="256" t="s">
        <v>670</v>
      </c>
      <c r="C31" s="257" t="s">
        <v>830</v>
      </c>
      <c r="D31" s="173" t="s">
        <v>830</v>
      </c>
      <c r="E31" s="174" t="s">
        <v>672</v>
      </c>
      <c r="F31" s="173" t="s">
        <v>514</v>
      </c>
      <c r="G31" s="258" t="s">
        <v>673</v>
      </c>
      <c r="H31" s="258" t="s">
        <v>674</v>
      </c>
      <c r="I31" s="258" t="s">
        <v>675</v>
      </c>
      <c r="J31" s="259" t="s">
        <v>739</v>
      </c>
      <c r="K31" s="260" t="s">
        <v>831</v>
      </c>
      <c r="L31" s="258" t="s">
        <v>832</v>
      </c>
      <c r="M31" s="277">
        <v>4.110013595E11</v>
      </c>
      <c r="N31" s="173" t="s">
        <v>679</v>
      </c>
      <c r="O31" s="173" t="s">
        <v>225</v>
      </c>
      <c r="P31" s="262" t="str">
        <f t="shared" si="1"/>
        <v>IN-BLR-ANANTA-DDC-227_G</v>
      </c>
      <c r="Q31" s="173" t="s">
        <v>833</v>
      </c>
      <c r="R31" s="258" t="str">
        <f>IFS(C31="","",C31="n/a","N/A",LEN(C31),Concatenate("{",char(34),"asset",char(34),":{",char(34),"guid",char(34),":",char(34),Q31,char(34),",",char(34),"site",char(34),":",char(34),LOWER('2-Building'!$B$4),char(34),",",char(34),"name",char(34),":",char(34),LOWER(C31),char(34),"}}"))</f>
        <v>{"asset":{"guid":"uuid://155afd80-23c0-4b4b-87d8-c3ac8b2ba314","site":"in-blr-ananta","name":"ddc-227"}}</v>
      </c>
      <c r="S31" s="258" t="s">
        <v>681</v>
      </c>
      <c r="T31" s="263"/>
      <c r="U31" s="263"/>
      <c r="V31" s="264">
        <v>2.23</v>
      </c>
      <c r="W31" s="33" t="s">
        <v>682</v>
      </c>
      <c r="X31" s="258" t="s">
        <v>683</v>
      </c>
      <c r="Y31" s="33" t="s">
        <v>684</v>
      </c>
      <c r="Z31" s="258">
        <v>14027.0</v>
      </c>
      <c r="AA31" s="258">
        <v>11501.0</v>
      </c>
      <c r="AB31" s="258"/>
      <c r="AC31" s="258"/>
      <c r="AD31" s="265"/>
      <c r="AE31" s="266" t="s">
        <v>685</v>
      </c>
      <c r="AF31" s="267" t="s">
        <v>834</v>
      </c>
      <c r="AG31" s="268" t="str">
        <f>IFS(LEN(AF31)=17,LOWER('2-Building'!$B$4 &amp; "-" &amp; C31), AF31="N/A", "N/A", LEN(AF31)=0,"")</f>
        <v>in-blr-ananta-ddc-227</v>
      </c>
      <c r="AH31" s="258"/>
      <c r="AI31" s="258"/>
      <c r="AJ31" s="258"/>
      <c r="AK31" s="258" t="s">
        <v>835</v>
      </c>
      <c r="AL31" s="258" t="s">
        <v>688</v>
      </c>
      <c r="AM31" s="258" t="s">
        <v>689</v>
      </c>
      <c r="AN31" s="258"/>
      <c r="AO31" s="258"/>
      <c r="AP31" s="258"/>
      <c r="AQ31" s="258"/>
      <c r="AR31" s="258" t="s">
        <v>690</v>
      </c>
      <c r="AS31" s="258" t="s">
        <v>691</v>
      </c>
      <c r="AT31" s="258" t="s">
        <v>836</v>
      </c>
      <c r="AU31" s="265" t="s">
        <v>693</v>
      </c>
      <c r="AV31" s="174" t="s">
        <v>243</v>
      </c>
      <c r="AW31" s="269" t="s">
        <v>245</v>
      </c>
      <c r="AX31" s="269" t="s">
        <v>694</v>
      </c>
      <c r="AY31" s="270" t="s">
        <v>695</v>
      </c>
      <c r="AZ31" s="173" t="s">
        <v>681</v>
      </c>
      <c r="BA31" s="265">
        <v>10.0</v>
      </c>
      <c r="BB31" s="174" t="s">
        <v>225</v>
      </c>
      <c r="BC31" s="271"/>
      <c r="BD31" s="272" t="s">
        <v>696</v>
      </c>
      <c r="BE31" s="273" t="s">
        <v>697</v>
      </c>
      <c r="BF31" s="274" t="str">
        <f>IFERROR(__xludf.DUMMYFUNCTION("LOWER(Regexreplace(to_text(E31),""[^A-Za-z0-9]"","""")&amp;""_""&amp;Regexreplace(to_text(F31),""[^A-Za-z0-9]"",""""))"),"sauter_eyrc504fxxx")</f>
        <v>sauter_eyrc504fxxx</v>
      </c>
      <c r="BG31" s="275" t="str">
        <f>IFERROR(__xludf.DUMMYFUNCTION("upper(Regexreplace(to_text(E31),""[^A-Za-z0-9]"","""")&amp;""-""&amp;Regexreplace(to_text(F31),""[^A-Za-z0-9]"",""""))"),"SAUTER-EYRC504FXXX")</f>
        <v>SAUTER-EYRC504FXXX</v>
      </c>
    </row>
    <row r="32" ht="30.0" customHeight="1">
      <c r="A32" s="258">
        <v>28.0</v>
      </c>
      <c r="B32" s="256" t="s">
        <v>670</v>
      </c>
      <c r="C32" s="257" t="s">
        <v>837</v>
      </c>
      <c r="D32" s="173" t="s">
        <v>837</v>
      </c>
      <c r="E32" s="174" t="s">
        <v>672</v>
      </c>
      <c r="F32" s="173" t="s">
        <v>514</v>
      </c>
      <c r="G32" s="258" t="s">
        <v>673</v>
      </c>
      <c r="H32" s="258" t="s">
        <v>674</v>
      </c>
      <c r="I32" s="258" t="s">
        <v>675</v>
      </c>
      <c r="J32" s="259" t="s">
        <v>739</v>
      </c>
      <c r="K32" s="260" t="s">
        <v>831</v>
      </c>
      <c r="L32" s="258" t="s">
        <v>832</v>
      </c>
      <c r="M32" s="277">
        <v>4.11001359349E11</v>
      </c>
      <c r="N32" s="173" t="s">
        <v>679</v>
      </c>
      <c r="O32" s="173" t="s">
        <v>225</v>
      </c>
      <c r="P32" s="262" t="str">
        <f t="shared" si="1"/>
        <v>IN-BLR-ANANTA-DDC-228_G</v>
      </c>
      <c r="Q32" s="173" t="s">
        <v>838</v>
      </c>
      <c r="R32" s="258" t="str">
        <f>IFS(C32="","",C32="n/a","N/A",LEN(C32),Concatenate("{",char(34),"asset",char(34),":{",char(34),"guid",char(34),":",char(34),Q32,char(34),",",char(34),"site",char(34),":",char(34),LOWER('2-Building'!$B$4),char(34),",",char(34),"name",char(34),":",char(34),LOWER(C32),char(34),"}}"))</f>
        <v>{"asset":{"guid":"uuid://de54f464-2895-45f1-bd33-a1d679675d5f","site":"in-blr-ananta","name":"ddc-228"}}</v>
      </c>
      <c r="S32" s="258" t="s">
        <v>681</v>
      </c>
      <c r="T32" s="263"/>
      <c r="U32" s="263"/>
      <c r="V32" s="264">
        <v>2.23</v>
      </c>
      <c r="W32" s="33" t="s">
        <v>682</v>
      </c>
      <c r="X32" s="258" t="s">
        <v>683</v>
      </c>
      <c r="Y32" s="33" t="s">
        <v>684</v>
      </c>
      <c r="Z32" s="258">
        <v>14028.0</v>
      </c>
      <c r="AA32" s="258">
        <v>11501.0</v>
      </c>
      <c r="AB32" s="258"/>
      <c r="AC32" s="258"/>
      <c r="AD32" s="265"/>
      <c r="AE32" s="266" t="s">
        <v>685</v>
      </c>
      <c r="AF32" s="267" t="s">
        <v>839</v>
      </c>
      <c r="AG32" s="268" t="str">
        <f>IFS(LEN(AF32)=17,LOWER('2-Building'!$B$4 &amp; "-" &amp; C32), AF32="N/A", "N/A", LEN(AF32)=0,"")</f>
        <v>in-blr-ananta-ddc-228</v>
      </c>
      <c r="AH32" s="258"/>
      <c r="AI32" s="258"/>
      <c r="AJ32" s="258"/>
      <c r="AK32" s="258" t="s">
        <v>840</v>
      </c>
      <c r="AL32" s="258" t="s">
        <v>688</v>
      </c>
      <c r="AM32" s="258" t="s">
        <v>689</v>
      </c>
      <c r="AN32" s="258"/>
      <c r="AO32" s="258"/>
      <c r="AP32" s="258"/>
      <c r="AQ32" s="258"/>
      <c r="AR32" s="258" t="s">
        <v>690</v>
      </c>
      <c r="AS32" s="258" t="s">
        <v>691</v>
      </c>
      <c r="AT32" s="258" t="s">
        <v>836</v>
      </c>
      <c r="AU32" s="265" t="s">
        <v>693</v>
      </c>
      <c r="AV32" s="174" t="s">
        <v>243</v>
      </c>
      <c r="AW32" s="269" t="s">
        <v>245</v>
      </c>
      <c r="AX32" s="269" t="s">
        <v>694</v>
      </c>
      <c r="AY32" s="270" t="s">
        <v>695</v>
      </c>
      <c r="AZ32" s="173" t="s">
        <v>681</v>
      </c>
      <c r="BA32" s="265">
        <v>10.0</v>
      </c>
      <c r="BB32" s="174" t="s">
        <v>225</v>
      </c>
      <c r="BC32" s="271"/>
      <c r="BD32" s="272" t="s">
        <v>696</v>
      </c>
      <c r="BE32" s="273" t="s">
        <v>697</v>
      </c>
      <c r="BF32" s="274" t="str">
        <f>IFERROR(__xludf.DUMMYFUNCTION("LOWER(Regexreplace(to_text(E32),""[^A-Za-z0-9]"","""")&amp;""_""&amp;Regexreplace(to_text(F32),""[^A-Za-z0-9]"",""""))"),"sauter_eyrc504fxxx")</f>
        <v>sauter_eyrc504fxxx</v>
      </c>
      <c r="BG32" s="275" t="str">
        <f>IFERROR(__xludf.DUMMYFUNCTION("upper(Regexreplace(to_text(E32),""[^A-Za-z0-9]"","""")&amp;""-""&amp;Regexreplace(to_text(F32),""[^A-Za-z0-9]"",""""))"),"SAUTER-EYRC504FXXX")</f>
        <v>SAUTER-EYRC504FXXX</v>
      </c>
    </row>
    <row r="33" ht="30.0" customHeight="1">
      <c r="A33" s="173">
        <v>29.0</v>
      </c>
      <c r="B33" s="256" t="s">
        <v>670</v>
      </c>
      <c r="C33" s="257" t="s">
        <v>841</v>
      </c>
      <c r="D33" s="173" t="s">
        <v>841</v>
      </c>
      <c r="E33" s="174" t="s">
        <v>672</v>
      </c>
      <c r="F33" s="173" t="s">
        <v>514</v>
      </c>
      <c r="G33" s="258" t="s">
        <v>673</v>
      </c>
      <c r="H33" s="258" t="s">
        <v>674</v>
      </c>
      <c r="I33" s="258" t="s">
        <v>675</v>
      </c>
      <c r="J33" s="259" t="s">
        <v>739</v>
      </c>
      <c r="K33" s="260" t="s">
        <v>831</v>
      </c>
      <c r="L33" s="258" t="s">
        <v>832</v>
      </c>
      <c r="M33" s="277">
        <v>4.11001359507E11</v>
      </c>
      <c r="N33" s="173" t="s">
        <v>679</v>
      </c>
      <c r="O33" s="173" t="s">
        <v>225</v>
      </c>
      <c r="P33" s="262" t="str">
        <f t="shared" si="1"/>
        <v>IN-BLR-ANANTA-DDC-229_G</v>
      </c>
      <c r="Q33" s="173" t="s">
        <v>842</v>
      </c>
      <c r="R33" s="258" t="str">
        <f>IFS(C33="","",C33="n/a","N/A",LEN(C33),Concatenate("{",char(34),"asset",char(34),":{",char(34),"guid",char(34),":",char(34),Q33,char(34),",",char(34),"site",char(34),":",char(34),LOWER('2-Building'!$B$4),char(34),",",char(34),"name",char(34),":",char(34),LOWER(C33),char(34),"}}"))</f>
        <v>{"asset":{"guid":"uuid://39683dc8-9a0b-4fc4-80b1-9fed7ef9e19c","site":"in-blr-ananta","name":"ddc-229"}}</v>
      </c>
      <c r="S33" s="258" t="s">
        <v>681</v>
      </c>
      <c r="T33" s="263"/>
      <c r="U33" s="263"/>
      <c r="V33" s="264">
        <v>2.23</v>
      </c>
      <c r="W33" s="33" t="s">
        <v>682</v>
      </c>
      <c r="X33" s="258" t="s">
        <v>683</v>
      </c>
      <c r="Y33" s="33" t="s">
        <v>684</v>
      </c>
      <c r="Z33" s="258">
        <v>14029.0</v>
      </c>
      <c r="AA33" s="258">
        <v>11501.0</v>
      </c>
      <c r="AB33" s="258"/>
      <c r="AC33" s="258"/>
      <c r="AD33" s="265"/>
      <c r="AE33" s="266" t="s">
        <v>685</v>
      </c>
      <c r="AF33" s="267" t="s">
        <v>843</v>
      </c>
      <c r="AG33" s="268" t="str">
        <f>IFS(LEN(AF33)=17,LOWER('2-Building'!$B$4 &amp; "-" &amp; C33), AF33="N/A", "N/A", LEN(AF33)=0,"")</f>
        <v>in-blr-ananta-ddc-229</v>
      </c>
      <c r="AH33" s="258"/>
      <c r="AI33" s="258"/>
      <c r="AJ33" s="258"/>
      <c r="AK33" s="258" t="s">
        <v>844</v>
      </c>
      <c r="AL33" s="258" t="s">
        <v>688</v>
      </c>
      <c r="AM33" s="258" t="s">
        <v>689</v>
      </c>
      <c r="AN33" s="258"/>
      <c r="AO33" s="258"/>
      <c r="AP33" s="258"/>
      <c r="AQ33" s="258"/>
      <c r="AR33" s="258" t="s">
        <v>690</v>
      </c>
      <c r="AS33" s="258" t="s">
        <v>691</v>
      </c>
      <c r="AT33" s="258" t="s">
        <v>836</v>
      </c>
      <c r="AU33" s="265" t="s">
        <v>693</v>
      </c>
      <c r="AV33" s="174" t="s">
        <v>243</v>
      </c>
      <c r="AW33" s="269" t="s">
        <v>245</v>
      </c>
      <c r="AX33" s="269" t="s">
        <v>694</v>
      </c>
      <c r="AY33" s="270" t="s">
        <v>695</v>
      </c>
      <c r="AZ33" s="173" t="s">
        <v>681</v>
      </c>
      <c r="BA33" s="265">
        <v>10.0</v>
      </c>
      <c r="BB33" s="174" t="s">
        <v>225</v>
      </c>
      <c r="BC33" s="271"/>
      <c r="BD33" s="272" t="s">
        <v>696</v>
      </c>
      <c r="BE33" s="273" t="s">
        <v>697</v>
      </c>
      <c r="BF33" s="274" t="str">
        <f>IFERROR(__xludf.DUMMYFUNCTION("LOWER(Regexreplace(to_text(E33),""[^A-Za-z0-9]"","""")&amp;""_""&amp;Regexreplace(to_text(F33),""[^A-Za-z0-9]"",""""))"),"sauter_eyrc504fxxx")</f>
        <v>sauter_eyrc504fxxx</v>
      </c>
      <c r="BG33" s="275" t="str">
        <f>IFERROR(__xludf.DUMMYFUNCTION("upper(Regexreplace(to_text(E33),""[^A-Za-z0-9]"","""")&amp;""-""&amp;Regexreplace(to_text(F33),""[^A-Za-z0-9]"",""""))"),"SAUTER-EYRC504FXXX")</f>
        <v>SAUTER-EYRC504FXXX</v>
      </c>
    </row>
    <row r="34" ht="30.0" customHeight="1">
      <c r="A34" s="258">
        <v>30.0</v>
      </c>
      <c r="B34" s="256" t="s">
        <v>670</v>
      </c>
      <c r="C34" s="257" t="s">
        <v>845</v>
      </c>
      <c r="D34" s="173" t="s">
        <v>845</v>
      </c>
      <c r="E34" s="174" t="s">
        <v>672</v>
      </c>
      <c r="F34" s="173" t="s">
        <v>514</v>
      </c>
      <c r="G34" s="258" t="s">
        <v>673</v>
      </c>
      <c r="H34" s="258" t="s">
        <v>674</v>
      </c>
      <c r="I34" s="258" t="s">
        <v>675</v>
      </c>
      <c r="J34" s="259" t="s">
        <v>846</v>
      </c>
      <c r="K34" s="260">
        <v>163.0</v>
      </c>
      <c r="L34" s="258" t="s">
        <v>847</v>
      </c>
      <c r="M34" s="277">
        <v>4.11001235258E11</v>
      </c>
      <c r="N34" s="173" t="s">
        <v>679</v>
      </c>
      <c r="O34" s="173" t="s">
        <v>225</v>
      </c>
      <c r="P34" s="262" t="str">
        <f t="shared" si="1"/>
        <v>IN-BLR-ANANTA-DDC-230_1</v>
      </c>
      <c r="Q34" s="173" t="s">
        <v>848</v>
      </c>
      <c r="R34" s="258" t="str">
        <f>IFS(C34="","",C34="n/a","N/A",LEN(C34),Concatenate("{",char(34),"asset",char(34),":{",char(34),"guid",char(34),":",char(34),Q34,char(34),",",char(34),"site",char(34),":",char(34),LOWER('2-Building'!$B$4),char(34),",",char(34),"name",char(34),":",char(34),LOWER(C34),char(34),"}}"))</f>
        <v>{"asset":{"guid":"uuid://83cbe2aa-fe51-4e43-ba48-0d306709434a","site":"in-blr-ananta","name":"ddc-230"}}</v>
      </c>
      <c r="S34" s="258" t="s">
        <v>681</v>
      </c>
      <c r="T34" s="263"/>
      <c r="U34" s="263"/>
      <c r="V34" s="264">
        <v>2.23</v>
      </c>
      <c r="W34" s="33" t="s">
        <v>682</v>
      </c>
      <c r="X34" s="258" t="s">
        <v>683</v>
      </c>
      <c r="Y34" s="33" t="s">
        <v>684</v>
      </c>
      <c r="Z34" s="258">
        <v>14030.0</v>
      </c>
      <c r="AA34" s="258">
        <v>11501.0</v>
      </c>
      <c r="AB34" s="258"/>
      <c r="AC34" s="258"/>
      <c r="AD34" s="265"/>
      <c r="AE34" s="266" t="s">
        <v>685</v>
      </c>
      <c r="AF34" s="267" t="s">
        <v>849</v>
      </c>
      <c r="AG34" s="268" t="str">
        <f>IFS(LEN(AF34)=17,LOWER('2-Building'!$B$4 &amp; "-" &amp; C34), AF34="N/A", "N/A", LEN(AF34)=0,"")</f>
        <v>in-blr-ananta-ddc-230</v>
      </c>
      <c r="AH34" s="258"/>
      <c r="AI34" s="258"/>
      <c r="AJ34" s="258"/>
      <c r="AK34" s="258" t="s">
        <v>850</v>
      </c>
      <c r="AL34" s="258" t="s">
        <v>688</v>
      </c>
      <c r="AM34" s="258" t="s">
        <v>689</v>
      </c>
      <c r="AN34" s="258"/>
      <c r="AO34" s="258"/>
      <c r="AP34" s="258"/>
      <c r="AQ34" s="258"/>
      <c r="AR34" s="258" t="s">
        <v>690</v>
      </c>
      <c r="AS34" s="258" t="s">
        <v>691</v>
      </c>
      <c r="AT34" s="258" t="s">
        <v>851</v>
      </c>
      <c r="AU34" s="265" t="s">
        <v>693</v>
      </c>
      <c r="AV34" s="174" t="s">
        <v>243</v>
      </c>
      <c r="AW34" s="269" t="s">
        <v>245</v>
      </c>
      <c r="AX34" s="269" t="s">
        <v>694</v>
      </c>
      <c r="AY34" s="270" t="s">
        <v>695</v>
      </c>
      <c r="AZ34" s="173" t="s">
        <v>681</v>
      </c>
      <c r="BA34" s="265">
        <v>10.0</v>
      </c>
      <c r="BB34" s="174" t="s">
        <v>225</v>
      </c>
      <c r="BC34" s="271"/>
      <c r="BD34" s="272" t="s">
        <v>696</v>
      </c>
      <c r="BE34" s="273" t="s">
        <v>697</v>
      </c>
      <c r="BF34" s="274" t="str">
        <f>IFERROR(__xludf.DUMMYFUNCTION("LOWER(Regexreplace(to_text(E34),""[^A-Za-z0-9]"","""")&amp;""_""&amp;Regexreplace(to_text(F34),""[^A-Za-z0-9]"",""""))"),"sauter_eyrc504fxxx")</f>
        <v>sauter_eyrc504fxxx</v>
      </c>
      <c r="BG34" s="275" t="str">
        <f>IFERROR(__xludf.DUMMYFUNCTION("upper(Regexreplace(to_text(E34),""[^A-Za-z0-9]"","""")&amp;""-""&amp;Regexreplace(to_text(F34),""[^A-Za-z0-9]"",""""))"),"SAUTER-EYRC504FXXX")</f>
        <v>SAUTER-EYRC504FXXX</v>
      </c>
    </row>
    <row r="35" ht="30.0" customHeight="1">
      <c r="A35" s="173">
        <v>31.0</v>
      </c>
      <c r="B35" s="256" t="s">
        <v>670</v>
      </c>
      <c r="C35" s="257" t="s">
        <v>852</v>
      </c>
      <c r="D35" s="173" t="s">
        <v>852</v>
      </c>
      <c r="E35" s="174" t="s">
        <v>672</v>
      </c>
      <c r="F35" s="173" t="s">
        <v>514</v>
      </c>
      <c r="G35" s="258" t="s">
        <v>673</v>
      </c>
      <c r="H35" s="258" t="s">
        <v>674</v>
      </c>
      <c r="I35" s="258" t="s">
        <v>675</v>
      </c>
      <c r="J35" s="259" t="s">
        <v>846</v>
      </c>
      <c r="K35" s="260">
        <v>163.0</v>
      </c>
      <c r="L35" s="258" t="s">
        <v>847</v>
      </c>
      <c r="M35" s="277">
        <v>4.11001360183E11</v>
      </c>
      <c r="N35" s="173" t="s">
        <v>679</v>
      </c>
      <c r="O35" s="173" t="s">
        <v>225</v>
      </c>
      <c r="P35" s="262" t="str">
        <f t="shared" si="1"/>
        <v>IN-BLR-ANANTA-DDC-231_1</v>
      </c>
      <c r="Q35" s="173" t="s">
        <v>853</v>
      </c>
      <c r="R35" s="258" t="str">
        <f>IFS(C35="","",C35="n/a","N/A",LEN(C35),Concatenate("{",char(34),"asset",char(34),":{",char(34),"guid",char(34),":",char(34),Q35,char(34),",",char(34),"site",char(34),":",char(34),LOWER('2-Building'!$B$4),char(34),",",char(34),"name",char(34),":",char(34),LOWER(C35),char(34),"}}"))</f>
        <v>{"asset":{"guid":"uuid://4cc1a3b1-df93-4f3b-be61-5376ca1a134b","site":"in-blr-ananta","name":"ddc-231"}}</v>
      </c>
      <c r="S35" s="258" t="s">
        <v>681</v>
      </c>
      <c r="T35" s="263"/>
      <c r="U35" s="263"/>
      <c r="V35" s="264">
        <v>2.23</v>
      </c>
      <c r="W35" s="33" t="s">
        <v>682</v>
      </c>
      <c r="X35" s="258" t="s">
        <v>683</v>
      </c>
      <c r="Y35" s="33" t="s">
        <v>684</v>
      </c>
      <c r="Z35" s="258">
        <v>14031.0</v>
      </c>
      <c r="AA35" s="258">
        <v>11501.0</v>
      </c>
      <c r="AB35" s="258"/>
      <c r="AC35" s="258"/>
      <c r="AD35" s="265"/>
      <c r="AE35" s="266" t="s">
        <v>685</v>
      </c>
      <c r="AF35" s="267" t="s">
        <v>854</v>
      </c>
      <c r="AG35" s="268" t="str">
        <f>IFS(LEN(AF35)=17,LOWER('2-Building'!$B$4 &amp; "-" &amp; C35), AF35="N/A", "N/A", LEN(AF35)=0,"")</f>
        <v>in-blr-ananta-ddc-231</v>
      </c>
      <c r="AH35" s="258"/>
      <c r="AI35" s="258"/>
      <c r="AJ35" s="258"/>
      <c r="AK35" s="258" t="s">
        <v>855</v>
      </c>
      <c r="AL35" s="258" t="s">
        <v>688</v>
      </c>
      <c r="AM35" s="258" t="s">
        <v>689</v>
      </c>
      <c r="AN35" s="258"/>
      <c r="AO35" s="258"/>
      <c r="AP35" s="258"/>
      <c r="AQ35" s="258"/>
      <c r="AR35" s="258" t="s">
        <v>690</v>
      </c>
      <c r="AS35" s="258" t="s">
        <v>691</v>
      </c>
      <c r="AT35" s="258" t="s">
        <v>851</v>
      </c>
      <c r="AU35" s="265" t="s">
        <v>693</v>
      </c>
      <c r="AV35" s="174" t="s">
        <v>243</v>
      </c>
      <c r="AW35" s="269" t="s">
        <v>245</v>
      </c>
      <c r="AX35" s="269" t="s">
        <v>694</v>
      </c>
      <c r="AY35" s="270" t="s">
        <v>695</v>
      </c>
      <c r="AZ35" s="173" t="s">
        <v>681</v>
      </c>
      <c r="BA35" s="265">
        <v>10.0</v>
      </c>
      <c r="BB35" s="174" t="s">
        <v>225</v>
      </c>
      <c r="BC35" s="271"/>
      <c r="BD35" s="272" t="s">
        <v>696</v>
      </c>
      <c r="BE35" s="273" t="s">
        <v>697</v>
      </c>
      <c r="BF35" s="274" t="str">
        <f>IFERROR(__xludf.DUMMYFUNCTION("LOWER(Regexreplace(to_text(E35),""[^A-Za-z0-9]"","""")&amp;""_""&amp;Regexreplace(to_text(F35),""[^A-Za-z0-9]"",""""))"),"sauter_eyrc504fxxx")</f>
        <v>sauter_eyrc504fxxx</v>
      </c>
      <c r="BG35" s="275" t="str">
        <f>IFERROR(__xludf.DUMMYFUNCTION("upper(Regexreplace(to_text(E35),""[^A-Za-z0-9]"","""")&amp;""-""&amp;Regexreplace(to_text(F35),""[^A-Za-z0-9]"",""""))"),"SAUTER-EYRC504FXXX")</f>
        <v>SAUTER-EYRC504FXXX</v>
      </c>
    </row>
    <row r="36" ht="30.0" customHeight="1">
      <c r="A36" s="258">
        <v>32.0</v>
      </c>
      <c r="B36" s="256" t="s">
        <v>670</v>
      </c>
      <c r="C36" s="257" t="s">
        <v>856</v>
      </c>
      <c r="D36" s="173" t="s">
        <v>856</v>
      </c>
      <c r="E36" s="174" t="s">
        <v>672</v>
      </c>
      <c r="F36" s="173" t="s">
        <v>514</v>
      </c>
      <c r="G36" s="258" t="s">
        <v>673</v>
      </c>
      <c r="H36" s="258" t="s">
        <v>674</v>
      </c>
      <c r="I36" s="258" t="s">
        <v>675</v>
      </c>
      <c r="J36" s="259" t="s">
        <v>846</v>
      </c>
      <c r="K36" s="260">
        <v>175.0</v>
      </c>
      <c r="L36" s="258" t="s">
        <v>857</v>
      </c>
      <c r="M36" s="277">
        <v>4.11001235306E11</v>
      </c>
      <c r="N36" s="173" t="s">
        <v>679</v>
      </c>
      <c r="O36" s="173" t="s">
        <v>225</v>
      </c>
      <c r="P36" s="262" t="str">
        <f t="shared" si="1"/>
        <v>IN-BLR-ANANTA-DDC-232_1</v>
      </c>
      <c r="Q36" s="173" t="s">
        <v>858</v>
      </c>
      <c r="R36" s="258" t="str">
        <f>IFS(C36="","",C36="n/a","N/A",LEN(C36),Concatenate("{",char(34),"asset",char(34),":{",char(34),"guid",char(34),":",char(34),Q36,char(34),",",char(34),"site",char(34),":",char(34),LOWER('2-Building'!$B$4),char(34),",",char(34),"name",char(34),":",char(34),LOWER(C36),char(34),"}}"))</f>
        <v>{"asset":{"guid":"uuid://36322ead-7c81-496d-b7e0-e8a00cf067bd","site":"in-blr-ananta","name":"ddc-232"}}</v>
      </c>
      <c r="S36" s="258" t="s">
        <v>681</v>
      </c>
      <c r="T36" s="263"/>
      <c r="U36" s="263"/>
      <c r="V36" s="264">
        <v>2.23</v>
      </c>
      <c r="W36" s="33" t="s">
        <v>682</v>
      </c>
      <c r="X36" s="258" t="s">
        <v>683</v>
      </c>
      <c r="Y36" s="33" t="s">
        <v>684</v>
      </c>
      <c r="Z36" s="258">
        <v>14032.0</v>
      </c>
      <c r="AA36" s="258">
        <v>11501.0</v>
      </c>
      <c r="AB36" s="258"/>
      <c r="AC36" s="258"/>
      <c r="AD36" s="265"/>
      <c r="AE36" s="266" t="s">
        <v>685</v>
      </c>
      <c r="AF36" s="267" t="s">
        <v>859</v>
      </c>
      <c r="AG36" s="268" t="str">
        <f>IFS(LEN(AF36)=17,LOWER('2-Building'!$B$4 &amp; "-" &amp; C36), AF36="N/A", "N/A", LEN(AF36)=0,"")</f>
        <v>in-blr-ananta-ddc-232</v>
      </c>
      <c r="AH36" s="258"/>
      <c r="AI36" s="258"/>
      <c r="AJ36" s="258"/>
      <c r="AK36" s="258" t="s">
        <v>860</v>
      </c>
      <c r="AL36" s="258" t="s">
        <v>688</v>
      </c>
      <c r="AM36" s="258" t="s">
        <v>689</v>
      </c>
      <c r="AN36" s="258"/>
      <c r="AO36" s="258"/>
      <c r="AP36" s="258"/>
      <c r="AQ36" s="258"/>
      <c r="AR36" s="258" t="s">
        <v>690</v>
      </c>
      <c r="AS36" s="258" t="s">
        <v>691</v>
      </c>
      <c r="AT36" s="258" t="s">
        <v>861</v>
      </c>
      <c r="AU36" s="265" t="s">
        <v>693</v>
      </c>
      <c r="AV36" s="174" t="s">
        <v>243</v>
      </c>
      <c r="AW36" s="269" t="s">
        <v>245</v>
      </c>
      <c r="AX36" s="269" t="s">
        <v>694</v>
      </c>
      <c r="AY36" s="270" t="s">
        <v>695</v>
      </c>
      <c r="AZ36" s="173" t="s">
        <v>681</v>
      </c>
      <c r="BA36" s="265">
        <v>10.0</v>
      </c>
      <c r="BB36" s="174" t="s">
        <v>225</v>
      </c>
      <c r="BC36" s="271"/>
      <c r="BD36" s="272" t="s">
        <v>696</v>
      </c>
      <c r="BE36" s="273" t="s">
        <v>697</v>
      </c>
      <c r="BF36" s="274" t="str">
        <f>IFERROR(__xludf.DUMMYFUNCTION("LOWER(Regexreplace(to_text(E36),""[^A-Za-z0-9]"","""")&amp;""_""&amp;Regexreplace(to_text(F36),""[^A-Za-z0-9]"",""""))"),"sauter_eyrc504fxxx")</f>
        <v>sauter_eyrc504fxxx</v>
      </c>
      <c r="BG36" s="275" t="str">
        <f>IFERROR(__xludf.DUMMYFUNCTION("upper(Regexreplace(to_text(E36),""[^A-Za-z0-9]"","""")&amp;""-""&amp;Regexreplace(to_text(F36),""[^A-Za-z0-9]"",""""))"),"SAUTER-EYRC504FXXX")</f>
        <v>SAUTER-EYRC504FXXX</v>
      </c>
    </row>
    <row r="37" ht="30.0" customHeight="1">
      <c r="A37" s="173">
        <v>33.0</v>
      </c>
      <c r="B37" s="256" t="s">
        <v>670</v>
      </c>
      <c r="C37" s="257" t="s">
        <v>862</v>
      </c>
      <c r="D37" s="173" t="s">
        <v>862</v>
      </c>
      <c r="E37" s="174" t="s">
        <v>672</v>
      </c>
      <c r="F37" s="173" t="s">
        <v>514</v>
      </c>
      <c r="G37" s="258" t="s">
        <v>673</v>
      </c>
      <c r="H37" s="258" t="s">
        <v>674</v>
      </c>
      <c r="I37" s="258" t="s">
        <v>675</v>
      </c>
      <c r="J37" s="259" t="s">
        <v>846</v>
      </c>
      <c r="K37" s="260">
        <v>175.0</v>
      </c>
      <c r="L37" s="258" t="s">
        <v>857</v>
      </c>
      <c r="M37" s="277">
        <v>4.11001359601E11</v>
      </c>
      <c r="N37" s="173" t="s">
        <v>679</v>
      </c>
      <c r="O37" s="173" t="s">
        <v>225</v>
      </c>
      <c r="P37" s="262" t="str">
        <f t="shared" si="1"/>
        <v>IN-BLR-ANANTA-DDC-233_1</v>
      </c>
      <c r="Q37" s="173" t="s">
        <v>863</v>
      </c>
      <c r="R37" s="258" t="str">
        <f>IFS(C37="","",C37="n/a","N/A",LEN(C37),Concatenate("{",char(34),"asset",char(34),":{",char(34),"guid",char(34),":",char(34),Q37,char(34),",",char(34),"site",char(34),":",char(34),LOWER('2-Building'!$B$4),char(34),",",char(34),"name",char(34),":",char(34),LOWER(C37),char(34),"}}"))</f>
        <v>{"asset":{"guid":"uuid://a24b8a7c-52b6-4df2-a439-56fa506a7066","site":"in-blr-ananta","name":"ddc-233"}}</v>
      </c>
      <c r="S37" s="258" t="s">
        <v>681</v>
      </c>
      <c r="T37" s="263"/>
      <c r="U37" s="263"/>
      <c r="V37" s="264">
        <v>2.23</v>
      </c>
      <c r="W37" s="33" t="s">
        <v>682</v>
      </c>
      <c r="X37" s="258" t="s">
        <v>683</v>
      </c>
      <c r="Y37" s="33" t="s">
        <v>684</v>
      </c>
      <c r="Z37" s="258">
        <v>14033.0</v>
      </c>
      <c r="AA37" s="258">
        <v>11501.0</v>
      </c>
      <c r="AB37" s="258"/>
      <c r="AC37" s="258"/>
      <c r="AD37" s="265"/>
      <c r="AE37" s="266" t="s">
        <v>685</v>
      </c>
      <c r="AF37" s="267" t="s">
        <v>864</v>
      </c>
      <c r="AG37" s="268" t="str">
        <f>IFS(LEN(AF37)=17,LOWER('2-Building'!$B$4 &amp; "-" &amp; C37), AF37="N/A", "N/A", LEN(AF37)=0,"")</f>
        <v>in-blr-ananta-ddc-233</v>
      </c>
      <c r="AH37" s="258"/>
      <c r="AI37" s="258"/>
      <c r="AJ37" s="258"/>
      <c r="AK37" s="258" t="s">
        <v>865</v>
      </c>
      <c r="AL37" s="258" t="s">
        <v>688</v>
      </c>
      <c r="AM37" s="258" t="s">
        <v>689</v>
      </c>
      <c r="AN37" s="258"/>
      <c r="AO37" s="258"/>
      <c r="AP37" s="258"/>
      <c r="AQ37" s="258"/>
      <c r="AR37" s="258" t="s">
        <v>690</v>
      </c>
      <c r="AS37" s="258" t="s">
        <v>691</v>
      </c>
      <c r="AT37" s="258" t="s">
        <v>861</v>
      </c>
      <c r="AU37" s="265" t="s">
        <v>693</v>
      </c>
      <c r="AV37" s="174" t="s">
        <v>243</v>
      </c>
      <c r="AW37" s="269" t="s">
        <v>245</v>
      </c>
      <c r="AX37" s="269" t="s">
        <v>694</v>
      </c>
      <c r="AY37" s="270" t="s">
        <v>695</v>
      </c>
      <c r="AZ37" s="173" t="s">
        <v>681</v>
      </c>
      <c r="BA37" s="265">
        <v>10.0</v>
      </c>
      <c r="BB37" s="174" t="s">
        <v>225</v>
      </c>
      <c r="BC37" s="271"/>
      <c r="BD37" s="272" t="s">
        <v>696</v>
      </c>
      <c r="BE37" s="273" t="s">
        <v>697</v>
      </c>
      <c r="BF37" s="274" t="str">
        <f>IFERROR(__xludf.DUMMYFUNCTION("LOWER(Regexreplace(to_text(E37),""[^A-Za-z0-9]"","""")&amp;""_""&amp;Regexreplace(to_text(F37),""[^A-Za-z0-9]"",""""))"),"sauter_eyrc504fxxx")</f>
        <v>sauter_eyrc504fxxx</v>
      </c>
      <c r="BG37" s="275" t="str">
        <f>IFERROR(__xludf.DUMMYFUNCTION("upper(Regexreplace(to_text(E37),""[^A-Za-z0-9]"","""")&amp;""-""&amp;Regexreplace(to_text(F37),""[^A-Za-z0-9]"",""""))"),"SAUTER-EYRC504FXXX")</f>
        <v>SAUTER-EYRC504FXXX</v>
      </c>
    </row>
    <row r="38" ht="30.0" customHeight="1">
      <c r="A38" s="258">
        <v>34.0</v>
      </c>
      <c r="B38" s="256" t="s">
        <v>670</v>
      </c>
      <c r="C38" s="257" t="s">
        <v>866</v>
      </c>
      <c r="D38" s="173" t="s">
        <v>866</v>
      </c>
      <c r="E38" s="174" t="s">
        <v>672</v>
      </c>
      <c r="F38" s="173" t="s">
        <v>514</v>
      </c>
      <c r="G38" s="258" t="s">
        <v>673</v>
      </c>
      <c r="H38" s="258" t="s">
        <v>674</v>
      </c>
      <c r="I38" s="258" t="s">
        <v>675</v>
      </c>
      <c r="J38" s="259" t="s">
        <v>846</v>
      </c>
      <c r="K38" s="260" t="s">
        <v>867</v>
      </c>
      <c r="L38" s="258" t="s">
        <v>868</v>
      </c>
      <c r="M38" s="277">
        <v>4.11001359925E11</v>
      </c>
      <c r="N38" s="173" t="s">
        <v>679</v>
      </c>
      <c r="O38" s="173" t="s">
        <v>225</v>
      </c>
      <c r="P38" s="262" t="str">
        <f t="shared" si="1"/>
        <v>IN-BLR-ANANTA-DDC-234_1</v>
      </c>
      <c r="Q38" s="173" t="s">
        <v>869</v>
      </c>
      <c r="R38" s="258" t="str">
        <f>IFS(C38="","",C38="n/a","N/A",LEN(C38),Concatenate("{",char(34),"asset",char(34),":{",char(34),"guid",char(34),":",char(34),Q38,char(34),",",char(34),"site",char(34),":",char(34),LOWER('2-Building'!$B$4),char(34),",",char(34),"name",char(34),":",char(34),LOWER(C38),char(34),"}}"))</f>
        <v>{"asset":{"guid":"uuid://402bbb4b-996d-45b6-bb51-648045c4b2ec","site":"in-blr-ananta","name":"ddc-234"}}</v>
      </c>
      <c r="S38" s="258" t="s">
        <v>681</v>
      </c>
      <c r="T38" s="263"/>
      <c r="U38" s="263"/>
      <c r="V38" s="264">
        <v>2.23</v>
      </c>
      <c r="W38" s="33" t="s">
        <v>682</v>
      </c>
      <c r="X38" s="258" t="s">
        <v>683</v>
      </c>
      <c r="Y38" s="33" t="s">
        <v>684</v>
      </c>
      <c r="Z38" s="258">
        <v>14034.0</v>
      </c>
      <c r="AA38" s="258">
        <v>11501.0</v>
      </c>
      <c r="AB38" s="258"/>
      <c r="AC38" s="258"/>
      <c r="AD38" s="265"/>
      <c r="AE38" s="266" t="s">
        <v>685</v>
      </c>
      <c r="AF38" s="267" t="s">
        <v>870</v>
      </c>
      <c r="AG38" s="268" t="str">
        <f>IFS(LEN(AF38)=17,LOWER('2-Building'!$B$4 &amp; "-" &amp; C38), AF38="N/A", "N/A", LEN(AF38)=0,"")</f>
        <v>in-blr-ananta-ddc-234</v>
      </c>
      <c r="AH38" s="258"/>
      <c r="AI38" s="258"/>
      <c r="AJ38" s="258"/>
      <c r="AK38" s="258" t="s">
        <v>871</v>
      </c>
      <c r="AL38" s="258" t="s">
        <v>688</v>
      </c>
      <c r="AM38" s="258" t="s">
        <v>689</v>
      </c>
      <c r="AN38" s="258"/>
      <c r="AO38" s="258"/>
      <c r="AP38" s="258"/>
      <c r="AQ38" s="258"/>
      <c r="AR38" s="258" t="s">
        <v>690</v>
      </c>
      <c r="AS38" s="258" t="s">
        <v>691</v>
      </c>
      <c r="AT38" s="258" t="s">
        <v>872</v>
      </c>
      <c r="AU38" s="265" t="s">
        <v>693</v>
      </c>
      <c r="AV38" s="174" t="s">
        <v>243</v>
      </c>
      <c r="AW38" s="269" t="s">
        <v>245</v>
      </c>
      <c r="AX38" s="269" t="s">
        <v>694</v>
      </c>
      <c r="AY38" s="270" t="s">
        <v>695</v>
      </c>
      <c r="AZ38" s="173" t="s">
        <v>681</v>
      </c>
      <c r="BA38" s="265">
        <v>10.0</v>
      </c>
      <c r="BB38" s="174" t="s">
        <v>225</v>
      </c>
      <c r="BC38" s="271"/>
      <c r="BD38" s="272" t="s">
        <v>696</v>
      </c>
      <c r="BE38" s="273" t="s">
        <v>697</v>
      </c>
      <c r="BF38" s="274" t="str">
        <f>IFERROR(__xludf.DUMMYFUNCTION("LOWER(Regexreplace(to_text(E38),""[^A-Za-z0-9]"","""")&amp;""_""&amp;Regexreplace(to_text(F38),""[^A-Za-z0-9]"",""""))"),"sauter_eyrc504fxxx")</f>
        <v>sauter_eyrc504fxxx</v>
      </c>
      <c r="BG38" s="275" t="str">
        <f>IFERROR(__xludf.DUMMYFUNCTION("upper(Regexreplace(to_text(E38),""[^A-Za-z0-9]"","""")&amp;""-""&amp;Regexreplace(to_text(F38),""[^A-Za-z0-9]"",""""))"),"SAUTER-EYRC504FXXX")</f>
        <v>SAUTER-EYRC504FXXX</v>
      </c>
    </row>
    <row r="39" ht="30.0" customHeight="1">
      <c r="A39" s="173">
        <v>35.0</v>
      </c>
      <c r="B39" s="256" t="s">
        <v>670</v>
      </c>
      <c r="C39" s="257" t="s">
        <v>873</v>
      </c>
      <c r="D39" s="173" t="s">
        <v>873</v>
      </c>
      <c r="E39" s="174" t="s">
        <v>672</v>
      </c>
      <c r="F39" s="173" t="s">
        <v>514</v>
      </c>
      <c r="G39" s="258" t="s">
        <v>673</v>
      </c>
      <c r="H39" s="258" t="s">
        <v>674</v>
      </c>
      <c r="I39" s="258" t="s">
        <v>675</v>
      </c>
      <c r="J39" s="259" t="s">
        <v>846</v>
      </c>
      <c r="K39" s="260" t="s">
        <v>867</v>
      </c>
      <c r="L39" s="258" t="s">
        <v>868</v>
      </c>
      <c r="M39" s="277">
        <v>4.1100135949E11</v>
      </c>
      <c r="N39" s="173" t="s">
        <v>679</v>
      </c>
      <c r="O39" s="173" t="s">
        <v>225</v>
      </c>
      <c r="P39" s="262" t="str">
        <f t="shared" si="1"/>
        <v>IN-BLR-ANANTA-DDC-235_1</v>
      </c>
      <c r="Q39" s="173" t="s">
        <v>874</v>
      </c>
      <c r="R39" s="258" t="str">
        <f>IFS(C39="","",C39="n/a","N/A",LEN(C39),Concatenate("{",char(34),"asset",char(34),":{",char(34),"guid",char(34),":",char(34),Q39,char(34),",",char(34),"site",char(34),":",char(34),LOWER('2-Building'!$B$4),char(34),",",char(34),"name",char(34),":",char(34),LOWER(C39),char(34),"}}"))</f>
        <v>{"asset":{"guid":"uuid://376ac7e5-4e2b-42be-b9d8-791a7511050e","site":"in-blr-ananta","name":"ddc-235"}}</v>
      </c>
      <c r="S39" s="258" t="s">
        <v>681</v>
      </c>
      <c r="T39" s="263"/>
      <c r="U39" s="263"/>
      <c r="V39" s="264">
        <v>2.23</v>
      </c>
      <c r="W39" s="33" t="s">
        <v>682</v>
      </c>
      <c r="X39" s="258" t="s">
        <v>683</v>
      </c>
      <c r="Y39" s="33" t="s">
        <v>684</v>
      </c>
      <c r="Z39" s="258">
        <v>14035.0</v>
      </c>
      <c r="AA39" s="258">
        <v>11501.0</v>
      </c>
      <c r="AB39" s="258"/>
      <c r="AC39" s="258"/>
      <c r="AD39" s="265"/>
      <c r="AE39" s="266" t="s">
        <v>685</v>
      </c>
      <c r="AF39" s="267" t="s">
        <v>875</v>
      </c>
      <c r="AG39" s="268" t="str">
        <f>IFS(LEN(AF39)=17,LOWER('2-Building'!$B$4 &amp; "-" &amp; C39), AF39="N/A", "N/A", LEN(AF39)=0,"")</f>
        <v>in-blr-ananta-ddc-235</v>
      </c>
      <c r="AH39" s="258"/>
      <c r="AI39" s="258"/>
      <c r="AJ39" s="258"/>
      <c r="AK39" s="258" t="s">
        <v>876</v>
      </c>
      <c r="AL39" s="258" t="s">
        <v>688</v>
      </c>
      <c r="AM39" s="258" t="s">
        <v>689</v>
      </c>
      <c r="AN39" s="258"/>
      <c r="AO39" s="258"/>
      <c r="AP39" s="258"/>
      <c r="AQ39" s="258"/>
      <c r="AR39" s="258" t="s">
        <v>690</v>
      </c>
      <c r="AS39" s="258" t="s">
        <v>691</v>
      </c>
      <c r="AT39" s="258" t="s">
        <v>872</v>
      </c>
      <c r="AU39" s="265" t="s">
        <v>693</v>
      </c>
      <c r="AV39" s="174" t="s">
        <v>243</v>
      </c>
      <c r="AW39" s="269" t="s">
        <v>245</v>
      </c>
      <c r="AX39" s="269" t="s">
        <v>694</v>
      </c>
      <c r="AY39" s="270" t="s">
        <v>695</v>
      </c>
      <c r="AZ39" s="173" t="s">
        <v>681</v>
      </c>
      <c r="BA39" s="265">
        <v>10.0</v>
      </c>
      <c r="BB39" s="174" t="s">
        <v>225</v>
      </c>
      <c r="BC39" s="271"/>
      <c r="BD39" s="272" t="s">
        <v>696</v>
      </c>
      <c r="BE39" s="273" t="s">
        <v>697</v>
      </c>
      <c r="BF39" s="274" t="str">
        <f>IFERROR(__xludf.DUMMYFUNCTION("LOWER(Regexreplace(to_text(E39),""[^A-Za-z0-9]"","""")&amp;""_""&amp;Regexreplace(to_text(F39),""[^A-Za-z0-9]"",""""))"),"sauter_eyrc504fxxx")</f>
        <v>sauter_eyrc504fxxx</v>
      </c>
      <c r="BG39" s="275" t="str">
        <f>IFERROR(__xludf.DUMMYFUNCTION("upper(Regexreplace(to_text(E39),""[^A-Za-z0-9]"","""")&amp;""-""&amp;Regexreplace(to_text(F39),""[^A-Za-z0-9]"",""""))"),"SAUTER-EYRC504FXXX")</f>
        <v>SAUTER-EYRC504FXXX</v>
      </c>
    </row>
    <row r="40" ht="30.0" customHeight="1">
      <c r="A40" s="258">
        <v>36.0</v>
      </c>
      <c r="B40" s="256" t="s">
        <v>670</v>
      </c>
      <c r="C40" s="257" t="s">
        <v>877</v>
      </c>
      <c r="D40" s="173" t="s">
        <v>877</v>
      </c>
      <c r="E40" s="174" t="s">
        <v>672</v>
      </c>
      <c r="F40" s="173" t="s">
        <v>514</v>
      </c>
      <c r="G40" s="258" t="s">
        <v>673</v>
      </c>
      <c r="H40" s="258" t="s">
        <v>674</v>
      </c>
      <c r="I40" s="258" t="s">
        <v>675</v>
      </c>
      <c r="J40" s="259" t="s">
        <v>846</v>
      </c>
      <c r="K40" s="260" t="s">
        <v>878</v>
      </c>
      <c r="L40" s="258" t="s">
        <v>879</v>
      </c>
      <c r="M40" s="277">
        <v>4.11001359515E11</v>
      </c>
      <c r="N40" s="173" t="s">
        <v>679</v>
      </c>
      <c r="O40" s="173" t="s">
        <v>225</v>
      </c>
      <c r="P40" s="262" t="str">
        <f t="shared" si="1"/>
        <v>IN-BLR-ANANTA-DDC-236_1</v>
      </c>
      <c r="Q40" s="173" t="s">
        <v>880</v>
      </c>
      <c r="R40" s="258" t="str">
        <f>IFS(C40="","",C40="n/a","N/A",LEN(C40),Concatenate("{",char(34),"asset",char(34),":{",char(34),"guid",char(34),":",char(34),Q40,char(34),",",char(34),"site",char(34),":",char(34),LOWER('2-Building'!$B$4),char(34),",",char(34),"name",char(34),":",char(34),LOWER(C40),char(34),"}}"))</f>
        <v>{"asset":{"guid":"uuid://254e5403-2626-4fa0-93ef-65d31e198bcf","site":"in-blr-ananta","name":"ddc-236"}}</v>
      </c>
      <c r="S40" s="258" t="s">
        <v>681</v>
      </c>
      <c r="T40" s="263"/>
      <c r="U40" s="263"/>
      <c r="V40" s="264">
        <v>2.23</v>
      </c>
      <c r="W40" s="33" t="s">
        <v>682</v>
      </c>
      <c r="X40" s="258" t="s">
        <v>683</v>
      </c>
      <c r="Y40" s="33" t="s">
        <v>684</v>
      </c>
      <c r="Z40" s="258">
        <v>14036.0</v>
      </c>
      <c r="AA40" s="258">
        <v>11501.0</v>
      </c>
      <c r="AB40" s="258"/>
      <c r="AC40" s="258"/>
      <c r="AD40" s="265"/>
      <c r="AE40" s="266" t="s">
        <v>685</v>
      </c>
      <c r="AF40" s="267" t="s">
        <v>881</v>
      </c>
      <c r="AG40" s="268" t="str">
        <f>IFS(LEN(AF40)=17,LOWER('2-Building'!$B$4 &amp; "-" &amp; C40), AF40="N/A", "N/A", LEN(AF40)=0,"")</f>
        <v>in-blr-ananta-ddc-236</v>
      </c>
      <c r="AH40" s="258"/>
      <c r="AI40" s="258"/>
      <c r="AJ40" s="258"/>
      <c r="AK40" s="258" t="s">
        <v>882</v>
      </c>
      <c r="AL40" s="258" t="s">
        <v>688</v>
      </c>
      <c r="AM40" s="258" t="s">
        <v>689</v>
      </c>
      <c r="AN40" s="258"/>
      <c r="AO40" s="258"/>
      <c r="AP40" s="258"/>
      <c r="AQ40" s="258"/>
      <c r="AR40" s="258" t="s">
        <v>690</v>
      </c>
      <c r="AS40" s="258" t="s">
        <v>691</v>
      </c>
      <c r="AT40" s="258" t="s">
        <v>883</v>
      </c>
      <c r="AU40" s="265" t="s">
        <v>693</v>
      </c>
      <c r="AV40" s="174" t="s">
        <v>243</v>
      </c>
      <c r="AW40" s="269" t="s">
        <v>245</v>
      </c>
      <c r="AX40" s="269" t="s">
        <v>694</v>
      </c>
      <c r="AY40" s="270" t="s">
        <v>695</v>
      </c>
      <c r="AZ40" s="173" t="s">
        <v>681</v>
      </c>
      <c r="BA40" s="265">
        <v>10.0</v>
      </c>
      <c r="BB40" s="174" t="s">
        <v>225</v>
      </c>
      <c r="BC40" s="271"/>
      <c r="BD40" s="272" t="s">
        <v>696</v>
      </c>
      <c r="BE40" s="273" t="s">
        <v>697</v>
      </c>
      <c r="BF40" s="274" t="str">
        <f>IFERROR(__xludf.DUMMYFUNCTION("LOWER(Regexreplace(to_text(E40),""[^A-Za-z0-9]"","""")&amp;""_""&amp;Regexreplace(to_text(F40),""[^A-Za-z0-9]"",""""))"),"sauter_eyrc504fxxx")</f>
        <v>sauter_eyrc504fxxx</v>
      </c>
      <c r="BG40" s="275" t="str">
        <f>IFERROR(__xludf.DUMMYFUNCTION("upper(Regexreplace(to_text(E40),""[^A-Za-z0-9]"","""")&amp;""-""&amp;Regexreplace(to_text(F40),""[^A-Za-z0-9]"",""""))"),"SAUTER-EYRC504FXXX")</f>
        <v>SAUTER-EYRC504FXXX</v>
      </c>
    </row>
    <row r="41" ht="30.0" customHeight="1">
      <c r="A41" s="173">
        <v>37.0</v>
      </c>
      <c r="B41" s="256" t="s">
        <v>670</v>
      </c>
      <c r="C41" s="257" t="s">
        <v>884</v>
      </c>
      <c r="D41" s="173" t="s">
        <v>884</v>
      </c>
      <c r="E41" s="174" t="s">
        <v>672</v>
      </c>
      <c r="F41" s="173" t="s">
        <v>514</v>
      </c>
      <c r="G41" s="258" t="s">
        <v>673</v>
      </c>
      <c r="H41" s="258" t="s">
        <v>674</v>
      </c>
      <c r="I41" s="258" t="s">
        <v>675</v>
      </c>
      <c r="J41" s="259" t="s">
        <v>846</v>
      </c>
      <c r="K41" s="260" t="s">
        <v>878</v>
      </c>
      <c r="L41" s="258" t="s">
        <v>879</v>
      </c>
      <c r="M41" s="277">
        <v>4.11001359642E11</v>
      </c>
      <c r="N41" s="173" t="s">
        <v>679</v>
      </c>
      <c r="O41" s="173" t="s">
        <v>225</v>
      </c>
      <c r="P41" s="262" t="str">
        <f t="shared" si="1"/>
        <v>IN-BLR-ANANTA-DDC-237_1</v>
      </c>
      <c r="Q41" s="173" t="s">
        <v>885</v>
      </c>
      <c r="R41" s="258" t="str">
        <f>IFS(C41="","",C41="n/a","N/A",LEN(C41),Concatenate("{",char(34),"asset",char(34),":{",char(34),"guid",char(34),":",char(34),Q41,char(34),",",char(34),"site",char(34),":",char(34),LOWER('2-Building'!$B$4),char(34),",",char(34),"name",char(34),":",char(34),LOWER(C41),char(34),"}}"))</f>
        <v>{"asset":{"guid":"uuid://55845a91-9c30-4a26-ba68-814b9c6e3991","site":"in-blr-ananta","name":"ddc-237"}}</v>
      </c>
      <c r="S41" s="258" t="s">
        <v>681</v>
      </c>
      <c r="T41" s="263"/>
      <c r="U41" s="263"/>
      <c r="V41" s="264">
        <v>2.23</v>
      </c>
      <c r="W41" s="33" t="s">
        <v>682</v>
      </c>
      <c r="X41" s="258" t="s">
        <v>683</v>
      </c>
      <c r="Y41" s="33" t="s">
        <v>684</v>
      </c>
      <c r="Z41" s="258">
        <v>14037.0</v>
      </c>
      <c r="AA41" s="258">
        <v>11501.0</v>
      </c>
      <c r="AB41" s="258"/>
      <c r="AC41" s="258"/>
      <c r="AD41" s="265"/>
      <c r="AE41" s="266" t="s">
        <v>685</v>
      </c>
      <c r="AF41" s="267" t="s">
        <v>886</v>
      </c>
      <c r="AG41" s="268" t="str">
        <f>IFS(LEN(AF41)=17,LOWER('2-Building'!$B$4 &amp; "-" &amp; C41), AF41="N/A", "N/A", LEN(AF41)=0,"")</f>
        <v>in-blr-ananta-ddc-237</v>
      </c>
      <c r="AH41" s="258"/>
      <c r="AI41" s="258"/>
      <c r="AJ41" s="258"/>
      <c r="AK41" s="258" t="s">
        <v>887</v>
      </c>
      <c r="AL41" s="258" t="s">
        <v>688</v>
      </c>
      <c r="AM41" s="258" t="s">
        <v>689</v>
      </c>
      <c r="AN41" s="258"/>
      <c r="AO41" s="258"/>
      <c r="AP41" s="258"/>
      <c r="AQ41" s="258"/>
      <c r="AR41" s="258" t="s">
        <v>690</v>
      </c>
      <c r="AS41" s="258" t="s">
        <v>691</v>
      </c>
      <c r="AT41" s="258" t="s">
        <v>883</v>
      </c>
      <c r="AU41" s="265" t="s">
        <v>693</v>
      </c>
      <c r="AV41" s="174" t="s">
        <v>243</v>
      </c>
      <c r="AW41" s="269" t="s">
        <v>245</v>
      </c>
      <c r="AX41" s="269" t="s">
        <v>694</v>
      </c>
      <c r="AY41" s="270" t="s">
        <v>695</v>
      </c>
      <c r="AZ41" s="173" t="s">
        <v>681</v>
      </c>
      <c r="BA41" s="265">
        <v>10.0</v>
      </c>
      <c r="BB41" s="174" t="s">
        <v>225</v>
      </c>
      <c r="BC41" s="271"/>
      <c r="BD41" s="272" t="s">
        <v>696</v>
      </c>
      <c r="BE41" s="273" t="s">
        <v>697</v>
      </c>
      <c r="BF41" s="274" t="str">
        <f>IFERROR(__xludf.DUMMYFUNCTION("LOWER(Regexreplace(to_text(E41),""[^A-Za-z0-9]"","""")&amp;""_""&amp;Regexreplace(to_text(F41),""[^A-Za-z0-9]"",""""))"),"sauter_eyrc504fxxx")</f>
        <v>sauter_eyrc504fxxx</v>
      </c>
      <c r="BG41" s="275" t="str">
        <f>IFERROR(__xludf.DUMMYFUNCTION("upper(Regexreplace(to_text(E41),""[^A-Za-z0-9]"","""")&amp;""-""&amp;Regexreplace(to_text(F41),""[^A-Za-z0-9]"",""""))"),"SAUTER-EYRC504FXXX")</f>
        <v>SAUTER-EYRC504FXXX</v>
      </c>
    </row>
    <row r="42" ht="30.0" customHeight="1">
      <c r="A42" s="258">
        <v>38.0</v>
      </c>
      <c r="B42" s="256" t="s">
        <v>670</v>
      </c>
      <c r="C42" s="257" t="s">
        <v>888</v>
      </c>
      <c r="D42" s="173" t="s">
        <v>888</v>
      </c>
      <c r="E42" s="174" t="s">
        <v>672</v>
      </c>
      <c r="F42" s="173" t="s">
        <v>514</v>
      </c>
      <c r="G42" s="258" t="s">
        <v>673</v>
      </c>
      <c r="H42" s="258" t="s">
        <v>674</v>
      </c>
      <c r="I42" s="258" t="s">
        <v>675</v>
      </c>
      <c r="J42" s="259" t="s">
        <v>846</v>
      </c>
      <c r="K42" s="260" t="s">
        <v>889</v>
      </c>
      <c r="L42" s="258" t="s">
        <v>890</v>
      </c>
      <c r="M42" s="277">
        <v>4.11001359589E11</v>
      </c>
      <c r="N42" s="173" t="s">
        <v>679</v>
      </c>
      <c r="O42" s="173" t="s">
        <v>225</v>
      </c>
      <c r="P42" s="262" t="str">
        <f t="shared" si="1"/>
        <v>IN-BLR-ANANTA-DDC-238_1</v>
      </c>
      <c r="Q42" s="173" t="s">
        <v>891</v>
      </c>
      <c r="R42" s="258" t="str">
        <f>IFS(C42="","",C42="n/a","N/A",LEN(C42),Concatenate("{",char(34),"asset",char(34),":{",char(34),"guid",char(34),":",char(34),Q42,char(34),",",char(34),"site",char(34),":",char(34),LOWER('2-Building'!$B$4),char(34),",",char(34),"name",char(34),":",char(34),LOWER(C42),char(34),"}}"))</f>
        <v>{"asset":{"guid":"uuid://0f348df8-d876-4bbc-b03d-32c0635d3745","site":"in-blr-ananta","name":"ddc-238"}}</v>
      </c>
      <c r="S42" s="258" t="s">
        <v>681</v>
      </c>
      <c r="T42" s="263"/>
      <c r="U42" s="263"/>
      <c r="V42" s="264">
        <v>2.23</v>
      </c>
      <c r="W42" s="33" t="s">
        <v>682</v>
      </c>
      <c r="X42" s="258" t="s">
        <v>683</v>
      </c>
      <c r="Y42" s="33" t="s">
        <v>684</v>
      </c>
      <c r="Z42" s="258">
        <v>14038.0</v>
      </c>
      <c r="AA42" s="258">
        <v>11501.0</v>
      </c>
      <c r="AB42" s="258"/>
      <c r="AC42" s="258"/>
      <c r="AD42" s="265"/>
      <c r="AE42" s="266" t="s">
        <v>685</v>
      </c>
      <c r="AF42" s="267" t="s">
        <v>892</v>
      </c>
      <c r="AG42" s="268" t="str">
        <f>IFS(LEN(AF42)=17,LOWER('2-Building'!$B$4 &amp; "-" &amp; C42), AF42="N/A", "N/A", LEN(AF42)=0,"")</f>
        <v>in-blr-ananta-ddc-238</v>
      </c>
      <c r="AH42" s="258"/>
      <c r="AI42" s="258"/>
      <c r="AJ42" s="258"/>
      <c r="AK42" s="258" t="s">
        <v>893</v>
      </c>
      <c r="AL42" s="258" t="s">
        <v>688</v>
      </c>
      <c r="AM42" s="258" t="s">
        <v>689</v>
      </c>
      <c r="AN42" s="258"/>
      <c r="AO42" s="258"/>
      <c r="AP42" s="258"/>
      <c r="AQ42" s="258"/>
      <c r="AR42" s="258" t="s">
        <v>690</v>
      </c>
      <c r="AS42" s="258" t="s">
        <v>691</v>
      </c>
      <c r="AT42" s="258" t="s">
        <v>894</v>
      </c>
      <c r="AU42" s="265" t="s">
        <v>693</v>
      </c>
      <c r="AV42" s="174" t="s">
        <v>243</v>
      </c>
      <c r="AW42" s="269" t="s">
        <v>245</v>
      </c>
      <c r="AX42" s="269" t="s">
        <v>694</v>
      </c>
      <c r="AY42" s="270" t="s">
        <v>695</v>
      </c>
      <c r="AZ42" s="173" t="s">
        <v>681</v>
      </c>
      <c r="BA42" s="265">
        <v>10.0</v>
      </c>
      <c r="BB42" s="174" t="s">
        <v>225</v>
      </c>
      <c r="BC42" s="271"/>
      <c r="BD42" s="272" t="s">
        <v>696</v>
      </c>
      <c r="BE42" s="273" t="s">
        <v>697</v>
      </c>
      <c r="BF42" s="274" t="str">
        <f>IFERROR(__xludf.DUMMYFUNCTION("LOWER(Regexreplace(to_text(E42),""[^A-Za-z0-9]"","""")&amp;""_""&amp;Regexreplace(to_text(F42),""[^A-Za-z0-9]"",""""))"),"sauter_eyrc504fxxx")</f>
        <v>sauter_eyrc504fxxx</v>
      </c>
      <c r="BG42" s="275" t="str">
        <f>IFERROR(__xludf.DUMMYFUNCTION("upper(Regexreplace(to_text(E42),""[^A-Za-z0-9]"","""")&amp;""-""&amp;Regexreplace(to_text(F42),""[^A-Za-z0-9]"",""""))"),"SAUTER-EYRC504FXXX")</f>
        <v>SAUTER-EYRC504FXXX</v>
      </c>
    </row>
    <row r="43" ht="30.0" customHeight="1">
      <c r="A43" s="173">
        <v>39.0</v>
      </c>
      <c r="B43" s="256" t="s">
        <v>670</v>
      </c>
      <c r="C43" s="257" t="s">
        <v>895</v>
      </c>
      <c r="D43" s="173" t="s">
        <v>895</v>
      </c>
      <c r="E43" s="174" t="s">
        <v>672</v>
      </c>
      <c r="F43" s="173" t="s">
        <v>514</v>
      </c>
      <c r="G43" s="258" t="s">
        <v>673</v>
      </c>
      <c r="H43" s="258" t="s">
        <v>674</v>
      </c>
      <c r="I43" s="258" t="s">
        <v>675</v>
      </c>
      <c r="J43" s="259" t="s">
        <v>846</v>
      </c>
      <c r="K43" s="260" t="s">
        <v>896</v>
      </c>
      <c r="L43" s="258" t="s">
        <v>897</v>
      </c>
      <c r="M43" s="277">
        <v>4.11001359643E11</v>
      </c>
      <c r="N43" s="173" t="s">
        <v>679</v>
      </c>
      <c r="O43" s="173" t="s">
        <v>225</v>
      </c>
      <c r="P43" s="262" t="str">
        <f t="shared" si="1"/>
        <v>IN-BLR-ANANTA-DDC-239_1</v>
      </c>
      <c r="Q43" s="173" t="s">
        <v>898</v>
      </c>
      <c r="R43" s="258" t="str">
        <f>IFS(C43="","",C43="n/a","N/A",LEN(C43),Concatenate("{",char(34),"asset",char(34),":{",char(34),"guid",char(34),":",char(34),Q43,char(34),",",char(34),"site",char(34),":",char(34),LOWER('2-Building'!$B$4),char(34),",",char(34),"name",char(34),":",char(34),LOWER(C43),char(34),"}}"))</f>
        <v>{"asset":{"guid":"uuid://237ea3f7-5c4e-4760-b650-92a9b3fd59f2","site":"in-blr-ananta","name":"ddc-239"}}</v>
      </c>
      <c r="S43" s="258" t="s">
        <v>681</v>
      </c>
      <c r="T43" s="263"/>
      <c r="U43" s="263"/>
      <c r="V43" s="264">
        <v>2.23</v>
      </c>
      <c r="W43" s="33" t="s">
        <v>682</v>
      </c>
      <c r="X43" s="258" t="s">
        <v>683</v>
      </c>
      <c r="Y43" s="33" t="s">
        <v>684</v>
      </c>
      <c r="Z43" s="258">
        <v>14039.0</v>
      </c>
      <c r="AA43" s="258">
        <v>11501.0</v>
      </c>
      <c r="AB43" s="258"/>
      <c r="AC43" s="258"/>
      <c r="AD43" s="265"/>
      <c r="AE43" s="266" t="s">
        <v>685</v>
      </c>
      <c r="AF43" s="267" t="s">
        <v>899</v>
      </c>
      <c r="AG43" s="268" t="str">
        <f>IFS(LEN(AF43)=17,LOWER('2-Building'!$B$4 &amp; "-" &amp; C43), AF43="N/A", "N/A", LEN(AF43)=0,"")</f>
        <v>in-blr-ananta-ddc-239</v>
      </c>
      <c r="AH43" s="258"/>
      <c r="AI43" s="258"/>
      <c r="AJ43" s="258"/>
      <c r="AK43" s="258" t="s">
        <v>900</v>
      </c>
      <c r="AL43" s="258" t="s">
        <v>688</v>
      </c>
      <c r="AM43" s="258" t="s">
        <v>689</v>
      </c>
      <c r="AN43" s="258"/>
      <c r="AO43" s="258"/>
      <c r="AP43" s="258"/>
      <c r="AQ43" s="258"/>
      <c r="AR43" s="258" t="s">
        <v>690</v>
      </c>
      <c r="AS43" s="258" t="s">
        <v>691</v>
      </c>
      <c r="AT43" s="258" t="s">
        <v>894</v>
      </c>
      <c r="AU43" s="265" t="s">
        <v>693</v>
      </c>
      <c r="AV43" s="174" t="s">
        <v>243</v>
      </c>
      <c r="AW43" s="269" t="s">
        <v>245</v>
      </c>
      <c r="AX43" s="269" t="s">
        <v>694</v>
      </c>
      <c r="AY43" s="270" t="s">
        <v>695</v>
      </c>
      <c r="AZ43" s="173" t="s">
        <v>681</v>
      </c>
      <c r="BA43" s="265">
        <v>10.0</v>
      </c>
      <c r="BB43" s="174" t="s">
        <v>225</v>
      </c>
      <c r="BC43" s="271"/>
      <c r="BD43" s="272" t="s">
        <v>696</v>
      </c>
      <c r="BE43" s="273" t="s">
        <v>697</v>
      </c>
      <c r="BF43" s="274" t="str">
        <f>IFERROR(__xludf.DUMMYFUNCTION("LOWER(Regexreplace(to_text(E43),""[^A-Za-z0-9]"","""")&amp;""_""&amp;Regexreplace(to_text(F43),""[^A-Za-z0-9]"",""""))"),"sauter_eyrc504fxxx")</f>
        <v>sauter_eyrc504fxxx</v>
      </c>
      <c r="BG43" s="275" t="str">
        <f>IFERROR(__xludf.DUMMYFUNCTION("upper(Regexreplace(to_text(E43),""[^A-Za-z0-9]"","""")&amp;""-""&amp;Regexreplace(to_text(F43),""[^A-Za-z0-9]"",""""))"),"SAUTER-EYRC504FXXX")</f>
        <v>SAUTER-EYRC504FXXX</v>
      </c>
    </row>
    <row r="44" ht="30.0" customHeight="1">
      <c r="A44" s="258">
        <v>40.0</v>
      </c>
      <c r="B44" s="256" t="s">
        <v>670</v>
      </c>
      <c r="C44" s="257" t="s">
        <v>901</v>
      </c>
      <c r="D44" s="173" t="s">
        <v>901</v>
      </c>
      <c r="E44" s="174" t="s">
        <v>672</v>
      </c>
      <c r="F44" s="173" t="s">
        <v>514</v>
      </c>
      <c r="G44" s="258" t="s">
        <v>673</v>
      </c>
      <c r="H44" s="258" t="s">
        <v>674</v>
      </c>
      <c r="I44" s="258" t="s">
        <v>675</v>
      </c>
      <c r="J44" s="259" t="s">
        <v>902</v>
      </c>
      <c r="K44" s="260">
        <v>263.0</v>
      </c>
      <c r="L44" s="258" t="s">
        <v>903</v>
      </c>
      <c r="M44" s="277">
        <v>4.11001360114E11</v>
      </c>
      <c r="N44" s="173" t="s">
        <v>679</v>
      </c>
      <c r="O44" s="173" t="s">
        <v>225</v>
      </c>
      <c r="P44" s="262" t="str">
        <f t="shared" si="1"/>
        <v>IN-BLR-ANANTA-DDC-240_2</v>
      </c>
      <c r="Q44" s="173" t="s">
        <v>904</v>
      </c>
      <c r="R44" s="258" t="str">
        <f>IFS(C44="","",C44="n/a","N/A",LEN(C44),Concatenate("{",char(34),"asset",char(34),":{",char(34),"guid",char(34),":",char(34),Q44,char(34),",",char(34),"site",char(34),":",char(34),LOWER('2-Building'!$B$4),char(34),",",char(34),"name",char(34),":",char(34),LOWER(C44),char(34),"}}"))</f>
        <v>{"asset":{"guid":"uuid://3d6d649c-c248-4944-b152-f2fa63413847","site":"in-blr-ananta","name":"ddc-240"}}</v>
      </c>
      <c r="S44" s="258" t="s">
        <v>681</v>
      </c>
      <c r="T44" s="263"/>
      <c r="U44" s="263"/>
      <c r="V44" s="264">
        <v>2.23</v>
      </c>
      <c r="W44" s="33" t="s">
        <v>682</v>
      </c>
      <c r="X44" s="258" t="s">
        <v>683</v>
      </c>
      <c r="Y44" s="33" t="s">
        <v>684</v>
      </c>
      <c r="Z44" s="258">
        <v>14040.0</v>
      </c>
      <c r="AA44" s="258">
        <v>11501.0</v>
      </c>
      <c r="AB44" s="258"/>
      <c r="AC44" s="258"/>
      <c r="AD44" s="265"/>
      <c r="AE44" s="266" t="s">
        <v>685</v>
      </c>
      <c r="AF44" s="267" t="s">
        <v>905</v>
      </c>
      <c r="AG44" s="268" t="str">
        <f>IFS(LEN(AF44)=17,LOWER('2-Building'!$B$4 &amp; "-" &amp; C44), AF44="N/A", "N/A", LEN(AF44)=0,"")</f>
        <v>in-blr-ananta-ddc-240</v>
      </c>
      <c r="AH44" s="258"/>
      <c r="AI44" s="258"/>
      <c r="AJ44" s="258"/>
      <c r="AK44" s="258" t="s">
        <v>906</v>
      </c>
      <c r="AL44" s="258" t="s">
        <v>688</v>
      </c>
      <c r="AM44" s="258" t="s">
        <v>689</v>
      </c>
      <c r="AN44" s="258"/>
      <c r="AO44" s="258"/>
      <c r="AP44" s="258"/>
      <c r="AQ44" s="258"/>
      <c r="AR44" s="258" t="s">
        <v>690</v>
      </c>
      <c r="AS44" s="258" t="s">
        <v>691</v>
      </c>
      <c r="AT44" s="258" t="s">
        <v>907</v>
      </c>
      <c r="AU44" s="265" t="s">
        <v>693</v>
      </c>
      <c r="AV44" s="174" t="s">
        <v>243</v>
      </c>
      <c r="AW44" s="269" t="s">
        <v>245</v>
      </c>
      <c r="AX44" s="269" t="s">
        <v>694</v>
      </c>
      <c r="AY44" s="270" t="s">
        <v>695</v>
      </c>
      <c r="AZ44" s="173" t="s">
        <v>681</v>
      </c>
      <c r="BA44" s="265">
        <v>10.0</v>
      </c>
      <c r="BB44" s="174" t="s">
        <v>225</v>
      </c>
      <c r="BC44" s="271"/>
      <c r="BD44" s="272" t="s">
        <v>696</v>
      </c>
      <c r="BE44" s="273" t="s">
        <v>697</v>
      </c>
      <c r="BF44" s="274" t="str">
        <f>IFERROR(__xludf.DUMMYFUNCTION("LOWER(Regexreplace(to_text(E44),""[^A-Za-z0-9]"","""")&amp;""_""&amp;Regexreplace(to_text(F44),""[^A-Za-z0-9]"",""""))"),"sauter_eyrc504fxxx")</f>
        <v>sauter_eyrc504fxxx</v>
      </c>
      <c r="BG44" s="275" t="str">
        <f>IFERROR(__xludf.DUMMYFUNCTION("upper(Regexreplace(to_text(E44),""[^A-Za-z0-9]"","""")&amp;""-""&amp;Regexreplace(to_text(F44),""[^A-Za-z0-9]"",""""))"),"SAUTER-EYRC504FXXX")</f>
        <v>SAUTER-EYRC504FXXX</v>
      </c>
    </row>
    <row r="45" ht="30.0" customHeight="1">
      <c r="A45" s="173">
        <v>41.0</v>
      </c>
      <c r="B45" s="256" t="s">
        <v>670</v>
      </c>
      <c r="C45" s="257" t="s">
        <v>908</v>
      </c>
      <c r="D45" s="173" t="s">
        <v>908</v>
      </c>
      <c r="E45" s="174" t="s">
        <v>672</v>
      </c>
      <c r="F45" s="173" t="s">
        <v>514</v>
      </c>
      <c r="G45" s="258" t="s">
        <v>673</v>
      </c>
      <c r="H45" s="258" t="s">
        <v>674</v>
      </c>
      <c r="I45" s="258" t="s">
        <v>675</v>
      </c>
      <c r="J45" s="259" t="s">
        <v>902</v>
      </c>
      <c r="K45" s="260">
        <v>263.0</v>
      </c>
      <c r="L45" s="258" t="s">
        <v>903</v>
      </c>
      <c r="M45" s="277">
        <v>4.11001239222E11</v>
      </c>
      <c r="N45" s="173" t="s">
        <v>679</v>
      </c>
      <c r="O45" s="173" t="s">
        <v>225</v>
      </c>
      <c r="P45" s="262" t="str">
        <f t="shared" si="1"/>
        <v>IN-BLR-ANANTA-DDC-241_2</v>
      </c>
      <c r="Q45" s="173" t="s">
        <v>909</v>
      </c>
      <c r="R45" s="258" t="str">
        <f>IFS(C45="","",C45="n/a","N/A",LEN(C45),Concatenate("{",char(34),"asset",char(34),":{",char(34),"guid",char(34),":",char(34),Q45,char(34),",",char(34),"site",char(34),":",char(34),LOWER('2-Building'!$B$4),char(34),",",char(34),"name",char(34),":",char(34),LOWER(C45),char(34),"}}"))</f>
        <v>{"asset":{"guid":"uuid://e7d2ddfd-b7f6-4513-a7e9-2c87a714d9fd","site":"in-blr-ananta","name":"ddc-241"}}</v>
      </c>
      <c r="S45" s="258" t="s">
        <v>681</v>
      </c>
      <c r="T45" s="263"/>
      <c r="U45" s="263"/>
      <c r="V45" s="264">
        <v>2.23</v>
      </c>
      <c r="W45" s="33" t="s">
        <v>682</v>
      </c>
      <c r="X45" s="258" t="s">
        <v>683</v>
      </c>
      <c r="Y45" s="33" t="s">
        <v>684</v>
      </c>
      <c r="Z45" s="258">
        <v>14041.0</v>
      </c>
      <c r="AA45" s="258">
        <v>11501.0</v>
      </c>
      <c r="AB45" s="258"/>
      <c r="AC45" s="258"/>
      <c r="AD45" s="265"/>
      <c r="AE45" s="266" t="s">
        <v>685</v>
      </c>
      <c r="AF45" s="267" t="s">
        <v>910</v>
      </c>
      <c r="AG45" s="268" t="str">
        <f>IFS(LEN(AF45)=17,LOWER('2-Building'!$B$4 &amp; "-" &amp; C45), AF45="N/A", "N/A", LEN(AF45)=0,"")</f>
        <v>in-blr-ananta-ddc-241</v>
      </c>
      <c r="AH45" s="258"/>
      <c r="AI45" s="258"/>
      <c r="AJ45" s="258"/>
      <c r="AK45" s="258" t="s">
        <v>911</v>
      </c>
      <c r="AL45" s="258" t="s">
        <v>688</v>
      </c>
      <c r="AM45" s="258" t="s">
        <v>689</v>
      </c>
      <c r="AN45" s="258"/>
      <c r="AO45" s="258"/>
      <c r="AP45" s="258"/>
      <c r="AQ45" s="258"/>
      <c r="AR45" s="258" t="s">
        <v>690</v>
      </c>
      <c r="AS45" s="258" t="s">
        <v>691</v>
      </c>
      <c r="AT45" s="258" t="s">
        <v>907</v>
      </c>
      <c r="AU45" s="265" t="s">
        <v>693</v>
      </c>
      <c r="AV45" s="174" t="s">
        <v>243</v>
      </c>
      <c r="AW45" s="269" t="s">
        <v>245</v>
      </c>
      <c r="AX45" s="269" t="s">
        <v>694</v>
      </c>
      <c r="AY45" s="270" t="s">
        <v>695</v>
      </c>
      <c r="AZ45" s="173" t="s">
        <v>681</v>
      </c>
      <c r="BA45" s="265">
        <v>10.0</v>
      </c>
      <c r="BB45" s="174" t="s">
        <v>225</v>
      </c>
      <c r="BC45" s="271"/>
      <c r="BD45" s="272" t="s">
        <v>696</v>
      </c>
      <c r="BE45" s="273" t="s">
        <v>697</v>
      </c>
      <c r="BF45" s="274" t="str">
        <f>IFERROR(__xludf.DUMMYFUNCTION("LOWER(Regexreplace(to_text(E45),""[^A-Za-z0-9]"","""")&amp;""_""&amp;Regexreplace(to_text(F45),""[^A-Za-z0-9]"",""""))"),"sauter_eyrc504fxxx")</f>
        <v>sauter_eyrc504fxxx</v>
      </c>
      <c r="BG45" s="275" t="str">
        <f>IFERROR(__xludf.DUMMYFUNCTION("upper(Regexreplace(to_text(E45),""[^A-Za-z0-9]"","""")&amp;""-""&amp;Regexreplace(to_text(F45),""[^A-Za-z0-9]"",""""))"),"SAUTER-EYRC504FXXX")</f>
        <v>SAUTER-EYRC504FXXX</v>
      </c>
    </row>
    <row r="46" ht="30.0" customHeight="1">
      <c r="A46" s="258">
        <v>42.0</v>
      </c>
      <c r="B46" s="256" t="s">
        <v>670</v>
      </c>
      <c r="C46" s="257" t="s">
        <v>912</v>
      </c>
      <c r="D46" s="173" t="s">
        <v>912</v>
      </c>
      <c r="E46" s="174" t="s">
        <v>672</v>
      </c>
      <c r="F46" s="173" t="s">
        <v>514</v>
      </c>
      <c r="G46" s="258" t="s">
        <v>673</v>
      </c>
      <c r="H46" s="258" t="s">
        <v>674</v>
      </c>
      <c r="I46" s="258" t="s">
        <v>675</v>
      </c>
      <c r="J46" s="259" t="s">
        <v>902</v>
      </c>
      <c r="K46" s="260">
        <v>275.0</v>
      </c>
      <c r="L46" s="258" t="s">
        <v>913</v>
      </c>
      <c r="M46" s="277">
        <v>4.11001360222E11</v>
      </c>
      <c r="N46" s="173" t="s">
        <v>679</v>
      </c>
      <c r="O46" s="173" t="s">
        <v>225</v>
      </c>
      <c r="P46" s="262" t="str">
        <f t="shared" si="1"/>
        <v>IN-BLR-ANANTA-DDC-242_2</v>
      </c>
      <c r="Q46" s="173" t="s">
        <v>914</v>
      </c>
      <c r="R46" s="258" t="str">
        <f>IFS(C46="","",C46="n/a","N/A",LEN(C46),Concatenate("{",char(34),"asset",char(34),":{",char(34),"guid",char(34),":",char(34),Q46,char(34),",",char(34),"site",char(34),":",char(34),LOWER('2-Building'!$B$4),char(34),",",char(34),"name",char(34),":",char(34),LOWER(C46),char(34),"}}"))</f>
        <v>{"asset":{"guid":"uuid://d809c17f-ed38-4be4-a007-f4c97fcc9a4f","site":"in-blr-ananta","name":"ddc-242"}}</v>
      </c>
      <c r="S46" s="258" t="s">
        <v>681</v>
      </c>
      <c r="T46" s="263"/>
      <c r="U46" s="263"/>
      <c r="V46" s="264">
        <v>2.23</v>
      </c>
      <c r="W46" s="33" t="s">
        <v>682</v>
      </c>
      <c r="X46" s="258" t="s">
        <v>683</v>
      </c>
      <c r="Y46" s="33" t="s">
        <v>684</v>
      </c>
      <c r="Z46" s="258">
        <v>14042.0</v>
      </c>
      <c r="AA46" s="258">
        <v>11501.0</v>
      </c>
      <c r="AB46" s="258"/>
      <c r="AC46" s="258"/>
      <c r="AD46" s="265"/>
      <c r="AE46" s="266" t="s">
        <v>685</v>
      </c>
      <c r="AF46" s="267" t="s">
        <v>915</v>
      </c>
      <c r="AG46" s="268" t="str">
        <f>IFS(LEN(AF46)=17,LOWER('2-Building'!$B$4 &amp; "-" &amp; C46), AF46="N/A", "N/A", LEN(AF46)=0,"")</f>
        <v>in-blr-ananta-ddc-242</v>
      </c>
      <c r="AH46" s="258"/>
      <c r="AI46" s="258"/>
      <c r="AJ46" s="258"/>
      <c r="AK46" s="258" t="s">
        <v>916</v>
      </c>
      <c r="AL46" s="258" t="s">
        <v>688</v>
      </c>
      <c r="AM46" s="258" t="s">
        <v>689</v>
      </c>
      <c r="AN46" s="258"/>
      <c r="AO46" s="258"/>
      <c r="AP46" s="258"/>
      <c r="AQ46" s="258"/>
      <c r="AR46" s="258" t="s">
        <v>690</v>
      </c>
      <c r="AS46" s="258" t="s">
        <v>691</v>
      </c>
      <c r="AT46" s="258" t="s">
        <v>917</v>
      </c>
      <c r="AU46" s="265" t="s">
        <v>693</v>
      </c>
      <c r="AV46" s="174" t="s">
        <v>243</v>
      </c>
      <c r="AW46" s="269" t="s">
        <v>245</v>
      </c>
      <c r="AX46" s="269" t="s">
        <v>694</v>
      </c>
      <c r="AY46" s="270" t="s">
        <v>695</v>
      </c>
      <c r="AZ46" s="173" t="s">
        <v>681</v>
      </c>
      <c r="BA46" s="265">
        <v>10.0</v>
      </c>
      <c r="BB46" s="174" t="s">
        <v>225</v>
      </c>
      <c r="BC46" s="271"/>
      <c r="BD46" s="272" t="s">
        <v>696</v>
      </c>
      <c r="BE46" s="273" t="s">
        <v>697</v>
      </c>
      <c r="BF46" s="274" t="str">
        <f>IFERROR(__xludf.DUMMYFUNCTION("LOWER(Regexreplace(to_text(E46),""[^A-Za-z0-9]"","""")&amp;""_""&amp;Regexreplace(to_text(F46),""[^A-Za-z0-9]"",""""))"),"sauter_eyrc504fxxx")</f>
        <v>sauter_eyrc504fxxx</v>
      </c>
      <c r="BG46" s="275" t="str">
        <f>IFERROR(__xludf.DUMMYFUNCTION("upper(Regexreplace(to_text(E46),""[^A-Za-z0-9]"","""")&amp;""-""&amp;Regexreplace(to_text(F46),""[^A-Za-z0-9]"",""""))"),"SAUTER-EYRC504FXXX")</f>
        <v>SAUTER-EYRC504FXXX</v>
      </c>
    </row>
    <row r="47" ht="30.0" customHeight="1">
      <c r="A47" s="173">
        <v>43.0</v>
      </c>
      <c r="B47" s="256" t="s">
        <v>670</v>
      </c>
      <c r="C47" s="257" t="s">
        <v>918</v>
      </c>
      <c r="D47" s="173" t="s">
        <v>918</v>
      </c>
      <c r="E47" s="174" t="s">
        <v>672</v>
      </c>
      <c r="F47" s="173" t="s">
        <v>514</v>
      </c>
      <c r="G47" s="258" t="s">
        <v>673</v>
      </c>
      <c r="H47" s="258" t="s">
        <v>674</v>
      </c>
      <c r="I47" s="258" t="s">
        <v>675</v>
      </c>
      <c r="J47" s="259" t="s">
        <v>902</v>
      </c>
      <c r="K47" s="260">
        <v>275.0</v>
      </c>
      <c r="L47" s="258" t="s">
        <v>913</v>
      </c>
      <c r="M47" s="277">
        <v>4.11001239262E11</v>
      </c>
      <c r="N47" s="173" t="s">
        <v>679</v>
      </c>
      <c r="O47" s="173" t="s">
        <v>225</v>
      </c>
      <c r="P47" s="262" t="str">
        <f t="shared" si="1"/>
        <v>IN-BLR-ANANTA-DDC-243_2</v>
      </c>
      <c r="Q47" s="173" t="s">
        <v>919</v>
      </c>
      <c r="R47" s="258" t="str">
        <f>IFS(C47="","",C47="n/a","N/A",LEN(C47),Concatenate("{",char(34),"asset",char(34),":{",char(34),"guid",char(34),":",char(34),Q47,char(34),",",char(34),"site",char(34),":",char(34),LOWER('2-Building'!$B$4),char(34),",",char(34),"name",char(34),":",char(34),LOWER(C47),char(34),"}}"))</f>
        <v>{"asset":{"guid":"uuid://15173016-58da-4f7d-9d28-0edca05f05fd","site":"in-blr-ananta","name":"ddc-243"}}</v>
      </c>
      <c r="S47" s="258" t="s">
        <v>681</v>
      </c>
      <c r="T47" s="263"/>
      <c r="U47" s="263"/>
      <c r="V47" s="264">
        <v>2.23</v>
      </c>
      <c r="W47" s="33" t="s">
        <v>682</v>
      </c>
      <c r="X47" s="258" t="s">
        <v>683</v>
      </c>
      <c r="Y47" s="33" t="s">
        <v>684</v>
      </c>
      <c r="Z47" s="258">
        <v>14043.0</v>
      </c>
      <c r="AA47" s="258">
        <v>11501.0</v>
      </c>
      <c r="AB47" s="258"/>
      <c r="AC47" s="258"/>
      <c r="AD47" s="265"/>
      <c r="AE47" s="266" t="s">
        <v>685</v>
      </c>
      <c r="AF47" s="267" t="s">
        <v>920</v>
      </c>
      <c r="AG47" s="268" t="str">
        <f>IFS(LEN(AF47)=17,LOWER('2-Building'!$B$4 &amp; "-" &amp; C47), AF47="N/A", "N/A", LEN(AF47)=0,"")</f>
        <v>in-blr-ananta-ddc-243</v>
      </c>
      <c r="AH47" s="258"/>
      <c r="AI47" s="258"/>
      <c r="AJ47" s="258"/>
      <c r="AK47" s="258" t="s">
        <v>921</v>
      </c>
      <c r="AL47" s="258" t="s">
        <v>688</v>
      </c>
      <c r="AM47" s="258" t="s">
        <v>689</v>
      </c>
      <c r="AN47" s="258"/>
      <c r="AO47" s="258"/>
      <c r="AP47" s="258"/>
      <c r="AQ47" s="258"/>
      <c r="AR47" s="258" t="s">
        <v>690</v>
      </c>
      <c r="AS47" s="258" t="s">
        <v>691</v>
      </c>
      <c r="AT47" s="258" t="s">
        <v>917</v>
      </c>
      <c r="AU47" s="265" t="s">
        <v>693</v>
      </c>
      <c r="AV47" s="174" t="s">
        <v>243</v>
      </c>
      <c r="AW47" s="269" t="s">
        <v>245</v>
      </c>
      <c r="AX47" s="269" t="s">
        <v>694</v>
      </c>
      <c r="AY47" s="270" t="s">
        <v>695</v>
      </c>
      <c r="AZ47" s="173" t="s">
        <v>681</v>
      </c>
      <c r="BA47" s="265">
        <v>10.0</v>
      </c>
      <c r="BB47" s="174" t="s">
        <v>225</v>
      </c>
      <c r="BC47" s="271"/>
      <c r="BD47" s="272" t="s">
        <v>696</v>
      </c>
      <c r="BE47" s="273" t="s">
        <v>697</v>
      </c>
      <c r="BF47" s="274" t="str">
        <f>IFERROR(__xludf.DUMMYFUNCTION("LOWER(Regexreplace(to_text(E47),""[^A-Za-z0-9]"","""")&amp;""_""&amp;Regexreplace(to_text(F47),""[^A-Za-z0-9]"",""""))"),"sauter_eyrc504fxxx")</f>
        <v>sauter_eyrc504fxxx</v>
      </c>
      <c r="BG47" s="275" t="str">
        <f>IFERROR(__xludf.DUMMYFUNCTION("upper(Regexreplace(to_text(E47),""[^A-Za-z0-9]"","""")&amp;""-""&amp;Regexreplace(to_text(F47),""[^A-Za-z0-9]"",""""))"),"SAUTER-EYRC504FXXX")</f>
        <v>SAUTER-EYRC504FXXX</v>
      </c>
    </row>
    <row r="48" ht="30.0" customHeight="1">
      <c r="A48" s="258">
        <v>44.0</v>
      </c>
      <c r="B48" s="256" t="s">
        <v>670</v>
      </c>
      <c r="C48" s="257" t="s">
        <v>922</v>
      </c>
      <c r="D48" s="173" t="s">
        <v>922</v>
      </c>
      <c r="E48" s="174" t="s">
        <v>672</v>
      </c>
      <c r="F48" s="173" t="s">
        <v>514</v>
      </c>
      <c r="G48" s="258" t="s">
        <v>673</v>
      </c>
      <c r="H48" s="258" t="s">
        <v>674</v>
      </c>
      <c r="I48" s="258" t="s">
        <v>675</v>
      </c>
      <c r="J48" s="259" t="s">
        <v>902</v>
      </c>
      <c r="K48" s="260">
        <v>219.0</v>
      </c>
      <c r="L48" s="258" t="s">
        <v>923</v>
      </c>
      <c r="M48" s="277">
        <v>4.11001239502E11</v>
      </c>
      <c r="N48" s="173" t="s">
        <v>679</v>
      </c>
      <c r="O48" s="173" t="s">
        <v>225</v>
      </c>
      <c r="P48" s="262" t="str">
        <f t="shared" si="1"/>
        <v>IN-BLR-ANANTA-DDC-244_2</v>
      </c>
      <c r="Q48" s="173" t="s">
        <v>924</v>
      </c>
      <c r="R48" s="258" t="str">
        <f>IFS(C48="","",C48="n/a","N/A",LEN(C48),Concatenate("{",char(34),"asset",char(34),":{",char(34),"guid",char(34),":",char(34),Q48,char(34),",",char(34),"site",char(34),":",char(34),LOWER('2-Building'!$B$4),char(34),",",char(34),"name",char(34),":",char(34),LOWER(C48),char(34),"}}"))</f>
        <v>{"asset":{"guid":"uuid://ccde7d7f-3ffd-4273-84ee-59e93e76661b","site":"in-blr-ananta","name":"ddc-244"}}</v>
      </c>
      <c r="S48" s="258" t="s">
        <v>681</v>
      </c>
      <c r="T48" s="263"/>
      <c r="U48" s="263"/>
      <c r="V48" s="264">
        <v>2.23</v>
      </c>
      <c r="W48" s="33" t="s">
        <v>682</v>
      </c>
      <c r="X48" s="258" t="s">
        <v>683</v>
      </c>
      <c r="Y48" s="33" t="s">
        <v>684</v>
      </c>
      <c r="Z48" s="258">
        <v>14044.0</v>
      </c>
      <c r="AA48" s="258">
        <v>11501.0</v>
      </c>
      <c r="AB48" s="258"/>
      <c r="AC48" s="258"/>
      <c r="AD48" s="265"/>
      <c r="AE48" s="266" t="s">
        <v>685</v>
      </c>
      <c r="AF48" s="267" t="s">
        <v>925</v>
      </c>
      <c r="AG48" s="268" t="str">
        <f>IFS(LEN(AF48)=17,LOWER('2-Building'!$B$4 &amp; "-" &amp; C48), AF48="N/A", "N/A", LEN(AF48)=0,"")</f>
        <v>in-blr-ananta-ddc-244</v>
      </c>
      <c r="AH48" s="258"/>
      <c r="AI48" s="258"/>
      <c r="AJ48" s="258"/>
      <c r="AK48" s="258" t="s">
        <v>926</v>
      </c>
      <c r="AL48" s="258" t="s">
        <v>688</v>
      </c>
      <c r="AM48" s="258" t="s">
        <v>689</v>
      </c>
      <c r="AN48" s="258"/>
      <c r="AO48" s="258"/>
      <c r="AP48" s="258"/>
      <c r="AQ48" s="258"/>
      <c r="AR48" s="258" t="s">
        <v>690</v>
      </c>
      <c r="AS48" s="258" t="s">
        <v>691</v>
      </c>
      <c r="AT48" s="258" t="s">
        <v>927</v>
      </c>
      <c r="AU48" s="265" t="s">
        <v>693</v>
      </c>
      <c r="AV48" s="174" t="s">
        <v>243</v>
      </c>
      <c r="AW48" s="269" t="s">
        <v>245</v>
      </c>
      <c r="AX48" s="269" t="s">
        <v>694</v>
      </c>
      <c r="AY48" s="270" t="s">
        <v>695</v>
      </c>
      <c r="AZ48" s="173" t="s">
        <v>681</v>
      </c>
      <c r="BA48" s="265">
        <v>10.0</v>
      </c>
      <c r="BB48" s="174" t="s">
        <v>225</v>
      </c>
      <c r="BC48" s="271"/>
      <c r="BD48" s="272" t="s">
        <v>696</v>
      </c>
      <c r="BE48" s="273" t="s">
        <v>697</v>
      </c>
      <c r="BF48" s="274" t="str">
        <f>IFERROR(__xludf.DUMMYFUNCTION("LOWER(Regexreplace(to_text(E48),""[^A-Za-z0-9]"","""")&amp;""_""&amp;Regexreplace(to_text(F48),""[^A-Za-z0-9]"",""""))"),"sauter_eyrc504fxxx")</f>
        <v>sauter_eyrc504fxxx</v>
      </c>
      <c r="BG48" s="275" t="str">
        <f>IFERROR(__xludf.DUMMYFUNCTION("upper(Regexreplace(to_text(E48),""[^A-Za-z0-9]"","""")&amp;""-""&amp;Regexreplace(to_text(F48),""[^A-Za-z0-9]"",""""))"),"SAUTER-EYRC504FXXX")</f>
        <v>SAUTER-EYRC504FXXX</v>
      </c>
    </row>
    <row r="49" ht="30.0" customHeight="1">
      <c r="A49" s="173">
        <v>45.0</v>
      </c>
      <c r="B49" s="256" t="s">
        <v>670</v>
      </c>
      <c r="C49" s="257" t="s">
        <v>928</v>
      </c>
      <c r="D49" s="173" t="s">
        <v>928</v>
      </c>
      <c r="E49" s="174" t="s">
        <v>672</v>
      </c>
      <c r="F49" s="173" t="s">
        <v>514</v>
      </c>
      <c r="G49" s="258" t="s">
        <v>673</v>
      </c>
      <c r="H49" s="258" t="s">
        <v>674</v>
      </c>
      <c r="I49" s="258" t="s">
        <v>675</v>
      </c>
      <c r="J49" s="259" t="s">
        <v>902</v>
      </c>
      <c r="K49" s="260">
        <v>219.0</v>
      </c>
      <c r="L49" s="258" t="s">
        <v>923</v>
      </c>
      <c r="M49" s="277">
        <v>4.1100123911E11</v>
      </c>
      <c r="N49" s="173" t="s">
        <v>679</v>
      </c>
      <c r="O49" s="173" t="s">
        <v>225</v>
      </c>
      <c r="P49" s="262" t="str">
        <f t="shared" si="1"/>
        <v>IN-BLR-ANANTA-DDC-245_2</v>
      </c>
      <c r="Q49" s="173" t="s">
        <v>929</v>
      </c>
      <c r="R49" s="258" t="str">
        <f>IFS(C49="","",C49="n/a","N/A",LEN(C49),Concatenate("{",char(34),"asset",char(34),":{",char(34),"guid",char(34),":",char(34),Q49,char(34),",",char(34),"site",char(34),":",char(34),LOWER('2-Building'!$B$4),char(34),",",char(34),"name",char(34),":",char(34),LOWER(C49),char(34),"}}"))</f>
        <v>{"asset":{"guid":"uuid://60c6238d-b42a-4a9a-a570-45e3a2383ae9","site":"in-blr-ananta","name":"ddc-245"}}</v>
      </c>
      <c r="S49" s="258" t="s">
        <v>681</v>
      </c>
      <c r="T49" s="263"/>
      <c r="U49" s="263"/>
      <c r="V49" s="264">
        <v>2.23</v>
      </c>
      <c r="W49" s="33" t="s">
        <v>682</v>
      </c>
      <c r="X49" s="258" t="s">
        <v>683</v>
      </c>
      <c r="Y49" s="33" t="s">
        <v>684</v>
      </c>
      <c r="Z49" s="258">
        <v>14045.0</v>
      </c>
      <c r="AA49" s="258">
        <v>11501.0</v>
      </c>
      <c r="AB49" s="258"/>
      <c r="AC49" s="258"/>
      <c r="AD49" s="265"/>
      <c r="AE49" s="266" t="s">
        <v>685</v>
      </c>
      <c r="AF49" s="267" t="s">
        <v>930</v>
      </c>
      <c r="AG49" s="268" t="str">
        <f>IFS(LEN(AF49)=17,LOWER('2-Building'!$B$4 &amp; "-" &amp; C49), AF49="N/A", "N/A", LEN(AF49)=0,"")</f>
        <v>in-blr-ananta-ddc-245</v>
      </c>
      <c r="AH49" s="258"/>
      <c r="AI49" s="258"/>
      <c r="AJ49" s="258"/>
      <c r="AK49" s="258" t="s">
        <v>931</v>
      </c>
      <c r="AL49" s="258" t="s">
        <v>688</v>
      </c>
      <c r="AM49" s="258" t="s">
        <v>689</v>
      </c>
      <c r="AN49" s="258"/>
      <c r="AO49" s="258"/>
      <c r="AP49" s="258"/>
      <c r="AQ49" s="258"/>
      <c r="AR49" s="258" t="s">
        <v>690</v>
      </c>
      <c r="AS49" s="258" t="s">
        <v>691</v>
      </c>
      <c r="AT49" s="258" t="s">
        <v>927</v>
      </c>
      <c r="AU49" s="265" t="s">
        <v>693</v>
      </c>
      <c r="AV49" s="174" t="s">
        <v>243</v>
      </c>
      <c r="AW49" s="269" t="s">
        <v>245</v>
      </c>
      <c r="AX49" s="269" t="s">
        <v>694</v>
      </c>
      <c r="AY49" s="270" t="s">
        <v>695</v>
      </c>
      <c r="AZ49" s="173" t="s">
        <v>681</v>
      </c>
      <c r="BA49" s="265">
        <v>10.0</v>
      </c>
      <c r="BB49" s="174" t="s">
        <v>225</v>
      </c>
      <c r="BC49" s="271"/>
      <c r="BD49" s="272" t="s">
        <v>696</v>
      </c>
      <c r="BE49" s="273" t="s">
        <v>697</v>
      </c>
      <c r="BF49" s="274" t="str">
        <f>IFERROR(__xludf.DUMMYFUNCTION("LOWER(Regexreplace(to_text(E49),""[^A-Za-z0-9]"","""")&amp;""_""&amp;Regexreplace(to_text(F49),""[^A-Za-z0-9]"",""""))"),"sauter_eyrc504fxxx")</f>
        <v>sauter_eyrc504fxxx</v>
      </c>
      <c r="BG49" s="275" t="str">
        <f>IFERROR(__xludf.DUMMYFUNCTION("upper(Regexreplace(to_text(E49),""[^A-Za-z0-9]"","""")&amp;""-""&amp;Regexreplace(to_text(F49),""[^A-Za-z0-9]"",""""))"),"SAUTER-EYRC504FXXX")</f>
        <v>SAUTER-EYRC504FXXX</v>
      </c>
    </row>
    <row r="50" ht="30.0" customHeight="1">
      <c r="A50" s="258">
        <v>46.0</v>
      </c>
      <c r="B50" s="256" t="s">
        <v>670</v>
      </c>
      <c r="C50" s="257" t="s">
        <v>932</v>
      </c>
      <c r="D50" s="173" t="s">
        <v>932</v>
      </c>
      <c r="E50" s="174" t="s">
        <v>672</v>
      </c>
      <c r="F50" s="173" t="s">
        <v>514</v>
      </c>
      <c r="G50" s="258" t="s">
        <v>673</v>
      </c>
      <c r="H50" s="258" t="s">
        <v>674</v>
      </c>
      <c r="I50" s="258" t="s">
        <v>675</v>
      </c>
      <c r="J50" s="259" t="s">
        <v>902</v>
      </c>
      <c r="K50" s="260">
        <v>248.0</v>
      </c>
      <c r="L50" s="258" t="s">
        <v>933</v>
      </c>
      <c r="M50" s="277">
        <v>4.11001235231E11</v>
      </c>
      <c r="N50" s="173" t="s">
        <v>679</v>
      </c>
      <c r="O50" s="173" t="s">
        <v>225</v>
      </c>
      <c r="P50" s="262" t="str">
        <f t="shared" si="1"/>
        <v>IN-BLR-ANANTA-DDC-246_2</v>
      </c>
      <c r="Q50" s="173" t="s">
        <v>934</v>
      </c>
      <c r="R50" s="258" t="str">
        <f>IFS(C50="","",C50="n/a","N/A",LEN(C50),Concatenate("{",char(34),"asset",char(34),":{",char(34),"guid",char(34),":",char(34),Q50,char(34),",",char(34),"site",char(34),":",char(34),LOWER('2-Building'!$B$4),char(34),",",char(34),"name",char(34),":",char(34),LOWER(C50),char(34),"}}"))</f>
        <v>{"asset":{"guid":"uuid://d36fad48-6a49-4fb5-825e-6e01c7e4e598","site":"in-blr-ananta","name":"ddc-246"}}</v>
      </c>
      <c r="S50" s="258" t="s">
        <v>681</v>
      </c>
      <c r="T50" s="263"/>
      <c r="U50" s="263"/>
      <c r="V50" s="264">
        <v>2.23</v>
      </c>
      <c r="W50" s="33" t="s">
        <v>682</v>
      </c>
      <c r="X50" s="258" t="s">
        <v>683</v>
      </c>
      <c r="Y50" s="33" t="s">
        <v>684</v>
      </c>
      <c r="Z50" s="258">
        <v>14046.0</v>
      </c>
      <c r="AA50" s="258">
        <v>11501.0</v>
      </c>
      <c r="AB50" s="258"/>
      <c r="AC50" s="258"/>
      <c r="AD50" s="265"/>
      <c r="AE50" s="266" t="s">
        <v>685</v>
      </c>
      <c r="AF50" s="267" t="s">
        <v>935</v>
      </c>
      <c r="AG50" s="268" t="str">
        <f>IFS(LEN(AF50)=17,LOWER('2-Building'!$B$4 &amp; "-" &amp; C50), AF50="N/A", "N/A", LEN(AF50)=0,"")</f>
        <v>in-blr-ananta-ddc-246</v>
      </c>
      <c r="AH50" s="258"/>
      <c r="AI50" s="258"/>
      <c r="AJ50" s="258"/>
      <c r="AK50" s="258" t="s">
        <v>936</v>
      </c>
      <c r="AL50" s="258" t="s">
        <v>688</v>
      </c>
      <c r="AM50" s="258" t="s">
        <v>689</v>
      </c>
      <c r="AN50" s="258"/>
      <c r="AO50" s="258"/>
      <c r="AP50" s="258"/>
      <c r="AQ50" s="258"/>
      <c r="AR50" s="258" t="s">
        <v>690</v>
      </c>
      <c r="AS50" s="258" t="s">
        <v>691</v>
      </c>
      <c r="AT50" s="258" t="s">
        <v>937</v>
      </c>
      <c r="AU50" s="265" t="s">
        <v>693</v>
      </c>
      <c r="AV50" s="174" t="s">
        <v>243</v>
      </c>
      <c r="AW50" s="269" t="s">
        <v>245</v>
      </c>
      <c r="AX50" s="269" t="s">
        <v>694</v>
      </c>
      <c r="AY50" s="270" t="s">
        <v>695</v>
      </c>
      <c r="AZ50" s="173" t="s">
        <v>681</v>
      </c>
      <c r="BA50" s="265">
        <v>10.0</v>
      </c>
      <c r="BB50" s="174" t="s">
        <v>225</v>
      </c>
      <c r="BC50" s="271"/>
      <c r="BD50" s="272" t="s">
        <v>696</v>
      </c>
      <c r="BE50" s="273" t="s">
        <v>697</v>
      </c>
      <c r="BF50" s="274" t="str">
        <f>IFERROR(__xludf.DUMMYFUNCTION("LOWER(Regexreplace(to_text(E50),""[^A-Za-z0-9]"","""")&amp;""_""&amp;Regexreplace(to_text(F50),""[^A-Za-z0-9]"",""""))"),"sauter_eyrc504fxxx")</f>
        <v>sauter_eyrc504fxxx</v>
      </c>
      <c r="BG50" s="275" t="str">
        <f>IFERROR(__xludf.DUMMYFUNCTION("upper(Regexreplace(to_text(E50),""[^A-Za-z0-9]"","""")&amp;""-""&amp;Regexreplace(to_text(F50),""[^A-Za-z0-9]"",""""))"),"SAUTER-EYRC504FXXX")</f>
        <v>SAUTER-EYRC504FXXX</v>
      </c>
    </row>
    <row r="51" ht="30.0" customHeight="1">
      <c r="A51" s="173">
        <v>47.0</v>
      </c>
      <c r="B51" s="256" t="s">
        <v>670</v>
      </c>
      <c r="C51" s="257" t="s">
        <v>938</v>
      </c>
      <c r="D51" s="173" t="s">
        <v>938</v>
      </c>
      <c r="E51" s="174" t="s">
        <v>672</v>
      </c>
      <c r="F51" s="173" t="s">
        <v>514</v>
      </c>
      <c r="G51" s="258" t="s">
        <v>673</v>
      </c>
      <c r="H51" s="258" t="s">
        <v>674</v>
      </c>
      <c r="I51" s="258" t="s">
        <v>675</v>
      </c>
      <c r="J51" s="259" t="s">
        <v>902</v>
      </c>
      <c r="K51" s="260">
        <v>248.0</v>
      </c>
      <c r="L51" s="258" t="s">
        <v>933</v>
      </c>
      <c r="M51" s="277">
        <v>4.11001235506E11</v>
      </c>
      <c r="N51" s="173" t="s">
        <v>679</v>
      </c>
      <c r="O51" s="173" t="s">
        <v>225</v>
      </c>
      <c r="P51" s="262" t="str">
        <f t="shared" si="1"/>
        <v>IN-BLR-ANANTA-DDC-247_2</v>
      </c>
      <c r="Q51" s="173" t="s">
        <v>939</v>
      </c>
      <c r="R51" s="258" t="str">
        <f>IFS(C51="","",C51="n/a","N/A",LEN(C51),Concatenate("{",char(34),"asset",char(34),":{",char(34),"guid",char(34),":",char(34),Q51,char(34),",",char(34),"site",char(34),":",char(34),LOWER('2-Building'!$B$4),char(34),",",char(34),"name",char(34),":",char(34),LOWER(C51),char(34),"}}"))</f>
        <v>{"asset":{"guid":"uuid://69d1edea-c2b8-4e25-bf75-1a2bc9ee250e","site":"in-blr-ananta","name":"ddc-247"}}</v>
      </c>
      <c r="S51" s="258" t="s">
        <v>681</v>
      </c>
      <c r="T51" s="263"/>
      <c r="U51" s="263"/>
      <c r="V51" s="264">
        <v>2.23</v>
      </c>
      <c r="W51" s="33" t="s">
        <v>682</v>
      </c>
      <c r="X51" s="258" t="s">
        <v>683</v>
      </c>
      <c r="Y51" s="33" t="s">
        <v>684</v>
      </c>
      <c r="Z51" s="258">
        <v>14047.0</v>
      </c>
      <c r="AA51" s="258">
        <v>11501.0</v>
      </c>
      <c r="AB51" s="258"/>
      <c r="AC51" s="258"/>
      <c r="AD51" s="265"/>
      <c r="AE51" s="266" t="s">
        <v>685</v>
      </c>
      <c r="AF51" s="267" t="s">
        <v>940</v>
      </c>
      <c r="AG51" s="268" t="str">
        <f>IFS(LEN(AF51)=17,LOWER('2-Building'!$B$4 &amp; "-" &amp; C51), AF51="N/A", "N/A", LEN(AF51)=0,"")</f>
        <v>in-blr-ananta-ddc-247</v>
      </c>
      <c r="AH51" s="258"/>
      <c r="AI51" s="258"/>
      <c r="AJ51" s="258"/>
      <c r="AK51" s="258" t="s">
        <v>941</v>
      </c>
      <c r="AL51" s="258" t="s">
        <v>688</v>
      </c>
      <c r="AM51" s="258" t="s">
        <v>689</v>
      </c>
      <c r="AN51" s="258"/>
      <c r="AO51" s="258"/>
      <c r="AP51" s="258"/>
      <c r="AQ51" s="258"/>
      <c r="AR51" s="258" t="s">
        <v>690</v>
      </c>
      <c r="AS51" s="258" t="s">
        <v>691</v>
      </c>
      <c r="AT51" s="258" t="s">
        <v>937</v>
      </c>
      <c r="AU51" s="265" t="s">
        <v>693</v>
      </c>
      <c r="AV51" s="174" t="s">
        <v>243</v>
      </c>
      <c r="AW51" s="269" t="s">
        <v>245</v>
      </c>
      <c r="AX51" s="269" t="s">
        <v>694</v>
      </c>
      <c r="AY51" s="270" t="s">
        <v>695</v>
      </c>
      <c r="AZ51" s="173" t="s">
        <v>681</v>
      </c>
      <c r="BA51" s="265">
        <v>10.0</v>
      </c>
      <c r="BB51" s="174" t="s">
        <v>225</v>
      </c>
      <c r="BC51" s="271"/>
      <c r="BD51" s="272" t="s">
        <v>696</v>
      </c>
      <c r="BE51" s="273" t="s">
        <v>697</v>
      </c>
      <c r="BF51" s="274" t="str">
        <f>IFERROR(__xludf.DUMMYFUNCTION("LOWER(Regexreplace(to_text(E51),""[^A-Za-z0-9]"","""")&amp;""_""&amp;Regexreplace(to_text(F51),""[^A-Za-z0-9]"",""""))"),"sauter_eyrc504fxxx")</f>
        <v>sauter_eyrc504fxxx</v>
      </c>
      <c r="BG51" s="275" t="str">
        <f>IFERROR(__xludf.DUMMYFUNCTION("upper(Regexreplace(to_text(E51),""[^A-Za-z0-9]"","""")&amp;""-""&amp;Regexreplace(to_text(F51),""[^A-Za-z0-9]"",""""))"),"SAUTER-EYRC504FXXX")</f>
        <v>SAUTER-EYRC504FXXX</v>
      </c>
    </row>
    <row r="52" ht="30.0" customHeight="1">
      <c r="A52" s="258">
        <v>48.0</v>
      </c>
      <c r="B52" s="256" t="s">
        <v>670</v>
      </c>
      <c r="C52" s="257" t="s">
        <v>942</v>
      </c>
      <c r="D52" s="173" t="s">
        <v>942</v>
      </c>
      <c r="E52" s="174" t="s">
        <v>672</v>
      </c>
      <c r="F52" s="173" t="s">
        <v>514</v>
      </c>
      <c r="G52" s="258" t="s">
        <v>673</v>
      </c>
      <c r="H52" s="258" t="s">
        <v>674</v>
      </c>
      <c r="I52" s="258" t="s">
        <v>675</v>
      </c>
      <c r="J52" s="259" t="s">
        <v>902</v>
      </c>
      <c r="K52" s="260">
        <v>233.0</v>
      </c>
      <c r="L52" s="258" t="s">
        <v>943</v>
      </c>
      <c r="M52" s="277">
        <v>4.11001239509E11</v>
      </c>
      <c r="N52" s="173" t="s">
        <v>679</v>
      </c>
      <c r="O52" s="173" t="s">
        <v>225</v>
      </c>
      <c r="P52" s="262" t="str">
        <f t="shared" si="1"/>
        <v>IN-BLR-ANANTA-DDC-248_2</v>
      </c>
      <c r="Q52" s="173" t="s">
        <v>944</v>
      </c>
      <c r="R52" s="258" t="str">
        <f>IFS(C52="","",C52="n/a","N/A",LEN(C52),Concatenate("{",char(34),"asset",char(34),":{",char(34),"guid",char(34),":",char(34),Q52,char(34),",",char(34),"site",char(34),":",char(34),LOWER('2-Building'!$B$4),char(34),",",char(34),"name",char(34),":",char(34),LOWER(C52),char(34),"}}"))</f>
        <v>{"asset":{"guid":"uuid://f4797549-784a-492d-a0ce-678051e5c6be","site":"in-blr-ananta","name":"ddc-248"}}</v>
      </c>
      <c r="S52" s="258" t="s">
        <v>681</v>
      </c>
      <c r="T52" s="263"/>
      <c r="U52" s="263"/>
      <c r="V52" s="264">
        <v>2.23</v>
      </c>
      <c r="W52" s="33" t="s">
        <v>682</v>
      </c>
      <c r="X52" s="258" t="s">
        <v>683</v>
      </c>
      <c r="Y52" s="33" t="s">
        <v>684</v>
      </c>
      <c r="Z52" s="258">
        <v>14048.0</v>
      </c>
      <c r="AA52" s="258">
        <v>11501.0</v>
      </c>
      <c r="AB52" s="258"/>
      <c r="AC52" s="258"/>
      <c r="AD52" s="265"/>
      <c r="AE52" s="266" t="s">
        <v>685</v>
      </c>
      <c r="AF52" s="267" t="s">
        <v>945</v>
      </c>
      <c r="AG52" s="268" t="str">
        <f>IFS(LEN(AF52)=17,LOWER('2-Building'!$B$4 &amp; "-" &amp; C52), AF52="N/A", "N/A", LEN(AF52)=0,"")</f>
        <v>in-blr-ananta-ddc-248</v>
      </c>
      <c r="AH52" s="258"/>
      <c r="AI52" s="258"/>
      <c r="AJ52" s="258"/>
      <c r="AK52" s="258" t="s">
        <v>946</v>
      </c>
      <c r="AL52" s="258" t="s">
        <v>688</v>
      </c>
      <c r="AM52" s="258" t="s">
        <v>689</v>
      </c>
      <c r="AN52" s="258"/>
      <c r="AO52" s="258"/>
      <c r="AP52" s="258"/>
      <c r="AQ52" s="258"/>
      <c r="AR52" s="258" t="s">
        <v>690</v>
      </c>
      <c r="AS52" s="258" t="s">
        <v>691</v>
      </c>
      <c r="AT52" s="258" t="s">
        <v>947</v>
      </c>
      <c r="AU52" s="265" t="s">
        <v>693</v>
      </c>
      <c r="AV52" s="174" t="s">
        <v>243</v>
      </c>
      <c r="AW52" s="269" t="s">
        <v>245</v>
      </c>
      <c r="AX52" s="269" t="s">
        <v>694</v>
      </c>
      <c r="AY52" s="270" t="s">
        <v>695</v>
      </c>
      <c r="AZ52" s="173" t="s">
        <v>681</v>
      </c>
      <c r="BA52" s="265">
        <v>10.0</v>
      </c>
      <c r="BB52" s="174" t="s">
        <v>225</v>
      </c>
      <c r="BC52" s="271"/>
      <c r="BD52" s="272" t="s">
        <v>696</v>
      </c>
      <c r="BE52" s="273" t="s">
        <v>697</v>
      </c>
      <c r="BF52" s="274" t="str">
        <f>IFERROR(__xludf.DUMMYFUNCTION("LOWER(Regexreplace(to_text(E52),""[^A-Za-z0-9]"","""")&amp;""_""&amp;Regexreplace(to_text(F52),""[^A-Za-z0-9]"",""""))"),"sauter_eyrc504fxxx")</f>
        <v>sauter_eyrc504fxxx</v>
      </c>
      <c r="BG52" s="275" t="str">
        <f>IFERROR(__xludf.DUMMYFUNCTION("upper(Regexreplace(to_text(E52),""[^A-Za-z0-9]"","""")&amp;""-""&amp;Regexreplace(to_text(F52),""[^A-Za-z0-9]"",""""))"),"SAUTER-EYRC504FXXX")</f>
        <v>SAUTER-EYRC504FXXX</v>
      </c>
    </row>
    <row r="53" ht="30.0" customHeight="1">
      <c r="A53" s="173">
        <v>49.0</v>
      </c>
      <c r="B53" s="256" t="s">
        <v>670</v>
      </c>
      <c r="C53" s="257" t="s">
        <v>948</v>
      </c>
      <c r="D53" s="173" t="s">
        <v>948</v>
      </c>
      <c r="E53" s="174" t="s">
        <v>672</v>
      </c>
      <c r="F53" s="173" t="s">
        <v>514</v>
      </c>
      <c r="G53" s="258" t="s">
        <v>673</v>
      </c>
      <c r="H53" s="258" t="s">
        <v>674</v>
      </c>
      <c r="I53" s="258" t="s">
        <v>675</v>
      </c>
      <c r="J53" s="259" t="s">
        <v>902</v>
      </c>
      <c r="K53" s="260">
        <v>233.0</v>
      </c>
      <c r="L53" s="258" t="s">
        <v>949</v>
      </c>
      <c r="M53" s="277">
        <v>4.11001239114E11</v>
      </c>
      <c r="N53" s="173" t="s">
        <v>679</v>
      </c>
      <c r="O53" s="173" t="s">
        <v>225</v>
      </c>
      <c r="P53" s="262" t="str">
        <f t="shared" si="1"/>
        <v>IN-BLR-ANANTA-DDC-249_2</v>
      </c>
      <c r="Q53" s="173" t="s">
        <v>950</v>
      </c>
      <c r="R53" s="258" t="str">
        <f>IFS(C53="","",C53="n/a","N/A",LEN(C53),Concatenate("{",char(34),"asset",char(34),":{",char(34),"guid",char(34),":",char(34),Q53,char(34),",",char(34),"site",char(34),":",char(34),LOWER('2-Building'!$B$4),char(34),",",char(34),"name",char(34),":",char(34),LOWER(C53),char(34),"}}"))</f>
        <v>{"asset":{"guid":"uuid://c21fc382-d92a-43da-b955-480f0c68426f","site":"in-blr-ananta","name":"ddc-249"}}</v>
      </c>
      <c r="S53" s="258" t="s">
        <v>681</v>
      </c>
      <c r="T53" s="263"/>
      <c r="U53" s="263"/>
      <c r="V53" s="264">
        <v>2.23</v>
      </c>
      <c r="W53" s="33" t="s">
        <v>682</v>
      </c>
      <c r="X53" s="258" t="s">
        <v>683</v>
      </c>
      <c r="Y53" s="33" t="s">
        <v>684</v>
      </c>
      <c r="Z53" s="258">
        <v>14049.0</v>
      </c>
      <c r="AA53" s="258">
        <v>11501.0</v>
      </c>
      <c r="AB53" s="258"/>
      <c r="AC53" s="258"/>
      <c r="AD53" s="265"/>
      <c r="AE53" s="266" t="s">
        <v>685</v>
      </c>
      <c r="AF53" s="267" t="s">
        <v>951</v>
      </c>
      <c r="AG53" s="268" t="str">
        <f>IFS(LEN(AF53)=17,LOWER('2-Building'!$B$4 &amp; "-" &amp; C53), AF53="N/A", "N/A", LEN(AF53)=0,"")</f>
        <v>in-blr-ananta-ddc-249</v>
      </c>
      <c r="AH53" s="258"/>
      <c r="AI53" s="258"/>
      <c r="AJ53" s="258"/>
      <c r="AK53" s="258" t="s">
        <v>952</v>
      </c>
      <c r="AL53" s="258" t="s">
        <v>688</v>
      </c>
      <c r="AM53" s="258" t="s">
        <v>689</v>
      </c>
      <c r="AN53" s="258"/>
      <c r="AO53" s="258"/>
      <c r="AP53" s="258"/>
      <c r="AQ53" s="258"/>
      <c r="AR53" s="258" t="s">
        <v>690</v>
      </c>
      <c r="AS53" s="258" t="s">
        <v>691</v>
      </c>
      <c r="AT53" s="258" t="s">
        <v>947</v>
      </c>
      <c r="AU53" s="265" t="s">
        <v>693</v>
      </c>
      <c r="AV53" s="174" t="s">
        <v>243</v>
      </c>
      <c r="AW53" s="269" t="s">
        <v>245</v>
      </c>
      <c r="AX53" s="269" t="s">
        <v>694</v>
      </c>
      <c r="AY53" s="270" t="s">
        <v>695</v>
      </c>
      <c r="AZ53" s="173" t="s">
        <v>681</v>
      </c>
      <c r="BA53" s="265">
        <v>10.0</v>
      </c>
      <c r="BB53" s="174" t="s">
        <v>225</v>
      </c>
      <c r="BC53" s="271"/>
      <c r="BD53" s="272" t="s">
        <v>696</v>
      </c>
      <c r="BE53" s="273" t="s">
        <v>697</v>
      </c>
      <c r="BF53" s="274" t="str">
        <f>IFERROR(__xludf.DUMMYFUNCTION("LOWER(Regexreplace(to_text(E53),""[^A-Za-z0-9]"","""")&amp;""_""&amp;Regexreplace(to_text(F53),""[^A-Za-z0-9]"",""""))"),"sauter_eyrc504fxxx")</f>
        <v>sauter_eyrc504fxxx</v>
      </c>
      <c r="BG53" s="275" t="str">
        <f>IFERROR(__xludf.DUMMYFUNCTION("upper(Regexreplace(to_text(E53),""[^A-Za-z0-9]"","""")&amp;""-""&amp;Regexreplace(to_text(F53),""[^A-Za-z0-9]"",""""))"),"SAUTER-EYRC504FXXX")</f>
        <v>SAUTER-EYRC504FXXX</v>
      </c>
    </row>
    <row r="54" ht="30.0" customHeight="1">
      <c r="A54" s="258">
        <v>50.0</v>
      </c>
      <c r="B54" s="256" t="s">
        <v>670</v>
      </c>
      <c r="C54" s="257" t="s">
        <v>953</v>
      </c>
      <c r="D54" s="173" t="s">
        <v>953</v>
      </c>
      <c r="E54" s="174" t="s">
        <v>672</v>
      </c>
      <c r="F54" s="173" t="s">
        <v>514</v>
      </c>
      <c r="G54" s="258" t="s">
        <v>673</v>
      </c>
      <c r="H54" s="258" t="s">
        <v>674</v>
      </c>
      <c r="I54" s="258" t="s">
        <v>675</v>
      </c>
      <c r="J54" s="259" t="s">
        <v>902</v>
      </c>
      <c r="K54" s="260">
        <v>234.0</v>
      </c>
      <c r="L54" s="258" t="s">
        <v>954</v>
      </c>
      <c r="M54" s="277">
        <v>4.11001237449E11</v>
      </c>
      <c r="N54" s="173" t="s">
        <v>679</v>
      </c>
      <c r="O54" s="173" t="s">
        <v>225</v>
      </c>
      <c r="P54" s="262" t="str">
        <f t="shared" si="1"/>
        <v>IN-BLR-ANANTA-DDC-250_2</v>
      </c>
      <c r="Q54" s="173" t="s">
        <v>955</v>
      </c>
      <c r="R54" s="258" t="str">
        <f>IFS(C54="","",C54="n/a","N/A",LEN(C54),Concatenate("{",char(34),"asset",char(34),":{",char(34),"guid",char(34),":",char(34),Q54,char(34),",",char(34),"site",char(34),":",char(34),LOWER('2-Building'!$B$4),char(34),",",char(34),"name",char(34),":",char(34),LOWER(C54),char(34),"}}"))</f>
        <v>{"asset":{"guid":"uuid://fe1783b9-e7d5-41fb-afd6-bedfaa9bc857","site":"in-blr-ananta","name":"ddc-250"}}</v>
      </c>
      <c r="S54" s="258" t="s">
        <v>681</v>
      </c>
      <c r="T54" s="263"/>
      <c r="U54" s="263"/>
      <c r="V54" s="264">
        <v>2.23</v>
      </c>
      <c r="W54" s="33" t="s">
        <v>682</v>
      </c>
      <c r="X54" s="258" t="s">
        <v>683</v>
      </c>
      <c r="Y54" s="33" t="s">
        <v>684</v>
      </c>
      <c r="Z54" s="258">
        <v>14050.0</v>
      </c>
      <c r="AA54" s="258">
        <v>11501.0</v>
      </c>
      <c r="AB54" s="258"/>
      <c r="AC54" s="258"/>
      <c r="AD54" s="265"/>
      <c r="AE54" s="266" t="s">
        <v>685</v>
      </c>
      <c r="AF54" s="267" t="s">
        <v>956</v>
      </c>
      <c r="AG54" s="268" t="str">
        <f>IFS(LEN(AF54)=17,LOWER('2-Building'!$B$4 &amp; "-" &amp; C54), AF54="N/A", "N/A", LEN(AF54)=0,"")</f>
        <v>in-blr-ananta-ddc-250</v>
      </c>
      <c r="AH54" s="258"/>
      <c r="AI54" s="258"/>
      <c r="AJ54" s="258"/>
      <c r="AK54" s="258" t="s">
        <v>957</v>
      </c>
      <c r="AL54" s="258" t="s">
        <v>688</v>
      </c>
      <c r="AM54" s="258" t="s">
        <v>689</v>
      </c>
      <c r="AN54" s="258"/>
      <c r="AO54" s="258"/>
      <c r="AP54" s="258"/>
      <c r="AQ54" s="258"/>
      <c r="AR54" s="258" t="s">
        <v>690</v>
      </c>
      <c r="AS54" s="258" t="s">
        <v>691</v>
      </c>
      <c r="AT54" s="258" t="s">
        <v>958</v>
      </c>
      <c r="AU54" s="265" t="s">
        <v>693</v>
      </c>
      <c r="AV54" s="174" t="s">
        <v>243</v>
      </c>
      <c r="AW54" s="269" t="s">
        <v>245</v>
      </c>
      <c r="AX54" s="269" t="s">
        <v>694</v>
      </c>
      <c r="AY54" s="270" t="s">
        <v>695</v>
      </c>
      <c r="AZ54" s="173" t="s">
        <v>681</v>
      </c>
      <c r="BA54" s="265">
        <v>10.0</v>
      </c>
      <c r="BB54" s="174" t="s">
        <v>225</v>
      </c>
      <c r="BC54" s="271"/>
      <c r="BD54" s="272" t="s">
        <v>696</v>
      </c>
      <c r="BE54" s="273" t="s">
        <v>697</v>
      </c>
      <c r="BF54" s="274" t="str">
        <f>IFERROR(__xludf.DUMMYFUNCTION("LOWER(Regexreplace(to_text(E54),""[^A-Za-z0-9]"","""")&amp;""_""&amp;Regexreplace(to_text(F54),""[^A-Za-z0-9]"",""""))"),"sauter_eyrc504fxxx")</f>
        <v>sauter_eyrc504fxxx</v>
      </c>
      <c r="BG54" s="275" t="str">
        <f>IFERROR(__xludf.DUMMYFUNCTION("upper(Regexreplace(to_text(E54),""[^A-Za-z0-9]"","""")&amp;""-""&amp;Regexreplace(to_text(F54),""[^A-Za-z0-9]"",""""))"),"SAUTER-EYRC504FXXX")</f>
        <v>SAUTER-EYRC504FXXX</v>
      </c>
    </row>
    <row r="55" ht="30.0" customHeight="1">
      <c r="A55" s="173">
        <v>51.0</v>
      </c>
      <c r="B55" s="256" t="s">
        <v>670</v>
      </c>
      <c r="C55" s="257" t="s">
        <v>959</v>
      </c>
      <c r="D55" s="173" t="s">
        <v>959</v>
      </c>
      <c r="E55" s="174" t="s">
        <v>672</v>
      </c>
      <c r="F55" s="173" t="s">
        <v>514</v>
      </c>
      <c r="G55" s="258" t="s">
        <v>673</v>
      </c>
      <c r="H55" s="258" t="s">
        <v>674</v>
      </c>
      <c r="I55" s="258" t="s">
        <v>675</v>
      </c>
      <c r="J55" s="259" t="s">
        <v>902</v>
      </c>
      <c r="K55" s="260">
        <v>234.0</v>
      </c>
      <c r="L55" s="258" t="s">
        <v>960</v>
      </c>
      <c r="M55" s="277">
        <v>4.11001359936E11</v>
      </c>
      <c r="N55" s="173" t="s">
        <v>679</v>
      </c>
      <c r="O55" s="173" t="s">
        <v>225</v>
      </c>
      <c r="P55" s="262" t="str">
        <f t="shared" si="1"/>
        <v>IN-BLR-ANANTA-DDC-251_2</v>
      </c>
      <c r="Q55" s="173" t="s">
        <v>961</v>
      </c>
      <c r="R55" s="258" t="str">
        <f>IFS(C55="","",C55="n/a","N/A",LEN(C55),Concatenate("{",char(34),"asset",char(34),":{",char(34),"guid",char(34),":",char(34),Q55,char(34),",",char(34),"site",char(34),":",char(34),LOWER('2-Building'!$B$4),char(34),",",char(34),"name",char(34),":",char(34),LOWER(C55),char(34),"}}"))</f>
        <v>{"asset":{"guid":"uuid://a0fa63ff-a8c4-4b94-89be-aebc632f485f","site":"in-blr-ananta","name":"ddc-251"}}</v>
      </c>
      <c r="S55" s="258" t="s">
        <v>681</v>
      </c>
      <c r="T55" s="263"/>
      <c r="U55" s="263"/>
      <c r="V55" s="264">
        <v>2.23</v>
      </c>
      <c r="W55" s="33" t="s">
        <v>682</v>
      </c>
      <c r="X55" s="258" t="s">
        <v>683</v>
      </c>
      <c r="Y55" s="33" t="s">
        <v>684</v>
      </c>
      <c r="Z55" s="258">
        <v>14051.0</v>
      </c>
      <c r="AA55" s="258">
        <v>11501.0</v>
      </c>
      <c r="AB55" s="258"/>
      <c r="AC55" s="258"/>
      <c r="AD55" s="265"/>
      <c r="AE55" s="266" t="s">
        <v>685</v>
      </c>
      <c r="AF55" s="267" t="s">
        <v>962</v>
      </c>
      <c r="AG55" s="268" t="str">
        <f>IFS(LEN(AF55)=17,LOWER('2-Building'!$B$4 &amp; "-" &amp; C55), AF55="N/A", "N/A", LEN(AF55)=0,"")</f>
        <v>in-blr-ananta-ddc-251</v>
      </c>
      <c r="AH55" s="258"/>
      <c r="AI55" s="258"/>
      <c r="AJ55" s="258"/>
      <c r="AK55" s="258" t="s">
        <v>963</v>
      </c>
      <c r="AL55" s="258" t="s">
        <v>688</v>
      </c>
      <c r="AM55" s="258" t="s">
        <v>689</v>
      </c>
      <c r="AN55" s="258"/>
      <c r="AO55" s="258"/>
      <c r="AP55" s="258"/>
      <c r="AQ55" s="258"/>
      <c r="AR55" s="258" t="s">
        <v>690</v>
      </c>
      <c r="AS55" s="258" t="s">
        <v>691</v>
      </c>
      <c r="AT55" s="258" t="s">
        <v>958</v>
      </c>
      <c r="AU55" s="265" t="s">
        <v>693</v>
      </c>
      <c r="AV55" s="174" t="s">
        <v>243</v>
      </c>
      <c r="AW55" s="269" t="s">
        <v>245</v>
      </c>
      <c r="AX55" s="269" t="s">
        <v>694</v>
      </c>
      <c r="AY55" s="270" t="s">
        <v>695</v>
      </c>
      <c r="AZ55" s="173" t="s">
        <v>681</v>
      </c>
      <c r="BA55" s="265">
        <v>10.0</v>
      </c>
      <c r="BB55" s="174" t="s">
        <v>225</v>
      </c>
      <c r="BC55" s="271"/>
      <c r="BD55" s="272" t="s">
        <v>696</v>
      </c>
      <c r="BE55" s="273" t="s">
        <v>697</v>
      </c>
      <c r="BF55" s="274" t="str">
        <f>IFERROR(__xludf.DUMMYFUNCTION("LOWER(Regexreplace(to_text(E55),""[^A-Za-z0-9]"","""")&amp;""_""&amp;Regexreplace(to_text(F55),""[^A-Za-z0-9]"",""""))"),"sauter_eyrc504fxxx")</f>
        <v>sauter_eyrc504fxxx</v>
      </c>
      <c r="BG55" s="275" t="str">
        <f>IFERROR(__xludf.DUMMYFUNCTION("upper(Regexreplace(to_text(E55),""[^A-Za-z0-9]"","""")&amp;""-""&amp;Regexreplace(to_text(F55),""[^A-Za-z0-9]"",""""))"),"SAUTER-EYRC504FXXX")</f>
        <v>SAUTER-EYRC504FXXX</v>
      </c>
    </row>
    <row r="56" ht="30.0" customHeight="1">
      <c r="A56" s="258">
        <v>52.0</v>
      </c>
      <c r="B56" s="256" t="s">
        <v>670</v>
      </c>
      <c r="C56" s="257" t="s">
        <v>964</v>
      </c>
      <c r="D56" s="173" t="s">
        <v>964</v>
      </c>
      <c r="E56" s="174" t="s">
        <v>672</v>
      </c>
      <c r="F56" s="173" t="s">
        <v>514</v>
      </c>
      <c r="G56" s="258" t="s">
        <v>673</v>
      </c>
      <c r="H56" s="258" t="s">
        <v>674</v>
      </c>
      <c r="I56" s="258" t="s">
        <v>675</v>
      </c>
      <c r="J56" s="259" t="s">
        <v>965</v>
      </c>
      <c r="K56" s="260">
        <v>363.0</v>
      </c>
      <c r="L56" s="258" t="s">
        <v>966</v>
      </c>
      <c r="M56" s="277">
        <v>4.11001239436E11</v>
      </c>
      <c r="N56" s="173" t="s">
        <v>679</v>
      </c>
      <c r="O56" s="173" t="s">
        <v>225</v>
      </c>
      <c r="P56" s="262" t="str">
        <f t="shared" si="1"/>
        <v>IN-BLR-ANANTA-DDC-252_3</v>
      </c>
      <c r="Q56" s="173" t="s">
        <v>967</v>
      </c>
      <c r="R56" s="258" t="str">
        <f>IFS(C56="","",C56="n/a","N/A",LEN(C56),Concatenate("{",char(34),"asset",char(34),":{",char(34),"guid",char(34),":",char(34),Q56,char(34),",",char(34),"site",char(34),":",char(34),LOWER('2-Building'!$B$4),char(34),",",char(34),"name",char(34),":",char(34),LOWER(C56),char(34),"}}"))</f>
        <v>{"asset":{"guid":"uuid://6cfeb34e-8376-4f40-9777-f6f7b82d5ec0","site":"in-blr-ananta","name":"ddc-252"}}</v>
      </c>
      <c r="S56" s="258" t="s">
        <v>681</v>
      </c>
      <c r="T56" s="263"/>
      <c r="U56" s="263"/>
      <c r="V56" s="264">
        <v>2.23</v>
      </c>
      <c r="W56" s="33" t="s">
        <v>682</v>
      </c>
      <c r="X56" s="258" t="s">
        <v>683</v>
      </c>
      <c r="Y56" s="33" t="s">
        <v>684</v>
      </c>
      <c r="Z56" s="258">
        <v>14052.0</v>
      </c>
      <c r="AA56" s="258">
        <v>11501.0</v>
      </c>
      <c r="AB56" s="258"/>
      <c r="AC56" s="258"/>
      <c r="AD56" s="265"/>
      <c r="AE56" s="266" t="s">
        <v>685</v>
      </c>
      <c r="AF56" s="267" t="s">
        <v>968</v>
      </c>
      <c r="AG56" s="268" t="str">
        <f>IFS(LEN(AF56)=17,LOWER('2-Building'!$B$4 &amp; "-" &amp; C56), AF56="N/A", "N/A", LEN(AF56)=0,"")</f>
        <v>in-blr-ananta-ddc-252</v>
      </c>
      <c r="AH56" s="258"/>
      <c r="AI56" s="258"/>
      <c r="AJ56" s="258"/>
      <c r="AK56" s="258" t="s">
        <v>969</v>
      </c>
      <c r="AL56" s="258" t="s">
        <v>688</v>
      </c>
      <c r="AM56" s="258" t="s">
        <v>689</v>
      </c>
      <c r="AN56" s="258"/>
      <c r="AO56" s="258"/>
      <c r="AP56" s="258"/>
      <c r="AQ56" s="258"/>
      <c r="AR56" s="258" t="s">
        <v>690</v>
      </c>
      <c r="AS56" s="258" t="s">
        <v>691</v>
      </c>
      <c r="AT56" s="258" t="s">
        <v>970</v>
      </c>
      <c r="AU56" s="265" t="s">
        <v>693</v>
      </c>
      <c r="AV56" s="174" t="s">
        <v>243</v>
      </c>
      <c r="AW56" s="269" t="s">
        <v>245</v>
      </c>
      <c r="AX56" s="269" t="s">
        <v>694</v>
      </c>
      <c r="AY56" s="270" t="s">
        <v>695</v>
      </c>
      <c r="AZ56" s="173" t="s">
        <v>681</v>
      </c>
      <c r="BA56" s="265">
        <v>10.0</v>
      </c>
      <c r="BB56" s="174" t="s">
        <v>225</v>
      </c>
      <c r="BC56" s="271"/>
      <c r="BD56" s="272" t="s">
        <v>696</v>
      </c>
      <c r="BE56" s="273" t="s">
        <v>697</v>
      </c>
      <c r="BF56" s="274" t="str">
        <f>IFERROR(__xludf.DUMMYFUNCTION("LOWER(Regexreplace(to_text(E56),""[^A-Za-z0-9]"","""")&amp;""_""&amp;Regexreplace(to_text(F56),""[^A-Za-z0-9]"",""""))"),"sauter_eyrc504fxxx")</f>
        <v>sauter_eyrc504fxxx</v>
      </c>
      <c r="BG56" s="275" t="str">
        <f>IFERROR(__xludf.DUMMYFUNCTION("upper(Regexreplace(to_text(E56),""[^A-Za-z0-9]"","""")&amp;""-""&amp;Regexreplace(to_text(F56),""[^A-Za-z0-9]"",""""))"),"SAUTER-EYRC504FXXX")</f>
        <v>SAUTER-EYRC504FXXX</v>
      </c>
    </row>
    <row r="57" ht="30.0" customHeight="1">
      <c r="A57" s="173">
        <v>53.0</v>
      </c>
      <c r="B57" s="256" t="s">
        <v>670</v>
      </c>
      <c r="C57" s="257" t="s">
        <v>971</v>
      </c>
      <c r="D57" s="173" t="s">
        <v>971</v>
      </c>
      <c r="E57" s="174" t="s">
        <v>672</v>
      </c>
      <c r="F57" s="173" t="s">
        <v>514</v>
      </c>
      <c r="G57" s="258" t="s">
        <v>673</v>
      </c>
      <c r="H57" s="258" t="s">
        <v>674</v>
      </c>
      <c r="I57" s="258" t="s">
        <v>675</v>
      </c>
      <c r="J57" s="259" t="s">
        <v>965</v>
      </c>
      <c r="K57" s="260">
        <v>363.0</v>
      </c>
      <c r="L57" s="258" t="s">
        <v>966</v>
      </c>
      <c r="M57" s="277">
        <v>4.11001239054E11</v>
      </c>
      <c r="N57" s="173" t="s">
        <v>679</v>
      </c>
      <c r="O57" s="173" t="s">
        <v>225</v>
      </c>
      <c r="P57" s="262" t="str">
        <f t="shared" si="1"/>
        <v>IN-BLR-ANANTA-DDC-253_3</v>
      </c>
      <c r="Q57" s="173" t="s">
        <v>972</v>
      </c>
      <c r="R57" s="258" t="str">
        <f>IFS(C57="","",C57="n/a","N/A",LEN(C57),Concatenate("{",char(34),"asset",char(34),":{",char(34),"guid",char(34),":",char(34),Q57,char(34),",",char(34),"site",char(34),":",char(34),LOWER('2-Building'!$B$4),char(34),",",char(34),"name",char(34),":",char(34),LOWER(C57),char(34),"}}"))</f>
        <v>{"asset":{"guid":"uuid://0b31df4f-f5de-4da1-ba72-014a32c10a84","site":"in-blr-ananta","name":"ddc-253"}}</v>
      </c>
      <c r="S57" s="258" t="s">
        <v>681</v>
      </c>
      <c r="T57" s="263"/>
      <c r="U57" s="263"/>
      <c r="V57" s="264">
        <v>2.23</v>
      </c>
      <c r="W57" s="33" t="s">
        <v>682</v>
      </c>
      <c r="X57" s="258" t="s">
        <v>683</v>
      </c>
      <c r="Y57" s="33" t="s">
        <v>684</v>
      </c>
      <c r="Z57" s="258">
        <v>14053.0</v>
      </c>
      <c r="AA57" s="258">
        <v>11501.0</v>
      </c>
      <c r="AB57" s="258"/>
      <c r="AC57" s="258"/>
      <c r="AD57" s="265"/>
      <c r="AE57" s="266" t="s">
        <v>685</v>
      </c>
      <c r="AF57" s="267" t="s">
        <v>973</v>
      </c>
      <c r="AG57" s="268" t="str">
        <f>IFS(LEN(AF57)=17,LOWER('2-Building'!$B$4 &amp; "-" &amp; C57), AF57="N/A", "N/A", LEN(AF57)=0,"")</f>
        <v>in-blr-ananta-ddc-253</v>
      </c>
      <c r="AH57" s="258"/>
      <c r="AI57" s="258"/>
      <c r="AJ57" s="258"/>
      <c r="AK57" s="258" t="s">
        <v>974</v>
      </c>
      <c r="AL57" s="258" t="s">
        <v>688</v>
      </c>
      <c r="AM57" s="258" t="s">
        <v>689</v>
      </c>
      <c r="AN57" s="258"/>
      <c r="AO57" s="258"/>
      <c r="AP57" s="258"/>
      <c r="AQ57" s="258"/>
      <c r="AR57" s="258" t="s">
        <v>690</v>
      </c>
      <c r="AS57" s="258" t="s">
        <v>691</v>
      </c>
      <c r="AT57" s="258" t="s">
        <v>970</v>
      </c>
      <c r="AU57" s="265" t="s">
        <v>693</v>
      </c>
      <c r="AV57" s="174" t="s">
        <v>243</v>
      </c>
      <c r="AW57" s="269" t="s">
        <v>245</v>
      </c>
      <c r="AX57" s="269" t="s">
        <v>694</v>
      </c>
      <c r="AY57" s="270" t="s">
        <v>695</v>
      </c>
      <c r="AZ57" s="173" t="s">
        <v>681</v>
      </c>
      <c r="BA57" s="265">
        <v>10.0</v>
      </c>
      <c r="BB57" s="174" t="s">
        <v>225</v>
      </c>
      <c r="BC57" s="271"/>
      <c r="BD57" s="272" t="s">
        <v>696</v>
      </c>
      <c r="BE57" s="273" t="s">
        <v>697</v>
      </c>
      <c r="BF57" s="274" t="str">
        <f>IFERROR(__xludf.DUMMYFUNCTION("LOWER(Regexreplace(to_text(E57),""[^A-Za-z0-9]"","""")&amp;""_""&amp;Regexreplace(to_text(F57),""[^A-Za-z0-9]"",""""))"),"sauter_eyrc504fxxx")</f>
        <v>sauter_eyrc504fxxx</v>
      </c>
      <c r="BG57" s="275" t="str">
        <f>IFERROR(__xludf.DUMMYFUNCTION("upper(Regexreplace(to_text(E57),""[^A-Za-z0-9]"","""")&amp;""-""&amp;Regexreplace(to_text(F57),""[^A-Za-z0-9]"",""""))"),"SAUTER-EYRC504FXXX")</f>
        <v>SAUTER-EYRC504FXXX</v>
      </c>
    </row>
    <row r="58" ht="30.0" customHeight="1">
      <c r="A58" s="258">
        <v>54.0</v>
      </c>
      <c r="B58" s="256" t="s">
        <v>670</v>
      </c>
      <c r="C58" s="257" t="s">
        <v>975</v>
      </c>
      <c r="D58" s="173" t="s">
        <v>975</v>
      </c>
      <c r="E58" s="174" t="s">
        <v>672</v>
      </c>
      <c r="F58" s="173" t="s">
        <v>514</v>
      </c>
      <c r="G58" s="258" t="s">
        <v>673</v>
      </c>
      <c r="H58" s="258" t="s">
        <v>674</v>
      </c>
      <c r="I58" s="258" t="s">
        <v>675</v>
      </c>
      <c r="J58" s="259" t="s">
        <v>965</v>
      </c>
      <c r="K58" s="260">
        <v>375.0</v>
      </c>
      <c r="L58" s="258" t="s">
        <v>976</v>
      </c>
      <c r="M58" s="277">
        <v>4.11001232026E11</v>
      </c>
      <c r="N58" s="173" t="s">
        <v>679</v>
      </c>
      <c r="O58" s="173" t="s">
        <v>225</v>
      </c>
      <c r="P58" s="262" t="str">
        <f t="shared" si="1"/>
        <v>IN-BLR-ANANTA-DDC-254_3</v>
      </c>
      <c r="Q58" s="173" t="s">
        <v>977</v>
      </c>
      <c r="R58" s="258" t="str">
        <f>IFS(C58="","",C58="n/a","N/A",LEN(C58),Concatenate("{",char(34),"asset",char(34),":{",char(34),"guid",char(34),":",char(34),Q58,char(34),",",char(34),"site",char(34),":",char(34),LOWER('2-Building'!$B$4),char(34),",",char(34),"name",char(34),":",char(34),LOWER(C58),char(34),"}}"))</f>
        <v>{"asset":{"guid":"uuid://81a10447-3383-4f2c-abaa-026693916f9c","site":"in-blr-ananta","name":"ddc-254"}}</v>
      </c>
      <c r="S58" s="258" t="s">
        <v>681</v>
      </c>
      <c r="T58" s="263"/>
      <c r="U58" s="263"/>
      <c r="V58" s="264">
        <v>2.23</v>
      </c>
      <c r="W58" s="33" t="s">
        <v>682</v>
      </c>
      <c r="X58" s="258" t="s">
        <v>683</v>
      </c>
      <c r="Y58" s="33" t="s">
        <v>684</v>
      </c>
      <c r="Z58" s="258">
        <v>14054.0</v>
      </c>
      <c r="AA58" s="258">
        <v>11501.0</v>
      </c>
      <c r="AB58" s="258"/>
      <c r="AC58" s="258"/>
      <c r="AD58" s="265"/>
      <c r="AE58" s="266" t="s">
        <v>685</v>
      </c>
      <c r="AF58" s="267" t="s">
        <v>978</v>
      </c>
      <c r="AG58" s="268" t="str">
        <f>IFS(LEN(AF58)=17,LOWER('2-Building'!$B$4 &amp; "-" &amp; C58), AF58="N/A", "N/A", LEN(AF58)=0,"")</f>
        <v>in-blr-ananta-ddc-254</v>
      </c>
      <c r="AH58" s="258"/>
      <c r="AI58" s="258"/>
      <c r="AJ58" s="258"/>
      <c r="AK58" s="258" t="s">
        <v>979</v>
      </c>
      <c r="AL58" s="258" t="s">
        <v>688</v>
      </c>
      <c r="AM58" s="258" t="s">
        <v>689</v>
      </c>
      <c r="AN58" s="258"/>
      <c r="AO58" s="258"/>
      <c r="AP58" s="258"/>
      <c r="AQ58" s="258"/>
      <c r="AR58" s="258" t="s">
        <v>690</v>
      </c>
      <c r="AS58" s="258" t="s">
        <v>691</v>
      </c>
      <c r="AT58" s="258" t="s">
        <v>980</v>
      </c>
      <c r="AU58" s="265" t="s">
        <v>693</v>
      </c>
      <c r="AV58" s="174" t="s">
        <v>243</v>
      </c>
      <c r="AW58" s="269" t="s">
        <v>245</v>
      </c>
      <c r="AX58" s="269" t="s">
        <v>694</v>
      </c>
      <c r="AY58" s="270" t="s">
        <v>695</v>
      </c>
      <c r="AZ58" s="173" t="s">
        <v>681</v>
      </c>
      <c r="BA58" s="265">
        <v>10.0</v>
      </c>
      <c r="BB58" s="174" t="s">
        <v>225</v>
      </c>
      <c r="BC58" s="271"/>
      <c r="BD58" s="272" t="s">
        <v>696</v>
      </c>
      <c r="BE58" s="273" t="s">
        <v>697</v>
      </c>
      <c r="BF58" s="274" t="str">
        <f>IFERROR(__xludf.DUMMYFUNCTION("LOWER(Regexreplace(to_text(E58),""[^A-Za-z0-9]"","""")&amp;""_""&amp;Regexreplace(to_text(F58),""[^A-Za-z0-9]"",""""))"),"sauter_eyrc504fxxx")</f>
        <v>sauter_eyrc504fxxx</v>
      </c>
      <c r="BG58" s="275" t="str">
        <f>IFERROR(__xludf.DUMMYFUNCTION("upper(Regexreplace(to_text(E58),""[^A-Za-z0-9]"","""")&amp;""-""&amp;Regexreplace(to_text(F58),""[^A-Za-z0-9]"",""""))"),"SAUTER-EYRC504FXXX")</f>
        <v>SAUTER-EYRC504FXXX</v>
      </c>
    </row>
    <row r="59" ht="30.0" customHeight="1">
      <c r="A59" s="173">
        <v>55.0</v>
      </c>
      <c r="B59" s="256" t="s">
        <v>670</v>
      </c>
      <c r="C59" s="257" t="s">
        <v>981</v>
      </c>
      <c r="D59" s="173" t="s">
        <v>981</v>
      </c>
      <c r="E59" s="174" t="s">
        <v>672</v>
      </c>
      <c r="F59" s="173" t="s">
        <v>514</v>
      </c>
      <c r="G59" s="258" t="s">
        <v>673</v>
      </c>
      <c r="H59" s="258" t="s">
        <v>674</v>
      </c>
      <c r="I59" s="258" t="s">
        <v>675</v>
      </c>
      <c r="J59" s="259" t="s">
        <v>965</v>
      </c>
      <c r="K59" s="260">
        <v>375.0</v>
      </c>
      <c r="L59" s="258" t="s">
        <v>976</v>
      </c>
      <c r="M59" s="277">
        <v>4.11001239443E11</v>
      </c>
      <c r="N59" s="173" t="s">
        <v>679</v>
      </c>
      <c r="O59" s="173" t="s">
        <v>225</v>
      </c>
      <c r="P59" s="262" t="str">
        <f t="shared" si="1"/>
        <v>IN-BLR-ANANTA-DDC-255_3</v>
      </c>
      <c r="Q59" s="173" t="s">
        <v>982</v>
      </c>
      <c r="R59" s="258" t="str">
        <f>IFS(C59="","",C59="n/a","N/A",LEN(C59),Concatenate("{",char(34),"asset",char(34),":{",char(34),"guid",char(34),":",char(34),Q59,char(34),",",char(34),"site",char(34),":",char(34),LOWER('2-Building'!$B$4),char(34),",",char(34),"name",char(34),":",char(34),LOWER(C59),char(34),"}}"))</f>
        <v>{"asset":{"guid":"uuid://ecef043a-a27b-43c6-8c23-ec1e8b8beb62","site":"in-blr-ananta","name":"ddc-255"}}</v>
      </c>
      <c r="S59" s="258" t="s">
        <v>681</v>
      </c>
      <c r="T59" s="263"/>
      <c r="U59" s="263"/>
      <c r="V59" s="264">
        <v>2.23</v>
      </c>
      <c r="W59" s="33" t="s">
        <v>682</v>
      </c>
      <c r="X59" s="258" t="s">
        <v>683</v>
      </c>
      <c r="Y59" s="33" t="s">
        <v>684</v>
      </c>
      <c r="Z59" s="258">
        <v>14055.0</v>
      </c>
      <c r="AA59" s="258">
        <v>11501.0</v>
      </c>
      <c r="AB59" s="258"/>
      <c r="AC59" s="258"/>
      <c r="AD59" s="265"/>
      <c r="AE59" s="266" t="s">
        <v>685</v>
      </c>
      <c r="AF59" s="267" t="s">
        <v>983</v>
      </c>
      <c r="AG59" s="268" t="str">
        <f>IFS(LEN(AF59)=17,LOWER('2-Building'!$B$4 &amp; "-" &amp; C59), AF59="N/A", "N/A", LEN(AF59)=0,"")</f>
        <v>in-blr-ananta-ddc-255</v>
      </c>
      <c r="AH59" s="258"/>
      <c r="AI59" s="258"/>
      <c r="AJ59" s="258"/>
      <c r="AK59" s="258" t="s">
        <v>984</v>
      </c>
      <c r="AL59" s="258" t="s">
        <v>688</v>
      </c>
      <c r="AM59" s="258" t="s">
        <v>689</v>
      </c>
      <c r="AN59" s="258"/>
      <c r="AO59" s="258"/>
      <c r="AP59" s="258"/>
      <c r="AQ59" s="258"/>
      <c r="AR59" s="258" t="s">
        <v>690</v>
      </c>
      <c r="AS59" s="258" t="s">
        <v>691</v>
      </c>
      <c r="AT59" s="258" t="s">
        <v>980</v>
      </c>
      <c r="AU59" s="265" t="s">
        <v>693</v>
      </c>
      <c r="AV59" s="174" t="s">
        <v>243</v>
      </c>
      <c r="AW59" s="269" t="s">
        <v>245</v>
      </c>
      <c r="AX59" s="269" t="s">
        <v>694</v>
      </c>
      <c r="AY59" s="270" t="s">
        <v>695</v>
      </c>
      <c r="AZ59" s="173" t="s">
        <v>681</v>
      </c>
      <c r="BA59" s="265">
        <v>10.0</v>
      </c>
      <c r="BB59" s="174" t="s">
        <v>225</v>
      </c>
      <c r="BC59" s="271"/>
      <c r="BD59" s="272" t="s">
        <v>696</v>
      </c>
      <c r="BE59" s="273" t="s">
        <v>697</v>
      </c>
      <c r="BF59" s="274" t="str">
        <f>IFERROR(__xludf.DUMMYFUNCTION("LOWER(Regexreplace(to_text(E59),""[^A-Za-z0-9]"","""")&amp;""_""&amp;Regexreplace(to_text(F59),""[^A-Za-z0-9]"",""""))"),"sauter_eyrc504fxxx")</f>
        <v>sauter_eyrc504fxxx</v>
      </c>
      <c r="BG59" s="275" t="str">
        <f>IFERROR(__xludf.DUMMYFUNCTION("upper(Regexreplace(to_text(E59),""[^A-Za-z0-9]"","""")&amp;""-""&amp;Regexreplace(to_text(F59),""[^A-Za-z0-9]"",""""))"),"SAUTER-EYRC504FXXX")</f>
        <v>SAUTER-EYRC504FXXX</v>
      </c>
    </row>
    <row r="60" ht="30.0" customHeight="1">
      <c r="A60" s="258">
        <v>56.0</v>
      </c>
      <c r="B60" s="256" t="s">
        <v>670</v>
      </c>
      <c r="C60" s="257" t="s">
        <v>985</v>
      </c>
      <c r="D60" s="173" t="s">
        <v>985</v>
      </c>
      <c r="E60" s="174" t="s">
        <v>672</v>
      </c>
      <c r="F60" s="173" t="s">
        <v>514</v>
      </c>
      <c r="G60" s="258" t="s">
        <v>673</v>
      </c>
      <c r="H60" s="258" t="s">
        <v>674</v>
      </c>
      <c r="I60" s="258" t="s">
        <v>675</v>
      </c>
      <c r="J60" s="259" t="s">
        <v>965</v>
      </c>
      <c r="K60" s="260">
        <v>319.0</v>
      </c>
      <c r="L60" s="258" t="s">
        <v>986</v>
      </c>
      <c r="M60" s="277">
        <v>4.11001239352E11</v>
      </c>
      <c r="N60" s="173" t="s">
        <v>679</v>
      </c>
      <c r="O60" s="173" t="s">
        <v>225</v>
      </c>
      <c r="P60" s="262" t="str">
        <f t="shared" si="1"/>
        <v>IN-BLR-ANANTA-DDC-256_3</v>
      </c>
      <c r="Q60" s="173" t="s">
        <v>987</v>
      </c>
      <c r="R60" s="258" t="str">
        <f>IFS(C60="","",C60="n/a","N/A",LEN(C60),Concatenate("{",char(34),"asset",char(34),":{",char(34),"guid",char(34),":",char(34),Q60,char(34),",",char(34),"site",char(34),":",char(34),LOWER('2-Building'!$B$4),char(34),",",char(34),"name",char(34),":",char(34),LOWER(C60),char(34),"}}"))</f>
        <v>{"asset":{"guid":"uuid://47210d86-3d08-4000-94f9-8312123f966f","site":"in-blr-ananta","name":"ddc-256"}}</v>
      </c>
      <c r="S60" s="258" t="s">
        <v>681</v>
      </c>
      <c r="T60" s="263"/>
      <c r="U60" s="263"/>
      <c r="V60" s="264">
        <v>2.23</v>
      </c>
      <c r="W60" s="33" t="s">
        <v>682</v>
      </c>
      <c r="X60" s="258" t="s">
        <v>683</v>
      </c>
      <c r="Y60" s="33" t="s">
        <v>684</v>
      </c>
      <c r="Z60" s="258">
        <v>14056.0</v>
      </c>
      <c r="AA60" s="258">
        <v>11501.0</v>
      </c>
      <c r="AB60" s="258"/>
      <c r="AC60" s="258"/>
      <c r="AD60" s="265"/>
      <c r="AE60" s="266" t="s">
        <v>685</v>
      </c>
      <c r="AF60" s="267" t="s">
        <v>988</v>
      </c>
      <c r="AG60" s="268" t="str">
        <f>IFS(LEN(AF60)=17,LOWER('2-Building'!$B$4 &amp; "-" &amp; C60), AF60="N/A", "N/A", LEN(AF60)=0,"")</f>
        <v>in-blr-ananta-ddc-256</v>
      </c>
      <c r="AH60" s="258"/>
      <c r="AI60" s="258"/>
      <c r="AJ60" s="258"/>
      <c r="AK60" s="258" t="s">
        <v>989</v>
      </c>
      <c r="AL60" s="258" t="s">
        <v>688</v>
      </c>
      <c r="AM60" s="258" t="s">
        <v>689</v>
      </c>
      <c r="AN60" s="258"/>
      <c r="AO60" s="258"/>
      <c r="AP60" s="258"/>
      <c r="AQ60" s="258"/>
      <c r="AR60" s="258" t="s">
        <v>690</v>
      </c>
      <c r="AS60" s="258" t="s">
        <v>691</v>
      </c>
      <c r="AT60" s="258" t="s">
        <v>990</v>
      </c>
      <c r="AU60" s="265" t="s">
        <v>693</v>
      </c>
      <c r="AV60" s="174" t="s">
        <v>243</v>
      </c>
      <c r="AW60" s="269" t="s">
        <v>245</v>
      </c>
      <c r="AX60" s="269" t="s">
        <v>694</v>
      </c>
      <c r="AY60" s="270" t="s">
        <v>695</v>
      </c>
      <c r="AZ60" s="173" t="s">
        <v>681</v>
      </c>
      <c r="BA60" s="265">
        <v>10.0</v>
      </c>
      <c r="BB60" s="174" t="s">
        <v>225</v>
      </c>
      <c r="BC60" s="271"/>
      <c r="BD60" s="272" t="s">
        <v>696</v>
      </c>
      <c r="BE60" s="273" t="s">
        <v>697</v>
      </c>
      <c r="BF60" s="274" t="str">
        <f>IFERROR(__xludf.DUMMYFUNCTION("LOWER(Regexreplace(to_text(E60),""[^A-Za-z0-9]"","""")&amp;""_""&amp;Regexreplace(to_text(F60),""[^A-Za-z0-9]"",""""))"),"sauter_eyrc504fxxx")</f>
        <v>sauter_eyrc504fxxx</v>
      </c>
      <c r="BG60" s="275" t="str">
        <f>IFERROR(__xludf.DUMMYFUNCTION("upper(Regexreplace(to_text(E60),""[^A-Za-z0-9]"","""")&amp;""-""&amp;Regexreplace(to_text(F60),""[^A-Za-z0-9]"",""""))"),"SAUTER-EYRC504FXXX")</f>
        <v>SAUTER-EYRC504FXXX</v>
      </c>
    </row>
    <row r="61" ht="30.0" customHeight="1">
      <c r="A61" s="173">
        <v>57.0</v>
      </c>
      <c r="B61" s="256" t="s">
        <v>670</v>
      </c>
      <c r="C61" s="257" t="s">
        <v>991</v>
      </c>
      <c r="D61" s="173" t="s">
        <v>991</v>
      </c>
      <c r="E61" s="174" t="s">
        <v>672</v>
      </c>
      <c r="F61" s="173" t="s">
        <v>514</v>
      </c>
      <c r="G61" s="258" t="s">
        <v>673</v>
      </c>
      <c r="H61" s="258" t="s">
        <v>674</v>
      </c>
      <c r="I61" s="258" t="s">
        <v>675</v>
      </c>
      <c r="J61" s="259" t="s">
        <v>965</v>
      </c>
      <c r="K61" s="260">
        <v>319.0</v>
      </c>
      <c r="L61" s="258" t="s">
        <v>986</v>
      </c>
      <c r="M61" s="277">
        <v>4.1100123777E11</v>
      </c>
      <c r="N61" s="173" t="s">
        <v>679</v>
      </c>
      <c r="O61" s="173" t="s">
        <v>225</v>
      </c>
      <c r="P61" s="262" t="str">
        <f t="shared" si="1"/>
        <v>IN-BLR-ANANTA-DDC-257_3</v>
      </c>
      <c r="Q61" s="173" t="s">
        <v>992</v>
      </c>
      <c r="R61" s="258" t="str">
        <f>IFS(C61="","",C61="n/a","N/A",LEN(C61),Concatenate("{",char(34),"asset",char(34),":{",char(34),"guid",char(34),":",char(34),Q61,char(34),",",char(34),"site",char(34),":",char(34),LOWER('2-Building'!$B$4),char(34),",",char(34),"name",char(34),":",char(34),LOWER(C61),char(34),"}}"))</f>
        <v>{"asset":{"guid":"uuid://07d87fb9-30a0-42f7-8fdf-3e2a646e8eb4","site":"in-blr-ananta","name":"ddc-257"}}</v>
      </c>
      <c r="S61" s="258" t="s">
        <v>681</v>
      </c>
      <c r="T61" s="263"/>
      <c r="U61" s="263"/>
      <c r="V61" s="264">
        <v>2.23</v>
      </c>
      <c r="W61" s="33" t="s">
        <v>682</v>
      </c>
      <c r="X61" s="258" t="s">
        <v>683</v>
      </c>
      <c r="Y61" s="33" t="s">
        <v>684</v>
      </c>
      <c r="Z61" s="258">
        <v>14057.0</v>
      </c>
      <c r="AA61" s="258">
        <v>11501.0</v>
      </c>
      <c r="AB61" s="258"/>
      <c r="AC61" s="258"/>
      <c r="AD61" s="265"/>
      <c r="AE61" s="266" t="s">
        <v>685</v>
      </c>
      <c r="AF61" s="267" t="s">
        <v>993</v>
      </c>
      <c r="AG61" s="268" t="str">
        <f>IFS(LEN(AF61)=17,LOWER('2-Building'!$B$4 &amp; "-" &amp; C61), AF61="N/A", "N/A", LEN(AF61)=0,"")</f>
        <v>in-blr-ananta-ddc-257</v>
      </c>
      <c r="AH61" s="258"/>
      <c r="AI61" s="258"/>
      <c r="AJ61" s="258"/>
      <c r="AK61" s="258" t="s">
        <v>994</v>
      </c>
      <c r="AL61" s="258" t="s">
        <v>688</v>
      </c>
      <c r="AM61" s="258" t="s">
        <v>689</v>
      </c>
      <c r="AN61" s="258"/>
      <c r="AO61" s="258"/>
      <c r="AP61" s="258"/>
      <c r="AQ61" s="258"/>
      <c r="AR61" s="258" t="s">
        <v>690</v>
      </c>
      <c r="AS61" s="258" t="s">
        <v>691</v>
      </c>
      <c r="AT61" s="258" t="s">
        <v>990</v>
      </c>
      <c r="AU61" s="265" t="s">
        <v>693</v>
      </c>
      <c r="AV61" s="174" t="s">
        <v>243</v>
      </c>
      <c r="AW61" s="269" t="s">
        <v>245</v>
      </c>
      <c r="AX61" s="269" t="s">
        <v>694</v>
      </c>
      <c r="AY61" s="270" t="s">
        <v>695</v>
      </c>
      <c r="AZ61" s="173" t="s">
        <v>681</v>
      </c>
      <c r="BA61" s="265">
        <v>10.0</v>
      </c>
      <c r="BB61" s="174" t="s">
        <v>225</v>
      </c>
      <c r="BC61" s="271"/>
      <c r="BD61" s="272" t="s">
        <v>696</v>
      </c>
      <c r="BE61" s="273" t="s">
        <v>697</v>
      </c>
      <c r="BF61" s="274" t="str">
        <f>IFERROR(__xludf.DUMMYFUNCTION("LOWER(Regexreplace(to_text(E61),""[^A-Za-z0-9]"","""")&amp;""_""&amp;Regexreplace(to_text(F61),""[^A-Za-z0-9]"",""""))"),"sauter_eyrc504fxxx")</f>
        <v>sauter_eyrc504fxxx</v>
      </c>
      <c r="BG61" s="275" t="str">
        <f>IFERROR(__xludf.DUMMYFUNCTION("upper(Regexreplace(to_text(E61),""[^A-Za-z0-9]"","""")&amp;""-""&amp;Regexreplace(to_text(F61),""[^A-Za-z0-9]"",""""))"),"SAUTER-EYRC504FXXX")</f>
        <v>SAUTER-EYRC504FXXX</v>
      </c>
    </row>
    <row r="62" ht="30.0" customHeight="1">
      <c r="A62" s="258">
        <v>58.0</v>
      </c>
      <c r="B62" s="256" t="s">
        <v>670</v>
      </c>
      <c r="C62" s="257" t="s">
        <v>995</v>
      </c>
      <c r="D62" s="173" t="s">
        <v>995</v>
      </c>
      <c r="E62" s="174" t="s">
        <v>672</v>
      </c>
      <c r="F62" s="173" t="s">
        <v>514</v>
      </c>
      <c r="G62" s="258" t="s">
        <v>673</v>
      </c>
      <c r="H62" s="258" t="s">
        <v>674</v>
      </c>
      <c r="I62" s="258" t="s">
        <v>675</v>
      </c>
      <c r="J62" s="259" t="s">
        <v>965</v>
      </c>
      <c r="K62" s="260">
        <v>348.0</v>
      </c>
      <c r="L62" s="258" t="s">
        <v>996</v>
      </c>
      <c r="M62" s="277">
        <v>4.11001235267E11</v>
      </c>
      <c r="N62" s="173" t="s">
        <v>679</v>
      </c>
      <c r="O62" s="173" t="s">
        <v>225</v>
      </c>
      <c r="P62" s="262" t="str">
        <f t="shared" si="1"/>
        <v>IN-BLR-ANANTA-DDC-258_3</v>
      </c>
      <c r="Q62" s="173" t="s">
        <v>997</v>
      </c>
      <c r="R62" s="258" t="str">
        <f>IFS(C62="","",C62="n/a","N/A",LEN(C62),Concatenate("{",char(34),"asset",char(34),":{",char(34),"guid",char(34),":",char(34),Q62,char(34),",",char(34),"site",char(34),":",char(34),LOWER('2-Building'!$B$4),char(34),",",char(34),"name",char(34),":",char(34),LOWER(C62),char(34),"}}"))</f>
        <v>{"asset":{"guid":"uuid://22510830-fce1-4332-9b52-3b38d7b64e28","site":"in-blr-ananta","name":"ddc-258"}}</v>
      </c>
      <c r="S62" s="258" t="s">
        <v>681</v>
      </c>
      <c r="T62" s="263"/>
      <c r="U62" s="263"/>
      <c r="V62" s="264">
        <v>2.23</v>
      </c>
      <c r="W62" s="33" t="s">
        <v>682</v>
      </c>
      <c r="X62" s="258" t="s">
        <v>683</v>
      </c>
      <c r="Y62" s="33" t="s">
        <v>684</v>
      </c>
      <c r="Z62" s="258">
        <v>14058.0</v>
      </c>
      <c r="AA62" s="258">
        <v>11501.0</v>
      </c>
      <c r="AB62" s="258"/>
      <c r="AC62" s="258"/>
      <c r="AD62" s="265"/>
      <c r="AE62" s="266" t="s">
        <v>685</v>
      </c>
      <c r="AF62" s="267" t="s">
        <v>998</v>
      </c>
      <c r="AG62" s="268" t="str">
        <f>IFS(LEN(AF62)=17,LOWER('2-Building'!$B$4 &amp; "-" &amp; C62), AF62="N/A", "N/A", LEN(AF62)=0,"")</f>
        <v>in-blr-ananta-ddc-258</v>
      </c>
      <c r="AH62" s="258"/>
      <c r="AI62" s="258"/>
      <c r="AJ62" s="258"/>
      <c r="AK62" s="258" t="s">
        <v>999</v>
      </c>
      <c r="AL62" s="258" t="s">
        <v>688</v>
      </c>
      <c r="AM62" s="258" t="s">
        <v>689</v>
      </c>
      <c r="AN62" s="258"/>
      <c r="AO62" s="258"/>
      <c r="AP62" s="258"/>
      <c r="AQ62" s="258"/>
      <c r="AR62" s="258" t="s">
        <v>690</v>
      </c>
      <c r="AS62" s="258" t="s">
        <v>691</v>
      </c>
      <c r="AT62" s="258" t="s">
        <v>1000</v>
      </c>
      <c r="AU62" s="265" t="s">
        <v>693</v>
      </c>
      <c r="AV62" s="174" t="s">
        <v>243</v>
      </c>
      <c r="AW62" s="269" t="s">
        <v>245</v>
      </c>
      <c r="AX62" s="269" t="s">
        <v>694</v>
      </c>
      <c r="AY62" s="270" t="s">
        <v>695</v>
      </c>
      <c r="AZ62" s="173" t="s">
        <v>681</v>
      </c>
      <c r="BA62" s="265">
        <v>10.0</v>
      </c>
      <c r="BB62" s="174" t="s">
        <v>225</v>
      </c>
      <c r="BC62" s="271"/>
      <c r="BD62" s="272" t="s">
        <v>696</v>
      </c>
      <c r="BE62" s="273" t="s">
        <v>697</v>
      </c>
      <c r="BF62" s="274" t="str">
        <f>IFERROR(__xludf.DUMMYFUNCTION("LOWER(Regexreplace(to_text(E62),""[^A-Za-z0-9]"","""")&amp;""_""&amp;Regexreplace(to_text(F62),""[^A-Za-z0-9]"",""""))"),"sauter_eyrc504fxxx")</f>
        <v>sauter_eyrc504fxxx</v>
      </c>
      <c r="BG62" s="275" t="str">
        <f>IFERROR(__xludf.DUMMYFUNCTION("upper(Regexreplace(to_text(E62),""[^A-Za-z0-9]"","""")&amp;""-""&amp;Regexreplace(to_text(F62),""[^A-Za-z0-9]"",""""))"),"SAUTER-EYRC504FXXX")</f>
        <v>SAUTER-EYRC504FXXX</v>
      </c>
    </row>
    <row r="63" ht="30.0" customHeight="1">
      <c r="A63" s="173">
        <v>59.0</v>
      </c>
      <c r="B63" s="256" t="s">
        <v>670</v>
      </c>
      <c r="C63" s="257" t="s">
        <v>1001</v>
      </c>
      <c r="D63" s="173" t="s">
        <v>1001</v>
      </c>
      <c r="E63" s="174" t="s">
        <v>672</v>
      </c>
      <c r="F63" s="173" t="s">
        <v>514</v>
      </c>
      <c r="G63" s="258" t="s">
        <v>673</v>
      </c>
      <c r="H63" s="258" t="s">
        <v>674</v>
      </c>
      <c r="I63" s="258" t="s">
        <v>675</v>
      </c>
      <c r="J63" s="259" t="s">
        <v>965</v>
      </c>
      <c r="K63" s="260">
        <v>348.0</v>
      </c>
      <c r="L63" s="258" t="s">
        <v>996</v>
      </c>
      <c r="M63" s="277">
        <v>4.11001239357E11</v>
      </c>
      <c r="N63" s="173" t="s">
        <v>679</v>
      </c>
      <c r="O63" s="173" t="s">
        <v>225</v>
      </c>
      <c r="P63" s="262" t="str">
        <f t="shared" si="1"/>
        <v>IN-BLR-ANANTA-DDC-259_3</v>
      </c>
      <c r="Q63" s="173" t="s">
        <v>1002</v>
      </c>
      <c r="R63" s="258" t="str">
        <f>IFS(C63="","",C63="n/a","N/A",LEN(C63),Concatenate("{",char(34),"asset",char(34),":{",char(34),"guid",char(34),":",char(34),Q63,char(34),",",char(34),"site",char(34),":",char(34),LOWER('2-Building'!$B$4),char(34),",",char(34),"name",char(34),":",char(34),LOWER(C63),char(34),"}}"))</f>
        <v>{"asset":{"guid":"uuid://c8d27164-c995-4d38-b281-bdfb1cb5d8d3","site":"in-blr-ananta","name":"ddc-259"}}</v>
      </c>
      <c r="S63" s="258" t="s">
        <v>681</v>
      </c>
      <c r="T63" s="263"/>
      <c r="U63" s="263"/>
      <c r="V63" s="264">
        <v>2.23</v>
      </c>
      <c r="W63" s="33" t="s">
        <v>682</v>
      </c>
      <c r="X63" s="258" t="s">
        <v>683</v>
      </c>
      <c r="Y63" s="33" t="s">
        <v>684</v>
      </c>
      <c r="Z63" s="258">
        <v>14059.0</v>
      </c>
      <c r="AA63" s="258">
        <v>11501.0</v>
      </c>
      <c r="AB63" s="258"/>
      <c r="AC63" s="258"/>
      <c r="AD63" s="265"/>
      <c r="AE63" s="266" t="s">
        <v>685</v>
      </c>
      <c r="AF63" s="267" t="s">
        <v>1003</v>
      </c>
      <c r="AG63" s="268" t="str">
        <f>IFS(LEN(AF63)=17,LOWER('2-Building'!$B$4 &amp; "-" &amp; C63), AF63="N/A", "N/A", LEN(AF63)=0,"")</f>
        <v>in-blr-ananta-ddc-259</v>
      </c>
      <c r="AH63" s="258"/>
      <c r="AI63" s="258"/>
      <c r="AJ63" s="258"/>
      <c r="AK63" s="258" t="s">
        <v>1004</v>
      </c>
      <c r="AL63" s="258" t="s">
        <v>688</v>
      </c>
      <c r="AM63" s="258" t="s">
        <v>689</v>
      </c>
      <c r="AN63" s="258"/>
      <c r="AO63" s="258"/>
      <c r="AP63" s="258"/>
      <c r="AQ63" s="258"/>
      <c r="AR63" s="258" t="s">
        <v>690</v>
      </c>
      <c r="AS63" s="258" t="s">
        <v>691</v>
      </c>
      <c r="AT63" s="258" t="s">
        <v>1000</v>
      </c>
      <c r="AU63" s="265" t="s">
        <v>693</v>
      </c>
      <c r="AV63" s="174" t="s">
        <v>243</v>
      </c>
      <c r="AW63" s="269" t="s">
        <v>245</v>
      </c>
      <c r="AX63" s="269" t="s">
        <v>694</v>
      </c>
      <c r="AY63" s="270" t="s">
        <v>695</v>
      </c>
      <c r="AZ63" s="173" t="s">
        <v>681</v>
      </c>
      <c r="BA63" s="265">
        <v>10.0</v>
      </c>
      <c r="BB63" s="174" t="s">
        <v>225</v>
      </c>
      <c r="BC63" s="271"/>
      <c r="BD63" s="272" t="s">
        <v>696</v>
      </c>
      <c r="BE63" s="273" t="s">
        <v>697</v>
      </c>
      <c r="BF63" s="274" t="str">
        <f>IFERROR(__xludf.DUMMYFUNCTION("LOWER(Regexreplace(to_text(E63),""[^A-Za-z0-9]"","""")&amp;""_""&amp;Regexreplace(to_text(F63),""[^A-Za-z0-9]"",""""))"),"sauter_eyrc504fxxx")</f>
        <v>sauter_eyrc504fxxx</v>
      </c>
      <c r="BG63" s="275" t="str">
        <f>IFERROR(__xludf.DUMMYFUNCTION("upper(Regexreplace(to_text(E63),""[^A-Za-z0-9]"","""")&amp;""-""&amp;Regexreplace(to_text(F63),""[^A-Za-z0-9]"",""""))"),"SAUTER-EYRC504FXXX")</f>
        <v>SAUTER-EYRC504FXXX</v>
      </c>
    </row>
    <row r="64" ht="30.0" customHeight="1">
      <c r="A64" s="258">
        <v>60.0</v>
      </c>
      <c r="B64" s="256" t="s">
        <v>670</v>
      </c>
      <c r="C64" s="257" t="s">
        <v>1005</v>
      </c>
      <c r="D64" s="173" t="s">
        <v>1005</v>
      </c>
      <c r="E64" s="174" t="s">
        <v>672</v>
      </c>
      <c r="F64" s="173" t="s">
        <v>514</v>
      </c>
      <c r="G64" s="258" t="s">
        <v>673</v>
      </c>
      <c r="H64" s="258" t="s">
        <v>674</v>
      </c>
      <c r="I64" s="258" t="s">
        <v>675</v>
      </c>
      <c r="J64" s="259" t="s">
        <v>965</v>
      </c>
      <c r="K64" s="260">
        <v>333.0</v>
      </c>
      <c r="L64" s="258" t="s">
        <v>1006</v>
      </c>
      <c r="M64" s="277">
        <v>4.11001239454E11</v>
      </c>
      <c r="N64" s="173" t="s">
        <v>679</v>
      </c>
      <c r="O64" s="173" t="s">
        <v>225</v>
      </c>
      <c r="P64" s="262" t="str">
        <f t="shared" si="1"/>
        <v>IN-BLR-ANANTA-DDC-260_3</v>
      </c>
      <c r="Q64" s="173" t="s">
        <v>1007</v>
      </c>
      <c r="R64" s="258" t="str">
        <f>IFS(C64="","",C64="n/a","N/A",LEN(C64),Concatenate("{",char(34),"asset",char(34),":{",char(34),"guid",char(34),":",char(34),Q64,char(34),",",char(34),"site",char(34),":",char(34),LOWER('2-Building'!$B$4),char(34),",",char(34),"name",char(34),":",char(34),LOWER(C64),char(34),"}}"))</f>
        <v>{"asset":{"guid":"uuid://8bcc9969-114e-4e38-91c8-dbb28ddbae8b","site":"in-blr-ananta","name":"ddc-260"}}</v>
      </c>
      <c r="S64" s="258" t="s">
        <v>681</v>
      </c>
      <c r="T64" s="263"/>
      <c r="U64" s="263"/>
      <c r="V64" s="264">
        <v>2.23</v>
      </c>
      <c r="W64" s="33" t="s">
        <v>682</v>
      </c>
      <c r="X64" s="258" t="s">
        <v>683</v>
      </c>
      <c r="Y64" s="33" t="s">
        <v>684</v>
      </c>
      <c r="Z64" s="258">
        <v>14060.0</v>
      </c>
      <c r="AA64" s="258">
        <v>11501.0</v>
      </c>
      <c r="AB64" s="258"/>
      <c r="AC64" s="258"/>
      <c r="AD64" s="265"/>
      <c r="AE64" s="266" t="s">
        <v>685</v>
      </c>
      <c r="AF64" s="267" t="s">
        <v>1008</v>
      </c>
      <c r="AG64" s="268" t="str">
        <f>IFS(LEN(AF64)=17,LOWER('2-Building'!$B$4 &amp; "-" &amp; C64), AF64="N/A", "N/A", LEN(AF64)=0,"")</f>
        <v>in-blr-ananta-ddc-260</v>
      </c>
      <c r="AH64" s="258"/>
      <c r="AI64" s="258"/>
      <c r="AJ64" s="258"/>
      <c r="AK64" s="258" t="s">
        <v>1009</v>
      </c>
      <c r="AL64" s="258" t="s">
        <v>688</v>
      </c>
      <c r="AM64" s="258" t="s">
        <v>689</v>
      </c>
      <c r="AN64" s="258"/>
      <c r="AO64" s="258"/>
      <c r="AP64" s="258"/>
      <c r="AQ64" s="258"/>
      <c r="AR64" s="258" t="s">
        <v>690</v>
      </c>
      <c r="AS64" s="258" t="s">
        <v>691</v>
      </c>
      <c r="AT64" s="258" t="s">
        <v>1010</v>
      </c>
      <c r="AU64" s="265" t="s">
        <v>693</v>
      </c>
      <c r="AV64" s="174" t="s">
        <v>243</v>
      </c>
      <c r="AW64" s="269" t="s">
        <v>245</v>
      </c>
      <c r="AX64" s="269" t="s">
        <v>694</v>
      </c>
      <c r="AY64" s="270" t="s">
        <v>695</v>
      </c>
      <c r="AZ64" s="173" t="s">
        <v>681</v>
      </c>
      <c r="BA64" s="265">
        <v>10.0</v>
      </c>
      <c r="BB64" s="174" t="s">
        <v>225</v>
      </c>
      <c r="BC64" s="271"/>
      <c r="BD64" s="272" t="s">
        <v>696</v>
      </c>
      <c r="BE64" s="273" t="s">
        <v>697</v>
      </c>
      <c r="BF64" s="274" t="str">
        <f>IFERROR(__xludf.DUMMYFUNCTION("LOWER(Regexreplace(to_text(E64),""[^A-Za-z0-9]"","""")&amp;""_""&amp;Regexreplace(to_text(F64),""[^A-Za-z0-9]"",""""))"),"sauter_eyrc504fxxx")</f>
        <v>sauter_eyrc504fxxx</v>
      </c>
      <c r="BG64" s="275" t="str">
        <f>IFERROR(__xludf.DUMMYFUNCTION("upper(Regexreplace(to_text(E64),""[^A-Za-z0-9]"","""")&amp;""-""&amp;Regexreplace(to_text(F64),""[^A-Za-z0-9]"",""""))"),"SAUTER-EYRC504FXXX")</f>
        <v>SAUTER-EYRC504FXXX</v>
      </c>
    </row>
    <row r="65" ht="30.0" customHeight="1">
      <c r="A65" s="173">
        <v>61.0</v>
      </c>
      <c r="B65" s="256" t="s">
        <v>670</v>
      </c>
      <c r="C65" s="257" t="s">
        <v>1011</v>
      </c>
      <c r="D65" s="173" t="s">
        <v>1011</v>
      </c>
      <c r="E65" s="174" t="s">
        <v>672</v>
      </c>
      <c r="F65" s="173" t="s">
        <v>514</v>
      </c>
      <c r="G65" s="258" t="s">
        <v>673</v>
      </c>
      <c r="H65" s="258" t="s">
        <v>674</v>
      </c>
      <c r="I65" s="258" t="s">
        <v>675</v>
      </c>
      <c r="J65" s="259" t="s">
        <v>965</v>
      </c>
      <c r="K65" s="260">
        <v>333.0</v>
      </c>
      <c r="L65" s="258" t="s">
        <v>1006</v>
      </c>
      <c r="M65" s="277">
        <v>4.11001239336E11</v>
      </c>
      <c r="N65" s="173" t="s">
        <v>679</v>
      </c>
      <c r="O65" s="173" t="s">
        <v>225</v>
      </c>
      <c r="P65" s="262" t="str">
        <f t="shared" si="1"/>
        <v>IN-BLR-ANANTA-DDC-261_3</v>
      </c>
      <c r="Q65" s="173" t="s">
        <v>1012</v>
      </c>
      <c r="R65" s="258" t="str">
        <f>IFS(C65="","",C65="n/a","N/A",LEN(C65),Concatenate("{",char(34),"asset",char(34),":{",char(34),"guid",char(34),":",char(34),Q65,char(34),",",char(34),"site",char(34),":",char(34),LOWER('2-Building'!$B$4),char(34),",",char(34),"name",char(34),":",char(34),LOWER(C65),char(34),"}}"))</f>
        <v>{"asset":{"guid":"uuid://d89c03d0-f3c9-4247-8e65-b536a94c651a","site":"in-blr-ananta","name":"ddc-261"}}</v>
      </c>
      <c r="S65" s="258" t="s">
        <v>681</v>
      </c>
      <c r="T65" s="263"/>
      <c r="U65" s="263"/>
      <c r="V65" s="264">
        <v>2.23</v>
      </c>
      <c r="W65" s="33" t="s">
        <v>682</v>
      </c>
      <c r="X65" s="258" t="s">
        <v>683</v>
      </c>
      <c r="Y65" s="33" t="s">
        <v>684</v>
      </c>
      <c r="Z65" s="258">
        <v>14061.0</v>
      </c>
      <c r="AA65" s="258">
        <v>11501.0</v>
      </c>
      <c r="AB65" s="258"/>
      <c r="AC65" s="258"/>
      <c r="AD65" s="265"/>
      <c r="AE65" s="266" t="s">
        <v>685</v>
      </c>
      <c r="AF65" s="267" t="s">
        <v>1013</v>
      </c>
      <c r="AG65" s="268" t="str">
        <f>IFS(LEN(AF65)=17,LOWER('2-Building'!$B$4 &amp; "-" &amp; C65), AF65="N/A", "N/A", LEN(AF65)=0,"")</f>
        <v>in-blr-ananta-ddc-261</v>
      </c>
      <c r="AH65" s="258"/>
      <c r="AI65" s="258"/>
      <c r="AJ65" s="258"/>
      <c r="AK65" s="258" t="s">
        <v>1014</v>
      </c>
      <c r="AL65" s="258" t="s">
        <v>688</v>
      </c>
      <c r="AM65" s="258" t="s">
        <v>689</v>
      </c>
      <c r="AN65" s="258"/>
      <c r="AO65" s="258"/>
      <c r="AP65" s="258"/>
      <c r="AQ65" s="258"/>
      <c r="AR65" s="258" t="s">
        <v>690</v>
      </c>
      <c r="AS65" s="258" t="s">
        <v>691</v>
      </c>
      <c r="AT65" s="258" t="s">
        <v>1010</v>
      </c>
      <c r="AU65" s="265" t="s">
        <v>693</v>
      </c>
      <c r="AV65" s="174" t="s">
        <v>243</v>
      </c>
      <c r="AW65" s="269" t="s">
        <v>245</v>
      </c>
      <c r="AX65" s="269" t="s">
        <v>694</v>
      </c>
      <c r="AY65" s="270" t="s">
        <v>695</v>
      </c>
      <c r="AZ65" s="173" t="s">
        <v>681</v>
      </c>
      <c r="BA65" s="265">
        <v>10.0</v>
      </c>
      <c r="BB65" s="174" t="s">
        <v>225</v>
      </c>
      <c r="BC65" s="271"/>
      <c r="BD65" s="272" t="s">
        <v>696</v>
      </c>
      <c r="BE65" s="273" t="s">
        <v>697</v>
      </c>
      <c r="BF65" s="274" t="str">
        <f>IFERROR(__xludf.DUMMYFUNCTION("LOWER(Regexreplace(to_text(E65),""[^A-Za-z0-9]"","""")&amp;""_""&amp;Regexreplace(to_text(F65),""[^A-Za-z0-9]"",""""))"),"sauter_eyrc504fxxx")</f>
        <v>sauter_eyrc504fxxx</v>
      </c>
      <c r="BG65" s="275" t="str">
        <f>IFERROR(__xludf.DUMMYFUNCTION("upper(Regexreplace(to_text(E65),""[^A-Za-z0-9]"","""")&amp;""-""&amp;Regexreplace(to_text(F65),""[^A-Za-z0-9]"",""""))"),"SAUTER-EYRC504FXXX")</f>
        <v>SAUTER-EYRC504FXXX</v>
      </c>
    </row>
    <row r="66" ht="30.0" customHeight="1">
      <c r="A66" s="258">
        <v>62.0</v>
      </c>
      <c r="B66" s="256" t="s">
        <v>670</v>
      </c>
      <c r="C66" s="257" t="s">
        <v>1015</v>
      </c>
      <c r="D66" s="173" t="s">
        <v>1015</v>
      </c>
      <c r="E66" s="174" t="s">
        <v>672</v>
      </c>
      <c r="F66" s="173" t="s">
        <v>514</v>
      </c>
      <c r="G66" s="258" t="s">
        <v>673</v>
      </c>
      <c r="H66" s="258" t="s">
        <v>674</v>
      </c>
      <c r="I66" s="258" t="s">
        <v>675</v>
      </c>
      <c r="J66" s="259" t="s">
        <v>965</v>
      </c>
      <c r="K66" s="260">
        <v>334.0</v>
      </c>
      <c r="L66" s="258" t="s">
        <v>1016</v>
      </c>
      <c r="M66" s="277">
        <v>4.11001239213E11</v>
      </c>
      <c r="N66" s="173" t="s">
        <v>679</v>
      </c>
      <c r="O66" s="173" t="s">
        <v>225</v>
      </c>
      <c r="P66" s="262" t="str">
        <f t="shared" si="1"/>
        <v>IN-BLR-ANANTA-DDC-262_3</v>
      </c>
      <c r="Q66" s="173" t="s">
        <v>1017</v>
      </c>
      <c r="R66" s="258" t="str">
        <f>IFS(C66="","",C66="n/a","N/A",LEN(C66),Concatenate("{",char(34),"asset",char(34),":{",char(34),"guid",char(34),":",char(34),Q66,char(34),",",char(34),"site",char(34),":",char(34),LOWER('2-Building'!$B$4),char(34),",",char(34),"name",char(34),":",char(34),LOWER(C66),char(34),"}}"))</f>
        <v>{"asset":{"guid":"uuid://a68b6eee-1ea8-414a-a5fa-6e2090c79dd3","site":"in-blr-ananta","name":"ddc-262"}}</v>
      </c>
      <c r="S66" s="258" t="s">
        <v>681</v>
      </c>
      <c r="T66" s="263"/>
      <c r="U66" s="263"/>
      <c r="V66" s="264">
        <v>2.23</v>
      </c>
      <c r="W66" s="33" t="s">
        <v>682</v>
      </c>
      <c r="X66" s="258" t="s">
        <v>683</v>
      </c>
      <c r="Y66" s="33" t="s">
        <v>684</v>
      </c>
      <c r="Z66" s="258">
        <v>14062.0</v>
      </c>
      <c r="AA66" s="258">
        <v>11501.0</v>
      </c>
      <c r="AB66" s="258"/>
      <c r="AC66" s="258"/>
      <c r="AD66" s="265"/>
      <c r="AE66" s="266" t="s">
        <v>685</v>
      </c>
      <c r="AF66" s="267" t="s">
        <v>1018</v>
      </c>
      <c r="AG66" s="268" t="str">
        <f>IFS(LEN(AF66)=17,LOWER('2-Building'!$B$4 &amp; "-" &amp; C66), AF66="N/A", "N/A", LEN(AF66)=0,"")</f>
        <v>in-blr-ananta-ddc-262</v>
      </c>
      <c r="AH66" s="258"/>
      <c r="AI66" s="258"/>
      <c r="AJ66" s="258"/>
      <c r="AK66" s="258" t="s">
        <v>1019</v>
      </c>
      <c r="AL66" s="258" t="s">
        <v>688</v>
      </c>
      <c r="AM66" s="258" t="s">
        <v>689</v>
      </c>
      <c r="AN66" s="258"/>
      <c r="AO66" s="258"/>
      <c r="AP66" s="258"/>
      <c r="AQ66" s="258"/>
      <c r="AR66" s="258" t="s">
        <v>690</v>
      </c>
      <c r="AS66" s="258" t="s">
        <v>691</v>
      </c>
      <c r="AT66" s="258" t="s">
        <v>1020</v>
      </c>
      <c r="AU66" s="265" t="s">
        <v>693</v>
      </c>
      <c r="AV66" s="174" t="s">
        <v>243</v>
      </c>
      <c r="AW66" s="269" t="s">
        <v>245</v>
      </c>
      <c r="AX66" s="269" t="s">
        <v>694</v>
      </c>
      <c r="AY66" s="270" t="s">
        <v>695</v>
      </c>
      <c r="AZ66" s="173" t="s">
        <v>681</v>
      </c>
      <c r="BA66" s="265">
        <v>10.0</v>
      </c>
      <c r="BB66" s="174" t="s">
        <v>225</v>
      </c>
      <c r="BC66" s="271"/>
      <c r="BD66" s="272" t="s">
        <v>696</v>
      </c>
      <c r="BE66" s="273" t="s">
        <v>697</v>
      </c>
      <c r="BF66" s="274" t="str">
        <f>IFERROR(__xludf.DUMMYFUNCTION("LOWER(Regexreplace(to_text(E66),""[^A-Za-z0-9]"","""")&amp;""_""&amp;Regexreplace(to_text(F66),""[^A-Za-z0-9]"",""""))"),"sauter_eyrc504fxxx")</f>
        <v>sauter_eyrc504fxxx</v>
      </c>
      <c r="BG66" s="275" t="str">
        <f>IFERROR(__xludf.DUMMYFUNCTION("upper(Regexreplace(to_text(E66),""[^A-Za-z0-9]"","""")&amp;""-""&amp;Regexreplace(to_text(F66),""[^A-Za-z0-9]"",""""))"),"SAUTER-EYRC504FXXX")</f>
        <v>SAUTER-EYRC504FXXX</v>
      </c>
    </row>
    <row r="67" ht="30.0" customHeight="1">
      <c r="A67" s="173">
        <v>63.0</v>
      </c>
      <c r="B67" s="256" t="s">
        <v>670</v>
      </c>
      <c r="C67" s="257" t="s">
        <v>1021</v>
      </c>
      <c r="D67" s="173" t="s">
        <v>1021</v>
      </c>
      <c r="E67" s="174" t="s">
        <v>672</v>
      </c>
      <c r="F67" s="173" t="s">
        <v>514</v>
      </c>
      <c r="G67" s="258" t="s">
        <v>673</v>
      </c>
      <c r="H67" s="258" t="s">
        <v>674</v>
      </c>
      <c r="I67" s="258" t="s">
        <v>675</v>
      </c>
      <c r="J67" s="259" t="s">
        <v>965</v>
      </c>
      <c r="K67" s="260">
        <v>334.0</v>
      </c>
      <c r="L67" s="258" t="s">
        <v>1016</v>
      </c>
      <c r="M67" s="277">
        <v>4.11001235296E11</v>
      </c>
      <c r="N67" s="173" t="s">
        <v>679</v>
      </c>
      <c r="O67" s="173" t="s">
        <v>225</v>
      </c>
      <c r="P67" s="262" t="str">
        <f t="shared" si="1"/>
        <v>IN-BLR-ANANTA-DDC-263_3</v>
      </c>
      <c r="Q67" s="173" t="s">
        <v>1022</v>
      </c>
      <c r="R67" s="258" t="str">
        <f>IFS(C67="","",C67="n/a","N/A",LEN(C67),Concatenate("{",char(34),"asset",char(34),":{",char(34),"guid",char(34),":",char(34),Q67,char(34),",",char(34),"site",char(34),":",char(34),LOWER('2-Building'!$B$4),char(34),",",char(34),"name",char(34),":",char(34),LOWER(C67),char(34),"}}"))</f>
        <v>{"asset":{"guid":"uuid://136a6299-7bdf-4ca4-bf83-37707078dea5","site":"in-blr-ananta","name":"ddc-263"}}</v>
      </c>
      <c r="S67" s="258" t="s">
        <v>681</v>
      </c>
      <c r="T67" s="263"/>
      <c r="U67" s="263"/>
      <c r="V67" s="264">
        <v>2.23</v>
      </c>
      <c r="W67" s="33" t="s">
        <v>682</v>
      </c>
      <c r="X67" s="258" t="s">
        <v>683</v>
      </c>
      <c r="Y67" s="33" t="s">
        <v>684</v>
      </c>
      <c r="Z67" s="258">
        <v>14063.0</v>
      </c>
      <c r="AA67" s="258">
        <v>11501.0</v>
      </c>
      <c r="AB67" s="258"/>
      <c r="AC67" s="258"/>
      <c r="AD67" s="265"/>
      <c r="AE67" s="266" t="s">
        <v>685</v>
      </c>
      <c r="AF67" s="267" t="s">
        <v>1023</v>
      </c>
      <c r="AG67" s="268" t="str">
        <f>IFS(LEN(AF67)=17,LOWER('2-Building'!$B$4 &amp; "-" &amp; C67), AF67="N/A", "N/A", LEN(AF67)=0,"")</f>
        <v>in-blr-ananta-ddc-263</v>
      </c>
      <c r="AH67" s="258"/>
      <c r="AI67" s="258"/>
      <c r="AJ67" s="258"/>
      <c r="AK67" s="258" t="s">
        <v>1024</v>
      </c>
      <c r="AL67" s="258" t="s">
        <v>688</v>
      </c>
      <c r="AM67" s="258" t="s">
        <v>689</v>
      </c>
      <c r="AN67" s="258"/>
      <c r="AO67" s="258"/>
      <c r="AP67" s="258"/>
      <c r="AQ67" s="258"/>
      <c r="AR67" s="258" t="s">
        <v>690</v>
      </c>
      <c r="AS67" s="258" t="s">
        <v>691</v>
      </c>
      <c r="AT67" s="258" t="s">
        <v>1020</v>
      </c>
      <c r="AU67" s="265" t="s">
        <v>693</v>
      </c>
      <c r="AV67" s="174" t="s">
        <v>243</v>
      </c>
      <c r="AW67" s="269" t="s">
        <v>245</v>
      </c>
      <c r="AX67" s="269" t="s">
        <v>694</v>
      </c>
      <c r="AY67" s="270" t="s">
        <v>695</v>
      </c>
      <c r="AZ67" s="173" t="s">
        <v>681</v>
      </c>
      <c r="BA67" s="265">
        <v>10.0</v>
      </c>
      <c r="BB67" s="174" t="s">
        <v>225</v>
      </c>
      <c r="BC67" s="271"/>
      <c r="BD67" s="272" t="s">
        <v>696</v>
      </c>
      <c r="BE67" s="273" t="s">
        <v>697</v>
      </c>
      <c r="BF67" s="274" t="str">
        <f>IFERROR(__xludf.DUMMYFUNCTION("LOWER(Regexreplace(to_text(E67),""[^A-Za-z0-9]"","""")&amp;""_""&amp;Regexreplace(to_text(F67),""[^A-Za-z0-9]"",""""))"),"sauter_eyrc504fxxx")</f>
        <v>sauter_eyrc504fxxx</v>
      </c>
      <c r="BG67" s="275" t="str">
        <f>IFERROR(__xludf.DUMMYFUNCTION("upper(Regexreplace(to_text(E67),""[^A-Za-z0-9]"","""")&amp;""-""&amp;Regexreplace(to_text(F67),""[^A-Za-z0-9]"",""""))"),"SAUTER-EYRC504FXXX")</f>
        <v>SAUTER-EYRC504FXXX</v>
      </c>
    </row>
    <row r="68" ht="30.0" customHeight="1">
      <c r="A68" s="258">
        <v>64.0</v>
      </c>
      <c r="B68" s="256" t="s">
        <v>670</v>
      </c>
      <c r="C68" s="257" t="s">
        <v>1025</v>
      </c>
      <c r="D68" s="173" t="s">
        <v>1025</v>
      </c>
      <c r="E68" s="174" t="s">
        <v>672</v>
      </c>
      <c r="F68" s="173" t="s">
        <v>514</v>
      </c>
      <c r="G68" s="258" t="s">
        <v>673</v>
      </c>
      <c r="H68" s="258" t="s">
        <v>674</v>
      </c>
      <c r="I68" s="258" t="s">
        <v>675</v>
      </c>
      <c r="J68" s="259" t="s">
        <v>1026</v>
      </c>
      <c r="K68" s="260" t="s">
        <v>1027</v>
      </c>
      <c r="L68" s="258" t="s">
        <v>1028</v>
      </c>
      <c r="M68" s="277">
        <v>4.11001235493E11</v>
      </c>
      <c r="N68" s="173" t="s">
        <v>679</v>
      </c>
      <c r="O68" s="173" t="s">
        <v>225</v>
      </c>
      <c r="P68" s="262" t="str">
        <f t="shared" si="1"/>
        <v>IN-BLR-ANANTA-DDC-264_4</v>
      </c>
      <c r="Q68" s="173" t="s">
        <v>1029</v>
      </c>
      <c r="R68" s="258" t="str">
        <f>IFS(C68="","",C68="n/a","N/A",LEN(C68),Concatenate("{",char(34),"asset",char(34),":{",char(34),"guid",char(34),":",char(34),Q68,char(34),",",char(34),"site",char(34),":",char(34),LOWER('2-Building'!$B$4),char(34),",",char(34),"name",char(34),":",char(34),LOWER(C68),char(34),"}}"))</f>
        <v>{"asset":{"guid":"uuid://47187648-2fb9-4564-a350-07c59a16c12c","site":"in-blr-ananta","name":"ddc-264"}}</v>
      </c>
      <c r="S68" s="258" t="s">
        <v>681</v>
      </c>
      <c r="T68" s="263"/>
      <c r="U68" s="263"/>
      <c r="V68" s="264">
        <v>2.23</v>
      </c>
      <c r="W68" s="33" t="s">
        <v>682</v>
      </c>
      <c r="X68" s="258" t="s">
        <v>683</v>
      </c>
      <c r="Y68" s="33" t="s">
        <v>684</v>
      </c>
      <c r="Z68" s="258">
        <v>14064.0</v>
      </c>
      <c r="AA68" s="258">
        <v>11501.0</v>
      </c>
      <c r="AB68" s="258"/>
      <c r="AC68" s="258"/>
      <c r="AD68" s="265"/>
      <c r="AE68" s="266" t="s">
        <v>685</v>
      </c>
      <c r="AF68" s="267" t="s">
        <v>1030</v>
      </c>
      <c r="AG68" s="268" t="str">
        <f>IFS(LEN(AF68)=17,LOWER('2-Building'!$B$4 &amp; "-" &amp; C68), AF68="N/A", "N/A", LEN(AF68)=0,"")</f>
        <v>in-blr-ananta-ddc-264</v>
      </c>
      <c r="AH68" s="258"/>
      <c r="AI68" s="258"/>
      <c r="AJ68" s="258"/>
      <c r="AK68" s="258" t="s">
        <v>1031</v>
      </c>
      <c r="AL68" s="258" t="s">
        <v>688</v>
      </c>
      <c r="AM68" s="258" t="s">
        <v>689</v>
      </c>
      <c r="AN68" s="258"/>
      <c r="AO68" s="258"/>
      <c r="AP68" s="258"/>
      <c r="AQ68" s="258"/>
      <c r="AR68" s="258" t="s">
        <v>690</v>
      </c>
      <c r="AS68" s="258" t="s">
        <v>691</v>
      </c>
      <c r="AT68" s="258" t="s">
        <v>1032</v>
      </c>
      <c r="AU68" s="265" t="s">
        <v>693</v>
      </c>
      <c r="AV68" s="174" t="s">
        <v>243</v>
      </c>
      <c r="AW68" s="269" t="s">
        <v>245</v>
      </c>
      <c r="AX68" s="269" t="s">
        <v>694</v>
      </c>
      <c r="AY68" s="270" t="s">
        <v>695</v>
      </c>
      <c r="AZ68" s="173" t="s">
        <v>681</v>
      </c>
      <c r="BA68" s="265">
        <v>10.0</v>
      </c>
      <c r="BB68" s="174" t="s">
        <v>225</v>
      </c>
      <c r="BC68" s="271"/>
      <c r="BD68" s="272" t="s">
        <v>696</v>
      </c>
      <c r="BE68" s="273" t="s">
        <v>697</v>
      </c>
      <c r="BF68" s="274" t="str">
        <f>IFERROR(__xludf.DUMMYFUNCTION("LOWER(Regexreplace(to_text(E68),""[^A-Za-z0-9]"","""")&amp;""_""&amp;Regexreplace(to_text(F68),""[^A-Za-z0-9]"",""""))"),"sauter_eyrc504fxxx")</f>
        <v>sauter_eyrc504fxxx</v>
      </c>
      <c r="BG68" s="275" t="str">
        <f>IFERROR(__xludf.DUMMYFUNCTION("upper(Regexreplace(to_text(E68),""[^A-Za-z0-9]"","""")&amp;""-""&amp;Regexreplace(to_text(F68),""[^A-Za-z0-9]"",""""))"),"SAUTER-EYRC504FXXX")</f>
        <v>SAUTER-EYRC504FXXX</v>
      </c>
    </row>
    <row r="69" ht="30.0" customHeight="1">
      <c r="A69" s="173">
        <v>65.0</v>
      </c>
      <c r="B69" s="256" t="s">
        <v>670</v>
      </c>
      <c r="C69" s="257" t="s">
        <v>1033</v>
      </c>
      <c r="D69" s="173" t="s">
        <v>1033</v>
      </c>
      <c r="E69" s="174" t="s">
        <v>672</v>
      </c>
      <c r="F69" s="173" t="s">
        <v>514</v>
      </c>
      <c r="G69" s="258" t="s">
        <v>673</v>
      </c>
      <c r="H69" s="258" t="s">
        <v>674</v>
      </c>
      <c r="I69" s="258" t="s">
        <v>675</v>
      </c>
      <c r="J69" s="259" t="s">
        <v>1026</v>
      </c>
      <c r="K69" s="260" t="s">
        <v>1027</v>
      </c>
      <c r="L69" s="258" t="s">
        <v>1028</v>
      </c>
      <c r="M69" s="277">
        <v>4.11001239359E11</v>
      </c>
      <c r="N69" s="173" t="s">
        <v>679</v>
      </c>
      <c r="O69" s="173" t="s">
        <v>225</v>
      </c>
      <c r="P69" s="262" t="str">
        <f t="shared" si="1"/>
        <v>IN-BLR-ANANTA-DDC-265_4</v>
      </c>
      <c r="Q69" s="173" t="s">
        <v>1034</v>
      </c>
      <c r="R69" s="258" t="str">
        <f>IFS(C69="","",C69="n/a","N/A",LEN(C69),Concatenate("{",char(34),"asset",char(34),":{",char(34),"guid",char(34),":",char(34),Q69,char(34),",",char(34),"site",char(34),":",char(34),LOWER('2-Building'!$B$4),char(34),",",char(34),"name",char(34),":",char(34),LOWER(C69),char(34),"}}"))</f>
        <v>{"asset":{"guid":"uuid://7a4ce1f1-7138-4e76-bbe4-ca4f52cd1976","site":"in-blr-ananta","name":"ddc-265"}}</v>
      </c>
      <c r="S69" s="258" t="s">
        <v>681</v>
      </c>
      <c r="T69" s="263"/>
      <c r="U69" s="263"/>
      <c r="V69" s="264">
        <v>2.23</v>
      </c>
      <c r="W69" s="33" t="s">
        <v>682</v>
      </c>
      <c r="X69" s="258" t="s">
        <v>683</v>
      </c>
      <c r="Y69" s="33" t="s">
        <v>684</v>
      </c>
      <c r="Z69" s="258">
        <v>14065.0</v>
      </c>
      <c r="AA69" s="258">
        <v>11501.0</v>
      </c>
      <c r="AB69" s="258"/>
      <c r="AC69" s="258"/>
      <c r="AD69" s="265"/>
      <c r="AE69" s="266" t="s">
        <v>685</v>
      </c>
      <c r="AF69" s="267" t="s">
        <v>1035</v>
      </c>
      <c r="AG69" s="268" t="str">
        <f>IFS(LEN(AF69)=17,LOWER('2-Building'!$B$4 &amp; "-" &amp; C69), AF69="N/A", "N/A", LEN(AF69)=0,"")</f>
        <v>in-blr-ananta-ddc-265</v>
      </c>
      <c r="AH69" s="258"/>
      <c r="AI69" s="258"/>
      <c r="AJ69" s="258"/>
      <c r="AK69" s="258" t="s">
        <v>1036</v>
      </c>
      <c r="AL69" s="258" t="s">
        <v>688</v>
      </c>
      <c r="AM69" s="258" t="s">
        <v>689</v>
      </c>
      <c r="AN69" s="258"/>
      <c r="AO69" s="258"/>
      <c r="AP69" s="258"/>
      <c r="AQ69" s="258"/>
      <c r="AR69" s="258" t="s">
        <v>690</v>
      </c>
      <c r="AS69" s="258" t="s">
        <v>691</v>
      </c>
      <c r="AT69" s="258" t="s">
        <v>1032</v>
      </c>
      <c r="AU69" s="265" t="s">
        <v>693</v>
      </c>
      <c r="AV69" s="174" t="s">
        <v>243</v>
      </c>
      <c r="AW69" s="269" t="s">
        <v>245</v>
      </c>
      <c r="AX69" s="269" t="s">
        <v>694</v>
      </c>
      <c r="AY69" s="270" t="s">
        <v>695</v>
      </c>
      <c r="AZ69" s="173" t="s">
        <v>681</v>
      </c>
      <c r="BA69" s="265">
        <v>10.0</v>
      </c>
      <c r="BB69" s="174" t="s">
        <v>225</v>
      </c>
      <c r="BC69" s="271"/>
      <c r="BD69" s="272" t="s">
        <v>696</v>
      </c>
      <c r="BE69" s="273" t="s">
        <v>697</v>
      </c>
      <c r="BF69" s="274" t="str">
        <f>IFERROR(__xludf.DUMMYFUNCTION("LOWER(Regexreplace(to_text(E69),""[^A-Za-z0-9]"","""")&amp;""_""&amp;Regexreplace(to_text(F69),""[^A-Za-z0-9]"",""""))"),"sauter_eyrc504fxxx")</f>
        <v>sauter_eyrc504fxxx</v>
      </c>
      <c r="BG69" s="275" t="str">
        <f>IFERROR(__xludf.DUMMYFUNCTION("upper(Regexreplace(to_text(E69),""[^A-Za-z0-9]"","""")&amp;""-""&amp;Regexreplace(to_text(F69),""[^A-Za-z0-9]"",""""))"),"SAUTER-EYRC504FXXX")</f>
        <v>SAUTER-EYRC504FXXX</v>
      </c>
    </row>
    <row r="70" ht="30.0" customHeight="1">
      <c r="A70" s="258">
        <v>66.0</v>
      </c>
      <c r="B70" s="256" t="s">
        <v>670</v>
      </c>
      <c r="C70" s="257" t="s">
        <v>1037</v>
      </c>
      <c r="D70" s="173" t="s">
        <v>1037</v>
      </c>
      <c r="E70" s="174" t="s">
        <v>672</v>
      </c>
      <c r="F70" s="173" t="s">
        <v>514</v>
      </c>
      <c r="G70" s="258" t="s">
        <v>673</v>
      </c>
      <c r="H70" s="258" t="s">
        <v>674</v>
      </c>
      <c r="I70" s="258" t="s">
        <v>675</v>
      </c>
      <c r="J70" s="259" t="s">
        <v>1026</v>
      </c>
      <c r="K70" s="260">
        <v>475.0</v>
      </c>
      <c r="L70" s="258" t="s">
        <v>1038</v>
      </c>
      <c r="M70" s="277">
        <v>4.11001235209E11</v>
      </c>
      <c r="N70" s="173" t="s">
        <v>679</v>
      </c>
      <c r="O70" s="173" t="s">
        <v>225</v>
      </c>
      <c r="P70" s="262" t="str">
        <f t="shared" si="1"/>
        <v>IN-BLR-ANANTA-DDC-266_4</v>
      </c>
      <c r="Q70" s="173" t="s">
        <v>1039</v>
      </c>
      <c r="R70" s="258" t="str">
        <f>IFS(C70="","",C70="n/a","N/A",LEN(C70),Concatenate("{",char(34),"asset",char(34),":{",char(34),"guid",char(34),":",char(34),Q70,char(34),",",char(34),"site",char(34),":",char(34),LOWER('2-Building'!$B$4),char(34),",",char(34),"name",char(34),":",char(34),LOWER(C70),char(34),"}}"))</f>
        <v>{"asset":{"guid":"uuid://07d958f7-cd31-4b95-9605-bfbef9ea298a","site":"in-blr-ananta","name":"ddc-266"}}</v>
      </c>
      <c r="S70" s="258" t="s">
        <v>681</v>
      </c>
      <c r="T70" s="263"/>
      <c r="U70" s="263"/>
      <c r="V70" s="264">
        <v>2.23</v>
      </c>
      <c r="W70" s="33" t="s">
        <v>682</v>
      </c>
      <c r="X70" s="258" t="s">
        <v>683</v>
      </c>
      <c r="Y70" s="33" t="s">
        <v>684</v>
      </c>
      <c r="Z70" s="258">
        <v>14066.0</v>
      </c>
      <c r="AA70" s="258">
        <v>11501.0</v>
      </c>
      <c r="AB70" s="258"/>
      <c r="AC70" s="258"/>
      <c r="AD70" s="265"/>
      <c r="AE70" s="266" t="s">
        <v>685</v>
      </c>
      <c r="AF70" s="267" t="s">
        <v>1040</v>
      </c>
      <c r="AG70" s="268" t="str">
        <f>IFS(LEN(AF70)=17,LOWER('2-Building'!$B$4 &amp; "-" &amp; C70), AF70="N/A", "N/A", LEN(AF70)=0,"")</f>
        <v>in-blr-ananta-ddc-266</v>
      </c>
      <c r="AH70" s="258"/>
      <c r="AI70" s="258"/>
      <c r="AJ70" s="258"/>
      <c r="AK70" s="258" t="s">
        <v>1041</v>
      </c>
      <c r="AL70" s="258" t="s">
        <v>688</v>
      </c>
      <c r="AM70" s="258" t="s">
        <v>689</v>
      </c>
      <c r="AN70" s="258"/>
      <c r="AO70" s="258"/>
      <c r="AP70" s="258"/>
      <c r="AQ70" s="258"/>
      <c r="AR70" s="258" t="s">
        <v>690</v>
      </c>
      <c r="AS70" s="258" t="s">
        <v>691</v>
      </c>
      <c r="AT70" s="258" t="s">
        <v>1042</v>
      </c>
      <c r="AU70" s="265" t="s">
        <v>693</v>
      </c>
      <c r="AV70" s="174" t="s">
        <v>243</v>
      </c>
      <c r="AW70" s="269" t="s">
        <v>245</v>
      </c>
      <c r="AX70" s="269" t="s">
        <v>694</v>
      </c>
      <c r="AY70" s="270" t="s">
        <v>695</v>
      </c>
      <c r="AZ70" s="173" t="s">
        <v>681</v>
      </c>
      <c r="BA70" s="265">
        <v>10.0</v>
      </c>
      <c r="BB70" s="174" t="s">
        <v>225</v>
      </c>
      <c r="BC70" s="271"/>
      <c r="BD70" s="272" t="s">
        <v>696</v>
      </c>
      <c r="BE70" s="273" t="s">
        <v>697</v>
      </c>
      <c r="BF70" s="274" t="str">
        <f>IFERROR(__xludf.DUMMYFUNCTION("LOWER(Regexreplace(to_text(E70),""[^A-Za-z0-9]"","""")&amp;""_""&amp;Regexreplace(to_text(F70),""[^A-Za-z0-9]"",""""))"),"sauter_eyrc504fxxx")</f>
        <v>sauter_eyrc504fxxx</v>
      </c>
      <c r="BG70" s="275" t="str">
        <f>IFERROR(__xludf.DUMMYFUNCTION("upper(Regexreplace(to_text(E70),""[^A-Za-z0-9]"","""")&amp;""-""&amp;Regexreplace(to_text(F70),""[^A-Za-z0-9]"",""""))"),"SAUTER-EYRC504FXXX")</f>
        <v>SAUTER-EYRC504FXXX</v>
      </c>
    </row>
    <row r="71" ht="30.0" customHeight="1">
      <c r="A71" s="173">
        <v>67.0</v>
      </c>
      <c r="B71" s="256" t="s">
        <v>670</v>
      </c>
      <c r="C71" s="257" t="s">
        <v>1043</v>
      </c>
      <c r="D71" s="173" t="s">
        <v>1043</v>
      </c>
      <c r="E71" s="174" t="s">
        <v>672</v>
      </c>
      <c r="F71" s="173" t="s">
        <v>514</v>
      </c>
      <c r="G71" s="258" t="s">
        <v>673</v>
      </c>
      <c r="H71" s="258" t="s">
        <v>674</v>
      </c>
      <c r="I71" s="258" t="s">
        <v>675</v>
      </c>
      <c r="J71" s="259" t="s">
        <v>1026</v>
      </c>
      <c r="K71" s="260">
        <v>475.0</v>
      </c>
      <c r="L71" s="258" t="s">
        <v>1038</v>
      </c>
      <c r="M71" s="277">
        <v>4.1100123562E11</v>
      </c>
      <c r="N71" s="173" t="s">
        <v>679</v>
      </c>
      <c r="O71" s="173" t="s">
        <v>225</v>
      </c>
      <c r="P71" s="262" t="str">
        <f t="shared" si="1"/>
        <v>IN-BLR-ANANTA-DDC-267_4</v>
      </c>
      <c r="Q71" s="173" t="s">
        <v>1044</v>
      </c>
      <c r="R71" s="258" t="str">
        <f>IFS(C71="","",C71="n/a","N/A",LEN(C71),Concatenate("{",char(34),"asset",char(34),":{",char(34),"guid",char(34),":",char(34),Q71,char(34),",",char(34),"site",char(34),":",char(34),LOWER('2-Building'!$B$4),char(34),",",char(34),"name",char(34),":",char(34),LOWER(C71),char(34),"}}"))</f>
        <v>{"asset":{"guid":"uuid://8a5154e3-d8e4-4658-ad8b-b1df5e8c998c","site":"in-blr-ananta","name":"ddc-267"}}</v>
      </c>
      <c r="S71" s="258" t="s">
        <v>681</v>
      </c>
      <c r="T71" s="263"/>
      <c r="U71" s="263"/>
      <c r="V71" s="264">
        <v>2.23</v>
      </c>
      <c r="W71" s="33" t="s">
        <v>682</v>
      </c>
      <c r="X71" s="258" t="s">
        <v>683</v>
      </c>
      <c r="Y71" s="33" t="s">
        <v>684</v>
      </c>
      <c r="Z71" s="258">
        <v>14067.0</v>
      </c>
      <c r="AA71" s="258">
        <v>11501.0</v>
      </c>
      <c r="AB71" s="258"/>
      <c r="AC71" s="258"/>
      <c r="AD71" s="265"/>
      <c r="AE71" s="266" t="s">
        <v>685</v>
      </c>
      <c r="AF71" s="267" t="s">
        <v>1045</v>
      </c>
      <c r="AG71" s="268" t="str">
        <f>IFS(LEN(AF71)=17,LOWER('2-Building'!$B$4 &amp; "-" &amp; C71), AF71="N/A", "N/A", LEN(AF71)=0,"")</f>
        <v>in-blr-ananta-ddc-267</v>
      </c>
      <c r="AH71" s="258"/>
      <c r="AI71" s="258"/>
      <c r="AJ71" s="258"/>
      <c r="AK71" s="258" t="s">
        <v>1046</v>
      </c>
      <c r="AL71" s="258" t="s">
        <v>688</v>
      </c>
      <c r="AM71" s="258" t="s">
        <v>689</v>
      </c>
      <c r="AN71" s="258"/>
      <c r="AO71" s="258"/>
      <c r="AP71" s="258"/>
      <c r="AQ71" s="258"/>
      <c r="AR71" s="258" t="s">
        <v>690</v>
      </c>
      <c r="AS71" s="258" t="s">
        <v>691</v>
      </c>
      <c r="AT71" s="258" t="s">
        <v>1042</v>
      </c>
      <c r="AU71" s="265" t="s">
        <v>693</v>
      </c>
      <c r="AV71" s="174" t="s">
        <v>243</v>
      </c>
      <c r="AW71" s="269" t="s">
        <v>245</v>
      </c>
      <c r="AX71" s="269" t="s">
        <v>694</v>
      </c>
      <c r="AY71" s="270" t="s">
        <v>695</v>
      </c>
      <c r="AZ71" s="173" t="s">
        <v>681</v>
      </c>
      <c r="BA71" s="265">
        <v>10.0</v>
      </c>
      <c r="BB71" s="174" t="s">
        <v>225</v>
      </c>
      <c r="BC71" s="271"/>
      <c r="BD71" s="272" t="s">
        <v>696</v>
      </c>
      <c r="BE71" s="273" t="s">
        <v>697</v>
      </c>
      <c r="BF71" s="274" t="str">
        <f>IFERROR(__xludf.DUMMYFUNCTION("LOWER(Regexreplace(to_text(E71),""[^A-Za-z0-9]"","""")&amp;""_""&amp;Regexreplace(to_text(F71),""[^A-Za-z0-9]"",""""))"),"sauter_eyrc504fxxx")</f>
        <v>sauter_eyrc504fxxx</v>
      </c>
      <c r="BG71" s="275" t="str">
        <f>IFERROR(__xludf.DUMMYFUNCTION("upper(Regexreplace(to_text(E71),""[^A-Za-z0-9]"","""")&amp;""-""&amp;Regexreplace(to_text(F71),""[^A-Za-z0-9]"",""""))"),"SAUTER-EYRC504FXXX")</f>
        <v>SAUTER-EYRC504FXXX</v>
      </c>
    </row>
    <row r="72" ht="30.0" customHeight="1">
      <c r="A72" s="258">
        <v>68.0</v>
      </c>
      <c r="B72" s="256" t="s">
        <v>670</v>
      </c>
      <c r="C72" s="257" t="s">
        <v>1047</v>
      </c>
      <c r="D72" s="173" t="s">
        <v>1047</v>
      </c>
      <c r="E72" s="174" t="s">
        <v>672</v>
      </c>
      <c r="F72" s="173" t="s">
        <v>514</v>
      </c>
      <c r="G72" s="258" t="s">
        <v>673</v>
      </c>
      <c r="H72" s="258" t="s">
        <v>674</v>
      </c>
      <c r="I72" s="258" t="s">
        <v>675</v>
      </c>
      <c r="J72" s="259" t="s">
        <v>1026</v>
      </c>
      <c r="K72" s="260">
        <v>419.0</v>
      </c>
      <c r="L72" s="258" t="s">
        <v>1048</v>
      </c>
      <c r="M72" s="277">
        <v>4.1100123919E11</v>
      </c>
      <c r="N72" s="173" t="s">
        <v>679</v>
      </c>
      <c r="O72" s="173" t="s">
        <v>225</v>
      </c>
      <c r="P72" s="262" t="str">
        <f t="shared" si="1"/>
        <v>IN-BLR-ANANTA-DDC-268_4</v>
      </c>
      <c r="Q72" s="173" t="s">
        <v>1049</v>
      </c>
      <c r="R72" s="258" t="str">
        <f>IFS(C72="","",C72="n/a","N/A",LEN(C72),Concatenate("{",char(34),"asset",char(34),":{",char(34),"guid",char(34),":",char(34),Q72,char(34),",",char(34),"site",char(34),":",char(34),LOWER('2-Building'!$B$4),char(34),",",char(34),"name",char(34),":",char(34),LOWER(C72),char(34),"}}"))</f>
        <v>{"asset":{"guid":"uuid://d3f236b0-8e0c-436e-8546-463da225e9df","site":"in-blr-ananta","name":"ddc-268"}}</v>
      </c>
      <c r="S72" s="258" t="s">
        <v>681</v>
      </c>
      <c r="T72" s="263"/>
      <c r="U72" s="263"/>
      <c r="V72" s="264">
        <v>2.23</v>
      </c>
      <c r="W72" s="33" t="s">
        <v>682</v>
      </c>
      <c r="X72" s="258" t="s">
        <v>683</v>
      </c>
      <c r="Y72" s="33" t="s">
        <v>684</v>
      </c>
      <c r="Z72" s="258">
        <v>14068.0</v>
      </c>
      <c r="AA72" s="258">
        <v>11501.0</v>
      </c>
      <c r="AB72" s="258"/>
      <c r="AC72" s="258"/>
      <c r="AD72" s="265"/>
      <c r="AE72" s="266" t="s">
        <v>685</v>
      </c>
      <c r="AF72" s="267" t="s">
        <v>1050</v>
      </c>
      <c r="AG72" s="268" t="str">
        <f>IFS(LEN(AF72)=17,LOWER('2-Building'!$B$4 &amp; "-" &amp; C72), AF72="N/A", "N/A", LEN(AF72)=0,"")</f>
        <v>in-blr-ananta-ddc-268</v>
      </c>
      <c r="AH72" s="258"/>
      <c r="AI72" s="258"/>
      <c r="AJ72" s="258"/>
      <c r="AK72" s="258" t="s">
        <v>1051</v>
      </c>
      <c r="AL72" s="258" t="s">
        <v>688</v>
      </c>
      <c r="AM72" s="258" t="s">
        <v>689</v>
      </c>
      <c r="AN72" s="258"/>
      <c r="AO72" s="258"/>
      <c r="AP72" s="258"/>
      <c r="AQ72" s="258"/>
      <c r="AR72" s="258" t="s">
        <v>690</v>
      </c>
      <c r="AS72" s="258" t="s">
        <v>691</v>
      </c>
      <c r="AT72" s="258" t="s">
        <v>1052</v>
      </c>
      <c r="AU72" s="265" t="s">
        <v>693</v>
      </c>
      <c r="AV72" s="174" t="s">
        <v>243</v>
      </c>
      <c r="AW72" s="269" t="s">
        <v>245</v>
      </c>
      <c r="AX72" s="269" t="s">
        <v>694</v>
      </c>
      <c r="AY72" s="270" t="s">
        <v>695</v>
      </c>
      <c r="AZ72" s="173" t="s">
        <v>681</v>
      </c>
      <c r="BA72" s="265">
        <v>10.0</v>
      </c>
      <c r="BB72" s="174" t="s">
        <v>225</v>
      </c>
      <c r="BC72" s="271"/>
      <c r="BD72" s="272" t="s">
        <v>696</v>
      </c>
      <c r="BE72" s="273" t="s">
        <v>697</v>
      </c>
      <c r="BF72" s="274" t="str">
        <f>IFERROR(__xludf.DUMMYFUNCTION("LOWER(Regexreplace(to_text(E72),""[^A-Za-z0-9]"","""")&amp;""_""&amp;Regexreplace(to_text(F72),""[^A-Za-z0-9]"",""""))"),"sauter_eyrc504fxxx")</f>
        <v>sauter_eyrc504fxxx</v>
      </c>
      <c r="BG72" s="275" t="str">
        <f>IFERROR(__xludf.DUMMYFUNCTION("upper(Regexreplace(to_text(E72),""[^A-Za-z0-9]"","""")&amp;""-""&amp;Regexreplace(to_text(F72),""[^A-Za-z0-9]"",""""))"),"SAUTER-EYRC504FXXX")</f>
        <v>SAUTER-EYRC504FXXX</v>
      </c>
    </row>
    <row r="73" ht="30.0" customHeight="1">
      <c r="A73" s="173">
        <v>69.0</v>
      </c>
      <c r="B73" s="256" t="s">
        <v>670</v>
      </c>
      <c r="C73" s="257" t="s">
        <v>1053</v>
      </c>
      <c r="D73" s="173" t="s">
        <v>1053</v>
      </c>
      <c r="E73" s="174" t="s">
        <v>672</v>
      </c>
      <c r="F73" s="173" t="s">
        <v>514</v>
      </c>
      <c r="G73" s="258" t="s">
        <v>673</v>
      </c>
      <c r="H73" s="258" t="s">
        <v>674</v>
      </c>
      <c r="I73" s="258" t="s">
        <v>675</v>
      </c>
      <c r="J73" s="259" t="s">
        <v>1026</v>
      </c>
      <c r="K73" s="260">
        <v>419.0</v>
      </c>
      <c r="L73" s="258" t="s">
        <v>1048</v>
      </c>
      <c r="M73" s="277">
        <v>4.1100123899E11</v>
      </c>
      <c r="N73" s="173" t="s">
        <v>679</v>
      </c>
      <c r="O73" s="173" t="s">
        <v>225</v>
      </c>
      <c r="P73" s="262" t="str">
        <f t="shared" si="1"/>
        <v>IN-BLR-ANANTA-DDC-269_4</v>
      </c>
      <c r="Q73" s="173" t="s">
        <v>1054</v>
      </c>
      <c r="R73" s="258" t="str">
        <f>IFS(C73="","",C73="n/a","N/A",LEN(C73),Concatenate("{",char(34),"asset",char(34),":{",char(34),"guid",char(34),":",char(34),Q73,char(34),",",char(34),"site",char(34),":",char(34),LOWER('2-Building'!$B$4),char(34),",",char(34),"name",char(34),":",char(34),LOWER(C73),char(34),"}}"))</f>
        <v>{"asset":{"guid":"uuid://6a9aef26-53ee-4ee6-bcb2-7e0cdf74b204","site":"in-blr-ananta","name":"ddc-269"}}</v>
      </c>
      <c r="S73" s="258" t="s">
        <v>681</v>
      </c>
      <c r="T73" s="263"/>
      <c r="U73" s="263"/>
      <c r="V73" s="264">
        <v>2.23</v>
      </c>
      <c r="W73" s="33" t="s">
        <v>682</v>
      </c>
      <c r="X73" s="258" t="s">
        <v>683</v>
      </c>
      <c r="Y73" s="33" t="s">
        <v>684</v>
      </c>
      <c r="Z73" s="258">
        <v>14069.0</v>
      </c>
      <c r="AA73" s="258">
        <v>11501.0</v>
      </c>
      <c r="AB73" s="258"/>
      <c r="AC73" s="258"/>
      <c r="AD73" s="265"/>
      <c r="AE73" s="266" t="s">
        <v>685</v>
      </c>
      <c r="AF73" s="267" t="s">
        <v>1055</v>
      </c>
      <c r="AG73" s="268" t="str">
        <f>IFS(LEN(AF73)=17,LOWER('2-Building'!$B$4 &amp; "-" &amp; C73), AF73="N/A", "N/A", LEN(AF73)=0,"")</f>
        <v>in-blr-ananta-ddc-269</v>
      </c>
      <c r="AH73" s="258"/>
      <c r="AI73" s="258"/>
      <c r="AJ73" s="258"/>
      <c r="AK73" s="258" t="s">
        <v>1056</v>
      </c>
      <c r="AL73" s="258" t="s">
        <v>688</v>
      </c>
      <c r="AM73" s="258" t="s">
        <v>689</v>
      </c>
      <c r="AN73" s="258"/>
      <c r="AO73" s="258"/>
      <c r="AP73" s="258"/>
      <c r="AQ73" s="258"/>
      <c r="AR73" s="258" t="s">
        <v>690</v>
      </c>
      <c r="AS73" s="258" t="s">
        <v>691</v>
      </c>
      <c r="AT73" s="258" t="s">
        <v>1052</v>
      </c>
      <c r="AU73" s="265" t="s">
        <v>693</v>
      </c>
      <c r="AV73" s="174" t="s">
        <v>243</v>
      </c>
      <c r="AW73" s="269" t="s">
        <v>245</v>
      </c>
      <c r="AX73" s="269" t="s">
        <v>694</v>
      </c>
      <c r="AY73" s="270" t="s">
        <v>695</v>
      </c>
      <c r="AZ73" s="173" t="s">
        <v>681</v>
      </c>
      <c r="BA73" s="265">
        <v>10.0</v>
      </c>
      <c r="BB73" s="174" t="s">
        <v>225</v>
      </c>
      <c r="BC73" s="271"/>
      <c r="BD73" s="272" t="s">
        <v>696</v>
      </c>
      <c r="BE73" s="273" t="s">
        <v>697</v>
      </c>
      <c r="BF73" s="274" t="str">
        <f>IFERROR(__xludf.DUMMYFUNCTION("LOWER(Regexreplace(to_text(E73),""[^A-Za-z0-9]"","""")&amp;""_""&amp;Regexreplace(to_text(F73),""[^A-Za-z0-9]"",""""))"),"sauter_eyrc504fxxx")</f>
        <v>sauter_eyrc504fxxx</v>
      </c>
      <c r="BG73" s="275" t="str">
        <f>IFERROR(__xludf.DUMMYFUNCTION("upper(Regexreplace(to_text(E73),""[^A-Za-z0-9]"","""")&amp;""-""&amp;Regexreplace(to_text(F73),""[^A-Za-z0-9]"",""""))"),"SAUTER-EYRC504FXXX")</f>
        <v>SAUTER-EYRC504FXXX</v>
      </c>
    </row>
    <row r="74" ht="30.0" customHeight="1">
      <c r="A74" s="258">
        <v>70.0</v>
      </c>
      <c r="B74" s="256" t="s">
        <v>670</v>
      </c>
      <c r="C74" s="257" t="s">
        <v>1057</v>
      </c>
      <c r="D74" s="173" t="s">
        <v>1057</v>
      </c>
      <c r="E74" s="174" t="s">
        <v>672</v>
      </c>
      <c r="F74" s="173" t="s">
        <v>514</v>
      </c>
      <c r="G74" s="258" t="s">
        <v>673</v>
      </c>
      <c r="H74" s="258" t="s">
        <v>674</v>
      </c>
      <c r="I74" s="258" t="s">
        <v>675</v>
      </c>
      <c r="J74" s="259" t="s">
        <v>1026</v>
      </c>
      <c r="K74" s="260">
        <v>448.0</v>
      </c>
      <c r="L74" s="258" t="s">
        <v>1058</v>
      </c>
      <c r="M74" s="277">
        <v>4.11001235504E11</v>
      </c>
      <c r="N74" s="173" t="s">
        <v>679</v>
      </c>
      <c r="O74" s="173" t="s">
        <v>225</v>
      </c>
      <c r="P74" s="262" t="str">
        <f t="shared" si="1"/>
        <v>IN-BLR-ANANTA-DDC-270_4</v>
      </c>
      <c r="Q74" s="173" t="s">
        <v>1059</v>
      </c>
      <c r="R74" s="258" t="str">
        <f>IFS(C74="","",C74="n/a","N/A",LEN(C74),Concatenate("{",char(34),"asset",char(34),":{",char(34),"guid",char(34),":",char(34),Q74,char(34),",",char(34),"site",char(34),":",char(34),LOWER('2-Building'!$B$4),char(34),",",char(34),"name",char(34),":",char(34),LOWER(C74),char(34),"}}"))</f>
        <v>{"asset":{"guid":"uuid://76ae0373-95a5-4f8e-86c9-7fba87b03f73","site":"in-blr-ananta","name":"ddc-270"}}</v>
      </c>
      <c r="S74" s="258" t="s">
        <v>681</v>
      </c>
      <c r="T74" s="263"/>
      <c r="U74" s="263"/>
      <c r="V74" s="264">
        <v>2.23</v>
      </c>
      <c r="W74" s="33" t="s">
        <v>682</v>
      </c>
      <c r="X74" s="258" t="s">
        <v>683</v>
      </c>
      <c r="Y74" s="33" t="s">
        <v>684</v>
      </c>
      <c r="Z74" s="258">
        <v>14070.0</v>
      </c>
      <c r="AA74" s="258">
        <v>11501.0</v>
      </c>
      <c r="AB74" s="258"/>
      <c r="AC74" s="258"/>
      <c r="AD74" s="265"/>
      <c r="AE74" s="266" t="s">
        <v>685</v>
      </c>
      <c r="AF74" s="267" t="s">
        <v>1060</v>
      </c>
      <c r="AG74" s="268" t="str">
        <f>IFS(LEN(AF74)=17,LOWER('2-Building'!$B$4 &amp; "-" &amp; C74), AF74="N/A", "N/A", LEN(AF74)=0,"")</f>
        <v>in-blr-ananta-ddc-270</v>
      </c>
      <c r="AH74" s="258"/>
      <c r="AI74" s="258"/>
      <c r="AJ74" s="258"/>
      <c r="AK74" s="258" t="s">
        <v>1061</v>
      </c>
      <c r="AL74" s="258" t="s">
        <v>688</v>
      </c>
      <c r="AM74" s="258" t="s">
        <v>689</v>
      </c>
      <c r="AN74" s="258"/>
      <c r="AO74" s="258"/>
      <c r="AP74" s="258"/>
      <c r="AQ74" s="258"/>
      <c r="AR74" s="258" t="s">
        <v>690</v>
      </c>
      <c r="AS74" s="258" t="s">
        <v>691</v>
      </c>
      <c r="AT74" s="258" t="s">
        <v>1062</v>
      </c>
      <c r="AU74" s="265" t="s">
        <v>693</v>
      </c>
      <c r="AV74" s="174" t="s">
        <v>243</v>
      </c>
      <c r="AW74" s="269" t="s">
        <v>245</v>
      </c>
      <c r="AX74" s="269" t="s">
        <v>694</v>
      </c>
      <c r="AY74" s="270" t="s">
        <v>695</v>
      </c>
      <c r="AZ74" s="173" t="s">
        <v>681</v>
      </c>
      <c r="BA74" s="265">
        <v>10.0</v>
      </c>
      <c r="BB74" s="174" t="s">
        <v>225</v>
      </c>
      <c r="BC74" s="271"/>
      <c r="BD74" s="272" t="s">
        <v>696</v>
      </c>
      <c r="BE74" s="273" t="s">
        <v>697</v>
      </c>
      <c r="BF74" s="274" t="str">
        <f>IFERROR(__xludf.DUMMYFUNCTION("LOWER(Regexreplace(to_text(E74),""[^A-Za-z0-9]"","""")&amp;""_""&amp;Regexreplace(to_text(F74),""[^A-Za-z0-9]"",""""))"),"sauter_eyrc504fxxx")</f>
        <v>sauter_eyrc504fxxx</v>
      </c>
      <c r="BG74" s="275" t="str">
        <f>IFERROR(__xludf.DUMMYFUNCTION("upper(Regexreplace(to_text(E74),""[^A-Za-z0-9]"","""")&amp;""-""&amp;Regexreplace(to_text(F74),""[^A-Za-z0-9]"",""""))"),"SAUTER-EYRC504FXXX")</f>
        <v>SAUTER-EYRC504FXXX</v>
      </c>
    </row>
    <row r="75" ht="30.0" customHeight="1">
      <c r="A75" s="173">
        <v>71.0</v>
      </c>
      <c r="B75" s="256" t="s">
        <v>670</v>
      </c>
      <c r="C75" s="257" t="s">
        <v>1063</v>
      </c>
      <c r="D75" s="173" t="s">
        <v>1063</v>
      </c>
      <c r="E75" s="174" t="s">
        <v>672</v>
      </c>
      <c r="F75" s="173" t="s">
        <v>514</v>
      </c>
      <c r="G75" s="258" t="s">
        <v>673</v>
      </c>
      <c r="H75" s="258" t="s">
        <v>674</v>
      </c>
      <c r="I75" s="258" t="s">
        <v>675</v>
      </c>
      <c r="J75" s="259" t="s">
        <v>1026</v>
      </c>
      <c r="K75" s="260">
        <v>448.0</v>
      </c>
      <c r="L75" s="258" t="s">
        <v>1058</v>
      </c>
      <c r="M75" s="277">
        <v>4.11001235014E11</v>
      </c>
      <c r="N75" s="173" t="s">
        <v>679</v>
      </c>
      <c r="O75" s="173" t="s">
        <v>225</v>
      </c>
      <c r="P75" s="262" t="str">
        <f t="shared" si="1"/>
        <v>IN-BLR-ANANTA-DDC-271_4</v>
      </c>
      <c r="Q75" s="173" t="s">
        <v>1064</v>
      </c>
      <c r="R75" s="258" t="str">
        <f>IFS(C75="","",C75="n/a","N/A",LEN(C75),Concatenate("{",char(34),"asset",char(34),":{",char(34),"guid",char(34),":",char(34),Q75,char(34),",",char(34),"site",char(34),":",char(34),LOWER('2-Building'!$B$4),char(34),",",char(34),"name",char(34),":",char(34),LOWER(C75),char(34),"}}"))</f>
        <v>{"asset":{"guid":"uuid://ea13530e-dd64-4119-8ce2-a30ae9a2ee53","site":"in-blr-ananta","name":"ddc-271"}}</v>
      </c>
      <c r="S75" s="258" t="s">
        <v>681</v>
      </c>
      <c r="T75" s="263"/>
      <c r="U75" s="263"/>
      <c r="V75" s="264">
        <v>2.23</v>
      </c>
      <c r="W75" s="33" t="s">
        <v>682</v>
      </c>
      <c r="X75" s="258" t="s">
        <v>683</v>
      </c>
      <c r="Y75" s="33" t="s">
        <v>684</v>
      </c>
      <c r="Z75" s="258">
        <v>14071.0</v>
      </c>
      <c r="AA75" s="258">
        <v>11501.0</v>
      </c>
      <c r="AB75" s="258"/>
      <c r="AC75" s="258"/>
      <c r="AD75" s="265"/>
      <c r="AE75" s="266" t="s">
        <v>685</v>
      </c>
      <c r="AF75" s="267" t="s">
        <v>1065</v>
      </c>
      <c r="AG75" s="268" t="str">
        <f>IFS(LEN(AF75)=17,LOWER('2-Building'!$B$4 &amp; "-" &amp; C75), AF75="N/A", "N/A", LEN(AF75)=0,"")</f>
        <v>in-blr-ananta-ddc-271</v>
      </c>
      <c r="AH75" s="258"/>
      <c r="AI75" s="258"/>
      <c r="AJ75" s="258"/>
      <c r="AK75" s="258" t="s">
        <v>1066</v>
      </c>
      <c r="AL75" s="258" t="s">
        <v>688</v>
      </c>
      <c r="AM75" s="258" t="s">
        <v>689</v>
      </c>
      <c r="AN75" s="258"/>
      <c r="AO75" s="258"/>
      <c r="AP75" s="258"/>
      <c r="AQ75" s="258"/>
      <c r="AR75" s="258" t="s">
        <v>690</v>
      </c>
      <c r="AS75" s="258" t="s">
        <v>691</v>
      </c>
      <c r="AT75" s="258" t="s">
        <v>1062</v>
      </c>
      <c r="AU75" s="265" t="s">
        <v>693</v>
      </c>
      <c r="AV75" s="174" t="s">
        <v>243</v>
      </c>
      <c r="AW75" s="269" t="s">
        <v>245</v>
      </c>
      <c r="AX75" s="269" t="s">
        <v>694</v>
      </c>
      <c r="AY75" s="270" t="s">
        <v>695</v>
      </c>
      <c r="AZ75" s="173" t="s">
        <v>681</v>
      </c>
      <c r="BA75" s="265">
        <v>10.0</v>
      </c>
      <c r="BB75" s="174" t="s">
        <v>225</v>
      </c>
      <c r="BC75" s="271"/>
      <c r="BD75" s="272" t="s">
        <v>696</v>
      </c>
      <c r="BE75" s="273" t="s">
        <v>697</v>
      </c>
      <c r="BF75" s="274" t="str">
        <f>IFERROR(__xludf.DUMMYFUNCTION("LOWER(Regexreplace(to_text(E75),""[^A-Za-z0-9]"","""")&amp;""_""&amp;Regexreplace(to_text(F75),""[^A-Za-z0-9]"",""""))"),"sauter_eyrc504fxxx")</f>
        <v>sauter_eyrc504fxxx</v>
      </c>
      <c r="BG75" s="275" t="str">
        <f>IFERROR(__xludf.DUMMYFUNCTION("upper(Regexreplace(to_text(E75),""[^A-Za-z0-9]"","""")&amp;""-""&amp;Regexreplace(to_text(F75),""[^A-Za-z0-9]"",""""))"),"SAUTER-EYRC504FXXX")</f>
        <v>SAUTER-EYRC504FXXX</v>
      </c>
    </row>
    <row r="76" ht="30.0" customHeight="1">
      <c r="A76" s="258">
        <v>72.0</v>
      </c>
      <c r="B76" s="256" t="s">
        <v>670</v>
      </c>
      <c r="C76" s="257" t="s">
        <v>1067</v>
      </c>
      <c r="D76" s="173" t="s">
        <v>1067</v>
      </c>
      <c r="E76" s="174" t="s">
        <v>672</v>
      </c>
      <c r="F76" s="173" t="s">
        <v>514</v>
      </c>
      <c r="G76" s="258" t="s">
        <v>673</v>
      </c>
      <c r="H76" s="258" t="s">
        <v>674</v>
      </c>
      <c r="I76" s="258" t="s">
        <v>675</v>
      </c>
      <c r="J76" s="259" t="s">
        <v>1026</v>
      </c>
      <c r="K76" s="260">
        <v>433.0</v>
      </c>
      <c r="L76" s="258" t="s">
        <v>1068</v>
      </c>
      <c r="M76" s="277">
        <v>4.11001235495E11</v>
      </c>
      <c r="N76" s="173" t="s">
        <v>679</v>
      </c>
      <c r="O76" s="173" t="s">
        <v>225</v>
      </c>
      <c r="P76" s="262" t="str">
        <f t="shared" si="1"/>
        <v>IN-BLR-ANANTA-DDC-272_4</v>
      </c>
      <c r="Q76" s="173" t="s">
        <v>1069</v>
      </c>
      <c r="R76" s="258" t="str">
        <f>IFS(C76="","",C76="n/a","N/A",LEN(C76),Concatenate("{",char(34),"asset",char(34),":{",char(34),"guid",char(34),":",char(34),Q76,char(34),",",char(34),"site",char(34),":",char(34),LOWER('2-Building'!$B$4),char(34),",",char(34),"name",char(34),":",char(34),LOWER(C76),char(34),"}}"))</f>
        <v>{"asset":{"guid":"uuid://8c3e5d58-636d-45ed-a59a-41a2426c8fc9","site":"in-blr-ananta","name":"ddc-272"}}</v>
      </c>
      <c r="S76" s="258" t="s">
        <v>681</v>
      </c>
      <c r="T76" s="263"/>
      <c r="U76" s="263"/>
      <c r="V76" s="264">
        <v>2.23</v>
      </c>
      <c r="W76" s="33" t="s">
        <v>682</v>
      </c>
      <c r="X76" s="258" t="s">
        <v>683</v>
      </c>
      <c r="Y76" s="33" t="s">
        <v>684</v>
      </c>
      <c r="Z76" s="258">
        <v>14072.0</v>
      </c>
      <c r="AA76" s="258">
        <v>11501.0</v>
      </c>
      <c r="AB76" s="258"/>
      <c r="AC76" s="258"/>
      <c r="AD76" s="265"/>
      <c r="AE76" s="266" t="s">
        <v>685</v>
      </c>
      <c r="AF76" s="267" t="s">
        <v>1070</v>
      </c>
      <c r="AG76" s="268" t="str">
        <f>IFS(LEN(AF76)=17,LOWER('2-Building'!$B$4 &amp; "-" &amp; C76), AF76="N/A", "N/A", LEN(AF76)=0,"")</f>
        <v>in-blr-ananta-ddc-272</v>
      </c>
      <c r="AH76" s="258"/>
      <c r="AI76" s="258"/>
      <c r="AJ76" s="258"/>
      <c r="AK76" s="258" t="s">
        <v>1071</v>
      </c>
      <c r="AL76" s="258" t="s">
        <v>688</v>
      </c>
      <c r="AM76" s="258" t="s">
        <v>689</v>
      </c>
      <c r="AN76" s="258"/>
      <c r="AO76" s="258"/>
      <c r="AP76" s="258"/>
      <c r="AQ76" s="258"/>
      <c r="AR76" s="258" t="s">
        <v>690</v>
      </c>
      <c r="AS76" s="258" t="s">
        <v>691</v>
      </c>
      <c r="AT76" s="258" t="s">
        <v>1072</v>
      </c>
      <c r="AU76" s="265" t="s">
        <v>693</v>
      </c>
      <c r="AV76" s="174" t="s">
        <v>243</v>
      </c>
      <c r="AW76" s="269" t="s">
        <v>245</v>
      </c>
      <c r="AX76" s="269" t="s">
        <v>694</v>
      </c>
      <c r="AY76" s="270" t="s">
        <v>695</v>
      </c>
      <c r="AZ76" s="173" t="s">
        <v>681</v>
      </c>
      <c r="BA76" s="265">
        <v>10.0</v>
      </c>
      <c r="BB76" s="174" t="s">
        <v>225</v>
      </c>
      <c r="BC76" s="271"/>
      <c r="BD76" s="272" t="s">
        <v>696</v>
      </c>
      <c r="BE76" s="273" t="s">
        <v>697</v>
      </c>
      <c r="BF76" s="274" t="str">
        <f>IFERROR(__xludf.DUMMYFUNCTION("LOWER(Regexreplace(to_text(E76),""[^A-Za-z0-9]"","""")&amp;""_""&amp;Regexreplace(to_text(F76),""[^A-Za-z0-9]"",""""))"),"sauter_eyrc504fxxx")</f>
        <v>sauter_eyrc504fxxx</v>
      </c>
      <c r="BG76" s="275" t="str">
        <f>IFERROR(__xludf.DUMMYFUNCTION("upper(Regexreplace(to_text(E76),""[^A-Za-z0-9]"","""")&amp;""-""&amp;Regexreplace(to_text(F76),""[^A-Za-z0-9]"",""""))"),"SAUTER-EYRC504FXXX")</f>
        <v>SAUTER-EYRC504FXXX</v>
      </c>
    </row>
    <row r="77" ht="30.0" customHeight="1">
      <c r="A77" s="173">
        <v>73.0</v>
      </c>
      <c r="B77" s="256" t="s">
        <v>670</v>
      </c>
      <c r="C77" s="257" t="s">
        <v>1073</v>
      </c>
      <c r="D77" s="173" t="s">
        <v>1073</v>
      </c>
      <c r="E77" s="174" t="s">
        <v>672</v>
      </c>
      <c r="F77" s="173" t="s">
        <v>514</v>
      </c>
      <c r="G77" s="258" t="s">
        <v>673</v>
      </c>
      <c r="H77" s="258" t="s">
        <v>674</v>
      </c>
      <c r="I77" s="258" t="s">
        <v>675</v>
      </c>
      <c r="J77" s="259" t="s">
        <v>1026</v>
      </c>
      <c r="K77" s="260">
        <v>433.0</v>
      </c>
      <c r="L77" s="258" t="s">
        <v>1068</v>
      </c>
      <c r="M77" s="277">
        <v>4.11001239378E11</v>
      </c>
      <c r="N77" s="173" t="s">
        <v>679</v>
      </c>
      <c r="O77" s="173" t="s">
        <v>225</v>
      </c>
      <c r="P77" s="262" t="str">
        <f t="shared" si="1"/>
        <v>IN-BLR-ANANTA-DDC-273_4</v>
      </c>
      <c r="Q77" s="173" t="s">
        <v>1074</v>
      </c>
      <c r="R77" s="258" t="str">
        <f>IFS(C77="","",C77="n/a","N/A",LEN(C77),Concatenate("{",char(34),"asset",char(34),":{",char(34),"guid",char(34),":",char(34),Q77,char(34),",",char(34),"site",char(34),":",char(34),LOWER('2-Building'!$B$4),char(34),",",char(34),"name",char(34),":",char(34),LOWER(C77),char(34),"}}"))</f>
        <v>{"asset":{"guid":"uuid://698191b9-41a8-4702-aa5b-c2610c7616ee","site":"in-blr-ananta","name":"ddc-273"}}</v>
      </c>
      <c r="S77" s="258" t="s">
        <v>681</v>
      </c>
      <c r="T77" s="263"/>
      <c r="U77" s="263"/>
      <c r="V77" s="264">
        <v>2.23</v>
      </c>
      <c r="W77" s="33" t="s">
        <v>682</v>
      </c>
      <c r="X77" s="258" t="s">
        <v>683</v>
      </c>
      <c r="Y77" s="33" t="s">
        <v>684</v>
      </c>
      <c r="Z77" s="258">
        <v>14073.0</v>
      </c>
      <c r="AA77" s="258">
        <v>11501.0</v>
      </c>
      <c r="AB77" s="258"/>
      <c r="AC77" s="258"/>
      <c r="AD77" s="265"/>
      <c r="AE77" s="266" t="s">
        <v>685</v>
      </c>
      <c r="AF77" s="267" t="s">
        <v>1075</v>
      </c>
      <c r="AG77" s="268" t="str">
        <f>IFS(LEN(AF77)=17,LOWER('2-Building'!$B$4 &amp; "-" &amp; C77), AF77="N/A", "N/A", LEN(AF77)=0,"")</f>
        <v>in-blr-ananta-ddc-273</v>
      </c>
      <c r="AH77" s="258"/>
      <c r="AI77" s="258"/>
      <c r="AJ77" s="258"/>
      <c r="AK77" s="258" t="s">
        <v>1076</v>
      </c>
      <c r="AL77" s="258" t="s">
        <v>688</v>
      </c>
      <c r="AM77" s="258" t="s">
        <v>689</v>
      </c>
      <c r="AN77" s="258"/>
      <c r="AO77" s="258"/>
      <c r="AP77" s="258"/>
      <c r="AQ77" s="258"/>
      <c r="AR77" s="258" t="s">
        <v>690</v>
      </c>
      <c r="AS77" s="258" t="s">
        <v>691</v>
      </c>
      <c r="AT77" s="258" t="s">
        <v>1072</v>
      </c>
      <c r="AU77" s="265" t="s">
        <v>693</v>
      </c>
      <c r="AV77" s="174" t="s">
        <v>243</v>
      </c>
      <c r="AW77" s="269" t="s">
        <v>245</v>
      </c>
      <c r="AX77" s="269" t="s">
        <v>694</v>
      </c>
      <c r="AY77" s="270" t="s">
        <v>695</v>
      </c>
      <c r="AZ77" s="173" t="s">
        <v>681</v>
      </c>
      <c r="BA77" s="265">
        <v>10.0</v>
      </c>
      <c r="BB77" s="174" t="s">
        <v>225</v>
      </c>
      <c r="BC77" s="271"/>
      <c r="BD77" s="272" t="s">
        <v>696</v>
      </c>
      <c r="BE77" s="273" t="s">
        <v>697</v>
      </c>
      <c r="BF77" s="274" t="str">
        <f>IFERROR(__xludf.DUMMYFUNCTION("LOWER(Regexreplace(to_text(E77),""[^A-Za-z0-9]"","""")&amp;""_""&amp;Regexreplace(to_text(F77),""[^A-Za-z0-9]"",""""))"),"sauter_eyrc504fxxx")</f>
        <v>sauter_eyrc504fxxx</v>
      </c>
      <c r="BG77" s="275" t="str">
        <f>IFERROR(__xludf.DUMMYFUNCTION("upper(Regexreplace(to_text(E77),""[^A-Za-z0-9]"","""")&amp;""-""&amp;Regexreplace(to_text(F77),""[^A-Za-z0-9]"",""""))"),"SAUTER-EYRC504FXXX")</f>
        <v>SAUTER-EYRC504FXXX</v>
      </c>
    </row>
    <row r="78" ht="30.0" customHeight="1">
      <c r="A78" s="258">
        <v>74.0</v>
      </c>
      <c r="B78" s="256" t="s">
        <v>670</v>
      </c>
      <c r="C78" s="257" t="s">
        <v>1077</v>
      </c>
      <c r="D78" s="173" t="s">
        <v>1077</v>
      </c>
      <c r="E78" s="174" t="s">
        <v>672</v>
      </c>
      <c r="F78" s="173" t="s">
        <v>514</v>
      </c>
      <c r="G78" s="258" t="s">
        <v>673</v>
      </c>
      <c r="H78" s="258" t="s">
        <v>674</v>
      </c>
      <c r="I78" s="258" t="s">
        <v>675</v>
      </c>
      <c r="J78" s="259" t="s">
        <v>1026</v>
      </c>
      <c r="K78" s="260">
        <v>434.0</v>
      </c>
      <c r="L78" s="258" t="s">
        <v>1078</v>
      </c>
      <c r="M78" s="277">
        <v>4.1100123532E11</v>
      </c>
      <c r="N78" s="173" t="s">
        <v>679</v>
      </c>
      <c r="O78" s="173" t="s">
        <v>225</v>
      </c>
      <c r="P78" s="262" t="str">
        <f t="shared" si="1"/>
        <v>IN-BLR-ANANTA-DDC-274_4</v>
      </c>
      <c r="Q78" s="173" t="s">
        <v>1079</v>
      </c>
      <c r="R78" s="258" t="str">
        <f>IFS(C78="","",C78="n/a","N/A",LEN(C78),Concatenate("{",char(34),"asset",char(34),":{",char(34),"guid",char(34),":",char(34),Q78,char(34),",",char(34),"site",char(34),":",char(34),LOWER('2-Building'!$B$4),char(34),",",char(34),"name",char(34),":",char(34),LOWER(C78),char(34),"}}"))</f>
        <v>{"asset":{"guid":"uuid://5336fbc0-cc3f-4819-a418-dda066fbea00","site":"in-blr-ananta","name":"ddc-274"}}</v>
      </c>
      <c r="S78" s="258" t="s">
        <v>681</v>
      </c>
      <c r="T78" s="263"/>
      <c r="U78" s="263"/>
      <c r="V78" s="264">
        <v>2.23</v>
      </c>
      <c r="W78" s="33" t="s">
        <v>682</v>
      </c>
      <c r="X78" s="258" t="s">
        <v>683</v>
      </c>
      <c r="Y78" s="33" t="s">
        <v>684</v>
      </c>
      <c r="Z78" s="258">
        <v>14074.0</v>
      </c>
      <c r="AA78" s="258">
        <v>11501.0</v>
      </c>
      <c r="AB78" s="258"/>
      <c r="AC78" s="258"/>
      <c r="AD78" s="265"/>
      <c r="AE78" s="266" t="s">
        <v>685</v>
      </c>
      <c r="AF78" s="267" t="s">
        <v>1080</v>
      </c>
      <c r="AG78" s="268" t="str">
        <f>IFS(LEN(AF78)=17,LOWER('2-Building'!$B$4 &amp; "-" &amp; C78), AF78="N/A", "N/A", LEN(AF78)=0,"")</f>
        <v>in-blr-ananta-ddc-274</v>
      </c>
      <c r="AH78" s="258"/>
      <c r="AI78" s="258"/>
      <c r="AJ78" s="258"/>
      <c r="AK78" s="258" t="s">
        <v>1081</v>
      </c>
      <c r="AL78" s="258" t="s">
        <v>688</v>
      </c>
      <c r="AM78" s="258" t="s">
        <v>689</v>
      </c>
      <c r="AN78" s="258"/>
      <c r="AO78" s="258"/>
      <c r="AP78" s="258"/>
      <c r="AQ78" s="258"/>
      <c r="AR78" s="258" t="s">
        <v>690</v>
      </c>
      <c r="AS78" s="258" t="s">
        <v>691</v>
      </c>
      <c r="AT78" s="258" t="s">
        <v>1082</v>
      </c>
      <c r="AU78" s="265" t="s">
        <v>693</v>
      </c>
      <c r="AV78" s="174" t="s">
        <v>243</v>
      </c>
      <c r="AW78" s="269" t="s">
        <v>245</v>
      </c>
      <c r="AX78" s="269" t="s">
        <v>694</v>
      </c>
      <c r="AY78" s="270" t="s">
        <v>695</v>
      </c>
      <c r="AZ78" s="173" t="s">
        <v>681</v>
      </c>
      <c r="BA78" s="265">
        <v>10.0</v>
      </c>
      <c r="BB78" s="174" t="s">
        <v>225</v>
      </c>
      <c r="BC78" s="271"/>
      <c r="BD78" s="272" t="s">
        <v>696</v>
      </c>
      <c r="BE78" s="273" t="s">
        <v>697</v>
      </c>
      <c r="BF78" s="274" t="str">
        <f>IFERROR(__xludf.DUMMYFUNCTION("LOWER(Regexreplace(to_text(E78),""[^A-Za-z0-9]"","""")&amp;""_""&amp;Regexreplace(to_text(F78),""[^A-Za-z0-9]"",""""))"),"sauter_eyrc504fxxx")</f>
        <v>sauter_eyrc504fxxx</v>
      </c>
      <c r="BG78" s="275" t="str">
        <f>IFERROR(__xludf.DUMMYFUNCTION("upper(Regexreplace(to_text(E78),""[^A-Za-z0-9]"","""")&amp;""-""&amp;Regexreplace(to_text(F78),""[^A-Za-z0-9]"",""""))"),"SAUTER-EYRC504FXXX")</f>
        <v>SAUTER-EYRC504FXXX</v>
      </c>
    </row>
    <row r="79" ht="30.0" customHeight="1">
      <c r="A79" s="173">
        <v>75.0</v>
      </c>
      <c r="B79" s="256" t="s">
        <v>670</v>
      </c>
      <c r="C79" s="257" t="s">
        <v>1083</v>
      </c>
      <c r="D79" s="173" t="s">
        <v>1083</v>
      </c>
      <c r="E79" s="174" t="s">
        <v>672</v>
      </c>
      <c r="F79" s="173" t="s">
        <v>514</v>
      </c>
      <c r="G79" s="258" t="s">
        <v>673</v>
      </c>
      <c r="H79" s="258" t="s">
        <v>674</v>
      </c>
      <c r="I79" s="258" t="s">
        <v>675</v>
      </c>
      <c r="J79" s="259" t="s">
        <v>1026</v>
      </c>
      <c r="K79" s="260">
        <v>434.0</v>
      </c>
      <c r="L79" s="258" t="s">
        <v>1078</v>
      </c>
      <c r="M79" s="277">
        <v>4.1100123914E11</v>
      </c>
      <c r="N79" s="173" t="s">
        <v>679</v>
      </c>
      <c r="O79" s="173" t="s">
        <v>225</v>
      </c>
      <c r="P79" s="262" t="str">
        <f t="shared" si="1"/>
        <v>IN-BLR-ANANTA-DDC-275_4</v>
      </c>
      <c r="Q79" s="173" t="s">
        <v>1084</v>
      </c>
      <c r="R79" s="258" t="str">
        <f>IFS(C79="","",C79="n/a","N/A",LEN(C79),Concatenate("{",char(34),"asset",char(34),":{",char(34),"guid",char(34),":",char(34),Q79,char(34),",",char(34),"site",char(34),":",char(34),LOWER('2-Building'!$B$4),char(34),",",char(34),"name",char(34),":",char(34),LOWER(C79),char(34),"}}"))</f>
        <v>{"asset":{"guid":"uuid://49fb5711-3a68-4a63-bec9-18b1b3d71fef","site":"in-blr-ananta","name":"ddc-275"}}</v>
      </c>
      <c r="S79" s="258" t="s">
        <v>681</v>
      </c>
      <c r="T79" s="263"/>
      <c r="U79" s="263"/>
      <c r="V79" s="264">
        <v>2.23</v>
      </c>
      <c r="W79" s="33" t="s">
        <v>682</v>
      </c>
      <c r="X79" s="258" t="s">
        <v>683</v>
      </c>
      <c r="Y79" s="33" t="s">
        <v>684</v>
      </c>
      <c r="Z79" s="258">
        <v>14075.0</v>
      </c>
      <c r="AA79" s="258">
        <v>11501.0</v>
      </c>
      <c r="AB79" s="258"/>
      <c r="AC79" s="258"/>
      <c r="AD79" s="265"/>
      <c r="AE79" s="266" t="s">
        <v>685</v>
      </c>
      <c r="AF79" s="267" t="s">
        <v>1085</v>
      </c>
      <c r="AG79" s="268" t="str">
        <f>IFS(LEN(AF79)=17,LOWER('2-Building'!$B$4 &amp; "-" &amp; C79), AF79="N/A", "N/A", LEN(AF79)=0,"")</f>
        <v>in-blr-ananta-ddc-275</v>
      </c>
      <c r="AH79" s="258"/>
      <c r="AI79" s="258"/>
      <c r="AJ79" s="258"/>
      <c r="AK79" s="258" t="s">
        <v>1086</v>
      </c>
      <c r="AL79" s="258" t="s">
        <v>688</v>
      </c>
      <c r="AM79" s="258" t="s">
        <v>689</v>
      </c>
      <c r="AN79" s="258"/>
      <c r="AO79" s="258"/>
      <c r="AP79" s="258"/>
      <c r="AQ79" s="258"/>
      <c r="AR79" s="258" t="s">
        <v>690</v>
      </c>
      <c r="AS79" s="258" t="s">
        <v>691</v>
      </c>
      <c r="AT79" s="258" t="s">
        <v>1082</v>
      </c>
      <c r="AU79" s="265" t="s">
        <v>693</v>
      </c>
      <c r="AV79" s="174" t="s">
        <v>243</v>
      </c>
      <c r="AW79" s="269" t="s">
        <v>245</v>
      </c>
      <c r="AX79" s="269" t="s">
        <v>694</v>
      </c>
      <c r="AY79" s="270" t="s">
        <v>695</v>
      </c>
      <c r="AZ79" s="173" t="s">
        <v>681</v>
      </c>
      <c r="BA79" s="265">
        <v>10.0</v>
      </c>
      <c r="BB79" s="174" t="s">
        <v>225</v>
      </c>
      <c r="BC79" s="271"/>
      <c r="BD79" s="272" t="s">
        <v>696</v>
      </c>
      <c r="BE79" s="273" t="s">
        <v>697</v>
      </c>
      <c r="BF79" s="274" t="str">
        <f>IFERROR(__xludf.DUMMYFUNCTION("LOWER(Regexreplace(to_text(E79),""[^A-Za-z0-9]"","""")&amp;""_""&amp;Regexreplace(to_text(F79),""[^A-Za-z0-9]"",""""))"),"sauter_eyrc504fxxx")</f>
        <v>sauter_eyrc504fxxx</v>
      </c>
      <c r="BG79" s="275" t="str">
        <f>IFERROR(__xludf.DUMMYFUNCTION("upper(Regexreplace(to_text(E79),""[^A-Za-z0-9]"","""")&amp;""-""&amp;Regexreplace(to_text(F79),""[^A-Za-z0-9]"",""""))"),"SAUTER-EYRC504FXXX")</f>
        <v>SAUTER-EYRC504FXXX</v>
      </c>
    </row>
    <row r="80" ht="30.0" customHeight="1">
      <c r="A80" s="258">
        <v>76.0</v>
      </c>
      <c r="B80" s="256" t="s">
        <v>670</v>
      </c>
      <c r="C80" s="257" t="s">
        <v>1087</v>
      </c>
      <c r="D80" s="173" t="s">
        <v>1087</v>
      </c>
      <c r="E80" s="174" t="s">
        <v>672</v>
      </c>
      <c r="F80" s="173" t="s">
        <v>514</v>
      </c>
      <c r="G80" s="258" t="s">
        <v>673</v>
      </c>
      <c r="H80" s="258" t="s">
        <v>674</v>
      </c>
      <c r="I80" s="258" t="s">
        <v>675</v>
      </c>
      <c r="J80" s="259" t="s">
        <v>1088</v>
      </c>
      <c r="K80" s="260">
        <v>563.0</v>
      </c>
      <c r="L80" s="258" t="s">
        <v>1089</v>
      </c>
      <c r="M80" s="277">
        <v>4.11001239391E11</v>
      </c>
      <c r="N80" s="173" t="s">
        <v>679</v>
      </c>
      <c r="O80" s="173" t="s">
        <v>225</v>
      </c>
      <c r="P80" s="262" t="str">
        <f t="shared" si="1"/>
        <v>IN-BLR-ANANTA-DDC-276_5</v>
      </c>
      <c r="Q80" s="173" t="s">
        <v>1090</v>
      </c>
      <c r="R80" s="258" t="str">
        <f>IFS(C80="","",C80="n/a","N/A",LEN(C80),Concatenate("{",char(34),"asset",char(34),":{",char(34),"guid",char(34),":",char(34),Q80,char(34),",",char(34),"site",char(34),":",char(34),LOWER('2-Building'!$B$4),char(34),",",char(34),"name",char(34),":",char(34),LOWER(C80),char(34),"}}"))</f>
        <v>{"asset":{"guid":"uuid://85875265-f491-46cd-a16f-096bfe0f5285","site":"in-blr-ananta","name":"ddc-276"}}</v>
      </c>
      <c r="S80" s="258" t="s">
        <v>681</v>
      </c>
      <c r="T80" s="263"/>
      <c r="U80" s="263"/>
      <c r="V80" s="264">
        <v>2.23</v>
      </c>
      <c r="W80" s="33" t="s">
        <v>682</v>
      </c>
      <c r="X80" s="258" t="s">
        <v>683</v>
      </c>
      <c r="Y80" s="33" t="s">
        <v>684</v>
      </c>
      <c r="Z80" s="258">
        <v>14076.0</v>
      </c>
      <c r="AA80" s="258">
        <v>11501.0</v>
      </c>
      <c r="AB80" s="258"/>
      <c r="AC80" s="258"/>
      <c r="AD80" s="265"/>
      <c r="AE80" s="266" t="s">
        <v>685</v>
      </c>
      <c r="AF80" s="267" t="s">
        <v>1091</v>
      </c>
      <c r="AG80" s="268" t="str">
        <f>IFS(LEN(AF80)=17,LOWER('2-Building'!$B$4 &amp; "-" &amp; C80), AF80="N/A", "N/A", LEN(AF80)=0,"")</f>
        <v>in-blr-ananta-ddc-276</v>
      </c>
      <c r="AH80" s="258"/>
      <c r="AI80" s="258"/>
      <c r="AJ80" s="258"/>
      <c r="AK80" s="258" t="s">
        <v>1092</v>
      </c>
      <c r="AL80" s="258" t="s">
        <v>688</v>
      </c>
      <c r="AM80" s="258" t="s">
        <v>689</v>
      </c>
      <c r="AN80" s="258"/>
      <c r="AO80" s="258"/>
      <c r="AP80" s="258"/>
      <c r="AQ80" s="258"/>
      <c r="AR80" s="258" t="s">
        <v>690</v>
      </c>
      <c r="AS80" s="258" t="s">
        <v>691</v>
      </c>
      <c r="AT80" s="258" t="s">
        <v>1093</v>
      </c>
      <c r="AU80" s="265" t="s">
        <v>693</v>
      </c>
      <c r="AV80" s="174" t="s">
        <v>243</v>
      </c>
      <c r="AW80" s="269" t="s">
        <v>245</v>
      </c>
      <c r="AX80" s="269" t="s">
        <v>694</v>
      </c>
      <c r="AY80" s="270" t="s">
        <v>695</v>
      </c>
      <c r="AZ80" s="173" t="s">
        <v>681</v>
      </c>
      <c r="BA80" s="265">
        <v>10.0</v>
      </c>
      <c r="BB80" s="174" t="s">
        <v>225</v>
      </c>
      <c r="BC80" s="271"/>
      <c r="BD80" s="272" t="s">
        <v>696</v>
      </c>
      <c r="BE80" s="273" t="s">
        <v>697</v>
      </c>
      <c r="BF80" s="274" t="str">
        <f>IFERROR(__xludf.DUMMYFUNCTION("LOWER(Regexreplace(to_text(E80),""[^A-Za-z0-9]"","""")&amp;""_""&amp;Regexreplace(to_text(F80),""[^A-Za-z0-9]"",""""))"),"sauter_eyrc504fxxx")</f>
        <v>sauter_eyrc504fxxx</v>
      </c>
      <c r="BG80" s="275" t="str">
        <f>IFERROR(__xludf.DUMMYFUNCTION("upper(Regexreplace(to_text(E80),""[^A-Za-z0-9]"","""")&amp;""-""&amp;Regexreplace(to_text(F80),""[^A-Za-z0-9]"",""""))"),"SAUTER-EYRC504FXXX")</f>
        <v>SAUTER-EYRC504FXXX</v>
      </c>
    </row>
    <row r="81" ht="30.0" customHeight="1">
      <c r="A81" s="173">
        <v>77.0</v>
      </c>
      <c r="B81" s="256" t="s">
        <v>670</v>
      </c>
      <c r="C81" s="257" t="s">
        <v>1094</v>
      </c>
      <c r="D81" s="173" t="s">
        <v>1094</v>
      </c>
      <c r="E81" s="174" t="s">
        <v>672</v>
      </c>
      <c r="F81" s="173" t="s">
        <v>514</v>
      </c>
      <c r="G81" s="258" t="s">
        <v>673</v>
      </c>
      <c r="H81" s="258" t="s">
        <v>674</v>
      </c>
      <c r="I81" s="258" t="s">
        <v>675</v>
      </c>
      <c r="J81" s="259" t="s">
        <v>1088</v>
      </c>
      <c r="K81" s="260">
        <v>563.0</v>
      </c>
      <c r="L81" s="258" t="s">
        <v>1089</v>
      </c>
      <c r="M81" s="277">
        <v>4.11001235523E11</v>
      </c>
      <c r="N81" s="173" t="s">
        <v>679</v>
      </c>
      <c r="O81" s="173" t="s">
        <v>225</v>
      </c>
      <c r="P81" s="262" t="str">
        <f t="shared" si="1"/>
        <v>IN-BLR-ANANTA-DDC-277_5</v>
      </c>
      <c r="Q81" s="173" t="s">
        <v>1095</v>
      </c>
      <c r="R81" s="258" t="str">
        <f>IFS(C81="","",C81="n/a","N/A",LEN(C81),Concatenate("{",char(34),"asset",char(34),":{",char(34),"guid",char(34),":",char(34),Q81,char(34),",",char(34),"site",char(34),":",char(34),LOWER('2-Building'!$B$4),char(34),",",char(34),"name",char(34),":",char(34),LOWER(C81),char(34),"}}"))</f>
        <v>{"asset":{"guid":"uuid://a2269f35-0398-4634-9006-53398ca4f712","site":"in-blr-ananta","name":"ddc-277"}}</v>
      </c>
      <c r="S81" s="258" t="s">
        <v>681</v>
      </c>
      <c r="T81" s="263"/>
      <c r="U81" s="263"/>
      <c r="V81" s="264">
        <v>2.23</v>
      </c>
      <c r="W81" s="33" t="s">
        <v>682</v>
      </c>
      <c r="X81" s="258" t="s">
        <v>683</v>
      </c>
      <c r="Y81" s="33" t="s">
        <v>684</v>
      </c>
      <c r="Z81" s="258">
        <v>14077.0</v>
      </c>
      <c r="AA81" s="258">
        <v>11501.0</v>
      </c>
      <c r="AB81" s="258"/>
      <c r="AC81" s="258"/>
      <c r="AD81" s="265"/>
      <c r="AE81" s="266" t="s">
        <v>685</v>
      </c>
      <c r="AF81" s="267" t="s">
        <v>1096</v>
      </c>
      <c r="AG81" s="268" t="str">
        <f>IFS(LEN(AF81)=17,LOWER('2-Building'!$B$4 &amp; "-" &amp; C81), AF81="N/A", "N/A", LEN(AF81)=0,"")</f>
        <v>in-blr-ananta-ddc-277</v>
      </c>
      <c r="AH81" s="258"/>
      <c r="AI81" s="258"/>
      <c r="AJ81" s="258"/>
      <c r="AK81" s="258" t="s">
        <v>1097</v>
      </c>
      <c r="AL81" s="258" t="s">
        <v>688</v>
      </c>
      <c r="AM81" s="258" t="s">
        <v>689</v>
      </c>
      <c r="AN81" s="258"/>
      <c r="AO81" s="258"/>
      <c r="AP81" s="258"/>
      <c r="AQ81" s="258"/>
      <c r="AR81" s="258" t="s">
        <v>690</v>
      </c>
      <c r="AS81" s="258" t="s">
        <v>691</v>
      </c>
      <c r="AT81" s="258" t="s">
        <v>1093</v>
      </c>
      <c r="AU81" s="265" t="s">
        <v>693</v>
      </c>
      <c r="AV81" s="174" t="s">
        <v>243</v>
      </c>
      <c r="AW81" s="269" t="s">
        <v>245</v>
      </c>
      <c r="AX81" s="269" t="s">
        <v>694</v>
      </c>
      <c r="AY81" s="270" t="s">
        <v>695</v>
      </c>
      <c r="AZ81" s="173" t="s">
        <v>681</v>
      </c>
      <c r="BA81" s="265">
        <v>10.0</v>
      </c>
      <c r="BB81" s="174" t="s">
        <v>225</v>
      </c>
      <c r="BC81" s="271"/>
      <c r="BD81" s="272" t="s">
        <v>696</v>
      </c>
      <c r="BE81" s="273" t="s">
        <v>697</v>
      </c>
      <c r="BF81" s="274" t="str">
        <f>IFERROR(__xludf.DUMMYFUNCTION("LOWER(Regexreplace(to_text(E81),""[^A-Za-z0-9]"","""")&amp;""_""&amp;Regexreplace(to_text(F81),""[^A-Za-z0-9]"",""""))"),"sauter_eyrc504fxxx")</f>
        <v>sauter_eyrc504fxxx</v>
      </c>
      <c r="BG81" s="275" t="str">
        <f>IFERROR(__xludf.DUMMYFUNCTION("upper(Regexreplace(to_text(E81),""[^A-Za-z0-9]"","""")&amp;""-""&amp;Regexreplace(to_text(F81),""[^A-Za-z0-9]"",""""))"),"SAUTER-EYRC504FXXX")</f>
        <v>SAUTER-EYRC504FXXX</v>
      </c>
    </row>
    <row r="82" ht="30.0" customHeight="1">
      <c r="A82" s="258">
        <v>78.0</v>
      </c>
      <c r="B82" s="256" t="s">
        <v>670</v>
      </c>
      <c r="C82" s="257" t="s">
        <v>1098</v>
      </c>
      <c r="D82" s="173" t="s">
        <v>1098</v>
      </c>
      <c r="E82" s="174" t="s">
        <v>672</v>
      </c>
      <c r="F82" s="173" t="s">
        <v>514</v>
      </c>
      <c r="G82" s="258" t="s">
        <v>673</v>
      </c>
      <c r="H82" s="258" t="s">
        <v>674</v>
      </c>
      <c r="I82" s="258" t="s">
        <v>675</v>
      </c>
      <c r="J82" s="259" t="s">
        <v>1088</v>
      </c>
      <c r="K82" s="260">
        <v>575.0</v>
      </c>
      <c r="L82" s="258" t="s">
        <v>1099</v>
      </c>
      <c r="M82" s="277">
        <v>4.11001239053E11</v>
      </c>
      <c r="N82" s="173" t="s">
        <v>679</v>
      </c>
      <c r="O82" s="173" t="s">
        <v>225</v>
      </c>
      <c r="P82" s="262" t="str">
        <f t="shared" si="1"/>
        <v>IN-BLR-ANANTA-DDC-278_5</v>
      </c>
      <c r="Q82" s="173" t="s">
        <v>1100</v>
      </c>
      <c r="R82" s="258" t="str">
        <f>IFS(C82="","",C82="n/a","N/A",LEN(C82),Concatenate("{",char(34),"asset",char(34),":{",char(34),"guid",char(34),":",char(34),Q82,char(34),",",char(34),"site",char(34),":",char(34),LOWER('2-Building'!$B$4),char(34),",",char(34),"name",char(34),":",char(34),LOWER(C82),char(34),"}}"))</f>
        <v>{"asset":{"guid":"uuid://cc3b7ff9-5634-4512-92f2-86e15329efeb","site":"in-blr-ananta","name":"ddc-278"}}</v>
      </c>
      <c r="S82" s="258" t="s">
        <v>681</v>
      </c>
      <c r="T82" s="263"/>
      <c r="U82" s="263"/>
      <c r="V82" s="264">
        <v>2.23</v>
      </c>
      <c r="W82" s="33" t="s">
        <v>682</v>
      </c>
      <c r="X82" s="258" t="s">
        <v>683</v>
      </c>
      <c r="Y82" s="33" t="s">
        <v>684</v>
      </c>
      <c r="Z82" s="258">
        <v>14078.0</v>
      </c>
      <c r="AA82" s="258">
        <v>11501.0</v>
      </c>
      <c r="AB82" s="258"/>
      <c r="AC82" s="258"/>
      <c r="AD82" s="265"/>
      <c r="AE82" s="266" t="s">
        <v>685</v>
      </c>
      <c r="AF82" s="267" t="s">
        <v>1101</v>
      </c>
      <c r="AG82" s="268" t="str">
        <f>IFS(LEN(AF82)=17,LOWER('2-Building'!$B$4 &amp; "-" &amp; C82), AF82="N/A", "N/A", LEN(AF82)=0,"")</f>
        <v>in-blr-ananta-ddc-278</v>
      </c>
      <c r="AH82" s="258"/>
      <c r="AI82" s="258"/>
      <c r="AJ82" s="258"/>
      <c r="AK82" s="258" t="s">
        <v>1102</v>
      </c>
      <c r="AL82" s="258" t="s">
        <v>688</v>
      </c>
      <c r="AM82" s="258" t="s">
        <v>689</v>
      </c>
      <c r="AN82" s="258"/>
      <c r="AO82" s="258"/>
      <c r="AP82" s="258"/>
      <c r="AQ82" s="258"/>
      <c r="AR82" s="258" t="s">
        <v>690</v>
      </c>
      <c r="AS82" s="258" t="s">
        <v>691</v>
      </c>
      <c r="AT82" s="258" t="s">
        <v>1103</v>
      </c>
      <c r="AU82" s="265" t="s">
        <v>693</v>
      </c>
      <c r="AV82" s="174" t="s">
        <v>243</v>
      </c>
      <c r="AW82" s="269" t="s">
        <v>245</v>
      </c>
      <c r="AX82" s="269" t="s">
        <v>694</v>
      </c>
      <c r="AY82" s="270" t="s">
        <v>695</v>
      </c>
      <c r="AZ82" s="173" t="s">
        <v>681</v>
      </c>
      <c r="BA82" s="265">
        <v>10.0</v>
      </c>
      <c r="BB82" s="174" t="s">
        <v>225</v>
      </c>
      <c r="BC82" s="271"/>
      <c r="BD82" s="272" t="s">
        <v>696</v>
      </c>
      <c r="BE82" s="273" t="s">
        <v>697</v>
      </c>
      <c r="BF82" s="274" t="str">
        <f>IFERROR(__xludf.DUMMYFUNCTION("LOWER(Regexreplace(to_text(E82),""[^A-Za-z0-9]"","""")&amp;""_""&amp;Regexreplace(to_text(F82),""[^A-Za-z0-9]"",""""))"),"sauter_eyrc504fxxx")</f>
        <v>sauter_eyrc504fxxx</v>
      </c>
      <c r="BG82" s="275" t="str">
        <f>IFERROR(__xludf.DUMMYFUNCTION("upper(Regexreplace(to_text(E82),""[^A-Za-z0-9]"","""")&amp;""-""&amp;Regexreplace(to_text(F82),""[^A-Za-z0-9]"",""""))"),"SAUTER-EYRC504FXXX")</f>
        <v>SAUTER-EYRC504FXXX</v>
      </c>
    </row>
    <row r="83" ht="30.0" customHeight="1">
      <c r="A83" s="173">
        <v>79.0</v>
      </c>
      <c r="B83" s="256" t="s">
        <v>670</v>
      </c>
      <c r="C83" s="257" t="s">
        <v>1104</v>
      </c>
      <c r="D83" s="173" t="s">
        <v>1104</v>
      </c>
      <c r="E83" s="174" t="s">
        <v>672</v>
      </c>
      <c r="F83" s="173" t="s">
        <v>514</v>
      </c>
      <c r="G83" s="258" t="s">
        <v>673</v>
      </c>
      <c r="H83" s="258" t="s">
        <v>674</v>
      </c>
      <c r="I83" s="258" t="s">
        <v>675</v>
      </c>
      <c r="J83" s="259" t="s">
        <v>1088</v>
      </c>
      <c r="K83" s="260">
        <v>575.0</v>
      </c>
      <c r="L83" s="258" t="s">
        <v>1099</v>
      </c>
      <c r="M83" s="277">
        <v>4.11001235302E11</v>
      </c>
      <c r="N83" s="173" t="s">
        <v>679</v>
      </c>
      <c r="O83" s="173" t="s">
        <v>225</v>
      </c>
      <c r="P83" s="262" t="str">
        <f t="shared" si="1"/>
        <v>IN-BLR-ANANTA-DDC-279_5</v>
      </c>
      <c r="Q83" s="173" t="s">
        <v>1105</v>
      </c>
      <c r="R83" s="258" t="str">
        <f>IFS(C83="","",C83="n/a","N/A",LEN(C83),Concatenate("{",char(34),"asset",char(34),":{",char(34),"guid",char(34),":",char(34),Q83,char(34),",",char(34),"site",char(34),":",char(34),LOWER('2-Building'!$B$4),char(34),",",char(34),"name",char(34),":",char(34),LOWER(C83),char(34),"}}"))</f>
        <v>{"asset":{"guid":"uuid://9bfc7b15-dcca-4180-b845-3f0d15558ca1","site":"in-blr-ananta","name":"ddc-279"}}</v>
      </c>
      <c r="S83" s="258" t="s">
        <v>681</v>
      </c>
      <c r="T83" s="263"/>
      <c r="U83" s="263"/>
      <c r="V83" s="264">
        <v>2.23</v>
      </c>
      <c r="W83" s="33" t="s">
        <v>682</v>
      </c>
      <c r="X83" s="258" t="s">
        <v>683</v>
      </c>
      <c r="Y83" s="33" t="s">
        <v>684</v>
      </c>
      <c r="Z83" s="258">
        <v>14079.0</v>
      </c>
      <c r="AA83" s="258">
        <v>11501.0</v>
      </c>
      <c r="AB83" s="258"/>
      <c r="AC83" s="258"/>
      <c r="AD83" s="265"/>
      <c r="AE83" s="266" t="s">
        <v>685</v>
      </c>
      <c r="AF83" s="267" t="s">
        <v>1106</v>
      </c>
      <c r="AG83" s="268" t="str">
        <f>IFS(LEN(AF83)=17,LOWER('2-Building'!$B$4 &amp; "-" &amp; C83), AF83="N/A", "N/A", LEN(AF83)=0,"")</f>
        <v>in-blr-ananta-ddc-279</v>
      </c>
      <c r="AH83" s="258"/>
      <c r="AI83" s="258"/>
      <c r="AJ83" s="258"/>
      <c r="AK83" s="258" t="s">
        <v>1107</v>
      </c>
      <c r="AL83" s="258" t="s">
        <v>688</v>
      </c>
      <c r="AM83" s="258" t="s">
        <v>689</v>
      </c>
      <c r="AN83" s="258"/>
      <c r="AO83" s="258"/>
      <c r="AP83" s="258"/>
      <c r="AQ83" s="258"/>
      <c r="AR83" s="258" t="s">
        <v>690</v>
      </c>
      <c r="AS83" s="258" t="s">
        <v>691</v>
      </c>
      <c r="AT83" s="258" t="s">
        <v>1103</v>
      </c>
      <c r="AU83" s="265" t="s">
        <v>693</v>
      </c>
      <c r="AV83" s="174" t="s">
        <v>243</v>
      </c>
      <c r="AW83" s="269" t="s">
        <v>245</v>
      </c>
      <c r="AX83" s="269" t="s">
        <v>694</v>
      </c>
      <c r="AY83" s="270" t="s">
        <v>695</v>
      </c>
      <c r="AZ83" s="173" t="s">
        <v>681</v>
      </c>
      <c r="BA83" s="265">
        <v>10.0</v>
      </c>
      <c r="BB83" s="174" t="s">
        <v>225</v>
      </c>
      <c r="BC83" s="271"/>
      <c r="BD83" s="272" t="s">
        <v>696</v>
      </c>
      <c r="BE83" s="273" t="s">
        <v>697</v>
      </c>
      <c r="BF83" s="274" t="str">
        <f>IFERROR(__xludf.DUMMYFUNCTION("LOWER(Regexreplace(to_text(E83),""[^A-Za-z0-9]"","""")&amp;""_""&amp;Regexreplace(to_text(F83),""[^A-Za-z0-9]"",""""))"),"sauter_eyrc504fxxx")</f>
        <v>sauter_eyrc504fxxx</v>
      </c>
      <c r="BG83" s="275" t="str">
        <f>IFERROR(__xludf.DUMMYFUNCTION("upper(Regexreplace(to_text(E83),""[^A-Za-z0-9]"","""")&amp;""-""&amp;Regexreplace(to_text(F83),""[^A-Za-z0-9]"",""""))"),"SAUTER-EYRC504FXXX")</f>
        <v>SAUTER-EYRC504FXXX</v>
      </c>
    </row>
    <row r="84" ht="30.0" customHeight="1">
      <c r="A84" s="258">
        <v>80.0</v>
      </c>
      <c r="B84" s="256" t="s">
        <v>670</v>
      </c>
      <c r="C84" s="257" t="s">
        <v>1108</v>
      </c>
      <c r="D84" s="173" t="s">
        <v>1108</v>
      </c>
      <c r="E84" s="174" t="s">
        <v>672</v>
      </c>
      <c r="F84" s="173" t="s">
        <v>514</v>
      </c>
      <c r="G84" s="258" t="s">
        <v>673</v>
      </c>
      <c r="H84" s="258" t="s">
        <v>674</v>
      </c>
      <c r="I84" s="258" t="s">
        <v>675</v>
      </c>
      <c r="J84" s="259" t="s">
        <v>1088</v>
      </c>
      <c r="K84" s="260">
        <v>519.0</v>
      </c>
      <c r="L84" s="258" t="s">
        <v>1109</v>
      </c>
      <c r="M84" s="277">
        <v>4.11001239209E11</v>
      </c>
      <c r="N84" s="173" t="s">
        <v>679</v>
      </c>
      <c r="O84" s="173" t="s">
        <v>225</v>
      </c>
      <c r="P84" s="262" t="str">
        <f t="shared" si="1"/>
        <v>IN-BLR-ANANTA-DDC-280_5</v>
      </c>
      <c r="Q84" s="173" t="s">
        <v>1110</v>
      </c>
      <c r="R84" s="258" t="str">
        <f>IFS(C84="","",C84="n/a","N/A",LEN(C84),Concatenate("{",char(34),"asset",char(34),":{",char(34),"guid",char(34),":",char(34),Q84,char(34),",",char(34),"site",char(34),":",char(34),LOWER('2-Building'!$B$4),char(34),",",char(34),"name",char(34),":",char(34),LOWER(C84),char(34),"}}"))</f>
        <v>{"asset":{"guid":"uuid://66fc23e4-c8e2-4e81-b9fb-d9f68d36a9a5","site":"in-blr-ananta","name":"ddc-280"}}</v>
      </c>
      <c r="S84" s="258" t="s">
        <v>681</v>
      </c>
      <c r="T84" s="263"/>
      <c r="U84" s="263"/>
      <c r="V84" s="264">
        <v>2.23</v>
      </c>
      <c r="W84" s="33" t="s">
        <v>682</v>
      </c>
      <c r="X84" s="258" t="s">
        <v>683</v>
      </c>
      <c r="Y84" s="33" t="s">
        <v>684</v>
      </c>
      <c r="Z84" s="258">
        <v>14080.0</v>
      </c>
      <c r="AA84" s="258">
        <v>11501.0</v>
      </c>
      <c r="AB84" s="258"/>
      <c r="AC84" s="258"/>
      <c r="AD84" s="265"/>
      <c r="AE84" s="266" t="s">
        <v>685</v>
      </c>
      <c r="AF84" s="267" t="s">
        <v>1111</v>
      </c>
      <c r="AG84" s="268" t="str">
        <f>IFS(LEN(AF84)=17,LOWER('2-Building'!$B$4 &amp; "-" &amp; C84), AF84="N/A", "N/A", LEN(AF84)=0,"")</f>
        <v>in-blr-ananta-ddc-280</v>
      </c>
      <c r="AH84" s="258"/>
      <c r="AI84" s="258"/>
      <c r="AJ84" s="258"/>
      <c r="AK84" s="258" t="s">
        <v>1112</v>
      </c>
      <c r="AL84" s="258" t="s">
        <v>688</v>
      </c>
      <c r="AM84" s="258" t="s">
        <v>689</v>
      </c>
      <c r="AN84" s="258"/>
      <c r="AO84" s="258"/>
      <c r="AP84" s="258"/>
      <c r="AQ84" s="258"/>
      <c r="AR84" s="258" t="s">
        <v>690</v>
      </c>
      <c r="AS84" s="258" t="s">
        <v>691</v>
      </c>
      <c r="AT84" s="258" t="s">
        <v>1113</v>
      </c>
      <c r="AU84" s="265" t="s">
        <v>693</v>
      </c>
      <c r="AV84" s="174" t="s">
        <v>243</v>
      </c>
      <c r="AW84" s="269" t="s">
        <v>245</v>
      </c>
      <c r="AX84" s="269" t="s">
        <v>694</v>
      </c>
      <c r="AY84" s="270" t="s">
        <v>695</v>
      </c>
      <c r="AZ84" s="173" t="s">
        <v>681</v>
      </c>
      <c r="BA84" s="265">
        <v>10.0</v>
      </c>
      <c r="BB84" s="174" t="s">
        <v>225</v>
      </c>
      <c r="BC84" s="271"/>
      <c r="BD84" s="272" t="s">
        <v>696</v>
      </c>
      <c r="BE84" s="273" t="s">
        <v>697</v>
      </c>
      <c r="BF84" s="274" t="str">
        <f>IFERROR(__xludf.DUMMYFUNCTION("LOWER(Regexreplace(to_text(E84),""[^A-Za-z0-9]"","""")&amp;""_""&amp;Regexreplace(to_text(F84),""[^A-Za-z0-9]"",""""))"),"sauter_eyrc504fxxx")</f>
        <v>sauter_eyrc504fxxx</v>
      </c>
      <c r="BG84" s="275" t="str">
        <f>IFERROR(__xludf.DUMMYFUNCTION("upper(Regexreplace(to_text(E84),""[^A-Za-z0-9]"","""")&amp;""-""&amp;Regexreplace(to_text(F84),""[^A-Za-z0-9]"",""""))"),"SAUTER-EYRC504FXXX")</f>
        <v>SAUTER-EYRC504FXXX</v>
      </c>
    </row>
    <row r="85" ht="30.0" customHeight="1">
      <c r="A85" s="173">
        <v>81.0</v>
      </c>
      <c r="B85" s="256" t="s">
        <v>670</v>
      </c>
      <c r="C85" s="257" t="s">
        <v>1114</v>
      </c>
      <c r="D85" s="173" t="s">
        <v>1114</v>
      </c>
      <c r="E85" s="174" t="s">
        <v>672</v>
      </c>
      <c r="F85" s="173" t="s">
        <v>514</v>
      </c>
      <c r="G85" s="258" t="s">
        <v>673</v>
      </c>
      <c r="H85" s="258" t="s">
        <v>674</v>
      </c>
      <c r="I85" s="258" t="s">
        <v>675</v>
      </c>
      <c r="J85" s="259" t="s">
        <v>1088</v>
      </c>
      <c r="K85" s="260">
        <v>519.0</v>
      </c>
      <c r="L85" s="258" t="s">
        <v>1109</v>
      </c>
      <c r="M85" s="277">
        <v>4.1100123769E11</v>
      </c>
      <c r="N85" s="173" t="s">
        <v>679</v>
      </c>
      <c r="O85" s="173" t="s">
        <v>225</v>
      </c>
      <c r="P85" s="262" t="str">
        <f t="shared" si="1"/>
        <v>IN-BLR-ANANTA-DDC-281_5</v>
      </c>
      <c r="Q85" s="173" t="s">
        <v>1115</v>
      </c>
      <c r="R85" s="258" t="str">
        <f>IFS(C85="","",C85="n/a","N/A",LEN(C85),Concatenate("{",char(34),"asset",char(34),":{",char(34),"guid",char(34),":",char(34),Q85,char(34),",",char(34),"site",char(34),":",char(34),LOWER('2-Building'!$B$4),char(34),",",char(34),"name",char(34),":",char(34),LOWER(C85),char(34),"}}"))</f>
        <v>{"asset":{"guid":"uuid://5602d62a-9586-4ac0-a305-856cf2957dc3","site":"in-blr-ananta","name":"ddc-281"}}</v>
      </c>
      <c r="S85" s="258" t="s">
        <v>681</v>
      </c>
      <c r="T85" s="263"/>
      <c r="U85" s="263"/>
      <c r="V85" s="264">
        <v>2.23</v>
      </c>
      <c r="W85" s="33" t="s">
        <v>682</v>
      </c>
      <c r="X85" s="258" t="s">
        <v>683</v>
      </c>
      <c r="Y85" s="33" t="s">
        <v>684</v>
      </c>
      <c r="Z85" s="258">
        <v>14081.0</v>
      </c>
      <c r="AA85" s="258">
        <v>11501.0</v>
      </c>
      <c r="AB85" s="258"/>
      <c r="AC85" s="258"/>
      <c r="AD85" s="265"/>
      <c r="AE85" s="266" t="s">
        <v>685</v>
      </c>
      <c r="AF85" s="267" t="s">
        <v>1116</v>
      </c>
      <c r="AG85" s="268" t="str">
        <f>IFS(LEN(AF85)=17,LOWER('2-Building'!$B$4 &amp; "-" &amp; C85), AF85="N/A", "N/A", LEN(AF85)=0,"")</f>
        <v>in-blr-ananta-ddc-281</v>
      </c>
      <c r="AH85" s="258"/>
      <c r="AI85" s="258"/>
      <c r="AJ85" s="258"/>
      <c r="AK85" s="258" t="s">
        <v>1117</v>
      </c>
      <c r="AL85" s="258" t="s">
        <v>688</v>
      </c>
      <c r="AM85" s="258" t="s">
        <v>689</v>
      </c>
      <c r="AN85" s="258"/>
      <c r="AO85" s="258"/>
      <c r="AP85" s="258"/>
      <c r="AQ85" s="258"/>
      <c r="AR85" s="258" t="s">
        <v>690</v>
      </c>
      <c r="AS85" s="258" t="s">
        <v>691</v>
      </c>
      <c r="AT85" s="258" t="s">
        <v>1113</v>
      </c>
      <c r="AU85" s="265" t="s">
        <v>693</v>
      </c>
      <c r="AV85" s="174" t="s">
        <v>243</v>
      </c>
      <c r="AW85" s="269" t="s">
        <v>245</v>
      </c>
      <c r="AX85" s="269" t="s">
        <v>694</v>
      </c>
      <c r="AY85" s="270" t="s">
        <v>695</v>
      </c>
      <c r="AZ85" s="173" t="s">
        <v>681</v>
      </c>
      <c r="BA85" s="265">
        <v>10.0</v>
      </c>
      <c r="BB85" s="174" t="s">
        <v>225</v>
      </c>
      <c r="BC85" s="271"/>
      <c r="BD85" s="272" t="s">
        <v>696</v>
      </c>
      <c r="BE85" s="273" t="s">
        <v>697</v>
      </c>
      <c r="BF85" s="274" t="str">
        <f>IFERROR(__xludf.DUMMYFUNCTION("LOWER(Regexreplace(to_text(E85),""[^A-Za-z0-9]"","""")&amp;""_""&amp;Regexreplace(to_text(F85),""[^A-Za-z0-9]"",""""))"),"sauter_eyrc504fxxx")</f>
        <v>sauter_eyrc504fxxx</v>
      </c>
      <c r="BG85" s="275" t="str">
        <f>IFERROR(__xludf.DUMMYFUNCTION("upper(Regexreplace(to_text(E85),""[^A-Za-z0-9]"","""")&amp;""-""&amp;Regexreplace(to_text(F85),""[^A-Za-z0-9]"",""""))"),"SAUTER-EYRC504FXXX")</f>
        <v>SAUTER-EYRC504FXXX</v>
      </c>
    </row>
    <row r="86" ht="30.0" customHeight="1">
      <c r="A86" s="258">
        <v>82.0</v>
      </c>
      <c r="B86" s="256" t="s">
        <v>670</v>
      </c>
      <c r="C86" s="257" t="s">
        <v>1118</v>
      </c>
      <c r="D86" s="173" t="s">
        <v>1118</v>
      </c>
      <c r="E86" s="174" t="s">
        <v>672</v>
      </c>
      <c r="F86" s="173" t="s">
        <v>514</v>
      </c>
      <c r="G86" s="258" t="s">
        <v>673</v>
      </c>
      <c r="H86" s="258" t="s">
        <v>674</v>
      </c>
      <c r="I86" s="258" t="s">
        <v>675</v>
      </c>
      <c r="J86" s="259" t="s">
        <v>1088</v>
      </c>
      <c r="K86" s="260">
        <v>548.0</v>
      </c>
      <c r="L86" s="258" t="s">
        <v>1119</v>
      </c>
      <c r="M86" s="277">
        <v>4.11001239016E11</v>
      </c>
      <c r="N86" s="173" t="s">
        <v>679</v>
      </c>
      <c r="O86" s="173" t="s">
        <v>225</v>
      </c>
      <c r="P86" s="262" t="str">
        <f t="shared" si="1"/>
        <v>IN-BLR-ANANTA-DDC-282_5</v>
      </c>
      <c r="Q86" s="173" t="s">
        <v>1120</v>
      </c>
      <c r="R86" s="258" t="str">
        <f>IFS(C86="","",C86="n/a","N/A",LEN(C86),Concatenate("{",char(34),"asset",char(34),":{",char(34),"guid",char(34),":",char(34),Q86,char(34),",",char(34),"site",char(34),":",char(34),LOWER('2-Building'!$B$4),char(34),",",char(34),"name",char(34),":",char(34),LOWER(C86),char(34),"}}"))</f>
        <v>{"asset":{"guid":"uuid://17a34c3e-9210-4234-ad19-729872f6c44c","site":"in-blr-ananta","name":"ddc-282"}}</v>
      </c>
      <c r="S86" s="258" t="s">
        <v>681</v>
      </c>
      <c r="T86" s="263"/>
      <c r="U86" s="263"/>
      <c r="V86" s="264">
        <v>2.23</v>
      </c>
      <c r="W86" s="33" t="s">
        <v>682</v>
      </c>
      <c r="X86" s="258" t="s">
        <v>683</v>
      </c>
      <c r="Y86" s="33" t="s">
        <v>684</v>
      </c>
      <c r="Z86" s="258">
        <v>14082.0</v>
      </c>
      <c r="AA86" s="258">
        <v>11501.0</v>
      </c>
      <c r="AB86" s="258"/>
      <c r="AC86" s="258"/>
      <c r="AD86" s="265"/>
      <c r="AE86" s="266" t="s">
        <v>685</v>
      </c>
      <c r="AF86" s="267" t="s">
        <v>1121</v>
      </c>
      <c r="AG86" s="268" t="str">
        <f>IFS(LEN(AF86)=17,LOWER('2-Building'!$B$4 &amp; "-" &amp; C86), AF86="N/A", "N/A", LEN(AF86)=0,"")</f>
        <v>in-blr-ananta-ddc-282</v>
      </c>
      <c r="AH86" s="258"/>
      <c r="AI86" s="258"/>
      <c r="AJ86" s="258"/>
      <c r="AK86" s="258" t="s">
        <v>1122</v>
      </c>
      <c r="AL86" s="258" t="s">
        <v>688</v>
      </c>
      <c r="AM86" s="258" t="s">
        <v>689</v>
      </c>
      <c r="AN86" s="258"/>
      <c r="AO86" s="258"/>
      <c r="AP86" s="258"/>
      <c r="AQ86" s="258"/>
      <c r="AR86" s="258" t="s">
        <v>690</v>
      </c>
      <c r="AS86" s="258" t="s">
        <v>691</v>
      </c>
      <c r="AT86" s="258" t="s">
        <v>1123</v>
      </c>
      <c r="AU86" s="265" t="s">
        <v>693</v>
      </c>
      <c r="AV86" s="174" t="s">
        <v>243</v>
      </c>
      <c r="AW86" s="269" t="s">
        <v>245</v>
      </c>
      <c r="AX86" s="269" t="s">
        <v>694</v>
      </c>
      <c r="AY86" s="270" t="s">
        <v>695</v>
      </c>
      <c r="AZ86" s="173" t="s">
        <v>681</v>
      </c>
      <c r="BA86" s="265">
        <v>10.0</v>
      </c>
      <c r="BB86" s="174" t="s">
        <v>225</v>
      </c>
      <c r="BC86" s="271"/>
      <c r="BD86" s="272" t="s">
        <v>696</v>
      </c>
      <c r="BE86" s="273" t="s">
        <v>697</v>
      </c>
      <c r="BF86" s="274" t="str">
        <f>IFERROR(__xludf.DUMMYFUNCTION("LOWER(Regexreplace(to_text(E86),""[^A-Za-z0-9]"","""")&amp;""_""&amp;Regexreplace(to_text(F86),""[^A-Za-z0-9]"",""""))"),"sauter_eyrc504fxxx")</f>
        <v>sauter_eyrc504fxxx</v>
      </c>
      <c r="BG86" s="275" t="str">
        <f>IFERROR(__xludf.DUMMYFUNCTION("upper(Regexreplace(to_text(E86),""[^A-Za-z0-9]"","""")&amp;""-""&amp;Regexreplace(to_text(F86),""[^A-Za-z0-9]"",""""))"),"SAUTER-EYRC504FXXX")</f>
        <v>SAUTER-EYRC504FXXX</v>
      </c>
    </row>
    <row r="87" ht="30.0" customHeight="1">
      <c r="A87" s="173">
        <v>83.0</v>
      </c>
      <c r="B87" s="256" t="s">
        <v>670</v>
      </c>
      <c r="C87" s="257" t="s">
        <v>1124</v>
      </c>
      <c r="D87" s="173" t="s">
        <v>1124</v>
      </c>
      <c r="E87" s="174" t="s">
        <v>672</v>
      </c>
      <c r="F87" s="173" t="s">
        <v>514</v>
      </c>
      <c r="G87" s="258" t="s">
        <v>673</v>
      </c>
      <c r="H87" s="258" t="s">
        <v>674</v>
      </c>
      <c r="I87" s="258" t="s">
        <v>675</v>
      </c>
      <c r="J87" s="259" t="s">
        <v>1088</v>
      </c>
      <c r="K87" s="260">
        <v>548.0</v>
      </c>
      <c r="L87" s="258" t="s">
        <v>1119</v>
      </c>
      <c r="M87" s="277">
        <v>4.11001237825E11</v>
      </c>
      <c r="N87" s="173" t="s">
        <v>679</v>
      </c>
      <c r="O87" s="173" t="s">
        <v>225</v>
      </c>
      <c r="P87" s="262" t="str">
        <f t="shared" si="1"/>
        <v>IN-BLR-ANANTA-DDC-283_5</v>
      </c>
      <c r="Q87" s="173" t="s">
        <v>1125</v>
      </c>
      <c r="R87" s="258" t="str">
        <f>IFS(C87="","",C87="n/a","N/A",LEN(C87),Concatenate("{",char(34),"asset",char(34),":{",char(34),"guid",char(34),":",char(34),Q87,char(34),",",char(34),"site",char(34),":",char(34),LOWER('2-Building'!$B$4),char(34),",",char(34),"name",char(34),":",char(34),LOWER(C87),char(34),"}}"))</f>
        <v>{"asset":{"guid":"uuid://c02dd6a3-9a25-41eb-a776-7e46a78d70cc","site":"in-blr-ananta","name":"ddc-283"}}</v>
      </c>
      <c r="S87" s="258" t="s">
        <v>681</v>
      </c>
      <c r="T87" s="263"/>
      <c r="U87" s="263"/>
      <c r="V87" s="264">
        <v>2.23</v>
      </c>
      <c r="W87" s="33" t="s">
        <v>682</v>
      </c>
      <c r="X87" s="258" t="s">
        <v>683</v>
      </c>
      <c r="Y87" s="33" t="s">
        <v>684</v>
      </c>
      <c r="Z87" s="258">
        <v>14083.0</v>
      </c>
      <c r="AA87" s="258">
        <v>11501.0</v>
      </c>
      <c r="AB87" s="258"/>
      <c r="AC87" s="258"/>
      <c r="AD87" s="265"/>
      <c r="AE87" s="266" t="s">
        <v>685</v>
      </c>
      <c r="AF87" s="267" t="s">
        <v>1126</v>
      </c>
      <c r="AG87" s="268" t="str">
        <f>IFS(LEN(AF87)=17,LOWER('2-Building'!$B$4 &amp; "-" &amp; C87), AF87="N/A", "N/A", LEN(AF87)=0,"")</f>
        <v>in-blr-ananta-ddc-283</v>
      </c>
      <c r="AH87" s="258"/>
      <c r="AI87" s="258"/>
      <c r="AJ87" s="258"/>
      <c r="AK87" s="258" t="s">
        <v>1127</v>
      </c>
      <c r="AL87" s="258" t="s">
        <v>688</v>
      </c>
      <c r="AM87" s="258" t="s">
        <v>689</v>
      </c>
      <c r="AN87" s="258"/>
      <c r="AO87" s="258"/>
      <c r="AP87" s="258"/>
      <c r="AQ87" s="258"/>
      <c r="AR87" s="258" t="s">
        <v>690</v>
      </c>
      <c r="AS87" s="258" t="s">
        <v>691</v>
      </c>
      <c r="AT87" s="258" t="s">
        <v>1123</v>
      </c>
      <c r="AU87" s="265" t="s">
        <v>693</v>
      </c>
      <c r="AV87" s="174" t="s">
        <v>243</v>
      </c>
      <c r="AW87" s="269" t="s">
        <v>245</v>
      </c>
      <c r="AX87" s="269" t="s">
        <v>694</v>
      </c>
      <c r="AY87" s="270" t="s">
        <v>695</v>
      </c>
      <c r="AZ87" s="173" t="s">
        <v>681</v>
      </c>
      <c r="BA87" s="265">
        <v>10.0</v>
      </c>
      <c r="BB87" s="174" t="s">
        <v>225</v>
      </c>
      <c r="BC87" s="271"/>
      <c r="BD87" s="272" t="s">
        <v>696</v>
      </c>
      <c r="BE87" s="273" t="s">
        <v>697</v>
      </c>
      <c r="BF87" s="274" t="str">
        <f>IFERROR(__xludf.DUMMYFUNCTION("LOWER(Regexreplace(to_text(E87),""[^A-Za-z0-9]"","""")&amp;""_""&amp;Regexreplace(to_text(F87),""[^A-Za-z0-9]"",""""))"),"sauter_eyrc504fxxx")</f>
        <v>sauter_eyrc504fxxx</v>
      </c>
      <c r="BG87" s="275" t="str">
        <f>IFERROR(__xludf.DUMMYFUNCTION("upper(Regexreplace(to_text(E87),""[^A-Za-z0-9]"","""")&amp;""-""&amp;Regexreplace(to_text(F87),""[^A-Za-z0-9]"",""""))"),"SAUTER-EYRC504FXXX")</f>
        <v>SAUTER-EYRC504FXXX</v>
      </c>
    </row>
    <row r="88" ht="30.0" customHeight="1">
      <c r="A88" s="258">
        <v>84.0</v>
      </c>
      <c r="B88" s="256" t="s">
        <v>670</v>
      </c>
      <c r="C88" s="257" t="s">
        <v>1128</v>
      </c>
      <c r="D88" s="173" t="s">
        <v>1128</v>
      </c>
      <c r="E88" s="174" t="s">
        <v>672</v>
      </c>
      <c r="F88" s="173" t="s">
        <v>514</v>
      </c>
      <c r="G88" s="258" t="s">
        <v>673</v>
      </c>
      <c r="H88" s="258" t="s">
        <v>674</v>
      </c>
      <c r="I88" s="258" t="s">
        <v>675</v>
      </c>
      <c r="J88" s="259" t="s">
        <v>1088</v>
      </c>
      <c r="K88" s="260">
        <v>533.0</v>
      </c>
      <c r="L88" s="258" t="s">
        <v>1129</v>
      </c>
      <c r="M88" s="277">
        <v>4.11001239085E11</v>
      </c>
      <c r="N88" s="173" t="s">
        <v>679</v>
      </c>
      <c r="O88" s="173" t="s">
        <v>225</v>
      </c>
      <c r="P88" s="262" t="str">
        <f t="shared" si="1"/>
        <v>IN-BLR-ANANTA-DDC-284_5</v>
      </c>
      <c r="Q88" s="173" t="s">
        <v>1130</v>
      </c>
      <c r="R88" s="258" t="str">
        <f>IFS(C88="","",C88="n/a","N/A",LEN(C88),Concatenate("{",char(34),"asset",char(34),":{",char(34),"guid",char(34),":",char(34),Q88,char(34),",",char(34),"site",char(34),":",char(34),LOWER('2-Building'!$B$4),char(34),",",char(34),"name",char(34),":",char(34),LOWER(C88),char(34),"}}"))</f>
        <v>{"asset":{"guid":"uuid://2f9ecaf5-bada-4b6d-a6af-4e9eafacb84c","site":"in-blr-ananta","name":"ddc-284"}}</v>
      </c>
      <c r="S88" s="258" t="s">
        <v>681</v>
      </c>
      <c r="T88" s="263"/>
      <c r="U88" s="263"/>
      <c r="V88" s="264">
        <v>2.23</v>
      </c>
      <c r="W88" s="33" t="s">
        <v>682</v>
      </c>
      <c r="X88" s="258" t="s">
        <v>683</v>
      </c>
      <c r="Y88" s="33" t="s">
        <v>684</v>
      </c>
      <c r="Z88" s="258">
        <v>14084.0</v>
      </c>
      <c r="AA88" s="258">
        <v>11501.0</v>
      </c>
      <c r="AB88" s="258"/>
      <c r="AC88" s="258"/>
      <c r="AD88" s="265"/>
      <c r="AE88" s="266" t="s">
        <v>685</v>
      </c>
      <c r="AF88" s="267" t="s">
        <v>1131</v>
      </c>
      <c r="AG88" s="268" t="str">
        <f>IFS(LEN(AF88)=17,LOWER('2-Building'!$B$4 &amp; "-" &amp; C88), AF88="N/A", "N/A", LEN(AF88)=0,"")</f>
        <v>in-blr-ananta-ddc-284</v>
      </c>
      <c r="AH88" s="258"/>
      <c r="AI88" s="258"/>
      <c r="AJ88" s="258"/>
      <c r="AK88" s="258" t="s">
        <v>1132</v>
      </c>
      <c r="AL88" s="258" t="s">
        <v>688</v>
      </c>
      <c r="AM88" s="258" t="s">
        <v>689</v>
      </c>
      <c r="AN88" s="258"/>
      <c r="AO88" s="258"/>
      <c r="AP88" s="258"/>
      <c r="AQ88" s="258"/>
      <c r="AR88" s="258" t="s">
        <v>690</v>
      </c>
      <c r="AS88" s="258" t="s">
        <v>691</v>
      </c>
      <c r="AT88" s="258" t="s">
        <v>1133</v>
      </c>
      <c r="AU88" s="265" t="s">
        <v>693</v>
      </c>
      <c r="AV88" s="174" t="s">
        <v>243</v>
      </c>
      <c r="AW88" s="269" t="s">
        <v>245</v>
      </c>
      <c r="AX88" s="269" t="s">
        <v>694</v>
      </c>
      <c r="AY88" s="270" t="s">
        <v>695</v>
      </c>
      <c r="AZ88" s="173" t="s">
        <v>681</v>
      </c>
      <c r="BA88" s="265">
        <v>10.0</v>
      </c>
      <c r="BB88" s="174" t="s">
        <v>225</v>
      </c>
      <c r="BC88" s="271"/>
      <c r="BD88" s="272" t="s">
        <v>696</v>
      </c>
      <c r="BE88" s="273" t="s">
        <v>697</v>
      </c>
      <c r="BF88" s="274" t="str">
        <f>IFERROR(__xludf.DUMMYFUNCTION("LOWER(Regexreplace(to_text(E88),""[^A-Za-z0-9]"","""")&amp;""_""&amp;Regexreplace(to_text(F88),""[^A-Za-z0-9]"",""""))"),"sauter_eyrc504fxxx")</f>
        <v>sauter_eyrc504fxxx</v>
      </c>
      <c r="BG88" s="275" t="str">
        <f>IFERROR(__xludf.DUMMYFUNCTION("upper(Regexreplace(to_text(E88),""[^A-Za-z0-9]"","""")&amp;""-""&amp;Regexreplace(to_text(F88),""[^A-Za-z0-9]"",""""))"),"SAUTER-EYRC504FXXX")</f>
        <v>SAUTER-EYRC504FXXX</v>
      </c>
    </row>
    <row r="89" ht="30.0" customHeight="1">
      <c r="A89" s="173">
        <v>85.0</v>
      </c>
      <c r="B89" s="256" t="s">
        <v>670</v>
      </c>
      <c r="C89" s="257" t="s">
        <v>1134</v>
      </c>
      <c r="D89" s="173" t="s">
        <v>1134</v>
      </c>
      <c r="E89" s="174" t="s">
        <v>672</v>
      </c>
      <c r="F89" s="173" t="s">
        <v>514</v>
      </c>
      <c r="G89" s="258" t="s">
        <v>673</v>
      </c>
      <c r="H89" s="258" t="s">
        <v>674</v>
      </c>
      <c r="I89" s="258" t="s">
        <v>675</v>
      </c>
      <c r="J89" s="259" t="s">
        <v>1088</v>
      </c>
      <c r="K89" s="260">
        <v>533.0</v>
      </c>
      <c r="L89" s="258" t="s">
        <v>1129</v>
      </c>
      <c r="M89" s="277">
        <v>4.11001239275E11</v>
      </c>
      <c r="N89" s="173" t="s">
        <v>679</v>
      </c>
      <c r="O89" s="173" t="s">
        <v>225</v>
      </c>
      <c r="P89" s="262" t="str">
        <f t="shared" si="1"/>
        <v>IN-BLR-ANANTA-DDC-285_5</v>
      </c>
      <c r="Q89" s="173" t="s">
        <v>1135</v>
      </c>
      <c r="R89" s="258" t="str">
        <f>IFS(C89="","",C89="n/a","N/A",LEN(C89),Concatenate("{",char(34),"asset",char(34),":{",char(34),"guid",char(34),":",char(34),Q89,char(34),",",char(34),"site",char(34),":",char(34),LOWER('2-Building'!$B$4),char(34),",",char(34),"name",char(34),":",char(34),LOWER(C89),char(34),"}}"))</f>
        <v>{"asset":{"guid":"uuid://2666271f-65b1-43d1-b5a4-76669e204761","site":"in-blr-ananta","name":"ddc-285"}}</v>
      </c>
      <c r="S89" s="258" t="s">
        <v>681</v>
      </c>
      <c r="T89" s="263"/>
      <c r="U89" s="263"/>
      <c r="V89" s="264">
        <v>2.23</v>
      </c>
      <c r="W89" s="33" t="s">
        <v>682</v>
      </c>
      <c r="X89" s="258" t="s">
        <v>683</v>
      </c>
      <c r="Y89" s="33" t="s">
        <v>684</v>
      </c>
      <c r="Z89" s="258">
        <v>14085.0</v>
      </c>
      <c r="AA89" s="258">
        <v>11501.0</v>
      </c>
      <c r="AB89" s="258"/>
      <c r="AC89" s="258"/>
      <c r="AD89" s="265"/>
      <c r="AE89" s="266" t="s">
        <v>685</v>
      </c>
      <c r="AF89" s="267" t="s">
        <v>1136</v>
      </c>
      <c r="AG89" s="268" t="str">
        <f>IFS(LEN(AF89)=17,LOWER('2-Building'!$B$4 &amp; "-" &amp; C89), AF89="N/A", "N/A", LEN(AF89)=0,"")</f>
        <v>in-blr-ananta-ddc-285</v>
      </c>
      <c r="AH89" s="258"/>
      <c r="AI89" s="258"/>
      <c r="AJ89" s="258"/>
      <c r="AK89" s="258" t="s">
        <v>1137</v>
      </c>
      <c r="AL89" s="258" t="s">
        <v>688</v>
      </c>
      <c r="AM89" s="258" t="s">
        <v>689</v>
      </c>
      <c r="AN89" s="258"/>
      <c r="AO89" s="258"/>
      <c r="AP89" s="258"/>
      <c r="AQ89" s="258"/>
      <c r="AR89" s="258" t="s">
        <v>690</v>
      </c>
      <c r="AS89" s="258" t="s">
        <v>691</v>
      </c>
      <c r="AT89" s="258" t="s">
        <v>1133</v>
      </c>
      <c r="AU89" s="265" t="s">
        <v>693</v>
      </c>
      <c r="AV89" s="174" t="s">
        <v>243</v>
      </c>
      <c r="AW89" s="269" t="s">
        <v>245</v>
      </c>
      <c r="AX89" s="269" t="s">
        <v>694</v>
      </c>
      <c r="AY89" s="270" t="s">
        <v>695</v>
      </c>
      <c r="AZ89" s="173" t="s">
        <v>681</v>
      </c>
      <c r="BA89" s="265">
        <v>10.0</v>
      </c>
      <c r="BB89" s="174" t="s">
        <v>225</v>
      </c>
      <c r="BC89" s="271"/>
      <c r="BD89" s="272" t="s">
        <v>696</v>
      </c>
      <c r="BE89" s="273" t="s">
        <v>697</v>
      </c>
      <c r="BF89" s="274" t="str">
        <f>IFERROR(__xludf.DUMMYFUNCTION("LOWER(Regexreplace(to_text(E89),""[^A-Za-z0-9]"","""")&amp;""_""&amp;Regexreplace(to_text(F89),""[^A-Za-z0-9]"",""""))"),"sauter_eyrc504fxxx")</f>
        <v>sauter_eyrc504fxxx</v>
      </c>
      <c r="BG89" s="275" t="str">
        <f>IFERROR(__xludf.DUMMYFUNCTION("upper(Regexreplace(to_text(E89),""[^A-Za-z0-9]"","""")&amp;""-""&amp;Regexreplace(to_text(F89),""[^A-Za-z0-9]"",""""))"),"SAUTER-EYRC504FXXX")</f>
        <v>SAUTER-EYRC504FXXX</v>
      </c>
    </row>
    <row r="90" ht="30.0" customHeight="1">
      <c r="A90" s="258">
        <v>86.0</v>
      </c>
      <c r="B90" s="256" t="s">
        <v>670</v>
      </c>
      <c r="C90" s="257" t="s">
        <v>1138</v>
      </c>
      <c r="D90" s="173" t="s">
        <v>1138</v>
      </c>
      <c r="E90" s="174" t="s">
        <v>672</v>
      </c>
      <c r="F90" s="173" t="s">
        <v>514</v>
      </c>
      <c r="G90" s="258" t="s">
        <v>673</v>
      </c>
      <c r="H90" s="258" t="s">
        <v>674</v>
      </c>
      <c r="I90" s="258" t="s">
        <v>675</v>
      </c>
      <c r="J90" s="259" t="s">
        <v>1088</v>
      </c>
      <c r="K90" s="260">
        <v>534.0</v>
      </c>
      <c r="L90" s="258" t="s">
        <v>1139</v>
      </c>
      <c r="M90" s="277">
        <v>4.11001235647E11</v>
      </c>
      <c r="N90" s="173" t="s">
        <v>679</v>
      </c>
      <c r="O90" s="173" t="s">
        <v>225</v>
      </c>
      <c r="P90" s="262" t="str">
        <f t="shared" si="1"/>
        <v>IN-BLR-ANANTA-DDC-286_5</v>
      </c>
      <c r="Q90" s="173" t="s">
        <v>1140</v>
      </c>
      <c r="R90" s="258" t="str">
        <f>IFS(C90="","",C90="n/a","N/A",LEN(C90),Concatenate("{",char(34),"asset",char(34),":{",char(34),"guid",char(34),":",char(34),Q90,char(34),",",char(34),"site",char(34),":",char(34),LOWER('2-Building'!$B$4),char(34),",",char(34),"name",char(34),":",char(34),LOWER(C90),char(34),"}}"))</f>
        <v>{"asset":{"guid":"uuid://0641d5a3-2144-495d-945e-1f54d430a912","site":"in-blr-ananta","name":"ddc-286"}}</v>
      </c>
      <c r="S90" s="258" t="s">
        <v>681</v>
      </c>
      <c r="T90" s="263"/>
      <c r="U90" s="263"/>
      <c r="V90" s="264">
        <v>2.23</v>
      </c>
      <c r="W90" s="33" t="s">
        <v>682</v>
      </c>
      <c r="X90" s="258" t="s">
        <v>683</v>
      </c>
      <c r="Y90" s="33" t="s">
        <v>684</v>
      </c>
      <c r="Z90" s="258">
        <v>14086.0</v>
      </c>
      <c r="AA90" s="258">
        <v>11501.0</v>
      </c>
      <c r="AB90" s="258"/>
      <c r="AC90" s="258"/>
      <c r="AD90" s="265"/>
      <c r="AE90" s="266" t="s">
        <v>685</v>
      </c>
      <c r="AF90" s="267" t="s">
        <v>1141</v>
      </c>
      <c r="AG90" s="268" t="str">
        <f>IFS(LEN(AF90)=17,LOWER('2-Building'!$B$4 &amp; "-" &amp; C90), AF90="N/A", "N/A", LEN(AF90)=0,"")</f>
        <v>in-blr-ananta-ddc-286</v>
      </c>
      <c r="AH90" s="258"/>
      <c r="AI90" s="258"/>
      <c r="AJ90" s="258"/>
      <c r="AK90" s="258" t="s">
        <v>1142</v>
      </c>
      <c r="AL90" s="258" t="s">
        <v>688</v>
      </c>
      <c r="AM90" s="258" t="s">
        <v>689</v>
      </c>
      <c r="AN90" s="258"/>
      <c r="AO90" s="258"/>
      <c r="AP90" s="258"/>
      <c r="AQ90" s="258"/>
      <c r="AR90" s="258" t="s">
        <v>690</v>
      </c>
      <c r="AS90" s="258" t="s">
        <v>691</v>
      </c>
      <c r="AT90" s="258" t="s">
        <v>1143</v>
      </c>
      <c r="AU90" s="265" t="s">
        <v>693</v>
      </c>
      <c r="AV90" s="174" t="s">
        <v>243</v>
      </c>
      <c r="AW90" s="269" t="s">
        <v>245</v>
      </c>
      <c r="AX90" s="269" t="s">
        <v>694</v>
      </c>
      <c r="AY90" s="270" t="s">
        <v>695</v>
      </c>
      <c r="AZ90" s="173" t="s">
        <v>681</v>
      </c>
      <c r="BA90" s="265">
        <v>10.0</v>
      </c>
      <c r="BB90" s="174" t="s">
        <v>225</v>
      </c>
      <c r="BC90" s="271"/>
      <c r="BD90" s="272" t="s">
        <v>696</v>
      </c>
      <c r="BE90" s="273" t="s">
        <v>697</v>
      </c>
      <c r="BF90" s="274" t="str">
        <f>IFERROR(__xludf.DUMMYFUNCTION("LOWER(Regexreplace(to_text(E90),""[^A-Za-z0-9]"","""")&amp;""_""&amp;Regexreplace(to_text(F90),""[^A-Za-z0-9]"",""""))"),"sauter_eyrc504fxxx")</f>
        <v>sauter_eyrc504fxxx</v>
      </c>
      <c r="BG90" s="275" t="str">
        <f>IFERROR(__xludf.DUMMYFUNCTION("upper(Regexreplace(to_text(E90),""[^A-Za-z0-9]"","""")&amp;""-""&amp;Regexreplace(to_text(F90),""[^A-Za-z0-9]"",""""))"),"SAUTER-EYRC504FXXX")</f>
        <v>SAUTER-EYRC504FXXX</v>
      </c>
    </row>
    <row r="91" ht="30.0" customHeight="1">
      <c r="A91" s="173">
        <v>87.0</v>
      </c>
      <c r="B91" s="256" t="s">
        <v>670</v>
      </c>
      <c r="C91" s="257" t="s">
        <v>1144</v>
      </c>
      <c r="D91" s="173" t="s">
        <v>1144</v>
      </c>
      <c r="E91" s="174" t="s">
        <v>672</v>
      </c>
      <c r="F91" s="173" t="s">
        <v>514</v>
      </c>
      <c r="G91" s="258" t="s">
        <v>673</v>
      </c>
      <c r="H91" s="258" t="s">
        <v>674</v>
      </c>
      <c r="I91" s="258" t="s">
        <v>675</v>
      </c>
      <c r="J91" s="259" t="s">
        <v>1088</v>
      </c>
      <c r="K91" s="260">
        <v>534.0</v>
      </c>
      <c r="L91" s="258" t="s">
        <v>1139</v>
      </c>
      <c r="M91" s="277">
        <v>4.11001239001E11</v>
      </c>
      <c r="N91" s="173" t="s">
        <v>679</v>
      </c>
      <c r="O91" s="173" t="s">
        <v>225</v>
      </c>
      <c r="P91" s="262" t="str">
        <f t="shared" si="1"/>
        <v>IN-BLR-ANANTA-DDC-287_5</v>
      </c>
      <c r="Q91" s="173" t="s">
        <v>1145</v>
      </c>
      <c r="R91" s="258" t="str">
        <f>IFS(C91="","",C91="n/a","N/A",LEN(C91),Concatenate("{",char(34),"asset",char(34),":{",char(34),"guid",char(34),":",char(34),Q91,char(34),",",char(34),"site",char(34),":",char(34),LOWER('2-Building'!$B$4),char(34),",",char(34),"name",char(34),":",char(34),LOWER(C91),char(34),"}}"))</f>
        <v>{"asset":{"guid":"uuid://dfbb95b1-6b7a-4d4f-b8e0-4ed7f6f60765","site":"in-blr-ananta","name":"ddc-287"}}</v>
      </c>
      <c r="S91" s="258" t="s">
        <v>681</v>
      </c>
      <c r="T91" s="263"/>
      <c r="U91" s="263"/>
      <c r="V91" s="264">
        <v>2.23</v>
      </c>
      <c r="W91" s="33" t="s">
        <v>682</v>
      </c>
      <c r="X91" s="258" t="s">
        <v>683</v>
      </c>
      <c r="Y91" s="33" t="s">
        <v>684</v>
      </c>
      <c r="Z91" s="258">
        <v>14087.0</v>
      </c>
      <c r="AA91" s="258">
        <v>11501.0</v>
      </c>
      <c r="AB91" s="258"/>
      <c r="AC91" s="258"/>
      <c r="AD91" s="265"/>
      <c r="AE91" s="266" t="s">
        <v>685</v>
      </c>
      <c r="AF91" s="267" t="s">
        <v>1146</v>
      </c>
      <c r="AG91" s="268" t="str">
        <f>IFS(LEN(AF91)=17,LOWER('2-Building'!$B$4 &amp; "-" &amp; C91), AF91="N/A", "N/A", LEN(AF91)=0,"")</f>
        <v>in-blr-ananta-ddc-287</v>
      </c>
      <c r="AH91" s="258"/>
      <c r="AI91" s="258"/>
      <c r="AJ91" s="258"/>
      <c r="AK91" s="258" t="s">
        <v>1147</v>
      </c>
      <c r="AL91" s="258" t="s">
        <v>688</v>
      </c>
      <c r="AM91" s="258" t="s">
        <v>689</v>
      </c>
      <c r="AN91" s="258"/>
      <c r="AO91" s="258"/>
      <c r="AP91" s="258"/>
      <c r="AQ91" s="258"/>
      <c r="AR91" s="258" t="s">
        <v>690</v>
      </c>
      <c r="AS91" s="258" t="s">
        <v>691</v>
      </c>
      <c r="AT91" s="258" t="s">
        <v>1143</v>
      </c>
      <c r="AU91" s="265" t="s">
        <v>693</v>
      </c>
      <c r="AV91" s="174" t="s">
        <v>243</v>
      </c>
      <c r="AW91" s="269" t="s">
        <v>245</v>
      </c>
      <c r="AX91" s="269" t="s">
        <v>694</v>
      </c>
      <c r="AY91" s="270" t="s">
        <v>695</v>
      </c>
      <c r="AZ91" s="173" t="s">
        <v>681</v>
      </c>
      <c r="BA91" s="265">
        <v>10.0</v>
      </c>
      <c r="BB91" s="174" t="s">
        <v>225</v>
      </c>
      <c r="BC91" s="271"/>
      <c r="BD91" s="272" t="s">
        <v>696</v>
      </c>
      <c r="BE91" s="273" t="s">
        <v>697</v>
      </c>
      <c r="BF91" s="274" t="str">
        <f>IFERROR(__xludf.DUMMYFUNCTION("LOWER(Regexreplace(to_text(E91),""[^A-Za-z0-9]"","""")&amp;""_""&amp;Regexreplace(to_text(F91),""[^A-Za-z0-9]"",""""))"),"sauter_eyrc504fxxx")</f>
        <v>sauter_eyrc504fxxx</v>
      </c>
      <c r="BG91" s="275" t="str">
        <f>IFERROR(__xludf.DUMMYFUNCTION("upper(Regexreplace(to_text(E91),""[^A-Za-z0-9]"","""")&amp;""-""&amp;Regexreplace(to_text(F91),""[^A-Za-z0-9]"",""""))"),"SAUTER-EYRC504FXXX")</f>
        <v>SAUTER-EYRC504FXXX</v>
      </c>
    </row>
    <row r="92" ht="30.0" customHeight="1">
      <c r="A92" s="258">
        <v>88.0</v>
      </c>
      <c r="B92" s="256" t="s">
        <v>670</v>
      </c>
      <c r="C92" s="257" t="s">
        <v>1148</v>
      </c>
      <c r="D92" s="173" t="s">
        <v>1148</v>
      </c>
      <c r="E92" s="174" t="s">
        <v>672</v>
      </c>
      <c r="F92" s="173" t="s">
        <v>514</v>
      </c>
      <c r="G92" s="258" t="s">
        <v>673</v>
      </c>
      <c r="H92" s="258" t="s">
        <v>674</v>
      </c>
      <c r="I92" s="258" t="s">
        <v>675</v>
      </c>
      <c r="J92" s="259" t="s">
        <v>1149</v>
      </c>
      <c r="K92" s="260" t="s">
        <v>1150</v>
      </c>
      <c r="L92" s="258" t="s">
        <v>1151</v>
      </c>
      <c r="M92" s="277">
        <v>4.11001235522E11</v>
      </c>
      <c r="N92" s="173" t="s">
        <v>679</v>
      </c>
      <c r="O92" s="173" t="s">
        <v>225</v>
      </c>
      <c r="P92" s="262" t="str">
        <f t="shared" si="1"/>
        <v>IN-BLR-ANANTA-DDC-288_6</v>
      </c>
      <c r="Q92" s="173" t="s">
        <v>1152</v>
      </c>
      <c r="R92" s="258" t="str">
        <f>IFS(C92="","",C92="n/a","N/A",LEN(C92),Concatenate("{",char(34),"asset",char(34),":{",char(34),"guid",char(34),":",char(34),Q92,char(34),",",char(34),"site",char(34),":",char(34),LOWER('2-Building'!$B$4),char(34),",",char(34),"name",char(34),":",char(34),LOWER(C92),char(34),"}}"))</f>
        <v>{"asset":{"guid":"uuid://14e714ab-2e37-471a-a5fd-3d680832cc40","site":"in-blr-ananta","name":"ddc-288"}}</v>
      </c>
      <c r="S92" s="258" t="s">
        <v>681</v>
      </c>
      <c r="T92" s="263"/>
      <c r="U92" s="263"/>
      <c r="V92" s="264">
        <v>2.23</v>
      </c>
      <c r="W92" s="33" t="s">
        <v>682</v>
      </c>
      <c r="X92" s="258" t="s">
        <v>683</v>
      </c>
      <c r="Y92" s="33" t="s">
        <v>684</v>
      </c>
      <c r="Z92" s="258">
        <v>14088.0</v>
      </c>
      <c r="AA92" s="258">
        <v>11501.0</v>
      </c>
      <c r="AB92" s="258"/>
      <c r="AC92" s="258"/>
      <c r="AD92" s="265"/>
      <c r="AE92" s="266" t="s">
        <v>685</v>
      </c>
      <c r="AF92" s="267" t="s">
        <v>1153</v>
      </c>
      <c r="AG92" s="268" t="str">
        <f>IFS(LEN(AF92)=17,LOWER('2-Building'!$B$4 &amp; "-" &amp; C92), AF92="N/A", "N/A", LEN(AF92)=0,"")</f>
        <v>in-blr-ananta-ddc-288</v>
      </c>
      <c r="AH92" s="258"/>
      <c r="AI92" s="258"/>
      <c r="AJ92" s="258"/>
      <c r="AK92" s="258" t="s">
        <v>1154</v>
      </c>
      <c r="AL92" s="258" t="s">
        <v>688</v>
      </c>
      <c r="AM92" s="258" t="s">
        <v>689</v>
      </c>
      <c r="AN92" s="258"/>
      <c r="AO92" s="258"/>
      <c r="AP92" s="258"/>
      <c r="AQ92" s="258"/>
      <c r="AR92" s="258" t="s">
        <v>690</v>
      </c>
      <c r="AS92" s="258" t="s">
        <v>691</v>
      </c>
      <c r="AT92" s="258" t="s">
        <v>1155</v>
      </c>
      <c r="AU92" s="265" t="s">
        <v>693</v>
      </c>
      <c r="AV92" s="174" t="s">
        <v>243</v>
      </c>
      <c r="AW92" s="269" t="s">
        <v>245</v>
      </c>
      <c r="AX92" s="269" t="s">
        <v>694</v>
      </c>
      <c r="AY92" s="270" t="s">
        <v>695</v>
      </c>
      <c r="AZ92" s="173" t="s">
        <v>681</v>
      </c>
      <c r="BA92" s="265">
        <v>10.0</v>
      </c>
      <c r="BB92" s="174" t="s">
        <v>225</v>
      </c>
      <c r="BC92" s="271"/>
      <c r="BD92" s="272" t="s">
        <v>696</v>
      </c>
      <c r="BE92" s="273" t="s">
        <v>697</v>
      </c>
      <c r="BF92" s="274" t="str">
        <f>IFERROR(__xludf.DUMMYFUNCTION("LOWER(Regexreplace(to_text(E92),""[^A-Za-z0-9]"","""")&amp;""_""&amp;Regexreplace(to_text(F92),""[^A-Za-z0-9]"",""""))"),"sauter_eyrc504fxxx")</f>
        <v>sauter_eyrc504fxxx</v>
      </c>
      <c r="BG92" s="275" t="str">
        <f>IFERROR(__xludf.DUMMYFUNCTION("upper(Regexreplace(to_text(E92),""[^A-Za-z0-9]"","""")&amp;""-""&amp;Regexreplace(to_text(F92),""[^A-Za-z0-9]"",""""))"),"SAUTER-EYRC504FXXX")</f>
        <v>SAUTER-EYRC504FXXX</v>
      </c>
    </row>
    <row r="93" ht="30.0" customHeight="1">
      <c r="A93" s="173">
        <v>89.0</v>
      </c>
      <c r="B93" s="256" t="s">
        <v>670</v>
      </c>
      <c r="C93" s="257" t="s">
        <v>1156</v>
      </c>
      <c r="D93" s="173" t="s">
        <v>1156</v>
      </c>
      <c r="E93" s="174" t="s">
        <v>672</v>
      </c>
      <c r="F93" s="173" t="s">
        <v>514</v>
      </c>
      <c r="G93" s="258" t="s">
        <v>673</v>
      </c>
      <c r="H93" s="258" t="s">
        <v>674</v>
      </c>
      <c r="I93" s="258" t="s">
        <v>675</v>
      </c>
      <c r="J93" s="259" t="s">
        <v>1149</v>
      </c>
      <c r="K93" s="260" t="s">
        <v>1150</v>
      </c>
      <c r="L93" s="258" t="s">
        <v>1151</v>
      </c>
      <c r="M93" s="277">
        <v>4.11001239051E11</v>
      </c>
      <c r="N93" s="173" t="s">
        <v>679</v>
      </c>
      <c r="O93" s="173" t="s">
        <v>225</v>
      </c>
      <c r="P93" s="262" t="str">
        <f t="shared" si="1"/>
        <v>IN-BLR-ANANTA-DDC-289_6</v>
      </c>
      <c r="Q93" s="173" t="s">
        <v>1157</v>
      </c>
      <c r="R93" s="258" t="str">
        <f>IFS(C93="","",C93="n/a","N/A",LEN(C93),Concatenate("{",char(34),"asset",char(34),":{",char(34),"guid",char(34),":",char(34),Q93,char(34),",",char(34),"site",char(34),":",char(34),LOWER('2-Building'!$B$4),char(34),",",char(34),"name",char(34),":",char(34),LOWER(C93),char(34),"}}"))</f>
        <v>{"asset":{"guid":"uuid://95d74681-3a7e-4e9a-abae-1c8b3d0ad098","site":"in-blr-ananta","name":"ddc-289"}}</v>
      </c>
      <c r="S93" s="258" t="s">
        <v>681</v>
      </c>
      <c r="T93" s="263"/>
      <c r="U93" s="263"/>
      <c r="V93" s="264">
        <v>2.23</v>
      </c>
      <c r="W93" s="33" t="s">
        <v>682</v>
      </c>
      <c r="X93" s="258" t="s">
        <v>683</v>
      </c>
      <c r="Y93" s="33" t="s">
        <v>684</v>
      </c>
      <c r="Z93" s="258">
        <v>14089.0</v>
      </c>
      <c r="AA93" s="258">
        <v>11501.0</v>
      </c>
      <c r="AB93" s="258"/>
      <c r="AC93" s="258"/>
      <c r="AD93" s="265"/>
      <c r="AE93" s="266" t="s">
        <v>685</v>
      </c>
      <c r="AF93" s="267" t="s">
        <v>1158</v>
      </c>
      <c r="AG93" s="268" t="str">
        <f>IFS(LEN(AF93)=17,LOWER('2-Building'!$B$4 &amp; "-" &amp; C93), AF93="N/A", "N/A", LEN(AF93)=0,"")</f>
        <v>in-blr-ananta-ddc-289</v>
      </c>
      <c r="AH93" s="258"/>
      <c r="AI93" s="258"/>
      <c r="AJ93" s="258"/>
      <c r="AK93" s="258" t="s">
        <v>1159</v>
      </c>
      <c r="AL93" s="258" t="s">
        <v>688</v>
      </c>
      <c r="AM93" s="258" t="s">
        <v>689</v>
      </c>
      <c r="AN93" s="258"/>
      <c r="AO93" s="258"/>
      <c r="AP93" s="258"/>
      <c r="AQ93" s="258"/>
      <c r="AR93" s="258" t="s">
        <v>690</v>
      </c>
      <c r="AS93" s="258" t="s">
        <v>691</v>
      </c>
      <c r="AT93" s="258" t="s">
        <v>1155</v>
      </c>
      <c r="AU93" s="265" t="s">
        <v>693</v>
      </c>
      <c r="AV93" s="174" t="s">
        <v>243</v>
      </c>
      <c r="AW93" s="269" t="s">
        <v>245</v>
      </c>
      <c r="AX93" s="269" t="s">
        <v>694</v>
      </c>
      <c r="AY93" s="270" t="s">
        <v>695</v>
      </c>
      <c r="AZ93" s="173" t="s">
        <v>681</v>
      </c>
      <c r="BA93" s="265">
        <v>10.0</v>
      </c>
      <c r="BB93" s="174" t="s">
        <v>225</v>
      </c>
      <c r="BC93" s="271"/>
      <c r="BD93" s="272" t="s">
        <v>696</v>
      </c>
      <c r="BE93" s="273" t="s">
        <v>697</v>
      </c>
      <c r="BF93" s="274" t="str">
        <f>IFERROR(__xludf.DUMMYFUNCTION("LOWER(Regexreplace(to_text(E93),""[^A-Za-z0-9]"","""")&amp;""_""&amp;Regexreplace(to_text(F93),""[^A-Za-z0-9]"",""""))"),"sauter_eyrc504fxxx")</f>
        <v>sauter_eyrc504fxxx</v>
      </c>
      <c r="BG93" s="275" t="str">
        <f>IFERROR(__xludf.DUMMYFUNCTION("upper(Regexreplace(to_text(E93),""[^A-Za-z0-9]"","""")&amp;""-""&amp;Regexreplace(to_text(F93),""[^A-Za-z0-9]"",""""))"),"SAUTER-EYRC504FXXX")</f>
        <v>SAUTER-EYRC504FXXX</v>
      </c>
    </row>
    <row r="94" ht="30.0" customHeight="1">
      <c r="A94" s="258">
        <v>90.0</v>
      </c>
      <c r="B94" s="256" t="s">
        <v>670</v>
      </c>
      <c r="C94" s="257" t="s">
        <v>1160</v>
      </c>
      <c r="D94" s="173" t="s">
        <v>1160</v>
      </c>
      <c r="E94" s="174" t="s">
        <v>672</v>
      </c>
      <c r="F94" s="173" t="s">
        <v>514</v>
      </c>
      <c r="G94" s="258" t="s">
        <v>673</v>
      </c>
      <c r="H94" s="258" t="s">
        <v>674</v>
      </c>
      <c r="I94" s="258" t="s">
        <v>675</v>
      </c>
      <c r="J94" s="259" t="s">
        <v>1149</v>
      </c>
      <c r="K94" s="260">
        <v>675.0</v>
      </c>
      <c r="L94" s="258" t="s">
        <v>1161</v>
      </c>
      <c r="M94" s="277">
        <v>4.11001239429E11</v>
      </c>
      <c r="N94" s="173" t="s">
        <v>679</v>
      </c>
      <c r="O94" s="173" t="s">
        <v>225</v>
      </c>
      <c r="P94" s="262" t="str">
        <f t="shared" si="1"/>
        <v>IN-BLR-ANANTA-DDC-290_6</v>
      </c>
      <c r="Q94" s="173" t="s">
        <v>1162</v>
      </c>
      <c r="R94" s="258" t="str">
        <f>IFS(C94="","",C94="n/a","N/A",LEN(C94),Concatenate("{",char(34),"asset",char(34),":{",char(34),"guid",char(34),":",char(34),Q94,char(34),",",char(34),"site",char(34),":",char(34),LOWER('2-Building'!$B$4),char(34),",",char(34),"name",char(34),":",char(34),LOWER(C94),char(34),"}}"))</f>
        <v>{"asset":{"guid":"uuid://b2deae73-462f-4be1-a1e4-7c97413bf34e","site":"in-blr-ananta","name":"ddc-290"}}</v>
      </c>
      <c r="S94" s="258" t="s">
        <v>681</v>
      </c>
      <c r="T94" s="263"/>
      <c r="U94" s="263"/>
      <c r="V94" s="264">
        <v>2.23</v>
      </c>
      <c r="W94" s="33" t="s">
        <v>682</v>
      </c>
      <c r="X94" s="258" t="s">
        <v>683</v>
      </c>
      <c r="Y94" s="33" t="s">
        <v>684</v>
      </c>
      <c r="Z94" s="258">
        <v>14090.0</v>
      </c>
      <c r="AA94" s="258">
        <v>11501.0</v>
      </c>
      <c r="AB94" s="258"/>
      <c r="AC94" s="258"/>
      <c r="AD94" s="265"/>
      <c r="AE94" s="266" t="s">
        <v>685</v>
      </c>
      <c r="AF94" s="267" t="s">
        <v>1163</v>
      </c>
      <c r="AG94" s="268" t="str">
        <f>IFS(LEN(AF94)=17,LOWER('2-Building'!$B$4 &amp; "-" &amp; C94), AF94="N/A", "N/A", LEN(AF94)=0,"")</f>
        <v>in-blr-ananta-ddc-290</v>
      </c>
      <c r="AH94" s="258"/>
      <c r="AI94" s="258"/>
      <c r="AJ94" s="258"/>
      <c r="AK94" s="258" t="s">
        <v>1164</v>
      </c>
      <c r="AL94" s="258" t="s">
        <v>688</v>
      </c>
      <c r="AM94" s="258" t="s">
        <v>689</v>
      </c>
      <c r="AN94" s="258"/>
      <c r="AO94" s="258"/>
      <c r="AP94" s="258"/>
      <c r="AQ94" s="258"/>
      <c r="AR94" s="258" t="s">
        <v>690</v>
      </c>
      <c r="AS94" s="258" t="s">
        <v>691</v>
      </c>
      <c r="AT94" s="258" t="s">
        <v>1165</v>
      </c>
      <c r="AU94" s="265" t="s">
        <v>693</v>
      </c>
      <c r="AV94" s="174" t="s">
        <v>243</v>
      </c>
      <c r="AW94" s="269" t="s">
        <v>245</v>
      </c>
      <c r="AX94" s="269" t="s">
        <v>694</v>
      </c>
      <c r="AY94" s="270" t="s">
        <v>695</v>
      </c>
      <c r="AZ94" s="173" t="s">
        <v>681</v>
      </c>
      <c r="BA94" s="265">
        <v>10.0</v>
      </c>
      <c r="BB94" s="174" t="s">
        <v>225</v>
      </c>
      <c r="BC94" s="271"/>
      <c r="BD94" s="272" t="s">
        <v>696</v>
      </c>
      <c r="BE94" s="273" t="s">
        <v>697</v>
      </c>
      <c r="BF94" s="274" t="str">
        <f>IFERROR(__xludf.DUMMYFUNCTION("LOWER(Regexreplace(to_text(E94),""[^A-Za-z0-9]"","""")&amp;""_""&amp;Regexreplace(to_text(F94),""[^A-Za-z0-9]"",""""))"),"sauter_eyrc504fxxx")</f>
        <v>sauter_eyrc504fxxx</v>
      </c>
      <c r="BG94" s="275" t="str">
        <f>IFERROR(__xludf.DUMMYFUNCTION("upper(Regexreplace(to_text(E94),""[^A-Za-z0-9]"","""")&amp;""-""&amp;Regexreplace(to_text(F94),""[^A-Za-z0-9]"",""""))"),"SAUTER-EYRC504FXXX")</f>
        <v>SAUTER-EYRC504FXXX</v>
      </c>
    </row>
    <row r="95" ht="30.0" customHeight="1">
      <c r="A95" s="173">
        <v>91.0</v>
      </c>
      <c r="B95" s="256" t="s">
        <v>670</v>
      </c>
      <c r="C95" s="257" t="s">
        <v>1166</v>
      </c>
      <c r="D95" s="173" t="s">
        <v>1166</v>
      </c>
      <c r="E95" s="174" t="s">
        <v>672</v>
      </c>
      <c r="F95" s="173" t="s">
        <v>514</v>
      </c>
      <c r="G95" s="258" t="s">
        <v>673</v>
      </c>
      <c r="H95" s="258" t="s">
        <v>674</v>
      </c>
      <c r="I95" s="258" t="s">
        <v>675</v>
      </c>
      <c r="J95" s="259" t="s">
        <v>1149</v>
      </c>
      <c r="K95" s="260">
        <v>675.0</v>
      </c>
      <c r="L95" s="258" t="s">
        <v>1161</v>
      </c>
      <c r="M95" s="277">
        <v>4.11001239199E11</v>
      </c>
      <c r="N95" s="173" t="s">
        <v>679</v>
      </c>
      <c r="O95" s="173" t="s">
        <v>225</v>
      </c>
      <c r="P95" s="262" t="str">
        <f t="shared" si="1"/>
        <v>IN-BLR-ANANTA-DDC-291_6</v>
      </c>
      <c r="Q95" s="173" t="s">
        <v>1167</v>
      </c>
      <c r="R95" s="258" t="str">
        <f>IFS(C95="","",C95="n/a","N/A",LEN(C95),Concatenate("{",char(34),"asset",char(34),":{",char(34),"guid",char(34),":",char(34),Q95,char(34),",",char(34),"site",char(34),":",char(34),LOWER('2-Building'!$B$4),char(34),",",char(34),"name",char(34),":",char(34),LOWER(C95),char(34),"}}"))</f>
        <v>{"asset":{"guid":"uuid://8efacd68-a795-43d0-952f-91b76303f93e","site":"in-blr-ananta","name":"ddc-291"}}</v>
      </c>
      <c r="S95" s="258" t="s">
        <v>681</v>
      </c>
      <c r="T95" s="263"/>
      <c r="U95" s="263"/>
      <c r="V95" s="264">
        <v>2.23</v>
      </c>
      <c r="W95" s="33" t="s">
        <v>682</v>
      </c>
      <c r="X95" s="258" t="s">
        <v>683</v>
      </c>
      <c r="Y95" s="33" t="s">
        <v>684</v>
      </c>
      <c r="Z95" s="258">
        <v>14091.0</v>
      </c>
      <c r="AA95" s="258">
        <v>11501.0</v>
      </c>
      <c r="AB95" s="258"/>
      <c r="AC95" s="258"/>
      <c r="AD95" s="265"/>
      <c r="AE95" s="266" t="s">
        <v>685</v>
      </c>
      <c r="AF95" s="267" t="s">
        <v>1168</v>
      </c>
      <c r="AG95" s="268" t="str">
        <f>IFS(LEN(AF95)=17,LOWER('2-Building'!$B$4 &amp; "-" &amp; C95), AF95="N/A", "N/A", LEN(AF95)=0,"")</f>
        <v>in-blr-ananta-ddc-291</v>
      </c>
      <c r="AH95" s="258"/>
      <c r="AI95" s="258"/>
      <c r="AJ95" s="258"/>
      <c r="AK95" s="258" t="s">
        <v>1169</v>
      </c>
      <c r="AL95" s="258" t="s">
        <v>688</v>
      </c>
      <c r="AM95" s="258" t="s">
        <v>689</v>
      </c>
      <c r="AN95" s="258"/>
      <c r="AO95" s="258"/>
      <c r="AP95" s="258"/>
      <c r="AQ95" s="258"/>
      <c r="AR95" s="258" t="s">
        <v>690</v>
      </c>
      <c r="AS95" s="258" t="s">
        <v>691</v>
      </c>
      <c r="AT95" s="258" t="s">
        <v>1165</v>
      </c>
      <c r="AU95" s="265" t="s">
        <v>693</v>
      </c>
      <c r="AV95" s="174" t="s">
        <v>243</v>
      </c>
      <c r="AW95" s="269" t="s">
        <v>245</v>
      </c>
      <c r="AX95" s="269" t="s">
        <v>694</v>
      </c>
      <c r="AY95" s="270" t="s">
        <v>695</v>
      </c>
      <c r="AZ95" s="173" t="s">
        <v>681</v>
      </c>
      <c r="BA95" s="265">
        <v>10.0</v>
      </c>
      <c r="BB95" s="174" t="s">
        <v>225</v>
      </c>
      <c r="BC95" s="271"/>
      <c r="BD95" s="272" t="s">
        <v>696</v>
      </c>
      <c r="BE95" s="273" t="s">
        <v>697</v>
      </c>
      <c r="BF95" s="274" t="str">
        <f>IFERROR(__xludf.DUMMYFUNCTION("LOWER(Regexreplace(to_text(E95),""[^A-Za-z0-9]"","""")&amp;""_""&amp;Regexreplace(to_text(F95),""[^A-Za-z0-9]"",""""))"),"sauter_eyrc504fxxx")</f>
        <v>sauter_eyrc504fxxx</v>
      </c>
      <c r="BG95" s="275" t="str">
        <f>IFERROR(__xludf.DUMMYFUNCTION("upper(Regexreplace(to_text(E95),""[^A-Za-z0-9]"","""")&amp;""-""&amp;Regexreplace(to_text(F95),""[^A-Za-z0-9]"",""""))"),"SAUTER-EYRC504FXXX")</f>
        <v>SAUTER-EYRC504FXXX</v>
      </c>
    </row>
    <row r="96" ht="30.0" customHeight="1">
      <c r="A96" s="258">
        <v>92.0</v>
      </c>
      <c r="B96" s="256" t="s">
        <v>670</v>
      </c>
      <c r="C96" s="257" t="s">
        <v>1170</v>
      </c>
      <c r="D96" s="173" t="s">
        <v>1170</v>
      </c>
      <c r="E96" s="174" t="s">
        <v>672</v>
      </c>
      <c r="F96" s="173" t="s">
        <v>514</v>
      </c>
      <c r="G96" s="258" t="s">
        <v>673</v>
      </c>
      <c r="H96" s="258" t="s">
        <v>674</v>
      </c>
      <c r="I96" s="258" t="s">
        <v>675</v>
      </c>
      <c r="J96" s="259" t="s">
        <v>1149</v>
      </c>
      <c r="K96" s="260">
        <v>619.0</v>
      </c>
      <c r="L96" s="258" t="s">
        <v>1171</v>
      </c>
      <c r="M96" s="277">
        <v>4.11001239463E11</v>
      </c>
      <c r="N96" s="173" t="s">
        <v>679</v>
      </c>
      <c r="O96" s="173" t="s">
        <v>225</v>
      </c>
      <c r="P96" s="262" t="str">
        <f t="shared" si="1"/>
        <v>IN-BLR-ANANTA-DDC-292_6</v>
      </c>
      <c r="Q96" s="173" t="s">
        <v>1172</v>
      </c>
      <c r="R96" s="258" t="str">
        <f>IFS(C96="","",C96="n/a","N/A",LEN(C96),Concatenate("{",char(34),"asset",char(34),":{",char(34),"guid",char(34),":",char(34),Q96,char(34),",",char(34),"site",char(34),":",char(34),LOWER('2-Building'!$B$4),char(34),",",char(34),"name",char(34),":",char(34),LOWER(C96),char(34),"}}"))</f>
        <v>{"asset":{"guid":"uuid://708c6283-2e30-42be-a23e-3b8fcfd91e08","site":"in-blr-ananta","name":"ddc-292"}}</v>
      </c>
      <c r="S96" s="258" t="s">
        <v>681</v>
      </c>
      <c r="T96" s="263"/>
      <c r="U96" s="263"/>
      <c r="V96" s="264">
        <v>2.23</v>
      </c>
      <c r="W96" s="33" t="s">
        <v>682</v>
      </c>
      <c r="X96" s="258" t="s">
        <v>683</v>
      </c>
      <c r="Y96" s="33" t="s">
        <v>684</v>
      </c>
      <c r="Z96" s="258">
        <v>14092.0</v>
      </c>
      <c r="AA96" s="258">
        <v>11501.0</v>
      </c>
      <c r="AB96" s="258"/>
      <c r="AC96" s="258"/>
      <c r="AD96" s="265"/>
      <c r="AE96" s="266" t="s">
        <v>685</v>
      </c>
      <c r="AF96" s="267" t="s">
        <v>1173</v>
      </c>
      <c r="AG96" s="268" t="str">
        <f>IFS(LEN(AF96)=17,LOWER('2-Building'!$B$4 &amp; "-" &amp; C96), AF96="N/A", "N/A", LEN(AF96)=0,"")</f>
        <v>in-blr-ananta-ddc-292</v>
      </c>
      <c r="AH96" s="258"/>
      <c r="AI96" s="258"/>
      <c r="AJ96" s="258"/>
      <c r="AK96" s="258" t="s">
        <v>1174</v>
      </c>
      <c r="AL96" s="258" t="s">
        <v>688</v>
      </c>
      <c r="AM96" s="258" t="s">
        <v>689</v>
      </c>
      <c r="AN96" s="258"/>
      <c r="AO96" s="258"/>
      <c r="AP96" s="258"/>
      <c r="AQ96" s="258"/>
      <c r="AR96" s="258" t="s">
        <v>690</v>
      </c>
      <c r="AS96" s="258" t="s">
        <v>691</v>
      </c>
      <c r="AT96" s="258" t="s">
        <v>1175</v>
      </c>
      <c r="AU96" s="265" t="s">
        <v>693</v>
      </c>
      <c r="AV96" s="174" t="s">
        <v>243</v>
      </c>
      <c r="AW96" s="269" t="s">
        <v>245</v>
      </c>
      <c r="AX96" s="269" t="s">
        <v>694</v>
      </c>
      <c r="AY96" s="270" t="s">
        <v>695</v>
      </c>
      <c r="AZ96" s="173" t="s">
        <v>681</v>
      </c>
      <c r="BA96" s="265">
        <v>10.0</v>
      </c>
      <c r="BB96" s="174" t="s">
        <v>225</v>
      </c>
      <c r="BC96" s="271"/>
      <c r="BD96" s="272" t="s">
        <v>696</v>
      </c>
      <c r="BE96" s="273" t="s">
        <v>697</v>
      </c>
      <c r="BF96" s="274" t="str">
        <f>IFERROR(__xludf.DUMMYFUNCTION("LOWER(Regexreplace(to_text(E96),""[^A-Za-z0-9]"","""")&amp;""_""&amp;Regexreplace(to_text(F96),""[^A-Za-z0-9]"",""""))"),"sauter_eyrc504fxxx")</f>
        <v>sauter_eyrc504fxxx</v>
      </c>
      <c r="BG96" s="275" t="str">
        <f>IFERROR(__xludf.DUMMYFUNCTION("upper(Regexreplace(to_text(E96),""[^A-Za-z0-9]"","""")&amp;""-""&amp;Regexreplace(to_text(F96),""[^A-Za-z0-9]"",""""))"),"SAUTER-EYRC504FXXX")</f>
        <v>SAUTER-EYRC504FXXX</v>
      </c>
    </row>
    <row r="97" ht="30.0" customHeight="1">
      <c r="A97" s="173">
        <v>93.0</v>
      </c>
      <c r="B97" s="256" t="s">
        <v>670</v>
      </c>
      <c r="C97" s="257" t="s">
        <v>1176</v>
      </c>
      <c r="D97" s="173" t="s">
        <v>1176</v>
      </c>
      <c r="E97" s="174" t="s">
        <v>672</v>
      </c>
      <c r="F97" s="173" t="s">
        <v>514</v>
      </c>
      <c r="G97" s="258" t="s">
        <v>673</v>
      </c>
      <c r="H97" s="258" t="s">
        <v>674</v>
      </c>
      <c r="I97" s="258" t="s">
        <v>675</v>
      </c>
      <c r="J97" s="259" t="s">
        <v>1149</v>
      </c>
      <c r="K97" s="260">
        <v>619.0</v>
      </c>
      <c r="L97" s="258" t="s">
        <v>1171</v>
      </c>
      <c r="M97" s="277">
        <v>4.11001238976E11</v>
      </c>
      <c r="N97" s="173" t="s">
        <v>679</v>
      </c>
      <c r="O97" s="173" t="s">
        <v>225</v>
      </c>
      <c r="P97" s="262" t="str">
        <f t="shared" si="1"/>
        <v>IN-BLR-ANANTA-DDC-293_6</v>
      </c>
      <c r="Q97" s="173" t="s">
        <v>1177</v>
      </c>
      <c r="R97" s="258" t="str">
        <f>IFS(C97="","",C97="n/a","N/A",LEN(C97),Concatenate("{",char(34),"asset",char(34),":{",char(34),"guid",char(34),":",char(34),Q97,char(34),",",char(34),"site",char(34),":",char(34),LOWER('2-Building'!$B$4),char(34),",",char(34),"name",char(34),":",char(34),LOWER(C97),char(34),"}}"))</f>
        <v>{"asset":{"guid":"uuid://68997bf0-4281-4bf0-b627-5249c4e64a6b","site":"in-blr-ananta","name":"ddc-293"}}</v>
      </c>
      <c r="S97" s="258" t="s">
        <v>681</v>
      </c>
      <c r="T97" s="263"/>
      <c r="U97" s="263"/>
      <c r="V97" s="264">
        <v>2.23</v>
      </c>
      <c r="W97" s="33" t="s">
        <v>682</v>
      </c>
      <c r="X97" s="258" t="s">
        <v>683</v>
      </c>
      <c r="Y97" s="33" t="s">
        <v>684</v>
      </c>
      <c r="Z97" s="258">
        <v>14093.0</v>
      </c>
      <c r="AA97" s="258">
        <v>11501.0</v>
      </c>
      <c r="AB97" s="258"/>
      <c r="AC97" s="258"/>
      <c r="AD97" s="265"/>
      <c r="AE97" s="266" t="s">
        <v>685</v>
      </c>
      <c r="AF97" s="267" t="s">
        <v>1178</v>
      </c>
      <c r="AG97" s="268" t="str">
        <f>IFS(LEN(AF97)=17,LOWER('2-Building'!$B$4 &amp; "-" &amp; C97), AF97="N/A", "N/A", LEN(AF97)=0,"")</f>
        <v>in-blr-ananta-ddc-293</v>
      </c>
      <c r="AH97" s="258"/>
      <c r="AI97" s="258"/>
      <c r="AJ97" s="258"/>
      <c r="AK97" s="258" t="s">
        <v>1179</v>
      </c>
      <c r="AL97" s="258" t="s">
        <v>688</v>
      </c>
      <c r="AM97" s="258" t="s">
        <v>689</v>
      </c>
      <c r="AN97" s="258"/>
      <c r="AO97" s="258"/>
      <c r="AP97" s="258"/>
      <c r="AQ97" s="258"/>
      <c r="AR97" s="258" t="s">
        <v>690</v>
      </c>
      <c r="AS97" s="258" t="s">
        <v>691</v>
      </c>
      <c r="AT97" s="258" t="s">
        <v>1175</v>
      </c>
      <c r="AU97" s="265" t="s">
        <v>693</v>
      </c>
      <c r="AV97" s="174" t="s">
        <v>243</v>
      </c>
      <c r="AW97" s="269" t="s">
        <v>245</v>
      </c>
      <c r="AX97" s="269" t="s">
        <v>694</v>
      </c>
      <c r="AY97" s="270" t="s">
        <v>695</v>
      </c>
      <c r="AZ97" s="173" t="s">
        <v>681</v>
      </c>
      <c r="BA97" s="265">
        <v>10.0</v>
      </c>
      <c r="BB97" s="174" t="s">
        <v>225</v>
      </c>
      <c r="BC97" s="271"/>
      <c r="BD97" s="272" t="s">
        <v>696</v>
      </c>
      <c r="BE97" s="273" t="s">
        <v>697</v>
      </c>
      <c r="BF97" s="274" t="str">
        <f>IFERROR(__xludf.DUMMYFUNCTION("LOWER(Regexreplace(to_text(E97),""[^A-Za-z0-9]"","""")&amp;""_""&amp;Regexreplace(to_text(F97),""[^A-Za-z0-9]"",""""))"),"sauter_eyrc504fxxx")</f>
        <v>sauter_eyrc504fxxx</v>
      </c>
      <c r="BG97" s="275" t="str">
        <f>IFERROR(__xludf.DUMMYFUNCTION("upper(Regexreplace(to_text(E97),""[^A-Za-z0-9]"","""")&amp;""-""&amp;Regexreplace(to_text(F97),""[^A-Za-z0-9]"",""""))"),"SAUTER-EYRC504FXXX")</f>
        <v>SAUTER-EYRC504FXXX</v>
      </c>
    </row>
    <row r="98" ht="30.0" customHeight="1">
      <c r="A98" s="258">
        <v>94.0</v>
      </c>
      <c r="B98" s="256" t="s">
        <v>670</v>
      </c>
      <c r="C98" s="257" t="s">
        <v>1180</v>
      </c>
      <c r="D98" s="173" t="s">
        <v>1180</v>
      </c>
      <c r="E98" s="174" t="s">
        <v>672</v>
      </c>
      <c r="F98" s="173" t="s">
        <v>514</v>
      </c>
      <c r="G98" s="258" t="s">
        <v>673</v>
      </c>
      <c r="H98" s="258" t="s">
        <v>674</v>
      </c>
      <c r="I98" s="258" t="s">
        <v>675</v>
      </c>
      <c r="J98" s="259" t="s">
        <v>1149</v>
      </c>
      <c r="K98" s="260">
        <v>648.0</v>
      </c>
      <c r="L98" s="258" t="s">
        <v>1181</v>
      </c>
      <c r="M98" s="277">
        <v>4.11001239283E11</v>
      </c>
      <c r="N98" s="173" t="s">
        <v>679</v>
      </c>
      <c r="O98" s="173" t="s">
        <v>225</v>
      </c>
      <c r="P98" s="262" t="str">
        <f t="shared" si="1"/>
        <v>IN-BLR-ANANTA-DDC-294_6</v>
      </c>
      <c r="Q98" s="173" t="s">
        <v>1182</v>
      </c>
      <c r="R98" s="258" t="str">
        <f>IFS(C98="","",C98="n/a","N/A",LEN(C98),Concatenate("{",char(34),"asset",char(34),":{",char(34),"guid",char(34),":",char(34),Q98,char(34),",",char(34),"site",char(34),":",char(34),LOWER('2-Building'!$B$4),char(34),",",char(34),"name",char(34),":",char(34),LOWER(C98),char(34),"}}"))</f>
        <v>{"asset":{"guid":"uuid://2a843720-8a9b-410a-95c3-4c4792ac9c2f","site":"in-blr-ananta","name":"ddc-294"}}</v>
      </c>
      <c r="S98" s="258" t="s">
        <v>681</v>
      </c>
      <c r="T98" s="263"/>
      <c r="U98" s="263"/>
      <c r="V98" s="264">
        <v>2.23</v>
      </c>
      <c r="W98" s="33" t="s">
        <v>682</v>
      </c>
      <c r="X98" s="258" t="s">
        <v>683</v>
      </c>
      <c r="Y98" s="33" t="s">
        <v>684</v>
      </c>
      <c r="Z98" s="258">
        <v>14094.0</v>
      </c>
      <c r="AA98" s="258">
        <v>11501.0</v>
      </c>
      <c r="AB98" s="258"/>
      <c r="AC98" s="258"/>
      <c r="AD98" s="265"/>
      <c r="AE98" s="266" t="s">
        <v>685</v>
      </c>
      <c r="AF98" s="267" t="s">
        <v>1183</v>
      </c>
      <c r="AG98" s="268" t="str">
        <f>IFS(LEN(AF98)=17,LOWER('2-Building'!$B$4 &amp; "-" &amp; C98), AF98="N/A", "N/A", LEN(AF98)=0,"")</f>
        <v>in-blr-ananta-ddc-294</v>
      </c>
      <c r="AH98" s="258"/>
      <c r="AI98" s="258"/>
      <c r="AJ98" s="258"/>
      <c r="AK98" s="258" t="s">
        <v>1184</v>
      </c>
      <c r="AL98" s="258" t="s">
        <v>688</v>
      </c>
      <c r="AM98" s="258" t="s">
        <v>689</v>
      </c>
      <c r="AN98" s="258"/>
      <c r="AO98" s="258"/>
      <c r="AP98" s="258"/>
      <c r="AQ98" s="258"/>
      <c r="AR98" s="258" t="s">
        <v>690</v>
      </c>
      <c r="AS98" s="258" t="s">
        <v>691</v>
      </c>
      <c r="AT98" s="258" t="s">
        <v>1185</v>
      </c>
      <c r="AU98" s="265" t="s">
        <v>693</v>
      </c>
      <c r="AV98" s="174" t="s">
        <v>243</v>
      </c>
      <c r="AW98" s="269" t="s">
        <v>245</v>
      </c>
      <c r="AX98" s="269" t="s">
        <v>694</v>
      </c>
      <c r="AY98" s="270" t="s">
        <v>695</v>
      </c>
      <c r="AZ98" s="173" t="s">
        <v>681</v>
      </c>
      <c r="BA98" s="265">
        <v>10.0</v>
      </c>
      <c r="BB98" s="174" t="s">
        <v>225</v>
      </c>
      <c r="BC98" s="271"/>
      <c r="BD98" s="272" t="s">
        <v>696</v>
      </c>
      <c r="BE98" s="273" t="s">
        <v>697</v>
      </c>
      <c r="BF98" s="274" t="str">
        <f>IFERROR(__xludf.DUMMYFUNCTION("LOWER(Regexreplace(to_text(E98),""[^A-Za-z0-9]"","""")&amp;""_""&amp;Regexreplace(to_text(F98),""[^A-Za-z0-9]"",""""))"),"sauter_eyrc504fxxx")</f>
        <v>sauter_eyrc504fxxx</v>
      </c>
      <c r="BG98" s="275" t="str">
        <f>IFERROR(__xludf.DUMMYFUNCTION("upper(Regexreplace(to_text(E98),""[^A-Za-z0-9]"","""")&amp;""-""&amp;Regexreplace(to_text(F98),""[^A-Za-z0-9]"",""""))"),"SAUTER-EYRC504FXXX")</f>
        <v>SAUTER-EYRC504FXXX</v>
      </c>
    </row>
    <row r="99" ht="30.0" customHeight="1">
      <c r="A99" s="173">
        <v>95.0</v>
      </c>
      <c r="B99" s="256" t="s">
        <v>670</v>
      </c>
      <c r="C99" s="257" t="s">
        <v>1186</v>
      </c>
      <c r="D99" s="173" t="s">
        <v>1186</v>
      </c>
      <c r="E99" s="174" t="s">
        <v>672</v>
      </c>
      <c r="F99" s="173" t="s">
        <v>514</v>
      </c>
      <c r="G99" s="258" t="s">
        <v>673</v>
      </c>
      <c r="H99" s="258" t="s">
        <v>674</v>
      </c>
      <c r="I99" s="258" t="s">
        <v>675</v>
      </c>
      <c r="J99" s="259" t="s">
        <v>1149</v>
      </c>
      <c r="K99" s="260">
        <v>648.0</v>
      </c>
      <c r="L99" s="258" t="s">
        <v>1181</v>
      </c>
      <c r="M99" s="277">
        <v>4.11001235139E11</v>
      </c>
      <c r="N99" s="173" t="s">
        <v>679</v>
      </c>
      <c r="O99" s="173" t="s">
        <v>225</v>
      </c>
      <c r="P99" s="262" t="str">
        <f t="shared" si="1"/>
        <v>IN-BLR-ANANTA-DDC-295_6</v>
      </c>
      <c r="Q99" s="173" t="s">
        <v>1187</v>
      </c>
      <c r="R99" s="258" t="str">
        <f>IFS(C99="","",C99="n/a","N/A",LEN(C99),Concatenate("{",char(34),"asset",char(34),":{",char(34),"guid",char(34),":",char(34),Q99,char(34),",",char(34),"site",char(34),":",char(34),LOWER('2-Building'!$B$4),char(34),",",char(34),"name",char(34),":",char(34),LOWER(C99),char(34),"}}"))</f>
        <v>{"asset":{"guid":"uuid://055fb66f-8350-4409-83af-63367c7826c4","site":"in-blr-ananta","name":"ddc-295"}}</v>
      </c>
      <c r="S99" s="258" t="s">
        <v>681</v>
      </c>
      <c r="T99" s="263"/>
      <c r="U99" s="263"/>
      <c r="V99" s="264">
        <v>2.23</v>
      </c>
      <c r="W99" s="33" t="s">
        <v>682</v>
      </c>
      <c r="X99" s="258" t="s">
        <v>683</v>
      </c>
      <c r="Y99" s="33" t="s">
        <v>684</v>
      </c>
      <c r="Z99" s="258">
        <v>14095.0</v>
      </c>
      <c r="AA99" s="258">
        <v>11501.0</v>
      </c>
      <c r="AB99" s="258"/>
      <c r="AC99" s="258"/>
      <c r="AD99" s="265"/>
      <c r="AE99" s="266" t="s">
        <v>685</v>
      </c>
      <c r="AF99" s="267" t="s">
        <v>1188</v>
      </c>
      <c r="AG99" s="268" t="str">
        <f>IFS(LEN(AF99)=17,LOWER('2-Building'!$B$4 &amp; "-" &amp; C99), AF99="N/A", "N/A", LEN(AF99)=0,"")</f>
        <v>in-blr-ananta-ddc-295</v>
      </c>
      <c r="AH99" s="258"/>
      <c r="AI99" s="258"/>
      <c r="AJ99" s="258"/>
      <c r="AK99" s="258" t="s">
        <v>1189</v>
      </c>
      <c r="AL99" s="258" t="s">
        <v>688</v>
      </c>
      <c r="AM99" s="258" t="s">
        <v>689</v>
      </c>
      <c r="AN99" s="258"/>
      <c r="AO99" s="258"/>
      <c r="AP99" s="258"/>
      <c r="AQ99" s="258"/>
      <c r="AR99" s="258" t="s">
        <v>690</v>
      </c>
      <c r="AS99" s="258" t="s">
        <v>691</v>
      </c>
      <c r="AT99" s="258" t="s">
        <v>1185</v>
      </c>
      <c r="AU99" s="265" t="s">
        <v>693</v>
      </c>
      <c r="AV99" s="174" t="s">
        <v>243</v>
      </c>
      <c r="AW99" s="269" t="s">
        <v>245</v>
      </c>
      <c r="AX99" s="269" t="s">
        <v>694</v>
      </c>
      <c r="AY99" s="270" t="s">
        <v>695</v>
      </c>
      <c r="AZ99" s="173" t="s">
        <v>681</v>
      </c>
      <c r="BA99" s="265">
        <v>10.0</v>
      </c>
      <c r="BB99" s="174" t="s">
        <v>225</v>
      </c>
      <c r="BC99" s="271"/>
      <c r="BD99" s="272" t="s">
        <v>696</v>
      </c>
      <c r="BE99" s="273" t="s">
        <v>697</v>
      </c>
      <c r="BF99" s="274" t="str">
        <f>IFERROR(__xludf.DUMMYFUNCTION("LOWER(Regexreplace(to_text(E99),""[^A-Za-z0-9]"","""")&amp;""_""&amp;Regexreplace(to_text(F99),""[^A-Za-z0-9]"",""""))"),"sauter_eyrc504fxxx")</f>
        <v>sauter_eyrc504fxxx</v>
      </c>
      <c r="BG99" s="275" t="str">
        <f>IFERROR(__xludf.DUMMYFUNCTION("upper(Regexreplace(to_text(E99),""[^A-Za-z0-9]"","""")&amp;""-""&amp;Regexreplace(to_text(F99),""[^A-Za-z0-9]"",""""))"),"SAUTER-EYRC504FXXX")</f>
        <v>SAUTER-EYRC504FXXX</v>
      </c>
    </row>
    <row r="100" ht="30.0" customHeight="1">
      <c r="A100" s="258">
        <v>96.0</v>
      </c>
      <c r="B100" s="256" t="s">
        <v>670</v>
      </c>
      <c r="C100" s="257" t="s">
        <v>1190</v>
      </c>
      <c r="D100" s="173" t="s">
        <v>1190</v>
      </c>
      <c r="E100" s="174" t="s">
        <v>672</v>
      </c>
      <c r="F100" s="173" t="s">
        <v>514</v>
      </c>
      <c r="G100" s="258" t="s">
        <v>673</v>
      </c>
      <c r="H100" s="258" t="s">
        <v>674</v>
      </c>
      <c r="I100" s="258" t="s">
        <v>675</v>
      </c>
      <c r="J100" s="259" t="s">
        <v>1149</v>
      </c>
      <c r="K100" s="260">
        <v>633.0</v>
      </c>
      <c r="L100" s="258" t="s">
        <v>1191</v>
      </c>
      <c r="M100" s="277">
        <v>4.11001239172E11</v>
      </c>
      <c r="N100" s="173" t="s">
        <v>679</v>
      </c>
      <c r="O100" s="173" t="s">
        <v>225</v>
      </c>
      <c r="P100" s="262" t="str">
        <f t="shared" si="1"/>
        <v>IN-BLR-ANANTA-DDC-296_6</v>
      </c>
      <c r="Q100" s="173" t="s">
        <v>1192</v>
      </c>
      <c r="R100" s="258" t="str">
        <f>IFS(C100="","",C100="n/a","N/A",LEN(C100),Concatenate("{",char(34),"asset",char(34),":{",char(34),"guid",char(34),":",char(34),Q100,char(34),",",char(34),"site",char(34),":",char(34),LOWER('2-Building'!$B$4),char(34),",",char(34),"name",char(34),":",char(34),LOWER(C100),char(34),"}}"))</f>
        <v>{"asset":{"guid":"uuid://518530b6-467b-4652-b772-f0dfcad5eeb5","site":"in-blr-ananta","name":"ddc-296"}}</v>
      </c>
      <c r="S100" s="258" t="s">
        <v>681</v>
      </c>
      <c r="T100" s="263"/>
      <c r="U100" s="263"/>
      <c r="V100" s="264">
        <v>2.23</v>
      </c>
      <c r="W100" s="33" t="s">
        <v>682</v>
      </c>
      <c r="X100" s="258" t="s">
        <v>683</v>
      </c>
      <c r="Y100" s="33" t="s">
        <v>684</v>
      </c>
      <c r="Z100" s="258">
        <v>14096.0</v>
      </c>
      <c r="AA100" s="258">
        <v>11501.0</v>
      </c>
      <c r="AB100" s="258"/>
      <c r="AC100" s="258"/>
      <c r="AD100" s="265"/>
      <c r="AE100" s="266" t="s">
        <v>685</v>
      </c>
      <c r="AF100" s="267" t="s">
        <v>1193</v>
      </c>
      <c r="AG100" s="268" t="str">
        <f>IFS(LEN(AF100)=17,LOWER('2-Building'!$B$4 &amp; "-" &amp; C100), AF100="N/A", "N/A", LEN(AF100)=0,"")</f>
        <v>in-blr-ananta-ddc-296</v>
      </c>
      <c r="AH100" s="258"/>
      <c r="AI100" s="258"/>
      <c r="AJ100" s="258"/>
      <c r="AK100" s="258" t="s">
        <v>1194</v>
      </c>
      <c r="AL100" s="258" t="s">
        <v>688</v>
      </c>
      <c r="AM100" s="258" t="s">
        <v>689</v>
      </c>
      <c r="AN100" s="258"/>
      <c r="AO100" s="258"/>
      <c r="AP100" s="258"/>
      <c r="AQ100" s="258"/>
      <c r="AR100" s="258" t="s">
        <v>690</v>
      </c>
      <c r="AS100" s="258" t="s">
        <v>691</v>
      </c>
      <c r="AT100" s="258" t="s">
        <v>1195</v>
      </c>
      <c r="AU100" s="265" t="s">
        <v>693</v>
      </c>
      <c r="AV100" s="174" t="s">
        <v>243</v>
      </c>
      <c r="AW100" s="269" t="s">
        <v>245</v>
      </c>
      <c r="AX100" s="269" t="s">
        <v>694</v>
      </c>
      <c r="AY100" s="270" t="s">
        <v>695</v>
      </c>
      <c r="AZ100" s="173" t="s">
        <v>681</v>
      </c>
      <c r="BA100" s="265">
        <v>10.0</v>
      </c>
      <c r="BB100" s="174" t="s">
        <v>225</v>
      </c>
      <c r="BC100" s="271"/>
      <c r="BD100" s="272" t="s">
        <v>696</v>
      </c>
      <c r="BE100" s="273" t="s">
        <v>697</v>
      </c>
      <c r="BF100" s="274" t="str">
        <f>IFERROR(__xludf.DUMMYFUNCTION("LOWER(Regexreplace(to_text(E100),""[^A-Za-z0-9]"","""")&amp;""_""&amp;Regexreplace(to_text(F100),""[^A-Za-z0-9]"",""""))"),"sauter_eyrc504fxxx")</f>
        <v>sauter_eyrc504fxxx</v>
      </c>
      <c r="BG100" s="275" t="str">
        <f>IFERROR(__xludf.DUMMYFUNCTION("upper(Regexreplace(to_text(E100),""[^A-Za-z0-9]"","""")&amp;""-""&amp;Regexreplace(to_text(F100),""[^A-Za-z0-9]"",""""))"),"SAUTER-EYRC504FXXX")</f>
        <v>SAUTER-EYRC504FXXX</v>
      </c>
    </row>
    <row r="101" ht="30.0" customHeight="1">
      <c r="A101" s="173">
        <v>97.0</v>
      </c>
      <c r="B101" s="256" t="s">
        <v>670</v>
      </c>
      <c r="C101" s="257" t="s">
        <v>1196</v>
      </c>
      <c r="D101" s="173" t="s">
        <v>1196</v>
      </c>
      <c r="E101" s="174" t="s">
        <v>672</v>
      </c>
      <c r="F101" s="173" t="s">
        <v>514</v>
      </c>
      <c r="G101" s="258" t="s">
        <v>673</v>
      </c>
      <c r="H101" s="258" t="s">
        <v>674</v>
      </c>
      <c r="I101" s="258" t="s">
        <v>675</v>
      </c>
      <c r="J101" s="259" t="s">
        <v>1149</v>
      </c>
      <c r="K101" s="260">
        <v>633.0</v>
      </c>
      <c r="L101" s="258" t="s">
        <v>1191</v>
      </c>
      <c r="M101" s="277">
        <v>4.11001239152E11</v>
      </c>
      <c r="N101" s="173" t="s">
        <v>679</v>
      </c>
      <c r="O101" s="173" t="s">
        <v>225</v>
      </c>
      <c r="P101" s="262" t="str">
        <f t="shared" si="1"/>
        <v>IN-BLR-ANANTA-DDC-297_6</v>
      </c>
      <c r="Q101" s="173" t="s">
        <v>1197</v>
      </c>
      <c r="R101" s="258" t="str">
        <f>IFS(C101="","",C101="n/a","N/A",LEN(C101),Concatenate("{",char(34),"asset",char(34),":{",char(34),"guid",char(34),":",char(34),Q101,char(34),",",char(34),"site",char(34),":",char(34),LOWER('2-Building'!$B$4),char(34),",",char(34),"name",char(34),":",char(34),LOWER(C101),char(34),"}}"))</f>
        <v>{"asset":{"guid":"uuid://1375279e-a059-4269-88ce-807fde3fa67f","site":"in-blr-ananta","name":"ddc-297"}}</v>
      </c>
      <c r="S101" s="258" t="s">
        <v>681</v>
      </c>
      <c r="T101" s="263"/>
      <c r="U101" s="263"/>
      <c r="V101" s="264">
        <v>2.23</v>
      </c>
      <c r="W101" s="33" t="s">
        <v>682</v>
      </c>
      <c r="X101" s="258" t="s">
        <v>683</v>
      </c>
      <c r="Y101" s="33" t="s">
        <v>684</v>
      </c>
      <c r="Z101" s="258">
        <v>14097.0</v>
      </c>
      <c r="AA101" s="258">
        <v>11501.0</v>
      </c>
      <c r="AB101" s="258"/>
      <c r="AC101" s="258"/>
      <c r="AD101" s="265"/>
      <c r="AE101" s="266" t="s">
        <v>685</v>
      </c>
      <c r="AF101" s="267" t="s">
        <v>1198</v>
      </c>
      <c r="AG101" s="268" t="str">
        <f>IFS(LEN(AF101)=17,LOWER('2-Building'!$B$4 &amp; "-" &amp; C101), AF101="N/A", "N/A", LEN(AF101)=0,"")</f>
        <v>in-blr-ananta-ddc-297</v>
      </c>
      <c r="AH101" s="258"/>
      <c r="AI101" s="258"/>
      <c r="AJ101" s="258"/>
      <c r="AK101" s="258" t="s">
        <v>1199</v>
      </c>
      <c r="AL101" s="258" t="s">
        <v>688</v>
      </c>
      <c r="AM101" s="258" t="s">
        <v>689</v>
      </c>
      <c r="AN101" s="258"/>
      <c r="AO101" s="258"/>
      <c r="AP101" s="258"/>
      <c r="AQ101" s="258"/>
      <c r="AR101" s="258" t="s">
        <v>690</v>
      </c>
      <c r="AS101" s="258" t="s">
        <v>691</v>
      </c>
      <c r="AT101" s="258" t="s">
        <v>1195</v>
      </c>
      <c r="AU101" s="265" t="s">
        <v>693</v>
      </c>
      <c r="AV101" s="174" t="s">
        <v>243</v>
      </c>
      <c r="AW101" s="269" t="s">
        <v>245</v>
      </c>
      <c r="AX101" s="269" t="s">
        <v>694</v>
      </c>
      <c r="AY101" s="270" t="s">
        <v>695</v>
      </c>
      <c r="AZ101" s="173" t="s">
        <v>681</v>
      </c>
      <c r="BA101" s="265">
        <v>10.0</v>
      </c>
      <c r="BB101" s="174" t="s">
        <v>225</v>
      </c>
      <c r="BC101" s="271"/>
      <c r="BD101" s="272" t="s">
        <v>696</v>
      </c>
      <c r="BE101" s="273" t="s">
        <v>697</v>
      </c>
      <c r="BF101" s="274" t="str">
        <f>IFERROR(__xludf.DUMMYFUNCTION("LOWER(Regexreplace(to_text(E101),""[^A-Za-z0-9]"","""")&amp;""_""&amp;Regexreplace(to_text(F101),""[^A-Za-z0-9]"",""""))"),"sauter_eyrc504fxxx")</f>
        <v>sauter_eyrc504fxxx</v>
      </c>
      <c r="BG101" s="275" t="str">
        <f>IFERROR(__xludf.DUMMYFUNCTION("upper(Regexreplace(to_text(E101),""[^A-Za-z0-9]"","""")&amp;""-""&amp;Regexreplace(to_text(F101),""[^A-Za-z0-9]"",""""))"),"SAUTER-EYRC504FXXX")</f>
        <v>SAUTER-EYRC504FXXX</v>
      </c>
    </row>
    <row r="102" ht="30.0" customHeight="1">
      <c r="A102" s="258">
        <v>98.0</v>
      </c>
      <c r="B102" s="256" t="s">
        <v>670</v>
      </c>
      <c r="C102" s="257" t="s">
        <v>1200</v>
      </c>
      <c r="D102" s="173" t="s">
        <v>1200</v>
      </c>
      <c r="E102" s="174" t="s">
        <v>672</v>
      </c>
      <c r="F102" s="173" t="s">
        <v>514</v>
      </c>
      <c r="G102" s="258" t="s">
        <v>673</v>
      </c>
      <c r="H102" s="258" t="s">
        <v>674</v>
      </c>
      <c r="I102" s="258" t="s">
        <v>675</v>
      </c>
      <c r="J102" s="259" t="s">
        <v>1149</v>
      </c>
      <c r="K102" s="260">
        <v>634.0</v>
      </c>
      <c r="L102" s="258" t="s">
        <v>1201</v>
      </c>
      <c r="M102" s="277">
        <v>4.1100123926E11</v>
      </c>
      <c r="N102" s="173" t="s">
        <v>679</v>
      </c>
      <c r="O102" s="173" t="s">
        <v>225</v>
      </c>
      <c r="P102" s="262" t="str">
        <f t="shared" si="1"/>
        <v>IN-BLR-ANANTA-DDC-298_6</v>
      </c>
      <c r="Q102" s="173" t="s">
        <v>1202</v>
      </c>
      <c r="R102" s="258" t="str">
        <f>IFS(C102="","",C102="n/a","N/A",LEN(C102),Concatenate("{",char(34),"asset",char(34),":{",char(34),"guid",char(34),":",char(34),Q102,char(34),",",char(34),"site",char(34),":",char(34),LOWER('2-Building'!$B$4),char(34),",",char(34),"name",char(34),":",char(34),LOWER(C102),char(34),"}}"))</f>
        <v>{"asset":{"guid":"uuid://d9d0c0a5-9e36-4bbc-a70f-70fd248a4b0a","site":"in-blr-ananta","name":"ddc-298"}}</v>
      </c>
      <c r="S102" s="258" t="s">
        <v>681</v>
      </c>
      <c r="T102" s="263"/>
      <c r="U102" s="263"/>
      <c r="V102" s="264">
        <v>2.23</v>
      </c>
      <c r="W102" s="33" t="s">
        <v>682</v>
      </c>
      <c r="X102" s="258" t="s">
        <v>683</v>
      </c>
      <c r="Y102" s="33" t="s">
        <v>684</v>
      </c>
      <c r="Z102" s="258">
        <v>14098.0</v>
      </c>
      <c r="AA102" s="258">
        <v>11501.0</v>
      </c>
      <c r="AB102" s="258"/>
      <c r="AC102" s="258"/>
      <c r="AD102" s="265"/>
      <c r="AE102" s="266" t="s">
        <v>685</v>
      </c>
      <c r="AF102" s="267" t="s">
        <v>1203</v>
      </c>
      <c r="AG102" s="268" t="str">
        <f>IFS(LEN(AF102)=17,LOWER('2-Building'!$B$4 &amp; "-" &amp; C102), AF102="N/A", "N/A", LEN(AF102)=0,"")</f>
        <v>in-blr-ananta-ddc-298</v>
      </c>
      <c r="AH102" s="258"/>
      <c r="AI102" s="258"/>
      <c r="AJ102" s="258"/>
      <c r="AK102" s="258" t="s">
        <v>1204</v>
      </c>
      <c r="AL102" s="258" t="s">
        <v>688</v>
      </c>
      <c r="AM102" s="258" t="s">
        <v>689</v>
      </c>
      <c r="AN102" s="258"/>
      <c r="AO102" s="258"/>
      <c r="AP102" s="258"/>
      <c r="AQ102" s="258"/>
      <c r="AR102" s="258" t="s">
        <v>690</v>
      </c>
      <c r="AS102" s="258" t="s">
        <v>691</v>
      </c>
      <c r="AT102" s="258" t="s">
        <v>1205</v>
      </c>
      <c r="AU102" s="265" t="s">
        <v>693</v>
      </c>
      <c r="AV102" s="174" t="s">
        <v>243</v>
      </c>
      <c r="AW102" s="269" t="s">
        <v>245</v>
      </c>
      <c r="AX102" s="269" t="s">
        <v>694</v>
      </c>
      <c r="AY102" s="270" t="s">
        <v>695</v>
      </c>
      <c r="AZ102" s="173" t="s">
        <v>681</v>
      </c>
      <c r="BA102" s="265">
        <v>10.0</v>
      </c>
      <c r="BB102" s="174" t="s">
        <v>225</v>
      </c>
      <c r="BC102" s="271"/>
      <c r="BD102" s="272" t="s">
        <v>696</v>
      </c>
      <c r="BE102" s="273" t="s">
        <v>697</v>
      </c>
      <c r="BF102" s="274" t="str">
        <f>IFERROR(__xludf.DUMMYFUNCTION("LOWER(Regexreplace(to_text(E102),""[^A-Za-z0-9]"","""")&amp;""_""&amp;Regexreplace(to_text(F102),""[^A-Za-z0-9]"",""""))"),"sauter_eyrc504fxxx")</f>
        <v>sauter_eyrc504fxxx</v>
      </c>
      <c r="BG102" s="275" t="str">
        <f>IFERROR(__xludf.DUMMYFUNCTION("upper(Regexreplace(to_text(E102),""[^A-Za-z0-9]"","""")&amp;""-""&amp;Regexreplace(to_text(F102),""[^A-Za-z0-9]"",""""))"),"SAUTER-EYRC504FXXX")</f>
        <v>SAUTER-EYRC504FXXX</v>
      </c>
    </row>
    <row r="103" ht="30.0" customHeight="1">
      <c r="A103" s="173">
        <v>99.0</v>
      </c>
      <c r="B103" s="256" t="s">
        <v>670</v>
      </c>
      <c r="C103" s="257" t="s">
        <v>1206</v>
      </c>
      <c r="D103" s="173" t="s">
        <v>1206</v>
      </c>
      <c r="E103" s="174" t="s">
        <v>672</v>
      </c>
      <c r="F103" s="173" t="s">
        <v>514</v>
      </c>
      <c r="G103" s="258" t="s">
        <v>673</v>
      </c>
      <c r="H103" s="258" t="s">
        <v>674</v>
      </c>
      <c r="I103" s="258" t="s">
        <v>675</v>
      </c>
      <c r="J103" s="259" t="s">
        <v>1149</v>
      </c>
      <c r="K103" s="260">
        <v>634.0</v>
      </c>
      <c r="L103" s="258" t="s">
        <v>1201</v>
      </c>
      <c r="M103" s="277">
        <v>4.11001239335E11</v>
      </c>
      <c r="N103" s="173" t="s">
        <v>679</v>
      </c>
      <c r="O103" s="173" t="s">
        <v>225</v>
      </c>
      <c r="P103" s="262" t="str">
        <f t="shared" si="1"/>
        <v>IN-BLR-ANANTA-DDC-299_6</v>
      </c>
      <c r="Q103" s="173" t="s">
        <v>1207</v>
      </c>
      <c r="R103" s="258" t="str">
        <f>IFS(C103="","",C103="n/a","N/A",LEN(C103),Concatenate("{",char(34),"asset",char(34),":{",char(34),"guid",char(34),":",char(34),Q103,char(34),",",char(34),"site",char(34),":",char(34),LOWER('2-Building'!$B$4),char(34),",",char(34),"name",char(34),":",char(34),LOWER(C103),char(34),"}}"))</f>
        <v>{"asset":{"guid":"uuid://4d419f11-d8a6-4818-840c-2ad94d577d3f","site":"in-blr-ananta","name":"ddc-299"}}</v>
      </c>
      <c r="S103" s="258" t="s">
        <v>681</v>
      </c>
      <c r="T103" s="263"/>
      <c r="U103" s="263"/>
      <c r="V103" s="264">
        <v>2.23</v>
      </c>
      <c r="W103" s="33" t="s">
        <v>682</v>
      </c>
      <c r="X103" s="258" t="s">
        <v>683</v>
      </c>
      <c r="Y103" s="33" t="s">
        <v>684</v>
      </c>
      <c r="Z103" s="258">
        <v>14099.0</v>
      </c>
      <c r="AA103" s="258">
        <v>11501.0</v>
      </c>
      <c r="AB103" s="258"/>
      <c r="AC103" s="258"/>
      <c r="AD103" s="265"/>
      <c r="AE103" s="266" t="s">
        <v>685</v>
      </c>
      <c r="AF103" s="267" t="s">
        <v>1208</v>
      </c>
      <c r="AG103" s="268" t="str">
        <f>IFS(LEN(AF103)=17,LOWER('2-Building'!$B$4 &amp; "-" &amp; C103), AF103="N/A", "N/A", LEN(AF103)=0,"")</f>
        <v>in-blr-ananta-ddc-299</v>
      </c>
      <c r="AH103" s="258"/>
      <c r="AI103" s="258"/>
      <c r="AJ103" s="258"/>
      <c r="AK103" s="258" t="s">
        <v>1209</v>
      </c>
      <c r="AL103" s="258" t="s">
        <v>688</v>
      </c>
      <c r="AM103" s="258" t="s">
        <v>689</v>
      </c>
      <c r="AN103" s="258"/>
      <c r="AO103" s="258"/>
      <c r="AP103" s="258"/>
      <c r="AQ103" s="258"/>
      <c r="AR103" s="258" t="s">
        <v>690</v>
      </c>
      <c r="AS103" s="258" t="s">
        <v>691</v>
      </c>
      <c r="AT103" s="258" t="s">
        <v>1205</v>
      </c>
      <c r="AU103" s="265" t="s">
        <v>693</v>
      </c>
      <c r="AV103" s="174" t="s">
        <v>243</v>
      </c>
      <c r="AW103" s="269" t="s">
        <v>245</v>
      </c>
      <c r="AX103" s="269" t="s">
        <v>694</v>
      </c>
      <c r="AY103" s="270" t="s">
        <v>695</v>
      </c>
      <c r="AZ103" s="173" t="s">
        <v>681</v>
      </c>
      <c r="BA103" s="265">
        <v>10.0</v>
      </c>
      <c r="BB103" s="174" t="s">
        <v>225</v>
      </c>
      <c r="BC103" s="271"/>
      <c r="BD103" s="272" t="s">
        <v>696</v>
      </c>
      <c r="BE103" s="273" t="s">
        <v>697</v>
      </c>
      <c r="BF103" s="274" t="str">
        <f>IFERROR(__xludf.DUMMYFUNCTION("LOWER(Regexreplace(to_text(E103),""[^A-Za-z0-9]"","""")&amp;""_""&amp;Regexreplace(to_text(F103),""[^A-Za-z0-9]"",""""))"),"sauter_eyrc504fxxx")</f>
        <v>sauter_eyrc504fxxx</v>
      </c>
      <c r="BG103" s="275" t="str">
        <f>IFERROR(__xludf.DUMMYFUNCTION("upper(Regexreplace(to_text(E103),""[^A-Za-z0-9]"","""")&amp;""-""&amp;Regexreplace(to_text(F103),""[^A-Za-z0-9]"",""""))"),"SAUTER-EYRC504FXXX")</f>
        <v>SAUTER-EYRC504FXXX</v>
      </c>
    </row>
    <row r="104" ht="30.0" customHeight="1">
      <c r="A104" s="258">
        <v>100.0</v>
      </c>
      <c r="B104" s="256" t="s">
        <v>670</v>
      </c>
      <c r="C104" s="257" t="s">
        <v>1210</v>
      </c>
      <c r="D104" s="173" t="s">
        <v>1210</v>
      </c>
      <c r="E104" s="174" t="s">
        <v>672</v>
      </c>
      <c r="F104" s="173" t="s">
        <v>514</v>
      </c>
      <c r="G104" s="258" t="s">
        <v>673</v>
      </c>
      <c r="H104" s="258" t="s">
        <v>674</v>
      </c>
      <c r="I104" s="258" t="s">
        <v>675</v>
      </c>
      <c r="J104" s="259" t="s">
        <v>1211</v>
      </c>
      <c r="K104" s="260">
        <v>763.0</v>
      </c>
      <c r="L104" s="258" t="s">
        <v>1212</v>
      </c>
      <c r="M104" s="277">
        <v>4.11001235047E11</v>
      </c>
      <c r="N104" s="173" t="s">
        <v>679</v>
      </c>
      <c r="O104" s="173" t="s">
        <v>225</v>
      </c>
      <c r="P104" s="262" t="str">
        <f t="shared" si="1"/>
        <v>IN-BLR-ANANTA-DDC-300_7</v>
      </c>
      <c r="Q104" s="173" t="s">
        <v>1213</v>
      </c>
      <c r="R104" s="258" t="str">
        <f>IFS(C104="","",C104="n/a","N/A",LEN(C104),Concatenate("{",char(34),"asset",char(34),":{",char(34),"guid",char(34),":",char(34),Q104,char(34),",",char(34),"site",char(34),":",char(34),LOWER('2-Building'!$B$4),char(34),",",char(34),"name",char(34),":",char(34),LOWER(C104),char(34),"}}"))</f>
        <v>{"asset":{"guid":"uuid://57f8fb2c-f6a7-4e61-a30d-4e7d7e797b67","site":"in-blr-ananta","name":"ddc-300"}}</v>
      </c>
      <c r="S104" s="258" t="s">
        <v>681</v>
      </c>
      <c r="T104" s="263"/>
      <c r="U104" s="263"/>
      <c r="V104" s="264">
        <v>2.23</v>
      </c>
      <c r="W104" s="33" t="s">
        <v>682</v>
      </c>
      <c r="X104" s="258" t="s">
        <v>683</v>
      </c>
      <c r="Y104" s="33" t="s">
        <v>684</v>
      </c>
      <c r="Z104" s="258">
        <v>14100.0</v>
      </c>
      <c r="AA104" s="258">
        <v>11501.0</v>
      </c>
      <c r="AB104" s="258"/>
      <c r="AC104" s="258"/>
      <c r="AD104" s="265"/>
      <c r="AE104" s="266" t="s">
        <v>685</v>
      </c>
      <c r="AF104" s="267" t="s">
        <v>1214</v>
      </c>
      <c r="AG104" s="268" t="str">
        <f>IFS(LEN(AF104)=17,LOWER('2-Building'!$B$4 &amp; "-" &amp; C104), AF104="N/A", "N/A", LEN(AF104)=0,"")</f>
        <v>in-blr-ananta-ddc-300</v>
      </c>
      <c r="AH104" s="258"/>
      <c r="AI104" s="258"/>
      <c r="AJ104" s="258"/>
      <c r="AK104" s="258" t="s">
        <v>1215</v>
      </c>
      <c r="AL104" s="258" t="s">
        <v>688</v>
      </c>
      <c r="AM104" s="258" t="s">
        <v>689</v>
      </c>
      <c r="AN104" s="258"/>
      <c r="AO104" s="258"/>
      <c r="AP104" s="258"/>
      <c r="AQ104" s="258"/>
      <c r="AR104" s="258" t="s">
        <v>690</v>
      </c>
      <c r="AS104" s="258" t="s">
        <v>691</v>
      </c>
      <c r="AT104" s="258" t="s">
        <v>1216</v>
      </c>
      <c r="AU104" s="265" t="s">
        <v>693</v>
      </c>
      <c r="AV104" s="174" t="s">
        <v>243</v>
      </c>
      <c r="AW104" s="269" t="s">
        <v>245</v>
      </c>
      <c r="AX104" s="269" t="s">
        <v>694</v>
      </c>
      <c r="AY104" s="270" t="s">
        <v>695</v>
      </c>
      <c r="AZ104" s="173" t="s">
        <v>681</v>
      </c>
      <c r="BA104" s="265">
        <v>10.0</v>
      </c>
      <c r="BB104" s="174" t="s">
        <v>225</v>
      </c>
      <c r="BC104" s="271"/>
      <c r="BD104" s="272" t="s">
        <v>696</v>
      </c>
      <c r="BE104" s="273" t="s">
        <v>697</v>
      </c>
      <c r="BF104" s="274" t="str">
        <f>IFERROR(__xludf.DUMMYFUNCTION("LOWER(Regexreplace(to_text(E104),""[^A-Za-z0-9]"","""")&amp;""_""&amp;Regexreplace(to_text(F104),""[^A-Za-z0-9]"",""""))"),"sauter_eyrc504fxxx")</f>
        <v>sauter_eyrc504fxxx</v>
      </c>
      <c r="BG104" s="275" t="str">
        <f>IFERROR(__xludf.DUMMYFUNCTION("upper(Regexreplace(to_text(E104),""[^A-Za-z0-9]"","""")&amp;""-""&amp;Regexreplace(to_text(F104),""[^A-Za-z0-9]"",""""))"),"SAUTER-EYRC504FXXX")</f>
        <v>SAUTER-EYRC504FXXX</v>
      </c>
    </row>
    <row r="105" ht="30.0" customHeight="1">
      <c r="A105" s="173">
        <v>101.0</v>
      </c>
      <c r="B105" s="256" t="s">
        <v>670</v>
      </c>
      <c r="C105" s="257" t="s">
        <v>1217</v>
      </c>
      <c r="D105" s="173" t="s">
        <v>1217</v>
      </c>
      <c r="E105" s="174" t="s">
        <v>672</v>
      </c>
      <c r="F105" s="173" t="s">
        <v>514</v>
      </c>
      <c r="G105" s="258" t="s">
        <v>673</v>
      </c>
      <c r="H105" s="258" t="s">
        <v>674</v>
      </c>
      <c r="I105" s="258" t="s">
        <v>675</v>
      </c>
      <c r="J105" s="259" t="s">
        <v>1211</v>
      </c>
      <c r="K105" s="260">
        <v>763.0</v>
      </c>
      <c r="L105" s="258" t="s">
        <v>1212</v>
      </c>
      <c r="M105" s="277">
        <v>4.11001239445E11</v>
      </c>
      <c r="N105" s="173" t="s">
        <v>679</v>
      </c>
      <c r="O105" s="173" t="s">
        <v>225</v>
      </c>
      <c r="P105" s="262" t="str">
        <f t="shared" si="1"/>
        <v>IN-BLR-ANANTA-DDC-301_7</v>
      </c>
      <c r="Q105" s="173" t="s">
        <v>1218</v>
      </c>
      <c r="R105" s="258" t="str">
        <f>IFS(C105="","",C105="n/a","N/A",LEN(C105),Concatenate("{",char(34),"asset",char(34),":{",char(34),"guid",char(34),":",char(34),Q105,char(34),",",char(34),"site",char(34),":",char(34),LOWER('2-Building'!$B$4),char(34),",",char(34),"name",char(34),":",char(34),LOWER(C105),char(34),"}}"))</f>
        <v>{"asset":{"guid":"uuid://696d0eba-2c93-4184-a074-6de9e4f885b3","site":"in-blr-ananta","name":"ddc-301"}}</v>
      </c>
      <c r="S105" s="258" t="s">
        <v>681</v>
      </c>
      <c r="T105" s="263"/>
      <c r="U105" s="263"/>
      <c r="V105" s="264">
        <v>2.23</v>
      </c>
      <c r="W105" s="33" t="s">
        <v>682</v>
      </c>
      <c r="X105" s="258" t="s">
        <v>683</v>
      </c>
      <c r="Y105" s="33" t="s">
        <v>684</v>
      </c>
      <c r="Z105" s="258">
        <v>14101.0</v>
      </c>
      <c r="AA105" s="258">
        <v>11501.0</v>
      </c>
      <c r="AB105" s="258"/>
      <c r="AC105" s="258"/>
      <c r="AD105" s="265"/>
      <c r="AE105" s="266" t="s">
        <v>685</v>
      </c>
      <c r="AF105" s="267" t="s">
        <v>1219</v>
      </c>
      <c r="AG105" s="268" t="str">
        <f>IFS(LEN(AF105)=17,LOWER('2-Building'!$B$4 &amp; "-" &amp; C105), AF105="N/A", "N/A", LEN(AF105)=0,"")</f>
        <v>in-blr-ananta-ddc-301</v>
      </c>
      <c r="AH105" s="258"/>
      <c r="AI105" s="258"/>
      <c r="AJ105" s="258"/>
      <c r="AK105" s="258" t="s">
        <v>1220</v>
      </c>
      <c r="AL105" s="258" t="s">
        <v>688</v>
      </c>
      <c r="AM105" s="258" t="s">
        <v>689</v>
      </c>
      <c r="AN105" s="258"/>
      <c r="AO105" s="258"/>
      <c r="AP105" s="258"/>
      <c r="AQ105" s="258"/>
      <c r="AR105" s="258" t="s">
        <v>690</v>
      </c>
      <c r="AS105" s="258" t="s">
        <v>691</v>
      </c>
      <c r="AT105" s="258" t="s">
        <v>1216</v>
      </c>
      <c r="AU105" s="265" t="s">
        <v>693</v>
      </c>
      <c r="AV105" s="174" t="s">
        <v>243</v>
      </c>
      <c r="AW105" s="269" t="s">
        <v>245</v>
      </c>
      <c r="AX105" s="269" t="s">
        <v>694</v>
      </c>
      <c r="AY105" s="270" t="s">
        <v>695</v>
      </c>
      <c r="AZ105" s="173" t="s">
        <v>681</v>
      </c>
      <c r="BA105" s="265">
        <v>10.0</v>
      </c>
      <c r="BB105" s="174" t="s">
        <v>225</v>
      </c>
      <c r="BC105" s="271"/>
      <c r="BD105" s="272" t="s">
        <v>696</v>
      </c>
      <c r="BE105" s="273" t="s">
        <v>697</v>
      </c>
      <c r="BF105" s="274" t="str">
        <f>IFERROR(__xludf.DUMMYFUNCTION("LOWER(Regexreplace(to_text(E105),""[^A-Za-z0-9]"","""")&amp;""_""&amp;Regexreplace(to_text(F105),""[^A-Za-z0-9]"",""""))"),"sauter_eyrc504fxxx")</f>
        <v>sauter_eyrc504fxxx</v>
      </c>
      <c r="BG105" s="275" t="str">
        <f>IFERROR(__xludf.DUMMYFUNCTION("upper(Regexreplace(to_text(E105),""[^A-Za-z0-9]"","""")&amp;""-""&amp;Regexreplace(to_text(F105),""[^A-Za-z0-9]"",""""))"),"SAUTER-EYRC504FXXX")</f>
        <v>SAUTER-EYRC504FXXX</v>
      </c>
    </row>
    <row r="106" ht="30.0" customHeight="1">
      <c r="A106" s="258">
        <v>102.0</v>
      </c>
      <c r="B106" s="256" t="s">
        <v>670</v>
      </c>
      <c r="C106" s="257" t="s">
        <v>1221</v>
      </c>
      <c r="D106" s="173" t="s">
        <v>1221</v>
      </c>
      <c r="E106" s="174" t="s">
        <v>672</v>
      </c>
      <c r="F106" s="173" t="s">
        <v>514</v>
      </c>
      <c r="G106" s="258" t="s">
        <v>673</v>
      </c>
      <c r="H106" s="258" t="s">
        <v>674</v>
      </c>
      <c r="I106" s="258" t="s">
        <v>675</v>
      </c>
      <c r="J106" s="259" t="s">
        <v>1211</v>
      </c>
      <c r="K106" s="260">
        <v>775.0</v>
      </c>
      <c r="L106" s="258" t="s">
        <v>1222</v>
      </c>
      <c r="M106" s="277">
        <v>4.1100123948E11</v>
      </c>
      <c r="N106" s="173" t="s">
        <v>679</v>
      </c>
      <c r="O106" s="173" t="s">
        <v>225</v>
      </c>
      <c r="P106" s="262" t="str">
        <f t="shared" si="1"/>
        <v>IN-BLR-ANANTA-DDC-302_7</v>
      </c>
      <c r="Q106" s="173" t="s">
        <v>1223</v>
      </c>
      <c r="R106" s="258" t="str">
        <f>IFS(C106="","",C106="n/a","N/A",LEN(C106),Concatenate("{",char(34),"asset",char(34),":{",char(34),"guid",char(34),":",char(34),Q106,char(34),",",char(34),"site",char(34),":",char(34),LOWER('2-Building'!$B$4),char(34),",",char(34),"name",char(34),":",char(34),LOWER(C106),char(34),"}}"))</f>
        <v>{"asset":{"guid":"uuid://02673cea-a6dd-40f0-9742-83ce15d006d5","site":"in-blr-ananta","name":"ddc-302"}}</v>
      </c>
      <c r="S106" s="258" t="s">
        <v>681</v>
      </c>
      <c r="T106" s="263"/>
      <c r="U106" s="263"/>
      <c r="V106" s="264">
        <v>2.23</v>
      </c>
      <c r="W106" s="33" t="s">
        <v>682</v>
      </c>
      <c r="X106" s="258" t="s">
        <v>683</v>
      </c>
      <c r="Y106" s="33" t="s">
        <v>684</v>
      </c>
      <c r="Z106" s="258">
        <v>14102.0</v>
      </c>
      <c r="AA106" s="258">
        <v>11501.0</v>
      </c>
      <c r="AB106" s="258"/>
      <c r="AC106" s="258"/>
      <c r="AD106" s="265"/>
      <c r="AE106" s="266" t="s">
        <v>685</v>
      </c>
      <c r="AF106" s="267" t="s">
        <v>1224</v>
      </c>
      <c r="AG106" s="268" t="str">
        <f>IFS(LEN(AF106)=17,LOWER('2-Building'!$B$4 &amp; "-" &amp; C106), AF106="N/A", "N/A", LEN(AF106)=0,"")</f>
        <v>in-blr-ananta-ddc-302</v>
      </c>
      <c r="AH106" s="258"/>
      <c r="AI106" s="258"/>
      <c r="AJ106" s="258"/>
      <c r="AK106" s="258" t="s">
        <v>1225</v>
      </c>
      <c r="AL106" s="258" t="s">
        <v>688</v>
      </c>
      <c r="AM106" s="258" t="s">
        <v>689</v>
      </c>
      <c r="AN106" s="258"/>
      <c r="AO106" s="258"/>
      <c r="AP106" s="258"/>
      <c r="AQ106" s="258"/>
      <c r="AR106" s="258" t="s">
        <v>690</v>
      </c>
      <c r="AS106" s="258" t="s">
        <v>691</v>
      </c>
      <c r="AT106" s="258" t="s">
        <v>1226</v>
      </c>
      <c r="AU106" s="265" t="s">
        <v>693</v>
      </c>
      <c r="AV106" s="174" t="s">
        <v>243</v>
      </c>
      <c r="AW106" s="269" t="s">
        <v>245</v>
      </c>
      <c r="AX106" s="269" t="s">
        <v>694</v>
      </c>
      <c r="AY106" s="270" t="s">
        <v>695</v>
      </c>
      <c r="AZ106" s="173" t="s">
        <v>681</v>
      </c>
      <c r="BA106" s="265">
        <v>10.0</v>
      </c>
      <c r="BB106" s="174" t="s">
        <v>225</v>
      </c>
      <c r="BC106" s="271"/>
      <c r="BD106" s="272" t="s">
        <v>696</v>
      </c>
      <c r="BE106" s="273" t="s">
        <v>697</v>
      </c>
      <c r="BF106" s="274" t="str">
        <f>IFERROR(__xludf.DUMMYFUNCTION("LOWER(Regexreplace(to_text(E106),""[^A-Za-z0-9]"","""")&amp;""_""&amp;Regexreplace(to_text(F106),""[^A-Za-z0-9]"",""""))"),"sauter_eyrc504fxxx")</f>
        <v>sauter_eyrc504fxxx</v>
      </c>
      <c r="BG106" s="275" t="str">
        <f>IFERROR(__xludf.DUMMYFUNCTION("upper(Regexreplace(to_text(E106),""[^A-Za-z0-9]"","""")&amp;""-""&amp;Regexreplace(to_text(F106),""[^A-Za-z0-9]"",""""))"),"SAUTER-EYRC504FXXX")</f>
        <v>SAUTER-EYRC504FXXX</v>
      </c>
    </row>
    <row r="107" ht="30.0" customHeight="1">
      <c r="A107" s="173">
        <v>103.0</v>
      </c>
      <c r="B107" s="256" t="s">
        <v>670</v>
      </c>
      <c r="C107" s="257" t="s">
        <v>1227</v>
      </c>
      <c r="D107" s="173" t="s">
        <v>1227</v>
      </c>
      <c r="E107" s="174" t="s">
        <v>672</v>
      </c>
      <c r="F107" s="173" t="s">
        <v>514</v>
      </c>
      <c r="G107" s="258" t="s">
        <v>673</v>
      </c>
      <c r="H107" s="258" t="s">
        <v>674</v>
      </c>
      <c r="I107" s="258" t="s">
        <v>675</v>
      </c>
      <c r="J107" s="259" t="s">
        <v>1211</v>
      </c>
      <c r="K107" s="260">
        <v>775.0</v>
      </c>
      <c r="L107" s="258" t="s">
        <v>1222</v>
      </c>
      <c r="M107" s="277">
        <v>4.11001239072E11</v>
      </c>
      <c r="N107" s="173" t="s">
        <v>679</v>
      </c>
      <c r="O107" s="173" t="s">
        <v>225</v>
      </c>
      <c r="P107" s="262" t="str">
        <f t="shared" si="1"/>
        <v>IN-BLR-ANANTA-DDC-303_7</v>
      </c>
      <c r="Q107" s="173" t="s">
        <v>1228</v>
      </c>
      <c r="R107" s="258" t="str">
        <f>IFS(C107="","",C107="n/a","N/A",LEN(C107),Concatenate("{",char(34),"asset",char(34),":{",char(34),"guid",char(34),":",char(34),Q107,char(34),",",char(34),"site",char(34),":",char(34),LOWER('2-Building'!$B$4),char(34),",",char(34),"name",char(34),":",char(34),LOWER(C107),char(34),"}}"))</f>
        <v>{"asset":{"guid":"uuid://8cb6ef71-a324-4f22-9d58-d9424822bda8","site":"in-blr-ananta","name":"ddc-303"}}</v>
      </c>
      <c r="S107" s="258" t="s">
        <v>681</v>
      </c>
      <c r="T107" s="263"/>
      <c r="U107" s="263"/>
      <c r="V107" s="264">
        <v>2.23</v>
      </c>
      <c r="W107" s="33" t="s">
        <v>682</v>
      </c>
      <c r="X107" s="258" t="s">
        <v>683</v>
      </c>
      <c r="Y107" s="33" t="s">
        <v>684</v>
      </c>
      <c r="Z107" s="258">
        <v>14103.0</v>
      </c>
      <c r="AA107" s="258">
        <v>11501.0</v>
      </c>
      <c r="AB107" s="258"/>
      <c r="AC107" s="258"/>
      <c r="AD107" s="265"/>
      <c r="AE107" s="266" t="s">
        <v>685</v>
      </c>
      <c r="AF107" s="267" t="s">
        <v>1229</v>
      </c>
      <c r="AG107" s="268" t="str">
        <f>IFS(LEN(AF107)=17,LOWER('2-Building'!$B$4 &amp; "-" &amp; C107), AF107="N/A", "N/A", LEN(AF107)=0,"")</f>
        <v>in-blr-ananta-ddc-303</v>
      </c>
      <c r="AH107" s="258"/>
      <c r="AI107" s="258"/>
      <c r="AJ107" s="258"/>
      <c r="AK107" s="258" t="s">
        <v>1230</v>
      </c>
      <c r="AL107" s="258" t="s">
        <v>688</v>
      </c>
      <c r="AM107" s="258" t="s">
        <v>689</v>
      </c>
      <c r="AN107" s="258"/>
      <c r="AO107" s="258"/>
      <c r="AP107" s="258"/>
      <c r="AQ107" s="258"/>
      <c r="AR107" s="258" t="s">
        <v>690</v>
      </c>
      <c r="AS107" s="258" t="s">
        <v>691</v>
      </c>
      <c r="AT107" s="258" t="s">
        <v>1226</v>
      </c>
      <c r="AU107" s="265" t="s">
        <v>693</v>
      </c>
      <c r="AV107" s="174" t="s">
        <v>243</v>
      </c>
      <c r="AW107" s="269" t="s">
        <v>245</v>
      </c>
      <c r="AX107" s="269" t="s">
        <v>694</v>
      </c>
      <c r="AY107" s="270" t="s">
        <v>695</v>
      </c>
      <c r="AZ107" s="173" t="s">
        <v>681</v>
      </c>
      <c r="BA107" s="265">
        <v>10.0</v>
      </c>
      <c r="BB107" s="174" t="s">
        <v>225</v>
      </c>
      <c r="BC107" s="271"/>
      <c r="BD107" s="272" t="s">
        <v>696</v>
      </c>
      <c r="BE107" s="273" t="s">
        <v>697</v>
      </c>
      <c r="BF107" s="274" t="str">
        <f>IFERROR(__xludf.DUMMYFUNCTION("LOWER(Regexreplace(to_text(E107),""[^A-Za-z0-9]"","""")&amp;""_""&amp;Regexreplace(to_text(F107),""[^A-Za-z0-9]"",""""))"),"sauter_eyrc504fxxx")</f>
        <v>sauter_eyrc504fxxx</v>
      </c>
      <c r="BG107" s="275" t="str">
        <f>IFERROR(__xludf.DUMMYFUNCTION("upper(Regexreplace(to_text(E107),""[^A-Za-z0-9]"","""")&amp;""-""&amp;Regexreplace(to_text(F107),""[^A-Za-z0-9]"",""""))"),"SAUTER-EYRC504FXXX")</f>
        <v>SAUTER-EYRC504FXXX</v>
      </c>
    </row>
    <row r="108" ht="30.0" customHeight="1">
      <c r="A108" s="258">
        <v>104.0</v>
      </c>
      <c r="B108" s="256" t="s">
        <v>670</v>
      </c>
      <c r="C108" s="257" t="s">
        <v>1231</v>
      </c>
      <c r="D108" s="173" t="s">
        <v>1231</v>
      </c>
      <c r="E108" s="174" t="s">
        <v>672</v>
      </c>
      <c r="F108" s="173" t="s">
        <v>514</v>
      </c>
      <c r="G108" s="258" t="s">
        <v>673</v>
      </c>
      <c r="H108" s="258" t="s">
        <v>674</v>
      </c>
      <c r="I108" s="258" t="s">
        <v>675</v>
      </c>
      <c r="J108" s="259" t="s">
        <v>1211</v>
      </c>
      <c r="K108" s="260">
        <v>719.0</v>
      </c>
      <c r="L108" s="258" t="s">
        <v>1232</v>
      </c>
      <c r="M108" s="277">
        <v>4.11001234971E11</v>
      </c>
      <c r="N108" s="173" t="s">
        <v>679</v>
      </c>
      <c r="O108" s="173" t="s">
        <v>225</v>
      </c>
      <c r="P108" s="262" t="str">
        <f t="shared" si="1"/>
        <v>IN-BLR-ANANTA-DDC-304_7</v>
      </c>
      <c r="Q108" s="173" t="s">
        <v>1233</v>
      </c>
      <c r="R108" s="258" t="str">
        <f>IFS(C108="","",C108="n/a","N/A",LEN(C108),Concatenate("{",char(34),"asset",char(34),":{",char(34),"guid",char(34),":",char(34),Q108,char(34),",",char(34),"site",char(34),":",char(34),LOWER('2-Building'!$B$4),char(34),",",char(34),"name",char(34),":",char(34),LOWER(C108),char(34),"}}"))</f>
        <v>{"asset":{"guid":"uuid://4024fcd6-dd60-4021-9a53-e1b8baab8fea","site":"in-blr-ananta","name":"ddc-304"}}</v>
      </c>
      <c r="S108" s="258" t="s">
        <v>681</v>
      </c>
      <c r="T108" s="263"/>
      <c r="U108" s="263"/>
      <c r="V108" s="264">
        <v>2.23</v>
      </c>
      <c r="W108" s="33" t="s">
        <v>682</v>
      </c>
      <c r="X108" s="258" t="s">
        <v>683</v>
      </c>
      <c r="Y108" s="33" t="s">
        <v>684</v>
      </c>
      <c r="Z108" s="258">
        <v>14104.0</v>
      </c>
      <c r="AA108" s="258">
        <v>11501.0</v>
      </c>
      <c r="AB108" s="258"/>
      <c r="AC108" s="258"/>
      <c r="AD108" s="265"/>
      <c r="AE108" s="266" t="s">
        <v>685</v>
      </c>
      <c r="AF108" s="267" t="s">
        <v>1234</v>
      </c>
      <c r="AG108" s="268" t="str">
        <f>IFS(LEN(AF108)=17,LOWER('2-Building'!$B$4 &amp; "-" &amp; C108), AF108="N/A", "N/A", LEN(AF108)=0,"")</f>
        <v>in-blr-ananta-ddc-304</v>
      </c>
      <c r="AH108" s="258"/>
      <c r="AI108" s="258"/>
      <c r="AJ108" s="258"/>
      <c r="AK108" s="258" t="s">
        <v>1235</v>
      </c>
      <c r="AL108" s="258" t="s">
        <v>688</v>
      </c>
      <c r="AM108" s="258" t="s">
        <v>689</v>
      </c>
      <c r="AN108" s="258"/>
      <c r="AO108" s="258"/>
      <c r="AP108" s="258"/>
      <c r="AQ108" s="258"/>
      <c r="AR108" s="258" t="s">
        <v>690</v>
      </c>
      <c r="AS108" s="258" t="s">
        <v>691</v>
      </c>
      <c r="AT108" s="258" t="s">
        <v>1236</v>
      </c>
      <c r="AU108" s="265" t="s">
        <v>693</v>
      </c>
      <c r="AV108" s="174" t="s">
        <v>243</v>
      </c>
      <c r="AW108" s="269" t="s">
        <v>245</v>
      </c>
      <c r="AX108" s="269" t="s">
        <v>694</v>
      </c>
      <c r="AY108" s="270" t="s">
        <v>695</v>
      </c>
      <c r="AZ108" s="173" t="s">
        <v>681</v>
      </c>
      <c r="BA108" s="265">
        <v>10.0</v>
      </c>
      <c r="BB108" s="174" t="s">
        <v>225</v>
      </c>
      <c r="BC108" s="271"/>
      <c r="BD108" s="272" t="s">
        <v>696</v>
      </c>
      <c r="BE108" s="273" t="s">
        <v>697</v>
      </c>
      <c r="BF108" s="274" t="str">
        <f>IFERROR(__xludf.DUMMYFUNCTION("LOWER(Regexreplace(to_text(E108),""[^A-Za-z0-9]"","""")&amp;""_""&amp;Regexreplace(to_text(F108),""[^A-Za-z0-9]"",""""))"),"sauter_eyrc504fxxx")</f>
        <v>sauter_eyrc504fxxx</v>
      </c>
      <c r="BG108" s="275" t="str">
        <f>IFERROR(__xludf.DUMMYFUNCTION("upper(Regexreplace(to_text(E108),""[^A-Za-z0-9]"","""")&amp;""-""&amp;Regexreplace(to_text(F108),""[^A-Za-z0-9]"",""""))"),"SAUTER-EYRC504FXXX")</f>
        <v>SAUTER-EYRC504FXXX</v>
      </c>
    </row>
    <row r="109" ht="30.0" customHeight="1">
      <c r="A109" s="173">
        <v>105.0</v>
      </c>
      <c r="B109" s="256" t="s">
        <v>670</v>
      </c>
      <c r="C109" s="257" t="s">
        <v>1237</v>
      </c>
      <c r="D109" s="173" t="s">
        <v>1237</v>
      </c>
      <c r="E109" s="174" t="s">
        <v>672</v>
      </c>
      <c r="F109" s="173" t="s">
        <v>514</v>
      </c>
      <c r="G109" s="258" t="s">
        <v>673</v>
      </c>
      <c r="H109" s="258" t="s">
        <v>674</v>
      </c>
      <c r="I109" s="258" t="s">
        <v>675</v>
      </c>
      <c r="J109" s="259" t="s">
        <v>1211</v>
      </c>
      <c r="K109" s="260">
        <v>719.0</v>
      </c>
      <c r="L109" s="258" t="s">
        <v>1232</v>
      </c>
      <c r="M109" s="277">
        <v>4.11001237815E11</v>
      </c>
      <c r="N109" s="173" t="s">
        <v>679</v>
      </c>
      <c r="O109" s="173" t="s">
        <v>225</v>
      </c>
      <c r="P109" s="262" t="str">
        <f t="shared" si="1"/>
        <v>IN-BLR-ANANTA-DDC-305_7</v>
      </c>
      <c r="Q109" s="173" t="s">
        <v>1238</v>
      </c>
      <c r="R109" s="258" t="str">
        <f>IFS(C109="","",C109="n/a","N/A",LEN(C109),Concatenate("{",char(34),"asset",char(34),":{",char(34),"guid",char(34),":",char(34),Q109,char(34),",",char(34),"site",char(34),":",char(34),LOWER('2-Building'!$B$4),char(34),",",char(34),"name",char(34),":",char(34),LOWER(C109),char(34),"}}"))</f>
        <v>{"asset":{"guid":"uuid://f839b55d-4829-4f1f-8b74-711bb9f7c218","site":"in-blr-ananta","name":"ddc-305"}}</v>
      </c>
      <c r="S109" s="258" t="s">
        <v>681</v>
      </c>
      <c r="T109" s="263"/>
      <c r="U109" s="263"/>
      <c r="V109" s="264">
        <v>2.23</v>
      </c>
      <c r="W109" s="33" t="s">
        <v>682</v>
      </c>
      <c r="X109" s="258" t="s">
        <v>683</v>
      </c>
      <c r="Y109" s="33" t="s">
        <v>684</v>
      </c>
      <c r="Z109" s="258">
        <v>14105.0</v>
      </c>
      <c r="AA109" s="258">
        <v>11501.0</v>
      </c>
      <c r="AB109" s="258"/>
      <c r="AC109" s="258"/>
      <c r="AD109" s="265"/>
      <c r="AE109" s="266" t="s">
        <v>685</v>
      </c>
      <c r="AF109" s="267" t="s">
        <v>1239</v>
      </c>
      <c r="AG109" s="268" t="str">
        <f>IFS(LEN(AF109)=17,LOWER('2-Building'!$B$4 &amp; "-" &amp; C109), AF109="N/A", "N/A", LEN(AF109)=0,"")</f>
        <v>in-blr-ananta-ddc-305</v>
      </c>
      <c r="AH109" s="258"/>
      <c r="AI109" s="258"/>
      <c r="AJ109" s="258"/>
      <c r="AK109" s="258" t="s">
        <v>1240</v>
      </c>
      <c r="AL109" s="258" t="s">
        <v>688</v>
      </c>
      <c r="AM109" s="258" t="s">
        <v>689</v>
      </c>
      <c r="AN109" s="258"/>
      <c r="AO109" s="258"/>
      <c r="AP109" s="258"/>
      <c r="AQ109" s="258"/>
      <c r="AR109" s="258" t="s">
        <v>690</v>
      </c>
      <c r="AS109" s="258" t="s">
        <v>691</v>
      </c>
      <c r="AT109" s="258" t="s">
        <v>1236</v>
      </c>
      <c r="AU109" s="265" t="s">
        <v>693</v>
      </c>
      <c r="AV109" s="174" t="s">
        <v>243</v>
      </c>
      <c r="AW109" s="269" t="s">
        <v>245</v>
      </c>
      <c r="AX109" s="269" t="s">
        <v>694</v>
      </c>
      <c r="AY109" s="270" t="s">
        <v>695</v>
      </c>
      <c r="AZ109" s="173" t="s">
        <v>681</v>
      </c>
      <c r="BA109" s="265">
        <v>10.0</v>
      </c>
      <c r="BB109" s="174" t="s">
        <v>225</v>
      </c>
      <c r="BC109" s="271"/>
      <c r="BD109" s="272" t="s">
        <v>696</v>
      </c>
      <c r="BE109" s="273" t="s">
        <v>697</v>
      </c>
      <c r="BF109" s="274" t="str">
        <f>IFERROR(__xludf.DUMMYFUNCTION("LOWER(Regexreplace(to_text(E109),""[^A-Za-z0-9]"","""")&amp;""_""&amp;Regexreplace(to_text(F109),""[^A-Za-z0-9]"",""""))"),"sauter_eyrc504fxxx")</f>
        <v>sauter_eyrc504fxxx</v>
      </c>
      <c r="BG109" s="275" t="str">
        <f>IFERROR(__xludf.DUMMYFUNCTION("upper(Regexreplace(to_text(E109),""[^A-Za-z0-9]"","""")&amp;""-""&amp;Regexreplace(to_text(F109),""[^A-Za-z0-9]"",""""))"),"SAUTER-EYRC504FXXX")</f>
        <v>SAUTER-EYRC504FXXX</v>
      </c>
    </row>
    <row r="110" ht="30.0" customHeight="1">
      <c r="A110" s="258">
        <v>106.0</v>
      </c>
      <c r="B110" s="256" t="s">
        <v>670</v>
      </c>
      <c r="C110" s="257" t="s">
        <v>1241</v>
      </c>
      <c r="D110" s="173" t="s">
        <v>1241</v>
      </c>
      <c r="E110" s="174" t="s">
        <v>672</v>
      </c>
      <c r="F110" s="173" t="s">
        <v>514</v>
      </c>
      <c r="G110" s="258" t="s">
        <v>673</v>
      </c>
      <c r="H110" s="258" t="s">
        <v>674</v>
      </c>
      <c r="I110" s="258" t="s">
        <v>675</v>
      </c>
      <c r="J110" s="259" t="s">
        <v>1211</v>
      </c>
      <c r="K110" s="260">
        <v>748.0</v>
      </c>
      <c r="L110" s="258" t="s">
        <v>1242</v>
      </c>
      <c r="M110" s="277">
        <v>4.11001239448E11</v>
      </c>
      <c r="N110" s="173" t="s">
        <v>679</v>
      </c>
      <c r="O110" s="173" t="s">
        <v>225</v>
      </c>
      <c r="P110" s="262" t="str">
        <f t="shared" si="1"/>
        <v>IN-BLR-ANANTA-DDC-306_7</v>
      </c>
      <c r="Q110" s="173" t="s">
        <v>1243</v>
      </c>
      <c r="R110" s="258" t="str">
        <f>IFS(C110="","",C110="n/a","N/A",LEN(C110),Concatenate("{",char(34),"asset",char(34),":{",char(34),"guid",char(34),":",char(34),Q110,char(34),",",char(34),"site",char(34),":",char(34),LOWER('2-Building'!$B$4),char(34),",",char(34),"name",char(34),":",char(34),LOWER(C110),char(34),"}}"))</f>
        <v>{"asset":{"guid":"uuid://0fd768e7-90ef-4c09-a739-2b5a33e9e6a2","site":"in-blr-ananta","name":"ddc-306"}}</v>
      </c>
      <c r="S110" s="258" t="s">
        <v>681</v>
      </c>
      <c r="T110" s="263"/>
      <c r="U110" s="263"/>
      <c r="V110" s="264">
        <v>2.23</v>
      </c>
      <c r="W110" s="33" t="s">
        <v>682</v>
      </c>
      <c r="X110" s="258" t="s">
        <v>683</v>
      </c>
      <c r="Y110" s="33" t="s">
        <v>684</v>
      </c>
      <c r="Z110" s="258">
        <v>14106.0</v>
      </c>
      <c r="AA110" s="258">
        <v>11501.0</v>
      </c>
      <c r="AB110" s="258"/>
      <c r="AC110" s="258"/>
      <c r="AD110" s="265"/>
      <c r="AE110" s="266" t="s">
        <v>685</v>
      </c>
      <c r="AF110" s="267" t="s">
        <v>1244</v>
      </c>
      <c r="AG110" s="268" t="str">
        <f>IFS(LEN(AF110)=17,LOWER('2-Building'!$B$4 &amp; "-" &amp; C110), AF110="N/A", "N/A", LEN(AF110)=0,"")</f>
        <v>in-blr-ananta-ddc-306</v>
      </c>
      <c r="AH110" s="258"/>
      <c r="AI110" s="258"/>
      <c r="AJ110" s="258"/>
      <c r="AK110" s="258" t="s">
        <v>1245</v>
      </c>
      <c r="AL110" s="258" t="s">
        <v>688</v>
      </c>
      <c r="AM110" s="258" t="s">
        <v>689</v>
      </c>
      <c r="AN110" s="258"/>
      <c r="AO110" s="258"/>
      <c r="AP110" s="258"/>
      <c r="AQ110" s="258"/>
      <c r="AR110" s="258" t="s">
        <v>690</v>
      </c>
      <c r="AS110" s="258" t="s">
        <v>691</v>
      </c>
      <c r="AT110" s="258" t="s">
        <v>1246</v>
      </c>
      <c r="AU110" s="265" t="s">
        <v>693</v>
      </c>
      <c r="AV110" s="174" t="s">
        <v>243</v>
      </c>
      <c r="AW110" s="269" t="s">
        <v>245</v>
      </c>
      <c r="AX110" s="269" t="s">
        <v>694</v>
      </c>
      <c r="AY110" s="270" t="s">
        <v>695</v>
      </c>
      <c r="AZ110" s="173" t="s">
        <v>681</v>
      </c>
      <c r="BA110" s="265">
        <v>10.0</v>
      </c>
      <c r="BB110" s="174" t="s">
        <v>225</v>
      </c>
      <c r="BC110" s="271"/>
      <c r="BD110" s="272" t="s">
        <v>696</v>
      </c>
      <c r="BE110" s="273" t="s">
        <v>697</v>
      </c>
      <c r="BF110" s="274" t="str">
        <f>IFERROR(__xludf.DUMMYFUNCTION("LOWER(Regexreplace(to_text(E110),""[^A-Za-z0-9]"","""")&amp;""_""&amp;Regexreplace(to_text(F110),""[^A-Za-z0-9]"",""""))"),"sauter_eyrc504fxxx")</f>
        <v>sauter_eyrc504fxxx</v>
      </c>
      <c r="BG110" s="275" t="str">
        <f>IFERROR(__xludf.DUMMYFUNCTION("upper(Regexreplace(to_text(E110),""[^A-Za-z0-9]"","""")&amp;""-""&amp;Regexreplace(to_text(F110),""[^A-Za-z0-9]"",""""))"),"SAUTER-EYRC504FXXX")</f>
        <v>SAUTER-EYRC504FXXX</v>
      </c>
    </row>
    <row r="111" ht="30.0" customHeight="1">
      <c r="A111" s="173">
        <v>107.0</v>
      </c>
      <c r="B111" s="256" t="s">
        <v>670</v>
      </c>
      <c r="C111" s="257" t="s">
        <v>1247</v>
      </c>
      <c r="D111" s="173" t="s">
        <v>1247</v>
      </c>
      <c r="E111" s="174" t="s">
        <v>672</v>
      </c>
      <c r="F111" s="173" t="s">
        <v>514</v>
      </c>
      <c r="G111" s="258" t="s">
        <v>673</v>
      </c>
      <c r="H111" s="258" t="s">
        <v>674</v>
      </c>
      <c r="I111" s="258" t="s">
        <v>675</v>
      </c>
      <c r="J111" s="259" t="s">
        <v>1211</v>
      </c>
      <c r="K111" s="260">
        <v>748.0</v>
      </c>
      <c r="L111" s="258" t="s">
        <v>1242</v>
      </c>
      <c r="M111" s="277">
        <v>4.11001239118E11</v>
      </c>
      <c r="N111" s="173" t="s">
        <v>679</v>
      </c>
      <c r="O111" s="173" t="s">
        <v>225</v>
      </c>
      <c r="P111" s="262" t="str">
        <f t="shared" si="1"/>
        <v>IN-BLR-ANANTA-DDC-307_7</v>
      </c>
      <c r="Q111" s="173" t="s">
        <v>1248</v>
      </c>
      <c r="R111" s="258" t="str">
        <f>IFS(C111="","",C111="n/a","N/A",LEN(C111),Concatenate("{",char(34),"asset",char(34),":{",char(34),"guid",char(34),":",char(34),Q111,char(34),",",char(34),"site",char(34),":",char(34),LOWER('2-Building'!$B$4),char(34),",",char(34),"name",char(34),":",char(34),LOWER(C111),char(34),"}}"))</f>
        <v>{"asset":{"guid":"uuid://85fe1c59-6be2-41ca-9352-3380eba7858f","site":"in-blr-ananta","name":"ddc-307"}}</v>
      </c>
      <c r="S111" s="258" t="s">
        <v>681</v>
      </c>
      <c r="T111" s="263"/>
      <c r="U111" s="263"/>
      <c r="V111" s="264">
        <v>2.23</v>
      </c>
      <c r="W111" s="33" t="s">
        <v>682</v>
      </c>
      <c r="X111" s="258" t="s">
        <v>683</v>
      </c>
      <c r="Y111" s="33" t="s">
        <v>684</v>
      </c>
      <c r="Z111" s="258">
        <v>14107.0</v>
      </c>
      <c r="AA111" s="258">
        <v>11501.0</v>
      </c>
      <c r="AB111" s="258"/>
      <c r="AC111" s="258"/>
      <c r="AD111" s="265"/>
      <c r="AE111" s="266" t="s">
        <v>685</v>
      </c>
      <c r="AF111" s="267" t="s">
        <v>1249</v>
      </c>
      <c r="AG111" s="268" t="str">
        <f>IFS(LEN(AF111)=17,LOWER('2-Building'!$B$4 &amp; "-" &amp; C111), AF111="N/A", "N/A", LEN(AF111)=0,"")</f>
        <v>in-blr-ananta-ddc-307</v>
      </c>
      <c r="AH111" s="258"/>
      <c r="AI111" s="258"/>
      <c r="AJ111" s="258"/>
      <c r="AK111" s="258" t="s">
        <v>1250</v>
      </c>
      <c r="AL111" s="258" t="s">
        <v>688</v>
      </c>
      <c r="AM111" s="258" t="s">
        <v>689</v>
      </c>
      <c r="AN111" s="258"/>
      <c r="AO111" s="258"/>
      <c r="AP111" s="258"/>
      <c r="AQ111" s="258"/>
      <c r="AR111" s="258" t="s">
        <v>690</v>
      </c>
      <c r="AS111" s="258" t="s">
        <v>691</v>
      </c>
      <c r="AT111" s="258" t="s">
        <v>1246</v>
      </c>
      <c r="AU111" s="265" t="s">
        <v>693</v>
      </c>
      <c r="AV111" s="174" t="s">
        <v>243</v>
      </c>
      <c r="AW111" s="269" t="s">
        <v>245</v>
      </c>
      <c r="AX111" s="269" t="s">
        <v>694</v>
      </c>
      <c r="AY111" s="270" t="s">
        <v>695</v>
      </c>
      <c r="AZ111" s="173" t="s">
        <v>681</v>
      </c>
      <c r="BA111" s="265">
        <v>10.0</v>
      </c>
      <c r="BB111" s="174" t="s">
        <v>225</v>
      </c>
      <c r="BC111" s="271"/>
      <c r="BD111" s="272" t="s">
        <v>696</v>
      </c>
      <c r="BE111" s="273" t="s">
        <v>697</v>
      </c>
      <c r="BF111" s="274" t="str">
        <f>IFERROR(__xludf.DUMMYFUNCTION("LOWER(Regexreplace(to_text(E111),""[^A-Za-z0-9]"","""")&amp;""_""&amp;Regexreplace(to_text(F111),""[^A-Za-z0-9]"",""""))"),"sauter_eyrc504fxxx")</f>
        <v>sauter_eyrc504fxxx</v>
      </c>
      <c r="BG111" s="275" t="str">
        <f>IFERROR(__xludf.DUMMYFUNCTION("upper(Regexreplace(to_text(E111),""[^A-Za-z0-9]"","""")&amp;""-""&amp;Regexreplace(to_text(F111),""[^A-Za-z0-9]"",""""))"),"SAUTER-EYRC504FXXX")</f>
        <v>SAUTER-EYRC504FXXX</v>
      </c>
    </row>
    <row r="112" ht="30.0" customHeight="1">
      <c r="A112" s="258">
        <v>108.0</v>
      </c>
      <c r="B112" s="256" t="s">
        <v>670</v>
      </c>
      <c r="C112" s="257" t="s">
        <v>1251</v>
      </c>
      <c r="D112" s="173" t="s">
        <v>1251</v>
      </c>
      <c r="E112" s="174" t="s">
        <v>672</v>
      </c>
      <c r="F112" s="173" t="s">
        <v>514</v>
      </c>
      <c r="G112" s="258" t="s">
        <v>673</v>
      </c>
      <c r="H112" s="258" t="s">
        <v>674</v>
      </c>
      <c r="I112" s="258" t="s">
        <v>675</v>
      </c>
      <c r="J112" s="259" t="s">
        <v>1211</v>
      </c>
      <c r="K112" s="260">
        <v>733.0</v>
      </c>
      <c r="L112" s="258" t="s">
        <v>1252</v>
      </c>
      <c r="M112" s="277">
        <v>4.11001239208E11</v>
      </c>
      <c r="N112" s="173" t="s">
        <v>679</v>
      </c>
      <c r="O112" s="173" t="s">
        <v>225</v>
      </c>
      <c r="P112" s="262" t="str">
        <f t="shared" si="1"/>
        <v>IN-BLR-ANANTA-DDC-308_7</v>
      </c>
      <c r="Q112" s="173" t="s">
        <v>1253</v>
      </c>
      <c r="R112" s="258" t="str">
        <f>IFS(C112="","",C112="n/a","N/A",LEN(C112),Concatenate("{",char(34),"asset",char(34),":{",char(34),"guid",char(34),":",char(34),Q112,char(34),",",char(34),"site",char(34),":",char(34),LOWER('2-Building'!$B$4),char(34),",",char(34),"name",char(34),":",char(34),LOWER(C112),char(34),"}}"))</f>
        <v>{"asset":{"guid":"uuid://58d034cd-752d-4ab5-a620-55dfb8edb52b","site":"in-blr-ananta","name":"ddc-308"}}</v>
      </c>
      <c r="S112" s="258" t="s">
        <v>681</v>
      </c>
      <c r="T112" s="263"/>
      <c r="U112" s="263"/>
      <c r="V112" s="264">
        <v>2.23</v>
      </c>
      <c r="W112" s="33" t="s">
        <v>682</v>
      </c>
      <c r="X112" s="258" t="s">
        <v>683</v>
      </c>
      <c r="Y112" s="33" t="s">
        <v>684</v>
      </c>
      <c r="Z112" s="258">
        <v>14108.0</v>
      </c>
      <c r="AA112" s="258">
        <v>11501.0</v>
      </c>
      <c r="AB112" s="258"/>
      <c r="AC112" s="258"/>
      <c r="AD112" s="265"/>
      <c r="AE112" s="266" t="s">
        <v>685</v>
      </c>
      <c r="AF112" s="267" t="s">
        <v>1254</v>
      </c>
      <c r="AG112" s="268" t="str">
        <f>IFS(LEN(AF112)=17,LOWER('2-Building'!$B$4 &amp; "-" &amp; C112), AF112="N/A", "N/A", LEN(AF112)=0,"")</f>
        <v>in-blr-ananta-ddc-308</v>
      </c>
      <c r="AH112" s="258"/>
      <c r="AI112" s="258"/>
      <c r="AJ112" s="258"/>
      <c r="AK112" s="258" t="s">
        <v>1255</v>
      </c>
      <c r="AL112" s="258" t="s">
        <v>688</v>
      </c>
      <c r="AM112" s="258" t="s">
        <v>689</v>
      </c>
      <c r="AN112" s="258"/>
      <c r="AO112" s="258"/>
      <c r="AP112" s="258"/>
      <c r="AQ112" s="258"/>
      <c r="AR112" s="258" t="s">
        <v>690</v>
      </c>
      <c r="AS112" s="258" t="s">
        <v>691</v>
      </c>
      <c r="AT112" s="258" t="s">
        <v>1256</v>
      </c>
      <c r="AU112" s="265" t="s">
        <v>693</v>
      </c>
      <c r="AV112" s="174" t="s">
        <v>243</v>
      </c>
      <c r="AW112" s="269" t="s">
        <v>245</v>
      </c>
      <c r="AX112" s="269" t="s">
        <v>694</v>
      </c>
      <c r="AY112" s="270" t="s">
        <v>695</v>
      </c>
      <c r="AZ112" s="173" t="s">
        <v>681</v>
      </c>
      <c r="BA112" s="265">
        <v>10.0</v>
      </c>
      <c r="BB112" s="174" t="s">
        <v>225</v>
      </c>
      <c r="BC112" s="271"/>
      <c r="BD112" s="272" t="s">
        <v>696</v>
      </c>
      <c r="BE112" s="273" t="s">
        <v>697</v>
      </c>
      <c r="BF112" s="274" t="str">
        <f>IFERROR(__xludf.DUMMYFUNCTION("LOWER(Regexreplace(to_text(E112),""[^A-Za-z0-9]"","""")&amp;""_""&amp;Regexreplace(to_text(F112),""[^A-Za-z0-9]"",""""))"),"sauter_eyrc504fxxx")</f>
        <v>sauter_eyrc504fxxx</v>
      </c>
      <c r="BG112" s="275" t="str">
        <f>IFERROR(__xludf.DUMMYFUNCTION("upper(Regexreplace(to_text(E112),""[^A-Za-z0-9]"","""")&amp;""-""&amp;Regexreplace(to_text(F112),""[^A-Za-z0-9]"",""""))"),"SAUTER-EYRC504FXXX")</f>
        <v>SAUTER-EYRC504FXXX</v>
      </c>
    </row>
    <row r="113" ht="30.0" customHeight="1">
      <c r="A113" s="173">
        <v>109.0</v>
      </c>
      <c r="B113" s="256" t="s">
        <v>670</v>
      </c>
      <c r="C113" s="257" t="s">
        <v>1257</v>
      </c>
      <c r="D113" s="173" t="s">
        <v>1257</v>
      </c>
      <c r="E113" s="174" t="s">
        <v>672</v>
      </c>
      <c r="F113" s="173" t="s">
        <v>514</v>
      </c>
      <c r="G113" s="258" t="s">
        <v>673</v>
      </c>
      <c r="H113" s="258" t="s">
        <v>674</v>
      </c>
      <c r="I113" s="258" t="s">
        <v>675</v>
      </c>
      <c r="J113" s="259" t="s">
        <v>1211</v>
      </c>
      <c r="K113" s="260">
        <v>733.0</v>
      </c>
      <c r="L113" s="258" t="s">
        <v>1252</v>
      </c>
      <c r="M113" s="277">
        <v>4.11001235618E11</v>
      </c>
      <c r="N113" s="173" t="s">
        <v>679</v>
      </c>
      <c r="O113" s="173" t="s">
        <v>225</v>
      </c>
      <c r="P113" s="262" t="str">
        <f t="shared" si="1"/>
        <v>IN-BLR-ANANTA-DDC-309_7</v>
      </c>
      <c r="Q113" s="173" t="s">
        <v>1258</v>
      </c>
      <c r="R113" s="258" t="str">
        <f>IFS(C113="","",C113="n/a","N/A",LEN(C113),Concatenate("{",char(34),"asset",char(34),":{",char(34),"guid",char(34),":",char(34),Q113,char(34),",",char(34),"site",char(34),":",char(34),LOWER('2-Building'!$B$4),char(34),",",char(34),"name",char(34),":",char(34),LOWER(C113),char(34),"}}"))</f>
        <v>{"asset":{"guid":"uuid://8b490867-3a7a-4413-8e24-7c504c7688eb","site":"in-blr-ananta","name":"ddc-309"}}</v>
      </c>
      <c r="S113" s="258" t="s">
        <v>681</v>
      </c>
      <c r="T113" s="263"/>
      <c r="U113" s="263"/>
      <c r="V113" s="264">
        <v>2.23</v>
      </c>
      <c r="W113" s="33" t="s">
        <v>682</v>
      </c>
      <c r="X113" s="258" t="s">
        <v>683</v>
      </c>
      <c r="Y113" s="33" t="s">
        <v>684</v>
      </c>
      <c r="Z113" s="258">
        <v>14109.0</v>
      </c>
      <c r="AA113" s="258">
        <v>11501.0</v>
      </c>
      <c r="AB113" s="258"/>
      <c r="AC113" s="258"/>
      <c r="AD113" s="265"/>
      <c r="AE113" s="266" t="s">
        <v>685</v>
      </c>
      <c r="AF113" s="267" t="s">
        <v>1259</v>
      </c>
      <c r="AG113" s="268" t="str">
        <f>IFS(LEN(AF113)=17,LOWER('2-Building'!$B$4 &amp; "-" &amp; C113), AF113="N/A", "N/A", LEN(AF113)=0,"")</f>
        <v>in-blr-ananta-ddc-309</v>
      </c>
      <c r="AH113" s="258"/>
      <c r="AI113" s="258"/>
      <c r="AJ113" s="258"/>
      <c r="AK113" s="258" t="s">
        <v>1260</v>
      </c>
      <c r="AL113" s="258" t="s">
        <v>688</v>
      </c>
      <c r="AM113" s="258" t="s">
        <v>689</v>
      </c>
      <c r="AN113" s="258"/>
      <c r="AO113" s="258"/>
      <c r="AP113" s="258"/>
      <c r="AQ113" s="258"/>
      <c r="AR113" s="258" t="s">
        <v>690</v>
      </c>
      <c r="AS113" s="258" t="s">
        <v>691</v>
      </c>
      <c r="AT113" s="258" t="s">
        <v>1256</v>
      </c>
      <c r="AU113" s="265" t="s">
        <v>693</v>
      </c>
      <c r="AV113" s="174" t="s">
        <v>243</v>
      </c>
      <c r="AW113" s="269" t="s">
        <v>245</v>
      </c>
      <c r="AX113" s="269" t="s">
        <v>694</v>
      </c>
      <c r="AY113" s="270" t="s">
        <v>695</v>
      </c>
      <c r="AZ113" s="173" t="s">
        <v>681</v>
      </c>
      <c r="BA113" s="265">
        <v>10.0</v>
      </c>
      <c r="BB113" s="174" t="s">
        <v>225</v>
      </c>
      <c r="BC113" s="271"/>
      <c r="BD113" s="272" t="s">
        <v>696</v>
      </c>
      <c r="BE113" s="273" t="s">
        <v>697</v>
      </c>
      <c r="BF113" s="274" t="str">
        <f>IFERROR(__xludf.DUMMYFUNCTION("LOWER(Regexreplace(to_text(E113),""[^A-Za-z0-9]"","""")&amp;""_""&amp;Regexreplace(to_text(F113),""[^A-Za-z0-9]"",""""))"),"sauter_eyrc504fxxx")</f>
        <v>sauter_eyrc504fxxx</v>
      </c>
      <c r="BG113" s="275" t="str">
        <f>IFERROR(__xludf.DUMMYFUNCTION("upper(Regexreplace(to_text(E113),""[^A-Za-z0-9]"","""")&amp;""-""&amp;Regexreplace(to_text(F113),""[^A-Za-z0-9]"",""""))"),"SAUTER-EYRC504FXXX")</f>
        <v>SAUTER-EYRC504FXXX</v>
      </c>
    </row>
    <row r="114" ht="30.0" customHeight="1">
      <c r="A114" s="258">
        <v>110.0</v>
      </c>
      <c r="B114" s="256" t="s">
        <v>670</v>
      </c>
      <c r="C114" s="257" t="s">
        <v>1261</v>
      </c>
      <c r="D114" s="173" t="s">
        <v>1261</v>
      </c>
      <c r="E114" s="174" t="s">
        <v>672</v>
      </c>
      <c r="F114" s="173" t="s">
        <v>514</v>
      </c>
      <c r="G114" s="258" t="s">
        <v>673</v>
      </c>
      <c r="H114" s="258" t="s">
        <v>674</v>
      </c>
      <c r="I114" s="258" t="s">
        <v>675</v>
      </c>
      <c r="J114" s="259" t="s">
        <v>1211</v>
      </c>
      <c r="K114" s="260">
        <v>734.0</v>
      </c>
      <c r="L114" s="258" t="s">
        <v>1262</v>
      </c>
      <c r="M114" s="277">
        <v>4.11001235552E11</v>
      </c>
      <c r="N114" s="173" t="s">
        <v>679</v>
      </c>
      <c r="O114" s="173" t="s">
        <v>225</v>
      </c>
      <c r="P114" s="262" t="str">
        <f t="shared" si="1"/>
        <v>IN-BLR-ANANTA-DDC-310_7</v>
      </c>
      <c r="Q114" s="173" t="s">
        <v>1263</v>
      </c>
      <c r="R114" s="258" t="str">
        <f>IFS(C114="","",C114="n/a","N/A",LEN(C114),Concatenate("{",char(34),"asset",char(34),":{",char(34),"guid",char(34),":",char(34),Q114,char(34),",",char(34),"site",char(34),":",char(34),LOWER('2-Building'!$B$4),char(34),",",char(34),"name",char(34),":",char(34),LOWER(C114),char(34),"}}"))</f>
        <v>{"asset":{"guid":"uuid://bfc9ce60-cf08-4976-8ff5-76b80f7f947e","site":"in-blr-ananta","name":"ddc-310"}}</v>
      </c>
      <c r="S114" s="258" t="s">
        <v>681</v>
      </c>
      <c r="T114" s="263"/>
      <c r="U114" s="263"/>
      <c r="V114" s="264">
        <v>2.23</v>
      </c>
      <c r="W114" s="33" t="s">
        <v>682</v>
      </c>
      <c r="X114" s="258" t="s">
        <v>683</v>
      </c>
      <c r="Y114" s="33" t="s">
        <v>684</v>
      </c>
      <c r="Z114" s="258">
        <v>14110.0</v>
      </c>
      <c r="AA114" s="258">
        <v>11501.0</v>
      </c>
      <c r="AB114" s="258"/>
      <c r="AC114" s="258"/>
      <c r="AD114" s="265"/>
      <c r="AE114" s="266" t="s">
        <v>685</v>
      </c>
      <c r="AF114" s="267" t="s">
        <v>1264</v>
      </c>
      <c r="AG114" s="268" t="str">
        <f>IFS(LEN(AF114)=17,LOWER('2-Building'!$B$4 &amp; "-" &amp; C114), AF114="N/A", "N/A", LEN(AF114)=0,"")</f>
        <v>in-blr-ananta-ddc-310</v>
      </c>
      <c r="AH114" s="258"/>
      <c r="AI114" s="258"/>
      <c r="AJ114" s="258"/>
      <c r="AK114" s="258" t="s">
        <v>1265</v>
      </c>
      <c r="AL114" s="258" t="s">
        <v>688</v>
      </c>
      <c r="AM114" s="258" t="s">
        <v>689</v>
      </c>
      <c r="AN114" s="258"/>
      <c r="AO114" s="258"/>
      <c r="AP114" s="258"/>
      <c r="AQ114" s="258"/>
      <c r="AR114" s="258" t="s">
        <v>690</v>
      </c>
      <c r="AS114" s="258" t="s">
        <v>691</v>
      </c>
      <c r="AT114" s="258" t="s">
        <v>1266</v>
      </c>
      <c r="AU114" s="265" t="s">
        <v>693</v>
      </c>
      <c r="AV114" s="174" t="s">
        <v>243</v>
      </c>
      <c r="AW114" s="269" t="s">
        <v>245</v>
      </c>
      <c r="AX114" s="269" t="s">
        <v>694</v>
      </c>
      <c r="AY114" s="270" t="s">
        <v>695</v>
      </c>
      <c r="AZ114" s="173" t="s">
        <v>681</v>
      </c>
      <c r="BA114" s="265">
        <v>10.0</v>
      </c>
      <c r="BB114" s="174" t="s">
        <v>225</v>
      </c>
      <c r="BC114" s="271"/>
      <c r="BD114" s="272" t="s">
        <v>696</v>
      </c>
      <c r="BE114" s="273" t="s">
        <v>697</v>
      </c>
      <c r="BF114" s="274" t="str">
        <f>IFERROR(__xludf.DUMMYFUNCTION("LOWER(Regexreplace(to_text(E114),""[^A-Za-z0-9]"","""")&amp;""_""&amp;Regexreplace(to_text(F114),""[^A-Za-z0-9]"",""""))"),"sauter_eyrc504fxxx")</f>
        <v>sauter_eyrc504fxxx</v>
      </c>
      <c r="BG114" s="275" t="str">
        <f>IFERROR(__xludf.DUMMYFUNCTION("upper(Regexreplace(to_text(E114),""[^A-Za-z0-9]"","""")&amp;""-""&amp;Regexreplace(to_text(F114),""[^A-Za-z0-9]"",""""))"),"SAUTER-EYRC504FXXX")</f>
        <v>SAUTER-EYRC504FXXX</v>
      </c>
    </row>
    <row r="115" ht="30.0" customHeight="1">
      <c r="A115" s="173">
        <v>111.0</v>
      </c>
      <c r="B115" s="256" t="s">
        <v>670</v>
      </c>
      <c r="C115" s="257" t="s">
        <v>1267</v>
      </c>
      <c r="D115" s="173" t="s">
        <v>1267</v>
      </c>
      <c r="E115" s="174" t="s">
        <v>672</v>
      </c>
      <c r="F115" s="173" t="s">
        <v>514</v>
      </c>
      <c r="G115" s="258" t="s">
        <v>673</v>
      </c>
      <c r="H115" s="258" t="s">
        <v>674</v>
      </c>
      <c r="I115" s="258" t="s">
        <v>675</v>
      </c>
      <c r="J115" s="259" t="s">
        <v>1211</v>
      </c>
      <c r="K115" s="260">
        <v>734.0</v>
      </c>
      <c r="L115" s="258" t="s">
        <v>1262</v>
      </c>
      <c r="M115" s="277">
        <v>4.11001239225E11</v>
      </c>
      <c r="N115" s="173" t="s">
        <v>679</v>
      </c>
      <c r="O115" s="173" t="s">
        <v>225</v>
      </c>
      <c r="P115" s="262" t="str">
        <f t="shared" si="1"/>
        <v>IN-BLR-ANANTA-DDC-311_7</v>
      </c>
      <c r="Q115" s="173" t="s">
        <v>1268</v>
      </c>
      <c r="R115" s="258" t="str">
        <f>IFS(C115="","",C115="n/a","N/A",LEN(C115),Concatenate("{",char(34),"asset",char(34),":{",char(34),"guid",char(34),":",char(34),Q115,char(34),",",char(34),"site",char(34),":",char(34),LOWER('2-Building'!$B$4),char(34),",",char(34),"name",char(34),":",char(34),LOWER(C115),char(34),"}}"))</f>
        <v>{"asset":{"guid":"uuid://b2b0701a-51b6-41d7-a275-52a03e455a23","site":"in-blr-ananta","name":"ddc-311"}}</v>
      </c>
      <c r="S115" s="258" t="s">
        <v>681</v>
      </c>
      <c r="T115" s="263"/>
      <c r="U115" s="263"/>
      <c r="V115" s="264">
        <v>2.23</v>
      </c>
      <c r="W115" s="33" t="s">
        <v>682</v>
      </c>
      <c r="X115" s="258" t="s">
        <v>683</v>
      </c>
      <c r="Y115" s="33" t="s">
        <v>684</v>
      </c>
      <c r="Z115" s="258">
        <v>14111.0</v>
      </c>
      <c r="AA115" s="258">
        <v>11501.0</v>
      </c>
      <c r="AB115" s="258"/>
      <c r="AC115" s="258"/>
      <c r="AD115" s="265"/>
      <c r="AE115" s="266" t="s">
        <v>685</v>
      </c>
      <c r="AF115" s="267" t="s">
        <v>1269</v>
      </c>
      <c r="AG115" s="268" t="str">
        <f>IFS(LEN(AF115)=17,LOWER('2-Building'!$B$4 &amp; "-" &amp; C115), AF115="N/A", "N/A", LEN(AF115)=0,"")</f>
        <v>in-blr-ananta-ddc-311</v>
      </c>
      <c r="AH115" s="258"/>
      <c r="AI115" s="258"/>
      <c r="AJ115" s="258"/>
      <c r="AK115" s="258" t="s">
        <v>1270</v>
      </c>
      <c r="AL115" s="258" t="s">
        <v>688</v>
      </c>
      <c r="AM115" s="258" t="s">
        <v>689</v>
      </c>
      <c r="AN115" s="258"/>
      <c r="AO115" s="258"/>
      <c r="AP115" s="258"/>
      <c r="AQ115" s="258"/>
      <c r="AR115" s="258" t="s">
        <v>690</v>
      </c>
      <c r="AS115" s="258" t="s">
        <v>691</v>
      </c>
      <c r="AT115" s="258" t="s">
        <v>1266</v>
      </c>
      <c r="AU115" s="265" t="s">
        <v>693</v>
      </c>
      <c r="AV115" s="174" t="s">
        <v>243</v>
      </c>
      <c r="AW115" s="269" t="s">
        <v>245</v>
      </c>
      <c r="AX115" s="269" t="s">
        <v>694</v>
      </c>
      <c r="AY115" s="270" t="s">
        <v>695</v>
      </c>
      <c r="AZ115" s="173" t="s">
        <v>681</v>
      </c>
      <c r="BA115" s="265">
        <v>10.0</v>
      </c>
      <c r="BB115" s="174" t="s">
        <v>225</v>
      </c>
      <c r="BC115" s="271"/>
      <c r="BD115" s="272" t="s">
        <v>696</v>
      </c>
      <c r="BE115" s="273" t="s">
        <v>697</v>
      </c>
      <c r="BF115" s="274" t="str">
        <f>IFERROR(__xludf.DUMMYFUNCTION("LOWER(Regexreplace(to_text(E115),""[^A-Za-z0-9]"","""")&amp;""_""&amp;Regexreplace(to_text(F115),""[^A-Za-z0-9]"",""""))"),"sauter_eyrc504fxxx")</f>
        <v>sauter_eyrc504fxxx</v>
      </c>
      <c r="BG115" s="275" t="str">
        <f>IFERROR(__xludf.DUMMYFUNCTION("upper(Regexreplace(to_text(E115),""[^A-Za-z0-9]"","""")&amp;""-""&amp;Regexreplace(to_text(F115),""[^A-Za-z0-9]"",""""))"),"SAUTER-EYRC504FXXX")</f>
        <v>SAUTER-EYRC504FXXX</v>
      </c>
    </row>
    <row r="116" ht="30.0" customHeight="1">
      <c r="A116" s="258">
        <v>112.0</v>
      </c>
      <c r="B116" s="256" t="s">
        <v>670</v>
      </c>
      <c r="C116" s="257" t="s">
        <v>1271</v>
      </c>
      <c r="D116" s="173" t="s">
        <v>1271</v>
      </c>
      <c r="E116" s="174" t="s">
        <v>672</v>
      </c>
      <c r="F116" s="173" t="s">
        <v>514</v>
      </c>
      <c r="G116" s="258" t="s">
        <v>673</v>
      </c>
      <c r="H116" s="258" t="s">
        <v>674</v>
      </c>
      <c r="I116" s="258" t="s">
        <v>675</v>
      </c>
      <c r="J116" s="259" t="s">
        <v>1272</v>
      </c>
      <c r="K116" s="260">
        <v>863.0</v>
      </c>
      <c r="L116" s="258" t="s">
        <v>1273</v>
      </c>
      <c r="M116" s="277">
        <v>4.11001239135E11</v>
      </c>
      <c r="N116" s="173" t="s">
        <v>679</v>
      </c>
      <c r="O116" s="173" t="s">
        <v>225</v>
      </c>
      <c r="P116" s="262" t="str">
        <f t="shared" si="1"/>
        <v>IN-BLR-ANANTA-DDC-312_8</v>
      </c>
      <c r="Q116" s="173" t="s">
        <v>1274</v>
      </c>
      <c r="R116" s="258" t="str">
        <f>IFS(C116="","",C116="n/a","N/A",LEN(C116),Concatenate("{",char(34),"asset",char(34),":{",char(34),"guid",char(34),":",char(34),Q116,char(34),",",char(34),"site",char(34),":",char(34),LOWER('2-Building'!$B$4),char(34),",",char(34),"name",char(34),":",char(34),LOWER(C116),char(34),"}}"))</f>
        <v>{"asset":{"guid":"uuid://6c8ae8a1-7bc6-4396-a261-687b21daa3e0","site":"in-blr-ananta","name":"ddc-312"}}</v>
      </c>
      <c r="S116" s="258" t="s">
        <v>681</v>
      </c>
      <c r="T116" s="263"/>
      <c r="U116" s="263"/>
      <c r="V116" s="264">
        <v>2.23</v>
      </c>
      <c r="W116" s="33" t="s">
        <v>682</v>
      </c>
      <c r="X116" s="258" t="s">
        <v>683</v>
      </c>
      <c r="Y116" s="33" t="s">
        <v>684</v>
      </c>
      <c r="Z116" s="258">
        <v>14112.0</v>
      </c>
      <c r="AA116" s="258">
        <v>11501.0</v>
      </c>
      <c r="AB116" s="258"/>
      <c r="AC116" s="258"/>
      <c r="AD116" s="265"/>
      <c r="AE116" s="266" t="s">
        <v>685</v>
      </c>
      <c r="AF116" s="267" t="s">
        <v>1275</v>
      </c>
      <c r="AG116" s="268" t="str">
        <f>IFS(LEN(AF116)=17,LOWER('2-Building'!$B$4 &amp; "-" &amp; C116), AF116="N/A", "N/A", LEN(AF116)=0,"")</f>
        <v>in-blr-ananta-ddc-312</v>
      </c>
      <c r="AH116" s="258"/>
      <c r="AI116" s="258"/>
      <c r="AJ116" s="258"/>
      <c r="AK116" s="258" t="s">
        <v>1276</v>
      </c>
      <c r="AL116" s="258" t="s">
        <v>688</v>
      </c>
      <c r="AM116" s="258" t="s">
        <v>689</v>
      </c>
      <c r="AN116" s="258"/>
      <c r="AO116" s="258"/>
      <c r="AP116" s="258"/>
      <c r="AQ116" s="258"/>
      <c r="AR116" s="258" t="s">
        <v>690</v>
      </c>
      <c r="AS116" s="258" t="s">
        <v>691</v>
      </c>
      <c r="AT116" s="258" t="s">
        <v>1277</v>
      </c>
      <c r="AU116" s="265" t="s">
        <v>693</v>
      </c>
      <c r="AV116" s="174" t="s">
        <v>243</v>
      </c>
      <c r="AW116" s="269" t="s">
        <v>245</v>
      </c>
      <c r="AX116" s="269" t="s">
        <v>694</v>
      </c>
      <c r="AY116" s="270" t="s">
        <v>695</v>
      </c>
      <c r="AZ116" s="173" t="s">
        <v>681</v>
      </c>
      <c r="BA116" s="265">
        <v>10.0</v>
      </c>
      <c r="BB116" s="174" t="s">
        <v>225</v>
      </c>
      <c r="BC116" s="271"/>
      <c r="BD116" s="272" t="s">
        <v>696</v>
      </c>
      <c r="BE116" s="273" t="s">
        <v>697</v>
      </c>
      <c r="BF116" s="274" t="str">
        <f>IFERROR(__xludf.DUMMYFUNCTION("LOWER(Regexreplace(to_text(E116),""[^A-Za-z0-9]"","""")&amp;""_""&amp;Regexreplace(to_text(F116),""[^A-Za-z0-9]"",""""))"),"sauter_eyrc504fxxx")</f>
        <v>sauter_eyrc504fxxx</v>
      </c>
      <c r="BG116" s="275" t="str">
        <f>IFERROR(__xludf.DUMMYFUNCTION("upper(Regexreplace(to_text(E116),""[^A-Za-z0-9]"","""")&amp;""-""&amp;Regexreplace(to_text(F116),""[^A-Za-z0-9]"",""""))"),"SAUTER-EYRC504FXXX")</f>
        <v>SAUTER-EYRC504FXXX</v>
      </c>
    </row>
    <row r="117" ht="30.0" customHeight="1">
      <c r="A117" s="173">
        <v>113.0</v>
      </c>
      <c r="B117" s="256" t="s">
        <v>670</v>
      </c>
      <c r="C117" s="257" t="s">
        <v>1278</v>
      </c>
      <c r="D117" s="173" t="s">
        <v>1278</v>
      </c>
      <c r="E117" s="174" t="s">
        <v>672</v>
      </c>
      <c r="F117" s="173" t="s">
        <v>514</v>
      </c>
      <c r="G117" s="258" t="s">
        <v>673</v>
      </c>
      <c r="H117" s="258" t="s">
        <v>674</v>
      </c>
      <c r="I117" s="258" t="s">
        <v>675</v>
      </c>
      <c r="J117" s="259" t="s">
        <v>1272</v>
      </c>
      <c r="K117" s="260">
        <v>863.0</v>
      </c>
      <c r="L117" s="258" t="s">
        <v>1273</v>
      </c>
      <c r="M117" s="277">
        <v>4.11001359343E11</v>
      </c>
      <c r="N117" s="173" t="s">
        <v>679</v>
      </c>
      <c r="O117" s="173" t="s">
        <v>225</v>
      </c>
      <c r="P117" s="262" t="str">
        <f t="shared" si="1"/>
        <v>IN-BLR-ANANTA-DDC-313_8</v>
      </c>
      <c r="Q117" s="173" t="s">
        <v>1279</v>
      </c>
      <c r="R117" s="258" t="str">
        <f>IFS(C117="","",C117="n/a","N/A",LEN(C117),Concatenate("{",char(34),"asset",char(34),":{",char(34),"guid",char(34),":",char(34),Q117,char(34),",",char(34),"site",char(34),":",char(34),LOWER('2-Building'!$B$4),char(34),",",char(34),"name",char(34),":",char(34),LOWER(C117),char(34),"}}"))</f>
        <v>{"asset":{"guid":"uuid://7a16fbb5-e41f-4a1a-9637-d8d323fae267","site":"in-blr-ananta","name":"ddc-313"}}</v>
      </c>
      <c r="S117" s="258" t="s">
        <v>681</v>
      </c>
      <c r="T117" s="263"/>
      <c r="U117" s="263"/>
      <c r="V117" s="264">
        <v>2.23</v>
      </c>
      <c r="W117" s="33" t="s">
        <v>682</v>
      </c>
      <c r="X117" s="258" t="s">
        <v>683</v>
      </c>
      <c r="Y117" s="33" t="s">
        <v>684</v>
      </c>
      <c r="Z117" s="258">
        <v>14113.0</v>
      </c>
      <c r="AA117" s="258">
        <v>11501.0</v>
      </c>
      <c r="AB117" s="258"/>
      <c r="AC117" s="258"/>
      <c r="AD117" s="265"/>
      <c r="AE117" s="266" t="s">
        <v>685</v>
      </c>
      <c r="AF117" s="267" t="s">
        <v>1280</v>
      </c>
      <c r="AG117" s="268" t="str">
        <f>IFS(LEN(AF117)=17,LOWER('2-Building'!$B$4 &amp; "-" &amp; C117), AF117="N/A", "N/A", LEN(AF117)=0,"")</f>
        <v>in-blr-ananta-ddc-313</v>
      </c>
      <c r="AH117" s="258"/>
      <c r="AI117" s="258"/>
      <c r="AJ117" s="258"/>
      <c r="AK117" s="258" t="s">
        <v>1281</v>
      </c>
      <c r="AL117" s="258" t="s">
        <v>688</v>
      </c>
      <c r="AM117" s="258" t="s">
        <v>689</v>
      </c>
      <c r="AN117" s="258"/>
      <c r="AO117" s="258"/>
      <c r="AP117" s="258"/>
      <c r="AQ117" s="258"/>
      <c r="AR117" s="258" t="s">
        <v>690</v>
      </c>
      <c r="AS117" s="258" t="s">
        <v>691</v>
      </c>
      <c r="AT117" s="258" t="s">
        <v>1277</v>
      </c>
      <c r="AU117" s="265" t="s">
        <v>693</v>
      </c>
      <c r="AV117" s="174" t="s">
        <v>243</v>
      </c>
      <c r="AW117" s="269" t="s">
        <v>245</v>
      </c>
      <c r="AX117" s="269" t="s">
        <v>694</v>
      </c>
      <c r="AY117" s="270" t="s">
        <v>695</v>
      </c>
      <c r="AZ117" s="173" t="s">
        <v>681</v>
      </c>
      <c r="BA117" s="265">
        <v>10.0</v>
      </c>
      <c r="BB117" s="174" t="s">
        <v>225</v>
      </c>
      <c r="BC117" s="271"/>
      <c r="BD117" s="272" t="s">
        <v>696</v>
      </c>
      <c r="BE117" s="273" t="s">
        <v>697</v>
      </c>
      <c r="BF117" s="274" t="str">
        <f>IFERROR(__xludf.DUMMYFUNCTION("LOWER(Regexreplace(to_text(E117),""[^A-Za-z0-9]"","""")&amp;""_""&amp;Regexreplace(to_text(F117),""[^A-Za-z0-9]"",""""))"),"sauter_eyrc504fxxx")</f>
        <v>sauter_eyrc504fxxx</v>
      </c>
      <c r="BG117" s="275" t="str">
        <f>IFERROR(__xludf.DUMMYFUNCTION("upper(Regexreplace(to_text(E117),""[^A-Za-z0-9]"","""")&amp;""-""&amp;Regexreplace(to_text(F117),""[^A-Za-z0-9]"",""""))"),"SAUTER-EYRC504FXXX")</f>
        <v>SAUTER-EYRC504FXXX</v>
      </c>
    </row>
    <row r="118" ht="30.0" customHeight="1">
      <c r="A118" s="258">
        <v>114.0</v>
      </c>
      <c r="B118" s="256" t="s">
        <v>670</v>
      </c>
      <c r="C118" s="257" t="s">
        <v>1282</v>
      </c>
      <c r="D118" s="173" t="s">
        <v>1282</v>
      </c>
      <c r="E118" s="174" t="s">
        <v>672</v>
      </c>
      <c r="F118" s="173" t="s">
        <v>514</v>
      </c>
      <c r="G118" s="258" t="s">
        <v>673</v>
      </c>
      <c r="H118" s="258" t="s">
        <v>674</v>
      </c>
      <c r="I118" s="258" t="s">
        <v>675</v>
      </c>
      <c r="J118" s="259" t="s">
        <v>1272</v>
      </c>
      <c r="K118" s="260">
        <v>875.0</v>
      </c>
      <c r="L118" s="258" t="s">
        <v>1283</v>
      </c>
      <c r="M118" s="277">
        <v>4.11001239333E11</v>
      </c>
      <c r="N118" s="173" t="s">
        <v>679</v>
      </c>
      <c r="O118" s="173" t="s">
        <v>225</v>
      </c>
      <c r="P118" s="262" t="str">
        <f t="shared" si="1"/>
        <v>IN-BLR-ANANTA-DDC-314_8</v>
      </c>
      <c r="Q118" s="173" t="s">
        <v>1284</v>
      </c>
      <c r="R118" s="258" t="str">
        <f>IFS(C118="","",C118="n/a","N/A",LEN(C118),Concatenate("{",char(34),"asset",char(34),":{",char(34),"guid",char(34),":",char(34),Q118,char(34),",",char(34),"site",char(34),":",char(34),LOWER('2-Building'!$B$4),char(34),",",char(34),"name",char(34),":",char(34),LOWER(C118),char(34),"}}"))</f>
        <v>{"asset":{"guid":"uuid://cb5919ff-68d7-4036-a9ff-58db120232c8","site":"in-blr-ananta","name":"ddc-314"}}</v>
      </c>
      <c r="S118" s="258" t="s">
        <v>681</v>
      </c>
      <c r="T118" s="263"/>
      <c r="U118" s="263"/>
      <c r="V118" s="264">
        <v>2.23</v>
      </c>
      <c r="W118" s="33" t="s">
        <v>682</v>
      </c>
      <c r="X118" s="258" t="s">
        <v>683</v>
      </c>
      <c r="Y118" s="33" t="s">
        <v>684</v>
      </c>
      <c r="Z118" s="258">
        <v>14114.0</v>
      </c>
      <c r="AA118" s="258">
        <v>11501.0</v>
      </c>
      <c r="AB118" s="258"/>
      <c r="AC118" s="258"/>
      <c r="AD118" s="265"/>
      <c r="AE118" s="266" t="s">
        <v>685</v>
      </c>
      <c r="AF118" s="267" t="s">
        <v>1285</v>
      </c>
      <c r="AG118" s="268" t="str">
        <f>IFS(LEN(AF118)=17,LOWER('2-Building'!$B$4 &amp; "-" &amp; C118), AF118="N/A", "N/A", LEN(AF118)=0,"")</f>
        <v>in-blr-ananta-ddc-314</v>
      </c>
      <c r="AH118" s="258"/>
      <c r="AI118" s="258"/>
      <c r="AJ118" s="258"/>
      <c r="AK118" s="258" t="s">
        <v>1286</v>
      </c>
      <c r="AL118" s="258" t="s">
        <v>688</v>
      </c>
      <c r="AM118" s="258" t="s">
        <v>689</v>
      </c>
      <c r="AN118" s="258"/>
      <c r="AO118" s="258"/>
      <c r="AP118" s="258"/>
      <c r="AQ118" s="258"/>
      <c r="AR118" s="258" t="s">
        <v>690</v>
      </c>
      <c r="AS118" s="258" t="s">
        <v>691</v>
      </c>
      <c r="AT118" s="258" t="s">
        <v>1287</v>
      </c>
      <c r="AU118" s="265" t="s">
        <v>693</v>
      </c>
      <c r="AV118" s="174" t="s">
        <v>243</v>
      </c>
      <c r="AW118" s="269" t="s">
        <v>245</v>
      </c>
      <c r="AX118" s="269" t="s">
        <v>694</v>
      </c>
      <c r="AY118" s="270" t="s">
        <v>695</v>
      </c>
      <c r="AZ118" s="173" t="s">
        <v>681</v>
      </c>
      <c r="BA118" s="265">
        <v>10.0</v>
      </c>
      <c r="BB118" s="174" t="s">
        <v>225</v>
      </c>
      <c r="BC118" s="271"/>
      <c r="BD118" s="272" t="s">
        <v>696</v>
      </c>
      <c r="BE118" s="273" t="s">
        <v>697</v>
      </c>
      <c r="BF118" s="274" t="str">
        <f>IFERROR(__xludf.DUMMYFUNCTION("LOWER(Regexreplace(to_text(E118),""[^A-Za-z0-9]"","""")&amp;""_""&amp;Regexreplace(to_text(F118),""[^A-Za-z0-9]"",""""))"),"sauter_eyrc504fxxx")</f>
        <v>sauter_eyrc504fxxx</v>
      </c>
      <c r="BG118" s="275" t="str">
        <f>IFERROR(__xludf.DUMMYFUNCTION("upper(Regexreplace(to_text(E118),""[^A-Za-z0-9]"","""")&amp;""-""&amp;Regexreplace(to_text(F118),""[^A-Za-z0-9]"",""""))"),"SAUTER-EYRC504FXXX")</f>
        <v>SAUTER-EYRC504FXXX</v>
      </c>
    </row>
    <row r="119" ht="30.0" customHeight="1">
      <c r="A119" s="173">
        <v>115.0</v>
      </c>
      <c r="B119" s="256" t="s">
        <v>670</v>
      </c>
      <c r="C119" s="257" t="s">
        <v>1288</v>
      </c>
      <c r="D119" s="173" t="s">
        <v>1288</v>
      </c>
      <c r="E119" s="174" t="s">
        <v>672</v>
      </c>
      <c r="F119" s="173" t="s">
        <v>514</v>
      </c>
      <c r="G119" s="258" t="s">
        <v>673</v>
      </c>
      <c r="H119" s="258" t="s">
        <v>674</v>
      </c>
      <c r="I119" s="258" t="s">
        <v>675</v>
      </c>
      <c r="J119" s="259" t="s">
        <v>1272</v>
      </c>
      <c r="K119" s="260">
        <v>875.0</v>
      </c>
      <c r="L119" s="258" t="s">
        <v>1283</v>
      </c>
      <c r="M119" s="277">
        <v>4.11001239218E11</v>
      </c>
      <c r="N119" s="173" t="s">
        <v>679</v>
      </c>
      <c r="O119" s="173" t="s">
        <v>225</v>
      </c>
      <c r="P119" s="262" t="str">
        <f t="shared" si="1"/>
        <v>IN-BLR-ANANTA-DDC-315_8</v>
      </c>
      <c r="Q119" s="173" t="s">
        <v>1289</v>
      </c>
      <c r="R119" s="258" t="str">
        <f>IFS(C119="","",C119="n/a","N/A",LEN(C119),Concatenate("{",char(34),"asset",char(34),":{",char(34),"guid",char(34),":",char(34),Q119,char(34),",",char(34),"site",char(34),":",char(34),LOWER('2-Building'!$B$4),char(34),",",char(34),"name",char(34),":",char(34),LOWER(C119),char(34),"}}"))</f>
        <v>{"asset":{"guid":"uuid://6a45ae6c-7f97-44c0-bbec-4dc61c6bbe91","site":"in-blr-ananta","name":"ddc-315"}}</v>
      </c>
      <c r="S119" s="258" t="s">
        <v>681</v>
      </c>
      <c r="T119" s="263"/>
      <c r="U119" s="263"/>
      <c r="V119" s="264">
        <v>2.23</v>
      </c>
      <c r="W119" s="33" t="s">
        <v>682</v>
      </c>
      <c r="X119" s="258" t="s">
        <v>683</v>
      </c>
      <c r="Y119" s="33" t="s">
        <v>684</v>
      </c>
      <c r="Z119" s="258">
        <v>14115.0</v>
      </c>
      <c r="AA119" s="258">
        <v>11501.0</v>
      </c>
      <c r="AB119" s="258"/>
      <c r="AC119" s="258"/>
      <c r="AD119" s="265"/>
      <c r="AE119" s="266" t="s">
        <v>685</v>
      </c>
      <c r="AF119" s="267" t="s">
        <v>1290</v>
      </c>
      <c r="AG119" s="268" t="str">
        <f>IFS(LEN(AF119)=17,LOWER('2-Building'!$B$4 &amp; "-" &amp; C119), AF119="N/A", "N/A", LEN(AF119)=0,"")</f>
        <v>in-blr-ananta-ddc-315</v>
      </c>
      <c r="AH119" s="258"/>
      <c r="AI119" s="258"/>
      <c r="AJ119" s="258"/>
      <c r="AK119" s="258" t="s">
        <v>1291</v>
      </c>
      <c r="AL119" s="258" t="s">
        <v>688</v>
      </c>
      <c r="AM119" s="258" t="s">
        <v>689</v>
      </c>
      <c r="AN119" s="258"/>
      <c r="AO119" s="258"/>
      <c r="AP119" s="258"/>
      <c r="AQ119" s="258"/>
      <c r="AR119" s="258" t="s">
        <v>690</v>
      </c>
      <c r="AS119" s="258" t="s">
        <v>691</v>
      </c>
      <c r="AT119" s="258" t="s">
        <v>1287</v>
      </c>
      <c r="AU119" s="265" t="s">
        <v>693</v>
      </c>
      <c r="AV119" s="174" t="s">
        <v>243</v>
      </c>
      <c r="AW119" s="269" t="s">
        <v>245</v>
      </c>
      <c r="AX119" s="269" t="s">
        <v>694</v>
      </c>
      <c r="AY119" s="270" t="s">
        <v>695</v>
      </c>
      <c r="AZ119" s="173" t="s">
        <v>681</v>
      </c>
      <c r="BA119" s="265">
        <v>10.0</v>
      </c>
      <c r="BB119" s="174" t="s">
        <v>225</v>
      </c>
      <c r="BC119" s="271"/>
      <c r="BD119" s="272" t="s">
        <v>696</v>
      </c>
      <c r="BE119" s="273" t="s">
        <v>697</v>
      </c>
      <c r="BF119" s="274" t="str">
        <f>IFERROR(__xludf.DUMMYFUNCTION("LOWER(Regexreplace(to_text(E119),""[^A-Za-z0-9]"","""")&amp;""_""&amp;Regexreplace(to_text(F119),""[^A-Za-z0-9]"",""""))"),"sauter_eyrc504fxxx")</f>
        <v>sauter_eyrc504fxxx</v>
      </c>
      <c r="BG119" s="275" t="str">
        <f>IFERROR(__xludf.DUMMYFUNCTION("upper(Regexreplace(to_text(E119),""[^A-Za-z0-9]"","""")&amp;""-""&amp;Regexreplace(to_text(F119),""[^A-Za-z0-9]"",""""))"),"SAUTER-EYRC504FXXX")</f>
        <v>SAUTER-EYRC504FXXX</v>
      </c>
    </row>
    <row r="120" ht="30.0" customHeight="1">
      <c r="A120" s="258">
        <v>116.0</v>
      </c>
      <c r="B120" s="256" t="s">
        <v>670</v>
      </c>
      <c r="C120" s="257" t="s">
        <v>1292</v>
      </c>
      <c r="D120" s="173" t="s">
        <v>1292</v>
      </c>
      <c r="E120" s="174" t="s">
        <v>672</v>
      </c>
      <c r="F120" s="173" t="s">
        <v>514</v>
      </c>
      <c r="G120" s="258" t="s">
        <v>673</v>
      </c>
      <c r="H120" s="258" t="s">
        <v>674</v>
      </c>
      <c r="I120" s="258" t="s">
        <v>675</v>
      </c>
      <c r="J120" s="259" t="s">
        <v>1272</v>
      </c>
      <c r="K120" s="260">
        <v>819.0</v>
      </c>
      <c r="L120" s="258" t="s">
        <v>1293</v>
      </c>
      <c r="M120" s="277">
        <v>4.11001239347E11</v>
      </c>
      <c r="N120" s="173" t="s">
        <v>679</v>
      </c>
      <c r="O120" s="173" t="s">
        <v>225</v>
      </c>
      <c r="P120" s="262" t="str">
        <f t="shared" si="1"/>
        <v>IN-BLR-ANANTA-DDC-316_8</v>
      </c>
      <c r="Q120" s="173" t="s">
        <v>1294</v>
      </c>
      <c r="R120" s="258" t="str">
        <f>IFS(C120="","",C120="n/a","N/A",LEN(C120),Concatenate("{",char(34),"asset",char(34),":{",char(34),"guid",char(34),":",char(34),Q120,char(34),",",char(34),"site",char(34),":",char(34),LOWER('2-Building'!$B$4),char(34),",",char(34),"name",char(34),":",char(34),LOWER(C120),char(34),"}}"))</f>
        <v>{"asset":{"guid":"uuid://0066ae70-7950-4732-bfd3-37f7bac24c1a","site":"in-blr-ananta","name":"ddc-316"}}</v>
      </c>
      <c r="S120" s="258" t="s">
        <v>681</v>
      </c>
      <c r="T120" s="263"/>
      <c r="U120" s="263"/>
      <c r="V120" s="264">
        <v>2.23</v>
      </c>
      <c r="W120" s="33" t="s">
        <v>682</v>
      </c>
      <c r="X120" s="258" t="s">
        <v>683</v>
      </c>
      <c r="Y120" s="33" t="s">
        <v>684</v>
      </c>
      <c r="Z120" s="258">
        <v>14116.0</v>
      </c>
      <c r="AA120" s="258">
        <v>11501.0</v>
      </c>
      <c r="AB120" s="258"/>
      <c r="AC120" s="258"/>
      <c r="AD120" s="265"/>
      <c r="AE120" s="266" t="s">
        <v>685</v>
      </c>
      <c r="AF120" s="267" t="s">
        <v>1295</v>
      </c>
      <c r="AG120" s="268" t="str">
        <f>IFS(LEN(AF120)=17,LOWER('2-Building'!$B$4 &amp; "-" &amp; C120), AF120="N/A", "N/A", LEN(AF120)=0,"")</f>
        <v>in-blr-ananta-ddc-316</v>
      </c>
      <c r="AH120" s="258"/>
      <c r="AI120" s="258"/>
      <c r="AJ120" s="258"/>
      <c r="AK120" s="258" t="s">
        <v>1296</v>
      </c>
      <c r="AL120" s="258" t="s">
        <v>688</v>
      </c>
      <c r="AM120" s="258" t="s">
        <v>689</v>
      </c>
      <c r="AN120" s="258"/>
      <c r="AO120" s="258"/>
      <c r="AP120" s="258"/>
      <c r="AQ120" s="258"/>
      <c r="AR120" s="258" t="s">
        <v>690</v>
      </c>
      <c r="AS120" s="258" t="s">
        <v>691</v>
      </c>
      <c r="AT120" s="258" t="s">
        <v>1297</v>
      </c>
      <c r="AU120" s="265" t="s">
        <v>693</v>
      </c>
      <c r="AV120" s="174" t="s">
        <v>243</v>
      </c>
      <c r="AW120" s="269" t="s">
        <v>245</v>
      </c>
      <c r="AX120" s="269" t="s">
        <v>694</v>
      </c>
      <c r="AY120" s="270" t="s">
        <v>695</v>
      </c>
      <c r="AZ120" s="173" t="s">
        <v>681</v>
      </c>
      <c r="BA120" s="265">
        <v>10.0</v>
      </c>
      <c r="BB120" s="174" t="s">
        <v>225</v>
      </c>
      <c r="BC120" s="271"/>
      <c r="BD120" s="272" t="s">
        <v>696</v>
      </c>
      <c r="BE120" s="273" t="s">
        <v>697</v>
      </c>
      <c r="BF120" s="274" t="str">
        <f>IFERROR(__xludf.DUMMYFUNCTION("LOWER(Regexreplace(to_text(E120),""[^A-Za-z0-9]"","""")&amp;""_""&amp;Regexreplace(to_text(F120),""[^A-Za-z0-9]"",""""))"),"sauter_eyrc504fxxx")</f>
        <v>sauter_eyrc504fxxx</v>
      </c>
      <c r="BG120" s="275" t="str">
        <f>IFERROR(__xludf.DUMMYFUNCTION("upper(Regexreplace(to_text(E120),""[^A-Za-z0-9]"","""")&amp;""-""&amp;Regexreplace(to_text(F120),""[^A-Za-z0-9]"",""""))"),"SAUTER-EYRC504FXXX")</f>
        <v>SAUTER-EYRC504FXXX</v>
      </c>
    </row>
    <row r="121" ht="30.0" customHeight="1">
      <c r="A121" s="173">
        <v>117.0</v>
      </c>
      <c r="B121" s="256" t="s">
        <v>670</v>
      </c>
      <c r="C121" s="257" t="s">
        <v>1298</v>
      </c>
      <c r="D121" s="173" t="s">
        <v>1298</v>
      </c>
      <c r="E121" s="174" t="s">
        <v>672</v>
      </c>
      <c r="F121" s="173" t="s">
        <v>514</v>
      </c>
      <c r="G121" s="258" t="s">
        <v>673</v>
      </c>
      <c r="H121" s="258" t="s">
        <v>674</v>
      </c>
      <c r="I121" s="258" t="s">
        <v>675</v>
      </c>
      <c r="J121" s="259" t="s">
        <v>1272</v>
      </c>
      <c r="K121" s="260">
        <v>819.0</v>
      </c>
      <c r="L121" s="258" t="s">
        <v>1293</v>
      </c>
      <c r="M121" s="277">
        <v>4.11001239319E11</v>
      </c>
      <c r="N121" s="173" t="s">
        <v>679</v>
      </c>
      <c r="O121" s="173" t="s">
        <v>225</v>
      </c>
      <c r="P121" s="262" t="str">
        <f t="shared" si="1"/>
        <v>IN-BLR-ANANTA-DDC-317_8</v>
      </c>
      <c r="Q121" s="173" t="s">
        <v>1299</v>
      </c>
      <c r="R121" s="258" t="str">
        <f>IFS(C121="","",C121="n/a","N/A",LEN(C121),Concatenate("{",char(34),"asset",char(34),":{",char(34),"guid",char(34),":",char(34),Q121,char(34),",",char(34),"site",char(34),":",char(34),LOWER('2-Building'!$B$4),char(34),",",char(34),"name",char(34),":",char(34),LOWER(C121),char(34),"}}"))</f>
        <v>{"asset":{"guid":"uuid://c7ef4322-9676-4c26-a9c4-2e20b1cdff9d","site":"in-blr-ananta","name":"ddc-317"}}</v>
      </c>
      <c r="S121" s="258" t="s">
        <v>681</v>
      </c>
      <c r="T121" s="263"/>
      <c r="U121" s="263"/>
      <c r="V121" s="264">
        <v>2.23</v>
      </c>
      <c r="W121" s="33" t="s">
        <v>682</v>
      </c>
      <c r="X121" s="258" t="s">
        <v>683</v>
      </c>
      <c r="Y121" s="33" t="s">
        <v>684</v>
      </c>
      <c r="Z121" s="258">
        <v>14117.0</v>
      </c>
      <c r="AA121" s="258">
        <v>11501.0</v>
      </c>
      <c r="AB121" s="258"/>
      <c r="AC121" s="258"/>
      <c r="AD121" s="265"/>
      <c r="AE121" s="266" t="s">
        <v>685</v>
      </c>
      <c r="AF121" s="267" t="s">
        <v>1300</v>
      </c>
      <c r="AG121" s="268" t="str">
        <f>IFS(LEN(AF121)=17,LOWER('2-Building'!$B$4 &amp; "-" &amp; C121), AF121="N/A", "N/A", LEN(AF121)=0,"")</f>
        <v>in-blr-ananta-ddc-317</v>
      </c>
      <c r="AH121" s="258"/>
      <c r="AI121" s="258"/>
      <c r="AJ121" s="258"/>
      <c r="AK121" s="258" t="s">
        <v>1301</v>
      </c>
      <c r="AL121" s="258" t="s">
        <v>688</v>
      </c>
      <c r="AM121" s="258" t="s">
        <v>689</v>
      </c>
      <c r="AN121" s="258"/>
      <c r="AO121" s="258"/>
      <c r="AP121" s="258"/>
      <c r="AQ121" s="258"/>
      <c r="AR121" s="258" t="s">
        <v>690</v>
      </c>
      <c r="AS121" s="258" t="s">
        <v>691</v>
      </c>
      <c r="AT121" s="258" t="s">
        <v>1297</v>
      </c>
      <c r="AU121" s="265" t="s">
        <v>693</v>
      </c>
      <c r="AV121" s="174" t="s">
        <v>243</v>
      </c>
      <c r="AW121" s="269" t="s">
        <v>245</v>
      </c>
      <c r="AX121" s="269" t="s">
        <v>694</v>
      </c>
      <c r="AY121" s="270" t="s">
        <v>695</v>
      </c>
      <c r="AZ121" s="173" t="s">
        <v>681</v>
      </c>
      <c r="BA121" s="265">
        <v>10.0</v>
      </c>
      <c r="BB121" s="174" t="s">
        <v>225</v>
      </c>
      <c r="BC121" s="271"/>
      <c r="BD121" s="272" t="s">
        <v>696</v>
      </c>
      <c r="BE121" s="273" t="s">
        <v>697</v>
      </c>
      <c r="BF121" s="274" t="str">
        <f>IFERROR(__xludf.DUMMYFUNCTION("LOWER(Regexreplace(to_text(E121),""[^A-Za-z0-9]"","""")&amp;""_""&amp;Regexreplace(to_text(F121),""[^A-Za-z0-9]"",""""))"),"sauter_eyrc504fxxx")</f>
        <v>sauter_eyrc504fxxx</v>
      </c>
      <c r="BG121" s="275" t="str">
        <f>IFERROR(__xludf.DUMMYFUNCTION("upper(Regexreplace(to_text(E121),""[^A-Za-z0-9]"","""")&amp;""-""&amp;Regexreplace(to_text(F121),""[^A-Za-z0-9]"",""""))"),"SAUTER-EYRC504FXXX")</f>
        <v>SAUTER-EYRC504FXXX</v>
      </c>
    </row>
    <row r="122" ht="30.0" customHeight="1">
      <c r="A122" s="258">
        <v>118.0</v>
      </c>
      <c r="B122" s="256" t="s">
        <v>670</v>
      </c>
      <c r="C122" s="257" t="s">
        <v>1302</v>
      </c>
      <c r="D122" s="173" t="s">
        <v>1302</v>
      </c>
      <c r="E122" s="174" t="s">
        <v>672</v>
      </c>
      <c r="F122" s="173" t="s">
        <v>514</v>
      </c>
      <c r="G122" s="258" t="s">
        <v>673</v>
      </c>
      <c r="H122" s="258" t="s">
        <v>674</v>
      </c>
      <c r="I122" s="258" t="s">
        <v>675</v>
      </c>
      <c r="J122" s="259" t="s">
        <v>1272</v>
      </c>
      <c r="K122" s="260">
        <v>848.0</v>
      </c>
      <c r="L122" s="258" t="s">
        <v>1303</v>
      </c>
      <c r="M122" s="277">
        <v>4.11001235071E11</v>
      </c>
      <c r="N122" s="173" t="s">
        <v>679</v>
      </c>
      <c r="O122" s="173" t="s">
        <v>225</v>
      </c>
      <c r="P122" s="262" t="str">
        <f t="shared" si="1"/>
        <v>IN-BLR-ANANTA-DDC-318_8</v>
      </c>
      <c r="Q122" s="173" t="s">
        <v>1304</v>
      </c>
      <c r="R122" s="258" t="str">
        <f>IFS(C122="","",C122="n/a","N/A",LEN(C122),Concatenate("{",char(34),"asset",char(34),":{",char(34),"guid",char(34),":",char(34),Q122,char(34),",",char(34),"site",char(34),":",char(34),LOWER('2-Building'!$B$4),char(34),",",char(34),"name",char(34),":",char(34),LOWER(C122),char(34),"}}"))</f>
        <v>{"asset":{"guid":"uuid://0fab45a7-4f6d-4759-8baa-0700284da854","site":"in-blr-ananta","name":"ddc-318"}}</v>
      </c>
      <c r="S122" s="258" t="s">
        <v>681</v>
      </c>
      <c r="T122" s="263"/>
      <c r="U122" s="263"/>
      <c r="V122" s="264">
        <v>2.23</v>
      </c>
      <c r="W122" s="33" t="s">
        <v>682</v>
      </c>
      <c r="X122" s="258" t="s">
        <v>683</v>
      </c>
      <c r="Y122" s="33" t="s">
        <v>684</v>
      </c>
      <c r="Z122" s="258">
        <v>14118.0</v>
      </c>
      <c r="AA122" s="258">
        <v>11501.0</v>
      </c>
      <c r="AB122" s="258"/>
      <c r="AC122" s="258"/>
      <c r="AD122" s="265"/>
      <c r="AE122" s="266" t="s">
        <v>685</v>
      </c>
      <c r="AF122" s="267" t="s">
        <v>1305</v>
      </c>
      <c r="AG122" s="268" t="str">
        <f>IFS(LEN(AF122)=17,LOWER('2-Building'!$B$4 &amp; "-" &amp; C122), AF122="N/A", "N/A", LEN(AF122)=0,"")</f>
        <v>in-blr-ananta-ddc-318</v>
      </c>
      <c r="AH122" s="258"/>
      <c r="AI122" s="258"/>
      <c r="AJ122" s="258"/>
      <c r="AK122" s="258" t="s">
        <v>1306</v>
      </c>
      <c r="AL122" s="258" t="s">
        <v>688</v>
      </c>
      <c r="AM122" s="258" t="s">
        <v>689</v>
      </c>
      <c r="AN122" s="258"/>
      <c r="AO122" s="258"/>
      <c r="AP122" s="258"/>
      <c r="AQ122" s="258"/>
      <c r="AR122" s="258" t="s">
        <v>690</v>
      </c>
      <c r="AS122" s="258" t="s">
        <v>691</v>
      </c>
      <c r="AT122" s="258" t="s">
        <v>1307</v>
      </c>
      <c r="AU122" s="265" t="s">
        <v>693</v>
      </c>
      <c r="AV122" s="174" t="s">
        <v>243</v>
      </c>
      <c r="AW122" s="269" t="s">
        <v>245</v>
      </c>
      <c r="AX122" s="269" t="s">
        <v>694</v>
      </c>
      <c r="AY122" s="270" t="s">
        <v>695</v>
      </c>
      <c r="AZ122" s="173" t="s">
        <v>681</v>
      </c>
      <c r="BA122" s="265">
        <v>10.0</v>
      </c>
      <c r="BB122" s="174" t="s">
        <v>225</v>
      </c>
      <c r="BC122" s="271"/>
      <c r="BD122" s="272" t="s">
        <v>696</v>
      </c>
      <c r="BE122" s="273" t="s">
        <v>697</v>
      </c>
      <c r="BF122" s="274" t="str">
        <f>IFERROR(__xludf.DUMMYFUNCTION("LOWER(Regexreplace(to_text(E122),""[^A-Za-z0-9]"","""")&amp;""_""&amp;Regexreplace(to_text(F122),""[^A-Za-z0-9]"",""""))"),"sauter_eyrc504fxxx")</f>
        <v>sauter_eyrc504fxxx</v>
      </c>
      <c r="BG122" s="275" t="str">
        <f>IFERROR(__xludf.DUMMYFUNCTION("upper(Regexreplace(to_text(E122),""[^A-Za-z0-9]"","""")&amp;""-""&amp;Regexreplace(to_text(F122),""[^A-Za-z0-9]"",""""))"),"SAUTER-EYRC504FXXX")</f>
        <v>SAUTER-EYRC504FXXX</v>
      </c>
    </row>
    <row r="123" ht="30.0" customHeight="1">
      <c r="A123" s="173">
        <v>119.0</v>
      </c>
      <c r="B123" s="256" t="s">
        <v>670</v>
      </c>
      <c r="C123" s="257" t="s">
        <v>1308</v>
      </c>
      <c r="D123" s="173" t="s">
        <v>1308</v>
      </c>
      <c r="E123" s="174" t="s">
        <v>672</v>
      </c>
      <c r="F123" s="173" t="s">
        <v>514</v>
      </c>
      <c r="G123" s="258" t="s">
        <v>673</v>
      </c>
      <c r="H123" s="258" t="s">
        <v>674</v>
      </c>
      <c r="I123" s="258" t="s">
        <v>675</v>
      </c>
      <c r="J123" s="259" t="s">
        <v>1272</v>
      </c>
      <c r="K123" s="260">
        <v>848.0</v>
      </c>
      <c r="L123" s="258" t="s">
        <v>1303</v>
      </c>
      <c r="M123" s="277">
        <v>4.11001239144E11</v>
      </c>
      <c r="N123" s="173" t="s">
        <v>679</v>
      </c>
      <c r="O123" s="173" t="s">
        <v>225</v>
      </c>
      <c r="P123" s="262" t="str">
        <f t="shared" si="1"/>
        <v>IN-BLR-ANANTA-DDC-319_8</v>
      </c>
      <c r="Q123" s="173" t="s">
        <v>1309</v>
      </c>
      <c r="R123" s="258" t="str">
        <f>IFS(C123="","",C123="n/a","N/A",LEN(C123),Concatenate("{",char(34),"asset",char(34),":{",char(34),"guid",char(34),":",char(34),Q123,char(34),",",char(34),"site",char(34),":",char(34),LOWER('2-Building'!$B$4),char(34),",",char(34),"name",char(34),":",char(34),LOWER(C123),char(34),"}}"))</f>
        <v>{"asset":{"guid":"uuid://0cfa4cfe-69a7-40b0-8f82-c47dbb474005","site":"in-blr-ananta","name":"ddc-319"}}</v>
      </c>
      <c r="S123" s="258" t="s">
        <v>681</v>
      </c>
      <c r="T123" s="263"/>
      <c r="U123" s="263"/>
      <c r="V123" s="264">
        <v>2.23</v>
      </c>
      <c r="W123" s="33" t="s">
        <v>682</v>
      </c>
      <c r="X123" s="258" t="s">
        <v>683</v>
      </c>
      <c r="Y123" s="33" t="s">
        <v>684</v>
      </c>
      <c r="Z123" s="258">
        <v>14119.0</v>
      </c>
      <c r="AA123" s="258">
        <v>11501.0</v>
      </c>
      <c r="AB123" s="258"/>
      <c r="AC123" s="258"/>
      <c r="AD123" s="265"/>
      <c r="AE123" s="266" t="s">
        <v>685</v>
      </c>
      <c r="AF123" s="267" t="s">
        <v>1310</v>
      </c>
      <c r="AG123" s="268" t="str">
        <f>IFS(LEN(AF123)=17,LOWER('2-Building'!$B$4 &amp; "-" &amp; C123), AF123="N/A", "N/A", LEN(AF123)=0,"")</f>
        <v>in-blr-ananta-ddc-319</v>
      </c>
      <c r="AH123" s="258"/>
      <c r="AI123" s="258"/>
      <c r="AJ123" s="258"/>
      <c r="AK123" s="258" t="s">
        <v>1311</v>
      </c>
      <c r="AL123" s="258" t="s">
        <v>688</v>
      </c>
      <c r="AM123" s="258" t="s">
        <v>689</v>
      </c>
      <c r="AN123" s="258"/>
      <c r="AO123" s="258"/>
      <c r="AP123" s="258"/>
      <c r="AQ123" s="258"/>
      <c r="AR123" s="258" t="s">
        <v>690</v>
      </c>
      <c r="AS123" s="258" t="s">
        <v>691</v>
      </c>
      <c r="AT123" s="258" t="s">
        <v>1307</v>
      </c>
      <c r="AU123" s="265" t="s">
        <v>693</v>
      </c>
      <c r="AV123" s="174" t="s">
        <v>243</v>
      </c>
      <c r="AW123" s="269" t="s">
        <v>245</v>
      </c>
      <c r="AX123" s="269" t="s">
        <v>694</v>
      </c>
      <c r="AY123" s="270" t="s">
        <v>695</v>
      </c>
      <c r="AZ123" s="173" t="s">
        <v>681</v>
      </c>
      <c r="BA123" s="265">
        <v>10.0</v>
      </c>
      <c r="BB123" s="174" t="s">
        <v>225</v>
      </c>
      <c r="BC123" s="271"/>
      <c r="BD123" s="272" t="s">
        <v>696</v>
      </c>
      <c r="BE123" s="273" t="s">
        <v>697</v>
      </c>
      <c r="BF123" s="274" t="str">
        <f>IFERROR(__xludf.DUMMYFUNCTION("LOWER(Regexreplace(to_text(E123),""[^A-Za-z0-9]"","""")&amp;""_""&amp;Regexreplace(to_text(F123),""[^A-Za-z0-9]"",""""))"),"sauter_eyrc504fxxx")</f>
        <v>sauter_eyrc504fxxx</v>
      </c>
      <c r="BG123" s="275" t="str">
        <f>IFERROR(__xludf.DUMMYFUNCTION("upper(Regexreplace(to_text(E123),""[^A-Za-z0-9]"","""")&amp;""-""&amp;Regexreplace(to_text(F123),""[^A-Za-z0-9]"",""""))"),"SAUTER-EYRC504FXXX")</f>
        <v>SAUTER-EYRC504FXXX</v>
      </c>
    </row>
    <row r="124" ht="30.0" customHeight="1">
      <c r="A124" s="258">
        <v>120.0</v>
      </c>
      <c r="B124" s="256" t="s">
        <v>670</v>
      </c>
      <c r="C124" s="257" t="s">
        <v>1312</v>
      </c>
      <c r="D124" s="173" t="s">
        <v>1312</v>
      </c>
      <c r="E124" s="174" t="s">
        <v>672</v>
      </c>
      <c r="F124" s="173" t="s">
        <v>514</v>
      </c>
      <c r="G124" s="258" t="s">
        <v>673</v>
      </c>
      <c r="H124" s="258" t="s">
        <v>674</v>
      </c>
      <c r="I124" s="258" t="s">
        <v>675</v>
      </c>
      <c r="J124" s="259" t="s">
        <v>1272</v>
      </c>
      <c r="K124" s="260">
        <v>833.0</v>
      </c>
      <c r="L124" s="258" t="s">
        <v>1313</v>
      </c>
      <c r="M124" s="277">
        <v>4.11001235259E11</v>
      </c>
      <c r="N124" s="173" t="s">
        <v>679</v>
      </c>
      <c r="O124" s="173" t="s">
        <v>225</v>
      </c>
      <c r="P124" s="262" t="str">
        <f t="shared" si="1"/>
        <v>IN-BLR-ANANTA-DDC-320_8</v>
      </c>
      <c r="Q124" s="173" t="s">
        <v>1314</v>
      </c>
      <c r="R124" s="258" t="str">
        <f>IFS(C124="","",C124="n/a","N/A",LEN(C124),Concatenate("{",char(34),"asset",char(34),":{",char(34),"guid",char(34),":",char(34),Q124,char(34),",",char(34),"site",char(34),":",char(34),LOWER('2-Building'!$B$4),char(34),",",char(34),"name",char(34),":",char(34),LOWER(C124),char(34),"}}"))</f>
        <v>{"asset":{"guid":"uuid://aa89e2c0-8cd6-41d8-a612-eda407325255","site":"in-blr-ananta","name":"ddc-320"}}</v>
      </c>
      <c r="S124" s="258" t="s">
        <v>681</v>
      </c>
      <c r="T124" s="263"/>
      <c r="U124" s="263"/>
      <c r="V124" s="264">
        <v>2.23</v>
      </c>
      <c r="W124" s="33" t="s">
        <v>682</v>
      </c>
      <c r="X124" s="258" t="s">
        <v>683</v>
      </c>
      <c r="Y124" s="33" t="s">
        <v>684</v>
      </c>
      <c r="Z124" s="258">
        <v>14120.0</v>
      </c>
      <c r="AA124" s="258">
        <v>11501.0</v>
      </c>
      <c r="AB124" s="258"/>
      <c r="AC124" s="258"/>
      <c r="AD124" s="265"/>
      <c r="AE124" s="266" t="s">
        <v>685</v>
      </c>
      <c r="AF124" s="267" t="s">
        <v>1315</v>
      </c>
      <c r="AG124" s="268" t="str">
        <f>IFS(LEN(AF124)=17,LOWER('2-Building'!$B$4 &amp; "-" &amp; C124), AF124="N/A", "N/A", LEN(AF124)=0,"")</f>
        <v>in-blr-ananta-ddc-320</v>
      </c>
      <c r="AH124" s="258"/>
      <c r="AI124" s="258"/>
      <c r="AJ124" s="258"/>
      <c r="AK124" s="258" t="s">
        <v>1316</v>
      </c>
      <c r="AL124" s="258" t="s">
        <v>688</v>
      </c>
      <c r="AM124" s="258" t="s">
        <v>689</v>
      </c>
      <c r="AN124" s="258"/>
      <c r="AO124" s="258"/>
      <c r="AP124" s="258"/>
      <c r="AQ124" s="258"/>
      <c r="AR124" s="258" t="s">
        <v>690</v>
      </c>
      <c r="AS124" s="258" t="s">
        <v>691</v>
      </c>
      <c r="AT124" s="258" t="s">
        <v>1317</v>
      </c>
      <c r="AU124" s="265" t="s">
        <v>693</v>
      </c>
      <c r="AV124" s="174" t="s">
        <v>243</v>
      </c>
      <c r="AW124" s="269" t="s">
        <v>245</v>
      </c>
      <c r="AX124" s="269" t="s">
        <v>694</v>
      </c>
      <c r="AY124" s="270" t="s">
        <v>695</v>
      </c>
      <c r="AZ124" s="173" t="s">
        <v>681</v>
      </c>
      <c r="BA124" s="265">
        <v>10.0</v>
      </c>
      <c r="BB124" s="174" t="s">
        <v>225</v>
      </c>
      <c r="BC124" s="271"/>
      <c r="BD124" s="272" t="s">
        <v>696</v>
      </c>
      <c r="BE124" s="273" t="s">
        <v>697</v>
      </c>
      <c r="BF124" s="274" t="str">
        <f>IFERROR(__xludf.DUMMYFUNCTION("LOWER(Regexreplace(to_text(E124),""[^A-Za-z0-9]"","""")&amp;""_""&amp;Regexreplace(to_text(F124),""[^A-Za-z0-9]"",""""))"),"sauter_eyrc504fxxx")</f>
        <v>sauter_eyrc504fxxx</v>
      </c>
      <c r="BG124" s="275" t="str">
        <f>IFERROR(__xludf.DUMMYFUNCTION("upper(Regexreplace(to_text(E124),""[^A-Za-z0-9]"","""")&amp;""-""&amp;Regexreplace(to_text(F124),""[^A-Za-z0-9]"",""""))"),"SAUTER-EYRC504FXXX")</f>
        <v>SAUTER-EYRC504FXXX</v>
      </c>
    </row>
    <row r="125" ht="30.0" customHeight="1">
      <c r="A125" s="173">
        <v>121.0</v>
      </c>
      <c r="B125" s="256" t="s">
        <v>670</v>
      </c>
      <c r="C125" s="257" t="s">
        <v>1318</v>
      </c>
      <c r="D125" s="173" t="s">
        <v>1318</v>
      </c>
      <c r="E125" s="174" t="s">
        <v>672</v>
      </c>
      <c r="F125" s="173" t="s">
        <v>514</v>
      </c>
      <c r="G125" s="258" t="s">
        <v>673</v>
      </c>
      <c r="H125" s="258" t="s">
        <v>674</v>
      </c>
      <c r="I125" s="258" t="s">
        <v>675</v>
      </c>
      <c r="J125" s="259" t="s">
        <v>1272</v>
      </c>
      <c r="K125" s="260">
        <v>833.0</v>
      </c>
      <c r="L125" s="258" t="s">
        <v>1313</v>
      </c>
      <c r="M125" s="277">
        <v>4.11001218867E11</v>
      </c>
      <c r="N125" s="173" t="s">
        <v>679</v>
      </c>
      <c r="O125" s="173" t="s">
        <v>225</v>
      </c>
      <c r="P125" s="262" t="str">
        <f t="shared" si="1"/>
        <v>IN-BLR-ANANTA-DDC-321_8</v>
      </c>
      <c r="Q125" s="173" t="s">
        <v>1319</v>
      </c>
      <c r="R125" s="258" t="str">
        <f>IFS(C125="","",C125="n/a","N/A",LEN(C125),Concatenate("{",char(34),"asset",char(34),":{",char(34),"guid",char(34),":",char(34),Q125,char(34),",",char(34),"site",char(34),":",char(34),LOWER('2-Building'!$B$4),char(34),",",char(34),"name",char(34),":",char(34),LOWER(C125),char(34),"}}"))</f>
        <v>{"asset":{"guid":"uuid://41be248b-23a9-470f-88db-5d9ecf5c4bc2","site":"in-blr-ananta","name":"ddc-321"}}</v>
      </c>
      <c r="S125" s="258" t="s">
        <v>681</v>
      </c>
      <c r="T125" s="263"/>
      <c r="U125" s="263"/>
      <c r="V125" s="264">
        <v>2.23</v>
      </c>
      <c r="W125" s="33" t="s">
        <v>682</v>
      </c>
      <c r="X125" s="258" t="s">
        <v>683</v>
      </c>
      <c r="Y125" s="33" t="s">
        <v>684</v>
      </c>
      <c r="Z125" s="258">
        <v>14121.0</v>
      </c>
      <c r="AA125" s="258">
        <v>11501.0</v>
      </c>
      <c r="AB125" s="258"/>
      <c r="AC125" s="258"/>
      <c r="AD125" s="265"/>
      <c r="AE125" s="266" t="s">
        <v>685</v>
      </c>
      <c r="AF125" s="267" t="s">
        <v>1320</v>
      </c>
      <c r="AG125" s="268" t="str">
        <f>IFS(LEN(AF125)=17,LOWER('2-Building'!$B$4 &amp; "-" &amp; C125), AF125="N/A", "N/A", LEN(AF125)=0,"")</f>
        <v>in-blr-ananta-ddc-321</v>
      </c>
      <c r="AH125" s="258"/>
      <c r="AI125" s="258"/>
      <c r="AJ125" s="258"/>
      <c r="AK125" s="258" t="s">
        <v>1321</v>
      </c>
      <c r="AL125" s="258" t="s">
        <v>688</v>
      </c>
      <c r="AM125" s="258" t="s">
        <v>689</v>
      </c>
      <c r="AN125" s="258"/>
      <c r="AO125" s="258"/>
      <c r="AP125" s="258"/>
      <c r="AQ125" s="258"/>
      <c r="AR125" s="258" t="s">
        <v>690</v>
      </c>
      <c r="AS125" s="258" t="s">
        <v>691</v>
      </c>
      <c r="AT125" s="258" t="s">
        <v>1317</v>
      </c>
      <c r="AU125" s="265" t="s">
        <v>693</v>
      </c>
      <c r="AV125" s="174" t="s">
        <v>243</v>
      </c>
      <c r="AW125" s="269" t="s">
        <v>245</v>
      </c>
      <c r="AX125" s="269" t="s">
        <v>694</v>
      </c>
      <c r="AY125" s="270" t="s">
        <v>695</v>
      </c>
      <c r="AZ125" s="173" t="s">
        <v>681</v>
      </c>
      <c r="BA125" s="265">
        <v>10.0</v>
      </c>
      <c r="BB125" s="174" t="s">
        <v>225</v>
      </c>
      <c r="BC125" s="271"/>
      <c r="BD125" s="272" t="s">
        <v>696</v>
      </c>
      <c r="BE125" s="273" t="s">
        <v>697</v>
      </c>
      <c r="BF125" s="274" t="str">
        <f>IFERROR(__xludf.DUMMYFUNCTION("LOWER(Regexreplace(to_text(E125),""[^A-Za-z0-9]"","""")&amp;""_""&amp;Regexreplace(to_text(F125),""[^A-Za-z0-9]"",""""))"),"sauter_eyrc504fxxx")</f>
        <v>sauter_eyrc504fxxx</v>
      </c>
      <c r="BG125" s="275" t="str">
        <f>IFERROR(__xludf.DUMMYFUNCTION("upper(Regexreplace(to_text(E125),""[^A-Za-z0-9]"","""")&amp;""-""&amp;Regexreplace(to_text(F125),""[^A-Za-z0-9]"",""""))"),"SAUTER-EYRC504FXXX")</f>
        <v>SAUTER-EYRC504FXXX</v>
      </c>
    </row>
    <row r="126" ht="30.0" customHeight="1">
      <c r="A126" s="258">
        <v>122.0</v>
      </c>
      <c r="B126" s="256" t="s">
        <v>670</v>
      </c>
      <c r="C126" s="257" t="s">
        <v>1322</v>
      </c>
      <c r="D126" s="173" t="s">
        <v>1322</v>
      </c>
      <c r="E126" s="174" t="s">
        <v>672</v>
      </c>
      <c r="F126" s="173" t="s">
        <v>514</v>
      </c>
      <c r="G126" s="258" t="s">
        <v>673</v>
      </c>
      <c r="H126" s="258" t="s">
        <v>674</v>
      </c>
      <c r="I126" s="258" t="s">
        <v>675</v>
      </c>
      <c r="J126" s="259" t="s">
        <v>1272</v>
      </c>
      <c r="K126" s="260">
        <v>834.0</v>
      </c>
      <c r="L126" s="258" t="s">
        <v>1323</v>
      </c>
      <c r="M126" s="277">
        <v>4.11001218939E11</v>
      </c>
      <c r="N126" s="173" t="s">
        <v>679</v>
      </c>
      <c r="O126" s="173" t="s">
        <v>225</v>
      </c>
      <c r="P126" s="262" t="str">
        <f t="shared" si="1"/>
        <v>IN-BLR-ANANTA-DDC-322_8</v>
      </c>
      <c r="Q126" s="173" t="s">
        <v>1324</v>
      </c>
      <c r="R126" s="258" t="str">
        <f>IFS(C126="","",C126="n/a","N/A",LEN(C126),Concatenate("{",char(34),"asset",char(34),":{",char(34),"guid",char(34),":",char(34),Q126,char(34),",",char(34),"site",char(34),":",char(34),LOWER('2-Building'!$B$4),char(34),",",char(34),"name",char(34),":",char(34),LOWER(C126),char(34),"}}"))</f>
        <v>{"asset":{"guid":"uuid://7dee5d9c-0990-4f83-b38a-87803daca8b1","site":"in-blr-ananta","name":"ddc-322"}}</v>
      </c>
      <c r="S126" s="258" t="s">
        <v>681</v>
      </c>
      <c r="T126" s="263"/>
      <c r="U126" s="263"/>
      <c r="V126" s="264">
        <v>2.23</v>
      </c>
      <c r="W126" s="33" t="s">
        <v>682</v>
      </c>
      <c r="X126" s="258" t="s">
        <v>683</v>
      </c>
      <c r="Y126" s="33" t="s">
        <v>684</v>
      </c>
      <c r="Z126" s="258">
        <v>14122.0</v>
      </c>
      <c r="AA126" s="258">
        <v>11501.0</v>
      </c>
      <c r="AB126" s="258"/>
      <c r="AC126" s="258"/>
      <c r="AD126" s="265"/>
      <c r="AE126" s="266" t="s">
        <v>685</v>
      </c>
      <c r="AF126" s="267" t="s">
        <v>1325</v>
      </c>
      <c r="AG126" s="268" t="str">
        <f>IFS(LEN(AF126)=17,LOWER('2-Building'!$B$4 &amp; "-" &amp; C126), AF126="N/A", "N/A", LEN(AF126)=0,"")</f>
        <v>in-blr-ananta-ddc-322</v>
      </c>
      <c r="AH126" s="258"/>
      <c r="AI126" s="258"/>
      <c r="AJ126" s="258"/>
      <c r="AK126" s="258" t="s">
        <v>1326</v>
      </c>
      <c r="AL126" s="258" t="s">
        <v>688</v>
      </c>
      <c r="AM126" s="258" t="s">
        <v>689</v>
      </c>
      <c r="AN126" s="258"/>
      <c r="AO126" s="258"/>
      <c r="AP126" s="258"/>
      <c r="AQ126" s="258"/>
      <c r="AR126" s="258" t="s">
        <v>690</v>
      </c>
      <c r="AS126" s="258" t="s">
        <v>691</v>
      </c>
      <c r="AT126" s="258" t="s">
        <v>1327</v>
      </c>
      <c r="AU126" s="265" t="s">
        <v>693</v>
      </c>
      <c r="AV126" s="174" t="s">
        <v>243</v>
      </c>
      <c r="AW126" s="269" t="s">
        <v>245</v>
      </c>
      <c r="AX126" s="269" t="s">
        <v>694</v>
      </c>
      <c r="AY126" s="270" t="s">
        <v>695</v>
      </c>
      <c r="AZ126" s="173" t="s">
        <v>681</v>
      </c>
      <c r="BA126" s="265">
        <v>10.0</v>
      </c>
      <c r="BB126" s="174" t="s">
        <v>225</v>
      </c>
      <c r="BC126" s="271"/>
      <c r="BD126" s="272" t="s">
        <v>696</v>
      </c>
      <c r="BE126" s="273" t="s">
        <v>697</v>
      </c>
      <c r="BF126" s="274" t="str">
        <f>IFERROR(__xludf.DUMMYFUNCTION("LOWER(Regexreplace(to_text(E126),""[^A-Za-z0-9]"","""")&amp;""_""&amp;Regexreplace(to_text(F126),""[^A-Za-z0-9]"",""""))"),"sauter_eyrc504fxxx")</f>
        <v>sauter_eyrc504fxxx</v>
      </c>
      <c r="BG126" s="275" t="str">
        <f>IFERROR(__xludf.DUMMYFUNCTION("upper(Regexreplace(to_text(E126),""[^A-Za-z0-9]"","""")&amp;""-""&amp;Regexreplace(to_text(F126),""[^A-Za-z0-9]"",""""))"),"SAUTER-EYRC504FXXX")</f>
        <v>SAUTER-EYRC504FXXX</v>
      </c>
    </row>
    <row r="127" ht="30.0" customHeight="1">
      <c r="A127" s="173">
        <v>123.0</v>
      </c>
      <c r="B127" s="256" t="s">
        <v>670</v>
      </c>
      <c r="C127" s="257" t="s">
        <v>1328</v>
      </c>
      <c r="D127" s="173" t="s">
        <v>1328</v>
      </c>
      <c r="E127" s="174" t="s">
        <v>672</v>
      </c>
      <c r="F127" s="173" t="s">
        <v>514</v>
      </c>
      <c r="G127" s="258" t="s">
        <v>673</v>
      </c>
      <c r="H127" s="258" t="s">
        <v>674</v>
      </c>
      <c r="I127" s="258" t="s">
        <v>675</v>
      </c>
      <c r="J127" s="259" t="s">
        <v>1272</v>
      </c>
      <c r="K127" s="260">
        <v>834.0</v>
      </c>
      <c r="L127" s="258" t="s">
        <v>1323</v>
      </c>
      <c r="M127" s="277">
        <v>4.11001237738E11</v>
      </c>
      <c r="N127" s="173" t="s">
        <v>679</v>
      </c>
      <c r="O127" s="173" t="s">
        <v>225</v>
      </c>
      <c r="P127" s="262" t="str">
        <f t="shared" si="1"/>
        <v>IN-BLR-ANANTA-DDC-323_8</v>
      </c>
      <c r="Q127" s="173" t="s">
        <v>1329</v>
      </c>
      <c r="R127" s="258" t="str">
        <f>IFS(C127="","",C127="n/a","N/A",LEN(C127),Concatenate("{",char(34),"asset",char(34),":{",char(34),"guid",char(34),":",char(34),Q127,char(34),",",char(34),"site",char(34),":",char(34),LOWER('2-Building'!$B$4),char(34),",",char(34),"name",char(34),":",char(34),LOWER(C127),char(34),"}}"))</f>
        <v>{"asset":{"guid":"uuid://a0140c57-8ef6-45b4-9fac-2f34cdab2d47","site":"in-blr-ananta","name":"ddc-323"}}</v>
      </c>
      <c r="S127" s="258" t="s">
        <v>681</v>
      </c>
      <c r="T127" s="263"/>
      <c r="U127" s="263"/>
      <c r="V127" s="264">
        <v>2.23</v>
      </c>
      <c r="W127" s="33" t="s">
        <v>682</v>
      </c>
      <c r="X127" s="258" t="s">
        <v>683</v>
      </c>
      <c r="Y127" s="33" t="s">
        <v>684</v>
      </c>
      <c r="Z127" s="258">
        <v>14123.0</v>
      </c>
      <c r="AA127" s="258">
        <v>11501.0</v>
      </c>
      <c r="AB127" s="258"/>
      <c r="AC127" s="258"/>
      <c r="AD127" s="265"/>
      <c r="AE127" s="266" t="s">
        <v>685</v>
      </c>
      <c r="AF127" s="267" t="s">
        <v>1330</v>
      </c>
      <c r="AG127" s="268" t="str">
        <f>IFS(LEN(AF127)=17,LOWER('2-Building'!$B$4 &amp; "-" &amp; C127), AF127="N/A", "N/A", LEN(AF127)=0,"")</f>
        <v>in-blr-ananta-ddc-323</v>
      </c>
      <c r="AH127" s="258"/>
      <c r="AI127" s="258"/>
      <c r="AJ127" s="258"/>
      <c r="AK127" s="258" t="s">
        <v>1331</v>
      </c>
      <c r="AL127" s="258" t="s">
        <v>688</v>
      </c>
      <c r="AM127" s="258" t="s">
        <v>689</v>
      </c>
      <c r="AN127" s="258"/>
      <c r="AO127" s="258"/>
      <c r="AP127" s="258"/>
      <c r="AQ127" s="258"/>
      <c r="AR127" s="258" t="s">
        <v>690</v>
      </c>
      <c r="AS127" s="258" t="s">
        <v>691</v>
      </c>
      <c r="AT127" s="258" t="s">
        <v>1327</v>
      </c>
      <c r="AU127" s="265" t="s">
        <v>693</v>
      </c>
      <c r="AV127" s="174" t="s">
        <v>243</v>
      </c>
      <c r="AW127" s="269" t="s">
        <v>245</v>
      </c>
      <c r="AX127" s="269" t="s">
        <v>694</v>
      </c>
      <c r="AY127" s="270" t="s">
        <v>695</v>
      </c>
      <c r="AZ127" s="173" t="s">
        <v>681</v>
      </c>
      <c r="BA127" s="265">
        <v>10.0</v>
      </c>
      <c r="BB127" s="174" t="s">
        <v>225</v>
      </c>
      <c r="BC127" s="271"/>
      <c r="BD127" s="272" t="s">
        <v>696</v>
      </c>
      <c r="BE127" s="273" t="s">
        <v>697</v>
      </c>
      <c r="BF127" s="274" t="str">
        <f>IFERROR(__xludf.DUMMYFUNCTION("LOWER(Regexreplace(to_text(E127),""[^A-Za-z0-9]"","""")&amp;""_""&amp;Regexreplace(to_text(F127),""[^A-Za-z0-9]"",""""))"),"sauter_eyrc504fxxx")</f>
        <v>sauter_eyrc504fxxx</v>
      </c>
      <c r="BG127" s="275" t="str">
        <f>IFERROR(__xludf.DUMMYFUNCTION("upper(Regexreplace(to_text(E127),""[^A-Za-z0-9]"","""")&amp;""-""&amp;Regexreplace(to_text(F127),""[^A-Za-z0-9]"",""""))"),"SAUTER-EYRC504FXXX")</f>
        <v>SAUTER-EYRC504FXXX</v>
      </c>
    </row>
    <row r="128" ht="30.0" customHeight="1">
      <c r="A128" s="258">
        <v>124.0</v>
      </c>
      <c r="B128" s="256" t="s">
        <v>670</v>
      </c>
      <c r="C128" s="257" t="s">
        <v>1332</v>
      </c>
      <c r="D128" s="173" t="s">
        <v>1332</v>
      </c>
      <c r="E128" s="174" t="s">
        <v>672</v>
      </c>
      <c r="F128" s="173" t="s">
        <v>514</v>
      </c>
      <c r="G128" s="258" t="s">
        <v>673</v>
      </c>
      <c r="H128" s="258" t="s">
        <v>674</v>
      </c>
      <c r="I128" s="258" t="s">
        <v>675</v>
      </c>
      <c r="J128" s="259" t="s">
        <v>1333</v>
      </c>
      <c r="K128" s="260">
        <v>963.0</v>
      </c>
      <c r="L128" s="258" t="s">
        <v>1334</v>
      </c>
      <c r="M128" s="277">
        <v>4.11001359336E11</v>
      </c>
      <c r="N128" s="173" t="s">
        <v>679</v>
      </c>
      <c r="O128" s="173" t="s">
        <v>225</v>
      </c>
      <c r="P128" s="262" t="str">
        <f t="shared" si="1"/>
        <v>IN-BLR-ANANTA-DDC-324_9</v>
      </c>
      <c r="Q128" s="173" t="s">
        <v>1335</v>
      </c>
      <c r="R128" s="258" t="str">
        <f>IFS(C128="","",C128="n/a","N/A",LEN(C128),Concatenate("{",char(34),"asset",char(34),":{",char(34),"guid",char(34),":",char(34),Q128,char(34),",",char(34),"site",char(34),":",char(34),LOWER('2-Building'!$B$4),char(34),",",char(34),"name",char(34),":",char(34),LOWER(C128),char(34),"}}"))</f>
        <v>{"asset":{"guid":"uuid://d8115dac-d611-437a-ad3e-a21f89bee657","site":"in-blr-ananta","name":"ddc-324"}}</v>
      </c>
      <c r="S128" s="258" t="s">
        <v>681</v>
      </c>
      <c r="T128" s="263"/>
      <c r="U128" s="263"/>
      <c r="V128" s="264">
        <v>2.23</v>
      </c>
      <c r="W128" s="33" t="s">
        <v>682</v>
      </c>
      <c r="X128" s="258" t="s">
        <v>683</v>
      </c>
      <c r="Y128" s="33" t="s">
        <v>684</v>
      </c>
      <c r="Z128" s="258">
        <v>14124.0</v>
      </c>
      <c r="AA128" s="258">
        <v>11501.0</v>
      </c>
      <c r="AB128" s="258"/>
      <c r="AC128" s="258"/>
      <c r="AD128" s="265"/>
      <c r="AE128" s="266" t="s">
        <v>685</v>
      </c>
      <c r="AF128" s="267" t="s">
        <v>1336</v>
      </c>
      <c r="AG128" s="268" t="str">
        <f>IFS(LEN(AF128)=17,LOWER('2-Building'!$B$4 &amp; "-" &amp; C128), AF128="N/A", "N/A", LEN(AF128)=0,"")</f>
        <v>in-blr-ananta-ddc-324</v>
      </c>
      <c r="AH128" s="258"/>
      <c r="AI128" s="258"/>
      <c r="AJ128" s="258"/>
      <c r="AK128" s="258" t="s">
        <v>1337</v>
      </c>
      <c r="AL128" s="258" t="s">
        <v>688</v>
      </c>
      <c r="AM128" s="258" t="s">
        <v>689</v>
      </c>
      <c r="AN128" s="258"/>
      <c r="AO128" s="258"/>
      <c r="AP128" s="258"/>
      <c r="AQ128" s="258"/>
      <c r="AR128" s="258" t="s">
        <v>690</v>
      </c>
      <c r="AS128" s="258" t="s">
        <v>691</v>
      </c>
      <c r="AT128" s="258" t="s">
        <v>1338</v>
      </c>
      <c r="AU128" s="265" t="s">
        <v>693</v>
      </c>
      <c r="AV128" s="174" t="s">
        <v>243</v>
      </c>
      <c r="AW128" s="269" t="s">
        <v>245</v>
      </c>
      <c r="AX128" s="269" t="s">
        <v>694</v>
      </c>
      <c r="AY128" s="270" t="s">
        <v>695</v>
      </c>
      <c r="AZ128" s="173" t="s">
        <v>681</v>
      </c>
      <c r="BA128" s="265">
        <v>10.0</v>
      </c>
      <c r="BB128" s="174" t="s">
        <v>225</v>
      </c>
      <c r="BC128" s="271"/>
      <c r="BD128" s="272" t="s">
        <v>696</v>
      </c>
      <c r="BE128" s="273" t="s">
        <v>697</v>
      </c>
      <c r="BF128" s="274" t="str">
        <f>IFERROR(__xludf.DUMMYFUNCTION("LOWER(Regexreplace(to_text(E128),""[^A-Za-z0-9]"","""")&amp;""_""&amp;Regexreplace(to_text(F128),""[^A-Za-z0-9]"",""""))"),"sauter_eyrc504fxxx")</f>
        <v>sauter_eyrc504fxxx</v>
      </c>
      <c r="BG128" s="275" t="str">
        <f>IFERROR(__xludf.DUMMYFUNCTION("upper(Regexreplace(to_text(E128),""[^A-Za-z0-9]"","""")&amp;""-""&amp;Regexreplace(to_text(F128),""[^A-Za-z0-9]"",""""))"),"SAUTER-EYRC504FXXX")</f>
        <v>SAUTER-EYRC504FXXX</v>
      </c>
    </row>
    <row r="129" ht="30.0" customHeight="1">
      <c r="A129" s="173">
        <v>125.0</v>
      </c>
      <c r="B129" s="256" t="s">
        <v>670</v>
      </c>
      <c r="C129" s="257" t="s">
        <v>1339</v>
      </c>
      <c r="D129" s="173" t="s">
        <v>1339</v>
      </c>
      <c r="E129" s="174" t="s">
        <v>672</v>
      </c>
      <c r="F129" s="173" t="s">
        <v>514</v>
      </c>
      <c r="G129" s="258" t="s">
        <v>673</v>
      </c>
      <c r="H129" s="258" t="s">
        <v>674</v>
      </c>
      <c r="I129" s="258" t="s">
        <v>675</v>
      </c>
      <c r="J129" s="259" t="s">
        <v>1333</v>
      </c>
      <c r="K129" s="260">
        <v>963.0</v>
      </c>
      <c r="L129" s="258" t="s">
        <v>1334</v>
      </c>
      <c r="M129" s="277">
        <v>4.11001360191E11</v>
      </c>
      <c r="N129" s="173" t="s">
        <v>679</v>
      </c>
      <c r="O129" s="173" t="s">
        <v>225</v>
      </c>
      <c r="P129" s="262" t="str">
        <f t="shared" si="1"/>
        <v>IN-BLR-ANANTA-DDC-325_9</v>
      </c>
      <c r="Q129" s="173" t="s">
        <v>1340</v>
      </c>
      <c r="R129" s="258" t="str">
        <f>IFS(C129="","",C129="n/a","N/A",LEN(C129),Concatenate("{",char(34),"asset",char(34),":{",char(34),"guid",char(34),":",char(34),Q129,char(34),",",char(34),"site",char(34),":",char(34),LOWER('2-Building'!$B$4),char(34),",",char(34),"name",char(34),":",char(34),LOWER(C129),char(34),"}}"))</f>
        <v>{"asset":{"guid":"uuid://ed1995cc-e1cf-498e-a3fc-e2f9d500942d","site":"in-blr-ananta","name":"ddc-325"}}</v>
      </c>
      <c r="S129" s="258" t="s">
        <v>681</v>
      </c>
      <c r="T129" s="263"/>
      <c r="U129" s="263"/>
      <c r="V129" s="264">
        <v>2.23</v>
      </c>
      <c r="W129" s="33" t="s">
        <v>682</v>
      </c>
      <c r="X129" s="258" t="s">
        <v>683</v>
      </c>
      <c r="Y129" s="33" t="s">
        <v>684</v>
      </c>
      <c r="Z129" s="258">
        <v>14125.0</v>
      </c>
      <c r="AA129" s="258">
        <v>11501.0</v>
      </c>
      <c r="AB129" s="258"/>
      <c r="AC129" s="258"/>
      <c r="AD129" s="265"/>
      <c r="AE129" s="266" t="s">
        <v>685</v>
      </c>
      <c r="AF129" s="267" t="s">
        <v>1341</v>
      </c>
      <c r="AG129" s="268" t="str">
        <f>IFS(LEN(AF129)=17,LOWER('2-Building'!$B$4 &amp; "-" &amp; C129), AF129="N/A", "N/A", LEN(AF129)=0,"")</f>
        <v>in-blr-ananta-ddc-325</v>
      </c>
      <c r="AH129" s="258"/>
      <c r="AI129" s="258"/>
      <c r="AJ129" s="258"/>
      <c r="AK129" s="258" t="s">
        <v>1342</v>
      </c>
      <c r="AL129" s="258" t="s">
        <v>688</v>
      </c>
      <c r="AM129" s="258" t="s">
        <v>689</v>
      </c>
      <c r="AN129" s="258"/>
      <c r="AO129" s="258"/>
      <c r="AP129" s="258"/>
      <c r="AQ129" s="258"/>
      <c r="AR129" s="258" t="s">
        <v>690</v>
      </c>
      <c r="AS129" s="258" t="s">
        <v>691</v>
      </c>
      <c r="AT129" s="258" t="s">
        <v>1338</v>
      </c>
      <c r="AU129" s="265" t="s">
        <v>693</v>
      </c>
      <c r="AV129" s="174" t="s">
        <v>243</v>
      </c>
      <c r="AW129" s="269" t="s">
        <v>245</v>
      </c>
      <c r="AX129" s="269" t="s">
        <v>694</v>
      </c>
      <c r="AY129" s="270" t="s">
        <v>695</v>
      </c>
      <c r="AZ129" s="173" t="s">
        <v>681</v>
      </c>
      <c r="BA129" s="265">
        <v>10.0</v>
      </c>
      <c r="BB129" s="174" t="s">
        <v>225</v>
      </c>
      <c r="BC129" s="271"/>
      <c r="BD129" s="272" t="s">
        <v>696</v>
      </c>
      <c r="BE129" s="273" t="s">
        <v>697</v>
      </c>
      <c r="BF129" s="274" t="str">
        <f>IFERROR(__xludf.DUMMYFUNCTION("LOWER(Regexreplace(to_text(E129),""[^A-Za-z0-9]"","""")&amp;""_""&amp;Regexreplace(to_text(F129),""[^A-Za-z0-9]"",""""))"),"sauter_eyrc504fxxx")</f>
        <v>sauter_eyrc504fxxx</v>
      </c>
      <c r="BG129" s="275" t="str">
        <f>IFERROR(__xludf.DUMMYFUNCTION("upper(Regexreplace(to_text(E129),""[^A-Za-z0-9]"","""")&amp;""-""&amp;Regexreplace(to_text(F129),""[^A-Za-z0-9]"",""""))"),"SAUTER-EYRC504FXXX")</f>
        <v>SAUTER-EYRC504FXXX</v>
      </c>
    </row>
    <row r="130" ht="30.0" customHeight="1">
      <c r="A130" s="258">
        <v>126.0</v>
      </c>
      <c r="B130" s="256" t="s">
        <v>670</v>
      </c>
      <c r="C130" s="257" t="s">
        <v>1343</v>
      </c>
      <c r="D130" s="173" t="s">
        <v>1343</v>
      </c>
      <c r="E130" s="174" t="s">
        <v>672</v>
      </c>
      <c r="F130" s="173" t="s">
        <v>514</v>
      </c>
      <c r="G130" s="258" t="s">
        <v>673</v>
      </c>
      <c r="H130" s="258" t="s">
        <v>674</v>
      </c>
      <c r="I130" s="258" t="s">
        <v>675</v>
      </c>
      <c r="J130" s="259" t="s">
        <v>1333</v>
      </c>
      <c r="K130" s="260">
        <v>975.0</v>
      </c>
      <c r="L130" s="258" t="s">
        <v>1344</v>
      </c>
      <c r="M130" s="277">
        <v>4.11001239303E11</v>
      </c>
      <c r="N130" s="173" t="s">
        <v>679</v>
      </c>
      <c r="O130" s="173" t="s">
        <v>225</v>
      </c>
      <c r="P130" s="262" t="str">
        <f t="shared" si="1"/>
        <v>IN-BLR-ANANTA-DDC-326_9</v>
      </c>
      <c r="Q130" s="173" t="s">
        <v>1345</v>
      </c>
      <c r="R130" s="258" t="str">
        <f>IFS(C130="","",C130="n/a","N/A",LEN(C130),Concatenate("{",char(34),"asset",char(34),":{",char(34),"guid",char(34),":",char(34),Q130,char(34),",",char(34),"site",char(34),":",char(34),LOWER('2-Building'!$B$4),char(34),",",char(34),"name",char(34),":",char(34),LOWER(C130),char(34),"}}"))</f>
        <v>{"asset":{"guid":"uuid://7cc162fe-e478-4220-88cb-5dd37b417b9e","site":"in-blr-ananta","name":"ddc-326"}}</v>
      </c>
      <c r="S130" s="258" t="s">
        <v>681</v>
      </c>
      <c r="T130" s="263"/>
      <c r="U130" s="263"/>
      <c r="V130" s="264">
        <v>2.23</v>
      </c>
      <c r="W130" s="33" t="s">
        <v>682</v>
      </c>
      <c r="X130" s="258" t="s">
        <v>683</v>
      </c>
      <c r="Y130" s="33" t="s">
        <v>684</v>
      </c>
      <c r="Z130" s="258">
        <v>14126.0</v>
      </c>
      <c r="AA130" s="258">
        <v>11501.0</v>
      </c>
      <c r="AB130" s="258"/>
      <c r="AC130" s="258"/>
      <c r="AD130" s="265"/>
      <c r="AE130" s="266" t="s">
        <v>685</v>
      </c>
      <c r="AF130" s="267" t="s">
        <v>1346</v>
      </c>
      <c r="AG130" s="268" t="str">
        <f>IFS(LEN(AF130)=17,LOWER('2-Building'!$B$4 &amp; "-" &amp; C130), AF130="N/A", "N/A", LEN(AF130)=0,"")</f>
        <v>in-blr-ananta-ddc-326</v>
      </c>
      <c r="AH130" s="258"/>
      <c r="AI130" s="258"/>
      <c r="AJ130" s="258"/>
      <c r="AK130" s="258" t="s">
        <v>1347</v>
      </c>
      <c r="AL130" s="258" t="s">
        <v>688</v>
      </c>
      <c r="AM130" s="258" t="s">
        <v>689</v>
      </c>
      <c r="AN130" s="258"/>
      <c r="AO130" s="258"/>
      <c r="AP130" s="258"/>
      <c r="AQ130" s="258"/>
      <c r="AR130" s="258" t="s">
        <v>690</v>
      </c>
      <c r="AS130" s="258" t="s">
        <v>691</v>
      </c>
      <c r="AT130" s="258" t="s">
        <v>1327</v>
      </c>
      <c r="AU130" s="265" t="s">
        <v>693</v>
      </c>
      <c r="AV130" s="174" t="s">
        <v>243</v>
      </c>
      <c r="AW130" s="269" t="s">
        <v>245</v>
      </c>
      <c r="AX130" s="269" t="s">
        <v>694</v>
      </c>
      <c r="AY130" s="270" t="s">
        <v>695</v>
      </c>
      <c r="AZ130" s="173" t="s">
        <v>681</v>
      </c>
      <c r="BA130" s="265">
        <v>10.0</v>
      </c>
      <c r="BB130" s="174" t="s">
        <v>225</v>
      </c>
      <c r="BC130" s="271"/>
      <c r="BD130" s="272" t="s">
        <v>696</v>
      </c>
      <c r="BE130" s="273" t="s">
        <v>697</v>
      </c>
      <c r="BF130" s="274" t="str">
        <f>IFERROR(__xludf.DUMMYFUNCTION("LOWER(Regexreplace(to_text(E130),""[^A-Za-z0-9]"","""")&amp;""_""&amp;Regexreplace(to_text(F130),""[^A-Za-z0-9]"",""""))"),"sauter_eyrc504fxxx")</f>
        <v>sauter_eyrc504fxxx</v>
      </c>
      <c r="BG130" s="275" t="str">
        <f>IFERROR(__xludf.DUMMYFUNCTION("upper(Regexreplace(to_text(E130),""[^A-Za-z0-9]"","""")&amp;""-""&amp;Regexreplace(to_text(F130),""[^A-Za-z0-9]"",""""))"),"SAUTER-EYRC504FXXX")</f>
        <v>SAUTER-EYRC504FXXX</v>
      </c>
    </row>
    <row r="131" ht="30.0" customHeight="1">
      <c r="A131" s="173">
        <v>127.0</v>
      </c>
      <c r="B131" s="256" t="s">
        <v>670</v>
      </c>
      <c r="C131" s="257" t="s">
        <v>1348</v>
      </c>
      <c r="D131" s="173" t="s">
        <v>1348</v>
      </c>
      <c r="E131" s="174" t="s">
        <v>672</v>
      </c>
      <c r="F131" s="173" t="s">
        <v>514</v>
      </c>
      <c r="G131" s="258" t="s">
        <v>673</v>
      </c>
      <c r="H131" s="258" t="s">
        <v>674</v>
      </c>
      <c r="I131" s="258" t="s">
        <v>675</v>
      </c>
      <c r="J131" s="259" t="s">
        <v>1333</v>
      </c>
      <c r="K131" s="260">
        <v>975.0</v>
      </c>
      <c r="L131" s="258" t="s">
        <v>1344</v>
      </c>
      <c r="M131" s="277">
        <v>4.11001360254E11</v>
      </c>
      <c r="N131" s="173" t="s">
        <v>679</v>
      </c>
      <c r="O131" s="173" t="s">
        <v>225</v>
      </c>
      <c r="P131" s="262" t="str">
        <f t="shared" si="1"/>
        <v>IN-BLR-ANANTA-DDC-327_9</v>
      </c>
      <c r="Q131" s="173" t="s">
        <v>1349</v>
      </c>
      <c r="R131" s="258" t="str">
        <f>IFS(C131="","",C131="n/a","N/A",LEN(C131),Concatenate("{",char(34),"asset",char(34),":{",char(34),"guid",char(34),":",char(34),Q131,char(34),",",char(34),"site",char(34),":",char(34),LOWER('2-Building'!$B$4),char(34),",",char(34),"name",char(34),":",char(34),LOWER(C131),char(34),"}}"))</f>
        <v>{"asset":{"guid":"uuid://efbc1193-ff7b-4ebb-b625-6c3694cd9808","site":"in-blr-ananta","name":"ddc-327"}}</v>
      </c>
      <c r="S131" s="258" t="s">
        <v>681</v>
      </c>
      <c r="T131" s="263"/>
      <c r="U131" s="263"/>
      <c r="V131" s="264">
        <v>2.23</v>
      </c>
      <c r="W131" s="33" t="s">
        <v>682</v>
      </c>
      <c r="X131" s="258" t="s">
        <v>683</v>
      </c>
      <c r="Y131" s="33" t="s">
        <v>684</v>
      </c>
      <c r="Z131" s="258">
        <v>14127.0</v>
      </c>
      <c r="AA131" s="258">
        <v>11501.0</v>
      </c>
      <c r="AB131" s="258"/>
      <c r="AC131" s="258"/>
      <c r="AD131" s="265"/>
      <c r="AE131" s="266" t="s">
        <v>685</v>
      </c>
      <c r="AF131" s="267" t="s">
        <v>1350</v>
      </c>
      <c r="AG131" s="268" t="str">
        <f>IFS(LEN(AF131)=17,LOWER('2-Building'!$B$4 &amp; "-" &amp; C131), AF131="N/A", "N/A", LEN(AF131)=0,"")</f>
        <v>in-blr-ananta-ddc-327</v>
      </c>
      <c r="AH131" s="258"/>
      <c r="AI131" s="258"/>
      <c r="AJ131" s="258"/>
      <c r="AK131" s="258" t="s">
        <v>1351</v>
      </c>
      <c r="AL131" s="258" t="s">
        <v>688</v>
      </c>
      <c r="AM131" s="258" t="s">
        <v>689</v>
      </c>
      <c r="AN131" s="258"/>
      <c r="AO131" s="258"/>
      <c r="AP131" s="258"/>
      <c r="AQ131" s="258"/>
      <c r="AR131" s="258" t="s">
        <v>690</v>
      </c>
      <c r="AS131" s="258" t="s">
        <v>691</v>
      </c>
      <c r="AT131" s="258" t="s">
        <v>1327</v>
      </c>
      <c r="AU131" s="265" t="s">
        <v>693</v>
      </c>
      <c r="AV131" s="174" t="s">
        <v>243</v>
      </c>
      <c r="AW131" s="269" t="s">
        <v>245</v>
      </c>
      <c r="AX131" s="269" t="s">
        <v>694</v>
      </c>
      <c r="AY131" s="270" t="s">
        <v>695</v>
      </c>
      <c r="AZ131" s="173" t="s">
        <v>681</v>
      </c>
      <c r="BA131" s="265">
        <v>10.0</v>
      </c>
      <c r="BB131" s="174" t="s">
        <v>225</v>
      </c>
      <c r="BC131" s="271"/>
      <c r="BD131" s="272" t="s">
        <v>696</v>
      </c>
      <c r="BE131" s="273" t="s">
        <v>697</v>
      </c>
      <c r="BF131" s="274" t="str">
        <f>IFERROR(__xludf.DUMMYFUNCTION("LOWER(Regexreplace(to_text(E131),""[^A-Za-z0-9]"","""")&amp;""_""&amp;Regexreplace(to_text(F131),""[^A-Za-z0-9]"",""""))"),"sauter_eyrc504fxxx")</f>
        <v>sauter_eyrc504fxxx</v>
      </c>
      <c r="BG131" s="275" t="str">
        <f>IFERROR(__xludf.DUMMYFUNCTION("upper(Regexreplace(to_text(E131),""[^A-Za-z0-9]"","""")&amp;""-""&amp;Regexreplace(to_text(F131),""[^A-Za-z0-9]"",""""))"),"SAUTER-EYRC504FXXX")</f>
        <v>SAUTER-EYRC504FXXX</v>
      </c>
    </row>
    <row r="132" ht="30.0" customHeight="1">
      <c r="A132" s="258">
        <v>128.0</v>
      </c>
      <c r="B132" s="256" t="s">
        <v>670</v>
      </c>
      <c r="C132" s="257" t="s">
        <v>1352</v>
      </c>
      <c r="D132" s="173" t="s">
        <v>1352</v>
      </c>
      <c r="E132" s="174" t="s">
        <v>672</v>
      </c>
      <c r="F132" s="173" t="s">
        <v>514</v>
      </c>
      <c r="G132" s="258" t="s">
        <v>673</v>
      </c>
      <c r="H132" s="258" t="s">
        <v>674</v>
      </c>
      <c r="I132" s="258" t="s">
        <v>675</v>
      </c>
      <c r="J132" s="259" t="s">
        <v>1333</v>
      </c>
      <c r="K132" s="260">
        <v>919.0</v>
      </c>
      <c r="L132" s="258" t="s">
        <v>1353</v>
      </c>
      <c r="M132" s="277">
        <v>4.11001359981E11</v>
      </c>
      <c r="N132" s="173" t="s">
        <v>679</v>
      </c>
      <c r="O132" s="173" t="s">
        <v>225</v>
      </c>
      <c r="P132" s="262" t="str">
        <f t="shared" si="1"/>
        <v>IN-BLR-ANANTA-DDC-328_9</v>
      </c>
      <c r="Q132" s="173" t="s">
        <v>1354</v>
      </c>
      <c r="R132" s="258" t="str">
        <f>IFS(C132="","",C132="n/a","N/A",LEN(C132),Concatenate("{",char(34),"asset",char(34),":{",char(34),"guid",char(34),":",char(34),Q132,char(34),",",char(34),"site",char(34),":",char(34),LOWER('2-Building'!$B$4),char(34),",",char(34),"name",char(34),":",char(34),LOWER(C132),char(34),"}}"))</f>
        <v>{"asset":{"guid":"uuid://fca941a9-7a1a-46fb-afbb-d26c092e29de","site":"in-blr-ananta","name":"ddc-328"}}</v>
      </c>
      <c r="S132" s="258" t="s">
        <v>681</v>
      </c>
      <c r="T132" s="263"/>
      <c r="U132" s="263"/>
      <c r="V132" s="264">
        <v>2.23</v>
      </c>
      <c r="W132" s="33" t="s">
        <v>682</v>
      </c>
      <c r="X132" s="258" t="s">
        <v>683</v>
      </c>
      <c r="Y132" s="33" t="s">
        <v>684</v>
      </c>
      <c r="Z132" s="258">
        <v>14128.0</v>
      </c>
      <c r="AA132" s="258">
        <v>11501.0</v>
      </c>
      <c r="AB132" s="258"/>
      <c r="AC132" s="258"/>
      <c r="AD132" s="265"/>
      <c r="AE132" s="266" t="s">
        <v>685</v>
      </c>
      <c r="AF132" s="267" t="s">
        <v>1355</v>
      </c>
      <c r="AG132" s="268" t="str">
        <f>IFS(LEN(AF132)=17,LOWER('2-Building'!$B$4 &amp; "-" &amp; C132), AF132="N/A", "N/A", LEN(AF132)=0,"")</f>
        <v>in-blr-ananta-ddc-328</v>
      </c>
      <c r="AH132" s="258"/>
      <c r="AI132" s="258"/>
      <c r="AJ132" s="258"/>
      <c r="AK132" s="258" t="s">
        <v>1356</v>
      </c>
      <c r="AL132" s="258" t="s">
        <v>688</v>
      </c>
      <c r="AM132" s="258" t="s">
        <v>689</v>
      </c>
      <c r="AN132" s="258"/>
      <c r="AO132" s="258"/>
      <c r="AP132" s="258"/>
      <c r="AQ132" s="258"/>
      <c r="AR132" s="258" t="s">
        <v>690</v>
      </c>
      <c r="AS132" s="258" t="s">
        <v>691</v>
      </c>
      <c r="AT132" s="258" t="s">
        <v>1357</v>
      </c>
      <c r="AU132" s="265" t="s">
        <v>693</v>
      </c>
      <c r="AV132" s="174" t="s">
        <v>243</v>
      </c>
      <c r="AW132" s="269" t="s">
        <v>245</v>
      </c>
      <c r="AX132" s="269" t="s">
        <v>694</v>
      </c>
      <c r="AY132" s="270" t="s">
        <v>695</v>
      </c>
      <c r="AZ132" s="173" t="s">
        <v>681</v>
      </c>
      <c r="BA132" s="265">
        <v>10.0</v>
      </c>
      <c r="BB132" s="174" t="s">
        <v>225</v>
      </c>
      <c r="BC132" s="271"/>
      <c r="BD132" s="272" t="s">
        <v>696</v>
      </c>
      <c r="BE132" s="273" t="s">
        <v>697</v>
      </c>
      <c r="BF132" s="274" t="str">
        <f>IFERROR(__xludf.DUMMYFUNCTION("LOWER(Regexreplace(to_text(E132),""[^A-Za-z0-9]"","""")&amp;""_""&amp;Regexreplace(to_text(F132),""[^A-Za-z0-9]"",""""))"),"sauter_eyrc504fxxx")</f>
        <v>sauter_eyrc504fxxx</v>
      </c>
      <c r="BG132" s="275" t="str">
        <f>IFERROR(__xludf.DUMMYFUNCTION("upper(Regexreplace(to_text(E132),""[^A-Za-z0-9]"","""")&amp;""-""&amp;Regexreplace(to_text(F132),""[^A-Za-z0-9]"",""""))"),"SAUTER-EYRC504FXXX")</f>
        <v>SAUTER-EYRC504FXXX</v>
      </c>
    </row>
    <row r="133" ht="30.0" customHeight="1">
      <c r="A133" s="173">
        <v>129.0</v>
      </c>
      <c r="B133" s="256" t="s">
        <v>670</v>
      </c>
      <c r="C133" s="257" t="s">
        <v>1358</v>
      </c>
      <c r="D133" s="173" t="s">
        <v>1358</v>
      </c>
      <c r="E133" s="174" t="s">
        <v>672</v>
      </c>
      <c r="F133" s="173" t="s">
        <v>514</v>
      </c>
      <c r="G133" s="258" t="s">
        <v>673</v>
      </c>
      <c r="H133" s="258" t="s">
        <v>674</v>
      </c>
      <c r="I133" s="258" t="s">
        <v>675</v>
      </c>
      <c r="J133" s="259" t="s">
        <v>1333</v>
      </c>
      <c r="K133" s="260">
        <v>919.0</v>
      </c>
      <c r="L133" s="258" t="s">
        <v>1353</v>
      </c>
      <c r="M133" s="277">
        <v>4.11001359573E11</v>
      </c>
      <c r="N133" s="173" t="s">
        <v>679</v>
      </c>
      <c r="O133" s="173" t="s">
        <v>225</v>
      </c>
      <c r="P133" s="262" t="str">
        <f t="shared" si="1"/>
        <v>IN-BLR-ANANTA-DDC-329_9</v>
      </c>
      <c r="Q133" s="173" t="s">
        <v>1359</v>
      </c>
      <c r="R133" s="258" t="str">
        <f>IFS(C133="","",C133="n/a","N/A",LEN(C133),Concatenate("{",char(34),"asset",char(34),":{",char(34),"guid",char(34),":",char(34),Q133,char(34),",",char(34),"site",char(34),":",char(34),LOWER('2-Building'!$B$4),char(34),",",char(34),"name",char(34),":",char(34),LOWER(C133),char(34),"}}"))</f>
        <v>{"asset":{"guid":"uuid://3d329fe3-33bb-4c03-9441-8c8fd145f347","site":"in-blr-ananta","name":"ddc-329"}}</v>
      </c>
      <c r="S133" s="258" t="s">
        <v>681</v>
      </c>
      <c r="T133" s="263"/>
      <c r="U133" s="263"/>
      <c r="V133" s="264">
        <v>2.23</v>
      </c>
      <c r="W133" s="33" t="s">
        <v>682</v>
      </c>
      <c r="X133" s="258" t="s">
        <v>683</v>
      </c>
      <c r="Y133" s="33" t="s">
        <v>684</v>
      </c>
      <c r="Z133" s="258">
        <v>14129.0</v>
      </c>
      <c r="AA133" s="258">
        <v>11501.0</v>
      </c>
      <c r="AB133" s="258"/>
      <c r="AC133" s="258"/>
      <c r="AD133" s="265"/>
      <c r="AE133" s="266" t="s">
        <v>685</v>
      </c>
      <c r="AF133" s="267" t="s">
        <v>1360</v>
      </c>
      <c r="AG133" s="268" t="str">
        <f>IFS(LEN(AF133)=17,LOWER('2-Building'!$B$4 &amp; "-" &amp; C133), AF133="N/A", "N/A", LEN(AF133)=0,"")</f>
        <v>in-blr-ananta-ddc-329</v>
      </c>
      <c r="AH133" s="258"/>
      <c r="AI133" s="258"/>
      <c r="AJ133" s="258"/>
      <c r="AK133" s="258" t="s">
        <v>1361</v>
      </c>
      <c r="AL133" s="258" t="s">
        <v>688</v>
      </c>
      <c r="AM133" s="258" t="s">
        <v>689</v>
      </c>
      <c r="AN133" s="258"/>
      <c r="AO133" s="258"/>
      <c r="AP133" s="258"/>
      <c r="AQ133" s="258"/>
      <c r="AR133" s="258" t="s">
        <v>690</v>
      </c>
      <c r="AS133" s="258" t="s">
        <v>691</v>
      </c>
      <c r="AT133" s="258" t="s">
        <v>1357</v>
      </c>
      <c r="AU133" s="265" t="s">
        <v>693</v>
      </c>
      <c r="AV133" s="174" t="s">
        <v>243</v>
      </c>
      <c r="AW133" s="269" t="s">
        <v>245</v>
      </c>
      <c r="AX133" s="269" t="s">
        <v>694</v>
      </c>
      <c r="AY133" s="270" t="s">
        <v>695</v>
      </c>
      <c r="AZ133" s="173" t="s">
        <v>681</v>
      </c>
      <c r="BA133" s="265">
        <v>10.0</v>
      </c>
      <c r="BB133" s="174" t="s">
        <v>225</v>
      </c>
      <c r="BC133" s="271"/>
      <c r="BD133" s="272" t="s">
        <v>696</v>
      </c>
      <c r="BE133" s="273" t="s">
        <v>697</v>
      </c>
      <c r="BF133" s="274" t="str">
        <f>IFERROR(__xludf.DUMMYFUNCTION("LOWER(Regexreplace(to_text(E133),""[^A-Za-z0-9]"","""")&amp;""_""&amp;Regexreplace(to_text(F133),""[^A-Za-z0-9]"",""""))"),"sauter_eyrc504fxxx")</f>
        <v>sauter_eyrc504fxxx</v>
      </c>
      <c r="BG133" s="275" t="str">
        <f>IFERROR(__xludf.DUMMYFUNCTION("upper(Regexreplace(to_text(E133),""[^A-Za-z0-9]"","""")&amp;""-""&amp;Regexreplace(to_text(F133),""[^A-Za-z0-9]"",""""))"),"SAUTER-EYRC504FXXX")</f>
        <v>SAUTER-EYRC504FXXX</v>
      </c>
    </row>
    <row r="134" ht="30.0" customHeight="1">
      <c r="A134" s="258">
        <v>130.0</v>
      </c>
      <c r="B134" s="256" t="s">
        <v>670</v>
      </c>
      <c r="C134" s="257" t="s">
        <v>1362</v>
      </c>
      <c r="D134" s="173" t="s">
        <v>1362</v>
      </c>
      <c r="E134" s="174" t="s">
        <v>672</v>
      </c>
      <c r="F134" s="173" t="s">
        <v>514</v>
      </c>
      <c r="G134" s="258" t="s">
        <v>673</v>
      </c>
      <c r="H134" s="258" t="s">
        <v>674</v>
      </c>
      <c r="I134" s="258" t="s">
        <v>675</v>
      </c>
      <c r="J134" s="259" t="s">
        <v>1333</v>
      </c>
      <c r="K134" s="260">
        <v>948.0</v>
      </c>
      <c r="L134" s="258" t="s">
        <v>1363</v>
      </c>
      <c r="M134" s="277">
        <v>4.11001360181E11</v>
      </c>
      <c r="N134" s="173" t="s">
        <v>679</v>
      </c>
      <c r="O134" s="173" t="s">
        <v>225</v>
      </c>
      <c r="P134" s="262" t="str">
        <f t="shared" si="1"/>
        <v>IN-BLR-ANANTA-DDC-330_9</v>
      </c>
      <c r="Q134" s="173" t="s">
        <v>1364</v>
      </c>
      <c r="R134" s="258" t="str">
        <f>IFS(C134="","",C134="n/a","N/A",LEN(C134),Concatenate("{",char(34),"asset",char(34),":{",char(34),"guid",char(34),":",char(34),Q134,char(34),",",char(34),"site",char(34),":",char(34),LOWER('2-Building'!$B$4),char(34),",",char(34),"name",char(34),":",char(34),LOWER(C134),char(34),"}}"))</f>
        <v>{"asset":{"guid":"uuid://da91bed2-4bbf-4819-8310-2cd5c3a2ea1a","site":"in-blr-ananta","name":"ddc-330"}}</v>
      </c>
      <c r="S134" s="258" t="s">
        <v>681</v>
      </c>
      <c r="T134" s="263"/>
      <c r="U134" s="263"/>
      <c r="V134" s="264">
        <v>2.23</v>
      </c>
      <c r="W134" s="33" t="s">
        <v>682</v>
      </c>
      <c r="X134" s="258" t="s">
        <v>683</v>
      </c>
      <c r="Y134" s="33" t="s">
        <v>684</v>
      </c>
      <c r="Z134" s="258">
        <v>14130.0</v>
      </c>
      <c r="AA134" s="258">
        <v>11501.0</v>
      </c>
      <c r="AB134" s="258"/>
      <c r="AC134" s="258"/>
      <c r="AD134" s="265"/>
      <c r="AE134" s="266" t="s">
        <v>685</v>
      </c>
      <c r="AF134" s="267" t="s">
        <v>1365</v>
      </c>
      <c r="AG134" s="268" t="str">
        <f>IFS(LEN(AF134)=17,LOWER('2-Building'!$B$4 &amp; "-" &amp; C134), AF134="N/A", "N/A", LEN(AF134)=0,"")</f>
        <v>in-blr-ananta-ddc-330</v>
      </c>
      <c r="AH134" s="258"/>
      <c r="AI134" s="258"/>
      <c r="AJ134" s="258"/>
      <c r="AK134" s="258" t="s">
        <v>1366</v>
      </c>
      <c r="AL134" s="258" t="s">
        <v>688</v>
      </c>
      <c r="AM134" s="258" t="s">
        <v>689</v>
      </c>
      <c r="AN134" s="258"/>
      <c r="AO134" s="258"/>
      <c r="AP134" s="258"/>
      <c r="AQ134" s="258"/>
      <c r="AR134" s="258" t="s">
        <v>690</v>
      </c>
      <c r="AS134" s="258" t="s">
        <v>691</v>
      </c>
      <c r="AT134" s="258" t="s">
        <v>1367</v>
      </c>
      <c r="AU134" s="265" t="s">
        <v>693</v>
      </c>
      <c r="AV134" s="174" t="s">
        <v>243</v>
      </c>
      <c r="AW134" s="269" t="s">
        <v>245</v>
      </c>
      <c r="AX134" s="269" t="s">
        <v>694</v>
      </c>
      <c r="AY134" s="270" t="s">
        <v>695</v>
      </c>
      <c r="AZ134" s="173" t="s">
        <v>681</v>
      </c>
      <c r="BA134" s="265">
        <v>10.0</v>
      </c>
      <c r="BB134" s="174" t="s">
        <v>225</v>
      </c>
      <c r="BC134" s="271"/>
      <c r="BD134" s="272" t="s">
        <v>696</v>
      </c>
      <c r="BE134" s="273" t="s">
        <v>697</v>
      </c>
      <c r="BF134" s="274" t="str">
        <f>IFERROR(__xludf.DUMMYFUNCTION("LOWER(Regexreplace(to_text(E134),""[^A-Za-z0-9]"","""")&amp;""_""&amp;Regexreplace(to_text(F134),""[^A-Za-z0-9]"",""""))"),"sauter_eyrc504fxxx")</f>
        <v>sauter_eyrc504fxxx</v>
      </c>
      <c r="BG134" s="275" t="str">
        <f>IFERROR(__xludf.DUMMYFUNCTION("upper(Regexreplace(to_text(E134),""[^A-Za-z0-9]"","""")&amp;""-""&amp;Regexreplace(to_text(F134),""[^A-Za-z0-9]"",""""))"),"SAUTER-EYRC504FXXX")</f>
        <v>SAUTER-EYRC504FXXX</v>
      </c>
    </row>
    <row r="135" ht="30.0" customHeight="1">
      <c r="A135" s="173">
        <v>131.0</v>
      </c>
      <c r="B135" s="256" t="s">
        <v>670</v>
      </c>
      <c r="C135" s="257" t="s">
        <v>1368</v>
      </c>
      <c r="D135" s="173" t="s">
        <v>1368</v>
      </c>
      <c r="E135" s="174" t="s">
        <v>672</v>
      </c>
      <c r="F135" s="173" t="s">
        <v>514</v>
      </c>
      <c r="G135" s="258" t="s">
        <v>673</v>
      </c>
      <c r="H135" s="258" t="s">
        <v>674</v>
      </c>
      <c r="I135" s="258" t="s">
        <v>675</v>
      </c>
      <c r="J135" s="259" t="s">
        <v>1333</v>
      </c>
      <c r="K135" s="260">
        <v>948.0</v>
      </c>
      <c r="L135" s="258" t="s">
        <v>1363</v>
      </c>
      <c r="M135" s="277">
        <v>4.11001359327E11</v>
      </c>
      <c r="N135" s="173" t="s">
        <v>679</v>
      </c>
      <c r="O135" s="173" t="s">
        <v>225</v>
      </c>
      <c r="P135" s="262" t="str">
        <f t="shared" si="1"/>
        <v>IN-BLR-ANANTA-DDC-331_9</v>
      </c>
      <c r="Q135" s="173" t="s">
        <v>1369</v>
      </c>
      <c r="R135" s="258" t="str">
        <f>IFS(C135="","",C135="n/a","N/A",LEN(C135),Concatenate("{",char(34),"asset",char(34),":{",char(34),"guid",char(34),":",char(34),Q135,char(34),",",char(34),"site",char(34),":",char(34),LOWER('2-Building'!$B$4),char(34),",",char(34),"name",char(34),":",char(34),LOWER(C135),char(34),"}}"))</f>
        <v>{"asset":{"guid":"uuid://7ed5e48e-aaa0-4ab8-9e8c-cb593c6286d5","site":"in-blr-ananta","name":"ddc-331"}}</v>
      </c>
      <c r="S135" s="258" t="s">
        <v>681</v>
      </c>
      <c r="T135" s="263"/>
      <c r="U135" s="263"/>
      <c r="V135" s="264">
        <v>2.23</v>
      </c>
      <c r="W135" s="33" t="s">
        <v>682</v>
      </c>
      <c r="X135" s="258" t="s">
        <v>683</v>
      </c>
      <c r="Y135" s="33" t="s">
        <v>684</v>
      </c>
      <c r="Z135" s="258">
        <v>14131.0</v>
      </c>
      <c r="AA135" s="258">
        <v>11501.0</v>
      </c>
      <c r="AB135" s="258"/>
      <c r="AC135" s="258"/>
      <c r="AD135" s="265"/>
      <c r="AE135" s="266" t="s">
        <v>685</v>
      </c>
      <c r="AF135" s="267" t="s">
        <v>1370</v>
      </c>
      <c r="AG135" s="268" t="str">
        <f>IFS(LEN(AF135)=17,LOWER('2-Building'!$B$4 &amp; "-" &amp; C135), AF135="N/A", "N/A", LEN(AF135)=0,"")</f>
        <v>in-blr-ananta-ddc-331</v>
      </c>
      <c r="AH135" s="258"/>
      <c r="AI135" s="258"/>
      <c r="AJ135" s="258"/>
      <c r="AK135" s="258" t="s">
        <v>1371</v>
      </c>
      <c r="AL135" s="258" t="s">
        <v>688</v>
      </c>
      <c r="AM135" s="258" t="s">
        <v>689</v>
      </c>
      <c r="AN135" s="258"/>
      <c r="AO135" s="258"/>
      <c r="AP135" s="258"/>
      <c r="AQ135" s="258"/>
      <c r="AR135" s="258" t="s">
        <v>690</v>
      </c>
      <c r="AS135" s="258" t="s">
        <v>691</v>
      </c>
      <c r="AT135" s="258" t="s">
        <v>1367</v>
      </c>
      <c r="AU135" s="265" t="s">
        <v>693</v>
      </c>
      <c r="AV135" s="174" t="s">
        <v>243</v>
      </c>
      <c r="AW135" s="269" t="s">
        <v>245</v>
      </c>
      <c r="AX135" s="269" t="s">
        <v>694</v>
      </c>
      <c r="AY135" s="270" t="s">
        <v>695</v>
      </c>
      <c r="AZ135" s="173" t="s">
        <v>681</v>
      </c>
      <c r="BA135" s="265">
        <v>10.0</v>
      </c>
      <c r="BB135" s="174" t="s">
        <v>225</v>
      </c>
      <c r="BC135" s="271"/>
      <c r="BD135" s="272" t="s">
        <v>696</v>
      </c>
      <c r="BE135" s="273" t="s">
        <v>697</v>
      </c>
      <c r="BF135" s="274" t="str">
        <f>IFERROR(__xludf.DUMMYFUNCTION("LOWER(Regexreplace(to_text(E135),""[^A-Za-z0-9]"","""")&amp;""_""&amp;Regexreplace(to_text(F135),""[^A-Za-z0-9]"",""""))"),"sauter_eyrc504fxxx")</f>
        <v>sauter_eyrc504fxxx</v>
      </c>
      <c r="BG135" s="275" t="str">
        <f>IFERROR(__xludf.DUMMYFUNCTION("upper(Regexreplace(to_text(E135),""[^A-Za-z0-9]"","""")&amp;""-""&amp;Regexreplace(to_text(F135),""[^A-Za-z0-9]"",""""))"),"SAUTER-EYRC504FXXX")</f>
        <v>SAUTER-EYRC504FXXX</v>
      </c>
    </row>
    <row r="136" ht="30.0" customHeight="1">
      <c r="A136" s="258">
        <v>132.0</v>
      </c>
      <c r="B136" s="256" t="s">
        <v>670</v>
      </c>
      <c r="C136" s="257" t="s">
        <v>1372</v>
      </c>
      <c r="D136" s="173" t="s">
        <v>1372</v>
      </c>
      <c r="E136" s="174" t="s">
        <v>672</v>
      </c>
      <c r="F136" s="173" t="s">
        <v>514</v>
      </c>
      <c r="G136" s="258" t="s">
        <v>673</v>
      </c>
      <c r="H136" s="258" t="s">
        <v>674</v>
      </c>
      <c r="I136" s="258" t="s">
        <v>675</v>
      </c>
      <c r="J136" s="259" t="s">
        <v>1333</v>
      </c>
      <c r="K136" s="260">
        <v>948.0</v>
      </c>
      <c r="L136" s="258" t="s">
        <v>1373</v>
      </c>
      <c r="M136" s="277">
        <v>4.11001359333E11</v>
      </c>
      <c r="N136" s="173" t="s">
        <v>679</v>
      </c>
      <c r="O136" s="173" t="s">
        <v>225</v>
      </c>
      <c r="P136" s="262" t="str">
        <f t="shared" si="1"/>
        <v>IN-BLR-ANANTA-DDC-332_9</v>
      </c>
      <c r="Q136" s="173" t="s">
        <v>1374</v>
      </c>
      <c r="R136" s="258" t="str">
        <f>IFS(C136="","",C136="n/a","N/A",LEN(C136),Concatenate("{",char(34),"asset",char(34),":{",char(34),"guid",char(34),":",char(34),Q136,char(34),",",char(34),"site",char(34),":",char(34),LOWER('2-Building'!$B$4),char(34),",",char(34),"name",char(34),":",char(34),LOWER(C136),char(34),"}}"))</f>
        <v>{"asset":{"guid":"uuid://46bda16f-02e7-4277-ba59-57c41b4a3d84","site":"in-blr-ananta","name":"ddc-332"}}</v>
      </c>
      <c r="S136" s="258" t="s">
        <v>681</v>
      </c>
      <c r="T136" s="263"/>
      <c r="U136" s="263"/>
      <c r="V136" s="264">
        <v>2.23</v>
      </c>
      <c r="W136" s="33" t="s">
        <v>682</v>
      </c>
      <c r="X136" s="258" t="s">
        <v>683</v>
      </c>
      <c r="Y136" s="33" t="s">
        <v>684</v>
      </c>
      <c r="Z136" s="258">
        <v>14132.0</v>
      </c>
      <c r="AA136" s="258">
        <v>11501.0</v>
      </c>
      <c r="AB136" s="258"/>
      <c r="AC136" s="258"/>
      <c r="AD136" s="265"/>
      <c r="AE136" s="266" t="s">
        <v>685</v>
      </c>
      <c r="AF136" s="267" t="s">
        <v>1375</v>
      </c>
      <c r="AG136" s="268" t="str">
        <f>IFS(LEN(AF136)=17,LOWER('2-Building'!$B$4 &amp; "-" &amp; C136), AF136="N/A", "N/A", LEN(AF136)=0,"")</f>
        <v>in-blr-ananta-ddc-332</v>
      </c>
      <c r="AH136" s="258"/>
      <c r="AI136" s="258"/>
      <c r="AJ136" s="258"/>
      <c r="AK136" s="258" t="s">
        <v>1376</v>
      </c>
      <c r="AL136" s="258" t="s">
        <v>688</v>
      </c>
      <c r="AM136" s="258" t="s">
        <v>689</v>
      </c>
      <c r="AN136" s="258"/>
      <c r="AO136" s="258"/>
      <c r="AP136" s="258"/>
      <c r="AQ136" s="258"/>
      <c r="AR136" s="258" t="s">
        <v>690</v>
      </c>
      <c r="AS136" s="258" t="s">
        <v>691</v>
      </c>
      <c r="AT136" s="258" t="s">
        <v>1377</v>
      </c>
      <c r="AU136" s="265" t="s">
        <v>693</v>
      </c>
      <c r="AV136" s="174" t="s">
        <v>243</v>
      </c>
      <c r="AW136" s="269" t="s">
        <v>245</v>
      </c>
      <c r="AX136" s="269" t="s">
        <v>694</v>
      </c>
      <c r="AY136" s="270" t="s">
        <v>695</v>
      </c>
      <c r="AZ136" s="173" t="s">
        <v>681</v>
      </c>
      <c r="BA136" s="265">
        <v>10.0</v>
      </c>
      <c r="BB136" s="174" t="s">
        <v>225</v>
      </c>
      <c r="BC136" s="271"/>
      <c r="BD136" s="272" t="s">
        <v>696</v>
      </c>
      <c r="BE136" s="273" t="s">
        <v>697</v>
      </c>
      <c r="BF136" s="274" t="str">
        <f>IFERROR(__xludf.DUMMYFUNCTION("LOWER(Regexreplace(to_text(E136),""[^A-Za-z0-9]"","""")&amp;""_""&amp;Regexreplace(to_text(F136),""[^A-Za-z0-9]"",""""))"),"sauter_eyrc504fxxx")</f>
        <v>sauter_eyrc504fxxx</v>
      </c>
      <c r="BG136" s="275" t="str">
        <f>IFERROR(__xludf.DUMMYFUNCTION("upper(Regexreplace(to_text(E136),""[^A-Za-z0-9]"","""")&amp;""-""&amp;Regexreplace(to_text(F136),""[^A-Za-z0-9]"",""""))"),"SAUTER-EYRC504FXXX")</f>
        <v>SAUTER-EYRC504FXXX</v>
      </c>
    </row>
    <row r="137" ht="30.0" customHeight="1">
      <c r="A137" s="173">
        <v>133.0</v>
      </c>
      <c r="B137" s="256" t="s">
        <v>670</v>
      </c>
      <c r="C137" s="257" t="s">
        <v>1378</v>
      </c>
      <c r="D137" s="173" t="s">
        <v>1378</v>
      </c>
      <c r="E137" s="174" t="s">
        <v>672</v>
      </c>
      <c r="F137" s="173" t="s">
        <v>514</v>
      </c>
      <c r="G137" s="258" t="s">
        <v>673</v>
      </c>
      <c r="H137" s="258" t="s">
        <v>674</v>
      </c>
      <c r="I137" s="258" t="s">
        <v>675</v>
      </c>
      <c r="J137" s="259" t="s">
        <v>1333</v>
      </c>
      <c r="K137" s="260">
        <v>948.0</v>
      </c>
      <c r="L137" s="258" t="s">
        <v>1373</v>
      </c>
      <c r="M137" s="277">
        <v>4.11001239461E11</v>
      </c>
      <c r="N137" s="173" t="s">
        <v>679</v>
      </c>
      <c r="O137" s="173" t="s">
        <v>225</v>
      </c>
      <c r="P137" s="262" t="str">
        <f t="shared" si="1"/>
        <v>IN-BLR-ANANTA-DDC-333_9</v>
      </c>
      <c r="Q137" s="173" t="s">
        <v>1379</v>
      </c>
      <c r="R137" s="258" t="str">
        <f>IFS(C137="","",C137="n/a","N/A",LEN(C137),Concatenate("{",char(34),"asset",char(34),":{",char(34),"guid",char(34),":",char(34),Q137,char(34),",",char(34),"site",char(34),":",char(34),LOWER('2-Building'!$B$4),char(34),",",char(34),"name",char(34),":",char(34),LOWER(C137),char(34),"}}"))</f>
        <v>{"asset":{"guid":"uuid://4d9682ea-0e2d-43b6-b684-1d2fb915144e","site":"in-blr-ananta","name":"ddc-333"}}</v>
      </c>
      <c r="S137" s="258" t="s">
        <v>681</v>
      </c>
      <c r="T137" s="263"/>
      <c r="U137" s="263"/>
      <c r="V137" s="264">
        <v>2.23</v>
      </c>
      <c r="W137" s="33" t="s">
        <v>682</v>
      </c>
      <c r="X137" s="258" t="s">
        <v>683</v>
      </c>
      <c r="Y137" s="33" t="s">
        <v>684</v>
      </c>
      <c r="Z137" s="258">
        <v>14133.0</v>
      </c>
      <c r="AA137" s="258">
        <v>11501.0</v>
      </c>
      <c r="AB137" s="258"/>
      <c r="AC137" s="258"/>
      <c r="AD137" s="265"/>
      <c r="AE137" s="266" t="s">
        <v>685</v>
      </c>
      <c r="AF137" s="267" t="s">
        <v>1380</v>
      </c>
      <c r="AG137" s="268" t="str">
        <f>IFS(LEN(AF137)=17,LOWER('2-Building'!$B$4 &amp; "-" &amp; C137), AF137="N/A", "N/A", LEN(AF137)=0,"")</f>
        <v>in-blr-ananta-ddc-333</v>
      </c>
      <c r="AH137" s="258"/>
      <c r="AI137" s="258"/>
      <c r="AJ137" s="258"/>
      <c r="AK137" s="258" t="s">
        <v>1381</v>
      </c>
      <c r="AL137" s="258" t="s">
        <v>688</v>
      </c>
      <c r="AM137" s="258" t="s">
        <v>689</v>
      </c>
      <c r="AN137" s="258"/>
      <c r="AO137" s="258"/>
      <c r="AP137" s="258"/>
      <c r="AQ137" s="258"/>
      <c r="AR137" s="258" t="s">
        <v>690</v>
      </c>
      <c r="AS137" s="258" t="s">
        <v>691</v>
      </c>
      <c r="AT137" s="258" t="s">
        <v>1377</v>
      </c>
      <c r="AU137" s="265" t="s">
        <v>693</v>
      </c>
      <c r="AV137" s="174" t="s">
        <v>243</v>
      </c>
      <c r="AW137" s="269" t="s">
        <v>245</v>
      </c>
      <c r="AX137" s="269" t="s">
        <v>694</v>
      </c>
      <c r="AY137" s="270" t="s">
        <v>695</v>
      </c>
      <c r="AZ137" s="173" t="s">
        <v>681</v>
      </c>
      <c r="BA137" s="265">
        <v>10.0</v>
      </c>
      <c r="BB137" s="174" t="s">
        <v>225</v>
      </c>
      <c r="BC137" s="271"/>
      <c r="BD137" s="272" t="s">
        <v>696</v>
      </c>
      <c r="BE137" s="273" t="s">
        <v>697</v>
      </c>
      <c r="BF137" s="274" t="str">
        <f>IFERROR(__xludf.DUMMYFUNCTION("LOWER(Regexreplace(to_text(E137),""[^A-Za-z0-9]"","""")&amp;""_""&amp;Regexreplace(to_text(F137),""[^A-Za-z0-9]"",""""))"),"sauter_eyrc504fxxx")</f>
        <v>sauter_eyrc504fxxx</v>
      </c>
      <c r="BG137" s="275" t="str">
        <f>IFERROR(__xludf.DUMMYFUNCTION("upper(Regexreplace(to_text(E137),""[^A-Za-z0-9]"","""")&amp;""-""&amp;Regexreplace(to_text(F137),""[^A-Za-z0-9]"",""""))"),"SAUTER-EYRC504FXXX")</f>
        <v>SAUTER-EYRC504FXXX</v>
      </c>
    </row>
    <row r="138" ht="30.0" customHeight="1">
      <c r="A138" s="258">
        <v>134.0</v>
      </c>
      <c r="B138" s="256" t="s">
        <v>670</v>
      </c>
      <c r="C138" s="257" t="s">
        <v>1382</v>
      </c>
      <c r="D138" s="173" t="s">
        <v>1382</v>
      </c>
      <c r="E138" s="174" t="s">
        <v>672</v>
      </c>
      <c r="F138" s="173" t="s">
        <v>514</v>
      </c>
      <c r="G138" s="258" t="s">
        <v>673</v>
      </c>
      <c r="H138" s="258" t="s">
        <v>674</v>
      </c>
      <c r="I138" s="258" t="s">
        <v>675</v>
      </c>
      <c r="J138" s="259" t="s">
        <v>1333</v>
      </c>
      <c r="K138" s="260">
        <v>934.0</v>
      </c>
      <c r="L138" s="258" t="s">
        <v>1383</v>
      </c>
      <c r="M138" s="277">
        <v>4.11001359591E11</v>
      </c>
      <c r="N138" s="173" t="s">
        <v>679</v>
      </c>
      <c r="O138" s="173" t="s">
        <v>225</v>
      </c>
      <c r="P138" s="262" t="str">
        <f t="shared" si="1"/>
        <v>IN-BLR-ANANTA-DDC-334_9</v>
      </c>
      <c r="Q138" s="173" t="s">
        <v>1384</v>
      </c>
      <c r="R138" s="258" t="str">
        <f>IFS(C138="","",C138="n/a","N/A",LEN(C138),Concatenate("{",char(34),"asset",char(34),":{",char(34),"guid",char(34),":",char(34),Q138,char(34),",",char(34),"site",char(34),":",char(34),LOWER('2-Building'!$B$4),char(34),",",char(34),"name",char(34),":",char(34),LOWER(C138),char(34),"}}"))</f>
        <v>{"asset":{"guid":"uuid://8ba80a8f-1a0c-4e3b-ac61-3d9fe1a3d28e","site":"in-blr-ananta","name":"ddc-334"}}</v>
      </c>
      <c r="S138" s="258" t="s">
        <v>681</v>
      </c>
      <c r="T138" s="263"/>
      <c r="U138" s="263"/>
      <c r="V138" s="264">
        <v>2.23</v>
      </c>
      <c r="W138" s="33" t="s">
        <v>682</v>
      </c>
      <c r="X138" s="258" t="s">
        <v>683</v>
      </c>
      <c r="Y138" s="33" t="s">
        <v>684</v>
      </c>
      <c r="Z138" s="258">
        <v>14134.0</v>
      </c>
      <c r="AA138" s="258">
        <v>11501.0</v>
      </c>
      <c r="AB138" s="258"/>
      <c r="AC138" s="258"/>
      <c r="AD138" s="265"/>
      <c r="AE138" s="266" t="s">
        <v>685</v>
      </c>
      <c r="AF138" s="267" t="s">
        <v>1385</v>
      </c>
      <c r="AG138" s="268" t="str">
        <f>IFS(LEN(AF138)=17,LOWER('2-Building'!$B$4 &amp; "-" &amp; C138), AF138="N/A", "N/A", LEN(AF138)=0,"")</f>
        <v>in-blr-ananta-ddc-334</v>
      </c>
      <c r="AH138" s="258"/>
      <c r="AI138" s="258"/>
      <c r="AJ138" s="258"/>
      <c r="AK138" s="258" t="s">
        <v>1386</v>
      </c>
      <c r="AL138" s="258" t="s">
        <v>688</v>
      </c>
      <c r="AM138" s="258" t="s">
        <v>689</v>
      </c>
      <c r="AN138" s="258"/>
      <c r="AO138" s="258"/>
      <c r="AP138" s="258"/>
      <c r="AQ138" s="258"/>
      <c r="AR138" s="258" t="s">
        <v>690</v>
      </c>
      <c r="AS138" s="258" t="s">
        <v>691</v>
      </c>
      <c r="AT138" s="258" t="s">
        <v>1387</v>
      </c>
      <c r="AU138" s="265" t="s">
        <v>693</v>
      </c>
      <c r="AV138" s="174" t="s">
        <v>243</v>
      </c>
      <c r="AW138" s="269" t="s">
        <v>245</v>
      </c>
      <c r="AX138" s="269" t="s">
        <v>694</v>
      </c>
      <c r="AY138" s="270" t="s">
        <v>695</v>
      </c>
      <c r="AZ138" s="173" t="s">
        <v>681</v>
      </c>
      <c r="BA138" s="265">
        <v>10.0</v>
      </c>
      <c r="BB138" s="174" t="s">
        <v>225</v>
      </c>
      <c r="BC138" s="271"/>
      <c r="BD138" s="272" t="s">
        <v>696</v>
      </c>
      <c r="BE138" s="273" t="s">
        <v>697</v>
      </c>
      <c r="BF138" s="274" t="str">
        <f>IFERROR(__xludf.DUMMYFUNCTION("LOWER(Regexreplace(to_text(E138),""[^A-Za-z0-9]"","""")&amp;""_""&amp;Regexreplace(to_text(F138),""[^A-Za-z0-9]"",""""))"),"sauter_eyrc504fxxx")</f>
        <v>sauter_eyrc504fxxx</v>
      </c>
      <c r="BG138" s="275" t="str">
        <f>IFERROR(__xludf.DUMMYFUNCTION("upper(Regexreplace(to_text(E138),""[^A-Za-z0-9]"","""")&amp;""-""&amp;Regexreplace(to_text(F138),""[^A-Za-z0-9]"",""""))"),"SAUTER-EYRC504FXXX")</f>
        <v>SAUTER-EYRC504FXXX</v>
      </c>
    </row>
    <row r="139" ht="30.0" customHeight="1">
      <c r="A139" s="173">
        <v>135.0</v>
      </c>
      <c r="B139" s="256" t="s">
        <v>670</v>
      </c>
      <c r="C139" s="257" t="s">
        <v>1388</v>
      </c>
      <c r="D139" s="173" t="s">
        <v>1388</v>
      </c>
      <c r="E139" s="174" t="s">
        <v>672</v>
      </c>
      <c r="F139" s="173" t="s">
        <v>514</v>
      </c>
      <c r="G139" s="258" t="s">
        <v>673</v>
      </c>
      <c r="H139" s="258" t="s">
        <v>674</v>
      </c>
      <c r="I139" s="258" t="s">
        <v>675</v>
      </c>
      <c r="J139" s="259" t="s">
        <v>1333</v>
      </c>
      <c r="K139" s="260">
        <v>934.0</v>
      </c>
      <c r="L139" s="258" t="s">
        <v>1383</v>
      </c>
      <c r="M139" s="277">
        <v>4.11001359655E11</v>
      </c>
      <c r="N139" s="173" t="s">
        <v>679</v>
      </c>
      <c r="O139" s="173" t="s">
        <v>225</v>
      </c>
      <c r="P139" s="262" t="str">
        <f t="shared" si="1"/>
        <v>IN-BLR-ANANTA-DDC-335_9</v>
      </c>
      <c r="Q139" s="173" t="s">
        <v>1389</v>
      </c>
      <c r="R139" s="258" t="str">
        <f>IFS(C139="","",C139="n/a","N/A",LEN(C139),Concatenate("{",char(34),"asset",char(34),":{",char(34),"guid",char(34),":",char(34),Q139,char(34),",",char(34),"site",char(34),":",char(34),LOWER('2-Building'!$B$4),char(34),",",char(34),"name",char(34),":",char(34),LOWER(C139),char(34),"}}"))</f>
        <v>{"asset":{"guid":"uuid://f666b1cd-6b8d-4ef9-8da9-e1e7b6dd9cf1","site":"in-blr-ananta","name":"ddc-335"}}</v>
      </c>
      <c r="S139" s="258" t="s">
        <v>681</v>
      </c>
      <c r="T139" s="263"/>
      <c r="U139" s="263"/>
      <c r="V139" s="264">
        <v>2.23</v>
      </c>
      <c r="W139" s="33" t="s">
        <v>682</v>
      </c>
      <c r="X139" s="258" t="s">
        <v>683</v>
      </c>
      <c r="Y139" s="33" t="s">
        <v>684</v>
      </c>
      <c r="Z139" s="258">
        <v>14135.0</v>
      </c>
      <c r="AA139" s="258">
        <v>11501.0</v>
      </c>
      <c r="AB139" s="258"/>
      <c r="AC139" s="258"/>
      <c r="AD139" s="265"/>
      <c r="AE139" s="266" t="s">
        <v>685</v>
      </c>
      <c r="AF139" s="267" t="s">
        <v>1390</v>
      </c>
      <c r="AG139" s="268" t="str">
        <f>IFS(LEN(AF139)=17,LOWER('2-Building'!$B$4 &amp; "-" &amp; C139), AF139="N/A", "N/A", LEN(AF139)=0,"")</f>
        <v>in-blr-ananta-ddc-335</v>
      </c>
      <c r="AH139" s="258"/>
      <c r="AI139" s="258"/>
      <c r="AJ139" s="258"/>
      <c r="AK139" s="258" t="s">
        <v>1391</v>
      </c>
      <c r="AL139" s="258" t="s">
        <v>688</v>
      </c>
      <c r="AM139" s="258" t="s">
        <v>689</v>
      </c>
      <c r="AN139" s="258"/>
      <c r="AO139" s="258"/>
      <c r="AP139" s="258"/>
      <c r="AQ139" s="258"/>
      <c r="AR139" s="258" t="s">
        <v>690</v>
      </c>
      <c r="AS139" s="258" t="s">
        <v>691</v>
      </c>
      <c r="AT139" s="258" t="s">
        <v>1387</v>
      </c>
      <c r="AU139" s="265" t="s">
        <v>693</v>
      </c>
      <c r="AV139" s="174" t="s">
        <v>243</v>
      </c>
      <c r="AW139" s="269" t="s">
        <v>245</v>
      </c>
      <c r="AX139" s="269" t="s">
        <v>694</v>
      </c>
      <c r="AY139" s="270" t="s">
        <v>695</v>
      </c>
      <c r="AZ139" s="173" t="s">
        <v>681</v>
      </c>
      <c r="BA139" s="265">
        <v>10.0</v>
      </c>
      <c r="BB139" s="174" t="s">
        <v>225</v>
      </c>
      <c r="BC139" s="271"/>
      <c r="BD139" s="272" t="s">
        <v>696</v>
      </c>
      <c r="BE139" s="273" t="s">
        <v>697</v>
      </c>
      <c r="BF139" s="274" t="str">
        <f>IFERROR(__xludf.DUMMYFUNCTION("LOWER(Regexreplace(to_text(E139),""[^A-Za-z0-9]"","""")&amp;""_""&amp;Regexreplace(to_text(F139),""[^A-Za-z0-9]"",""""))"),"sauter_eyrc504fxxx")</f>
        <v>sauter_eyrc504fxxx</v>
      </c>
      <c r="BG139" s="275" t="str">
        <f>IFERROR(__xludf.DUMMYFUNCTION("upper(Regexreplace(to_text(E139),""[^A-Za-z0-9]"","""")&amp;""-""&amp;Regexreplace(to_text(F139),""[^A-Za-z0-9]"",""""))"),"SAUTER-EYRC504FXXX")</f>
        <v>SAUTER-EYRC504FXXX</v>
      </c>
    </row>
    <row r="140" ht="30.0" customHeight="1">
      <c r="A140" s="258">
        <v>136.0</v>
      </c>
      <c r="B140" s="256" t="s">
        <v>670</v>
      </c>
      <c r="C140" s="257" t="s">
        <v>1392</v>
      </c>
      <c r="D140" s="173" t="s">
        <v>1392</v>
      </c>
      <c r="E140" s="174" t="s">
        <v>672</v>
      </c>
      <c r="F140" s="173" t="s">
        <v>514</v>
      </c>
      <c r="G140" s="258" t="s">
        <v>673</v>
      </c>
      <c r="H140" s="258" t="s">
        <v>674</v>
      </c>
      <c r="I140" s="258" t="s">
        <v>675</v>
      </c>
      <c r="J140" s="259" t="s">
        <v>1393</v>
      </c>
      <c r="K140" s="260" t="s">
        <v>1394</v>
      </c>
      <c r="L140" s="258" t="s">
        <v>1395</v>
      </c>
      <c r="M140" s="277">
        <v>4.11001359861E11</v>
      </c>
      <c r="N140" s="173" t="s">
        <v>679</v>
      </c>
      <c r="O140" s="173" t="s">
        <v>225</v>
      </c>
      <c r="P140" s="262" t="str">
        <f t="shared" si="1"/>
        <v>IN-BLR-ANANTA-DDC-336_10</v>
      </c>
      <c r="Q140" s="173" t="s">
        <v>1396</v>
      </c>
      <c r="R140" s="258" t="str">
        <f>IFS(C140="","",C140="n/a","N/A",LEN(C140),Concatenate("{",char(34),"asset",char(34),":{",char(34),"guid",char(34),":",char(34),Q140,char(34),",",char(34),"site",char(34),":",char(34),LOWER('2-Building'!$B$4),char(34),",",char(34),"name",char(34),":",char(34),LOWER(C140),char(34),"}}"))</f>
        <v>{"asset":{"guid":"uuid://49903f1e-e070-4526-aee6-aa23587b6306","site":"in-blr-ananta","name":"ddc-336"}}</v>
      </c>
      <c r="S140" s="258" t="s">
        <v>681</v>
      </c>
      <c r="T140" s="263"/>
      <c r="U140" s="263"/>
      <c r="V140" s="264">
        <v>2.23</v>
      </c>
      <c r="W140" s="33" t="s">
        <v>682</v>
      </c>
      <c r="X140" s="258" t="s">
        <v>683</v>
      </c>
      <c r="Y140" s="33" t="s">
        <v>684</v>
      </c>
      <c r="Z140" s="258">
        <v>14136.0</v>
      </c>
      <c r="AA140" s="258">
        <v>11501.0</v>
      </c>
      <c r="AB140" s="258"/>
      <c r="AC140" s="258"/>
      <c r="AD140" s="265"/>
      <c r="AE140" s="266" t="s">
        <v>685</v>
      </c>
      <c r="AF140" s="267" t="s">
        <v>1397</v>
      </c>
      <c r="AG140" s="268" t="str">
        <f>IFS(LEN(AF140)=17,LOWER('2-Building'!$B$4 &amp; "-" &amp; C140), AF140="N/A", "N/A", LEN(AF140)=0,"")</f>
        <v>in-blr-ananta-ddc-336</v>
      </c>
      <c r="AH140" s="258"/>
      <c r="AI140" s="258"/>
      <c r="AJ140" s="258"/>
      <c r="AK140" s="258" t="s">
        <v>1398</v>
      </c>
      <c r="AL140" s="258" t="s">
        <v>688</v>
      </c>
      <c r="AM140" s="258" t="s">
        <v>689</v>
      </c>
      <c r="AN140" s="258"/>
      <c r="AO140" s="258"/>
      <c r="AP140" s="258"/>
      <c r="AQ140" s="258"/>
      <c r="AR140" s="258" t="s">
        <v>690</v>
      </c>
      <c r="AS140" s="258" t="s">
        <v>691</v>
      </c>
      <c r="AT140" s="258" t="s">
        <v>1399</v>
      </c>
      <c r="AU140" s="265" t="s">
        <v>693</v>
      </c>
      <c r="AV140" s="174" t="s">
        <v>243</v>
      </c>
      <c r="AW140" s="269" t="s">
        <v>245</v>
      </c>
      <c r="AX140" s="269" t="s">
        <v>694</v>
      </c>
      <c r="AY140" s="270" t="s">
        <v>695</v>
      </c>
      <c r="AZ140" s="173" t="s">
        <v>681</v>
      </c>
      <c r="BA140" s="265">
        <v>10.0</v>
      </c>
      <c r="BB140" s="174" t="s">
        <v>225</v>
      </c>
      <c r="BC140" s="271"/>
      <c r="BD140" s="272" t="s">
        <v>696</v>
      </c>
      <c r="BE140" s="273" t="s">
        <v>697</v>
      </c>
      <c r="BF140" s="274" t="str">
        <f>IFERROR(__xludf.DUMMYFUNCTION("LOWER(Regexreplace(to_text(E140),""[^A-Za-z0-9]"","""")&amp;""_""&amp;Regexreplace(to_text(F140),""[^A-Za-z0-9]"",""""))"),"sauter_eyrc504fxxx")</f>
        <v>sauter_eyrc504fxxx</v>
      </c>
      <c r="BG140" s="275" t="str">
        <f>IFERROR(__xludf.DUMMYFUNCTION("upper(Regexreplace(to_text(E140),""[^A-Za-z0-9]"","""")&amp;""-""&amp;Regexreplace(to_text(F140),""[^A-Za-z0-9]"",""""))"),"SAUTER-EYRC504FXXX")</f>
        <v>SAUTER-EYRC504FXXX</v>
      </c>
    </row>
    <row r="141" ht="30.0" customHeight="1">
      <c r="A141" s="173">
        <v>137.0</v>
      </c>
      <c r="B141" s="256" t="s">
        <v>670</v>
      </c>
      <c r="C141" s="257" t="s">
        <v>1400</v>
      </c>
      <c r="D141" s="173" t="s">
        <v>1400</v>
      </c>
      <c r="E141" s="174" t="s">
        <v>672</v>
      </c>
      <c r="F141" s="173" t="s">
        <v>514</v>
      </c>
      <c r="G141" s="258" t="s">
        <v>673</v>
      </c>
      <c r="H141" s="258" t="s">
        <v>674</v>
      </c>
      <c r="I141" s="258" t="s">
        <v>675</v>
      </c>
      <c r="J141" s="259" t="s">
        <v>1393</v>
      </c>
      <c r="K141" s="260" t="s">
        <v>1394</v>
      </c>
      <c r="L141" s="258" t="s">
        <v>1395</v>
      </c>
      <c r="M141" s="277">
        <v>4.11001359383E11</v>
      </c>
      <c r="N141" s="173" t="s">
        <v>679</v>
      </c>
      <c r="O141" s="173" t="s">
        <v>225</v>
      </c>
      <c r="P141" s="262" t="str">
        <f t="shared" si="1"/>
        <v>IN-BLR-ANANTA-DDC-337_10</v>
      </c>
      <c r="Q141" s="173" t="s">
        <v>1401</v>
      </c>
      <c r="R141" s="258" t="str">
        <f>IFS(C141="","",C141="n/a","N/A",LEN(C141),Concatenate("{",char(34),"asset",char(34),":{",char(34),"guid",char(34),":",char(34),Q141,char(34),",",char(34),"site",char(34),":",char(34),LOWER('2-Building'!$B$4),char(34),",",char(34),"name",char(34),":",char(34),LOWER(C141),char(34),"}}"))</f>
        <v>{"asset":{"guid":"uuid://92b1911a-194c-4466-9481-b2d76006925b","site":"in-blr-ananta","name":"ddc-337"}}</v>
      </c>
      <c r="S141" s="258" t="s">
        <v>681</v>
      </c>
      <c r="T141" s="263"/>
      <c r="U141" s="263"/>
      <c r="V141" s="264">
        <v>2.23</v>
      </c>
      <c r="W141" s="33" t="s">
        <v>682</v>
      </c>
      <c r="X141" s="258" t="s">
        <v>683</v>
      </c>
      <c r="Y141" s="33" t="s">
        <v>684</v>
      </c>
      <c r="Z141" s="258">
        <v>14137.0</v>
      </c>
      <c r="AA141" s="258">
        <v>11501.0</v>
      </c>
      <c r="AB141" s="258"/>
      <c r="AC141" s="258"/>
      <c r="AD141" s="265"/>
      <c r="AE141" s="266" t="s">
        <v>685</v>
      </c>
      <c r="AF141" s="267" t="s">
        <v>1402</v>
      </c>
      <c r="AG141" s="268" t="str">
        <f>IFS(LEN(AF141)=17,LOWER('2-Building'!$B$4 &amp; "-" &amp; C141), AF141="N/A", "N/A", LEN(AF141)=0,"")</f>
        <v>in-blr-ananta-ddc-337</v>
      </c>
      <c r="AH141" s="258"/>
      <c r="AI141" s="258"/>
      <c r="AJ141" s="258"/>
      <c r="AK141" s="258" t="s">
        <v>1403</v>
      </c>
      <c r="AL141" s="258" t="s">
        <v>688</v>
      </c>
      <c r="AM141" s="258" t="s">
        <v>689</v>
      </c>
      <c r="AN141" s="258"/>
      <c r="AO141" s="258"/>
      <c r="AP141" s="258"/>
      <c r="AQ141" s="258"/>
      <c r="AR141" s="258" t="s">
        <v>690</v>
      </c>
      <c r="AS141" s="258" t="s">
        <v>691</v>
      </c>
      <c r="AT141" s="258" t="s">
        <v>1399</v>
      </c>
      <c r="AU141" s="265" t="s">
        <v>693</v>
      </c>
      <c r="AV141" s="174" t="s">
        <v>243</v>
      </c>
      <c r="AW141" s="269" t="s">
        <v>245</v>
      </c>
      <c r="AX141" s="269" t="s">
        <v>694</v>
      </c>
      <c r="AY141" s="270" t="s">
        <v>695</v>
      </c>
      <c r="AZ141" s="173" t="s">
        <v>681</v>
      </c>
      <c r="BA141" s="265">
        <v>10.0</v>
      </c>
      <c r="BB141" s="174" t="s">
        <v>225</v>
      </c>
      <c r="BC141" s="271"/>
      <c r="BD141" s="272" t="s">
        <v>696</v>
      </c>
      <c r="BE141" s="273" t="s">
        <v>697</v>
      </c>
      <c r="BF141" s="274" t="str">
        <f>IFERROR(__xludf.DUMMYFUNCTION("LOWER(Regexreplace(to_text(E141),""[^A-Za-z0-9]"","""")&amp;""_""&amp;Regexreplace(to_text(F141),""[^A-Za-z0-9]"",""""))"),"sauter_eyrc504fxxx")</f>
        <v>sauter_eyrc504fxxx</v>
      </c>
      <c r="BG141" s="275" t="str">
        <f>IFERROR(__xludf.DUMMYFUNCTION("upper(Regexreplace(to_text(E141),""[^A-Za-z0-9]"","""")&amp;""-""&amp;Regexreplace(to_text(F141),""[^A-Za-z0-9]"",""""))"),"SAUTER-EYRC504FXXX")</f>
        <v>SAUTER-EYRC504FXXX</v>
      </c>
    </row>
    <row r="142" ht="30.0" customHeight="1">
      <c r="A142" s="258">
        <v>138.0</v>
      </c>
      <c r="B142" s="256" t="s">
        <v>670</v>
      </c>
      <c r="C142" s="257" t="s">
        <v>1404</v>
      </c>
      <c r="D142" s="173" t="s">
        <v>1404</v>
      </c>
      <c r="E142" s="174" t="s">
        <v>672</v>
      </c>
      <c r="F142" s="173" t="s">
        <v>514</v>
      </c>
      <c r="G142" s="258" t="s">
        <v>673</v>
      </c>
      <c r="H142" s="258" t="s">
        <v>674</v>
      </c>
      <c r="I142" s="258" t="s">
        <v>675</v>
      </c>
      <c r="J142" s="259" t="s">
        <v>1393</v>
      </c>
      <c r="K142" s="260">
        <v>1075.0</v>
      </c>
      <c r="L142" s="258" t="s">
        <v>1405</v>
      </c>
      <c r="M142" s="277">
        <v>4.11001359348E11</v>
      </c>
      <c r="N142" s="173" t="s">
        <v>679</v>
      </c>
      <c r="O142" s="173" t="s">
        <v>225</v>
      </c>
      <c r="P142" s="262" t="str">
        <f t="shared" si="1"/>
        <v>IN-BLR-ANANTA-DDC-338_10</v>
      </c>
      <c r="Q142" s="173" t="s">
        <v>1406</v>
      </c>
      <c r="R142" s="258" t="str">
        <f>IFS(C142="","",C142="n/a","N/A",LEN(C142),Concatenate("{",char(34),"asset",char(34),":{",char(34),"guid",char(34),":",char(34),Q142,char(34),",",char(34),"site",char(34),":",char(34),LOWER('2-Building'!$B$4),char(34),",",char(34),"name",char(34),":",char(34),LOWER(C142),char(34),"}}"))</f>
        <v>{"asset":{"guid":"uuid://a8e5ae5f-cc6a-42ae-8344-60300ebd1755","site":"in-blr-ananta","name":"ddc-338"}}</v>
      </c>
      <c r="S142" s="258" t="s">
        <v>681</v>
      </c>
      <c r="T142" s="263"/>
      <c r="U142" s="263"/>
      <c r="V142" s="264">
        <v>2.23</v>
      </c>
      <c r="W142" s="33" t="s">
        <v>682</v>
      </c>
      <c r="X142" s="258" t="s">
        <v>683</v>
      </c>
      <c r="Y142" s="33" t="s">
        <v>684</v>
      </c>
      <c r="Z142" s="258">
        <v>14138.0</v>
      </c>
      <c r="AA142" s="258">
        <v>11501.0</v>
      </c>
      <c r="AB142" s="258"/>
      <c r="AC142" s="258"/>
      <c r="AD142" s="265"/>
      <c r="AE142" s="266" t="s">
        <v>685</v>
      </c>
      <c r="AF142" s="267" t="s">
        <v>1407</v>
      </c>
      <c r="AG142" s="268" t="str">
        <f>IFS(LEN(AF142)=17,LOWER('2-Building'!$B$4 &amp; "-" &amp; C142), AF142="N/A", "N/A", LEN(AF142)=0,"")</f>
        <v>in-blr-ananta-ddc-338</v>
      </c>
      <c r="AH142" s="258"/>
      <c r="AI142" s="258"/>
      <c r="AJ142" s="258"/>
      <c r="AK142" s="258" t="s">
        <v>1408</v>
      </c>
      <c r="AL142" s="258" t="s">
        <v>688</v>
      </c>
      <c r="AM142" s="258" t="s">
        <v>689</v>
      </c>
      <c r="AN142" s="258"/>
      <c r="AO142" s="258"/>
      <c r="AP142" s="258"/>
      <c r="AQ142" s="258"/>
      <c r="AR142" s="258" t="s">
        <v>690</v>
      </c>
      <c r="AS142" s="258" t="s">
        <v>691</v>
      </c>
      <c r="AT142" s="258" t="s">
        <v>1409</v>
      </c>
      <c r="AU142" s="265" t="s">
        <v>693</v>
      </c>
      <c r="AV142" s="174" t="s">
        <v>243</v>
      </c>
      <c r="AW142" s="269" t="s">
        <v>245</v>
      </c>
      <c r="AX142" s="269" t="s">
        <v>694</v>
      </c>
      <c r="AY142" s="270" t="s">
        <v>695</v>
      </c>
      <c r="AZ142" s="173" t="s">
        <v>681</v>
      </c>
      <c r="BA142" s="265">
        <v>10.0</v>
      </c>
      <c r="BB142" s="174" t="s">
        <v>225</v>
      </c>
      <c r="BC142" s="271"/>
      <c r="BD142" s="272" t="s">
        <v>696</v>
      </c>
      <c r="BE142" s="273" t="s">
        <v>697</v>
      </c>
      <c r="BF142" s="274" t="str">
        <f>IFERROR(__xludf.DUMMYFUNCTION("LOWER(Regexreplace(to_text(E142),""[^A-Za-z0-9]"","""")&amp;""_""&amp;Regexreplace(to_text(F142),""[^A-Za-z0-9]"",""""))"),"sauter_eyrc504fxxx")</f>
        <v>sauter_eyrc504fxxx</v>
      </c>
      <c r="BG142" s="275" t="str">
        <f>IFERROR(__xludf.DUMMYFUNCTION("upper(Regexreplace(to_text(E142),""[^A-Za-z0-9]"","""")&amp;""-""&amp;Regexreplace(to_text(F142),""[^A-Za-z0-9]"",""""))"),"SAUTER-EYRC504FXXX")</f>
        <v>SAUTER-EYRC504FXXX</v>
      </c>
    </row>
    <row r="143" ht="30.0" customHeight="1">
      <c r="A143" s="173">
        <v>139.0</v>
      </c>
      <c r="B143" s="256" t="s">
        <v>670</v>
      </c>
      <c r="C143" s="257" t="s">
        <v>1410</v>
      </c>
      <c r="D143" s="173" t="s">
        <v>1410</v>
      </c>
      <c r="E143" s="174" t="s">
        <v>672</v>
      </c>
      <c r="F143" s="173" t="s">
        <v>514</v>
      </c>
      <c r="G143" s="258" t="s">
        <v>673</v>
      </c>
      <c r="H143" s="258" t="s">
        <v>674</v>
      </c>
      <c r="I143" s="258" t="s">
        <v>675</v>
      </c>
      <c r="J143" s="259" t="s">
        <v>1393</v>
      </c>
      <c r="K143" s="260">
        <v>1075.0</v>
      </c>
      <c r="L143" s="258" t="s">
        <v>1405</v>
      </c>
      <c r="M143" s="277">
        <v>4.11001359989E11</v>
      </c>
      <c r="N143" s="173" t="s">
        <v>679</v>
      </c>
      <c r="O143" s="173" t="s">
        <v>225</v>
      </c>
      <c r="P143" s="262" t="str">
        <f t="shared" si="1"/>
        <v>IN-BLR-ANANTA-DDC-339_10</v>
      </c>
      <c r="Q143" s="173" t="s">
        <v>1411</v>
      </c>
      <c r="R143" s="258" t="str">
        <f>IFS(C143="","",C143="n/a","N/A",LEN(C143),Concatenate("{",char(34),"asset",char(34),":{",char(34),"guid",char(34),":",char(34),Q143,char(34),",",char(34),"site",char(34),":",char(34),LOWER('2-Building'!$B$4),char(34),",",char(34),"name",char(34),":",char(34),LOWER(C143),char(34),"}}"))</f>
        <v>{"asset":{"guid":"uuid://4f1fc4df-06dd-4734-8c1a-f93040d72e24","site":"in-blr-ananta","name":"ddc-339"}}</v>
      </c>
      <c r="S143" s="258" t="s">
        <v>681</v>
      </c>
      <c r="T143" s="263"/>
      <c r="U143" s="263"/>
      <c r="V143" s="264">
        <v>2.23</v>
      </c>
      <c r="W143" s="33" t="s">
        <v>682</v>
      </c>
      <c r="X143" s="258" t="s">
        <v>683</v>
      </c>
      <c r="Y143" s="33" t="s">
        <v>684</v>
      </c>
      <c r="Z143" s="258">
        <v>14139.0</v>
      </c>
      <c r="AA143" s="258">
        <v>11501.0</v>
      </c>
      <c r="AB143" s="258"/>
      <c r="AC143" s="258"/>
      <c r="AD143" s="265"/>
      <c r="AE143" s="266" t="s">
        <v>685</v>
      </c>
      <c r="AF143" s="267" t="s">
        <v>1412</v>
      </c>
      <c r="AG143" s="268" t="str">
        <f>IFS(LEN(AF143)=17,LOWER('2-Building'!$B$4 &amp; "-" &amp; C143), AF143="N/A", "N/A", LEN(AF143)=0,"")</f>
        <v>in-blr-ananta-ddc-339</v>
      </c>
      <c r="AH143" s="258"/>
      <c r="AI143" s="258"/>
      <c r="AJ143" s="258"/>
      <c r="AK143" s="258" t="s">
        <v>1413</v>
      </c>
      <c r="AL143" s="258" t="s">
        <v>688</v>
      </c>
      <c r="AM143" s="258" t="s">
        <v>689</v>
      </c>
      <c r="AN143" s="258"/>
      <c r="AO143" s="258"/>
      <c r="AP143" s="258"/>
      <c r="AQ143" s="258"/>
      <c r="AR143" s="258" t="s">
        <v>690</v>
      </c>
      <c r="AS143" s="258" t="s">
        <v>691</v>
      </c>
      <c r="AT143" s="258" t="s">
        <v>1409</v>
      </c>
      <c r="AU143" s="265" t="s">
        <v>693</v>
      </c>
      <c r="AV143" s="174" t="s">
        <v>243</v>
      </c>
      <c r="AW143" s="269" t="s">
        <v>245</v>
      </c>
      <c r="AX143" s="269" t="s">
        <v>694</v>
      </c>
      <c r="AY143" s="270" t="s">
        <v>695</v>
      </c>
      <c r="AZ143" s="173" t="s">
        <v>681</v>
      </c>
      <c r="BA143" s="265">
        <v>10.0</v>
      </c>
      <c r="BB143" s="174" t="s">
        <v>225</v>
      </c>
      <c r="BC143" s="271"/>
      <c r="BD143" s="272" t="s">
        <v>696</v>
      </c>
      <c r="BE143" s="273" t="s">
        <v>697</v>
      </c>
      <c r="BF143" s="274" t="str">
        <f>IFERROR(__xludf.DUMMYFUNCTION("LOWER(Regexreplace(to_text(E143),""[^A-Za-z0-9]"","""")&amp;""_""&amp;Regexreplace(to_text(F143),""[^A-Za-z0-9]"",""""))"),"sauter_eyrc504fxxx")</f>
        <v>sauter_eyrc504fxxx</v>
      </c>
      <c r="BG143" s="275" t="str">
        <f>IFERROR(__xludf.DUMMYFUNCTION("upper(Regexreplace(to_text(E143),""[^A-Za-z0-9]"","""")&amp;""-""&amp;Regexreplace(to_text(F143),""[^A-Za-z0-9]"",""""))"),"SAUTER-EYRC504FXXX")</f>
        <v>SAUTER-EYRC504FXXX</v>
      </c>
    </row>
    <row r="144" ht="30.0" customHeight="1">
      <c r="A144" s="258">
        <v>140.0</v>
      </c>
      <c r="B144" s="256" t="s">
        <v>670</v>
      </c>
      <c r="C144" s="257" t="s">
        <v>1414</v>
      </c>
      <c r="D144" s="173" t="s">
        <v>1414</v>
      </c>
      <c r="E144" s="174" t="s">
        <v>672</v>
      </c>
      <c r="F144" s="173" t="s">
        <v>514</v>
      </c>
      <c r="G144" s="258" t="s">
        <v>673</v>
      </c>
      <c r="H144" s="258" t="s">
        <v>674</v>
      </c>
      <c r="I144" s="258" t="s">
        <v>675</v>
      </c>
      <c r="J144" s="259" t="s">
        <v>1393</v>
      </c>
      <c r="K144" s="260">
        <v>1019.0</v>
      </c>
      <c r="L144" s="258" t="s">
        <v>1415</v>
      </c>
      <c r="M144" s="277">
        <v>4.1100123929E11</v>
      </c>
      <c r="N144" s="173" t="s">
        <v>679</v>
      </c>
      <c r="O144" s="173" t="s">
        <v>225</v>
      </c>
      <c r="P144" s="262" t="str">
        <f t="shared" si="1"/>
        <v>IN-BLR-ANANTA-DDC-340_10</v>
      </c>
      <c r="Q144" s="173" t="s">
        <v>1416</v>
      </c>
      <c r="R144" s="258" t="str">
        <f>IFS(C144="","",C144="n/a","N/A",LEN(C144),Concatenate("{",char(34),"asset",char(34),":{",char(34),"guid",char(34),":",char(34),Q144,char(34),",",char(34),"site",char(34),":",char(34),LOWER('2-Building'!$B$4),char(34),",",char(34),"name",char(34),":",char(34),LOWER(C144),char(34),"}}"))</f>
        <v>{"asset":{"guid":"uuid://2bd84e96-0a00-4554-b489-24b918629c6f","site":"in-blr-ananta","name":"ddc-340"}}</v>
      </c>
      <c r="S144" s="258" t="s">
        <v>681</v>
      </c>
      <c r="T144" s="263"/>
      <c r="U144" s="263"/>
      <c r="V144" s="264">
        <v>2.23</v>
      </c>
      <c r="W144" s="33" t="s">
        <v>682</v>
      </c>
      <c r="X144" s="258" t="s">
        <v>683</v>
      </c>
      <c r="Y144" s="33" t="s">
        <v>684</v>
      </c>
      <c r="Z144" s="258">
        <v>14140.0</v>
      </c>
      <c r="AA144" s="258">
        <v>11501.0</v>
      </c>
      <c r="AB144" s="258"/>
      <c r="AC144" s="258"/>
      <c r="AD144" s="265"/>
      <c r="AE144" s="266" t="s">
        <v>685</v>
      </c>
      <c r="AF144" s="267" t="s">
        <v>1417</v>
      </c>
      <c r="AG144" s="268" t="str">
        <f>IFS(LEN(AF144)=17,LOWER('2-Building'!$B$4 &amp; "-" &amp; C144), AF144="N/A", "N/A", LEN(AF144)=0,"")</f>
        <v>in-blr-ananta-ddc-340</v>
      </c>
      <c r="AH144" s="258"/>
      <c r="AI144" s="258"/>
      <c r="AJ144" s="258"/>
      <c r="AK144" s="258" t="s">
        <v>1418</v>
      </c>
      <c r="AL144" s="258" t="s">
        <v>688</v>
      </c>
      <c r="AM144" s="258" t="s">
        <v>689</v>
      </c>
      <c r="AN144" s="258"/>
      <c r="AO144" s="258"/>
      <c r="AP144" s="258"/>
      <c r="AQ144" s="258"/>
      <c r="AR144" s="258" t="s">
        <v>690</v>
      </c>
      <c r="AS144" s="258" t="s">
        <v>691</v>
      </c>
      <c r="AT144" s="258" t="s">
        <v>1419</v>
      </c>
      <c r="AU144" s="265" t="s">
        <v>693</v>
      </c>
      <c r="AV144" s="174" t="s">
        <v>243</v>
      </c>
      <c r="AW144" s="269" t="s">
        <v>245</v>
      </c>
      <c r="AX144" s="269" t="s">
        <v>694</v>
      </c>
      <c r="AY144" s="270" t="s">
        <v>695</v>
      </c>
      <c r="AZ144" s="173" t="s">
        <v>681</v>
      </c>
      <c r="BA144" s="265">
        <v>10.0</v>
      </c>
      <c r="BB144" s="174" t="s">
        <v>225</v>
      </c>
      <c r="BC144" s="271"/>
      <c r="BD144" s="272" t="s">
        <v>696</v>
      </c>
      <c r="BE144" s="273" t="s">
        <v>697</v>
      </c>
      <c r="BF144" s="274" t="str">
        <f>IFERROR(__xludf.DUMMYFUNCTION("LOWER(Regexreplace(to_text(E144),""[^A-Za-z0-9]"","""")&amp;""_""&amp;Regexreplace(to_text(F144),""[^A-Za-z0-9]"",""""))"),"sauter_eyrc504fxxx")</f>
        <v>sauter_eyrc504fxxx</v>
      </c>
      <c r="BG144" s="275" t="str">
        <f>IFERROR(__xludf.DUMMYFUNCTION("upper(Regexreplace(to_text(E144),""[^A-Za-z0-9]"","""")&amp;""-""&amp;Regexreplace(to_text(F144),""[^A-Za-z0-9]"",""""))"),"SAUTER-EYRC504FXXX")</f>
        <v>SAUTER-EYRC504FXXX</v>
      </c>
    </row>
    <row r="145" ht="30.0" customHeight="1">
      <c r="A145" s="173">
        <v>141.0</v>
      </c>
      <c r="B145" s="256" t="s">
        <v>670</v>
      </c>
      <c r="C145" s="257" t="s">
        <v>1420</v>
      </c>
      <c r="D145" s="173" t="s">
        <v>1420</v>
      </c>
      <c r="E145" s="174" t="s">
        <v>672</v>
      </c>
      <c r="F145" s="173" t="s">
        <v>514</v>
      </c>
      <c r="G145" s="258" t="s">
        <v>673</v>
      </c>
      <c r="H145" s="258" t="s">
        <v>674</v>
      </c>
      <c r="I145" s="258" t="s">
        <v>675</v>
      </c>
      <c r="J145" s="259" t="s">
        <v>1393</v>
      </c>
      <c r="K145" s="260">
        <v>1019.0</v>
      </c>
      <c r="L145" s="258" t="s">
        <v>1415</v>
      </c>
      <c r="M145" s="277">
        <v>4.1100115867E11</v>
      </c>
      <c r="N145" s="173" t="s">
        <v>679</v>
      </c>
      <c r="O145" s="173" t="s">
        <v>225</v>
      </c>
      <c r="P145" s="262" t="str">
        <f t="shared" si="1"/>
        <v>IN-BLR-ANANTA-DDC-341_10</v>
      </c>
      <c r="Q145" s="173" t="s">
        <v>1421</v>
      </c>
      <c r="R145" s="258" t="str">
        <f>IFS(C145="","",C145="n/a","N/A",LEN(C145),Concatenate("{",char(34),"asset",char(34),":{",char(34),"guid",char(34),":",char(34),Q145,char(34),",",char(34),"site",char(34),":",char(34),LOWER('2-Building'!$B$4),char(34),",",char(34),"name",char(34),":",char(34),LOWER(C145),char(34),"}}"))</f>
        <v>{"asset":{"guid":"uuid://d8d26a29-86ee-4e9d-a9b0-bc4173b7c9d9","site":"in-blr-ananta","name":"ddc-341"}}</v>
      </c>
      <c r="S145" s="258" t="s">
        <v>681</v>
      </c>
      <c r="T145" s="263"/>
      <c r="U145" s="263"/>
      <c r="V145" s="264">
        <v>2.23</v>
      </c>
      <c r="W145" s="33" t="s">
        <v>682</v>
      </c>
      <c r="X145" s="258" t="s">
        <v>683</v>
      </c>
      <c r="Y145" s="33" t="s">
        <v>684</v>
      </c>
      <c r="Z145" s="258">
        <v>14141.0</v>
      </c>
      <c r="AA145" s="258">
        <v>11501.0</v>
      </c>
      <c r="AB145" s="258"/>
      <c r="AC145" s="258"/>
      <c r="AD145" s="265"/>
      <c r="AE145" s="266" t="s">
        <v>685</v>
      </c>
      <c r="AF145" s="267" t="s">
        <v>1422</v>
      </c>
      <c r="AG145" s="268" t="str">
        <f>IFS(LEN(AF145)=17,LOWER('2-Building'!$B$4 &amp; "-" &amp; C145), AF145="N/A", "N/A", LEN(AF145)=0,"")</f>
        <v>in-blr-ananta-ddc-341</v>
      </c>
      <c r="AH145" s="258"/>
      <c r="AI145" s="258"/>
      <c r="AJ145" s="258"/>
      <c r="AK145" s="258" t="s">
        <v>1423</v>
      </c>
      <c r="AL145" s="258" t="s">
        <v>688</v>
      </c>
      <c r="AM145" s="258" t="s">
        <v>689</v>
      </c>
      <c r="AN145" s="258"/>
      <c r="AO145" s="258"/>
      <c r="AP145" s="258"/>
      <c r="AQ145" s="258"/>
      <c r="AR145" s="258" t="s">
        <v>690</v>
      </c>
      <c r="AS145" s="258" t="s">
        <v>691</v>
      </c>
      <c r="AT145" s="258" t="s">
        <v>1419</v>
      </c>
      <c r="AU145" s="265" t="s">
        <v>693</v>
      </c>
      <c r="AV145" s="174" t="s">
        <v>243</v>
      </c>
      <c r="AW145" s="269" t="s">
        <v>245</v>
      </c>
      <c r="AX145" s="269" t="s">
        <v>694</v>
      </c>
      <c r="AY145" s="270" t="s">
        <v>695</v>
      </c>
      <c r="AZ145" s="173" t="s">
        <v>681</v>
      </c>
      <c r="BA145" s="265">
        <v>10.0</v>
      </c>
      <c r="BB145" s="174" t="s">
        <v>225</v>
      </c>
      <c r="BC145" s="271"/>
      <c r="BD145" s="272" t="s">
        <v>696</v>
      </c>
      <c r="BE145" s="273" t="s">
        <v>697</v>
      </c>
      <c r="BF145" s="274" t="str">
        <f>IFERROR(__xludf.DUMMYFUNCTION("LOWER(Regexreplace(to_text(E145),""[^A-Za-z0-9]"","""")&amp;""_""&amp;Regexreplace(to_text(F145),""[^A-Za-z0-9]"",""""))"),"sauter_eyrc504fxxx")</f>
        <v>sauter_eyrc504fxxx</v>
      </c>
      <c r="BG145" s="275" t="str">
        <f>IFERROR(__xludf.DUMMYFUNCTION("upper(Regexreplace(to_text(E145),""[^A-Za-z0-9]"","""")&amp;""-""&amp;Regexreplace(to_text(F145),""[^A-Za-z0-9]"",""""))"),"SAUTER-EYRC504FXXX")</f>
        <v>SAUTER-EYRC504FXXX</v>
      </c>
    </row>
    <row r="146" ht="30.0" customHeight="1">
      <c r="A146" s="258">
        <v>142.0</v>
      </c>
      <c r="B146" s="256" t="s">
        <v>670</v>
      </c>
      <c r="C146" s="257" t="s">
        <v>1424</v>
      </c>
      <c r="D146" s="173" t="s">
        <v>1424</v>
      </c>
      <c r="E146" s="174" t="s">
        <v>672</v>
      </c>
      <c r="F146" s="173" t="s">
        <v>514</v>
      </c>
      <c r="G146" s="258" t="s">
        <v>673</v>
      </c>
      <c r="H146" s="258" t="s">
        <v>674</v>
      </c>
      <c r="I146" s="258" t="s">
        <v>675</v>
      </c>
      <c r="J146" s="259" t="s">
        <v>1393</v>
      </c>
      <c r="K146" s="260">
        <v>1048.0</v>
      </c>
      <c r="L146" s="258" t="s">
        <v>1425</v>
      </c>
      <c r="M146" s="277">
        <v>4.11001359332E11</v>
      </c>
      <c r="N146" s="173" t="s">
        <v>679</v>
      </c>
      <c r="O146" s="173" t="s">
        <v>225</v>
      </c>
      <c r="P146" s="262" t="str">
        <f t="shared" si="1"/>
        <v>IN-BLR-ANANTA-DDC-342_10</v>
      </c>
      <c r="Q146" s="173" t="s">
        <v>1426</v>
      </c>
      <c r="R146" s="258" t="str">
        <f>IFS(C146="","",C146="n/a","N/A",LEN(C146),Concatenate("{",char(34),"asset",char(34),":{",char(34),"guid",char(34),":",char(34),Q146,char(34),",",char(34),"site",char(34),":",char(34),LOWER('2-Building'!$B$4),char(34),",",char(34),"name",char(34),":",char(34),LOWER(C146),char(34),"}}"))</f>
        <v>{"asset":{"guid":"uuid://11294498-4bd1-49a6-8980-3afcfb11612e","site":"in-blr-ananta","name":"ddc-342"}}</v>
      </c>
      <c r="S146" s="258" t="s">
        <v>681</v>
      </c>
      <c r="T146" s="263"/>
      <c r="U146" s="263"/>
      <c r="V146" s="264">
        <v>2.23</v>
      </c>
      <c r="W146" s="33" t="s">
        <v>682</v>
      </c>
      <c r="X146" s="258" t="s">
        <v>683</v>
      </c>
      <c r="Y146" s="33" t="s">
        <v>684</v>
      </c>
      <c r="Z146" s="258">
        <v>14142.0</v>
      </c>
      <c r="AA146" s="258">
        <v>11501.0</v>
      </c>
      <c r="AB146" s="258"/>
      <c r="AC146" s="258"/>
      <c r="AD146" s="265"/>
      <c r="AE146" s="266" t="s">
        <v>685</v>
      </c>
      <c r="AF146" s="267" t="s">
        <v>1427</v>
      </c>
      <c r="AG146" s="268" t="str">
        <f>IFS(LEN(AF146)=17,LOWER('2-Building'!$B$4 &amp; "-" &amp; C146), AF146="N/A", "N/A", LEN(AF146)=0,"")</f>
        <v>in-blr-ananta-ddc-342</v>
      </c>
      <c r="AH146" s="258"/>
      <c r="AI146" s="258"/>
      <c r="AJ146" s="258"/>
      <c r="AK146" s="258" t="s">
        <v>1428</v>
      </c>
      <c r="AL146" s="258" t="s">
        <v>688</v>
      </c>
      <c r="AM146" s="258" t="s">
        <v>689</v>
      </c>
      <c r="AN146" s="258"/>
      <c r="AO146" s="258"/>
      <c r="AP146" s="258"/>
      <c r="AQ146" s="258"/>
      <c r="AR146" s="258" t="s">
        <v>690</v>
      </c>
      <c r="AS146" s="258" t="s">
        <v>691</v>
      </c>
      <c r="AT146" s="258" t="s">
        <v>1429</v>
      </c>
      <c r="AU146" s="265" t="s">
        <v>693</v>
      </c>
      <c r="AV146" s="174" t="s">
        <v>243</v>
      </c>
      <c r="AW146" s="269" t="s">
        <v>245</v>
      </c>
      <c r="AX146" s="269" t="s">
        <v>694</v>
      </c>
      <c r="AY146" s="270" t="s">
        <v>695</v>
      </c>
      <c r="AZ146" s="173" t="s">
        <v>681</v>
      </c>
      <c r="BA146" s="265">
        <v>10.0</v>
      </c>
      <c r="BB146" s="174" t="s">
        <v>225</v>
      </c>
      <c r="BC146" s="271"/>
      <c r="BD146" s="272" t="s">
        <v>696</v>
      </c>
      <c r="BE146" s="273" t="s">
        <v>697</v>
      </c>
      <c r="BF146" s="274" t="str">
        <f>IFERROR(__xludf.DUMMYFUNCTION("LOWER(Regexreplace(to_text(E146),""[^A-Za-z0-9]"","""")&amp;""_""&amp;Regexreplace(to_text(F146),""[^A-Za-z0-9]"",""""))"),"sauter_eyrc504fxxx")</f>
        <v>sauter_eyrc504fxxx</v>
      </c>
      <c r="BG146" s="275" t="str">
        <f>IFERROR(__xludf.DUMMYFUNCTION("upper(Regexreplace(to_text(E146),""[^A-Za-z0-9]"","""")&amp;""-""&amp;Regexreplace(to_text(F146),""[^A-Za-z0-9]"",""""))"),"SAUTER-EYRC504FXXX")</f>
        <v>SAUTER-EYRC504FXXX</v>
      </c>
    </row>
    <row r="147" ht="30.0" customHeight="1">
      <c r="A147" s="173">
        <v>143.0</v>
      </c>
      <c r="B147" s="256" t="s">
        <v>670</v>
      </c>
      <c r="C147" s="257" t="s">
        <v>1430</v>
      </c>
      <c r="D147" s="173" t="s">
        <v>1430</v>
      </c>
      <c r="E147" s="174" t="s">
        <v>672</v>
      </c>
      <c r="F147" s="173" t="s">
        <v>514</v>
      </c>
      <c r="G147" s="258" t="s">
        <v>673</v>
      </c>
      <c r="H147" s="258" t="s">
        <v>674</v>
      </c>
      <c r="I147" s="258" t="s">
        <v>675</v>
      </c>
      <c r="J147" s="259" t="s">
        <v>1393</v>
      </c>
      <c r="K147" s="260">
        <v>1048.0</v>
      </c>
      <c r="L147" s="258" t="s">
        <v>1425</v>
      </c>
      <c r="M147" s="277">
        <v>4.11001359633E11</v>
      </c>
      <c r="N147" s="173" t="s">
        <v>679</v>
      </c>
      <c r="O147" s="173" t="s">
        <v>225</v>
      </c>
      <c r="P147" s="262" t="str">
        <f t="shared" si="1"/>
        <v>IN-BLR-ANANTA-DDC-343_10</v>
      </c>
      <c r="Q147" s="173" t="s">
        <v>1431</v>
      </c>
      <c r="R147" s="258" t="str">
        <f>IFS(C147="","",C147="n/a","N/A",LEN(C147),Concatenate("{",char(34),"asset",char(34),":{",char(34),"guid",char(34),":",char(34),Q147,char(34),",",char(34),"site",char(34),":",char(34),LOWER('2-Building'!$B$4),char(34),",",char(34),"name",char(34),":",char(34),LOWER(C147),char(34),"}}"))</f>
        <v>{"asset":{"guid":"uuid://f9b32f16-86f0-4635-954f-d12d2373eb8c","site":"in-blr-ananta","name":"ddc-343"}}</v>
      </c>
      <c r="S147" s="258" t="s">
        <v>681</v>
      </c>
      <c r="T147" s="263"/>
      <c r="U147" s="263"/>
      <c r="V147" s="264">
        <v>2.23</v>
      </c>
      <c r="W147" s="33" t="s">
        <v>682</v>
      </c>
      <c r="X147" s="258" t="s">
        <v>683</v>
      </c>
      <c r="Y147" s="33" t="s">
        <v>684</v>
      </c>
      <c r="Z147" s="258">
        <v>14143.0</v>
      </c>
      <c r="AA147" s="258">
        <v>11501.0</v>
      </c>
      <c r="AB147" s="258"/>
      <c r="AC147" s="258"/>
      <c r="AD147" s="265"/>
      <c r="AE147" s="266" t="s">
        <v>685</v>
      </c>
      <c r="AF147" s="267" t="s">
        <v>1432</v>
      </c>
      <c r="AG147" s="268" t="str">
        <f>IFS(LEN(AF147)=17,LOWER('2-Building'!$B$4 &amp; "-" &amp; C147), AF147="N/A", "N/A", LEN(AF147)=0,"")</f>
        <v>in-blr-ananta-ddc-343</v>
      </c>
      <c r="AH147" s="258"/>
      <c r="AI147" s="258"/>
      <c r="AJ147" s="258"/>
      <c r="AK147" s="258" t="s">
        <v>1433</v>
      </c>
      <c r="AL147" s="258" t="s">
        <v>688</v>
      </c>
      <c r="AM147" s="258" t="s">
        <v>689</v>
      </c>
      <c r="AN147" s="258"/>
      <c r="AO147" s="258"/>
      <c r="AP147" s="258"/>
      <c r="AQ147" s="258"/>
      <c r="AR147" s="258" t="s">
        <v>690</v>
      </c>
      <c r="AS147" s="258" t="s">
        <v>691</v>
      </c>
      <c r="AT147" s="258" t="s">
        <v>1429</v>
      </c>
      <c r="AU147" s="265" t="s">
        <v>693</v>
      </c>
      <c r="AV147" s="174" t="s">
        <v>243</v>
      </c>
      <c r="AW147" s="269" t="s">
        <v>245</v>
      </c>
      <c r="AX147" s="269" t="s">
        <v>694</v>
      </c>
      <c r="AY147" s="270" t="s">
        <v>695</v>
      </c>
      <c r="AZ147" s="173" t="s">
        <v>681</v>
      </c>
      <c r="BA147" s="265">
        <v>10.0</v>
      </c>
      <c r="BB147" s="174" t="s">
        <v>225</v>
      </c>
      <c r="BC147" s="271"/>
      <c r="BD147" s="272" t="s">
        <v>696</v>
      </c>
      <c r="BE147" s="273" t="s">
        <v>697</v>
      </c>
      <c r="BF147" s="274" t="str">
        <f>IFERROR(__xludf.DUMMYFUNCTION("LOWER(Regexreplace(to_text(E147),""[^A-Za-z0-9]"","""")&amp;""_""&amp;Regexreplace(to_text(F147),""[^A-Za-z0-9]"",""""))"),"sauter_eyrc504fxxx")</f>
        <v>sauter_eyrc504fxxx</v>
      </c>
      <c r="BG147" s="275" t="str">
        <f>IFERROR(__xludf.DUMMYFUNCTION("upper(Regexreplace(to_text(E147),""[^A-Za-z0-9]"","""")&amp;""-""&amp;Regexreplace(to_text(F147),""[^A-Za-z0-9]"",""""))"),"SAUTER-EYRC504FXXX")</f>
        <v>SAUTER-EYRC504FXXX</v>
      </c>
    </row>
    <row r="148" ht="30.0" customHeight="1">
      <c r="A148" s="258">
        <v>144.0</v>
      </c>
      <c r="B148" s="256" t="s">
        <v>670</v>
      </c>
      <c r="C148" s="257" t="s">
        <v>1434</v>
      </c>
      <c r="D148" s="173" t="s">
        <v>1434</v>
      </c>
      <c r="E148" s="174" t="s">
        <v>672</v>
      </c>
      <c r="F148" s="173" t="s">
        <v>514</v>
      </c>
      <c r="G148" s="258" t="s">
        <v>673</v>
      </c>
      <c r="H148" s="258" t="s">
        <v>674</v>
      </c>
      <c r="I148" s="258" t="s">
        <v>675</v>
      </c>
      <c r="J148" s="259" t="s">
        <v>1393</v>
      </c>
      <c r="K148" s="260">
        <v>1033.0</v>
      </c>
      <c r="L148" s="258" t="s">
        <v>1435</v>
      </c>
      <c r="M148" s="277">
        <v>4.11001239448E11</v>
      </c>
      <c r="N148" s="173" t="s">
        <v>679</v>
      </c>
      <c r="O148" s="173" t="s">
        <v>225</v>
      </c>
      <c r="P148" s="262" t="str">
        <f t="shared" si="1"/>
        <v>IN-BLR-ANANTA-DDC-344_10</v>
      </c>
      <c r="Q148" s="173" t="s">
        <v>1436</v>
      </c>
      <c r="R148" s="258" t="str">
        <f>IFS(C148="","",C148="n/a","N/A",LEN(C148),Concatenate("{",char(34),"asset",char(34),":{",char(34),"guid",char(34),":",char(34),Q148,char(34),",",char(34),"site",char(34),":",char(34),LOWER('2-Building'!$B$4),char(34),",",char(34),"name",char(34),":",char(34),LOWER(C148),char(34),"}}"))</f>
        <v>{"asset":{"guid":"uuid://817924fc-2777-433a-9cee-c4a58f4b31ca","site":"in-blr-ananta","name":"ddc-344"}}</v>
      </c>
      <c r="S148" s="258" t="s">
        <v>681</v>
      </c>
      <c r="T148" s="263"/>
      <c r="U148" s="263"/>
      <c r="V148" s="264">
        <v>2.23</v>
      </c>
      <c r="W148" s="33" t="s">
        <v>682</v>
      </c>
      <c r="X148" s="258" t="s">
        <v>683</v>
      </c>
      <c r="Y148" s="33" t="s">
        <v>684</v>
      </c>
      <c r="Z148" s="258">
        <v>14144.0</v>
      </c>
      <c r="AA148" s="258">
        <v>11501.0</v>
      </c>
      <c r="AB148" s="258"/>
      <c r="AC148" s="258"/>
      <c r="AD148" s="265"/>
      <c r="AE148" s="266" t="s">
        <v>685</v>
      </c>
      <c r="AF148" s="267" t="s">
        <v>1437</v>
      </c>
      <c r="AG148" s="268" t="str">
        <f>IFS(LEN(AF148)=17,LOWER('2-Building'!$B$4 &amp; "-" &amp; C148), AF148="N/A", "N/A", LEN(AF148)=0,"")</f>
        <v>in-blr-ananta-ddc-344</v>
      </c>
      <c r="AH148" s="258"/>
      <c r="AI148" s="258"/>
      <c r="AJ148" s="258"/>
      <c r="AK148" s="258" t="s">
        <v>1438</v>
      </c>
      <c r="AL148" s="258" t="s">
        <v>688</v>
      </c>
      <c r="AM148" s="258" t="s">
        <v>689</v>
      </c>
      <c r="AN148" s="258"/>
      <c r="AO148" s="258"/>
      <c r="AP148" s="258"/>
      <c r="AQ148" s="258"/>
      <c r="AR148" s="258" t="s">
        <v>690</v>
      </c>
      <c r="AS148" s="258" t="s">
        <v>691</v>
      </c>
      <c r="AT148" s="258" t="s">
        <v>1439</v>
      </c>
      <c r="AU148" s="265" t="s">
        <v>693</v>
      </c>
      <c r="AV148" s="174" t="s">
        <v>243</v>
      </c>
      <c r="AW148" s="269" t="s">
        <v>245</v>
      </c>
      <c r="AX148" s="269" t="s">
        <v>694</v>
      </c>
      <c r="AY148" s="270" t="s">
        <v>695</v>
      </c>
      <c r="AZ148" s="173" t="s">
        <v>681</v>
      </c>
      <c r="BA148" s="265">
        <v>10.0</v>
      </c>
      <c r="BB148" s="174" t="s">
        <v>225</v>
      </c>
      <c r="BC148" s="271"/>
      <c r="BD148" s="272" t="s">
        <v>696</v>
      </c>
      <c r="BE148" s="273" t="s">
        <v>697</v>
      </c>
      <c r="BF148" s="274" t="str">
        <f>IFERROR(__xludf.DUMMYFUNCTION("LOWER(Regexreplace(to_text(E148),""[^A-Za-z0-9]"","""")&amp;""_""&amp;Regexreplace(to_text(F148),""[^A-Za-z0-9]"",""""))"),"sauter_eyrc504fxxx")</f>
        <v>sauter_eyrc504fxxx</v>
      </c>
      <c r="BG148" s="275" t="str">
        <f>IFERROR(__xludf.DUMMYFUNCTION("upper(Regexreplace(to_text(E148),""[^A-Za-z0-9]"","""")&amp;""-""&amp;Regexreplace(to_text(F148),""[^A-Za-z0-9]"",""""))"),"SAUTER-EYRC504FXXX")</f>
        <v>SAUTER-EYRC504FXXX</v>
      </c>
    </row>
    <row r="149" ht="30.0" customHeight="1">
      <c r="A149" s="173">
        <v>145.0</v>
      </c>
      <c r="B149" s="256" t="s">
        <v>670</v>
      </c>
      <c r="C149" s="257" t="s">
        <v>1440</v>
      </c>
      <c r="D149" s="173" t="s">
        <v>1440</v>
      </c>
      <c r="E149" s="174" t="s">
        <v>672</v>
      </c>
      <c r="F149" s="173" t="s">
        <v>514</v>
      </c>
      <c r="G149" s="258" t="s">
        <v>673</v>
      </c>
      <c r="H149" s="258" t="s">
        <v>674</v>
      </c>
      <c r="I149" s="258" t="s">
        <v>675</v>
      </c>
      <c r="J149" s="259" t="s">
        <v>1393</v>
      </c>
      <c r="K149" s="260">
        <v>1033.0</v>
      </c>
      <c r="L149" s="258" t="s">
        <v>1435</v>
      </c>
      <c r="M149" s="277">
        <v>4.11001239118E11</v>
      </c>
      <c r="N149" s="173" t="s">
        <v>679</v>
      </c>
      <c r="O149" s="173" t="s">
        <v>225</v>
      </c>
      <c r="P149" s="262" t="str">
        <f t="shared" si="1"/>
        <v>IN-BLR-ANANTA-DDC-345_10</v>
      </c>
      <c r="Q149" s="173" t="s">
        <v>1441</v>
      </c>
      <c r="R149" s="258" t="str">
        <f>IFS(C149="","",C149="n/a","N/A",LEN(C149),Concatenate("{",char(34),"asset",char(34),":{",char(34),"guid",char(34),":",char(34),Q149,char(34),",",char(34),"site",char(34),":",char(34),LOWER('2-Building'!$B$4),char(34),",",char(34),"name",char(34),":",char(34),LOWER(C149),char(34),"}}"))</f>
        <v>{"asset":{"guid":"uuid://1a58def1-7f5d-4d85-883f-b985673975cd","site":"in-blr-ananta","name":"ddc-345"}}</v>
      </c>
      <c r="S149" s="258" t="s">
        <v>681</v>
      </c>
      <c r="T149" s="263"/>
      <c r="U149" s="263"/>
      <c r="V149" s="264">
        <v>2.23</v>
      </c>
      <c r="W149" s="33" t="s">
        <v>682</v>
      </c>
      <c r="X149" s="258" t="s">
        <v>683</v>
      </c>
      <c r="Y149" s="33" t="s">
        <v>684</v>
      </c>
      <c r="Z149" s="258">
        <v>14145.0</v>
      </c>
      <c r="AA149" s="258">
        <v>11501.0</v>
      </c>
      <c r="AB149" s="258"/>
      <c r="AC149" s="258"/>
      <c r="AD149" s="265"/>
      <c r="AE149" s="266" t="s">
        <v>685</v>
      </c>
      <c r="AF149" s="267" t="s">
        <v>1442</v>
      </c>
      <c r="AG149" s="268" t="str">
        <f>IFS(LEN(AF149)=17,LOWER('2-Building'!$B$4 &amp; "-" &amp; C149), AF149="N/A", "N/A", LEN(AF149)=0,"")</f>
        <v>in-blr-ananta-ddc-345</v>
      </c>
      <c r="AH149" s="258"/>
      <c r="AI149" s="258"/>
      <c r="AJ149" s="258"/>
      <c r="AK149" s="258" t="s">
        <v>1443</v>
      </c>
      <c r="AL149" s="258" t="s">
        <v>688</v>
      </c>
      <c r="AM149" s="258" t="s">
        <v>689</v>
      </c>
      <c r="AN149" s="258"/>
      <c r="AO149" s="258"/>
      <c r="AP149" s="258"/>
      <c r="AQ149" s="258"/>
      <c r="AR149" s="258" t="s">
        <v>690</v>
      </c>
      <c r="AS149" s="258" t="s">
        <v>691</v>
      </c>
      <c r="AT149" s="258" t="s">
        <v>1439</v>
      </c>
      <c r="AU149" s="265" t="s">
        <v>693</v>
      </c>
      <c r="AV149" s="174" t="s">
        <v>243</v>
      </c>
      <c r="AW149" s="269" t="s">
        <v>245</v>
      </c>
      <c r="AX149" s="269" t="s">
        <v>694</v>
      </c>
      <c r="AY149" s="270" t="s">
        <v>695</v>
      </c>
      <c r="AZ149" s="173" t="s">
        <v>681</v>
      </c>
      <c r="BA149" s="265">
        <v>10.0</v>
      </c>
      <c r="BB149" s="174" t="s">
        <v>225</v>
      </c>
      <c r="BC149" s="271"/>
      <c r="BD149" s="272" t="s">
        <v>696</v>
      </c>
      <c r="BE149" s="273" t="s">
        <v>697</v>
      </c>
      <c r="BF149" s="274" t="str">
        <f>IFERROR(__xludf.DUMMYFUNCTION("LOWER(Regexreplace(to_text(E149),""[^A-Za-z0-9]"","""")&amp;""_""&amp;Regexreplace(to_text(F149),""[^A-Za-z0-9]"",""""))"),"sauter_eyrc504fxxx")</f>
        <v>sauter_eyrc504fxxx</v>
      </c>
      <c r="BG149" s="275" t="str">
        <f>IFERROR(__xludf.DUMMYFUNCTION("upper(Regexreplace(to_text(E149),""[^A-Za-z0-9]"","""")&amp;""-""&amp;Regexreplace(to_text(F149),""[^A-Za-z0-9]"",""""))"),"SAUTER-EYRC504FXXX")</f>
        <v>SAUTER-EYRC504FXXX</v>
      </c>
    </row>
    <row r="150" ht="30.0" customHeight="1">
      <c r="A150" s="278">
        <v>146.0</v>
      </c>
      <c r="B150" s="279" t="s">
        <v>670</v>
      </c>
      <c r="C150" s="257" t="s">
        <v>1444</v>
      </c>
      <c r="D150" s="280" t="s">
        <v>1444</v>
      </c>
      <c r="E150" s="281" t="s">
        <v>672</v>
      </c>
      <c r="F150" s="173" t="s">
        <v>514</v>
      </c>
      <c r="G150" s="278" t="s">
        <v>673</v>
      </c>
      <c r="H150" s="278" t="s">
        <v>674</v>
      </c>
      <c r="I150" s="258" t="s">
        <v>675</v>
      </c>
      <c r="J150" s="259" t="s">
        <v>1393</v>
      </c>
      <c r="K150" s="260">
        <v>1034.0</v>
      </c>
      <c r="L150" s="278" t="s">
        <v>1445</v>
      </c>
      <c r="M150" s="282">
        <v>4.1100123926E11</v>
      </c>
      <c r="N150" s="173" t="s">
        <v>679</v>
      </c>
      <c r="O150" s="280" t="s">
        <v>225</v>
      </c>
      <c r="P150" s="283" t="str">
        <f t="shared" si="1"/>
        <v>IN-BLR-ANANTA-DDC-346_10</v>
      </c>
      <c r="Q150" s="173" t="s">
        <v>1446</v>
      </c>
      <c r="R150" s="278" t="str">
        <f>IFS(C150="","",C150="n/a","N/A",LEN(C150),Concatenate("{",char(34),"asset",char(34),":{",char(34),"guid",char(34),":",char(34),Q150,char(34),",",char(34),"site",char(34),":",char(34),LOWER('2-Building'!$B$4),char(34),",",char(34),"name",char(34),":",char(34),LOWER(C150),char(34),"}}"))</f>
        <v>{"asset":{"guid":"uuid://dc09e627-3ae4-4cda-b682-7317d959d3f3","site":"in-blr-ananta","name":"ddc-346"}}</v>
      </c>
      <c r="S150" s="278" t="s">
        <v>681</v>
      </c>
      <c r="T150" s="284"/>
      <c r="U150" s="284"/>
      <c r="V150" s="264">
        <v>2.23</v>
      </c>
      <c r="W150" s="285" t="s">
        <v>682</v>
      </c>
      <c r="X150" s="278" t="s">
        <v>683</v>
      </c>
      <c r="Y150" s="33" t="s">
        <v>684</v>
      </c>
      <c r="Z150" s="278">
        <v>14146.0</v>
      </c>
      <c r="AA150" s="278">
        <v>11501.0</v>
      </c>
      <c r="AB150" s="278"/>
      <c r="AC150" s="278"/>
      <c r="AD150" s="286"/>
      <c r="AE150" s="287" t="s">
        <v>685</v>
      </c>
      <c r="AF150" s="288" t="s">
        <v>1447</v>
      </c>
      <c r="AG150" s="257" t="str">
        <f>IFS(LEN(AF150)=17,LOWER('2-Building'!$B$4 &amp; "-" &amp; C150), AF150="N/A", "N/A", LEN(AF150)=0,"")</f>
        <v>in-blr-ananta-ddc-346</v>
      </c>
      <c r="AH150" s="278"/>
      <c r="AI150" s="278"/>
      <c r="AJ150" s="278"/>
      <c r="AK150" s="258" t="s">
        <v>1418</v>
      </c>
      <c r="AL150" s="278" t="s">
        <v>688</v>
      </c>
      <c r="AM150" s="278" t="s">
        <v>689</v>
      </c>
      <c r="AN150" s="278"/>
      <c r="AO150" s="278"/>
      <c r="AP150" s="278"/>
      <c r="AQ150" s="278"/>
      <c r="AR150" s="278" t="s">
        <v>690</v>
      </c>
      <c r="AS150" s="278" t="s">
        <v>691</v>
      </c>
      <c r="AT150" s="258" t="s">
        <v>1448</v>
      </c>
      <c r="AU150" s="286" t="s">
        <v>693</v>
      </c>
      <c r="AV150" s="281" t="s">
        <v>243</v>
      </c>
      <c r="AW150" s="289" t="s">
        <v>245</v>
      </c>
      <c r="AX150" s="269" t="s">
        <v>694</v>
      </c>
      <c r="AY150" s="290" t="s">
        <v>695</v>
      </c>
      <c r="AZ150" s="280" t="s">
        <v>681</v>
      </c>
      <c r="BA150" s="286">
        <v>10.0</v>
      </c>
      <c r="BB150" s="281" t="s">
        <v>225</v>
      </c>
      <c r="BC150" s="291"/>
      <c r="BD150" s="272" t="s">
        <v>696</v>
      </c>
      <c r="BE150" s="292" t="s">
        <v>697</v>
      </c>
      <c r="BF150" s="274" t="str">
        <f>IFERROR(__xludf.DUMMYFUNCTION("LOWER(Regexreplace(to_text(E150),""[^A-Za-z0-9]"","""")&amp;""_""&amp;Regexreplace(to_text(F150),""[^A-Za-z0-9]"",""""))"),"sauter_eyrc504fxxx")</f>
        <v>sauter_eyrc504fxxx</v>
      </c>
      <c r="BG150" s="275" t="str">
        <f>IFERROR(__xludf.DUMMYFUNCTION("upper(Regexreplace(to_text(E150),""[^A-Za-z0-9]"","""")&amp;""-""&amp;Regexreplace(to_text(F150),""[^A-Za-z0-9]"",""""))"),"SAUTER-EYRC504FXXX")</f>
        <v>SAUTER-EYRC504FXXX</v>
      </c>
    </row>
    <row r="151" ht="30.0" customHeight="1">
      <c r="A151" s="280">
        <v>147.0</v>
      </c>
      <c r="B151" s="279" t="s">
        <v>670</v>
      </c>
      <c r="C151" s="257" t="s">
        <v>1449</v>
      </c>
      <c r="D151" s="280" t="s">
        <v>1449</v>
      </c>
      <c r="E151" s="281" t="s">
        <v>672</v>
      </c>
      <c r="F151" s="173" t="s">
        <v>514</v>
      </c>
      <c r="G151" s="278" t="s">
        <v>673</v>
      </c>
      <c r="H151" s="278" t="s">
        <v>674</v>
      </c>
      <c r="I151" s="258" t="s">
        <v>675</v>
      </c>
      <c r="J151" s="259" t="s">
        <v>1393</v>
      </c>
      <c r="K151" s="260">
        <v>1034.0</v>
      </c>
      <c r="L151" s="278" t="s">
        <v>1445</v>
      </c>
      <c r="M151" s="282">
        <v>4.11001239335E11</v>
      </c>
      <c r="N151" s="173" t="s">
        <v>679</v>
      </c>
      <c r="O151" s="280" t="s">
        <v>225</v>
      </c>
      <c r="P151" s="283" t="str">
        <f t="shared" si="1"/>
        <v>IN-BLR-ANANTA-DDC-347_10</v>
      </c>
      <c r="Q151" s="173" t="s">
        <v>1450</v>
      </c>
      <c r="R151" s="278" t="str">
        <f>IFS(C151="","",C151="n/a","N/A",LEN(C151),Concatenate("{",char(34),"asset",char(34),":{",char(34),"guid",char(34),":",char(34),Q151,char(34),",",char(34),"site",char(34),":",char(34),LOWER('2-Building'!$B$4),char(34),",",char(34),"name",char(34),":",char(34),LOWER(C151),char(34),"}}"))</f>
        <v>{"asset":{"guid":"uuid://165e5d8c-54b1-4633-b974-0172ec0c52d5","site":"in-blr-ananta","name":"ddc-347"}}</v>
      </c>
      <c r="S151" s="278" t="s">
        <v>681</v>
      </c>
      <c r="T151" s="284"/>
      <c r="U151" s="284"/>
      <c r="V151" s="264">
        <v>2.23</v>
      </c>
      <c r="W151" s="285" t="s">
        <v>682</v>
      </c>
      <c r="X151" s="278" t="s">
        <v>683</v>
      </c>
      <c r="Y151" s="33" t="s">
        <v>684</v>
      </c>
      <c r="Z151" s="278">
        <v>14147.0</v>
      </c>
      <c r="AA151" s="278">
        <v>11501.0</v>
      </c>
      <c r="AB151" s="278"/>
      <c r="AC151" s="278"/>
      <c r="AD151" s="286"/>
      <c r="AE151" s="287" t="s">
        <v>685</v>
      </c>
      <c r="AF151" s="288" t="s">
        <v>1451</v>
      </c>
      <c r="AG151" s="257" t="str">
        <f>IFS(LEN(AF151)=17,LOWER('2-Building'!$B$4 &amp; "-" &amp; C151), AF151="N/A", "N/A", LEN(AF151)=0,"")</f>
        <v>in-blr-ananta-ddc-347</v>
      </c>
      <c r="AH151" s="278"/>
      <c r="AI151" s="278"/>
      <c r="AJ151" s="278"/>
      <c r="AK151" s="258" t="s">
        <v>1423</v>
      </c>
      <c r="AL151" s="278" t="s">
        <v>688</v>
      </c>
      <c r="AM151" s="278" t="s">
        <v>689</v>
      </c>
      <c r="AN151" s="278"/>
      <c r="AO151" s="278"/>
      <c r="AP151" s="278"/>
      <c r="AQ151" s="278"/>
      <c r="AR151" s="278" t="s">
        <v>690</v>
      </c>
      <c r="AS151" s="278" t="s">
        <v>691</v>
      </c>
      <c r="AT151" s="258" t="s">
        <v>1448</v>
      </c>
      <c r="AU151" s="286" t="s">
        <v>693</v>
      </c>
      <c r="AV151" s="281" t="s">
        <v>243</v>
      </c>
      <c r="AW151" s="289" t="s">
        <v>245</v>
      </c>
      <c r="AX151" s="269" t="s">
        <v>694</v>
      </c>
      <c r="AY151" s="290" t="s">
        <v>695</v>
      </c>
      <c r="AZ151" s="280" t="s">
        <v>681</v>
      </c>
      <c r="BA151" s="286">
        <v>10.0</v>
      </c>
      <c r="BB151" s="281" t="s">
        <v>225</v>
      </c>
      <c r="BC151" s="291"/>
      <c r="BD151" s="272" t="s">
        <v>696</v>
      </c>
      <c r="BE151" s="292" t="s">
        <v>697</v>
      </c>
      <c r="BF151" s="274" t="str">
        <f>IFERROR(__xludf.DUMMYFUNCTION("LOWER(Regexreplace(to_text(E151),""[^A-Za-z0-9]"","""")&amp;""_""&amp;Regexreplace(to_text(F151),""[^A-Za-z0-9]"",""""))"),"sauter_eyrc504fxxx")</f>
        <v>sauter_eyrc504fxxx</v>
      </c>
      <c r="BG151" s="275" t="str">
        <f>IFERROR(__xludf.DUMMYFUNCTION("upper(Regexreplace(to_text(E151),""[^A-Za-z0-9]"","""")&amp;""-""&amp;Regexreplace(to_text(F151),""[^A-Za-z0-9]"",""""))"),"SAUTER-EYRC504FXXX")</f>
        <v>SAUTER-EYRC504FXXX</v>
      </c>
    </row>
    <row r="152" ht="30.0" customHeight="1">
      <c r="A152" s="258">
        <v>148.0</v>
      </c>
      <c r="B152" s="256" t="s">
        <v>670</v>
      </c>
      <c r="C152" s="257" t="s">
        <v>1452</v>
      </c>
      <c r="D152" s="173" t="s">
        <v>1452</v>
      </c>
      <c r="E152" s="174" t="s">
        <v>672</v>
      </c>
      <c r="F152" s="173" t="s">
        <v>514</v>
      </c>
      <c r="G152" s="258" t="s">
        <v>673</v>
      </c>
      <c r="H152" s="258" t="s">
        <v>674</v>
      </c>
      <c r="I152" s="258" t="s">
        <v>675</v>
      </c>
      <c r="J152" s="259" t="s">
        <v>1453</v>
      </c>
      <c r="K152" s="260" t="s">
        <v>1454</v>
      </c>
      <c r="L152" s="258" t="s">
        <v>1455</v>
      </c>
      <c r="M152" s="277">
        <v>4.11001360245E11</v>
      </c>
      <c r="N152" s="173" t="s">
        <v>679</v>
      </c>
      <c r="O152" s="173" t="s">
        <v>225</v>
      </c>
      <c r="P152" s="262" t="str">
        <f t="shared" si="1"/>
        <v>IN-BLR-ANANTA-DDC-348_11</v>
      </c>
      <c r="Q152" s="173" t="s">
        <v>1456</v>
      </c>
      <c r="R152" s="258" t="str">
        <f>IFS(C152="","",C152="n/a","N/A",LEN(C152),Concatenate("{",char(34),"asset",char(34),":{",char(34),"guid",char(34),":",char(34),Q152,char(34),",",char(34),"site",char(34),":",char(34),LOWER('2-Building'!$B$4),char(34),",",char(34),"name",char(34),":",char(34),LOWER(C152),char(34),"}}"))</f>
        <v>{"asset":{"guid":"uuid://2c9b5a09-a5ef-4727-8a13-740690d8745b","site":"in-blr-ananta","name":"ddc-348"}}</v>
      </c>
      <c r="S152" s="258" t="s">
        <v>681</v>
      </c>
      <c r="T152" s="263"/>
      <c r="U152" s="263"/>
      <c r="V152" s="264">
        <v>2.23</v>
      </c>
      <c r="W152" s="33" t="s">
        <v>682</v>
      </c>
      <c r="X152" s="258" t="s">
        <v>683</v>
      </c>
      <c r="Y152" s="33" t="s">
        <v>684</v>
      </c>
      <c r="Z152" s="258">
        <v>14148.0</v>
      </c>
      <c r="AA152" s="258">
        <v>11501.0</v>
      </c>
      <c r="AB152" s="258"/>
      <c r="AC152" s="258"/>
      <c r="AD152" s="265"/>
      <c r="AE152" s="266" t="s">
        <v>685</v>
      </c>
      <c r="AF152" s="267" t="s">
        <v>1457</v>
      </c>
      <c r="AG152" s="268" t="str">
        <f>IFS(LEN(AF152)=17,LOWER('2-Building'!$B$4 &amp; "-" &amp; C152), AF152="N/A", "N/A", LEN(AF152)=0,"")</f>
        <v>in-blr-ananta-ddc-348</v>
      </c>
      <c r="AH152" s="258"/>
      <c r="AI152" s="258"/>
      <c r="AJ152" s="258"/>
      <c r="AK152" s="258" t="s">
        <v>1458</v>
      </c>
      <c r="AL152" s="258" t="s">
        <v>688</v>
      </c>
      <c r="AM152" s="258" t="s">
        <v>689</v>
      </c>
      <c r="AN152" s="258"/>
      <c r="AO152" s="258"/>
      <c r="AP152" s="258"/>
      <c r="AQ152" s="258"/>
      <c r="AR152" s="258" t="s">
        <v>690</v>
      </c>
      <c r="AS152" s="258" t="s">
        <v>691</v>
      </c>
      <c r="AT152" s="258" t="s">
        <v>1459</v>
      </c>
      <c r="AU152" s="265" t="s">
        <v>693</v>
      </c>
      <c r="AV152" s="174" t="s">
        <v>243</v>
      </c>
      <c r="AW152" s="269" t="s">
        <v>245</v>
      </c>
      <c r="AX152" s="269" t="s">
        <v>694</v>
      </c>
      <c r="AY152" s="270" t="s">
        <v>695</v>
      </c>
      <c r="AZ152" s="173" t="s">
        <v>681</v>
      </c>
      <c r="BA152" s="265">
        <v>10.0</v>
      </c>
      <c r="BB152" s="174" t="s">
        <v>225</v>
      </c>
      <c r="BC152" s="271"/>
      <c r="BD152" s="272" t="s">
        <v>696</v>
      </c>
      <c r="BE152" s="273" t="s">
        <v>697</v>
      </c>
      <c r="BF152" s="274" t="str">
        <f>IFERROR(__xludf.DUMMYFUNCTION("LOWER(Regexreplace(to_text(E152),""[^A-Za-z0-9]"","""")&amp;""_""&amp;Regexreplace(to_text(F152),""[^A-Za-z0-9]"",""""))"),"sauter_eyrc504fxxx")</f>
        <v>sauter_eyrc504fxxx</v>
      </c>
      <c r="BG152" s="275" t="str">
        <f>IFERROR(__xludf.DUMMYFUNCTION("upper(Regexreplace(to_text(E152),""[^A-Za-z0-9]"","""")&amp;""-""&amp;Regexreplace(to_text(F152),""[^A-Za-z0-9]"",""""))"),"SAUTER-EYRC504FXXX")</f>
        <v>SAUTER-EYRC504FXXX</v>
      </c>
    </row>
    <row r="153" ht="30.0" customHeight="1">
      <c r="A153" s="173">
        <v>149.0</v>
      </c>
      <c r="B153" s="256" t="s">
        <v>670</v>
      </c>
      <c r="C153" s="257" t="s">
        <v>1460</v>
      </c>
      <c r="D153" s="173" t="s">
        <v>1460</v>
      </c>
      <c r="E153" s="174" t="s">
        <v>672</v>
      </c>
      <c r="F153" s="173" t="s">
        <v>514</v>
      </c>
      <c r="G153" s="258" t="s">
        <v>673</v>
      </c>
      <c r="H153" s="258" t="s">
        <v>674</v>
      </c>
      <c r="I153" s="258" t="s">
        <v>675</v>
      </c>
      <c r="J153" s="259" t="s">
        <v>1453</v>
      </c>
      <c r="K153" s="260" t="s">
        <v>1454</v>
      </c>
      <c r="L153" s="258" t="s">
        <v>1455</v>
      </c>
      <c r="M153" s="277">
        <v>4.11001359581E11</v>
      </c>
      <c r="N153" s="173" t="s">
        <v>679</v>
      </c>
      <c r="O153" s="173" t="s">
        <v>225</v>
      </c>
      <c r="P153" s="262" t="str">
        <f t="shared" si="1"/>
        <v>IN-BLR-ANANTA-DDC-349_11</v>
      </c>
      <c r="Q153" s="173" t="s">
        <v>1461</v>
      </c>
      <c r="R153" s="258" t="str">
        <f>IFS(C153="","",C153="n/a","N/A",LEN(C153),Concatenate("{",char(34),"asset",char(34),":{",char(34),"guid",char(34),":",char(34),Q153,char(34),",",char(34),"site",char(34),":",char(34),LOWER('2-Building'!$B$4),char(34),",",char(34),"name",char(34),":",char(34),LOWER(C153),char(34),"}}"))</f>
        <v>{"asset":{"guid":"uuid://914eeda4-86e9-49f5-b973-d989b59331c3","site":"in-blr-ananta","name":"ddc-349"}}</v>
      </c>
      <c r="S153" s="258" t="s">
        <v>681</v>
      </c>
      <c r="T153" s="263"/>
      <c r="U153" s="263"/>
      <c r="V153" s="264">
        <v>2.23</v>
      </c>
      <c r="W153" s="33" t="s">
        <v>682</v>
      </c>
      <c r="X153" s="258" t="s">
        <v>683</v>
      </c>
      <c r="Y153" s="33" t="s">
        <v>684</v>
      </c>
      <c r="Z153" s="258">
        <v>14149.0</v>
      </c>
      <c r="AA153" s="258">
        <v>11501.0</v>
      </c>
      <c r="AB153" s="258"/>
      <c r="AC153" s="258"/>
      <c r="AD153" s="265"/>
      <c r="AE153" s="266" t="s">
        <v>685</v>
      </c>
      <c r="AF153" s="267" t="s">
        <v>1462</v>
      </c>
      <c r="AG153" s="268" t="str">
        <f>IFS(LEN(AF153)=17,LOWER('2-Building'!$B$4 &amp; "-" &amp; C153), AF153="N/A", "N/A", LEN(AF153)=0,"")</f>
        <v>in-blr-ananta-ddc-349</v>
      </c>
      <c r="AH153" s="258"/>
      <c r="AI153" s="258"/>
      <c r="AJ153" s="258"/>
      <c r="AK153" s="258" t="s">
        <v>1463</v>
      </c>
      <c r="AL153" s="258" t="s">
        <v>688</v>
      </c>
      <c r="AM153" s="258" t="s">
        <v>689</v>
      </c>
      <c r="AN153" s="258"/>
      <c r="AO153" s="258"/>
      <c r="AP153" s="258"/>
      <c r="AQ153" s="258"/>
      <c r="AR153" s="258" t="s">
        <v>690</v>
      </c>
      <c r="AS153" s="258" t="s">
        <v>691</v>
      </c>
      <c r="AT153" s="258" t="s">
        <v>1459</v>
      </c>
      <c r="AU153" s="265" t="s">
        <v>693</v>
      </c>
      <c r="AV153" s="174" t="s">
        <v>243</v>
      </c>
      <c r="AW153" s="269" t="s">
        <v>245</v>
      </c>
      <c r="AX153" s="269" t="s">
        <v>694</v>
      </c>
      <c r="AY153" s="270" t="s">
        <v>695</v>
      </c>
      <c r="AZ153" s="173" t="s">
        <v>681</v>
      </c>
      <c r="BA153" s="265">
        <v>10.0</v>
      </c>
      <c r="BB153" s="174" t="s">
        <v>225</v>
      </c>
      <c r="BC153" s="271"/>
      <c r="BD153" s="272" t="s">
        <v>696</v>
      </c>
      <c r="BE153" s="273" t="s">
        <v>697</v>
      </c>
      <c r="BF153" s="274" t="str">
        <f>IFERROR(__xludf.DUMMYFUNCTION("LOWER(Regexreplace(to_text(E153),""[^A-Za-z0-9]"","""")&amp;""_""&amp;Regexreplace(to_text(F153),""[^A-Za-z0-9]"",""""))"),"sauter_eyrc504fxxx")</f>
        <v>sauter_eyrc504fxxx</v>
      </c>
      <c r="BG153" s="275" t="str">
        <f>IFERROR(__xludf.DUMMYFUNCTION("upper(Regexreplace(to_text(E153),""[^A-Za-z0-9]"","""")&amp;""-""&amp;Regexreplace(to_text(F153),""[^A-Za-z0-9]"",""""))"),"SAUTER-EYRC504FXXX")</f>
        <v>SAUTER-EYRC504FXXX</v>
      </c>
    </row>
    <row r="154" ht="30.0" customHeight="1">
      <c r="A154" s="258">
        <v>150.0</v>
      </c>
      <c r="B154" s="256" t="s">
        <v>670</v>
      </c>
      <c r="C154" s="257" t="s">
        <v>1464</v>
      </c>
      <c r="D154" s="173" t="s">
        <v>1464</v>
      </c>
      <c r="E154" s="174" t="s">
        <v>672</v>
      </c>
      <c r="F154" s="173" t="s">
        <v>514</v>
      </c>
      <c r="G154" s="258" t="s">
        <v>673</v>
      </c>
      <c r="H154" s="258" t="s">
        <v>674</v>
      </c>
      <c r="I154" s="258" t="s">
        <v>675</v>
      </c>
      <c r="J154" s="259" t="s">
        <v>1453</v>
      </c>
      <c r="K154" s="260" t="s">
        <v>1465</v>
      </c>
      <c r="L154" s="258" t="s">
        <v>1466</v>
      </c>
      <c r="M154" s="277">
        <v>4.11001360004E11</v>
      </c>
      <c r="N154" s="173" t="s">
        <v>679</v>
      </c>
      <c r="O154" s="173" t="s">
        <v>225</v>
      </c>
      <c r="P154" s="262" t="str">
        <f t="shared" si="1"/>
        <v>IN-BLR-ANANTA-DDC-350_11</v>
      </c>
      <c r="Q154" s="173" t="s">
        <v>1467</v>
      </c>
      <c r="R154" s="258" t="str">
        <f>IFS(C154="","",C154="n/a","N/A",LEN(C154),Concatenate("{",char(34),"asset",char(34),":{",char(34),"guid",char(34),":",char(34),Q154,char(34),",",char(34),"site",char(34),":",char(34),LOWER('2-Building'!$B$4),char(34),",",char(34),"name",char(34),":",char(34),LOWER(C154),char(34),"}}"))</f>
        <v>{"asset":{"guid":"uuid://dcc690c6-4c3d-4a2f-a937-4e8c7405fb50","site":"in-blr-ananta","name":"ddc-350"}}</v>
      </c>
      <c r="S154" s="258" t="s">
        <v>681</v>
      </c>
      <c r="T154" s="263"/>
      <c r="U154" s="263"/>
      <c r="V154" s="264">
        <v>2.23</v>
      </c>
      <c r="W154" s="33" t="s">
        <v>682</v>
      </c>
      <c r="X154" s="258" t="s">
        <v>683</v>
      </c>
      <c r="Y154" s="33" t="s">
        <v>684</v>
      </c>
      <c r="Z154" s="258">
        <v>14150.0</v>
      </c>
      <c r="AA154" s="258">
        <v>11501.0</v>
      </c>
      <c r="AB154" s="258"/>
      <c r="AC154" s="258"/>
      <c r="AD154" s="265"/>
      <c r="AE154" s="266" t="s">
        <v>685</v>
      </c>
      <c r="AF154" s="267" t="s">
        <v>1468</v>
      </c>
      <c r="AG154" s="268" t="str">
        <f>IFS(LEN(AF154)=17,LOWER('2-Building'!$B$4 &amp; "-" &amp; C154), AF154="N/A", "N/A", LEN(AF154)=0,"")</f>
        <v>in-blr-ananta-ddc-350</v>
      </c>
      <c r="AH154" s="258"/>
      <c r="AI154" s="258"/>
      <c r="AJ154" s="258"/>
      <c r="AK154" s="258" t="s">
        <v>1469</v>
      </c>
      <c r="AL154" s="258" t="s">
        <v>688</v>
      </c>
      <c r="AM154" s="258" t="s">
        <v>689</v>
      </c>
      <c r="AN154" s="258"/>
      <c r="AO154" s="258"/>
      <c r="AP154" s="258"/>
      <c r="AQ154" s="258"/>
      <c r="AR154" s="258" t="s">
        <v>690</v>
      </c>
      <c r="AS154" s="258" t="s">
        <v>691</v>
      </c>
      <c r="AT154" s="258" t="s">
        <v>1470</v>
      </c>
      <c r="AU154" s="265" t="s">
        <v>693</v>
      </c>
      <c r="AV154" s="174" t="s">
        <v>243</v>
      </c>
      <c r="AW154" s="269" t="s">
        <v>245</v>
      </c>
      <c r="AX154" s="269" t="s">
        <v>694</v>
      </c>
      <c r="AY154" s="270" t="s">
        <v>695</v>
      </c>
      <c r="AZ154" s="173" t="s">
        <v>681</v>
      </c>
      <c r="BA154" s="265">
        <v>10.0</v>
      </c>
      <c r="BB154" s="174" t="s">
        <v>225</v>
      </c>
      <c r="BC154" s="271"/>
      <c r="BD154" s="272" t="s">
        <v>696</v>
      </c>
      <c r="BE154" s="273" t="s">
        <v>697</v>
      </c>
      <c r="BF154" s="274" t="str">
        <f>IFERROR(__xludf.DUMMYFUNCTION("LOWER(Regexreplace(to_text(E154),""[^A-Za-z0-9]"","""")&amp;""_""&amp;Regexreplace(to_text(F154),""[^A-Za-z0-9]"",""""))"),"sauter_eyrc504fxxx")</f>
        <v>sauter_eyrc504fxxx</v>
      </c>
      <c r="BG154" s="275" t="str">
        <f>IFERROR(__xludf.DUMMYFUNCTION("upper(Regexreplace(to_text(E154),""[^A-Za-z0-9]"","""")&amp;""-""&amp;Regexreplace(to_text(F154),""[^A-Za-z0-9]"",""""))"),"SAUTER-EYRC504FXXX")</f>
        <v>SAUTER-EYRC504FXXX</v>
      </c>
    </row>
    <row r="155" ht="30.0" customHeight="1">
      <c r="A155" s="173">
        <v>151.0</v>
      </c>
      <c r="B155" s="256" t="s">
        <v>670</v>
      </c>
      <c r="C155" s="257" t="s">
        <v>1471</v>
      </c>
      <c r="D155" s="173" t="s">
        <v>1471</v>
      </c>
      <c r="E155" s="174" t="s">
        <v>672</v>
      </c>
      <c r="F155" s="173" t="s">
        <v>514</v>
      </c>
      <c r="G155" s="258" t="s">
        <v>673</v>
      </c>
      <c r="H155" s="258" t="s">
        <v>674</v>
      </c>
      <c r="I155" s="258" t="s">
        <v>675</v>
      </c>
      <c r="J155" s="259" t="s">
        <v>1453</v>
      </c>
      <c r="K155" s="260" t="s">
        <v>1465</v>
      </c>
      <c r="L155" s="258" t="s">
        <v>1466</v>
      </c>
      <c r="M155" s="277">
        <v>4.11001239382E11</v>
      </c>
      <c r="N155" s="173" t="s">
        <v>679</v>
      </c>
      <c r="O155" s="173" t="s">
        <v>225</v>
      </c>
      <c r="P155" s="262" t="str">
        <f t="shared" si="1"/>
        <v>IN-BLR-ANANTA-DDC-351_11</v>
      </c>
      <c r="Q155" s="173" t="s">
        <v>1472</v>
      </c>
      <c r="R155" s="258" t="str">
        <f>IFS(C155="","",C155="n/a","N/A",LEN(C155),Concatenate("{",char(34),"asset",char(34),":{",char(34),"guid",char(34),":",char(34),Q155,char(34),",",char(34),"site",char(34),":",char(34),LOWER('2-Building'!$B$4),char(34),",",char(34),"name",char(34),":",char(34),LOWER(C155),char(34),"}}"))</f>
        <v>{"asset":{"guid":"uuid://ae38d33d-f3eb-47fb-bffa-bf802da7c6b5","site":"in-blr-ananta","name":"ddc-351"}}</v>
      </c>
      <c r="S155" s="258" t="s">
        <v>681</v>
      </c>
      <c r="T155" s="263"/>
      <c r="U155" s="263"/>
      <c r="V155" s="264">
        <v>2.23</v>
      </c>
      <c r="W155" s="33" t="s">
        <v>682</v>
      </c>
      <c r="X155" s="258" t="s">
        <v>683</v>
      </c>
      <c r="Y155" s="33" t="s">
        <v>684</v>
      </c>
      <c r="Z155" s="258">
        <v>14151.0</v>
      </c>
      <c r="AA155" s="258">
        <v>11501.0</v>
      </c>
      <c r="AB155" s="258"/>
      <c r="AC155" s="258"/>
      <c r="AD155" s="265"/>
      <c r="AE155" s="266" t="s">
        <v>685</v>
      </c>
      <c r="AF155" s="267" t="s">
        <v>1473</v>
      </c>
      <c r="AG155" s="268" t="str">
        <f>IFS(LEN(AF155)=17,LOWER('2-Building'!$B$4 &amp; "-" &amp; C155), AF155="N/A", "N/A", LEN(AF155)=0,"")</f>
        <v>in-blr-ananta-ddc-351</v>
      </c>
      <c r="AH155" s="258"/>
      <c r="AI155" s="258"/>
      <c r="AJ155" s="258"/>
      <c r="AK155" s="258" t="s">
        <v>1474</v>
      </c>
      <c r="AL155" s="258" t="s">
        <v>688</v>
      </c>
      <c r="AM155" s="258" t="s">
        <v>689</v>
      </c>
      <c r="AN155" s="258"/>
      <c r="AO155" s="258"/>
      <c r="AP155" s="258"/>
      <c r="AQ155" s="258"/>
      <c r="AR155" s="258" t="s">
        <v>690</v>
      </c>
      <c r="AS155" s="258" t="s">
        <v>691</v>
      </c>
      <c r="AT155" s="258" t="s">
        <v>1470</v>
      </c>
      <c r="AU155" s="265" t="s">
        <v>693</v>
      </c>
      <c r="AV155" s="174" t="s">
        <v>243</v>
      </c>
      <c r="AW155" s="269" t="s">
        <v>245</v>
      </c>
      <c r="AX155" s="269" t="s">
        <v>694</v>
      </c>
      <c r="AY155" s="270" t="s">
        <v>695</v>
      </c>
      <c r="AZ155" s="173" t="s">
        <v>681</v>
      </c>
      <c r="BA155" s="265">
        <v>10.0</v>
      </c>
      <c r="BB155" s="174" t="s">
        <v>225</v>
      </c>
      <c r="BC155" s="271"/>
      <c r="BD155" s="272" t="s">
        <v>696</v>
      </c>
      <c r="BE155" s="273" t="s">
        <v>697</v>
      </c>
      <c r="BF155" s="274" t="str">
        <f>IFERROR(__xludf.DUMMYFUNCTION("LOWER(Regexreplace(to_text(E155),""[^A-Za-z0-9]"","""")&amp;""_""&amp;Regexreplace(to_text(F155),""[^A-Za-z0-9]"",""""))"),"sauter_eyrc504fxxx")</f>
        <v>sauter_eyrc504fxxx</v>
      </c>
      <c r="BG155" s="275" t="str">
        <f>IFERROR(__xludf.DUMMYFUNCTION("upper(Regexreplace(to_text(E155),""[^A-Za-z0-9]"","""")&amp;""-""&amp;Regexreplace(to_text(F155),""[^A-Za-z0-9]"",""""))"),"SAUTER-EYRC504FXXX")</f>
        <v>SAUTER-EYRC504FXXX</v>
      </c>
    </row>
    <row r="156" ht="30.0" customHeight="1">
      <c r="A156" s="258">
        <v>152.0</v>
      </c>
      <c r="B156" s="256" t="s">
        <v>670</v>
      </c>
      <c r="C156" s="257" t="s">
        <v>1475</v>
      </c>
      <c r="D156" s="173" t="s">
        <v>1475</v>
      </c>
      <c r="E156" s="174" t="s">
        <v>672</v>
      </c>
      <c r="F156" s="173" t="s">
        <v>514</v>
      </c>
      <c r="G156" s="258" t="s">
        <v>673</v>
      </c>
      <c r="H156" s="258" t="s">
        <v>674</v>
      </c>
      <c r="I156" s="258" t="s">
        <v>675</v>
      </c>
      <c r="J156" s="259" t="s">
        <v>1453</v>
      </c>
      <c r="K156" s="260" t="s">
        <v>1476</v>
      </c>
      <c r="L156" s="258" t="s">
        <v>1477</v>
      </c>
      <c r="M156" s="277">
        <v>4.11001360155E11</v>
      </c>
      <c r="N156" s="173" t="s">
        <v>679</v>
      </c>
      <c r="O156" s="173" t="s">
        <v>225</v>
      </c>
      <c r="P156" s="262" t="str">
        <f t="shared" si="1"/>
        <v>IN-BLR-ANANTA-DDC-352_11</v>
      </c>
      <c r="Q156" s="173" t="s">
        <v>1478</v>
      </c>
      <c r="R156" s="258" t="str">
        <f>IFS(C156="","",C156="n/a","N/A",LEN(C156),Concatenate("{",char(34),"asset",char(34),":{",char(34),"guid",char(34),":",char(34),Q156,char(34),",",char(34),"site",char(34),":",char(34),LOWER('2-Building'!$B$4),char(34),",",char(34),"name",char(34),":",char(34),LOWER(C156),char(34),"}}"))</f>
        <v>{"asset":{"guid":"uuid://de3a2adb-d593-4715-9e60-8d19bd2a4648","site":"in-blr-ananta","name":"ddc-352"}}</v>
      </c>
      <c r="S156" s="258" t="s">
        <v>681</v>
      </c>
      <c r="T156" s="263"/>
      <c r="U156" s="263"/>
      <c r="V156" s="264">
        <v>2.23</v>
      </c>
      <c r="W156" s="33" t="s">
        <v>682</v>
      </c>
      <c r="X156" s="258" t="s">
        <v>683</v>
      </c>
      <c r="Y156" s="33" t="s">
        <v>684</v>
      </c>
      <c r="Z156" s="258">
        <v>14152.0</v>
      </c>
      <c r="AA156" s="258">
        <v>11501.0</v>
      </c>
      <c r="AB156" s="258"/>
      <c r="AC156" s="258"/>
      <c r="AD156" s="265"/>
      <c r="AE156" s="266" t="s">
        <v>685</v>
      </c>
      <c r="AF156" s="267" t="s">
        <v>1479</v>
      </c>
      <c r="AG156" s="268" t="str">
        <f>IFS(LEN(AF156)=17,LOWER('2-Building'!$B$4 &amp; "-" &amp; C156), AF156="N/A", "N/A", LEN(AF156)=0,"")</f>
        <v>in-blr-ananta-ddc-352</v>
      </c>
      <c r="AH156" s="258"/>
      <c r="AI156" s="258"/>
      <c r="AJ156" s="258"/>
      <c r="AK156" s="258" t="s">
        <v>1480</v>
      </c>
      <c r="AL156" s="258" t="s">
        <v>688</v>
      </c>
      <c r="AM156" s="258" t="s">
        <v>689</v>
      </c>
      <c r="AN156" s="258"/>
      <c r="AO156" s="258"/>
      <c r="AP156" s="258"/>
      <c r="AQ156" s="258"/>
      <c r="AR156" s="258" t="s">
        <v>690</v>
      </c>
      <c r="AS156" s="258" t="s">
        <v>691</v>
      </c>
      <c r="AT156" s="258" t="s">
        <v>1481</v>
      </c>
      <c r="AU156" s="265" t="s">
        <v>693</v>
      </c>
      <c r="AV156" s="174" t="s">
        <v>243</v>
      </c>
      <c r="AW156" s="269" t="s">
        <v>245</v>
      </c>
      <c r="AX156" s="269" t="s">
        <v>694</v>
      </c>
      <c r="AY156" s="270" t="s">
        <v>695</v>
      </c>
      <c r="AZ156" s="173" t="s">
        <v>681</v>
      </c>
      <c r="BA156" s="265">
        <v>10.0</v>
      </c>
      <c r="BB156" s="174" t="s">
        <v>225</v>
      </c>
      <c r="BC156" s="271"/>
      <c r="BD156" s="272" t="s">
        <v>696</v>
      </c>
      <c r="BE156" s="273" t="s">
        <v>697</v>
      </c>
      <c r="BF156" s="274" t="str">
        <f>IFERROR(__xludf.DUMMYFUNCTION("LOWER(Regexreplace(to_text(E156),""[^A-Za-z0-9]"","""")&amp;""_""&amp;Regexreplace(to_text(F156),""[^A-Za-z0-9]"",""""))"),"sauter_eyrc504fxxx")</f>
        <v>sauter_eyrc504fxxx</v>
      </c>
      <c r="BG156" s="275" t="str">
        <f>IFERROR(__xludf.DUMMYFUNCTION("upper(Regexreplace(to_text(E156),""[^A-Za-z0-9]"","""")&amp;""-""&amp;Regexreplace(to_text(F156),""[^A-Za-z0-9]"",""""))"),"SAUTER-EYRC504FXXX")</f>
        <v>SAUTER-EYRC504FXXX</v>
      </c>
    </row>
    <row r="157" ht="30.0" customHeight="1">
      <c r="A157" s="173">
        <v>153.0</v>
      </c>
      <c r="B157" s="256" t="s">
        <v>670</v>
      </c>
      <c r="C157" s="257" t="s">
        <v>1482</v>
      </c>
      <c r="D157" s="173" t="s">
        <v>1482</v>
      </c>
      <c r="E157" s="174" t="s">
        <v>672</v>
      </c>
      <c r="F157" s="173" t="s">
        <v>514</v>
      </c>
      <c r="G157" s="258" t="s">
        <v>673</v>
      </c>
      <c r="H157" s="258" t="s">
        <v>674</v>
      </c>
      <c r="I157" s="258" t="s">
        <v>675</v>
      </c>
      <c r="J157" s="259" t="s">
        <v>1453</v>
      </c>
      <c r="K157" s="260" t="s">
        <v>1476</v>
      </c>
      <c r="L157" s="258" t="s">
        <v>1477</v>
      </c>
      <c r="M157" s="277">
        <v>4.11001360095E11</v>
      </c>
      <c r="N157" s="173" t="s">
        <v>679</v>
      </c>
      <c r="O157" s="173" t="s">
        <v>225</v>
      </c>
      <c r="P157" s="262" t="str">
        <f t="shared" si="1"/>
        <v>IN-BLR-ANANTA-DDC-353_11</v>
      </c>
      <c r="Q157" s="173" t="s">
        <v>1483</v>
      </c>
      <c r="R157" s="258" t="str">
        <f>IFS(C157="","",C157="n/a","N/A",LEN(C157),Concatenate("{",char(34),"asset",char(34),":{",char(34),"guid",char(34),":",char(34),Q157,char(34),",",char(34),"site",char(34),":",char(34),LOWER('2-Building'!$B$4),char(34),",",char(34),"name",char(34),":",char(34),LOWER(C157),char(34),"}}"))</f>
        <v>{"asset":{"guid":"uuid://95fa44e5-ed6f-4743-9315-b0c80a06a679","site":"in-blr-ananta","name":"ddc-353"}}</v>
      </c>
      <c r="S157" s="258" t="s">
        <v>681</v>
      </c>
      <c r="T157" s="263"/>
      <c r="U157" s="263"/>
      <c r="V157" s="264">
        <v>2.23</v>
      </c>
      <c r="W157" s="33" t="s">
        <v>682</v>
      </c>
      <c r="X157" s="258" t="s">
        <v>683</v>
      </c>
      <c r="Y157" s="33" t="s">
        <v>684</v>
      </c>
      <c r="Z157" s="258">
        <v>14153.0</v>
      </c>
      <c r="AA157" s="258">
        <v>11501.0</v>
      </c>
      <c r="AB157" s="258"/>
      <c r="AC157" s="258"/>
      <c r="AD157" s="265"/>
      <c r="AE157" s="266" t="s">
        <v>685</v>
      </c>
      <c r="AF157" s="267" t="s">
        <v>1484</v>
      </c>
      <c r="AG157" s="268" t="str">
        <f>IFS(LEN(AF157)=17,LOWER('2-Building'!$B$4 &amp; "-" &amp; C157), AF157="N/A", "N/A", LEN(AF157)=0,"")</f>
        <v>in-blr-ananta-ddc-353</v>
      </c>
      <c r="AH157" s="258"/>
      <c r="AI157" s="258"/>
      <c r="AJ157" s="258"/>
      <c r="AK157" s="258" t="s">
        <v>1485</v>
      </c>
      <c r="AL157" s="258" t="s">
        <v>688</v>
      </c>
      <c r="AM157" s="258" t="s">
        <v>689</v>
      </c>
      <c r="AN157" s="258"/>
      <c r="AO157" s="258"/>
      <c r="AP157" s="258"/>
      <c r="AQ157" s="258"/>
      <c r="AR157" s="258" t="s">
        <v>690</v>
      </c>
      <c r="AS157" s="258" t="s">
        <v>691</v>
      </c>
      <c r="AT157" s="258" t="s">
        <v>1481</v>
      </c>
      <c r="AU157" s="265" t="s">
        <v>693</v>
      </c>
      <c r="AV157" s="174" t="s">
        <v>243</v>
      </c>
      <c r="AW157" s="269" t="s">
        <v>245</v>
      </c>
      <c r="AX157" s="269" t="s">
        <v>694</v>
      </c>
      <c r="AY157" s="270" t="s">
        <v>695</v>
      </c>
      <c r="AZ157" s="173" t="s">
        <v>681</v>
      </c>
      <c r="BA157" s="265">
        <v>10.0</v>
      </c>
      <c r="BB157" s="174" t="s">
        <v>225</v>
      </c>
      <c r="BC157" s="271"/>
      <c r="BD157" s="272" t="s">
        <v>696</v>
      </c>
      <c r="BE157" s="273" t="s">
        <v>697</v>
      </c>
      <c r="BF157" s="274" t="str">
        <f>IFERROR(__xludf.DUMMYFUNCTION("LOWER(Regexreplace(to_text(E157),""[^A-Za-z0-9]"","""")&amp;""_""&amp;Regexreplace(to_text(F157),""[^A-Za-z0-9]"",""""))"),"sauter_eyrc504fxxx")</f>
        <v>sauter_eyrc504fxxx</v>
      </c>
      <c r="BG157" s="275" t="str">
        <f>IFERROR(__xludf.DUMMYFUNCTION("upper(Regexreplace(to_text(E157),""[^A-Za-z0-9]"","""")&amp;""-""&amp;Regexreplace(to_text(F157),""[^A-Za-z0-9]"",""""))"),"SAUTER-EYRC504FXXX")</f>
        <v>SAUTER-EYRC504FXXX</v>
      </c>
    </row>
    <row r="158" ht="30.0" customHeight="1">
      <c r="A158" s="258">
        <v>154.0</v>
      </c>
      <c r="B158" s="256" t="s">
        <v>670</v>
      </c>
      <c r="C158" s="257" t="s">
        <v>1486</v>
      </c>
      <c r="D158" s="173" t="s">
        <v>1486</v>
      </c>
      <c r="E158" s="174" t="s">
        <v>672</v>
      </c>
      <c r="F158" s="173" t="s">
        <v>514</v>
      </c>
      <c r="G158" s="258" t="s">
        <v>673</v>
      </c>
      <c r="H158" s="258" t="s">
        <v>674</v>
      </c>
      <c r="I158" s="258" t="s">
        <v>675</v>
      </c>
      <c r="J158" s="259" t="s">
        <v>1453</v>
      </c>
      <c r="K158" s="260" t="s">
        <v>1487</v>
      </c>
      <c r="L158" s="258" t="s">
        <v>1488</v>
      </c>
      <c r="M158" s="277">
        <v>4.11001360044E11</v>
      </c>
      <c r="N158" s="173" t="s">
        <v>679</v>
      </c>
      <c r="O158" s="173" t="s">
        <v>225</v>
      </c>
      <c r="P158" s="262" t="str">
        <f t="shared" si="1"/>
        <v>IN-BLR-ANANTA-DDC-354_11</v>
      </c>
      <c r="Q158" s="173" t="s">
        <v>1489</v>
      </c>
      <c r="R158" s="258" t="str">
        <f>IFS(C158="","",C158="n/a","N/A",LEN(C158),Concatenate("{",char(34),"asset",char(34),":{",char(34),"guid",char(34),":",char(34),Q158,char(34),",",char(34),"site",char(34),":",char(34),LOWER('2-Building'!$B$4),char(34),",",char(34),"name",char(34),":",char(34),LOWER(C158),char(34),"}}"))</f>
        <v>{"asset":{"guid":"uuid://fb8560c5-eb56-4378-81f2-368b1afbfd7e","site":"in-blr-ananta","name":"ddc-354"}}</v>
      </c>
      <c r="S158" s="258" t="s">
        <v>681</v>
      </c>
      <c r="T158" s="263"/>
      <c r="U158" s="263"/>
      <c r="V158" s="264">
        <v>2.23</v>
      </c>
      <c r="W158" s="33" t="s">
        <v>682</v>
      </c>
      <c r="X158" s="258" t="s">
        <v>683</v>
      </c>
      <c r="Y158" s="33" t="s">
        <v>684</v>
      </c>
      <c r="Z158" s="258">
        <v>14154.0</v>
      </c>
      <c r="AA158" s="258">
        <v>11501.0</v>
      </c>
      <c r="AB158" s="258"/>
      <c r="AC158" s="258"/>
      <c r="AD158" s="265"/>
      <c r="AE158" s="266" t="s">
        <v>685</v>
      </c>
      <c r="AF158" s="267" t="s">
        <v>1490</v>
      </c>
      <c r="AG158" s="268" t="str">
        <f>IFS(LEN(AF158)=17,LOWER('2-Building'!$B$4 &amp; "-" &amp; C158), AF158="N/A", "N/A", LEN(AF158)=0,"")</f>
        <v>in-blr-ananta-ddc-354</v>
      </c>
      <c r="AH158" s="258"/>
      <c r="AI158" s="258"/>
      <c r="AJ158" s="258"/>
      <c r="AK158" s="258" t="s">
        <v>1491</v>
      </c>
      <c r="AL158" s="258" t="s">
        <v>688</v>
      </c>
      <c r="AM158" s="258" t="s">
        <v>689</v>
      </c>
      <c r="AN158" s="258"/>
      <c r="AO158" s="258"/>
      <c r="AP158" s="258"/>
      <c r="AQ158" s="258"/>
      <c r="AR158" s="258" t="s">
        <v>690</v>
      </c>
      <c r="AS158" s="258" t="s">
        <v>691</v>
      </c>
      <c r="AT158" s="258" t="s">
        <v>1492</v>
      </c>
      <c r="AU158" s="265" t="s">
        <v>693</v>
      </c>
      <c r="AV158" s="174" t="s">
        <v>243</v>
      </c>
      <c r="AW158" s="269" t="s">
        <v>245</v>
      </c>
      <c r="AX158" s="269" t="s">
        <v>694</v>
      </c>
      <c r="AY158" s="270" t="s">
        <v>695</v>
      </c>
      <c r="AZ158" s="173" t="s">
        <v>681</v>
      </c>
      <c r="BA158" s="265">
        <v>10.0</v>
      </c>
      <c r="BB158" s="174" t="s">
        <v>225</v>
      </c>
      <c r="BC158" s="271"/>
      <c r="BD158" s="272" t="s">
        <v>696</v>
      </c>
      <c r="BE158" s="273" t="s">
        <v>697</v>
      </c>
      <c r="BF158" s="274" t="str">
        <f>IFERROR(__xludf.DUMMYFUNCTION("LOWER(Regexreplace(to_text(E158),""[^A-Za-z0-9]"","""")&amp;""_""&amp;Regexreplace(to_text(F158),""[^A-Za-z0-9]"",""""))"),"sauter_eyrc504fxxx")</f>
        <v>sauter_eyrc504fxxx</v>
      </c>
      <c r="BG158" s="275" t="str">
        <f>IFERROR(__xludf.DUMMYFUNCTION("upper(Regexreplace(to_text(E158),""[^A-Za-z0-9]"","""")&amp;""-""&amp;Regexreplace(to_text(F158),""[^A-Za-z0-9]"",""""))"),"SAUTER-EYRC504FXXX")</f>
        <v>SAUTER-EYRC504FXXX</v>
      </c>
    </row>
    <row r="159" ht="30.0" customHeight="1">
      <c r="A159" s="280">
        <v>155.0</v>
      </c>
      <c r="B159" s="279" t="s">
        <v>670</v>
      </c>
      <c r="C159" s="257" t="s">
        <v>1493</v>
      </c>
      <c r="D159" s="280" t="s">
        <v>1493</v>
      </c>
      <c r="E159" s="281" t="s">
        <v>672</v>
      </c>
      <c r="F159" s="173" t="s">
        <v>514</v>
      </c>
      <c r="G159" s="278" t="s">
        <v>673</v>
      </c>
      <c r="H159" s="278" t="s">
        <v>674</v>
      </c>
      <c r="I159" s="258" t="s">
        <v>675</v>
      </c>
      <c r="J159" s="259" t="s">
        <v>1453</v>
      </c>
      <c r="K159" s="260" t="s">
        <v>1487</v>
      </c>
      <c r="L159" s="278" t="s">
        <v>1488</v>
      </c>
      <c r="M159" s="282">
        <v>4.11001359923E11</v>
      </c>
      <c r="N159" s="173" t="s">
        <v>679</v>
      </c>
      <c r="O159" s="280" t="s">
        <v>225</v>
      </c>
      <c r="P159" s="283" t="str">
        <f t="shared" si="1"/>
        <v>IN-BLR-ANANTA-DDC-355_11</v>
      </c>
      <c r="Q159" s="173" t="s">
        <v>1494</v>
      </c>
      <c r="R159" s="278" t="str">
        <f>IFS(C159="","",C159="n/a","N/A",LEN(C159),Concatenate("{",char(34),"asset",char(34),":{",char(34),"guid",char(34),":",char(34),Q159,char(34),",",char(34),"site",char(34),":",char(34),LOWER('2-Building'!$B$4),char(34),",",char(34),"name",char(34),":",char(34),LOWER(C159),char(34),"}}"))</f>
        <v>{"asset":{"guid":"uuid://2c6bee09-9ff8-4160-989e-199d41cfb5b7","site":"in-blr-ananta","name":"ddc-355"}}</v>
      </c>
      <c r="S159" s="278" t="s">
        <v>681</v>
      </c>
      <c r="T159" s="284"/>
      <c r="U159" s="284"/>
      <c r="V159" s="264">
        <v>2.23</v>
      </c>
      <c r="W159" s="285" t="s">
        <v>682</v>
      </c>
      <c r="X159" s="278" t="s">
        <v>683</v>
      </c>
      <c r="Y159" s="33" t="s">
        <v>684</v>
      </c>
      <c r="Z159" s="278">
        <v>14155.0</v>
      </c>
      <c r="AA159" s="278">
        <v>11501.0</v>
      </c>
      <c r="AB159" s="278"/>
      <c r="AC159" s="278"/>
      <c r="AD159" s="286"/>
      <c r="AE159" s="287" t="s">
        <v>685</v>
      </c>
      <c r="AF159" s="288" t="s">
        <v>1495</v>
      </c>
      <c r="AG159" s="257" t="str">
        <f>IFS(LEN(AF159)=17,LOWER('2-Building'!$B$4 &amp; "-" &amp; C159), AF159="N/A", "N/A", LEN(AF159)=0,"")</f>
        <v>in-blr-ananta-ddc-355</v>
      </c>
      <c r="AH159" s="278"/>
      <c r="AI159" s="278"/>
      <c r="AJ159" s="278"/>
      <c r="AK159" s="258" t="s">
        <v>1496</v>
      </c>
      <c r="AL159" s="278" t="s">
        <v>688</v>
      </c>
      <c r="AM159" s="278" t="s">
        <v>689</v>
      </c>
      <c r="AN159" s="278"/>
      <c r="AO159" s="278"/>
      <c r="AP159" s="278"/>
      <c r="AQ159" s="278"/>
      <c r="AR159" s="278" t="s">
        <v>690</v>
      </c>
      <c r="AS159" s="278" t="s">
        <v>691</v>
      </c>
      <c r="AT159" s="258" t="s">
        <v>1492</v>
      </c>
      <c r="AU159" s="286" t="s">
        <v>693</v>
      </c>
      <c r="AV159" s="281" t="s">
        <v>243</v>
      </c>
      <c r="AW159" s="289" t="s">
        <v>245</v>
      </c>
      <c r="AX159" s="269" t="s">
        <v>694</v>
      </c>
      <c r="AY159" s="290" t="s">
        <v>695</v>
      </c>
      <c r="AZ159" s="280" t="s">
        <v>681</v>
      </c>
      <c r="BA159" s="286">
        <v>10.0</v>
      </c>
      <c r="BB159" s="281" t="s">
        <v>225</v>
      </c>
      <c r="BC159" s="291"/>
      <c r="BD159" s="272" t="s">
        <v>696</v>
      </c>
      <c r="BE159" s="292" t="s">
        <v>697</v>
      </c>
      <c r="BF159" s="274" t="str">
        <f>IFERROR(__xludf.DUMMYFUNCTION("LOWER(Regexreplace(to_text(E159),""[^A-Za-z0-9]"","""")&amp;""_""&amp;Regexreplace(to_text(F159),""[^A-Za-z0-9]"",""""))"),"sauter_eyrc504fxxx")</f>
        <v>sauter_eyrc504fxxx</v>
      </c>
      <c r="BG159" s="275" t="str">
        <f>IFERROR(__xludf.DUMMYFUNCTION("upper(Regexreplace(to_text(E159),""[^A-Za-z0-9]"","""")&amp;""-""&amp;Regexreplace(to_text(F159),""[^A-Za-z0-9]"",""""))"),"SAUTER-EYRC504FXXX")</f>
        <v>SAUTER-EYRC504FXXX</v>
      </c>
    </row>
    <row r="160" ht="30.0" customHeight="1">
      <c r="A160" s="258">
        <v>156.0</v>
      </c>
      <c r="B160" s="256" t="s">
        <v>670</v>
      </c>
      <c r="C160" s="257" t="s">
        <v>1497</v>
      </c>
      <c r="D160" s="173" t="s">
        <v>1497</v>
      </c>
      <c r="E160" s="174" t="s">
        <v>672</v>
      </c>
      <c r="F160" s="173" t="s">
        <v>514</v>
      </c>
      <c r="G160" s="258" t="s">
        <v>673</v>
      </c>
      <c r="H160" s="258" t="s">
        <v>674</v>
      </c>
      <c r="I160" s="258" t="s">
        <v>675</v>
      </c>
      <c r="J160" s="259" t="s">
        <v>1453</v>
      </c>
      <c r="K160" s="260" t="s">
        <v>1498</v>
      </c>
      <c r="L160" s="258" t="s">
        <v>1499</v>
      </c>
      <c r="M160" s="277">
        <v>4.110013599E11</v>
      </c>
      <c r="N160" s="173" t="s">
        <v>679</v>
      </c>
      <c r="O160" s="173" t="s">
        <v>225</v>
      </c>
      <c r="P160" s="262" t="str">
        <f t="shared" si="1"/>
        <v>IN-BLR-ANANTA-DDC-356_11</v>
      </c>
      <c r="Q160" s="173" t="s">
        <v>1500</v>
      </c>
      <c r="R160" s="258" t="str">
        <f>IFS(C160="","",C160="n/a","N/A",LEN(C160),Concatenate("{",char(34),"asset",char(34),":{",char(34),"guid",char(34),":",char(34),Q160,char(34),",",char(34),"site",char(34),":",char(34),LOWER('2-Building'!$B$4),char(34),",",char(34),"name",char(34),":",char(34),LOWER(C160),char(34),"}}"))</f>
        <v>{"asset":{"guid":"uuid://f0a1c64b-cc09-40e2-8baa-884eb3eb14e6","site":"in-blr-ananta","name":"ddc-356"}}</v>
      </c>
      <c r="S160" s="258" t="s">
        <v>681</v>
      </c>
      <c r="T160" s="263"/>
      <c r="U160" s="263"/>
      <c r="V160" s="264">
        <v>2.23</v>
      </c>
      <c r="W160" s="33" t="s">
        <v>682</v>
      </c>
      <c r="X160" s="258" t="s">
        <v>683</v>
      </c>
      <c r="Y160" s="33" t="s">
        <v>684</v>
      </c>
      <c r="Z160" s="258">
        <v>14156.0</v>
      </c>
      <c r="AA160" s="258">
        <v>11501.0</v>
      </c>
      <c r="AB160" s="258"/>
      <c r="AC160" s="258"/>
      <c r="AD160" s="265"/>
      <c r="AE160" s="266" t="s">
        <v>685</v>
      </c>
      <c r="AF160" s="267" t="s">
        <v>1501</v>
      </c>
      <c r="AG160" s="268" t="str">
        <f>IFS(LEN(AF160)=17,LOWER('2-Building'!$B$4 &amp; "-" &amp; C160), AF160="N/A", "N/A", LEN(AF160)=0,"")</f>
        <v>in-blr-ananta-ddc-356</v>
      </c>
      <c r="AH160" s="258"/>
      <c r="AI160" s="258"/>
      <c r="AJ160" s="258"/>
      <c r="AK160" s="258" t="s">
        <v>1502</v>
      </c>
      <c r="AL160" s="258" t="s">
        <v>688</v>
      </c>
      <c r="AM160" s="258" t="s">
        <v>689</v>
      </c>
      <c r="AN160" s="258"/>
      <c r="AO160" s="258"/>
      <c r="AP160" s="258"/>
      <c r="AQ160" s="258"/>
      <c r="AR160" s="258" t="s">
        <v>690</v>
      </c>
      <c r="AS160" s="258" t="s">
        <v>691</v>
      </c>
      <c r="AT160" s="258" t="s">
        <v>1503</v>
      </c>
      <c r="AU160" s="265" t="s">
        <v>693</v>
      </c>
      <c r="AV160" s="174" t="s">
        <v>243</v>
      </c>
      <c r="AW160" s="269" t="s">
        <v>245</v>
      </c>
      <c r="AX160" s="269" t="s">
        <v>694</v>
      </c>
      <c r="AY160" s="270" t="s">
        <v>695</v>
      </c>
      <c r="AZ160" s="173" t="s">
        <v>681</v>
      </c>
      <c r="BA160" s="265">
        <v>10.0</v>
      </c>
      <c r="BB160" s="174" t="s">
        <v>225</v>
      </c>
      <c r="BC160" s="271"/>
      <c r="BD160" s="272" t="s">
        <v>696</v>
      </c>
      <c r="BE160" s="273" t="s">
        <v>697</v>
      </c>
      <c r="BF160" s="274" t="str">
        <f>IFERROR(__xludf.DUMMYFUNCTION("LOWER(Regexreplace(to_text(E160),""[^A-Za-z0-9]"","""")&amp;""_""&amp;Regexreplace(to_text(F160),""[^A-Za-z0-9]"",""""))"),"sauter_eyrc504fxxx")</f>
        <v>sauter_eyrc504fxxx</v>
      </c>
      <c r="BG160" s="275" t="str">
        <f>IFERROR(__xludf.DUMMYFUNCTION("upper(Regexreplace(to_text(E160),""[^A-Za-z0-9]"","""")&amp;""-""&amp;Regexreplace(to_text(F160),""[^A-Za-z0-9]"",""""))"),"SAUTER-EYRC504FXXX")</f>
        <v>SAUTER-EYRC504FXXX</v>
      </c>
    </row>
    <row r="161" ht="30.0" customHeight="1">
      <c r="A161" s="280">
        <v>157.0</v>
      </c>
      <c r="B161" s="279" t="s">
        <v>670</v>
      </c>
      <c r="C161" s="257" t="s">
        <v>1504</v>
      </c>
      <c r="D161" s="280" t="s">
        <v>1504</v>
      </c>
      <c r="E161" s="281" t="s">
        <v>672</v>
      </c>
      <c r="F161" s="173" t="s">
        <v>514</v>
      </c>
      <c r="G161" s="278" t="s">
        <v>673</v>
      </c>
      <c r="H161" s="278" t="s">
        <v>674</v>
      </c>
      <c r="I161" s="258" t="s">
        <v>675</v>
      </c>
      <c r="J161" s="259" t="s">
        <v>1453</v>
      </c>
      <c r="K161" s="260" t="s">
        <v>1498</v>
      </c>
      <c r="L161" s="278" t="s">
        <v>1499</v>
      </c>
      <c r="M161" s="282">
        <v>4.11001239089E11</v>
      </c>
      <c r="N161" s="173" t="s">
        <v>679</v>
      </c>
      <c r="O161" s="280" t="s">
        <v>225</v>
      </c>
      <c r="P161" s="283" t="str">
        <f t="shared" si="1"/>
        <v>IN-BLR-ANANTA-DDC-357_11</v>
      </c>
      <c r="Q161" s="173" t="s">
        <v>1505</v>
      </c>
      <c r="R161" s="278" t="str">
        <f>IFS(C161="","",C161="n/a","N/A",LEN(C161),Concatenate("{",char(34),"asset",char(34),":{",char(34),"guid",char(34),":",char(34),Q161,char(34),",",char(34),"site",char(34),":",char(34),LOWER('2-Building'!$B$4),char(34),",",char(34),"name",char(34),":",char(34),LOWER(C161),char(34),"}}"))</f>
        <v>{"asset":{"guid":"uuid://d0b42074-726b-44d0-b175-2a57929b5cca","site":"in-blr-ananta","name":"ddc-357"}}</v>
      </c>
      <c r="S161" s="278" t="s">
        <v>681</v>
      </c>
      <c r="T161" s="284"/>
      <c r="U161" s="284"/>
      <c r="V161" s="264">
        <v>2.23</v>
      </c>
      <c r="W161" s="285" t="s">
        <v>682</v>
      </c>
      <c r="X161" s="278" t="s">
        <v>683</v>
      </c>
      <c r="Y161" s="33" t="s">
        <v>684</v>
      </c>
      <c r="Z161" s="278">
        <v>14157.0</v>
      </c>
      <c r="AA161" s="278">
        <v>11501.0</v>
      </c>
      <c r="AB161" s="278"/>
      <c r="AC161" s="278"/>
      <c r="AD161" s="286"/>
      <c r="AE161" s="287" t="s">
        <v>685</v>
      </c>
      <c r="AF161" s="288" t="s">
        <v>1506</v>
      </c>
      <c r="AG161" s="257" t="str">
        <f>IFS(LEN(AF161)=17,LOWER('2-Building'!$B$4 &amp; "-" &amp; C161), AF161="N/A", "N/A", LEN(AF161)=0,"")</f>
        <v>in-blr-ananta-ddc-357</v>
      </c>
      <c r="AH161" s="278"/>
      <c r="AI161" s="278"/>
      <c r="AJ161" s="278"/>
      <c r="AK161" s="258" t="s">
        <v>1507</v>
      </c>
      <c r="AL161" s="278" t="s">
        <v>688</v>
      </c>
      <c r="AM161" s="278" t="s">
        <v>689</v>
      </c>
      <c r="AN161" s="278"/>
      <c r="AO161" s="278"/>
      <c r="AP161" s="278"/>
      <c r="AQ161" s="278"/>
      <c r="AR161" s="278" t="s">
        <v>690</v>
      </c>
      <c r="AS161" s="278" t="s">
        <v>691</v>
      </c>
      <c r="AT161" s="258" t="s">
        <v>1503</v>
      </c>
      <c r="AU161" s="286" t="s">
        <v>693</v>
      </c>
      <c r="AV161" s="281" t="s">
        <v>243</v>
      </c>
      <c r="AW161" s="289" t="s">
        <v>245</v>
      </c>
      <c r="AX161" s="269" t="s">
        <v>694</v>
      </c>
      <c r="AY161" s="290" t="s">
        <v>695</v>
      </c>
      <c r="AZ161" s="280" t="s">
        <v>681</v>
      </c>
      <c r="BA161" s="286">
        <v>10.0</v>
      </c>
      <c r="BB161" s="281" t="s">
        <v>225</v>
      </c>
      <c r="BC161" s="291"/>
      <c r="BD161" s="272" t="s">
        <v>696</v>
      </c>
      <c r="BE161" s="292" t="s">
        <v>697</v>
      </c>
      <c r="BF161" s="274" t="str">
        <f>IFERROR(__xludf.DUMMYFUNCTION("LOWER(Regexreplace(to_text(E161),""[^A-Za-z0-9]"","""")&amp;""_""&amp;Regexreplace(to_text(F161),""[^A-Za-z0-9]"",""""))"),"sauter_eyrc504fxxx")</f>
        <v>sauter_eyrc504fxxx</v>
      </c>
      <c r="BG161" s="275" t="str">
        <f>IFERROR(__xludf.DUMMYFUNCTION("upper(Regexreplace(to_text(E161),""[^A-Za-z0-9]"","""")&amp;""-""&amp;Regexreplace(to_text(F161),""[^A-Za-z0-9]"",""""))"),"SAUTER-EYRC504FXXX")</f>
        <v>SAUTER-EYRC504FXXX</v>
      </c>
    </row>
    <row r="162" ht="30.0" customHeight="1">
      <c r="A162" s="278">
        <v>158.0</v>
      </c>
      <c r="B162" s="279" t="s">
        <v>670</v>
      </c>
      <c r="C162" s="257" t="s">
        <v>1508</v>
      </c>
      <c r="D162" s="280" t="s">
        <v>1508</v>
      </c>
      <c r="E162" s="281" t="s">
        <v>672</v>
      </c>
      <c r="F162" s="173" t="s">
        <v>514</v>
      </c>
      <c r="G162" s="278" t="s">
        <v>673</v>
      </c>
      <c r="H162" s="278" t="s">
        <v>674</v>
      </c>
      <c r="I162" s="258" t="s">
        <v>675</v>
      </c>
      <c r="J162" s="259" t="s">
        <v>1453</v>
      </c>
      <c r="K162" s="260" t="s">
        <v>1509</v>
      </c>
      <c r="L162" s="278" t="s">
        <v>1510</v>
      </c>
      <c r="M162" s="282">
        <v>4.11001359656E11</v>
      </c>
      <c r="N162" s="173" t="s">
        <v>679</v>
      </c>
      <c r="O162" s="280" t="s">
        <v>225</v>
      </c>
      <c r="P162" s="283" t="str">
        <f t="shared" si="1"/>
        <v>IN-BLR-ANANTA-DDC-358_11</v>
      </c>
      <c r="Q162" s="173" t="s">
        <v>1511</v>
      </c>
      <c r="R162" s="278" t="str">
        <f>IFS(C162="","",C162="n/a","N/A",LEN(C162),Concatenate("{",char(34),"asset",char(34),":{",char(34),"guid",char(34),":",char(34),Q162,char(34),",",char(34),"site",char(34),":",char(34),LOWER('2-Building'!$B$4),char(34),",",char(34),"name",char(34),":",char(34),LOWER(C162),char(34),"}}"))</f>
        <v>{"asset":{"guid":"uuid://fa188101-5795-4c02-b849-b8724c10fce7","site":"in-blr-ananta","name":"ddc-358"}}</v>
      </c>
      <c r="S162" s="278" t="s">
        <v>681</v>
      </c>
      <c r="T162" s="284"/>
      <c r="U162" s="284"/>
      <c r="V162" s="264">
        <v>2.23</v>
      </c>
      <c r="W162" s="285" t="s">
        <v>682</v>
      </c>
      <c r="X162" s="278" t="s">
        <v>683</v>
      </c>
      <c r="Y162" s="33" t="s">
        <v>684</v>
      </c>
      <c r="Z162" s="278">
        <v>14158.0</v>
      </c>
      <c r="AA162" s="278">
        <v>11501.0</v>
      </c>
      <c r="AB162" s="278"/>
      <c r="AC162" s="278"/>
      <c r="AD162" s="286"/>
      <c r="AE162" s="287" t="s">
        <v>685</v>
      </c>
      <c r="AF162" s="288" t="s">
        <v>1512</v>
      </c>
      <c r="AG162" s="257" t="str">
        <f>IFS(LEN(AF162)=17,LOWER('2-Building'!$B$4 &amp; "-" &amp; C162), AF162="N/A", "N/A", LEN(AF162)=0,"")</f>
        <v>in-blr-ananta-ddc-358</v>
      </c>
      <c r="AH162" s="278"/>
      <c r="AI162" s="278"/>
      <c r="AJ162" s="278"/>
      <c r="AK162" s="258" t="s">
        <v>1513</v>
      </c>
      <c r="AL162" s="278" t="s">
        <v>688</v>
      </c>
      <c r="AM162" s="278" t="s">
        <v>689</v>
      </c>
      <c r="AN162" s="278"/>
      <c r="AO162" s="278"/>
      <c r="AP162" s="278"/>
      <c r="AQ162" s="278"/>
      <c r="AR162" s="278" t="s">
        <v>690</v>
      </c>
      <c r="AS162" s="278" t="s">
        <v>691</v>
      </c>
      <c r="AT162" s="278" t="s">
        <v>1514</v>
      </c>
      <c r="AU162" s="286" t="s">
        <v>693</v>
      </c>
      <c r="AV162" s="281" t="s">
        <v>243</v>
      </c>
      <c r="AW162" s="289" t="s">
        <v>245</v>
      </c>
      <c r="AX162" s="269" t="s">
        <v>694</v>
      </c>
      <c r="AY162" s="290" t="s">
        <v>695</v>
      </c>
      <c r="AZ162" s="280" t="s">
        <v>681</v>
      </c>
      <c r="BA162" s="286">
        <v>10.0</v>
      </c>
      <c r="BB162" s="281" t="s">
        <v>225</v>
      </c>
      <c r="BC162" s="291"/>
      <c r="BD162" s="272" t="s">
        <v>696</v>
      </c>
      <c r="BE162" s="292" t="s">
        <v>697</v>
      </c>
      <c r="BF162" s="274" t="str">
        <f>IFERROR(__xludf.DUMMYFUNCTION("LOWER(Regexreplace(to_text(E162),""[^A-Za-z0-9]"","""")&amp;""_""&amp;Regexreplace(to_text(F162),""[^A-Za-z0-9]"",""""))"),"sauter_eyrc504fxxx")</f>
        <v>sauter_eyrc504fxxx</v>
      </c>
      <c r="BG162" s="275" t="str">
        <f>IFERROR(__xludf.DUMMYFUNCTION("upper(Regexreplace(to_text(E162),""[^A-Za-z0-9]"","""")&amp;""-""&amp;Regexreplace(to_text(F162),""[^A-Za-z0-9]"",""""))"),"SAUTER-EYRC504FXXX")</f>
        <v>SAUTER-EYRC504FXXX</v>
      </c>
    </row>
    <row r="163" ht="30.0" customHeight="1">
      <c r="A163" s="280">
        <v>159.0</v>
      </c>
      <c r="B163" s="279" t="s">
        <v>670</v>
      </c>
      <c r="C163" s="257" t="s">
        <v>1515</v>
      </c>
      <c r="D163" s="280" t="s">
        <v>1515</v>
      </c>
      <c r="E163" s="281" t="s">
        <v>672</v>
      </c>
      <c r="F163" s="173" t="s">
        <v>514</v>
      </c>
      <c r="G163" s="278" t="s">
        <v>673</v>
      </c>
      <c r="H163" s="278" t="s">
        <v>674</v>
      </c>
      <c r="I163" s="258" t="s">
        <v>675</v>
      </c>
      <c r="J163" s="259" t="s">
        <v>1453</v>
      </c>
      <c r="K163" s="260" t="s">
        <v>1509</v>
      </c>
      <c r="L163" s="278" t="s">
        <v>1510</v>
      </c>
      <c r="M163" s="282">
        <v>4.11001360169E11</v>
      </c>
      <c r="N163" s="173" t="s">
        <v>679</v>
      </c>
      <c r="O163" s="280" t="s">
        <v>225</v>
      </c>
      <c r="P163" s="283" t="str">
        <f t="shared" si="1"/>
        <v>IN-BLR-ANANTA-DDC-359_11</v>
      </c>
      <c r="Q163" s="173" t="s">
        <v>1516</v>
      </c>
      <c r="R163" s="278" t="str">
        <f>IFS(C163="","",C163="n/a","N/A",LEN(C163),Concatenate("{",char(34),"asset",char(34),":{",char(34),"guid",char(34),":",char(34),Q163,char(34),",",char(34),"site",char(34),":",char(34),LOWER('2-Building'!$B$4),char(34),",",char(34),"name",char(34),":",char(34),LOWER(C163),char(34),"}}"))</f>
        <v>{"asset":{"guid":"uuid://56340620-761d-420a-b8be-829233511f7c","site":"in-blr-ananta","name":"ddc-359"}}</v>
      </c>
      <c r="S163" s="278" t="s">
        <v>681</v>
      </c>
      <c r="T163" s="284"/>
      <c r="U163" s="284"/>
      <c r="V163" s="264">
        <v>2.23</v>
      </c>
      <c r="W163" s="285" t="s">
        <v>682</v>
      </c>
      <c r="X163" s="278" t="s">
        <v>683</v>
      </c>
      <c r="Y163" s="33" t="s">
        <v>684</v>
      </c>
      <c r="Z163" s="278">
        <v>14159.0</v>
      </c>
      <c r="AA163" s="278">
        <v>11501.0</v>
      </c>
      <c r="AB163" s="278"/>
      <c r="AC163" s="278"/>
      <c r="AD163" s="286"/>
      <c r="AE163" s="287" t="s">
        <v>685</v>
      </c>
      <c r="AF163" s="288" t="s">
        <v>1517</v>
      </c>
      <c r="AG163" s="257" t="str">
        <f>IFS(LEN(AF163)=17,LOWER('2-Building'!$B$4 &amp; "-" &amp; C163), AF163="N/A", "N/A", LEN(AF163)=0,"")</f>
        <v>in-blr-ananta-ddc-359</v>
      </c>
      <c r="AH163" s="278"/>
      <c r="AI163" s="278"/>
      <c r="AJ163" s="278"/>
      <c r="AK163" s="258" t="s">
        <v>1518</v>
      </c>
      <c r="AL163" s="278" t="s">
        <v>688</v>
      </c>
      <c r="AM163" s="278" t="s">
        <v>689</v>
      </c>
      <c r="AN163" s="278"/>
      <c r="AO163" s="278"/>
      <c r="AP163" s="278"/>
      <c r="AQ163" s="278"/>
      <c r="AR163" s="278" t="s">
        <v>690</v>
      </c>
      <c r="AS163" s="278" t="s">
        <v>691</v>
      </c>
      <c r="AT163" s="278" t="s">
        <v>1514</v>
      </c>
      <c r="AU163" s="286" t="s">
        <v>693</v>
      </c>
      <c r="AV163" s="281" t="s">
        <v>243</v>
      </c>
      <c r="AW163" s="289" t="s">
        <v>245</v>
      </c>
      <c r="AX163" s="269" t="s">
        <v>694</v>
      </c>
      <c r="AY163" s="290" t="s">
        <v>695</v>
      </c>
      <c r="AZ163" s="280" t="s">
        <v>681</v>
      </c>
      <c r="BA163" s="286">
        <v>10.0</v>
      </c>
      <c r="BB163" s="281" t="s">
        <v>225</v>
      </c>
      <c r="BC163" s="291"/>
      <c r="BD163" s="272" t="s">
        <v>696</v>
      </c>
      <c r="BE163" s="292" t="s">
        <v>697</v>
      </c>
      <c r="BF163" s="274" t="str">
        <f>IFERROR(__xludf.DUMMYFUNCTION("LOWER(Regexreplace(to_text(E163),""[^A-Za-z0-9]"","""")&amp;""_""&amp;Regexreplace(to_text(F163),""[^A-Za-z0-9]"",""""))"),"sauter_eyrc504fxxx")</f>
        <v>sauter_eyrc504fxxx</v>
      </c>
      <c r="BG163" s="275" t="str">
        <f>IFERROR(__xludf.DUMMYFUNCTION("upper(Regexreplace(to_text(E163),""[^A-Za-z0-9]"","""")&amp;""-""&amp;Regexreplace(to_text(F163),""[^A-Za-z0-9]"",""""))"),"SAUTER-EYRC504FXXX")</f>
        <v>SAUTER-EYRC504FXXX</v>
      </c>
    </row>
    <row r="164" ht="30.0" customHeight="1">
      <c r="A164" s="258">
        <v>160.0</v>
      </c>
      <c r="B164" s="256" t="s">
        <v>670</v>
      </c>
      <c r="C164" s="257" t="s">
        <v>1519</v>
      </c>
      <c r="D164" s="173" t="s">
        <v>1519</v>
      </c>
      <c r="E164" s="174" t="s">
        <v>672</v>
      </c>
      <c r="F164" s="173" t="s">
        <v>514</v>
      </c>
      <c r="G164" s="258" t="s">
        <v>673</v>
      </c>
      <c r="H164" s="258" t="s">
        <v>674</v>
      </c>
      <c r="I164" s="258" t="s">
        <v>675</v>
      </c>
      <c r="J164" s="259" t="s">
        <v>1520</v>
      </c>
      <c r="K164" s="260"/>
      <c r="L164" s="258" t="s">
        <v>1521</v>
      </c>
      <c r="M164" s="277">
        <v>4.11001359572E11</v>
      </c>
      <c r="N164" s="173" t="s">
        <v>679</v>
      </c>
      <c r="O164" s="173" t="s">
        <v>225</v>
      </c>
      <c r="P164" s="262" t="str">
        <f t="shared" si="1"/>
        <v>IN-BLR-ANANTA-DDC-360_Roof</v>
      </c>
      <c r="Q164" s="173" t="s">
        <v>1522</v>
      </c>
      <c r="R164" s="258" t="str">
        <f>IFS(C164="","",C164="n/a","N/A",LEN(C164),Concatenate("{",char(34),"asset",char(34),":{",char(34),"guid",char(34),":",char(34),Q164,char(34),",",char(34),"site",char(34),":",char(34),LOWER('2-Building'!$B$4),char(34),",",char(34),"name",char(34),":",char(34),LOWER(C164),char(34),"}}"))</f>
        <v>{"asset":{"guid":"uuid://2b0e4823-456b-4464-80bf-303bd00d7711","site":"in-blr-ananta","name":"ddc-360"}}</v>
      </c>
      <c r="S164" s="258" t="s">
        <v>681</v>
      </c>
      <c r="T164" s="263"/>
      <c r="U164" s="263"/>
      <c r="V164" s="264">
        <v>2.23</v>
      </c>
      <c r="W164" s="33" t="s">
        <v>682</v>
      </c>
      <c r="X164" s="258" t="s">
        <v>683</v>
      </c>
      <c r="Y164" s="33" t="s">
        <v>684</v>
      </c>
      <c r="Z164" s="258">
        <v>14160.0</v>
      </c>
      <c r="AA164" s="258">
        <v>11501.0</v>
      </c>
      <c r="AB164" s="258"/>
      <c r="AC164" s="258"/>
      <c r="AD164" s="265"/>
      <c r="AE164" s="266" t="s">
        <v>685</v>
      </c>
      <c r="AF164" s="267" t="s">
        <v>1523</v>
      </c>
      <c r="AG164" s="268" t="str">
        <f>IFS(LEN(AF164)=17,LOWER('2-Building'!$B$4 &amp; "-" &amp; C164), AF164="N/A", "N/A", LEN(AF164)=0,"")</f>
        <v>in-blr-ananta-ddc-360</v>
      </c>
      <c r="AH164" s="258"/>
      <c r="AI164" s="258"/>
      <c r="AJ164" s="258"/>
      <c r="AK164" s="258" t="s">
        <v>1524</v>
      </c>
      <c r="AL164" s="258" t="s">
        <v>688</v>
      </c>
      <c r="AM164" s="258" t="s">
        <v>689</v>
      </c>
      <c r="AN164" s="258"/>
      <c r="AO164" s="258"/>
      <c r="AP164" s="258"/>
      <c r="AQ164" s="258"/>
      <c r="AR164" s="258" t="s">
        <v>690</v>
      </c>
      <c r="AS164" s="258" t="s">
        <v>691</v>
      </c>
      <c r="AT164" s="258" t="s">
        <v>1525</v>
      </c>
      <c r="AU164" s="265" t="s">
        <v>693</v>
      </c>
      <c r="AV164" s="174" t="s">
        <v>243</v>
      </c>
      <c r="AW164" s="269" t="s">
        <v>245</v>
      </c>
      <c r="AX164" s="269" t="s">
        <v>694</v>
      </c>
      <c r="AY164" s="270" t="s">
        <v>695</v>
      </c>
      <c r="AZ164" s="173" t="s">
        <v>681</v>
      </c>
      <c r="BA164" s="265">
        <v>10.0</v>
      </c>
      <c r="BB164" s="174" t="s">
        <v>225</v>
      </c>
      <c r="BC164" s="271"/>
      <c r="BD164" s="272" t="s">
        <v>696</v>
      </c>
      <c r="BE164" s="273" t="s">
        <v>697</v>
      </c>
      <c r="BF164" s="274" t="str">
        <f>IFERROR(__xludf.DUMMYFUNCTION("LOWER(Regexreplace(to_text(E164),""[^A-Za-z0-9]"","""")&amp;""_""&amp;Regexreplace(to_text(F164),""[^A-Za-z0-9]"",""""))"),"sauter_eyrc504fxxx")</f>
        <v>sauter_eyrc504fxxx</v>
      </c>
      <c r="BG164" s="275" t="str">
        <f>IFERROR(__xludf.DUMMYFUNCTION("upper(Regexreplace(to_text(E164),""[^A-Za-z0-9]"","""")&amp;""-""&amp;Regexreplace(to_text(F164),""[^A-Za-z0-9]"",""""))"),"SAUTER-EYRC504FXXX")</f>
        <v>SAUTER-EYRC504FXXX</v>
      </c>
    </row>
    <row r="165" ht="30.0" customHeight="1">
      <c r="A165" s="173">
        <v>161.0</v>
      </c>
      <c r="B165" s="256" t="s">
        <v>670</v>
      </c>
      <c r="C165" s="257" t="s">
        <v>1526</v>
      </c>
      <c r="D165" s="173" t="s">
        <v>1526</v>
      </c>
      <c r="E165" s="174" t="s">
        <v>672</v>
      </c>
      <c r="F165" s="173" t="s">
        <v>514</v>
      </c>
      <c r="G165" s="258" t="s">
        <v>673</v>
      </c>
      <c r="H165" s="258" t="s">
        <v>674</v>
      </c>
      <c r="I165" s="258" t="s">
        <v>675</v>
      </c>
      <c r="J165" s="259" t="s">
        <v>1520</v>
      </c>
      <c r="K165" s="260"/>
      <c r="L165" s="258" t="s">
        <v>1521</v>
      </c>
      <c r="M165" s="277">
        <v>4.11001359944E11</v>
      </c>
      <c r="N165" s="173" t="s">
        <v>679</v>
      </c>
      <c r="O165" s="173" t="s">
        <v>225</v>
      </c>
      <c r="P165" s="262" t="str">
        <f t="shared" si="1"/>
        <v>IN-BLR-ANANTA-DDC-361_Roof</v>
      </c>
      <c r="Q165" s="173" t="s">
        <v>1527</v>
      </c>
      <c r="R165" s="258" t="str">
        <f>IFS(C165="","",C165="n/a","N/A",LEN(C165),Concatenate("{",char(34),"asset",char(34),":{",char(34),"guid",char(34),":",char(34),Q165,char(34),",",char(34),"site",char(34),":",char(34),LOWER('2-Building'!$B$4),char(34),",",char(34),"name",char(34),":",char(34),LOWER(C165),char(34),"}}"))</f>
        <v>{"asset":{"guid":"uuid://62fa2251-6b5c-4283-b1d9-c2de5fccc97f","site":"in-blr-ananta","name":"ddc-361"}}</v>
      </c>
      <c r="S165" s="258" t="s">
        <v>681</v>
      </c>
      <c r="T165" s="263"/>
      <c r="U165" s="263"/>
      <c r="V165" s="264">
        <v>2.23</v>
      </c>
      <c r="W165" s="33" t="s">
        <v>682</v>
      </c>
      <c r="X165" s="258" t="s">
        <v>683</v>
      </c>
      <c r="Y165" s="33" t="s">
        <v>684</v>
      </c>
      <c r="Z165" s="258">
        <v>14161.0</v>
      </c>
      <c r="AA165" s="258">
        <v>11501.0</v>
      </c>
      <c r="AB165" s="258"/>
      <c r="AC165" s="258"/>
      <c r="AD165" s="265"/>
      <c r="AE165" s="266" t="s">
        <v>685</v>
      </c>
      <c r="AF165" s="267" t="s">
        <v>1528</v>
      </c>
      <c r="AG165" s="268" t="str">
        <f>IFS(LEN(AF165)=17,LOWER('2-Building'!$B$4 &amp; "-" &amp; C165), AF165="N/A", "N/A", LEN(AF165)=0,"")</f>
        <v>in-blr-ananta-ddc-361</v>
      </c>
      <c r="AH165" s="258"/>
      <c r="AI165" s="258"/>
      <c r="AJ165" s="258"/>
      <c r="AK165" s="258" t="s">
        <v>1529</v>
      </c>
      <c r="AL165" s="258" t="s">
        <v>688</v>
      </c>
      <c r="AM165" s="258" t="s">
        <v>689</v>
      </c>
      <c r="AN165" s="258"/>
      <c r="AO165" s="258"/>
      <c r="AP165" s="258"/>
      <c r="AQ165" s="258"/>
      <c r="AR165" s="258" t="s">
        <v>690</v>
      </c>
      <c r="AS165" s="258" t="s">
        <v>691</v>
      </c>
      <c r="AT165" s="258" t="s">
        <v>1525</v>
      </c>
      <c r="AU165" s="265" t="s">
        <v>693</v>
      </c>
      <c r="AV165" s="174" t="s">
        <v>243</v>
      </c>
      <c r="AW165" s="269" t="s">
        <v>245</v>
      </c>
      <c r="AX165" s="269" t="s">
        <v>694</v>
      </c>
      <c r="AY165" s="270" t="s">
        <v>695</v>
      </c>
      <c r="AZ165" s="173" t="s">
        <v>681</v>
      </c>
      <c r="BA165" s="265">
        <v>10.0</v>
      </c>
      <c r="BB165" s="174" t="s">
        <v>225</v>
      </c>
      <c r="BC165" s="271"/>
      <c r="BD165" s="272" t="s">
        <v>696</v>
      </c>
      <c r="BE165" s="273" t="s">
        <v>697</v>
      </c>
      <c r="BF165" s="274" t="str">
        <f>IFERROR(__xludf.DUMMYFUNCTION("LOWER(Regexreplace(to_text(E165),""[^A-Za-z0-9]"","""")&amp;""_""&amp;Regexreplace(to_text(F165),""[^A-Za-z0-9]"",""""))"),"sauter_eyrc504fxxx")</f>
        <v>sauter_eyrc504fxxx</v>
      </c>
      <c r="BG165" s="275" t="str">
        <f>IFERROR(__xludf.DUMMYFUNCTION("upper(Regexreplace(to_text(E165),""[^A-Za-z0-9]"","""")&amp;""-""&amp;Regexreplace(to_text(F165),""[^A-Za-z0-9]"",""""))"),"SAUTER-EYRC504FXXX")</f>
        <v>SAUTER-EYRC504FXXX</v>
      </c>
    </row>
    <row r="166" ht="30.0" customHeight="1">
      <c r="A166" s="258">
        <v>162.0</v>
      </c>
      <c r="B166" s="256" t="s">
        <v>670</v>
      </c>
      <c r="C166" s="257" t="s">
        <v>1530</v>
      </c>
      <c r="D166" s="173" t="s">
        <v>1530</v>
      </c>
      <c r="E166" s="174" t="s">
        <v>672</v>
      </c>
      <c r="F166" s="173" t="s">
        <v>514</v>
      </c>
      <c r="G166" s="258" t="s">
        <v>673</v>
      </c>
      <c r="H166" s="258" t="s">
        <v>674</v>
      </c>
      <c r="I166" s="258" t="s">
        <v>675</v>
      </c>
      <c r="J166" s="259" t="s">
        <v>1520</v>
      </c>
      <c r="K166" s="260"/>
      <c r="L166" s="258" t="s">
        <v>1531</v>
      </c>
      <c r="M166" s="277">
        <v>4.11001239485E11</v>
      </c>
      <c r="N166" s="173" t="s">
        <v>679</v>
      </c>
      <c r="O166" s="173" t="s">
        <v>225</v>
      </c>
      <c r="P166" s="262" t="str">
        <f t="shared" si="1"/>
        <v>IN-BLR-ANANTA-DDC-362_Roof</v>
      </c>
      <c r="Q166" s="173" t="s">
        <v>1532</v>
      </c>
      <c r="R166" s="258" t="str">
        <f>IFS(C166="","",C166="n/a","N/A",LEN(C166),Concatenate("{",char(34),"asset",char(34),":{",char(34),"guid",char(34),":",char(34),Q166,char(34),",",char(34),"site",char(34),":",char(34),LOWER('2-Building'!$B$4),char(34),",",char(34),"name",char(34),":",char(34),LOWER(C166),char(34),"}}"))</f>
        <v>{"asset":{"guid":"uuid://f33d7caa-f2e7-4c74-a390-a99479361171","site":"in-blr-ananta","name":"ddc-362"}}</v>
      </c>
      <c r="S166" s="258" t="s">
        <v>681</v>
      </c>
      <c r="T166" s="263"/>
      <c r="U166" s="263"/>
      <c r="V166" s="264">
        <v>2.23</v>
      </c>
      <c r="W166" s="33" t="s">
        <v>682</v>
      </c>
      <c r="X166" s="258" t="s">
        <v>683</v>
      </c>
      <c r="Y166" s="33" t="s">
        <v>684</v>
      </c>
      <c r="Z166" s="258">
        <v>14162.0</v>
      </c>
      <c r="AA166" s="258">
        <v>11501.0</v>
      </c>
      <c r="AB166" s="258"/>
      <c r="AC166" s="258"/>
      <c r="AD166" s="265"/>
      <c r="AE166" s="266" t="s">
        <v>685</v>
      </c>
      <c r="AF166" s="267" t="s">
        <v>1533</v>
      </c>
      <c r="AG166" s="268" t="str">
        <f>IFS(LEN(AF166)=17,LOWER('2-Building'!$B$4 &amp; "-" &amp; C166), AF166="N/A", "N/A", LEN(AF166)=0,"")</f>
        <v>in-blr-ananta-ddc-362</v>
      </c>
      <c r="AH166" s="258"/>
      <c r="AI166" s="258"/>
      <c r="AJ166" s="258"/>
      <c r="AK166" s="258" t="s">
        <v>1534</v>
      </c>
      <c r="AL166" s="258" t="s">
        <v>688</v>
      </c>
      <c r="AM166" s="258" t="s">
        <v>689</v>
      </c>
      <c r="AN166" s="258"/>
      <c r="AO166" s="258"/>
      <c r="AP166" s="258"/>
      <c r="AQ166" s="258"/>
      <c r="AR166" s="258" t="s">
        <v>690</v>
      </c>
      <c r="AS166" s="258" t="s">
        <v>691</v>
      </c>
      <c r="AT166" s="258" t="s">
        <v>1525</v>
      </c>
      <c r="AU166" s="265" t="s">
        <v>693</v>
      </c>
      <c r="AV166" s="174" t="s">
        <v>243</v>
      </c>
      <c r="AW166" s="269" t="s">
        <v>245</v>
      </c>
      <c r="AX166" s="269" t="s">
        <v>694</v>
      </c>
      <c r="AY166" s="270" t="s">
        <v>695</v>
      </c>
      <c r="AZ166" s="173" t="s">
        <v>681</v>
      </c>
      <c r="BA166" s="265">
        <v>10.0</v>
      </c>
      <c r="BB166" s="174" t="s">
        <v>225</v>
      </c>
      <c r="BC166" s="271"/>
      <c r="BD166" s="272" t="s">
        <v>696</v>
      </c>
      <c r="BE166" s="273" t="s">
        <v>697</v>
      </c>
      <c r="BF166" s="274" t="str">
        <f>IFERROR(__xludf.DUMMYFUNCTION("LOWER(Regexreplace(to_text(E166),""[^A-Za-z0-9]"","""")&amp;""_""&amp;Regexreplace(to_text(F166),""[^A-Za-z0-9]"",""""))"),"sauter_eyrc504fxxx")</f>
        <v>sauter_eyrc504fxxx</v>
      </c>
      <c r="BG166" s="275" t="str">
        <f>IFERROR(__xludf.DUMMYFUNCTION("upper(Regexreplace(to_text(E166),""[^A-Za-z0-9]"","""")&amp;""-""&amp;Regexreplace(to_text(F166),""[^A-Za-z0-9]"",""""))"),"SAUTER-EYRC504FXXX")</f>
        <v>SAUTER-EYRC504FXXX</v>
      </c>
    </row>
    <row r="167" ht="30.0" customHeight="1">
      <c r="A167" s="173">
        <v>163.0</v>
      </c>
      <c r="B167" s="256" t="s">
        <v>670</v>
      </c>
      <c r="C167" s="257" t="s">
        <v>1535</v>
      </c>
      <c r="D167" s="173" t="s">
        <v>1535</v>
      </c>
      <c r="E167" s="174" t="s">
        <v>672</v>
      </c>
      <c r="F167" s="173" t="s">
        <v>514</v>
      </c>
      <c r="G167" s="258" t="s">
        <v>673</v>
      </c>
      <c r="H167" s="258" t="s">
        <v>674</v>
      </c>
      <c r="I167" s="258" t="s">
        <v>675</v>
      </c>
      <c r="J167" s="259" t="s">
        <v>1520</v>
      </c>
      <c r="K167" s="260"/>
      <c r="L167" s="258" t="s">
        <v>1536</v>
      </c>
      <c r="M167" s="277">
        <v>4.11001239485E11</v>
      </c>
      <c r="N167" s="173" t="s">
        <v>679</v>
      </c>
      <c r="O167" s="173" t="s">
        <v>225</v>
      </c>
      <c r="P167" s="262" t="str">
        <f t="shared" si="1"/>
        <v>IN-BLR-ANANTA-DDC-363_Roof</v>
      </c>
      <c r="Q167" s="173" t="s">
        <v>1537</v>
      </c>
      <c r="R167" s="258" t="str">
        <f>IFS(C167="","",C167="n/a","N/A",LEN(C167),Concatenate("{",char(34),"asset",char(34),":{",char(34),"guid",char(34),":",char(34),Q167,char(34),",",char(34),"site",char(34),":",char(34),LOWER('2-Building'!$B$4),char(34),",",char(34),"name",char(34),":",char(34),LOWER(C167),char(34),"}}"))</f>
        <v>{"asset":{"guid":"uuid://71afdd41-d065-403c-8027-f38c5ddd6d40","site":"in-blr-ananta","name":"ddc-363"}}</v>
      </c>
      <c r="S167" s="258" t="s">
        <v>681</v>
      </c>
      <c r="T167" s="263"/>
      <c r="U167" s="263"/>
      <c r="V167" s="264">
        <v>2.23</v>
      </c>
      <c r="W167" s="33" t="s">
        <v>682</v>
      </c>
      <c r="X167" s="258" t="s">
        <v>683</v>
      </c>
      <c r="Y167" s="33" t="s">
        <v>684</v>
      </c>
      <c r="Z167" s="258">
        <v>14163.0</v>
      </c>
      <c r="AA167" s="258">
        <v>11501.0</v>
      </c>
      <c r="AB167" s="258"/>
      <c r="AC167" s="258"/>
      <c r="AD167" s="265"/>
      <c r="AE167" s="266" t="s">
        <v>685</v>
      </c>
      <c r="AF167" s="267" t="s">
        <v>1538</v>
      </c>
      <c r="AG167" s="268" t="str">
        <f>IFS(LEN(AF167)=17,LOWER('2-Building'!$B$4 &amp; "-" &amp; C167), AF167="N/A", "N/A", LEN(AF167)=0,"")</f>
        <v>in-blr-ananta-ddc-363</v>
      </c>
      <c r="AH167" s="258"/>
      <c r="AI167" s="258"/>
      <c r="AJ167" s="258"/>
      <c r="AK167" s="258" t="s">
        <v>1539</v>
      </c>
      <c r="AL167" s="258" t="s">
        <v>688</v>
      </c>
      <c r="AM167" s="258" t="s">
        <v>689</v>
      </c>
      <c r="AN167" s="258"/>
      <c r="AO167" s="258"/>
      <c r="AP167" s="258"/>
      <c r="AQ167" s="258"/>
      <c r="AR167" s="258" t="s">
        <v>690</v>
      </c>
      <c r="AS167" s="258" t="s">
        <v>691</v>
      </c>
      <c r="AT167" s="258" t="s">
        <v>1525</v>
      </c>
      <c r="AU167" s="265" t="s">
        <v>693</v>
      </c>
      <c r="AV167" s="174" t="s">
        <v>243</v>
      </c>
      <c r="AW167" s="269" t="s">
        <v>245</v>
      </c>
      <c r="AX167" s="269" t="s">
        <v>694</v>
      </c>
      <c r="AY167" s="270" t="s">
        <v>695</v>
      </c>
      <c r="AZ167" s="173" t="s">
        <v>681</v>
      </c>
      <c r="BA167" s="265">
        <v>10.0</v>
      </c>
      <c r="BB167" s="174" t="s">
        <v>225</v>
      </c>
      <c r="BC167" s="271"/>
      <c r="BD167" s="272" t="s">
        <v>696</v>
      </c>
      <c r="BE167" s="273" t="s">
        <v>697</v>
      </c>
      <c r="BF167" s="274" t="str">
        <f>IFERROR(__xludf.DUMMYFUNCTION("LOWER(Regexreplace(to_text(E167),""[^A-Za-z0-9]"","""")&amp;""_""&amp;Regexreplace(to_text(F167),""[^A-Za-z0-9]"",""""))"),"sauter_eyrc504fxxx")</f>
        <v>sauter_eyrc504fxxx</v>
      </c>
      <c r="BG167" s="275" t="str">
        <f>IFERROR(__xludf.DUMMYFUNCTION("upper(Regexreplace(to_text(E167),""[^A-Za-z0-9]"","""")&amp;""-""&amp;Regexreplace(to_text(F167),""[^A-Za-z0-9]"",""""))"),"SAUTER-EYRC504FXXX")</f>
        <v>SAUTER-EYRC504FXXX</v>
      </c>
    </row>
    <row r="168" ht="30.0" customHeight="1">
      <c r="A168" s="278">
        <v>164.0</v>
      </c>
      <c r="B168" s="279" t="s">
        <v>670</v>
      </c>
      <c r="C168" s="257" t="s">
        <v>1540</v>
      </c>
      <c r="D168" s="280" t="s">
        <v>1540</v>
      </c>
      <c r="E168" s="281" t="s">
        <v>672</v>
      </c>
      <c r="F168" s="173" t="s">
        <v>514</v>
      </c>
      <c r="G168" s="278" t="s">
        <v>673</v>
      </c>
      <c r="H168" s="278" t="s">
        <v>674</v>
      </c>
      <c r="I168" s="258" t="s">
        <v>675</v>
      </c>
      <c r="J168" s="259" t="s">
        <v>1520</v>
      </c>
      <c r="K168" s="260"/>
      <c r="L168" s="278" t="s">
        <v>1541</v>
      </c>
      <c r="M168" s="282">
        <v>4.11001359634E11</v>
      </c>
      <c r="N168" s="173" t="s">
        <v>679</v>
      </c>
      <c r="O168" s="280" t="s">
        <v>225</v>
      </c>
      <c r="P168" s="283" t="str">
        <f t="shared" si="1"/>
        <v>IN-BLR-ANANTA-DDC-364_Roof</v>
      </c>
      <c r="Q168" s="173" t="s">
        <v>1542</v>
      </c>
      <c r="R168" s="278" t="str">
        <f>IFS(C168="","",C168="n/a","N/A",LEN(C168),Concatenate("{",char(34),"asset",char(34),":{",char(34),"guid",char(34),":",char(34),Q168,char(34),",",char(34),"site",char(34),":",char(34),LOWER('2-Building'!$B$4),char(34),",",char(34),"name",char(34),":",char(34),LOWER(C168),char(34),"}}"))</f>
        <v>{"asset":{"guid":"uuid://7980d338-9f29-4b3f-bc52-ad2a4a899fc1","site":"in-blr-ananta","name":"ddc-364"}}</v>
      </c>
      <c r="S168" s="278" t="s">
        <v>681</v>
      </c>
      <c r="T168" s="284"/>
      <c r="U168" s="284"/>
      <c r="V168" s="264">
        <v>2.23</v>
      </c>
      <c r="W168" s="285" t="s">
        <v>682</v>
      </c>
      <c r="X168" s="278" t="s">
        <v>683</v>
      </c>
      <c r="Y168" s="33" t="s">
        <v>684</v>
      </c>
      <c r="Z168" s="278">
        <v>14164.0</v>
      </c>
      <c r="AA168" s="278">
        <v>11501.0</v>
      </c>
      <c r="AB168" s="278"/>
      <c r="AC168" s="278"/>
      <c r="AD168" s="286"/>
      <c r="AE168" s="287" t="s">
        <v>685</v>
      </c>
      <c r="AF168" s="288" t="s">
        <v>1543</v>
      </c>
      <c r="AG168" s="257" t="str">
        <f>IFS(LEN(AF168)=17,LOWER('2-Building'!$B$4 &amp; "-" &amp; C168), AF168="N/A", "N/A", LEN(AF168)=0,"")</f>
        <v>in-blr-ananta-ddc-364</v>
      </c>
      <c r="AH168" s="278"/>
      <c r="AI168" s="278"/>
      <c r="AJ168" s="278"/>
      <c r="AK168" s="258" t="s">
        <v>1544</v>
      </c>
      <c r="AL168" s="278" t="s">
        <v>688</v>
      </c>
      <c r="AM168" s="278" t="s">
        <v>689</v>
      </c>
      <c r="AN168" s="278"/>
      <c r="AO168" s="278"/>
      <c r="AP168" s="278"/>
      <c r="AQ168" s="278"/>
      <c r="AR168" s="278" t="s">
        <v>690</v>
      </c>
      <c r="AS168" s="278" t="s">
        <v>691</v>
      </c>
      <c r="AT168" s="258" t="s">
        <v>1525</v>
      </c>
      <c r="AU168" s="286" t="s">
        <v>693</v>
      </c>
      <c r="AV168" s="281" t="s">
        <v>243</v>
      </c>
      <c r="AW168" s="289" t="s">
        <v>245</v>
      </c>
      <c r="AX168" s="269" t="s">
        <v>694</v>
      </c>
      <c r="AY168" s="290" t="s">
        <v>695</v>
      </c>
      <c r="AZ168" s="280" t="s">
        <v>681</v>
      </c>
      <c r="BA168" s="286">
        <v>10.0</v>
      </c>
      <c r="BB168" s="281" t="s">
        <v>225</v>
      </c>
      <c r="BC168" s="291"/>
      <c r="BD168" s="272" t="s">
        <v>696</v>
      </c>
      <c r="BE168" s="292" t="s">
        <v>697</v>
      </c>
      <c r="BF168" s="274" t="str">
        <f>IFERROR(__xludf.DUMMYFUNCTION("LOWER(Regexreplace(to_text(E168),""[^A-Za-z0-9]"","""")&amp;""_""&amp;Regexreplace(to_text(F168),""[^A-Za-z0-9]"",""""))"),"sauter_eyrc504fxxx")</f>
        <v>sauter_eyrc504fxxx</v>
      </c>
      <c r="BG168" s="275" t="str">
        <f>IFERROR(__xludf.DUMMYFUNCTION("upper(Regexreplace(to_text(E168),""[^A-Za-z0-9]"","""")&amp;""-""&amp;Regexreplace(to_text(F168),""[^A-Za-z0-9]"",""""))"),"SAUTER-EYRC504FXXX")</f>
        <v>SAUTER-EYRC504FXXX</v>
      </c>
    </row>
    <row r="169" ht="30.0" customHeight="1">
      <c r="A169" s="173">
        <v>165.0</v>
      </c>
      <c r="B169" s="256" t="s">
        <v>670</v>
      </c>
      <c r="C169" s="257" t="s">
        <v>1545</v>
      </c>
      <c r="D169" s="173" t="s">
        <v>1545</v>
      </c>
      <c r="E169" s="174" t="s">
        <v>672</v>
      </c>
      <c r="F169" s="173" t="s">
        <v>514</v>
      </c>
      <c r="G169" s="258" t="s">
        <v>673</v>
      </c>
      <c r="H169" s="258" t="s">
        <v>674</v>
      </c>
      <c r="I169" s="258" t="s">
        <v>675</v>
      </c>
      <c r="J169" s="259" t="s">
        <v>1520</v>
      </c>
      <c r="K169" s="260"/>
      <c r="L169" s="258" t="s">
        <v>1546</v>
      </c>
      <c r="M169" s="277">
        <v>4.11001239229E11</v>
      </c>
      <c r="N169" s="173" t="s">
        <v>679</v>
      </c>
      <c r="O169" s="173" t="s">
        <v>225</v>
      </c>
      <c r="P169" s="262" t="str">
        <f t="shared" si="1"/>
        <v>IN-BLR-ANANTA-DDC-365_Roof</v>
      </c>
      <c r="Q169" s="173" t="s">
        <v>1547</v>
      </c>
      <c r="R169" s="258" t="str">
        <f>IFS(C169="","",C169="n/a","N/A",LEN(C169),Concatenate("{",char(34),"asset",char(34),":{",char(34),"guid",char(34),":",char(34),Q169,char(34),",",char(34),"site",char(34),":",char(34),LOWER('2-Building'!$B$4),char(34),",",char(34),"name",char(34),":",char(34),LOWER(C169),char(34),"}}"))</f>
        <v>{"asset":{"guid":"uuid://9d9a0405-69d8-435f-9e17-e31156964e4c","site":"in-blr-ananta","name":"ddc-365"}}</v>
      </c>
      <c r="S169" s="258" t="s">
        <v>681</v>
      </c>
      <c r="T169" s="263"/>
      <c r="U169" s="263"/>
      <c r="V169" s="264">
        <v>2.23</v>
      </c>
      <c r="W169" s="33" t="s">
        <v>682</v>
      </c>
      <c r="X169" s="258" t="s">
        <v>683</v>
      </c>
      <c r="Y169" s="33" t="s">
        <v>684</v>
      </c>
      <c r="Z169" s="258">
        <v>14165.0</v>
      </c>
      <c r="AA169" s="258">
        <v>11501.0</v>
      </c>
      <c r="AB169" s="258"/>
      <c r="AC169" s="258"/>
      <c r="AD169" s="265"/>
      <c r="AE169" s="266" t="s">
        <v>685</v>
      </c>
      <c r="AF169" s="267" t="s">
        <v>1548</v>
      </c>
      <c r="AG169" s="268" t="str">
        <f>IFS(LEN(AF169)=17,LOWER('2-Building'!$B$4 &amp; "-" &amp; C169), AF169="N/A", "N/A", LEN(AF169)=0,"")</f>
        <v>in-blr-ananta-ddc-365</v>
      </c>
      <c r="AH169" s="258"/>
      <c r="AI169" s="258"/>
      <c r="AJ169" s="258"/>
      <c r="AK169" s="258" t="s">
        <v>1549</v>
      </c>
      <c r="AL169" s="258" t="s">
        <v>688</v>
      </c>
      <c r="AM169" s="258" t="s">
        <v>689</v>
      </c>
      <c r="AN169" s="258"/>
      <c r="AO169" s="258"/>
      <c r="AP169" s="258"/>
      <c r="AQ169" s="258"/>
      <c r="AR169" s="258" t="s">
        <v>690</v>
      </c>
      <c r="AS169" s="258" t="s">
        <v>691</v>
      </c>
      <c r="AT169" s="258" t="s">
        <v>1525</v>
      </c>
      <c r="AU169" s="265" t="s">
        <v>693</v>
      </c>
      <c r="AV169" s="174" t="s">
        <v>243</v>
      </c>
      <c r="AW169" s="269" t="s">
        <v>245</v>
      </c>
      <c r="AX169" s="269" t="s">
        <v>694</v>
      </c>
      <c r="AY169" s="270" t="s">
        <v>695</v>
      </c>
      <c r="AZ169" s="173" t="s">
        <v>681</v>
      </c>
      <c r="BA169" s="265">
        <v>10.0</v>
      </c>
      <c r="BB169" s="174" t="s">
        <v>225</v>
      </c>
      <c r="BC169" s="271"/>
      <c r="BD169" s="272" t="s">
        <v>696</v>
      </c>
      <c r="BE169" s="273" t="s">
        <v>697</v>
      </c>
      <c r="BF169" s="274" t="str">
        <f>IFERROR(__xludf.DUMMYFUNCTION("LOWER(Regexreplace(to_text(E169),""[^A-Za-z0-9]"","""")&amp;""_""&amp;Regexreplace(to_text(F169),""[^A-Za-z0-9]"",""""))"),"sauter_eyrc504fxxx")</f>
        <v>sauter_eyrc504fxxx</v>
      </c>
      <c r="BG169" s="275" t="str">
        <f>IFERROR(__xludf.DUMMYFUNCTION("upper(Regexreplace(to_text(E169),""[^A-Za-z0-9]"","""")&amp;""-""&amp;Regexreplace(to_text(F169),""[^A-Za-z0-9]"",""""))"),"SAUTER-EYRC504FXXX")</f>
        <v>SAUTER-EYRC504FXXX</v>
      </c>
    </row>
    <row r="170" ht="30.0" customHeight="1">
      <c r="A170" s="258">
        <v>166.0</v>
      </c>
      <c r="B170" s="256" t="s">
        <v>670</v>
      </c>
      <c r="C170" s="257" t="s">
        <v>1550</v>
      </c>
      <c r="D170" s="173" t="s">
        <v>1550</v>
      </c>
      <c r="E170" s="174" t="s">
        <v>672</v>
      </c>
      <c r="F170" s="173" t="s">
        <v>514</v>
      </c>
      <c r="G170" s="258" t="s">
        <v>673</v>
      </c>
      <c r="H170" s="258" t="s">
        <v>674</v>
      </c>
      <c r="I170" s="258" t="s">
        <v>675</v>
      </c>
      <c r="J170" s="259" t="s">
        <v>1520</v>
      </c>
      <c r="K170" s="260"/>
      <c r="L170" s="258" t="s">
        <v>1546</v>
      </c>
      <c r="M170" s="277">
        <v>4.1100123917E11</v>
      </c>
      <c r="N170" s="173" t="s">
        <v>679</v>
      </c>
      <c r="O170" s="173" t="s">
        <v>225</v>
      </c>
      <c r="P170" s="262" t="str">
        <f t="shared" si="1"/>
        <v>IN-BLR-ANANTA-DDC-366_Roof</v>
      </c>
      <c r="Q170" s="173" t="s">
        <v>1551</v>
      </c>
      <c r="R170" s="258" t="str">
        <f>IFS(C170="","",C170="n/a","N/A",LEN(C170),Concatenate("{",char(34),"asset",char(34),":{",char(34),"guid",char(34),":",char(34),Q170,char(34),",",char(34),"site",char(34),":",char(34),LOWER('2-Building'!$B$4),char(34),",",char(34),"name",char(34),":",char(34),LOWER(C170),char(34),"}}"))</f>
        <v>{"asset":{"guid":"uuid://cbf3a9d9-ae84-4128-a345-1e2960959560","site":"in-blr-ananta","name":"ddc-366"}}</v>
      </c>
      <c r="S170" s="258" t="s">
        <v>681</v>
      </c>
      <c r="T170" s="263"/>
      <c r="U170" s="263"/>
      <c r="V170" s="264">
        <v>2.23</v>
      </c>
      <c r="W170" s="33" t="s">
        <v>682</v>
      </c>
      <c r="X170" s="258" t="s">
        <v>683</v>
      </c>
      <c r="Y170" s="33" t="s">
        <v>684</v>
      </c>
      <c r="Z170" s="258">
        <v>14166.0</v>
      </c>
      <c r="AA170" s="258">
        <v>11501.0</v>
      </c>
      <c r="AB170" s="258"/>
      <c r="AC170" s="258"/>
      <c r="AD170" s="265"/>
      <c r="AE170" s="266" t="s">
        <v>685</v>
      </c>
      <c r="AF170" s="267" t="s">
        <v>1552</v>
      </c>
      <c r="AG170" s="268" t="str">
        <f>IFS(LEN(AF170)=17,LOWER('2-Building'!$B$4 &amp; "-" &amp; C170), AF170="N/A", "N/A", LEN(AF170)=0,"")</f>
        <v>in-blr-ananta-ddc-366</v>
      </c>
      <c r="AH170" s="258"/>
      <c r="AI170" s="258"/>
      <c r="AJ170" s="258"/>
      <c r="AK170" s="258" t="s">
        <v>1553</v>
      </c>
      <c r="AL170" s="258" t="s">
        <v>688</v>
      </c>
      <c r="AM170" s="258" t="s">
        <v>689</v>
      </c>
      <c r="AN170" s="258"/>
      <c r="AO170" s="258"/>
      <c r="AP170" s="258"/>
      <c r="AQ170" s="258"/>
      <c r="AR170" s="258" t="s">
        <v>690</v>
      </c>
      <c r="AS170" s="258" t="s">
        <v>691</v>
      </c>
      <c r="AT170" s="258" t="s">
        <v>1525</v>
      </c>
      <c r="AU170" s="265" t="s">
        <v>693</v>
      </c>
      <c r="AV170" s="174" t="s">
        <v>243</v>
      </c>
      <c r="AW170" s="269" t="s">
        <v>245</v>
      </c>
      <c r="AX170" s="269" t="s">
        <v>694</v>
      </c>
      <c r="AY170" s="270" t="s">
        <v>695</v>
      </c>
      <c r="AZ170" s="173" t="s">
        <v>681</v>
      </c>
      <c r="BA170" s="265">
        <v>10.0</v>
      </c>
      <c r="BB170" s="174" t="s">
        <v>225</v>
      </c>
      <c r="BC170" s="271"/>
      <c r="BD170" s="272" t="s">
        <v>696</v>
      </c>
      <c r="BE170" s="273" t="s">
        <v>697</v>
      </c>
      <c r="BF170" s="274" t="str">
        <f>IFERROR(__xludf.DUMMYFUNCTION("LOWER(Regexreplace(to_text(E170),""[^A-Za-z0-9]"","""")&amp;""_""&amp;Regexreplace(to_text(F170),""[^A-Za-z0-9]"",""""))"),"sauter_eyrc504fxxx")</f>
        <v>sauter_eyrc504fxxx</v>
      </c>
      <c r="BG170" s="275" t="str">
        <f>IFERROR(__xludf.DUMMYFUNCTION("upper(Regexreplace(to_text(E170),""[^A-Za-z0-9]"","""")&amp;""-""&amp;Regexreplace(to_text(F170),""[^A-Za-z0-9]"",""""))"),"SAUTER-EYRC504FXXX")</f>
        <v>SAUTER-EYRC504FXXX</v>
      </c>
    </row>
    <row r="171" ht="30.0" customHeight="1">
      <c r="A171" s="173">
        <v>167.0</v>
      </c>
      <c r="B171" s="256" t="s">
        <v>670</v>
      </c>
      <c r="C171" s="257" t="s">
        <v>1554</v>
      </c>
      <c r="D171" s="173" t="s">
        <v>1554</v>
      </c>
      <c r="E171" s="174" t="s">
        <v>672</v>
      </c>
      <c r="F171" s="173" t="s">
        <v>514</v>
      </c>
      <c r="G171" s="258" t="s">
        <v>673</v>
      </c>
      <c r="H171" s="258" t="s">
        <v>674</v>
      </c>
      <c r="I171" s="258" t="s">
        <v>675</v>
      </c>
      <c r="J171" s="259" t="s">
        <v>1520</v>
      </c>
      <c r="K171" s="260"/>
      <c r="L171" s="258" t="s">
        <v>1555</v>
      </c>
      <c r="M171" s="277">
        <v>4.11001359877E11</v>
      </c>
      <c r="N171" s="173" t="s">
        <v>679</v>
      </c>
      <c r="O171" s="173" t="s">
        <v>225</v>
      </c>
      <c r="P171" s="262" t="str">
        <f t="shared" si="1"/>
        <v>IN-BLR-ANANTA-DDC-367_Roof</v>
      </c>
      <c r="Q171" s="173" t="s">
        <v>1556</v>
      </c>
      <c r="R171" s="258" t="str">
        <f>IFS(C171="","",C171="n/a","N/A",LEN(C171),Concatenate("{",char(34),"asset",char(34),":{",char(34),"guid",char(34),":",char(34),Q171,char(34),",",char(34),"site",char(34),":",char(34),LOWER('2-Building'!$B$4),char(34),",",char(34),"name",char(34),":",char(34),LOWER(C171),char(34),"}}"))</f>
        <v>{"asset":{"guid":"uuid://8fa79af1-907c-4012-bec4-d7b485fee812","site":"in-blr-ananta","name":"ddc-367"}}</v>
      </c>
      <c r="S171" s="258" t="s">
        <v>681</v>
      </c>
      <c r="T171" s="263"/>
      <c r="U171" s="263"/>
      <c r="V171" s="264">
        <v>2.23</v>
      </c>
      <c r="W171" s="33" t="s">
        <v>682</v>
      </c>
      <c r="X171" s="258" t="s">
        <v>683</v>
      </c>
      <c r="Y171" s="33" t="s">
        <v>684</v>
      </c>
      <c r="Z171" s="258">
        <v>14167.0</v>
      </c>
      <c r="AA171" s="258">
        <v>11501.0</v>
      </c>
      <c r="AB171" s="258"/>
      <c r="AC171" s="258"/>
      <c r="AD171" s="265"/>
      <c r="AE171" s="266" t="s">
        <v>685</v>
      </c>
      <c r="AF171" s="267" t="s">
        <v>1557</v>
      </c>
      <c r="AG171" s="268" t="str">
        <f>IFS(LEN(AF171)=17,LOWER('2-Building'!$B$4 &amp; "-" &amp; C171), AF171="N/A", "N/A", LEN(AF171)=0,"")</f>
        <v>in-blr-ananta-ddc-367</v>
      </c>
      <c r="AH171" s="258"/>
      <c r="AI171" s="258"/>
      <c r="AJ171" s="258"/>
      <c r="AK171" s="258" t="s">
        <v>1558</v>
      </c>
      <c r="AL171" s="258" t="s">
        <v>688</v>
      </c>
      <c r="AM171" s="258" t="s">
        <v>689</v>
      </c>
      <c r="AN171" s="258"/>
      <c r="AO171" s="258"/>
      <c r="AP171" s="258"/>
      <c r="AQ171" s="258"/>
      <c r="AR171" s="258" t="s">
        <v>690</v>
      </c>
      <c r="AS171" s="258" t="s">
        <v>691</v>
      </c>
      <c r="AT171" s="258" t="s">
        <v>1525</v>
      </c>
      <c r="AU171" s="265" t="s">
        <v>693</v>
      </c>
      <c r="AV171" s="174" t="s">
        <v>243</v>
      </c>
      <c r="AW171" s="269" t="s">
        <v>245</v>
      </c>
      <c r="AX171" s="269" t="s">
        <v>694</v>
      </c>
      <c r="AY171" s="270" t="s">
        <v>695</v>
      </c>
      <c r="AZ171" s="173" t="s">
        <v>681</v>
      </c>
      <c r="BA171" s="265">
        <v>10.0</v>
      </c>
      <c r="BB171" s="174" t="s">
        <v>225</v>
      </c>
      <c r="BC171" s="271"/>
      <c r="BD171" s="272" t="s">
        <v>696</v>
      </c>
      <c r="BE171" s="273" t="s">
        <v>697</v>
      </c>
      <c r="BF171" s="274" t="str">
        <f>IFERROR(__xludf.DUMMYFUNCTION("LOWER(Regexreplace(to_text(E171),""[^A-Za-z0-9]"","""")&amp;""_""&amp;Regexreplace(to_text(F171),""[^A-Za-z0-9]"",""""))"),"sauter_eyrc504fxxx")</f>
        <v>sauter_eyrc504fxxx</v>
      </c>
      <c r="BG171" s="275" t="str">
        <f>IFERROR(__xludf.DUMMYFUNCTION("upper(Regexreplace(to_text(E171),""[^A-Za-z0-9]"","""")&amp;""-""&amp;Regexreplace(to_text(F171),""[^A-Za-z0-9]"",""""))"),"SAUTER-EYRC504FXXX")</f>
        <v>SAUTER-EYRC504FXXX</v>
      </c>
    </row>
    <row r="172" ht="30.0" customHeight="1">
      <c r="A172" s="258">
        <v>168.0</v>
      </c>
      <c r="B172" s="256" t="s">
        <v>670</v>
      </c>
      <c r="C172" s="257" t="s">
        <v>1559</v>
      </c>
      <c r="D172" s="173" t="s">
        <v>1559</v>
      </c>
      <c r="E172" s="174" t="s">
        <v>672</v>
      </c>
      <c r="F172" s="173" t="s">
        <v>514</v>
      </c>
      <c r="G172" s="258" t="s">
        <v>673</v>
      </c>
      <c r="H172" s="258" t="s">
        <v>674</v>
      </c>
      <c r="I172" s="258" t="s">
        <v>675</v>
      </c>
      <c r="J172" s="259" t="s">
        <v>1520</v>
      </c>
      <c r="K172" s="260"/>
      <c r="L172" s="258" t="s">
        <v>1555</v>
      </c>
      <c r="M172" s="277">
        <v>4.11001359958E11</v>
      </c>
      <c r="N172" s="173" t="s">
        <v>679</v>
      </c>
      <c r="O172" s="173" t="s">
        <v>225</v>
      </c>
      <c r="P172" s="262" t="str">
        <f t="shared" si="1"/>
        <v>IN-BLR-ANANTA-DDC-368_Roof</v>
      </c>
      <c r="Q172" s="173" t="s">
        <v>1560</v>
      </c>
      <c r="R172" s="258" t="str">
        <f>IFS(C172="","",C172="n/a","N/A",LEN(C172),Concatenate("{",char(34),"asset",char(34),":{",char(34),"guid",char(34),":",char(34),Q172,char(34),",",char(34),"site",char(34),":",char(34),LOWER('2-Building'!$B$4),char(34),",",char(34),"name",char(34),":",char(34),LOWER(C172),char(34),"}}"))</f>
        <v>{"asset":{"guid":"uuid://06eb5b30-5602-4fd1-b002-3512d53c9257","site":"in-blr-ananta","name":"ddc-368"}}</v>
      </c>
      <c r="S172" s="258" t="s">
        <v>681</v>
      </c>
      <c r="T172" s="263"/>
      <c r="U172" s="263"/>
      <c r="V172" s="264">
        <v>2.23</v>
      </c>
      <c r="W172" s="33" t="s">
        <v>682</v>
      </c>
      <c r="X172" s="258" t="s">
        <v>683</v>
      </c>
      <c r="Y172" s="33" t="s">
        <v>684</v>
      </c>
      <c r="Z172" s="258">
        <v>14168.0</v>
      </c>
      <c r="AA172" s="258">
        <v>11501.0</v>
      </c>
      <c r="AB172" s="258"/>
      <c r="AC172" s="258"/>
      <c r="AD172" s="265"/>
      <c r="AE172" s="266" t="s">
        <v>685</v>
      </c>
      <c r="AF172" s="267" t="s">
        <v>1561</v>
      </c>
      <c r="AG172" s="268" t="str">
        <f>IFS(LEN(AF172)=17,LOWER('2-Building'!$B$4 &amp; "-" &amp; C172), AF172="N/A", "N/A", LEN(AF172)=0,"")</f>
        <v>in-blr-ananta-ddc-368</v>
      </c>
      <c r="AH172" s="258"/>
      <c r="AI172" s="258"/>
      <c r="AJ172" s="258"/>
      <c r="AK172" s="258" t="s">
        <v>1562</v>
      </c>
      <c r="AL172" s="258" t="s">
        <v>688</v>
      </c>
      <c r="AM172" s="258" t="s">
        <v>689</v>
      </c>
      <c r="AN172" s="258"/>
      <c r="AO172" s="258"/>
      <c r="AP172" s="258"/>
      <c r="AQ172" s="258"/>
      <c r="AR172" s="258" t="s">
        <v>690</v>
      </c>
      <c r="AS172" s="258" t="s">
        <v>691</v>
      </c>
      <c r="AT172" s="258" t="s">
        <v>1525</v>
      </c>
      <c r="AU172" s="265" t="s">
        <v>693</v>
      </c>
      <c r="AV172" s="174" t="s">
        <v>243</v>
      </c>
      <c r="AW172" s="269" t="s">
        <v>245</v>
      </c>
      <c r="AX172" s="269" t="s">
        <v>694</v>
      </c>
      <c r="AY172" s="270" t="s">
        <v>695</v>
      </c>
      <c r="AZ172" s="173" t="s">
        <v>681</v>
      </c>
      <c r="BA172" s="265">
        <v>10.0</v>
      </c>
      <c r="BB172" s="174" t="s">
        <v>225</v>
      </c>
      <c r="BC172" s="271"/>
      <c r="BD172" s="272" t="s">
        <v>696</v>
      </c>
      <c r="BE172" s="273" t="s">
        <v>697</v>
      </c>
      <c r="BF172" s="274" t="str">
        <f>IFERROR(__xludf.DUMMYFUNCTION("LOWER(Regexreplace(to_text(E172),""[^A-Za-z0-9]"","""")&amp;""_""&amp;Regexreplace(to_text(F172),""[^A-Za-z0-9]"",""""))"),"sauter_eyrc504fxxx")</f>
        <v>sauter_eyrc504fxxx</v>
      </c>
      <c r="BG172" s="275" t="str">
        <f>IFERROR(__xludf.DUMMYFUNCTION("upper(Regexreplace(to_text(E172),""[^A-Za-z0-9]"","""")&amp;""-""&amp;Regexreplace(to_text(F172),""[^A-Za-z0-9]"",""""))"),"SAUTER-EYRC504FXXX")</f>
        <v>SAUTER-EYRC504FXXX</v>
      </c>
    </row>
    <row r="173" ht="30.0" customHeight="1">
      <c r="A173" s="173">
        <v>169.0</v>
      </c>
      <c r="B173" s="256" t="s">
        <v>670</v>
      </c>
      <c r="C173" s="257" t="s">
        <v>1563</v>
      </c>
      <c r="D173" s="173" t="s">
        <v>1563</v>
      </c>
      <c r="E173" s="174" t="s">
        <v>672</v>
      </c>
      <c r="F173" s="173" t="s">
        <v>514</v>
      </c>
      <c r="G173" s="258" t="s">
        <v>673</v>
      </c>
      <c r="H173" s="258" t="s">
        <v>674</v>
      </c>
      <c r="I173" s="258" t="s">
        <v>675</v>
      </c>
      <c r="J173" s="259" t="s">
        <v>1520</v>
      </c>
      <c r="K173" s="260"/>
      <c r="L173" s="258" t="s">
        <v>1564</v>
      </c>
      <c r="M173" s="277">
        <v>4.11001359422E11</v>
      </c>
      <c r="N173" s="173" t="s">
        <v>679</v>
      </c>
      <c r="O173" s="173" t="s">
        <v>225</v>
      </c>
      <c r="P173" s="262" t="str">
        <f t="shared" si="1"/>
        <v>IN-BLR-ANANTA-DDC-369_Roof</v>
      </c>
      <c r="Q173" s="173" t="s">
        <v>1565</v>
      </c>
      <c r="R173" s="258" t="str">
        <f>IFS(C173="","",C173="n/a","N/A",LEN(C173),Concatenate("{",char(34),"asset",char(34),":{",char(34),"guid",char(34),":",char(34),Q173,char(34),",",char(34),"site",char(34),":",char(34),LOWER('2-Building'!$B$4),char(34),",",char(34),"name",char(34),":",char(34),LOWER(C173),char(34),"}}"))</f>
        <v>{"asset":{"guid":"uuid://34c10833-bade-44c0-8fb9-a1a9f661e1f0","site":"in-blr-ananta","name":"ddc-369"}}</v>
      </c>
      <c r="S173" s="258" t="s">
        <v>681</v>
      </c>
      <c r="T173" s="263"/>
      <c r="U173" s="263"/>
      <c r="V173" s="264">
        <v>2.23</v>
      </c>
      <c r="W173" s="33" t="s">
        <v>682</v>
      </c>
      <c r="X173" s="258" t="s">
        <v>683</v>
      </c>
      <c r="Y173" s="33" t="s">
        <v>684</v>
      </c>
      <c r="Z173" s="258">
        <v>14169.0</v>
      </c>
      <c r="AA173" s="258">
        <v>11501.0</v>
      </c>
      <c r="AB173" s="258"/>
      <c r="AC173" s="258"/>
      <c r="AD173" s="265"/>
      <c r="AE173" s="266" t="s">
        <v>685</v>
      </c>
      <c r="AF173" s="267" t="s">
        <v>1566</v>
      </c>
      <c r="AG173" s="268" t="str">
        <f>IFS(LEN(AF173)=17,LOWER('2-Building'!$B$4 &amp; "-" &amp; C173), AF173="N/A", "N/A", LEN(AF173)=0,"")</f>
        <v>in-blr-ananta-ddc-369</v>
      </c>
      <c r="AH173" s="258"/>
      <c r="AI173" s="258"/>
      <c r="AJ173" s="258"/>
      <c r="AK173" s="258" t="s">
        <v>1567</v>
      </c>
      <c r="AL173" s="258" t="s">
        <v>688</v>
      </c>
      <c r="AM173" s="258" t="s">
        <v>689</v>
      </c>
      <c r="AN173" s="258"/>
      <c r="AO173" s="258"/>
      <c r="AP173" s="258"/>
      <c r="AQ173" s="258"/>
      <c r="AR173" s="258" t="s">
        <v>690</v>
      </c>
      <c r="AS173" s="258" t="s">
        <v>691</v>
      </c>
      <c r="AT173" s="258" t="s">
        <v>1525</v>
      </c>
      <c r="AU173" s="265" t="s">
        <v>693</v>
      </c>
      <c r="AV173" s="174" t="s">
        <v>243</v>
      </c>
      <c r="AW173" s="269" t="s">
        <v>245</v>
      </c>
      <c r="AX173" s="269" t="s">
        <v>694</v>
      </c>
      <c r="AY173" s="270" t="s">
        <v>695</v>
      </c>
      <c r="AZ173" s="173" t="s">
        <v>681</v>
      </c>
      <c r="BA173" s="265">
        <v>10.0</v>
      </c>
      <c r="BB173" s="174" t="s">
        <v>225</v>
      </c>
      <c r="BC173" s="271"/>
      <c r="BD173" s="272" t="s">
        <v>696</v>
      </c>
      <c r="BE173" s="273" t="s">
        <v>697</v>
      </c>
      <c r="BF173" s="274" t="str">
        <f>IFERROR(__xludf.DUMMYFUNCTION("LOWER(Regexreplace(to_text(E173),""[^A-Za-z0-9]"","""")&amp;""_""&amp;Regexreplace(to_text(F173),""[^A-Za-z0-9]"",""""))"),"sauter_eyrc504fxxx")</f>
        <v>sauter_eyrc504fxxx</v>
      </c>
      <c r="BG173" s="275" t="str">
        <f>IFERROR(__xludf.DUMMYFUNCTION("upper(Regexreplace(to_text(E173),""[^A-Za-z0-9]"","""")&amp;""-""&amp;Regexreplace(to_text(F173),""[^A-Za-z0-9]"",""""))"),"SAUTER-EYRC504FXXX")</f>
        <v>SAUTER-EYRC504FXXX</v>
      </c>
    </row>
    <row r="174" ht="30.0" customHeight="1">
      <c r="A174" s="258">
        <v>170.0</v>
      </c>
      <c r="B174" s="256" t="s">
        <v>670</v>
      </c>
      <c r="C174" s="257" t="s">
        <v>1568</v>
      </c>
      <c r="D174" s="173" t="s">
        <v>1568</v>
      </c>
      <c r="E174" s="174" t="s">
        <v>672</v>
      </c>
      <c r="F174" s="173" t="s">
        <v>514</v>
      </c>
      <c r="G174" s="258" t="s">
        <v>673</v>
      </c>
      <c r="H174" s="258" t="s">
        <v>674</v>
      </c>
      <c r="I174" s="258" t="s">
        <v>675</v>
      </c>
      <c r="J174" s="259" t="s">
        <v>1520</v>
      </c>
      <c r="K174" s="260"/>
      <c r="L174" s="258" t="s">
        <v>1564</v>
      </c>
      <c r="M174" s="277">
        <v>4.11001359363E11</v>
      </c>
      <c r="N174" s="173" t="s">
        <v>679</v>
      </c>
      <c r="O174" s="173" t="s">
        <v>225</v>
      </c>
      <c r="P174" s="262" t="str">
        <f t="shared" si="1"/>
        <v>IN-BLR-ANANTA-DDC-370_Roof</v>
      </c>
      <c r="Q174" s="173" t="s">
        <v>1569</v>
      </c>
      <c r="R174" s="258" t="str">
        <f>IFS(C174="","",C174="n/a","N/A",LEN(C174),Concatenate("{",char(34),"asset",char(34),":{",char(34),"guid",char(34),":",char(34),Q174,char(34),",",char(34),"site",char(34),":",char(34),LOWER('2-Building'!$B$4),char(34),",",char(34),"name",char(34),":",char(34),LOWER(C174),char(34),"}}"))</f>
        <v>{"asset":{"guid":"uuid://636567e0-7534-4e72-a22a-1830d807f7e9","site":"in-blr-ananta","name":"ddc-370"}}</v>
      </c>
      <c r="S174" s="258" t="s">
        <v>681</v>
      </c>
      <c r="T174" s="263"/>
      <c r="U174" s="263"/>
      <c r="V174" s="264">
        <v>2.23</v>
      </c>
      <c r="W174" s="33" t="s">
        <v>682</v>
      </c>
      <c r="X174" s="258" t="s">
        <v>683</v>
      </c>
      <c r="Y174" s="33" t="s">
        <v>684</v>
      </c>
      <c r="Z174" s="258">
        <v>14170.0</v>
      </c>
      <c r="AA174" s="258">
        <v>11501.0</v>
      </c>
      <c r="AB174" s="258"/>
      <c r="AC174" s="258"/>
      <c r="AD174" s="265"/>
      <c r="AE174" s="266" t="s">
        <v>685</v>
      </c>
      <c r="AF174" s="267" t="s">
        <v>1570</v>
      </c>
      <c r="AG174" s="268" t="str">
        <f>IFS(LEN(AF174)=17,LOWER('2-Building'!$B$4 &amp; "-" &amp; C174), AF174="N/A", "N/A", LEN(AF174)=0,"")</f>
        <v>in-blr-ananta-ddc-370</v>
      </c>
      <c r="AH174" s="258"/>
      <c r="AI174" s="258"/>
      <c r="AJ174" s="258"/>
      <c r="AK174" s="258" t="s">
        <v>1571</v>
      </c>
      <c r="AL174" s="258" t="s">
        <v>688</v>
      </c>
      <c r="AM174" s="258" t="s">
        <v>689</v>
      </c>
      <c r="AN174" s="258"/>
      <c r="AO174" s="258"/>
      <c r="AP174" s="258"/>
      <c r="AQ174" s="258"/>
      <c r="AR174" s="258" t="s">
        <v>690</v>
      </c>
      <c r="AS174" s="258" t="s">
        <v>691</v>
      </c>
      <c r="AT174" s="258" t="s">
        <v>1572</v>
      </c>
      <c r="AU174" s="265" t="s">
        <v>693</v>
      </c>
      <c r="AV174" s="174" t="s">
        <v>243</v>
      </c>
      <c r="AW174" s="269" t="s">
        <v>245</v>
      </c>
      <c r="AX174" s="269" t="s">
        <v>694</v>
      </c>
      <c r="AY174" s="270" t="s">
        <v>695</v>
      </c>
      <c r="AZ174" s="173" t="s">
        <v>681</v>
      </c>
      <c r="BA174" s="265">
        <v>10.0</v>
      </c>
      <c r="BB174" s="174" t="s">
        <v>225</v>
      </c>
      <c r="BC174" s="271"/>
      <c r="BD174" s="272" t="s">
        <v>696</v>
      </c>
      <c r="BE174" s="273" t="s">
        <v>697</v>
      </c>
      <c r="BF174" s="274" t="str">
        <f>IFERROR(__xludf.DUMMYFUNCTION("LOWER(Regexreplace(to_text(E174),""[^A-Za-z0-9]"","""")&amp;""_""&amp;Regexreplace(to_text(F174),""[^A-Za-z0-9]"",""""))"),"sauter_eyrc504fxxx")</f>
        <v>sauter_eyrc504fxxx</v>
      </c>
      <c r="BG174" s="275" t="str">
        <f>IFERROR(__xludf.DUMMYFUNCTION("upper(Regexreplace(to_text(E174),""[^A-Za-z0-9]"","""")&amp;""-""&amp;Regexreplace(to_text(F174),""[^A-Za-z0-9]"",""""))"),"SAUTER-EYRC504FXXX")</f>
        <v>SAUTER-EYRC504FXXX</v>
      </c>
    </row>
    <row r="175" ht="30.0" customHeight="1">
      <c r="A175" s="173">
        <v>171.0</v>
      </c>
      <c r="B175" s="256" t="s">
        <v>670</v>
      </c>
      <c r="C175" s="257" t="s">
        <v>1573</v>
      </c>
      <c r="D175" s="173" t="s">
        <v>1573</v>
      </c>
      <c r="E175" s="174" t="s">
        <v>672</v>
      </c>
      <c r="F175" s="173" t="s">
        <v>514</v>
      </c>
      <c r="G175" s="258" t="s">
        <v>673</v>
      </c>
      <c r="H175" s="258" t="s">
        <v>674</v>
      </c>
      <c r="I175" s="258" t="s">
        <v>675</v>
      </c>
      <c r="J175" s="259" t="s">
        <v>1574</v>
      </c>
      <c r="K175" s="260" t="s">
        <v>1575</v>
      </c>
      <c r="L175" s="258" t="s">
        <v>1576</v>
      </c>
      <c r="M175" s="277">
        <v>4.11001359647E11</v>
      </c>
      <c r="N175" s="173" t="s">
        <v>679</v>
      </c>
      <c r="O175" s="173" t="s">
        <v>225</v>
      </c>
      <c r="P175" s="262" t="str">
        <f t="shared" si="1"/>
        <v>IN-BLR-ANANTA-DDC-371_BM</v>
      </c>
      <c r="Q175" s="173" t="s">
        <v>1577</v>
      </c>
      <c r="R175" s="258" t="str">
        <f>IFS(C175="","",C175="n/a","N/A",LEN(C175),Concatenate("{",char(34),"asset",char(34),":{",char(34),"guid",char(34),":",char(34),Q175,char(34),",",char(34),"site",char(34),":",char(34),LOWER('2-Building'!$B$4),char(34),",",char(34),"name",char(34),":",char(34),LOWER(C175),char(34),"}}"))</f>
        <v>{"asset":{"guid":"uuid://f570e494-a574-4f57-a7c1-013e656421e2","site":"in-blr-ananta","name":"ddc-371"}}</v>
      </c>
      <c r="S175" s="258" t="s">
        <v>681</v>
      </c>
      <c r="T175" s="263"/>
      <c r="U175" s="263"/>
      <c r="V175" s="264">
        <v>2.23</v>
      </c>
      <c r="W175" s="33" t="s">
        <v>682</v>
      </c>
      <c r="X175" s="258" t="s">
        <v>683</v>
      </c>
      <c r="Y175" s="33" t="s">
        <v>684</v>
      </c>
      <c r="Z175" s="258">
        <v>14171.0</v>
      </c>
      <c r="AA175" s="258">
        <v>11501.0</v>
      </c>
      <c r="AB175" s="258"/>
      <c r="AC175" s="258"/>
      <c r="AD175" s="265"/>
      <c r="AE175" s="266" t="s">
        <v>685</v>
      </c>
      <c r="AF175" s="267" t="s">
        <v>1578</v>
      </c>
      <c r="AG175" s="268" t="str">
        <f>IFS(LEN(AF175)=17,LOWER('2-Building'!$B$4 &amp; "-" &amp; C175), AF175="N/A", "N/A", LEN(AF175)=0,"")</f>
        <v>in-blr-ananta-ddc-371</v>
      </c>
      <c r="AH175" s="258"/>
      <c r="AI175" s="258"/>
      <c r="AJ175" s="258"/>
      <c r="AK175" s="258" t="s">
        <v>1579</v>
      </c>
      <c r="AL175" s="258" t="s">
        <v>688</v>
      </c>
      <c r="AM175" s="258" t="s">
        <v>689</v>
      </c>
      <c r="AN175" s="258"/>
      <c r="AO175" s="258"/>
      <c r="AP175" s="258"/>
      <c r="AQ175" s="258"/>
      <c r="AR175" s="258" t="s">
        <v>690</v>
      </c>
      <c r="AS175" s="258" t="s">
        <v>691</v>
      </c>
      <c r="AT175" s="258" t="s">
        <v>1572</v>
      </c>
      <c r="AU175" s="265" t="s">
        <v>693</v>
      </c>
      <c r="AV175" s="174" t="s">
        <v>243</v>
      </c>
      <c r="AW175" s="269" t="s">
        <v>245</v>
      </c>
      <c r="AX175" s="269" t="s">
        <v>694</v>
      </c>
      <c r="AY175" s="270" t="s">
        <v>695</v>
      </c>
      <c r="AZ175" s="173" t="s">
        <v>681</v>
      </c>
      <c r="BA175" s="265">
        <v>10.0</v>
      </c>
      <c r="BB175" s="174" t="s">
        <v>225</v>
      </c>
      <c r="BC175" s="271"/>
      <c r="BD175" s="272" t="s">
        <v>696</v>
      </c>
      <c r="BE175" s="273" t="s">
        <v>697</v>
      </c>
      <c r="BF175" s="274" t="str">
        <f>IFERROR(__xludf.DUMMYFUNCTION("LOWER(Regexreplace(to_text(E175),""[^A-Za-z0-9]"","""")&amp;""_""&amp;Regexreplace(to_text(F175),""[^A-Za-z0-9]"",""""))"),"sauter_eyrc504fxxx")</f>
        <v>sauter_eyrc504fxxx</v>
      </c>
      <c r="BG175" s="275" t="str">
        <f>IFERROR(__xludf.DUMMYFUNCTION("upper(Regexreplace(to_text(E175),""[^A-Za-z0-9]"","""")&amp;""-""&amp;Regexreplace(to_text(F175),""[^A-Za-z0-9]"",""""))"),"SAUTER-EYRC504FXXX")</f>
        <v>SAUTER-EYRC504FXXX</v>
      </c>
    </row>
    <row r="176" ht="30.0" customHeight="1">
      <c r="A176" s="258">
        <v>172.0</v>
      </c>
      <c r="B176" s="256" t="s">
        <v>670</v>
      </c>
      <c r="C176" s="257" t="s">
        <v>1580</v>
      </c>
      <c r="D176" s="173" t="s">
        <v>1580</v>
      </c>
      <c r="E176" s="174" t="s">
        <v>672</v>
      </c>
      <c r="F176" s="173" t="s">
        <v>514</v>
      </c>
      <c r="G176" s="258" t="s">
        <v>673</v>
      </c>
      <c r="H176" s="258" t="s">
        <v>674</v>
      </c>
      <c r="I176" s="258" t="s">
        <v>675</v>
      </c>
      <c r="J176" s="259" t="s">
        <v>1574</v>
      </c>
      <c r="K176" s="260" t="s">
        <v>1575</v>
      </c>
      <c r="L176" s="258" t="s">
        <v>1581</v>
      </c>
      <c r="M176" s="277">
        <v>4.11001219401E11</v>
      </c>
      <c r="N176" s="173" t="s">
        <v>679</v>
      </c>
      <c r="O176" s="173" t="s">
        <v>225</v>
      </c>
      <c r="P176" s="262" t="str">
        <f t="shared" si="1"/>
        <v>IN-BLR-ANANTA-DDC-372_BM</v>
      </c>
      <c r="Q176" s="173" t="s">
        <v>1582</v>
      </c>
      <c r="R176" s="258" t="str">
        <f>IFS(C176="","",C176="n/a","N/A",LEN(C176),Concatenate("{",char(34),"asset",char(34),":{",char(34),"guid",char(34),":",char(34),Q176,char(34),",",char(34),"site",char(34),":",char(34),LOWER('2-Building'!$B$4),char(34),",",char(34),"name",char(34),":",char(34),LOWER(C176),char(34),"}}"))</f>
        <v>{"asset":{"guid":"uuid://e7002d83-82c3-4e4e-bbcd-457ce2c923c6","site":"in-blr-ananta","name":"ddc-372"}}</v>
      </c>
      <c r="S176" s="258" t="s">
        <v>681</v>
      </c>
      <c r="T176" s="263"/>
      <c r="U176" s="263"/>
      <c r="V176" s="264">
        <v>2.23</v>
      </c>
      <c r="W176" s="33" t="s">
        <v>682</v>
      </c>
      <c r="X176" s="258" t="s">
        <v>683</v>
      </c>
      <c r="Y176" s="33" t="s">
        <v>684</v>
      </c>
      <c r="Z176" s="258">
        <v>14172.0</v>
      </c>
      <c r="AA176" s="258">
        <v>11501.0</v>
      </c>
      <c r="AB176" s="258"/>
      <c r="AC176" s="258"/>
      <c r="AD176" s="265"/>
      <c r="AE176" s="266" t="s">
        <v>685</v>
      </c>
      <c r="AF176" s="267" t="s">
        <v>1583</v>
      </c>
      <c r="AG176" s="268" t="str">
        <f>IFS(LEN(AF176)=17,LOWER('2-Building'!$B$4 &amp; "-" &amp; C176), AF176="N/A", "N/A", LEN(AF176)=0,"")</f>
        <v>in-blr-ananta-ddc-372</v>
      </c>
      <c r="AH176" s="258"/>
      <c r="AI176" s="258"/>
      <c r="AJ176" s="258"/>
      <c r="AK176" s="258" t="s">
        <v>1584</v>
      </c>
      <c r="AL176" s="258" t="s">
        <v>688</v>
      </c>
      <c r="AM176" s="258" t="s">
        <v>689</v>
      </c>
      <c r="AN176" s="258"/>
      <c r="AO176" s="258"/>
      <c r="AP176" s="258"/>
      <c r="AQ176" s="258"/>
      <c r="AR176" s="258" t="s">
        <v>690</v>
      </c>
      <c r="AS176" s="258" t="s">
        <v>691</v>
      </c>
      <c r="AT176" s="258" t="s">
        <v>1572</v>
      </c>
      <c r="AU176" s="265" t="s">
        <v>693</v>
      </c>
      <c r="AV176" s="174" t="s">
        <v>243</v>
      </c>
      <c r="AW176" s="269" t="s">
        <v>245</v>
      </c>
      <c r="AX176" s="269" t="s">
        <v>694</v>
      </c>
      <c r="AY176" s="270" t="s">
        <v>695</v>
      </c>
      <c r="AZ176" s="173" t="s">
        <v>681</v>
      </c>
      <c r="BA176" s="265">
        <v>10.0</v>
      </c>
      <c r="BB176" s="174" t="s">
        <v>225</v>
      </c>
      <c r="BC176" s="271"/>
      <c r="BD176" s="272" t="s">
        <v>696</v>
      </c>
      <c r="BE176" s="273" t="s">
        <v>697</v>
      </c>
      <c r="BF176" s="274" t="str">
        <f>IFERROR(__xludf.DUMMYFUNCTION("LOWER(Regexreplace(to_text(E176),""[^A-Za-z0-9]"","""")&amp;""_""&amp;Regexreplace(to_text(F176),""[^A-Za-z0-9]"",""""))"),"sauter_eyrc504fxxx")</f>
        <v>sauter_eyrc504fxxx</v>
      </c>
      <c r="BG176" s="275" t="str">
        <f>IFERROR(__xludf.DUMMYFUNCTION("upper(Regexreplace(to_text(E176),""[^A-Za-z0-9]"","""")&amp;""-""&amp;Regexreplace(to_text(F176),""[^A-Za-z0-9]"",""""))"),"SAUTER-EYRC504FXXX")</f>
        <v>SAUTER-EYRC504FXXX</v>
      </c>
    </row>
    <row r="177" ht="30.0" customHeight="1">
      <c r="A177" s="173">
        <v>173.0</v>
      </c>
      <c r="B177" s="256" t="s">
        <v>670</v>
      </c>
      <c r="C177" s="257" t="s">
        <v>1585</v>
      </c>
      <c r="D177" s="173" t="s">
        <v>1585</v>
      </c>
      <c r="E177" s="174" t="s">
        <v>672</v>
      </c>
      <c r="F177" s="173" t="s">
        <v>514</v>
      </c>
      <c r="G177" s="258" t="s">
        <v>673</v>
      </c>
      <c r="H177" s="258" t="s">
        <v>674</v>
      </c>
      <c r="I177" s="258" t="s">
        <v>675</v>
      </c>
      <c r="J177" s="259" t="s">
        <v>1574</v>
      </c>
      <c r="K177" s="260" t="s">
        <v>1575</v>
      </c>
      <c r="L177" s="258" t="s">
        <v>1581</v>
      </c>
      <c r="M177" s="277">
        <v>4.11001235143E11</v>
      </c>
      <c r="N177" s="173" t="s">
        <v>679</v>
      </c>
      <c r="O177" s="173" t="s">
        <v>225</v>
      </c>
      <c r="P177" s="262" t="str">
        <f t="shared" si="1"/>
        <v>IN-BLR-ANANTA-DDC-373_BM</v>
      </c>
      <c r="Q177" s="173" t="s">
        <v>1586</v>
      </c>
      <c r="R177" s="258" t="str">
        <f>IFS(C177="","",C177="n/a","N/A",LEN(C177),Concatenate("{",char(34),"asset",char(34),":{",char(34),"guid",char(34),":",char(34),Q177,char(34),",",char(34),"site",char(34),":",char(34),LOWER('2-Building'!$B$4),char(34),",",char(34),"name",char(34),":",char(34),LOWER(C177),char(34),"}}"))</f>
        <v>{"asset":{"guid":"uuid://bd4623ce-b295-4879-a820-8d9605d1f91d","site":"in-blr-ananta","name":"ddc-373"}}</v>
      </c>
      <c r="S177" s="258" t="s">
        <v>681</v>
      </c>
      <c r="T177" s="263"/>
      <c r="U177" s="263"/>
      <c r="V177" s="264">
        <v>2.23</v>
      </c>
      <c r="W177" s="33" t="s">
        <v>682</v>
      </c>
      <c r="X177" s="258" t="s">
        <v>683</v>
      </c>
      <c r="Y177" s="33" t="s">
        <v>684</v>
      </c>
      <c r="Z177" s="258">
        <v>14173.0</v>
      </c>
      <c r="AA177" s="258">
        <v>11501.0</v>
      </c>
      <c r="AB177" s="258"/>
      <c r="AC177" s="258"/>
      <c r="AD177" s="265"/>
      <c r="AE177" s="266" t="s">
        <v>685</v>
      </c>
      <c r="AF177" s="267" t="s">
        <v>1587</v>
      </c>
      <c r="AG177" s="268" t="str">
        <f>IFS(LEN(AF177)=17,LOWER('2-Building'!$B$4 &amp; "-" &amp; C177), AF177="N/A", "N/A", LEN(AF177)=0,"")</f>
        <v>in-blr-ananta-ddc-373</v>
      </c>
      <c r="AH177" s="258"/>
      <c r="AI177" s="258"/>
      <c r="AJ177" s="258"/>
      <c r="AK177" s="258" t="s">
        <v>1588</v>
      </c>
      <c r="AL177" s="258" t="s">
        <v>688</v>
      </c>
      <c r="AM177" s="258" t="s">
        <v>689</v>
      </c>
      <c r="AN177" s="258"/>
      <c r="AO177" s="258"/>
      <c r="AP177" s="258"/>
      <c r="AQ177" s="258"/>
      <c r="AR177" s="258" t="s">
        <v>690</v>
      </c>
      <c r="AS177" s="258" t="s">
        <v>691</v>
      </c>
      <c r="AT177" s="258" t="s">
        <v>1572</v>
      </c>
      <c r="AU177" s="265" t="s">
        <v>693</v>
      </c>
      <c r="AV177" s="174" t="s">
        <v>243</v>
      </c>
      <c r="AW177" s="269" t="s">
        <v>245</v>
      </c>
      <c r="AX177" s="269" t="s">
        <v>694</v>
      </c>
      <c r="AY177" s="270" t="s">
        <v>695</v>
      </c>
      <c r="AZ177" s="173" t="s">
        <v>681</v>
      </c>
      <c r="BA177" s="265">
        <v>10.0</v>
      </c>
      <c r="BB177" s="174" t="s">
        <v>225</v>
      </c>
      <c r="BC177" s="271"/>
      <c r="BD177" s="272" t="s">
        <v>696</v>
      </c>
      <c r="BE177" s="273" t="s">
        <v>697</v>
      </c>
      <c r="BF177" s="274" t="str">
        <f>IFERROR(__xludf.DUMMYFUNCTION("LOWER(Regexreplace(to_text(E177),""[^A-Za-z0-9]"","""")&amp;""_""&amp;Regexreplace(to_text(F177),""[^A-Za-z0-9]"",""""))"),"sauter_eyrc504fxxx")</f>
        <v>sauter_eyrc504fxxx</v>
      </c>
      <c r="BG177" s="275" t="str">
        <f>IFERROR(__xludf.DUMMYFUNCTION("upper(Regexreplace(to_text(E177),""[^A-Za-z0-9]"","""")&amp;""-""&amp;Regexreplace(to_text(F177),""[^A-Za-z0-9]"",""""))"),"SAUTER-EYRC504FXXX")</f>
        <v>SAUTER-EYRC504FXXX</v>
      </c>
    </row>
    <row r="178" ht="30.0" customHeight="1">
      <c r="A178" s="258">
        <v>174.0</v>
      </c>
      <c r="B178" s="256" t="s">
        <v>670</v>
      </c>
      <c r="C178" s="257" t="s">
        <v>1589</v>
      </c>
      <c r="D178" s="173" t="s">
        <v>1589</v>
      </c>
      <c r="E178" s="174" t="s">
        <v>672</v>
      </c>
      <c r="F178" s="173" t="s">
        <v>514</v>
      </c>
      <c r="G178" s="258" t="s">
        <v>673</v>
      </c>
      <c r="H178" s="258" t="s">
        <v>674</v>
      </c>
      <c r="I178" s="258" t="s">
        <v>675</v>
      </c>
      <c r="J178" s="259" t="s">
        <v>1574</v>
      </c>
      <c r="K178" s="260" t="s">
        <v>1575</v>
      </c>
      <c r="L178" s="258" t="s">
        <v>1590</v>
      </c>
      <c r="M178" s="277">
        <v>4.1100123921E11</v>
      </c>
      <c r="N178" s="173" t="s">
        <v>679</v>
      </c>
      <c r="O178" s="173" t="s">
        <v>225</v>
      </c>
      <c r="P178" s="262" t="str">
        <f t="shared" si="1"/>
        <v>IN-BLR-ANANTA-DDC-374_BM</v>
      </c>
      <c r="Q178" s="173" t="s">
        <v>1591</v>
      </c>
      <c r="R178" s="258" t="str">
        <f>IFS(C178="","",C178="n/a","N/A",LEN(C178),Concatenate("{",char(34),"asset",char(34),":{",char(34),"guid",char(34),":",char(34),Q178,char(34),",",char(34),"site",char(34),":",char(34),LOWER('2-Building'!$B$4),char(34),",",char(34),"name",char(34),":",char(34),LOWER(C178),char(34),"}}"))</f>
        <v>{"asset":{"guid":"uuid://4b066c6e-db45-4bd9-9351-a801b6dd3496","site":"in-blr-ananta","name":"ddc-374"}}</v>
      </c>
      <c r="S178" s="258" t="s">
        <v>681</v>
      </c>
      <c r="T178" s="263"/>
      <c r="U178" s="263"/>
      <c r="V178" s="264">
        <v>2.23</v>
      </c>
      <c r="W178" s="33" t="s">
        <v>682</v>
      </c>
      <c r="X178" s="258" t="s">
        <v>683</v>
      </c>
      <c r="Y178" s="33" t="s">
        <v>684</v>
      </c>
      <c r="Z178" s="258">
        <v>14174.0</v>
      </c>
      <c r="AA178" s="258">
        <v>11501.0</v>
      </c>
      <c r="AB178" s="258"/>
      <c r="AC178" s="258"/>
      <c r="AD178" s="265"/>
      <c r="AE178" s="266" t="s">
        <v>685</v>
      </c>
      <c r="AF178" s="267" t="s">
        <v>1592</v>
      </c>
      <c r="AG178" s="268" t="str">
        <f>IFS(LEN(AF178)=17,LOWER('2-Building'!$B$4 &amp; "-" &amp; C178), AF178="N/A", "N/A", LEN(AF178)=0,"")</f>
        <v>in-blr-ananta-ddc-374</v>
      </c>
      <c r="AH178" s="258"/>
      <c r="AI178" s="258"/>
      <c r="AJ178" s="258"/>
      <c r="AK178" s="258" t="s">
        <v>1593</v>
      </c>
      <c r="AL178" s="258" t="s">
        <v>688</v>
      </c>
      <c r="AM178" s="258" t="s">
        <v>689</v>
      </c>
      <c r="AN178" s="258"/>
      <c r="AO178" s="258"/>
      <c r="AP178" s="258"/>
      <c r="AQ178" s="258"/>
      <c r="AR178" s="258" t="s">
        <v>690</v>
      </c>
      <c r="AS178" s="258" t="s">
        <v>691</v>
      </c>
      <c r="AT178" s="258" t="s">
        <v>1572</v>
      </c>
      <c r="AU178" s="265" t="s">
        <v>693</v>
      </c>
      <c r="AV178" s="174" t="s">
        <v>243</v>
      </c>
      <c r="AW178" s="269" t="s">
        <v>245</v>
      </c>
      <c r="AX178" s="269" t="s">
        <v>694</v>
      </c>
      <c r="AY178" s="270" t="s">
        <v>695</v>
      </c>
      <c r="AZ178" s="173" t="s">
        <v>681</v>
      </c>
      <c r="BA178" s="265">
        <v>10.0</v>
      </c>
      <c r="BB178" s="174" t="s">
        <v>225</v>
      </c>
      <c r="BC178" s="271"/>
      <c r="BD178" s="272" t="s">
        <v>696</v>
      </c>
      <c r="BE178" s="273" t="s">
        <v>697</v>
      </c>
      <c r="BF178" s="274" t="str">
        <f>IFERROR(__xludf.DUMMYFUNCTION("LOWER(Regexreplace(to_text(E178),""[^A-Za-z0-9]"","""")&amp;""_""&amp;Regexreplace(to_text(F178),""[^A-Za-z0-9]"",""""))"),"sauter_eyrc504fxxx")</f>
        <v>sauter_eyrc504fxxx</v>
      </c>
      <c r="BG178" s="275" t="str">
        <f>IFERROR(__xludf.DUMMYFUNCTION("upper(Regexreplace(to_text(E178),""[^A-Za-z0-9]"","""")&amp;""-""&amp;Regexreplace(to_text(F178),""[^A-Za-z0-9]"",""""))"),"SAUTER-EYRC504FXXX")</f>
        <v>SAUTER-EYRC504FXXX</v>
      </c>
    </row>
    <row r="179" ht="30.0" customHeight="1">
      <c r="A179" s="173">
        <v>175.0</v>
      </c>
      <c r="B179" s="256" t="s">
        <v>670</v>
      </c>
      <c r="C179" s="257" t="s">
        <v>1594</v>
      </c>
      <c r="D179" s="173" t="s">
        <v>1594</v>
      </c>
      <c r="E179" s="174" t="s">
        <v>672</v>
      </c>
      <c r="F179" s="173" t="s">
        <v>514</v>
      </c>
      <c r="G179" s="258" t="s">
        <v>673</v>
      </c>
      <c r="H179" s="258" t="s">
        <v>674</v>
      </c>
      <c r="I179" s="258" t="s">
        <v>675</v>
      </c>
      <c r="J179" s="259" t="s">
        <v>1574</v>
      </c>
      <c r="K179" s="260" t="s">
        <v>1575</v>
      </c>
      <c r="L179" s="258" t="s">
        <v>1590</v>
      </c>
      <c r="M179" s="277">
        <v>4.11001239367E11</v>
      </c>
      <c r="N179" s="173" t="s">
        <v>679</v>
      </c>
      <c r="O179" s="173" t="s">
        <v>225</v>
      </c>
      <c r="P179" s="262" t="str">
        <f t="shared" si="1"/>
        <v>IN-BLR-ANANTA-DDC-375_BM</v>
      </c>
      <c r="Q179" s="173" t="s">
        <v>1595</v>
      </c>
      <c r="R179" s="258" t="str">
        <f>IFS(C179="","",C179="n/a","N/A",LEN(C179),Concatenate("{",char(34),"asset",char(34),":{",char(34),"guid",char(34),":",char(34),Q179,char(34),",",char(34),"site",char(34),":",char(34),LOWER('2-Building'!$B$4),char(34),",",char(34),"name",char(34),":",char(34),LOWER(C179),char(34),"}}"))</f>
        <v>{"asset":{"guid":"uuid://f483ca42-7a32-4c49-9b69-32e0a8d000ad","site":"in-blr-ananta","name":"ddc-375"}}</v>
      </c>
      <c r="S179" s="258" t="s">
        <v>681</v>
      </c>
      <c r="T179" s="263"/>
      <c r="U179" s="263"/>
      <c r="V179" s="264">
        <v>2.23</v>
      </c>
      <c r="W179" s="33" t="s">
        <v>682</v>
      </c>
      <c r="X179" s="258" t="s">
        <v>683</v>
      </c>
      <c r="Y179" s="33" t="s">
        <v>684</v>
      </c>
      <c r="Z179" s="258">
        <v>14175.0</v>
      </c>
      <c r="AA179" s="258">
        <v>11501.0</v>
      </c>
      <c r="AB179" s="258"/>
      <c r="AC179" s="258"/>
      <c r="AD179" s="265"/>
      <c r="AE179" s="266" t="s">
        <v>685</v>
      </c>
      <c r="AF179" s="267" t="s">
        <v>1596</v>
      </c>
      <c r="AG179" s="268" t="str">
        <f>IFS(LEN(AF179)=17,LOWER('2-Building'!$B$4 &amp; "-" &amp; C179), AF179="N/A", "N/A", LEN(AF179)=0,"")</f>
        <v>in-blr-ananta-ddc-375</v>
      </c>
      <c r="AH179" s="258"/>
      <c r="AI179" s="258"/>
      <c r="AJ179" s="258"/>
      <c r="AK179" s="173" t="s">
        <v>1597</v>
      </c>
      <c r="AL179" s="258" t="s">
        <v>688</v>
      </c>
      <c r="AM179" s="258" t="s">
        <v>689</v>
      </c>
      <c r="AN179" s="258"/>
      <c r="AO179" s="258"/>
      <c r="AP179" s="258"/>
      <c r="AQ179" s="258"/>
      <c r="AR179" s="258" t="s">
        <v>690</v>
      </c>
      <c r="AS179" s="258" t="s">
        <v>691</v>
      </c>
      <c r="AT179" s="258" t="s">
        <v>1572</v>
      </c>
      <c r="AU179" s="265" t="s">
        <v>693</v>
      </c>
      <c r="AV179" s="174" t="s">
        <v>243</v>
      </c>
      <c r="AW179" s="269" t="s">
        <v>245</v>
      </c>
      <c r="AX179" s="269" t="s">
        <v>694</v>
      </c>
      <c r="AY179" s="270" t="s">
        <v>695</v>
      </c>
      <c r="AZ179" s="173" t="s">
        <v>681</v>
      </c>
      <c r="BA179" s="265">
        <v>10.0</v>
      </c>
      <c r="BB179" s="174" t="s">
        <v>225</v>
      </c>
      <c r="BC179" s="271"/>
      <c r="BD179" s="272" t="s">
        <v>696</v>
      </c>
      <c r="BE179" s="273" t="s">
        <v>697</v>
      </c>
      <c r="BF179" s="274" t="str">
        <f>IFERROR(__xludf.DUMMYFUNCTION("LOWER(Regexreplace(to_text(E179),""[^A-Za-z0-9]"","""")&amp;""_""&amp;Regexreplace(to_text(F179),""[^A-Za-z0-9]"",""""))"),"sauter_eyrc504fxxx")</f>
        <v>sauter_eyrc504fxxx</v>
      </c>
      <c r="BG179" s="275" t="str">
        <f>IFERROR(__xludf.DUMMYFUNCTION("upper(Regexreplace(to_text(E179),""[^A-Za-z0-9]"","""")&amp;""-""&amp;Regexreplace(to_text(F179),""[^A-Za-z0-9]"",""""))"),"SAUTER-EYRC504FXXX")</f>
        <v>SAUTER-EYRC504FXXX</v>
      </c>
    </row>
    <row r="180" ht="30.0" customHeight="1">
      <c r="A180" s="278"/>
      <c r="B180" s="279" t="s">
        <v>670</v>
      </c>
      <c r="C180" s="257" t="s">
        <v>1598</v>
      </c>
      <c r="D180" s="280" t="s">
        <v>1598</v>
      </c>
      <c r="E180" s="281" t="s">
        <v>672</v>
      </c>
      <c r="F180" s="280" t="s">
        <v>514</v>
      </c>
      <c r="G180" s="278" t="s">
        <v>673</v>
      </c>
      <c r="H180" s="278" t="s">
        <v>674</v>
      </c>
      <c r="I180" s="278" t="s">
        <v>675</v>
      </c>
      <c r="J180" s="293" t="s">
        <v>1453</v>
      </c>
      <c r="K180" s="294" t="s">
        <v>1498</v>
      </c>
      <c r="L180" s="278" t="s">
        <v>1599</v>
      </c>
      <c r="M180" s="282"/>
      <c r="N180" s="280" t="s">
        <v>679</v>
      </c>
      <c r="O180" s="280" t="s">
        <v>225</v>
      </c>
      <c r="P180" s="283" t="str">
        <f t="shared" si="1"/>
        <v>IN-BLR-ANANTA-DDC-376_11</v>
      </c>
      <c r="Q180" s="280" t="s">
        <v>1600</v>
      </c>
      <c r="R180" s="258" t="str">
        <f>IFS(C180="","",C180="n/a","N/A",LEN(C180),Concatenate("{",char(34),"asset",char(34),":{",char(34),"guid",char(34),":",char(34),Q180,char(34),",",char(34),"site",char(34),":",char(34),LOWER('2-Building'!$B$4),char(34),",",char(34),"name",char(34),":",char(34),LOWER(C180),char(34),"}}"))</f>
        <v>{"asset":{"guid":"uuid://f643add4-44d4-4878-a0da-c231f949a557","site":"in-blr-ananta","name":"ddc-376"}}</v>
      </c>
      <c r="S180" s="258" t="s">
        <v>681</v>
      </c>
      <c r="T180" s="284"/>
      <c r="U180" s="284"/>
      <c r="V180" s="264">
        <v>2.23</v>
      </c>
      <c r="W180" s="33" t="s">
        <v>682</v>
      </c>
      <c r="X180" s="258" t="s">
        <v>683</v>
      </c>
      <c r="Y180" s="33" t="s">
        <v>684</v>
      </c>
      <c r="Z180" s="258">
        <v>14176.0</v>
      </c>
      <c r="AA180" s="258">
        <v>11501.0</v>
      </c>
      <c r="AB180" s="278"/>
      <c r="AC180" s="278"/>
      <c r="AD180" s="286"/>
      <c r="AE180" s="287" t="s">
        <v>685</v>
      </c>
      <c r="AF180" s="288" t="s">
        <v>1601</v>
      </c>
      <c r="AG180" s="257" t="str">
        <f>IFS(LEN(AF180)=17,LOWER('2-Building'!$B$4 &amp; "-" &amp; C180), AF180="N/A", "N/A", LEN(AF180)=0,"")</f>
        <v>in-blr-ananta-ddc-376</v>
      </c>
      <c r="AH180" s="295"/>
      <c r="AI180" s="278"/>
      <c r="AJ180" s="278"/>
      <c r="AK180" s="280" t="s">
        <v>1602</v>
      </c>
      <c r="AL180" s="278" t="s">
        <v>688</v>
      </c>
      <c r="AM180" s="278" t="s">
        <v>689</v>
      </c>
      <c r="AN180" s="278"/>
      <c r="AO180" s="278"/>
      <c r="AP180" s="278"/>
      <c r="AQ180" s="278"/>
      <c r="AR180" s="258" t="s">
        <v>690</v>
      </c>
      <c r="AS180" s="258" t="s">
        <v>691</v>
      </c>
      <c r="AT180" s="258" t="s">
        <v>1503</v>
      </c>
      <c r="AU180" s="265" t="s">
        <v>693</v>
      </c>
      <c r="AV180" s="174" t="s">
        <v>243</v>
      </c>
      <c r="AW180" s="269" t="s">
        <v>245</v>
      </c>
      <c r="AX180" s="269" t="s">
        <v>694</v>
      </c>
      <c r="AY180" s="270" t="s">
        <v>695</v>
      </c>
      <c r="AZ180" s="173" t="s">
        <v>681</v>
      </c>
      <c r="BA180" s="265">
        <v>10.0</v>
      </c>
      <c r="BB180" s="174" t="s">
        <v>225</v>
      </c>
      <c r="BC180" s="291"/>
      <c r="BD180" s="272" t="s">
        <v>696</v>
      </c>
      <c r="BE180" s="273" t="s">
        <v>697</v>
      </c>
      <c r="BF180" s="274" t="str">
        <f>IFERROR(__xludf.DUMMYFUNCTION("LOWER(Regexreplace(to_text(E180),""[^A-Za-z0-9]"","""")&amp;""_""&amp;Regexreplace(to_text(F180),""[^A-Za-z0-9]"",""""))"),"sauter_eyrc504fxxx")</f>
        <v>sauter_eyrc504fxxx</v>
      </c>
      <c r="BG180" s="275" t="str">
        <f>IFERROR(__xludf.DUMMYFUNCTION("upper(Regexreplace(to_text(E180),""[^A-Za-z0-9]"","""")&amp;""-""&amp;Regexreplace(to_text(F180),""[^A-Za-z0-9]"",""""))"),"SAUTER-EYRC504FXXX")</f>
        <v>SAUTER-EYRC504FXXX</v>
      </c>
    </row>
    <row r="181" ht="30.0" customHeight="1">
      <c r="A181" s="278"/>
      <c r="B181" s="296" t="s">
        <v>670</v>
      </c>
      <c r="C181" s="297" t="s">
        <v>1603</v>
      </c>
      <c r="D181" s="298" t="s">
        <v>1603</v>
      </c>
      <c r="E181" s="299" t="s">
        <v>672</v>
      </c>
      <c r="F181" s="299" t="s">
        <v>514</v>
      </c>
      <c r="G181" s="296" t="s">
        <v>673</v>
      </c>
      <c r="H181" s="296" t="s">
        <v>674</v>
      </c>
      <c r="I181" s="296" t="s">
        <v>675</v>
      </c>
      <c r="J181" s="300" t="s">
        <v>709</v>
      </c>
      <c r="K181" s="294" t="s">
        <v>710</v>
      </c>
      <c r="L181" s="301" t="s">
        <v>1604</v>
      </c>
      <c r="M181" s="302">
        <v>4.11001496309E11</v>
      </c>
      <c r="N181" s="299" t="s">
        <v>679</v>
      </c>
      <c r="O181" s="299" t="s">
        <v>225</v>
      </c>
      <c r="P181" s="303" t="str">
        <f t="shared" si="1"/>
        <v>IN-BLR-ANANTA-DDC-377_B2</v>
      </c>
      <c r="Q181" s="280" t="s">
        <v>1605</v>
      </c>
      <c r="R181" s="258" t="str">
        <f>IFS(C181="","",C181="n/a","N/A",LEN(C181),Concatenate("{",char(34),"asset",char(34),":{",char(34),"guid",char(34),":",char(34),Q181,char(34),",",char(34),"site",char(34),":",char(34),LOWER('2-Building'!$B$4),char(34),",",char(34),"name",char(34),":",char(34),LOWER(C181),char(34),"}}"))</f>
        <v>{"asset":{"guid":"uuid://aa0dd8ff-2344-4aeb-9d90-40e18f201c70","site":"in-blr-ananta","name":"ddc-377"}}</v>
      </c>
      <c r="S181" s="258" t="s">
        <v>681</v>
      </c>
      <c r="T181" s="284"/>
      <c r="U181" s="284"/>
      <c r="V181" s="264">
        <v>2.23</v>
      </c>
      <c r="W181" s="33" t="s">
        <v>682</v>
      </c>
      <c r="X181" s="258" t="s">
        <v>683</v>
      </c>
      <c r="Y181" s="33" t="s">
        <v>684</v>
      </c>
      <c r="Z181" s="258">
        <v>14177.0</v>
      </c>
      <c r="AA181" s="258">
        <v>11501.0</v>
      </c>
      <c r="AB181" s="278"/>
      <c r="AC181" s="278"/>
      <c r="AD181" s="286"/>
      <c r="AE181" s="287" t="s">
        <v>685</v>
      </c>
      <c r="AF181" s="288" t="s">
        <v>1606</v>
      </c>
      <c r="AG181" s="257" t="str">
        <f>IFS(LEN(AF181)=17,LOWER('2-Building'!$B$4 &amp; "-" &amp; C181), AF181="N/A", "N/A", LEN(AF181)=0,"")</f>
        <v>in-blr-ananta-ddc-377</v>
      </c>
      <c r="AH181" s="295"/>
      <c r="AI181" s="278"/>
      <c r="AJ181" s="278"/>
      <c r="AK181" s="280" t="s">
        <v>1607</v>
      </c>
      <c r="AL181" s="278" t="s">
        <v>688</v>
      </c>
      <c r="AM181" s="278" t="s">
        <v>689</v>
      </c>
      <c r="AN181" s="278"/>
      <c r="AO181" s="278"/>
      <c r="AP181" s="278"/>
      <c r="AQ181" s="278"/>
      <c r="AR181" s="258" t="s">
        <v>690</v>
      </c>
      <c r="AS181" s="258" t="s">
        <v>691</v>
      </c>
      <c r="AT181" s="278"/>
      <c r="AU181" s="265" t="s">
        <v>693</v>
      </c>
      <c r="AV181" s="174" t="s">
        <v>243</v>
      </c>
      <c r="AW181" s="269" t="s">
        <v>245</v>
      </c>
      <c r="AX181" s="269" t="s">
        <v>694</v>
      </c>
      <c r="AY181" s="270" t="s">
        <v>695</v>
      </c>
      <c r="AZ181" s="173" t="s">
        <v>681</v>
      </c>
      <c r="BA181" s="265">
        <v>10.0</v>
      </c>
      <c r="BB181" s="174" t="s">
        <v>225</v>
      </c>
      <c r="BC181" s="291"/>
      <c r="BD181" s="272" t="s">
        <v>696</v>
      </c>
      <c r="BE181" s="273" t="s">
        <v>697</v>
      </c>
      <c r="BF181" s="274" t="str">
        <f>IFERROR(__xludf.DUMMYFUNCTION("LOWER(Regexreplace(to_text(E181),""[^A-Za-z0-9]"","""")&amp;""_""&amp;Regexreplace(to_text(F181),""[^A-Za-z0-9]"",""""))"),"sauter_eyrc504fxxx")</f>
        <v>sauter_eyrc504fxxx</v>
      </c>
      <c r="BG181" s="275" t="str">
        <f>IFERROR(__xludf.DUMMYFUNCTION("upper(Regexreplace(to_text(E181),""[^A-Za-z0-9]"","""")&amp;""-""&amp;Regexreplace(to_text(F181),""[^A-Za-z0-9]"",""""))"),"SAUTER-EYRC504FXXX")</f>
        <v>SAUTER-EYRC504FXXX</v>
      </c>
    </row>
    <row r="182" ht="30.0" customHeight="1">
      <c r="A182" s="278"/>
      <c r="B182" s="296" t="s">
        <v>670</v>
      </c>
      <c r="C182" s="297" t="s">
        <v>1608</v>
      </c>
      <c r="D182" s="298" t="s">
        <v>1608</v>
      </c>
      <c r="E182" s="299" t="s">
        <v>672</v>
      </c>
      <c r="F182" s="299" t="s">
        <v>514</v>
      </c>
      <c r="G182" s="296" t="s">
        <v>673</v>
      </c>
      <c r="H182" s="296" t="s">
        <v>674</v>
      </c>
      <c r="I182" s="296" t="s">
        <v>675</v>
      </c>
      <c r="J182" s="300" t="s">
        <v>1453</v>
      </c>
      <c r="K182" s="304"/>
      <c r="L182" s="301" t="s">
        <v>1609</v>
      </c>
      <c r="M182" s="305"/>
      <c r="N182" s="299" t="s">
        <v>679</v>
      </c>
      <c r="O182" s="299" t="s">
        <v>225</v>
      </c>
      <c r="P182" s="303" t="str">
        <f t="shared" si="1"/>
        <v>IN-BLR-ANANTA-DDC-378_11</v>
      </c>
      <c r="Q182" s="280" t="s">
        <v>1610</v>
      </c>
      <c r="R182" s="258" t="str">
        <f>IFS(C182="","",C182="n/a","N/A",LEN(C182),Concatenate("{",char(34),"asset",char(34),":{",char(34),"guid",char(34),":",char(34),Q182,char(34),",",char(34),"site",char(34),":",char(34),LOWER('2-Building'!$B$4),char(34),",",char(34),"name",char(34),":",char(34),LOWER(C182),char(34),"}}"))</f>
        <v>{"asset":{"guid":"uuid://fb556347-4075-4d9a-a42e-3530a60a0952","site":"in-blr-ananta","name":"ddc-378"}}</v>
      </c>
      <c r="S182" s="258" t="s">
        <v>681</v>
      </c>
      <c r="T182" s="284"/>
      <c r="U182" s="284"/>
      <c r="V182" s="264">
        <v>2.23</v>
      </c>
      <c r="W182" s="33" t="s">
        <v>682</v>
      </c>
      <c r="X182" s="258" t="s">
        <v>683</v>
      </c>
      <c r="Y182" s="33" t="s">
        <v>684</v>
      </c>
      <c r="Z182" s="258">
        <v>14178.0</v>
      </c>
      <c r="AA182" s="258">
        <v>11501.0</v>
      </c>
      <c r="AB182" s="278"/>
      <c r="AC182" s="278"/>
      <c r="AD182" s="286"/>
      <c r="AE182" s="287" t="s">
        <v>685</v>
      </c>
      <c r="AF182" s="288" t="s">
        <v>1611</v>
      </c>
      <c r="AG182" s="257" t="str">
        <f>IFS(LEN(AF182)=17,LOWER('2-Building'!$B$4 &amp; "-" &amp; C182), AF182="N/A", "N/A", LEN(AF182)=0,"")</f>
        <v>in-blr-ananta-ddc-378</v>
      </c>
      <c r="AH182" s="306"/>
      <c r="AI182" s="278"/>
      <c r="AJ182" s="278"/>
      <c r="AK182" s="280" t="s">
        <v>1612</v>
      </c>
      <c r="AL182" s="278" t="s">
        <v>688</v>
      </c>
      <c r="AM182" s="278" t="s">
        <v>689</v>
      </c>
      <c r="AN182" s="278"/>
      <c r="AO182" s="278"/>
      <c r="AP182" s="278"/>
      <c r="AQ182" s="278"/>
      <c r="AR182" s="258" t="s">
        <v>690</v>
      </c>
      <c r="AS182" s="258" t="s">
        <v>691</v>
      </c>
      <c r="AT182" s="278"/>
      <c r="AU182" s="265" t="s">
        <v>693</v>
      </c>
      <c r="AV182" s="174" t="s">
        <v>243</v>
      </c>
      <c r="AW182" s="269" t="s">
        <v>245</v>
      </c>
      <c r="AX182" s="269" t="s">
        <v>694</v>
      </c>
      <c r="AY182" s="270" t="s">
        <v>695</v>
      </c>
      <c r="AZ182" s="173" t="s">
        <v>681</v>
      </c>
      <c r="BA182" s="265">
        <v>10.0</v>
      </c>
      <c r="BB182" s="174" t="s">
        <v>225</v>
      </c>
      <c r="BC182" s="291"/>
      <c r="BD182" s="272" t="s">
        <v>696</v>
      </c>
      <c r="BE182" s="273" t="s">
        <v>697</v>
      </c>
      <c r="BF182" s="274" t="str">
        <f>IFERROR(__xludf.DUMMYFUNCTION("LOWER(Regexreplace(to_text(E182),""[^A-Za-z0-9]"","""")&amp;""_""&amp;Regexreplace(to_text(F182),""[^A-Za-z0-9]"",""""))"),"sauter_eyrc504fxxx")</f>
        <v>sauter_eyrc504fxxx</v>
      </c>
      <c r="BG182" s="275" t="str">
        <f>IFERROR(__xludf.DUMMYFUNCTION("upper(Regexreplace(to_text(E182),""[^A-Za-z0-9]"","""")&amp;""-""&amp;Regexreplace(to_text(F182),""[^A-Za-z0-9]"",""""))"),"SAUTER-EYRC504FXXX")</f>
        <v>SAUTER-EYRC504FXXX</v>
      </c>
    </row>
    <row r="183" ht="30.0" customHeight="1">
      <c r="A183" s="258">
        <v>176.0</v>
      </c>
      <c r="B183" s="256" t="s">
        <v>670</v>
      </c>
      <c r="C183" s="257" t="s">
        <v>1613</v>
      </c>
      <c r="D183" s="173" t="s">
        <v>1613</v>
      </c>
      <c r="E183" s="174" t="s">
        <v>672</v>
      </c>
      <c r="F183" s="173" t="s">
        <v>512</v>
      </c>
      <c r="G183" s="258" t="s">
        <v>673</v>
      </c>
      <c r="H183" s="258" t="s">
        <v>674</v>
      </c>
      <c r="I183" s="258" t="s">
        <v>1614</v>
      </c>
      <c r="J183" s="259" t="s">
        <v>709</v>
      </c>
      <c r="K183" s="260" t="s">
        <v>710</v>
      </c>
      <c r="L183" s="258" t="s">
        <v>711</v>
      </c>
      <c r="M183" s="265"/>
      <c r="N183" s="173" t="s">
        <v>679</v>
      </c>
      <c r="O183" s="173" t="s">
        <v>225</v>
      </c>
      <c r="P183" s="262" t="str">
        <f t="shared" si="1"/>
        <v>IN-BLR-ANANTA-HLI-201_B2</v>
      </c>
      <c r="Q183" s="173" t="s">
        <v>1615</v>
      </c>
      <c r="R183" s="258" t="str">
        <f>IFS(C183="","",C183="n/a","N/A",LEN(C183),Concatenate("{",char(34),"asset",char(34),":{",char(34),"guid",char(34),":",char(34),Q183,char(34),",",char(34),"site",char(34),":",char(34),LOWER('2-Building'!$B$4),char(34),",",char(34),"name",char(34),":",char(34),LOWER(C183),char(34),"}}"))</f>
        <v>{"asset":{"guid":"uuid://703cdf42-3c94-4429-be79-c58a3e7abbee","site":"in-blr-ananta","name":"hli-201"}}</v>
      </c>
      <c r="S183" s="258" t="s">
        <v>681</v>
      </c>
      <c r="T183" s="263"/>
      <c r="U183" s="263"/>
      <c r="V183" s="264">
        <v>2.23</v>
      </c>
      <c r="W183" s="33" t="s">
        <v>682</v>
      </c>
      <c r="X183" s="258" t="s">
        <v>1616</v>
      </c>
      <c r="Y183" s="33" t="s">
        <v>1617</v>
      </c>
      <c r="Z183" s="258">
        <v>14201.0</v>
      </c>
      <c r="AA183" s="258">
        <v>11501.0</v>
      </c>
      <c r="AB183" s="258"/>
      <c r="AC183" s="258"/>
      <c r="AD183" s="265"/>
      <c r="AE183" s="266" t="s">
        <v>685</v>
      </c>
      <c r="AF183" s="267" t="s">
        <v>1618</v>
      </c>
      <c r="AG183" s="268" t="str">
        <f>IFS(LEN(AF183)=17,LOWER('2-Building'!$B$4 &amp; "-" &amp; C183), AF183="N/A", "N/A", LEN(AF183)=0,"")</f>
        <v>in-blr-ananta-hli-201</v>
      </c>
      <c r="AH183" s="258"/>
      <c r="AI183" s="258"/>
      <c r="AJ183" s="258"/>
      <c r="AK183" s="173" t="s">
        <v>1619</v>
      </c>
      <c r="AL183" s="258" t="s">
        <v>688</v>
      </c>
      <c r="AM183" s="258" t="s">
        <v>689</v>
      </c>
      <c r="AN183" s="258"/>
      <c r="AO183" s="258"/>
      <c r="AP183" s="258"/>
      <c r="AQ183" s="258"/>
      <c r="AR183" s="258" t="s">
        <v>690</v>
      </c>
      <c r="AS183" s="258" t="s">
        <v>691</v>
      </c>
      <c r="AT183" s="258" t="s">
        <v>1620</v>
      </c>
      <c r="AU183" s="265" t="s">
        <v>693</v>
      </c>
      <c r="AV183" s="174" t="s">
        <v>243</v>
      </c>
      <c r="AW183" s="269" t="s">
        <v>245</v>
      </c>
      <c r="AX183" s="269" t="s">
        <v>694</v>
      </c>
      <c r="AY183" s="270" t="s">
        <v>695</v>
      </c>
      <c r="AZ183" s="173" t="s">
        <v>681</v>
      </c>
      <c r="BA183" s="265">
        <v>10.0</v>
      </c>
      <c r="BB183" s="174" t="s">
        <v>225</v>
      </c>
      <c r="BC183" s="271"/>
      <c r="BD183" s="272" t="s">
        <v>696</v>
      </c>
      <c r="BE183" s="273" t="s">
        <v>697</v>
      </c>
      <c r="BF183" s="274" t="str">
        <f>IFERROR(__xludf.DUMMYFUNCTION("LOWER(Regexreplace(to_text(E183),""[^A-Za-z0-9]"","""")&amp;""_""&amp;Regexreplace(to_text(F183),""[^A-Za-z0-9]"",""""))"),"sauter_eygt103f001")</f>
        <v>sauter_eygt103f001</v>
      </c>
      <c r="BG183" s="275" t="str">
        <f>IFERROR(__xludf.DUMMYFUNCTION("upper(Regexreplace(to_text(E183),""[^A-Za-z0-9]"","""")&amp;""-""&amp;Regexreplace(to_text(F183),""[^A-Za-z0-9]"",""""))"),"SAUTER-EYGT103F001")</f>
        <v>SAUTER-EYGT103F001</v>
      </c>
    </row>
    <row r="184" ht="30.0" customHeight="1">
      <c r="A184" s="173">
        <v>177.0</v>
      </c>
      <c r="B184" s="256" t="s">
        <v>670</v>
      </c>
      <c r="C184" s="257" t="s">
        <v>1621</v>
      </c>
      <c r="D184" s="173" t="s">
        <v>1621</v>
      </c>
      <c r="E184" s="174" t="s">
        <v>672</v>
      </c>
      <c r="F184" s="173" t="s">
        <v>512</v>
      </c>
      <c r="G184" s="258" t="s">
        <v>673</v>
      </c>
      <c r="H184" s="258" t="s">
        <v>674</v>
      </c>
      <c r="I184" s="258" t="s">
        <v>1614</v>
      </c>
      <c r="J184" s="259" t="s">
        <v>676</v>
      </c>
      <c r="K184" s="260" t="s">
        <v>728</v>
      </c>
      <c r="L184" s="258" t="s">
        <v>678</v>
      </c>
      <c r="M184" s="265"/>
      <c r="N184" s="173" t="s">
        <v>679</v>
      </c>
      <c r="O184" s="173" t="s">
        <v>225</v>
      </c>
      <c r="P184" s="262" t="str">
        <f t="shared" si="1"/>
        <v>IN-BLR-ANANTA-HLI-202_B3</v>
      </c>
      <c r="Q184" s="173" t="s">
        <v>1622</v>
      </c>
      <c r="R184" s="258" t="str">
        <f>IFS(C184="","",C184="n/a","N/A",LEN(C184),Concatenate("{",char(34),"asset",char(34),":{",char(34),"guid",char(34),":",char(34),Q184,char(34),",",char(34),"site",char(34),":",char(34),LOWER('2-Building'!$B$4),char(34),",",char(34),"name",char(34),":",char(34),LOWER(C184),char(34),"}}"))</f>
        <v>{"asset":{"guid":"uuid://1940f66c-1506-4745-b117-b71fcff25e29","site":"in-blr-ananta","name":"hli-202"}}</v>
      </c>
      <c r="S184" s="258" t="s">
        <v>681</v>
      </c>
      <c r="T184" s="263"/>
      <c r="U184" s="263"/>
      <c r="V184" s="264">
        <v>2.23</v>
      </c>
      <c r="W184" s="33" t="s">
        <v>682</v>
      </c>
      <c r="X184" s="258" t="s">
        <v>1616</v>
      </c>
      <c r="Y184" s="33" t="s">
        <v>1617</v>
      </c>
      <c r="Z184" s="258">
        <v>14202.0</v>
      </c>
      <c r="AA184" s="258">
        <v>11501.0</v>
      </c>
      <c r="AB184" s="258"/>
      <c r="AC184" s="258"/>
      <c r="AD184" s="265"/>
      <c r="AE184" s="266" t="s">
        <v>685</v>
      </c>
      <c r="AF184" s="267" t="s">
        <v>1623</v>
      </c>
      <c r="AG184" s="268" t="str">
        <f>IFS(LEN(AF184)=17,LOWER('2-Building'!$B$4 &amp; "-" &amp; C184), AF184="N/A", "N/A", LEN(AF184)=0,"")</f>
        <v>in-blr-ananta-hli-202</v>
      </c>
      <c r="AH184" s="258"/>
      <c r="AI184" s="258"/>
      <c r="AJ184" s="258"/>
      <c r="AK184" s="258" t="s">
        <v>1624</v>
      </c>
      <c r="AL184" s="258" t="s">
        <v>688</v>
      </c>
      <c r="AM184" s="258" t="s">
        <v>689</v>
      </c>
      <c r="AN184" s="258"/>
      <c r="AO184" s="258"/>
      <c r="AP184" s="258"/>
      <c r="AQ184" s="258"/>
      <c r="AR184" s="258" t="s">
        <v>690</v>
      </c>
      <c r="AS184" s="258" t="s">
        <v>691</v>
      </c>
      <c r="AT184" s="258" t="s">
        <v>1625</v>
      </c>
      <c r="AU184" s="265" t="s">
        <v>693</v>
      </c>
      <c r="AV184" s="174" t="s">
        <v>243</v>
      </c>
      <c r="AW184" s="269" t="s">
        <v>245</v>
      </c>
      <c r="AX184" s="269" t="s">
        <v>694</v>
      </c>
      <c r="AY184" s="270" t="s">
        <v>695</v>
      </c>
      <c r="AZ184" s="173" t="s">
        <v>681</v>
      </c>
      <c r="BA184" s="265">
        <v>10.0</v>
      </c>
      <c r="BB184" s="174" t="s">
        <v>225</v>
      </c>
      <c r="BC184" s="271"/>
      <c r="BD184" s="272" t="s">
        <v>696</v>
      </c>
      <c r="BE184" s="273" t="s">
        <v>697</v>
      </c>
      <c r="BF184" s="274" t="str">
        <f>IFERROR(__xludf.DUMMYFUNCTION("LOWER(Regexreplace(to_text(E184),""[^A-Za-z0-9]"","""")&amp;""_""&amp;Regexreplace(to_text(F184),""[^A-Za-z0-9]"",""""))"),"sauter_eygt103f001")</f>
        <v>sauter_eygt103f001</v>
      </c>
      <c r="BG184" s="275" t="str">
        <f>IFERROR(__xludf.DUMMYFUNCTION("upper(Regexreplace(to_text(E184),""[^A-Za-z0-9]"","""")&amp;""-""&amp;Regexreplace(to_text(F184),""[^A-Za-z0-9]"",""""))"),"SAUTER-EYGT103F001")</f>
        <v>SAUTER-EYGT103F001</v>
      </c>
    </row>
    <row r="185" ht="30.0" customHeight="1">
      <c r="A185" s="258">
        <v>178.0</v>
      </c>
      <c r="B185" s="256" t="s">
        <v>670</v>
      </c>
      <c r="C185" s="257" t="s">
        <v>1626</v>
      </c>
      <c r="D185" s="173" t="s">
        <v>1626</v>
      </c>
      <c r="E185" s="174" t="s">
        <v>672</v>
      </c>
      <c r="F185" s="173" t="s">
        <v>512</v>
      </c>
      <c r="G185" s="258" t="s">
        <v>673</v>
      </c>
      <c r="H185" s="258" t="s">
        <v>674</v>
      </c>
      <c r="I185" s="258" t="s">
        <v>1614</v>
      </c>
      <c r="J185" s="259" t="s">
        <v>739</v>
      </c>
      <c r="K185" s="260" t="s">
        <v>740</v>
      </c>
      <c r="L185" s="258" t="s">
        <v>741</v>
      </c>
      <c r="M185" s="265"/>
      <c r="N185" s="173" t="s">
        <v>679</v>
      </c>
      <c r="O185" s="173" t="s">
        <v>225</v>
      </c>
      <c r="P185" s="262" t="str">
        <f t="shared" si="1"/>
        <v>IN-BLR-ANANTA-HLI-203_G</v>
      </c>
      <c r="Q185" s="173" t="s">
        <v>1627</v>
      </c>
      <c r="R185" s="258" t="str">
        <f>IFS(C185="","",C185="n/a","N/A",LEN(C185),Concatenate("{",char(34),"asset",char(34),":{",char(34),"guid",char(34),":",char(34),Q185,char(34),",",char(34),"site",char(34),":",char(34),LOWER('2-Building'!$B$4),char(34),",",char(34),"name",char(34),":",char(34),LOWER(C185),char(34),"}}"))</f>
        <v>{"asset":{"guid":"uuid://c4739f4b-6d9a-41bd-9b39-0499ca9bb8b0","site":"in-blr-ananta","name":"hli-203"}}</v>
      </c>
      <c r="S185" s="258" t="s">
        <v>681</v>
      </c>
      <c r="T185" s="263"/>
      <c r="U185" s="263"/>
      <c r="V185" s="264">
        <v>2.23</v>
      </c>
      <c r="W185" s="33" t="s">
        <v>682</v>
      </c>
      <c r="X185" s="258" t="s">
        <v>1616</v>
      </c>
      <c r="Y185" s="33" t="s">
        <v>1617</v>
      </c>
      <c r="Z185" s="258">
        <v>14203.0</v>
      </c>
      <c r="AA185" s="258">
        <v>11501.0</v>
      </c>
      <c r="AB185" s="258"/>
      <c r="AC185" s="258"/>
      <c r="AD185" s="265"/>
      <c r="AE185" s="266" t="s">
        <v>685</v>
      </c>
      <c r="AF185" s="267" t="s">
        <v>1628</v>
      </c>
      <c r="AG185" s="268" t="str">
        <f>IFS(LEN(AF185)=17,LOWER('2-Building'!$B$4 &amp; "-" &amp; C185), AF185="N/A", "N/A", LEN(AF185)=0,"")</f>
        <v>in-blr-ananta-hli-203</v>
      </c>
      <c r="AH185" s="258"/>
      <c r="AI185" s="258"/>
      <c r="AJ185" s="258"/>
      <c r="AK185" s="258" t="s">
        <v>1629</v>
      </c>
      <c r="AL185" s="258" t="s">
        <v>688</v>
      </c>
      <c r="AM185" s="258" t="s">
        <v>689</v>
      </c>
      <c r="AN185" s="258"/>
      <c r="AO185" s="258"/>
      <c r="AP185" s="258"/>
      <c r="AQ185" s="258"/>
      <c r="AR185" s="258" t="s">
        <v>690</v>
      </c>
      <c r="AS185" s="258" t="s">
        <v>691</v>
      </c>
      <c r="AT185" s="258" t="s">
        <v>1620</v>
      </c>
      <c r="AU185" s="265" t="s">
        <v>693</v>
      </c>
      <c r="AV185" s="174" t="s">
        <v>243</v>
      </c>
      <c r="AW185" s="269" t="s">
        <v>245</v>
      </c>
      <c r="AX185" s="269" t="s">
        <v>694</v>
      </c>
      <c r="AY185" s="270" t="s">
        <v>695</v>
      </c>
      <c r="AZ185" s="173" t="s">
        <v>681</v>
      </c>
      <c r="BA185" s="265">
        <v>10.0</v>
      </c>
      <c r="BB185" s="174" t="s">
        <v>225</v>
      </c>
      <c r="BC185" s="271"/>
      <c r="BD185" s="272" t="s">
        <v>696</v>
      </c>
      <c r="BE185" s="273" t="s">
        <v>697</v>
      </c>
      <c r="BF185" s="274" t="str">
        <f>IFERROR(__xludf.DUMMYFUNCTION("LOWER(Regexreplace(to_text(E185),""[^A-Za-z0-9]"","""")&amp;""_""&amp;Regexreplace(to_text(F185),""[^A-Za-z0-9]"",""""))"),"sauter_eygt103f001")</f>
        <v>sauter_eygt103f001</v>
      </c>
      <c r="BG185" s="275" t="str">
        <f>IFERROR(__xludf.DUMMYFUNCTION("upper(Regexreplace(to_text(E185),""[^A-Za-z0-9]"","""")&amp;""-""&amp;Regexreplace(to_text(F185),""[^A-Za-z0-9]"",""""))"),"SAUTER-EYGT103F001")</f>
        <v>SAUTER-EYGT103F001</v>
      </c>
    </row>
    <row r="186" ht="30.0" customHeight="1">
      <c r="A186" s="173">
        <v>179.0</v>
      </c>
      <c r="B186" s="256" t="s">
        <v>670</v>
      </c>
      <c r="C186" s="257" t="s">
        <v>1630</v>
      </c>
      <c r="D186" s="173" t="s">
        <v>1630</v>
      </c>
      <c r="E186" s="174" t="s">
        <v>672</v>
      </c>
      <c r="F186" s="173" t="s">
        <v>512</v>
      </c>
      <c r="G186" s="258" t="s">
        <v>673</v>
      </c>
      <c r="H186" s="258" t="s">
        <v>674</v>
      </c>
      <c r="I186" s="258" t="s">
        <v>1614</v>
      </c>
      <c r="J186" s="259" t="s">
        <v>739</v>
      </c>
      <c r="K186" s="260" t="s">
        <v>740</v>
      </c>
      <c r="L186" s="258" t="s">
        <v>793</v>
      </c>
      <c r="M186" s="265"/>
      <c r="N186" s="173" t="s">
        <v>679</v>
      </c>
      <c r="O186" s="173" t="s">
        <v>225</v>
      </c>
      <c r="P186" s="262" t="str">
        <f t="shared" si="1"/>
        <v>IN-BLR-ANANTA-HLI-204_G</v>
      </c>
      <c r="Q186" s="173" t="s">
        <v>1631</v>
      </c>
      <c r="R186" s="258" t="str">
        <f>IFS(C186="","",C186="n/a","N/A",LEN(C186),Concatenate("{",char(34),"asset",char(34),":{",char(34),"guid",char(34),":",char(34),Q186,char(34),",",char(34),"site",char(34),":",char(34),LOWER('2-Building'!$B$4),char(34),",",char(34),"name",char(34),":",char(34),LOWER(C186),char(34),"}}"))</f>
        <v>{"asset":{"guid":"uuid://d9c4997a-ef68-4686-8b14-9bfe3b24a1b5","site":"in-blr-ananta","name":"hli-204"}}</v>
      </c>
      <c r="S186" s="258" t="s">
        <v>681</v>
      </c>
      <c r="T186" s="263"/>
      <c r="U186" s="263"/>
      <c r="V186" s="264">
        <v>2.23</v>
      </c>
      <c r="W186" s="33" t="s">
        <v>682</v>
      </c>
      <c r="X186" s="258" t="s">
        <v>1616</v>
      </c>
      <c r="Y186" s="33" t="s">
        <v>1617</v>
      </c>
      <c r="Z186" s="258">
        <v>14204.0</v>
      </c>
      <c r="AA186" s="258">
        <v>11501.0</v>
      </c>
      <c r="AB186" s="258"/>
      <c r="AC186" s="258"/>
      <c r="AD186" s="265"/>
      <c r="AE186" s="266" t="s">
        <v>685</v>
      </c>
      <c r="AF186" s="267" t="s">
        <v>1632</v>
      </c>
      <c r="AG186" s="268" t="str">
        <f>IFS(LEN(AF186)=17,LOWER('2-Building'!$B$4 &amp; "-" &amp; C186), AF186="N/A", "N/A", LEN(AF186)=0,"")</f>
        <v>in-blr-ananta-hli-204</v>
      </c>
      <c r="AH186" s="258"/>
      <c r="AI186" s="258"/>
      <c r="AJ186" s="258"/>
      <c r="AK186" s="258" t="s">
        <v>1633</v>
      </c>
      <c r="AL186" s="258" t="s">
        <v>688</v>
      </c>
      <c r="AM186" s="258" t="s">
        <v>689</v>
      </c>
      <c r="AN186" s="258"/>
      <c r="AO186" s="258"/>
      <c r="AP186" s="258"/>
      <c r="AQ186" s="258"/>
      <c r="AR186" s="258" t="s">
        <v>690</v>
      </c>
      <c r="AS186" s="258" t="s">
        <v>691</v>
      </c>
      <c r="AT186" s="258" t="s">
        <v>872</v>
      </c>
      <c r="AU186" s="265" t="s">
        <v>693</v>
      </c>
      <c r="AV186" s="174" t="s">
        <v>243</v>
      </c>
      <c r="AW186" s="269" t="s">
        <v>245</v>
      </c>
      <c r="AX186" s="269" t="s">
        <v>694</v>
      </c>
      <c r="AY186" s="270" t="s">
        <v>695</v>
      </c>
      <c r="AZ186" s="173" t="s">
        <v>681</v>
      </c>
      <c r="BA186" s="265">
        <v>10.0</v>
      </c>
      <c r="BB186" s="174" t="s">
        <v>225</v>
      </c>
      <c r="BC186" s="271"/>
      <c r="BD186" s="272" t="s">
        <v>696</v>
      </c>
      <c r="BE186" s="273" t="s">
        <v>697</v>
      </c>
      <c r="BF186" s="274" t="str">
        <f>IFERROR(__xludf.DUMMYFUNCTION("LOWER(Regexreplace(to_text(E186),""[^A-Za-z0-9]"","""")&amp;""_""&amp;Regexreplace(to_text(F186),""[^A-Za-z0-9]"",""""))"),"sauter_eygt103f001")</f>
        <v>sauter_eygt103f001</v>
      </c>
      <c r="BG186" s="275" t="str">
        <f>IFERROR(__xludf.DUMMYFUNCTION("upper(Regexreplace(to_text(E186),""[^A-Za-z0-9]"","""")&amp;""-""&amp;Regexreplace(to_text(F186),""[^A-Za-z0-9]"",""""))"),"SAUTER-EYGT103F001")</f>
        <v>SAUTER-EYGT103F001</v>
      </c>
    </row>
    <row r="187" ht="30.0" customHeight="1">
      <c r="A187" s="258">
        <v>180.0</v>
      </c>
      <c r="B187" s="256" t="s">
        <v>670</v>
      </c>
      <c r="C187" s="257" t="s">
        <v>1634</v>
      </c>
      <c r="D187" s="173" t="s">
        <v>1634</v>
      </c>
      <c r="E187" s="174" t="s">
        <v>672</v>
      </c>
      <c r="F187" s="173" t="s">
        <v>512</v>
      </c>
      <c r="G187" s="258" t="s">
        <v>673</v>
      </c>
      <c r="H187" s="258" t="s">
        <v>674</v>
      </c>
      <c r="I187" s="258" t="s">
        <v>1614</v>
      </c>
      <c r="J187" s="259" t="s">
        <v>739</v>
      </c>
      <c r="K187" s="260" t="s">
        <v>831</v>
      </c>
      <c r="L187" s="258" t="s">
        <v>832</v>
      </c>
      <c r="M187" s="265"/>
      <c r="N187" s="173" t="s">
        <v>679</v>
      </c>
      <c r="O187" s="173" t="s">
        <v>225</v>
      </c>
      <c r="P187" s="262" t="str">
        <f t="shared" si="1"/>
        <v>IN-BLR-ANANTA-HLI-205_G</v>
      </c>
      <c r="Q187" s="173" t="s">
        <v>1635</v>
      </c>
      <c r="R187" s="258" t="str">
        <f>IFS(C187="","",C187="n/a","N/A",LEN(C187),Concatenate("{",char(34),"asset",char(34),":{",char(34),"guid",char(34),":",char(34),Q187,char(34),",",char(34),"site",char(34),":",char(34),LOWER('2-Building'!$B$4),char(34),",",char(34),"name",char(34),":",char(34),LOWER(C187),char(34),"}}"))</f>
        <v>{"asset":{"guid":"uuid://6ccb4429-cd03-4698-aaa9-de2a31ba9f4e","site":"in-blr-ananta","name":"hli-205"}}</v>
      </c>
      <c r="S187" s="258" t="s">
        <v>681</v>
      </c>
      <c r="T187" s="263"/>
      <c r="U187" s="263"/>
      <c r="V187" s="264">
        <v>2.23</v>
      </c>
      <c r="W187" s="33" t="s">
        <v>682</v>
      </c>
      <c r="X187" s="258" t="s">
        <v>1616</v>
      </c>
      <c r="Y187" s="33" t="s">
        <v>1617</v>
      </c>
      <c r="Z187" s="258">
        <v>14205.0</v>
      </c>
      <c r="AA187" s="258">
        <v>11501.0</v>
      </c>
      <c r="AB187" s="258"/>
      <c r="AC187" s="258"/>
      <c r="AD187" s="265"/>
      <c r="AE187" s="266" t="s">
        <v>685</v>
      </c>
      <c r="AF187" s="267" t="s">
        <v>1636</v>
      </c>
      <c r="AG187" s="268" t="str">
        <f>IFS(LEN(AF187)=17,LOWER('2-Building'!$B$4 &amp; "-" &amp; C187), AF187="N/A", "N/A", LEN(AF187)=0,"")</f>
        <v>in-blr-ananta-hli-205</v>
      </c>
      <c r="AH187" s="258"/>
      <c r="AI187" s="258"/>
      <c r="AJ187" s="258"/>
      <c r="AK187" s="258" t="s">
        <v>1637</v>
      </c>
      <c r="AL187" s="258" t="s">
        <v>688</v>
      </c>
      <c r="AM187" s="258" t="s">
        <v>689</v>
      </c>
      <c r="AN187" s="258"/>
      <c r="AO187" s="258"/>
      <c r="AP187" s="258"/>
      <c r="AQ187" s="258"/>
      <c r="AR187" s="258" t="s">
        <v>690</v>
      </c>
      <c r="AS187" s="258" t="s">
        <v>691</v>
      </c>
      <c r="AT187" s="258" t="s">
        <v>927</v>
      </c>
      <c r="AU187" s="265" t="s">
        <v>693</v>
      </c>
      <c r="AV187" s="174" t="s">
        <v>243</v>
      </c>
      <c r="AW187" s="269" t="s">
        <v>245</v>
      </c>
      <c r="AX187" s="269" t="s">
        <v>694</v>
      </c>
      <c r="AY187" s="270" t="s">
        <v>695</v>
      </c>
      <c r="AZ187" s="173" t="s">
        <v>681</v>
      </c>
      <c r="BA187" s="265">
        <v>10.0</v>
      </c>
      <c r="BB187" s="174" t="s">
        <v>225</v>
      </c>
      <c r="BC187" s="271"/>
      <c r="BD187" s="272" t="s">
        <v>696</v>
      </c>
      <c r="BE187" s="273" t="s">
        <v>697</v>
      </c>
      <c r="BF187" s="274" t="str">
        <f>IFERROR(__xludf.DUMMYFUNCTION("LOWER(Regexreplace(to_text(E187),""[^A-Za-z0-9]"","""")&amp;""_""&amp;Regexreplace(to_text(F187),""[^A-Za-z0-9]"",""""))"),"sauter_eygt103f001")</f>
        <v>sauter_eygt103f001</v>
      </c>
      <c r="BG187" s="275" t="str">
        <f>IFERROR(__xludf.DUMMYFUNCTION("upper(Regexreplace(to_text(E187),""[^A-Za-z0-9]"","""")&amp;""-""&amp;Regexreplace(to_text(F187),""[^A-Za-z0-9]"",""""))"),"SAUTER-EYGT103F001")</f>
        <v>SAUTER-EYGT103F001</v>
      </c>
    </row>
    <row r="188" ht="30.0" customHeight="1">
      <c r="A188" s="173">
        <v>181.0</v>
      </c>
      <c r="B188" s="256" t="s">
        <v>670</v>
      </c>
      <c r="C188" s="257" t="s">
        <v>1638</v>
      </c>
      <c r="D188" s="173" t="s">
        <v>1638</v>
      </c>
      <c r="E188" s="174" t="s">
        <v>672</v>
      </c>
      <c r="F188" s="173" t="s">
        <v>512</v>
      </c>
      <c r="G188" s="258" t="s">
        <v>673</v>
      </c>
      <c r="H188" s="258" t="s">
        <v>674</v>
      </c>
      <c r="I188" s="258" t="s">
        <v>1614</v>
      </c>
      <c r="J188" s="259" t="s">
        <v>739</v>
      </c>
      <c r="K188" s="260" t="s">
        <v>803</v>
      </c>
      <c r="L188" s="258" t="s">
        <v>804</v>
      </c>
      <c r="M188" s="265"/>
      <c r="N188" s="173" t="s">
        <v>679</v>
      </c>
      <c r="O188" s="173" t="s">
        <v>225</v>
      </c>
      <c r="P188" s="262" t="str">
        <f t="shared" si="1"/>
        <v>IN-BLR-ANANTA-HLI-206_G</v>
      </c>
      <c r="Q188" s="173" t="s">
        <v>1639</v>
      </c>
      <c r="R188" s="258" t="str">
        <f>IFS(C188="","",C188="n/a","N/A",LEN(C188),Concatenate("{",char(34),"asset",char(34),":{",char(34),"guid",char(34),":",char(34),Q188,char(34),",",char(34),"site",char(34),":",char(34),LOWER('2-Building'!$B$4),char(34),",",char(34),"name",char(34),":",char(34),LOWER(C188),char(34),"}}"))</f>
        <v>{"asset":{"guid":"uuid://c313e2a5-9131-4de9-95d8-dbdc41278e27","site":"in-blr-ananta","name":"hli-206"}}</v>
      </c>
      <c r="S188" s="258" t="s">
        <v>681</v>
      </c>
      <c r="T188" s="263"/>
      <c r="U188" s="263"/>
      <c r="V188" s="264">
        <v>2.23</v>
      </c>
      <c r="W188" s="33" t="s">
        <v>682</v>
      </c>
      <c r="X188" s="258" t="s">
        <v>1616</v>
      </c>
      <c r="Y188" s="33" t="s">
        <v>1617</v>
      </c>
      <c r="Z188" s="258">
        <v>14206.0</v>
      </c>
      <c r="AA188" s="258">
        <v>11501.0</v>
      </c>
      <c r="AB188" s="258"/>
      <c r="AC188" s="258"/>
      <c r="AD188" s="265"/>
      <c r="AE188" s="266" t="s">
        <v>685</v>
      </c>
      <c r="AF188" s="267" t="s">
        <v>1640</v>
      </c>
      <c r="AG188" s="268" t="str">
        <f>IFS(LEN(AF188)=17,LOWER('2-Building'!$B$4 &amp; "-" &amp; C188), AF188="N/A", "N/A", LEN(AF188)=0,"")</f>
        <v>in-blr-ananta-hli-206</v>
      </c>
      <c r="AH188" s="258"/>
      <c r="AI188" s="258"/>
      <c r="AJ188" s="258"/>
      <c r="AK188" s="258" t="s">
        <v>1641</v>
      </c>
      <c r="AL188" s="258" t="s">
        <v>688</v>
      </c>
      <c r="AM188" s="258" t="s">
        <v>689</v>
      </c>
      <c r="AN188" s="258"/>
      <c r="AO188" s="258"/>
      <c r="AP188" s="258"/>
      <c r="AQ188" s="258"/>
      <c r="AR188" s="258" t="s">
        <v>690</v>
      </c>
      <c r="AS188" s="258" t="s">
        <v>691</v>
      </c>
      <c r="AT188" s="258" t="s">
        <v>894</v>
      </c>
      <c r="AU188" s="265" t="s">
        <v>693</v>
      </c>
      <c r="AV188" s="174" t="s">
        <v>243</v>
      </c>
      <c r="AW188" s="269" t="s">
        <v>245</v>
      </c>
      <c r="AX188" s="269" t="s">
        <v>694</v>
      </c>
      <c r="AY188" s="270" t="s">
        <v>695</v>
      </c>
      <c r="AZ188" s="173" t="s">
        <v>681</v>
      </c>
      <c r="BA188" s="265">
        <v>10.0</v>
      </c>
      <c r="BB188" s="174" t="s">
        <v>225</v>
      </c>
      <c r="BC188" s="271"/>
      <c r="BD188" s="272" t="s">
        <v>696</v>
      </c>
      <c r="BE188" s="273" t="s">
        <v>697</v>
      </c>
      <c r="BF188" s="274" t="str">
        <f>IFERROR(__xludf.DUMMYFUNCTION("LOWER(Regexreplace(to_text(E188),""[^A-Za-z0-9]"","""")&amp;""_""&amp;Regexreplace(to_text(F188),""[^A-Za-z0-9]"",""""))"),"sauter_eygt103f001")</f>
        <v>sauter_eygt103f001</v>
      </c>
      <c r="BG188" s="275" t="str">
        <f>IFERROR(__xludf.DUMMYFUNCTION("upper(Regexreplace(to_text(E188),""[^A-Za-z0-9]"","""")&amp;""-""&amp;Regexreplace(to_text(F188),""[^A-Za-z0-9]"",""""))"),"SAUTER-EYGT103F001")</f>
        <v>SAUTER-EYGT103F001</v>
      </c>
    </row>
    <row r="189" ht="30.0" customHeight="1">
      <c r="A189" s="258">
        <v>182.0</v>
      </c>
      <c r="B189" s="256" t="s">
        <v>670</v>
      </c>
      <c r="C189" s="257" t="s">
        <v>1642</v>
      </c>
      <c r="D189" s="173" t="s">
        <v>1642</v>
      </c>
      <c r="E189" s="174" t="s">
        <v>672</v>
      </c>
      <c r="F189" s="173" t="s">
        <v>512</v>
      </c>
      <c r="G189" s="258" t="s">
        <v>673</v>
      </c>
      <c r="H189" s="258" t="s">
        <v>674</v>
      </c>
      <c r="I189" s="258" t="s">
        <v>1614</v>
      </c>
      <c r="J189" s="259" t="s">
        <v>739</v>
      </c>
      <c r="K189" s="260" t="s">
        <v>803</v>
      </c>
      <c r="L189" s="258" t="s">
        <v>804</v>
      </c>
      <c r="M189" s="265"/>
      <c r="N189" s="173" t="s">
        <v>679</v>
      </c>
      <c r="O189" s="173" t="s">
        <v>225</v>
      </c>
      <c r="P189" s="262" t="str">
        <f t="shared" si="1"/>
        <v>IN-BLR-ANANTA-HLI-207_G</v>
      </c>
      <c r="Q189" s="173" t="s">
        <v>1643</v>
      </c>
      <c r="R189" s="258" t="str">
        <f>IFS(C189="","",C189="n/a","N/A",LEN(C189),Concatenate("{",char(34),"asset",char(34),":{",char(34),"guid",char(34),":",char(34),Q189,char(34),",",char(34),"site",char(34),":",char(34),LOWER('2-Building'!$B$4),char(34),",",char(34),"name",char(34),":",char(34),LOWER(C189),char(34),"}}"))</f>
        <v>{"asset":{"guid":"uuid://4e11f245-9e7c-461e-8333-2de39cbc4ecf","site":"in-blr-ananta","name":"hli-207"}}</v>
      </c>
      <c r="S189" s="258" t="s">
        <v>681</v>
      </c>
      <c r="T189" s="263"/>
      <c r="U189" s="263"/>
      <c r="V189" s="264">
        <v>2.23</v>
      </c>
      <c r="W189" s="33" t="s">
        <v>682</v>
      </c>
      <c r="X189" s="258" t="s">
        <v>1616</v>
      </c>
      <c r="Y189" s="33" t="s">
        <v>1617</v>
      </c>
      <c r="Z189" s="258">
        <v>14207.0</v>
      </c>
      <c r="AA189" s="258">
        <v>11501.0</v>
      </c>
      <c r="AB189" s="258"/>
      <c r="AC189" s="258"/>
      <c r="AD189" s="265"/>
      <c r="AE189" s="266" t="s">
        <v>685</v>
      </c>
      <c r="AF189" s="267" t="s">
        <v>1644</v>
      </c>
      <c r="AG189" s="268" t="str">
        <f>IFS(LEN(AF189)=17,LOWER('2-Building'!$B$4 &amp; "-" &amp; C189), AF189="N/A", "N/A", LEN(AF189)=0,"")</f>
        <v>in-blr-ananta-hli-207</v>
      </c>
      <c r="AH189" s="258"/>
      <c r="AI189" s="258"/>
      <c r="AJ189" s="258"/>
      <c r="AK189" s="258" t="s">
        <v>1645</v>
      </c>
      <c r="AL189" s="258" t="s">
        <v>688</v>
      </c>
      <c r="AM189" s="258" t="s">
        <v>689</v>
      </c>
      <c r="AN189" s="258"/>
      <c r="AO189" s="258"/>
      <c r="AP189" s="258"/>
      <c r="AQ189" s="258"/>
      <c r="AR189" s="258" t="s">
        <v>690</v>
      </c>
      <c r="AS189" s="258" t="s">
        <v>691</v>
      </c>
      <c r="AT189" s="258" t="s">
        <v>947</v>
      </c>
      <c r="AU189" s="265" t="s">
        <v>693</v>
      </c>
      <c r="AV189" s="174" t="s">
        <v>243</v>
      </c>
      <c r="AW189" s="269" t="s">
        <v>245</v>
      </c>
      <c r="AX189" s="269" t="s">
        <v>694</v>
      </c>
      <c r="AY189" s="270" t="s">
        <v>695</v>
      </c>
      <c r="AZ189" s="173" t="s">
        <v>681</v>
      </c>
      <c r="BA189" s="265">
        <v>10.0</v>
      </c>
      <c r="BB189" s="174" t="s">
        <v>225</v>
      </c>
      <c r="BC189" s="271"/>
      <c r="BD189" s="272" t="s">
        <v>696</v>
      </c>
      <c r="BE189" s="273" t="s">
        <v>697</v>
      </c>
      <c r="BF189" s="274" t="str">
        <f>IFERROR(__xludf.DUMMYFUNCTION("LOWER(Regexreplace(to_text(E189),""[^A-Za-z0-9]"","""")&amp;""_""&amp;Regexreplace(to_text(F189),""[^A-Za-z0-9]"",""""))"),"sauter_eygt103f001")</f>
        <v>sauter_eygt103f001</v>
      </c>
      <c r="BG189" s="275" t="str">
        <f>IFERROR(__xludf.DUMMYFUNCTION("upper(Regexreplace(to_text(E189),""[^A-Za-z0-9]"","""")&amp;""-""&amp;Regexreplace(to_text(F189),""[^A-Za-z0-9]"",""""))"),"SAUTER-EYGT103F001")</f>
        <v>SAUTER-EYGT103F001</v>
      </c>
    </row>
    <row r="190" ht="30.0" customHeight="1">
      <c r="A190" s="173">
        <v>183.0</v>
      </c>
      <c r="B190" s="256" t="s">
        <v>670</v>
      </c>
      <c r="C190" s="257" t="s">
        <v>1646</v>
      </c>
      <c r="D190" s="173" t="s">
        <v>1646</v>
      </c>
      <c r="E190" s="174" t="s">
        <v>672</v>
      </c>
      <c r="F190" s="173" t="s">
        <v>512</v>
      </c>
      <c r="G190" s="258" t="s">
        <v>673</v>
      </c>
      <c r="H190" s="258" t="s">
        <v>674</v>
      </c>
      <c r="I190" s="258" t="s">
        <v>1614</v>
      </c>
      <c r="J190" s="259" t="s">
        <v>739</v>
      </c>
      <c r="K190" s="260" t="s">
        <v>765</v>
      </c>
      <c r="L190" s="258" t="s">
        <v>821</v>
      </c>
      <c r="M190" s="265"/>
      <c r="N190" s="173" t="s">
        <v>679</v>
      </c>
      <c r="O190" s="173" t="s">
        <v>225</v>
      </c>
      <c r="P190" s="262" t="str">
        <f t="shared" si="1"/>
        <v>IN-BLR-ANANTA-HLI-208_G</v>
      </c>
      <c r="Q190" s="173" t="s">
        <v>1647</v>
      </c>
      <c r="R190" s="258" t="str">
        <f>IFS(C190="","",C190="n/a","N/A",LEN(C190),Concatenate("{",char(34),"asset",char(34),":{",char(34),"guid",char(34),":",char(34),Q190,char(34),",",char(34),"site",char(34),":",char(34),LOWER('2-Building'!$B$4),char(34),",",char(34),"name",char(34),":",char(34),LOWER(C190),char(34),"}}"))</f>
        <v>{"asset":{"guid":"uuid://4137e9d1-55e7-426e-a7ce-42c5791c72ed","site":"in-blr-ananta","name":"hli-208"}}</v>
      </c>
      <c r="S190" s="258" t="s">
        <v>681</v>
      </c>
      <c r="T190" s="263"/>
      <c r="U190" s="263"/>
      <c r="V190" s="264">
        <v>2.23</v>
      </c>
      <c r="W190" s="33" t="s">
        <v>682</v>
      </c>
      <c r="X190" s="258" t="s">
        <v>1616</v>
      </c>
      <c r="Y190" s="33" t="s">
        <v>1617</v>
      </c>
      <c r="Z190" s="258">
        <v>14208.0</v>
      </c>
      <c r="AA190" s="258">
        <v>11501.0</v>
      </c>
      <c r="AB190" s="258"/>
      <c r="AC190" s="258"/>
      <c r="AD190" s="265"/>
      <c r="AE190" s="266" t="s">
        <v>685</v>
      </c>
      <c r="AF190" s="267" t="s">
        <v>1648</v>
      </c>
      <c r="AG190" s="268" t="str">
        <f>IFS(LEN(AF190)=17,LOWER('2-Building'!$B$4 &amp; "-" &amp; C190), AF190="N/A", "N/A", LEN(AF190)=0,"")</f>
        <v>in-blr-ananta-hli-208</v>
      </c>
      <c r="AH190" s="258"/>
      <c r="AI190" s="258"/>
      <c r="AJ190" s="258"/>
      <c r="AK190" s="258" t="s">
        <v>1649</v>
      </c>
      <c r="AL190" s="258" t="s">
        <v>688</v>
      </c>
      <c r="AM190" s="258" t="s">
        <v>689</v>
      </c>
      <c r="AN190" s="258"/>
      <c r="AO190" s="258"/>
      <c r="AP190" s="258"/>
      <c r="AQ190" s="258"/>
      <c r="AR190" s="258" t="s">
        <v>690</v>
      </c>
      <c r="AS190" s="258" t="s">
        <v>691</v>
      </c>
      <c r="AT190" s="258" t="s">
        <v>958</v>
      </c>
      <c r="AU190" s="265" t="s">
        <v>693</v>
      </c>
      <c r="AV190" s="174" t="s">
        <v>243</v>
      </c>
      <c r="AW190" s="269" t="s">
        <v>245</v>
      </c>
      <c r="AX190" s="269" t="s">
        <v>694</v>
      </c>
      <c r="AY190" s="270" t="s">
        <v>695</v>
      </c>
      <c r="AZ190" s="173" t="s">
        <v>681</v>
      </c>
      <c r="BA190" s="265">
        <v>10.0</v>
      </c>
      <c r="BB190" s="174" t="s">
        <v>225</v>
      </c>
      <c r="BC190" s="271"/>
      <c r="BD190" s="272" t="s">
        <v>696</v>
      </c>
      <c r="BE190" s="273" t="s">
        <v>697</v>
      </c>
      <c r="BF190" s="274" t="str">
        <f>IFERROR(__xludf.DUMMYFUNCTION("LOWER(Regexreplace(to_text(E190),""[^A-Za-z0-9]"","""")&amp;""_""&amp;Regexreplace(to_text(F190),""[^A-Za-z0-9]"",""""))"),"sauter_eygt103f001")</f>
        <v>sauter_eygt103f001</v>
      </c>
      <c r="BG190" s="275" t="str">
        <f>IFERROR(__xludf.DUMMYFUNCTION("upper(Regexreplace(to_text(E190),""[^A-Za-z0-9]"","""")&amp;""-""&amp;Regexreplace(to_text(F190),""[^A-Za-z0-9]"",""""))"),"SAUTER-EYGT103F001")</f>
        <v>SAUTER-EYGT103F001</v>
      </c>
    </row>
    <row r="191" ht="30.0" customHeight="1">
      <c r="A191" s="258">
        <v>184.0</v>
      </c>
      <c r="B191" s="256" t="s">
        <v>670</v>
      </c>
      <c r="C191" s="257" t="s">
        <v>1650</v>
      </c>
      <c r="D191" s="173" t="s">
        <v>1650</v>
      </c>
      <c r="E191" s="174" t="s">
        <v>672</v>
      </c>
      <c r="F191" s="173" t="s">
        <v>512</v>
      </c>
      <c r="G191" s="258" t="s">
        <v>673</v>
      </c>
      <c r="H191" s="258" t="s">
        <v>674</v>
      </c>
      <c r="I191" s="258" t="s">
        <v>1614</v>
      </c>
      <c r="J191" s="259" t="s">
        <v>739</v>
      </c>
      <c r="K191" s="260" t="s">
        <v>765</v>
      </c>
      <c r="L191" s="258" t="s">
        <v>766</v>
      </c>
      <c r="M191" s="265"/>
      <c r="N191" s="173" t="s">
        <v>679</v>
      </c>
      <c r="O191" s="173" t="s">
        <v>225</v>
      </c>
      <c r="P191" s="262" t="str">
        <f t="shared" si="1"/>
        <v>IN-BLR-ANANTA-HLI-209_G</v>
      </c>
      <c r="Q191" s="173" t="s">
        <v>1651</v>
      </c>
      <c r="R191" s="258" t="str">
        <f>IFS(C191="","",C191="n/a","N/A",LEN(C191),Concatenate("{",char(34),"asset",char(34),":{",char(34),"guid",char(34),":",char(34),Q191,char(34),",",char(34),"site",char(34),":",char(34),LOWER('2-Building'!$B$4),char(34),",",char(34),"name",char(34),":",char(34),LOWER(C191),char(34),"}}"))</f>
        <v>{"asset":{"guid":"uuid://1ddccd80-34f7-460e-9811-306d804c348a","site":"in-blr-ananta","name":"hli-209"}}</v>
      </c>
      <c r="S191" s="258" t="s">
        <v>681</v>
      </c>
      <c r="T191" s="263"/>
      <c r="U191" s="263"/>
      <c r="V191" s="264">
        <v>2.23</v>
      </c>
      <c r="W191" s="33" t="s">
        <v>682</v>
      </c>
      <c r="X191" s="258" t="s">
        <v>1616</v>
      </c>
      <c r="Y191" s="33" t="s">
        <v>1617</v>
      </c>
      <c r="Z191" s="258">
        <v>14209.0</v>
      </c>
      <c r="AA191" s="258">
        <v>11501.0</v>
      </c>
      <c r="AB191" s="258"/>
      <c r="AC191" s="258"/>
      <c r="AD191" s="265"/>
      <c r="AE191" s="266" t="s">
        <v>685</v>
      </c>
      <c r="AF191" s="267" t="s">
        <v>1652</v>
      </c>
      <c r="AG191" s="268" t="str">
        <f>IFS(LEN(AF191)=17,LOWER('2-Building'!$B$4 &amp; "-" &amp; C191), AF191="N/A", "N/A", LEN(AF191)=0,"")</f>
        <v>in-blr-ananta-hli-209</v>
      </c>
      <c r="AH191" s="258"/>
      <c r="AI191" s="258"/>
      <c r="AJ191" s="258"/>
      <c r="AK191" s="258" t="s">
        <v>1653</v>
      </c>
      <c r="AL191" s="258" t="s">
        <v>688</v>
      </c>
      <c r="AM191" s="258" t="s">
        <v>689</v>
      </c>
      <c r="AN191" s="258"/>
      <c r="AO191" s="258"/>
      <c r="AP191" s="258"/>
      <c r="AQ191" s="258"/>
      <c r="AR191" s="258" t="s">
        <v>690</v>
      </c>
      <c r="AS191" s="258" t="s">
        <v>691</v>
      </c>
      <c r="AT191" s="258" t="s">
        <v>1654</v>
      </c>
      <c r="AU191" s="265" t="s">
        <v>693</v>
      </c>
      <c r="AV191" s="174" t="s">
        <v>243</v>
      </c>
      <c r="AW191" s="269" t="s">
        <v>245</v>
      </c>
      <c r="AX191" s="269" t="s">
        <v>694</v>
      </c>
      <c r="AY191" s="270" t="s">
        <v>695</v>
      </c>
      <c r="AZ191" s="173" t="s">
        <v>681</v>
      </c>
      <c r="BA191" s="265">
        <v>10.0</v>
      </c>
      <c r="BB191" s="174" t="s">
        <v>225</v>
      </c>
      <c r="BC191" s="271"/>
      <c r="BD191" s="272" t="s">
        <v>696</v>
      </c>
      <c r="BE191" s="273" t="s">
        <v>697</v>
      </c>
      <c r="BF191" s="274" t="str">
        <f>IFERROR(__xludf.DUMMYFUNCTION("LOWER(Regexreplace(to_text(E191),""[^A-Za-z0-9]"","""")&amp;""_""&amp;Regexreplace(to_text(F191),""[^A-Za-z0-9]"",""""))"),"sauter_eygt103f001")</f>
        <v>sauter_eygt103f001</v>
      </c>
      <c r="BG191" s="275" t="str">
        <f>IFERROR(__xludf.DUMMYFUNCTION("upper(Regexreplace(to_text(E191),""[^A-Za-z0-9]"","""")&amp;""-""&amp;Regexreplace(to_text(F191),""[^A-Za-z0-9]"",""""))"),"SAUTER-EYGT103F001")</f>
        <v>SAUTER-EYGT103F001</v>
      </c>
    </row>
    <row r="192" ht="30.0" customHeight="1">
      <c r="A192" s="173">
        <v>185.0</v>
      </c>
      <c r="B192" s="256" t="s">
        <v>670</v>
      </c>
      <c r="C192" s="257" t="s">
        <v>1655</v>
      </c>
      <c r="D192" s="173" t="s">
        <v>1655</v>
      </c>
      <c r="E192" s="174" t="s">
        <v>672</v>
      </c>
      <c r="F192" s="173" t="s">
        <v>512</v>
      </c>
      <c r="G192" s="258" t="s">
        <v>673</v>
      </c>
      <c r="H192" s="258" t="s">
        <v>674</v>
      </c>
      <c r="I192" s="258" t="s">
        <v>1614</v>
      </c>
      <c r="J192" s="259" t="s">
        <v>739</v>
      </c>
      <c r="K192" s="260" t="s">
        <v>765</v>
      </c>
      <c r="L192" s="258" t="s">
        <v>810</v>
      </c>
      <c r="M192" s="265"/>
      <c r="N192" s="173" t="s">
        <v>679</v>
      </c>
      <c r="O192" s="173" t="s">
        <v>225</v>
      </c>
      <c r="P192" s="262" t="str">
        <f t="shared" si="1"/>
        <v>IN-BLR-ANANTA-HLI-210_G</v>
      </c>
      <c r="Q192" s="173" t="s">
        <v>1656</v>
      </c>
      <c r="R192" s="258" t="str">
        <f>IFS(C192="","",C192="n/a","N/A",LEN(C192),Concatenate("{",char(34),"asset",char(34),":{",char(34),"guid",char(34),":",char(34),Q192,char(34),",",char(34),"site",char(34),":",char(34),LOWER('2-Building'!$B$4),char(34),",",char(34),"name",char(34),":",char(34),LOWER(C192),char(34),"}}"))</f>
        <v>{"asset":{"guid":"uuid://dc06620b-3aee-47d8-bbc0-ff54803dd52b","site":"in-blr-ananta","name":"hli-210"}}</v>
      </c>
      <c r="S192" s="258" t="s">
        <v>681</v>
      </c>
      <c r="T192" s="263"/>
      <c r="U192" s="263"/>
      <c r="V192" s="264">
        <v>2.23</v>
      </c>
      <c r="W192" s="33" t="s">
        <v>682</v>
      </c>
      <c r="X192" s="258" t="s">
        <v>1616</v>
      </c>
      <c r="Y192" s="33" t="s">
        <v>1617</v>
      </c>
      <c r="Z192" s="258">
        <v>14210.0</v>
      </c>
      <c r="AA192" s="258">
        <v>11501.0</v>
      </c>
      <c r="AB192" s="258"/>
      <c r="AC192" s="258"/>
      <c r="AD192" s="265"/>
      <c r="AE192" s="266" t="s">
        <v>685</v>
      </c>
      <c r="AF192" s="267" t="s">
        <v>1657</v>
      </c>
      <c r="AG192" s="268" t="str">
        <f>IFS(LEN(AF192)=17,LOWER('2-Building'!$B$4 &amp; "-" &amp; C192), AF192="N/A", "N/A", LEN(AF192)=0,"")</f>
        <v>in-blr-ananta-hli-210</v>
      </c>
      <c r="AH192" s="258"/>
      <c r="AI192" s="258"/>
      <c r="AJ192" s="258"/>
      <c r="AK192" s="258" t="s">
        <v>1658</v>
      </c>
      <c r="AL192" s="258" t="s">
        <v>688</v>
      </c>
      <c r="AM192" s="258" t="s">
        <v>689</v>
      </c>
      <c r="AN192" s="258"/>
      <c r="AO192" s="258"/>
      <c r="AP192" s="258"/>
      <c r="AQ192" s="258"/>
      <c r="AR192" s="258" t="s">
        <v>690</v>
      </c>
      <c r="AS192" s="258" t="s">
        <v>691</v>
      </c>
      <c r="AT192" s="258" t="s">
        <v>917</v>
      </c>
      <c r="AU192" s="265" t="s">
        <v>693</v>
      </c>
      <c r="AV192" s="174" t="s">
        <v>243</v>
      </c>
      <c r="AW192" s="269" t="s">
        <v>245</v>
      </c>
      <c r="AX192" s="269" t="s">
        <v>694</v>
      </c>
      <c r="AY192" s="270" t="s">
        <v>695</v>
      </c>
      <c r="AZ192" s="173" t="s">
        <v>681</v>
      </c>
      <c r="BA192" s="265">
        <v>10.0</v>
      </c>
      <c r="BB192" s="174" t="s">
        <v>225</v>
      </c>
      <c r="BC192" s="271"/>
      <c r="BD192" s="272" t="s">
        <v>696</v>
      </c>
      <c r="BE192" s="273" t="s">
        <v>697</v>
      </c>
      <c r="BF192" s="274" t="str">
        <f>IFERROR(__xludf.DUMMYFUNCTION("LOWER(Regexreplace(to_text(E192),""[^A-Za-z0-9]"","""")&amp;""_""&amp;Regexreplace(to_text(F192),""[^A-Za-z0-9]"",""""))"),"sauter_eygt103f001")</f>
        <v>sauter_eygt103f001</v>
      </c>
      <c r="BG192" s="275" t="str">
        <f>IFERROR(__xludf.DUMMYFUNCTION("upper(Regexreplace(to_text(E192),""[^A-Za-z0-9]"","""")&amp;""-""&amp;Regexreplace(to_text(F192),""[^A-Za-z0-9]"",""""))"),"SAUTER-EYGT103F001")</f>
        <v>SAUTER-EYGT103F001</v>
      </c>
    </row>
    <row r="193" ht="30.0" customHeight="1">
      <c r="A193" s="258">
        <v>186.0</v>
      </c>
      <c r="B193" s="256" t="s">
        <v>670</v>
      </c>
      <c r="C193" s="257" t="s">
        <v>1659</v>
      </c>
      <c r="D193" s="173" t="s">
        <v>1659</v>
      </c>
      <c r="E193" s="174" t="s">
        <v>672</v>
      </c>
      <c r="F193" s="173" t="s">
        <v>512</v>
      </c>
      <c r="G193" s="258" t="s">
        <v>673</v>
      </c>
      <c r="H193" s="258" t="s">
        <v>674</v>
      </c>
      <c r="I193" s="258" t="s">
        <v>1614</v>
      </c>
      <c r="J193" s="259" t="s">
        <v>846</v>
      </c>
      <c r="K193" s="260" t="s">
        <v>1660</v>
      </c>
      <c r="L193" s="258" t="s">
        <v>847</v>
      </c>
      <c r="M193" s="265"/>
      <c r="N193" s="173" t="s">
        <v>679</v>
      </c>
      <c r="O193" s="173" t="s">
        <v>225</v>
      </c>
      <c r="P193" s="262" t="str">
        <f t="shared" si="1"/>
        <v>IN-BLR-ANANTA-HLI-211_1</v>
      </c>
      <c r="Q193" s="173" t="s">
        <v>1661</v>
      </c>
      <c r="R193" s="258" t="str">
        <f>IFS(C193="","",C193="n/a","N/A",LEN(C193),Concatenate("{",char(34),"asset",char(34),":{",char(34),"guid",char(34),":",char(34),Q193,char(34),",",char(34),"site",char(34),":",char(34),LOWER('2-Building'!$B$4),char(34),",",char(34),"name",char(34),":",char(34),LOWER(C193),char(34),"}}"))</f>
        <v>{"asset":{"guid":"uuid://fdbd1d5b-f7ca-4b82-bc09-6d232c7a01e4","site":"in-blr-ananta","name":"hli-211"}}</v>
      </c>
      <c r="S193" s="258" t="s">
        <v>681</v>
      </c>
      <c r="T193" s="263"/>
      <c r="U193" s="263"/>
      <c r="V193" s="264">
        <v>2.23</v>
      </c>
      <c r="W193" s="33" t="s">
        <v>682</v>
      </c>
      <c r="X193" s="258" t="s">
        <v>1616</v>
      </c>
      <c r="Y193" s="33" t="s">
        <v>1617</v>
      </c>
      <c r="Z193" s="258">
        <v>14211.0</v>
      </c>
      <c r="AA193" s="258">
        <v>11501.0</v>
      </c>
      <c r="AB193" s="258"/>
      <c r="AC193" s="258"/>
      <c r="AD193" s="265"/>
      <c r="AE193" s="266" t="s">
        <v>685</v>
      </c>
      <c r="AF193" s="267" t="s">
        <v>1662</v>
      </c>
      <c r="AG193" s="268" t="str">
        <f>IFS(LEN(AF193)=17,LOWER('2-Building'!$B$4 &amp; "-" &amp; C193), AF193="N/A", "N/A", LEN(AF193)=0,"")</f>
        <v>in-blr-ananta-hli-211</v>
      </c>
      <c r="AH193" s="258"/>
      <c r="AI193" s="258"/>
      <c r="AJ193" s="258"/>
      <c r="AK193" s="258" t="s">
        <v>1663</v>
      </c>
      <c r="AL193" s="258" t="s">
        <v>688</v>
      </c>
      <c r="AM193" s="258" t="s">
        <v>689</v>
      </c>
      <c r="AN193" s="258"/>
      <c r="AO193" s="258"/>
      <c r="AP193" s="258"/>
      <c r="AQ193" s="258"/>
      <c r="AR193" s="258" t="s">
        <v>690</v>
      </c>
      <c r="AS193" s="258" t="s">
        <v>691</v>
      </c>
      <c r="AT193" s="258" t="s">
        <v>907</v>
      </c>
      <c r="AU193" s="265" t="s">
        <v>693</v>
      </c>
      <c r="AV193" s="174" t="s">
        <v>243</v>
      </c>
      <c r="AW193" s="269" t="s">
        <v>245</v>
      </c>
      <c r="AX193" s="269" t="s">
        <v>694</v>
      </c>
      <c r="AY193" s="270" t="s">
        <v>695</v>
      </c>
      <c r="AZ193" s="173" t="s">
        <v>681</v>
      </c>
      <c r="BA193" s="265">
        <v>10.0</v>
      </c>
      <c r="BB193" s="174" t="s">
        <v>225</v>
      </c>
      <c r="BC193" s="271"/>
      <c r="BD193" s="272" t="s">
        <v>696</v>
      </c>
      <c r="BE193" s="273" t="s">
        <v>697</v>
      </c>
      <c r="BF193" s="274" t="str">
        <f>IFERROR(__xludf.DUMMYFUNCTION("LOWER(Regexreplace(to_text(E193),""[^A-Za-z0-9]"","""")&amp;""_""&amp;Regexreplace(to_text(F193),""[^A-Za-z0-9]"",""""))"),"sauter_eygt103f001")</f>
        <v>sauter_eygt103f001</v>
      </c>
      <c r="BG193" s="275" t="str">
        <f>IFERROR(__xludf.DUMMYFUNCTION("upper(Regexreplace(to_text(E193),""[^A-Za-z0-9]"","""")&amp;""-""&amp;Regexreplace(to_text(F193),""[^A-Za-z0-9]"",""""))"),"SAUTER-EYGT103F001")</f>
        <v>SAUTER-EYGT103F001</v>
      </c>
    </row>
    <row r="194" ht="30.0" customHeight="1">
      <c r="A194" s="173">
        <v>187.0</v>
      </c>
      <c r="B194" s="256" t="s">
        <v>670</v>
      </c>
      <c r="C194" s="257" t="s">
        <v>1664</v>
      </c>
      <c r="D194" s="173" t="s">
        <v>1664</v>
      </c>
      <c r="E194" s="174" t="s">
        <v>672</v>
      </c>
      <c r="F194" s="173" t="s">
        <v>512</v>
      </c>
      <c r="G194" s="258" t="s">
        <v>673</v>
      </c>
      <c r="H194" s="258" t="s">
        <v>674</v>
      </c>
      <c r="I194" s="258" t="s">
        <v>1614</v>
      </c>
      <c r="J194" s="259" t="s">
        <v>846</v>
      </c>
      <c r="K194" s="260" t="s">
        <v>1665</v>
      </c>
      <c r="L194" s="258" t="s">
        <v>857</v>
      </c>
      <c r="M194" s="265"/>
      <c r="N194" s="173" t="s">
        <v>679</v>
      </c>
      <c r="O194" s="173" t="s">
        <v>225</v>
      </c>
      <c r="P194" s="262" t="str">
        <f t="shared" si="1"/>
        <v>IN-BLR-ANANTA-HLI-212_1</v>
      </c>
      <c r="Q194" s="173" t="s">
        <v>1666</v>
      </c>
      <c r="R194" s="258" t="str">
        <f>IFS(C194="","",C194="n/a","N/A",LEN(C194),Concatenate("{",char(34),"asset",char(34),":{",char(34),"guid",char(34),":",char(34),Q194,char(34),",",char(34),"site",char(34),":",char(34),LOWER('2-Building'!$B$4),char(34),",",char(34),"name",char(34),":",char(34),LOWER(C194),char(34),"}}"))</f>
        <v>{"asset":{"guid":"uuid://1d945ade-2d1b-4a51-9651-5e050dec213c","site":"in-blr-ananta","name":"hli-212"}}</v>
      </c>
      <c r="S194" s="258" t="s">
        <v>681</v>
      </c>
      <c r="T194" s="263"/>
      <c r="U194" s="263"/>
      <c r="V194" s="264">
        <v>2.23</v>
      </c>
      <c r="W194" s="33" t="s">
        <v>682</v>
      </c>
      <c r="X194" s="258" t="s">
        <v>1616</v>
      </c>
      <c r="Y194" s="33" t="s">
        <v>1617</v>
      </c>
      <c r="Z194" s="258">
        <v>14212.0</v>
      </c>
      <c r="AA194" s="258">
        <v>11501.0</v>
      </c>
      <c r="AB194" s="258"/>
      <c r="AC194" s="258"/>
      <c r="AD194" s="265"/>
      <c r="AE194" s="266" t="s">
        <v>685</v>
      </c>
      <c r="AF194" s="267" t="s">
        <v>1667</v>
      </c>
      <c r="AG194" s="268" t="str">
        <f>IFS(LEN(AF194)=17,LOWER('2-Building'!$B$4 &amp; "-" &amp; C194), AF194="N/A", "N/A", LEN(AF194)=0,"")</f>
        <v>in-blr-ananta-hli-212</v>
      </c>
      <c r="AH194" s="258"/>
      <c r="AI194" s="258"/>
      <c r="AJ194" s="258"/>
      <c r="AK194" s="258" t="s">
        <v>1668</v>
      </c>
      <c r="AL194" s="258" t="s">
        <v>688</v>
      </c>
      <c r="AM194" s="258" t="s">
        <v>689</v>
      </c>
      <c r="AN194" s="258"/>
      <c r="AO194" s="258"/>
      <c r="AP194" s="258"/>
      <c r="AQ194" s="258"/>
      <c r="AR194" s="258" t="s">
        <v>690</v>
      </c>
      <c r="AS194" s="258" t="s">
        <v>691</v>
      </c>
      <c r="AT194" s="258" t="s">
        <v>917</v>
      </c>
      <c r="AU194" s="265" t="s">
        <v>693</v>
      </c>
      <c r="AV194" s="174" t="s">
        <v>243</v>
      </c>
      <c r="AW194" s="269" t="s">
        <v>245</v>
      </c>
      <c r="AX194" s="269" t="s">
        <v>694</v>
      </c>
      <c r="AY194" s="270" t="s">
        <v>695</v>
      </c>
      <c r="AZ194" s="173" t="s">
        <v>681</v>
      </c>
      <c r="BA194" s="265">
        <v>10.0</v>
      </c>
      <c r="BB194" s="174" t="s">
        <v>225</v>
      </c>
      <c r="BC194" s="271"/>
      <c r="BD194" s="272" t="s">
        <v>696</v>
      </c>
      <c r="BE194" s="273" t="s">
        <v>697</v>
      </c>
      <c r="BF194" s="274" t="str">
        <f>IFERROR(__xludf.DUMMYFUNCTION("LOWER(Regexreplace(to_text(E194),""[^A-Za-z0-9]"","""")&amp;""_""&amp;Regexreplace(to_text(F194),""[^A-Za-z0-9]"",""""))"),"sauter_eygt103f001")</f>
        <v>sauter_eygt103f001</v>
      </c>
      <c r="BG194" s="275" t="str">
        <f>IFERROR(__xludf.DUMMYFUNCTION("upper(Regexreplace(to_text(E194),""[^A-Za-z0-9]"","""")&amp;""-""&amp;Regexreplace(to_text(F194),""[^A-Za-z0-9]"",""""))"),"SAUTER-EYGT103F001")</f>
        <v>SAUTER-EYGT103F001</v>
      </c>
    </row>
    <row r="195" ht="30.0" customHeight="1">
      <c r="A195" s="258">
        <v>188.0</v>
      </c>
      <c r="B195" s="256" t="s">
        <v>670</v>
      </c>
      <c r="C195" s="257" t="s">
        <v>1669</v>
      </c>
      <c r="D195" s="173" t="s">
        <v>1669</v>
      </c>
      <c r="E195" s="174" t="s">
        <v>672</v>
      </c>
      <c r="F195" s="173" t="s">
        <v>512</v>
      </c>
      <c r="G195" s="258" t="s">
        <v>673</v>
      </c>
      <c r="H195" s="258" t="s">
        <v>674</v>
      </c>
      <c r="I195" s="258" t="s">
        <v>1614</v>
      </c>
      <c r="J195" s="259" t="s">
        <v>902</v>
      </c>
      <c r="K195" s="260" t="s">
        <v>1670</v>
      </c>
      <c r="L195" s="258" t="s">
        <v>933</v>
      </c>
      <c r="M195" s="265"/>
      <c r="N195" s="173" t="s">
        <v>679</v>
      </c>
      <c r="O195" s="173" t="s">
        <v>225</v>
      </c>
      <c r="P195" s="262" t="str">
        <f t="shared" si="1"/>
        <v>IN-BLR-ANANTA-HLI-213_2</v>
      </c>
      <c r="Q195" s="173" t="s">
        <v>1671</v>
      </c>
      <c r="R195" s="258" t="str">
        <f>IFS(C195="","",C195="n/a","N/A",LEN(C195),Concatenate("{",char(34),"asset",char(34),":{",char(34),"guid",char(34),":",char(34),Q195,char(34),",",char(34),"site",char(34),":",char(34),LOWER('2-Building'!$B$4),char(34),",",char(34),"name",char(34),":",char(34),LOWER(C195),char(34),"}}"))</f>
        <v>{"asset":{"guid":"uuid://9391a76e-ecd5-4670-96b5-8db8f27e8fec","site":"in-blr-ananta","name":"hli-213"}}</v>
      </c>
      <c r="S195" s="258" t="s">
        <v>681</v>
      </c>
      <c r="T195" s="263"/>
      <c r="U195" s="263"/>
      <c r="V195" s="264">
        <v>2.23</v>
      </c>
      <c r="W195" s="33" t="s">
        <v>682</v>
      </c>
      <c r="X195" s="258" t="s">
        <v>1616</v>
      </c>
      <c r="Y195" s="33" t="s">
        <v>1617</v>
      </c>
      <c r="Z195" s="258">
        <v>14213.0</v>
      </c>
      <c r="AA195" s="258">
        <v>11501.0</v>
      </c>
      <c r="AB195" s="258"/>
      <c r="AC195" s="258"/>
      <c r="AD195" s="265"/>
      <c r="AE195" s="266" t="s">
        <v>685</v>
      </c>
      <c r="AF195" s="267" t="s">
        <v>1672</v>
      </c>
      <c r="AG195" s="268" t="str">
        <f>IFS(LEN(AF195)=17,LOWER('2-Building'!$B$4 &amp; "-" &amp; C195), AF195="N/A", "N/A", LEN(AF195)=0,"")</f>
        <v>in-blr-ananta-hli-213</v>
      </c>
      <c r="AH195" s="258"/>
      <c r="AI195" s="258"/>
      <c r="AJ195" s="258"/>
      <c r="AK195" s="258" t="s">
        <v>1673</v>
      </c>
      <c r="AL195" s="258" t="s">
        <v>688</v>
      </c>
      <c r="AM195" s="258" t="s">
        <v>689</v>
      </c>
      <c r="AN195" s="258"/>
      <c r="AO195" s="258"/>
      <c r="AP195" s="258"/>
      <c r="AQ195" s="258"/>
      <c r="AR195" s="258" t="s">
        <v>690</v>
      </c>
      <c r="AS195" s="258" t="s">
        <v>691</v>
      </c>
      <c r="AT195" s="258" t="s">
        <v>937</v>
      </c>
      <c r="AU195" s="265" t="s">
        <v>693</v>
      </c>
      <c r="AV195" s="174" t="s">
        <v>243</v>
      </c>
      <c r="AW195" s="269" t="s">
        <v>245</v>
      </c>
      <c r="AX195" s="269" t="s">
        <v>694</v>
      </c>
      <c r="AY195" s="270" t="s">
        <v>695</v>
      </c>
      <c r="AZ195" s="173" t="s">
        <v>681</v>
      </c>
      <c r="BA195" s="265">
        <v>10.0</v>
      </c>
      <c r="BB195" s="174" t="s">
        <v>225</v>
      </c>
      <c r="BC195" s="271"/>
      <c r="BD195" s="272" t="s">
        <v>696</v>
      </c>
      <c r="BE195" s="273" t="s">
        <v>697</v>
      </c>
      <c r="BF195" s="274" t="str">
        <f>IFERROR(__xludf.DUMMYFUNCTION("LOWER(Regexreplace(to_text(E195),""[^A-Za-z0-9]"","""")&amp;""_""&amp;Regexreplace(to_text(F195),""[^A-Za-z0-9]"",""""))"),"sauter_eygt103f001")</f>
        <v>sauter_eygt103f001</v>
      </c>
      <c r="BG195" s="275" t="str">
        <f>IFERROR(__xludf.DUMMYFUNCTION("upper(Regexreplace(to_text(E195),""[^A-Za-z0-9]"","""")&amp;""-""&amp;Regexreplace(to_text(F195),""[^A-Za-z0-9]"",""""))"),"SAUTER-EYGT103F001")</f>
        <v>SAUTER-EYGT103F001</v>
      </c>
    </row>
    <row r="196" ht="30.0" customHeight="1">
      <c r="A196" s="173">
        <v>189.0</v>
      </c>
      <c r="B196" s="256" t="s">
        <v>670</v>
      </c>
      <c r="C196" s="257" t="s">
        <v>1674</v>
      </c>
      <c r="D196" s="173" t="s">
        <v>1674</v>
      </c>
      <c r="E196" s="174" t="s">
        <v>672</v>
      </c>
      <c r="F196" s="173" t="s">
        <v>512</v>
      </c>
      <c r="G196" s="258" t="s">
        <v>673</v>
      </c>
      <c r="H196" s="258" t="s">
        <v>674</v>
      </c>
      <c r="I196" s="258" t="s">
        <v>1614</v>
      </c>
      <c r="J196" s="259" t="s">
        <v>902</v>
      </c>
      <c r="K196" s="260" t="s">
        <v>1675</v>
      </c>
      <c r="L196" s="258" t="s">
        <v>954</v>
      </c>
      <c r="M196" s="265"/>
      <c r="N196" s="173" t="s">
        <v>679</v>
      </c>
      <c r="O196" s="173" t="s">
        <v>225</v>
      </c>
      <c r="P196" s="262" t="str">
        <f t="shared" si="1"/>
        <v>IN-BLR-ANANTA-HLI-214_2</v>
      </c>
      <c r="Q196" s="173" t="s">
        <v>1676</v>
      </c>
      <c r="R196" s="258" t="str">
        <f>IFS(C196="","",C196="n/a","N/A",LEN(C196),Concatenate("{",char(34),"asset",char(34),":{",char(34),"guid",char(34),":",char(34),Q196,char(34),",",char(34),"site",char(34),":",char(34),LOWER('2-Building'!$B$4),char(34),",",char(34),"name",char(34),":",char(34),LOWER(C196),char(34),"}}"))</f>
        <v>{"asset":{"guid":"uuid://64eaf74d-0653-477b-a226-f767d5747e84","site":"in-blr-ananta","name":"hli-214"}}</v>
      </c>
      <c r="S196" s="258" t="s">
        <v>681</v>
      </c>
      <c r="T196" s="263"/>
      <c r="U196" s="263"/>
      <c r="V196" s="264">
        <v>2.23</v>
      </c>
      <c r="W196" s="33" t="s">
        <v>682</v>
      </c>
      <c r="X196" s="258" t="s">
        <v>1616</v>
      </c>
      <c r="Y196" s="33" t="s">
        <v>1617</v>
      </c>
      <c r="Z196" s="258">
        <v>14214.0</v>
      </c>
      <c r="AA196" s="258">
        <v>11501.0</v>
      </c>
      <c r="AB196" s="258"/>
      <c r="AC196" s="258"/>
      <c r="AD196" s="265"/>
      <c r="AE196" s="266" t="s">
        <v>685</v>
      </c>
      <c r="AF196" s="267" t="s">
        <v>1677</v>
      </c>
      <c r="AG196" s="268" t="str">
        <f>IFS(LEN(AF196)=17,LOWER('2-Building'!$B$4 &amp; "-" &amp; C196), AF196="N/A", "N/A", LEN(AF196)=0,"")</f>
        <v>in-blr-ananta-hli-214</v>
      </c>
      <c r="AH196" s="258"/>
      <c r="AI196" s="258"/>
      <c r="AJ196" s="258"/>
      <c r="AK196" s="258" t="s">
        <v>1678</v>
      </c>
      <c r="AL196" s="258" t="s">
        <v>688</v>
      </c>
      <c r="AM196" s="258" t="s">
        <v>689</v>
      </c>
      <c r="AN196" s="258"/>
      <c r="AO196" s="258"/>
      <c r="AP196" s="258"/>
      <c r="AQ196" s="258"/>
      <c r="AR196" s="258" t="s">
        <v>690</v>
      </c>
      <c r="AS196" s="258" t="s">
        <v>691</v>
      </c>
      <c r="AT196" s="258" t="s">
        <v>958</v>
      </c>
      <c r="AU196" s="265" t="s">
        <v>693</v>
      </c>
      <c r="AV196" s="174" t="s">
        <v>243</v>
      </c>
      <c r="AW196" s="269" t="s">
        <v>245</v>
      </c>
      <c r="AX196" s="269" t="s">
        <v>694</v>
      </c>
      <c r="AY196" s="270" t="s">
        <v>695</v>
      </c>
      <c r="AZ196" s="173" t="s">
        <v>681</v>
      </c>
      <c r="BA196" s="265">
        <v>10.0</v>
      </c>
      <c r="BB196" s="174" t="s">
        <v>225</v>
      </c>
      <c r="BC196" s="271"/>
      <c r="BD196" s="272" t="s">
        <v>696</v>
      </c>
      <c r="BE196" s="273" t="s">
        <v>697</v>
      </c>
      <c r="BF196" s="274" t="str">
        <f>IFERROR(__xludf.DUMMYFUNCTION("LOWER(Regexreplace(to_text(E196),""[^A-Za-z0-9]"","""")&amp;""_""&amp;Regexreplace(to_text(F196),""[^A-Za-z0-9]"",""""))"),"sauter_eygt103f001")</f>
        <v>sauter_eygt103f001</v>
      </c>
      <c r="BG196" s="275" t="str">
        <f>IFERROR(__xludf.DUMMYFUNCTION("upper(Regexreplace(to_text(E196),""[^A-Za-z0-9]"","""")&amp;""-""&amp;Regexreplace(to_text(F196),""[^A-Za-z0-9]"",""""))"),"SAUTER-EYGT103F001")</f>
        <v>SAUTER-EYGT103F001</v>
      </c>
    </row>
    <row r="197" ht="30.0" customHeight="1">
      <c r="A197" s="258">
        <v>190.0</v>
      </c>
      <c r="B197" s="256" t="s">
        <v>670</v>
      </c>
      <c r="C197" s="257" t="s">
        <v>1679</v>
      </c>
      <c r="D197" s="173" t="s">
        <v>1679</v>
      </c>
      <c r="E197" s="174" t="s">
        <v>672</v>
      </c>
      <c r="F197" s="173" t="s">
        <v>512</v>
      </c>
      <c r="G197" s="258" t="s">
        <v>673</v>
      </c>
      <c r="H197" s="258" t="s">
        <v>674</v>
      </c>
      <c r="I197" s="258" t="s">
        <v>1614</v>
      </c>
      <c r="J197" s="259" t="s">
        <v>965</v>
      </c>
      <c r="K197" s="260" t="s">
        <v>1680</v>
      </c>
      <c r="L197" s="258" t="s">
        <v>966</v>
      </c>
      <c r="M197" s="265"/>
      <c r="N197" s="173" t="s">
        <v>679</v>
      </c>
      <c r="O197" s="173" t="s">
        <v>225</v>
      </c>
      <c r="P197" s="262" t="str">
        <f t="shared" si="1"/>
        <v>IN-BLR-ANANTA-HLI-215_3</v>
      </c>
      <c r="Q197" s="173" t="s">
        <v>1681</v>
      </c>
      <c r="R197" s="258" t="str">
        <f>IFS(C197="","",C197="n/a","N/A",LEN(C197),Concatenate("{",char(34),"asset",char(34),":{",char(34),"guid",char(34),":",char(34),Q197,char(34),",",char(34),"site",char(34),":",char(34),LOWER('2-Building'!$B$4),char(34),",",char(34),"name",char(34),":",char(34),LOWER(C197),char(34),"}}"))</f>
        <v>{"asset":{"guid":"uuid://fbd9b26d-b4dc-4754-a9c9-b6ea0ffee9ad","site":"in-blr-ananta","name":"hli-215"}}</v>
      </c>
      <c r="S197" s="258" t="s">
        <v>681</v>
      </c>
      <c r="T197" s="263"/>
      <c r="U197" s="263"/>
      <c r="V197" s="264">
        <v>2.23</v>
      </c>
      <c r="W197" s="33" t="s">
        <v>682</v>
      </c>
      <c r="X197" s="258" t="s">
        <v>1616</v>
      </c>
      <c r="Y197" s="33" t="s">
        <v>1617</v>
      </c>
      <c r="Z197" s="258">
        <v>14215.0</v>
      </c>
      <c r="AA197" s="258">
        <v>11501.0</v>
      </c>
      <c r="AB197" s="258"/>
      <c r="AC197" s="258"/>
      <c r="AD197" s="265"/>
      <c r="AE197" s="266" t="s">
        <v>685</v>
      </c>
      <c r="AF197" s="267" t="s">
        <v>1682</v>
      </c>
      <c r="AG197" s="268" t="str">
        <f>IFS(LEN(AF197)=17,LOWER('2-Building'!$B$4 &amp; "-" &amp; C197), AF197="N/A", "N/A", LEN(AF197)=0,"")</f>
        <v>in-blr-ananta-hli-215</v>
      </c>
      <c r="AH197" s="258"/>
      <c r="AI197" s="258"/>
      <c r="AJ197" s="258"/>
      <c r="AK197" s="258" t="s">
        <v>1683</v>
      </c>
      <c r="AL197" s="258" t="s">
        <v>688</v>
      </c>
      <c r="AM197" s="258" t="s">
        <v>689</v>
      </c>
      <c r="AN197" s="258"/>
      <c r="AO197" s="258"/>
      <c r="AP197" s="258"/>
      <c r="AQ197" s="258"/>
      <c r="AR197" s="258" t="s">
        <v>690</v>
      </c>
      <c r="AS197" s="258" t="s">
        <v>691</v>
      </c>
      <c r="AT197" s="258" t="s">
        <v>1684</v>
      </c>
      <c r="AU197" s="265" t="s">
        <v>693</v>
      </c>
      <c r="AV197" s="174" t="s">
        <v>243</v>
      </c>
      <c r="AW197" s="269" t="s">
        <v>245</v>
      </c>
      <c r="AX197" s="269" t="s">
        <v>694</v>
      </c>
      <c r="AY197" s="270" t="s">
        <v>695</v>
      </c>
      <c r="AZ197" s="173" t="s">
        <v>681</v>
      </c>
      <c r="BA197" s="265">
        <v>10.0</v>
      </c>
      <c r="BB197" s="174" t="s">
        <v>225</v>
      </c>
      <c r="BC197" s="271"/>
      <c r="BD197" s="272" t="s">
        <v>696</v>
      </c>
      <c r="BE197" s="273" t="s">
        <v>697</v>
      </c>
      <c r="BF197" s="274" t="str">
        <f>IFERROR(__xludf.DUMMYFUNCTION("LOWER(Regexreplace(to_text(E197),""[^A-Za-z0-9]"","""")&amp;""_""&amp;Regexreplace(to_text(F197),""[^A-Za-z0-9]"",""""))"),"sauter_eygt103f001")</f>
        <v>sauter_eygt103f001</v>
      </c>
      <c r="BG197" s="275" t="str">
        <f>IFERROR(__xludf.DUMMYFUNCTION("upper(Regexreplace(to_text(E197),""[^A-Za-z0-9]"","""")&amp;""-""&amp;Regexreplace(to_text(F197),""[^A-Za-z0-9]"",""""))"),"SAUTER-EYGT103F001")</f>
        <v>SAUTER-EYGT103F001</v>
      </c>
    </row>
    <row r="198" ht="30.0" customHeight="1">
      <c r="A198" s="173">
        <v>191.0</v>
      </c>
      <c r="B198" s="256" t="s">
        <v>670</v>
      </c>
      <c r="C198" s="257" t="s">
        <v>1685</v>
      </c>
      <c r="D198" s="173" t="s">
        <v>1685</v>
      </c>
      <c r="E198" s="174" t="s">
        <v>672</v>
      </c>
      <c r="F198" s="173" t="s">
        <v>512</v>
      </c>
      <c r="G198" s="258" t="s">
        <v>673</v>
      </c>
      <c r="H198" s="258" t="s">
        <v>674</v>
      </c>
      <c r="I198" s="258" t="s">
        <v>1614</v>
      </c>
      <c r="J198" s="259" t="s">
        <v>965</v>
      </c>
      <c r="K198" s="260" t="s">
        <v>1686</v>
      </c>
      <c r="L198" s="258" t="s">
        <v>1048</v>
      </c>
      <c r="M198" s="265"/>
      <c r="N198" s="173" t="s">
        <v>679</v>
      </c>
      <c r="O198" s="173" t="s">
        <v>225</v>
      </c>
      <c r="P198" s="262" t="str">
        <f t="shared" si="1"/>
        <v>IN-BLR-ANANTA-HLI-216_3</v>
      </c>
      <c r="Q198" s="173" t="s">
        <v>1687</v>
      </c>
      <c r="R198" s="258" t="str">
        <f>IFS(C198="","",C198="n/a","N/A",LEN(C198),Concatenate("{",char(34),"asset",char(34),":{",char(34),"guid",char(34),":",char(34),Q198,char(34),",",char(34),"site",char(34),":",char(34),LOWER('2-Building'!$B$4),char(34),",",char(34),"name",char(34),":",char(34),LOWER(C198),char(34),"}}"))</f>
        <v>{"asset":{"guid":"uuid://9ddfce80-b33d-44bf-91e0-7e77571615c7","site":"in-blr-ananta","name":"hli-216"}}</v>
      </c>
      <c r="S198" s="258" t="s">
        <v>681</v>
      </c>
      <c r="T198" s="263"/>
      <c r="U198" s="263"/>
      <c r="V198" s="264">
        <v>2.23</v>
      </c>
      <c r="W198" s="33" t="s">
        <v>682</v>
      </c>
      <c r="X198" s="258" t="s">
        <v>1616</v>
      </c>
      <c r="Y198" s="33" t="s">
        <v>1617</v>
      </c>
      <c r="Z198" s="258">
        <v>14216.0</v>
      </c>
      <c r="AA198" s="258">
        <v>11501.0</v>
      </c>
      <c r="AB198" s="258"/>
      <c r="AC198" s="258"/>
      <c r="AD198" s="265"/>
      <c r="AE198" s="266" t="s">
        <v>685</v>
      </c>
      <c r="AF198" s="267" t="s">
        <v>1688</v>
      </c>
      <c r="AG198" s="268" t="str">
        <f>IFS(LEN(AF198)=17,LOWER('2-Building'!$B$4 &amp; "-" &amp; C198), AF198="N/A", "N/A", LEN(AF198)=0,"")</f>
        <v>in-blr-ananta-hli-216</v>
      </c>
      <c r="AH198" s="258"/>
      <c r="AI198" s="258"/>
      <c r="AJ198" s="258"/>
      <c r="AK198" s="258" t="s">
        <v>1689</v>
      </c>
      <c r="AL198" s="258" t="s">
        <v>688</v>
      </c>
      <c r="AM198" s="258" t="s">
        <v>689</v>
      </c>
      <c r="AN198" s="258"/>
      <c r="AO198" s="258"/>
      <c r="AP198" s="258"/>
      <c r="AQ198" s="258"/>
      <c r="AR198" s="258" t="s">
        <v>690</v>
      </c>
      <c r="AS198" s="258" t="s">
        <v>691</v>
      </c>
      <c r="AT198" s="258" t="s">
        <v>927</v>
      </c>
      <c r="AU198" s="265" t="s">
        <v>693</v>
      </c>
      <c r="AV198" s="174" t="s">
        <v>243</v>
      </c>
      <c r="AW198" s="269" t="s">
        <v>245</v>
      </c>
      <c r="AX198" s="269" t="s">
        <v>694</v>
      </c>
      <c r="AY198" s="270" t="s">
        <v>695</v>
      </c>
      <c r="AZ198" s="173" t="s">
        <v>681</v>
      </c>
      <c r="BA198" s="265">
        <v>10.0</v>
      </c>
      <c r="BB198" s="174" t="s">
        <v>225</v>
      </c>
      <c r="BC198" s="271"/>
      <c r="BD198" s="272" t="s">
        <v>696</v>
      </c>
      <c r="BE198" s="273" t="s">
        <v>697</v>
      </c>
      <c r="BF198" s="274" t="str">
        <f>IFERROR(__xludf.DUMMYFUNCTION("LOWER(Regexreplace(to_text(E198),""[^A-Za-z0-9]"","""")&amp;""_""&amp;Regexreplace(to_text(F198),""[^A-Za-z0-9]"",""""))"),"sauter_eygt103f001")</f>
        <v>sauter_eygt103f001</v>
      </c>
      <c r="BG198" s="275" t="str">
        <f>IFERROR(__xludf.DUMMYFUNCTION("upper(Regexreplace(to_text(E198),""[^A-Za-z0-9]"","""")&amp;""-""&amp;Regexreplace(to_text(F198),""[^A-Za-z0-9]"",""""))"),"SAUTER-EYGT103F001")</f>
        <v>SAUTER-EYGT103F001</v>
      </c>
    </row>
    <row r="199" ht="30.0" customHeight="1">
      <c r="A199" s="258">
        <v>192.0</v>
      </c>
      <c r="B199" s="256" t="s">
        <v>670</v>
      </c>
      <c r="C199" s="257" t="s">
        <v>1690</v>
      </c>
      <c r="D199" s="173" t="s">
        <v>1690</v>
      </c>
      <c r="E199" s="174" t="s">
        <v>672</v>
      </c>
      <c r="F199" s="173" t="s">
        <v>512</v>
      </c>
      <c r="G199" s="258" t="s">
        <v>673</v>
      </c>
      <c r="H199" s="258" t="s">
        <v>674</v>
      </c>
      <c r="I199" s="258" t="s">
        <v>1614</v>
      </c>
      <c r="J199" s="259" t="s">
        <v>1026</v>
      </c>
      <c r="K199" s="260" t="s">
        <v>1691</v>
      </c>
      <c r="L199" s="258" t="s">
        <v>1058</v>
      </c>
      <c r="M199" s="265"/>
      <c r="N199" s="173" t="s">
        <v>679</v>
      </c>
      <c r="O199" s="173" t="s">
        <v>225</v>
      </c>
      <c r="P199" s="262" t="str">
        <f t="shared" si="1"/>
        <v>IN-BLR-ANANTA-HLI-217_4</v>
      </c>
      <c r="Q199" s="173" t="s">
        <v>1692</v>
      </c>
      <c r="R199" s="258" t="str">
        <f>IFS(C199="","",C199="n/a","N/A",LEN(C199),Concatenate("{",char(34),"asset",char(34),":{",char(34),"guid",char(34),":",char(34),Q199,char(34),",",char(34),"site",char(34),":",char(34),LOWER('2-Building'!$B$4),char(34),",",char(34),"name",char(34),":",char(34),LOWER(C199),char(34),"}}"))</f>
        <v>{"asset":{"guid":"uuid://ce6693fa-e342-480b-821d-0637d3898bab","site":"in-blr-ananta","name":"hli-217"}}</v>
      </c>
      <c r="S199" s="258" t="s">
        <v>681</v>
      </c>
      <c r="T199" s="263"/>
      <c r="U199" s="263"/>
      <c r="V199" s="264">
        <v>2.23</v>
      </c>
      <c r="W199" s="33" t="s">
        <v>682</v>
      </c>
      <c r="X199" s="258" t="s">
        <v>1616</v>
      </c>
      <c r="Y199" s="33" t="s">
        <v>1617</v>
      </c>
      <c r="Z199" s="258">
        <v>14217.0</v>
      </c>
      <c r="AA199" s="258">
        <v>11501.0</v>
      </c>
      <c r="AB199" s="258"/>
      <c r="AC199" s="258"/>
      <c r="AD199" s="265"/>
      <c r="AE199" s="266" t="s">
        <v>685</v>
      </c>
      <c r="AF199" s="267" t="s">
        <v>1693</v>
      </c>
      <c r="AG199" s="268" t="str">
        <f>IFS(LEN(AF199)=17,LOWER('2-Building'!$B$4 &amp; "-" &amp; C199), AF199="N/A", "N/A", LEN(AF199)=0,"")</f>
        <v>in-blr-ananta-hli-217</v>
      </c>
      <c r="AH199" s="258"/>
      <c r="AI199" s="258"/>
      <c r="AJ199" s="258"/>
      <c r="AK199" s="258" t="s">
        <v>1694</v>
      </c>
      <c r="AL199" s="258" t="s">
        <v>688</v>
      </c>
      <c r="AM199" s="258" t="s">
        <v>689</v>
      </c>
      <c r="AN199" s="258"/>
      <c r="AO199" s="258"/>
      <c r="AP199" s="258"/>
      <c r="AQ199" s="258"/>
      <c r="AR199" s="258" t="s">
        <v>690</v>
      </c>
      <c r="AS199" s="258" t="s">
        <v>691</v>
      </c>
      <c r="AT199" s="258" t="s">
        <v>937</v>
      </c>
      <c r="AU199" s="265" t="s">
        <v>693</v>
      </c>
      <c r="AV199" s="174" t="s">
        <v>243</v>
      </c>
      <c r="AW199" s="269" t="s">
        <v>245</v>
      </c>
      <c r="AX199" s="269" t="s">
        <v>694</v>
      </c>
      <c r="AY199" s="270" t="s">
        <v>695</v>
      </c>
      <c r="AZ199" s="173" t="s">
        <v>681</v>
      </c>
      <c r="BA199" s="265">
        <v>10.0</v>
      </c>
      <c r="BB199" s="174" t="s">
        <v>225</v>
      </c>
      <c r="BC199" s="271"/>
      <c r="BD199" s="272" t="s">
        <v>696</v>
      </c>
      <c r="BE199" s="273" t="s">
        <v>697</v>
      </c>
      <c r="BF199" s="274" t="str">
        <f>IFERROR(__xludf.DUMMYFUNCTION("LOWER(Regexreplace(to_text(E199),""[^A-Za-z0-9]"","""")&amp;""_""&amp;Regexreplace(to_text(F199),""[^A-Za-z0-9]"",""""))"),"sauter_eygt103f001")</f>
        <v>sauter_eygt103f001</v>
      </c>
      <c r="BG199" s="275" t="str">
        <f>IFERROR(__xludf.DUMMYFUNCTION("upper(Regexreplace(to_text(E199),""[^A-Za-z0-9]"","""")&amp;""-""&amp;Regexreplace(to_text(F199),""[^A-Za-z0-9]"",""""))"),"SAUTER-EYGT103F001")</f>
        <v>SAUTER-EYGT103F001</v>
      </c>
    </row>
    <row r="200" ht="30.0" customHeight="1">
      <c r="A200" s="173">
        <v>193.0</v>
      </c>
      <c r="B200" s="256" t="s">
        <v>670</v>
      </c>
      <c r="C200" s="257" t="s">
        <v>1695</v>
      </c>
      <c r="D200" s="173" t="s">
        <v>1695</v>
      </c>
      <c r="E200" s="174" t="s">
        <v>672</v>
      </c>
      <c r="F200" s="173" t="s">
        <v>512</v>
      </c>
      <c r="G200" s="258" t="s">
        <v>673</v>
      </c>
      <c r="H200" s="258" t="s">
        <v>674</v>
      </c>
      <c r="I200" s="258" t="s">
        <v>1614</v>
      </c>
      <c r="J200" s="259" t="s">
        <v>1026</v>
      </c>
      <c r="K200" s="260" t="s">
        <v>1696</v>
      </c>
      <c r="L200" s="258" t="s">
        <v>1038</v>
      </c>
      <c r="M200" s="265"/>
      <c r="N200" s="173" t="s">
        <v>679</v>
      </c>
      <c r="O200" s="173" t="s">
        <v>225</v>
      </c>
      <c r="P200" s="262" t="str">
        <f t="shared" si="1"/>
        <v>IN-BLR-ANANTA-HLI-218_4</v>
      </c>
      <c r="Q200" s="173" t="s">
        <v>1697</v>
      </c>
      <c r="R200" s="258" t="str">
        <f>IFS(C200="","",C200="n/a","N/A",LEN(C200),Concatenate("{",char(34),"asset",char(34),":{",char(34),"guid",char(34),":",char(34),Q200,char(34),",",char(34),"site",char(34),":",char(34),LOWER('2-Building'!$B$4),char(34),",",char(34),"name",char(34),":",char(34),LOWER(C200),char(34),"}}"))</f>
        <v>{"asset":{"guid":"uuid://f6a46821-5f00-4fed-b24c-eb091695e80b","site":"in-blr-ananta","name":"hli-218"}}</v>
      </c>
      <c r="S200" s="258" t="s">
        <v>681</v>
      </c>
      <c r="T200" s="263"/>
      <c r="U200" s="263"/>
      <c r="V200" s="264">
        <v>2.23</v>
      </c>
      <c r="W200" s="33" t="s">
        <v>682</v>
      </c>
      <c r="X200" s="258" t="s">
        <v>1616</v>
      </c>
      <c r="Y200" s="33" t="s">
        <v>1617</v>
      </c>
      <c r="Z200" s="258">
        <v>14218.0</v>
      </c>
      <c r="AA200" s="258">
        <v>11501.0</v>
      </c>
      <c r="AB200" s="258"/>
      <c r="AC200" s="258"/>
      <c r="AD200" s="265"/>
      <c r="AE200" s="266" t="s">
        <v>685</v>
      </c>
      <c r="AF200" s="267" t="s">
        <v>1698</v>
      </c>
      <c r="AG200" s="268" t="str">
        <f>IFS(LEN(AF200)=17,LOWER('2-Building'!$B$4 &amp; "-" &amp; C200), AF200="N/A", "N/A", LEN(AF200)=0,"")</f>
        <v>in-blr-ananta-hli-218</v>
      </c>
      <c r="AH200" s="258"/>
      <c r="AI200" s="258"/>
      <c r="AJ200" s="258"/>
      <c r="AK200" s="258" t="s">
        <v>1699</v>
      </c>
      <c r="AL200" s="258" t="s">
        <v>688</v>
      </c>
      <c r="AM200" s="258" t="s">
        <v>689</v>
      </c>
      <c r="AN200" s="258"/>
      <c r="AO200" s="258"/>
      <c r="AP200" s="258"/>
      <c r="AQ200" s="258"/>
      <c r="AR200" s="258" t="s">
        <v>690</v>
      </c>
      <c r="AS200" s="258" t="s">
        <v>691</v>
      </c>
      <c r="AT200" s="258" t="s">
        <v>917</v>
      </c>
      <c r="AU200" s="265" t="s">
        <v>693</v>
      </c>
      <c r="AV200" s="174" t="s">
        <v>243</v>
      </c>
      <c r="AW200" s="269" t="s">
        <v>245</v>
      </c>
      <c r="AX200" s="269" t="s">
        <v>694</v>
      </c>
      <c r="AY200" s="270" t="s">
        <v>695</v>
      </c>
      <c r="AZ200" s="173" t="s">
        <v>681</v>
      </c>
      <c r="BA200" s="265">
        <v>10.0</v>
      </c>
      <c r="BB200" s="174" t="s">
        <v>225</v>
      </c>
      <c r="BC200" s="271"/>
      <c r="BD200" s="272" t="s">
        <v>696</v>
      </c>
      <c r="BE200" s="273" t="s">
        <v>697</v>
      </c>
      <c r="BF200" s="274" t="str">
        <f>IFERROR(__xludf.DUMMYFUNCTION("LOWER(Regexreplace(to_text(E200),""[^A-Za-z0-9]"","""")&amp;""_""&amp;Regexreplace(to_text(F200),""[^A-Za-z0-9]"",""""))"),"sauter_eygt103f001")</f>
        <v>sauter_eygt103f001</v>
      </c>
      <c r="BG200" s="275" t="str">
        <f>IFERROR(__xludf.DUMMYFUNCTION("upper(Regexreplace(to_text(E200),""[^A-Za-z0-9]"","""")&amp;""-""&amp;Regexreplace(to_text(F200),""[^A-Za-z0-9]"",""""))"),"SAUTER-EYGT103F001")</f>
        <v>SAUTER-EYGT103F001</v>
      </c>
    </row>
    <row r="201" ht="30.0" customHeight="1">
      <c r="A201" s="258">
        <v>194.0</v>
      </c>
      <c r="B201" s="256" t="s">
        <v>670</v>
      </c>
      <c r="C201" s="257" t="s">
        <v>1700</v>
      </c>
      <c r="D201" s="173" t="s">
        <v>1700</v>
      </c>
      <c r="E201" s="174" t="s">
        <v>672</v>
      </c>
      <c r="F201" s="173" t="s">
        <v>512</v>
      </c>
      <c r="G201" s="258" t="s">
        <v>673</v>
      </c>
      <c r="H201" s="258" t="s">
        <v>674</v>
      </c>
      <c r="I201" s="258" t="s">
        <v>1614</v>
      </c>
      <c r="J201" s="259" t="s">
        <v>1088</v>
      </c>
      <c r="K201" s="260" t="s">
        <v>1701</v>
      </c>
      <c r="L201" s="258" t="s">
        <v>1129</v>
      </c>
      <c r="M201" s="265"/>
      <c r="N201" s="173" t="s">
        <v>679</v>
      </c>
      <c r="O201" s="173" t="s">
        <v>225</v>
      </c>
      <c r="P201" s="262" t="str">
        <f t="shared" si="1"/>
        <v>IN-BLR-ANANTA-HLI-219_5</v>
      </c>
      <c r="Q201" s="173" t="s">
        <v>1702</v>
      </c>
      <c r="R201" s="258" t="str">
        <f>IFS(C201="","",C201="n/a","N/A",LEN(C201),Concatenate("{",char(34),"asset",char(34),":{",char(34),"guid",char(34),":",char(34),Q201,char(34),",",char(34),"site",char(34),":",char(34),LOWER('2-Building'!$B$4),char(34),",",char(34),"name",char(34),":",char(34),LOWER(C201),char(34),"}}"))</f>
        <v>{"asset":{"guid":"uuid://307e74f4-a36c-41cf-8b94-58f209a68b6b","site":"in-blr-ananta","name":"hli-219"}}</v>
      </c>
      <c r="S201" s="258" t="s">
        <v>681</v>
      </c>
      <c r="T201" s="263"/>
      <c r="U201" s="263"/>
      <c r="V201" s="264">
        <v>2.23</v>
      </c>
      <c r="W201" s="33" t="s">
        <v>682</v>
      </c>
      <c r="X201" s="258" t="s">
        <v>1616</v>
      </c>
      <c r="Y201" s="33" t="s">
        <v>1617</v>
      </c>
      <c r="Z201" s="258">
        <v>14219.0</v>
      </c>
      <c r="AA201" s="258">
        <v>11501.0</v>
      </c>
      <c r="AB201" s="258"/>
      <c r="AC201" s="258"/>
      <c r="AD201" s="265"/>
      <c r="AE201" s="266" t="s">
        <v>685</v>
      </c>
      <c r="AF201" s="267" t="s">
        <v>1703</v>
      </c>
      <c r="AG201" s="268" t="str">
        <f>IFS(LEN(AF201)=17,LOWER('2-Building'!$B$4 &amp; "-" &amp; C201), AF201="N/A", "N/A", LEN(AF201)=0,"")</f>
        <v>in-blr-ananta-hli-219</v>
      </c>
      <c r="AH201" s="258"/>
      <c r="AI201" s="258"/>
      <c r="AJ201" s="258"/>
      <c r="AK201" s="258" t="s">
        <v>1704</v>
      </c>
      <c r="AL201" s="258" t="s">
        <v>688</v>
      </c>
      <c r="AM201" s="258" t="s">
        <v>689</v>
      </c>
      <c r="AN201" s="258"/>
      <c r="AO201" s="258"/>
      <c r="AP201" s="258"/>
      <c r="AQ201" s="258"/>
      <c r="AR201" s="258" t="s">
        <v>690</v>
      </c>
      <c r="AS201" s="258" t="s">
        <v>691</v>
      </c>
      <c r="AT201" s="258" t="s">
        <v>947</v>
      </c>
      <c r="AU201" s="265" t="s">
        <v>693</v>
      </c>
      <c r="AV201" s="174" t="s">
        <v>243</v>
      </c>
      <c r="AW201" s="269" t="s">
        <v>245</v>
      </c>
      <c r="AX201" s="269" t="s">
        <v>694</v>
      </c>
      <c r="AY201" s="270" t="s">
        <v>695</v>
      </c>
      <c r="AZ201" s="173" t="s">
        <v>681</v>
      </c>
      <c r="BA201" s="265">
        <v>10.0</v>
      </c>
      <c r="BB201" s="174" t="s">
        <v>225</v>
      </c>
      <c r="BC201" s="271"/>
      <c r="BD201" s="272" t="s">
        <v>696</v>
      </c>
      <c r="BE201" s="273" t="s">
        <v>697</v>
      </c>
      <c r="BF201" s="274" t="str">
        <f>IFERROR(__xludf.DUMMYFUNCTION("LOWER(Regexreplace(to_text(E201),""[^A-Za-z0-9]"","""")&amp;""_""&amp;Regexreplace(to_text(F201),""[^A-Za-z0-9]"",""""))"),"sauter_eygt103f001")</f>
        <v>sauter_eygt103f001</v>
      </c>
      <c r="BG201" s="275" t="str">
        <f>IFERROR(__xludf.DUMMYFUNCTION("upper(Regexreplace(to_text(E201),""[^A-Za-z0-9]"","""")&amp;""-""&amp;Regexreplace(to_text(F201),""[^A-Za-z0-9]"",""""))"),"SAUTER-EYGT103F001")</f>
        <v>SAUTER-EYGT103F001</v>
      </c>
    </row>
    <row r="202" ht="30.0" customHeight="1">
      <c r="A202" s="173">
        <v>195.0</v>
      </c>
      <c r="B202" s="256" t="s">
        <v>670</v>
      </c>
      <c r="C202" s="257" t="s">
        <v>1705</v>
      </c>
      <c r="D202" s="173" t="s">
        <v>1705</v>
      </c>
      <c r="E202" s="174" t="s">
        <v>672</v>
      </c>
      <c r="F202" s="173" t="s">
        <v>512</v>
      </c>
      <c r="G202" s="258" t="s">
        <v>673</v>
      </c>
      <c r="H202" s="258" t="s">
        <v>674</v>
      </c>
      <c r="I202" s="258" t="s">
        <v>1614</v>
      </c>
      <c r="J202" s="259" t="s">
        <v>1088</v>
      </c>
      <c r="K202" s="260" t="s">
        <v>1706</v>
      </c>
      <c r="L202" s="258" t="s">
        <v>1139</v>
      </c>
      <c r="M202" s="265"/>
      <c r="N202" s="173" t="s">
        <v>679</v>
      </c>
      <c r="O202" s="173" t="s">
        <v>225</v>
      </c>
      <c r="P202" s="262" t="str">
        <f t="shared" si="1"/>
        <v>IN-BLR-ANANTA-HLI-220_5</v>
      </c>
      <c r="Q202" s="173" t="s">
        <v>1707</v>
      </c>
      <c r="R202" s="258" t="str">
        <f>IFS(C202="","",C202="n/a","N/A",LEN(C202),Concatenate("{",char(34),"asset",char(34),":{",char(34),"guid",char(34),":",char(34),Q202,char(34),",",char(34),"site",char(34),":",char(34),LOWER('2-Building'!$B$4),char(34),",",char(34),"name",char(34),":",char(34),LOWER(C202),char(34),"}}"))</f>
        <v>{"asset":{"guid":"uuid://394413c3-6c5e-41db-a1eb-65f7868fe439","site":"in-blr-ananta","name":"hli-220"}}</v>
      </c>
      <c r="S202" s="258" t="s">
        <v>681</v>
      </c>
      <c r="T202" s="263"/>
      <c r="U202" s="263"/>
      <c r="V202" s="264">
        <v>2.23</v>
      </c>
      <c r="W202" s="33" t="s">
        <v>682</v>
      </c>
      <c r="X202" s="258" t="s">
        <v>1616</v>
      </c>
      <c r="Y202" s="33" t="s">
        <v>1617</v>
      </c>
      <c r="Z202" s="258">
        <v>14220.0</v>
      </c>
      <c r="AA202" s="258">
        <v>11501.0</v>
      </c>
      <c r="AB202" s="258"/>
      <c r="AC202" s="258"/>
      <c r="AD202" s="265"/>
      <c r="AE202" s="266" t="s">
        <v>685</v>
      </c>
      <c r="AF202" s="267" t="s">
        <v>1708</v>
      </c>
      <c r="AG202" s="268" t="str">
        <f>IFS(LEN(AF202)=17,LOWER('2-Building'!$B$4 &amp; "-" &amp; C202), AF202="N/A", "N/A", LEN(AF202)=0,"")</f>
        <v>in-blr-ananta-hli-220</v>
      </c>
      <c r="AH202" s="258"/>
      <c r="AI202" s="258"/>
      <c r="AJ202" s="258"/>
      <c r="AK202" s="258" t="s">
        <v>1709</v>
      </c>
      <c r="AL202" s="258" t="s">
        <v>688</v>
      </c>
      <c r="AM202" s="258" t="s">
        <v>689</v>
      </c>
      <c r="AN202" s="258"/>
      <c r="AO202" s="258"/>
      <c r="AP202" s="258"/>
      <c r="AQ202" s="258"/>
      <c r="AR202" s="258" t="s">
        <v>690</v>
      </c>
      <c r="AS202" s="258" t="s">
        <v>691</v>
      </c>
      <c r="AT202" s="258" t="s">
        <v>980</v>
      </c>
      <c r="AU202" s="265" t="s">
        <v>693</v>
      </c>
      <c r="AV202" s="174" t="s">
        <v>243</v>
      </c>
      <c r="AW202" s="269" t="s">
        <v>245</v>
      </c>
      <c r="AX202" s="269" t="s">
        <v>694</v>
      </c>
      <c r="AY202" s="270" t="s">
        <v>695</v>
      </c>
      <c r="AZ202" s="173" t="s">
        <v>681</v>
      </c>
      <c r="BA202" s="265">
        <v>10.0</v>
      </c>
      <c r="BB202" s="174" t="s">
        <v>225</v>
      </c>
      <c r="BC202" s="271"/>
      <c r="BD202" s="272" t="s">
        <v>696</v>
      </c>
      <c r="BE202" s="273" t="s">
        <v>697</v>
      </c>
      <c r="BF202" s="274" t="str">
        <f>IFERROR(__xludf.DUMMYFUNCTION("LOWER(Regexreplace(to_text(E202),""[^A-Za-z0-9]"","""")&amp;""_""&amp;Regexreplace(to_text(F202),""[^A-Za-z0-9]"",""""))"),"sauter_eygt103f001")</f>
        <v>sauter_eygt103f001</v>
      </c>
      <c r="BG202" s="275" t="str">
        <f>IFERROR(__xludf.DUMMYFUNCTION("upper(Regexreplace(to_text(E202),""[^A-Za-z0-9]"","""")&amp;""-""&amp;Regexreplace(to_text(F202),""[^A-Za-z0-9]"",""""))"),"SAUTER-EYGT103F001")</f>
        <v>SAUTER-EYGT103F001</v>
      </c>
    </row>
    <row r="203" ht="30.0" customHeight="1">
      <c r="A203" s="258">
        <v>196.0</v>
      </c>
      <c r="B203" s="256" t="s">
        <v>670</v>
      </c>
      <c r="C203" s="257" t="s">
        <v>1710</v>
      </c>
      <c r="D203" s="173" t="s">
        <v>1710</v>
      </c>
      <c r="E203" s="174" t="s">
        <v>672</v>
      </c>
      <c r="F203" s="173" t="s">
        <v>512</v>
      </c>
      <c r="G203" s="258" t="s">
        <v>673</v>
      </c>
      <c r="H203" s="258" t="s">
        <v>674</v>
      </c>
      <c r="I203" s="258" t="s">
        <v>1614</v>
      </c>
      <c r="J203" s="259" t="s">
        <v>1149</v>
      </c>
      <c r="K203" s="260" t="s">
        <v>1150</v>
      </c>
      <c r="L203" s="258" t="s">
        <v>1151</v>
      </c>
      <c r="M203" s="265"/>
      <c r="N203" s="173" t="s">
        <v>679</v>
      </c>
      <c r="O203" s="173" t="s">
        <v>225</v>
      </c>
      <c r="P203" s="262" t="str">
        <f t="shared" si="1"/>
        <v>IN-BLR-ANANTA-HLI-221_6</v>
      </c>
      <c r="Q203" s="173" t="s">
        <v>1711</v>
      </c>
      <c r="R203" s="258" t="str">
        <f>IFS(C203="","",C203="n/a","N/A",LEN(C203),Concatenate("{",char(34),"asset",char(34),":{",char(34),"guid",char(34),":",char(34),Q203,char(34),",",char(34),"site",char(34),":",char(34),LOWER('2-Building'!$B$4),char(34),",",char(34),"name",char(34),":",char(34),LOWER(C203),char(34),"}}"))</f>
        <v>{"asset":{"guid":"uuid://d822a9a5-3bfa-4475-bc11-3241e367f315","site":"in-blr-ananta","name":"hli-221"}}</v>
      </c>
      <c r="S203" s="258" t="s">
        <v>681</v>
      </c>
      <c r="T203" s="263"/>
      <c r="U203" s="263"/>
      <c r="V203" s="264">
        <v>2.23</v>
      </c>
      <c r="W203" s="33" t="s">
        <v>682</v>
      </c>
      <c r="X203" s="258" t="s">
        <v>1616</v>
      </c>
      <c r="Y203" s="33" t="s">
        <v>1617</v>
      </c>
      <c r="Z203" s="258">
        <v>14221.0</v>
      </c>
      <c r="AA203" s="258">
        <v>11501.0</v>
      </c>
      <c r="AB203" s="258"/>
      <c r="AC203" s="258"/>
      <c r="AD203" s="265"/>
      <c r="AE203" s="266" t="s">
        <v>685</v>
      </c>
      <c r="AF203" s="267" t="s">
        <v>1712</v>
      </c>
      <c r="AG203" s="268" t="str">
        <f>IFS(LEN(AF203)=17,LOWER('2-Building'!$B$4 &amp; "-" &amp; C203), AF203="N/A", "N/A", LEN(AF203)=0,"")</f>
        <v>in-blr-ananta-hli-221</v>
      </c>
      <c r="AH203" s="258"/>
      <c r="AI203" s="258"/>
      <c r="AJ203" s="258"/>
      <c r="AK203" s="258" t="s">
        <v>1713</v>
      </c>
      <c r="AL203" s="258" t="s">
        <v>688</v>
      </c>
      <c r="AM203" s="258" t="s">
        <v>689</v>
      </c>
      <c r="AN203" s="258"/>
      <c r="AO203" s="258"/>
      <c r="AP203" s="258"/>
      <c r="AQ203" s="258"/>
      <c r="AR203" s="258" t="s">
        <v>690</v>
      </c>
      <c r="AS203" s="258" t="s">
        <v>691</v>
      </c>
      <c r="AT203" s="258" t="s">
        <v>970</v>
      </c>
      <c r="AU203" s="265" t="s">
        <v>693</v>
      </c>
      <c r="AV203" s="174" t="s">
        <v>243</v>
      </c>
      <c r="AW203" s="269" t="s">
        <v>245</v>
      </c>
      <c r="AX203" s="269" t="s">
        <v>694</v>
      </c>
      <c r="AY203" s="270" t="s">
        <v>695</v>
      </c>
      <c r="AZ203" s="173" t="s">
        <v>681</v>
      </c>
      <c r="BA203" s="265">
        <v>10.0</v>
      </c>
      <c r="BB203" s="174" t="s">
        <v>225</v>
      </c>
      <c r="BC203" s="271"/>
      <c r="BD203" s="272" t="s">
        <v>696</v>
      </c>
      <c r="BE203" s="273" t="s">
        <v>697</v>
      </c>
      <c r="BF203" s="274" t="str">
        <f>IFERROR(__xludf.DUMMYFUNCTION("LOWER(Regexreplace(to_text(E203),""[^A-Za-z0-9]"","""")&amp;""_""&amp;Regexreplace(to_text(F203),""[^A-Za-z0-9]"",""""))"),"sauter_eygt103f001")</f>
        <v>sauter_eygt103f001</v>
      </c>
      <c r="BG203" s="275" t="str">
        <f>IFERROR(__xludf.DUMMYFUNCTION("upper(Regexreplace(to_text(E203),""[^A-Za-z0-9]"","""")&amp;""-""&amp;Regexreplace(to_text(F203),""[^A-Za-z0-9]"",""""))"),"SAUTER-EYGT103F001")</f>
        <v>SAUTER-EYGT103F001</v>
      </c>
    </row>
    <row r="204" ht="30.0" customHeight="1">
      <c r="A204" s="173">
        <v>197.0</v>
      </c>
      <c r="B204" s="256" t="s">
        <v>670</v>
      </c>
      <c r="C204" s="257" t="s">
        <v>1714</v>
      </c>
      <c r="D204" s="173" t="s">
        <v>1714</v>
      </c>
      <c r="E204" s="174" t="s">
        <v>672</v>
      </c>
      <c r="F204" s="173" t="s">
        <v>512</v>
      </c>
      <c r="G204" s="258" t="s">
        <v>673</v>
      </c>
      <c r="H204" s="258" t="s">
        <v>674</v>
      </c>
      <c r="I204" s="258" t="s">
        <v>1614</v>
      </c>
      <c r="J204" s="259" t="s">
        <v>1149</v>
      </c>
      <c r="K204" s="260" t="s">
        <v>1715</v>
      </c>
      <c r="L204" s="258" t="s">
        <v>1161</v>
      </c>
      <c r="M204" s="265"/>
      <c r="N204" s="173" t="s">
        <v>679</v>
      </c>
      <c r="O204" s="173" t="s">
        <v>225</v>
      </c>
      <c r="P204" s="262" t="str">
        <f t="shared" si="1"/>
        <v>IN-BLR-ANANTA-HLI-222_6</v>
      </c>
      <c r="Q204" s="173" t="s">
        <v>1716</v>
      </c>
      <c r="R204" s="258" t="str">
        <f>IFS(C204="","",C204="n/a","N/A",LEN(C204),Concatenate("{",char(34),"asset",char(34),":{",char(34),"guid",char(34),":",char(34),Q204,char(34),",",char(34),"site",char(34),":",char(34),LOWER('2-Building'!$B$4),char(34),",",char(34),"name",char(34),":",char(34),LOWER(C204),char(34),"}}"))</f>
        <v>{"asset":{"guid":"uuid://b6860186-c1eb-4513-bea6-8b8b3b493e6c","site":"in-blr-ananta","name":"hli-222"}}</v>
      </c>
      <c r="S204" s="258" t="s">
        <v>681</v>
      </c>
      <c r="T204" s="263"/>
      <c r="U204" s="263"/>
      <c r="V204" s="264">
        <v>2.23</v>
      </c>
      <c r="W204" s="33" t="s">
        <v>682</v>
      </c>
      <c r="X204" s="258" t="s">
        <v>1616</v>
      </c>
      <c r="Y204" s="33" t="s">
        <v>1617</v>
      </c>
      <c r="Z204" s="258">
        <v>14222.0</v>
      </c>
      <c r="AA204" s="258">
        <v>11501.0</v>
      </c>
      <c r="AB204" s="258"/>
      <c r="AC204" s="258"/>
      <c r="AD204" s="265"/>
      <c r="AE204" s="266" t="s">
        <v>685</v>
      </c>
      <c r="AF204" s="267" t="s">
        <v>1717</v>
      </c>
      <c r="AG204" s="268" t="str">
        <f>IFS(LEN(AF204)=17,LOWER('2-Building'!$B$4 &amp; "-" &amp; C204), AF204="N/A", "N/A", LEN(AF204)=0,"")</f>
        <v>in-blr-ananta-hli-222</v>
      </c>
      <c r="AH204" s="258"/>
      <c r="AI204" s="258"/>
      <c r="AJ204" s="258"/>
      <c r="AK204" s="258" t="s">
        <v>1718</v>
      </c>
      <c r="AL204" s="258" t="s">
        <v>688</v>
      </c>
      <c r="AM204" s="258" t="s">
        <v>689</v>
      </c>
      <c r="AN204" s="258"/>
      <c r="AO204" s="258"/>
      <c r="AP204" s="258"/>
      <c r="AQ204" s="258"/>
      <c r="AR204" s="258" t="s">
        <v>690</v>
      </c>
      <c r="AS204" s="258" t="s">
        <v>691</v>
      </c>
      <c r="AT204" s="258" t="s">
        <v>1042</v>
      </c>
      <c r="AU204" s="265" t="s">
        <v>693</v>
      </c>
      <c r="AV204" s="174" t="s">
        <v>243</v>
      </c>
      <c r="AW204" s="269" t="s">
        <v>245</v>
      </c>
      <c r="AX204" s="269" t="s">
        <v>694</v>
      </c>
      <c r="AY204" s="270" t="s">
        <v>695</v>
      </c>
      <c r="AZ204" s="173" t="s">
        <v>681</v>
      </c>
      <c r="BA204" s="265">
        <v>10.0</v>
      </c>
      <c r="BB204" s="174" t="s">
        <v>225</v>
      </c>
      <c r="BC204" s="271"/>
      <c r="BD204" s="272" t="s">
        <v>696</v>
      </c>
      <c r="BE204" s="273" t="s">
        <v>697</v>
      </c>
      <c r="BF204" s="274" t="str">
        <f>IFERROR(__xludf.DUMMYFUNCTION("LOWER(Regexreplace(to_text(E204),""[^A-Za-z0-9]"","""")&amp;""_""&amp;Regexreplace(to_text(F204),""[^A-Za-z0-9]"",""""))"),"sauter_eygt103f001")</f>
        <v>sauter_eygt103f001</v>
      </c>
      <c r="BG204" s="275" t="str">
        <f>IFERROR(__xludf.DUMMYFUNCTION("upper(Regexreplace(to_text(E204),""[^A-Za-z0-9]"","""")&amp;""-""&amp;Regexreplace(to_text(F204),""[^A-Za-z0-9]"",""""))"),"SAUTER-EYGT103F001")</f>
        <v>SAUTER-EYGT103F001</v>
      </c>
    </row>
    <row r="205" ht="30.0" customHeight="1">
      <c r="A205" s="258">
        <v>198.0</v>
      </c>
      <c r="B205" s="256" t="s">
        <v>670</v>
      </c>
      <c r="C205" s="257" t="s">
        <v>1719</v>
      </c>
      <c r="D205" s="173" t="s">
        <v>1719</v>
      </c>
      <c r="E205" s="174" t="s">
        <v>672</v>
      </c>
      <c r="F205" s="173" t="s">
        <v>512</v>
      </c>
      <c r="G205" s="258" t="s">
        <v>673</v>
      </c>
      <c r="H205" s="258" t="s">
        <v>674</v>
      </c>
      <c r="I205" s="258" t="s">
        <v>1614</v>
      </c>
      <c r="J205" s="259" t="s">
        <v>1211</v>
      </c>
      <c r="K205" s="260" t="s">
        <v>1720</v>
      </c>
      <c r="L205" s="258" t="s">
        <v>1242</v>
      </c>
      <c r="M205" s="265"/>
      <c r="N205" s="173" t="s">
        <v>679</v>
      </c>
      <c r="O205" s="173" t="s">
        <v>225</v>
      </c>
      <c r="P205" s="262" t="str">
        <f t="shared" si="1"/>
        <v>IN-BLR-ANANTA-HLI-223_7</v>
      </c>
      <c r="Q205" s="173" t="s">
        <v>1721</v>
      </c>
      <c r="R205" s="258" t="str">
        <f>IFS(C205="","",C205="n/a","N/A",LEN(C205),Concatenate("{",char(34),"asset",char(34),":{",char(34),"guid",char(34),":",char(34),Q205,char(34),",",char(34),"site",char(34),":",char(34),LOWER('2-Building'!$B$4),char(34),",",char(34),"name",char(34),":",char(34),LOWER(C205),char(34),"}}"))</f>
        <v>{"asset":{"guid":"uuid://c8f85db5-9eef-4177-92dc-8f9fc58896f2","site":"in-blr-ananta","name":"hli-223"}}</v>
      </c>
      <c r="S205" s="258" t="s">
        <v>681</v>
      </c>
      <c r="T205" s="263"/>
      <c r="U205" s="263"/>
      <c r="V205" s="264">
        <v>2.23</v>
      </c>
      <c r="W205" s="33" t="s">
        <v>682</v>
      </c>
      <c r="X205" s="258" t="s">
        <v>1616</v>
      </c>
      <c r="Y205" s="33" t="s">
        <v>1617</v>
      </c>
      <c r="Z205" s="258">
        <v>14223.0</v>
      </c>
      <c r="AA205" s="258">
        <v>11501.0</v>
      </c>
      <c r="AB205" s="258"/>
      <c r="AC205" s="258"/>
      <c r="AD205" s="265"/>
      <c r="AE205" s="266" t="s">
        <v>685</v>
      </c>
      <c r="AF205" s="267" t="s">
        <v>1722</v>
      </c>
      <c r="AG205" s="268" t="str">
        <f>IFS(LEN(AF205)=17,LOWER('2-Building'!$B$4 &amp; "-" &amp; C205), AF205="N/A", "N/A", LEN(AF205)=0,"")</f>
        <v>in-blr-ananta-hli-223</v>
      </c>
      <c r="AH205" s="258"/>
      <c r="AI205" s="258"/>
      <c r="AJ205" s="258"/>
      <c r="AK205" s="258" t="s">
        <v>1723</v>
      </c>
      <c r="AL205" s="258" t="s">
        <v>688</v>
      </c>
      <c r="AM205" s="258" t="s">
        <v>689</v>
      </c>
      <c r="AN205" s="258"/>
      <c r="AO205" s="258"/>
      <c r="AP205" s="258"/>
      <c r="AQ205" s="258"/>
      <c r="AR205" s="258" t="s">
        <v>690</v>
      </c>
      <c r="AS205" s="258" t="s">
        <v>691</v>
      </c>
      <c r="AT205" s="258" t="s">
        <v>1042</v>
      </c>
      <c r="AU205" s="265" t="s">
        <v>693</v>
      </c>
      <c r="AV205" s="174" t="s">
        <v>243</v>
      </c>
      <c r="AW205" s="269" t="s">
        <v>245</v>
      </c>
      <c r="AX205" s="269" t="s">
        <v>694</v>
      </c>
      <c r="AY205" s="270" t="s">
        <v>695</v>
      </c>
      <c r="AZ205" s="173" t="s">
        <v>681</v>
      </c>
      <c r="BA205" s="265">
        <v>10.0</v>
      </c>
      <c r="BB205" s="174" t="s">
        <v>225</v>
      </c>
      <c r="BC205" s="271"/>
      <c r="BD205" s="272" t="s">
        <v>696</v>
      </c>
      <c r="BE205" s="273" t="s">
        <v>697</v>
      </c>
      <c r="BF205" s="274" t="str">
        <f>IFERROR(__xludf.DUMMYFUNCTION("LOWER(Regexreplace(to_text(E205),""[^A-Za-z0-9]"","""")&amp;""_""&amp;Regexreplace(to_text(F205),""[^A-Za-z0-9]"",""""))"),"sauter_eygt103f001")</f>
        <v>sauter_eygt103f001</v>
      </c>
      <c r="BG205" s="275" t="str">
        <f>IFERROR(__xludf.DUMMYFUNCTION("upper(Regexreplace(to_text(E205),""[^A-Za-z0-9]"","""")&amp;""-""&amp;Regexreplace(to_text(F205),""[^A-Za-z0-9]"",""""))"),"SAUTER-EYGT103F001")</f>
        <v>SAUTER-EYGT103F001</v>
      </c>
    </row>
    <row r="206" ht="30.0" customHeight="1">
      <c r="A206" s="173">
        <v>199.0</v>
      </c>
      <c r="B206" s="256" t="s">
        <v>670</v>
      </c>
      <c r="C206" s="257" t="s">
        <v>1724</v>
      </c>
      <c r="D206" s="173" t="s">
        <v>1724</v>
      </c>
      <c r="E206" s="174" t="s">
        <v>672</v>
      </c>
      <c r="F206" s="173" t="s">
        <v>512</v>
      </c>
      <c r="G206" s="258" t="s">
        <v>673</v>
      </c>
      <c r="H206" s="258" t="s">
        <v>674</v>
      </c>
      <c r="I206" s="258" t="s">
        <v>1614</v>
      </c>
      <c r="J206" s="259" t="s">
        <v>1211</v>
      </c>
      <c r="K206" s="260" t="s">
        <v>1725</v>
      </c>
      <c r="L206" s="258" t="s">
        <v>1262</v>
      </c>
      <c r="M206" s="265"/>
      <c r="N206" s="173" t="s">
        <v>679</v>
      </c>
      <c r="O206" s="173" t="s">
        <v>225</v>
      </c>
      <c r="P206" s="262" t="str">
        <f t="shared" si="1"/>
        <v>IN-BLR-ANANTA-HLI-224_7</v>
      </c>
      <c r="Q206" s="173" t="s">
        <v>1726</v>
      </c>
      <c r="R206" s="258" t="str">
        <f>IFS(C206="","",C206="n/a","N/A",LEN(C206),Concatenate("{",char(34),"asset",char(34),":{",char(34),"guid",char(34),":",char(34),Q206,char(34),",",char(34),"site",char(34),":",char(34),LOWER('2-Building'!$B$4),char(34),",",char(34),"name",char(34),":",char(34),LOWER(C206),char(34),"}}"))</f>
        <v>{"asset":{"guid":"uuid://4c95a4b9-1287-41f1-9cb2-ec949284c3d2","site":"in-blr-ananta","name":"hli-224"}}</v>
      </c>
      <c r="S206" s="258" t="s">
        <v>681</v>
      </c>
      <c r="T206" s="263"/>
      <c r="U206" s="263"/>
      <c r="V206" s="264">
        <v>2.23</v>
      </c>
      <c r="W206" s="33" t="s">
        <v>682</v>
      </c>
      <c r="X206" s="258" t="s">
        <v>1616</v>
      </c>
      <c r="Y206" s="33" t="s">
        <v>1617</v>
      </c>
      <c r="Z206" s="258">
        <v>14224.0</v>
      </c>
      <c r="AA206" s="258">
        <v>11501.0</v>
      </c>
      <c r="AB206" s="258"/>
      <c r="AC206" s="258"/>
      <c r="AD206" s="265"/>
      <c r="AE206" s="266" t="s">
        <v>685</v>
      </c>
      <c r="AF206" s="267" t="s">
        <v>1727</v>
      </c>
      <c r="AG206" s="268" t="str">
        <f>IFS(LEN(AF206)=17,LOWER('2-Building'!$B$4 &amp; "-" &amp; C206), AF206="N/A", "N/A", LEN(AF206)=0,"")</f>
        <v>in-blr-ananta-hli-224</v>
      </c>
      <c r="AH206" s="258"/>
      <c r="AI206" s="258"/>
      <c r="AJ206" s="258"/>
      <c r="AK206" s="258" t="s">
        <v>1728</v>
      </c>
      <c r="AL206" s="258" t="s">
        <v>688</v>
      </c>
      <c r="AM206" s="258" t="s">
        <v>689</v>
      </c>
      <c r="AN206" s="258"/>
      <c r="AO206" s="258"/>
      <c r="AP206" s="258"/>
      <c r="AQ206" s="258"/>
      <c r="AR206" s="258" t="s">
        <v>690</v>
      </c>
      <c r="AS206" s="258" t="s">
        <v>691</v>
      </c>
      <c r="AT206" s="258" t="s">
        <v>1143</v>
      </c>
      <c r="AU206" s="265" t="s">
        <v>693</v>
      </c>
      <c r="AV206" s="174" t="s">
        <v>243</v>
      </c>
      <c r="AW206" s="269" t="s">
        <v>245</v>
      </c>
      <c r="AX206" s="269" t="s">
        <v>694</v>
      </c>
      <c r="AY206" s="270" t="s">
        <v>695</v>
      </c>
      <c r="AZ206" s="173" t="s">
        <v>681</v>
      </c>
      <c r="BA206" s="265">
        <v>10.0</v>
      </c>
      <c r="BB206" s="174" t="s">
        <v>225</v>
      </c>
      <c r="BC206" s="271"/>
      <c r="BD206" s="272" t="s">
        <v>696</v>
      </c>
      <c r="BE206" s="273" t="s">
        <v>697</v>
      </c>
      <c r="BF206" s="274" t="str">
        <f>IFERROR(__xludf.DUMMYFUNCTION("LOWER(Regexreplace(to_text(E206),""[^A-Za-z0-9]"","""")&amp;""_""&amp;Regexreplace(to_text(F206),""[^A-Za-z0-9]"",""""))"),"sauter_eygt103f001")</f>
        <v>sauter_eygt103f001</v>
      </c>
      <c r="BG206" s="275" t="str">
        <f>IFERROR(__xludf.DUMMYFUNCTION("upper(Regexreplace(to_text(E206),""[^A-Za-z0-9]"","""")&amp;""-""&amp;Regexreplace(to_text(F206),""[^A-Za-z0-9]"",""""))"),"SAUTER-EYGT103F001")</f>
        <v>SAUTER-EYGT103F001</v>
      </c>
    </row>
    <row r="207" ht="30.0" customHeight="1">
      <c r="A207" s="258">
        <v>200.0</v>
      </c>
      <c r="B207" s="256" t="s">
        <v>670</v>
      </c>
      <c r="C207" s="257" t="s">
        <v>1729</v>
      </c>
      <c r="D207" s="173" t="s">
        <v>1729</v>
      </c>
      <c r="E207" s="174" t="s">
        <v>672</v>
      </c>
      <c r="F207" s="173" t="s">
        <v>512</v>
      </c>
      <c r="G207" s="258" t="s">
        <v>673</v>
      </c>
      <c r="H207" s="258" t="s">
        <v>674</v>
      </c>
      <c r="I207" s="258" t="s">
        <v>1614</v>
      </c>
      <c r="J207" s="259" t="s">
        <v>1272</v>
      </c>
      <c r="K207" s="260" t="s">
        <v>1730</v>
      </c>
      <c r="L207" s="258" t="s">
        <v>1273</v>
      </c>
      <c r="M207" s="265"/>
      <c r="N207" s="173" t="s">
        <v>679</v>
      </c>
      <c r="O207" s="173" t="s">
        <v>225</v>
      </c>
      <c r="P207" s="262" t="str">
        <f t="shared" si="1"/>
        <v>IN-BLR-ANANTA-HLI-225_8</v>
      </c>
      <c r="Q207" s="173" t="s">
        <v>1731</v>
      </c>
      <c r="R207" s="258" t="str">
        <f>IFS(C207="","",C207="n/a","N/A",LEN(C207),Concatenate("{",char(34),"asset",char(34),":{",char(34),"guid",char(34),":",char(34),Q207,char(34),",",char(34),"site",char(34),":",char(34),LOWER('2-Building'!$B$4),char(34),",",char(34),"name",char(34),":",char(34),LOWER(C207),char(34),"}}"))</f>
        <v>{"asset":{"guid":"uuid://6172a7bf-13d1-46a6-8a3e-e4ee6f94daad","site":"in-blr-ananta","name":"hli-225"}}</v>
      </c>
      <c r="S207" s="258" t="s">
        <v>681</v>
      </c>
      <c r="T207" s="263"/>
      <c r="U207" s="263"/>
      <c r="V207" s="264">
        <v>2.23</v>
      </c>
      <c r="W207" s="33" t="s">
        <v>682</v>
      </c>
      <c r="X207" s="258" t="s">
        <v>1616</v>
      </c>
      <c r="Y207" s="33" t="s">
        <v>1617</v>
      </c>
      <c r="Z207" s="258">
        <v>14225.0</v>
      </c>
      <c r="AA207" s="258">
        <v>11501.0</v>
      </c>
      <c r="AB207" s="258"/>
      <c r="AC207" s="258"/>
      <c r="AD207" s="265"/>
      <c r="AE207" s="266" t="s">
        <v>685</v>
      </c>
      <c r="AF207" s="267" t="s">
        <v>1732</v>
      </c>
      <c r="AG207" s="268" t="str">
        <f>IFS(LEN(AF207)=17,LOWER('2-Building'!$B$4 &amp; "-" &amp; C207), AF207="N/A", "N/A", LEN(AF207)=0,"")</f>
        <v>in-blr-ananta-hli-225</v>
      </c>
      <c r="AH207" s="258"/>
      <c r="AI207" s="258"/>
      <c r="AJ207" s="258"/>
      <c r="AK207" s="258" t="s">
        <v>1733</v>
      </c>
      <c r="AL207" s="258" t="s">
        <v>688</v>
      </c>
      <c r="AM207" s="258" t="s">
        <v>689</v>
      </c>
      <c r="AN207" s="258"/>
      <c r="AO207" s="258"/>
      <c r="AP207" s="258"/>
      <c r="AQ207" s="258"/>
      <c r="AR207" s="258" t="s">
        <v>690</v>
      </c>
      <c r="AS207" s="258" t="s">
        <v>691</v>
      </c>
      <c r="AT207" s="258" t="s">
        <v>1734</v>
      </c>
      <c r="AU207" s="265" t="s">
        <v>693</v>
      </c>
      <c r="AV207" s="174" t="s">
        <v>243</v>
      </c>
      <c r="AW207" s="269" t="s">
        <v>245</v>
      </c>
      <c r="AX207" s="269" t="s">
        <v>694</v>
      </c>
      <c r="AY207" s="270" t="s">
        <v>695</v>
      </c>
      <c r="AZ207" s="173" t="s">
        <v>681</v>
      </c>
      <c r="BA207" s="265">
        <v>10.0</v>
      </c>
      <c r="BB207" s="174" t="s">
        <v>225</v>
      </c>
      <c r="BC207" s="271"/>
      <c r="BD207" s="272" t="s">
        <v>696</v>
      </c>
      <c r="BE207" s="273" t="s">
        <v>697</v>
      </c>
      <c r="BF207" s="274" t="str">
        <f>IFERROR(__xludf.DUMMYFUNCTION("LOWER(Regexreplace(to_text(E207),""[^A-Za-z0-9]"","""")&amp;""_""&amp;Regexreplace(to_text(F207),""[^A-Za-z0-9]"",""""))"),"sauter_eygt103f001")</f>
        <v>sauter_eygt103f001</v>
      </c>
      <c r="BG207" s="275" t="str">
        <f>IFERROR(__xludf.DUMMYFUNCTION("upper(Regexreplace(to_text(E207),""[^A-Za-z0-9]"","""")&amp;""-""&amp;Regexreplace(to_text(F207),""[^A-Za-z0-9]"",""""))"),"SAUTER-EYGT103F001")</f>
        <v>SAUTER-EYGT103F001</v>
      </c>
    </row>
    <row r="208" ht="30.0" customHeight="1">
      <c r="A208" s="173">
        <v>201.0</v>
      </c>
      <c r="B208" s="256" t="s">
        <v>670</v>
      </c>
      <c r="C208" s="257" t="s">
        <v>1735</v>
      </c>
      <c r="D208" s="173" t="s">
        <v>1735</v>
      </c>
      <c r="E208" s="174" t="s">
        <v>672</v>
      </c>
      <c r="F208" s="173" t="s">
        <v>512</v>
      </c>
      <c r="G208" s="258" t="s">
        <v>673</v>
      </c>
      <c r="H208" s="258" t="s">
        <v>674</v>
      </c>
      <c r="I208" s="258" t="s">
        <v>1614</v>
      </c>
      <c r="J208" s="259" t="s">
        <v>1272</v>
      </c>
      <c r="K208" s="260" t="s">
        <v>1736</v>
      </c>
      <c r="L208" s="258" t="s">
        <v>1293</v>
      </c>
      <c r="M208" s="265"/>
      <c r="N208" s="173" t="s">
        <v>679</v>
      </c>
      <c r="O208" s="173" t="s">
        <v>225</v>
      </c>
      <c r="P208" s="262" t="str">
        <f t="shared" si="1"/>
        <v>IN-BLR-ANANTA-HLI-226_8</v>
      </c>
      <c r="Q208" s="173" t="s">
        <v>1737</v>
      </c>
      <c r="R208" s="258" t="str">
        <f>IFS(C208="","",C208="n/a","N/A",LEN(C208),Concatenate("{",char(34),"asset",char(34),":{",char(34),"guid",char(34),":",char(34),Q208,char(34),",",char(34),"site",char(34),":",char(34),LOWER('2-Building'!$B$4),char(34),",",char(34),"name",char(34),":",char(34),LOWER(C208),char(34),"}}"))</f>
        <v>{"asset":{"guid":"uuid://5ac1841c-65d2-4915-9928-a6598bdffb7f","site":"in-blr-ananta","name":"hli-226"}}</v>
      </c>
      <c r="S208" s="258" t="s">
        <v>681</v>
      </c>
      <c r="T208" s="263"/>
      <c r="U208" s="263"/>
      <c r="V208" s="264">
        <v>2.23</v>
      </c>
      <c r="W208" s="33" t="s">
        <v>682</v>
      </c>
      <c r="X208" s="258" t="s">
        <v>1616</v>
      </c>
      <c r="Y208" s="33" t="s">
        <v>1617</v>
      </c>
      <c r="Z208" s="258">
        <v>14226.0</v>
      </c>
      <c r="AA208" s="258">
        <v>11501.0</v>
      </c>
      <c r="AB208" s="258"/>
      <c r="AC208" s="258"/>
      <c r="AD208" s="265"/>
      <c r="AE208" s="266" t="s">
        <v>685</v>
      </c>
      <c r="AF208" s="267" t="s">
        <v>1738</v>
      </c>
      <c r="AG208" s="268" t="str">
        <f>IFS(LEN(AF208)=17,LOWER('2-Building'!$B$4 &amp; "-" &amp; C208), AF208="N/A", "N/A", LEN(AF208)=0,"")</f>
        <v>in-blr-ananta-hli-226</v>
      </c>
      <c r="AH208" s="258"/>
      <c r="AI208" s="258"/>
      <c r="AJ208" s="258"/>
      <c r="AK208" s="258" t="s">
        <v>1739</v>
      </c>
      <c r="AL208" s="258" t="s">
        <v>688</v>
      </c>
      <c r="AM208" s="258" t="s">
        <v>689</v>
      </c>
      <c r="AN208" s="258"/>
      <c r="AO208" s="258"/>
      <c r="AP208" s="258"/>
      <c r="AQ208" s="258"/>
      <c r="AR208" s="258" t="s">
        <v>690</v>
      </c>
      <c r="AS208" s="258" t="s">
        <v>691</v>
      </c>
      <c r="AT208" s="258" t="s">
        <v>1734</v>
      </c>
      <c r="AU208" s="265" t="s">
        <v>693</v>
      </c>
      <c r="AV208" s="174" t="s">
        <v>243</v>
      </c>
      <c r="AW208" s="269" t="s">
        <v>245</v>
      </c>
      <c r="AX208" s="269" t="s">
        <v>694</v>
      </c>
      <c r="AY208" s="270" t="s">
        <v>695</v>
      </c>
      <c r="AZ208" s="173" t="s">
        <v>681</v>
      </c>
      <c r="BA208" s="265">
        <v>10.0</v>
      </c>
      <c r="BB208" s="174" t="s">
        <v>225</v>
      </c>
      <c r="BC208" s="271"/>
      <c r="BD208" s="272" t="s">
        <v>696</v>
      </c>
      <c r="BE208" s="273" t="s">
        <v>697</v>
      </c>
      <c r="BF208" s="274" t="str">
        <f>IFERROR(__xludf.DUMMYFUNCTION("LOWER(Regexreplace(to_text(E208),""[^A-Za-z0-9]"","""")&amp;""_""&amp;Regexreplace(to_text(F208),""[^A-Za-z0-9]"",""""))"),"sauter_eygt103f001")</f>
        <v>sauter_eygt103f001</v>
      </c>
      <c r="BG208" s="275" t="str">
        <f>IFERROR(__xludf.DUMMYFUNCTION("upper(Regexreplace(to_text(E208),""[^A-Za-z0-9]"","""")&amp;""-""&amp;Regexreplace(to_text(F208),""[^A-Za-z0-9]"",""""))"),"SAUTER-EYGT103F001")</f>
        <v>SAUTER-EYGT103F001</v>
      </c>
    </row>
    <row r="209" ht="30.0" customHeight="1">
      <c r="A209" s="258">
        <v>202.0</v>
      </c>
      <c r="B209" s="256" t="s">
        <v>670</v>
      </c>
      <c r="C209" s="257" t="s">
        <v>1740</v>
      </c>
      <c r="D209" s="173" t="s">
        <v>1740</v>
      </c>
      <c r="E209" s="174" t="s">
        <v>672</v>
      </c>
      <c r="F209" s="173" t="s">
        <v>512</v>
      </c>
      <c r="G209" s="258" t="s">
        <v>673</v>
      </c>
      <c r="H209" s="258" t="s">
        <v>674</v>
      </c>
      <c r="I209" s="258" t="s">
        <v>1614</v>
      </c>
      <c r="J209" s="259" t="s">
        <v>1272</v>
      </c>
      <c r="K209" s="260" t="s">
        <v>1741</v>
      </c>
      <c r="L209" s="258" t="s">
        <v>1313</v>
      </c>
      <c r="M209" s="265"/>
      <c r="N209" s="173" t="s">
        <v>679</v>
      </c>
      <c r="O209" s="173" t="s">
        <v>225</v>
      </c>
      <c r="P209" s="262" t="str">
        <f t="shared" si="1"/>
        <v>IN-BLR-ANANTA-HLI-227_8</v>
      </c>
      <c r="Q209" s="173" t="s">
        <v>1742</v>
      </c>
      <c r="R209" s="258" t="str">
        <f>IFS(C209="","",C209="n/a","N/A",LEN(C209),Concatenate("{",char(34),"asset",char(34),":{",char(34),"guid",char(34),":",char(34),Q209,char(34),",",char(34),"site",char(34),":",char(34),LOWER('2-Building'!$B$4),char(34),",",char(34),"name",char(34),":",char(34),LOWER(C209),char(34),"}}"))</f>
        <v>{"asset":{"guid":"uuid://04f968f6-c615-4066-9617-ae118af010a5","site":"in-blr-ananta","name":"hli-227"}}</v>
      </c>
      <c r="S209" s="258" t="s">
        <v>681</v>
      </c>
      <c r="T209" s="263"/>
      <c r="U209" s="263"/>
      <c r="V209" s="264">
        <v>2.23</v>
      </c>
      <c r="W209" s="33" t="s">
        <v>682</v>
      </c>
      <c r="X209" s="258" t="s">
        <v>1616</v>
      </c>
      <c r="Y209" s="33" t="s">
        <v>1617</v>
      </c>
      <c r="Z209" s="258">
        <v>14227.0</v>
      </c>
      <c r="AA209" s="258">
        <v>11501.0</v>
      </c>
      <c r="AB209" s="258"/>
      <c r="AC209" s="258"/>
      <c r="AD209" s="265"/>
      <c r="AE209" s="266" t="s">
        <v>685</v>
      </c>
      <c r="AF209" s="267" t="s">
        <v>1743</v>
      </c>
      <c r="AG209" s="268" t="str">
        <f>IFS(LEN(AF209)=17,LOWER('2-Building'!$B$4 &amp; "-" &amp; C209), AF209="N/A", "N/A", LEN(AF209)=0,"")</f>
        <v>in-blr-ananta-hli-227</v>
      </c>
      <c r="AH209" s="258"/>
      <c r="AI209" s="258"/>
      <c r="AJ209" s="258"/>
      <c r="AK209" s="258" t="s">
        <v>1744</v>
      </c>
      <c r="AL209" s="258" t="s">
        <v>688</v>
      </c>
      <c r="AM209" s="258" t="s">
        <v>689</v>
      </c>
      <c r="AN209" s="258"/>
      <c r="AO209" s="258"/>
      <c r="AP209" s="258"/>
      <c r="AQ209" s="258"/>
      <c r="AR209" s="258" t="s">
        <v>690</v>
      </c>
      <c r="AS209" s="258" t="s">
        <v>691</v>
      </c>
      <c r="AT209" s="258" t="s">
        <v>1133</v>
      </c>
      <c r="AU209" s="265" t="s">
        <v>693</v>
      </c>
      <c r="AV209" s="174" t="s">
        <v>243</v>
      </c>
      <c r="AW209" s="269" t="s">
        <v>245</v>
      </c>
      <c r="AX209" s="269" t="s">
        <v>694</v>
      </c>
      <c r="AY209" s="270" t="s">
        <v>695</v>
      </c>
      <c r="AZ209" s="173" t="s">
        <v>681</v>
      </c>
      <c r="BA209" s="265">
        <v>10.0</v>
      </c>
      <c r="BB209" s="174" t="s">
        <v>225</v>
      </c>
      <c r="BC209" s="271"/>
      <c r="BD209" s="272" t="s">
        <v>696</v>
      </c>
      <c r="BE209" s="273" t="s">
        <v>697</v>
      </c>
      <c r="BF209" s="274" t="str">
        <f>IFERROR(__xludf.DUMMYFUNCTION("LOWER(Regexreplace(to_text(E209),""[^A-Za-z0-9]"","""")&amp;""_""&amp;Regexreplace(to_text(F209),""[^A-Za-z0-9]"",""""))"),"sauter_eygt103f001")</f>
        <v>sauter_eygt103f001</v>
      </c>
      <c r="BG209" s="275" t="str">
        <f>IFERROR(__xludf.DUMMYFUNCTION("upper(Regexreplace(to_text(E209),""[^A-Za-z0-9]"","""")&amp;""-""&amp;Regexreplace(to_text(F209),""[^A-Za-z0-9]"",""""))"),"SAUTER-EYGT103F001")</f>
        <v>SAUTER-EYGT103F001</v>
      </c>
    </row>
    <row r="210" ht="30.0" customHeight="1">
      <c r="A210" s="173">
        <v>203.0</v>
      </c>
      <c r="B210" s="256" t="s">
        <v>670</v>
      </c>
      <c r="C210" s="257" t="s">
        <v>1745</v>
      </c>
      <c r="D210" s="173" t="s">
        <v>1745</v>
      </c>
      <c r="E210" s="174" t="s">
        <v>672</v>
      </c>
      <c r="F210" s="173" t="s">
        <v>512</v>
      </c>
      <c r="G210" s="258" t="s">
        <v>673</v>
      </c>
      <c r="H210" s="258" t="s">
        <v>674</v>
      </c>
      <c r="I210" s="258" t="s">
        <v>1614</v>
      </c>
      <c r="J210" s="259" t="s">
        <v>1333</v>
      </c>
      <c r="K210" s="260" t="s">
        <v>1746</v>
      </c>
      <c r="L210" s="258" t="s">
        <v>1353</v>
      </c>
      <c r="M210" s="265"/>
      <c r="N210" s="173" t="s">
        <v>679</v>
      </c>
      <c r="O210" s="173" t="s">
        <v>225</v>
      </c>
      <c r="P210" s="262" t="str">
        <f t="shared" si="1"/>
        <v>IN-BLR-ANANTA-HLI-228_9</v>
      </c>
      <c r="Q210" s="173" t="s">
        <v>1747</v>
      </c>
      <c r="R210" s="258" t="str">
        <f>IFS(C210="","",C210="n/a","N/A",LEN(C210),Concatenate("{",char(34),"asset",char(34),":{",char(34),"guid",char(34),":",char(34),Q210,char(34),",",char(34),"site",char(34),":",char(34),LOWER('2-Building'!$B$4),char(34),",",char(34),"name",char(34),":",char(34),LOWER(C210),char(34),"}}"))</f>
        <v>{"asset":{"guid":"uuid://fe4654f5-4c1a-4693-ac5d-b5ff7e0d141e","site":"in-blr-ananta","name":"hli-228"}}</v>
      </c>
      <c r="S210" s="258" t="s">
        <v>681</v>
      </c>
      <c r="T210" s="263"/>
      <c r="U210" s="263"/>
      <c r="V210" s="264">
        <v>2.23</v>
      </c>
      <c r="W210" s="33" t="s">
        <v>682</v>
      </c>
      <c r="X210" s="258" t="s">
        <v>1616</v>
      </c>
      <c r="Y210" s="33" t="s">
        <v>1617</v>
      </c>
      <c r="Z210" s="258">
        <v>14228.0</v>
      </c>
      <c r="AA210" s="258">
        <v>11501.0</v>
      </c>
      <c r="AB210" s="258"/>
      <c r="AC210" s="258"/>
      <c r="AD210" s="265"/>
      <c r="AE210" s="266" t="s">
        <v>685</v>
      </c>
      <c r="AF210" s="267" t="s">
        <v>1748</v>
      </c>
      <c r="AG210" s="268" t="str">
        <f>IFS(LEN(AF210)=17,LOWER('2-Building'!$B$4 &amp; "-" &amp; C210), AF210="N/A", "N/A", LEN(AF210)=0,"")</f>
        <v>in-blr-ananta-hli-228</v>
      </c>
      <c r="AH210" s="258"/>
      <c r="AI210" s="258"/>
      <c r="AJ210" s="258"/>
      <c r="AK210" s="258" t="s">
        <v>1749</v>
      </c>
      <c r="AL210" s="258" t="s">
        <v>688</v>
      </c>
      <c r="AM210" s="258" t="s">
        <v>689</v>
      </c>
      <c r="AN210" s="258"/>
      <c r="AO210" s="258"/>
      <c r="AP210" s="258"/>
      <c r="AQ210" s="258"/>
      <c r="AR210" s="258" t="s">
        <v>690</v>
      </c>
      <c r="AS210" s="258" t="s">
        <v>691</v>
      </c>
      <c r="AT210" s="258" t="s">
        <v>1236</v>
      </c>
      <c r="AU210" s="265" t="s">
        <v>693</v>
      </c>
      <c r="AV210" s="174" t="s">
        <v>243</v>
      </c>
      <c r="AW210" s="269" t="s">
        <v>245</v>
      </c>
      <c r="AX210" s="269" t="s">
        <v>694</v>
      </c>
      <c r="AY210" s="270" t="s">
        <v>695</v>
      </c>
      <c r="AZ210" s="173" t="s">
        <v>681</v>
      </c>
      <c r="BA210" s="265">
        <v>10.0</v>
      </c>
      <c r="BB210" s="174" t="s">
        <v>225</v>
      </c>
      <c r="BC210" s="271"/>
      <c r="BD210" s="272" t="s">
        <v>696</v>
      </c>
      <c r="BE210" s="273" t="s">
        <v>697</v>
      </c>
      <c r="BF210" s="274" t="str">
        <f>IFERROR(__xludf.DUMMYFUNCTION("LOWER(Regexreplace(to_text(E210),""[^A-Za-z0-9]"","""")&amp;""_""&amp;Regexreplace(to_text(F210),""[^A-Za-z0-9]"",""""))"),"sauter_eygt103f001")</f>
        <v>sauter_eygt103f001</v>
      </c>
      <c r="BG210" s="275" t="str">
        <f>IFERROR(__xludf.DUMMYFUNCTION("upper(Regexreplace(to_text(E210),""[^A-Za-z0-9]"","""")&amp;""-""&amp;Regexreplace(to_text(F210),""[^A-Za-z0-9]"",""""))"),"SAUTER-EYGT103F001")</f>
        <v>SAUTER-EYGT103F001</v>
      </c>
    </row>
    <row r="211" ht="30.0" customHeight="1">
      <c r="A211" s="258">
        <v>204.0</v>
      </c>
      <c r="B211" s="256" t="s">
        <v>670</v>
      </c>
      <c r="C211" s="257" t="s">
        <v>1750</v>
      </c>
      <c r="D211" s="173" t="s">
        <v>1750</v>
      </c>
      <c r="E211" s="174" t="s">
        <v>672</v>
      </c>
      <c r="F211" s="173" t="s">
        <v>512</v>
      </c>
      <c r="G211" s="258" t="s">
        <v>673</v>
      </c>
      <c r="H211" s="258" t="s">
        <v>674</v>
      </c>
      <c r="I211" s="258" t="s">
        <v>1614</v>
      </c>
      <c r="J211" s="259" t="s">
        <v>1333</v>
      </c>
      <c r="K211" s="260" t="s">
        <v>1751</v>
      </c>
      <c r="L211" s="258" t="s">
        <v>1363</v>
      </c>
      <c r="M211" s="265"/>
      <c r="N211" s="173" t="s">
        <v>679</v>
      </c>
      <c r="O211" s="173" t="s">
        <v>225</v>
      </c>
      <c r="P211" s="262" t="str">
        <f t="shared" si="1"/>
        <v>IN-BLR-ANANTA-HLI-229_9</v>
      </c>
      <c r="Q211" s="173" t="s">
        <v>1752</v>
      </c>
      <c r="R211" s="258" t="str">
        <f>IFS(C211="","",C211="n/a","N/A",LEN(C211),Concatenate("{",char(34),"asset",char(34),":{",char(34),"guid",char(34),":",char(34),Q211,char(34),",",char(34),"site",char(34),":",char(34),LOWER('2-Building'!$B$4),char(34),",",char(34),"name",char(34),":",char(34),LOWER(C211),char(34),"}}"))</f>
        <v>{"asset":{"guid":"uuid://36d765c4-f251-4f77-9fee-48199db83f91","site":"in-blr-ananta","name":"hli-229"}}</v>
      </c>
      <c r="S211" s="258" t="s">
        <v>681</v>
      </c>
      <c r="T211" s="263"/>
      <c r="U211" s="263"/>
      <c r="V211" s="264">
        <v>2.23</v>
      </c>
      <c r="W211" s="33" t="s">
        <v>682</v>
      </c>
      <c r="X211" s="258" t="s">
        <v>1616</v>
      </c>
      <c r="Y211" s="33" t="s">
        <v>1617</v>
      </c>
      <c r="Z211" s="258">
        <v>14229.0</v>
      </c>
      <c r="AA211" s="258">
        <v>11501.0</v>
      </c>
      <c r="AB211" s="258"/>
      <c r="AC211" s="258"/>
      <c r="AD211" s="265"/>
      <c r="AE211" s="266" t="s">
        <v>685</v>
      </c>
      <c r="AF211" s="267" t="s">
        <v>1753</v>
      </c>
      <c r="AG211" s="268" t="str">
        <f>IFS(LEN(AF211)=17,LOWER('2-Building'!$B$4 &amp; "-" &amp; C211), AF211="N/A", "N/A", LEN(AF211)=0,"")</f>
        <v>in-blr-ananta-hli-229</v>
      </c>
      <c r="AH211" s="258"/>
      <c r="AI211" s="258"/>
      <c r="AJ211" s="258"/>
      <c r="AK211" s="258" t="s">
        <v>1754</v>
      </c>
      <c r="AL211" s="258" t="s">
        <v>688</v>
      </c>
      <c r="AM211" s="258" t="s">
        <v>689</v>
      </c>
      <c r="AN211" s="258"/>
      <c r="AO211" s="258"/>
      <c r="AP211" s="258"/>
      <c r="AQ211" s="258"/>
      <c r="AR211" s="258" t="s">
        <v>690</v>
      </c>
      <c r="AS211" s="258" t="s">
        <v>691</v>
      </c>
      <c r="AT211" s="258" t="s">
        <v>1307</v>
      </c>
      <c r="AU211" s="265" t="s">
        <v>693</v>
      </c>
      <c r="AV211" s="174" t="s">
        <v>243</v>
      </c>
      <c r="AW211" s="269" t="s">
        <v>245</v>
      </c>
      <c r="AX211" s="269" t="s">
        <v>694</v>
      </c>
      <c r="AY211" s="270" t="s">
        <v>695</v>
      </c>
      <c r="AZ211" s="173" t="s">
        <v>681</v>
      </c>
      <c r="BA211" s="265">
        <v>10.0</v>
      </c>
      <c r="BB211" s="174" t="s">
        <v>225</v>
      </c>
      <c r="BC211" s="271"/>
      <c r="BD211" s="272" t="s">
        <v>696</v>
      </c>
      <c r="BE211" s="273" t="s">
        <v>697</v>
      </c>
      <c r="BF211" s="274" t="str">
        <f>IFERROR(__xludf.DUMMYFUNCTION("LOWER(Regexreplace(to_text(E211),""[^A-Za-z0-9]"","""")&amp;""_""&amp;Regexreplace(to_text(F211),""[^A-Za-z0-9]"",""""))"),"sauter_eygt103f001")</f>
        <v>sauter_eygt103f001</v>
      </c>
      <c r="BG211" s="275" t="str">
        <f>IFERROR(__xludf.DUMMYFUNCTION("upper(Regexreplace(to_text(E211),""[^A-Za-z0-9]"","""")&amp;""-""&amp;Regexreplace(to_text(F211),""[^A-Za-z0-9]"",""""))"),"SAUTER-EYGT103F001")</f>
        <v>SAUTER-EYGT103F001</v>
      </c>
    </row>
    <row r="212" ht="30.0" customHeight="1">
      <c r="A212" s="173">
        <v>205.0</v>
      </c>
      <c r="B212" s="256" t="s">
        <v>670</v>
      </c>
      <c r="C212" s="257" t="s">
        <v>1755</v>
      </c>
      <c r="D212" s="173" t="s">
        <v>1755</v>
      </c>
      <c r="E212" s="174" t="s">
        <v>672</v>
      </c>
      <c r="F212" s="173" t="s">
        <v>512</v>
      </c>
      <c r="G212" s="258" t="s">
        <v>673</v>
      </c>
      <c r="H212" s="258" t="s">
        <v>674</v>
      </c>
      <c r="I212" s="258" t="s">
        <v>1614</v>
      </c>
      <c r="J212" s="259" t="s">
        <v>1393</v>
      </c>
      <c r="K212" s="260" t="s">
        <v>1394</v>
      </c>
      <c r="L212" s="258" t="s">
        <v>1395</v>
      </c>
      <c r="M212" s="265"/>
      <c r="N212" s="173" t="s">
        <v>679</v>
      </c>
      <c r="O212" s="173" t="s">
        <v>225</v>
      </c>
      <c r="P212" s="262" t="str">
        <f t="shared" si="1"/>
        <v>IN-BLR-ANANTA-HLI-230_10</v>
      </c>
      <c r="Q212" s="173" t="s">
        <v>1756</v>
      </c>
      <c r="R212" s="258" t="str">
        <f>IFS(C212="","",C212="n/a","N/A",LEN(C212),Concatenate("{",char(34),"asset",char(34),":{",char(34),"guid",char(34),":",char(34),Q212,char(34),",",char(34),"site",char(34),":",char(34),LOWER('2-Building'!$B$4),char(34),",",char(34),"name",char(34),":",char(34),LOWER(C212),char(34),"}}"))</f>
        <v>{"asset":{"guid":"uuid://c0dd3fb0-da43-4229-88d9-f8770093b999","site":"in-blr-ananta","name":"hli-230"}}</v>
      </c>
      <c r="S212" s="258" t="s">
        <v>681</v>
      </c>
      <c r="T212" s="263"/>
      <c r="U212" s="263"/>
      <c r="V212" s="264">
        <v>2.23</v>
      </c>
      <c r="W212" s="33" t="s">
        <v>682</v>
      </c>
      <c r="X212" s="258" t="s">
        <v>1616</v>
      </c>
      <c r="Y212" s="33" t="s">
        <v>1617</v>
      </c>
      <c r="Z212" s="258">
        <v>14230.0</v>
      </c>
      <c r="AA212" s="258">
        <v>11501.0</v>
      </c>
      <c r="AB212" s="258"/>
      <c r="AC212" s="258"/>
      <c r="AD212" s="265"/>
      <c r="AE212" s="266" t="s">
        <v>685</v>
      </c>
      <c r="AF212" s="267" t="s">
        <v>1757</v>
      </c>
      <c r="AG212" s="268" t="str">
        <f>IFS(LEN(AF212)=17,LOWER('2-Building'!$B$4 &amp; "-" &amp; C212), AF212="N/A", "N/A", LEN(AF212)=0,"")</f>
        <v>in-blr-ananta-hli-230</v>
      </c>
      <c r="AH212" s="258"/>
      <c r="AI212" s="258"/>
      <c r="AJ212" s="258"/>
      <c r="AK212" s="258" t="s">
        <v>1758</v>
      </c>
      <c r="AL212" s="258" t="s">
        <v>688</v>
      </c>
      <c r="AM212" s="258" t="s">
        <v>689</v>
      </c>
      <c r="AN212" s="258"/>
      <c r="AO212" s="258"/>
      <c r="AP212" s="258"/>
      <c r="AQ212" s="258"/>
      <c r="AR212" s="258" t="s">
        <v>690</v>
      </c>
      <c r="AS212" s="258" t="s">
        <v>691</v>
      </c>
      <c r="AT212" s="258" t="s">
        <v>1277</v>
      </c>
      <c r="AU212" s="265" t="s">
        <v>693</v>
      </c>
      <c r="AV212" s="174" t="s">
        <v>243</v>
      </c>
      <c r="AW212" s="269" t="s">
        <v>245</v>
      </c>
      <c r="AX212" s="269" t="s">
        <v>694</v>
      </c>
      <c r="AY212" s="270" t="s">
        <v>695</v>
      </c>
      <c r="AZ212" s="173" t="s">
        <v>681</v>
      </c>
      <c r="BA212" s="265">
        <v>10.0</v>
      </c>
      <c r="BB212" s="174" t="s">
        <v>225</v>
      </c>
      <c r="BC212" s="271"/>
      <c r="BD212" s="272" t="s">
        <v>696</v>
      </c>
      <c r="BE212" s="273" t="s">
        <v>697</v>
      </c>
      <c r="BF212" s="274" t="str">
        <f>IFERROR(__xludf.DUMMYFUNCTION("LOWER(Regexreplace(to_text(E212),""[^A-Za-z0-9]"","""")&amp;""_""&amp;Regexreplace(to_text(F212),""[^A-Za-z0-9]"",""""))"),"sauter_eygt103f001")</f>
        <v>sauter_eygt103f001</v>
      </c>
      <c r="BG212" s="275" t="str">
        <f>IFERROR(__xludf.DUMMYFUNCTION("upper(Regexreplace(to_text(E212),""[^A-Za-z0-9]"","""")&amp;""-""&amp;Regexreplace(to_text(F212),""[^A-Za-z0-9]"",""""))"),"SAUTER-EYGT103F001")</f>
        <v>SAUTER-EYGT103F001</v>
      </c>
    </row>
    <row r="213" ht="30.0" customHeight="1">
      <c r="A213" s="258">
        <v>206.0</v>
      </c>
      <c r="B213" s="256" t="s">
        <v>670</v>
      </c>
      <c r="C213" s="257" t="s">
        <v>1759</v>
      </c>
      <c r="D213" s="173" t="s">
        <v>1759</v>
      </c>
      <c r="E213" s="174" t="s">
        <v>672</v>
      </c>
      <c r="F213" s="173" t="s">
        <v>512</v>
      </c>
      <c r="G213" s="258" t="s">
        <v>673</v>
      </c>
      <c r="H213" s="258" t="s">
        <v>674</v>
      </c>
      <c r="I213" s="258" t="s">
        <v>1614</v>
      </c>
      <c r="J213" s="259" t="s">
        <v>1393</v>
      </c>
      <c r="K213" s="260">
        <v>1033.0</v>
      </c>
      <c r="L213" s="258" t="s">
        <v>1435</v>
      </c>
      <c r="M213" s="265"/>
      <c r="N213" s="173" t="s">
        <v>679</v>
      </c>
      <c r="O213" s="173" t="s">
        <v>225</v>
      </c>
      <c r="P213" s="262" t="str">
        <f t="shared" si="1"/>
        <v>IN-BLR-ANANTA-HLI-231_10</v>
      </c>
      <c r="Q213" s="173" t="s">
        <v>1760</v>
      </c>
      <c r="R213" s="258" t="str">
        <f>IFS(C213="","",C213="n/a","N/A",LEN(C213),Concatenate("{",char(34),"asset",char(34),":{",char(34),"guid",char(34),":",char(34),Q213,char(34),",",char(34),"site",char(34),":",char(34),LOWER('2-Building'!$B$4),char(34),",",char(34),"name",char(34),":",char(34),LOWER(C213),char(34),"}}"))</f>
        <v>{"asset":{"guid":"uuid://005ea14e-0636-4266-b5d9-3581c351a917","site":"in-blr-ananta","name":"hli-231"}}</v>
      </c>
      <c r="S213" s="258" t="s">
        <v>681</v>
      </c>
      <c r="T213" s="263"/>
      <c r="U213" s="263"/>
      <c r="V213" s="264">
        <v>2.23</v>
      </c>
      <c r="W213" s="33" t="s">
        <v>682</v>
      </c>
      <c r="X213" s="258" t="s">
        <v>1616</v>
      </c>
      <c r="Y213" s="33" t="s">
        <v>1617</v>
      </c>
      <c r="Z213" s="258">
        <v>14231.0</v>
      </c>
      <c r="AA213" s="258">
        <v>11501.0</v>
      </c>
      <c r="AB213" s="258"/>
      <c r="AC213" s="258"/>
      <c r="AD213" s="265"/>
      <c r="AE213" s="266" t="s">
        <v>685</v>
      </c>
      <c r="AF213" s="267" t="s">
        <v>1761</v>
      </c>
      <c r="AG213" s="268" t="str">
        <f>IFS(LEN(AF213)=17,LOWER('2-Building'!$B$4 &amp; "-" &amp; C213), AF213="N/A", "N/A", LEN(AF213)=0,"")</f>
        <v>in-blr-ananta-hli-231</v>
      </c>
      <c r="AH213" s="258"/>
      <c r="AI213" s="258"/>
      <c r="AJ213" s="258"/>
      <c r="AK213" s="258" t="s">
        <v>1762</v>
      </c>
      <c r="AL213" s="258" t="s">
        <v>688</v>
      </c>
      <c r="AM213" s="258" t="s">
        <v>689</v>
      </c>
      <c r="AN213" s="258"/>
      <c r="AO213" s="258"/>
      <c r="AP213" s="258"/>
      <c r="AQ213" s="258"/>
      <c r="AR213" s="258" t="s">
        <v>690</v>
      </c>
      <c r="AS213" s="258" t="s">
        <v>691</v>
      </c>
      <c r="AT213" s="258" t="s">
        <v>1317</v>
      </c>
      <c r="AU213" s="265" t="s">
        <v>693</v>
      </c>
      <c r="AV213" s="174" t="s">
        <v>243</v>
      </c>
      <c r="AW213" s="269" t="s">
        <v>245</v>
      </c>
      <c r="AX213" s="269" t="s">
        <v>694</v>
      </c>
      <c r="AY213" s="270" t="s">
        <v>695</v>
      </c>
      <c r="AZ213" s="173" t="s">
        <v>681</v>
      </c>
      <c r="BA213" s="265">
        <v>10.0</v>
      </c>
      <c r="BB213" s="174" t="s">
        <v>225</v>
      </c>
      <c r="BC213" s="271"/>
      <c r="BD213" s="272" t="s">
        <v>696</v>
      </c>
      <c r="BE213" s="273" t="s">
        <v>697</v>
      </c>
      <c r="BF213" s="274" t="str">
        <f>IFERROR(__xludf.DUMMYFUNCTION("LOWER(Regexreplace(to_text(E213),""[^A-Za-z0-9]"","""")&amp;""_""&amp;Regexreplace(to_text(F213),""[^A-Za-z0-9]"",""""))"),"sauter_eygt103f001")</f>
        <v>sauter_eygt103f001</v>
      </c>
      <c r="BG213" s="275" t="str">
        <f>IFERROR(__xludf.DUMMYFUNCTION("upper(Regexreplace(to_text(E213),""[^A-Za-z0-9]"","""")&amp;""-""&amp;Regexreplace(to_text(F213),""[^A-Za-z0-9]"",""""))"),"SAUTER-EYGT103F001")</f>
        <v>SAUTER-EYGT103F001</v>
      </c>
    </row>
    <row r="214" ht="30.0" customHeight="1">
      <c r="A214" s="173">
        <v>207.0</v>
      </c>
      <c r="B214" s="256" t="s">
        <v>670</v>
      </c>
      <c r="C214" s="257" t="s">
        <v>1763</v>
      </c>
      <c r="D214" s="173" t="s">
        <v>1763</v>
      </c>
      <c r="E214" s="174" t="s">
        <v>672</v>
      </c>
      <c r="F214" s="173" t="s">
        <v>512</v>
      </c>
      <c r="G214" s="258" t="s">
        <v>673</v>
      </c>
      <c r="H214" s="258" t="s">
        <v>674</v>
      </c>
      <c r="I214" s="258" t="s">
        <v>1614</v>
      </c>
      <c r="J214" s="259" t="s">
        <v>1393</v>
      </c>
      <c r="K214" s="260">
        <v>1075.0</v>
      </c>
      <c r="L214" s="258" t="s">
        <v>1405</v>
      </c>
      <c r="M214" s="265"/>
      <c r="N214" s="173" t="s">
        <v>679</v>
      </c>
      <c r="O214" s="173" t="s">
        <v>225</v>
      </c>
      <c r="P214" s="262" t="str">
        <f t="shared" si="1"/>
        <v>IN-BLR-ANANTA-HLI-232_10</v>
      </c>
      <c r="Q214" s="173" t="s">
        <v>1764</v>
      </c>
      <c r="R214" s="258" t="str">
        <f>IFS(C214="","",C214="n/a","N/A",LEN(C214),Concatenate("{",char(34),"asset",char(34),":{",char(34),"guid",char(34),":",char(34),Q214,char(34),",",char(34),"site",char(34),":",char(34),LOWER('2-Building'!$B$4),char(34),",",char(34),"name",char(34),":",char(34),LOWER(C214),char(34),"}}"))</f>
        <v>{"asset":{"guid":"uuid://20e825a2-136b-4117-bc78-9ede2c791040","site":"in-blr-ananta","name":"hli-232"}}</v>
      </c>
      <c r="S214" s="258" t="s">
        <v>681</v>
      </c>
      <c r="T214" s="263"/>
      <c r="U214" s="263"/>
      <c r="V214" s="264">
        <v>2.23</v>
      </c>
      <c r="W214" s="33" t="s">
        <v>682</v>
      </c>
      <c r="X214" s="258" t="s">
        <v>1616</v>
      </c>
      <c r="Y214" s="33" t="s">
        <v>1617</v>
      </c>
      <c r="Z214" s="258">
        <v>14232.0</v>
      </c>
      <c r="AA214" s="258">
        <v>11501.0</v>
      </c>
      <c r="AB214" s="258"/>
      <c r="AC214" s="258"/>
      <c r="AD214" s="265"/>
      <c r="AE214" s="266" t="s">
        <v>685</v>
      </c>
      <c r="AF214" s="267" t="s">
        <v>1765</v>
      </c>
      <c r="AG214" s="268" t="str">
        <f>IFS(LEN(AF214)=17,LOWER('2-Building'!$B$4 &amp; "-" &amp; C214), AF214="N/A", "N/A", LEN(AF214)=0,"")</f>
        <v>in-blr-ananta-hli-232</v>
      </c>
      <c r="AH214" s="258"/>
      <c r="AI214" s="258"/>
      <c r="AJ214" s="258"/>
      <c r="AK214" s="258" t="s">
        <v>1766</v>
      </c>
      <c r="AL214" s="258" t="s">
        <v>688</v>
      </c>
      <c r="AM214" s="258" t="s">
        <v>689</v>
      </c>
      <c r="AN214" s="258"/>
      <c r="AO214" s="258"/>
      <c r="AP214" s="258"/>
      <c r="AQ214" s="258"/>
      <c r="AR214" s="258" t="s">
        <v>690</v>
      </c>
      <c r="AS214" s="258" t="s">
        <v>691</v>
      </c>
      <c r="AT214" s="258" t="s">
        <v>1287</v>
      </c>
      <c r="AU214" s="265" t="s">
        <v>693</v>
      </c>
      <c r="AV214" s="174" t="s">
        <v>243</v>
      </c>
      <c r="AW214" s="269" t="s">
        <v>245</v>
      </c>
      <c r="AX214" s="269" t="s">
        <v>694</v>
      </c>
      <c r="AY214" s="270" t="s">
        <v>695</v>
      </c>
      <c r="AZ214" s="173" t="s">
        <v>681</v>
      </c>
      <c r="BA214" s="265">
        <v>10.0</v>
      </c>
      <c r="BB214" s="174" t="s">
        <v>225</v>
      </c>
      <c r="BC214" s="271"/>
      <c r="BD214" s="272" t="s">
        <v>696</v>
      </c>
      <c r="BE214" s="273" t="s">
        <v>697</v>
      </c>
      <c r="BF214" s="274" t="str">
        <f>IFERROR(__xludf.DUMMYFUNCTION("LOWER(Regexreplace(to_text(E214),""[^A-Za-z0-9]"","""")&amp;""_""&amp;Regexreplace(to_text(F214),""[^A-Za-z0-9]"",""""))"),"sauter_eygt103f001")</f>
        <v>sauter_eygt103f001</v>
      </c>
      <c r="BG214" s="275" t="str">
        <f>IFERROR(__xludf.DUMMYFUNCTION("upper(Regexreplace(to_text(E214),""[^A-Za-z0-9]"","""")&amp;""-""&amp;Regexreplace(to_text(F214),""[^A-Za-z0-9]"",""""))"),"SAUTER-EYGT103F001")</f>
        <v>SAUTER-EYGT103F001</v>
      </c>
    </row>
    <row r="215" ht="30.0" customHeight="1">
      <c r="A215" s="258">
        <v>208.0</v>
      </c>
      <c r="B215" s="256" t="s">
        <v>670</v>
      </c>
      <c r="C215" s="257" t="s">
        <v>1767</v>
      </c>
      <c r="D215" s="173" t="s">
        <v>1767</v>
      </c>
      <c r="E215" s="174" t="s">
        <v>672</v>
      </c>
      <c r="F215" s="173" t="s">
        <v>512</v>
      </c>
      <c r="G215" s="258" t="s">
        <v>673</v>
      </c>
      <c r="H215" s="258" t="s">
        <v>674</v>
      </c>
      <c r="I215" s="258" t="s">
        <v>1614</v>
      </c>
      <c r="J215" s="259" t="s">
        <v>1453</v>
      </c>
      <c r="K215" s="260" t="s">
        <v>1454</v>
      </c>
      <c r="L215" s="258" t="s">
        <v>1455</v>
      </c>
      <c r="M215" s="265"/>
      <c r="N215" s="173" t="s">
        <v>679</v>
      </c>
      <c r="O215" s="173" t="s">
        <v>225</v>
      </c>
      <c r="P215" s="262" t="str">
        <f t="shared" si="1"/>
        <v>IN-BLR-ANANTA-HLI-233_11</v>
      </c>
      <c r="Q215" s="173" t="s">
        <v>1768</v>
      </c>
      <c r="R215" s="258" t="str">
        <f>IFS(C215="","",C215="n/a","N/A",LEN(C215),Concatenate("{",char(34),"asset",char(34),":{",char(34),"guid",char(34),":",char(34),Q215,char(34),",",char(34),"site",char(34),":",char(34),LOWER('2-Building'!$B$4),char(34),",",char(34),"name",char(34),":",char(34),LOWER(C215),char(34),"}}"))</f>
        <v>{"asset":{"guid":"uuid://62153e60-f2e3-4d95-a435-72fc8d621ea9","site":"in-blr-ananta","name":"hli-233"}}</v>
      </c>
      <c r="S215" s="258" t="s">
        <v>681</v>
      </c>
      <c r="T215" s="263"/>
      <c r="U215" s="263"/>
      <c r="V215" s="264">
        <v>2.23</v>
      </c>
      <c r="W215" s="33" t="s">
        <v>682</v>
      </c>
      <c r="X215" s="258" t="s">
        <v>1616</v>
      </c>
      <c r="Y215" s="33" t="s">
        <v>1617</v>
      </c>
      <c r="Z215" s="258">
        <v>14233.0</v>
      </c>
      <c r="AA215" s="258">
        <v>11501.0</v>
      </c>
      <c r="AB215" s="258"/>
      <c r="AC215" s="258"/>
      <c r="AD215" s="265"/>
      <c r="AE215" s="266" t="s">
        <v>685</v>
      </c>
      <c r="AF215" s="267" t="s">
        <v>1769</v>
      </c>
      <c r="AG215" s="268" t="str">
        <f>IFS(LEN(AF215)=17,LOWER('2-Building'!$B$4 &amp; "-" &amp; C215), AF215="N/A", "N/A", LEN(AF215)=0,"")</f>
        <v>in-blr-ananta-hli-233</v>
      </c>
      <c r="AH215" s="258"/>
      <c r="AI215" s="258"/>
      <c r="AJ215" s="258"/>
      <c r="AK215" s="258" t="s">
        <v>1770</v>
      </c>
      <c r="AL215" s="258" t="s">
        <v>688</v>
      </c>
      <c r="AM215" s="258" t="s">
        <v>689</v>
      </c>
      <c r="AN215" s="258"/>
      <c r="AO215" s="258"/>
      <c r="AP215" s="258"/>
      <c r="AQ215" s="258"/>
      <c r="AR215" s="258" t="s">
        <v>690</v>
      </c>
      <c r="AS215" s="258" t="s">
        <v>691</v>
      </c>
      <c r="AT215" s="258" t="s">
        <v>1338</v>
      </c>
      <c r="AU215" s="265" t="s">
        <v>693</v>
      </c>
      <c r="AV215" s="174" t="s">
        <v>243</v>
      </c>
      <c r="AW215" s="269" t="s">
        <v>245</v>
      </c>
      <c r="AX215" s="269" t="s">
        <v>694</v>
      </c>
      <c r="AY215" s="270" t="s">
        <v>695</v>
      </c>
      <c r="AZ215" s="173" t="s">
        <v>681</v>
      </c>
      <c r="BA215" s="265">
        <v>10.0</v>
      </c>
      <c r="BB215" s="174" t="s">
        <v>225</v>
      </c>
      <c r="BC215" s="271"/>
      <c r="BD215" s="272" t="s">
        <v>696</v>
      </c>
      <c r="BE215" s="273" t="s">
        <v>697</v>
      </c>
      <c r="BF215" s="274" t="str">
        <f>IFERROR(__xludf.DUMMYFUNCTION("LOWER(Regexreplace(to_text(E215),""[^A-Za-z0-9]"","""")&amp;""_""&amp;Regexreplace(to_text(F215),""[^A-Za-z0-9]"",""""))"),"sauter_eygt103f001")</f>
        <v>sauter_eygt103f001</v>
      </c>
      <c r="BG215" s="275" t="str">
        <f>IFERROR(__xludf.DUMMYFUNCTION("upper(Regexreplace(to_text(E215),""[^A-Za-z0-9]"","""")&amp;""-""&amp;Regexreplace(to_text(F215),""[^A-Za-z0-9]"",""""))"),"SAUTER-EYGT103F001")</f>
        <v>SAUTER-EYGT103F001</v>
      </c>
    </row>
    <row r="216" ht="30.0" customHeight="1">
      <c r="A216" s="173">
        <v>209.0</v>
      </c>
      <c r="B216" s="256" t="s">
        <v>670</v>
      </c>
      <c r="C216" s="257" t="s">
        <v>1771</v>
      </c>
      <c r="D216" s="173" t="s">
        <v>1771</v>
      </c>
      <c r="E216" s="174" t="s">
        <v>672</v>
      </c>
      <c r="F216" s="173" t="s">
        <v>512</v>
      </c>
      <c r="G216" s="258" t="s">
        <v>673</v>
      </c>
      <c r="H216" s="258" t="s">
        <v>674</v>
      </c>
      <c r="I216" s="258" t="s">
        <v>1614</v>
      </c>
      <c r="J216" s="259" t="s">
        <v>1453</v>
      </c>
      <c r="K216" s="260" t="s">
        <v>1772</v>
      </c>
      <c r="L216" s="258" t="s">
        <v>1510</v>
      </c>
      <c r="M216" s="265"/>
      <c r="N216" s="173" t="s">
        <v>679</v>
      </c>
      <c r="O216" s="173" t="s">
        <v>225</v>
      </c>
      <c r="P216" s="262" t="str">
        <f t="shared" si="1"/>
        <v>IN-BLR-ANANTA-HLI-234_11</v>
      </c>
      <c r="Q216" s="173" t="s">
        <v>1773</v>
      </c>
      <c r="R216" s="258" t="str">
        <f>IFS(C216="","",C216="n/a","N/A",LEN(C216),Concatenate("{",char(34),"asset",char(34),":{",char(34),"guid",char(34),":",char(34),Q216,char(34),",",char(34),"site",char(34),":",char(34),LOWER('2-Building'!$B$4),char(34),",",char(34),"name",char(34),":",char(34),LOWER(C216),char(34),"}}"))</f>
        <v>{"asset":{"guid":"uuid://87d1b971-d9d0-4c3b-bb48-9103624c4ee2","site":"in-blr-ananta","name":"hli-234"}}</v>
      </c>
      <c r="S216" s="258" t="s">
        <v>681</v>
      </c>
      <c r="T216" s="263"/>
      <c r="U216" s="263"/>
      <c r="V216" s="264">
        <v>2.23</v>
      </c>
      <c r="W216" s="33" t="s">
        <v>682</v>
      </c>
      <c r="X216" s="258" t="s">
        <v>1616</v>
      </c>
      <c r="Y216" s="33" t="s">
        <v>1617</v>
      </c>
      <c r="Z216" s="258">
        <v>14234.0</v>
      </c>
      <c r="AA216" s="258">
        <v>11501.0</v>
      </c>
      <c r="AB216" s="258"/>
      <c r="AC216" s="258"/>
      <c r="AD216" s="265"/>
      <c r="AE216" s="266" t="s">
        <v>685</v>
      </c>
      <c r="AF216" s="267" t="s">
        <v>1774</v>
      </c>
      <c r="AG216" s="268" t="str">
        <f>IFS(LEN(AF216)=17,LOWER('2-Building'!$B$4 &amp; "-" &amp; C216), AF216="N/A", "N/A", LEN(AF216)=0,"")</f>
        <v>in-blr-ananta-hli-234</v>
      </c>
      <c r="AH216" s="258"/>
      <c r="AI216" s="258"/>
      <c r="AJ216" s="258"/>
      <c r="AK216" s="258" t="s">
        <v>1775</v>
      </c>
      <c r="AL216" s="258" t="s">
        <v>688</v>
      </c>
      <c r="AM216" s="258" t="s">
        <v>689</v>
      </c>
      <c r="AN216" s="258"/>
      <c r="AO216" s="258"/>
      <c r="AP216" s="258"/>
      <c r="AQ216" s="258"/>
      <c r="AR216" s="258" t="s">
        <v>690</v>
      </c>
      <c r="AS216" s="258" t="s">
        <v>691</v>
      </c>
      <c r="AT216" s="258" t="s">
        <v>1448</v>
      </c>
      <c r="AU216" s="265" t="s">
        <v>693</v>
      </c>
      <c r="AV216" s="174" t="s">
        <v>243</v>
      </c>
      <c r="AW216" s="269" t="s">
        <v>245</v>
      </c>
      <c r="AX216" s="269" t="s">
        <v>694</v>
      </c>
      <c r="AY216" s="270" t="s">
        <v>695</v>
      </c>
      <c r="AZ216" s="173" t="s">
        <v>681</v>
      </c>
      <c r="BA216" s="265">
        <v>10.0</v>
      </c>
      <c r="BB216" s="174" t="s">
        <v>225</v>
      </c>
      <c r="BC216" s="271"/>
      <c r="BD216" s="272" t="s">
        <v>696</v>
      </c>
      <c r="BE216" s="273" t="s">
        <v>697</v>
      </c>
      <c r="BF216" s="274" t="str">
        <f>IFERROR(__xludf.DUMMYFUNCTION("LOWER(Regexreplace(to_text(E216),""[^A-Za-z0-9]"","""")&amp;""_""&amp;Regexreplace(to_text(F216),""[^A-Za-z0-9]"",""""))"),"sauter_eygt103f001")</f>
        <v>sauter_eygt103f001</v>
      </c>
      <c r="BG216" s="275" t="str">
        <f>IFERROR(__xludf.DUMMYFUNCTION("upper(Regexreplace(to_text(E216),""[^A-Za-z0-9]"","""")&amp;""-""&amp;Regexreplace(to_text(F216),""[^A-Za-z0-9]"",""""))"),"SAUTER-EYGT103F001")</f>
        <v>SAUTER-EYGT103F001</v>
      </c>
    </row>
    <row r="217" ht="30.0" customHeight="1">
      <c r="A217" s="258">
        <v>210.0</v>
      </c>
      <c r="B217" s="256" t="s">
        <v>670</v>
      </c>
      <c r="C217" s="257" t="s">
        <v>1776</v>
      </c>
      <c r="D217" s="173" t="s">
        <v>1776</v>
      </c>
      <c r="E217" s="174" t="s">
        <v>672</v>
      </c>
      <c r="F217" s="173" t="s">
        <v>512</v>
      </c>
      <c r="G217" s="258" t="s">
        <v>673</v>
      </c>
      <c r="H217" s="258" t="s">
        <v>674</v>
      </c>
      <c r="I217" s="258" t="s">
        <v>1614</v>
      </c>
      <c r="J217" s="259" t="s">
        <v>1453</v>
      </c>
      <c r="K217" s="260" t="s">
        <v>1465</v>
      </c>
      <c r="L217" s="258" t="s">
        <v>1466</v>
      </c>
      <c r="M217" s="265"/>
      <c r="N217" s="173" t="s">
        <v>679</v>
      </c>
      <c r="O217" s="173" t="s">
        <v>225</v>
      </c>
      <c r="P217" s="262" t="str">
        <f t="shared" si="1"/>
        <v>IN-BLR-ANANTA-HLI-235_11</v>
      </c>
      <c r="Q217" s="173" t="s">
        <v>1777</v>
      </c>
      <c r="R217" s="258" t="str">
        <f>IFS(C217="","",C217="n/a","N/A",LEN(C217),Concatenate("{",char(34),"asset",char(34),":{",char(34),"guid",char(34),":",char(34),Q217,char(34),",",char(34),"site",char(34),":",char(34),LOWER('2-Building'!$B$4),char(34),",",char(34),"name",char(34),":",char(34),LOWER(C217),char(34),"}}"))</f>
        <v>{"asset":{"guid":"uuid://090805a7-6d38-451e-8da4-ffebe2ae0f22","site":"in-blr-ananta","name":"hli-235"}}</v>
      </c>
      <c r="S217" s="258" t="s">
        <v>681</v>
      </c>
      <c r="T217" s="263"/>
      <c r="U217" s="263"/>
      <c r="V217" s="264">
        <v>2.23</v>
      </c>
      <c r="W217" s="33" t="s">
        <v>682</v>
      </c>
      <c r="X217" s="258" t="s">
        <v>1616</v>
      </c>
      <c r="Y217" s="33" t="s">
        <v>1617</v>
      </c>
      <c r="Z217" s="258">
        <v>14235.0</v>
      </c>
      <c r="AA217" s="258">
        <v>11501.0</v>
      </c>
      <c r="AB217" s="258"/>
      <c r="AC217" s="258"/>
      <c r="AD217" s="265"/>
      <c r="AE217" s="266" t="s">
        <v>685</v>
      </c>
      <c r="AF217" s="267" t="s">
        <v>1778</v>
      </c>
      <c r="AG217" s="268" t="str">
        <f>IFS(LEN(AF217)=17,LOWER('2-Building'!$B$4 &amp; "-" &amp; C217), AF217="N/A", "N/A", LEN(AF217)=0,"")</f>
        <v>in-blr-ananta-hli-235</v>
      </c>
      <c r="AH217" s="258"/>
      <c r="AI217" s="258"/>
      <c r="AJ217" s="258"/>
      <c r="AK217" s="258" t="s">
        <v>1779</v>
      </c>
      <c r="AL217" s="258" t="s">
        <v>688</v>
      </c>
      <c r="AM217" s="258" t="s">
        <v>689</v>
      </c>
      <c r="AN217" s="258"/>
      <c r="AO217" s="258"/>
      <c r="AP217" s="258"/>
      <c r="AQ217" s="258"/>
      <c r="AR217" s="258" t="s">
        <v>690</v>
      </c>
      <c r="AS217" s="258" t="s">
        <v>691</v>
      </c>
      <c r="AT217" s="258" t="s">
        <v>1780</v>
      </c>
      <c r="AU217" s="265" t="s">
        <v>693</v>
      </c>
      <c r="AV217" s="174" t="s">
        <v>243</v>
      </c>
      <c r="AW217" s="269" t="s">
        <v>245</v>
      </c>
      <c r="AX217" s="269" t="s">
        <v>694</v>
      </c>
      <c r="AY217" s="270" t="s">
        <v>695</v>
      </c>
      <c r="AZ217" s="173" t="s">
        <v>681</v>
      </c>
      <c r="BA217" s="265">
        <v>10.0</v>
      </c>
      <c r="BB217" s="174" t="s">
        <v>225</v>
      </c>
      <c r="BC217" s="271"/>
      <c r="BD217" s="272" t="s">
        <v>696</v>
      </c>
      <c r="BE217" s="273" t="s">
        <v>697</v>
      </c>
      <c r="BF217" s="274" t="str">
        <f>IFERROR(__xludf.DUMMYFUNCTION("LOWER(Regexreplace(to_text(E217),""[^A-Za-z0-9]"","""")&amp;""_""&amp;Regexreplace(to_text(F217),""[^A-Za-z0-9]"",""""))"),"sauter_eygt103f001")</f>
        <v>sauter_eygt103f001</v>
      </c>
      <c r="BG217" s="275" t="str">
        <f>IFERROR(__xludf.DUMMYFUNCTION("upper(Regexreplace(to_text(E217),""[^A-Za-z0-9]"","""")&amp;""-""&amp;Regexreplace(to_text(F217),""[^A-Za-z0-9]"",""""))"),"SAUTER-EYGT103F001")</f>
        <v>SAUTER-EYGT103F001</v>
      </c>
    </row>
    <row r="218" ht="30.0" customHeight="1">
      <c r="A218" s="173">
        <v>211.0</v>
      </c>
      <c r="B218" s="256" t="s">
        <v>670</v>
      </c>
      <c r="C218" s="257" t="s">
        <v>1781</v>
      </c>
      <c r="D218" s="173" t="s">
        <v>1781</v>
      </c>
      <c r="E218" s="174" t="s">
        <v>672</v>
      </c>
      <c r="F218" s="173" t="s">
        <v>512</v>
      </c>
      <c r="G218" s="258" t="s">
        <v>673</v>
      </c>
      <c r="H218" s="258" t="s">
        <v>674</v>
      </c>
      <c r="I218" s="258" t="s">
        <v>1614</v>
      </c>
      <c r="J218" s="259" t="s">
        <v>739</v>
      </c>
      <c r="K218" s="260" t="s">
        <v>1782</v>
      </c>
      <c r="L218" s="258" t="s">
        <v>766</v>
      </c>
      <c r="M218" s="265"/>
      <c r="N218" s="173" t="s">
        <v>679</v>
      </c>
      <c r="O218" s="173" t="s">
        <v>225</v>
      </c>
      <c r="P218" s="262" t="str">
        <f t="shared" si="1"/>
        <v>IN-BLR-ANANTA-HLI-236_G</v>
      </c>
      <c r="Q218" s="173" t="s">
        <v>1783</v>
      </c>
      <c r="R218" s="258" t="str">
        <f>IFS(C218="","",C218="n/a","N/A",LEN(C218),Concatenate("{",char(34),"asset",char(34),":{",char(34),"guid",char(34),":",char(34),Q218,char(34),",",char(34),"site",char(34),":",char(34),LOWER('2-Building'!$B$4),char(34),",",char(34),"name",char(34),":",char(34),LOWER(C218),char(34),"}}"))</f>
        <v>{"asset":{"guid":"uuid://0db97346-2795-43c5-a8de-5fcf3a5fe324","site":"in-blr-ananta","name":"hli-236"}}</v>
      </c>
      <c r="S218" s="258" t="s">
        <v>681</v>
      </c>
      <c r="T218" s="263"/>
      <c r="U218" s="263"/>
      <c r="V218" s="264">
        <v>2.23</v>
      </c>
      <c r="W218" s="33" t="s">
        <v>682</v>
      </c>
      <c r="X218" s="258" t="s">
        <v>1616</v>
      </c>
      <c r="Y218" s="33" t="s">
        <v>1617</v>
      </c>
      <c r="Z218" s="258">
        <v>14236.0</v>
      </c>
      <c r="AA218" s="258">
        <v>11501.0</v>
      </c>
      <c r="AB218" s="258"/>
      <c r="AC218" s="258"/>
      <c r="AD218" s="265"/>
      <c r="AE218" s="266" t="s">
        <v>685</v>
      </c>
      <c r="AF218" s="267" t="s">
        <v>1784</v>
      </c>
      <c r="AG218" s="268" t="str">
        <f>IFS(LEN(AF218)=17,LOWER('2-Building'!$B$4 &amp; "-" &amp; C218), AF218="N/A", "N/A", LEN(AF218)=0,"")</f>
        <v>in-blr-ananta-hli-236</v>
      </c>
      <c r="AH218" s="258"/>
      <c r="AI218" s="258"/>
      <c r="AJ218" s="258"/>
      <c r="AK218" s="258" t="s">
        <v>1785</v>
      </c>
      <c r="AL218" s="258" t="s">
        <v>688</v>
      </c>
      <c r="AM218" s="258" t="s">
        <v>689</v>
      </c>
      <c r="AN218" s="258"/>
      <c r="AO218" s="258"/>
      <c r="AP218" s="258"/>
      <c r="AQ218" s="258"/>
      <c r="AR218" s="258" t="s">
        <v>690</v>
      </c>
      <c r="AS218" s="258" t="s">
        <v>691</v>
      </c>
      <c r="AT218" s="258" t="s">
        <v>702</v>
      </c>
      <c r="AU218" s="265" t="s">
        <v>693</v>
      </c>
      <c r="AV218" s="174" t="s">
        <v>243</v>
      </c>
      <c r="AW218" s="269" t="s">
        <v>245</v>
      </c>
      <c r="AX218" s="269" t="s">
        <v>694</v>
      </c>
      <c r="AY218" s="270" t="s">
        <v>695</v>
      </c>
      <c r="AZ218" s="173" t="s">
        <v>681</v>
      </c>
      <c r="BA218" s="265">
        <v>10.0</v>
      </c>
      <c r="BB218" s="174" t="s">
        <v>225</v>
      </c>
      <c r="BC218" s="271"/>
      <c r="BD218" s="272" t="s">
        <v>696</v>
      </c>
      <c r="BE218" s="273" t="s">
        <v>697</v>
      </c>
      <c r="BF218" s="274" t="str">
        <f>IFERROR(__xludf.DUMMYFUNCTION("LOWER(Regexreplace(to_text(E218),""[^A-Za-z0-9]"","""")&amp;""_""&amp;Regexreplace(to_text(F218),""[^A-Za-z0-9]"",""""))"),"sauter_eygt103f001")</f>
        <v>sauter_eygt103f001</v>
      </c>
      <c r="BG218" s="275" t="str">
        <f>IFERROR(__xludf.DUMMYFUNCTION("upper(Regexreplace(to_text(E218),""[^A-Za-z0-9]"","""")&amp;""-""&amp;Regexreplace(to_text(F218),""[^A-Za-z0-9]"",""""))"),"SAUTER-EYGT103F001")</f>
        <v>SAUTER-EYGT103F001</v>
      </c>
    </row>
    <row r="219" ht="30.0" customHeight="1">
      <c r="A219" s="258">
        <v>212.0</v>
      </c>
      <c r="B219" s="256" t="s">
        <v>670</v>
      </c>
      <c r="C219" s="257" t="s">
        <v>1786</v>
      </c>
      <c r="D219" s="173" t="s">
        <v>1786</v>
      </c>
      <c r="E219" s="174" t="s">
        <v>672</v>
      </c>
      <c r="F219" s="173" t="s">
        <v>512</v>
      </c>
      <c r="G219" s="258" t="s">
        <v>673</v>
      </c>
      <c r="H219" s="258" t="s">
        <v>674</v>
      </c>
      <c r="I219" s="258" t="s">
        <v>1614</v>
      </c>
      <c r="J219" s="259" t="s">
        <v>739</v>
      </c>
      <c r="K219" s="260" t="s">
        <v>740</v>
      </c>
      <c r="L219" s="258" t="s">
        <v>1787</v>
      </c>
      <c r="M219" s="265"/>
      <c r="N219" s="173" t="s">
        <v>679</v>
      </c>
      <c r="O219" s="173" t="s">
        <v>225</v>
      </c>
      <c r="P219" s="262" t="str">
        <f t="shared" si="1"/>
        <v>IN-BLR-ANANTA-HLI-237_G</v>
      </c>
      <c r="Q219" s="173" t="s">
        <v>1788</v>
      </c>
      <c r="R219" s="258" t="str">
        <f>IFS(C219="","",C219="n/a","N/A",LEN(C219),Concatenate("{",char(34),"asset",char(34),":{",char(34),"guid",char(34),":",char(34),Q219,char(34),",",char(34),"site",char(34),":",char(34),LOWER('2-Building'!$B$4),char(34),",",char(34),"name",char(34),":",char(34),LOWER(C219),char(34),"}}"))</f>
        <v>{"asset":{"guid":"uuid://97cacada-c706-41b8-b463-657f024b21ae","site":"in-blr-ananta","name":"hli-237"}}</v>
      </c>
      <c r="S219" s="258" t="s">
        <v>681</v>
      </c>
      <c r="T219" s="263"/>
      <c r="U219" s="263"/>
      <c r="V219" s="264">
        <v>2.23</v>
      </c>
      <c r="W219" s="33" t="s">
        <v>682</v>
      </c>
      <c r="X219" s="258" t="s">
        <v>1616</v>
      </c>
      <c r="Y219" s="33" t="s">
        <v>1617</v>
      </c>
      <c r="Z219" s="258">
        <v>14237.0</v>
      </c>
      <c r="AA219" s="258">
        <v>11501.0</v>
      </c>
      <c r="AB219" s="258"/>
      <c r="AC219" s="258"/>
      <c r="AD219" s="265"/>
      <c r="AE219" s="266" t="s">
        <v>685</v>
      </c>
      <c r="AF219" s="267" t="s">
        <v>1789</v>
      </c>
      <c r="AG219" s="268" t="str">
        <f>IFS(LEN(AF219)=17,LOWER('2-Building'!$B$4 &amp; "-" &amp; C219), AF219="N/A", "N/A", LEN(AF219)=0,"")</f>
        <v>in-blr-ananta-hli-237</v>
      </c>
      <c r="AH219" s="258"/>
      <c r="AI219" s="258"/>
      <c r="AJ219" s="258"/>
      <c r="AK219" s="258" t="s">
        <v>1790</v>
      </c>
      <c r="AL219" s="258" t="s">
        <v>688</v>
      </c>
      <c r="AM219" s="258" t="s">
        <v>689</v>
      </c>
      <c r="AN219" s="258"/>
      <c r="AO219" s="258"/>
      <c r="AP219" s="258"/>
      <c r="AQ219" s="258"/>
      <c r="AR219" s="258" t="s">
        <v>690</v>
      </c>
      <c r="AS219" s="258" t="s">
        <v>691</v>
      </c>
      <c r="AT219" s="258" t="s">
        <v>836</v>
      </c>
      <c r="AU219" s="265" t="s">
        <v>693</v>
      </c>
      <c r="AV219" s="174" t="s">
        <v>243</v>
      </c>
      <c r="AW219" s="269" t="s">
        <v>245</v>
      </c>
      <c r="AX219" s="269" t="s">
        <v>694</v>
      </c>
      <c r="AY219" s="270" t="s">
        <v>695</v>
      </c>
      <c r="AZ219" s="173" t="s">
        <v>681</v>
      </c>
      <c r="BA219" s="265">
        <v>10.0</v>
      </c>
      <c r="BB219" s="174" t="s">
        <v>225</v>
      </c>
      <c r="BC219" s="271"/>
      <c r="BD219" s="272" t="s">
        <v>696</v>
      </c>
      <c r="BE219" s="273" t="s">
        <v>697</v>
      </c>
      <c r="BF219" s="274" t="str">
        <f>IFERROR(__xludf.DUMMYFUNCTION("LOWER(Regexreplace(to_text(E219),""[^A-Za-z0-9]"","""")&amp;""_""&amp;Regexreplace(to_text(F219),""[^A-Za-z0-9]"",""""))"),"sauter_eygt103f001")</f>
        <v>sauter_eygt103f001</v>
      </c>
      <c r="BG219" s="275" t="str">
        <f>IFERROR(__xludf.DUMMYFUNCTION("upper(Regexreplace(to_text(E219),""[^A-Za-z0-9]"","""")&amp;""-""&amp;Regexreplace(to_text(F219),""[^A-Za-z0-9]"",""""))"),"SAUTER-EYGT103F001")</f>
        <v>SAUTER-EYGT103F001</v>
      </c>
    </row>
    <row r="220" ht="30.0" customHeight="1">
      <c r="A220" s="173">
        <v>213.0</v>
      </c>
      <c r="B220" s="256" t="s">
        <v>670</v>
      </c>
      <c r="C220" s="257" t="s">
        <v>1791</v>
      </c>
      <c r="D220" s="173" t="s">
        <v>1791</v>
      </c>
      <c r="E220" s="174" t="s">
        <v>672</v>
      </c>
      <c r="F220" s="173" t="s">
        <v>512</v>
      </c>
      <c r="G220" s="258" t="s">
        <v>673</v>
      </c>
      <c r="H220" s="258" t="s">
        <v>674</v>
      </c>
      <c r="I220" s="258" t="s">
        <v>1614</v>
      </c>
      <c r="J220" s="259" t="s">
        <v>1520</v>
      </c>
      <c r="K220" s="260" t="s">
        <v>1520</v>
      </c>
      <c r="L220" s="258" t="s">
        <v>1531</v>
      </c>
      <c r="M220" s="265"/>
      <c r="N220" s="173" t="s">
        <v>679</v>
      </c>
      <c r="O220" s="173" t="s">
        <v>225</v>
      </c>
      <c r="P220" s="262" t="str">
        <f t="shared" si="1"/>
        <v>IN-BLR-ANANTA-HLI-238_Roof</v>
      </c>
      <c r="Q220" s="173" t="s">
        <v>1792</v>
      </c>
      <c r="R220" s="258" t="str">
        <f>IFS(C220="","",C220="n/a","N/A",LEN(C220),Concatenate("{",char(34),"asset",char(34),":{",char(34),"guid",char(34),":",char(34),Q220,char(34),",",char(34),"site",char(34),":",char(34),LOWER('2-Building'!$B$4),char(34),",",char(34),"name",char(34),":",char(34),LOWER(C220),char(34),"}}"))</f>
        <v>{"asset":{"guid":"uuid://244837fd-2c33-4605-bf10-b8e691bea148","site":"in-blr-ananta","name":"hli-238"}}</v>
      </c>
      <c r="S220" s="258" t="s">
        <v>681</v>
      </c>
      <c r="T220" s="263"/>
      <c r="U220" s="263"/>
      <c r="V220" s="264">
        <v>2.23</v>
      </c>
      <c r="W220" s="33" t="s">
        <v>682</v>
      </c>
      <c r="X220" s="258" t="s">
        <v>1616</v>
      </c>
      <c r="Y220" s="33" t="s">
        <v>1617</v>
      </c>
      <c r="Z220" s="258">
        <v>14238.0</v>
      </c>
      <c r="AA220" s="258">
        <v>11501.0</v>
      </c>
      <c r="AB220" s="258"/>
      <c r="AC220" s="258"/>
      <c r="AD220" s="265"/>
      <c r="AE220" s="266" t="s">
        <v>685</v>
      </c>
      <c r="AF220" s="267" t="s">
        <v>1793</v>
      </c>
      <c r="AG220" s="268" t="str">
        <f>IFS(LEN(AF220)=17,LOWER('2-Building'!$B$4 &amp; "-" &amp; C220), AF220="N/A", "N/A", LEN(AF220)=0,"")</f>
        <v>in-blr-ananta-hli-238</v>
      </c>
      <c r="AH220" s="258"/>
      <c r="AI220" s="258"/>
      <c r="AJ220" s="258"/>
      <c r="AK220" s="258" t="s">
        <v>1794</v>
      </c>
      <c r="AL220" s="258" t="s">
        <v>688</v>
      </c>
      <c r="AM220" s="258" t="s">
        <v>689</v>
      </c>
      <c r="AN220" s="258"/>
      <c r="AO220" s="258"/>
      <c r="AP220" s="258"/>
      <c r="AQ220" s="258"/>
      <c r="AR220" s="258" t="s">
        <v>690</v>
      </c>
      <c r="AS220" s="258" t="s">
        <v>691</v>
      </c>
      <c r="AT220" s="258" t="s">
        <v>1795</v>
      </c>
      <c r="AU220" s="265" t="s">
        <v>693</v>
      </c>
      <c r="AV220" s="174" t="s">
        <v>243</v>
      </c>
      <c r="AW220" s="269" t="s">
        <v>245</v>
      </c>
      <c r="AX220" s="269" t="s">
        <v>694</v>
      </c>
      <c r="AY220" s="270" t="s">
        <v>695</v>
      </c>
      <c r="AZ220" s="173" t="s">
        <v>681</v>
      </c>
      <c r="BA220" s="265">
        <v>10.0</v>
      </c>
      <c r="BB220" s="174" t="s">
        <v>225</v>
      </c>
      <c r="BC220" s="271"/>
      <c r="BD220" s="272" t="s">
        <v>696</v>
      </c>
      <c r="BE220" s="273" t="s">
        <v>697</v>
      </c>
      <c r="BF220" s="274" t="str">
        <f>IFERROR(__xludf.DUMMYFUNCTION("LOWER(Regexreplace(to_text(E220),""[^A-Za-z0-9]"","""")&amp;""_""&amp;Regexreplace(to_text(F220),""[^A-Za-z0-9]"",""""))"),"sauter_eygt103f001")</f>
        <v>sauter_eygt103f001</v>
      </c>
      <c r="BG220" s="275" t="str">
        <f>IFERROR(__xludf.DUMMYFUNCTION("upper(Regexreplace(to_text(E220),""[^A-Za-z0-9]"","""")&amp;""-""&amp;Regexreplace(to_text(F220),""[^A-Za-z0-9]"",""""))"),"SAUTER-EYGT103F001")</f>
        <v>SAUTER-EYGT103F001</v>
      </c>
    </row>
    <row r="221" ht="30.0" customHeight="1">
      <c r="A221" s="258">
        <v>214.0</v>
      </c>
      <c r="B221" s="256" t="s">
        <v>670</v>
      </c>
      <c r="C221" s="257" t="s">
        <v>1796</v>
      </c>
      <c r="D221" s="173" t="s">
        <v>1796</v>
      </c>
      <c r="E221" s="174" t="s">
        <v>672</v>
      </c>
      <c r="F221" s="173" t="s">
        <v>512</v>
      </c>
      <c r="G221" s="258" t="s">
        <v>673</v>
      </c>
      <c r="H221" s="258" t="s">
        <v>674</v>
      </c>
      <c r="I221" s="258" t="s">
        <v>1614</v>
      </c>
      <c r="J221" s="259" t="s">
        <v>1520</v>
      </c>
      <c r="K221" s="260" t="s">
        <v>1520</v>
      </c>
      <c r="L221" s="258" t="s">
        <v>1555</v>
      </c>
      <c r="M221" s="265"/>
      <c r="N221" s="173" t="s">
        <v>679</v>
      </c>
      <c r="O221" s="173" t="s">
        <v>225</v>
      </c>
      <c r="P221" s="262" t="str">
        <f t="shared" si="1"/>
        <v>IN-BLR-ANANTA-HLI-239_Roof</v>
      </c>
      <c r="Q221" s="173" t="s">
        <v>1797</v>
      </c>
      <c r="R221" s="258" t="str">
        <f>IFS(C221="","",C221="n/a","N/A",LEN(C221),Concatenate("{",char(34),"asset",char(34),":{",char(34),"guid",char(34),":",char(34),Q221,char(34),",",char(34),"site",char(34),":",char(34),LOWER('2-Building'!$B$4),char(34),",",char(34),"name",char(34),":",char(34),LOWER(C221),char(34),"}}"))</f>
        <v>{"asset":{"guid":"uuid://a5f5c2fc-8667-4655-8a81-5c3bf915f28c","site":"in-blr-ananta","name":"hli-239"}}</v>
      </c>
      <c r="S221" s="258" t="s">
        <v>681</v>
      </c>
      <c r="T221" s="263"/>
      <c r="U221" s="263"/>
      <c r="V221" s="264">
        <v>2.23</v>
      </c>
      <c r="W221" s="33" t="s">
        <v>682</v>
      </c>
      <c r="X221" s="258" t="s">
        <v>1616</v>
      </c>
      <c r="Y221" s="33" t="s">
        <v>1617</v>
      </c>
      <c r="Z221" s="258">
        <v>14239.0</v>
      </c>
      <c r="AA221" s="258">
        <v>11501.0</v>
      </c>
      <c r="AB221" s="258"/>
      <c r="AC221" s="258"/>
      <c r="AD221" s="265"/>
      <c r="AE221" s="266" t="s">
        <v>685</v>
      </c>
      <c r="AF221" s="267" t="s">
        <v>1798</v>
      </c>
      <c r="AG221" s="268" t="str">
        <f>IFS(LEN(AF221)=17,LOWER('2-Building'!$B$4 &amp; "-" &amp; C221), AF221="N/A", "N/A", LEN(AF221)=0,"")</f>
        <v>in-blr-ananta-hli-239</v>
      </c>
      <c r="AH221" s="258"/>
      <c r="AI221" s="258"/>
      <c r="AJ221" s="258"/>
      <c r="AK221" s="258" t="s">
        <v>1799</v>
      </c>
      <c r="AL221" s="258" t="s">
        <v>688</v>
      </c>
      <c r="AM221" s="258" t="s">
        <v>689</v>
      </c>
      <c r="AN221" s="258"/>
      <c r="AO221" s="258"/>
      <c r="AP221" s="258"/>
      <c r="AQ221" s="258"/>
      <c r="AR221" s="258" t="s">
        <v>690</v>
      </c>
      <c r="AS221" s="258" t="s">
        <v>691</v>
      </c>
      <c r="AT221" s="258" t="s">
        <v>1525</v>
      </c>
      <c r="AU221" s="265" t="s">
        <v>693</v>
      </c>
      <c r="AV221" s="174" t="s">
        <v>243</v>
      </c>
      <c r="AW221" s="269" t="s">
        <v>245</v>
      </c>
      <c r="AX221" s="269" t="s">
        <v>694</v>
      </c>
      <c r="AY221" s="270" t="s">
        <v>695</v>
      </c>
      <c r="AZ221" s="173" t="s">
        <v>681</v>
      </c>
      <c r="BA221" s="265">
        <v>10.0</v>
      </c>
      <c r="BB221" s="174" t="s">
        <v>225</v>
      </c>
      <c r="BC221" s="271"/>
      <c r="BD221" s="272" t="s">
        <v>696</v>
      </c>
      <c r="BE221" s="273" t="s">
        <v>697</v>
      </c>
      <c r="BF221" s="274" t="str">
        <f>IFERROR(__xludf.DUMMYFUNCTION("LOWER(Regexreplace(to_text(E221),""[^A-Za-z0-9]"","""")&amp;""_""&amp;Regexreplace(to_text(F221),""[^A-Za-z0-9]"",""""))"),"sauter_eygt103f001")</f>
        <v>sauter_eygt103f001</v>
      </c>
      <c r="BG221" s="275" t="str">
        <f>IFERROR(__xludf.DUMMYFUNCTION("upper(Regexreplace(to_text(E221),""[^A-Za-z0-9]"","""")&amp;""-""&amp;Regexreplace(to_text(F221),""[^A-Za-z0-9]"",""""))"),"SAUTER-EYGT103F001")</f>
        <v>SAUTER-EYGT103F001</v>
      </c>
    </row>
    <row r="222" ht="30.0" customHeight="1">
      <c r="A222" s="173">
        <v>215.0</v>
      </c>
      <c r="B222" s="256" t="s">
        <v>670</v>
      </c>
      <c r="C222" s="257" t="s">
        <v>1800</v>
      </c>
      <c r="D222" s="173" t="s">
        <v>1800</v>
      </c>
      <c r="E222" s="174" t="s">
        <v>672</v>
      </c>
      <c r="F222" s="173" t="s">
        <v>512</v>
      </c>
      <c r="G222" s="258" t="s">
        <v>673</v>
      </c>
      <c r="H222" s="258" t="s">
        <v>674</v>
      </c>
      <c r="I222" s="258" t="s">
        <v>1614</v>
      </c>
      <c r="J222" s="259" t="s">
        <v>1520</v>
      </c>
      <c r="K222" s="260" t="s">
        <v>1520</v>
      </c>
      <c r="L222" s="258" t="s">
        <v>1564</v>
      </c>
      <c r="M222" s="265"/>
      <c r="N222" s="173" t="s">
        <v>679</v>
      </c>
      <c r="O222" s="173" t="s">
        <v>225</v>
      </c>
      <c r="P222" s="262" t="str">
        <f t="shared" si="1"/>
        <v>IN-BLR-ANANTA-HLI-240_Roof</v>
      </c>
      <c r="Q222" s="173" t="s">
        <v>1801</v>
      </c>
      <c r="R222" s="258" t="str">
        <f>IFS(C222="","",C222="n/a","N/A",LEN(C222),Concatenate("{",char(34),"asset",char(34),":{",char(34),"guid",char(34),":",char(34),Q222,char(34),",",char(34),"site",char(34),":",char(34),LOWER('2-Building'!$B$4),char(34),",",char(34),"name",char(34),":",char(34),LOWER(C222),char(34),"}}"))</f>
        <v>{"asset":{"guid":"uuid://8d2f2e63-d441-4b06-be37-2dd711690044","site":"in-blr-ananta","name":"hli-240"}}</v>
      </c>
      <c r="S222" s="258" t="s">
        <v>681</v>
      </c>
      <c r="T222" s="263"/>
      <c r="U222" s="263"/>
      <c r="V222" s="264">
        <v>2.23</v>
      </c>
      <c r="W222" s="33" t="s">
        <v>682</v>
      </c>
      <c r="X222" s="258" t="s">
        <v>1616</v>
      </c>
      <c r="Y222" s="33" t="s">
        <v>1617</v>
      </c>
      <c r="Z222" s="258">
        <v>14240.0</v>
      </c>
      <c r="AA222" s="258">
        <v>11501.0</v>
      </c>
      <c r="AB222" s="258"/>
      <c r="AC222" s="258"/>
      <c r="AD222" s="265"/>
      <c r="AE222" s="266" t="s">
        <v>685</v>
      </c>
      <c r="AF222" s="267" t="s">
        <v>1802</v>
      </c>
      <c r="AG222" s="268" t="str">
        <f>IFS(LEN(AF222)=17,LOWER('2-Building'!$B$4 &amp; "-" &amp; C222), AF222="N/A", "N/A", LEN(AF222)=0,"")</f>
        <v>in-blr-ananta-hli-240</v>
      </c>
      <c r="AH222" s="258"/>
      <c r="AI222" s="258"/>
      <c r="AJ222" s="258"/>
      <c r="AK222" s="258" t="s">
        <v>1803</v>
      </c>
      <c r="AL222" s="258" t="s">
        <v>688</v>
      </c>
      <c r="AM222" s="258" t="s">
        <v>689</v>
      </c>
      <c r="AN222" s="258"/>
      <c r="AO222" s="258"/>
      <c r="AP222" s="258"/>
      <c r="AQ222" s="258"/>
      <c r="AR222" s="258" t="s">
        <v>690</v>
      </c>
      <c r="AS222" s="258" t="s">
        <v>691</v>
      </c>
      <c r="AT222" s="258" t="s">
        <v>1572</v>
      </c>
      <c r="AU222" s="265" t="s">
        <v>693</v>
      </c>
      <c r="AV222" s="174" t="s">
        <v>243</v>
      </c>
      <c r="AW222" s="269" t="s">
        <v>245</v>
      </c>
      <c r="AX222" s="269" t="s">
        <v>694</v>
      </c>
      <c r="AY222" s="270" t="s">
        <v>695</v>
      </c>
      <c r="AZ222" s="173" t="s">
        <v>681</v>
      </c>
      <c r="BA222" s="265">
        <v>10.0</v>
      </c>
      <c r="BB222" s="174" t="s">
        <v>225</v>
      </c>
      <c r="BC222" s="271"/>
      <c r="BD222" s="272" t="s">
        <v>696</v>
      </c>
      <c r="BE222" s="273" t="s">
        <v>697</v>
      </c>
      <c r="BF222" s="274" t="str">
        <f>IFERROR(__xludf.DUMMYFUNCTION("LOWER(Regexreplace(to_text(E222),""[^A-Za-z0-9]"","""")&amp;""_""&amp;Regexreplace(to_text(F222),""[^A-Za-z0-9]"",""""))"),"sauter_eygt103f001")</f>
        <v>sauter_eygt103f001</v>
      </c>
      <c r="BG222" s="275" t="str">
        <f>IFERROR(__xludf.DUMMYFUNCTION("upper(Regexreplace(to_text(E222),""[^A-Za-z0-9]"","""")&amp;""-""&amp;Regexreplace(to_text(F222),""[^A-Za-z0-9]"",""""))"),"SAUTER-EYGT103F001")</f>
        <v>SAUTER-EYGT103F001</v>
      </c>
    </row>
    <row r="223" ht="30.0" customHeight="1">
      <c r="A223" s="258">
        <v>216.0</v>
      </c>
      <c r="B223" s="256" t="s">
        <v>670</v>
      </c>
      <c r="C223" s="257" t="s">
        <v>1804</v>
      </c>
      <c r="D223" s="173" t="s">
        <v>1804</v>
      </c>
      <c r="E223" s="174" t="s">
        <v>672</v>
      </c>
      <c r="F223" s="173" t="s">
        <v>512</v>
      </c>
      <c r="G223" s="258" t="s">
        <v>673</v>
      </c>
      <c r="H223" s="258" t="s">
        <v>674</v>
      </c>
      <c r="I223" s="258" t="s">
        <v>1614</v>
      </c>
      <c r="J223" s="259" t="s">
        <v>846</v>
      </c>
      <c r="K223" s="260" t="s">
        <v>1805</v>
      </c>
      <c r="L223" s="258" t="s">
        <v>1581</v>
      </c>
      <c r="M223" s="265"/>
      <c r="N223" s="173" t="s">
        <v>679</v>
      </c>
      <c r="O223" s="173" t="s">
        <v>225</v>
      </c>
      <c r="P223" s="262" t="str">
        <f t="shared" si="1"/>
        <v>IN-BLR-ANANTA-HLI-241_1</v>
      </c>
      <c r="Q223" s="173" t="s">
        <v>1806</v>
      </c>
      <c r="R223" s="258" t="str">
        <f>IFS(C223="","",C223="n/a","N/A",LEN(C223),Concatenate("{",char(34),"asset",char(34),":{",char(34),"guid",char(34),":",char(34),Q223,char(34),",",char(34),"site",char(34),":",char(34),LOWER('2-Building'!$B$4),char(34),",",char(34),"name",char(34),":",char(34),LOWER(C223),char(34),"}}"))</f>
        <v>{"asset":{"guid":"uuid://05dce1cb-8c5e-4b9a-b722-96251fa175f5","site":"in-blr-ananta","name":"hli-241"}}</v>
      </c>
      <c r="S223" s="258" t="s">
        <v>681</v>
      </c>
      <c r="T223" s="263"/>
      <c r="U223" s="263"/>
      <c r="V223" s="264">
        <v>2.23</v>
      </c>
      <c r="W223" s="33" t="s">
        <v>682</v>
      </c>
      <c r="X223" s="258" t="s">
        <v>1616</v>
      </c>
      <c r="Y223" s="33" t="s">
        <v>1617</v>
      </c>
      <c r="Z223" s="258">
        <v>14241.0</v>
      </c>
      <c r="AA223" s="258">
        <v>11501.0</v>
      </c>
      <c r="AB223" s="258"/>
      <c r="AC223" s="258"/>
      <c r="AD223" s="265"/>
      <c r="AE223" s="266" t="s">
        <v>685</v>
      </c>
      <c r="AF223" s="267" t="s">
        <v>1807</v>
      </c>
      <c r="AG223" s="268" t="str">
        <f>IFS(LEN(AF223)=17,LOWER('2-Building'!$B$4 &amp; "-" &amp; C223), AF223="N/A", "N/A", LEN(AF223)=0,"")</f>
        <v>in-blr-ananta-hli-241</v>
      </c>
      <c r="AH223" s="258"/>
      <c r="AI223" s="258"/>
      <c r="AJ223" s="258"/>
      <c r="AK223" s="258" t="s">
        <v>1808</v>
      </c>
      <c r="AL223" s="258" t="s">
        <v>688</v>
      </c>
      <c r="AM223" s="258" t="s">
        <v>689</v>
      </c>
      <c r="AN223" s="258"/>
      <c r="AO223" s="258"/>
      <c r="AP223" s="258"/>
      <c r="AQ223" s="258"/>
      <c r="AR223" s="258" t="s">
        <v>690</v>
      </c>
      <c r="AS223" s="258" t="s">
        <v>691</v>
      </c>
      <c r="AT223" s="258" t="s">
        <v>1572</v>
      </c>
      <c r="AU223" s="265" t="s">
        <v>693</v>
      </c>
      <c r="AV223" s="174" t="s">
        <v>243</v>
      </c>
      <c r="AW223" s="269" t="s">
        <v>245</v>
      </c>
      <c r="AX223" s="269" t="s">
        <v>694</v>
      </c>
      <c r="AY223" s="270" t="s">
        <v>695</v>
      </c>
      <c r="AZ223" s="173" t="s">
        <v>681</v>
      </c>
      <c r="BA223" s="265">
        <v>10.0</v>
      </c>
      <c r="BB223" s="174" t="s">
        <v>225</v>
      </c>
      <c r="BC223" s="271"/>
      <c r="BD223" s="272" t="s">
        <v>696</v>
      </c>
      <c r="BE223" s="273" t="s">
        <v>697</v>
      </c>
      <c r="BF223" s="274" t="str">
        <f>IFERROR(__xludf.DUMMYFUNCTION("LOWER(Regexreplace(to_text(E223),""[^A-Za-z0-9]"","""")&amp;""_""&amp;Regexreplace(to_text(F223),""[^A-Za-z0-9]"",""""))"),"sauter_eygt103f001")</f>
        <v>sauter_eygt103f001</v>
      </c>
      <c r="BG223" s="275" t="str">
        <f>IFERROR(__xludf.DUMMYFUNCTION("upper(Regexreplace(to_text(E223),""[^A-Za-z0-9]"","""")&amp;""-""&amp;Regexreplace(to_text(F223),""[^A-Za-z0-9]"",""""))"),"SAUTER-EYGT103F001")</f>
        <v>SAUTER-EYGT103F001</v>
      </c>
    </row>
    <row r="224" ht="30.0" customHeight="1">
      <c r="A224" s="173">
        <v>217.0</v>
      </c>
      <c r="B224" s="256" t="s">
        <v>670</v>
      </c>
      <c r="C224" s="257" t="s">
        <v>1809</v>
      </c>
      <c r="D224" s="173" t="s">
        <v>1809</v>
      </c>
      <c r="E224" s="174" t="s">
        <v>672</v>
      </c>
      <c r="F224" s="173" t="s">
        <v>512</v>
      </c>
      <c r="G224" s="258" t="s">
        <v>673</v>
      </c>
      <c r="H224" s="258" t="s">
        <v>674</v>
      </c>
      <c r="I224" s="258" t="s">
        <v>1614</v>
      </c>
      <c r="J224" s="259" t="s">
        <v>846</v>
      </c>
      <c r="K224" s="260" t="s">
        <v>1805</v>
      </c>
      <c r="L224" s="258" t="s">
        <v>1581</v>
      </c>
      <c r="M224" s="265"/>
      <c r="N224" s="173" t="s">
        <v>679</v>
      </c>
      <c r="O224" s="173" t="s">
        <v>225</v>
      </c>
      <c r="P224" s="262" t="str">
        <f t="shared" si="1"/>
        <v>IN-BLR-ANANTA-HLI-242_1</v>
      </c>
      <c r="Q224" s="173" t="s">
        <v>1810</v>
      </c>
      <c r="R224" s="258" t="str">
        <f>IFS(C224="","",C224="n/a","N/A",LEN(C224),Concatenate("{",char(34),"asset",char(34),":{",char(34),"guid",char(34),":",char(34),Q224,char(34),",",char(34),"site",char(34),":",char(34),LOWER('2-Building'!$B$4),char(34),",",char(34),"name",char(34),":",char(34),LOWER(C224),char(34),"}}"))</f>
        <v>{"asset":{"guid":"uuid://1b161825-16ee-4f22-b78b-598878784675","site":"in-blr-ananta","name":"hli-242"}}</v>
      </c>
      <c r="S224" s="258" t="s">
        <v>681</v>
      </c>
      <c r="T224" s="263"/>
      <c r="U224" s="263"/>
      <c r="V224" s="264">
        <v>2.23</v>
      </c>
      <c r="W224" s="33" t="s">
        <v>682</v>
      </c>
      <c r="X224" s="258" t="s">
        <v>1616</v>
      </c>
      <c r="Y224" s="33" t="s">
        <v>1617</v>
      </c>
      <c r="Z224" s="258">
        <v>14242.0</v>
      </c>
      <c r="AA224" s="258">
        <v>11501.0</v>
      </c>
      <c r="AB224" s="258"/>
      <c r="AC224" s="258"/>
      <c r="AD224" s="265"/>
      <c r="AE224" s="266" t="s">
        <v>685</v>
      </c>
      <c r="AF224" s="267" t="s">
        <v>1811</v>
      </c>
      <c r="AG224" s="268" t="str">
        <f>IFS(LEN(AF224)=17,LOWER('2-Building'!$B$4 &amp; "-" &amp; C224), AF224="N/A", "N/A", LEN(AF224)=0,"")</f>
        <v>in-blr-ananta-hli-242</v>
      </c>
      <c r="AH224" s="258"/>
      <c r="AI224" s="258"/>
      <c r="AJ224" s="258"/>
      <c r="AK224" s="258" t="s">
        <v>1812</v>
      </c>
      <c r="AL224" s="258" t="s">
        <v>688</v>
      </c>
      <c r="AM224" s="258" t="s">
        <v>689</v>
      </c>
      <c r="AN224" s="258"/>
      <c r="AO224" s="258"/>
      <c r="AP224" s="258"/>
      <c r="AQ224" s="258"/>
      <c r="AR224" s="258" t="s">
        <v>690</v>
      </c>
      <c r="AS224" s="258" t="s">
        <v>691</v>
      </c>
      <c r="AT224" s="258" t="s">
        <v>1572</v>
      </c>
      <c r="AU224" s="265" t="s">
        <v>693</v>
      </c>
      <c r="AV224" s="174" t="s">
        <v>243</v>
      </c>
      <c r="AW224" s="269" t="s">
        <v>245</v>
      </c>
      <c r="AX224" s="269" t="s">
        <v>694</v>
      </c>
      <c r="AY224" s="270" t="s">
        <v>695</v>
      </c>
      <c r="AZ224" s="173" t="s">
        <v>681</v>
      </c>
      <c r="BA224" s="265">
        <v>10.0</v>
      </c>
      <c r="BB224" s="174" t="s">
        <v>225</v>
      </c>
      <c r="BC224" s="271"/>
      <c r="BD224" s="272" t="s">
        <v>696</v>
      </c>
      <c r="BE224" s="273" t="s">
        <v>697</v>
      </c>
      <c r="BF224" s="274" t="str">
        <f>IFERROR(__xludf.DUMMYFUNCTION("LOWER(Regexreplace(to_text(E224),""[^A-Za-z0-9]"","""")&amp;""_""&amp;Regexreplace(to_text(F224),""[^A-Za-z0-9]"",""""))"),"sauter_eygt103f001")</f>
        <v>sauter_eygt103f001</v>
      </c>
      <c r="BG224" s="275" t="str">
        <f>IFERROR(__xludf.DUMMYFUNCTION("upper(Regexreplace(to_text(E224),""[^A-Za-z0-9]"","""")&amp;""-""&amp;Regexreplace(to_text(F224),""[^A-Za-z0-9]"",""""))"),"SAUTER-EYGT103F001")</f>
        <v>SAUTER-EYGT103F001</v>
      </c>
    </row>
    <row r="225" ht="30.0" customHeight="1">
      <c r="A225" s="278">
        <v>218.0</v>
      </c>
      <c r="B225" s="279" t="s">
        <v>670</v>
      </c>
      <c r="C225" s="257" t="s">
        <v>1813</v>
      </c>
      <c r="D225" s="280" t="s">
        <v>1813</v>
      </c>
      <c r="E225" s="281" t="s">
        <v>672</v>
      </c>
      <c r="F225" s="280" t="s">
        <v>512</v>
      </c>
      <c r="G225" s="278" t="s">
        <v>673</v>
      </c>
      <c r="H225" s="278" t="s">
        <v>674</v>
      </c>
      <c r="I225" s="278" t="s">
        <v>1614</v>
      </c>
      <c r="J225" s="293" t="s">
        <v>965</v>
      </c>
      <c r="K225" s="294" t="s">
        <v>1805</v>
      </c>
      <c r="L225" s="278" t="s">
        <v>1576</v>
      </c>
      <c r="M225" s="286"/>
      <c r="N225" s="280" t="s">
        <v>679</v>
      </c>
      <c r="O225" s="280" t="s">
        <v>225</v>
      </c>
      <c r="P225" s="283" t="str">
        <f t="shared" si="1"/>
        <v>IN-BLR-ANANTA-HLI-243_3</v>
      </c>
      <c r="Q225" s="280" t="s">
        <v>1814</v>
      </c>
      <c r="R225" s="278" t="str">
        <f>IFS(C225="","",C225="n/a","N/A",LEN(C225),Concatenate("{",char(34),"asset",char(34),":{",char(34),"guid",char(34),":",char(34),Q225,char(34),",",char(34),"site",char(34),":",char(34),LOWER('2-Building'!$B$4),char(34),",",char(34),"name",char(34),":",char(34),LOWER(C225),char(34),"}}"))</f>
        <v>{"asset":{"guid":"uuid://2dd525d2-012f-44a7-b17d-4f0f0d365ce8","site":"in-blr-ananta","name":"hli-243"}}</v>
      </c>
      <c r="S225" s="278" t="s">
        <v>681</v>
      </c>
      <c r="T225" s="284"/>
      <c r="U225" s="284"/>
      <c r="V225" s="307">
        <v>2.23</v>
      </c>
      <c r="W225" s="285" t="s">
        <v>682</v>
      </c>
      <c r="X225" s="278" t="s">
        <v>1616</v>
      </c>
      <c r="Y225" s="33" t="s">
        <v>1617</v>
      </c>
      <c r="Z225" s="278">
        <v>14243.0</v>
      </c>
      <c r="AA225" s="278">
        <v>11501.0</v>
      </c>
      <c r="AB225" s="278"/>
      <c r="AC225" s="278"/>
      <c r="AD225" s="286"/>
      <c r="AE225" s="287" t="s">
        <v>685</v>
      </c>
      <c r="AF225" s="288" t="s">
        <v>1815</v>
      </c>
      <c r="AG225" s="257" t="str">
        <f>IFS(LEN(AF225)=17,LOWER('2-Building'!$B$4 &amp; "-" &amp; C225), AF225="N/A", "N/A", LEN(AF225)=0,"")</f>
        <v>in-blr-ananta-hli-243</v>
      </c>
      <c r="AH225" s="278"/>
      <c r="AI225" s="278"/>
      <c r="AJ225" s="278"/>
      <c r="AK225" s="258" t="s">
        <v>1816</v>
      </c>
      <c r="AL225" s="278" t="s">
        <v>688</v>
      </c>
      <c r="AM225" s="278" t="s">
        <v>689</v>
      </c>
      <c r="AN225" s="278"/>
      <c r="AO225" s="278"/>
      <c r="AP225" s="278"/>
      <c r="AQ225" s="278"/>
      <c r="AR225" s="278" t="s">
        <v>690</v>
      </c>
      <c r="AS225" s="278" t="s">
        <v>691</v>
      </c>
      <c r="AT225" s="278" t="s">
        <v>702</v>
      </c>
      <c r="AU225" s="286" t="s">
        <v>693</v>
      </c>
      <c r="AV225" s="281" t="s">
        <v>243</v>
      </c>
      <c r="AW225" s="289" t="s">
        <v>245</v>
      </c>
      <c r="AX225" s="289" t="s">
        <v>694</v>
      </c>
      <c r="AY225" s="290" t="s">
        <v>695</v>
      </c>
      <c r="AZ225" s="280" t="s">
        <v>681</v>
      </c>
      <c r="BA225" s="286">
        <v>10.0</v>
      </c>
      <c r="BB225" s="281" t="s">
        <v>225</v>
      </c>
      <c r="BC225" s="291"/>
      <c r="BD225" s="308" t="s">
        <v>696</v>
      </c>
      <c r="BE225" s="292" t="s">
        <v>697</v>
      </c>
      <c r="BF225" s="309" t="str">
        <f>IFERROR(__xludf.DUMMYFUNCTION("LOWER(Regexreplace(to_text(E225),""[^A-Za-z0-9]"","""")&amp;""_""&amp;Regexreplace(to_text(F225),""[^A-Za-z0-9]"",""""))"),"sauter_eygt103f001")</f>
        <v>sauter_eygt103f001</v>
      </c>
      <c r="BG225" s="310" t="str">
        <f>IFERROR(__xludf.DUMMYFUNCTION("upper(Regexreplace(to_text(E225),""[^A-Za-z0-9]"","""")&amp;""-""&amp;Regexreplace(to_text(F225),""[^A-Za-z0-9]"",""""))"),"SAUTER-EYGT103F001")</f>
        <v>SAUTER-EYGT103F001</v>
      </c>
    </row>
    <row r="226" ht="30.0" customHeight="1">
      <c r="A226" s="173">
        <v>219.0</v>
      </c>
      <c r="B226" s="256" t="s">
        <v>670</v>
      </c>
      <c r="C226" s="257" t="s">
        <v>1817</v>
      </c>
      <c r="D226" s="173" t="s">
        <v>1817</v>
      </c>
      <c r="E226" s="174" t="s">
        <v>672</v>
      </c>
      <c r="F226" s="173" t="s">
        <v>512</v>
      </c>
      <c r="G226" s="258" t="s">
        <v>673</v>
      </c>
      <c r="H226" s="258" t="s">
        <v>674</v>
      </c>
      <c r="I226" s="258" t="s">
        <v>1614</v>
      </c>
      <c r="J226" s="259" t="s">
        <v>965</v>
      </c>
      <c r="K226" s="260" t="s">
        <v>1805</v>
      </c>
      <c r="L226" s="258" t="s">
        <v>1576</v>
      </c>
      <c r="M226" s="265"/>
      <c r="N226" s="173" t="s">
        <v>679</v>
      </c>
      <c r="O226" s="173" t="s">
        <v>225</v>
      </c>
      <c r="P226" s="262" t="str">
        <f t="shared" si="1"/>
        <v>IN-BLR-ANANTA-HLI-244_3</v>
      </c>
      <c r="Q226" s="173" t="s">
        <v>1818</v>
      </c>
      <c r="R226" s="258" t="str">
        <f>IFS(C226="","",C226="n/a","N/A",LEN(C226),Concatenate("{",char(34),"asset",char(34),":{",char(34),"guid",char(34),":",char(34),Q226,char(34),",",char(34),"site",char(34),":",char(34),LOWER('2-Building'!$B$4),char(34),",",char(34),"name",char(34),":",char(34),LOWER(C226),char(34),"}}"))</f>
        <v>{"asset":{"guid":"uuid://b37a5bf2-13cd-4c14-9eef-8f331422e807","site":"in-blr-ananta","name":"hli-244"}}</v>
      </c>
      <c r="S226" s="258" t="s">
        <v>681</v>
      </c>
      <c r="T226" s="263"/>
      <c r="U226" s="263"/>
      <c r="V226" s="264">
        <v>2.23</v>
      </c>
      <c r="W226" s="33" t="s">
        <v>682</v>
      </c>
      <c r="X226" s="258" t="s">
        <v>1616</v>
      </c>
      <c r="Y226" s="33" t="s">
        <v>1617</v>
      </c>
      <c r="Z226" s="258">
        <v>14244.0</v>
      </c>
      <c r="AA226" s="258">
        <v>11501.0</v>
      </c>
      <c r="AB226" s="258"/>
      <c r="AC226" s="258"/>
      <c r="AD226" s="265"/>
      <c r="AE226" s="266" t="s">
        <v>685</v>
      </c>
      <c r="AF226" s="267" t="s">
        <v>1819</v>
      </c>
      <c r="AG226" s="268" t="str">
        <f>IFS(LEN(AF226)=17,LOWER('2-Building'!$B$4 &amp; "-" &amp; C226), AF226="N/A", "N/A", LEN(AF226)=0,"")</f>
        <v>in-blr-ananta-hli-244</v>
      </c>
      <c r="AH226" s="258"/>
      <c r="AI226" s="258"/>
      <c r="AJ226" s="258"/>
      <c r="AK226" s="258" t="s">
        <v>1820</v>
      </c>
      <c r="AL226" s="258" t="s">
        <v>688</v>
      </c>
      <c r="AM226" s="258" t="s">
        <v>689</v>
      </c>
      <c r="AN226" s="258"/>
      <c r="AO226" s="258"/>
      <c r="AP226" s="258"/>
      <c r="AQ226" s="258"/>
      <c r="AR226" s="258" t="s">
        <v>690</v>
      </c>
      <c r="AS226" s="258" t="s">
        <v>691</v>
      </c>
      <c r="AT226" s="258" t="s">
        <v>1821</v>
      </c>
      <c r="AU226" s="265" t="s">
        <v>693</v>
      </c>
      <c r="AV226" s="174" t="s">
        <v>243</v>
      </c>
      <c r="AW226" s="269" t="s">
        <v>245</v>
      </c>
      <c r="AX226" s="269" t="s">
        <v>694</v>
      </c>
      <c r="AY226" s="270" t="s">
        <v>695</v>
      </c>
      <c r="AZ226" s="173" t="s">
        <v>681</v>
      </c>
      <c r="BA226" s="265">
        <v>10.0</v>
      </c>
      <c r="BB226" s="174" t="s">
        <v>225</v>
      </c>
      <c r="BC226" s="271"/>
      <c r="BD226" s="272" t="s">
        <v>696</v>
      </c>
      <c r="BE226" s="273" t="s">
        <v>697</v>
      </c>
      <c r="BF226" s="274" t="str">
        <f>IFERROR(__xludf.DUMMYFUNCTION("LOWER(Regexreplace(to_text(E226),""[^A-Za-z0-9]"","""")&amp;""_""&amp;Regexreplace(to_text(F226),""[^A-Za-z0-9]"",""""))"),"sauter_eygt103f001")</f>
        <v>sauter_eygt103f001</v>
      </c>
      <c r="BG226" s="275" t="str">
        <f>IFERROR(__xludf.DUMMYFUNCTION("upper(Regexreplace(to_text(E226),""[^A-Za-z0-9]"","""")&amp;""-""&amp;Regexreplace(to_text(F226),""[^A-Za-z0-9]"",""""))"),"SAUTER-EYGT103F001")</f>
        <v>SAUTER-EYGT103F001</v>
      </c>
    </row>
    <row r="227" ht="30.0" customHeight="1">
      <c r="A227" s="258">
        <v>220.0</v>
      </c>
      <c r="B227" s="256" t="s">
        <v>670</v>
      </c>
      <c r="C227" s="257" t="s">
        <v>1822</v>
      </c>
      <c r="D227" s="173" t="s">
        <v>1822</v>
      </c>
      <c r="E227" s="174" t="s">
        <v>672</v>
      </c>
      <c r="F227" s="173" t="s">
        <v>512</v>
      </c>
      <c r="G227" s="258" t="s">
        <v>673</v>
      </c>
      <c r="H227" s="258" t="s">
        <v>674</v>
      </c>
      <c r="I227" s="258" t="s">
        <v>1614</v>
      </c>
      <c r="J227" s="259" t="s">
        <v>676</v>
      </c>
      <c r="K227" s="260" t="s">
        <v>677</v>
      </c>
      <c r="L227" s="258" t="s">
        <v>678</v>
      </c>
      <c r="M227" s="265"/>
      <c r="N227" s="173" t="s">
        <v>679</v>
      </c>
      <c r="O227" s="173" t="s">
        <v>225</v>
      </c>
      <c r="P227" s="262" t="str">
        <f t="shared" si="1"/>
        <v>IN-BLR-ANANTA-HLI-245_B3</v>
      </c>
      <c r="Q227" s="173" t="s">
        <v>1823</v>
      </c>
      <c r="R227" s="258" t="str">
        <f>IFS(C227="","",C227="n/a","N/A",LEN(C227),Concatenate("{",char(34),"asset",char(34),":{",char(34),"guid",char(34),":",char(34),Q227,char(34),",",char(34),"site",char(34),":",char(34),LOWER('2-Building'!$B$4),char(34),",",char(34),"name",char(34),":",char(34),LOWER(C227),char(34),"}}"))</f>
        <v>{"asset":{"guid":"uuid://e6b0e023-98df-4501-b91e-e8bec928dd8c","site":"in-blr-ananta","name":"hli-245"}}</v>
      </c>
      <c r="S227" s="258" t="s">
        <v>681</v>
      </c>
      <c r="T227" s="263"/>
      <c r="U227" s="263"/>
      <c r="V227" s="264">
        <v>2.23</v>
      </c>
      <c r="W227" s="33" t="s">
        <v>682</v>
      </c>
      <c r="X227" s="258" t="s">
        <v>1616</v>
      </c>
      <c r="Y227" s="33" t="s">
        <v>1617</v>
      </c>
      <c r="Z227" s="258">
        <v>14245.0</v>
      </c>
      <c r="AA227" s="258">
        <v>11501.0</v>
      </c>
      <c r="AB227" s="258"/>
      <c r="AC227" s="258"/>
      <c r="AD227" s="265"/>
      <c r="AE227" s="266" t="s">
        <v>685</v>
      </c>
      <c r="AF227" s="267" t="s">
        <v>1824</v>
      </c>
      <c r="AG227" s="268" t="str">
        <f>IFS(LEN(AF227)=17,LOWER('2-Building'!$B$4 &amp; "-" &amp; C227), AF227="N/A", "N/A", LEN(AF227)=0,"")</f>
        <v>in-blr-ananta-hli-245</v>
      </c>
      <c r="AH227" s="258"/>
      <c r="AI227" s="258"/>
      <c r="AJ227" s="258"/>
      <c r="AK227" s="258" t="s">
        <v>1825</v>
      </c>
      <c r="AL227" s="258" t="s">
        <v>688</v>
      </c>
      <c r="AM227" s="258" t="s">
        <v>689</v>
      </c>
      <c r="AN227" s="258"/>
      <c r="AO227" s="258"/>
      <c r="AP227" s="258"/>
      <c r="AQ227" s="258"/>
      <c r="AR227" s="258" t="s">
        <v>690</v>
      </c>
      <c r="AS227" s="258" t="s">
        <v>691</v>
      </c>
      <c r="AT227" s="258" t="s">
        <v>1821</v>
      </c>
      <c r="AU227" s="265" t="s">
        <v>693</v>
      </c>
      <c r="AV227" s="174" t="s">
        <v>243</v>
      </c>
      <c r="AW227" s="269" t="s">
        <v>245</v>
      </c>
      <c r="AX227" s="269" t="s">
        <v>694</v>
      </c>
      <c r="AY227" s="270" t="s">
        <v>695</v>
      </c>
      <c r="AZ227" s="173" t="s">
        <v>681</v>
      </c>
      <c r="BA227" s="265">
        <v>10.0</v>
      </c>
      <c r="BB227" s="174" t="s">
        <v>225</v>
      </c>
      <c r="BC227" s="271"/>
      <c r="BD227" s="272" t="s">
        <v>696</v>
      </c>
      <c r="BE227" s="273" t="s">
        <v>697</v>
      </c>
      <c r="BF227" s="274" t="str">
        <f>IFERROR(__xludf.DUMMYFUNCTION("LOWER(Regexreplace(to_text(E227),""[^A-Za-z0-9]"","""")&amp;""_""&amp;Regexreplace(to_text(F227),""[^A-Za-z0-9]"",""""))"),"sauter_eygt103f001")</f>
        <v>sauter_eygt103f001</v>
      </c>
      <c r="BG227" s="275" t="str">
        <f>IFERROR(__xludf.DUMMYFUNCTION("upper(Regexreplace(to_text(E227),""[^A-Za-z0-9]"","""")&amp;""-""&amp;Regexreplace(to_text(F227),""[^A-Za-z0-9]"",""""))"),"SAUTER-EYGT103F001")</f>
        <v>SAUTER-EYGT103F001</v>
      </c>
    </row>
    <row r="228" ht="30.0" customHeight="1">
      <c r="A228" s="173">
        <v>221.0</v>
      </c>
      <c r="B228" s="311" t="s">
        <v>670</v>
      </c>
      <c r="C228" s="257" t="s">
        <v>1826</v>
      </c>
      <c r="D228" s="173" t="s">
        <v>1826</v>
      </c>
      <c r="E228" s="174" t="s">
        <v>672</v>
      </c>
      <c r="F228" s="173" t="s">
        <v>512</v>
      </c>
      <c r="G228" s="258" t="s">
        <v>673</v>
      </c>
      <c r="H228" s="258" t="s">
        <v>674</v>
      </c>
      <c r="I228" s="258" t="s">
        <v>1614</v>
      </c>
      <c r="J228" s="259" t="s">
        <v>739</v>
      </c>
      <c r="K228" s="260" t="s">
        <v>831</v>
      </c>
      <c r="L228" s="258" t="s">
        <v>1787</v>
      </c>
      <c r="M228" s="265"/>
      <c r="N228" s="173" t="s">
        <v>679</v>
      </c>
      <c r="O228" s="173" t="s">
        <v>225</v>
      </c>
      <c r="P228" s="262" t="str">
        <f t="shared" si="1"/>
        <v>IN-BLR-ANANTA-HLI-246_G</v>
      </c>
      <c r="Q228" s="173" t="s">
        <v>1827</v>
      </c>
      <c r="R228" s="258" t="str">
        <f>IFS(C228="","",C228="n/a","N/A",LEN(C228),Concatenate("{",char(34),"asset",char(34),":{",char(34),"guid",char(34),":",char(34),Q228,char(34),",",char(34),"site",char(34),":",char(34),LOWER('2-Building'!$B$4),char(34),",",char(34),"name",char(34),":",char(34),LOWER(C228),char(34),"}}"))</f>
        <v>{"asset":{"guid":"uuid://40026ad6-4591-4e74-a69c-36472218e053","site":"in-blr-ananta","name":"hli-246"}}</v>
      </c>
      <c r="S228" s="258" t="s">
        <v>681</v>
      </c>
      <c r="T228" s="263"/>
      <c r="U228" s="263"/>
      <c r="V228" s="264">
        <v>2.23</v>
      </c>
      <c r="W228" s="33" t="s">
        <v>682</v>
      </c>
      <c r="X228" s="258" t="s">
        <v>1616</v>
      </c>
      <c r="Y228" s="33" t="s">
        <v>1617</v>
      </c>
      <c r="Z228" s="258">
        <v>14246.0</v>
      </c>
      <c r="AA228" s="258">
        <v>11501.0</v>
      </c>
      <c r="AB228" s="258"/>
      <c r="AC228" s="258"/>
      <c r="AD228" s="265"/>
      <c r="AE228" s="266" t="s">
        <v>685</v>
      </c>
      <c r="AF228" s="267" t="s">
        <v>1828</v>
      </c>
      <c r="AG228" s="268" t="str">
        <f>IFS(LEN(AF228)=17,LOWER('2-Building'!$B$4 &amp; "-" &amp; C228), AF228="N/A", "N/A", LEN(AF228)=0,"")</f>
        <v>in-blr-ananta-hli-246</v>
      </c>
      <c r="AH228" s="258"/>
      <c r="AI228" s="258"/>
      <c r="AJ228" s="258"/>
      <c r="AK228" s="258" t="s">
        <v>1829</v>
      </c>
      <c r="AL228" s="258" t="s">
        <v>688</v>
      </c>
      <c r="AM228" s="258" t="s">
        <v>689</v>
      </c>
      <c r="AN228" s="258"/>
      <c r="AO228" s="258"/>
      <c r="AP228" s="258"/>
      <c r="AQ228" s="258"/>
      <c r="AR228" s="258" t="s">
        <v>690</v>
      </c>
      <c r="AS228" s="258" t="s">
        <v>691</v>
      </c>
      <c r="AT228" s="258" t="s">
        <v>1821</v>
      </c>
      <c r="AU228" s="265" t="s">
        <v>693</v>
      </c>
      <c r="AV228" s="174" t="s">
        <v>243</v>
      </c>
      <c r="AW228" s="269" t="s">
        <v>245</v>
      </c>
      <c r="AX228" s="269" t="s">
        <v>694</v>
      </c>
      <c r="AY228" s="270" t="s">
        <v>695</v>
      </c>
      <c r="AZ228" s="173" t="s">
        <v>681</v>
      </c>
      <c r="BA228" s="265">
        <v>10.0</v>
      </c>
      <c r="BB228" s="174" t="s">
        <v>225</v>
      </c>
      <c r="BC228" s="271"/>
      <c r="BD228" s="272" t="s">
        <v>696</v>
      </c>
      <c r="BE228" s="273" t="s">
        <v>697</v>
      </c>
      <c r="BF228" s="274" t="str">
        <f>IFERROR(__xludf.DUMMYFUNCTION("LOWER(Regexreplace(to_text(E228),""[^A-Za-z0-9]"","""")&amp;""_""&amp;Regexreplace(to_text(F228),""[^A-Za-z0-9]"",""""))"),"sauter_eygt103f001")</f>
        <v>sauter_eygt103f001</v>
      </c>
      <c r="BG228" s="275" t="str">
        <f>IFERROR(__xludf.DUMMYFUNCTION("upper(Regexreplace(to_text(E228),""[^A-Za-z0-9]"","""")&amp;""-""&amp;Regexreplace(to_text(F228),""[^A-Za-z0-9]"",""""))"),"SAUTER-EYGT103F001")</f>
        <v>SAUTER-EYGT103F001</v>
      </c>
    </row>
    <row r="229" ht="30.0" customHeight="1">
      <c r="A229" s="258">
        <v>222.0</v>
      </c>
      <c r="B229" s="256" t="s">
        <v>670</v>
      </c>
      <c r="C229" s="257" t="s">
        <v>692</v>
      </c>
      <c r="D229" s="173" t="s">
        <v>692</v>
      </c>
      <c r="E229" s="174" t="s">
        <v>1830</v>
      </c>
      <c r="F229" s="173" t="s">
        <v>507</v>
      </c>
      <c r="G229" s="258" t="s">
        <v>673</v>
      </c>
      <c r="H229" s="258" t="s">
        <v>674</v>
      </c>
      <c r="I229" s="258" t="s">
        <v>675</v>
      </c>
      <c r="J229" s="259" t="s">
        <v>676</v>
      </c>
      <c r="K229" s="260" t="s">
        <v>677</v>
      </c>
      <c r="L229" s="258" t="s">
        <v>1831</v>
      </c>
      <c r="M229" s="265" t="s">
        <v>1832</v>
      </c>
      <c r="N229" s="173" t="s">
        <v>679</v>
      </c>
      <c r="O229" s="173" t="s">
        <v>225</v>
      </c>
      <c r="P229" s="262" t="str">
        <f t="shared" si="1"/>
        <v>IN-BLR-ANANTA-DDC-1_B3</v>
      </c>
      <c r="Q229" s="173" t="s">
        <v>1833</v>
      </c>
      <c r="R229" s="258" t="str">
        <f>IFS(C229="","",C229="n/a","N/A",LEN(C229),Concatenate("{",char(34),"asset",char(34),":{",char(34),"guid",char(34),":",char(34),Q229,char(34),",",char(34),"site",char(34),":",char(34),LOWER('2-Building'!$B$4),char(34),",",char(34),"name",char(34),":",char(34),LOWER(C229),char(34),"}}"))</f>
        <v>{"asset":{"guid":"uuid://51c49cec-d6e4-4f24-9380-e7ba6294f3ac","site":"in-blr-ananta","name":"ddc-1"}}</v>
      </c>
      <c r="S229" s="258" t="s">
        <v>1834</v>
      </c>
      <c r="T229" s="263"/>
      <c r="U229" s="263"/>
      <c r="V229" s="264" t="s">
        <v>1835</v>
      </c>
      <c r="W229" s="258" t="s">
        <v>1836</v>
      </c>
      <c r="X229" s="258" t="s">
        <v>1837</v>
      </c>
      <c r="Y229" s="33" t="s">
        <v>1838</v>
      </c>
      <c r="Z229" s="258">
        <v>11002.0</v>
      </c>
      <c r="AA229" s="258">
        <v>11501.0</v>
      </c>
      <c r="AB229" s="258"/>
      <c r="AC229" s="258"/>
      <c r="AD229" s="265"/>
      <c r="AE229" s="266" t="s">
        <v>685</v>
      </c>
      <c r="AF229" s="267" t="s">
        <v>1839</v>
      </c>
      <c r="AG229" s="268" t="str">
        <f>IFS(LEN(AF229)=17,LOWER('2-Building'!$B$4 &amp; "-" &amp; C229), AF229="N/A", "N/A", LEN(AF229)=0,"")</f>
        <v>in-blr-ananta-ddc-1</v>
      </c>
      <c r="AH229" s="258"/>
      <c r="AI229" s="258"/>
      <c r="AJ229" s="258"/>
      <c r="AK229" s="258" t="s">
        <v>1840</v>
      </c>
      <c r="AL229" s="258" t="s">
        <v>688</v>
      </c>
      <c r="AM229" s="258" t="s">
        <v>689</v>
      </c>
      <c r="AN229" s="258"/>
      <c r="AO229" s="258"/>
      <c r="AP229" s="258"/>
      <c r="AQ229" s="258"/>
      <c r="AR229" s="258" t="s">
        <v>690</v>
      </c>
      <c r="AS229" s="258" t="s">
        <v>691</v>
      </c>
      <c r="AT229" s="258" t="s">
        <v>1841</v>
      </c>
      <c r="AU229" s="265" t="s">
        <v>1842</v>
      </c>
      <c r="AV229" s="174" t="s">
        <v>225</v>
      </c>
      <c r="AW229" s="269" t="s">
        <v>245</v>
      </c>
      <c r="AX229" s="269" t="s">
        <v>694</v>
      </c>
      <c r="AY229" s="270" t="s">
        <v>1843</v>
      </c>
      <c r="AZ229" s="173" t="s">
        <v>1834</v>
      </c>
      <c r="BA229" s="265">
        <v>10.0</v>
      </c>
      <c r="BB229" s="174" t="s">
        <v>225</v>
      </c>
      <c r="BC229" s="271"/>
      <c r="BD229" s="272" t="s">
        <v>1844</v>
      </c>
      <c r="BE229" s="273"/>
      <c r="BF229" s="274" t="str">
        <f>IFERROR(__xludf.DUMMYFUNCTION("LOWER(Regexreplace(to_text(E229),""[^A-Za-z0-9]"","""")&amp;""_""&amp;Regexreplace(to_text(F229),""[^A-Za-z0-9]"",""""))"),"alc_g5ce")</f>
        <v>alc_g5ce</v>
      </c>
      <c r="BG229" s="275" t="str">
        <f>IFERROR(__xludf.DUMMYFUNCTION("upper(Regexreplace(to_text(E229),""[^A-Za-z0-9]"","""")&amp;""-""&amp;Regexreplace(to_text(F229),""[^A-Za-z0-9]"",""""))"),"ALC-G5CE")</f>
        <v>ALC-G5CE</v>
      </c>
    </row>
    <row r="230" ht="30.0" customHeight="1">
      <c r="A230" s="173">
        <v>223.0</v>
      </c>
      <c r="B230" s="256" t="s">
        <v>670</v>
      </c>
      <c r="C230" s="257" t="s">
        <v>1845</v>
      </c>
      <c r="D230" s="173" t="s">
        <v>1845</v>
      </c>
      <c r="E230" s="174" t="s">
        <v>1830</v>
      </c>
      <c r="F230" s="173" t="s">
        <v>510</v>
      </c>
      <c r="G230" s="258" t="s">
        <v>673</v>
      </c>
      <c r="H230" s="258" t="s">
        <v>674</v>
      </c>
      <c r="I230" s="258" t="s">
        <v>1614</v>
      </c>
      <c r="J230" s="259" t="s">
        <v>676</v>
      </c>
      <c r="K230" s="260" t="s">
        <v>677</v>
      </c>
      <c r="L230" s="258" t="s">
        <v>1831</v>
      </c>
      <c r="M230" s="265" t="s">
        <v>1846</v>
      </c>
      <c r="N230" s="173" t="s">
        <v>679</v>
      </c>
      <c r="O230" s="173" t="s">
        <v>225</v>
      </c>
      <c r="P230" s="262" t="str">
        <f t="shared" si="1"/>
        <v>IN-BLR-ANANTA-HLI-1_B3</v>
      </c>
      <c r="Q230" s="173" t="s">
        <v>1847</v>
      </c>
      <c r="R230" s="258" t="str">
        <f>IFS(C230="","",C230="n/a","N/A",LEN(C230),Concatenate("{",char(34),"asset",char(34),":{",char(34),"guid",char(34),":",char(34),Q230,char(34),",",char(34),"site",char(34),":",char(34),LOWER('2-Building'!$B$4),char(34),",",char(34),"name",char(34),":",char(34),LOWER(C230),char(34),"}}"))</f>
        <v>{"asset":{"guid":"uuid://def104f6-06b9-4dc9-9b05-7c8628796e3b","site":"in-blr-ananta","name":"hli-1"}}</v>
      </c>
      <c r="S230" s="258" t="s">
        <v>1834</v>
      </c>
      <c r="T230" s="263"/>
      <c r="U230" s="263"/>
      <c r="V230" s="264" t="s">
        <v>1835</v>
      </c>
      <c r="W230" s="258" t="s">
        <v>1836</v>
      </c>
      <c r="X230" s="258" t="s">
        <v>1837</v>
      </c>
      <c r="Y230" s="33" t="s">
        <v>1838</v>
      </c>
      <c r="Z230" s="258">
        <v>11003.0</v>
      </c>
      <c r="AA230" s="258">
        <v>11501.0</v>
      </c>
      <c r="AB230" s="258"/>
      <c r="AC230" s="258"/>
      <c r="AD230" s="265"/>
      <c r="AE230" s="266" t="s">
        <v>685</v>
      </c>
      <c r="AF230" s="267" t="s">
        <v>1848</v>
      </c>
      <c r="AG230" s="268" t="str">
        <f>IFS(LEN(AF230)=17,LOWER('2-Building'!$B$4 &amp; "-" &amp; C230), AF230="N/A", "N/A", LEN(AF230)=0,"")</f>
        <v>in-blr-ananta-hli-1</v>
      </c>
      <c r="AH230" s="258"/>
      <c r="AI230" s="258"/>
      <c r="AJ230" s="258"/>
      <c r="AK230" s="258" t="s">
        <v>1849</v>
      </c>
      <c r="AL230" s="258" t="s">
        <v>688</v>
      </c>
      <c r="AM230" s="258" t="s">
        <v>689</v>
      </c>
      <c r="AN230" s="258"/>
      <c r="AO230" s="258"/>
      <c r="AP230" s="258"/>
      <c r="AQ230" s="258"/>
      <c r="AR230" s="258" t="s">
        <v>690</v>
      </c>
      <c r="AS230" s="258" t="s">
        <v>691</v>
      </c>
      <c r="AT230" s="258" t="s">
        <v>1841</v>
      </c>
      <c r="AU230" s="265" t="s">
        <v>1842</v>
      </c>
      <c r="AV230" s="174" t="s">
        <v>225</v>
      </c>
      <c r="AW230" s="269" t="s">
        <v>245</v>
      </c>
      <c r="AX230" s="269" t="s">
        <v>694</v>
      </c>
      <c r="AY230" s="270" t="s">
        <v>1843</v>
      </c>
      <c r="AZ230" s="173" t="s">
        <v>1834</v>
      </c>
      <c r="BA230" s="265">
        <v>10.0</v>
      </c>
      <c r="BB230" s="174" t="s">
        <v>225</v>
      </c>
      <c r="BC230" s="271"/>
      <c r="BD230" s="272" t="s">
        <v>1844</v>
      </c>
      <c r="BE230" s="273"/>
      <c r="BF230" s="274" t="str">
        <f>IFERROR(__xludf.DUMMYFUNCTION("LOWER(Regexreplace(to_text(E230),""[^A-Za-z0-9]"","""")&amp;""_""&amp;Regexreplace(to_text(F230),""[^A-Za-z0-9]"",""""))"),"alc_ofhi")</f>
        <v>alc_ofhi</v>
      </c>
      <c r="BG230" s="275" t="str">
        <f>IFERROR(__xludf.DUMMYFUNCTION("upper(Regexreplace(to_text(E230),""[^A-Za-z0-9]"","""")&amp;""-""&amp;Regexreplace(to_text(F230),""[^A-Za-z0-9]"",""""))"),"ALC-OFHI")</f>
        <v>ALC-OFHI</v>
      </c>
    </row>
    <row r="231" ht="30.0" customHeight="1">
      <c r="A231" s="258">
        <v>224.0</v>
      </c>
      <c r="B231" s="256" t="s">
        <v>670</v>
      </c>
      <c r="C231" s="257" t="s">
        <v>733</v>
      </c>
      <c r="D231" s="173" t="s">
        <v>733</v>
      </c>
      <c r="E231" s="174" t="s">
        <v>1830</v>
      </c>
      <c r="F231" s="173" t="s">
        <v>507</v>
      </c>
      <c r="G231" s="258" t="s">
        <v>673</v>
      </c>
      <c r="H231" s="258" t="s">
        <v>674</v>
      </c>
      <c r="I231" s="258" t="s">
        <v>675</v>
      </c>
      <c r="J231" s="259" t="s">
        <v>676</v>
      </c>
      <c r="K231" s="260" t="s">
        <v>677</v>
      </c>
      <c r="L231" s="258" t="s">
        <v>1850</v>
      </c>
      <c r="M231" s="265" t="s">
        <v>1851</v>
      </c>
      <c r="N231" s="173" t="s">
        <v>679</v>
      </c>
      <c r="O231" s="173" t="s">
        <v>225</v>
      </c>
      <c r="P231" s="262" t="str">
        <f t="shared" si="1"/>
        <v>IN-BLR-ANANTA-DDC-2_B3</v>
      </c>
      <c r="Q231" s="173" t="s">
        <v>1852</v>
      </c>
      <c r="R231" s="258" t="str">
        <f>IFS(C231="","",C231="n/a","N/A",LEN(C231),Concatenate("{",char(34),"asset",char(34),":{",char(34),"guid",char(34),":",char(34),Q231,char(34),",",char(34),"site",char(34),":",char(34),LOWER('2-Building'!$B$4),char(34),",",char(34),"name",char(34),":",char(34),LOWER(C231),char(34),"}}"))</f>
        <v>{"asset":{"guid":"uuid://1e221d6c-3e80-45d2-8d5a-0e7ca228219b","site":"in-blr-ananta","name":"ddc-2"}}</v>
      </c>
      <c r="S231" s="258" t="s">
        <v>1834</v>
      </c>
      <c r="T231" s="263"/>
      <c r="U231" s="263"/>
      <c r="V231" s="264" t="s">
        <v>1835</v>
      </c>
      <c r="W231" s="258" t="s">
        <v>1836</v>
      </c>
      <c r="X231" s="258" t="s">
        <v>1837</v>
      </c>
      <c r="Y231" s="33" t="s">
        <v>1838</v>
      </c>
      <c r="Z231" s="258">
        <v>11004.0</v>
      </c>
      <c r="AA231" s="258">
        <v>11501.0</v>
      </c>
      <c r="AB231" s="258"/>
      <c r="AC231" s="258"/>
      <c r="AD231" s="265"/>
      <c r="AE231" s="266" t="s">
        <v>685</v>
      </c>
      <c r="AF231" s="267" t="s">
        <v>1853</v>
      </c>
      <c r="AG231" s="268" t="str">
        <f>IFS(LEN(AF231)=17,LOWER('2-Building'!$B$4 &amp; "-" &amp; C231), AF231="N/A", "N/A", LEN(AF231)=0,"")</f>
        <v>in-blr-ananta-ddc-2</v>
      </c>
      <c r="AH231" s="258"/>
      <c r="AI231" s="258"/>
      <c r="AJ231" s="258"/>
      <c r="AK231" s="258" t="s">
        <v>1854</v>
      </c>
      <c r="AL231" s="258" t="s">
        <v>688</v>
      </c>
      <c r="AM231" s="258" t="s">
        <v>689</v>
      </c>
      <c r="AN231" s="258"/>
      <c r="AO231" s="258"/>
      <c r="AP231" s="258"/>
      <c r="AQ231" s="258"/>
      <c r="AR231" s="258" t="s">
        <v>690</v>
      </c>
      <c r="AS231" s="258" t="s">
        <v>691</v>
      </c>
      <c r="AT231" s="258" t="s">
        <v>1841</v>
      </c>
      <c r="AU231" s="265" t="s">
        <v>1842</v>
      </c>
      <c r="AV231" s="174" t="s">
        <v>225</v>
      </c>
      <c r="AW231" s="269" t="s">
        <v>245</v>
      </c>
      <c r="AX231" s="269" t="s">
        <v>694</v>
      </c>
      <c r="AY231" s="270" t="s">
        <v>1843</v>
      </c>
      <c r="AZ231" s="173" t="s">
        <v>1834</v>
      </c>
      <c r="BA231" s="265">
        <v>10.0</v>
      </c>
      <c r="BB231" s="174" t="s">
        <v>225</v>
      </c>
      <c r="BC231" s="271"/>
      <c r="BD231" s="272" t="s">
        <v>1844</v>
      </c>
      <c r="BE231" s="273"/>
      <c r="BF231" s="274" t="str">
        <f>IFERROR(__xludf.DUMMYFUNCTION("LOWER(Regexreplace(to_text(E231),""[^A-Za-z0-9]"","""")&amp;""_""&amp;Regexreplace(to_text(F231),""[^A-Za-z0-9]"",""""))"),"alc_g5ce")</f>
        <v>alc_g5ce</v>
      </c>
      <c r="BG231" s="275" t="str">
        <f>IFERROR(__xludf.DUMMYFUNCTION("upper(Regexreplace(to_text(E231),""[^A-Za-z0-9]"","""")&amp;""-""&amp;Regexreplace(to_text(F231),""[^A-Za-z0-9]"",""""))"),"ALC-G5CE")</f>
        <v>ALC-G5CE</v>
      </c>
    </row>
    <row r="232" ht="30.0" customHeight="1">
      <c r="A232" s="173">
        <v>225.0</v>
      </c>
      <c r="B232" s="256" t="s">
        <v>670</v>
      </c>
      <c r="C232" s="257" t="s">
        <v>1855</v>
      </c>
      <c r="D232" s="173" t="s">
        <v>1855</v>
      </c>
      <c r="E232" s="174" t="s">
        <v>1830</v>
      </c>
      <c r="F232" s="173" t="s">
        <v>507</v>
      </c>
      <c r="G232" s="258" t="s">
        <v>673</v>
      </c>
      <c r="H232" s="258" t="s">
        <v>674</v>
      </c>
      <c r="I232" s="258" t="s">
        <v>675</v>
      </c>
      <c r="J232" s="259" t="s">
        <v>709</v>
      </c>
      <c r="K232" s="260" t="s">
        <v>677</v>
      </c>
      <c r="L232" s="258" t="s">
        <v>1856</v>
      </c>
      <c r="M232" s="265" t="s">
        <v>1857</v>
      </c>
      <c r="N232" s="173" t="s">
        <v>679</v>
      </c>
      <c r="O232" s="173" t="s">
        <v>225</v>
      </c>
      <c r="P232" s="262" t="str">
        <f t="shared" si="1"/>
        <v>IN-BLR-ANANTA-DDC-3_B2</v>
      </c>
      <c r="Q232" s="173" t="s">
        <v>1858</v>
      </c>
      <c r="R232" s="258" t="str">
        <f>IFS(C232="","",C232="n/a","N/A",LEN(C232),Concatenate("{",char(34),"asset",char(34),":{",char(34),"guid",char(34),":",char(34),Q232,char(34),",",char(34),"site",char(34),":",char(34),LOWER('2-Building'!$B$4),char(34),",",char(34),"name",char(34),":",char(34),LOWER(C232),char(34),"}}"))</f>
        <v>{"asset":{"guid":"uuid://95aa0c33-7283-44d9-9bcf-69b6fc035bba","site":"in-blr-ananta","name":"ddc-3"}}</v>
      </c>
      <c r="S232" s="258" t="s">
        <v>1834</v>
      </c>
      <c r="T232" s="263"/>
      <c r="U232" s="263"/>
      <c r="V232" s="264" t="s">
        <v>1835</v>
      </c>
      <c r="W232" s="258" t="s">
        <v>1836</v>
      </c>
      <c r="X232" s="258" t="s">
        <v>1837</v>
      </c>
      <c r="Y232" s="33" t="s">
        <v>1838</v>
      </c>
      <c r="Z232" s="258">
        <v>11005.0</v>
      </c>
      <c r="AA232" s="258">
        <v>11501.0</v>
      </c>
      <c r="AB232" s="258"/>
      <c r="AC232" s="258"/>
      <c r="AD232" s="265"/>
      <c r="AE232" s="266" t="s">
        <v>685</v>
      </c>
      <c r="AF232" s="267" t="s">
        <v>1859</v>
      </c>
      <c r="AG232" s="268" t="str">
        <f>IFS(LEN(AF232)=17,LOWER('2-Building'!$B$4 &amp; "-" &amp; C232), AF232="N/A", "N/A", LEN(AF232)=0,"")</f>
        <v>in-blr-ananta-ddc-3</v>
      </c>
      <c r="AH232" s="258"/>
      <c r="AI232" s="258"/>
      <c r="AJ232" s="258"/>
      <c r="AK232" s="258" t="s">
        <v>1860</v>
      </c>
      <c r="AL232" s="258" t="s">
        <v>688</v>
      </c>
      <c r="AM232" s="258" t="s">
        <v>689</v>
      </c>
      <c r="AN232" s="258"/>
      <c r="AO232" s="258"/>
      <c r="AP232" s="258"/>
      <c r="AQ232" s="258"/>
      <c r="AR232" s="258" t="s">
        <v>690</v>
      </c>
      <c r="AS232" s="258" t="s">
        <v>691</v>
      </c>
      <c r="AT232" s="258" t="s">
        <v>1841</v>
      </c>
      <c r="AU232" s="265" t="s">
        <v>1842</v>
      </c>
      <c r="AV232" s="174" t="s">
        <v>225</v>
      </c>
      <c r="AW232" s="269" t="s">
        <v>245</v>
      </c>
      <c r="AX232" s="269" t="s">
        <v>694</v>
      </c>
      <c r="AY232" s="270" t="s">
        <v>1843</v>
      </c>
      <c r="AZ232" s="173" t="s">
        <v>1834</v>
      </c>
      <c r="BA232" s="265">
        <v>10.0</v>
      </c>
      <c r="BB232" s="174" t="s">
        <v>225</v>
      </c>
      <c r="BC232" s="271"/>
      <c r="BD232" s="272" t="s">
        <v>1844</v>
      </c>
      <c r="BE232" s="273" t="s">
        <v>1861</v>
      </c>
      <c r="BF232" s="274" t="str">
        <f>IFERROR(__xludf.DUMMYFUNCTION("LOWER(Regexreplace(to_text(E232),""[^A-Za-z0-9]"","""")&amp;""_""&amp;Regexreplace(to_text(F232),""[^A-Za-z0-9]"",""""))"),"alc_g5ce")</f>
        <v>alc_g5ce</v>
      </c>
      <c r="BG232" s="275" t="str">
        <f>IFERROR(__xludf.DUMMYFUNCTION("upper(Regexreplace(to_text(E232),""[^A-Za-z0-9]"","""")&amp;""-""&amp;Regexreplace(to_text(F232),""[^A-Za-z0-9]"",""""))"),"ALC-G5CE")</f>
        <v>ALC-G5CE</v>
      </c>
    </row>
    <row r="233" ht="30.0" customHeight="1">
      <c r="A233" s="258">
        <v>226.0</v>
      </c>
      <c r="B233" s="256" t="s">
        <v>670</v>
      </c>
      <c r="C233" s="257" t="s">
        <v>1862</v>
      </c>
      <c r="D233" s="173" t="s">
        <v>1862</v>
      </c>
      <c r="E233" s="174" t="s">
        <v>1830</v>
      </c>
      <c r="F233" s="173" t="s">
        <v>507</v>
      </c>
      <c r="G233" s="258" t="s">
        <v>673</v>
      </c>
      <c r="H233" s="258" t="s">
        <v>674</v>
      </c>
      <c r="I233" s="258" t="s">
        <v>675</v>
      </c>
      <c r="J233" s="259" t="s">
        <v>709</v>
      </c>
      <c r="K233" s="260" t="s">
        <v>721</v>
      </c>
      <c r="L233" s="258" t="s">
        <v>1863</v>
      </c>
      <c r="M233" s="265" t="s">
        <v>1864</v>
      </c>
      <c r="N233" s="173" t="s">
        <v>679</v>
      </c>
      <c r="O233" s="173" t="s">
        <v>225</v>
      </c>
      <c r="P233" s="262" t="str">
        <f t="shared" si="1"/>
        <v>IN-BLR-ANANTA-DDC-4_B2</v>
      </c>
      <c r="Q233" s="173" t="s">
        <v>1865</v>
      </c>
      <c r="R233" s="258" t="str">
        <f>IFS(C233="","",C233="n/a","N/A",LEN(C233),Concatenate("{",char(34),"asset",char(34),":{",char(34),"guid",char(34),":",char(34),Q233,char(34),",",char(34),"site",char(34),":",char(34),LOWER('2-Building'!$B$4),char(34),",",char(34),"name",char(34),":",char(34),LOWER(C233),char(34),"}}"))</f>
        <v>{"asset":{"guid":"uuid://742c604b-212c-449a-83cf-7ff8324721cd","site":"in-blr-ananta","name":"ddc-4"}}</v>
      </c>
      <c r="S233" s="258" t="s">
        <v>1834</v>
      </c>
      <c r="T233" s="263"/>
      <c r="U233" s="263"/>
      <c r="V233" s="264" t="s">
        <v>1835</v>
      </c>
      <c r="W233" s="258" t="s">
        <v>1836</v>
      </c>
      <c r="X233" s="258" t="s">
        <v>1837</v>
      </c>
      <c r="Y233" s="33" t="s">
        <v>1838</v>
      </c>
      <c r="Z233" s="258">
        <v>11006.0</v>
      </c>
      <c r="AA233" s="258">
        <v>11501.0</v>
      </c>
      <c r="AB233" s="258"/>
      <c r="AC233" s="258"/>
      <c r="AD233" s="265"/>
      <c r="AE233" s="266" t="s">
        <v>685</v>
      </c>
      <c r="AF233" s="267" t="s">
        <v>1866</v>
      </c>
      <c r="AG233" s="268" t="str">
        <f>IFS(LEN(AF233)=17,LOWER('2-Building'!$B$4 &amp; "-" &amp; C233), AF233="N/A", "N/A", LEN(AF233)=0,"")</f>
        <v>in-blr-ananta-ddc-4</v>
      </c>
      <c r="AH233" s="258"/>
      <c r="AI233" s="258"/>
      <c r="AJ233" s="258"/>
      <c r="AK233" s="258" t="s">
        <v>1867</v>
      </c>
      <c r="AL233" s="258" t="s">
        <v>688</v>
      </c>
      <c r="AM233" s="258" t="s">
        <v>689</v>
      </c>
      <c r="AN233" s="258"/>
      <c r="AO233" s="258"/>
      <c r="AP233" s="258"/>
      <c r="AQ233" s="258"/>
      <c r="AR233" s="258" t="s">
        <v>690</v>
      </c>
      <c r="AS233" s="258" t="s">
        <v>691</v>
      </c>
      <c r="AT233" s="258" t="s">
        <v>1841</v>
      </c>
      <c r="AU233" s="265" t="s">
        <v>1842</v>
      </c>
      <c r="AV233" s="174" t="s">
        <v>225</v>
      </c>
      <c r="AW233" s="269" t="s">
        <v>245</v>
      </c>
      <c r="AX233" s="269" t="s">
        <v>694</v>
      </c>
      <c r="AY233" s="270" t="s">
        <v>1843</v>
      </c>
      <c r="AZ233" s="173" t="s">
        <v>1834</v>
      </c>
      <c r="BA233" s="265">
        <v>10.0</v>
      </c>
      <c r="BB233" s="174" t="s">
        <v>225</v>
      </c>
      <c r="BC233" s="271"/>
      <c r="BD233" s="272" t="s">
        <v>1844</v>
      </c>
      <c r="BE233" s="273"/>
      <c r="BF233" s="274" t="str">
        <f>IFERROR(__xludf.DUMMYFUNCTION("LOWER(Regexreplace(to_text(E233),""[^A-Za-z0-9]"","""")&amp;""_""&amp;Regexreplace(to_text(F233),""[^A-Za-z0-9]"",""""))"),"alc_g5ce")</f>
        <v>alc_g5ce</v>
      </c>
      <c r="BG233" s="275" t="str">
        <f>IFERROR(__xludf.DUMMYFUNCTION("upper(Regexreplace(to_text(E233),""[^A-Za-z0-9]"","""")&amp;""-""&amp;Regexreplace(to_text(F233),""[^A-Za-z0-9]"",""""))"),"ALC-G5CE")</f>
        <v>ALC-G5CE</v>
      </c>
    </row>
    <row r="234" ht="30.0" customHeight="1">
      <c r="A234" s="173">
        <v>227.0</v>
      </c>
      <c r="B234" s="256" t="s">
        <v>670</v>
      </c>
      <c r="C234" s="257" t="s">
        <v>1821</v>
      </c>
      <c r="D234" s="173" t="s">
        <v>1821</v>
      </c>
      <c r="E234" s="174" t="s">
        <v>1830</v>
      </c>
      <c r="F234" s="173" t="s">
        <v>510</v>
      </c>
      <c r="G234" s="258" t="s">
        <v>673</v>
      </c>
      <c r="H234" s="258" t="s">
        <v>674</v>
      </c>
      <c r="I234" s="258" t="s">
        <v>1614</v>
      </c>
      <c r="J234" s="259" t="s">
        <v>709</v>
      </c>
      <c r="K234" s="260" t="s">
        <v>721</v>
      </c>
      <c r="L234" s="258" t="s">
        <v>1863</v>
      </c>
      <c r="M234" s="265" t="s">
        <v>1868</v>
      </c>
      <c r="N234" s="173" t="s">
        <v>679</v>
      </c>
      <c r="O234" s="173" t="s">
        <v>225</v>
      </c>
      <c r="P234" s="262" t="str">
        <f t="shared" si="1"/>
        <v>IN-BLR-ANANTA-HLI-2_B2</v>
      </c>
      <c r="Q234" s="173" t="s">
        <v>1869</v>
      </c>
      <c r="R234" s="258" t="str">
        <f>IFS(C234="","",C234="n/a","N/A",LEN(C234),Concatenate("{",char(34),"asset",char(34),":{",char(34),"guid",char(34),":",char(34),Q234,char(34),",",char(34),"site",char(34),":",char(34),LOWER('2-Building'!$B$4),char(34),",",char(34),"name",char(34),":",char(34),LOWER(C234),char(34),"}}"))</f>
        <v>{"asset":{"guid":"uuid://45634714-3ddf-45d9-8f49-2f1424e2e7ab","site":"in-blr-ananta","name":"hli-2"}}</v>
      </c>
      <c r="S234" s="258" t="s">
        <v>1834</v>
      </c>
      <c r="T234" s="263"/>
      <c r="U234" s="263"/>
      <c r="V234" s="264" t="s">
        <v>1835</v>
      </c>
      <c r="W234" s="258" t="s">
        <v>1836</v>
      </c>
      <c r="X234" s="258" t="s">
        <v>1837</v>
      </c>
      <c r="Y234" s="33" t="s">
        <v>1838</v>
      </c>
      <c r="Z234" s="258">
        <v>11007.0</v>
      </c>
      <c r="AA234" s="258">
        <v>11501.0</v>
      </c>
      <c r="AB234" s="258"/>
      <c r="AC234" s="258"/>
      <c r="AD234" s="265"/>
      <c r="AE234" s="266" t="s">
        <v>685</v>
      </c>
      <c r="AF234" s="267" t="s">
        <v>1870</v>
      </c>
      <c r="AG234" s="268" t="str">
        <f>IFS(LEN(AF234)=17,LOWER('2-Building'!$B$4 &amp; "-" &amp; C234), AF234="N/A", "N/A", LEN(AF234)=0,"")</f>
        <v>in-blr-ananta-hli-2</v>
      </c>
      <c r="AH234" s="258"/>
      <c r="AI234" s="258"/>
      <c r="AJ234" s="258"/>
      <c r="AK234" s="258" t="s">
        <v>1871</v>
      </c>
      <c r="AL234" s="258" t="s">
        <v>688</v>
      </c>
      <c r="AM234" s="258" t="s">
        <v>689</v>
      </c>
      <c r="AN234" s="258"/>
      <c r="AO234" s="258"/>
      <c r="AP234" s="258"/>
      <c r="AQ234" s="258"/>
      <c r="AR234" s="258" t="s">
        <v>690</v>
      </c>
      <c r="AS234" s="258" t="s">
        <v>691</v>
      </c>
      <c r="AT234" s="258" t="s">
        <v>1841</v>
      </c>
      <c r="AU234" s="265" t="s">
        <v>1842</v>
      </c>
      <c r="AV234" s="174" t="s">
        <v>225</v>
      </c>
      <c r="AW234" s="269" t="s">
        <v>245</v>
      </c>
      <c r="AX234" s="269" t="s">
        <v>694</v>
      </c>
      <c r="AY234" s="270" t="s">
        <v>1843</v>
      </c>
      <c r="AZ234" s="173" t="s">
        <v>1834</v>
      </c>
      <c r="BA234" s="265">
        <v>10.0</v>
      </c>
      <c r="BB234" s="174" t="s">
        <v>225</v>
      </c>
      <c r="BC234" s="271"/>
      <c r="BD234" s="272" t="s">
        <v>1844</v>
      </c>
      <c r="BE234" s="273"/>
      <c r="BF234" s="274" t="str">
        <f>IFERROR(__xludf.DUMMYFUNCTION("LOWER(Regexreplace(to_text(E234),""[^A-Za-z0-9]"","""")&amp;""_""&amp;Regexreplace(to_text(F234),""[^A-Za-z0-9]"",""""))"),"alc_ofhi")</f>
        <v>alc_ofhi</v>
      </c>
      <c r="BG234" s="275" t="str">
        <f>IFERROR(__xludf.DUMMYFUNCTION("upper(Regexreplace(to_text(E234),""[^A-Za-z0-9]"","""")&amp;""-""&amp;Regexreplace(to_text(F234),""[^A-Za-z0-9]"",""""))"),"ALC-OFHI")</f>
        <v>ALC-OFHI</v>
      </c>
    </row>
    <row r="235" ht="30.0" customHeight="1">
      <c r="A235" s="258">
        <v>228.0</v>
      </c>
      <c r="B235" s="256" t="s">
        <v>670</v>
      </c>
      <c r="C235" s="257" t="s">
        <v>1872</v>
      </c>
      <c r="D235" s="173" t="s">
        <v>1872</v>
      </c>
      <c r="E235" s="174" t="s">
        <v>1830</v>
      </c>
      <c r="F235" s="173" t="s">
        <v>507</v>
      </c>
      <c r="G235" s="258" t="s">
        <v>673</v>
      </c>
      <c r="H235" s="258" t="s">
        <v>674</v>
      </c>
      <c r="I235" s="258" t="s">
        <v>675</v>
      </c>
      <c r="J235" s="259" t="s">
        <v>727</v>
      </c>
      <c r="K235" s="260" t="s">
        <v>1873</v>
      </c>
      <c r="L235" s="258" t="s">
        <v>1874</v>
      </c>
      <c r="M235" s="265" t="s">
        <v>1875</v>
      </c>
      <c r="N235" s="173" t="s">
        <v>679</v>
      </c>
      <c r="O235" s="173" t="s">
        <v>225</v>
      </c>
      <c r="P235" s="262" t="str">
        <f t="shared" si="1"/>
        <v>IN-BLR-ANANTA-DDC-5_B1</v>
      </c>
      <c r="Q235" s="173" t="s">
        <v>1876</v>
      </c>
      <c r="R235" s="258" t="str">
        <f>IFS(C235="","",C235="n/a","N/A",LEN(C235),Concatenate("{",char(34),"asset",char(34),":{",char(34),"guid",char(34),":",char(34),Q235,char(34),",",char(34),"site",char(34),":",char(34),LOWER('2-Building'!$B$4),char(34),",",char(34),"name",char(34),":",char(34),LOWER(C235),char(34),"}}"))</f>
        <v>{"asset":{"guid":"uuid://9362b2a4-4380-4c83-b8a4-718b1c383b48","site":"in-blr-ananta","name":"ddc-5"}}</v>
      </c>
      <c r="S235" s="258" t="s">
        <v>1834</v>
      </c>
      <c r="T235" s="263"/>
      <c r="U235" s="263"/>
      <c r="V235" s="264" t="s">
        <v>1835</v>
      </c>
      <c r="W235" s="258" t="s">
        <v>1836</v>
      </c>
      <c r="X235" s="258" t="s">
        <v>1837</v>
      </c>
      <c r="Y235" s="33" t="s">
        <v>1838</v>
      </c>
      <c r="Z235" s="258">
        <v>11008.0</v>
      </c>
      <c r="AA235" s="258">
        <v>11501.0</v>
      </c>
      <c r="AB235" s="258"/>
      <c r="AC235" s="258"/>
      <c r="AD235" s="265"/>
      <c r="AE235" s="266" t="s">
        <v>685</v>
      </c>
      <c r="AF235" s="267" t="s">
        <v>1877</v>
      </c>
      <c r="AG235" s="268" t="str">
        <f>IFS(LEN(AF235)=17,LOWER('2-Building'!$B$4 &amp; "-" &amp; C235), AF235="N/A", "N/A", LEN(AF235)=0,"")</f>
        <v>in-blr-ananta-ddc-5</v>
      </c>
      <c r="AH235" s="258"/>
      <c r="AI235" s="258"/>
      <c r="AJ235" s="258"/>
      <c r="AK235" s="258" t="s">
        <v>1878</v>
      </c>
      <c r="AL235" s="258" t="s">
        <v>688</v>
      </c>
      <c r="AM235" s="258" t="s">
        <v>689</v>
      </c>
      <c r="AN235" s="258"/>
      <c r="AO235" s="258"/>
      <c r="AP235" s="258"/>
      <c r="AQ235" s="258"/>
      <c r="AR235" s="258" t="s">
        <v>690</v>
      </c>
      <c r="AS235" s="258" t="s">
        <v>691</v>
      </c>
      <c r="AT235" s="258" t="s">
        <v>1841</v>
      </c>
      <c r="AU235" s="265" t="s">
        <v>1842</v>
      </c>
      <c r="AV235" s="174" t="s">
        <v>225</v>
      </c>
      <c r="AW235" s="269" t="s">
        <v>245</v>
      </c>
      <c r="AX235" s="269" t="s">
        <v>694</v>
      </c>
      <c r="AY235" s="270" t="s">
        <v>1843</v>
      </c>
      <c r="AZ235" s="173" t="s">
        <v>1834</v>
      </c>
      <c r="BA235" s="265">
        <v>10.0</v>
      </c>
      <c r="BB235" s="174" t="s">
        <v>225</v>
      </c>
      <c r="BC235" s="271"/>
      <c r="BD235" s="272" t="s">
        <v>1844</v>
      </c>
      <c r="BE235" s="273"/>
      <c r="BF235" s="274" t="str">
        <f>IFERROR(__xludf.DUMMYFUNCTION("LOWER(Regexreplace(to_text(E235),""[^A-Za-z0-9]"","""")&amp;""_""&amp;Regexreplace(to_text(F235),""[^A-Za-z0-9]"",""""))"),"alc_g5ce")</f>
        <v>alc_g5ce</v>
      </c>
      <c r="BG235" s="275" t="str">
        <f>IFERROR(__xludf.DUMMYFUNCTION("upper(Regexreplace(to_text(E235),""[^A-Za-z0-9]"","""")&amp;""-""&amp;Regexreplace(to_text(F235),""[^A-Za-z0-9]"",""""))"),"ALC-G5CE")</f>
        <v>ALC-G5CE</v>
      </c>
    </row>
    <row r="236" ht="30.0" customHeight="1">
      <c r="A236" s="173">
        <v>229.0</v>
      </c>
      <c r="B236" s="256" t="s">
        <v>670</v>
      </c>
      <c r="C236" s="257" t="s">
        <v>1879</v>
      </c>
      <c r="D236" s="173" t="s">
        <v>1879</v>
      </c>
      <c r="E236" s="174" t="s">
        <v>1830</v>
      </c>
      <c r="F236" s="173" t="s">
        <v>507</v>
      </c>
      <c r="G236" s="258" t="s">
        <v>673</v>
      </c>
      <c r="H236" s="258" t="s">
        <v>674</v>
      </c>
      <c r="I236" s="258" t="s">
        <v>675</v>
      </c>
      <c r="J236" s="259" t="s">
        <v>727</v>
      </c>
      <c r="K236" s="260" t="s">
        <v>1880</v>
      </c>
      <c r="L236" s="258" t="s">
        <v>1881</v>
      </c>
      <c r="M236" s="265" t="s">
        <v>1882</v>
      </c>
      <c r="N236" s="173" t="s">
        <v>679</v>
      </c>
      <c r="O236" s="173" t="s">
        <v>225</v>
      </c>
      <c r="P236" s="262" t="str">
        <f t="shared" si="1"/>
        <v>IN-BLR-ANANTA-DDC-6_B1</v>
      </c>
      <c r="Q236" s="173" t="s">
        <v>1883</v>
      </c>
      <c r="R236" s="258" t="str">
        <f>IFS(C236="","",C236="n/a","N/A",LEN(C236),Concatenate("{",char(34),"asset",char(34),":{",char(34),"guid",char(34),":",char(34),Q236,char(34),",",char(34),"site",char(34),":",char(34),LOWER('2-Building'!$B$4),char(34),",",char(34),"name",char(34),":",char(34),LOWER(C236),char(34),"}}"))</f>
        <v>{"asset":{"guid":"uuid://49aa2228-b241-4b6c-92f4-e79464e302a6","site":"in-blr-ananta","name":"ddc-6"}}</v>
      </c>
      <c r="S236" s="258" t="s">
        <v>1834</v>
      </c>
      <c r="T236" s="263"/>
      <c r="U236" s="263"/>
      <c r="V236" s="264" t="s">
        <v>1835</v>
      </c>
      <c r="W236" s="258" t="s">
        <v>1836</v>
      </c>
      <c r="X236" s="258" t="s">
        <v>1837</v>
      </c>
      <c r="Y236" s="33" t="s">
        <v>1838</v>
      </c>
      <c r="Z236" s="258">
        <v>11009.0</v>
      </c>
      <c r="AA236" s="258">
        <v>11501.0</v>
      </c>
      <c r="AB236" s="258"/>
      <c r="AC236" s="258"/>
      <c r="AD236" s="265"/>
      <c r="AE236" s="266" t="s">
        <v>685</v>
      </c>
      <c r="AF236" s="267" t="s">
        <v>1884</v>
      </c>
      <c r="AG236" s="268" t="str">
        <f>IFS(LEN(AF236)=17,LOWER('2-Building'!$B$4 &amp; "-" &amp; C236), AF236="N/A", "N/A", LEN(AF236)=0,"")</f>
        <v>in-blr-ananta-ddc-6</v>
      </c>
      <c r="AH236" s="258"/>
      <c r="AI236" s="258"/>
      <c r="AJ236" s="258"/>
      <c r="AK236" s="258" t="s">
        <v>1885</v>
      </c>
      <c r="AL236" s="258" t="s">
        <v>688</v>
      </c>
      <c r="AM236" s="258" t="s">
        <v>689</v>
      </c>
      <c r="AN236" s="258"/>
      <c r="AO236" s="258"/>
      <c r="AP236" s="258"/>
      <c r="AQ236" s="258"/>
      <c r="AR236" s="258" t="s">
        <v>690</v>
      </c>
      <c r="AS236" s="258" t="s">
        <v>691</v>
      </c>
      <c r="AT236" s="258" t="s">
        <v>1841</v>
      </c>
      <c r="AU236" s="265" t="s">
        <v>1842</v>
      </c>
      <c r="AV236" s="174" t="s">
        <v>225</v>
      </c>
      <c r="AW236" s="269" t="s">
        <v>245</v>
      </c>
      <c r="AX236" s="269" t="s">
        <v>694</v>
      </c>
      <c r="AY236" s="270" t="s">
        <v>1843</v>
      </c>
      <c r="AZ236" s="173" t="s">
        <v>1834</v>
      </c>
      <c r="BA236" s="265">
        <v>10.0</v>
      </c>
      <c r="BB236" s="174" t="s">
        <v>225</v>
      </c>
      <c r="BC236" s="271"/>
      <c r="BD236" s="272" t="s">
        <v>1844</v>
      </c>
      <c r="BE236" s="273"/>
      <c r="BF236" s="274" t="str">
        <f>IFERROR(__xludf.DUMMYFUNCTION("LOWER(Regexreplace(to_text(E236),""[^A-Za-z0-9]"","""")&amp;""_""&amp;Regexreplace(to_text(F236),""[^A-Za-z0-9]"",""""))"),"alc_g5ce")</f>
        <v>alc_g5ce</v>
      </c>
      <c r="BG236" s="275" t="str">
        <f>IFERROR(__xludf.DUMMYFUNCTION("upper(Regexreplace(to_text(E236),""[^A-Za-z0-9]"","""")&amp;""-""&amp;Regexreplace(to_text(F236),""[^A-Za-z0-9]"",""""))"),"ALC-G5CE")</f>
        <v>ALC-G5CE</v>
      </c>
    </row>
    <row r="237" ht="30.0" customHeight="1">
      <c r="A237" s="258">
        <v>230.0</v>
      </c>
      <c r="B237" s="256" t="s">
        <v>670</v>
      </c>
      <c r="C237" s="257" t="s">
        <v>1625</v>
      </c>
      <c r="D237" s="173" t="s">
        <v>1625</v>
      </c>
      <c r="E237" s="174" t="s">
        <v>1830</v>
      </c>
      <c r="F237" s="173" t="s">
        <v>510</v>
      </c>
      <c r="G237" s="258" t="s">
        <v>673</v>
      </c>
      <c r="H237" s="258" t="s">
        <v>674</v>
      </c>
      <c r="I237" s="258" t="s">
        <v>1614</v>
      </c>
      <c r="J237" s="259" t="s">
        <v>727</v>
      </c>
      <c r="K237" s="260" t="s">
        <v>1880</v>
      </c>
      <c r="L237" s="258" t="s">
        <v>1881</v>
      </c>
      <c r="M237" s="265" t="s">
        <v>1886</v>
      </c>
      <c r="N237" s="173" t="s">
        <v>679</v>
      </c>
      <c r="O237" s="173" t="s">
        <v>225</v>
      </c>
      <c r="P237" s="262" t="str">
        <f t="shared" si="1"/>
        <v>IN-BLR-ANANTA-HLI-3_B1</v>
      </c>
      <c r="Q237" s="173" t="s">
        <v>1887</v>
      </c>
      <c r="R237" s="258" t="str">
        <f>IFS(C237="","",C237="n/a","N/A",LEN(C237),Concatenate("{",char(34),"asset",char(34),":{",char(34),"guid",char(34),":",char(34),Q237,char(34),",",char(34),"site",char(34),":",char(34),LOWER('2-Building'!$B$4),char(34),",",char(34),"name",char(34),":",char(34),LOWER(C237),char(34),"}}"))</f>
        <v>{"asset":{"guid":"uuid://bc5abfbc-5a71-4697-b481-36ec546ea2ff","site":"in-blr-ananta","name":"hli-3"}}</v>
      </c>
      <c r="S237" s="258" t="s">
        <v>1834</v>
      </c>
      <c r="T237" s="263"/>
      <c r="U237" s="263"/>
      <c r="V237" s="264" t="s">
        <v>1835</v>
      </c>
      <c r="W237" s="258" t="s">
        <v>1836</v>
      </c>
      <c r="X237" s="258" t="s">
        <v>1837</v>
      </c>
      <c r="Y237" s="33" t="s">
        <v>1838</v>
      </c>
      <c r="Z237" s="258">
        <v>11010.0</v>
      </c>
      <c r="AA237" s="258">
        <v>11501.0</v>
      </c>
      <c r="AB237" s="258"/>
      <c r="AC237" s="258"/>
      <c r="AD237" s="265"/>
      <c r="AE237" s="266" t="s">
        <v>685</v>
      </c>
      <c r="AF237" s="267" t="s">
        <v>1888</v>
      </c>
      <c r="AG237" s="268" t="str">
        <f>IFS(LEN(AF237)=17,LOWER('2-Building'!$B$4 &amp; "-" &amp; C237), AF237="N/A", "N/A", LEN(AF237)=0,"")</f>
        <v>in-blr-ananta-hli-3</v>
      </c>
      <c r="AH237" s="258"/>
      <c r="AI237" s="258"/>
      <c r="AJ237" s="258"/>
      <c r="AK237" s="258" t="s">
        <v>1889</v>
      </c>
      <c r="AL237" s="258" t="s">
        <v>688</v>
      </c>
      <c r="AM237" s="258" t="s">
        <v>689</v>
      </c>
      <c r="AN237" s="258"/>
      <c r="AO237" s="258"/>
      <c r="AP237" s="258"/>
      <c r="AQ237" s="258"/>
      <c r="AR237" s="258" t="s">
        <v>690</v>
      </c>
      <c r="AS237" s="258" t="s">
        <v>691</v>
      </c>
      <c r="AT237" s="258" t="s">
        <v>1841</v>
      </c>
      <c r="AU237" s="265" t="s">
        <v>1842</v>
      </c>
      <c r="AV237" s="174" t="s">
        <v>225</v>
      </c>
      <c r="AW237" s="269" t="s">
        <v>245</v>
      </c>
      <c r="AX237" s="269" t="s">
        <v>694</v>
      </c>
      <c r="AY237" s="270" t="s">
        <v>1843</v>
      </c>
      <c r="AZ237" s="173" t="s">
        <v>1834</v>
      </c>
      <c r="BA237" s="265">
        <v>10.0</v>
      </c>
      <c r="BB237" s="174" t="s">
        <v>225</v>
      </c>
      <c r="BC237" s="271"/>
      <c r="BD237" s="272" t="s">
        <v>1844</v>
      </c>
      <c r="BE237" s="273"/>
      <c r="BF237" s="274" t="str">
        <f>IFERROR(__xludf.DUMMYFUNCTION("LOWER(Regexreplace(to_text(E237),""[^A-Za-z0-9]"","""")&amp;""_""&amp;Regexreplace(to_text(F237),""[^A-Za-z0-9]"",""""))"),"alc_ofhi")</f>
        <v>alc_ofhi</v>
      </c>
      <c r="BG237" s="275" t="str">
        <f>IFERROR(__xludf.DUMMYFUNCTION("upper(Regexreplace(to_text(E237),""[^A-Za-z0-9]"","""")&amp;""-""&amp;Regexreplace(to_text(F237),""[^A-Za-z0-9]"",""""))"),"ALC-OFHI")</f>
        <v>ALC-OFHI</v>
      </c>
    </row>
    <row r="238" ht="30.0" customHeight="1">
      <c r="A238" s="173">
        <v>231.0</v>
      </c>
      <c r="B238" s="256" t="s">
        <v>670</v>
      </c>
      <c r="C238" s="257" t="s">
        <v>1890</v>
      </c>
      <c r="D238" s="173" t="s">
        <v>1890</v>
      </c>
      <c r="E238" s="174" t="s">
        <v>1830</v>
      </c>
      <c r="F238" s="173" t="s">
        <v>510</v>
      </c>
      <c r="G238" s="258" t="s">
        <v>673</v>
      </c>
      <c r="H238" s="258" t="s">
        <v>674</v>
      </c>
      <c r="I238" s="258" t="s">
        <v>1614</v>
      </c>
      <c r="J238" s="259" t="s">
        <v>727</v>
      </c>
      <c r="K238" s="260" t="s">
        <v>1880</v>
      </c>
      <c r="L238" s="258" t="s">
        <v>1881</v>
      </c>
      <c r="M238" s="265" t="s">
        <v>1891</v>
      </c>
      <c r="N238" s="173" t="s">
        <v>679</v>
      </c>
      <c r="O238" s="173" t="s">
        <v>225</v>
      </c>
      <c r="P238" s="262" t="str">
        <f t="shared" si="1"/>
        <v>IN-BLR-ANANTA-HLI-4_B1</v>
      </c>
      <c r="Q238" s="173" t="s">
        <v>1892</v>
      </c>
      <c r="R238" s="258" t="str">
        <f>IFS(C238="","",C238="n/a","N/A",LEN(C238),Concatenate("{",char(34),"asset",char(34),":{",char(34),"guid",char(34),":",char(34),Q238,char(34),",",char(34),"site",char(34),":",char(34),LOWER('2-Building'!$B$4),char(34),",",char(34),"name",char(34),":",char(34),LOWER(C238),char(34),"}}"))</f>
        <v>{"asset":{"guid":"uuid://3da34e01-064a-428f-9f52-e6c3dc824776","site":"in-blr-ananta","name":"hli-4"}}</v>
      </c>
      <c r="S238" s="258" t="s">
        <v>1834</v>
      </c>
      <c r="T238" s="263"/>
      <c r="U238" s="263"/>
      <c r="V238" s="264" t="s">
        <v>1835</v>
      </c>
      <c r="W238" s="258" t="s">
        <v>1836</v>
      </c>
      <c r="X238" s="258" t="s">
        <v>1837</v>
      </c>
      <c r="Y238" s="33" t="s">
        <v>1838</v>
      </c>
      <c r="Z238" s="258">
        <v>11011.0</v>
      </c>
      <c r="AA238" s="258">
        <v>11501.0</v>
      </c>
      <c r="AB238" s="258"/>
      <c r="AC238" s="258"/>
      <c r="AD238" s="265"/>
      <c r="AE238" s="266" t="s">
        <v>685</v>
      </c>
      <c r="AF238" s="267" t="s">
        <v>1893</v>
      </c>
      <c r="AG238" s="268" t="str">
        <f>IFS(LEN(AF238)=17,LOWER('2-Building'!$B$4 &amp; "-" &amp; C238), AF238="N/A", "N/A", LEN(AF238)=0,"")</f>
        <v>in-blr-ananta-hli-4</v>
      </c>
      <c r="AH238" s="258"/>
      <c r="AI238" s="258"/>
      <c r="AJ238" s="258"/>
      <c r="AK238" s="258" t="s">
        <v>1894</v>
      </c>
      <c r="AL238" s="258" t="s">
        <v>688</v>
      </c>
      <c r="AM238" s="258" t="s">
        <v>689</v>
      </c>
      <c r="AN238" s="258"/>
      <c r="AO238" s="258"/>
      <c r="AP238" s="258"/>
      <c r="AQ238" s="258"/>
      <c r="AR238" s="258" t="s">
        <v>690</v>
      </c>
      <c r="AS238" s="258" t="s">
        <v>691</v>
      </c>
      <c r="AT238" s="258" t="s">
        <v>1841</v>
      </c>
      <c r="AU238" s="265" t="s">
        <v>1842</v>
      </c>
      <c r="AV238" s="174" t="s">
        <v>225</v>
      </c>
      <c r="AW238" s="269" t="s">
        <v>245</v>
      </c>
      <c r="AX238" s="269" t="s">
        <v>694</v>
      </c>
      <c r="AY238" s="270" t="s">
        <v>1843</v>
      </c>
      <c r="AZ238" s="173" t="s">
        <v>1834</v>
      </c>
      <c r="BA238" s="265">
        <v>10.0</v>
      </c>
      <c r="BB238" s="174" t="s">
        <v>225</v>
      </c>
      <c r="BC238" s="271"/>
      <c r="BD238" s="272" t="s">
        <v>1844</v>
      </c>
      <c r="BE238" s="273"/>
      <c r="BF238" s="274" t="str">
        <f>IFERROR(__xludf.DUMMYFUNCTION("LOWER(Regexreplace(to_text(E238),""[^A-Za-z0-9]"","""")&amp;""_""&amp;Regexreplace(to_text(F238),""[^A-Za-z0-9]"",""""))"),"alc_ofhi")</f>
        <v>alc_ofhi</v>
      </c>
      <c r="BG238" s="275" t="str">
        <f>IFERROR(__xludf.DUMMYFUNCTION("upper(Regexreplace(to_text(E238),""[^A-Za-z0-9]"","""")&amp;""-""&amp;Regexreplace(to_text(F238),""[^A-Za-z0-9]"",""""))"),"ALC-OFHI")</f>
        <v>ALC-OFHI</v>
      </c>
    </row>
    <row r="239" ht="30.0" customHeight="1">
      <c r="A239" s="258">
        <v>232.0</v>
      </c>
      <c r="B239" s="256" t="s">
        <v>670</v>
      </c>
      <c r="C239" s="257" t="s">
        <v>797</v>
      </c>
      <c r="D239" s="173" t="s">
        <v>797</v>
      </c>
      <c r="E239" s="174" t="s">
        <v>1830</v>
      </c>
      <c r="F239" s="173" t="s">
        <v>507</v>
      </c>
      <c r="G239" s="258" t="s">
        <v>673</v>
      </c>
      <c r="H239" s="258" t="s">
        <v>674</v>
      </c>
      <c r="I239" s="258" t="s">
        <v>675</v>
      </c>
      <c r="J239" s="259" t="s">
        <v>739</v>
      </c>
      <c r="K239" s="260" t="s">
        <v>740</v>
      </c>
      <c r="L239" s="258" t="s">
        <v>1895</v>
      </c>
      <c r="M239" s="265" t="s">
        <v>1896</v>
      </c>
      <c r="N239" s="173" t="s">
        <v>679</v>
      </c>
      <c r="O239" s="173" t="s">
        <v>225</v>
      </c>
      <c r="P239" s="262" t="str">
        <f t="shared" si="1"/>
        <v>IN-BLR-ANANTA-DDC-7_G</v>
      </c>
      <c r="Q239" s="173" t="s">
        <v>1897</v>
      </c>
      <c r="R239" s="258" t="str">
        <f>IFS(C239="","",C239="n/a","N/A",LEN(C239),Concatenate("{",char(34),"asset",char(34),":{",char(34),"guid",char(34),":",char(34),Q239,char(34),",",char(34),"site",char(34),":",char(34),LOWER('2-Building'!$B$4),char(34),",",char(34),"name",char(34),":",char(34),LOWER(C239),char(34),"}}"))</f>
        <v>{"asset":{"guid":"uuid://2cc10227-4bab-4aa3-af77-bcf405aeb8a1","site":"in-blr-ananta","name":"ddc-7"}}</v>
      </c>
      <c r="S239" s="258" t="s">
        <v>1834</v>
      </c>
      <c r="T239" s="263"/>
      <c r="U239" s="263"/>
      <c r="V239" s="264" t="s">
        <v>1835</v>
      </c>
      <c r="W239" s="258" t="s">
        <v>1836</v>
      </c>
      <c r="X239" s="258" t="s">
        <v>1837</v>
      </c>
      <c r="Y239" s="33" t="s">
        <v>1838</v>
      </c>
      <c r="Z239" s="258">
        <v>11012.0</v>
      </c>
      <c r="AA239" s="258">
        <v>11501.0</v>
      </c>
      <c r="AB239" s="258"/>
      <c r="AC239" s="258"/>
      <c r="AD239" s="265"/>
      <c r="AE239" s="266" t="s">
        <v>685</v>
      </c>
      <c r="AF239" s="267" t="s">
        <v>1898</v>
      </c>
      <c r="AG239" s="268" t="str">
        <f>IFS(LEN(AF239)=17,LOWER('2-Building'!$B$4 &amp; "-" &amp; C239), AF239="N/A", "N/A", LEN(AF239)=0,"")</f>
        <v>in-blr-ananta-ddc-7</v>
      </c>
      <c r="AH239" s="258"/>
      <c r="AI239" s="258"/>
      <c r="AJ239" s="258"/>
      <c r="AK239" s="258" t="s">
        <v>1899</v>
      </c>
      <c r="AL239" s="258" t="s">
        <v>688</v>
      </c>
      <c r="AM239" s="258" t="s">
        <v>689</v>
      </c>
      <c r="AN239" s="258"/>
      <c r="AO239" s="258"/>
      <c r="AP239" s="258"/>
      <c r="AQ239" s="258"/>
      <c r="AR239" s="258" t="s">
        <v>690</v>
      </c>
      <c r="AS239" s="258" t="s">
        <v>691</v>
      </c>
      <c r="AT239" s="258" t="s">
        <v>1841</v>
      </c>
      <c r="AU239" s="265" t="s">
        <v>1842</v>
      </c>
      <c r="AV239" s="174" t="s">
        <v>225</v>
      </c>
      <c r="AW239" s="269" t="s">
        <v>245</v>
      </c>
      <c r="AX239" s="269" t="s">
        <v>694</v>
      </c>
      <c r="AY239" s="270" t="s">
        <v>1843</v>
      </c>
      <c r="AZ239" s="173" t="s">
        <v>1834</v>
      </c>
      <c r="BA239" s="265">
        <v>10.0</v>
      </c>
      <c r="BB239" s="174" t="s">
        <v>225</v>
      </c>
      <c r="BC239" s="271"/>
      <c r="BD239" s="272" t="s">
        <v>1844</v>
      </c>
      <c r="BE239" s="273"/>
      <c r="BF239" s="274" t="str">
        <f>IFERROR(__xludf.DUMMYFUNCTION("LOWER(Regexreplace(to_text(E239),""[^A-Za-z0-9]"","""")&amp;""_""&amp;Regexreplace(to_text(F239),""[^A-Za-z0-9]"",""""))"),"alc_g5ce")</f>
        <v>alc_g5ce</v>
      </c>
      <c r="BG239" s="275" t="str">
        <f>IFERROR(__xludf.DUMMYFUNCTION("upper(Regexreplace(to_text(E239),""[^A-Za-z0-9]"","""")&amp;""-""&amp;Regexreplace(to_text(F239),""[^A-Za-z0-9]"",""""))"),"ALC-G5CE")</f>
        <v>ALC-G5CE</v>
      </c>
    </row>
    <row r="240" ht="30.0" customHeight="1">
      <c r="A240" s="173">
        <v>233.0</v>
      </c>
      <c r="B240" s="256" t="s">
        <v>670</v>
      </c>
      <c r="C240" s="257" t="s">
        <v>1572</v>
      </c>
      <c r="D240" s="173" t="s">
        <v>1572</v>
      </c>
      <c r="E240" s="174" t="s">
        <v>1830</v>
      </c>
      <c r="F240" s="173" t="s">
        <v>510</v>
      </c>
      <c r="G240" s="258" t="s">
        <v>673</v>
      </c>
      <c r="H240" s="258" t="s">
        <v>674</v>
      </c>
      <c r="I240" s="258" t="s">
        <v>1614</v>
      </c>
      <c r="J240" s="259" t="s">
        <v>739</v>
      </c>
      <c r="K240" s="260" t="s">
        <v>740</v>
      </c>
      <c r="L240" s="258" t="s">
        <v>1895</v>
      </c>
      <c r="M240" s="265" t="s">
        <v>1900</v>
      </c>
      <c r="N240" s="173" t="s">
        <v>679</v>
      </c>
      <c r="O240" s="173" t="s">
        <v>225</v>
      </c>
      <c r="P240" s="262" t="str">
        <f t="shared" si="1"/>
        <v>IN-BLR-ANANTA-HLI-5_G</v>
      </c>
      <c r="Q240" s="173" t="s">
        <v>1901</v>
      </c>
      <c r="R240" s="258" t="str">
        <f>IFS(C240="","",C240="n/a","N/A",LEN(C240),Concatenate("{",char(34),"asset",char(34),":{",char(34),"guid",char(34),":",char(34),Q240,char(34),",",char(34),"site",char(34),":",char(34),LOWER('2-Building'!$B$4),char(34),",",char(34),"name",char(34),":",char(34),LOWER(C240),char(34),"}}"))</f>
        <v>{"asset":{"guid":"uuid://ed8d0e68-9cf7-4f34-9a5a-e1b03acb91a0","site":"in-blr-ananta","name":"hli-5"}}</v>
      </c>
      <c r="S240" s="258" t="s">
        <v>1834</v>
      </c>
      <c r="T240" s="263"/>
      <c r="U240" s="263"/>
      <c r="V240" s="264" t="s">
        <v>1835</v>
      </c>
      <c r="W240" s="258" t="s">
        <v>1836</v>
      </c>
      <c r="X240" s="258" t="s">
        <v>1837</v>
      </c>
      <c r="Y240" s="33" t="s">
        <v>1838</v>
      </c>
      <c r="Z240" s="258">
        <v>11013.0</v>
      </c>
      <c r="AA240" s="258">
        <v>11501.0</v>
      </c>
      <c r="AB240" s="258"/>
      <c r="AC240" s="258"/>
      <c r="AD240" s="265"/>
      <c r="AE240" s="266" t="s">
        <v>685</v>
      </c>
      <c r="AF240" s="267" t="s">
        <v>1902</v>
      </c>
      <c r="AG240" s="268" t="str">
        <f>IFS(LEN(AF240)=17,LOWER('2-Building'!$B$4 &amp; "-" &amp; C240), AF240="N/A", "N/A", LEN(AF240)=0,"")</f>
        <v>in-blr-ananta-hli-5</v>
      </c>
      <c r="AH240" s="258"/>
      <c r="AI240" s="258"/>
      <c r="AJ240" s="258"/>
      <c r="AK240" s="258" t="s">
        <v>1903</v>
      </c>
      <c r="AL240" s="258" t="s">
        <v>688</v>
      </c>
      <c r="AM240" s="258" t="s">
        <v>689</v>
      </c>
      <c r="AN240" s="258"/>
      <c r="AO240" s="258"/>
      <c r="AP240" s="258"/>
      <c r="AQ240" s="258"/>
      <c r="AR240" s="258" t="s">
        <v>690</v>
      </c>
      <c r="AS240" s="258" t="s">
        <v>691</v>
      </c>
      <c r="AT240" s="258" t="s">
        <v>1841</v>
      </c>
      <c r="AU240" s="265" t="s">
        <v>1842</v>
      </c>
      <c r="AV240" s="174" t="s">
        <v>225</v>
      </c>
      <c r="AW240" s="269" t="s">
        <v>245</v>
      </c>
      <c r="AX240" s="269" t="s">
        <v>694</v>
      </c>
      <c r="AY240" s="270" t="s">
        <v>1843</v>
      </c>
      <c r="AZ240" s="173" t="s">
        <v>1834</v>
      </c>
      <c r="BA240" s="265">
        <v>10.0</v>
      </c>
      <c r="BB240" s="174" t="s">
        <v>225</v>
      </c>
      <c r="BC240" s="271"/>
      <c r="BD240" s="272" t="s">
        <v>1844</v>
      </c>
      <c r="BE240" s="273"/>
      <c r="BF240" s="274" t="str">
        <f>IFERROR(__xludf.DUMMYFUNCTION("LOWER(Regexreplace(to_text(E240),""[^A-Za-z0-9]"","""")&amp;""_""&amp;Regexreplace(to_text(F240),""[^A-Za-z0-9]"",""""))"),"alc_ofhi")</f>
        <v>alc_ofhi</v>
      </c>
      <c r="BG240" s="275" t="str">
        <f>IFERROR(__xludf.DUMMYFUNCTION("upper(Regexreplace(to_text(E240),""[^A-Za-z0-9]"","""")&amp;""-""&amp;Regexreplace(to_text(F240),""[^A-Za-z0-9]"",""""))"),"ALC-OFHI")</f>
        <v>ALC-OFHI</v>
      </c>
    </row>
    <row r="241" ht="30.0" customHeight="1">
      <c r="A241" s="258">
        <v>234.0</v>
      </c>
      <c r="B241" s="256" t="s">
        <v>670</v>
      </c>
      <c r="C241" s="257" t="s">
        <v>808</v>
      </c>
      <c r="D241" s="173" t="s">
        <v>808</v>
      </c>
      <c r="E241" s="174" t="s">
        <v>1830</v>
      </c>
      <c r="F241" s="173" t="s">
        <v>507</v>
      </c>
      <c r="G241" s="258" t="s">
        <v>673</v>
      </c>
      <c r="H241" s="258" t="s">
        <v>674</v>
      </c>
      <c r="I241" s="258" t="s">
        <v>675</v>
      </c>
      <c r="J241" s="259" t="s">
        <v>739</v>
      </c>
      <c r="K241" s="260" t="s">
        <v>803</v>
      </c>
      <c r="L241" s="258" t="s">
        <v>1904</v>
      </c>
      <c r="M241" s="265" t="s">
        <v>1905</v>
      </c>
      <c r="N241" s="173" t="s">
        <v>679</v>
      </c>
      <c r="O241" s="173" t="s">
        <v>225</v>
      </c>
      <c r="P241" s="262" t="str">
        <f t="shared" si="1"/>
        <v>IN-BLR-ANANTA-DDC-8_G</v>
      </c>
      <c r="Q241" s="173" t="s">
        <v>1906</v>
      </c>
      <c r="R241" s="258" t="str">
        <f>IFS(C241="","",C241="n/a","N/A",LEN(C241),Concatenate("{",char(34),"asset",char(34),":{",char(34),"guid",char(34),":",char(34),Q241,char(34),",",char(34),"site",char(34),":",char(34),LOWER('2-Building'!$B$4),char(34),",",char(34),"name",char(34),":",char(34),LOWER(C241),char(34),"}}"))</f>
        <v>{"asset":{"guid":"uuid://a369a9a0-4d32-4dad-b03d-b46b21de830b","site":"in-blr-ananta","name":"ddc-8"}}</v>
      </c>
      <c r="S241" s="258" t="s">
        <v>1834</v>
      </c>
      <c r="T241" s="263"/>
      <c r="U241" s="263"/>
      <c r="V241" s="264" t="s">
        <v>1835</v>
      </c>
      <c r="W241" s="258" t="s">
        <v>1836</v>
      </c>
      <c r="X241" s="258" t="s">
        <v>1837</v>
      </c>
      <c r="Y241" s="33" t="s">
        <v>1838</v>
      </c>
      <c r="Z241" s="258">
        <v>11014.0</v>
      </c>
      <c r="AA241" s="258">
        <v>11501.0</v>
      </c>
      <c r="AB241" s="258"/>
      <c r="AC241" s="258"/>
      <c r="AD241" s="265"/>
      <c r="AE241" s="266" t="s">
        <v>685</v>
      </c>
      <c r="AF241" s="267" t="s">
        <v>1907</v>
      </c>
      <c r="AG241" s="268" t="str">
        <f>IFS(LEN(AF241)=17,LOWER('2-Building'!$B$4 &amp; "-" &amp; C241), AF241="N/A", "N/A", LEN(AF241)=0,"")</f>
        <v>in-blr-ananta-ddc-8</v>
      </c>
      <c r="AH241" s="258"/>
      <c r="AI241" s="258"/>
      <c r="AJ241" s="258"/>
      <c r="AK241" s="258" t="s">
        <v>1908</v>
      </c>
      <c r="AL241" s="258" t="s">
        <v>688</v>
      </c>
      <c r="AM241" s="258" t="s">
        <v>689</v>
      </c>
      <c r="AN241" s="258"/>
      <c r="AO241" s="258"/>
      <c r="AP241" s="258"/>
      <c r="AQ241" s="258"/>
      <c r="AR241" s="258" t="s">
        <v>690</v>
      </c>
      <c r="AS241" s="258" t="s">
        <v>691</v>
      </c>
      <c r="AT241" s="258" t="s">
        <v>1841</v>
      </c>
      <c r="AU241" s="265" t="s">
        <v>1842</v>
      </c>
      <c r="AV241" s="174" t="s">
        <v>225</v>
      </c>
      <c r="AW241" s="269" t="s">
        <v>245</v>
      </c>
      <c r="AX241" s="269" t="s">
        <v>694</v>
      </c>
      <c r="AY241" s="270" t="s">
        <v>1843</v>
      </c>
      <c r="AZ241" s="173" t="s">
        <v>1834</v>
      </c>
      <c r="BA241" s="265">
        <v>10.0</v>
      </c>
      <c r="BB241" s="174" t="s">
        <v>225</v>
      </c>
      <c r="BC241" s="271"/>
      <c r="BD241" s="272" t="s">
        <v>1844</v>
      </c>
      <c r="BE241" s="273"/>
      <c r="BF241" s="274" t="str">
        <f>IFERROR(__xludf.DUMMYFUNCTION("LOWER(Regexreplace(to_text(E241),""[^A-Za-z0-9]"","""")&amp;""_""&amp;Regexreplace(to_text(F241),""[^A-Za-z0-9]"",""""))"),"alc_g5ce")</f>
        <v>alc_g5ce</v>
      </c>
      <c r="BG241" s="275" t="str">
        <f>IFERROR(__xludf.DUMMYFUNCTION("upper(Regexreplace(to_text(E241),""[^A-Za-z0-9]"","""")&amp;""-""&amp;Regexreplace(to_text(F241),""[^A-Za-z0-9]"",""""))"),"ALC-G5CE")</f>
        <v>ALC-G5CE</v>
      </c>
    </row>
    <row r="242" ht="30.0" customHeight="1">
      <c r="A242" s="173">
        <v>235.0</v>
      </c>
      <c r="B242" s="256" t="s">
        <v>670</v>
      </c>
      <c r="C242" s="257" t="s">
        <v>1909</v>
      </c>
      <c r="D242" s="173" t="s">
        <v>1909</v>
      </c>
      <c r="E242" s="174" t="s">
        <v>1830</v>
      </c>
      <c r="F242" s="173" t="s">
        <v>507</v>
      </c>
      <c r="G242" s="258" t="s">
        <v>673</v>
      </c>
      <c r="H242" s="258" t="s">
        <v>674</v>
      </c>
      <c r="I242" s="258" t="s">
        <v>1614</v>
      </c>
      <c r="J242" s="259" t="s">
        <v>739</v>
      </c>
      <c r="K242" s="260" t="s">
        <v>765</v>
      </c>
      <c r="L242" s="258" t="s">
        <v>1910</v>
      </c>
      <c r="M242" s="265" t="s">
        <v>1911</v>
      </c>
      <c r="N242" s="173" t="s">
        <v>679</v>
      </c>
      <c r="O242" s="173" t="s">
        <v>225</v>
      </c>
      <c r="P242" s="262" t="str">
        <f t="shared" si="1"/>
        <v>IN-BLR-ANANTA-HLI-6_G</v>
      </c>
      <c r="Q242" s="173" t="s">
        <v>1912</v>
      </c>
      <c r="R242" s="258" t="str">
        <f>IFS(C242="","",C242="n/a","N/A",LEN(C242),Concatenate("{",char(34),"asset",char(34),":{",char(34),"guid",char(34),":",char(34),Q242,char(34),",",char(34),"site",char(34),":",char(34),LOWER('2-Building'!$B$4),char(34),",",char(34),"name",char(34),":",char(34),LOWER(C242),char(34),"}}"))</f>
        <v>{"asset":{"guid":"uuid://36e3d4c8-69e3-42f1-9e66-c34b66d8785c","site":"in-blr-ananta","name":"hli-6"}}</v>
      </c>
      <c r="S242" s="258" t="s">
        <v>1834</v>
      </c>
      <c r="T242" s="263"/>
      <c r="U242" s="263"/>
      <c r="V242" s="264" t="s">
        <v>1835</v>
      </c>
      <c r="W242" s="258" t="s">
        <v>1836</v>
      </c>
      <c r="X242" s="258" t="s">
        <v>1837</v>
      </c>
      <c r="Y242" s="33" t="s">
        <v>1838</v>
      </c>
      <c r="Z242" s="258">
        <v>11015.0</v>
      </c>
      <c r="AA242" s="258">
        <v>11501.0</v>
      </c>
      <c r="AB242" s="258"/>
      <c r="AC242" s="258"/>
      <c r="AD242" s="265"/>
      <c r="AE242" s="266" t="s">
        <v>685</v>
      </c>
      <c r="AF242" s="267" t="s">
        <v>1913</v>
      </c>
      <c r="AG242" s="268" t="str">
        <f>IFS(LEN(AF242)=17,LOWER('2-Building'!$B$4 &amp; "-" &amp; C242), AF242="N/A", "N/A", LEN(AF242)=0,"")</f>
        <v>in-blr-ananta-hli-6</v>
      </c>
      <c r="AH242" s="258"/>
      <c r="AI242" s="258"/>
      <c r="AJ242" s="258"/>
      <c r="AK242" s="258" t="s">
        <v>1914</v>
      </c>
      <c r="AL242" s="258" t="s">
        <v>688</v>
      </c>
      <c r="AM242" s="258" t="s">
        <v>689</v>
      </c>
      <c r="AN242" s="258"/>
      <c r="AO242" s="258"/>
      <c r="AP242" s="258"/>
      <c r="AQ242" s="258"/>
      <c r="AR242" s="258" t="s">
        <v>690</v>
      </c>
      <c r="AS242" s="258" t="s">
        <v>691</v>
      </c>
      <c r="AT242" s="258" t="s">
        <v>1841</v>
      </c>
      <c r="AU242" s="265" t="s">
        <v>1842</v>
      </c>
      <c r="AV242" s="174" t="s">
        <v>225</v>
      </c>
      <c r="AW242" s="269" t="s">
        <v>245</v>
      </c>
      <c r="AX242" s="269" t="s">
        <v>694</v>
      </c>
      <c r="AY242" s="270" t="s">
        <v>1843</v>
      </c>
      <c r="AZ242" s="173" t="s">
        <v>1834</v>
      </c>
      <c r="BA242" s="265">
        <v>10.0</v>
      </c>
      <c r="BB242" s="174" t="s">
        <v>225</v>
      </c>
      <c r="BC242" s="271"/>
      <c r="BD242" s="272" t="s">
        <v>1844</v>
      </c>
      <c r="BE242" s="273"/>
      <c r="BF242" s="274" t="str">
        <f>IFERROR(__xludf.DUMMYFUNCTION("LOWER(Regexreplace(to_text(E242),""[^A-Za-z0-9]"","""")&amp;""_""&amp;Regexreplace(to_text(F242),""[^A-Za-z0-9]"",""""))"),"alc_g5ce")</f>
        <v>alc_g5ce</v>
      </c>
      <c r="BG242" s="275" t="str">
        <f>IFERROR(__xludf.DUMMYFUNCTION("upper(Regexreplace(to_text(E242),""[^A-Za-z0-9]"","""")&amp;""-""&amp;Regexreplace(to_text(F242),""[^A-Za-z0-9]"",""""))"),"ALC-G5CE")</f>
        <v>ALC-G5CE</v>
      </c>
    </row>
    <row r="243" ht="30.0" customHeight="1">
      <c r="A243" s="258">
        <v>236.0</v>
      </c>
      <c r="B243" s="256" t="s">
        <v>670</v>
      </c>
      <c r="C243" s="257" t="s">
        <v>1915</v>
      </c>
      <c r="D243" s="173" t="s">
        <v>1915</v>
      </c>
      <c r="E243" s="174" t="s">
        <v>1830</v>
      </c>
      <c r="F243" s="173" t="s">
        <v>507</v>
      </c>
      <c r="G243" s="258" t="s">
        <v>673</v>
      </c>
      <c r="H243" s="258" t="s">
        <v>674</v>
      </c>
      <c r="I243" s="258" t="s">
        <v>675</v>
      </c>
      <c r="J243" s="259" t="s">
        <v>739</v>
      </c>
      <c r="K243" s="260" t="s">
        <v>820</v>
      </c>
      <c r="L243" s="258" t="s">
        <v>1916</v>
      </c>
      <c r="M243" s="265" t="s">
        <v>1917</v>
      </c>
      <c r="N243" s="173" t="s">
        <v>679</v>
      </c>
      <c r="O243" s="173" t="s">
        <v>225</v>
      </c>
      <c r="P243" s="262" t="str">
        <f t="shared" si="1"/>
        <v>IN-BLR-ANANTA-DDC-9_G</v>
      </c>
      <c r="Q243" s="173" t="s">
        <v>1918</v>
      </c>
      <c r="R243" s="258" t="str">
        <f>IFS(C243="","",C243="n/a","N/A",LEN(C243),Concatenate("{",char(34),"asset",char(34),":{",char(34),"guid",char(34),":",char(34),Q243,char(34),",",char(34),"site",char(34),":",char(34),LOWER('2-Building'!$B$4),char(34),",",char(34),"name",char(34),":",char(34),LOWER(C243),char(34),"}}"))</f>
        <v>{"asset":{"guid":"uuid://5e374706-90b7-4495-b9d1-36bca034ce5f","site":"in-blr-ananta","name":"ddc-9"}}</v>
      </c>
      <c r="S243" s="258" t="s">
        <v>1834</v>
      </c>
      <c r="T243" s="263"/>
      <c r="U243" s="263"/>
      <c r="V243" s="264" t="s">
        <v>1835</v>
      </c>
      <c r="W243" s="258" t="s">
        <v>1836</v>
      </c>
      <c r="X243" s="258" t="s">
        <v>1837</v>
      </c>
      <c r="Y243" s="33" t="s">
        <v>1838</v>
      </c>
      <c r="Z243" s="258">
        <v>11016.0</v>
      </c>
      <c r="AA243" s="258">
        <v>11501.0</v>
      </c>
      <c r="AB243" s="258"/>
      <c r="AC243" s="258"/>
      <c r="AD243" s="265"/>
      <c r="AE243" s="266" t="s">
        <v>685</v>
      </c>
      <c r="AF243" s="267" t="s">
        <v>1919</v>
      </c>
      <c r="AG243" s="268" t="str">
        <f>IFS(LEN(AF243)=17,LOWER('2-Building'!$B$4 &amp; "-" &amp; C243), AF243="N/A", "N/A", LEN(AF243)=0,"")</f>
        <v>in-blr-ananta-ddc-9</v>
      </c>
      <c r="AH243" s="258"/>
      <c r="AI243" s="258"/>
      <c r="AJ243" s="258"/>
      <c r="AK243" s="258" t="s">
        <v>1920</v>
      </c>
      <c r="AL243" s="258" t="s">
        <v>688</v>
      </c>
      <c r="AM243" s="258" t="s">
        <v>689</v>
      </c>
      <c r="AN243" s="258"/>
      <c r="AO243" s="258"/>
      <c r="AP243" s="258"/>
      <c r="AQ243" s="258"/>
      <c r="AR243" s="258" t="s">
        <v>690</v>
      </c>
      <c r="AS243" s="258" t="s">
        <v>691</v>
      </c>
      <c r="AT243" s="258" t="s">
        <v>1841</v>
      </c>
      <c r="AU243" s="265" t="s">
        <v>1842</v>
      </c>
      <c r="AV243" s="174" t="s">
        <v>225</v>
      </c>
      <c r="AW243" s="269" t="s">
        <v>245</v>
      </c>
      <c r="AX243" s="269" t="s">
        <v>694</v>
      </c>
      <c r="AY243" s="270" t="s">
        <v>1843</v>
      </c>
      <c r="AZ243" s="173" t="s">
        <v>1834</v>
      </c>
      <c r="BA243" s="265">
        <v>10.0</v>
      </c>
      <c r="BB243" s="174" t="s">
        <v>225</v>
      </c>
      <c r="BC243" s="271"/>
      <c r="BD243" s="272" t="s">
        <v>1844</v>
      </c>
      <c r="BE243" s="273"/>
      <c r="BF243" s="274" t="str">
        <f>IFERROR(__xludf.DUMMYFUNCTION("LOWER(Regexreplace(to_text(E243),""[^A-Za-z0-9]"","""")&amp;""_""&amp;Regexreplace(to_text(F243),""[^A-Za-z0-9]"",""""))"),"alc_g5ce")</f>
        <v>alc_g5ce</v>
      </c>
      <c r="BG243" s="275" t="str">
        <f>IFERROR(__xludf.DUMMYFUNCTION("upper(Regexreplace(to_text(E243),""[^A-Za-z0-9]"","""")&amp;""-""&amp;Regexreplace(to_text(F243),""[^A-Za-z0-9]"",""""))"),"ALC-G5CE")</f>
        <v>ALC-G5CE</v>
      </c>
    </row>
    <row r="244" ht="30.0" customHeight="1">
      <c r="A244" s="173">
        <v>237.0</v>
      </c>
      <c r="B244" s="256" t="s">
        <v>670</v>
      </c>
      <c r="C244" s="257" t="s">
        <v>1921</v>
      </c>
      <c r="D244" s="173" t="s">
        <v>1921</v>
      </c>
      <c r="E244" s="174" t="s">
        <v>1830</v>
      </c>
      <c r="F244" s="173" t="s">
        <v>510</v>
      </c>
      <c r="G244" s="258" t="s">
        <v>673</v>
      </c>
      <c r="H244" s="258" t="s">
        <v>674</v>
      </c>
      <c r="I244" s="258" t="s">
        <v>1614</v>
      </c>
      <c r="J244" s="259" t="s">
        <v>739</v>
      </c>
      <c r="K244" s="260" t="s">
        <v>820</v>
      </c>
      <c r="L244" s="258" t="s">
        <v>1916</v>
      </c>
      <c r="M244" s="265" t="s">
        <v>1922</v>
      </c>
      <c r="N244" s="173" t="s">
        <v>679</v>
      </c>
      <c r="O244" s="173" t="s">
        <v>225</v>
      </c>
      <c r="P244" s="262" t="str">
        <f t="shared" si="1"/>
        <v>IN-BLR-ANANTA-HLI-7_G</v>
      </c>
      <c r="Q244" s="173" t="s">
        <v>1923</v>
      </c>
      <c r="R244" s="258" t="str">
        <f>IFS(C244="","",C244="n/a","N/A",LEN(C244),Concatenate("{",char(34),"asset",char(34),":{",char(34),"guid",char(34),":",char(34),Q244,char(34),",",char(34),"site",char(34),":",char(34),LOWER('2-Building'!$B$4),char(34),",",char(34),"name",char(34),":",char(34),LOWER(C244),char(34),"}}"))</f>
        <v>{"asset":{"guid":"uuid://d7600d39-34a8-43ac-ab3a-674d405c1b30","site":"in-blr-ananta","name":"hli-7"}}</v>
      </c>
      <c r="S244" s="258" t="s">
        <v>1834</v>
      </c>
      <c r="T244" s="263"/>
      <c r="U244" s="263"/>
      <c r="V244" s="264" t="s">
        <v>1835</v>
      </c>
      <c r="W244" s="258" t="s">
        <v>1836</v>
      </c>
      <c r="X244" s="258" t="s">
        <v>1837</v>
      </c>
      <c r="Y244" s="33" t="s">
        <v>1838</v>
      </c>
      <c r="Z244" s="258">
        <v>11017.0</v>
      </c>
      <c r="AA244" s="258">
        <v>11501.0</v>
      </c>
      <c r="AB244" s="258"/>
      <c r="AC244" s="258"/>
      <c r="AD244" s="265"/>
      <c r="AE244" s="266" t="s">
        <v>685</v>
      </c>
      <c r="AF244" s="267" t="s">
        <v>1924</v>
      </c>
      <c r="AG244" s="268" t="str">
        <f>IFS(LEN(AF244)=17,LOWER('2-Building'!$B$4 &amp; "-" &amp; C244), AF244="N/A", "N/A", LEN(AF244)=0,"")</f>
        <v>in-blr-ananta-hli-7</v>
      </c>
      <c r="AH244" s="258"/>
      <c r="AI244" s="258"/>
      <c r="AJ244" s="258"/>
      <c r="AK244" s="258" t="s">
        <v>1925</v>
      </c>
      <c r="AL244" s="258" t="s">
        <v>688</v>
      </c>
      <c r="AM244" s="258" t="s">
        <v>689</v>
      </c>
      <c r="AN244" s="258"/>
      <c r="AO244" s="258"/>
      <c r="AP244" s="258"/>
      <c r="AQ244" s="258"/>
      <c r="AR244" s="258" t="s">
        <v>690</v>
      </c>
      <c r="AS244" s="258" t="s">
        <v>691</v>
      </c>
      <c r="AT244" s="258" t="s">
        <v>1841</v>
      </c>
      <c r="AU244" s="265" t="s">
        <v>1842</v>
      </c>
      <c r="AV244" s="174" t="s">
        <v>225</v>
      </c>
      <c r="AW244" s="269" t="s">
        <v>245</v>
      </c>
      <c r="AX244" s="269" t="s">
        <v>694</v>
      </c>
      <c r="AY244" s="270" t="s">
        <v>1843</v>
      </c>
      <c r="AZ244" s="173" t="s">
        <v>1834</v>
      </c>
      <c r="BA244" s="265">
        <v>10.0</v>
      </c>
      <c r="BB244" s="174" t="s">
        <v>225</v>
      </c>
      <c r="BC244" s="271"/>
      <c r="BD244" s="272" t="s">
        <v>1844</v>
      </c>
      <c r="BE244" s="273"/>
      <c r="BF244" s="274" t="str">
        <f>IFERROR(__xludf.DUMMYFUNCTION("LOWER(Regexreplace(to_text(E244),""[^A-Za-z0-9]"","""")&amp;""_""&amp;Regexreplace(to_text(F244),""[^A-Za-z0-9]"",""""))"),"alc_ofhi")</f>
        <v>alc_ofhi</v>
      </c>
      <c r="BG244" s="275" t="str">
        <f>IFERROR(__xludf.DUMMYFUNCTION("upper(Regexreplace(to_text(E244),""[^A-Za-z0-9]"","""")&amp;""-""&amp;Regexreplace(to_text(F244),""[^A-Za-z0-9]"",""""))"),"ALC-OFHI")</f>
        <v>ALC-OFHI</v>
      </c>
    </row>
    <row r="245" ht="30.0" customHeight="1">
      <c r="A245" s="258">
        <v>238.0</v>
      </c>
      <c r="B245" s="256" t="s">
        <v>670</v>
      </c>
      <c r="C245" s="257" t="s">
        <v>814</v>
      </c>
      <c r="D245" s="173" t="s">
        <v>814</v>
      </c>
      <c r="E245" s="174" t="s">
        <v>1830</v>
      </c>
      <c r="F245" s="173" t="s">
        <v>507</v>
      </c>
      <c r="G245" s="258" t="s">
        <v>673</v>
      </c>
      <c r="H245" s="258" t="s">
        <v>674</v>
      </c>
      <c r="I245" s="258" t="s">
        <v>675</v>
      </c>
      <c r="J245" s="259" t="s">
        <v>739</v>
      </c>
      <c r="K245" s="260" t="s">
        <v>803</v>
      </c>
      <c r="L245" s="258" t="s">
        <v>1926</v>
      </c>
      <c r="M245" s="265" t="s">
        <v>1927</v>
      </c>
      <c r="N245" s="173" t="s">
        <v>679</v>
      </c>
      <c r="O245" s="173" t="s">
        <v>225</v>
      </c>
      <c r="P245" s="262" t="str">
        <f t="shared" si="1"/>
        <v>IN-BLR-ANANTA-DDC-10_G</v>
      </c>
      <c r="Q245" s="173" t="s">
        <v>1928</v>
      </c>
      <c r="R245" s="258" t="str">
        <f>IFS(C245="","",C245="n/a","N/A",LEN(C245),Concatenate("{",char(34),"asset",char(34),":{",char(34),"guid",char(34),":",char(34),Q245,char(34),",",char(34),"site",char(34),":",char(34),LOWER('2-Building'!$B$4),char(34),",",char(34),"name",char(34),":",char(34),LOWER(C245),char(34),"}}"))</f>
        <v>{"asset":{"guid":"uuid://2d6d81c5-79c2-48aa-afcd-478a0fa588ca","site":"in-blr-ananta","name":"ddc-10"}}</v>
      </c>
      <c r="S245" s="258" t="s">
        <v>1834</v>
      </c>
      <c r="T245" s="263"/>
      <c r="U245" s="263"/>
      <c r="V245" s="264" t="s">
        <v>1835</v>
      </c>
      <c r="W245" s="258" t="s">
        <v>1836</v>
      </c>
      <c r="X245" s="258" t="s">
        <v>1837</v>
      </c>
      <c r="Y245" s="33" t="s">
        <v>1838</v>
      </c>
      <c r="Z245" s="258">
        <v>11018.0</v>
      </c>
      <c r="AA245" s="258">
        <v>11501.0</v>
      </c>
      <c r="AB245" s="258"/>
      <c r="AC245" s="258"/>
      <c r="AD245" s="265"/>
      <c r="AE245" s="266" t="s">
        <v>685</v>
      </c>
      <c r="AF245" s="267" t="s">
        <v>1929</v>
      </c>
      <c r="AG245" s="268" t="str">
        <f>IFS(LEN(AF245)=17,LOWER('2-Building'!$B$4 &amp; "-" &amp; C245), AF245="N/A", "N/A", LEN(AF245)=0,"")</f>
        <v>in-blr-ananta-ddc-10</v>
      </c>
      <c r="AH245" s="258"/>
      <c r="AI245" s="258"/>
      <c r="AJ245" s="258"/>
      <c r="AK245" s="258" t="s">
        <v>1930</v>
      </c>
      <c r="AL245" s="258" t="s">
        <v>688</v>
      </c>
      <c r="AM245" s="258" t="s">
        <v>689</v>
      </c>
      <c r="AN245" s="258"/>
      <c r="AO245" s="258"/>
      <c r="AP245" s="258"/>
      <c r="AQ245" s="258"/>
      <c r="AR245" s="258" t="s">
        <v>690</v>
      </c>
      <c r="AS245" s="258" t="s">
        <v>691</v>
      </c>
      <c r="AT245" s="258" t="s">
        <v>1841</v>
      </c>
      <c r="AU245" s="265" t="s">
        <v>1842</v>
      </c>
      <c r="AV245" s="174" t="s">
        <v>225</v>
      </c>
      <c r="AW245" s="269" t="s">
        <v>245</v>
      </c>
      <c r="AX245" s="269" t="s">
        <v>694</v>
      </c>
      <c r="AY245" s="270" t="s">
        <v>1843</v>
      </c>
      <c r="AZ245" s="173" t="s">
        <v>1834</v>
      </c>
      <c r="BA245" s="265">
        <v>10.0</v>
      </c>
      <c r="BB245" s="174" t="s">
        <v>225</v>
      </c>
      <c r="BC245" s="271"/>
      <c r="BD245" s="272" t="s">
        <v>1844</v>
      </c>
      <c r="BE245" s="273"/>
      <c r="BF245" s="274" t="str">
        <f>IFERROR(__xludf.DUMMYFUNCTION("LOWER(Regexreplace(to_text(E245),""[^A-Za-z0-9]"","""")&amp;""_""&amp;Regexreplace(to_text(F245),""[^A-Za-z0-9]"",""""))"),"alc_g5ce")</f>
        <v>alc_g5ce</v>
      </c>
      <c r="BG245" s="275" t="str">
        <f>IFERROR(__xludf.DUMMYFUNCTION("upper(Regexreplace(to_text(E245),""[^A-Za-z0-9]"","""")&amp;""-""&amp;Regexreplace(to_text(F245),""[^A-Za-z0-9]"",""""))"),"ALC-G5CE")</f>
        <v>ALC-G5CE</v>
      </c>
    </row>
    <row r="246" ht="30.0" customHeight="1">
      <c r="A246" s="173">
        <v>239.0</v>
      </c>
      <c r="B246" s="256" t="s">
        <v>670</v>
      </c>
      <c r="C246" s="257" t="s">
        <v>1654</v>
      </c>
      <c r="D246" s="173" t="s">
        <v>1654</v>
      </c>
      <c r="E246" s="174" t="s">
        <v>1830</v>
      </c>
      <c r="F246" s="173" t="s">
        <v>510</v>
      </c>
      <c r="G246" s="258" t="s">
        <v>673</v>
      </c>
      <c r="H246" s="258" t="s">
        <v>674</v>
      </c>
      <c r="I246" s="258" t="s">
        <v>1614</v>
      </c>
      <c r="J246" s="259" t="s">
        <v>739</v>
      </c>
      <c r="K246" s="260" t="s">
        <v>803</v>
      </c>
      <c r="L246" s="258" t="s">
        <v>1931</v>
      </c>
      <c r="M246" s="265" t="s">
        <v>1932</v>
      </c>
      <c r="N246" s="173" t="s">
        <v>679</v>
      </c>
      <c r="O246" s="173" t="s">
        <v>225</v>
      </c>
      <c r="P246" s="262" t="str">
        <f t="shared" si="1"/>
        <v>IN-BLR-ANANTA-HLI-8_G</v>
      </c>
      <c r="Q246" s="173" t="s">
        <v>1933</v>
      </c>
      <c r="R246" s="258" t="str">
        <f>IFS(C246="","",C246="n/a","N/A",LEN(C246),Concatenate("{",char(34),"asset",char(34),":{",char(34),"guid",char(34),":",char(34),Q246,char(34),",",char(34),"site",char(34),":",char(34),LOWER('2-Building'!$B$4),char(34),",",char(34),"name",char(34),":",char(34),LOWER(C246),char(34),"}}"))</f>
        <v>{"asset":{"guid":"uuid://76ae41ea-158e-437f-b686-b8662d9b050b","site":"in-blr-ananta","name":"hli-8"}}</v>
      </c>
      <c r="S246" s="258" t="s">
        <v>1834</v>
      </c>
      <c r="T246" s="263"/>
      <c r="U246" s="263"/>
      <c r="V246" s="264" t="s">
        <v>1835</v>
      </c>
      <c r="W246" s="258" t="s">
        <v>1836</v>
      </c>
      <c r="X246" s="258" t="s">
        <v>1837</v>
      </c>
      <c r="Y246" s="33" t="s">
        <v>1838</v>
      </c>
      <c r="Z246" s="258">
        <v>11019.0</v>
      </c>
      <c r="AA246" s="258">
        <v>11501.0</v>
      </c>
      <c r="AB246" s="258"/>
      <c r="AC246" s="258"/>
      <c r="AD246" s="265"/>
      <c r="AE246" s="266" t="s">
        <v>685</v>
      </c>
      <c r="AF246" s="267" t="s">
        <v>1934</v>
      </c>
      <c r="AG246" s="268" t="str">
        <f>IFS(LEN(AF246)=17,LOWER('2-Building'!$B$4 &amp; "-" &amp; C246), AF246="N/A", "N/A", LEN(AF246)=0,"")</f>
        <v>in-blr-ananta-hli-8</v>
      </c>
      <c r="AH246" s="258"/>
      <c r="AI246" s="258"/>
      <c r="AJ246" s="258"/>
      <c r="AK246" s="258" t="s">
        <v>1935</v>
      </c>
      <c r="AL246" s="258" t="s">
        <v>688</v>
      </c>
      <c r="AM246" s="258" t="s">
        <v>689</v>
      </c>
      <c r="AN246" s="258"/>
      <c r="AO246" s="258"/>
      <c r="AP246" s="258"/>
      <c r="AQ246" s="258"/>
      <c r="AR246" s="258" t="s">
        <v>690</v>
      </c>
      <c r="AS246" s="258" t="s">
        <v>691</v>
      </c>
      <c r="AT246" s="258" t="s">
        <v>1841</v>
      </c>
      <c r="AU246" s="265" t="s">
        <v>1842</v>
      </c>
      <c r="AV246" s="174" t="s">
        <v>225</v>
      </c>
      <c r="AW246" s="269" t="s">
        <v>245</v>
      </c>
      <c r="AX246" s="269" t="s">
        <v>694</v>
      </c>
      <c r="AY246" s="270" t="s">
        <v>1843</v>
      </c>
      <c r="AZ246" s="173" t="s">
        <v>1834</v>
      </c>
      <c r="BA246" s="265">
        <v>10.0</v>
      </c>
      <c r="BB246" s="174" t="s">
        <v>225</v>
      </c>
      <c r="BC246" s="271"/>
      <c r="BD246" s="272" t="s">
        <v>1844</v>
      </c>
      <c r="BE246" s="273"/>
      <c r="BF246" s="274" t="str">
        <f>IFERROR(__xludf.DUMMYFUNCTION("LOWER(Regexreplace(to_text(E246),""[^A-Za-z0-9]"","""")&amp;""_""&amp;Regexreplace(to_text(F246),""[^A-Za-z0-9]"",""""))"),"alc_ofhi")</f>
        <v>alc_ofhi</v>
      </c>
      <c r="BG246" s="275" t="str">
        <f>IFERROR(__xludf.DUMMYFUNCTION("upper(Regexreplace(to_text(E246),""[^A-Za-z0-9]"","""")&amp;""-""&amp;Regexreplace(to_text(F246),""[^A-Za-z0-9]"",""""))"),"ALC-OFHI")</f>
        <v>ALC-OFHI</v>
      </c>
    </row>
    <row r="247" ht="30.0" customHeight="1">
      <c r="A247" s="258">
        <v>240.0</v>
      </c>
      <c r="B247" s="256" t="s">
        <v>670</v>
      </c>
      <c r="C247" s="257" t="s">
        <v>1620</v>
      </c>
      <c r="D247" s="173" t="s">
        <v>1620</v>
      </c>
      <c r="E247" s="174" t="s">
        <v>1830</v>
      </c>
      <c r="F247" s="173" t="s">
        <v>510</v>
      </c>
      <c r="G247" s="258" t="s">
        <v>673</v>
      </c>
      <c r="H247" s="258" t="s">
        <v>674</v>
      </c>
      <c r="I247" s="258" t="s">
        <v>1614</v>
      </c>
      <c r="J247" s="259" t="s">
        <v>739</v>
      </c>
      <c r="K247" s="260" t="s">
        <v>803</v>
      </c>
      <c r="L247" s="258" t="s">
        <v>1931</v>
      </c>
      <c r="M247" s="265" t="s">
        <v>1936</v>
      </c>
      <c r="N247" s="173" t="s">
        <v>679</v>
      </c>
      <c r="O247" s="173" t="s">
        <v>225</v>
      </c>
      <c r="P247" s="262" t="str">
        <f t="shared" si="1"/>
        <v>IN-BLR-ANANTA-HLI-9_G</v>
      </c>
      <c r="Q247" s="173" t="s">
        <v>1937</v>
      </c>
      <c r="R247" s="258" t="str">
        <f>IFS(C247="","",C247="n/a","N/A",LEN(C247),Concatenate("{",char(34),"asset",char(34),":{",char(34),"guid",char(34),":",char(34),Q247,char(34),",",char(34),"site",char(34),":",char(34),LOWER('2-Building'!$B$4),char(34),",",char(34),"name",char(34),":",char(34),LOWER(C247),char(34),"}}"))</f>
        <v>{"asset":{"guid":"uuid://eb1828db-5fe0-4942-802b-2ac174d1a3b8","site":"in-blr-ananta","name":"hli-9"}}</v>
      </c>
      <c r="S247" s="258" t="s">
        <v>1834</v>
      </c>
      <c r="T247" s="263"/>
      <c r="U247" s="263"/>
      <c r="V247" s="264" t="s">
        <v>1835</v>
      </c>
      <c r="W247" s="258" t="s">
        <v>1836</v>
      </c>
      <c r="X247" s="258" t="s">
        <v>1837</v>
      </c>
      <c r="Y247" s="33" t="s">
        <v>1838</v>
      </c>
      <c r="Z247" s="258">
        <v>11020.0</v>
      </c>
      <c r="AA247" s="258">
        <v>11501.0</v>
      </c>
      <c r="AB247" s="258"/>
      <c r="AC247" s="258"/>
      <c r="AD247" s="265"/>
      <c r="AE247" s="266" t="s">
        <v>685</v>
      </c>
      <c r="AF247" s="267" t="s">
        <v>1938</v>
      </c>
      <c r="AG247" s="268" t="str">
        <f>IFS(LEN(AF247)=17,LOWER('2-Building'!$B$4 &amp; "-" &amp; C247), AF247="N/A", "N/A", LEN(AF247)=0,"")</f>
        <v>in-blr-ananta-hli-9</v>
      </c>
      <c r="AH247" s="258"/>
      <c r="AI247" s="258"/>
      <c r="AJ247" s="258"/>
      <c r="AK247" s="258" t="s">
        <v>1939</v>
      </c>
      <c r="AL247" s="258" t="s">
        <v>688</v>
      </c>
      <c r="AM247" s="258" t="s">
        <v>689</v>
      </c>
      <c r="AN247" s="258"/>
      <c r="AO247" s="258"/>
      <c r="AP247" s="258"/>
      <c r="AQ247" s="258"/>
      <c r="AR247" s="258" t="s">
        <v>690</v>
      </c>
      <c r="AS247" s="258" t="s">
        <v>691</v>
      </c>
      <c r="AT247" s="258" t="s">
        <v>1841</v>
      </c>
      <c r="AU247" s="265" t="s">
        <v>1842</v>
      </c>
      <c r="AV247" s="174" t="s">
        <v>225</v>
      </c>
      <c r="AW247" s="269" t="s">
        <v>245</v>
      </c>
      <c r="AX247" s="269" t="s">
        <v>694</v>
      </c>
      <c r="AY247" s="270" t="s">
        <v>1843</v>
      </c>
      <c r="AZ247" s="173" t="s">
        <v>1834</v>
      </c>
      <c r="BA247" s="265">
        <v>10.0</v>
      </c>
      <c r="BB247" s="174" t="s">
        <v>225</v>
      </c>
      <c r="BC247" s="271"/>
      <c r="BD247" s="272" t="s">
        <v>1844</v>
      </c>
      <c r="BE247" s="273"/>
      <c r="BF247" s="274" t="str">
        <f>IFERROR(__xludf.DUMMYFUNCTION("LOWER(Regexreplace(to_text(E247),""[^A-Za-z0-9]"","""")&amp;""_""&amp;Regexreplace(to_text(F247),""[^A-Za-z0-9]"",""""))"),"alc_ofhi")</f>
        <v>alc_ofhi</v>
      </c>
      <c r="BG247" s="275" t="str">
        <f>IFERROR(__xludf.DUMMYFUNCTION("upper(Regexreplace(to_text(E247),""[^A-Za-z0-9]"","""")&amp;""-""&amp;Regexreplace(to_text(F247),""[^A-Za-z0-9]"",""""))"),"ALC-OFHI")</f>
        <v>ALC-OFHI</v>
      </c>
    </row>
    <row r="248" ht="30.0" customHeight="1">
      <c r="A248" s="173">
        <v>241.0</v>
      </c>
      <c r="B248" s="256" t="s">
        <v>670</v>
      </c>
      <c r="C248" s="257" t="s">
        <v>1940</v>
      </c>
      <c r="D248" s="173" t="s">
        <v>1940</v>
      </c>
      <c r="E248" s="174" t="s">
        <v>1830</v>
      </c>
      <c r="F248" s="173" t="s">
        <v>510</v>
      </c>
      <c r="G248" s="258" t="s">
        <v>673</v>
      </c>
      <c r="H248" s="258" t="s">
        <v>674</v>
      </c>
      <c r="I248" s="258" t="s">
        <v>1614</v>
      </c>
      <c r="J248" s="259" t="s">
        <v>739</v>
      </c>
      <c r="K248" s="260" t="s">
        <v>803</v>
      </c>
      <c r="L248" s="258" t="s">
        <v>1941</v>
      </c>
      <c r="M248" s="265" t="s">
        <v>1942</v>
      </c>
      <c r="N248" s="173" t="s">
        <v>679</v>
      </c>
      <c r="O248" s="173" t="s">
        <v>225</v>
      </c>
      <c r="P248" s="262" t="str">
        <f t="shared" si="1"/>
        <v>IN-BLR-ANANTA-HLI-10_G</v>
      </c>
      <c r="Q248" s="173" t="s">
        <v>1943</v>
      </c>
      <c r="R248" s="258" t="str">
        <f>IFS(C248="","",C248="n/a","N/A",LEN(C248),Concatenate("{",char(34),"asset",char(34),":{",char(34),"guid",char(34),":",char(34),Q248,char(34),",",char(34),"site",char(34),":",char(34),LOWER('2-Building'!$B$4),char(34),",",char(34),"name",char(34),":",char(34),LOWER(C248),char(34),"}}"))</f>
        <v>{"asset":{"guid":"uuid://e60a22fc-fce1-4399-8ea4-3e1d5197e0d8","site":"in-blr-ananta","name":"hli-10"}}</v>
      </c>
      <c r="S248" s="258" t="s">
        <v>1834</v>
      </c>
      <c r="T248" s="263"/>
      <c r="U248" s="263"/>
      <c r="V248" s="264" t="s">
        <v>1835</v>
      </c>
      <c r="W248" s="258" t="s">
        <v>1836</v>
      </c>
      <c r="X248" s="258" t="s">
        <v>1837</v>
      </c>
      <c r="Y248" s="33" t="s">
        <v>1838</v>
      </c>
      <c r="Z248" s="258">
        <v>11021.0</v>
      </c>
      <c r="AA248" s="258">
        <v>11501.0</v>
      </c>
      <c r="AB248" s="258"/>
      <c r="AC248" s="258"/>
      <c r="AD248" s="265"/>
      <c r="AE248" s="266" t="s">
        <v>685</v>
      </c>
      <c r="AF248" s="267" t="s">
        <v>1944</v>
      </c>
      <c r="AG248" s="268" t="str">
        <f>IFS(LEN(AF248)=17,LOWER('2-Building'!$B$4 &amp; "-" &amp; C248), AF248="N/A", "N/A", LEN(AF248)=0,"")</f>
        <v>in-blr-ananta-hli-10</v>
      </c>
      <c r="AH248" s="258"/>
      <c r="AI248" s="258"/>
      <c r="AJ248" s="258"/>
      <c r="AK248" s="258" t="s">
        <v>1945</v>
      </c>
      <c r="AL248" s="258" t="s">
        <v>688</v>
      </c>
      <c r="AM248" s="258" t="s">
        <v>689</v>
      </c>
      <c r="AN248" s="258"/>
      <c r="AO248" s="258"/>
      <c r="AP248" s="258"/>
      <c r="AQ248" s="258"/>
      <c r="AR248" s="258" t="s">
        <v>690</v>
      </c>
      <c r="AS248" s="258" t="s">
        <v>691</v>
      </c>
      <c r="AT248" s="258" t="s">
        <v>1841</v>
      </c>
      <c r="AU248" s="265" t="s">
        <v>1842</v>
      </c>
      <c r="AV248" s="174" t="s">
        <v>225</v>
      </c>
      <c r="AW248" s="269" t="s">
        <v>245</v>
      </c>
      <c r="AX248" s="269" t="s">
        <v>694</v>
      </c>
      <c r="AY248" s="270" t="s">
        <v>1843</v>
      </c>
      <c r="AZ248" s="173" t="s">
        <v>1834</v>
      </c>
      <c r="BA248" s="265">
        <v>10.0</v>
      </c>
      <c r="BB248" s="174" t="s">
        <v>225</v>
      </c>
      <c r="BC248" s="271"/>
      <c r="BD248" s="272" t="s">
        <v>1844</v>
      </c>
      <c r="BE248" s="273"/>
      <c r="BF248" s="274" t="str">
        <f>IFERROR(__xludf.DUMMYFUNCTION("LOWER(Regexreplace(to_text(E248),""[^A-Za-z0-9]"","""")&amp;""_""&amp;Regexreplace(to_text(F248),""[^A-Za-z0-9]"",""""))"),"alc_ofhi")</f>
        <v>alc_ofhi</v>
      </c>
      <c r="BG248" s="275" t="str">
        <f>IFERROR(__xludf.DUMMYFUNCTION("upper(Regexreplace(to_text(E248),""[^A-Za-z0-9]"","""")&amp;""-""&amp;Regexreplace(to_text(F248),""[^A-Za-z0-9]"",""""))"),"ALC-OFHI")</f>
        <v>ALC-OFHI</v>
      </c>
    </row>
    <row r="249" ht="30.0" customHeight="1">
      <c r="A249" s="258">
        <v>242.0</v>
      </c>
      <c r="B249" s="256" t="s">
        <v>670</v>
      </c>
      <c r="C249" s="257" t="s">
        <v>1946</v>
      </c>
      <c r="D249" s="173" t="s">
        <v>1946</v>
      </c>
      <c r="E249" s="174" t="s">
        <v>1830</v>
      </c>
      <c r="F249" s="173" t="s">
        <v>507</v>
      </c>
      <c r="G249" s="258" t="s">
        <v>673</v>
      </c>
      <c r="H249" s="258" t="s">
        <v>674</v>
      </c>
      <c r="I249" s="258" t="s">
        <v>675</v>
      </c>
      <c r="J249" s="259" t="s">
        <v>739</v>
      </c>
      <c r="K249" s="260" t="s">
        <v>803</v>
      </c>
      <c r="L249" s="258" t="s">
        <v>1947</v>
      </c>
      <c r="M249" s="265" t="s">
        <v>1948</v>
      </c>
      <c r="N249" s="173" t="s">
        <v>679</v>
      </c>
      <c r="O249" s="173" t="s">
        <v>225</v>
      </c>
      <c r="P249" s="262" t="str">
        <f t="shared" si="1"/>
        <v>IN-BLR-ANANTA-DDC-11_G</v>
      </c>
      <c r="Q249" s="173" t="s">
        <v>1949</v>
      </c>
      <c r="R249" s="258" t="str">
        <f>IFS(C249="","",C249="n/a","N/A",LEN(C249),Concatenate("{",char(34),"asset",char(34),":{",char(34),"guid",char(34),":",char(34),Q249,char(34),",",char(34),"site",char(34),":",char(34),LOWER('2-Building'!$B$4),char(34),",",char(34),"name",char(34),":",char(34),LOWER(C249),char(34),"}}"))</f>
        <v>{"asset":{"guid":"uuid://aa49282d-e36b-4a81-84cf-e096c56caa6c","site":"in-blr-ananta","name":"ddc-11"}}</v>
      </c>
      <c r="S249" s="258" t="s">
        <v>1834</v>
      </c>
      <c r="T249" s="263"/>
      <c r="U249" s="263"/>
      <c r="V249" s="264" t="s">
        <v>1835</v>
      </c>
      <c r="W249" s="258" t="s">
        <v>1836</v>
      </c>
      <c r="X249" s="258" t="s">
        <v>1837</v>
      </c>
      <c r="Y249" s="33" t="s">
        <v>1838</v>
      </c>
      <c r="Z249" s="258">
        <v>11022.0</v>
      </c>
      <c r="AA249" s="258">
        <v>11501.0</v>
      </c>
      <c r="AB249" s="258"/>
      <c r="AC249" s="258"/>
      <c r="AD249" s="265"/>
      <c r="AE249" s="266" t="s">
        <v>685</v>
      </c>
      <c r="AF249" s="267" t="s">
        <v>1950</v>
      </c>
      <c r="AG249" s="268" t="str">
        <f>IFS(LEN(AF249)=17,LOWER('2-Building'!$B$4 &amp; "-" &amp; C249), AF249="N/A", "N/A", LEN(AF249)=0,"")</f>
        <v>in-blr-ananta-ddc-11</v>
      </c>
      <c r="AH249" s="258"/>
      <c r="AI249" s="258"/>
      <c r="AJ249" s="258"/>
      <c r="AK249" s="258" t="s">
        <v>1951</v>
      </c>
      <c r="AL249" s="258" t="s">
        <v>688</v>
      </c>
      <c r="AM249" s="258" t="s">
        <v>689</v>
      </c>
      <c r="AN249" s="258"/>
      <c r="AO249" s="258"/>
      <c r="AP249" s="258"/>
      <c r="AQ249" s="258"/>
      <c r="AR249" s="258" t="s">
        <v>690</v>
      </c>
      <c r="AS249" s="258" t="s">
        <v>691</v>
      </c>
      <c r="AT249" s="258" t="s">
        <v>1841</v>
      </c>
      <c r="AU249" s="265" t="s">
        <v>1842</v>
      </c>
      <c r="AV249" s="174" t="s">
        <v>225</v>
      </c>
      <c r="AW249" s="269" t="s">
        <v>245</v>
      </c>
      <c r="AX249" s="269" t="s">
        <v>694</v>
      </c>
      <c r="AY249" s="270" t="s">
        <v>1843</v>
      </c>
      <c r="AZ249" s="173" t="s">
        <v>1834</v>
      </c>
      <c r="BA249" s="265">
        <v>10.0</v>
      </c>
      <c r="BB249" s="174" t="s">
        <v>225</v>
      </c>
      <c r="BC249" s="271"/>
      <c r="BD249" s="272" t="s">
        <v>1844</v>
      </c>
      <c r="BE249" s="273"/>
      <c r="BF249" s="274" t="str">
        <f>IFERROR(__xludf.DUMMYFUNCTION("LOWER(Regexreplace(to_text(E249),""[^A-Za-z0-9]"","""")&amp;""_""&amp;Regexreplace(to_text(F249),""[^A-Za-z0-9]"",""""))"),"alc_g5ce")</f>
        <v>alc_g5ce</v>
      </c>
      <c r="BG249" s="275" t="str">
        <f>IFERROR(__xludf.DUMMYFUNCTION("upper(Regexreplace(to_text(E249),""[^A-Za-z0-9]"","""")&amp;""-""&amp;Regexreplace(to_text(F249),""[^A-Za-z0-9]"",""""))"),"ALC-G5CE")</f>
        <v>ALC-G5CE</v>
      </c>
    </row>
    <row r="250" ht="30.0" customHeight="1">
      <c r="A250" s="173">
        <v>243.0</v>
      </c>
      <c r="B250" s="256" t="s">
        <v>670</v>
      </c>
      <c r="C250" s="257" t="s">
        <v>1952</v>
      </c>
      <c r="D250" s="173" t="s">
        <v>1952</v>
      </c>
      <c r="E250" s="174" t="s">
        <v>1830</v>
      </c>
      <c r="F250" s="173" t="s">
        <v>510</v>
      </c>
      <c r="G250" s="258" t="s">
        <v>673</v>
      </c>
      <c r="H250" s="258" t="s">
        <v>674</v>
      </c>
      <c r="I250" s="258" t="s">
        <v>1614</v>
      </c>
      <c r="J250" s="259" t="s">
        <v>739</v>
      </c>
      <c r="K250" s="260" t="s">
        <v>803</v>
      </c>
      <c r="L250" s="258" t="s">
        <v>1947</v>
      </c>
      <c r="M250" s="265" t="s">
        <v>1953</v>
      </c>
      <c r="N250" s="173" t="s">
        <v>679</v>
      </c>
      <c r="O250" s="173" t="s">
        <v>225</v>
      </c>
      <c r="P250" s="262" t="str">
        <f t="shared" si="1"/>
        <v>IN-BLR-ANANTA-HLI-11_G</v>
      </c>
      <c r="Q250" s="173" t="s">
        <v>1954</v>
      </c>
      <c r="R250" s="258" t="str">
        <f>IFS(C250="","",C250="n/a","N/A",LEN(C250),Concatenate("{",char(34),"asset",char(34),":{",char(34),"guid",char(34),":",char(34),Q250,char(34),",",char(34),"site",char(34),":",char(34),LOWER('2-Building'!$B$4),char(34),",",char(34),"name",char(34),":",char(34),LOWER(C250),char(34),"}}"))</f>
        <v>{"asset":{"guid":"uuid://f1fca8dc-a63e-481d-bed2-446f204bf0ea","site":"in-blr-ananta","name":"hli-11"}}</v>
      </c>
      <c r="S250" s="258" t="s">
        <v>1834</v>
      </c>
      <c r="T250" s="263"/>
      <c r="U250" s="263"/>
      <c r="V250" s="264" t="s">
        <v>1835</v>
      </c>
      <c r="W250" s="258" t="s">
        <v>1836</v>
      </c>
      <c r="X250" s="258" t="s">
        <v>1837</v>
      </c>
      <c r="Y250" s="33" t="s">
        <v>1838</v>
      </c>
      <c r="Z250" s="258">
        <v>11023.0</v>
      </c>
      <c r="AA250" s="258">
        <v>11501.0</v>
      </c>
      <c r="AB250" s="258"/>
      <c r="AC250" s="258"/>
      <c r="AD250" s="265"/>
      <c r="AE250" s="266" t="s">
        <v>685</v>
      </c>
      <c r="AF250" s="267" t="s">
        <v>1955</v>
      </c>
      <c r="AG250" s="268" t="str">
        <f>IFS(LEN(AF250)=17,LOWER('2-Building'!$B$4 &amp; "-" &amp; C250), AF250="N/A", "N/A", LEN(AF250)=0,"")</f>
        <v>in-blr-ananta-hli-11</v>
      </c>
      <c r="AH250" s="258"/>
      <c r="AI250" s="258"/>
      <c r="AJ250" s="258"/>
      <c r="AK250" s="258" t="s">
        <v>1956</v>
      </c>
      <c r="AL250" s="258" t="s">
        <v>688</v>
      </c>
      <c r="AM250" s="258" t="s">
        <v>689</v>
      </c>
      <c r="AN250" s="258"/>
      <c r="AO250" s="258"/>
      <c r="AP250" s="258"/>
      <c r="AQ250" s="258"/>
      <c r="AR250" s="258" t="s">
        <v>690</v>
      </c>
      <c r="AS250" s="258" t="s">
        <v>691</v>
      </c>
      <c r="AT250" s="258" t="s">
        <v>1841</v>
      </c>
      <c r="AU250" s="265" t="s">
        <v>1842</v>
      </c>
      <c r="AV250" s="174" t="s">
        <v>225</v>
      </c>
      <c r="AW250" s="269" t="s">
        <v>245</v>
      </c>
      <c r="AX250" s="269" t="s">
        <v>694</v>
      </c>
      <c r="AY250" s="270" t="s">
        <v>1843</v>
      </c>
      <c r="AZ250" s="173" t="s">
        <v>1834</v>
      </c>
      <c r="BA250" s="265">
        <v>10.0</v>
      </c>
      <c r="BB250" s="174" t="s">
        <v>225</v>
      </c>
      <c r="BC250" s="271"/>
      <c r="BD250" s="272" t="s">
        <v>1844</v>
      </c>
      <c r="BE250" s="273"/>
      <c r="BF250" s="274" t="str">
        <f>IFERROR(__xludf.DUMMYFUNCTION("LOWER(Regexreplace(to_text(E250),""[^A-Za-z0-9]"","""")&amp;""_""&amp;Regexreplace(to_text(F250),""[^A-Za-z0-9]"",""""))"),"alc_ofhi")</f>
        <v>alc_ofhi</v>
      </c>
      <c r="BG250" s="275" t="str">
        <f>IFERROR(__xludf.DUMMYFUNCTION("upper(Regexreplace(to_text(E250),""[^A-Za-z0-9]"","""")&amp;""-""&amp;Regexreplace(to_text(F250),""[^A-Za-z0-9]"",""""))"),"ALC-OFHI")</f>
        <v>ALC-OFHI</v>
      </c>
    </row>
    <row r="251" ht="30.0" customHeight="1">
      <c r="A251" s="258">
        <v>244.0</v>
      </c>
      <c r="B251" s="256" t="s">
        <v>670</v>
      </c>
      <c r="C251" s="257" t="s">
        <v>851</v>
      </c>
      <c r="D251" s="173" t="s">
        <v>851</v>
      </c>
      <c r="E251" s="174" t="s">
        <v>1830</v>
      </c>
      <c r="F251" s="173" t="s">
        <v>507</v>
      </c>
      <c r="G251" s="258" t="s">
        <v>673</v>
      </c>
      <c r="H251" s="258" t="s">
        <v>674</v>
      </c>
      <c r="I251" s="258" t="s">
        <v>675</v>
      </c>
      <c r="J251" s="259" t="s">
        <v>846</v>
      </c>
      <c r="K251" s="260" t="s">
        <v>1660</v>
      </c>
      <c r="L251" s="258" t="s">
        <v>1957</v>
      </c>
      <c r="M251" s="265" t="s">
        <v>1958</v>
      </c>
      <c r="N251" s="173" t="s">
        <v>679</v>
      </c>
      <c r="O251" s="173" t="s">
        <v>225</v>
      </c>
      <c r="P251" s="262" t="str">
        <f t="shared" si="1"/>
        <v>IN-BLR-ANANTA-DDC-12_1</v>
      </c>
      <c r="Q251" s="173" t="s">
        <v>1959</v>
      </c>
      <c r="R251" s="258" t="str">
        <f>IFS(C251="","",C251="n/a","N/A",LEN(C251),Concatenate("{",char(34),"asset",char(34),":{",char(34),"guid",char(34),":",char(34),Q251,char(34),",",char(34),"site",char(34),":",char(34),LOWER('2-Building'!$B$4),char(34),",",char(34),"name",char(34),":",char(34),LOWER(C251),char(34),"}}"))</f>
        <v>{"asset":{"guid":"uuid://e6006b4e-bb5d-4d3c-856e-800ae48ad25e","site":"in-blr-ananta","name":"ddc-12"}}</v>
      </c>
      <c r="S251" s="258" t="s">
        <v>1834</v>
      </c>
      <c r="T251" s="263"/>
      <c r="U251" s="263"/>
      <c r="V251" s="264" t="s">
        <v>1835</v>
      </c>
      <c r="W251" s="258" t="s">
        <v>1836</v>
      </c>
      <c r="X251" s="258" t="s">
        <v>1837</v>
      </c>
      <c r="Y251" s="33" t="s">
        <v>1838</v>
      </c>
      <c r="Z251" s="258">
        <v>11024.0</v>
      </c>
      <c r="AA251" s="258">
        <v>11501.0</v>
      </c>
      <c r="AB251" s="258"/>
      <c r="AC251" s="258"/>
      <c r="AD251" s="265"/>
      <c r="AE251" s="266" t="s">
        <v>685</v>
      </c>
      <c r="AF251" s="267" t="s">
        <v>1960</v>
      </c>
      <c r="AG251" s="268" t="str">
        <f>IFS(LEN(AF251)=17,LOWER('2-Building'!$B$4 &amp; "-" &amp; C251), AF251="N/A", "N/A", LEN(AF251)=0,"")</f>
        <v>in-blr-ananta-ddc-12</v>
      </c>
      <c r="AH251" s="258"/>
      <c r="AI251" s="258"/>
      <c r="AJ251" s="258"/>
      <c r="AK251" s="258" t="s">
        <v>1961</v>
      </c>
      <c r="AL251" s="258" t="s">
        <v>688</v>
      </c>
      <c r="AM251" s="258" t="s">
        <v>689</v>
      </c>
      <c r="AN251" s="258"/>
      <c r="AO251" s="258"/>
      <c r="AP251" s="258"/>
      <c r="AQ251" s="258"/>
      <c r="AR251" s="258" t="s">
        <v>690</v>
      </c>
      <c r="AS251" s="258" t="s">
        <v>691</v>
      </c>
      <c r="AT251" s="258" t="s">
        <v>1841</v>
      </c>
      <c r="AU251" s="265" t="s">
        <v>1842</v>
      </c>
      <c r="AV251" s="174" t="s">
        <v>225</v>
      </c>
      <c r="AW251" s="269" t="s">
        <v>245</v>
      </c>
      <c r="AX251" s="269" t="s">
        <v>694</v>
      </c>
      <c r="AY251" s="270" t="s">
        <v>1843</v>
      </c>
      <c r="AZ251" s="173" t="s">
        <v>1834</v>
      </c>
      <c r="BA251" s="265">
        <v>10.0</v>
      </c>
      <c r="BB251" s="174" t="s">
        <v>225</v>
      </c>
      <c r="BC251" s="271"/>
      <c r="BD251" s="272" t="s">
        <v>1844</v>
      </c>
      <c r="BE251" s="273"/>
      <c r="BF251" s="274" t="str">
        <f>IFERROR(__xludf.DUMMYFUNCTION("LOWER(Regexreplace(to_text(E251),""[^A-Za-z0-9]"","""")&amp;""_""&amp;Regexreplace(to_text(F251),""[^A-Za-z0-9]"",""""))"),"alc_g5ce")</f>
        <v>alc_g5ce</v>
      </c>
      <c r="BG251" s="275" t="str">
        <f>IFERROR(__xludf.DUMMYFUNCTION("upper(Regexreplace(to_text(E251),""[^A-Za-z0-9]"","""")&amp;""-""&amp;Regexreplace(to_text(F251),""[^A-Za-z0-9]"",""""))"),"ALC-G5CE")</f>
        <v>ALC-G5CE</v>
      </c>
    </row>
    <row r="252" ht="30.0" customHeight="1">
      <c r="A252" s="173">
        <v>245.0</v>
      </c>
      <c r="B252" s="256" t="s">
        <v>670</v>
      </c>
      <c r="C252" s="257" t="s">
        <v>1962</v>
      </c>
      <c r="D252" s="173" t="s">
        <v>1962</v>
      </c>
      <c r="E252" s="174" t="s">
        <v>1830</v>
      </c>
      <c r="F252" s="173" t="s">
        <v>507</v>
      </c>
      <c r="G252" s="258" t="s">
        <v>673</v>
      </c>
      <c r="H252" s="258" t="s">
        <v>674</v>
      </c>
      <c r="I252" s="258" t="s">
        <v>1614</v>
      </c>
      <c r="J252" s="259" t="s">
        <v>846</v>
      </c>
      <c r="K252" s="260" t="s">
        <v>1660</v>
      </c>
      <c r="L252" s="258" t="s">
        <v>1957</v>
      </c>
      <c r="M252" s="265" t="s">
        <v>1963</v>
      </c>
      <c r="N252" s="173" t="s">
        <v>679</v>
      </c>
      <c r="O252" s="173" t="s">
        <v>225</v>
      </c>
      <c r="P252" s="262" t="str">
        <f t="shared" si="1"/>
        <v>IN-BLR-ANANTA-HLI-12_1</v>
      </c>
      <c r="Q252" s="173" t="s">
        <v>1964</v>
      </c>
      <c r="R252" s="258" t="str">
        <f>IFS(C252="","",C252="n/a","N/A",LEN(C252),Concatenate("{",char(34),"asset",char(34),":{",char(34),"guid",char(34),":",char(34),Q252,char(34),",",char(34),"site",char(34),":",char(34),LOWER('2-Building'!$B$4),char(34),",",char(34),"name",char(34),":",char(34),LOWER(C252),char(34),"}}"))</f>
        <v>{"asset":{"guid":"uuid://e2181e30-6c34-403a-af4e-95f4a48b705e","site":"in-blr-ananta","name":"hli-12"}}</v>
      </c>
      <c r="S252" s="258" t="s">
        <v>1834</v>
      </c>
      <c r="T252" s="263"/>
      <c r="U252" s="263"/>
      <c r="V252" s="264" t="s">
        <v>1835</v>
      </c>
      <c r="W252" s="258" t="s">
        <v>1836</v>
      </c>
      <c r="X252" s="258" t="s">
        <v>1837</v>
      </c>
      <c r="Y252" s="33" t="s">
        <v>1838</v>
      </c>
      <c r="Z252" s="258">
        <v>11025.0</v>
      </c>
      <c r="AA252" s="258">
        <v>11501.0</v>
      </c>
      <c r="AB252" s="258"/>
      <c r="AC252" s="258"/>
      <c r="AD252" s="265"/>
      <c r="AE252" s="266" t="s">
        <v>685</v>
      </c>
      <c r="AF252" s="267" t="s">
        <v>1965</v>
      </c>
      <c r="AG252" s="268" t="str">
        <f>IFS(LEN(AF252)=17,LOWER('2-Building'!$B$4 &amp; "-" &amp; C252), AF252="N/A", "N/A", LEN(AF252)=0,"")</f>
        <v>in-blr-ananta-hli-12</v>
      </c>
      <c r="AH252" s="258"/>
      <c r="AI252" s="258"/>
      <c r="AJ252" s="258"/>
      <c r="AK252" s="258" t="s">
        <v>1966</v>
      </c>
      <c r="AL252" s="258" t="s">
        <v>688</v>
      </c>
      <c r="AM252" s="258" t="s">
        <v>689</v>
      </c>
      <c r="AN252" s="258"/>
      <c r="AO252" s="258"/>
      <c r="AP252" s="258"/>
      <c r="AQ252" s="258"/>
      <c r="AR252" s="258" t="s">
        <v>690</v>
      </c>
      <c r="AS252" s="258" t="s">
        <v>691</v>
      </c>
      <c r="AT252" s="258" t="s">
        <v>1841</v>
      </c>
      <c r="AU252" s="265" t="s">
        <v>1842</v>
      </c>
      <c r="AV252" s="174" t="s">
        <v>225</v>
      </c>
      <c r="AW252" s="269" t="s">
        <v>245</v>
      </c>
      <c r="AX252" s="269" t="s">
        <v>694</v>
      </c>
      <c r="AY252" s="270" t="s">
        <v>1843</v>
      </c>
      <c r="AZ252" s="173" t="s">
        <v>1834</v>
      </c>
      <c r="BA252" s="265">
        <v>10.0</v>
      </c>
      <c r="BB252" s="174" t="s">
        <v>225</v>
      </c>
      <c r="BC252" s="271"/>
      <c r="BD252" s="272" t="s">
        <v>1844</v>
      </c>
      <c r="BE252" s="273"/>
      <c r="BF252" s="274" t="str">
        <f>IFERROR(__xludf.DUMMYFUNCTION("LOWER(Regexreplace(to_text(E252),""[^A-Za-z0-9]"","""")&amp;""_""&amp;Regexreplace(to_text(F252),""[^A-Za-z0-9]"",""""))"),"alc_g5ce")</f>
        <v>alc_g5ce</v>
      </c>
      <c r="BG252" s="275" t="str">
        <f>IFERROR(__xludf.DUMMYFUNCTION("upper(Regexreplace(to_text(E252),""[^A-Za-z0-9]"","""")&amp;""-""&amp;Regexreplace(to_text(F252),""[^A-Za-z0-9]"",""""))"),"ALC-G5CE")</f>
        <v>ALC-G5CE</v>
      </c>
    </row>
    <row r="253" ht="30.0" customHeight="1">
      <c r="A253" s="258">
        <v>246.0</v>
      </c>
      <c r="B253" s="256" t="s">
        <v>670</v>
      </c>
      <c r="C253" s="257" t="s">
        <v>872</v>
      </c>
      <c r="D253" s="173" t="s">
        <v>872</v>
      </c>
      <c r="E253" s="174" t="s">
        <v>1830</v>
      </c>
      <c r="F253" s="173" t="s">
        <v>507</v>
      </c>
      <c r="G253" s="258" t="s">
        <v>673</v>
      </c>
      <c r="H253" s="258" t="s">
        <v>674</v>
      </c>
      <c r="I253" s="258" t="s">
        <v>675</v>
      </c>
      <c r="J253" s="259" t="s">
        <v>846</v>
      </c>
      <c r="K253" s="260" t="s">
        <v>867</v>
      </c>
      <c r="L253" s="258" t="s">
        <v>1967</v>
      </c>
      <c r="M253" s="265" t="s">
        <v>1968</v>
      </c>
      <c r="N253" s="173" t="s">
        <v>679</v>
      </c>
      <c r="O253" s="173" t="s">
        <v>225</v>
      </c>
      <c r="P253" s="262" t="str">
        <f t="shared" si="1"/>
        <v>IN-BLR-ANANTA-DDC-13_1</v>
      </c>
      <c r="Q253" s="173" t="s">
        <v>1969</v>
      </c>
      <c r="R253" s="258" t="str">
        <f>IFS(C253="","",C253="n/a","N/A",LEN(C253),Concatenate("{",char(34),"asset",char(34),":{",char(34),"guid",char(34),":",char(34),Q253,char(34),",",char(34),"site",char(34),":",char(34),LOWER('2-Building'!$B$4),char(34),",",char(34),"name",char(34),":",char(34),LOWER(C253),char(34),"}}"))</f>
        <v>{"asset":{"guid":"uuid://ee9666b4-a40e-4555-afff-44a07ebb1b75","site":"in-blr-ananta","name":"ddc-13"}}</v>
      </c>
      <c r="S253" s="258" t="s">
        <v>1834</v>
      </c>
      <c r="T253" s="263"/>
      <c r="U253" s="263"/>
      <c r="V253" s="264" t="s">
        <v>1835</v>
      </c>
      <c r="W253" s="258" t="s">
        <v>1836</v>
      </c>
      <c r="X253" s="258" t="s">
        <v>1837</v>
      </c>
      <c r="Y253" s="33" t="s">
        <v>1838</v>
      </c>
      <c r="Z253" s="258">
        <v>11026.0</v>
      </c>
      <c r="AA253" s="258">
        <v>11501.0</v>
      </c>
      <c r="AB253" s="258"/>
      <c r="AC253" s="258"/>
      <c r="AD253" s="265"/>
      <c r="AE253" s="266" t="s">
        <v>685</v>
      </c>
      <c r="AF253" s="267" t="s">
        <v>1970</v>
      </c>
      <c r="AG253" s="268" t="str">
        <f>IFS(LEN(AF253)=17,LOWER('2-Building'!$B$4 &amp; "-" &amp; C253), AF253="N/A", "N/A", LEN(AF253)=0,"")</f>
        <v>in-blr-ananta-ddc-13</v>
      </c>
      <c r="AH253" s="258"/>
      <c r="AI253" s="258"/>
      <c r="AJ253" s="258"/>
      <c r="AK253" s="258" t="s">
        <v>1971</v>
      </c>
      <c r="AL253" s="258" t="s">
        <v>688</v>
      </c>
      <c r="AM253" s="258" t="s">
        <v>689</v>
      </c>
      <c r="AN253" s="258"/>
      <c r="AO253" s="258"/>
      <c r="AP253" s="258"/>
      <c r="AQ253" s="258"/>
      <c r="AR253" s="258" t="s">
        <v>690</v>
      </c>
      <c r="AS253" s="258" t="s">
        <v>691</v>
      </c>
      <c r="AT253" s="258" t="s">
        <v>1841</v>
      </c>
      <c r="AU253" s="265" t="s">
        <v>1842</v>
      </c>
      <c r="AV253" s="174" t="s">
        <v>225</v>
      </c>
      <c r="AW253" s="269" t="s">
        <v>245</v>
      </c>
      <c r="AX253" s="269" t="s">
        <v>694</v>
      </c>
      <c r="AY253" s="270" t="s">
        <v>1843</v>
      </c>
      <c r="AZ253" s="173" t="s">
        <v>1834</v>
      </c>
      <c r="BA253" s="265">
        <v>10.0</v>
      </c>
      <c r="BB253" s="174" t="s">
        <v>225</v>
      </c>
      <c r="BC253" s="271"/>
      <c r="BD253" s="272" t="s">
        <v>1844</v>
      </c>
      <c r="BE253" s="273"/>
      <c r="BF253" s="274" t="str">
        <f>IFERROR(__xludf.DUMMYFUNCTION("LOWER(Regexreplace(to_text(E253),""[^A-Za-z0-9]"","""")&amp;""_""&amp;Regexreplace(to_text(F253),""[^A-Za-z0-9]"",""""))"),"alc_g5ce")</f>
        <v>alc_g5ce</v>
      </c>
      <c r="BG253" s="275" t="str">
        <f>IFERROR(__xludf.DUMMYFUNCTION("upper(Regexreplace(to_text(E253),""[^A-Za-z0-9]"","""")&amp;""-""&amp;Regexreplace(to_text(F253),""[^A-Za-z0-9]"",""""))"),"ALC-G5CE")</f>
        <v>ALC-G5CE</v>
      </c>
    </row>
    <row r="254" ht="30.0" customHeight="1">
      <c r="A254" s="173">
        <v>247.0</v>
      </c>
      <c r="B254" s="256" t="s">
        <v>670</v>
      </c>
      <c r="C254" s="257" t="s">
        <v>1972</v>
      </c>
      <c r="D254" s="173" t="s">
        <v>1972</v>
      </c>
      <c r="E254" s="174" t="s">
        <v>1830</v>
      </c>
      <c r="F254" s="173" t="s">
        <v>510</v>
      </c>
      <c r="G254" s="258" t="s">
        <v>673</v>
      </c>
      <c r="H254" s="258" t="s">
        <v>674</v>
      </c>
      <c r="I254" s="258" t="s">
        <v>1614</v>
      </c>
      <c r="J254" s="259" t="s">
        <v>846</v>
      </c>
      <c r="K254" s="260" t="s">
        <v>867</v>
      </c>
      <c r="L254" s="258" t="s">
        <v>1967</v>
      </c>
      <c r="M254" s="265" t="s">
        <v>1973</v>
      </c>
      <c r="N254" s="173" t="s">
        <v>679</v>
      </c>
      <c r="O254" s="173" t="s">
        <v>225</v>
      </c>
      <c r="P254" s="262" t="str">
        <f t="shared" si="1"/>
        <v>IN-BLR-ANANTA-HLI-13_1</v>
      </c>
      <c r="Q254" s="173" t="s">
        <v>1974</v>
      </c>
      <c r="R254" s="258" t="str">
        <f>IFS(C254="","",C254="n/a","N/A",LEN(C254),Concatenate("{",char(34),"asset",char(34),":{",char(34),"guid",char(34),":",char(34),Q254,char(34),",",char(34),"site",char(34),":",char(34),LOWER('2-Building'!$B$4),char(34),",",char(34),"name",char(34),":",char(34),LOWER(C254),char(34),"}}"))</f>
        <v>{"asset":{"guid":"uuid://1ff37f04-8dd0-4489-a389-5e00e2081a2f","site":"in-blr-ananta","name":"hli-13"}}</v>
      </c>
      <c r="S254" s="258" t="s">
        <v>1834</v>
      </c>
      <c r="T254" s="263"/>
      <c r="U254" s="263"/>
      <c r="V254" s="264" t="s">
        <v>1835</v>
      </c>
      <c r="W254" s="258" t="s">
        <v>1836</v>
      </c>
      <c r="X254" s="258" t="s">
        <v>1837</v>
      </c>
      <c r="Y254" s="33" t="s">
        <v>1838</v>
      </c>
      <c r="Z254" s="258">
        <v>11027.0</v>
      </c>
      <c r="AA254" s="258">
        <v>11501.0</v>
      </c>
      <c r="AB254" s="258"/>
      <c r="AC254" s="258"/>
      <c r="AD254" s="265"/>
      <c r="AE254" s="266" t="s">
        <v>685</v>
      </c>
      <c r="AF254" s="267" t="s">
        <v>1975</v>
      </c>
      <c r="AG254" s="268" t="str">
        <f>IFS(LEN(AF254)=17,LOWER('2-Building'!$B$4 &amp; "-" &amp; C254), AF254="N/A", "N/A", LEN(AF254)=0,"")</f>
        <v>in-blr-ananta-hli-13</v>
      </c>
      <c r="AH254" s="258"/>
      <c r="AI254" s="258"/>
      <c r="AJ254" s="258"/>
      <c r="AK254" s="258" t="s">
        <v>1976</v>
      </c>
      <c r="AL254" s="258" t="s">
        <v>688</v>
      </c>
      <c r="AM254" s="258" t="s">
        <v>689</v>
      </c>
      <c r="AN254" s="258"/>
      <c r="AO254" s="258"/>
      <c r="AP254" s="258"/>
      <c r="AQ254" s="258"/>
      <c r="AR254" s="258" t="s">
        <v>690</v>
      </c>
      <c r="AS254" s="258" t="s">
        <v>691</v>
      </c>
      <c r="AT254" s="258" t="s">
        <v>1841</v>
      </c>
      <c r="AU254" s="265" t="s">
        <v>1842</v>
      </c>
      <c r="AV254" s="174" t="s">
        <v>225</v>
      </c>
      <c r="AW254" s="269" t="s">
        <v>245</v>
      </c>
      <c r="AX254" s="269" t="s">
        <v>694</v>
      </c>
      <c r="AY254" s="270" t="s">
        <v>1843</v>
      </c>
      <c r="AZ254" s="173" t="s">
        <v>1834</v>
      </c>
      <c r="BA254" s="265">
        <v>10.0</v>
      </c>
      <c r="BB254" s="174" t="s">
        <v>225</v>
      </c>
      <c r="BC254" s="271"/>
      <c r="BD254" s="272" t="s">
        <v>1844</v>
      </c>
      <c r="BE254" s="273"/>
      <c r="BF254" s="274" t="str">
        <f>IFERROR(__xludf.DUMMYFUNCTION("LOWER(Regexreplace(to_text(E254),""[^A-Za-z0-9]"","""")&amp;""_""&amp;Regexreplace(to_text(F254),""[^A-Za-z0-9]"",""""))"),"alc_ofhi")</f>
        <v>alc_ofhi</v>
      </c>
      <c r="BG254" s="275" t="str">
        <f>IFERROR(__xludf.DUMMYFUNCTION("upper(Regexreplace(to_text(E254),""[^A-Za-z0-9]"","""")&amp;""-""&amp;Regexreplace(to_text(F254),""[^A-Za-z0-9]"",""""))"),"ALC-OFHI")</f>
        <v>ALC-OFHI</v>
      </c>
    </row>
    <row r="255" ht="30.0" customHeight="1">
      <c r="A255" s="258">
        <v>248.0</v>
      </c>
      <c r="B255" s="256" t="s">
        <v>670</v>
      </c>
      <c r="C255" s="257" t="s">
        <v>883</v>
      </c>
      <c r="D255" s="173" t="s">
        <v>883</v>
      </c>
      <c r="E255" s="174" t="s">
        <v>1830</v>
      </c>
      <c r="F255" s="173" t="s">
        <v>507</v>
      </c>
      <c r="G255" s="258" t="s">
        <v>673</v>
      </c>
      <c r="H255" s="258" t="s">
        <v>674</v>
      </c>
      <c r="I255" s="258" t="s">
        <v>675</v>
      </c>
      <c r="J255" s="259" t="s">
        <v>846</v>
      </c>
      <c r="K255" s="260" t="s">
        <v>878</v>
      </c>
      <c r="L255" s="258" t="s">
        <v>1977</v>
      </c>
      <c r="M255" s="265" t="s">
        <v>1978</v>
      </c>
      <c r="N255" s="173" t="s">
        <v>679</v>
      </c>
      <c r="O255" s="173" t="s">
        <v>225</v>
      </c>
      <c r="P255" s="262" t="str">
        <f t="shared" si="1"/>
        <v>IN-BLR-ANANTA-DDC-14_1</v>
      </c>
      <c r="Q255" s="173" t="s">
        <v>1979</v>
      </c>
      <c r="R255" s="258" t="str">
        <f>IFS(C255="","",C255="n/a","N/A",LEN(C255),Concatenate("{",char(34),"asset",char(34),":{",char(34),"guid",char(34),":",char(34),Q255,char(34),",",char(34),"site",char(34),":",char(34),LOWER('2-Building'!$B$4),char(34),",",char(34),"name",char(34),":",char(34),LOWER(C255),char(34),"}}"))</f>
        <v>{"asset":{"guid":"uuid://1fa8f639-38a3-4909-b783-0bbc06195db0","site":"in-blr-ananta","name":"ddc-14"}}</v>
      </c>
      <c r="S255" s="258" t="s">
        <v>1834</v>
      </c>
      <c r="T255" s="263"/>
      <c r="U255" s="263"/>
      <c r="V255" s="264" t="s">
        <v>1835</v>
      </c>
      <c r="W255" s="258" t="s">
        <v>1836</v>
      </c>
      <c r="X255" s="258" t="s">
        <v>1837</v>
      </c>
      <c r="Y255" s="33" t="s">
        <v>1838</v>
      </c>
      <c r="Z255" s="258">
        <v>11028.0</v>
      </c>
      <c r="AA255" s="258">
        <v>11501.0</v>
      </c>
      <c r="AB255" s="258"/>
      <c r="AC255" s="258"/>
      <c r="AD255" s="265"/>
      <c r="AE255" s="266" t="s">
        <v>685</v>
      </c>
      <c r="AF255" s="267" t="s">
        <v>1980</v>
      </c>
      <c r="AG255" s="268" t="str">
        <f>IFS(LEN(AF255)=17,LOWER('2-Building'!$B$4 &amp; "-" &amp; C255), AF255="N/A", "N/A", LEN(AF255)=0,"")</f>
        <v>in-blr-ananta-ddc-14</v>
      </c>
      <c r="AH255" s="258"/>
      <c r="AI255" s="258"/>
      <c r="AJ255" s="258"/>
      <c r="AK255" s="258" t="s">
        <v>1981</v>
      </c>
      <c r="AL255" s="258" t="s">
        <v>688</v>
      </c>
      <c r="AM255" s="258" t="s">
        <v>689</v>
      </c>
      <c r="AN255" s="258"/>
      <c r="AO255" s="258"/>
      <c r="AP255" s="258"/>
      <c r="AQ255" s="258"/>
      <c r="AR255" s="258" t="s">
        <v>690</v>
      </c>
      <c r="AS255" s="258" t="s">
        <v>691</v>
      </c>
      <c r="AT255" s="258" t="s">
        <v>1841</v>
      </c>
      <c r="AU255" s="265" t="s">
        <v>1842</v>
      </c>
      <c r="AV255" s="174" t="s">
        <v>225</v>
      </c>
      <c r="AW255" s="269" t="s">
        <v>245</v>
      </c>
      <c r="AX255" s="269" t="s">
        <v>694</v>
      </c>
      <c r="AY255" s="270" t="s">
        <v>1843</v>
      </c>
      <c r="AZ255" s="173" t="s">
        <v>1834</v>
      </c>
      <c r="BA255" s="265">
        <v>10.0</v>
      </c>
      <c r="BB255" s="174" t="s">
        <v>225</v>
      </c>
      <c r="BC255" s="271"/>
      <c r="BD255" s="272" t="s">
        <v>1844</v>
      </c>
      <c r="BE255" s="273"/>
      <c r="BF255" s="274" t="str">
        <f>IFERROR(__xludf.DUMMYFUNCTION("LOWER(Regexreplace(to_text(E255),""[^A-Za-z0-9]"","""")&amp;""_""&amp;Regexreplace(to_text(F255),""[^A-Za-z0-9]"",""""))"),"alc_g5ce")</f>
        <v>alc_g5ce</v>
      </c>
      <c r="BG255" s="275" t="str">
        <f>IFERROR(__xludf.DUMMYFUNCTION("upper(Regexreplace(to_text(E255),""[^A-Za-z0-9]"","""")&amp;""-""&amp;Regexreplace(to_text(F255),""[^A-Za-z0-9]"",""""))"),"ALC-G5CE")</f>
        <v>ALC-G5CE</v>
      </c>
    </row>
    <row r="256" ht="30.0" customHeight="1">
      <c r="A256" s="173">
        <v>249.0</v>
      </c>
      <c r="B256" s="256" t="s">
        <v>670</v>
      </c>
      <c r="C256" s="257" t="s">
        <v>1982</v>
      </c>
      <c r="D256" s="173" t="s">
        <v>1982</v>
      </c>
      <c r="E256" s="174" t="s">
        <v>1830</v>
      </c>
      <c r="F256" s="173" t="s">
        <v>507</v>
      </c>
      <c r="G256" s="258" t="s">
        <v>673</v>
      </c>
      <c r="H256" s="258" t="s">
        <v>674</v>
      </c>
      <c r="I256" s="258" t="s">
        <v>1614</v>
      </c>
      <c r="J256" s="259" t="s">
        <v>846</v>
      </c>
      <c r="K256" s="260" t="s">
        <v>878</v>
      </c>
      <c r="L256" s="258" t="s">
        <v>1977</v>
      </c>
      <c r="M256" s="265" t="s">
        <v>1983</v>
      </c>
      <c r="N256" s="173" t="s">
        <v>679</v>
      </c>
      <c r="O256" s="173" t="s">
        <v>225</v>
      </c>
      <c r="P256" s="262" t="str">
        <f t="shared" si="1"/>
        <v>IN-BLR-ANANTA-HLI-14_1</v>
      </c>
      <c r="Q256" s="173" t="s">
        <v>1984</v>
      </c>
      <c r="R256" s="258" t="str">
        <f>IFS(C256="","",C256="n/a","N/A",LEN(C256),Concatenate("{",char(34),"asset",char(34),":{",char(34),"guid",char(34),":",char(34),Q256,char(34),",",char(34),"site",char(34),":",char(34),LOWER('2-Building'!$B$4),char(34),",",char(34),"name",char(34),":",char(34),LOWER(C256),char(34),"}}"))</f>
        <v>{"asset":{"guid":"uuid://9e6f1139-7905-40ef-922a-58a991e7671e","site":"in-blr-ananta","name":"hli-14"}}</v>
      </c>
      <c r="S256" s="258" t="s">
        <v>1834</v>
      </c>
      <c r="T256" s="263"/>
      <c r="U256" s="263"/>
      <c r="V256" s="264" t="s">
        <v>1835</v>
      </c>
      <c r="W256" s="258" t="s">
        <v>1836</v>
      </c>
      <c r="X256" s="258" t="s">
        <v>1837</v>
      </c>
      <c r="Y256" s="33" t="s">
        <v>1838</v>
      </c>
      <c r="Z256" s="258">
        <v>11029.0</v>
      </c>
      <c r="AA256" s="258">
        <v>11501.0</v>
      </c>
      <c r="AB256" s="258"/>
      <c r="AC256" s="258"/>
      <c r="AD256" s="265"/>
      <c r="AE256" s="266" t="s">
        <v>685</v>
      </c>
      <c r="AF256" s="267" t="s">
        <v>1985</v>
      </c>
      <c r="AG256" s="268" t="str">
        <f>IFS(LEN(AF256)=17,LOWER('2-Building'!$B$4 &amp; "-" &amp; C256), AF256="N/A", "N/A", LEN(AF256)=0,"")</f>
        <v>in-blr-ananta-hli-14</v>
      </c>
      <c r="AH256" s="258"/>
      <c r="AI256" s="258"/>
      <c r="AJ256" s="258"/>
      <c r="AK256" s="258" t="s">
        <v>1986</v>
      </c>
      <c r="AL256" s="258" t="s">
        <v>688</v>
      </c>
      <c r="AM256" s="258" t="s">
        <v>689</v>
      </c>
      <c r="AN256" s="258"/>
      <c r="AO256" s="258"/>
      <c r="AP256" s="258"/>
      <c r="AQ256" s="258"/>
      <c r="AR256" s="258" t="s">
        <v>690</v>
      </c>
      <c r="AS256" s="258" t="s">
        <v>691</v>
      </c>
      <c r="AT256" s="258" t="s">
        <v>1841</v>
      </c>
      <c r="AU256" s="265" t="s">
        <v>1842</v>
      </c>
      <c r="AV256" s="174" t="s">
        <v>225</v>
      </c>
      <c r="AW256" s="269" t="s">
        <v>245</v>
      </c>
      <c r="AX256" s="269" t="s">
        <v>694</v>
      </c>
      <c r="AY256" s="270" t="s">
        <v>1843</v>
      </c>
      <c r="AZ256" s="173" t="s">
        <v>1834</v>
      </c>
      <c r="BA256" s="265">
        <v>10.0</v>
      </c>
      <c r="BB256" s="174" t="s">
        <v>225</v>
      </c>
      <c r="BC256" s="271"/>
      <c r="BD256" s="272" t="s">
        <v>1844</v>
      </c>
      <c r="BE256" s="273"/>
      <c r="BF256" s="274" t="str">
        <f>IFERROR(__xludf.DUMMYFUNCTION("LOWER(Regexreplace(to_text(E256),""[^A-Za-z0-9]"","""")&amp;""_""&amp;Regexreplace(to_text(F256),""[^A-Za-z0-9]"",""""))"),"alc_g5ce")</f>
        <v>alc_g5ce</v>
      </c>
      <c r="BG256" s="275" t="str">
        <f>IFERROR(__xludf.DUMMYFUNCTION("upper(Regexreplace(to_text(E256),""[^A-Za-z0-9]"","""")&amp;""-""&amp;Regexreplace(to_text(F256),""[^A-Za-z0-9]"",""""))"),"ALC-G5CE")</f>
        <v>ALC-G5CE</v>
      </c>
    </row>
    <row r="257" ht="30.0" customHeight="1">
      <c r="A257" s="258">
        <v>250.0</v>
      </c>
      <c r="B257" s="256" t="s">
        <v>670</v>
      </c>
      <c r="C257" s="257" t="s">
        <v>861</v>
      </c>
      <c r="D257" s="173" t="s">
        <v>861</v>
      </c>
      <c r="E257" s="174" t="s">
        <v>1830</v>
      </c>
      <c r="F257" s="173" t="s">
        <v>507</v>
      </c>
      <c r="G257" s="258" t="s">
        <v>673</v>
      </c>
      <c r="H257" s="258" t="s">
        <v>674</v>
      </c>
      <c r="I257" s="258" t="s">
        <v>675</v>
      </c>
      <c r="J257" s="259" t="s">
        <v>846</v>
      </c>
      <c r="K257" s="260" t="s">
        <v>1660</v>
      </c>
      <c r="L257" s="258" t="s">
        <v>1987</v>
      </c>
      <c r="M257" s="265" t="s">
        <v>1988</v>
      </c>
      <c r="N257" s="173" t="s">
        <v>679</v>
      </c>
      <c r="O257" s="173" t="s">
        <v>225</v>
      </c>
      <c r="P257" s="262" t="str">
        <f t="shared" si="1"/>
        <v>IN-BLR-ANANTA-DDC-15_1</v>
      </c>
      <c r="Q257" s="173" t="s">
        <v>1989</v>
      </c>
      <c r="R257" s="258" t="str">
        <f>IFS(C257="","",C257="n/a","N/A",LEN(C257),Concatenate("{",char(34),"asset",char(34),":{",char(34),"guid",char(34),":",char(34),Q257,char(34),",",char(34),"site",char(34),":",char(34),LOWER('2-Building'!$B$4),char(34),",",char(34),"name",char(34),":",char(34),LOWER(C257),char(34),"}}"))</f>
        <v>{"asset":{"guid":"uuid://cc96e61b-1305-4586-8e5c-59a3e4820e72","site":"in-blr-ananta","name":"ddc-15"}}</v>
      </c>
      <c r="S257" s="258" t="s">
        <v>1834</v>
      </c>
      <c r="T257" s="263"/>
      <c r="U257" s="263"/>
      <c r="V257" s="264" t="s">
        <v>1835</v>
      </c>
      <c r="W257" s="258" t="s">
        <v>1836</v>
      </c>
      <c r="X257" s="258" t="s">
        <v>1837</v>
      </c>
      <c r="Y257" s="33" t="s">
        <v>1838</v>
      </c>
      <c r="Z257" s="258">
        <v>11030.0</v>
      </c>
      <c r="AA257" s="258">
        <v>11501.0</v>
      </c>
      <c r="AB257" s="258"/>
      <c r="AC257" s="258"/>
      <c r="AD257" s="265"/>
      <c r="AE257" s="266" t="s">
        <v>685</v>
      </c>
      <c r="AF257" s="267" t="s">
        <v>1990</v>
      </c>
      <c r="AG257" s="268" t="str">
        <f>IFS(LEN(AF257)=17,LOWER('2-Building'!$B$4 &amp; "-" &amp; C257), AF257="N/A", "N/A", LEN(AF257)=0,"")</f>
        <v>in-blr-ananta-ddc-15</v>
      </c>
      <c r="AH257" s="258"/>
      <c r="AI257" s="258"/>
      <c r="AJ257" s="258"/>
      <c r="AK257" s="258" t="s">
        <v>1991</v>
      </c>
      <c r="AL257" s="258" t="s">
        <v>688</v>
      </c>
      <c r="AM257" s="258" t="s">
        <v>689</v>
      </c>
      <c r="AN257" s="258"/>
      <c r="AO257" s="258"/>
      <c r="AP257" s="258"/>
      <c r="AQ257" s="258"/>
      <c r="AR257" s="258" t="s">
        <v>690</v>
      </c>
      <c r="AS257" s="258" t="s">
        <v>691</v>
      </c>
      <c r="AT257" s="258" t="s">
        <v>1841</v>
      </c>
      <c r="AU257" s="265" t="s">
        <v>1842</v>
      </c>
      <c r="AV257" s="174" t="s">
        <v>225</v>
      </c>
      <c r="AW257" s="269" t="s">
        <v>245</v>
      </c>
      <c r="AX257" s="269" t="s">
        <v>694</v>
      </c>
      <c r="AY257" s="270" t="s">
        <v>1843</v>
      </c>
      <c r="AZ257" s="173" t="s">
        <v>1834</v>
      </c>
      <c r="BA257" s="265">
        <v>10.0</v>
      </c>
      <c r="BB257" s="174" t="s">
        <v>225</v>
      </c>
      <c r="BC257" s="271"/>
      <c r="BD257" s="272" t="s">
        <v>1844</v>
      </c>
      <c r="BE257" s="273"/>
      <c r="BF257" s="274" t="str">
        <f>IFERROR(__xludf.DUMMYFUNCTION("LOWER(Regexreplace(to_text(E257),""[^A-Za-z0-9]"","""")&amp;""_""&amp;Regexreplace(to_text(F257),""[^A-Za-z0-9]"",""""))"),"alc_g5ce")</f>
        <v>alc_g5ce</v>
      </c>
      <c r="BG257" s="275" t="str">
        <f>IFERROR(__xludf.DUMMYFUNCTION("upper(Regexreplace(to_text(E257),""[^A-Za-z0-9]"","""")&amp;""-""&amp;Regexreplace(to_text(F257),""[^A-Za-z0-9]"",""""))"),"ALC-G5CE")</f>
        <v>ALC-G5CE</v>
      </c>
    </row>
    <row r="258" ht="30.0" customHeight="1">
      <c r="A258" s="173">
        <v>251.0</v>
      </c>
      <c r="B258" s="256" t="s">
        <v>670</v>
      </c>
      <c r="C258" s="257" t="s">
        <v>1992</v>
      </c>
      <c r="D258" s="173" t="s">
        <v>1992</v>
      </c>
      <c r="E258" s="174" t="s">
        <v>1830</v>
      </c>
      <c r="F258" s="173" t="s">
        <v>507</v>
      </c>
      <c r="G258" s="258" t="s">
        <v>673</v>
      </c>
      <c r="H258" s="258" t="s">
        <v>674</v>
      </c>
      <c r="I258" s="258" t="s">
        <v>1614</v>
      </c>
      <c r="J258" s="259" t="s">
        <v>846</v>
      </c>
      <c r="K258" s="260" t="s">
        <v>1660</v>
      </c>
      <c r="L258" s="258" t="s">
        <v>1987</v>
      </c>
      <c r="M258" s="265" t="s">
        <v>1993</v>
      </c>
      <c r="N258" s="173" t="s">
        <v>679</v>
      </c>
      <c r="O258" s="173" t="s">
        <v>225</v>
      </c>
      <c r="P258" s="262" t="str">
        <f t="shared" si="1"/>
        <v>IN-BLR-ANANTA-HLI-15_1</v>
      </c>
      <c r="Q258" s="173" t="s">
        <v>1994</v>
      </c>
      <c r="R258" s="258" t="str">
        <f>IFS(C258="","",C258="n/a","N/A",LEN(C258),Concatenate("{",char(34),"asset",char(34),":{",char(34),"guid",char(34),":",char(34),Q258,char(34),",",char(34),"site",char(34),":",char(34),LOWER('2-Building'!$B$4),char(34),",",char(34),"name",char(34),":",char(34),LOWER(C258),char(34),"}}"))</f>
        <v>{"asset":{"guid":"uuid://923d8cba-5723-429e-9e55-44e6a3193bd5","site":"in-blr-ananta","name":"hli-15"}}</v>
      </c>
      <c r="S258" s="258" t="s">
        <v>1834</v>
      </c>
      <c r="T258" s="263"/>
      <c r="U258" s="263"/>
      <c r="V258" s="264" t="s">
        <v>1835</v>
      </c>
      <c r="W258" s="258" t="s">
        <v>1836</v>
      </c>
      <c r="X258" s="258" t="s">
        <v>1837</v>
      </c>
      <c r="Y258" s="33" t="s">
        <v>1838</v>
      </c>
      <c r="Z258" s="258">
        <v>11031.0</v>
      </c>
      <c r="AA258" s="258">
        <v>11501.0</v>
      </c>
      <c r="AB258" s="258"/>
      <c r="AC258" s="258"/>
      <c r="AD258" s="265"/>
      <c r="AE258" s="266" t="s">
        <v>685</v>
      </c>
      <c r="AF258" s="267" t="s">
        <v>1995</v>
      </c>
      <c r="AG258" s="268" t="str">
        <f>IFS(LEN(AF258)=17,LOWER('2-Building'!$B$4 &amp; "-" &amp; C258), AF258="N/A", "N/A", LEN(AF258)=0,"")</f>
        <v>in-blr-ananta-hli-15</v>
      </c>
      <c r="AH258" s="258"/>
      <c r="AI258" s="258"/>
      <c r="AJ258" s="258"/>
      <c r="AK258" s="258" t="s">
        <v>1996</v>
      </c>
      <c r="AL258" s="258" t="s">
        <v>688</v>
      </c>
      <c r="AM258" s="258" t="s">
        <v>689</v>
      </c>
      <c r="AN258" s="258"/>
      <c r="AO258" s="258"/>
      <c r="AP258" s="258"/>
      <c r="AQ258" s="258"/>
      <c r="AR258" s="258" t="s">
        <v>690</v>
      </c>
      <c r="AS258" s="258" t="s">
        <v>691</v>
      </c>
      <c r="AT258" s="258" t="s">
        <v>1841</v>
      </c>
      <c r="AU258" s="265" t="s">
        <v>1842</v>
      </c>
      <c r="AV258" s="174" t="s">
        <v>225</v>
      </c>
      <c r="AW258" s="269" t="s">
        <v>245</v>
      </c>
      <c r="AX258" s="269" t="s">
        <v>694</v>
      </c>
      <c r="AY258" s="270" t="s">
        <v>1843</v>
      </c>
      <c r="AZ258" s="173" t="s">
        <v>1834</v>
      </c>
      <c r="BA258" s="265">
        <v>10.0</v>
      </c>
      <c r="BB258" s="174" t="s">
        <v>225</v>
      </c>
      <c r="BC258" s="271"/>
      <c r="BD258" s="272" t="s">
        <v>1844</v>
      </c>
      <c r="BE258" s="273"/>
      <c r="BF258" s="274" t="str">
        <f>IFERROR(__xludf.DUMMYFUNCTION("LOWER(Regexreplace(to_text(E258),""[^A-Za-z0-9]"","""")&amp;""_""&amp;Regexreplace(to_text(F258),""[^A-Za-z0-9]"",""""))"),"alc_g5ce")</f>
        <v>alc_g5ce</v>
      </c>
      <c r="BG258" s="275" t="str">
        <f>IFERROR(__xludf.DUMMYFUNCTION("upper(Regexreplace(to_text(E258),""[^A-Za-z0-9]"","""")&amp;""-""&amp;Regexreplace(to_text(F258),""[^A-Za-z0-9]"",""""))"),"ALC-G5CE")</f>
        <v>ALC-G5CE</v>
      </c>
    </row>
    <row r="259" ht="30.0" customHeight="1">
      <c r="A259" s="258">
        <v>252.0</v>
      </c>
      <c r="B259" s="256" t="s">
        <v>670</v>
      </c>
      <c r="C259" s="257" t="s">
        <v>1997</v>
      </c>
      <c r="D259" s="173" t="s">
        <v>1997</v>
      </c>
      <c r="E259" s="174" t="s">
        <v>1830</v>
      </c>
      <c r="F259" s="173" t="s">
        <v>507</v>
      </c>
      <c r="G259" s="258" t="s">
        <v>673</v>
      </c>
      <c r="H259" s="258" t="s">
        <v>674</v>
      </c>
      <c r="I259" s="258" t="s">
        <v>675</v>
      </c>
      <c r="J259" s="259" t="s">
        <v>846</v>
      </c>
      <c r="K259" s="260" t="s">
        <v>896</v>
      </c>
      <c r="L259" s="258" t="s">
        <v>1998</v>
      </c>
      <c r="M259" s="265" t="s">
        <v>1999</v>
      </c>
      <c r="N259" s="173" t="s">
        <v>679</v>
      </c>
      <c r="O259" s="173" t="s">
        <v>225</v>
      </c>
      <c r="P259" s="262" t="str">
        <f t="shared" si="1"/>
        <v>IN-BLR-ANANTA-DDC-16_1</v>
      </c>
      <c r="Q259" s="173" t="s">
        <v>2000</v>
      </c>
      <c r="R259" s="258" t="str">
        <f>IFS(C259="","",C259="n/a","N/A",LEN(C259),Concatenate("{",char(34),"asset",char(34),":{",char(34),"guid",char(34),":",char(34),Q259,char(34),",",char(34),"site",char(34),":",char(34),LOWER('2-Building'!$B$4),char(34),",",char(34),"name",char(34),":",char(34),LOWER(C259),char(34),"}}"))</f>
        <v>{"asset":{"guid":"uuid://8e421482-9312-484e-874a-f1ecac97019d","site":"in-blr-ananta","name":"ddc-16"}}</v>
      </c>
      <c r="S259" s="258" t="s">
        <v>1834</v>
      </c>
      <c r="T259" s="263"/>
      <c r="U259" s="263"/>
      <c r="V259" s="264" t="s">
        <v>1835</v>
      </c>
      <c r="W259" s="258" t="s">
        <v>1836</v>
      </c>
      <c r="X259" s="258" t="s">
        <v>1837</v>
      </c>
      <c r="Y259" s="33" t="s">
        <v>1838</v>
      </c>
      <c r="Z259" s="258">
        <v>11032.0</v>
      </c>
      <c r="AA259" s="258">
        <v>11501.0</v>
      </c>
      <c r="AB259" s="258"/>
      <c r="AC259" s="258"/>
      <c r="AD259" s="265"/>
      <c r="AE259" s="266" t="s">
        <v>685</v>
      </c>
      <c r="AF259" s="267" t="s">
        <v>2001</v>
      </c>
      <c r="AG259" s="268" t="str">
        <f>IFS(LEN(AF259)=17,LOWER('2-Building'!$B$4 &amp; "-" &amp; C259), AF259="N/A", "N/A", LEN(AF259)=0,"")</f>
        <v>in-blr-ananta-ddc-16</v>
      </c>
      <c r="AH259" s="258"/>
      <c r="AI259" s="258"/>
      <c r="AJ259" s="258"/>
      <c r="AK259" s="258" t="s">
        <v>2002</v>
      </c>
      <c r="AL259" s="258" t="s">
        <v>688</v>
      </c>
      <c r="AM259" s="258" t="s">
        <v>689</v>
      </c>
      <c r="AN259" s="258"/>
      <c r="AO259" s="258"/>
      <c r="AP259" s="258"/>
      <c r="AQ259" s="258"/>
      <c r="AR259" s="258" t="s">
        <v>690</v>
      </c>
      <c r="AS259" s="258" t="s">
        <v>691</v>
      </c>
      <c r="AT259" s="258" t="s">
        <v>1841</v>
      </c>
      <c r="AU259" s="265" t="s">
        <v>1842</v>
      </c>
      <c r="AV259" s="174" t="s">
        <v>225</v>
      </c>
      <c r="AW259" s="269" t="s">
        <v>245</v>
      </c>
      <c r="AX259" s="269" t="s">
        <v>694</v>
      </c>
      <c r="AY259" s="270" t="s">
        <v>1843</v>
      </c>
      <c r="AZ259" s="173" t="s">
        <v>1834</v>
      </c>
      <c r="BA259" s="265">
        <v>10.0</v>
      </c>
      <c r="BB259" s="174" t="s">
        <v>225</v>
      </c>
      <c r="BC259" s="271"/>
      <c r="BD259" s="272" t="s">
        <v>1844</v>
      </c>
      <c r="BE259" s="273"/>
      <c r="BF259" s="274" t="str">
        <f>IFERROR(__xludf.DUMMYFUNCTION("LOWER(Regexreplace(to_text(E259),""[^A-Za-z0-9]"","""")&amp;""_""&amp;Regexreplace(to_text(F259),""[^A-Za-z0-9]"",""""))"),"alc_g5ce")</f>
        <v>alc_g5ce</v>
      </c>
      <c r="BG259" s="275" t="str">
        <f>IFERROR(__xludf.DUMMYFUNCTION("upper(Regexreplace(to_text(E259),""[^A-Za-z0-9]"","""")&amp;""-""&amp;Regexreplace(to_text(F259),""[^A-Za-z0-9]"",""""))"),"ALC-G5CE")</f>
        <v>ALC-G5CE</v>
      </c>
    </row>
    <row r="260" ht="30.0" customHeight="1">
      <c r="A260" s="173">
        <v>253.0</v>
      </c>
      <c r="B260" s="256" t="s">
        <v>670</v>
      </c>
      <c r="C260" s="257" t="s">
        <v>2003</v>
      </c>
      <c r="D260" s="173" t="s">
        <v>2003</v>
      </c>
      <c r="E260" s="174" t="s">
        <v>1830</v>
      </c>
      <c r="F260" s="173" t="s">
        <v>507</v>
      </c>
      <c r="G260" s="258" t="s">
        <v>673</v>
      </c>
      <c r="H260" s="258" t="s">
        <v>674</v>
      </c>
      <c r="I260" s="258" t="s">
        <v>1614</v>
      </c>
      <c r="J260" s="259" t="s">
        <v>846</v>
      </c>
      <c r="K260" s="260" t="s">
        <v>896</v>
      </c>
      <c r="L260" s="258" t="s">
        <v>1998</v>
      </c>
      <c r="M260" s="265" t="s">
        <v>2004</v>
      </c>
      <c r="N260" s="173" t="s">
        <v>679</v>
      </c>
      <c r="O260" s="173" t="s">
        <v>225</v>
      </c>
      <c r="P260" s="262" t="str">
        <f t="shared" si="1"/>
        <v>IN-BLR-ANANTA-HLI-16_1</v>
      </c>
      <c r="Q260" s="173" t="s">
        <v>2005</v>
      </c>
      <c r="R260" s="258" t="str">
        <f>IFS(C260="","",C260="n/a","N/A",LEN(C260),Concatenate("{",char(34),"asset",char(34),":{",char(34),"guid",char(34),":",char(34),Q260,char(34),",",char(34),"site",char(34),":",char(34),LOWER('2-Building'!$B$4),char(34),",",char(34),"name",char(34),":",char(34),LOWER(C260),char(34),"}}"))</f>
        <v>{"asset":{"guid":"uuid://90524b35-fb52-4c89-b09d-701072d83075","site":"in-blr-ananta","name":"hli-16"}}</v>
      </c>
      <c r="S260" s="258" t="s">
        <v>1834</v>
      </c>
      <c r="T260" s="263"/>
      <c r="U260" s="263"/>
      <c r="V260" s="264" t="s">
        <v>1835</v>
      </c>
      <c r="W260" s="258" t="s">
        <v>1836</v>
      </c>
      <c r="X260" s="258" t="s">
        <v>1837</v>
      </c>
      <c r="Y260" s="33" t="s">
        <v>1838</v>
      </c>
      <c r="Z260" s="258">
        <v>11033.0</v>
      </c>
      <c r="AA260" s="258">
        <v>11501.0</v>
      </c>
      <c r="AB260" s="258"/>
      <c r="AC260" s="258"/>
      <c r="AD260" s="265"/>
      <c r="AE260" s="266" t="s">
        <v>685</v>
      </c>
      <c r="AF260" s="267" t="s">
        <v>2006</v>
      </c>
      <c r="AG260" s="268" t="str">
        <f>IFS(LEN(AF260)=17,LOWER('2-Building'!$B$4 &amp; "-" &amp; C260), AF260="N/A", "N/A", LEN(AF260)=0,"")</f>
        <v>in-blr-ananta-hli-16</v>
      </c>
      <c r="AH260" s="258"/>
      <c r="AI260" s="258"/>
      <c r="AJ260" s="258"/>
      <c r="AK260" s="258" t="s">
        <v>2007</v>
      </c>
      <c r="AL260" s="258" t="s">
        <v>688</v>
      </c>
      <c r="AM260" s="258" t="s">
        <v>689</v>
      </c>
      <c r="AN260" s="258"/>
      <c r="AO260" s="258"/>
      <c r="AP260" s="258"/>
      <c r="AQ260" s="258"/>
      <c r="AR260" s="258" t="s">
        <v>690</v>
      </c>
      <c r="AS260" s="258" t="s">
        <v>691</v>
      </c>
      <c r="AT260" s="258" t="s">
        <v>1841</v>
      </c>
      <c r="AU260" s="265" t="s">
        <v>1842</v>
      </c>
      <c r="AV260" s="174" t="s">
        <v>225</v>
      </c>
      <c r="AW260" s="269" t="s">
        <v>245</v>
      </c>
      <c r="AX260" s="269" t="s">
        <v>694</v>
      </c>
      <c r="AY260" s="270" t="s">
        <v>1843</v>
      </c>
      <c r="AZ260" s="173" t="s">
        <v>1834</v>
      </c>
      <c r="BA260" s="265">
        <v>10.0</v>
      </c>
      <c r="BB260" s="174" t="s">
        <v>225</v>
      </c>
      <c r="BC260" s="271"/>
      <c r="BD260" s="272" t="s">
        <v>1844</v>
      </c>
      <c r="BE260" s="273"/>
      <c r="BF260" s="274" t="str">
        <f>IFERROR(__xludf.DUMMYFUNCTION("LOWER(Regexreplace(to_text(E260),""[^A-Za-z0-9]"","""")&amp;""_""&amp;Regexreplace(to_text(F260),""[^A-Za-z0-9]"",""""))"),"alc_g5ce")</f>
        <v>alc_g5ce</v>
      </c>
      <c r="BG260" s="275" t="str">
        <f>IFERROR(__xludf.DUMMYFUNCTION("upper(Regexreplace(to_text(E260),""[^A-Za-z0-9]"","""")&amp;""-""&amp;Regexreplace(to_text(F260),""[^A-Za-z0-9]"",""""))"),"ALC-G5CE")</f>
        <v>ALC-G5CE</v>
      </c>
    </row>
    <row r="261" ht="30.0" customHeight="1">
      <c r="A261" s="258">
        <v>254.0</v>
      </c>
      <c r="B261" s="256" t="s">
        <v>670</v>
      </c>
      <c r="C261" s="257" t="s">
        <v>894</v>
      </c>
      <c r="D261" s="173" t="s">
        <v>894</v>
      </c>
      <c r="E261" s="174" t="s">
        <v>1830</v>
      </c>
      <c r="F261" s="173" t="s">
        <v>507</v>
      </c>
      <c r="G261" s="258" t="s">
        <v>673</v>
      </c>
      <c r="H261" s="258" t="s">
        <v>674</v>
      </c>
      <c r="I261" s="258" t="s">
        <v>675</v>
      </c>
      <c r="J261" s="259" t="s">
        <v>846</v>
      </c>
      <c r="K261" s="260" t="s">
        <v>889</v>
      </c>
      <c r="L261" s="258" t="s">
        <v>2008</v>
      </c>
      <c r="M261" s="265" t="s">
        <v>2009</v>
      </c>
      <c r="N261" s="173" t="s">
        <v>679</v>
      </c>
      <c r="O261" s="173" t="s">
        <v>225</v>
      </c>
      <c r="P261" s="262" t="str">
        <f t="shared" si="1"/>
        <v>IN-BLR-ANANTA-DDC-17_1</v>
      </c>
      <c r="Q261" s="173" t="s">
        <v>2010</v>
      </c>
      <c r="R261" s="258" t="str">
        <f>IFS(C261="","",C261="n/a","N/A",LEN(C261),Concatenate("{",char(34),"asset",char(34),":{",char(34),"guid",char(34),":",char(34),Q261,char(34),",",char(34),"site",char(34),":",char(34),LOWER('2-Building'!$B$4),char(34),",",char(34),"name",char(34),":",char(34),LOWER(C261),char(34),"}}"))</f>
        <v>{"asset":{"guid":"uuid://9f6b0878-9f2a-4799-89c1-7694758f55de","site":"in-blr-ananta","name":"ddc-17"}}</v>
      </c>
      <c r="S261" s="258" t="s">
        <v>1834</v>
      </c>
      <c r="T261" s="263"/>
      <c r="U261" s="263"/>
      <c r="V261" s="264" t="s">
        <v>1835</v>
      </c>
      <c r="W261" s="258" t="s">
        <v>1836</v>
      </c>
      <c r="X261" s="258" t="s">
        <v>1837</v>
      </c>
      <c r="Y261" s="33" t="s">
        <v>1838</v>
      </c>
      <c r="Z261" s="258">
        <v>11034.0</v>
      </c>
      <c r="AA261" s="258">
        <v>11501.0</v>
      </c>
      <c r="AB261" s="258"/>
      <c r="AC261" s="258"/>
      <c r="AD261" s="265"/>
      <c r="AE261" s="266" t="s">
        <v>685</v>
      </c>
      <c r="AF261" s="267" t="s">
        <v>2011</v>
      </c>
      <c r="AG261" s="268" t="str">
        <f>IFS(LEN(AF261)=17,LOWER('2-Building'!$B$4 &amp; "-" &amp; C261), AF261="N/A", "N/A", LEN(AF261)=0,"")</f>
        <v>in-blr-ananta-ddc-17</v>
      </c>
      <c r="AH261" s="258"/>
      <c r="AI261" s="258"/>
      <c r="AJ261" s="258"/>
      <c r="AK261" s="258" t="s">
        <v>2012</v>
      </c>
      <c r="AL261" s="258" t="s">
        <v>688</v>
      </c>
      <c r="AM261" s="258" t="s">
        <v>689</v>
      </c>
      <c r="AN261" s="258"/>
      <c r="AO261" s="258"/>
      <c r="AP261" s="258"/>
      <c r="AQ261" s="258"/>
      <c r="AR261" s="258" t="s">
        <v>690</v>
      </c>
      <c r="AS261" s="258" t="s">
        <v>691</v>
      </c>
      <c r="AT261" s="258" t="s">
        <v>1841</v>
      </c>
      <c r="AU261" s="265" t="s">
        <v>1842</v>
      </c>
      <c r="AV261" s="174" t="s">
        <v>225</v>
      </c>
      <c r="AW261" s="269" t="s">
        <v>245</v>
      </c>
      <c r="AX261" s="269" t="s">
        <v>694</v>
      </c>
      <c r="AY261" s="270" t="s">
        <v>1843</v>
      </c>
      <c r="AZ261" s="173" t="s">
        <v>1834</v>
      </c>
      <c r="BA261" s="265">
        <v>10.0</v>
      </c>
      <c r="BB261" s="174" t="s">
        <v>225</v>
      </c>
      <c r="BC261" s="271"/>
      <c r="BD261" s="272" t="s">
        <v>1844</v>
      </c>
      <c r="BE261" s="273"/>
      <c r="BF261" s="274" t="str">
        <f>IFERROR(__xludf.DUMMYFUNCTION("LOWER(Regexreplace(to_text(E261),""[^A-Za-z0-9]"","""")&amp;""_""&amp;Regexreplace(to_text(F261),""[^A-Za-z0-9]"",""""))"),"alc_g5ce")</f>
        <v>alc_g5ce</v>
      </c>
      <c r="BG261" s="275" t="str">
        <f>IFERROR(__xludf.DUMMYFUNCTION("upper(Regexreplace(to_text(E261),""[^A-Za-z0-9]"","""")&amp;""-""&amp;Regexreplace(to_text(F261),""[^A-Za-z0-9]"",""""))"),"ALC-G5CE")</f>
        <v>ALC-G5CE</v>
      </c>
    </row>
    <row r="262" ht="30.0" customHeight="1">
      <c r="A262" s="173">
        <v>255.0</v>
      </c>
      <c r="B262" s="256" t="s">
        <v>670</v>
      </c>
      <c r="C262" s="257" t="s">
        <v>2013</v>
      </c>
      <c r="D262" s="173" t="s">
        <v>2013</v>
      </c>
      <c r="E262" s="174" t="s">
        <v>1830</v>
      </c>
      <c r="F262" s="173" t="s">
        <v>507</v>
      </c>
      <c r="G262" s="258" t="s">
        <v>673</v>
      </c>
      <c r="H262" s="258" t="s">
        <v>674</v>
      </c>
      <c r="I262" s="258" t="s">
        <v>1614</v>
      </c>
      <c r="J262" s="259" t="s">
        <v>846</v>
      </c>
      <c r="K262" s="260" t="s">
        <v>889</v>
      </c>
      <c r="L262" s="258" t="s">
        <v>2008</v>
      </c>
      <c r="M262" s="265" t="s">
        <v>2014</v>
      </c>
      <c r="N262" s="173" t="s">
        <v>679</v>
      </c>
      <c r="O262" s="173" t="s">
        <v>225</v>
      </c>
      <c r="P262" s="262" t="str">
        <f t="shared" si="1"/>
        <v>IN-BLR-ANANTA-HLI-17_1</v>
      </c>
      <c r="Q262" s="173" t="s">
        <v>2015</v>
      </c>
      <c r="R262" s="258" t="str">
        <f>IFS(C262="","",C262="n/a","N/A",LEN(C262),Concatenate("{",char(34),"asset",char(34),":{",char(34),"guid",char(34),":",char(34),Q262,char(34),",",char(34),"site",char(34),":",char(34),LOWER('2-Building'!$B$4),char(34),",",char(34),"name",char(34),":",char(34),LOWER(C262),char(34),"}}"))</f>
        <v>{"asset":{"guid":"uuid://8b21b21e-f1a5-441e-a21a-0beab4b52da8","site":"in-blr-ananta","name":"hli-17"}}</v>
      </c>
      <c r="S262" s="258" t="s">
        <v>1834</v>
      </c>
      <c r="T262" s="263"/>
      <c r="U262" s="263"/>
      <c r="V262" s="264" t="s">
        <v>1835</v>
      </c>
      <c r="W262" s="258" t="s">
        <v>1836</v>
      </c>
      <c r="X262" s="258" t="s">
        <v>1837</v>
      </c>
      <c r="Y262" s="33" t="s">
        <v>1838</v>
      </c>
      <c r="Z262" s="258">
        <v>11035.0</v>
      </c>
      <c r="AA262" s="258">
        <v>11501.0</v>
      </c>
      <c r="AB262" s="258"/>
      <c r="AC262" s="258"/>
      <c r="AD262" s="265"/>
      <c r="AE262" s="266" t="s">
        <v>685</v>
      </c>
      <c r="AF262" s="267" t="s">
        <v>2016</v>
      </c>
      <c r="AG262" s="268" t="str">
        <f>IFS(LEN(AF262)=17,LOWER('2-Building'!$B$4 &amp; "-" &amp; C262), AF262="N/A", "N/A", LEN(AF262)=0,"")</f>
        <v>in-blr-ananta-hli-17</v>
      </c>
      <c r="AH262" s="258"/>
      <c r="AI262" s="258"/>
      <c r="AJ262" s="258"/>
      <c r="AK262" s="258" t="s">
        <v>2017</v>
      </c>
      <c r="AL262" s="258" t="s">
        <v>688</v>
      </c>
      <c r="AM262" s="258" t="s">
        <v>689</v>
      </c>
      <c r="AN262" s="258"/>
      <c r="AO262" s="258"/>
      <c r="AP262" s="258"/>
      <c r="AQ262" s="258"/>
      <c r="AR262" s="258" t="s">
        <v>690</v>
      </c>
      <c r="AS262" s="258" t="s">
        <v>691</v>
      </c>
      <c r="AT262" s="258" t="s">
        <v>1841</v>
      </c>
      <c r="AU262" s="265" t="s">
        <v>1842</v>
      </c>
      <c r="AV262" s="174" t="s">
        <v>225</v>
      </c>
      <c r="AW262" s="269" t="s">
        <v>245</v>
      </c>
      <c r="AX262" s="269" t="s">
        <v>694</v>
      </c>
      <c r="AY262" s="270" t="s">
        <v>1843</v>
      </c>
      <c r="AZ262" s="173" t="s">
        <v>1834</v>
      </c>
      <c r="BA262" s="265">
        <v>10.0</v>
      </c>
      <c r="BB262" s="174" t="s">
        <v>225</v>
      </c>
      <c r="BC262" s="271"/>
      <c r="BD262" s="272" t="s">
        <v>1844</v>
      </c>
      <c r="BE262" s="273"/>
      <c r="BF262" s="274" t="str">
        <f>IFERROR(__xludf.DUMMYFUNCTION("LOWER(Regexreplace(to_text(E262),""[^A-Za-z0-9]"","""")&amp;""_""&amp;Regexreplace(to_text(F262),""[^A-Za-z0-9]"",""""))"),"alc_g5ce")</f>
        <v>alc_g5ce</v>
      </c>
      <c r="BG262" s="275" t="str">
        <f>IFERROR(__xludf.DUMMYFUNCTION("upper(Regexreplace(to_text(E262),""[^A-Za-z0-9]"","""")&amp;""-""&amp;Regexreplace(to_text(F262),""[^A-Za-z0-9]"",""""))"),"ALC-G5CE")</f>
        <v>ALC-G5CE</v>
      </c>
    </row>
    <row r="263" ht="30.0" customHeight="1">
      <c r="A263" s="258">
        <v>256.0</v>
      </c>
      <c r="B263" s="256" t="s">
        <v>670</v>
      </c>
      <c r="C263" s="257" t="s">
        <v>907</v>
      </c>
      <c r="D263" s="173" t="s">
        <v>907</v>
      </c>
      <c r="E263" s="174" t="s">
        <v>1830</v>
      </c>
      <c r="F263" s="173" t="s">
        <v>507</v>
      </c>
      <c r="G263" s="258" t="s">
        <v>673</v>
      </c>
      <c r="H263" s="258" t="s">
        <v>674</v>
      </c>
      <c r="I263" s="258" t="s">
        <v>675</v>
      </c>
      <c r="J263" s="259" t="s">
        <v>902</v>
      </c>
      <c r="K263" s="260">
        <v>263.0</v>
      </c>
      <c r="L263" s="258" t="s">
        <v>2018</v>
      </c>
      <c r="M263" s="265" t="s">
        <v>2019</v>
      </c>
      <c r="N263" s="173" t="s">
        <v>679</v>
      </c>
      <c r="O263" s="173" t="s">
        <v>225</v>
      </c>
      <c r="P263" s="262" t="str">
        <f t="shared" si="1"/>
        <v>IN-BLR-ANANTA-DDC-18_2</v>
      </c>
      <c r="Q263" s="173" t="s">
        <v>2020</v>
      </c>
      <c r="R263" s="258" t="str">
        <f>IFS(C263="","",C263="n/a","N/A",LEN(C263),Concatenate("{",char(34),"asset",char(34),":{",char(34),"guid",char(34),":",char(34),Q263,char(34),",",char(34),"site",char(34),":",char(34),LOWER('2-Building'!$B$4),char(34),",",char(34),"name",char(34),":",char(34),LOWER(C263),char(34),"}}"))</f>
        <v>{"asset":{"guid":"uuid://ab66c648-683f-4572-a63f-9605da96056e","site":"in-blr-ananta","name":"ddc-18"}}</v>
      </c>
      <c r="S263" s="258" t="s">
        <v>1834</v>
      </c>
      <c r="T263" s="263"/>
      <c r="U263" s="263"/>
      <c r="V263" s="264" t="s">
        <v>1835</v>
      </c>
      <c r="W263" s="258" t="s">
        <v>1836</v>
      </c>
      <c r="X263" s="258" t="s">
        <v>1837</v>
      </c>
      <c r="Y263" s="33" t="s">
        <v>1838</v>
      </c>
      <c r="Z263" s="258">
        <v>11036.0</v>
      </c>
      <c r="AA263" s="258">
        <v>11501.0</v>
      </c>
      <c r="AB263" s="258"/>
      <c r="AC263" s="258"/>
      <c r="AD263" s="265"/>
      <c r="AE263" s="266" t="s">
        <v>685</v>
      </c>
      <c r="AF263" s="267" t="s">
        <v>2021</v>
      </c>
      <c r="AG263" s="268" t="str">
        <f>IFS(LEN(AF263)=17,LOWER('2-Building'!$B$4 &amp; "-" &amp; C263), AF263="N/A", "N/A", LEN(AF263)=0,"")</f>
        <v>in-blr-ananta-ddc-18</v>
      </c>
      <c r="AH263" s="258"/>
      <c r="AI263" s="258"/>
      <c r="AJ263" s="258"/>
      <c r="AK263" s="258" t="s">
        <v>2022</v>
      </c>
      <c r="AL263" s="258" t="s">
        <v>688</v>
      </c>
      <c r="AM263" s="258" t="s">
        <v>689</v>
      </c>
      <c r="AN263" s="258"/>
      <c r="AO263" s="258"/>
      <c r="AP263" s="258"/>
      <c r="AQ263" s="258"/>
      <c r="AR263" s="258" t="s">
        <v>690</v>
      </c>
      <c r="AS263" s="258" t="s">
        <v>691</v>
      </c>
      <c r="AT263" s="258" t="s">
        <v>1841</v>
      </c>
      <c r="AU263" s="265" t="s">
        <v>1842</v>
      </c>
      <c r="AV263" s="174" t="s">
        <v>225</v>
      </c>
      <c r="AW263" s="269" t="s">
        <v>245</v>
      </c>
      <c r="AX263" s="269" t="s">
        <v>694</v>
      </c>
      <c r="AY263" s="270" t="s">
        <v>1843</v>
      </c>
      <c r="AZ263" s="173" t="s">
        <v>1834</v>
      </c>
      <c r="BA263" s="265">
        <v>10.0</v>
      </c>
      <c r="BB263" s="174" t="s">
        <v>225</v>
      </c>
      <c r="BC263" s="271"/>
      <c r="BD263" s="272" t="s">
        <v>1844</v>
      </c>
      <c r="BE263" s="273"/>
      <c r="BF263" s="274" t="str">
        <f>IFERROR(__xludf.DUMMYFUNCTION("LOWER(Regexreplace(to_text(E263),""[^A-Za-z0-9]"","""")&amp;""_""&amp;Regexreplace(to_text(F263),""[^A-Za-z0-9]"",""""))"),"alc_g5ce")</f>
        <v>alc_g5ce</v>
      </c>
      <c r="BG263" s="275" t="str">
        <f>IFERROR(__xludf.DUMMYFUNCTION("upper(Regexreplace(to_text(E263),""[^A-Za-z0-9]"","""")&amp;""-""&amp;Regexreplace(to_text(F263),""[^A-Za-z0-9]"",""""))"),"ALC-G5CE")</f>
        <v>ALC-G5CE</v>
      </c>
    </row>
    <row r="264" ht="30.0" customHeight="1">
      <c r="A264" s="173">
        <v>257.0</v>
      </c>
      <c r="B264" s="256" t="s">
        <v>670</v>
      </c>
      <c r="C264" s="257" t="s">
        <v>2023</v>
      </c>
      <c r="D264" s="173" t="s">
        <v>2023</v>
      </c>
      <c r="E264" s="174" t="s">
        <v>1830</v>
      </c>
      <c r="F264" s="173" t="s">
        <v>510</v>
      </c>
      <c r="G264" s="258" t="s">
        <v>673</v>
      </c>
      <c r="H264" s="258" t="s">
        <v>674</v>
      </c>
      <c r="I264" s="258" t="s">
        <v>1614</v>
      </c>
      <c r="J264" s="259" t="s">
        <v>902</v>
      </c>
      <c r="K264" s="260">
        <v>263.0</v>
      </c>
      <c r="L264" s="258" t="s">
        <v>2018</v>
      </c>
      <c r="M264" s="265" t="s">
        <v>2024</v>
      </c>
      <c r="N264" s="173" t="s">
        <v>679</v>
      </c>
      <c r="O264" s="173" t="s">
        <v>225</v>
      </c>
      <c r="P264" s="262" t="str">
        <f t="shared" si="1"/>
        <v>IN-BLR-ANANTA-HLI-18_2</v>
      </c>
      <c r="Q264" s="173" t="s">
        <v>2025</v>
      </c>
      <c r="R264" s="258" t="str">
        <f>IFS(C264="","",C264="n/a","N/A",LEN(C264),Concatenate("{",char(34),"asset",char(34),":{",char(34),"guid",char(34),":",char(34),Q264,char(34),",",char(34),"site",char(34),":",char(34),LOWER('2-Building'!$B$4),char(34),",",char(34),"name",char(34),":",char(34),LOWER(C264),char(34),"}}"))</f>
        <v>{"asset":{"guid":"uuid://49c87636-ac93-4eb6-9a1f-28c68841dacc","site":"in-blr-ananta","name":"hli-18"}}</v>
      </c>
      <c r="S264" s="258" t="s">
        <v>1834</v>
      </c>
      <c r="T264" s="263"/>
      <c r="U264" s="263"/>
      <c r="V264" s="264" t="s">
        <v>1835</v>
      </c>
      <c r="W264" s="258" t="s">
        <v>1836</v>
      </c>
      <c r="X264" s="258" t="s">
        <v>1837</v>
      </c>
      <c r="Y264" s="33" t="s">
        <v>1838</v>
      </c>
      <c r="Z264" s="258">
        <v>11037.0</v>
      </c>
      <c r="AA264" s="258">
        <v>11501.0</v>
      </c>
      <c r="AB264" s="258"/>
      <c r="AC264" s="258"/>
      <c r="AD264" s="265"/>
      <c r="AE264" s="266" t="s">
        <v>685</v>
      </c>
      <c r="AF264" s="267" t="s">
        <v>2026</v>
      </c>
      <c r="AG264" s="268" t="str">
        <f>IFS(LEN(AF264)=17,LOWER('2-Building'!$B$4 &amp; "-" &amp; C264), AF264="N/A", "N/A", LEN(AF264)=0,"")</f>
        <v>in-blr-ananta-hli-18</v>
      </c>
      <c r="AH264" s="258"/>
      <c r="AI264" s="258"/>
      <c r="AJ264" s="258"/>
      <c r="AK264" s="258" t="s">
        <v>2027</v>
      </c>
      <c r="AL264" s="258" t="s">
        <v>688</v>
      </c>
      <c r="AM264" s="258" t="s">
        <v>689</v>
      </c>
      <c r="AN264" s="258"/>
      <c r="AO264" s="258"/>
      <c r="AP264" s="258"/>
      <c r="AQ264" s="258"/>
      <c r="AR264" s="258" t="s">
        <v>690</v>
      </c>
      <c r="AS264" s="258" t="s">
        <v>691</v>
      </c>
      <c r="AT264" s="258" t="s">
        <v>1841</v>
      </c>
      <c r="AU264" s="265" t="s">
        <v>1842</v>
      </c>
      <c r="AV264" s="174" t="s">
        <v>225</v>
      </c>
      <c r="AW264" s="269" t="s">
        <v>245</v>
      </c>
      <c r="AX264" s="269" t="s">
        <v>694</v>
      </c>
      <c r="AY264" s="270" t="s">
        <v>1843</v>
      </c>
      <c r="AZ264" s="173" t="s">
        <v>1834</v>
      </c>
      <c r="BA264" s="265">
        <v>10.0</v>
      </c>
      <c r="BB264" s="174" t="s">
        <v>225</v>
      </c>
      <c r="BC264" s="271"/>
      <c r="BD264" s="272" t="s">
        <v>1844</v>
      </c>
      <c r="BE264" s="273"/>
      <c r="BF264" s="274" t="str">
        <f>IFERROR(__xludf.DUMMYFUNCTION("LOWER(Regexreplace(to_text(E264),""[^A-Za-z0-9]"","""")&amp;""_""&amp;Regexreplace(to_text(F264),""[^A-Za-z0-9]"",""""))"),"alc_ofhi")</f>
        <v>alc_ofhi</v>
      </c>
      <c r="BG264" s="275" t="str">
        <f>IFERROR(__xludf.DUMMYFUNCTION("upper(Regexreplace(to_text(E264),""[^A-Za-z0-9]"","""")&amp;""-""&amp;Regexreplace(to_text(F264),""[^A-Za-z0-9]"",""""))"),"ALC-OFHI")</f>
        <v>ALC-OFHI</v>
      </c>
    </row>
    <row r="265" ht="30.0" customHeight="1">
      <c r="A265" s="258">
        <v>258.0</v>
      </c>
      <c r="B265" s="256" t="s">
        <v>670</v>
      </c>
      <c r="C265" s="257" t="s">
        <v>927</v>
      </c>
      <c r="D265" s="173" t="s">
        <v>927</v>
      </c>
      <c r="E265" s="174" t="s">
        <v>1830</v>
      </c>
      <c r="F265" s="173" t="s">
        <v>507</v>
      </c>
      <c r="G265" s="258" t="s">
        <v>673</v>
      </c>
      <c r="H265" s="258" t="s">
        <v>674</v>
      </c>
      <c r="I265" s="258" t="s">
        <v>675</v>
      </c>
      <c r="J265" s="259" t="s">
        <v>902</v>
      </c>
      <c r="K265" s="260">
        <v>219.0</v>
      </c>
      <c r="L265" s="258" t="s">
        <v>2028</v>
      </c>
      <c r="M265" s="265" t="s">
        <v>2029</v>
      </c>
      <c r="N265" s="173" t="s">
        <v>679</v>
      </c>
      <c r="O265" s="173" t="s">
        <v>225</v>
      </c>
      <c r="P265" s="262" t="str">
        <f t="shared" si="1"/>
        <v>IN-BLR-ANANTA-DDC-19_2</v>
      </c>
      <c r="Q265" s="173" t="s">
        <v>2030</v>
      </c>
      <c r="R265" s="258" t="str">
        <f>IFS(C265="","",C265="n/a","N/A",LEN(C265),Concatenate("{",char(34),"asset",char(34),":{",char(34),"guid",char(34),":",char(34),Q265,char(34),",",char(34),"site",char(34),":",char(34),LOWER('2-Building'!$B$4),char(34),",",char(34),"name",char(34),":",char(34),LOWER(C265),char(34),"}}"))</f>
        <v>{"asset":{"guid":"uuid://354a889d-2234-48db-a58c-954ccdb38fa0","site":"in-blr-ananta","name":"ddc-19"}}</v>
      </c>
      <c r="S265" s="258" t="s">
        <v>1834</v>
      </c>
      <c r="T265" s="263"/>
      <c r="U265" s="263"/>
      <c r="V265" s="264" t="s">
        <v>1835</v>
      </c>
      <c r="W265" s="258" t="s">
        <v>1836</v>
      </c>
      <c r="X265" s="258" t="s">
        <v>1837</v>
      </c>
      <c r="Y265" s="33" t="s">
        <v>1838</v>
      </c>
      <c r="Z265" s="258">
        <v>11038.0</v>
      </c>
      <c r="AA265" s="258">
        <v>11501.0</v>
      </c>
      <c r="AB265" s="258"/>
      <c r="AC265" s="258"/>
      <c r="AD265" s="265"/>
      <c r="AE265" s="266" t="s">
        <v>685</v>
      </c>
      <c r="AF265" s="267" t="s">
        <v>2031</v>
      </c>
      <c r="AG265" s="268" t="str">
        <f>IFS(LEN(AF265)=17,LOWER('2-Building'!$B$4 &amp; "-" &amp; C265), AF265="N/A", "N/A", LEN(AF265)=0,"")</f>
        <v>in-blr-ananta-ddc-19</v>
      </c>
      <c r="AH265" s="258"/>
      <c r="AI265" s="258"/>
      <c r="AJ265" s="258"/>
      <c r="AK265" s="258" t="s">
        <v>2032</v>
      </c>
      <c r="AL265" s="258" t="s">
        <v>688</v>
      </c>
      <c r="AM265" s="258" t="s">
        <v>689</v>
      </c>
      <c r="AN265" s="258"/>
      <c r="AO265" s="258"/>
      <c r="AP265" s="258"/>
      <c r="AQ265" s="258"/>
      <c r="AR265" s="258" t="s">
        <v>690</v>
      </c>
      <c r="AS265" s="258" t="s">
        <v>691</v>
      </c>
      <c r="AT265" s="258" t="s">
        <v>1841</v>
      </c>
      <c r="AU265" s="265" t="s">
        <v>1842</v>
      </c>
      <c r="AV265" s="174" t="s">
        <v>225</v>
      </c>
      <c r="AW265" s="269" t="s">
        <v>245</v>
      </c>
      <c r="AX265" s="269" t="s">
        <v>694</v>
      </c>
      <c r="AY265" s="270" t="s">
        <v>1843</v>
      </c>
      <c r="AZ265" s="173" t="s">
        <v>1834</v>
      </c>
      <c r="BA265" s="265">
        <v>10.0</v>
      </c>
      <c r="BB265" s="174" t="s">
        <v>225</v>
      </c>
      <c r="BC265" s="271"/>
      <c r="BD265" s="272" t="s">
        <v>1844</v>
      </c>
      <c r="BE265" s="273"/>
      <c r="BF265" s="274" t="str">
        <f>IFERROR(__xludf.DUMMYFUNCTION("LOWER(Regexreplace(to_text(E265),""[^A-Za-z0-9]"","""")&amp;""_""&amp;Regexreplace(to_text(F265),""[^A-Za-z0-9]"",""""))"),"alc_g5ce")</f>
        <v>alc_g5ce</v>
      </c>
      <c r="BG265" s="275" t="str">
        <f>IFERROR(__xludf.DUMMYFUNCTION("upper(Regexreplace(to_text(E265),""[^A-Za-z0-9]"","""")&amp;""-""&amp;Regexreplace(to_text(F265),""[^A-Za-z0-9]"",""""))"),"ALC-G5CE")</f>
        <v>ALC-G5CE</v>
      </c>
    </row>
    <row r="266" ht="30.0" customHeight="1">
      <c r="A266" s="173">
        <v>259.0</v>
      </c>
      <c r="B266" s="256" t="s">
        <v>670</v>
      </c>
      <c r="C266" s="257" t="s">
        <v>2033</v>
      </c>
      <c r="D266" s="173" t="s">
        <v>2033</v>
      </c>
      <c r="E266" s="174" t="s">
        <v>1830</v>
      </c>
      <c r="F266" s="173" t="s">
        <v>507</v>
      </c>
      <c r="G266" s="258" t="s">
        <v>673</v>
      </c>
      <c r="H266" s="258" t="s">
        <v>674</v>
      </c>
      <c r="I266" s="258" t="s">
        <v>1614</v>
      </c>
      <c r="J266" s="259" t="s">
        <v>902</v>
      </c>
      <c r="K266" s="260">
        <v>219.0</v>
      </c>
      <c r="L266" s="258" t="s">
        <v>2028</v>
      </c>
      <c r="M266" s="265" t="s">
        <v>2034</v>
      </c>
      <c r="N266" s="173" t="s">
        <v>679</v>
      </c>
      <c r="O266" s="173" t="s">
        <v>225</v>
      </c>
      <c r="P266" s="262" t="str">
        <f t="shared" si="1"/>
        <v>IN-BLR-ANANTA-HLI-19_2</v>
      </c>
      <c r="Q266" s="173" t="s">
        <v>2035</v>
      </c>
      <c r="R266" s="258" t="str">
        <f>IFS(C266="","",C266="n/a","N/A",LEN(C266),Concatenate("{",char(34),"asset",char(34),":{",char(34),"guid",char(34),":",char(34),Q266,char(34),",",char(34),"site",char(34),":",char(34),LOWER('2-Building'!$B$4),char(34),",",char(34),"name",char(34),":",char(34),LOWER(C266),char(34),"}}"))</f>
        <v>{"asset":{"guid":"uuid://12ce8a32-bd11-4141-80ad-d9c0adef9c50","site":"in-blr-ananta","name":"hli-19"}}</v>
      </c>
      <c r="S266" s="258" t="s">
        <v>1834</v>
      </c>
      <c r="T266" s="263"/>
      <c r="U266" s="263"/>
      <c r="V266" s="264" t="s">
        <v>1835</v>
      </c>
      <c r="W266" s="258" t="s">
        <v>1836</v>
      </c>
      <c r="X266" s="258" t="s">
        <v>1837</v>
      </c>
      <c r="Y266" s="33" t="s">
        <v>1838</v>
      </c>
      <c r="Z266" s="258">
        <v>11039.0</v>
      </c>
      <c r="AA266" s="258">
        <v>11501.0</v>
      </c>
      <c r="AB266" s="258"/>
      <c r="AC266" s="258"/>
      <c r="AD266" s="265"/>
      <c r="AE266" s="266" t="s">
        <v>685</v>
      </c>
      <c r="AF266" s="267" t="s">
        <v>2036</v>
      </c>
      <c r="AG266" s="268" t="str">
        <f>IFS(LEN(AF266)=17,LOWER('2-Building'!$B$4 &amp; "-" &amp; C266), AF266="N/A", "N/A", LEN(AF266)=0,"")</f>
        <v>in-blr-ananta-hli-19</v>
      </c>
      <c r="AH266" s="258"/>
      <c r="AI266" s="258"/>
      <c r="AJ266" s="258"/>
      <c r="AK266" s="258" t="s">
        <v>2037</v>
      </c>
      <c r="AL266" s="258" t="s">
        <v>688</v>
      </c>
      <c r="AM266" s="258" t="s">
        <v>689</v>
      </c>
      <c r="AN266" s="258"/>
      <c r="AO266" s="258"/>
      <c r="AP266" s="258"/>
      <c r="AQ266" s="258"/>
      <c r="AR266" s="258" t="s">
        <v>690</v>
      </c>
      <c r="AS266" s="258" t="s">
        <v>691</v>
      </c>
      <c r="AT266" s="258" t="s">
        <v>1841</v>
      </c>
      <c r="AU266" s="265" t="s">
        <v>1842</v>
      </c>
      <c r="AV266" s="174" t="s">
        <v>225</v>
      </c>
      <c r="AW266" s="269" t="s">
        <v>245</v>
      </c>
      <c r="AX266" s="269" t="s">
        <v>694</v>
      </c>
      <c r="AY266" s="270" t="s">
        <v>1843</v>
      </c>
      <c r="AZ266" s="173" t="s">
        <v>1834</v>
      </c>
      <c r="BA266" s="265">
        <v>10.0</v>
      </c>
      <c r="BB266" s="174" t="s">
        <v>225</v>
      </c>
      <c r="BC266" s="271"/>
      <c r="BD266" s="272" t="s">
        <v>1844</v>
      </c>
      <c r="BE266" s="273"/>
      <c r="BF266" s="274" t="str">
        <f>IFERROR(__xludf.DUMMYFUNCTION("LOWER(Regexreplace(to_text(E266),""[^A-Za-z0-9]"","""")&amp;""_""&amp;Regexreplace(to_text(F266),""[^A-Za-z0-9]"",""""))"),"alc_g5ce")</f>
        <v>alc_g5ce</v>
      </c>
      <c r="BG266" s="275" t="str">
        <f>IFERROR(__xludf.DUMMYFUNCTION("upper(Regexreplace(to_text(E266),""[^A-Za-z0-9]"","""")&amp;""-""&amp;Regexreplace(to_text(F266),""[^A-Za-z0-9]"",""""))"),"ALC-G5CE")</f>
        <v>ALC-G5CE</v>
      </c>
    </row>
    <row r="267" ht="30.0" customHeight="1">
      <c r="A267" s="258">
        <v>260.0</v>
      </c>
      <c r="B267" s="256" t="s">
        <v>670</v>
      </c>
      <c r="C267" s="257" t="s">
        <v>937</v>
      </c>
      <c r="D267" s="173" t="s">
        <v>937</v>
      </c>
      <c r="E267" s="174" t="s">
        <v>1830</v>
      </c>
      <c r="F267" s="173" t="s">
        <v>507</v>
      </c>
      <c r="G267" s="258" t="s">
        <v>673</v>
      </c>
      <c r="H267" s="258" t="s">
        <v>674</v>
      </c>
      <c r="I267" s="258" t="s">
        <v>675</v>
      </c>
      <c r="J267" s="259" t="s">
        <v>902</v>
      </c>
      <c r="K267" s="260">
        <v>248.0</v>
      </c>
      <c r="L267" s="258" t="s">
        <v>2038</v>
      </c>
      <c r="M267" s="265" t="s">
        <v>2039</v>
      </c>
      <c r="N267" s="173" t="s">
        <v>679</v>
      </c>
      <c r="O267" s="173" t="s">
        <v>225</v>
      </c>
      <c r="P267" s="262" t="str">
        <f t="shared" si="1"/>
        <v>IN-BLR-ANANTA-DDC-20_2</v>
      </c>
      <c r="Q267" s="173" t="s">
        <v>2040</v>
      </c>
      <c r="R267" s="258" t="str">
        <f>IFS(C267="","",C267="n/a","N/A",LEN(C267),Concatenate("{",char(34),"asset",char(34),":{",char(34),"guid",char(34),":",char(34),Q267,char(34),",",char(34),"site",char(34),":",char(34),LOWER('2-Building'!$B$4),char(34),",",char(34),"name",char(34),":",char(34),LOWER(C267),char(34),"}}"))</f>
        <v>{"asset":{"guid":"uuid://601a4a95-97c8-40f4-9247-f5008feda534","site":"in-blr-ananta","name":"ddc-20"}}</v>
      </c>
      <c r="S267" s="258" t="s">
        <v>1834</v>
      </c>
      <c r="T267" s="263"/>
      <c r="U267" s="263"/>
      <c r="V267" s="264" t="s">
        <v>1835</v>
      </c>
      <c r="W267" s="258" t="s">
        <v>1836</v>
      </c>
      <c r="X267" s="258" t="s">
        <v>1837</v>
      </c>
      <c r="Y267" s="33" t="s">
        <v>1838</v>
      </c>
      <c r="Z267" s="258">
        <v>11040.0</v>
      </c>
      <c r="AA267" s="258">
        <v>11501.0</v>
      </c>
      <c r="AB267" s="258"/>
      <c r="AC267" s="258"/>
      <c r="AD267" s="265"/>
      <c r="AE267" s="266" t="s">
        <v>685</v>
      </c>
      <c r="AF267" s="267" t="s">
        <v>2041</v>
      </c>
      <c r="AG267" s="268" t="str">
        <f>IFS(LEN(AF267)=17,LOWER('2-Building'!$B$4 &amp; "-" &amp; C267), AF267="N/A", "N/A", LEN(AF267)=0,"")</f>
        <v>in-blr-ananta-ddc-20</v>
      </c>
      <c r="AH267" s="258"/>
      <c r="AI267" s="258"/>
      <c r="AJ267" s="258"/>
      <c r="AK267" s="258" t="s">
        <v>2042</v>
      </c>
      <c r="AL267" s="258" t="s">
        <v>688</v>
      </c>
      <c r="AM267" s="258" t="s">
        <v>689</v>
      </c>
      <c r="AN267" s="258"/>
      <c r="AO267" s="258"/>
      <c r="AP267" s="258"/>
      <c r="AQ267" s="258"/>
      <c r="AR267" s="258" t="s">
        <v>690</v>
      </c>
      <c r="AS267" s="258" t="s">
        <v>691</v>
      </c>
      <c r="AT267" s="258" t="s">
        <v>1841</v>
      </c>
      <c r="AU267" s="265" t="s">
        <v>1842</v>
      </c>
      <c r="AV267" s="174" t="s">
        <v>225</v>
      </c>
      <c r="AW267" s="269" t="s">
        <v>245</v>
      </c>
      <c r="AX267" s="269" t="s">
        <v>694</v>
      </c>
      <c r="AY267" s="270" t="s">
        <v>1843</v>
      </c>
      <c r="AZ267" s="173" t="s">
        <v>1834</v>
      </c>
      <c r="BA267" s="265">
        <v>10.0</v>
      </c>
      <c r="BB267" s="174" t="s">
        <v>225</v>
      </c>
      <c r="BC267" s="271"/>
      <c r="BD267" s="272" t="s">
        <v>1844</v>
      </c>
      <c r="BE267" s="273"/>
      <c r="BF267" s="274" t="str">
        <f>IFERROR(__xludf.DUMMYFUNCTION("LOWER(Regexreplace(to_text(E267),""[^A-Za-z0-9]"","""")&amp;""_""&amp;Regexreplace(to_text(F267),""[^A-Za-z0-9]"",""""))"),"alc_g5ce")</f>
        <v>alc_g5ce</v>
      </c>
      <c r="BG267" s="275" t="str">
        <f>IFERROR(__xludf.DUMMYFUNCTION("upper(Regexreplace(to_text(E267),""[^A-Za-z0-9]"","""")&amp;""-""&amp;Regexreplace(to_text(F267),""[^A-Za-z0-9]"",""""))"),"ALC-G5CE")</f>
        <v>ALC-G5CE</v>
      </c>
    </row>
    <row r="268" ht="30.0" customHeight="1">
      <c r="A268" s="173">
        <v>261.0</v>
      </c>
      <c r="B268" s="256" t="s">
        <v>670</v>
      </c>
      <c r="C268" s="257" t="s">
        <v>2043</v>
      </c>
      <c r="D268" s="173" t="s">
        <v>2043</v>
      </c>
      <c r="E268" s="174" t="s">
        <v>1830</v>
      </c>
      <c r="F268" s="173" t="s">
        <v>507</v>
      </c>
      <c r="G268" s="258" t="s">
        <v>673</v>
      </c>
      <c r="H268" s="258" t="s">
        <v>674</v>
      </c>
      <c r="I268" s="258" t="s">
        <v>1614</v>
      </c>
      <c r="J268" s="259" t="s">
        <v>902</v>
      </c>
      <c r="K268" s="260">
        <v>248.0</v>
      </c>
      <c r="L268" s="258" t="s">
        <v>2038</v>
      </c>
      <c r="M268" s="265" t="s">
        <v>2044</v>
      </c>
      <c r="N268" s="173" t="s">
        <v>679</v>
      </c>
      <c r="O268" s="173" t="s">
        <v>225</v>
      </c>
      <c r="P268" s="262" t="str">
        <f t="shared" si="1"/>
        <v>IN-BLR-ANANTA-HLI-20_2</v>
      </c>
      <c r="Q268" s="173" t="s">
        <v>2045</v>
      </c>
      <c r="R268" s="258" t="str">
        <f>IFS(C268="","",C268="n/a","N/A",LEN(C268),Concatenate("{",char(34),"asset",char(34),":{",char(34),"guid",char(34),":",char(34),Q268,char(34),",",char(34),"site",char(34),":",char(34),LOWER('2-Building'!$B$4),char(34),",",char(34),"name",char(34),":",char(34),LOWER(C268),char(34),"}}"))</f>
        <v>{"asset":{"guid":"uuid://87bd5a28-4ebd-4e1e-8c2f-9955d59e6db4","site":"in-blr-ananta","name":"hli-20"}}</v>
      </c>
      <c r="S268" s="258" t="s">
        <v>1834</v>
      </c>
      <c r="T268" s="263"/>
      <c r="U268" s="263"/>
      <c r="V268" s="264" t="s">
        <v>1835</v>
      </c>
      <c r="W268" s="258" t="s">
        <v>1836</v>
      </c>
      <c r="X268" s="258" t="s">
        <v>1837</v>
      </c>
      <c r="Y268" s="33" t="s">
        <v>1838</v>
      </c>
      <c r="Z268" s="258">
        <v>11041.0</v>
      </c>
      <c r="AA268" s="258">
        <v>11501.0</v>
      </c>
      <c r="AB268" s="258"/>
      <c r="AC268" s="258"/>
      <c r="AD268" s="265"/>
      <c r="AE268" s="266" t="s">
        <v>685</v>
      </c>
      <c r="AF268" s="267" t="s">
        <v>2046</v>
      </c>
      <c r="AG268" s="268" t="str">
        <f>IFS(LEN(AF268)=17,LOWER('2-Building'!$B$4 &amp; "-" &amp; C268), AF268="N/A", "N/A", LEN(AF268)=0,"")</f>
        <v>in-blr-ananta-hli-20</v>
      </c>
      <c r="AH268" s="258"/>
      <c r="AI268" s="258"/>
      <c r="AJ268" s="258"/>
      <c r="AK268" s="258" t="s">
        <v>2047</v>
      </c>
      <c r="AL268" s="258" t="s">
        <v>688</v>
      </c>
      <c r="AM268" s="258" t="s">
        <v>689</v>
      </c>
      <c r="AN268" s="258"/>
      <c r="AO268" s="258"/>
      <c r="AP268" s="258"/>
      <c r="AQ268" s="258"/>
      <c r="AR268" s="258" t="s">
        <v>690</v>
      </c>
      <c r="AS268" s="258" t="s">
        <v>691</v>
      </c>
      <c r="AT268" s="258" t="s">
        <v>1841</v>
      </c>
      <c r="AU268" s="265" t="s">
        <v>1842</v>
      </c>
      <c r="AV268" s="174" t="s">
        <v>225</v>
      </c>
      <c r="AW268" s="269" t="s">
        <v>245</v>
      </c>
      <c r="AX268" s="269" t="s">
        <v>694</v>
      </c>
      <c r="AY268" s="270" t="s">
        <v>1843</v>
      </c>
      <c r="AZ268" s="173" t="s">
        <v>1834</v>
      </c>
      <c r="BA268" s="265">
        <v>10.0</v>
      </c>
      <c r="BB268" s="174" t="s">
        <v>225</v>
      </c>
      <c r="BC268" s="271"/>
      <c r="BD268" s="272" t="s">
        <v>1844</v>
      </c>
      <c r="BE268" s="273"/>
      <c r="BF268" s="274" t="str">
        <f>IFERROR(__xludf.DUMMYFUNCTION("LOWER(Regexreplace(to_text(E268),""[^A-Za-z0-9]"","""")&amp;""_""&amp;Regexreplace(to_text(F268),""[^A-Za-z0-9]"",""""))"),"alc_g5ce")</f>
        <v>alc_g5ce</v>
      </c>
      <c r="BG268" s="275" t="str">
        <f>IFERROR(__xludf.DUMMYFUNCTION("upper(Regexreplace(to_text(E268),""[^A-Za-z0-9]"","""")&amp;""-""&amp;Regexreplace(to_text(F268),""[^A-Za-z0-9]"",""""))"),"ALC-G5CE")</f>
        <v>ALC-G5CE</v>
      </c>
    </row>
    <row r="269" ht="30.0" customHeight="1">
      <c r="A269" s="258">
        <v>262.0</v>
      </c>
      <c r="B269" s="256" t="s">
        <v>670</v>
      </c>
      <c r="C269" s="257" t="s">
        <v>917</v>
      </c>
      <c r="D269" s="173" t="s">
        <v>917</v>
      </c>
      <c r="E269" s="174" t="s">
        <v>1830</v>
      </c>
      <c r="F269" s="173" t="s">
        <v>507</v>
      </c>
      <c r="G269" s="258" t="s">
        <v>673</v>
      </c>
      <c r="H269" s="258" t="s">
        <v>674</v>
      </c>
      <c r="I269" s="258" t="s">
        <v>675</v>
      </c>
      <c r="J269" s="259" t="s">
        <v>902</v>
      </c>
      <c r="K269" s="260">
        <v>275.0</v>
      </c>
      <c r="L269" s="258" t="s">
        <v>2048</v>
      </c>
      <c r="M269" s="265" t="s">
        <v>2049</v>
      </c>
      <c r="N269" s="173" t="s">
        <v>679</v>
      </c>
      <c r="O269" s="173" t="s">
        <v>225</v>
      </c>
      <c r="P269" s="262" t="str">
        <f t="shared" si="1"/>
        <v>IN-BLR-ANANTA-DDC-21_2</v>
      </c>
      <c r="Q269" s="173" t="s">
        <v>2050</v>
      </c>
      <c r="R269" s="258" t="str">
        <f>IFS(C269="","",C269="n/a","N/A",LEN(C269),Concatenate("{",char(34),"asset",char(34),":{",char(34),"guid",char(34),":",char(34),Q269,char(34),",",char(34),"site",char(34),":",char(34),LOWER('2-Building'!$B$4),char(34),",",char(34),"name",char(34),":",char(34),LOWER(C269),char(34),"}}"))</f>
        <v>{"asset":{"guid":"uuid://ecdaf36f-7e6d-494c-8f56-56d91011ef58","site":"in-blr-ananta","name":"ddc-21"}}</v>
      </c>
      <c r="S269" s="258" t="s">
        <v>1834</v>
      </c>
      <c r="T269" s="263"/>
      <c r="U269" s="263"/>
      <c r="V269" s="264" t="s">
        <v>1835</v>
      </c>
      <c r="W269" s="258" t="s">
        <v>1836</v>
      </c>
      <c r="X269" s="258" t="s">
        <v>1837</v>
      </c>
      <c r="Y269" s="33" t="s">
        <v>1838</v>
      </c>
      <c r="Z269" s="258">
        <v>11042.0</v>
      </c>
      <c r="AA269" s="258">
        <v>11501.0</v>
      </c>
      <c r="AB269" s="258"/>
      <c r="AC269" s="258"/>
      <c r="AD269" s="265"/>
      <c r="AE269" s="266" t="s">
        <v>685</v>
      </c>
      <c r="AF269" s="267" t="s">
        <v>2051</v>
      </c>
      <c r="AG269" s="268" t="str">
        <f>IFS(LEN(AF269)=17,LOWER('2-Building'!$B$4 &amp; "-" &amp; C269), AF269="N/A", "N/A", LEN(AF269)=0,"")</f>
        <v>in-blr-ananta-ddc-21</v>
      </c>
      <c r="AH269" s="258"/>
      <c r="AI269" s="258"/>
      <c r="AJ269" s="258"/>
      <c r="AK269" s="258" t="s">
        <v>2052</v>
      </c>
      <c r="AL269" s="258" t="s">
        <v>688</v>
      </c>
      <c r="AM269" s="258" t="s">
        <v>689</v>
      </c>
      <c r="AN269" s="258"/>
      <c r="AO269" s="258"/>
      <c r="AP269" s="258"/>
      <c r="AQ269" s="258"/>
      <c r="AR269" s="258" t="s">
        <v>690</v>
      </c>
      <c r="AS269" s="258" t="s">
        <v>691</v>
      </c>
      <c r="AT269" s="258" t="s">
        <v>1841</v>
      </c>
      <c r="AU269" s="265" t="s">
        <v>1842</v>
      </c>
      <c r="AV269" s="174" t="s">
        <v>225</v>
      </c>
      <c r="AW269" s="269" t="s">
        <v>245</v>
      </c>
      <c r="AX269" s="269" t="s">
        <v>694</v>
      </c>
      <c r="AY269" s="270" t="s">
        <v>1843</v>
      </c>
      <c r="AZ269" s="173" t="s">
        <v>1834</v>
      </c>
      <c r="BA269" s="265">
        <v>10.0</v>
      </c>
      <c r="BB269" s="174" t="s">
        <v>225</v>
      </c>
      <c r="BC269" s="271"/>
      <c r="BD269" s="272" t="s">
        <v>1844</v>
      </c>
      <c r="BE269" s="273"/>
      <c r="BF269" s="274" t="str">
        <f>IFERROR(__xludf.DUMMYFUNCTION("LOWER(Regexreplace(to_text(E269),""[^A-Za-z0-9]"","""")&amp;""_""&amp;Regexreplace(to_text(F269),""[^A-Za-z0-9]"",""""))"),"alc_g5ce")</f>
        <v>alc_g5ce</v>
      </c>
      <c r="BG269" s="275" t="str">
        <f>IFERROR(__xludf.DUMMYFUNCTION("upper(Regexreplace(to_text(E269),""[^A-Za-z0-9]"","""")&amp;""-""&amp;Regexreplace(to_text(F269),""[^A-Za-z0-9]"",""""))"),"ALC-G5CE")</f>
        <v>ALC-G5CE</v>
      </c>
    </row>
    <row r="270" ht="30.0" customHeight="1">
      <c r="A270" s="173">
        <v>263.0</v>
      </c>
      <c r="B270" s="256" t="s">
        <v>670</v>
      </c>
      <c r="C270" s="257" t="s">
        <v>2053</v>
      </c>
      <c r="D270" s="173" t="s">
        <v>2053</v>
      </c>
      <c r="E270" s="174" t="s">
        <v>1830</v>
      </c>
      <c r="F270" s="173" t="s">
        <v>507</v>
      </c>
      <c r="G270" s="258" t="s">
        <v>673</v>
      </c>
      <c r="H270" s="258" t="s">
        <v>674</v>
      </c>
      <c r="I270" s="258" t="s">
        <v>1614</v>
      </c>
      <c r="J270" s="259" t="s">
        <v>902</v>
      </c>
      <c r="K270" s="260">
        <v>275.0</v>
      </c>
      <c r="L270" s="258" t="s">
        <v>2048</v>
      </c>
      <c r="M270" s="265" t="s">
        <v>2054</v>
      </c>
      <c r="N270" s="173" t="s">
        <v>679</v>
      </c>
      <c r="O270" s="173" t="s">
        <v>225</v>
      </c>
      <c r="P270" s="262" t="str">
        <f t="shared" si="1"/>
        <v>IN-BLR-ANANTA-HLI-21_2</v>
      </c>
      <c r="Q270" s="173" t="s">
        <v>2055</v>
      </c>
      <c r="R270" s="258" t="str">
        <f>IFS(C270="","",C270="n/a","N/A",LEN(C270),Concatenate("{",char(34),"asset",char(34),":{",char(34),"guid",char(34),":",char(34),Q270,char(34),",",char(34),"site",char(34),":",char(34),LOWER('2-Building'!$B$4),char(34),",",char(34),"name",char(34),":",char(34),LOWER(C270),char(34),"}}"))</f>
        <v>{"asset":{"guid":"uuid://e46d0036-abbb-4de0-b57b-9d7adc760bf3","site":"in-blr-ananta","name":"hli-21"}}</v>
      </c>
      <c r="S270" s="258" t="s">
        <v>1834</v>
      </c>
      <c r="T270" s="263"/>
      <c r="U270" s="263"/>
      <c r="V270" s="264" t="s">
        <v>1835</v>
      </c>
      <c r="W270" s="258" t="s">
        <v>1836</v>
      </c>
      <c r="X270" s="258" t="s">
        <v>1837</v>
      </c>
      <c r="Y270" s="33" t="s">
        <v>1838</v>
      </c>
      <c r="Z270" s="258">
        <v>11043.0</v>
      </c>
      <c r="AA270" s="258">
        <v>11501.0</v>
      </c>
      <c r="AB270" s="258"/>
      <c r="AC270" s="258"/>
      <c r="AD270" s="265"/>
      <c r="AE270" s="266" t="s">
        <v>685</v>
      </c>
      <c r="AF270" s="267" t="s">
        <v>2056</v>
      </c>
      <c r="AG270" s="268" t="str">
        <f>IFS(LEN(AF270)=17,LOWER('2-Building'!$B$4 &amp; "-" &amp; C270), AF270="N/A", "N/A", LEN(AF270)=0,"")</f>
        <v>in-blr-ananta-hli-21</v>
      </c>
      <c r="AH270" s="258"/>
      <c r="AI270" s="258"/>
      <c r="AJ270" s="258"/>
      <c r="AK270" s="258" t="s">
        <v>2057</v>
      </c>
      <c r="AL270" s="258" t="s">
        <v>688</v>
      </c>
      <c r="AM270" s="258" t="s">
        <v>689</v>
      </c>
      <c r="AN270" s="258"/>
      <c r="AO270" s="258"/>
      <c r="AP270" s="258"/>
      <c r="AQ270" s="258"/>
      <c r="AR270" s="258" t="s">
        <v>690</v>
      </c>
      <c r="AS270" s="258" t="s">
        <v>691</v>
      </c>
      <c r="AT270" s="258" t="s">
        <v>1841</v>
      </c>
      <c r="AU270" s="265" t="s">
        <v>1842</v>
      </c>
      <c r="AV270" s="174" t="s">
        <v>225</v>
      </c>
      <c r="AW270" s="269" t="s">
        <v>245</v>
      </c>
      <c r="AX270" s="269" t="s">
        <v>694</v>
      </c>
      <c r="AY270" s="270" t="s">
        <v>1843</v>
      </c>
      <c r="AZ270" s="173" t="s">
        <v>1834</v>
      </c>
      <c r="BA270" s="265">
        <v>10.0</v>
      </c>
      <c r="BB270" s="174" t="s">
        <v>225</v>
      </c>
      <c r="BC270" s="271"/>
      <c r="BD270" s="272" t="s">
        <v>1844</v>
      </c>
      <c r="BE270" s="273"/>
      <c r="BF270" s="274" t="str">
        <f>IFERROR(__xludf.DUMMYFUNCTION("LOWER(Regexreplace(to_text(E270),""[^A-Za-z0-9]"","""")&amp;""_""&amp;Regexreplace(to_text(F270),""[^A-Za-z0-9]"",""""))"),"alc_g5ce")</f>
        <v>alc_g5ce</v>
      </c>
      <c r="BG270" s="275" t="str">
        <f>IFERROR(__xludf.DUMMYFUNCTION("upper(Regexreplace(to_text(E270),""[^A-Za-z0-9]"","""")&amp;""-""&amp;Regexreplace(to_text(F270),""[^A-Za-z0-9]"",""""))"),"ALC-G5CE")</f>
        <v>ALC-G5CE</v>
      </c>
    </row>
    <row r="271" ht="30.0" customHeight="1">
      <c r="A271" s="258">
        <v>264.0</v>
      </c>
      <c r="B271" s="256" t="s">
        <v>670</v>
      </c>
      <c r="C271" s="257" t="s">
        <v>958</v>
      </c>
      <c r="D271" s="173" t="s">
        <v>958</v>
      </c>
      <c r="E271" s="174" t="s">
        <v>1830</v>
      </c>
      <c r="F271" s="173" t="s">
        <v>507</v>
      </c>
      <c r="G271" s="258" t="s">
        <v>673</v>
      </c>
      <c r="H271" s="258" t="s">
        <v>674</v>
      </c>
      <c r="I271" s="258" t="s">
        <v>675</v>
      </c>
      <c r="J271" s="259" t="s">
        <v>902</v>
      </c>
      <c r="K271" s="260">
        <v>234.0</v>
      </c>
      <c r="L271" s="258" t="s">
        <v>2058</v>
      </c>
      <c r="M271" s="265" t="s">
        <v>2059</v>
      </c>
      <c r="N271" s="173" t="s">
        <v>679</v>
      </c>
      <c r="O271" s="173" t="s">
        <v>225</v>
      </c>
      <c r="P271" s="262" t="str">
        <f t="shared" si="1"/>
        <v>IN-BLR-ANANTA-DDC-22_2</v>
      </c>
      <c r="Q271" s="173" t="s">
        <v>2060</v>
      </c>
      <c r="R271" s="258" t="str">
        <f>IFS(C271="","",C271="n/a","N/A",LEN(C271),Concatenate("{",char(34),"asset",char(34),":{",char(34),"guid",char(34),":",char(34),Q271,char(34),",",char(34),"site",char(34),":",char(34),LOWER('2-Building'!$B$4),char(34),",",char(34),"name",char(34),":",char(34),LOWER(C271),char(34),"}}"))</f>
        <v>{"asset":{"guid":"uuid://13c33296-4f7d-49c9-99d8-e79ef116beb0","site":"in-blr-ananta","name":"ddc-22"}}</v>
      </c>
      <c r="S271" s="258" t="s">
        <v>1834</v>
      </c>
      <c r="T271" s="263"/>
      <c r="U271" s="263"/>
      <c r="V271" s="264" t="s">
        <v>1835</v>
      </c>
      <c r="W271" s="258" t="s">
        <v>1836</v>
      </c>
      <c r="X271" s="258" t="s">
        <v>1837</v>
      </c>
      <c r="Y271" s="33" t="s">
        <v>1838</v>
      </c>
      <c r="Z271" s="258">
        <v>11044.0</v>
      </c>
      <c r="AA271" s="258">
        <v>11501.0</v>
      </c>
      <c r="AB271" s="258"/>
      <c r="AC271" s="258"/>
      <c r="AD271" s="265"/>
      <c r="AE271" s="266" t="s">
        <v>685</v>
      </c>
      <c r="AF271" s="267" t="s">
        <v>2061</v>
      </c>
      <c r="AG271" s="268" t="str">
        <f>IFS(LEN(AF271)=17,LOWER('2-Building'!$B$4 &amp; "-" &amp; C271), AF271="N/A", "N/A", LEN(AF271)=0,"")</f>
        <v>in-blr-ananta-ddc-22</v>
      </c>
      <c r="AH271" s="258"/>
      <c r="AI271" s="258"/>
      <c r="AJ271" s="258"/>
      <c r="AK271" s="258" t="s">
        <v>2062</v>
      </c>
      <c r="AL271" s="258" t="s">
        <v>688</v>
      </c>
      <c r="AM271" s="258" t="s">
        <v>689</v>
      </c>
      <c r="AN271" s="258"/>
      <c r="AO271" s="258"/>
      <c r="AP271" s="258"/>
      <c r="AQ271" s="258"/>
      <c r="AR271" s="258" t="s">
        <v>690</v>
      </c>
      <c r="AS271" s="258" t="s">
        <v>691</v>
      </c>
      <c r="AT271" s="258" t="s">
        <v>1841</v>
      </c>
      <c r="AU271" s="265" t="s">
        <v>1842</v>
      </c>
      <c r="AV271" s="174" t="s">
        <v>225</v>
      </c>
      <c r="AW271" s="269" t="s">
        <v>245</v>
      </c>
      <c r="AX271" s="269" t="s">
        <v>694</v>
      </c>
      <c r="AY271" s="270" t="s">
        <v>1843</v>
      </c>
      <c r="AZ271" s="173" t="s">
        <v>1834</v>
      </c>
      <c r="BA271" s="265">
        <v>10.0</v>
      </c>
      <c r="BB271" s="174" t="s">
        <v>225</v>
      </c>
      <c r="BC271" s="271"/>
      <c r="BD271" s="272" t="s">
        <v>1844</v>
      </c>
      <c r="BE271" s="273"/>
      <c r="BF271" s="274" t="str">
        <f>IFERROR(__xludf.DUMMYFUNCTION("LOWER(Regexreplace(to_text(E271),""[^A-Za-z0-9]"","""")&amp;""_""&amp;Regexreplace(to_text(F271),""[^A-Za-z0-9]"",""""))"),"alc_g5ce")</f>
        <v>alc_g5ce</v>
      </c>
      <c r="BG271" s="275" t="str">
        <f>IFERROR(__xludf.DUMMYFUNCTION("upper(Regexreplace(to_text(E271),""[^A-Za-z0-9]"","""")&amp;""-""&amp;Regexreplace(to_text(F271),""[^A-Za-z0-9]"",""""))"),"ALC-G5CE")</f>
        <v>ALC-G5CE</v>
      </c>
    </row>
    <row r="272" ht="30.0" customHeight="1">
      <c r="A272" s="173">
        <v>265.0</v>
      </c>
      <c r="B272" s="256" t="s">
        <v>670</v>
      </c>
      <c r="C272" s="257" t="s">
        <v>2063</v>
      </c>
      <c r="D272" s="173" t="s">
        <v>2063</v>
      </c>
      <c r="E272" s="174" t="s">
        <v>1830</v>
      </c>
      <c r="F272" s="173" t="s">
        <v>510</v>
      </c>
      <c r="G272" s="258" t="s">
        <v>673</v>
      </c>
      <c r="H272" s="258" t="s">
        <v>674</v>
      </c>
      <c r="I272" s="258" t="s">
        <v>1614</v>
      </c>
      <c r="J272" s="259" t="s">
        <v>902</v>
      </c>
      <c r="K272" s="260">
        <v>234.0</v>
      </c>
      <c r="L272" s="258" t="s">
        <v>2058</v>
      </c>
      <c r="M272" s="265" t="s">
        <v>2064</v>
      </c>
      <c r="N272" s="173" t="s">
        <v>679</v>
      </c>
      <c r="O272" s="173" t="s">
        <v>225</v>
      </c>
      <c r="P272" s="262" t="str">
        <f t="shared" si="1"/>
        <v>IN-BLR-ANANTA-HLI-22_2</v>
      </c>
      <c r="Q272" s="173" t="s">
        <v>2065</v>
      </c>
      <c r="R272" s="258" t="str">
        <f>IFS(C272="","",C272="n/a","N/A",LEN(C272),Concatenate("{",char(34),"asset",char(34),":{",char(34),"guid",char(34),":",char(34),Q272,char(34),",",char(34),"site",char(34),":",char(34),LOWER('2-Building'!$B$4),char(34),",",char(34),"name",char(34),":",char(34),LOWER(C272),char(34),"}}"))</f>
        <v>{"asset":{"guid":"uuid://49629af4-53cf-4b9e-89af-9028b90df042","site":"in-blr-ananta","name":"hli-22"}}</v>
      </c>
      <c r="S272" s="258" t="s">
        <v>1834</v>
      </c>
      <c r="T272" s="263"/>
      <c r="U272" s="263"/>
      <c r="V272" s="264" t="s">
        <v>1835</v>
      </c>
      <c r="W272" s="258" t="s">
        <v>1836</v>
      </c>
      <c r="X272" s="258" t="s">
        <v>1837</v>
      </c>
      <c r="Y272" s="33" t="s">
        <v>1838</v>
      </c>
      <c r="Z272" s="258">
        <v>11045.0</v>
      </c>
      <c r="AA272" s="258">
        <v>11501.0</v>
      </c>
      <c r="AB272" s="258"/>
      <c r="AC272" s="258"/>
      <c r="AD272" s="265"/>
      <c r="AE272" s="266" t="s">
        <v>685</v>
      </c>
      <c r="AF272" s="267" t="s">
        <v>2066</v>
      </c>
      <c r="AG272" s="268" t="str">
        <f>IFS(LEN(AF272)=17,LOWER('2-Building'!$B$4 &amp; "-" &amp; C272), AF272="N/A", "N/A", LEN(AF272)=0,"")</f>
        <v>in-blr-ananta-hli-22</v>
      </c>
      <c r="AH272" s="258"/>
      <c r="AI272" s="258"/>
      <c r="AJ272" s="258"/>
      <c r="AK272" s="258" t="s">
        <v>2067</v>
      </c>
      <c r="AL272" s="258" t="s">
        <v>688</v>
      </c>
      <c r="AM272" s="258" t="s">
        <v>689</v>
      </c>
      <c r="AN272" s="258"/>
      <c r="AO272" s="258"/>
      <c r="AP272" s="258"/>
      <c r="AQ272" s="258"/>
      <c r="AR272" s="258" t="s">
        <v>690</v>
      </c>
      <c r="AS272" s="258" t="s">
        <v>691</v>
      </c>
      <c r="AT272" s="258" t="s">
        <v>1841</v>
      </c>
      <c r="AU272" s="265" t="s">
        <v>1842</v>
      </c>
      <c r="AV272" s="174" t="s">
        <v>225</v>
      </c>
      <c r="AW272" s="269" t="s">
        <v>245</v>
      </c>
      <c r="AX272" s="269" t="s">
        <v>694</v>
      </c>
      <c r="AY272" s="270" t="s">
        <v>1843</v>
      </c>
      <c r="AZ272" s="173" t="s">
        <v>1834</v>
      </c>
      <c r="BA272" s="265">
        <v>10.0</v>
      </c>
      <c r="BB272" s="174" t="s">
        <v>225</v>
      </c>
      <c r="BC272" s="271"/>
      <c r="BD272" s="272" t="s">
        <v>1844</v>
      </c>
      <c r="BE272" s="273"/>
      <c r="BF272" s="274" t="str">
        <f>IFERROR(__xludf.DUMMYFUNCTION("LOWER(Regexreplace(to_text(E272),""[^A-Za-z0-9]"","""")&amp;""_""&amp;Regexreplace(to_text(F272),""[^A-Za-z0-9]"",""""))"),"alc_ofhi")</f>
        <v>alc_ofhi</v>
      </c>
      <c r="BG272" s="275" t="str">
        <f>IFERROR(__xludf.DUMMYFUNCTION("upper(Regexreplace(to_text(E272),""[^A-Za-z0-9]"","""")&amp;""-""&amp;Regexreplace(to_text(F272),""[^A-Za-z0-9]"",""""))"),"ALC-OFHI")</f>
        <v>ALC-OFHI</v>
      </c>
    </row>
    <row r="273" ht="30.0" customHeight="1">
      <c r="A273" s="258">
        <v>266.0</v>
      </c>
      <c r="B273" s="256" t="s">
        <v>670</v>
      </c>
      <c r="C273" s="257" t="s">
        <v>947</v>
      </c>
      <c r="D273" s="173" t="s">
        <v>947</v>
      </c>
      <c r="E273" s="174" t="s">
        <v>1830</v>
      </c>
      <c r="F273" s="173" t="s">
        <v>507</v>
      </c>
      <c r="G273" s="258" t="s">
        <v>673</v>
      </c>
      <c r="H273" s="258" t="s">
        <v>674</v>
      </c>
      <c r="I273" s="258" t="s">
        <v>675</v>
      </c>
      <c r="J273" s="259" t="s">
        <v>902</v>
      </c>
      <c r="K273" s="260">
        <v>233.0</v>
      </c>
      <c r="L273" s="258" t="s">
        <v>2068</v>
      </c>
      <c r="M273" s="265" t="s">
        <v>2069</v>
      </c>
      <c r="N273" s="173" t="s">
        <v>679</v>
      </c>
      <c r="O273" s="173" t="s">
        <v>225</v>
      </c>
      <c r="P273" s="262" t="str">
        <f t="shared" si="1"/>
        <v>IN-BLR-ANANTA-DDC-23_2</v>
      </c>
      <c r="Q273" s="173" t="s">
        <v>2070</v>
      </c>
      <c r="R273" s="258" t="str">
        <f>IFS(C273="","",C273="n/a","N/A",LEN(C273),Concatenate("{",char(34),"asset",char(34),":{",char(34),"guid",char(34),":",char(34),Q273,char(34),",",char(34),"site",char(34),":",char(34),LOWER('2-Building'!$B$4),char(34),",",char(34),"name",char(34),":",char(34),LOWER(C273),char(34),"}}"))</f>
        <v>{"asset":{"guid":"uuid://9b8c2fd0-abfc-431a-97a1-85abb353af3f","site":"in-blr-ananta","name":"ddc-23"}}</v>
      </c>
      <c r="S273" s="258" t="s">
        <v>1834</v>
      </c>
      <c r="T273" s="263"/>
      <c r="U273" s="263"/>
      <c r="V273" s="264" t="s">
        <v>1835</v>
      </c>
      <c r="W273" s="258" t="s">
        <v>1836</v>
      </c>
      <c r="X273" s="258" t="s">
        <v>1837</v>
      </c>
      <c r="Y273" s="33" t="s">
        <v>1838</v>
      </c>
      <c r="Z273" s="258">
        <v>11046.0</v>
      </c>
      <c r="AA273" s="258">
        <v>11501.0</v>
      </c>
      <c r="AB273" s="258"/>
      <c r="AC273" s="258"/>
      <c r="AD273" s="265"/>
      <c r="AE273" s="266" t="s">
        <v>685</v>
      </c>
      <c r="AF273" s="267" t="s">
        <v>2071</v>
      </c>
      <c r="AG273" s="268" t="str">
        <f>IFS(LEN(AF273)=17,LOWER('2-Building'!$B$4 &amp; "-" &amp; C273), AF273="N/A", "N/A", LEN(AF273)=0,"")</f>
        <v>in-blr-ananta-ddc-23</v>
      </c>
      <c r="AH273" s="258"/>
      <c r="AI273" s="258"/>
      <c r="AJ273" s="258"/>
      <c r="AK273" s="258" t="s">
        <v>2072</v>
      </c>
      <c r="AL273" s="258" t="s">
        <v>688</v>
      </c>
      <c r="AM273" s="258" t="s">
        <v>689</v>
      </c>
      <c r="AN273" s="258"/>
      <c r="AO273" s="258"/>
      <c r="AP273" s="258"/>
      <c r="AQ273" s="258"/>
      <c r="AR273" s="258" t="s">
        <v>690</v>
      </c>
      <c r="AS273" s="258" t="s">
        <v>691</v>
      </c>
      <c r="AT273" s="258" t="s">
        <v>1841</v>
      </c>
      <c r="AU273" s="265" t="s">
        <v>1842</v>
      </c>
      <c r="AV273" s="174" t="s">
        <v>225</v>
      </c>
      <c r="AW273" s="269" t="s">
        <v>245</v>
      </c>
      <c r="AX273" s="269" t="s">
        <v>694</v>
      </c>
      <c r="AY273" s="270" t="s">
        <v>1843</v>
      </c>
      <c r="AZ273" s="173" t="s">
        <v>1834</v>
      </c>
      <c r="BA273" s="265">
        <v>10.0</v>
      </c>
      <c r="BB273" s="174" t="s">
        <v>225</v>
      </c>
      <c r="BC273" s="271"/>
      <c r="BD273" s="272" t="s">
        <v>1844</v>
      </c>
      <c r="BE273" s="273"/>
      <c r="BF273" s="274" t="str">
        <f>IFERROR(__xludf.DUMMYFUNCTION("LOWER(Regexreplace(to_text(E273),""[^A-Za-z0-9]"","""")&amp;""_""&amp;Regexreplace(to_text(F273),""[^A-Za-z0-9]"",""""))"),"alc_g5ce")</f>
        <v>alc_g5ce</v>
      </c>
      <c r="BG273" s="275" t="str">
        <f>IFERROR(__xludf.DUMMYFUNCTION("upper(Regexreplace(to_text(E273),""[^A-Za-z0-9]"","""")&amp;""-""&amp;Regexreplace(to_text(F273),""[^A-Za-z0-9]"",""""))"),"ALC-G5CE")</f>
        <v>ALC-G5CE</v>
      </c>
    </row>
    <row r="274" ht="30.0" customHeight="1">
      <c r="A274" s="173">
        <v>267.0</v>
      </c>
      <c r="B274" s="256" t="s">
        <v>670</v>
      </c>
      <c r="C274" s="257" t="s">
        <v>2073</v>
      </c>
      <c r="D274" s="173" t="s">
        <v>2073</v>
      </c>
      <c r="E274" s="174" t="s">
        <v>1830</v>
      </c>
      <c r="F274" s="173" t="s">
        <v>507</v>
      </c>
      <c r="G274" s="258" t="s">
        <v>673</v>
      </c>
      <c r="H274" s="258" t="s">
        <v>674</v>
      </c>
      <c r="I274" s="258" t="s">
        <v>1614</v>
      </c>
      <c r="J274" s="259" t="s">
        <v>902</v>
      </c>
      <c r="K274" s="260">
        <v>233.0</v>
      </c>
      <c r="L274" s="258" t="s">
        <v>2068</v>
      </c>
      <c r="M274" s="265" t="s">
        <v>2074</v>
      </c>
      <c r="N274" s="173" t="s">
        <v>679</v>
      </c>
      <c r="O274" s="173" t="s">
        <v>225</v>
      </c>
      <c r="P274" s="262" t="str">
        <f t="shared" si="1"/>
        <v>IN-BLR-ANANTA-HLI-23_2</v>
      </c>
      <c r="Q274" s="173" t="s">
        <v>2075</v>
      </c>
      <c r="R274" s="258" t="str">
        <f>IFS(C274="","",C274="n/a","N/A",LEN(C274),Concatenate("{",char(34),"asset",char(34),":{",char(34),"guid",char(34),":",char(34),Q274,char(34),",",char(34),"site",char(34),":",char(34),LOWER('2-Building'!$B$4),char(34),",",char(34),"name",char(34),":",char(34),LOWER(C274),char(34),"}}"))</f>
        <v>{"asset":{"guid":"uuid://62061220-9ec3-419f-8312-b42abb33af15","site":"in-blr-ananta","name":"hli-23"}}</v>
      </c>
      <c r="S274" s="258" t="s">
        <v>1834</v>
      </c>
      <c r="T274" s="263"/>
      <c r="U274" s="263"/>
      <c r="V274" s="264" t="s">
        <v>1835</v>
      </c>
      <c r="W274" s="258" t="s">
        <v>1836</v>
      </c>
      <c r="X274" s="258" t="s">
        <v>1837</v>
      </c>
      <c r="Y274" s="33" t="s">
        <v>1838</v>
      </c>
      <c r="Z274" s="258">
        <v>11047.0</v>
      </c>
      <c r="AA274" s="258">
        <v>11501.0</v>
      </c>
      <c r="AB274" s="258"/>
      <c r="AC274" s="258"/>
      <c r="AD274" s="265"/>
      <c r="AE274" s="266" t="s">
        <v>685</v>
      </c>
      <c r="AF274" s="267" t="s">
        <v>2076</v>
      </c>
      <c r="AG274" s="268" t="str">
        <f>IFS(LEN(AF274)=17,LOWER('2-Building'!$B$4 &amp; "-" &amp; C274), AF274="N/A", "N/A", LEN(AF274)=0,"")</f>
        <v>in-blr-ananta-hli-23</v>
      </c>
      <c r="AH274" s="258"/>
      <c r="AI274" s="258"/>
      <c r="AJ274" s="258"/>
      <c r="AK274" s="258" t="s">
        <v>2077</v>
      </c>
      <c r="AL274" s="258" t="s">
        <v>688</v>
      </c>
      <c r="AM274" s="258" t="s">
        <v>689</v>
      </c>
      <c r="AN274" s="258"/>
      <c r="AO274" s="258"/>
      <c r="AP274" s="258"/>
      <c r="AQ274" s="258"/>
      <c r="AR274" s="258" t="s">
        <v>690</v>
      </c>
      <c r="AS274" s="258" t="s">
        <v>691</v>
      </c>
      <c r="AT274" s="258" t="s">
        <v>1841</v>
      </c>
      <c r="AU274" s="265" t="s">
        <v>1842</v>
      </c>
      <c r="AV274" s="174" t="s">
        <v>225</v>
      </c>
      <c r="AW274" s="269" t="s">
        <v>245</v>
      </c>
      <c r="AX274" s="269" t="s">
        <v>694</v>
      </c>
      <c r="AY274" s="270" t="s">
        <v>1843</v>
      </c>
      <c r="AZ274" s="173" t="s">
        <v>1834</v>
      </c>
      <c r="BA274" s="265">
        <v>10.0</v>
      </c>
      <c r="BB274" s="174" t="s">
        <v>225</v>
      </c>
      <c r="BC274" s="271"/>
      <c r="BD274" s="272" t="s">
        <v>1844</v>
      </c>
      <c r="BE274" s="273"/>
      <c r="BF274" s="274" t="str">
        <f>IFERROR(__xludf.DUMMYFUNCTION("LOWER(Regexreplace(to_text(E274),""[^A-Za-z0-9]"","""")&amp;""_""&amp;Regexreplace(to_text(F274),""[^A-Za-z0-9]"",""""))"),"alc_g5ce")</f>
        <v>alc_g5ce</v>
      </c>
      <c r="BG274" s="275" t="str">
        <f>IFERROR(__xludf.DUMMYFUNCTION("upper(Regexreplace(to_text(E274),""[^A-Za-z0-9]"","""")&amp;""-""&amp;Regexreplace(to_text(F274),""[^A-Za-z0-9]"",""""))"),"ALC-G5CE")</f>
        <v>ALC-G5CE</v>
      </c>
    </row>
    <row r="275" ht="30.0" customHeight="1">
      <c r="A275" s="258">
        <v>268.0</v>
      </c>
      <c r="B275" s="256" t="s">
        <v>670</v>
      </c>
      <c r="C275" s="257" t="s">
        <v>2078</v>
      </c>
      <c r="D275" s="173" t="s">
        <v>2078</v>
      </c>
      <c r="E275" s="174" t="s">
        <v>1830</v>
      </c>
      <c r="F275" s="173" t="s">
        <v>507</v>
      </c>
      <c r="G275" s="258" t="s">
        <v>673</v>
      </c>
      <c r="H275" s="258" t="s">
        <v>674</v>
      </c>
      <c r="I275" s="258" t="s">
        <v>1614</v>
      </c>
      <c r="J275" s="259" t="s">
        <v>965</v>
      </c>
      <c r="K275" s="260">
        <v>363.0</v>
      </c>
      <c r="L275" s="258" t="s">
        <v>2079</v>
      </c>
      <c r="M275" s="265" t="s">
        <v>2080</v>
      </c>
      <c r="N275" s="173" t="s">
        <v>679</v>
      </c>
      <c r="O275" s="173" t="s">
        <v>225</v>
      </c>
      <c r="P275" s="262" t="str">
        <f t="shared" si="1"/>
        <v>IN-BLR-ANANTA-HLI-24_3</v>
      </c>
      <c r="Q275" s="173" t="s">
        <v>2081</v>
      </c>
      <c r="R275" s="258" t="str">
        <f>IFS(C275="","",C275="n/a","N/A",LEN(C275),Concatenate("{",char(34),"asset",char(34),":{",char(34),"guid",char(34),":",char(34),Q275,char(34),",",char(34),"site",char(34),":",char(34),LOWER('2-Building'!$B$4),char(34),",",char(34),"name",char(34),":",char(34),LOWER(C275),char(34),"}}"))</f>
        <v>{"asset":{"guid":"uuid://92eb68ec-a24c-432b-a1a4-4bff26d0c14d","site":"in-blr-ananta","name":"hli-24"}}</v>
      </c>
      <c r="S275" s="258" t="s">
        <v>1834</v>
      </c>
      <c r="T275" s="263"/>
      <c r="U275" s="263"/>
      <c r="V275" s="264" t="s">
        <v>1835</v>
      </c>
      <c r="W275" s="258" t="s">
        <v>1836</v>
      </c>
      <c r="X275" s="258" t="s">
        <v>1837</v>
      </c>
      <c r="Y275" s="33" t="s">
        <v>1838</v>
      </c>
      <c r="Z275" s="258">
        <v>11048.0</v>
      </c>
      <c r="AA275" s="258">
        <v>11501.0</v>
      </c>
      <c r="AB275" s="258"/>
      <c r="AC275" s="258"/>
      <c r="AD275" s="265"/>
      <c r="AE275" s="266" t="s">
        <v>685</v>
      </c>
      <c r="AF275" s="267" t="s">
        <v>2082</v>
      </c>
      <c r="AG275" s="268" t="str">
        <f>IFS(LEN(AF275)=17,LOWER('2-Building'!$B$4 &amp; "-" &amp; C275), AF275="N/A", "N/A", LEN(AF275)=0,"")</f>
        <v>in-blr-ananta-hli-24</v>
      </c>
      <c r="AH275" s="258"/>
      <c r="AI275" s="258"/>
      <c r="AJ275" s="258"/>
      <c r="AK275" s="258" t="s">
        <v>2083</v>
      </c>
      <c r="AL275" s="258" t="s">
        <v>688</v>
      </c>
      <c r="AM275" s="258" t="s">
        <v>689</v>
      </c>
      <c r="AN275" s="258"/>
      <c r="AO275" s="258"/>
      <c r="AP275" s="258"/>
      <c r="AQ275" s="258"/>
      <c r="AR275" s="258" t="s">
        <v>690</v>
      </c>
      <c r="AS275" s="258" t="s">
        <v>691</v>
      </c>
      <c r="AT275" s="258" t="s">
        <v>1841</v>
      </c>
      <c r="AU275" s="265" t="s">
        <v>1842</v>
      </c>
      <c r="AV275" s="174" t="s">
        <v>225</v>
      </c>
      <c r="AW275" s="269" t="s">
        <v>245</v>
      </c>
      <c r="AX275" s="269" t="s">
        <v>694</v>
      </c>
      <c r="AY275" s="270" t="s">
        <v>1843</v>
      </c>
      <c r="AZ275" s="173" t="s">
        <v>1834</v>
      </c>
      <c r="BA275" s="265">
        <v>10.0</v>
      </c>
      <c r="BB275" s="174" t="s">
        <v>225</v>
      </c>
      <c r="BC275" s="271"/>
      <c r="BD275" s="272" t="s">
        <v>1844</v>
      </c>
      <c r="BE275" s="273"/>
      <c r="BF275" s="274" t="str">
        <f>IFERROR(__xludf.DUMMYFUNCTION("LOWER(Regexreplace(to_text(E275),""[^A-Za-z0-9]"","""")&amp;""_""&amp;Regexreplace(to_text(F275),""[^A-Za-z0-9]"",""""))"),"alc_g5ce")</f>
        <v>alc_g5ce</v>
      </c>
      <c r="BG275" s="275" t="str">
        <f>IFERROR(__xludf.DUMMYFUNCTION("upper(Regexreplace(to_text(E275),""[^A-Za-z0-9]"","""")&amp;""-""&amp;Regexreplace(to_text(F275),""[^A-Za-z0-9]"",""""))"),"ALC-G5CE")</f>
        <v>ALC-G5CE</v>
      </c>
    </row>
    <row r="276" ht="30.0" customHeight="1">
      <c r="A276" s="173">
        <v>269.0</v>
      </c>
      <c r="B276" s="256" t="s">
        <v>670</v>
      </c>
      <c r="C276" s="257" t="s">
        <v>2084</v>
      </c>
      <c r="D276" s="173" t="s">
        <v>2084</v>
      </c>
      <c r="E276" s="174" t="s">
        <v>1830</v>
      </c>
      <c r="F276" s="173" t="s">
        <v>510</v>
      </c>
      <c r="G276" s="258" t="s">
        <v>673</v>
      </c>
      <c r="H276" s="258" t="s">
        <v>674</v>
      </c>
      <c r="I276" s="258" t="s">
        <v>1614</v>
      </c>
      <c r="J276" s="259" t="s">
        <v>965</v>
      </c>
      <c r="K276" s="260">
        <v>363.0</v>
      </c>
      <c r="L276" s="258" t="s">
        <v>2079</v>
      </c>
      <c r="M276" s="265" t="s">
        <v>2085</v>
      </c>
      <c r="N276" s="173" t="s">
        <v>679</v>
      </c>
      <c r="O276" s="173" t="s">
        <v>225</v>
      </c>
      <c r="P276" s="262" t="str">
        <f t="shared" si="1"/>
        <v>IN-BLR-ANANTA-HLI-25_3</v>
      </c>
      <c r="Q276" s="173" t="s">
        <v>2086</v>
      </c>
      <c r="R276" s="258" t="str">
        <f>IFS(C276="","",C276="n/a","N/A",LEN(C276),Concatenate("{",char(34),"asset",char(34),":{",char(34),"guid",char(34),":",char(34),Q276,char(34),",",char(34),"site",char(34),":",char(34),LOWER('2-Building'!$B$4),char(34),",",char(34),"name",char(34),":",char(34),LOWER(C276),char(34),"}}"))</f>
        <v>{"asset":{"guid":"uuid://90e30a3e-2bc8-4c56-a13f-fdca8d9e7137","site":"in-blr-ananta","name":"hli-25"}}</v>
      </c>
      <c r="S276" s="258" t="s">
        <v>1834</v>
      </c>
      <c r="T276" s="263"/>
      <c r="U276" s="263"/>
      <c r="V276" s="264" t="s">
        <v>1835</v>
      </c>
      <c r="W276" s="258" t="s">
        <v>1836</v>
      </c>
      <c r="X276" s="258" t="s">
        <v>1837</v>
      </c>
      <c r="Y276" s="33" t="s">
        <v>1838</v>
      </c>
      <c r="Z276" s="258">
        <v>11049.0</v>
      </c>
      <c r="AA276" s="258">
        <v>11501.0</v>
      </c>
      <c r="AB276" s="258"/>
      <c r="AC276" s="258"/>
      <c r="AD276" s="265"/>
      <c r="AE276" s="266" t="s">
        <v>685</v>
      </c>
      <c r="AF276" s="267" t="s">
        <v>2087</v>
      </c>
      <c r="AG276" s="268" t="str">
        <f>IFS(LEN(AF276)=17,LOWER('2-Building'!$B$4 &amp; "-" &amp; C276), AF276="N/A", "N/A", LEN(AF276)=0,"")</f>
        <v>in-blr-ananta-hli-25</v>
      </c>
      <c r="AH276" s="258"/>
      <c r="AI276" s="258"/>
      <c r="AJ276" s="258"/>
      <c r="AK276" s="258" t="s">
        <v>2088</v>
      </c>
      <c r="AL276" s="258" t="s">
        <v>688</v>
      </c>
      <c r="AM276" s="258" t="s">
        <v>689</v>
      </c>
      <c r="AN276" s="258"/>
      <c r="AO276" s="258"/>
      <c r="AP276" s="258"/>
      <c r="AQ276" s="258"/>
      <c r="AR276" s="258" t="s">
        <v>690</v>
      </c>
      <c r="AS276" s="258" t="s">
        <v>691</v>
      </c>
      <c r="AT276" s="258" t="s">
        <v>1841</v>
      </c>
      <c r="AU276" s="265" t="s">
        <v>1842</v>
      </c>
      <c r="AV276" s="174" t="s">
        <v>225</v>
      </c>
      <c r="AW276" s="269" t="s">
        <v>245</v>
      </c>
      <c r="AX276" s="269" t="s">
        <v>694</v>
      </c>
      <c r="AY276" s="270" t="s">
        <v>1843</v>
      </c>
      <c r="AZ276" s="173" t="s">
        <v>1834</v>
      </c>
      <c r="BA276" s="265">
        <v>10.0</v>
      </c>
      <c r="BB276" s="174" t="s">
        <v>225</v>
      </c>
      <c r="BC276" s="271"/>
      <c r="BD276" s="272" t="s">
        <v>1844</v>
      </c>
      <c r="BE276" s="273"/>
      <c r="BF276" s="274" t="str">
        <f>IFERROR(__xludf.DUMMYFUNCTION("LOWER(Regexreplace(to_text(E276),""[^A-Za-z0-9]"","""")&amp;""_""&amp;Regexreplace(to_text(F276),""[^A-Za-z0-9]"",""""))"),"alc_ofhi")</f>
        <v>alc_ofhi</v>
      </c>
      <c r="BG276" s="275" t="str">
        <f>IFERROR(__xludf.DUMMYFUNCTION("upper(Regexreplace(to_text(E276),""[^A-Za-z0-9]"","""")&amp;""-""&amp;Regexreplace(to_text(F276),""[^A-Za-z0-9]"",""""))"),"ALC-OFHI")</f>
        <v>ALC-OFHI</v>
      </c>
    </row>
    <row r="277" ht="30.0" customHeight="1">
      <c r="A277" s="258">
        <v>270.0</v>
      </c>
      <c r="B277" s="256" t="s">
        <v>670</v>
      </c>
      <c r="C277" s="257" t="s">
        <v>2089</v>
      </c>
      <c r="D277" s="173" t="s">
        <v>2089</v>
      </c>
      <c r="E277" s="174" t="s">
        <v>1830</v>
      </c>
      <c r="F277" s="173" t="s">
        <v>510</v>
      </c>
      <c r="G277" s="258" t="s">
        <v>673</v>
      </c>
      <c r="H277" s="258" t="s">
        <v>674</v>
      </c>
      <c r="I277" s="258" t="s">
        <v>1614</v>
      </c>
      <c r="J277" s="259" t="s">
        <v>965</v>
      </c>
      <c r="K277" s="260">
        <v>363.0</v>
      </c>
      <c r="L277" s="258" t="s">
        <v>2079</v>
      </c>
      <c r="M277" s="265" t="s">
        <v>2090</v>
      </c>
      <c r="N277" s="173" t="s">
        <v>679</v>
      </c>
      <c r="O277" s="173" t="s">
        <v>225</v>
      </c>
      <c r="P277" s="262" t="str">
        <f t="shared" si="1"/>
        <v>IN-BLR-ANANTA-HLI-26_3</v>
      </c>
      <c r="Q277" s="173" t="s">
        <v>2091</v>
      </c>
      <c r="R277" s="258" t="str">
        <f>IFS(C277="","",C277="n/a","N/A",LEN(C277),Concatenate("{",char(34),"asset",char(34),":{",char(34),"guid",char(34),":",char(34),Q277,char(34),",",char(34),"site",char(34),":",char(34),LOWER('2-Building'!$B$4),char(34),",",char(34),"name",char(34),":",char(34),LOWER(C277),char(34),"}}"))</f>
        <v>{"asset":{"guid":"uuid://8406fff5-acb5-4758-b512-68a5104f9244","site":"in-blr-ananta","name":"hli-26"}}</v>
      </c>
      <c r="S277" s="258" t="s">
        <v>1834</v>
      </c>
      <c r="T277" s="263"/>
      <c r="U277" s="263"/>
      <c r="V277" s="264" t="s">
        <v>1835</v>
      </c>
      <c r="W277" s="258" t="s">
        <v>1836</v>
      </c>
      <c r="X277" s="258" t="s">
        <v>1837</v>
      </c>
      <c r="Y277" s="33" t="s">
        <v>1838</v>
      </c>
      <c r="Z277" s="258">
        <v>11050.0</v>
      </c>
      <c r="AA277" s="258">
        <v>11501.0</v>
      </c>
      <c r="AB277" s="258"/>
      <c r="AC277" s="258"/>
      <c r="AD277" s="265"/>
      <c r="AE277" s="266" t="s">
        <v>685</v>
      </c>
      <c r="AF277" s="267" t="s">
        <v>2092</v>
      </c>
      <c r="AG277" s="268" t="str">
        <f>IFS(LEN(AF277)=17,LOWER('2-Building'!$B$4 &amp; "-" &amp; C277), AF277="N/A", "N/A", LEN(AF277)=0,"")</f>
        <v>in-blr-ananta-hli-26</v>
      </c>
      <c r="AH277" s="258"/>
      <c r="AI277" s="258"/>
      <c r="AJ277" s="258"/>
      <c r="AK277" s="258" t="s">
        <v>2093</v>
      </c>
      <c r="AL277" s="258" t="s">
        <v>688</v>
      </c>
      <c r="AM277" s="258" t="s">
        <v>689</v>
      </c>
      <c r="AN277" s="258"/>
      <c r="AO277" s="258"/>
      <c r="AP277" s="258"/>
      <c r="AQ277" s="258"/>
      <c r="AR277" s="258" t="s">
        <v>690</v>
      </c>
      <c r="AS277" s="258" t="s">
        <v>691</v>
      </c>
      <c r="AT277" s="258" t="s">
        <v>1841</v>
      </c>
      <c r="AU277" s="265" t="s">
        <v>1842</v>
      </c>
      <c r="AV277" s="174" t="s">
        <v>225</v>
      </c>
      <c r="AW277" s="269" t="s">
        <v>245</v>
      </c>
      <c r="AX277" s="269" t="s">
        <v>694</v>
      </c>
      <c r="AY277" s="270" t="s">
        <v>1843</v>
      </c>
      <c r="AZ277" s="173" t="s">
        <v>1834</v>
      </c>
      <c r="BA277" s="265">
        <v>10.0</v>
      </c>
      <c r="BB277" s="174" t="s">
        <v>225</v>
      </c>
      <c r="BC277" s="271"/>
      <c r="BD277" s="272" t="s">
        <v>1844</v>
      </c>
      <c r="BE277" s="273"/>
      <c r="BF277" s="274" t="str">
        <f>IFERROR(__xludf.DUMMYFUNCTION("LOWER(Regexreplace(to_text(E277),""[^A-Za-z0-9]"","""")&amp;""_""&amp;Regexreplace(to_text(F277),""[^A-Za-z0-9]"",""""))"),"alc_ofhi")</f>
        <v>alc_ofhi</v>
      </c>
      <c r="BG277" s="275" t="str">
        <f>IFERROR(__xludf.DUMMYFUNCTION("upper(Regexreplace(to_text(E277),""[^A-Za-z0-9]"","""")&amp;""-""&amp;Regexreplace(to_text(F277),""[^A-Za-z0-9]"",""""))"),"ALC-OFHI")</f>
        <v>ALC-OFHI</v>
      </c>
    </row>
    <row r="278" ht="30.0" customHeight="1">
      <c r="A278" s="173">
        <v>271.0</v>
      </c>
      <c r="B278" s="256" t="s">
        <v>670</v>
      </c>
      <c r="C278" s="257" t="s">
        <v>970</v>
      </c>
      <c r="D278" s="173" t="s">
        <v>970</v>
      </c>
      <c r="E278" s="174" t="s">
        <v>1830</v>
      </c>
      <c r="F278" s="173" t="s">
        <v>507</v>
      </c>
      <c r="G278" s="258" t="s">
        <v>673</v>
      </c>
      <c r="H278" s="258" t="s">
        <v>674</v>
      </c>
      <c r="I278" s="258" t="s">
        <v>675</v>
      </c>
      <c r="J278" s="259" t="s">
        <v>965</v>
      </c>
      <c r="K278" s="260">
        <v>363.0</v>
      </c>
      <c r="L278" s="258" t="s">
        <v>2094</v>
      </c>
      <c r="M278" s="265" t="s">
        <v>2095</v>
      </c>
      <c r="N278" s="173" t="s">
        <v>679</v>
      </c>
      <c r="O278" s="173" t="s">
        <v>225</v>
      </c>
      <c r="P278" s="262" t="str">
        <f t="shared" si="1"/>
        <v>IN-BLR-ANANTA-DDC-24_3</v>
      </c>
      <c r="Q278" s="173" t="s">
        <v>2096</v>
      </c>
      <c r="R278" s="258" t="str">
        <f>IFS(C278="","",C278="n/a","N/A",LEN(C278),Concatenate("{",char(34),"asset",char(34),":{",char(34),"guid",char(34),":",char(34),Q278,char(34),",",char(34),"site",char(34),":",char(34),LOWER('2-Building'!$B$4),char(34),",",char(34),"name",char(34),":",char(34),LOWER(C278),char(34),"}}"))</f>
        <v>{"asset":{"guid":"uuid://382c2523-f3cd-43c6-bf5c-196562e99e25","site":"in-blr-ananta","name":"ddc-24"}}</v>
      </c>
      <c r="S278" s="258" t="s">
        <v>1834</v>
      </c>
      <c r="T278" s="263"/>
      <c r="U278" s="263"/>
      <c r="V278" s="264" t="s">
        <v>1835</v>
      </c>
      <c r="W278" s="258" t="s">
        <v>1836</v>
      </c>
      <c r="X278" s="258" t="s">
        <v>1837</v>
      </c>
      <c r="Y278" s="33" t="s">
        <v>1838</v>
      </c>
      <c r="Z278" s="258">
        <v>11051.0</v>
      </c>
      <c r="AA278" s="258">
        <v>11501.0</v>
      </c>
      <c r="AB278" s="258"/>
      <c r="AC278" s="258"/>
      <c r="AD278" s="265"/>
      <c r="AE278" s="266" t="s">
        <v>685</v>
      </c>
      <c r="AF278" s="267" t="s">
        <v>2097</v>
      </c>
      <c r="AG278" s="268" t="str">
        <f>IFS(LEN(AF278)=17,LOWER('2-Building'!$B$4 &amp; "-" &amp; C278), AF278="N/A", "N/A", LEN(AF278)=0,"")</f>
        <v>in-blr-ananta-ddc-24</v>
      </c>
      <c r="AH278" s="258"/>
      <c r="AI278" s="258"/>
      <c r="AJ278" s="258"/>
      <c r="AK278" s="258" t="s">
        <v>2098</v>
      </c>
      <c r="AL278" s="258" t="s">
        <v>688</v>
      </c>
      <c r="AM278" s="258" t="s">
        <v>689</v>
      </c>
      <c r="AN278" s="258"/>
      <c r="AO278" s="258"/>
      <c r="AP278" s="258"/>
      <c r="AQ278" s="258"/>
      <c r="AR278" s="258" t="s">
        <v>690</v>
      </c>
      <c r="AS278" s="258" t="s">
        <v>691</v>
      </c>
      <c r="AT278" s="258" t="s">
        <v>1841</v>
      </c>
      <c r="AU278" s="265" t="s">
        <v>1842</v>
      </c>
      <c r="AV278" s="174" t="s">
        <v>225</v>
      </c>
      <c r="AW278" s="269" t="s">
        <v>245</v>
      </c>
      <c r="AX278" s="269" t="s">
        <v>694</v>
      </c>
      <c r="AY278" s="270" t="s">
        <v>1843</v>
      </c>
      <c r="AZ278" s="173" t="s">
        <v>1834</v>
      </c>
      <c r="BA278" s="265">
        <v>10.0</v>
      </c>
      <c r="BB278" s="174" t="s">
        <v>225</v>
      </c>
      <c r="BC278" s="271"/>
      <c r="BD278" s="272" t="s">
        <v>1844</v>
      </c>
      <c r="BE278" s="273"/>
      <c r="BF278" s="274" t="str">
        <f>IFERROR(__xludf.DUMMYFUNCTION("LOWER(Regexreplace(to_text(E278),""[^A-Za-z0-9]"","""")&amp;""_""&amp;Regexreplace(to_text(F278),""[^A-Za-z0-9]"",""""))"),"alc_g5ce")</f>
        <v>alc_g5ce</v>
      </c>
      <c r="BG278" s="275" t="str">
        <f>IFERROR(__xludf.DUMMYFUNCTION("upper(Regexreplace(to_text(E278),""[^A-Za-z0-9]"","""")&amp;""-""&amp;Regexreplace(to_text(F278),""[^A-Za-z0-9]"",""""))"),"ALC-G5CE")</f>
        <v>ALC-G5CE</v>
      </c>
    </row>
    <row r="279" ht="30.0" customHeight="1">
      <c r="A279" s="258">
        <v>272.0</v>
      </c>
      <c r="B279" s="256" t="s">
        <v>670</v>
      </c>
      <c r="C279" s="257" t="s">
        <v>990</v>
      </c>
      <c r="D279" s="173" t="s">
        <v>990</v>
      </c>
      <c r="E279" s="174" t="s">
        <v>1830</v>
      </c>
      <c r="F279" s="173" t="s">
        <v>507</v>
      </c>
      <c r="G279" s="258" t="s">
        <v>673</v>
      </c>
      <c r="H279" s="258" t="s">
        <v>674</v>
      </c>
      <c r="I279" s="258" t="s">
        <v>675</v>
      </c>
      <c r="J279" s="259" t="s">
        <v>965</v>
      </c>
      <c r="K279" s="260">
        <v>319.0</v>
      </c>
      <c r="L279" s="258" t="s">
        <v>2099</v>
      </c>
      <c r="M279" s="265" t="s">
        <v>2100</v>
      </c>
      <c r="N279" s="173" t="s">
        <v>679</v>
      </c>
      <c r="O279" s="173" t="s">
        <v>225</v>
      </c>
      <c r="P279" s="262" t="str">
        <f t="shared" si="1"/>
        <v>IN-BLR-ANANTA-DDC-25_3</v>
      </c>
      <c r="Q279" s="173" t="s">
        <v>2101</v>
      </c>
      <c r="R279" s="258" t="str">
        <f>IFS(C279="","",C279="n/a","N/A",LEN(C279),Concatenate("{",char(34),"asset",char(34),":{",char(34),"guid",char(34),":",char(34),Q279,char(34),",",char(34),"site",char(34),":",char(34),LOWER('2-Building'!$B$4),char(34),",",char(34),"name",char(34),":",char(34),LOWER(C279),char(34),"}}"))</f>
        <v>{"asset":{"guid":"uuid://20beb736-7f04-4756-bc7f-8b1abc3e08f6","site":"in-blr-ananta","name":"ddc-25"}}</v>
      </c>
      <c r="S279" s="258" t="s">
        <v>1834</v>
      </c>
      <c r="T279" s="263"/>
      <c r="U279" s="263"/>
      <c r="V279" s="264" t="s">
        <v>1835</v>
      </c>
      <c r="W279" s="258" t="s">
        <v>1836</v>
      </c>
      <c r="X279" s="258" t="s">
        <v>1837</v>
      </c>
      <c r="Y279" s="33" t="s">
        <v>1838</v>
      </c>
      <c r="Z279" s="258">
        <v>11052.0</v>
      </c>
      <c r="AA279" s="258">
        <v>11501.0</v>
      </c>
      <c r="AB279" s="258"/>
      <c r="AC279" s="258"/>
      <c r="AD279" s="265"/>
      <c r="AE279" s="266" t="s">
        <v>685</v>
      </c>
      <c r="AF279" s="267" t="s">
        <v>2102</v>
      </c>
      <c r="AG279" s="268" t="str">
        <f>IFS(LEN(AF279)=17,LOWER('2-Building'!$B$4 &amp; "-" &amp; C279), AF279="N/A", "N/A", LEN(AF279)=0,"")</f>
        <v>in-blr-ananta-ddc-25</v>
      </c>
      <c r="AH279" s="258"/>
      <c r="AI279" s="258"/>
      <c r="AJ279" s="258"/>
      <c r="AK279" s="258" t="s">
        <v>2103</v>
      </c>
      <c r="AL279" s="258" t="s">
        <v>688</v>
      </c>
      <c r="AM279" s="258" t="s">
        <v>689</v>
      </c>
      <c r="AN279" s="258"/>
      <c r="AO279" s="258"/>
      <c r="AP279" s="258"/>
      <c r="AQ279" s="258"/>
      <c r="AR279" s="258" t="s">
        <v>690</v>
      </c>
      <c r="AS279" s="258" t="s">
        <v>691</v>
      </c>
      <c r="AT279" s="258" t="s">
        <v>1841</v>
      </c>
      <c r="AU279" s="265" t="s">
        <v>1842</v>
      </c>
      <c r="AV279" s="174" t="s">
        <v>225</v>
      </c>
      <c r="AW279" s="269" t="s">
        <v>245</v>
      </c>
      <c r="AX279" s="269" t="s">
        <v>694</v>
      </c>
      <c r="AY279" s="270" t="s">
        <v>1843</v>
      </c>
      <c r="AZ279" s="173" t="s">
        <v>1834</v>
      </c>
      <c r="BA279" s="265">
        <v>10.0</v>
      </c>
      <c r="BB279" s="174" t="s">
        <v>225</v>
      </c>
      <c r="BC279" s="271"/>
      <c r="BD279" s="272" t="s">
        <v>1844</v>
      </c>
      <c r="BE279" s="273"/>
      <c r="BF279" s="274" t="str">
        <f>IFERROR(__xludf.DUMMYFUNCTION("LOWER(Regexreplace(to_text(E279),""[^A-Za-z0-9]"","""")&amp;""_""&amp;Regexreplace(to_text(F279),""[^A-Za-z0-9]"",""""))"),"alc_g5ce")</f>
        <v>alc_g5ce</v>
      </c>
      <c r="BG279" s="275" t="str">
        <f>IFERROR(__xludf.DUMMYFUNCTION("upper(Regexreplace(to_text(E279),""[^A-Za-z0-9]"","""")&amp;""-""&amp;Regexreplace(to_text(F279),""[^A-Za-z0-9]"",""""))"),"ALC-G5CE")</f>
        <v>ALC-G5CE</v>
      </c>
    </row>
    <row r="280" ht="30.0" customHeight="1">
      <c r="A280" s="173">
        <v>273.0</v>
      </c>
      <c r="B280" s="256" t="s">
        <v>670</v>
      </c>
      <c r="C280" s="257" t="s">
        <v>2104</v>
      </c>
      <c r="D280" s="173" t="s">
        <v>2104</v>
      </c>
      <c r="E280" s="174" t="s">
        <v>1830</v>
      </c>
      <c r="F280" s="173" t="s">
        <v>507</v>
      </c>
      <c r="G280" s="258" t="s">
        <v>673</v>
      </c>
      <c r="H280" s="258" t="s">
        <v>674</v>
      </c>
      <c r="I280" s="258" t="s">
        <v>1614</v>
      </c>
      <c r="J280" s="259" t="s">
        <v>965</v>
      </c>
      <c r="K280" s="260">
        <v>319.0</v>
      </c>
      <c r="L280" s="258" t="s">
        <v>2099</v>
      </c>
      <c r="M280" s="265" t="s">
        <v>2105</v>
      </c>
      <c r="N280" s="173" t="s">
        <v>679</v>
      </c>
      <c r="O280" s="173" t="s">
        <v>225</v>
      </c>
      <c r="P280" s="262" t="str">
        <f t="shared" si="1"/>
        <v>IN-BLR-ANANTA-HLI-27_3</v>
      </c>
      <c r="Q280" s="173" t="s">
        <v>2106</v>
      </c>
      <c r="R280" s="258" t="str">
        <f>IFS(C280="","",C280="n/a","N/A",LEN(C280),Concatenate("{",char(34),"asset",char(34),":{",char(34),"guid",char(34),":",char(34),Q280,char(34),",",char(34),"site",char(34),":",char(34),LOWER('2-Building'!$B$4),char(34),",",char(34),"name",char(34),":",char(34),LOWER(C280),char(34),"}}"))</f>
        <v>{"asset":{"guid":"uuid://a075d653-56b6-48d8-a138-7793c423bd45","site":"in-blr-ananta","name":"hli-27"}}</v>
      </c>
      <c r="S280" s="258" t="s">
        <v>1834</v>
      </c>
      <c r="T280" s="263"/>
      <c r="U280" s="263"/>
      <c r="V280" s="264" t="s">
        <v>1835</v>
      </c>
      <c r="W280" s="258" t="s">
        <v>1836</v>
      </c>
      <c r="X280" s="258" t="s">
        <v>1837</v>
      </c>
      <c r="Y280" s="33" t="s">
        <v>1838</v>
      </c>
      <c r="Z280" s="258">
        <v>11053.0</v>
      </c>
      <c r="AA280" s="258">
        <v>11501.0</v>
      </c>
      <c r="AB280" s="258"/>
      <c r="AC280" s="258"/>
      <c r="AD280" s="265"/>
      <c r="AE280" s="266" t="s">
        <v>685</v>
      </c>
      <c r="AF280" s="267" t="s">
        <v>2107</v>
      </c>
      <c r="AG280" s="268" t="str">
        <f>IFS(LEN(AF280)=17,LOWER('2-Building'!$B$4 &amp; "-" &amp; C280), AF280="N/A", "N/A", LEN(AF280)=0,"")</f>
        <v>in-blr-ananta-hli-27</v>
      </c>
      <c r="AH280" s="258"/>
      <c r="AI280" s="258"/>
      <c r="AJ280" s="258"/>
      <c r="AK280" s="258" t="s">
        <v>2108</v>
      </c>
      <c r="AL280" s="258" t="s">
        <v>688</v>
      </c>
      <c r="AM280" s="258" t="s">
        <v>689</v>
      </c>
      <c r="AN280" s="258"/>
      <c r="AO280" s="258"/>
      <c r="AP280" s="258"/>
      <c r="AQ280" s="258"/>
      <c r="AR280" s="258" t="s">
        <v>690</v>
      </c>
      <c r="AS280" s="258" t="s">
        <v>691</v>
      </c>
      <c r="AT280" s="258" t="s">
        <v>1841</v>
      </c>
      <c r="AU280" s="265" t="s">
        <v>1842</v>
      </c>
      <c r="AV280" s="174" t="s">
        <v>225</v>
      </c>
      <c r="AW280" s="269" t="s">
        <v>245</v>
      </c>
      <c r="AX280" s="269" t="s">
        <v>694</v>
      </c>
      <c r="AY280" s="270" t="s">
        <v>1843</v>
      </c>
      <c r="AZ280" s="173" t="s">
        <v>1834</v>
      </c>
      <c r="BA280" s="265">
        <v>10.0</v>
      </c>
      <c r="BB280" s="174" t="s">
        <v>225</v>
      </c>
      <c r="BC280" s="271"/>
      <c r="BD280" s="272" t="s">
        <v>1844</v>
      </c>
      <c r="BE280" s="273"/>
      <c r="BF280" s="274" t="str">
        <f>IFERROR(__xludf.DUMMYFUNCTION("LOWER(Regexreplace(to_text(E280),""[^A-Za-z0-9]"","""")&amp;""_""&amp;Regexreplace(to_text(F280),""[^A-Za-z0-9]"",""""))"),"alc_g5ce")</f>
        <v>alc_g5ce</v>
      </c>
      <c r="BG280" s="275" t="str">
        <f>IFERROR(__xludf.DUMMYFUNCTION("upper(Regexreplace(to_text(E280),""[^A-Za-z0-9]"","""")&amp;""-""&amp;Regexreplace(to_text(F280),""[^A-Za-z0-9]"",""""))"),"ALC-G5CE")</f>
        <v>ALC-G5CE</v>
      </c>
    </row>
    <row r="281" ht="30.0" customHeight="1">
      <c r="A281" s="258">
        <v>274.0</v>
      </c>
      <c r="B281" s="256" t="s">
        <v>670</v>
      </c>
      <c r="C281" s="257" t="s">
        <v>1000</v>
      </c>
      <c r="D281" s="173" t="s">
        <v>1000</v>
      </c>
      <c r="E281" s="174" t="s">
        <v>1830</v>
      </c>
      <c r="F281" s="173" t="s">
        <v>507</v>
      </c>
      <c r="G281" s="258" t="s">
        <v>673</v>
      </c>
      <c r="H281" s="258" t="s">
        <v>674</v>
      </c>
      <c r="I281" s="258" t="s">
        <v>675</v>
      </c>
      <c r="J281" s="259" t="s">
        <v>965</v>
      </c>
      <c r="K281" s="260">
        <v>348.0</v>
      </c>
      <c r="L281" s="258" t="s">
        <v>2109</v>
      </c>
      <c r="M281" s="265" t="s">
        <v>2110</v>
      </c>
      <c r="N281" s="173" t="s">
        <v>679</v>
      </c>
      <c r="O281" s="173" t="s">
        <v>225</v>
      </c>
      <c r="P281" s="262" t="str">
        <f t="shared" si="1"/>
        <v>IN-BLR-ANANTA-DDC-26_3</v>
      </c>
      <c r="Q281" s="173" t="s">
        <v>2111</v>
      </c>
      <c r="R281" s="258" t="str">
        <f>IFS(C281="","",C281="n/a","N/A",LEN(C281),Concatenate("{",char(34),"asset",char(34),":{",char(34),"guid",char(34),":",char(34),Q281,char(34),",",char(34),"site",char(34),":",char(34),LOWER('2-Building'!$B$4),char(34),",",char(34),"name",char(34),":",char(34),LOWER(C281),char(34),"}}"))</f>
        <v>{"asset":{"guid":"uuid://d5d2fd84-90e6-4428-b8e1-748680d2ae4c","site":"in-blr-ananta","name":"ddc-26"}}</v>
      </c>
      <c r="S281" s="258" t="s">
        <v>1834</v>
      </c>
      <c r="T281" s="263"/>
      <c r="U281" s="263"/>
      <c r="V281" s="264" t="s">
        <v>1835</v>
      </c>
      <c r="W281" s="258" t="s">
        <v>1836</v>
      </c>
      <c r="X281" s="258" t="s">
        <v>1837</v>
      </c>
      <c r="Y281" s="33" t="s">
        <v>1838</v>
      </c>
      <c r="Z281" s="258">
        <v>11054.0</v>
      </c>
      <c r="AA281" s="258">
        <v>11501.0</v>
      </c>
      <c r="AB281" s="258"/>
      <c r="AC281" s="258"/>
      <c r="AD281" s="265"/>
      <c r="AE281" s="266" t="s">
        <v>685</v>
      </c>
      <c r="AF281" s="267" t="s">
        <v>2112</v>
      </c>
      <c r="AG281" s="268" t="str">
        <f>IFS(LEN(AF281)=17,LOWER('2-Building'!$B$4 &amp; "-" &amp; C281), AF281="N/A", "N/A", LEN(AF281)=0,"")</f>
        <v>in-blr-ananta-ddc-26</v>
      </c>
      <c r="AH281" s="258"/>
      <c r="AI281" s="258"/>
      <c r="AJ281" s="258"/>
      <c r="AK281" s="258" t="s">
        <v>2113</v>
      </c>
      <c r="AL281" s="258" t="s">
        <v>688</v>
      </c>
      <c r="AM281" s="258" t="s">
        <v>689</v>
      </c>
      <c r="AN281" s="258"/>
      <c r="AO281" s="258"/>
      <c r="AP281" s="258"/>
      <c r="AQ281" s="258"/>
      <c r="AR281" s="258" t="s">
        <v>690</v>
      </c>
      <c r="AS281" s="258" t="s">
        <v>691</v>
      </c>
      <c r="AT281" s="258" t="s">
        <v>1841</v>
      </c>
      <c r="AU281" s="265" t="s">
        <v>1842</v>
      </c>
      <c r="AV281" s="174" t="s">
        <v>225</v>
      </c>
      <c r="AW281" s="269" t="s">
        <v>245</v>
      </c>
      <c r="AX281" s="269" t="s">
        <v>694</v>
      </c>
      <c r="AY281" s="270" t="s">
        <v>1843</v>
      </c>
      <c r="AZ281" s="173" t="s">
        <v>1834</v>
      </c>
      <c r="BA281" s="265">
        <v>10.0</v>
      </c>
      <c r="BB281" s="174" t="s">
        <v>225</v>
      </c>
      <c r="BC281" s="271"/>
      <c r="BD281" s="272" t="s">
        <v>1844</v>
      </c>
      <c r="BE281" s="273"/>
      <c r="BF281" s="274" t="str">
        <f>IFERROR(__xludf.DUMMYFUNCTION("LOWER(Regexreplace(to_text(E281),""[^A-Za-z0-9]"","""")&amp;""_""&amp;Regexreplace(to_text(F281),""[^A-Za-z0-9]"",""""))"),"alc_g5ce")</f>
        <v>alc_g5ce</v>
      </c>
      <c r="BG281" s="275" t="str">
        <f>IFERROR(__xludf.DUMMYFUNCTION("upper(Regexreplace(to_text(E281),""[^A-Za-z0-9]"","""")&amp;""-""&amp;Regexreplace(to_text(F281),""[^A-Za-z0-9]"",""""))"),"ALC-G5CE")</f>
        <v>ALC-G5CE</v>
      </c>
    </row>
    <row r="282" ht="30.0" customHeight="1">
      <c r="A282" s="173">
        <v>275.0</v>
      </c>
      <c r="B282" s="256" t="s">
        <v>670</v>
      </c>
      <c r="C282" s="257" t="s">
        <v>2114</v>
      </c>
      <c r="D282" s="173" t="s">
        <v>2114</v>
      </c>
      <c r="E282" s="174" t="s">
        <v>1830</v>
      </c>
      <c r="F282" s="173" t="s">
        <v>510</v>
      </c>
      <c r="G282" s="258" t="s">
        <v>673</v>
      </c>
      <c r="H282" s="258" t="s">
        <v>674</v>
      </c>
      <c r="I282" s="258" t="s">
        <v>1614</v>
      </c>
      <c r="J282" s="259" t="s">
        <v>965</v>
      </c>
      <c r="K282" s="260">
        <v>348.0</v>
      </c>
      <c r="L282" s="258" t="s">
        <v>2109</v>
      </c>
      <c r="M282" s="265" t="s">
        <v>2115</v>
      </c>
      <c r="N282" s="173" t="s">
        <v>679</v>
      </c>
      <c r="O282" s="173" t="s">
        <v>225</v>
      </c>
      <c r="P282" s="262" t="str">
        <f t="shared" si="1"/>
        <v>IN-BLR-ANANTA-HLI-28_3</v>
      </c>
      <c r="Q282" s="173" t="s">
        <v>2116</v>
      </c>
      <c r="R282" s="258" t="str">
        <f>IFS(C282="","",C282="n/a","N/A",LEN(C282),Concatenate("{",char(34),"asset",char(34),":{",char(34),"guid",char(34),":",char(34),Q282,char(34),",",char(34),"site",char(34),":",char(34),LOWER('2-Building'!$B$4),char(34),",",char(34),"name",char(34),":",char(34),LOWER(C282),char(34),"}}"))</f>
        <v>{"asset":{"guid":"uuid://0f070013-d08d-41dc-80d8-a0aa7b70a288","site":"in-blr-ananta","name":"hli-28"}}</v>
      </c>
      <c r="S282" s="258" t="s">
        <v>1834</v>
      </c>
      <c r="T282" s="263"/>
      <c r="U282" s="263"/>
      <c r="V282" s="264" t="s">
        <v>1835</v>
      </c>
      <c r="W282" s="258" t="s">
        <v>1836</v>
      </c>
      <c r="X282" s="258" t="s">
        <v>1837</v>
      </c>
      <c r="Y282" s="33" t="s">
        <v>1838</v>
      </c>
      <c r="Z282" s="258">
        <v>11055.0</v>
      </c>
      <c r="AA282" s="258">
        <v>11501.0</v>
      </c>
      <c r="AB282" s="258"/>
      <c r="AC282" s="258"/>
      <c r="AD282" s="265"/>
      <c r="AE282" s="266" t="s">
        <v>685</v>
      </c>
      <c r="AF282" s="267" t="s">
        <v>2117</v>
      </c>
      <c r="AG282" s="268" t="str">
        <f>IFS(LEN(AF282)=17,LOWER('2-Building'!$B$4 &amp; "-" &amp; C282), AF282="N/A", "N/A", LEN(AF282)=0,"")</f>
        <v>in-blr-ananta-hli-28</v>
      </c>
      <c r="AH282" s="258"/>
      <c r="AI282" s="258"/>
      <c r="AJ282" s="258"/>
      <c r="AK282" s="258" t="s">
        <v>2118</v>
      </c>
      <c r="AL282" s="258" t="s">
        <v>688</v>
      </c>
      <c r="AM282" s="258" t="s">
        <v>689</v>
      </c>
      <c r="AN282" s="258"/>
      <c r="AO282" s="258"/>
      <c r="AP282" s="258"/>
      <c r="AQ282" s="258"/>
      <c r="AR282" s="258" t="s">
        <v>690</v>
      </c>
      <c r="AS282" s="258" t="s">
        <v>691</v>
      </c>
      <c r="AT282" s="258" t="s">
        <v>1841</v>
      </c>
      <c r="AU282" s="265" t="s">
        <v>1842</v>
      </c>
      <c r="AV282" s="174" t="s">
        <v>225</v>
      </c>
      <c r="AW282" s="269" t="s">
        <v>245</v>
      </c>
      <c r="AX282" s="269" t="s">
        <v>694</v>
      </c>
      <c r="AY282" s="270" t="s">
        <v>1843</v>
      </c>
      <c r="AZ282" s="173" t="s">
        <v>1834</v>
      </c>
      <c r="BA282" s="265">
        <v>10.0</v>
      </c>
      <c r="BB282" s="174" t="s">
        <v>225</v>
      </c>
      <c r="BC282" s="271"/>
      <c r="BD282" s="272" t="s">
        <v>1844</v>
      </c>
      <c r="BE282" s="273"/>
      <c r="BF282" s="274" t="str">
        <f>IFERROR(__xludf.DUMMYFUNCTION("LOWER(Regexreplace(to_text(E282),""[^A-Za-z0-9]"","""")&amp;""_""&amp;Regexreplace(to_text(F282),""[^A-Za-z0-9]"",""""))"),"alc_ofhi")</f>
        <v>alc_ofhi</v>
      </c>
      <c r="BG282" s="275" t="str">
        <f>IFERROR(__xludf.DUMMYFUNCTION("upper(Regexreplace(to_text(E282),""[^A-Za-z0-9]"","""")&amp;""-""&amp;Regexreplace(to_text(F282),""[^A-Za-z0-9]"",""""))"),"ALC-OFHI")</f>
        <v>ALC-OFHI</v>
      </c>
    </row>
    <row r="283" ht="30.0" customHeight="1">
      <c r="A283" s="258">
        <v>276.0</v>
      </c>
      <c r="B283" s="256" t="s">
        <v>670</v>
      </c>
      <c r="C283" s="257" t="s">
        <v>980</v>
      </c>
      <c r="D283" s="173" t="s">
        <v>980</v>
      </c>
      <c r="E283" s="174" t="s">
        <v>1830</v>
      </c>
      <c r="F283" s="173" t="s">
        <v>507</v>
      </c>
      <c r="G283" s="258" t="s">
        <v>673</v>
      </c>
      <c r="H283" s="258" t="s">
        <v>674</v>
      </c>
      <c r="I283" s="258" t="s">
        <v>675</v>
      </c>
      <c r="J283" s="259" t="s">
        <v>965</v>
      </c>
      <c r="K283" s="260">
        <v>375.0</v>
      </c>
      <c r="L283" s="258" t="s">
        <v>2119</v>
      </c>
      <c r="M283" s="265" t="s">
        <v>2120</v>
      </c>
      <c r="N283" s="173" t="s">
        <v>679</v>
      </c>
      <c r="O283" s="173" t="s">
        <v>225</v>
      </c>
      <c r="P283" s="262" t="str">
        <f t="shared" si="1"/>
        <v>IN-BLR-ANANTA-DDC-27_3</v>
      </c>
      <c r="Q283" s="173" t="s">
        <v>2121</v>
      </c>
      <c r="R283" s="258" t="str">
        <f>IFS(C283="","",C283="n/a","N/A",LEN(C283),Concatenate("{",char(34),"asset",char(34),":{",char(34),"guid",char(34),":",char(34),Q283,char(34),",",char(34),"site",char(34),":",char(34),LOWER('2-Building'!$B$4),char(34),",",char(34),"name",char(34),":",char(34),LOWER(C283),char(34),"}}"))</f>
        <v>{"asset":{"guid":"uuid://a97eccb7-bd93-4b4a-91a5-75dda25563e3","site":"in-blr-ananta","name":"ddc-27"}}</v>
      </c>
      <c r="S283" s="258" t="s">
        <v>1834</v>
      </c>
      <c r="T283" s="263"/>
      <c r="U283" s="263"/>
      <c r="V283" s="264" t="s">
        <v>1835</v>
      </c>
      <c r="W283" s="258" t="s">
        <v>1836</v>
      </c>
      <c r="X283" s="258" t="s">
        <v>1837</v>
      </c>
      <c r="Y283" s="33" t="s">
        <v>1838</v>
      </c>
      <c r="Z283" s="258">
        <v>11056.0</v>
      </c>
      <c r="AA283" s="258">
        <v>11501.0</v>
      </c>
      <c r="AB283" s="258"/>
      <c r="AC283" s="258"/>
      <c r="AD283" s="265"/>
      <c r="AE283" s="266" t="s">
        <v>685</v>
      </c>
      <c r="AF283" s="267" t="s">
        <v>2122</v>
      </c>
      <c r="AG283" s="268" t="str">
        <f>IFS(LEN(AF283)=17,LOWER('2-Building'!$B$4 &amp; "-" &amp; C283), AF283="N/A", "N/A", LEN(AF283)=0,"")</f>
        <v>in-blr-ananta-ddc-27</v>
      </c>
      <c r="AH283" s="258"/>
      <c r="AI283" s="258"/>
      <c r="AJ283" s="258"/>
      <c r="AK283" s="258" t="s">
        <v>2123</v>
      </c>
      <c r="AL283" s="258" t="s">
        <v>688</v>
      </c>
      <c r="AM283" s="258" t="s">
        <v>689</v>
      </c>
      <c r="AN283" s="258"/>
      <c r="AO283" s="258"/>
      <c r="AP283" s="258"/>
      <c r="AQ283" s="258"/>
      <c r="AR283" s="258" t="s">
        <v>690</v>
      </c>
      <c r="AS283" s="258" t="s">
        <v>691</v>
      </c>
      <c r="AT283" s="258" t="s">
        <v>1841</v>
      </c>
      <c r="AU283" s="265" t="s">
        <v>1842</v>
      </c>
      <c r="AV283" s="174" t="s">
        <v>225</v>
      </c>
      <c r="AW283" s="269" t="s">
        <v>245</v>
      </c>
      <c r="AX283" s="269" t="s">
        <v>694</v>
      </c>
      <c r="AY283" s="270" t="s">
        <v>1843</v>
      </c>
      <c r="AZ283" s="173" t="s">
        <v>1834</v>
      </c>
      <c r="BA283" s="265">
        <v>10.0</v>
      </c>
      <c r="BB283" s="174" t="s">
        <v>225</v>
      </c>
      <c r="BC283" s="271"/>
      <c r="BD283" s="272" t="s">
        <v>1844</v>
      </c>
      <c r="BE283" s="273"/>
      <c r="BF283" s="274" t="str">
        <f>IFERROR(__xludf.DUMMYFUNCTION("LOWER(Regexreplace(to_text(E283),""[^A-Za-z0-9]"","""")&amp;""_""&amp;Regexreplace(to_text(F283),""[^A-Za-z0-9]"",""""))"),"alc_g5ce")</f>
        <v>alc_g5ce</v>
      </c>
      <c r="BG283" s="275" t="str">
        <f>IFERROR(__xludf.DUMMYFUNCTION("upper(Regexreplace(to_text(E283),""[^A-Za-z0-9]"","""")&amp;""-""&amp;Regexreplace(to_text(F283),""[^A-Za-z0-9]"",""""))"),"ALC-G5CE")</f>
        <v>ALC-G5CE</v>
      </c>
    </row>
    <row r="284" ht="30.0" customHeight="1">
      <c r="A284" s="173">
        <v>277.0</v>
      </c>
      <c r="B284" s="256" t="s">
        <v>670</v>
      </c>
      <c r="C284" s="257" t="s">
        <v>2124</v>
      </c>
      <c r="D284" s="173" t="s">
        <v>2124</v>
      </c>
      <c r="E284" s="174" t="s">
        <v>1830</v>
      </c>
      <c r="F284" s="173" t="s">
        <v>507</v>
      </c>
      <c r="G284" s="258" t="s">
        <v>673</v>
      </c>
      <c r="H284" s="258" t="s">
        <v>674</v>
      </c>
      <c r="I284" s="258" t="s">
        <v>1614</v>
      </c>
      <c r="J284" s="259" t="s">
        <v>965</v>
      </c>
      <c r="K284" s="260">
        <v>375.0</v>
      </c>
      <c r="L284" s="258" t="s">
        <v>2119</v>
      </c>
      <c r="M284" s="265" t="s">
        <v>2125</v>
      </c>
      <c r="N284" s="173" t="s">
        <v>679</v>
      </c>
      <c r="O284" s="173" t="s">
        <v>225</v>
      </c>
      <c r="P284" s="262" t="str">
        <f t="shared" si="1"/>
        <v>IN-BLR-ANANTA-HLI-29_3</v>
      </c>
      <c r="Q284" s="173" t="s">
        <v>2126</v>
      </c>
      <c r="R284" s="258" t="str">
        <f>IFS(C284="","",C284="n/a","N/A",LEN(C284),Concatenate("{",char(34),"asset",char(34),":{",char(34),"guid",char(34),":",char(34),Q284,char(34),",",char(34),"site",char(34),":",char(34),LOWER('2-Building'!$B$4),char(34),",",char(34),"name",char(34),":",char(34),LOWER(C284),char(34),"}}"))</f>
        <v>{"asset":{"guid":"uuid://9ada036a-5edf-484b-8d64-20db63b63da0","site":"in-blr-ananta","name":"hli-29"}}</v>
      </c>
      <c r="S284" s="258" t="s">
        <v>1834</v>
      </c>
      <c r="T284" s="263"/>
      <c r="U284" s="263"/>
      <c r="V284" s="264" t="s">
        <v>1835</v>
      </c>
      <c r="W284" s="258" t="s">
        <v>1836</v>
      </c>
      <c r="X284" s="258" t="s">
        <v>1837</v>
      </c>
      <c r="Y284" s="33" t="s">
        <v>1838</v>
      </c>
      <c r="Z284" s="258">
        <v>11057.0</v>
      </c>
      <c r="AA284" s="258">
        <v>11501.0</v>
      </c>
      <c r="AB284" s="258"/>
      <c r="AC284" s="258"/>
      <c r="AD284" s="265"/>
      <c r="AE284" s="266" t="s">
        <v>685</v>
      </c>
      <c r="AF284" s="267" t="s">
        <v>2127</v>
      </c>
      <c r="AG284" s="268" t="str">
        <f>IFS(LEN(AF284)=17,LOWER('2-Building'!$B$4 &amp; "-" &amp; C284), AF284="N/A", "N/A", LEN(AF284)=0,"")</f>
        <v>in-blr-ananta-hli-29</v>
      </c>
      <c r="AH284" s="258"/>
      <c r="AI284" s="258"/>
      <c r="AJ284" s="258"/>
      <c r="AK284" s="258" t="s">
        <v>2128</v>
      </c>
      <c r="AL284" s="258" t="s">
        <v>688</v>
      </c>
      <c r="AM284" s="258" t="s">
        <v>689</v>
      </c>
      <c r="AN284" s="258"/>
      <c r="AO284" s="258"/>
      <c r="AP284" s="258"/>
      <c r="AQ284" s="258"/>
      <c r="AR284" s="258" t="s">
        <v>690</v>
      </c>
      <c r="AS284" s="258" t="s">
        <v>691</v>
      </c>
      <c r="AT284" s="258" t="s">
        <v>1841</v>
      </c>
      <c r="AU284" s="265" t="s">
        <v>1842</v>
      </c>
      <c r="AV284" s="174" t="s">
        <v>225</v>
      </c>
      <c r="AW284" s="269" t="s">
        <v>245</v>
      </c>
      <c r="AX284" s="269" t="s">
        <v>694</v>
      </c>
      <c r="AY284" s="270" t="s">
        <v>1843</v>
      </c>
      <c r="AZ284" s="173" t="s">
        <v>1834</v>
      </c>
      <c r="BA284" s="265">
        <v>10.0</v>
      </c>
      <c r="BB284" s="174" t="s">
        <v>225</v>
      </c>
      <c r="BC284" s="271"/>
      <c r="BD284" s="272" t="s">
        <v>1844</v>
      </c>
      <c r="BE284" s="273"/>
      <c r="BF284" s="274" t="str">
        <f>IFERROR(__xludf.DUMMYFUNCTION("LOWER(Regexreplace(to_text(E284),""[^A-Za-z0-9]"","""")&amp;""_""&amp;Regexreplace(to_text(F284),""[^A-Za-z0-9]"",""""))"),"alc_g5ce")</f>
        <v>alc_g5ce</v>
      </c>
      <c r="BG284" s="275" t="str">
        <f>IFERROR(__xludf.DUMMYFUNCTION("upper(Regexreplace(to_text(E284),""[^A-Za-z0-9]"","""")&amp;""-""&amp;Regexreplace(to_text(F284),""[^A-Za-z0-9]"",""""))"),"ALC-G5CE")</f>
        <v>ALC-G5CE</v>
      </c>
    </row>
    <row r="285" ht="30.0" customHeight="1">
      <c r="A285" s="258">
        <v>278.0</v>
      </c>
      <c r="B285" s="256" t="s">
        <v>670</v>
      </c>
      <c r="C285" s="257" t="s">
        <v>1020</v>
      </c>
      <c r="D285" s="173" t="s">
        <v>1020</v>
      </c>
      <c r="E285" s="174" t="s">
        <v>1830</v>
      </c>
      <c r="F285" s="173" t="s">
        <v>507</v>
      </c>
      <c r="G285" s="258" t="s">
        <v>673</v>
      </c>
      <c r="H285" s="258" t="s">
        <v>674</v>
      </c>
      <c r="I285" s="258" t="s">
        <v>675</v>
      </c>
      <c r="J285" s="259" t="s">
        <v>965</v>
      </c>
      <c r="K285" s="260">
        <v>334.0</v>
      </c>
      <c r="L285" s="258" t="s">
        <v>2129</v>
      </c>
      <c r="M285" s="265" t="s">
        <v>2130</v>
      </c>
      <c r="N285" s="173" t="s">
        <v>679</v>
      </c>
      <c r="O285" s="173" t="s">
        <v>225</v>
      </c>
      <c r="P285" s="262" t="str">
        <f t="shared" si="1"/>
        <v>IN-BLR-ANANTA-DDC-28_3</v>
      </c>
      <c r="Q285" s="173" t="s">
        <v>2131</v>
      </c>
      <c r="R285" s="258" t="str">
        <f>IFS(C285="","",C285="n/a","N/A",LEN(C285),Concatenate("{",char(34),"asset",char(34),":{",char(34),"guid",char(34),":",char(34),Q285,char(34),",",char(34),"site",char(34),":",char(34),LOWER('2-Building'!$B$4),char(34),",",char(34),"name",char(34),":",char(34),LOWER(C285),char(34),"}}"))</f>
        <v>{"asset":{"guid":"uuid://60a9ccab-3264-45da-b41f-4b342c82d38c","site":"in-blr-ananta","name":"ddc-28"}}</v>
      </c>
      <c r="S285" s="258" t="s">
        <v>1834</v>
      </c>
      <c r="T285" s="263"/>
      <c r="U285" s="263"/>
      <c r="V285" s="264" t="s">
        <v>1835</v>
      </c>
      <c r="W285" s="258" t="s">
        <v>1836</v>
      </c>
      <c r="X285" s="258" t="s">
        <v>1837</v>
      </c>
      <c r="Y285" s="33" t="s">
        <v>1838</v>
      </c>
      <c r="Z285" s="258">
        <v>11058.0</v>
      </c>
      <c r="AA285" s="258">
        <v>11501.0</v>
      </c>
      <c r="AB285" s="258"/>
      <c r="AC285" s="258"/>
      <c r="AD285" s="265"/>
      <c r="AE285" s="266" t="s">
        <v>685</v>
      </c>
      <c r="AF285" s="267" t="s">
        <v>2132</v>
      </c>
      <c r="AG285" s="268" t="str">
        <f>IFS(LEN(AF285)=17,LOWER('2-Building'!$B$4 &amp; "-" &amp; C285), AF285="N/A", "N/A", LEN(AF285)=0,"")</f>
        <v>in-blr-ananta-ddc-28</v>
      </c>
      <c r="AH285" s="258"/>
      <c r="AI285" s="258"/>
      <c r="AJ285" s="258"/>
      <c r="AK285" s="258" t="s">
        <v>2133</v>
      </c>
      <c r="AL285" s="258" t="s">
        <v>688</v>
      </c>
      <c r="AM285" s="258" t="s">
        <v>689</v>
      </c>
      <c r="AN285" s="258"/>
      <c r="AO285" s="258"/>
      <c r="AP285" s="258"/>
      <c r="AQ285" s="258"/>
      <c r="AR285" s="258" t="s">
        <v>690</v>
      </c>
      <c r="AS285" s="258" t="s">
        <v>691</v>
      </c>
      <c r="AT285" s="258" t="s">
        <v>1841</v>
      </c>
      <c r="AU285" s="265" t="s">
        <v>1842</v>
      </c>
      <c r="AV285" s="174" t="s">
        <v>225</v>
      </c>
      <c r="AW285" s="269" t="s">
        <v>245</v>
      </c>
      <c r="AX285" s="269" t="s">
        <v>694</v>
      </c>
      <c r="AY285" s="270" t="s">
        <v>1843</v>
      </c>
      <c r="AZ285" s="173" t="s">
        <v>1834</v>
      </c>
      <c r="BA285" s="265">
        <v>10.0</v>
      </c>
      <c r="BB285" s="174" t="s">
        <v>225</v>
      </c>
      <c r="BC285" s="271"/>
      <c r="BD285" s="272" t="s">
        <v>1844</v>
      </c>
      <c r="BE285" s="273"/>
      <c r="BF285" s="274" t="str">
        <f>IFERROR(__xludf.DUMMYFUNCTION("LOWER(Regexreplace(to_text(E285),""[^A-Za-z0-9]"","""")&amp;""_""&amp;Regexreplace(to_text(F285),""[^A-Za-z0-9]"",""""))"),"alc_g5ce")</f>
        <v>alc_g5ce</v>
      </c>
      <c r="BG285" s="275" t="str">
        <f>IFERROR(__xludf.DUMMYFUNCTION("upper(Regexreplace(to_text(E285),""[^A-Za-z0-9]"","""")&amp;""-""&amp;Regexreplace(to_text(F285),""[^A-Za-z0-9]"",""""))"),"ALC-G5CE")</f>
        <v>ALC-G5CE</v>
      </c>
    </row>
    <row r="286" ht="30.0" customHeight="1">
      <c r="A286" s="173">
        <v>279.0</v>
      </c>
      <c r="B286" s="256" t="s">
        <v>670</v>
      </c>
      <c r="C286" s="257" t="s">
        <v>2134</v>
      </c>
      <c r="D286" s="173" t="s">
        <v>2134</v>
      </c>
      <c r="E286" s="174" t="s">
        <v>1830</v>
      </c>
      <c r="F286" s="173" t="s">
        <v>507</v>
      </c>
      <c r="G286" s="258" t="s">
        <v>673</v>
      </c>
      <c r="H286" s="258" t="s">
        <v>674</v>
      </c>
      <c r="I286" s="258" t="s">
        <v>1614</v>
      </c>
      <c r="J286" s="259" t="s">
        <v>965</v>
      </c>
      <c r="K286" s="260">
        <v>334.0</v>
      </c>
      <c r="L286" s="258" t="s">
        <v>2129</v>
      </c>
      <c r="M286" s="265" t="s">
        <v>2135</v>
      </c>
      <c r="N286" s="173" t="s">
        <v>679</v>
      </c>
      <c r="O286" s="173" t="s">
        <v>225</v>
      </c>
      <c r="P286" s="262" t="str">
        <f t="shared" si="1"/>
        <v>IN-BLR-ANANTA-HLI-30_3</v>
      </c>
      <c r="Q286" s="173" t="s">
        <v>2136</v>
      </c>
      <c r="R286" s="258" t="str">
        <f>IFS(C286="","",C286="n/a","N/A",LEN(C286),Concatenate("{",char(34),"asset",char(34),":{",char(34),"guid",char(34),":",char(34),Q286,char(34),",",char(34),"site",char(34),":",char(34),LOWER('2-Building'!$B$4),char(34),",",char(34),"name",char(34),":",char(34),LOWER(C286),char(34),"}}"))</f>
        <v>{"asset":{"guid":"uuid://c51763c7-89ab-4982-a231-5d32aa798aba","site":"in-blr-ananta","name":"hli-30"}}</v>
      </c>
      <c r="S286" s="258" t="s">
        <v>1834</v>
      </c>
      <c r="T286" s="263"/>
      <c r="U286" s="263"/>
      <c r="V286" s="264" t="s">
        <v>1835</v>
      </c>
      <c r="W286" s="258" t="s">
        <v>1836</v>
      </c>
      <c r="X286" s="258" t="s">
        <v>1837</v>
      </c>
      <c r="Y286" s="33" t="s">
        <v>1838</v>
      </c>
      <c r="Z286" s="258">
        <v>11059.0</v>
      </c>
      <c r="AA286" s="258">
        <v>11501.0</v>
      </c>
      <c r="AB286" s="258"/>
      <c r="AC286" s="258"/>
      <c r="AD286" s="265"/>
      <c r="AE286" s="266" t="s">
        <v>685</v>
      </c>
      <c r="AF286" s="267" t="s">
        <v>2137</v>
      </c>
      <c r="AG286" s="268" t="str">
        <f>IFS(LEN(AF286)=17,LOWER('2-Building'!$B$4 &amp; "-" &amp; C286), AF286="N/A", "N/A", LEN(AF286)=0,"")</f>
        <v>in-blr-ananta-hli-30</v>
      </c>
      <c r="AH286" s="258"/>
      <c r="AI286" s="258"/>
      <c r="AJ286" s="258"/>
      <c r="AK286" s="258" t="s">
        <v>2138</v>
      </c>
      <c r="AL286" s="258" t="s">
        <v>688</v>
      </c>
      <c r="AM286" s="258" t="s">
        <v>689</v>
      </c>
      <c r="AN286" s="258"/>
      <c r="AO286" s="258"/>
      <c r="AP286" s="258"/>
      <c r="AQ286" s="258"/>
      <c r="AR286" s="258" t="s">
        <v>690</v>
      </c>
      <c r="AS286" s="258" t="s">
        <v>691</v>
      </c>
      <c r="AT286" s="258" t="s">
        <v>1841</v>
      </c>
      <c r="AU286" s="265" t="s">
        <v>1842</v>
      </c>
      <c r="AV286" s="174" t="s">
        <v>225</v>
      </c>
      <c r="AW286" s="269" t="s">
        <v>245</v>
      </c>
      <c r="AX286" s="269" t="s">
        <v>694</v>
      </c>
      <c r="AY286" s="270" t="s">
        <v>1843</v>
      </c>
      <c r="AZ286" s="173" t="s">
        <v>1834</v>
      </c>
      <c r="BA286" s="265">
        <v>10.0</v>
      </c>
      <c r="BB286" s="174" t="s">
        <v>225</v>
      </c>
      <c r="BC286" s="271"/>
      <c r="BD286" s="272" t="s">
        <v>1844</v>
      </c>
      <c r="BE286" s="273"/>
      <c r="BF286" s="274" t="str">
        <f>IFERROR(__xludf.DUMMYFUNCTION("LOWER(Regexreplace(to_text(E286),""[^A-Za-z0-9]"","""")&amp;""_""&amp;Regexreplace(to_text(F286),""[^A-Za-z0-9]"",""""))"),"alc_g5ce")</f>
        <v>alc_g5ce</v>
      </c>
      <c r="BG286" s="275" t="str">
        <f>IFERROR(__xludf.DUMMYFUNCTION("upper(Regexreplace(to_text(E286),""[^A-Za-z0-9]"","""")&amp;""-""&amp;Regexreplace(to_text(F286),""[^A-Za-z0-9]"",""""))"),"ALC-G5CE")</f>
        <v>ALC-G5CE</v>
      </c>
    </row>
    <row r="287" ht="30.0" customHeight="1">
      <c r="A287" s="258">
        <v>280.0</v>
      </c>
      <c r="B287" s="256" t="s">
        <v>670</v>
      </c>
      <c r="C287" s="257" t="s">
        <v>1010</v>
      </c>
      <c r="D287" s="173" t="s">
        <v>1010</v>
      </c>
      <c r="E287" s="174" t="s">
        <v>1830</v>
      </c>
      <c r="F287" s="173" t="s">
        <v>507</v>
      </c>
      <c r="G287" s="258" t="s">
        <v>673</v>
      </c>
      <c r="H287" s="258" t="s">
        <v>674</v>
      </c>
      <c r="I287" s="258" t="s">
        <v>675</v>
      </c>
      <c r="J287" s="259" t="s">
        <v>965</v>
      </c>
      <c r="K287" s="260">
        <v>333.0</v>
      </c>
      <c r="L287" s="258" t="s">
        <v>2139</v>
      </c>
      <c r="M287" s="265" t="s">
        <v>2140</v>
      </c>
      <c r="N287" s="173" t="s">
        <v>679</v>
      </c>
      <c r="O287" s="173" t="s">
        <v>225</v>
      </c>
      <c r="P287" s="262" t="str">
        <f t="shared" si="1"/>
        <v>IN-BLR-ANANTA-DDC-29_3</v>
      </c>
      <c r="Q287" s="173" t="s">
        <v>2141</v>
      </c>
      <c r="R287" s="258" t="str">
        <f>IFS(C287="","",C287="n/a","N/A",LEN(C287),Concatenate("{",char(34),"asset",char(34),":{",char(34),"guid",char(34),":",char(34),Q287,char(34),",",char(34),"site",char(34),":",char(34),LOWER('2-Building'!$B$4),char(34),",",char(34),"name",char(34),":",char(34),LOWER(C287),char(34),"}}"))</f>
        <v>{"asset":{"guid":"uuid://b2960367-840b-4faa-ae7e-8d512b2cdacd","site":"in-blr-ananta","name":"ddc-29"}}</v>
      </c>
      <c r="S287" s="258" t="s">
        <v>1834</v>
      </c>
      <c r="T287" s="263"/>
      <c r="U287" s="263"/>
      <c r="V287" s="264" t="s">
        <v>1835</v>
      </c>
      <c r="W287" s="258" t="s">
        <v>1836</v>
      </c>
      <c r="X287" s="258" t="s">
        <v>1837</v>
      </c>
      <c r="Y287" s="33" t="s">
        <v>1838</v>
      </c>
      <c r="Z287" s="258">
        <v>11060.0</v>
      </c>
      <c r="AA287" s="258">
        <v>11501.0</v>
      </c>
      <c r="AB287" s="258"/>
      <c r="AC287" s="258"/>
      <c r="AD287" s="265"/>
      <c r="AE287" s="266" t="s">
        <v>685</v>
      </c>
      <c r="AF287" s="267" t="s">
        <v>2142</v>
      </c>
      <c r="AG287" s="268" t="str">
        <f>IFS(LEN(AF287)=17,LOWER('2-Building'!$B$4 &amp; "-" &amp; C287), AF287="N/A", "N/A", LEN(AF287)=0,"")</f>
        <v>in-blr-ananta-ddc-29</v>
      </c>
      <c r="AH287" s="258"/>
      <c r="AI287" s="258"/>
      <c r="AJ287" s="258"/>
      <c r="AK287" s="258" t="s">
        <v>2143</v>
      </c>
      <c r="AL287" s="258" t="s">
        <v>688</v>
      </c>
      <c r="AM287" s="258" t="s">
        <v>689</v>
      </c>
      <c r="AN287" s="258"/>
      <c r="AO287" s="258"/>
      <c r="AP287" s="258"/>
      <c r="AQ287" s="258"/>
      <c r="AR287" s="258" t="s">
        <v>690</v>
      </c>
      <c r="AS287" s="258" t="s">
        <v>691</v>
      </c>
      <c r="AT287" s="258" t="s">
        <v>1841</v>
      </c>
      <c r="AU287" s="265" t="s">
        <v>1842</v>
      </c>
      <c r="AV287" s="174" t="s">
        <v>225</v>
      </c>
      <c r="AW287" s="269" t="s">
        <v>245</v>
      </c>
      <c r="AX287" s="269" t="s">
        <v>694</v>
      </c>
      <c r="AY287" s="270" t="s">
        <v>1843</v>
      </c>
      <c r="AZ287" s="173" t="s">
        <v>1834</v>
      </c>
      <c r="BA287" s="265">
        <v>10.0</v>
      </c>
      <c r="BB287" s="174" t="s">
        <v>225</v>
      </c>
      <c r="BC287" s="271"/>
      <c r="BD287" s="272" t="s">
        <v>1844</v>
      </c>
      <c r="BE287" s="273"/>
      <c r="BF287" s="274" t="str">
        <f>IFERROR(__xludf.DUMMYFUNCTION("LOWER(Regexreplace(to_text(E287),""[^A-Za-z0-9]"","""")&amp;""_""&amp;Regexreplace(to_text(F287),""[^A-Za-z0-9]"",""""))"),"alc_g5ce")</f>
        <v>alc_g5ce</v>
      </c>
      <c r="BG287" s="275" t="str">
        <f>IFERROR(__xludf.DUMMYFUNCTION("upper(Regexreplace(to_text(E287),""[^A-Za-z0-9]"","""")&amp;""-""&amp;Regexreplace(to_text(F287),""[^A-Za-z0-9]"",""""))"),"ALC-G5CE")</f>
        <v>ALC-G5CE</v>
      </c>
    </row>
    <row r="288" ht="30.0" customHeight="1">
      <c r="A288" s="173">
        <v>281.0</v>
      </c>
      <c r="B288" s="256" t="s">
        <v>670</v>
      </c>
      <c r="C288" s="257" t="s">
        <v>2144</v>
      </c>
      <c r="D288" s="173" t="s">
        <v>2144</v>
      </c>
      <c r="E288" s="174" t="s">
        <v>1830</v>
      </c>
      <c r="F288" s="173" t="s">
        <v>510</v>
      </c>
      <c r="G288" s="258" t="s">
        <v>673</v>
      </c>
      <c r="H288" s="258" t="s">
        <v>674</v>
      </c>
      <c r="I288" s="258" t="s">
        <v>1614</v>
      </c>
      <c r="J288" s="259" t="s">
        <v>965</v>
      </c>
      <c r="K288" s="260">
        <v>333.0</v>
      </c>
      <c r="L288" s="258" t="s">
        <v>2139</v>
      </c>
      <c r="M288" s="265" t="s">
        <v>2145</v>
      </c>
      <c r="N288" s="173" t="s">
        <v>679</v>
      </c>
      <c r="O288" s="173" t="s">
        <v>225</v>
      </c>
      <c r="P288" s="262" t="str">
        <f t="shared" si="1"/>
        <v>IN-BLR-ANANTA-HLI-31_3</v>
      </c>
      <c r="Q288" s="173" t="s">
        <v>2146</v>
      </c>
      <c r="R288" s="258" t="str">
        <f>IFS(C288="","",C288="n/a","N/A",LEN(C288),Concatenate("{",char(34),"asset",char(34),":{",char(34),"guid",char(34),":",char(34),Q288,char(34),",",char(34),"site",char(34),":",char(34),LOWER('2-Building'!$B$4),char(34),",",char(34),"name",char(34),":",char(34),LOWER(C288),char(34),"}}"))</f>
        <v>{"asset":{"guid":"uuid://81e6e8d0-43f4-4b2f-81ab-adda3886028d","site":"in-blr-ananta","name":"hli-31"}}</v>
      </c>
      <c r="S288" s="258" t="s">
        <v>1834</v>
      </c>
      <c r="T288" s="263"/>
      <c r="U288" s="263"/>
      <c r="V288" s="264" t="s">
        <v>1835</v>
      </c>
      <c r="W288" s="258" t="s">
        <v>1836</v>
      </c>
      <c r="X288" s="258" t="s">
        <v>1837</v>
      </c>
      <c r="Y288" s="33" t="s">
        <v>1838</v>
      </c>
      <c r="Z288" s="258">
        <v>11061.0</v>
      </c>
      <c r="AA288" s="258">
        <v>11501.0</v>
      </c>
      <c r="AB288" s="258"/>
      <c r="AC288" s="258"/>
      <c r="AD288" s="265"/>
      <c r="AE288" s="266" t="s">
        <v>685</v>
      </c>
      <c r="AF288" s="267" t="s">
        <v>2147</v>
      </c>
      <c r="AG288" s="268" t="str">
        <f>IFS(LEN(AF288)=17,LOWER('2-Building'!$B$4 &amp; "-" &amp; C288), AF288="N/A", "N/A", LEN(AF288)=0,"")</f>
        <v>in-blr-ananta-hli-31</v>
      </c>
      <c r="AH288" s="258"/>
      <c r="AI288" s="258"/>
      <c r="AJ288" s="258"/>
      <c r="AK288" s="258" t="s">
        <v>2148</v>
      </c>
      <c r="AL288" s="258" t="s">
        <v>688</v>
      </c>
      <c r="AM288" s="258" t="s">
        <v>689</v>
      </c>
      <c r="AN288" s="258"/>
      <c r="AO288" s="258"/>
      <c r="AP288" s="258"/>
      <c r="AQ288" s="258"/>
      <c r="AR288" s="258" t="s">
        <v>690</v>
      </c>
      <c r="AS288" s="258" t="s">
        <v>691</v>
      </c>
      <c r="AT288" s="258" t="s">
        <v>1841</v>
      </c>
      <c r="AU288" s="265" t="s">
        <v>1842</v>
      </c>
      <c r="AV288" s="174" t="s">
        <v>225</v>
      </c>
      <c r="AW288" s="269" t="s">
        <v>245</v>
      </c>
      <c r="AX288" s="269" t="s">
        <v>694</v>
      </c>
      <c r="AY288" s="270" t="s">
        <v>1843</v>
      </c>
      <c r="AZ288" s="173" t="s">
        <v>1834</v>
      </c>
      <c r="BA288" s="265">
        <v>10.0</v>
      </c>
      <c r="BB288" s="174" t="s">
        <v>225</v>
      </c>
      <c r="BC288" s="271"/>
      <c r="BD288" s="272" t="s">
        <v>1844</v>
      </c>
      <c r="BE288" s="273"/>
      <c r="BF288" s="274" t="str">
        <f>IFERROR(__xludf.DUMMYFUNCTION("LOWER(Regexreplace(to_text(E288),""[^A-Za-z0-9]"","""")&amp;""_""&amp;Regexreplace(to_text(F288),""[^A-Za-z0-9]"",""""))"),"alc_ofhi")</f>
        <v>alc_ofhi</v>
      </c>
      <c r="BG288" s="275" t="str">
        <f>IFERROR(__xludf.DUMMYFUNCTION("upper(Regexreplace(to_text(E288),""[^A-Za-z0-9]"","""")&amp;""-""&amp;Regexreplace(to_text(F288),""[^A-Za-z0-9]"",""""))"),"ALC-OFHI")</f>
        <v>ALC-OFHI</v>
      </c>
    </row>
    <row r="289" ht="30.0" customHeight="1">
      <c r="A289" s="258">
        <v>282.0</v>
      </c>
      <c r="B289" s="256" t="s">
        <v>670</v>
      </c>
      <c r="C289" s="257" t="s">
        <v>1032</v>
      </c>
      <c r="D289" s="173" t="s">
        <v>1032</v>
      </c>
      <c r="E289" s="174" t="s">
        <v>1830</v>
      </c>
      <c r="F289" s="173" t="s">
        <v>507</v>
      </c>
      <c r="G289" s="258" t="s">
        <v>673</v>
      </c>
      <c r="H289" s="258" t="s">
        <v>674</v>
      </c>
      <c r="I289" s="258" t="s">
        <v>675</v>
      </c>
      <c r="J289" s="259" t="s">
        <v>1026</v>
      </c>
      <c r="K289" s="260" t="s">
        <v>1027</v>
      </c>
      <c r="L289" s="258" t="s">
        <v>2149</v>
      </c>
      <c r="M289" s="265" t="s">
        <v>2150</v>
      </c>
      <c r="N289" s="173" t="s">
        <v>679</v>
      </c>
      <c r="O289" s="173" t="s">
        <v>225</v>
      </c>
      <c r="P289" s="262" t="str">
        <f t="shared" si="1"/>
        <v>IN-BLR-ANANTA-DDC-30_4</v>
      </c>
      <c r="Q289" s="173" t="s">
        <v>2151</v>
      </c>
      <c r="R289" s="258" t="str">
        <f>IFS(C289="","",C289="n/a","N/A",LEN(C289),Concatenate("{",char(34),"asset",char(34),":{",char(34),"guid",char(34),":",char(34),Q289,char(34),",",char(34),"site",char(34),":",char(34),LOWER('2-Building'!$B$4),char(34),",",char(34),"name",char(34),":",char(34),LOWER(C289),char(34),"}}"))</f>
        <v>{"asset":{"guid":"uuid://5ad86633-94ff-4d97-a7cf-64f96f641049","site":"in-blr-ananta","name":"ddc-30"}}</v>
      </c>
      <c r="S289" s="258" t="s">
        <v>1834</v>
      </c>
      <c r="T289" s="263"/>
      <c r="U289" s="263"/>
      <c r="V289" s="264" t="s">
        <v>1835</v>
      </c>
      <c r="W289" s="258" t="s">
        <v>1836</v>
      </c>
      <c r="X289" s="258" t="s">
        <v>1837</v>
      </c>
      <c r="Y289" s="33" t="s">
        <v>1838</v>
      </c>
      <c r="Z289" s="258">
        <v>11062.0</v>
      </c>
      <c r="AA289" s="258">
        <v>11501.0</v>
      </c>
      <c r="AB289" s="258"/>
      <c r="AC289" s="258"/>
      <c r="AD289" s="265"/>
      <c r="AE289" s="266" t="s">
        <v>685</v>
      </c>
      <c r="AF289" s="267" t="s">
        <v>2152</v>
      </c>
      <c r="AG289" s="268" t="str">
        <f>IFS(LEN(AF289)=17,LOWER('2-Building'!$B$4 &amp; "-" &amp; C289), AF289="N/A", "N/A", LEN(AF289)=0,"")</f>
        <v>in-blr-ananta-ddc-30</v>
      </c>
      <c r="AH289" s="258"/>
      <c r="AI289" s="258"/>
      <c r="AJ289" s="258"/>
      <c r="AK289" s="258" t="s">
        <v>2153</v>
      </c>
      <c r="AL289" s="258" t="s">
        <v>688</v>
      </c>
      <c r="AM289" s="258" t="s">
        <v>689</v>
      </c>
      <c r="AN289" s="258"/>
      <c r="AO289" s="258"/>
      <c r="AP289" s="258"/>
      <c r="AQ289" s="258"/>
      <c r="AR289" s="258" t="s">
        <v>690</v>
      </c>
      <c r="AS289" s="258" t="s">
        <v>691</v>
      </c>
      <c r="AT289" s="258" t="s">
        <v>1841</v>
      </c>
      <c r="AU289" s="265" t="s">
        <v>1842</v>
      </c>
      <c r="AV289" s="174" t="s">
        <v>225</v>
      </c>
      <c r="AW289" s="269" t="s">
        <v>245</v>
      </c>
      <c r="AX289" s="269" t="s">
        <v>694</v>
      </c>
      <c r="AY289" s="270" t="s">
        <v>1843</v>
      </c>
      <c r="AZ289" s="173" t="s">
        <v>1834</v>
      </c>
      <c r="BA289" s="265">
        <v>10.0</v>
      </c>
      <c r="BB289" s="174" t="s">
        <v>225</v>
      </c>
      <c r="BC289" s="271"/>
      <c r="BD289" s="272" t="s">
        <v>1844</v>
      </c>
      <c r="BE289" s="273"/>
      <c r="BF289" s="274" t="str">
        <f>IFERROR(__xludf.DUMMYFUNCTION("LOWER(Regexreplace(to_text(E289),""[^A-Za-z0-9]"","""")&amp;""_""&amp;Regexreplace(to_text(F289),""[^A-Za-z0-9]"",""""))"),"alc_g5ce")</f>
        <v>alc_g5ce</v>
      </c>
      <c r="BG289" s="275" t="str">
        <f>IFERROR(__xludf.DUMMYFUNCTION("upper(Regexreplace(to_text(E289),""[^A-Za-z0-9]"","""")&amp;""-""&amp;Regexreplace(to_text(F289),""[^A-Za-z0-9]"",""""))"),"ALC-G5CE")</f>
        <v>ALC-G5CE</v>
      </c>
    </row>
    <row r="290" ht="30.0" customHeight="1">
      <c r="A290" s="173">
        <v>283.0</v>
      </c>
      <c r="B290" s="256" t="s">
        <v>670</v>
      </c>
      <c r="C290" s="257" t="s">
        <v>2154</v>
      </c>
      <c r="D290" s="173" t="s">
        <v>2154</v>
      </c>
      <c r="E290" s="174" t="s">
        <v>1830</v>
      </c>
      <c r="F290" s="173" t="s">
        <v>507</v>
      </c>
      <c r="G290" s="258" t="s">
        <v>673</v>
      </c>
      <c r="H290" s="258" t="s">
        <v>674</v>
      </c>
      <c r="I290" s="258" t="s">
        <v>1614</v>
      </c>
      <c r="J290" s="259" t="s">
        <v>1026</v>
      </c>
      <c r="K290" s="260" t="s">
        <v>1027</v>
      </c>
      <c r="L290" s="258" t="s">
        <v>2149</v>
      </c>
      <c r="M290" s="265" t="s">
        <v>2155</v>
      </c>
      <c r="N290" s="173" t="s">
        <v>679</v>
      </c>
      <c r="O290" s="173" t="s">
        <v>225</v>
      </c>
      <c r="P290" s="262" t="str">
        <f t="shared" si="1"/>
        <v>IN-BLR-ANANTA-HLI-32_4</v>
      </c>
      <c r="Q290" s="173" t="s">
        <v>2156</v>
      </c>
      <c r="R290" s="258" t="str">
        <f>IFS(C290="","",C290="n/a","N/A",LEN(C290),Concatenate("{",char(34),"asset",char(34),":{",char(34),"guid",char(34),":",char(34),Q290,char(34),",",char(34),"site",char(34),":",char(34),LOWER('2-Building'!$B$4),char(34),",",char(34),"name",char(34),":",char(34),LOWER(C290),char(34),"}}"))</f>
        <v>{"asset":{"guid":"uuid://04fc17cf-bdab-4818-abe6-d62266b3dcce","site":"in-blr-ananta","name":"hli-32"}}</v>
      </c>
      <c r="S290" s="258" t="s">
        <v>1834</v>
      </c>
      <c r="T290" s="263"/>
      <c r="U290" s="263"/>
      <c r="V290" s="264" t="s">
        <v>1835</v>
      </c>
      <c r="W290" s="258" t="s">
        <v>1836</v>
      </c>
      <c r="X290" s="258" t="s">
        <v>1837</v>
      </c>
      <c r="Y290" s="33" t="s">
        <v>1838</v>
      </c>
      <c r="Z290" s="258">
        <v>11063.0</v>
      </c>
      <c r="AA290" s="258">
        <v>11501.0</v>
      </c>
      <c r="AB290" s="258"/>
      <c r="AC290" s="258"/>
      <c r="AD290" s="265"/>
      <c r="AE290" s="266" t="s">
        <v>685</v>
      </c>
      <c r="AF290" s="267" t="s">
        <v>2157</v>
      </c>
      <c r="AG290" s="268" t="str">
        <f>IFS(LEN(AF290)=17,LOWER('2-Building'!$B$4 &amp; "-" &amp; C290), AF290="N/A", "N/A", LEN(AF290)=0,"")</f>
        <v>in-blr-ananta-hli-32</v>
      </c>
      <c r="AH290" s="258"/>
      <c r="AI290" s="258"/>
      <c r="AJ290" s="258"/>
      <c r="AK290" s="258" t="s">
        <v>2158</v>
      </c>
      <c r="AL290" s="258" t="s">
        <v>688</v>
      </c>
      <c r="AM290" s="258" t="s">
        <v>689</v>
      </c>
      <c r="AN290" s="258"/>
      <c r="AO290" s="258"/>
      <c r="AP290" s="258"/>
      <c r="AQ290" s="258"/>
      <c r="AR290" s="258" t="s">
        <v>690</v>
      </c>
      <c r="AS290" s="258" t="s">
        <v>691</v>
      </c>
      <c r="AT290" s="258" t="s">
        <v>1841</v>
      </c>
      <c r="AU290" s="265" t="s">
        <v>1842</v>
      </c>
      <c r="AV290" s="174" t="s">
        <v>225</v>
      </c>
      <c r="AW290" s="269" t="s">
        <v>245</v>
      </c>
      <c r="AX290" s="269" t="s">
        <v>694</v>
      </c>
      <c r="AY290" s="270" t="s">
        <v>1843</v>
      </c>
      <c r="AZ290" s="173" t="s">
        <v>1834</v>
      </c>
      <c r="BA290" s="265">
        <v>10.0</v>
      </c>
      <c r="BB290" s="174" t="s">
        <v>225</v>
      </c>
      <c r="BC290" s="271"/>
      <c r="BD290" s="272" t="s">
        <v>1844</v>
      </c>
      <c r="BE290" s="273"/>
      <c r="BF290" s="274" t="str">
        <f>IFERROR(__xludf.DUMMYFUNCTION("LOWER(Regexreplace(to_text(E290),""[^A-Za-z0-9]"","""")&amp;""_""&amp;Regexreplace(to_text(F290),""[^A-Za-z0-9]"",""""))"),"alc_g5ce")</f>
        <v>alc_g5ce</v>
      </c>
      <c r="BG290" s="275" t="str">
        <f>IFERROR(__xludf.DUMMYFUNCTION("upper(Regexreplace(to_text(E290),""[^A-Za-z0-9]"","""")&amp;""-""&amp;Regexreplace(to_text(F290),""[^A-Za-z0-9]"",""""))"),"ALC-G5CE")</f>
        <v>ALC-G5CE</v>
      </c>
    </row>
    <row r="291" ht="30.0" customHeight="1">
      <c r="A291" s="258">
        <v>284.0</v>
      </c>
      <c r="B291" s="256" t="s">
        <v>670</v>
      </c>
      <c r="C291" s="257" t="s">
        <v>1734</v>
      </c>
      <c r="D291" s="173" t="s">
        <v>1734</v>
      </c>
      <c r="E291" s="174" t="s">
        <v>1830</v>
      </c>
      <c r="F291" s="173" t="s">
        <v>510</v>
      </c>
      <c r="G291" s="258" t="s">
        <v>673</v>
      </c>
      <c r="H291" s="258" t="s">
        <v>674</v>
      </c>
      <c r="I291" s="258" t="s">
        <v>1614</v>
      </c>
      <c r="J291" s="259" t="s">
        <v>1026</v>
      </c>
      <c r="K291" s="260" t="s">
        <v>1027</v>
      </c>
      <c r="L291" s="258" t="s">
        <v>2149</v>
      </c>
      <c r="M291" s="265" t="s">
        <v>2159</v>
      </c>
      <c r="N291" s="173" t="s">
        <v>679</v>
      </c>
      <c r="O291" s="173" t="s">
        <v>225</v>
      </c>
      <c r="P291" s="262" t="str">
        <f t="shared" si="1"/>
        <v>IN-BLR-ANANTA-HLI-33_4</v>
      </c>
      <c r="Q291" s="173" t="s">
        <v>2160</v>
      </c>
      <c r="R291" s="258" t="str">
        <f>IFS(C291="","",C291="n/a","N/A",LEN(C291),Concatenate("{",char(34),"asset",char(34),":{",char(34),"guid",char(34),":",char(34),Q291,char(34),",",char(34),"site",char(34),":",char(34),LOWER('2-Building'!$B$4),char(34),",",char(34),"name",char(34),":",char(34),LOWER(C291),char(34),"}}"))</f>
        <v>{"asset":{"guid":"uuid://5590f5cb-6b47-4538-8321-41ba27689bf1","site":"in-blr-ananta","name":"hli-33"}}</v>
      </c>
      <c r="S291" s="258" t="s">
        <v>1834</v>
      </c>
      <c r="T291" s="263"/>
      <c r="U291" s="263"/>
      <c r="V291" s="264" t="s">
        <v>1835</v>
      </c>
      <c r="W291" s="258" t="s">
        <v>1836</v>
      </c>
      <c r="X291" s="258" t="s">
        <v>1837</v>
      </c>
      <c r="Y291" s="33" t="s">
        <v>1838</v>
      </c>
      <c r="Z291" s="258">
        <v>11064.0</v>
      </c>
      <c r="AA291" s="258">
        <v>11501.0</v>
      </c>
      <c r="AB291" s="258"/>
      <c r="AC291" s="258"/>
      <c r="AD291" s="265"/>
      <c r="AE291" s="266" t="s">
        <v>685</v>
      </c>
      <c r="AF291" s="267" t="s">
        <v>2161</v>
      </c>
      <c r="AG291" s="268" t="str">
        <f>IFS(LEN(AF291)=17,LOWER('2-Building'!$B$4 &amp; "-" &amp; C291), AF291="N/A", "N/A", LEN(AF291)=0,"")</f>
        <v>in-blr-ananta-hli-33</v>
      </c>
      <c r="AH291" s="258"/>
      <c r="AI291" s="258"/>
      <c r="AJ291" s="258"/>
      <c r="AK291" s="258" t="s">
        <v>2162</v>
      </c>
      <c r="AL291" s="258" t="s">
        <v>688</v>
      </c>
      <c r="AM291" s="258" t="s">
        <v>689</v>
      </c>
      <c r="AN291" s="258"/>
      <c r="AO291" s="258"/>
      <c r="AP291" s="258"/>
      <c r="AQ291" s="258"/>
      <c r="AR291" s="258" t="s">
        <v>690</v>
      </c>
      <c r="AS291" s="258" t="s">
        <v>691</v>
      </c>
      <c r="AT291" s="258" t="s">
        <v>1841</v>
      </c>
      <c r="AU291" s="265" t="s">
        <v>1842</v>
      </c>
      <c r="AV291" s="174" t="s">
        <v>225</v>
      </c>
      <c r="AW291" s="269" t="s">
        <v>245</v>
      </c>
      <c r="AX291" s="269" t="s">
        <v>694</v>
      </c>
      <c r="AY291" s="270" t="s">
        <v>1843</v>
      </c>
      <c r="AZ291" s="173" t="s">
        <v>1834</v>
      </c>
      <c r="BA291" s="265">
        <v>10.0</v>
      </c>
      <c r="BB291" s="174" t="s">
        <v>225</v>
      </c>
      <c r="BC291" s="271"/>
      <c r="BD291" s="272" t="s">
        <v>1844</v>
      </c>
      <c r="BE291" s="273"/>
      <c r="BF291" s="274" t="str">
        <f>IFERROR(__xludf.DUMMYFUNCTION("LOWER(Regexreplace(to_text(E291),""[^A-Za-z0-9]"","""")&amp;""_""&amp;Regexreplace(to_text(F291),""[^A-Za-z0-9]"",""""))"),"alc_ofhi")</f>
        <v>alc_ofhi</v>
      </c>
      <c r="BG291" s="275" t="str">
        <f>IFERROR(__xludf.DUMMYFUNCTION("upper(Regexreplace(to_text(E291),""[^A-Za-z0-9]"","""")&amp;""-""&amp;Regexreplace(to_text(F291),""[^A-Za-z0-9]"",""""))"),"ALC-OFHI")</f>
        <v>ALC-OFHI</v>
      </c>
    </row>
    <row r="292" ht="30.0" customHeight="1">
      <c r="A292" s="173">
        <v>285.0</v>
      </c>
      <c r="B292" s="256" t="s">
        <v>670</v>
      </c>
      <c r="C292" s="257" t="s">
        <v>1052</v>
      </c>
      <c r="D292" s="173" t="s">
        <v>1052</v>
      </c>
      <c r="E292" s="174" t="s">
        <v>1830</v>
      </c>
      <c r="F292" s="173" t="s">
        <v>507</v>
      </c>
      <c r="G292" s="258" t="s">
        <v>673</v>
      </c>
      <c r="H292" s="258" t="s">
        <v>674</v>
      </c>
      <c r="I292" s="258" t="s">
        <v>675</v>
      </c>
      <c r="J292" s="259" t="s">
        <v>1026</v>
      </c>
      <c r="K292" s="260">
        <v>419.0</v>
      </c>
      <c r="L292" s="258" t="s">
        <v>2163</v>
      </c>
      <c r="M292" s="265" t="s">
        <v>2164</v>
      </c>
      <c r="N292" s="173" t="s">
        <v>679</v>
      </c>
      <c r="O292" s="173" t="s">
        <v>225</v>
      </c>
      <c r="P292" s="262" t="str">
        <f t="shared" si="1"/>
        <v>IN-BLR-ANANTA-DDC-31_4</v>
      </c>
      <c r="Q292" s="173" t="s">
        <v>2165</v>
      </c>
      <c r="R292" s="258" t="str">
        <f>IFS(C292="","",C292="n/a","N/A",LEN(C292),Concatenate("{",char(34),"asset",char(34),":{",char(34),"guid",char(34),":",char(34),Q292,char(34),",",char(34),"site",char(34),":",char(34),LOWER('2-Building'!$B$4),char(34),",",char(34),"name",char(34),":",char(34),LOWER(C292),char(34),"}}"))</f>
        <v>{"asset":{"guid":"uuid://2ad4634f-3fb5-45a0-b114-8f271804d4e9","site":"in-blr-ananta","name":"ddc-31"}}</v>
      </c>
      <c r="S292" s="258" t="s">
        <v>1834</v>
      </c>
      <c r="T292" s="263"/>
      <c r="U292" s="263"/>
      <c r="V292" s="264" t="s">
        <v>1835</v>
      </c>
      <c r="W292" s="258" t="s">
        <v>1836</v>
      </c>
      <c r="X292" s="258" t="s">
        <v>1837</v>
      </c>
      <c r="Y292" s="33" t="s">
        <v>1838</v>
      </c>
      <c r="Z292" s="258">
        <v>11065.0</v>
      </c>
      <c r="AA292" s="258">
        <v>11501.0</v>
      </c>
      <c r="AB292" s="258"/>
      <c r="AC292" s="258"/>
      <c r="AD292" s="265"/>
      <c r="AE292" s="266" t="s">
        <v>685</v>
      </c>
      <c r="AF292" s="267" t="s">
        <v>2166</v>
      </c>
      <c r="AG292" s="268" t="str">
        <f>IFS(LEN(AF292)=17,LOWER('2-Building'!$B$4 &amp; "-" &amp; C292), AF292="N/A", "N/A", LEN(AF292)=0,"")</f>
        <v>in-blr-ananta-ddc-31</v>
      </c>
      <c r="AH292" s="258"/>
      <c r="AI292" s="258"/>
      <c r="AJ292" s="258"/>
      <c r="AK292" s="258" t="s">
        <v>2167</v>
      </c>
      <c r="AL292" s="258" t="s">
        <v>688</v>
      </c>
      <c r="AM292" s="258" t="s">
        <v>689</v>
      </c>
      <c r="AN292" s="258"/>
      <c r="AO292" s="258"/>
      <c r="AP292" s="258"/>
      <c r="AQ292" s="258"/>
      <c r="AR292" s="258" t="s">
        <v>690</v>
      </c>
      <c r="AS292" s="258" t="s">
        <v>691</v>
      </c>
      <c r="AT292" s="258" t="s">
        <v>1841</v>
      </c>
      <c r="AU292" s="265" t="s">
        <v>1842</v>
      </c>
      <c r="AV292" s="174" t="s">
        <v>225</v>
      </c>
      <c r="AW292" s="269" t="s">
        <v>245</v>
      </c>
      <c r="AX292" s="269" t="s">
        <v>694</v>
      </c>
      <c r="AY292" s="270" t="s">
        <v>1843</v>
      </c>
      <c r="AZ292" s="173" t="s">
        <v>1834</v>
      </c>
      <c r="BA292" s="265">
        <v>10.0</v>
      </c>
      <c r="BB292" s="174" t="s">
        <v>225</v>
      </c>
      <c r="BC292" s="271"/>
      <c r="BD292" s="272" t="s">
        <v>1844</v>
      </c>
      <c r="BE292" s="273"/>
      <c r="BF292" s="274" t="str">
        <f>IFERROR(__xludf.DUMMYFUNCTION("LOWER(Regexreplace(to_text(E292),""[^A-Za-z0-9]"","""")&amp;""_""&amp;Regexreplace(to_text(F292),""[^A-Za-z0-9]"",""""))"),"alc_g5ce")</f>
        <v>alc_g5ce</v>
      </c>
      <c r="BG292" s="275" t="str">
        <f>IFERROR(__xludf.DUMMYFUNCTION("upper(Regexreplace(to_text(E292),""[^A-Za-z0-9]"","""")&amp;""-""&amp;Regexreplace(to_text(F292),""[^A-Za-z0-9]"",""""))"),"ALC-G5CE")</f>
        <v>ALC-G5CE</v>
      </c>
    </row>
    <row r="293" ht="30.0" customHeight="1">
      <c r="A293" s="258">
        <v>286.0</v>
      </c>
      <c r="B293" s="256" t="s">
        <v>670</v>
      </c>
      <c r="C293" s="257" t="s">
        <v>2168</v>
      </c>
      <c r="D293" s="173" t="s">
        <v>2168</v>
      </c>
      <c r="E293" s="174" t="s">
        <v>1830</v>
      </c>
      <c r="F293" s="173" t="s">
        <v>507</v>
      </c>
      <c r="G293" s="258" t="s">
        <v>673</v>
      </c>
      <c r="H293" s="258" t="s">
        <v>674</v>
      </c>
      <c r="I293" s="258" t="s">
        <v>1614</v>
      </c>
      <c r="J293" s="259" t="s">
        <v>1026</v>
      </c>
      <c r="K293" s="260">
        <v>419.0</v>
      </c>
      <c r="L293" s="258" t="s">
        <v>2163</v>
      </c>
      <c r="M293" s="265" t="s">
        <v>2169</v>
      </c>
      <c r="N293" s="173" t="s">
        <v>679</v>
      </c>
      <c r="O293" s="173" t="s">
        <v>225</v>
      </c>
      <c r="P293" s="262" t="str">
        <f t="shared" si="1"/>
        <v>IN-BLR-ANANTA-HLI-34_4</v>
      </c>
      <c r="Q293" s="173" t="s">
        <v>2170</v>
      </c>
      <c r="R293" s="258" t="str">
        <f>IFS(C293="","",C293="n/a","N/A",LEN(C293),Concatenate("{",char(34),"asset",char(34),":{",char(34),"guid",char(34),":",char(34),Q293,char(34),",",char(34),"site",char(34),":",char(34),LOWER('2-Building'!$B$4),char(34),",",char(34),"name",char(34),":",char(34),LOWER(C293),char(34),"}}"))</f>
        <v>{"asset":{"guid":"uuid://8bf2f3b5-fcef-4b71-adb2-db1320e82f5e","site":"in-blr-ananta","name":"hli-34"}}</v>
      </c>
      <c r="S293" s="258" t="s">
        <v>1834</v>
      </c>
      <c r="T293" s="263"/>
      <c r="U293" s="263"/>
      <c r="V293" s="264" t="s">
        <v>1835</v>
      </c>
      <c r="W293" s="258" t="s">
        <v>1836</v>
      </c>
      <c r="X293" s="258" t="s">
        <v>1837</v>
      </c>
      <c r="Y293" s="33" t="s">
        <v>1838</v>
      </c>
      <c r="Z293" s="258">
        <v>11066.0</v>
      </c>
      <c r="AA293" s="258">
        <v>11501.0</v>
      </c>
      <c r="AB293" s="258"/>
      <c r="AC293" s="258"/>
      <c r="AD293" s="265"/>
      <c r="AE293" s="266" t="s">
        <v>685</v>
      </c>
      <c r="AF293" s="267" t="s">
        <v>2171</v>
      </c>
      <c r="AG293" s="268" t="str">
        <f>IFS(LEN(AF293)=17,LOWER('2-Building'!$B$4 &amp; "-" &amp; C293), AF293="N/A", "N/A", LEN(AF293)=0,"")</f>
        <v>in-blr-ananta-hli-34</v>
      </c>
      <c r="AH293" s="258"/>
      <c r="AI293" s="258"/>
      <c r="AJ293" s="258"/>
      <c r="AK293" s="258" t="s">
        <v>2172</v>
      </c>
      <c r="AL293" s="258" t="s">
        <v>688</v>
      </c>
      <c r="AM293" s="258" t="s">
        <v>689</v>
      </c>
      <c r="AN293" s="258"/>
      <c r="AO293" s="258"/>
      <c r="AP293" s="258"/>
      <c r="AQ293" s="258"/>
      <c r="AR293" s="258" t="s">
        <v>690</v>
      </c>
      <c r="AS293" s="258" t="s">
        <v>691</v>
      </c>
      <c r="AT293" s="258" t="s">
        <v>1841</v>
      </c>
      <c r="AU293" s="265" t="s">
        <v>1842</v>
      </c>
      <c r="AV293" s="174" t="s">
        <v>225</v>
      </c>
      <c r="AW293" s="269" t="s">
        <v>245</v>
      </c>
      <c r="AX293" s="269" t="s">
        <v>694</v>
      </c>
      <c r="AY293" s="270" t="s">
        <v>1843</v>
      </c>
      <c r="AZ293" s="173" t="s">
        <v>1834</v>
      </c>
      <c r="BA293" s="265">
        <v>10.0</v>
      </c>
      <c r="BB293" s="174" t="s">
        <v>225</v>
      </c>
      <c r="BC293" s="271"/>
      <c r="BD293" s="272" t="s">
        <v>1844</v>
      </c>
      <c r="BE293" s="273"/>
      <c r="BF293" s="274" t="str">
        <f>IFERROR(__xludf.DUMMYFUNCTION("LOWER(Regexreplace(to_text(E293),""[^A-Za-z0-9]"","""")&amp;""_""&amp;Regexreplace(to_text(F293),""[^A-Za-z0-9]"",""""))"),"alc_g5ce")</f>
        <v>alc_g5ce</v>
      </c>
      <c r="BG293" s="275" t="str">
        <f>IFERROR(__xludf.DUMMYFUNCTION("upper(Regexreplace(to_text(E293),""[^A-Za-z0-9]"","""")&amp;""-""&amp;Regexreplace(to_text(F293),""[^A-Za-z0-9]"",""""))"),"ALC-G5CE")</f>
        <v>ALC-G5CE</v>
      </c>
    </row>
    <row r="294" ht="30.0" customHeight="1">
      <c r="A294" s="173">
        <v>287.0</v>
      </c>
      <c r="B294" s="256" t="s">
        <v>670</v>
      </c>
      <c r="C294" s="257" t="s">
        <v>1062</v>
      </c>
      <c r="D294" s="173" t="s">
        <v>1062</v>
      </c>
      <c r="E294" s="174" t="s">
        <v>1830</v>
      </c>
      <c r="F294" s="173" t="s">
        <v>507</v>
      </c>
      <c r="G294" s="258" t="s">
        <v>673</v>
      </c>
      <c r="H294" s="258" t="s">
        <v>674</v>
      </c>
      <c r="I294" s="258" t="s">
        <v>675</v>
      </c>
      <c r="J294" s="259" t="s">
        <v>1026</v>
      </c>
      <c r="K294" s="260">
        <v>448.0</v>
      </c>
      <c r="L294" s="258" t="s">
        <v>2173</v>
      </c>
      <c r="M294" s="265" t="s">
        <v>2174</v>
      </c>
      <c r="N294" s="173" t="s">
        <v>679</v>
      </c>
      <c r="O294" s="173" t="s">
        <v>225</v>
      </c>
      <c r="P294" s="262" t="str">
        <f t="shared" si="1"/>
        <v>IN-BLR-ANANTA-DDC-32_4</v>
      </c>
      <c r="Q294" s="173" t="s">
        <v>2175</v>
      </c>
      <c r="R294" s="258" t="str">
        <f>IFS(C294="","",C294="n/a","N/A",LEN(C294),Concatenate("{",char(34),"asset",char(34),":{",char(34),"guid",char(34),":",char(34),Q294,char(34),",",char(34),"site",char(34),":",char(34),LOWER('2-Building'!$B$4),char(34),",",char(34),"name",char(34),":",char(34),LOWER(C294),char(34),"}}"))</f>
        <v>{"asset":{"guid":"uuid://8023e97d-2d00-4db8-b92b-4c6d2503c0d6","site":"in-blr-ananta","name":"ddc-32"}}</v>
      </c>
      <c r="S294" s="258" t="s">
        <v>1834</v>
      </c>
      <c r="T294" s="263"/>
      <c r="U294" s="263"/>
      <c r="V294" s="264" t="s">
        <v>1835</v>
      </c>
      <c r="W294" s="258" t="s">
        <v>1836</v>
      </c>
      <c r="X294" s="258" t="s">
        <v>1837</v>
      </c>
      <c r="Y294" s="33" t="s">
        <v>1838</v>
      </c>
      <c r="Z294" s="258">
        <v>11067.0</v>
      </c>
      <c r="AA294" s="258">
        <v>11501.0</v>
      </c>
      <c r="AB294" s="258"/>
      <c r="AC294" s="258"/>
      <c r="AD294" s="265"/>
      <c r="AE294" s="266" t="s">
        <v>685</v>
      </c>
      <c r="AF294" s="267" t="s">
        <v>2176</v>
      </c>
      <c r="AG294" s="268" t="str">
        <f>IFS(LEN(AF294)=17,LOWER('2-Building'!$B$4 &amp; "-" &amp; C294), AF294="N/A", "N/A", LEN(AF294)=0,"")</f>
        <v>in-blr-ananta-ddc-32</v>
      </c>
      <c r="AH294" s="258"/>
      <c r="AI294" s="258"/>
      <c r="AJ294" s="258"/>
      <c r="AK294" s="258" t="s">
        <v>2177</v>
      </c>
      <c r="AL294" s="258" t="s">
        <v>688</v>
      </c>
      <c r="AM294" s="258" t="s">
        <v>689</v>
      </c>
      <c r="AN294" s="258"/>
      <c r="AO294" s="258"/>
      <c r="AP294" s="258"/>
      <c r="AQ294" s="258"/>
      <c r="AR294" s="258" t="s">
        <v>690</v>
      </c>
      <c r="AS294" s="258" t="s">
        <v>691</v>
      </c>
      <c r="AT294" s="258" t="s">
        <v>1841</v>
      </c>
      <c r="AU294" s="265" t="s">
        <v>1842</v>
      </c>
      <c r="AV294" s="174" t="s">
        <v>225</v>
      </c>
      <c r="AW294" s="269" t="s">
        <v>245</v>
      </c>
      <c r="AX294" s="269" t="s">
        <v>694</v>
      </c>
      <c r="AY294" s="270" t="s">
        <v>1843</v>
      </c>
      <c r="AZ294" s="173" t="s">
        <v>1834</v>
      </c>
      <c r="BA294" s="265">
        <v>10.0</v>
      </c>
      <c r="BB294" s="174" t="s">
        <v>225</v>
      </c>
      <c r="BC294" s="271"/>
      <c r="BD294" s="272" t="s">
        <v>1844</v>
      </c>
      <c r="BE294" s="273"/>
      <c r="BF294" s="274" t="str">
        <f>IFERROR(__xludf.DUMMYFUNCTION("LOWER(Regexreplace(to_text(E294),""[^A-Za-z0-9]"","""")&amp;""_""&amp;Regexreplace(to_text(F294),""[^A-Za-z0-9]"",""""))"),"alc_g5ce")</f>
        <v>alc_g5ce</v>
      </c>
      <c r="BG294" s="275" t="str">
        <f>IFERROR(__xludf.DUMMYFUNCTION("upper(Regexreplace(to_text(E294),""[^A-Za-z0-9]"","""")&amp;""-""&amp;Regexreplace(to_text(F294),""[^A-Za-z0-9]"",""""))"),"ALC-G5CE")</f>
        <v>ALC-G5CE</v>
      </c>
    </row>
    <row r="295" ht="30.0" customHeight="1">
      <c r="A295" s="258">
        <v>288.0</v>
      </c>
      <c r="B295" s="256" t="s">
        <v>670</v>
      </c>
      <c r="C295" s="257" t="s">
        <v>2178</v>
      </c>
      <c r="D295" s="173" t="s">
        <v>2178</v>
      </c>
      <c r="E295" s="174" t="s">
        <v>1830</v>
      </c>
      <c r="F295" s="173" t="s">
        <v>507</v>
      </c>
      <c r="G295" s="258" t="s">
        <v>673</v>
      </c>
      <c r="H295" s="258" t="s">
        <v>674</v>
      </c>
      <c r="I295" s="258" t="s">
        <v>1614</v>
      </c>
      <c r="J295" s="259" t="s">
        <v>1026</v>
      </c>
      <c r="K295" s="260">
        <v>448.0</v>
      </c>
      <c r="L295" s="258" t="s">
        <v>2173</v>
      </c>
      <c r="M295" s="265" t="s">
        <v>2179</v>
      </c>
      <c r="N295" s="173" t="s">
        <v>679</v>
      </c>
      <c r="O295" s="173" t="s">
        <v>225</v>
      </c>
      <c r="P295" s="262" t="str">
        <f t="shared" si="1"/>
        <v>IN-BLR-ANANTA-HLI-35_4</v>
      </c>
      <c r="Q295" s="173" t="s">
        <v>2180</v>
      </c>
      <c r="R295" s="258" t="str">
        <f>IFS(C295="","",C295="n/a","N/A",LEN(C295),Concatenate("{",char(34),"asset",char(34),":{",char(34),"guid",char(34),":",char(34),Q295,char(34),",",char(34),"site",char(34),":",char(34),LOWER('2-Building'!$B$4),char(34),",",char(34),"name",char(34),":",char(34),LOWER(C295),char(34),"}}"))</f>
        <v>{"asset":{"guid":"uuid://b0961897-de71-4533-9bac-588f90935afd","site":"in-blr-ananta","name":"hli-35"}}</v>
      </c>
      <c r="S295" s="258" t="s">
        <v>1834</v>
      </c>
      <c r="T295" s="263"/>
      <c r="U295" s="263"/>
      <c r="V295" s="264" t="s">
        <v>1835</v>
      </c>
      <c r="W295" s="258" t="s">
        <v>1836</v>
      </c>
      <c r="X295" s="258" t="s">
        <v>1837</v>
      </c>
      <c r="Y295" s="33" t="s">
        <v>1838</v>
      </c>
      <c r="Z295" s="258">
        <v>11068.0</v>
      </c>
      <c r="AA295" s="258">
        <v>11501.0</v>
      </c>
      <c r="AB295" s="258"/>
      <c r="AC295" s="258"/>
      <c r="AD295" s="265"/>
      <c r="AE295" s="266" t="s">
        <v>685</v>
      </c>
      <c r="AF295" s="267" t="s">
        <v>2181</v>
      </c>
      <c r="AG295" s="268" t="str">
        <f>IFS(LEN(AF295)=17,LOWER('2-Building'!$B$4 &amp; "-" &amp; C295), AF295="N/A", "N/A", LEN(AF295)=0,"")</f>
        <v>in-blr-ananta-hli-35</v>
      </c>
      <c r="AH295" s="258"/>
      <c r="AI295" s="258"/>
      <c r="AJ295" s="258"/>
      <c r="AK295" s="258" t="s">
        <v>2182</v>
      </c>
      <c r="AL295" s="258" t="s">
        <v>688</v>
      </c>
      <c r="AM295" s="258" t="s">
        <v>689</v>
      </c>
      <c r="AN295" s="258"/>
      <c r="AO295" s="258"/>
      <c r="AP295" s="258"/>
      <c r="AQ295" s="258"/>
      <c r="AR295" s="258" t="s">
        <v>690</v>
      </c>
      <c r="AS295" s="258" t="s">
        <v>691</v>
      </c>
      <c r="AT295" s="258" t="s">
        <v>1841</v>
      </c>
      <c r="AU295" s="265" t="s">
        <v>1842</v>
      </c>
      <c r="AV295" s="174" t="s">
        <v>225</v>
      </c>
      <c r="AW295" s="269" t="s">
        <v>245</v>
      </c>
      <c r="AX295" s="269" t="s">
        <v>694</v>
      </c>
      <c r="AY295" s="270" t="s">
        <v>1843</v>
      </c>
      <c r="AZ295" s="173" t="s">
        <v>1834</v>
      </c>
      <c r="BA295" s="265">
        <v>10.0</v>
      </c>
      <c r="BB295" s="174" t="s">
        <v>225</v>
      </c>
      <c r="BC295" s="271"/>
      <c r="BD295" s="272" t="s">
        <v>1844</v>
      </c>
      <c r="BE295" s="273"/>
      <c r="BF295" s="274" t="str">
        <f>IFERROR(__xludf.DUMMYFUNCTION("LOWER(Regexreplace(to_text(E295),""[^A-Za-z0-9]"","""")&amp;""_""&amp;Regexreplace(to_text(F295),""[^A-Za-z0-9]"",""""))"),"alc_g5ce")</f>
        <v>alc_g5ce</v>
      </c>
      <c r="BG295" s="275" t="str">
        <f>IFERROR(__xludf.DUMMYFUNCTION("upper(Regexreplace(to_text(E295),""[^A-Za-z0-9]"","""")&amp;""-""&amp;Regexreplace(to_text(F295),""[^A-Za-z0-9]"",""""))"),"ALC-G5CE")</f>
        <v>ALC-G5CE</v>
      </c>
    </row>
    <row r="296" ht="30.0" customHeight="1">
      <c r="A296" s="173">
        <v>289.0</v>
      </c>
      <c r="B296" s="256" t="s">
        <v>670</v>
      </c>
      <c r="C296" s="257" t="s">
        <v>1042</v>
      </c>
      <c r="D296" s="173" t="s">
        <v>1042</v>
      </c>
      <c r="E296" s="174" t="s">
        <v>1830</v>
      </c>
      <c r="F296" s="173" t="s">
        <v>507</v>
      </c>
      <c r="G296" s="258" t="s">
        <v>673</v>
      </c>
      <c r="H296" s="258" t="s">
        <v>674</v>
      </c>
      <c r="I296" s="258" t="s">
        <v>675</v>
      </c>
      <c r="J296" s="259" t="s">
        <v>1026</v>
      </c>
      <c r="K296" s="260">
        <v>475.0</v>
      </c>
      <c r="L296" s="258" t="s">
        <v>2183</v>
      </c>
      <c r="M296" s="265" t="s">
        <v>2184</v>
      </c>
      <c r="N296" s="173" t="s">
        <v>679</v>
      </c>
      <c r="O296" s="173" t="s">
        <v>225</v>
      </c>
      <c r="P296" s="262" t="str">
        <f t="shared" si="1"/>
        <v>IN-BLR-ANANTA-DDC-33_4</v>
      </c>
      <c r="Q296" s="173" t="s">
        <v>2185</v>
      </c>
      <c r="R296" s="258" t="str">
        <f>IFS(C296="","",C296="n/a","N/A",LEN(C296),Concatenate("{",char(34),"asset",char(34),":{",char(34),"guid",char(34),":",char(34),Q296,char(34),",",char(34),"site",char(34),":",char(34),LOWER('2-Building'!$B$4),char(34),",",char(34),"name",char(34),":",char(34),LOWER(C296),char(34),"}}"))</f>
        <v>{"asset":{"guid":"uuid://afd63913-9d56-44cc-8ef7-eea55ecc83eb","site":"in-blr-ananta","name":"ddc-33"}}</v>
      </c>
      <c r="S296" s="258" t="s">
        <v>1834</v>
      </c>
      <c r="T296" s="263"/>
      <c r="U296" s="263"/>
      <c r="V296" s="264" t="s">
        <v>1835</v>
      </c>
      <c r="W296" s="258" t="s">
        <v>1836</v>
      </c>
      <c r="X296" s="258" t="s">
        <v>1837</v>
      </c>
      <c r="Y296" s="33" t="s">
        <v>1838</v>
      </c>
      <c r="Z296" s="258">
        <v>11069.0</v>
      </c>
      <c r="AA296" s="258">
        <v>11501.0</v>
      </c>
      <c r="AB296" s="258"/>
      <c r="AC296" s="258"/>
      <c r="AD296" s="265"/>
      <c r="AE296" s="266" t="s">
        <v>685</v>
      </c>
      <c r="AF296" s="267" t="s">
        <v>2186</v>
      </c>
      <c r="AG296" s="268" t="str">
        <f>IFS(LEN(AF296)=17,LOWER('2-Building'!$B$4 &amp; "-" &amp; C296), AF296="N/A", "N/A", LEN(AF296)=0,"")</f>
        <v>in-blr-ananta-ddc-33</v>
      </c>
      <c r="AH296" s="258"/>
      <c r="AI296" s="258"/>
      <c r="AJ296" s="258"/>
      <c r="AK296" s="258" t="s">
        <v>2187</v>
      </c>
      <c r="AL296" s="258" t="s">
        <v>688</v>
      </c>
      <c r="AM296" s="258" t="s">
        <v>689</v>
      </c>
      <c r="AN296" s="258"/>
      <c r="AO296" s="258"/>
      <c r="AP296" s="258"/>
      <c r="AQ296" s="258"/>
      <c r="AR296" s="258" t="s">
        <v>690</v>
      </c>
      <c r="AS296" s="258" t="s">
        <v>691</v>
      </c>
      <c r="AT296" s="258" t="s">
        <v>1841</v>
      </c>
      <c r="AU296" s="265" t="s">
        <v>1842</v>
      </c>
      <c r="AV296" s="174" t="s">
        <v>225</v>
      </c>
      <c r="AW296" s="269" t="s">
        <v>245</v>
      </c>
      <c r="AX296" s="269" t="s">
        <v>694</v>
      </c>
      <c r="AY296" s="270" t="s">
        <v>1843</v>
      </c>
      <c r="AZ296" s="173" t="s">
        <v>1834</v>
      </c>
      <c r="BA296" s="265">
        <v>10.0</v>
      </c>
      <c r="BB296" s="174" t="s">
        <v>225</v>
      </c>
      <c r="BC296" s="271"/>
      <c r="BD296" s="272" t="s">
        <v>1844</v>
      </c>
      <c r="BE296" s="273"/>
      <c r="BF296" s="274" t="str">
        <f>IFERROR(__xludf.DUMMYFUNCTION("LOWER(Regexreplace(to_text(E296),""[^A-Za-z0-9]"","""")&amp;""_""&amp;Regexreplace(to_text(F296),""[^A-Za-z0-9]"",""""))"),"alc_g5ce")</f>
        <v>alc_g5ce</v>
      </c>
      <c r="BG296" s="275" t="str">
        <f>IFERROR(__xludf.DUMMYFUNCTION("upper(Regexreplace(to_text(E296),""[^A-Za-z0-9]"","""")&amp;""-""&amp;Regexreplace(to_text(F296),""[^A-Za-z0-9]"",""""))"),"ALC-G5CE")</f>
        <v>ALC-G5CE</v>
      </c>
    </row>
    <row r="297" ht="30.0" customHeight="1">
      <c r="A297" s="258">
        <v>290.0</v>
      </c>
      <c r="B297" s="256" t="s">
        <v>670</v>
      </c>
      <c r="C297" s="257" t="s">
        <v>2188</v>
      </c>
      <c r="D297" s="173" t="s">
        <v>2188</v>
      </c>
      <c r="E297" s="174" t="s">
        <v>1830</v>
      </c>
      <c r="F297" s="173" t="s">
        <v>507</v>
      </c>
      <c r="G297" s="258" t="s">
        <v>673</v>
      </c>
      <c r="H297" s="258" t="s">
        <v>674</v>
      </c>
      <c r="I297" s="258" t="s">
        <v>1614</v>
      </c>
      <c r="J297" s="259" t="s">
        <v>1026</v>
      </c>
      <c r="K297" s="260">
        <v>475.0</v>
      </c>
      <c r="L297" s="258" t="s">
        <v>2183</v>
      </c>
      <c r="M297" s="265" t="s">
        <v>2189</v>
      </c>
      <c r="N297" s="173" t="s">
        <v>679</v>
      </c>
      <c r="O297" s="173" t="s">
        <v>225</v>
      </c>
      <c r="P297" s="262" t="str">
        <f t="shared" si="1"/>
        <v>IN-BLR-ANANTA-HLI-36_4</v>
      </c>
      <c r="Q297" s="173" t="s">
        <v>2190</v>
      </c>
      <c r="R297" s="258" t="str">
        <f>IFS(C297="","",C297="n/a","N/A",LEN(C297),Concatenate("{",char(34),"asset",char(34),":{",char(34),"guid",char(34),":",char(34),Q297,char(34),",",char(34),"site",char(34),":",char(34),LOWER('2-Building'!$B$4),char(34),",",char(34),"name",char(34),":",char(34),LOWER(C297),char(34),"}}"))</f>
        <v>{"asset":{"guid":"uuid://e4afbe37-79a4-4991-92ae-72ba61d0d16d","site":"in-blr-ananta","name":"hli-36"}}</v>
      </c>
      <c r="S297" s="258" t="s">
        <v>1834</v>
      </c>
      <c r="T297" s="263"/>
      <c r="U297" s="263"/>
      <c r="V297" s="264" t="s">
        <v>1835</v>
      </c>
      <c r="W297" s="258" t="s">
        <v>1836</v>
      </c>
      <c r="X297" s="258" t="s">
        <v>1837</v>
      </c>
      <c r="Y297" s="33" t="s">
        <v>1838</v>
      </c>
      <c r="Z297" s="258">
        <v>11070.0</v>
      </c>
      <c r="AA297" s="258">
        <v>11501.0</v>
      </c>
      <c r="AB297" s="258"/>
      <c r="AC297" s="258"/>
      <c r="AD297" s="265"/>
      <c r="AE297" s="266" t="s">
        <v>685</v>
      </c>
      <c r="AF297" s="267" t="s">
        <v>2191</v>
      </c>
      <c r="AG297" s="268" t="str">
        <f>IFS(LEN(AF297)=17,LOWER('2-Building'!$B$4 &amp; "-" &amp; C297), AF297="N/A", "N/A", LEN(AF297)=0,"")</f>
        <v>in-blr-ananta-hli-36</v>
      </c>
      <c r="AH297" s="258"/>
      <c r="AI297" s="258"/>
      <c r="AJ297" s="258"/>
      <c r="AK297" s="258" t="s">
        <v>2192</v>
      </c>
      <c r="AL297" s="258" t="s">
        <v>688</v>
      </c>
      <c r="AM297" s="258" t="s">
        <v>689</v>
      </c>
      <c r="AN297" s="258"/>
      <c r="AO297" s="258"/>
      <c r="AP297" s="258"/>
      <c r="AQ297" s="258"/>
      <c r="AR297" s="258" t="s">
        <v>690</v>
      </c>
      <c r="AS297" s="258" t="s">
        <v>691</v>
      </c>
      <c r="AT297" s="258" t="s">
        <v>1841</v>
      </c>
      <c r="AU297" s="265" t="s">
        <v>1842</v>
      </c>
      <c r="AV297" s="174" t="s">
        <v>225</v>
      </c>
      <c r="AW297" s="269" t="s">
        <v>245</v>
      </c>
      <c r="AX297" s="269" t="s">
        <v>694</v>
      </c>
      <c r="AY297" s="270" t="s">
        <v>1843</v>
      </c>
      <c r="AZ297" s="173" t="s">
        <v>1834</v>
      </c>
      <c r="BA297" s="265">
        <v>10.0</v>
      </c>
      <c r="BB297" s="174" t="s">
        <v>225</v>
      </c>
      <c r="BC297" s="271"/>
      <c r="BD297" s="272" t="s">
        <v>1844</v>
      </c>
      <c r="BE297" s="273"/>
      <c r="BF297" s="274" t="str">
        <f>IFERROR(__xludf.DUMMYFUNCTION("LOWER(Regexreplace(to_text(E297),""[^A-Za-z0-9]"","""")&amp;""_""&amp;Regexreplace(to_text(F297),""[^A-Za-z0-9]"",""""))"),"alc_g5ce")</f>
        <v>alc_g5ce</v>
      </c>
      <c r="BG297" s="275" t="str">
        <f>IFERROR(__xludf.DUMMYFUNCTION("upper(Regexreplace(to_text(E297),""[^A-Za-z0-9]"","""")&amp;""-""&amp;Regexreplace(to_text(F297),""[^A-Za-z0-9]"",""""))"),"ALC-G5CE")</f>
        <v>ALC-G5CE</v>
      </c>
    </row>
    <row r="298" ht="30.0" customHeight="1">
      <c r="A298" s="173">
        <v>291.0</v>
      </c>
      <c r="B298" s="256" t="s">
        <v>670</v>
      </c>
      <c r="C298" s="257" t="s">
        <v>1072</v>
      </c>
      <c r="D298" s="173" t="s">
        <v>1072</v>
      </c>
      <c r="E298" s="174" t="s">
        <v>1830</v>
      </c>
      <c r="F298" s="173" t="s">
        <v>507</v>
      </c>
      <c r="G298" s="258" t="s">
        <v>673</v>
      </c>
      <c r="H298" s="258" t="s">
        <v>674</v>
      </c>
      <c r="I298" s="258" t="s">
        <v>675</v>
      </c>
      <c r="J298" s="259" t="s">
        <v>1026</v>
      </c>
      <c r="K298" s="260">
        <v>434.0</v>
      </c>
      <c r="L298" s="258" t="s">
        <v>2193</v>
      </c>
      <c r="M298" s="265" t="s">
        <v>2194</v>
      </c>
      <c r="N298" s="173" t="s">
        <v>679</v>
      </c>
      <c r="O298" s="173" t="s">
        <v>225</v>
      </c>
      <c r="P298" s="262" t="str">
        <f t="shared" si="1"/>
        <v>IN-BLR-ANANTA-DDC-34_4</v>
      </c>
      <c r="Q298" s="173" t="s">
        <v>2195</v>
      </c>
      <c r="R298" s="258" t="str">
        <f>IFS(C298="","",C298="n/a","N/A",LEN(C298),Concatenate("{",char(34),"asset",char(34),":{",char(34),"guid",char(34),":",char(34),Q298,char(34),",",char(34),"site",char(34),":",char(34),LOWER('2-Building'!$B$4),char(34),",",char(34),"name",char(34),":",char(34),LOWER(C298),char(34),"}}"))</f>
        <v>{"asset":{"guid":"uuid://058f6c9f-0f5d-4440-a649-d2752332d20d","site":"in-blr-ananta","name":"ddc-34"}}</v>
      </c>
      <c r="S298" s="258" t="s">
        <v>1834</v>
      </c>
      <c r="T298" s="263"/>
      <c r="U298" s="263"/>
      <c r="V298" s="264" t="s">
        <v>1835</v>
      </c>
      <c r="W298" s="258" t="s">
        <v>1836</v>
      </c>
      <c r="X298" s="258" t="s">
        <v>1837</v>
      </c>
      <c r="Y298" s="33" t="s">
        <v>1838</v>
      </c>
      <c r="Z298" s="258">
        <v>11071.0</v>
      </c>
      <c r="AA298" s="258">
        <v>11501.0</v>
      </c>
      <c r="AB298" s="258"/>
      <c r="AC298" s="258"/>
      <c r="AD298" s="265"/>
      <c r="AE298" s="266" t="s">
        <v>685</v>
      </c>
      <c r="AF298" s="267" t="s">
        <v>2196</v>
      </c>
      <c r="AG298" s="268" t="str">
        <f>IFS(LEN(AF298)=17,LOWER('2-Building'!$B$4 &amp; "-" &amp; C298), AF298="N/A", "N/A", LEN(AF298)=0,"")</f>
        <v>in-blr-ananta-ddc-34</v>
      </c>
      <c r="AH298" s="258"/>
      <c r="AI298" s="258"/>
      <c r="AJ298" s="258"/>
      <c r="AK298" s="258" t="s">
        <v>2197</v>
      </c>
      <c r="AL298" s="258" t="s">
        <v>688</v>
      </c>
      <c r="AM298" s="258" t="s">
        <v>689</v>
      </c>
      <c r="AN298" s="258"/>
      <c r="AO298" s="258"/>
      <c r="AP298" s="258"/>
      <c r="AQ298" s="258"/>
      <c r="AR298" s="258" t="s">
        <v>690</v>
      </c>
      <c r="AS298" s="258" t="s">
        <v>691</v>
      </c>
      <c r="AT298" s="258" t="s">
        <v>1841</v>
      </c>
      <c r="AU298" s="265" t="s">
        <v>1842</v>
      </c>
      <c r="AV298" s="174" t="s">
        <v>225</v>
      </c>
      <c r="AW298" s="269" t="s">
        <v>245</v>
      </c>
      <c r="AX298" s="269" t="s">
        <v>694</v>
      </c>
      <c r="AY298" s="270" t="s">
        <v>1843</v>
      </c>
      <c r="AZ298" s="173" t="s">
        <v>1834</v>
      </c>
      <c r="BA298" s="265">
        <v>10.0</v>
      </c>
      <c r="BB298" s="174" t="s">
        <v>225</v>
      </c>
      <c r="BC298" s="271"/>
      <c r="BD298" s="272" t="s">
        <v>1844</v>
      </c>
      <c r="BE298" s="273"/>
      <c r="BF298" s="274" t="str">
        <f>IFERROR(__xludf.DUMMYFUNCTION("LOWER(Regexreplace(to_text(E298),""[^A-Za-z0-9]"","""")&amp;""_""&amp;Regexreplace(to_text(F298),""[^A-Za-z0-9]"",""""))"),"alc_g5ce")</f>
        <v>alc_g5ce</v>
      </c>
      <c r="BG298" s="275" t="str">
        <f>IFERROR(__xludf.DUMMYFUNCTION("upper(Regexreplace(to_text(E298),""[^A-Za-z0-9]"","""")&amp;""-""&amp;Regexreplace(to_text(F298),""[^A-Za-z0-9]"",""""))"),"ALC-G5CE")</f>
        <v>ALC-G5CE</v>
      </c>
    </row>
    <row r="299" ht="30.0" customHeight="1">
      <c r="A299" s="258">
        <v>292.0</v>
      </c>
      <c r="B299" s="256" t="s">
        <v>670</v>
      </c>
      <c r="C299" s="257" t="s">
        <v>2198</v>
      </c>
      <c r="D299" s="173" t="s">
        <v>2198</v>
      </c>
      <c r="E299" s="174" t="s">
        <v>1830</v>
      </c>
      <c r="F299" s="173" t="s">
        <v>507</v>
      </c>
      <c r="G299" s="258" t="s">
        <v>673</v>
      </c>
      <c r="H299" s="258" t="s">
        <v>674</v>
      </c>
      <c r="I299" s="258" t="s">
        <v>1614</v>
      </c>
      <c r="J299" s="259" t="s">
        <v>1026</v>
      </c>
      <c r="K299" s="260">
        <v>434.0</v>
      </c>
      <c r="L299" s="258" t="s">
        <v>2193</v>
      </c>
      <c r="M299" s="265" t="s">
        <v>2199</v>
      </c>
      <c r="N299" s="173" t="s">
        <v>679</v>
      </c>
      <c r="O299" s="173" t="s">
        <v>225</v>
      </c>
      <c r="P299" s="262" t="str">
        <f t="shared" si="1"/>
        <v>IN-BLR-ANANTA-HLI-37_4</v>
      </c>
      <c r="Q299" s="173" t="s">
        <v>2200</v>
      </c>
      <c r="R299" s="258" t="str">
        <f>IFS(C299="","",C299="n/a","N/A",LEN(C299),Concatenate("{",char(34),"asset",char(34),":{",char(34),"guid",char(34),":",char(34),Q299,char(34),",",char(34),"site",char(34),":",char(34),LOWER('2-Building'!$B$4),char(34),",",char(34),"name",char(34),":",char(34),LOWER(C299),char(34),"}}"))</f>
        <v>{"asset":{"guid":"uuid://c04c3d52-8138-46c9-923f-18508cb080bd","site":"in-blr-ananta","name":"hli-37"}}</v>
      </c>
      <c r="S299" s="258" t="s">
        <v>1834</v>
      </c>
      <c r="T299" s="263"/>
      <c r="U299" s="263"/>
      <c r="V299" s="264" t="s">
        <v>1835</v>
      </c>
      <c r="W299" s="258" t="s">
        <v>1836</v>
      </c>
      <c r="X299" s="258" t="s">
        <v>1837</v>
      </c>
      <c r="Y299" s="33" t="s">
        <v>1838</v>
      </c>
      <c r="Z299" s="258">
        <v>11072.0</v>
      </c>
      <c r="AA299" s="258">
        <v>11501.0</v>
      </c>
      <c r="AB299" s="258"/>
      <c r="AC299" s="258"/>
      <c r="AD299" s="265"/>
      <c r="AE299" s="266" t="s">
        <v>685</v>
      </c>
      <c r="AF299" s="267" t="s">
        <v>2201</v>
      </c>
      <c r="AG299" s="268" t="str">
        <f>IFS(LEN(AF299)=17,LOWER('2-Building'!$B$4 &amp; "-" &amp; C299), AF299="N/A", "N/A", LEN(AF299)=0,"")</f>
        <v>in-blr-ananta-hli-37</v>
      </c>
      <c r="AH299" s="258"/>
      <c r="AI299" s="258"/>
      <c r="AJ299" s="258"/>
      <c r="AK299" s="258" t="s">
        <v>2202</v>
      </c>
      <c r="AL299" s="258" t="s">
        <v>688</v>
      </c>
      <c r="AM299" s="258" t="s">
        <v>689</v>
      </c>
      <c r="AN299" s="258"/>
      <c r="AO299" s="258"/>
      <c r="AP299" s="258"/>
      <c r="AQ299" s="258"/>
      <c r="AR299" s="258" t="s">
        <v>690</v>
      </c>
      <c r="AS299" s="258" t="s">
        <v>691</v>
      </c>
      <c r="AT299" s="258" t="s">
        <v>1841</v>
      </c>
      <c r="AU299" s="265" t="s">
        <v>1842</v>
      </c>
      <c r="AV299" s="174" t="s">
        <v>225</v>
      </c>
      <c r="AW299" s="269" t="s">
        <v>245</v>
      </c>
      <c r="AX299" s="269" t="s">
        <v>694</v>
      </c>
      <c r="AY299" s="270" t="s">
        <v>1843</v>
      </c>
      <c r="AZ299" s="173" t="s">
        <v>1834</v>
      </c>
      <c r="BA299" s="265">
        <v>10.0</v>
      </c>
      <c r="BB299" s="174" t="s">
        <v>225</v>
      </c>
      <c r="BC299" s="271"/>
      <c r="BD299" s="272" t="s">
        <v>1844</v>
      </c>
      <c r="BE299" s="273"/>
      <c r="BF299" s="274" t="str">
        <f>IFERROR(__xludf.DUMMYFUNCTION("LOWER(Regexreplace(to_text(E299),""[^A-Za-z0-9]"","""")&amp;""_""&amp;Regexreplace(to_text(F299),""[^A-Za-z0-9]"",""""))"),"alc_g5ce")</f>
        <v>alc_g5ce</v>
      </c>
      <c r="BG299" s="275" t="str">
        <f>IFERROR(__xludf.DUMMYFUNCTION("upper(Regexreplace(to_text(E299),""[^A-Za-z0-9]"","""")&amp;""-""&amp;Regexreplace(to_text(F299),""[^A-Za-z0-9]"",""""))"),"ALC-G5CE")</f>
        <v>ALC-G5CE</v>
      </c>
    </row>
    <row r="300" ht="30.0" customHeight="1">
      <c r="A300" s="173">
        <v>293.0</v>
      </c>
      <c r="B300" s="256" t="s">
        <v>670</v>
      </c>
      <c r="C300" s="257" t="s">
        <v>1082</v>
      </c>
      <c r="D300" s="173" t="s">
        <v>1082</v>
      </c>
      <c r="E300" s="174" t="s">
        <v>1830</v>
      </c>
      <c r="F300" s="173" t="s">
        <v>507</v>
      </c>
      <c r="G300" s="258" t="s">
        <v>673</v>
      </c>
      <c r="H300" s="258" t="s">
        <v>674</v>
      </c>
      <c r="I300" s="258" t="s">
        <v>675</v>
      </c>
      <c r="J300" s="259" t="s">
        <v>1026</v>
      </c>
      <c r="K300" s="260">
        <v>433.0</v>
      </c>
      <c r="L300" s="258" t="s">
        <v>2203</v>
      </c>
      <c r="M300" s="265" t="s">
        <v>2204</v>
      </c>
      <c r="N300" s="173" t="s">
        <v>679</v>
      </c>
      <c r="O300" s="173" t="s">
        <v>225</v>
      </c>
      <c r="P300" s="262" t="str">
        <f t="shared" si="1"/>
        <v>IN-BLR-ANANTA-DDC-35_4</v>
      </c>
      <c r="Q300" s="173" t="s">
        <v>2205</v>
      </c>
      <c r="R300" s="258" t="str">
        <f>IFS(C300="","",C300="n/a","N/A",LEN(C300),Concatenate("{",char(34),"asset",char(34),":{",char(34),"guid",char(34),":",char(34),Q300,char(34),",",char(34),"site",char(34),":",char(34),LOWER('2-Building'!$B$4),char(34),",",char(34),"name",char(34),":",char(34),LOWER(C300),char(34),"}}"))</f>
        <v>{"asset":{"guid":"uuid://5092b889-c845-4355-9941-d448df99d920","site":"in-blr-ananta","name":"ddc-35"}}</v>
      </c>
      <c r="S300" s="258" t="s">
        <v>1834</v>
      </c>
      <c r="T300" s="263"/>
      <c r="U300" s="263"/>
      <c r="V300" s="264" t="s">
        <v>1835</v>
      </c>
      <c r="W300" s="258" t="s">
        <v>1836</v>
      </c>
      <c r="X300" s="258" t="s">
        <v>1837</v>
      </c>
      <c r="Y300" s="33" t="s">
        <v>1838</v>
      </c>
      <c r="Z300" s="258">
        <v>11073.0</v>
      </c>
      <c r="AA300" s="258">
        <v>11501.0</v>
      </c>
      <c r="AB300" s="258"/>
      <c r="AC300" s="258"/>
      <c r="AD300" s="265"/>
      <c r="AE300" s="266" t="s">
        <v>685</v>
      </c>
      <c r="AF300" s="267" t="s">
        <v>2206</v>
      </c>
      <c r="AG300" s="268" t="str">
        <f>IFS(LEN(AF300)=17,LOWER('2-Building'!$B$4 &amp; "-" &amp; C300), AF300="N/A", "N/A", LEN(AF300)=0,"")</f>
        <v>in-blr-ananta-ddc-35</v>
      </c>
      <c r="AH300" s="258"/>
      <c r="AI300" s="258"/>
      <c r="AJ300" s="258"/>
      <c r="AK300" s="258" t="s">
        <v>2207</v>
      </c>
      <c r="AL300" s="258" t="s">
        <v>688</v>
      </c>
      <c r="AM300" s="258" t="s">
        <v>689</v>
      </c>
      <c r="AN300" s="258"/>
      <c r="AO300" s="258"/>
      <c r="AP300" s="258"/>
      <c r="AQ300" s="258"/>
      <c r="AR300" s="258" t="s">
        <v>690</v>
      </c>
      <c r="AS300" s="258" t="s">
        <v>691</v>
      </c>
      <c r="AT300" s="258" t="s">
        <v>1841</v>
      </c>
      <c r="AU300" s="265" t="s">
        <v>1842</v>
      </c>
      <c r="AV300" s="174" t="s">
        <v>225</v>
      </c>
      <c r="AW300" s="269" t="s">
        <v>245</v>
      </c>
      <c r="AX300" s="269" t="s">
        <v>694</v>
      </c>
      <c r="AY300" s="270" t="s">
        <v>1843</v>
      </c>
      <c r="AZ300" s="173" t="s">
        <v>1834</v>
      </c>
      <c r="BA300" s="265">
        <v>10.0</v>
      </c>
      <c r="BB300" s="174" t="s">
        <v>225</v>
      </c>
      <c r="BC300" s="271"/>
      <c r="BD300" s="272" t="s">
        <v>1844</v>
      </c>
      <c r="BE300" s="273"/>
      <c r="BF300" s="274" t="str">
        <f>IFERROR(__xludf.DUMMYFUNCTION("LOWER(Regexreplace(to_text(E300),""[^A-Za-z0-9]"","""")&amp;""_""&amp;Regexreplace(to_text(F300),""[^A-Za-z0-9]"",""""))"),"alc_g5ce")</f>
        <v>alc_g5ce</v>
      </c>
      <c r="BG300" s="275" t="str">
        <f>IFERROR(__xludf.DUMMYFUNCTION("upper(Regexreplace(to_text(E300),""[^A-Za-z0-9]"","""")&amp;""-""&amp;Regexreplace(to_text(F300),""[^A-Za-z0-9]"",""""))"),"ALC-G5CE")</f>
        <v>ALC-G5CE</v>
      </c>
    </row>
    <row r="301" ht="30.0" customHeight="1">
      <c r="A301" s="258">
        <v>294.0</v>
      </c>
      <c r="B301" s="256" t="s">
        <v>670</v>
      </c>
      <c r="C301" s="257" t="s">
        <v>2208</v>
      </c>
      <c r="D301" s="173" t="s">
        <v>2208</v>
      </c>
      <c r="E301" s="174" t="s">
        <v>1830</v>
      </c>
      <c r="F301" s="173" t="s">
        <v>507</v>
      </c>
      <c r="G301" s="258" t="s">
        <v>673</v>
      </c>
      <c r="H301" s="258" t="s">
        <v>674</v>
      </c>
      <c r="I301" s="258" t="s">
        <v>1614</v>
      </c>
      <c r="J301" s="259" t="s">
        <v>1088</v>
      </c>
      <c r="K301" s="260">
        <v>433.0</v>
      </c>
      <c r="L301" s="258" t="s">
        <v>2203</v>
      </c>
      <c r="M301" s="265" t="s">
        <v>2209</v>
      </c>
      <c r="N301" s="173" t="s">
        <v>679</v>
      </c>
      <c r="O301" s="173" t="s">
        <v>225</v>
      </c>
      <c r="P301" s="262" t="str">
        <f t="shared" si="1"/>
        <v>IN-BLR-ANANTA-HLI-38_5</v>
      </c>
      <c r="Q301" s="173" t="s">
        <v>2210</v>
      </c>
      <c r="R301" s="258" t="str">
        <f>IFS(C301="","",C301="n/a","N/A",LEN(C301),Concatenate("{",char(34),"asset",char(34),":{",char(34),"guid",char(34),":",char(34),Q301,char(34),",",char(34),"site",char(34),":",char(34),LOWER('2-Building'!$B$4),char(34),",",char(34),"name",char(34),":",char(34),LOWER(C301),char(34),"}}"))</f>
        <v>{"asset":{"guid":"uuid://c649a0ef-f844-41a1-86d5-c544d87302a3","site":"in-blr-ananta","name":"hli-38"}}</v>
      </c>
      <c r="S301" s="258" t="s">
        <v>1834</v>
      </c>
      <c r="T301" s="263"/>
      <c r="U301" s="263"/>
      <c r="V301" s="264" t="s">
        <v>1835</v>
      </c>
      <c r="W301" s="258" t="s">
        <v>1836</v>
      </c>
      <c r="X301" s="258" t="s">
        <v>1837</v>
      </c>
      <c r="Y301" s="33" t="s">
        <v>1838</v>
      </c>
      <c r="Z301" s="258">
        <v>11074.0</v>
      </c>
      <c r="AA301" s="258">
        <v>11501.0</v>
      </c>
      <c r="AB301" s="258"/>
      <c r="AC301" s="258"/>
      <c r="AD301" s="265"/>
      <c r="AE301" s="266" t="s">
        <v>685</v>
      </c>
      <c r="AF301" s="267" t="s">
        <v>2211</v>
      </c>
      <c r="AG301" s="268" t="str">
        <f>IFS(LEN(AF301)=17,LOWER('2-Building'!$B$4 &amp; "-" &amp; C301), AF301="N/A", "N/A", LEN(AF301)=0,"")</f>
        <v>in-blr-ananta-hli-38</v>
      </c>
      <c r="AH301" s="258"/>
      <c r="AI301" s="258"/>
      <c r="AJ301" s="258"/>
      <c r="AK301" s="258" t="s">
        <v>2212</v>
      </c>
      <c r="AL301" s="258" t="s">
        <v>688</v>
      </c>
      <c r="AM301" s="258" t="s">
        <v>689</v>
      </c>
      <c r="AN301" s="258"/>
      <c r="AO301" s="258"/>
      <c r="AP301" s="258"/>
      <c r="AQ301" s="258"/>
      <c r="AR301" s="258" t="s">
        <v>690</v>
      </c>
      <c r="AS301" s="258" t="s">
        <v>691</v>
      </c>
      <c r="AT301" s="258" t="s">
        <v>1841</v>
      </c>
      <c r="AU301" s="265" t="s">
        <v>1842</v>
      </c>
      <c r="AV301" s="174" t="s">
        <v>225</v>
      </c>
      <c r="AW301" s="269" t="s">
        <v>245</v>
      </c>
      <c r="AX301" s="269" t="s">
        <v>694</v>
      </c>
      <c r="AY301" s="270" t="s">
        <v>1843</v>
      </c>
      <c r="AZ301" s="173" t="s">
        <v>1834</v>
      </c>
      <c r="BA301" s="265">
        <v>10.0</v>
      </c>
      <c r="BB301" s="174" t="s">
        <v>225</v>
      </c>
      <c r="BC301" s="271"/>
      <c r="BD301" s="272" t="s">
        <v>1844</v>
      </c>
      <c r="BE301" s="273"/>
      <c r="BF301" s="274" t="str">
        <f>IFERROR(__xludf.DUMMYFUNCTION("LOWER(Regexreplace(to_text(E301),""[^A-Za-z0-9]"","""")&amp;""_""&amp;Regexreplace(to_text(F301),""[^A-Za-z0-9]"",""""))"),"alc_g5ce")</f>
        <v>alc_g5ce</v>
      </c>
      <c r="BG301" s="275" t="str">
        <f>IFERROR(__xludf.DUMMYFUNCTION("upper(Regexreplace(to_text(E301),""[^A-Za-z0-9]"","""")&amp;""-""&amp;Regexreplace(to_text(F301),""[^A-Za-z0-9]"",""""))"),"ALC-G5CE")</f>
        <v>ALC-G5CE</v>
      </c>
    </row>
    <row r="302" ht="30.0" customHeight="1">
      <c r="A302" s="173">
        <v>295.0</v>
      </c>
      <c r="B302" s="256" t="s">
        <v>670</v>
      </c>
      <c r="C302" s="257" t="s">
        <v>1093</v>
      </c>
      <c r="D302" s="173" t="s">
        <v>1093</v>
      </c>
      <c r="E302" s="174" t="s">
        <v>1830</v>
      </c>
      <c r="F302" s="173" t="s">
        <v>507</v>
      </c>
      <c r="G302" s="258" t="s">
        <v>673</v>
      </c>
      <c r="H302" s="258" t="s">
        <v>674</v>
      </c>
      <c r="I302" s="258" t="s">
        <v>675</v>
      </c>
      <c r="J302" s="259" t="s">
        <v>1088</v>
      </c>
      <c r="K302" s="260">
        <v>563.0</v>
      </c>
      <c r="L302" s="258" t="s">
        <v>2213</v>
      </c>
      <c r="M302" s="265" t="s">
        <v>2214</v>
      </c>
      <c r="N302" s="173" t="s">
        <v>679</v>
      </c>
      <c r="O302" s="173" t="s">
        <v>225</v>
      </c>
      <c r="P302" s="262" t="str">
        <f t="shared" si="1"/>
        <v>IN-BLR-ANANTA-DDC-36_5</v>
      </c>
      <c r="Q302" s="173" t="s">
        <v>2215</v>
      </c>
      <c r="R302" s="258" t="str">
        <f>IFS(C302="","",C302="n/a","N/A",LEN(C302),Concatenate("{",char(34),"asset",char(34),":{",char(34),"guid",char(34),":",char(34),Q302,char(34),",",char(34),"site",char(34),":",char(34),LOWER('2-Building'!$B$4),char(34),",",char(34),"name",char(34),":",char(34),LOWER(C302),char(34),"}}"))</f>
        <v>{"asset":{"guid":"uuid://0ea5df0e-d286-4747-a0b9-0ce15af24a2d","site":"in-blr-ananta","name":"ddc-36"}}</v>
      </c>
      <c r="S302" s="258" t="s">
        <v>1834</v>
      </c>
      <c r="T302" s="263"/>
      <c r="U302" s="263"/>
      <c r="V302" s="264" t="s">
        <v>1835</v>
      </c>
      <c r="W302" s="258" t="s">
        <v>1836</v>
      </c>
      <c r="X302" s="258" t="s">
        <v>1837</v>
      </c>
      <c r="Y302" s="33" t="s">
        <v>1838</v>
      </c>
      <c r="Z302" s="258">
        <v>11075.0</v>
      </c>
      <c r="AA302" s="258">
        <v>11501.0</v>
      </c>
      <c r="AB302" s="258"/>
      <c r="AC302" s="258"/>
      <c r="AD302" s="265"/>
      <c r="AE302" s="266" t="s">
        <v>685</v>
      </c>
      <c r="AF302" s="267" t="s">
        <v>2216</v>
      </c>
      <c r="AG302" s="268" t="str">
        <f>IFS(LEN(AF302)=17,LOWER('2-Building'!$B$4 &amp; "-" &amp; C302), AF302="N/A", "N/A", LEN(AF302)=0,"")</f>
        <v>in-blr-ananta-ddc-36</v>
      </c>
      <c r="AH302" s="258"/>
      <c r="AI302" s="258"/>
      <c r="AJ302" s="258"/>
      <c r="AK302" s="258" t="s">
        <v>2217</v>
      </c>
      <c r="AL302" s="258" t="s">
        <v>688</v>
      </c>
      <c r="AM302" s="258" t="s">
        <v>689</v>
      </c>
      <c r="AN302" s="258"/>
      <c r="AO302" s="258"/>
      <c r="AP302" s="258"/>
      <c r="AQ302" s="258"/>
      <c r="AR302" s="258" t="s">
        <v>690</v>
      </c>
      <c r="AS302" s="258" t="s">
        <v>691</v>
      </c>
      <c r="AT302" s="258" t="s">
        <v>1841</v>
      </c>
      <c r="AU302" s="265" t="s">
        <v>1842</v>
      </c>
      <c r="AV302" s="174" t="s">
        <v>225</v>
      </c>
      <c r="AW302" s="269" t="s">
        <v>245</v>
      </c>
      <c r="AX302" s="269" t="s">
        <v>694</v>
      </c>
      <c r="AY302" s="270" t="s">
        <v>1843</v>
      </c>
      <c r="AZ302" s="173" t="s">
        <v>1834</v>
      </c>
      <c r="BA302" s="265">
        <v>10.0</v>
      </c>
      <c r="BB302" s="174" t="s">
        <v>225</v>
      </c>
      <c r="BC302" s="271"/>
      <c r="BD302" s="272" t="s">
        <v>1844</v>
      </c>
      <c r="BE302" s="273"/>
      <c r="BF302" s="274" t="str">
        <f>IFERROR(__xludf.DUMMYFUNCTION("LOWER(Regexreplace(to_text(E302),""[^A-Za-z0-9]"","""")&amp;""_""&amp;Regexreplace(to_text(F302),""[^A-Za-z0-9]"",""""))"),"alc_g5ce")</f>
        <v>alc_g5ce</v>
      </c>
      <c r="BG302" s="275" t="str">
        <f>IFERROR(__xludf.DUMMYFUNCTION("upper(Regexreplace(to_text(E302),""[^A-Za-z0-9]"","""")&amp;""-""&amp;Regexreplace(to_text(F302),""[^A-Za-z0-9]"",""""))"),"ALC-G5CE")</f>
        <v>ALC-G5CE</v>
      </c>
    </row>
    <row r="303" ht="30.0" customHeight="1">
      <c r="A303" s="258">
        <v>296.0</v>
      </c>
      <c r="B303" s="256" t="s">
        <v>670</v>
      </c>
      <c r="C303" s="257" t="s">
        <v>2218</v>
      </c>
      <c r="D303" s="173" t="s">
        <v>2218</v>
      </c>
      <c r="E303" s="174" t="s">
        <v>1830</v>
      </c>
      <c r="F303" s="173" t="s">
        <v>507</v>
      </c>
      <c r="G303" s="258" t="s">
        <v>673</v>
      </c>
      <c r="H303" s="258" t="s">
        <v>674</v>
      </c>
      <c r="I303" s="258" t="s">
        <v>1614</v>
      </c>
      <c r="J303" s="259" t="s">
        <v>1088</v>
      </c>
      <c r="K303" s="260">
        <v>563.0</v>
      </c>
      <c r="L303" s="258" t="s">
        <v>2213</v>
      </c>
      <c r="M303" s="265" t="s">
        <v>2219</v>
      </c>
      <c r="N303" s="173" t="s">
        <v>679</v>
      </c>
      <c r="O303" s="173" t="s">
        <v>225</v>
      </c>
      <c r="P303" s="262" t="str">
        <f t="shared" si="1"/>
        <v>IN-BLR-ANANTA-HLI-39_5</v>
      </c>
      <c r="Q303" s="173" t="s">
        <v>2220</v>
      </c>
      <c r="R303" s="258" t="str">
        <f>IFS(C303="","",C303="n/a","N/A",LEN(C303),Concatenate("{",char(34),"asset",char(34),":{",char(34),"guid",char(34),":",char(34),Q303,char(34),",",char(34),"site",char(34),":",char(34),LOWER('2-Building'!$B$4),char(34),",",char(34),"name",char(34),":",char(34),LOWER(C303),char(34),"}}"))</f>
        <v>{"asset":{"guid":"uuid://7f2a932a-393e-48e8-80a5-5e5c1ce220e8","site":"in-blr-ananta","name":"hli-39"}}</v>
      </c>
      <c r="S303" s="258" t="s">
        <v>1834</v>
      </c>
      <c r="T303" s="263"/>
      <c r="U303" s="263"/>
      <c r="V303" s="264" t="s">
        <v>1835</v>
      </c>
      <c r="W303" s="258" t="s">
        <v>1836</v>
      </c>
      <c r="X303" s="258" t="s">
        <v>1837</v>
      </c>
      <c r="Y303" s="33" t="s">
        <v>1838</v>
      </c>
      <c r="Z303" s="258">
        <v>11076.0</v>
      </c>
      <c r="AA303" s="258">
        <v>11501.0</v>
      </c>
      <c r="AB303" s="258"/>
      <c r="AC303" s="258"/>
      <c r="AD303" s="265"/>
      <c r="AE303" s="266" t="s">
        <v>685</v>
      </c>
      <c r="AF303" s="267" t="s">
        <v>2221</v>
      </c>
      <c r="AG303" s="268" t="str">
        <f>IFS(LEN(AF303)=17,LOWER('2-Building'!$B$4 &amp; "-" &amp; C303), AF303="N/A", "N/A", LEN(AF303)=0,"")</f>
        <v>in-blr-ananta-hli-39</v>
      </c>
      <c r="AH303" s="258"/>
      <c r="AI303" s="258"/>
      <c r="AJ303" s="258"/>
      <c r="AK303" s="258" t="s">
        <v>2222</v>
      </c>
      <c r="AL303" s="258" t="s">
        <v>688</v>
      </c>
      <c r="AM303" s="258" t="s">
        <v>689</v>
      </c>
      <c r="AN303" s="258"/>
      <c r="AO303" s="258"/>
      <c r="AP303" s="258"/>
      <c r="AQ303" s="258"/>
      <c r="AR303" s="258" t="s">
        <v>690</v>
      </c>
      <c r="AS303" s="258" t="s">
        <v>691</v>
      </c>
      <c r="AT303" s="258" t="s">
        <v>1841</v>
      </c>
      <c r="AU303" s="265" t="s">
        <v>1842</v>
      </c>
      <c r="AV303" s="174" t="s">
        <v>225</v>
      </c>
      <c r="AW303" s="269" t="s">
        <v>245</v>
      </c>
      <c r="AX303" s="269" t="s">
        <v>694</v>
      </c>
      <c r="AY303" s="270" t="s">
        <v>1843</v>
      </c>
      <c r="AZ303" s="173" t="s">
        <v>1834</v>
      </c>
      <c r="BA303" s="265">
        <v>10.0</v>
      </c>
      <c r="BB303" s="174" t="s">
        <v>225</v>
      </c>
      <c r="BC303" s="271"/>
      <c r="BD303" s="272" t="s">
        <v>1844</v>
      </c>
      <c r="BE303" s="273"/>
      <c r="BF303" s="274" t="str">
        <f>IFERROR(__xludf.DUMMYFUNCTION("LOWER(Regexreplace(to_text(E303),""[^A-Za-z0-9]"","""")&amp;""_""&amp;Regexreplace(to_text(F303),""[^A-Za-z0-9]"",""""))"),"alc_g5ce")</f>
        <v>alc_g5ce</v>
      </c>
      <c r="BG303" s="275" t="str">
        <f>IFERROR(__xludf.DUMMYFUNCTION("upper(Regexreplace(to_text(E303),""[^A-Za-z0-9]"","""")&amp;""-""&amp;Regexreplace(to_text(F303),""[^A-Za-z0-9]"",""""))"),"ALC-G5CE")</f>
        <v>ALC-G5CE</v>
      </c>
    </row>
    <row r="304" ht="30.0" customHeight="1">
      <c r="A304" s="173">
        <v>297.0</v>
      </c>
      <c r="B304" s="256" t="s">
        <v>670</v>
      </c>
      <c r="C304" s="257" t="s">
        <v>1780</v>
      </c>
      <c r="D304" s="173" t="s">
        <v>1780</v>
      </c>
      <c r="E304" s="174" t="s">
        <v>1830</v>
      </c>
      <c r="F304" s="173" t="s">
        <v>510</v>
      </c>
      <c r="G304" s="258" t="s">
        <v>673</v>
      </c>
      <c r="H304" s="258" t="s">
        <v>674</v>
      </c>
      <c r="I304" s="258" t="s">
        <v>1614</v>
      </c>
      <c r="J304" s="259" t="s">
        <v>1088</v>
      </c>
      <c r="K304" s="260">
        <v>563.0</v>
      </c>
      <c r="L304" s="258" t="s">
        <v>2213</v>
      </c>
      <c r="M304" s="265" t="s">
        <v>2223</v>
      </c>
      <c r="N304" s="173" t="s">
        <v>679</v>
      </c>
      <c r="O304" s="173" t="s">
        <v>225</v>
      </c>
      <c r="P304" s="262" t="str">
        <f t="shared" si="1"/>
        <v>IN-BLR-ANANTA-HLI-40_5</v>
      </c>
      <c r="Q304" s="173" t="s">
        <v>2224</v>
      </c>
      <c r="R304" s="258" t="str">
        <f>IFS(C304="","",C304="n/a","N/A",LEN(C304),Concatenate("{",char(34),"asset",char(34),":{",char(34),"guid",char(34),":",char(34),Q304,char(34),",",char(34),"site",char(34),":",char(34),LOWER('2-Building'!$B$4),char(34),",",char(34),"name",char(34),":",char(34),LOWER(C304),char(34),"}}"))</f>
        <v>{"asset":{"guid":"uuid://c5d482d9-34a9-4347-9edd-f597ec3c3c5a","site":"in-blr-ananta","name":"hli-40"}}</v>
      </c>
      <c r="S304" s="258" t="s">
        <v>1834</v>
      </c>
      <c r="T304" s="263"/>
      <c r="U304" s="263"/>
      <c r="V304" s="264" t="s">
        <v>1835</v>
      </c>
      <c r="W304" s="258" t="s">
        <v>1836</v>
      </c>
      <c r="X304" s="258" t="s">
        <v>1837</v>
      </c>
      <c r="Y304" s="33" t="s">
        <v>1838</v>
      </c>
      <c r="Z304" s="258">
        <v>11077.0</v>
      </c>
      <c r="AA304" s="258">
        <v>11501.0</v>
      </c>
      <c r="AB304" s="258"/>
      <c r="AC304" s="258"/>
      <c r="AD304" s="265"/>
      <c r="AE304" s="266" t="s">
        <v>685</v>
      </c>
      <c r="AF304" s="267" t="s">
        <v>2225</v>
      </c>
      <c r="AG304" s="268" t="str">
        <f>IFS(LEN(AF304)=17,LOWER('2-Building'!$B$4 &amp; "-" &amp; C304), AF304="N/A", "N/A", LEN(AF304)=0,"")</f>
        <v>in-blr-ananta-hli-40</v>
      </c>
      <c r="AH304" s="258"/>
      <c r="AI304" s="258"/>
      <c r="AJ304" s="258"/>
      <c r="AK304" s="258" t="s">
        <v>2226</v>
      </c>
      <c r="AL304" s="258" t="s">
        <v>688</v>
      </c>
      <c r="AM304" s="258" t="s">
        <v>689</v>
      </c>
      <c r="AN304" s="258"/>
      <c r="AO304" s="258"/>
      <c r="AP304" s="258"/>
      <c r="AQ304" s="258"/>
      <c r="AR304" s="258" t="s">
        <v>690</v>
      </c>
      <c r="AS304" s="258" t="s">
        <v>691</v>
      </c>
      <c r="AT304" s="258" t="s">
        <v>1841</v>
      </c>
      <c r="AU304" s="265" t="s">
        <v>1842</v>
      </c>
      <c r="AV304" s="174" t="s">
        <v>225</v>
      </c>
      <c r="AW304" s="269" t="s">
        <v>245</v>
      </c>
      <c r="AX304" s="269" t="s">
        <v>694</v>
      </c>
      <c r="AY304" s="270" t="s">
        <v>1843</v>
      </c>
      <c r="AZ304" s="173" t="s">
        <v>1834</v>
      </c>
      <c r="BA304" s="265">
        <v>10.0</v>
      </c>
      <c r="BB304" s="174" t="s">
        <v>225</v>
      </c>
      <c r="BC304" s="271"/>
      <c r="BD304" s="272" t="s">
        <v>1844</v>
      </c>
      <c r="BE304" s="273"/>
      <c r="BF304" s="274" t="str">
        <f>IFERROR(__xludf.DUMMYFUNCTION("LOWER(Regexreplace(to_text(E304),""[^A-Za-z0-9]"","""")&amp;""_""&amp;Regexreplace(to_text(F304),""[^A-Za-z0-9]"",""""))"),"alc_ofhi")</f>
        <v>alc_ofhi</v>
      </c>
      <c r="BG304" s="275" t="str">
        <f>IFERROR(__xludf.DUMMYFUNCTION("upper(Regexreplace(to_text(E304),""[^A-Za-z0-9]"","""")&amp;""-""&amp;Regexreplace(to_text(F304),""[^A-Za-z0-9]"",""""))"),"ALC-OFHI")</f>
        <v>ALC-OFHI</v>
      </c>
    </row>
    <row r="305" ht="30.0" customHeight="1">
      <c r="A305" s="258">
        <v>298.0</v>
      </c>
      <c r="B305" s="256" t="s">
        <v>670</v>
      </c>
      <c r="C305" s="257" t="s">
        <v>2227</v>
      </c>
      <c r="D305" s="173" t="s">
        <v>2227</v>
      </c>
      <c r="E305" s="174" t="s">
        <v>1830</v>
      </c>
      <c r="F305" s="173" t="s">
        <v>510</v>
      </c>
      <c r="G305" s="258" t="s">
        <v>673</v>
      </c>
      <c r="H305" s="258" t="s">
        <v>674</v>
      </c>
      <c r="I305" s="258" t="s">
        <v>1614</v>
      </c>
      <c r="J305" s="259" t="s">
        <v>1088</v>
      </c>
      <c r="K305" s="260">
        <v>563.0</v>
      </c>
      <c r="L305" s="258" t="s">
        <v>2213</v>
      </c>
      <c r="M305" s="265" t="s">
        <v>2228</v>
      </c>
      <c r="N305" s="173" t="s">
        <v>679</v>
      </c>
      <c r="O305" s="173" t="s">
        <v>225</v>
      </c>
      <c r="P305" s="262" t="str">
        <f t="shared" si="1"/>
        <v>IN-BLR-ANANTA-HLI-41_5</v>
      </c>
      <c r="Q305" s="173" t="s">
        <v>2229</v>
      </c>
      <c r="R305" s="258" t="str">
        <f>IFS(C305="","",C305="n/a","N/A",LEN(C305),Concatenate("{",char(34),"asset",char(34),":{",char(34),"guid",char(34),":",char(34),Q305,char(34),",",char(34),"site",char(34),":",char(34),LOWER('2-Building'!$B$4),char(34),",",char(34),"name",char(34),":",char(34),LOWER(C305),char(34),"}}"))</f>
        <v>{"asset":{"guid":"uuid://bf1b2bc6-6984-4feb-b39d-ae3d57fc1376","site":"in-blr-ananta","name":"hli-41"}}</v>
      </c>
      <c r="S305" s="258" t="s">
        <v>1834</v>
      </c>
      <c r="T305" s="263"/>
      <c r="U305" s="263"/>
      <c r="V305" s="264" t="s">
        <v>1835</v>
      </c>
      <c r="W305" s="258" t="s">
        <v>1836</v>
      </c>
      <c r="X305" s="258" t="s">
        <v>1837</v>
      </c>
      <c r="Y305" s="33" t="s">
        <v>1838</v>
      </c>
      <c r="Z305" s="258">
        <v>11078.0</v>
      </c>
      <c r="AA305" s="258">
        <v>11501.0</v>
      </c>
      <c r="AB305" s="258"/>
      <c r="AC305" s="258"/>
      <c r="AD305" s="265"/>
      <c r="AE305" s="266" t="s">
        <v>685</v>
      </c>
      <c r="AF305" s="267" t="s">
        <v>2230</v>
      </c>
      <c r="AG305" s="268" t="str">
        <f>IFS(LEN(AF305)=17,LOWER('2-Building'!$B$4 &amp; "-" &amp; C305), AF305="N/A", "N/A", LEN(AF305)=0,"")</f>
        <v>in-blr-ananta-hli-41</v>
      </c>
      <c r="AH305" s="258"/>
      <c r="AI305" s="258"/>
      <c r="AJ305" s="258"/>
      <c r="AK305" s="258" t="s">
        <v>2231</v>
      </c>
      <c r="AL305" s="258" t="s">
        <v>688</v>
      </c>
      <c r="AM305" s="258" t="s">
        <v>689</v>
      </c>
      <c r="AN305" s="258"/>
      <c r="AO305" s="258"/>
      <c r="AP305" s="258"/>
      <c r="AQ305" s="258"/>
      <c r="AR305" s="258" t="s">
        <v>690</v>
      </c>
      <c r="AS305" s="258" t="s">
        <v>691</v>
      </c>
      <c r="AT305" s="258" t="s">
        <v>1841</v>
      </c>
      <c r="AU305" s="265" t="s">
        <v>1842</v>
      </c>
      <c r="AV305" s="174" t="s">
        <v>225</v>
      </c>
      <c r="AW305" s="269" t="s">
        <v>245</v>
      </c>
      <c r="AX305" s="269" t="s">
        <v>694</v>
      </c>
      <c r="AY305" s="270" t="s">
        <v>1843</v>
      </c>
      <c r="AZ305" s="173" t="s">
        <v>1834</v>
      </c>
      <c r="BA305" s="265">
        <v>10.0</v>
      </c>
      <c r="BB305" s="174" t="s">
        <v>225</v>
      </c>
      <c r="BC305" s="271"/>
      <c r="BD305" s="272" t="s">
        <v>1844</v>
      </c>
      <c r="BE305" s="273"/>
      <c r="BF305" s="274" t="str">
        <f>IFERROR(__xludf.DUMMYFUNCTION("LOWER(Regexreplace(to_text(E305),""[^A-Za-z0-9]"","""")&amp;""_""&amp;Regexreplace(to_text(F305),""[^A-Za-z0-9]"",""""))"),"alc_ofhi")</f>
        <v>alc_ofhi</v>
      </c>
      <c r="BG305" s="275" t="str">
        <f>IFERROR(__xludf.DUMMYFUNCTION("upper(Regexreplace(to_text(E305),""[^A-Za-z0-9]"","""")&amp;""-""&amp;Regexreplace(to_text(F305),""[^A-Za-z0-9]"",""""))"),"ALC-OFHI")</f>
        <v>ALC-OFHI</v>
      </c>
    </row>
    <row r="306" ht="30.0" customHeight="1">
      <c r="A306" s="173">
        <v>299.0</v>
      </c>
      <c r="B306" s="256" t="s">
        <v>670</v>
      </c>
      <c r="C306" s="257" t="s">
        <v>1113</v>
      </c>
      <c r="D306" s="173" t="s">
        <v>1113</v>
      </c>
      <c r="E306" s="174" t="s">
        <v>1830</v>
      </c>
      <c r="F306" s="173" t="s">
        <v>507</v>
      </c>
      <c r="G306" s="258" t="s">
        <v>673</v>
      </c>
      <c r="H306" s="258" t="s">
        <v>674</v>
      </c>
      <c r="I306" s="258" t="s">
        <v>675</v>
      </c>
      <c r="J306" s="259" t="s">
        <v>1088</v>
      </c>
      <c r="K306" s="260">
        <v>519.0</v>
      </c>
      <c r="L306" s="258" t="s">
        <v>2232</v>
      </c>
      <c r="M306" s="265" t="s">
        <v>2233</v>
      </c>
      <c r="N306" s="173" t="s">
        <v>679</v>
      </c>
      <c r="O306" s="173" t="s">
        <v>225</v>
      </c>
      <c r="P306" s="262" t="str">
        <f t="shared" si="1"/>
        <v>IN-BLR-ANANTA-DDC-37_5</v>
      </c>
      <c r="Q306" s="173" t="s">
        <v>2234</v>
      </c>
      <c r="R306" s="258" t="str">
        <f>IFS(C306="","",C306="n/a","N/A",LEN(C306),Concatenate("{",char(34),"asset",char(34),":{",char(34),"guid",char(34),":",char(34),Q306,char(34),",",char(34),"site",char(34),":",char(34),LOWER('2-Building'!$B$4),char(34),",",char(34),"name",char(34),":",char(34),LOWER(C306),char(34),"}}"))</f>
        <v>{"asset":{"guid":"uuid://156574a4-f1ed-4ae2-ba19-0e1990e39c8f","site":"in-blr-ananta","name":"ddc-37"}}</v>
      </c>
      <c r="S306" s="258" t="s">
        <v>1834</v>
      </c>
      <c r="T306" s="263"/>
      <c r="U306" s="263"/>
      <c r="V306" s="264" t="s">
        <v>1835</v>
      </c>
      <c r="W306" s="258" t="s">
        <v>1836</v>
      </c>
      <c r="X306" s="258" t="s">
        <v>1837</v>
      </c>
      <c r="Y306" s="33" t="s">
        <v>1838</v>
      </c>
      <c r="Z306" s="258">
        <v>11079.0</v>
      </c>
      <c r="AA306" s="258">
        <v>11501.0</v>
      </c>
      <c r="AB306" s="258"/>
      <c r="AC306" s="258"/>
      <c r="AD306" s="265"/>
      <c r="AE306" s="266" t="s">
        <v>685</v>
      </c>
      <c r="AF306" s="267" t="s">
        <v>2235</v>
      </c>
      <c r="AG306" s="268" t="str">
        <f>IFS(LEN(AF306)=17,LOWER('2-Building'!$B$4 &amp; "-" &amp; C306), AF306="N/A", "N/A", LEN(AF306)=0,"")</f>
        <v>in-blr-ananta-ddc-37</v>
      </c>
      <c r="AH306" s="258"/>
      <c r="AI306" s="258"/>
      <c r="AJ306" s="258"/>
      <c r="AK306" s="258" t="s">
        <v>2236</v>
      </c>
      <c r="AL306" s="258" t="s">
        <v>688</v>
      </c>
      <c r="AM306" s="258" t="s">
        <v>689</v>
      </c>
      <c r="AN306" s="258"/>
      <c r="AO306" s="258"/>
      <c r="AP306" s="258"/>
      <c r="AQ306" s="258"/>
      <c r="AR306" s="258" t="s">
        <v>690</v>
      </c>
      <c r="AS306" s="258" t="s">
        <v>691</v>
      </c>
      <c r="AT306" s="258" t="s">
        <v>1841</v>
      </c>
      <c r="AU306" s="265" t="s">
        <v>1842</v>
      </c>
      <c r="AV306" s="174" t="s">
        <v>225</v>
      </c>
      <c r="AW306" s="269" t="s">
        <v>245</v>
      </c>
      <c r="AX306" s="269" t="s">
        <v>694</v>
      </c>
      <c r="AY306" s="270" t="s">
        <v>1843</v>
      </c>
      <c r="AZ306" s="173" t="s">
        <v>1834</v>
      </c>
      <c r="BA306" s="265">
        <v>10.0</v>
      </c>
      <c r="BB306" s="174" t="s">
        <v>225</v>
      </c>
      <c r="BC306" s="271"/>
      <c r="BD306" s="272" t="s">
        <v>1844</v>
      </c>
      <c r="BE306" s="273"/>
      <c r="BF306" s="274" t="str">
        <f>IFERROR(__xludf.DUMMYFUNCTION("LOWER(Regexreplace(to_text(E306),""[^A-Za-z0-9]"","""")&amp;""_""&amp;Regexreplace(to_text(F306),""[^A-Za-z0-9]"",""""))"),"alc_g5ce")</f>
        <v>alc_g5ce</v>
      </c>
      <c r="BG306" s="275" t="str">
        <f>IFERROR(__xludf.DUMMYFUNCTION("upper(Regexreplace(to_text(E306),""[^A-Za-z0-9]"","""")&amp;""-""&amp;Regexreplace(to_text(F306),""[^A-Za-z0-9]"",""""))"),"ALC-G5CE")</f>
        <v>ALC-G5CE</v>
      </c>
    </row>
    <row r="307" ht="30.0" customHeight="1">
      <c r="A307" s="258">
        <v>300.0</v>
      </c>
      <c r="B307" s="256" t="s">
        <v>670</v>
      </c>
      <c r="C307" s="257" t="s">
        <v>2237</v>
      </c>
      <c r="D307" s="173" t="s">
        <v>2237</v>
      </c>
      <c r="E307" s="174" t="s">
        <v>1830</v>
      </c>
      <c r="F307" s="173" t="s">
        <v>507</v>
      </c>
      <c r="G307" s="258" t="s">
        <v>673</v>
      </c>
      <c r="H307" s="258" t="s">
        <v>674</v>
      </c>
      <c r="I307" s="258" t="s">
        <v>1614</v>
      </c>
      <c r="J307" s="259" t="s">
        <v>1088</v>
      </c>
      <c r="K307" s="260">
        <v>519.0</v>
      </c>
      <c r="L307" s="258" t="s">
        <v>2232</v>
      </c>
      <c r="M307" s="265" t="s">
        <v>2238</v>
      </c>
      <c r="N307" s="173" t="s">
        <v>679</v>
      </c>
      <c r="O307" s="173" t="s">
        <v>225</v>
      </c>
      <c r="P307" s="262" t="str">
        <f t="shared" si="1"/>
        <v>IN-BLR-ANANTA-HLI-42_5</v>
      </c>
      <c r="Q307" s="173" t="s">
        <v>2239</v>
      </c>
      <c r="R307" s="258" t="str">
        <f>IFS(C307="","",C307="n/a","N/A",LEN(C307),Concatenate("{",char(34),"asset",char(34),":{",char(34),"guid",char(34),":",char(34),Q307,char(34),",",char(34),"site",char(34),":",char(34),LOWER('2-Building'!$B$4),char(34),",",char(34),"name",char(34),":",char(34),LOWER(C307),char(34),"}}"))</f>
        <v>{"asset":{"guid":"uuid://3f5852e9-7447-4ea0-903a-80b10381a35a","site":"in-blr-ananta","name":"hli-42"}}</v>
      </c>
      <c r="S307" s="258" t="s">
        <v>1834</v>
      </c>
      <c r="T307" s="263"/>
      <c r="U307" s="263"/>
      <c r="V307" s="264" t="s">
        <v>1835</v>
      </c>
      <c r="W307" s="258" t="s">
        <v>1836</v>
      </c>
      <c r="X307" s="258" t="s">
        <v>1837</v>
      </c>
      <c r="Y307" s="33" t="s">
        <v>1838</v>
      </c>
      <c r="Z307" s="258">
        <v>11080.0</v>
      </c>
      <c r="AA307" s="258">
        <v>11501.0</v>
      </c>
      <c r="AB307" s="258"/>
      <c r="AC307" s="258"/>
      <c r="AD307" s="265"/>
      <c r="AE307" s="266" t="s">
        <v>685</v>
      </c>
      <c r="AF307" s="267" t="s">
        <v>2240</v>
      </c>
      <c r="AG307" s="268" t="str">
        <f>IFS(LEN(AF307)=17,LOWER('2-Building'!$B$4 &amp; "-" &amp; C307), AF307="N/A", "N/A", LEN(AF307)=0,"")</f>
        <v>in-blr-ananta-hli-42</v>
      </c>
      <c r="AH307" s="258"/>
      <c r="AI307" s="258"/>
      <c r="AJ307" s="258"/>
      <c r="AK307" s="258" t="s">
        <v>2241</v>
      </c>
      <c r="AL307" s="258" t="s">
        <v>688</v>
      </c>
      <c r="AM307" s="258" t="s">
        <v>689</v>
      </c>
      <c r="AN307" s="258"/>
      <c r="AO307" s="258"/>
      <c r="AP307" s="258"/>
      <c r="AQ307" s="258"/>
      <c r="AR307" s="258" t="s">
        <v>690</v>
      </c>
      <c r="AS307" s="258" t="s">
        <v>691</v>
      </c>
      <c r="AT307" s="258" t="s">
        <v>1841</v>
      </c>
      <c r="AU307" s="265" t="s">
        <v>1842</v>
      </c>
      <c r="AV307" s="174" t="s">
        <v>225</v>
      </c>
      <c r="AW307" s="269" t="s">
        <v>245</v>
      </c>
      <c r="AX307" s="269" t="s">
        <v>694</v>
      </c>
      <c r="AY307" s="270" t="s">
        <v>1843</v>
      </c>
      <c r="AZ307" s="173" t="s">
        <v>1834</v>
      </c>
      <c r="BA307" s="265">
        <v>10.0</v>
      </c>
      <c r="BB307" s="174" t="s">
        <v>225</v>
      </c>
      <c r="BC307" s="271"/>
      <c r="BD307" s="272" t="s">
        <v>1844</v>
      </c>
      <c r="BE307" s="273"/>
      <c r="BF307" s="274" t="str">
        <f>IFERROR(__xludf.DUMMYFUNCTION("LOWER(Regexreplace(to_text(E307),""[^A-Za-z0-9]"","""")&amp;""_""&amp;Regexreplace(to_text(F307),""[^A-Za-z0-9]"",""""))"),"alc_g5ce")</f>
        <v>alc_g5ce</v>
      </c>
      <c r="BG307" s="275" t="str">
        <f>IFERROR(__xludf.DUMMYFUNCTION("upper(Regexreplace(to_text(E307),""[^A-Za-z0-9]"","""")&amp;""-""&amp;Regexreplace(to_text(F307),""[^A-Za-z0-9]"",""""))"),"ALC-G5CE")</f>
        <v>ALC-G5CE</v>
      </c>
    </row>
    <row r="308" ht="30.0" customHeight="1">
      <c r="A308" s="173">
        <v>301.0</v>
      </c>
      <c r="B308" s="256" t="s">
        <v>670</v>
      </c>
      <c r="C308" s="257" t="s">
        <v>1123</v>
      </c>
      <c r="D308" s="173" t="s">
        <v>1123</v>
      </c>
      <c r="E308" s="174" t="s">
        <v>1830</v>
      </c>
      <c r="F308" s="173" t="s">
        <v>507</v>
      </c>
      <c r="G308" s="258" t="s">
        <v>673</v>
      </c>
      <c r="H308" s="258" t="s">
        <v>674</v>
      </c>
      <c r="I308" s="258" t="s">
        <v>675</v>
      </c>
      <c r="J308" s="259" t="s">
        <v>1088</v>
      </c>
      <c r="K308" s="260">
        <v>548.0</v>
      </c>
      <c r="L308" s="258" t="s">
        <v>2242</v>
      </c>
      <c r="M308" s="265" t="s">
        <v>2243</v>
      </c>
      <c r="N308" s="173" t="s">
        <v>679</v>
      </c>
      <c r="O308" s="173" t="s">
        <v>225</v>
      </c>
      <c r="P308" s="262" t="str">
        <f t="shared" si="1"/>
        <v>IN-BLR-ANANTA-DDC-38_5</v>
      </c>
      <c r="Q308" s="173" t="s">
        <v>2244</v>
      </c>
      <c r="R308" s="258" t="str">
        <f>IFS(C308="","",C308="n/a","N/A",LEN(C308),Concatenate("{",char(34),"asset",char(34),":{",char(34),"guid",char(34),":",char(34),Q308,char(34),",",char(34),"site",char(34),":",char(34),LOWER('2-Building'!$B$4),char(34),",",char(34),"name",char(34),":",char(34),LOWER(C308),char(34),"}}"))</f>
        <v>{"asset":{"guid":"uuid://d7afc6ea-715e-4469-8522-8f565bf0d3fc","site":"in-blr-ananta","name":"ddc-38"}}</v>
      </c>
      <c r="S308" s="258" t="s">
        <v>1834</v>
      </c>
      <c r="T308" s="263"/>
      <c r="U308" s="263"/>
      <c r="V308" s="264" t="s">
        <v>1835</v>
      </c>
      <c r="W308" s="258" t="s">
        <v>1836</v>
      </c>
      <c r="X308" s="258" t="s">
        <v>1837</v>
      </c>
      <c r="Y308" s="33" t="s">
        <v>1838</v>
      </c>
      <c r="Z308" s="258">
        <v>11081.0</v>
      </c>
      <c r="AA308" s="258">
        <v>11501.0</v>
      </c>
      <c r="AB308" s="258"/>
      <c r="AC308" s="258"/>
      <c r="AD308" s="265"/>
      <c r="AE308" s="266" t="s">
        <v>685</v>
      </c>
      <c r="AF308" s="267" t="s">
        <v>2245</v>
      </c>
      <c r="AG308" s="268" t="str">
        <f>IFS(LEN(AF308)=17,LOWER('2-Building'!$B$4 &amp; "-" &amp; C308), AF308="N/A", "N/A", LEN(AF308)=0,"")</f>
        <v>in-blr-ananta-ddc-38</v>
      </c>
      <c r="AH308" s="258"/>
      <c r="AI308" s="258"/>
      <c r="AJ308" s="258"/>
      <c r="AK308" s="258" t="s">
        <v>2246</v>
      </c>
      <c r="AL308" s="258" t="s">
        <v>688</v>
      </c>
      <c r="AM308" s="258" t="s">
        <v>689</v>
      </c>
      <c r="AN308" s="258"/>
      <c r="AO308" s="258"/>
      <c r="AP308" s="258"/>
      <c r="AQ308" s="258"/>
      <c r="AR308" s="258" t="s">
        <v>690</v>
      </c>
      <c r="AS308" s="258" t="s">
        <v>691</v>
      </c>
      <c r="AT308" s="258" t="s">
        <v>1841</v>
      </c>
      <c r="AU308" s="265" t="s">
        <v>1842</v>
      </c>
      <c r="AV308" s="174" t="s">
        <v>225</v>
      </c>
      <c r="AW308" s="269" t="s">
        <v>245</v>
      </c>
      <c r="AX308" s="269" t="s">
        <v>694</v>
      </c>
      <c r="AY308" s="270" t="s">
        <v>1843</v>
      </c>
      <c r="AZ308" s="173" t="s">
        <v>1834</v>
      </c>
      <c r="BA308" s="265">
        <v>10.0</v>
      </c>
      <c r="BB308" s="174" t="s">
        <v>225</v>
      </c>
      <c r="BC308" s="271"/>
      <c r="BD308" s="272" t="s">
        <v>1844</v>
      </c>
      <c r="BE308" s="273"/>
      <c r="BF308" s="274" t="str">
        <f>IFERROR(__xludf.DUMMYFUNCTION("LOWER(Regexreplace(to_text(E308),""[^A-Za-z0-9]"","""")&amp;""_""&amp;Regexreplace(to_text(F308),""[^A-Za-z0-9]"",""""))"),"alc_g5ce")</f>
        <v>alc_g5ce</v>
      </c>
      <c r="BG308" s="275" t="str">
        <f>IFERROR(__xludf.DUMMYFUNCTION("upper(Regexreplace(to_text(E308),""[^A-Za-z0-9]"","""")&amp;""-""&amp;Regexreplace(to_text(F308),""[^A-Za-z0-9]"",""""))"),"ALC-G5CE")</f>
        <v>ALC-G5CE</v>
      </c>
    </row>
    <row r="309" ht="30.0" customHeight="1">
      <c r="A309" s="258">
        <v>302.0</v>
      </c>
      <c r="B309" s="256" t="s">
        <v>670</v>
      </c>
      <c r="C309" s="257" t="s">
        <v>2247</v>
      </c>
      <c r="D309" s="173" t="s">
        <v>2247</v>
      </c>
      <c r="E309" s="174" t="s">
        <v>1830</v>
      </c>
      <c r="F309" s="173" t="s">
        <v>507</v>
      </c>
      <c r="G309" s="258" t="s">
        <v>673</v>
      </c>
      <c r="H309" s="258" t="s">
        <v>674</v>
      </c>
      <c r="I309" s="258" t="s">
        <v>1614</v>
      </c>
      <c r="J309" s="259" t="s">
        <v>1088</v>
      </c>
      <c r="K309" s="260">
        <v>548.0</v>
      </c>
      <c r="L309" s="258" t="s">
        <v>2242</v>
      </c>
      <c r="M309" s="265" t="s">
        <v>2248</v>
      </c>
      <c r="N309" s="173" t="s">
        <v>679</v>
      </c>
      <c r="O309" s="173" t="s">
        <v>225</v>
      </c>
      <c r="P309" s="262" t="str">
        <f t="shared" si="1"/>
        <v>IN-BLR-ANANTA-HLI-43_5</v>
      </c>
      <c r="Q309" s="173" t="s">
        <v>2249</v>
      </c>
      <c r="R309" s="258" t="str">
        <f>IFS(C309="","",C309="n/a","N/A",LEN(C309),Concatenate("{",char(34),"asset",char(34),":{",char(34),"guid",char(34),":",char(34),Q309,char(34),",",char(34),"site",char(34),":",char(34),LOWER('2-Building'!$B$4),char(34),",",char(34),"name",char(34),":",char(34),LOWER(C309),char(34),"}}"))</f>
        <v>{"asset":{"guid":"uuid://841a6a3a-cfcf-4824-b9d0-ac23f154efb4","site":"in-blr-ananta","name":"hli-43"}}</v>
      </c>
      <c r="S309" s="258" t="s">
        <v>1834</v>
      </c>
      <c r="T309" s="263"/>
      <c r="U309" s="263"/>
      <c r="V309" s="264" t="s">
        <v>1835</v>
      </c>
      <c r="W309" s="258" t="s">
        <v>1836</v>
      </c>
      <c r="X309" s="258" t="s">
        <v>1837</v>
      </c>
      <c r="Y309" s="33" t="s">
        <v>1838</v>
      </c>
      <c r="Z309" s="258">
        <v>11082.0</v>
      </c>
      <c r="AA309" s="258">
        <v>11501.0</v>
      </c>
      <c r="AB309" s="258"/>
      <c r="AC309" s="258"/>
      <c r="AD309" s="265"/>
      <c r="AE309" s="266" t="s">
        <v>685</v>
      </c>
      <c r="AF309" s="267" t="s">
        <v>2250</v>
      </c>
      <c r="AG309" s="268" t="str">
        <f>IFS(LEN(AF309)=17,LOWER('2-Building'!$B$4 &amp; "-" &amp; C309), AF309="N/A", "N/A", LEN(AF309)=0,"")</f>
        <v>in-blr-ananta-hli-43</v>
      </c>
      <c r="AH309" s="258"/>
      <c r="AI309" s="258"/>
      <c r="AJ309" s="258"/>
      <c r="AK309" s="258" t="s">
        <v>2251</v>
      </c>
      <c r="AL309" s="258" t="s">
        <v>688</v>
      </c>
      <c r="AM309" s="258" t="s">
        <v>689</v>
      </c>
      <c r="AN309" s="258"/>
      <c r="AO309" s="258"/>
      <c r="AP309" s="258"/>
      <c r="AQ309" s="258"/>
      <c r="AR309" s="258" t="s">
        <v>690</v>
      </c>
      <c r="AS309" s="258" t="s">
        <v>691</v>
      </c>
      <c r="AT309" s="258" t="s">
        <v>1841</v>
      </c>
      <c r="AU309" s="265" t="s">
        <v>1842</v>
      </c>
      <c r="AV309" s="174" t="s">
        <v>225</v>
      </c>
      <c r="AW309" s="269" t="s">
        <v>245</v>
      </c>
      <c r="AX309" s="269" t="s">
        <v>694</v>
      </c>
      <c r="AY309" s="270" t="s">
        <v>1843</v>
      </c>
      <c r="AZ309" s="173" t="s">
        <v>1834</v>
      </c>
      <c r="BA309" s="265">
        <v>10.0</v>
      </c>
      <c r="BB309" s="174" t="s">
        <v>225</v>
      </c>
      <c r="BC309" s="271"/>
      <c r="BD309" s="272" t="s">
        <v>1844</v>
      </c>
      <c r="BE309" s="273"/>
      <c r="BF309" s="274" t="str">
        <f>IFERROR(__xludf.DUMMYFUNCTION("LOWER(Regexreplace(to_text(E309),""[^A-Za-z0-9]"","""")&amp;""_""&amp;Regexreplace(to_text(F309),""[^A-Za-z0-9]"",""""))"),"alc_g5ce")</f>
        <v>alc_g5ce</v>
      </c>
      <c r="BG309" s="275" t="str">
        <f>IFERROR(__xludf.DUMMYFUNCTION("upper(Regexreplace(to_text(E309),""[^A-Za-z0-9]"","""")&amp;""-""&amp;Regexreplace(to_text(F309),""[^A-Za-z0-9]"",""""))"),"ALC-G5CE")</f>
        <v>ALC-G5CE</v>
      </c>
    </row>
    <row r="310" ht="30.0" customHeight="1">
      <c r="A310" s="173">
        <v>303.0</v>
      </c>
      <c r="B310" s="256" t="s">
        <v>670</v>
      </c>
      <c r="C310" s="257" t="s">
        <v>1103</v>
      </c>
      <c r="D310" s="173" t="s">
        <v>1103</v>
      </c>
      <c r="E310" s="174" t="s">
        <v>1830</v>
      </c>
      <c r="F310" s="173" t="s">
        <v>507</v>
      </c>
      <c r="G310" s="258" t="s">
        <v>673</v>
      </c>
      <c r="H310" s="258" t="s">
        <v>674</v>
      </c>
      <c r="I310" s="258" t="s">
        <v>675</v>
      </c>
      <c r="J310" s="259" t="s">
        <v>1088</v>
      </c>
      <c r="K310" s="260">
        <v>575.0</v>
      </c>
      <c r="L310" s="258" t="s">
        <v>2252</v>
      </c>
      <c r="M310" s="265" t="s">
        <v>2253</v>
      </c>
      <c r="N310" s="173" t="s">
        <v>679</v>
      </c>
      <c r="O310" s="173" t="s">
        <v>225</v>
      </c>
      <c r="P310" s="262" t="str">
        <f t="shared" si="1"/>
        <v>IN-BLR-ANANTA-DDC-39_5</v>
      </c>
      <c r="Q310" s="173" t="s">
        <v>2254</v>
      </c>
      <c r="R310" s="258" t="str">
        <f>IFS(C310="","",C310="n/a","N/A",LEN(C310),Concatenate("{",char(34),"asset",char(34),":{",char(34),"guid",char(34),":",char(34),Q310,char(34),",",char(34),"site",char(34),":",char(34),LOWER('2-Building'!$B$4),char(34),",",char(34),"name",char(34),":",char(34),LOWER(C310),char(34),"}}"))</f>
        <v>{"asset":{"guid":"uuid://bdd0a508-470a-4e25-b611-50132d724402","site":"in-blr-ananta","name":"ddc-39"}}</v>
      </c>
      <c r="S310" s="258" t="s">
        <v>1834</v>
      </c>
      <c r="T310" s="263"/>
      <c r="U310" s="263"/>
      <c r="V310" s="264" t="s">
        <v>1835</v>
      </c>
      <c r="W310" s="258" t="s">
        <v>1836</v>
      </c>
      <c r="X310" s="258" t="s">
        <v>1837</v>
      </c>
      <c r="Y310" s="33" t="s">
        <v>1838</v>
      </c>
      <c r="Z310" s="258">
        <v>11083.0</v>
      </c>
      <c r="AA310" s="258">
        <v>11501.0</v>
      </c>
      <c r="AB310" s="258"/>
      <c r="AC310" s="258"/>
      <c r="AD310" s="265"/>
      <c r="AE310" s="266" t="s">
        <v>685</v>
      </c>
      <c r="AF310" s="267" t="s">
        <v>2255</v>
      </c>
      <c r="AG310" s="268" t="str">
        <f>IFS(LEN(AF310)=17,LOWER('2-Building'!$B$4 &amp; "-" &amp; C310), AF310="N/A", "N/A", LEN(AF310)=0,"")</f>
        <v>in-blr-ananta-ddc-39</v>
      </c>
      <c r="AH310" s="258"/>
      <c r="AI310" s="258"/>
      <c r="AJ310" s="258"/>
      <c r="AK310" s="258" t="s">
        <v>2256</v>
      </c>
      <c r="AL310" s="258" t="s">
        <v>688</v>
      </c>
      <c r="AM310" s="258" t="s">
        <v>689</v>
      </c>
      <c r="AN310" s="258"/>
      <c r="AO310" s="258"/>
      <c r="AP310" s="258"/>
      <c r="AQ310" s="258"/>
      <c r="AR310" s="258" t="s">
        <v>690</v>
      </c>
      <c r="AS310" s="258" t="s">
        <v>691</v>
      </c>
      <c r="AT310" s="258" t="s">
        <v>1841</v>
      </c>
      <c r="AU310" s="265" t="s">
        <v>1842</v>
      </c>
      <c r="AV310" s="174" t="s">
        <v>225</v>
      </c>
      <c r="AW310" s="269" t="s">
        <v>245</v>
      </c>
      <c r="AX310" s="269" t="s">
        <v>694</v>
      </c>
      <c r="AY310" s="270" t="s">
        <v>1843</v>
      </c>
      <c r="AZ310" s="173" t="s">
        <v>1834</v>
      </c>
      <c r="BA310" s="265">
        <v>10.0</v>
      </c>
      <c r="BB310" s="174" t="s">
        <v>225</v>
      </c>
      <c r="BC310" s="271"/>
      <c r="BD310" s="272" t="s">
        <v>1844</v>
      </c>
      <c r="BE310" s="273"/>
      <c r="BF310" s="274" t="str">
        <f>IFERROR(__xludf.DUMMYFUNCTION("LOWER(Regexreplace(to_text(E310),""[^A-Za-z0-9]"","""")&amp;""_""&amp;Regexreplace(to_text(F310),""[^A-Za-z0-9]"",""""))"),"alc_g5ce")</f>
        <v>alc_g5ce</v>
      </c>
      <c r="BG310" s="275" t="str">
        <f>IFERROR(__xludf.DUMMYFUNCTION("upper(Regexreplace(to_text(E310),""[^A-Za-z0-9]"","""")&amp;""-""&amp;Regexreplace(to_text(F310),""[^A-Za-z0-9]"",""""))"),"ALC-G5CE")</f>
        <v>ALC-G5CE</v>
      </c>
    </row>
    <row r="311" ht="30.0" customHeight="1">
      <c r="A311" s="258">
        <v>304.0</v>
      </c>
      <c r="B311" s="256" t="s">
        <v>670</v>
      </c>
      <c r="C311" s="257" t="s">
        <v>2257</v>
      </c>
      <c r="D311" s="173" t="s">
        <v>2257</v>
      </c>
      <c r="E311" s="174" t="s">
        <v>1830</v>
      </c>
      <c r="F311" s="173" t="s">
        <v>507</v>
      </c>
      <c r="G311" s="258" t="s">
        <v>673</v>
      </c>
      <c r="H311" s="258" t="s">
        <v>674</v>
      </c>
      <c r="I311" s="258" t="s">
        <v>1614</v>
      </c>
      <c r="J311" s="259" t="s">
        <v>1088</v>
      </c>
      <c r="K311" s="260">
        <v>575.0</v>
      </c>
      <c r="L311" s="258" t="s">
        <v>2252</v>
      </c>
      <c r="M311" s="265" t="s">
        <v>2258</v>
      </c>
      <c r="N311" s="173" t="s">
        <v>679</v>
      </c>
      <c r="O311" s="173" t="s">
        <v>225</v>
      </c>
      <c r="P311" s="262" t="str">
        <f t="shared" si="1"/>
        <v>IN-BLR-ANANTA-HLI-44_5</v>
      </c>
      <c r="Q311" s="173" t="s">
        <v>2259</v>
      </c>
      <c r="R311" s="258" t="str">
        <f>IFS(C311="","",C311="n/a","N/A",LEN(C311),Concatenate("{",char(34),"asset",char(34),":{",char(34),"guid",char(34),":",char(34),Q311,char(34),",",char(34),"site",char(34),":",char(34),LOWER('2-Building'!$B$4),char(34),",",char(34),"name",char(34),":",char(34),LOWER(C311),char(34),"}}"))</f>
        <v>{"asset":{"guid":"uuid://343acc04-ba16-4717-a8cc-527b3728a39d","site":"in-blr-ananta","name":"hli-44"}}</v>
      </c>
      <c r="S311" s="258" t="s">
        <v>1834</v>
      </c>
      <c r="T311" s="263"/>
      <c r="U311" s="263"/>
      <c r="V311" s="264" t="s">
        <v>1835</v>
      </c>
      <c r="W311" s="258" t="s">
        <v>1836</v>
      </c>
      <c r="X311" s="258" t="s">
        <v>1837</v>
      </c>
      <c r="Y311" s="33" t="s">
        <v>1838</v>
      </c>
      <c r="Z311" s="258">
        <v>11084.0</v>
      </c>
      <c r="AA311" s="258">
        <v>11501.0</v>
      </c>
      <c r="AB311" s="258"/>
      <c r="AC311" s="258"/>
      <c r="AD311" s="265"/>
      <c r="AE311" s="266" t="s">
        <v>685</v>
      </c>
      <c r="AF311" s="267" t="s">
        <v>2260</v>
      </c>
      <c r="AG311" s="268" t="str">
        <f>IFS(LEN(AF311)=17,LOWER('2-Building'!$B$4 &amp; "-" &amp; C311), AF311="N/A", "N/A", LEN(AF311)=0,"")</f>
        <v>in-blr-ananta-hli-44</v>
      </c>
      <c r="AH311" s="258"/>
      <c r="AI311" s="258"/>
      <c r="AJ311" s="258"/>
      <c r="AK311" s="258" t="s">
        <v>2261</v>
      </c>
      <c r="AL311" s="258" t="s">
        <v>688</v>
      </c>
      <c r="AM311" s="258" t="s">
        <v>689</v>
      </c>
      <c r="AN311" s="258"/>
      <c r="AO311" s="258"/>
      <c r="AP311" s="258"/>
      <c r="AQ311" s="258"/>
      <c r="AR311" s="258" t="s">
        <v>690</v>
      </c>
      <c r="AS311" s="258" t="s">
        <v>691</v>
      </c>
      <c r="AT311" s="258" t="s">
        <v>1841</v>
      </c>
      <c r="AU311" s="265" t="s">
        <v>1842</v>
      </c>
      <c r="AV311" s="174" t="s">
        <v>225</v>
      </c>
      <c r="AW311" s="269" t="s">
        <v>245</v>
      </c>
      <c r="AX311" s="269" t="s">
        <v>694</v>
      </c>
      <c r="AY311" s="270" t="s">
        <v>1843</v>
      </c>
      <c r="AZ311" s="173" t="s">
        <v>1834</v>
      </c>
      <c r="BA311" s="265">
        <v>10.0</v>
      </c>
      <c r="BB311" s="174" t="s">
        <v>225</v>
      </c>
      <c r="BC311" s="271"/>
      <c r="BD311" s="272" t="s">
        <v>1844</v>
      </c>
      <c r="BE311" s="273"/>
      <c r="BF311" s="274" t="str">
        <f>IFERROR(__xludf.DUMMYFUNCTION("LOWER(Regexreplace(to_text(E311),""[^A-Za-z0-9]"","""")&amp;""_""&amp;Regexreplace(to_text(F311),""[^A-Za-z0-9]"",""""))"),"alc_g5ce")</f>
        <v>alc_g5ce</v>
      </c>
      <c r="BG311" s="275" t="str">
        <f>IFERROR(__xludf.DUMMYFUNCTION("upper(Regexreplace(to_text(E311),""[^A-Za-z0-9]"","""")&amp;""-""&amp;Regexreplace(to_text(F311),""[^A-Za-z0-9]"",""""))"),"ALC-G5CE")</f>
        <v>ALC-G5CE</v>
      </c>
    </row>
    <row r="312" ht="30.0" customHeight="1">
      <c r="A312" s="173">
        <v>305.0</v>
      </c>
      <c r="B312" s="256" t="s">
        <v>670</v>
      </c>
      <c r="C312" s="257" t="s">
        <v>1143</v>
      </c>
      <c r="D312" s="173" t="s">
        <v>1143</v>
      </c>
      <c r="E312" s="174" t="s">
        <v>1830</v>
      </c>
      <c r="F312" s="173" t="s">
        <v>507</v>
      </c>
      <c r="G312" s="258" t="s">
        <v>673</v>
      </c>
      <c r="H312" s="258" t="s">
        <v>674</v>
      </c>
      <c r="I312" s="258" t="s">
        <v>675</v>
      </c>
      <c r="J312" s="259" t="s">
        <v>1088</v>
      </c>
      <c r="K312" s="260">
        <v>534.0</v>
      </c>
      <c r="L312" s="258" t="s">
        <v>2262</v>
      </c>
      <c r="M312" s="265" t="s">
        <v>2263</v>
      </c>
      <c r="N312" s="173" t="s">
        <v>679</v>
      </c>
      <c r="O312" s="173" t="s">
        <v>225</v>
      </c>
      <c r="P312" s="262" t="str">
        <f t="shared" si="1"/>
        <v>IN-BLR-ANANTA-DDC-40_5</v>
      </c>
      <c r="Q312" s="173" t="s">
        <v>2264</v>
      </c>
      <c r="R312" s="258" t="str">
        <f>IFS(C312="","",C312="n/a","N/A",LEN(C312),Concatenate("{",char(34),"asset",char(34),":{",char(34),"guid",char(34),":",char(34),Q312,char(34),",",char(34),"site",char(34),":",char(34),LOWER('2-Building'!$B$4),char(34),",",char(34),"name",char(34),":",char(34),LOWER(C312),char(34),"}}"))</f>
        <v>{"asset":{"guid":"uuid://4e9cc271-1f8c-4778-bf2a-4b86f5c8d800","site":"in-blr-ananta","name":"ddc-40"}}</v>
      </c>
      <c r="S312" s="258" t="s">
        <v>1834</v>
      </c>
      <c r="T312" s="263"/>
      <c r="U312" s="263"/>
      <c r="V312" s="264" t="s">
        <v>1835</v>
      </c>
      <c r="W312" s="258" t="s">
        <v>1836</v>
      </c>
      <c r="X312" s="258" t="s">
        <v>1837</v>
      </c>
      <c r="Y312" s="33" t="s">
        <v>1838</v>
      </c>
      <c r="Z312" s="258">
        <v>11085.0</v>
      </c>
      <c r="AA312" s="258">
        <v>11501.0</v>
      </c>
      <c r="AB312" s="258"/>
      <c r="AC312" s="258"/>
      <c r="AD312" s="265"/>
      <c r="AE312" s="266" t="s">
        <v>685</v>
      </c>
      <c r="AF312" s="267" t="s">
        <v>2265</v>
      </c>
      <c r="AG312" s="268" t="str">
        <f>IFS(LEN(AF312)=17,LOWER('2-Building'!$B$4 &amp; "-" &amp; C312), AF312="N/A", "N/A", LEN(AF312)=0,"")</f>
        <v>in-blr-ananta-ddc-40</v>
      </c>
      <c r="AH312" s="258"/>
      <c r="AI312" s="258"/>
      <c r="AJ312" s="258"/>
      <c r="AK312" s="258" t="s">
        <v>2266</v>
      </c>
      <c r="AL312" s="258" t="s">
        <v>688</v>
      </c>
      <c r="AM312" s="258" t="s">
        <v>689</v>
      </c>
      <c r="AN312" s="258"/>
      <c r="AO312" s="258"/>
      <c r="AP312" s="258"/>
      <c r="AQ312" s="258"/>
      <c r="AR312" s="258" t="s">
        <v>690</v>
      </c>
      <c r="AS312" s="258" t="s">
        <v>691</v>
      </c>
      <c r="AT312" s="258" t="s">
        <v>1841</v>
      </c>
      <c r="AU312" s="265" t="s">
        <v>1842</v>
      </c>
      <c r="AV312" s="174" t="s">
        <v>225</v>
      </c>
      <c r="AW312" s="269" t="s">
        <v>245</v>
      </c>
      <c r="AX312" s="269" t="s">
        <v>694</v>
      </c>
      <c r="AY312" s="270" t="s">
        <v>1843</v>
      </c>
      <c r="AZ312" s="173" t="s">
        <v>1834</v>
      </c>
      <c r="BA312" s="265">
        <v>10.0</v>
      </c>
      <c r="BB312" s="174" t="s">
        <v>225</v>
      </c>
      <c r="BC312" s="271"/>
      <c r="BD312" s="272" t="s">
        <v>1844</v>
      </c>
      <c r="BE312" s="273"/>
      <c r="BF312" s="274" t="str">
        <f>IFERROR(__xludf.DUMMYFUNCTION("LOWER(Regexreplace(to_text(E312),""[^A-Za-z0-9]"","""")&amp;""_""&amp;Regexreplace(to_text(F312),""[^A-Za-z0-9]"",""""))"),"alc_g5ce")</f>
        <v>alc_g5ce</v>
      </c>
      <c r="BG312" s="275" t="str">
        <f>IFERROR(__xludf.DUMMYFUNCTION("upper(Regexreplace(to_text(E312),""[^A-Za-z0-9]"","""")&amp;""-""&amp;Regexreplace(to_text(F312),""[^A-Za-z0-9]"",""""))"),"ALC-G5CE")</f>
        <v>ALC-G5CE</v>
      </c>
    </row>
    <row r="313" ht="30.0" customHeight="1">
      <c r="A313" s="258">
        <v>306.0</v>
      </c>
      <c r="B313" s="256" t="s">
        <v>670</v>
      </c>
      <c r="C313" s="257" t="s">
        <v>2267</v>
      </c>
      <c r="D313" s="173" t="s">
        <v>2267</v>
      </c>
      <c r="E313" s="174" t="s">
        <v>1830</v>
      </c>
      <c r="F313" s="173" t="s">
        <v>507</v>
      </c>
      <c r="G313" s="258" t="s">
        <v>673</v>
      </c>
      <c r="H313" s="258" t="s">
        <v>674</v>
      </c>
      <c r="I313" s="258" t="s">
        <v>1614</v>
      </c>
      <c r="J313" s="259" t="s">
        <v>1088</v>
      </c>
      <c r="K313" s="260">
        <v>534.0</v>
      </c>
      <c r="L313" s="258" t="s">
        <v>2262</v>
      </c>
      <c r="M313" s="265" t="s">
        <v>2268</v>
      </c>
      <c r="N313" s="173" t="s">
        <v>679</v>
      </c>
      <c r="O313" s="173" t="s">
        <v>225</v>
      </c>
      <c r="P313" s="262" t="str">
        <f t="shared" si="1"/>
        <v>IN-BLR-ANANTA-HLI-45_5</v>
      </c>
      <c r="Q313" s="173" t="s">
        <v>2269</v>
      </c>
      <c r="R313" s="258" t="str">
        <f>IFS(C313="","",C313="n/a","N/A",LEN(C313),Concatenate("{",char(34),"asset",char(34),":{",char(34),"guid",char(34),":",char(34),Q313,char(34),",",char(34),"site",char(34),":",char(34),LOWER('2-Building'!$B$4),char(34),",",char(34),"name",char(34),":",char(34),LOWER(C313),char(34),"}}"))</f>
        <v>{"asset":{"guid":"uuid://f887389f-249c-491b-b606-cec66df54541","site":"in-blr-ananta","name":"hli-45"}}</v>
      </c>
      <c r="S313" s="258" t="s">
        <v>1834</v>
      </c>
      <c r="T313" s="263"/>
      <c r="U313" s="263"/>
      <c r="V313" s="264" t="s">
        <v>1835</v>
      </c>
      <c r="W313" s="258" t="s">
        <v>1836</v>
      </c>
      <c r="X313" s="258" t="s">
        <v>1837</v>
      </c>
      <c r="Y313" s="33" t="s">
        <v>1838</v>
      </c>
      <c r="Z313" s="258">
        <v>11086.0</v>
      </c>
      <c r="AA313" s="258">
        <v>11501.0</v>
      </c>
      <c r="AB313" s="258"/>
      <c r="AC313" s="258"/>
      <c r="AD313" s="265"/>
      <c r="AE313" s="266" t="s">
        <v>685</v>
      </c>
      <c r="AF313" s="267" t="s">
        <v>2270</v>
      </c>
      <c r="AG313" s="268" t="str">
        <f>IFS(LEN(AF313)=17,LOWER('2-Building'!$B$4 &amp; "-" &amp; C313), AF313="N/A", "N/A", LEN(AF313)=0,"")</f>
        <v>in-blr-ananta-hli-45</v>
      </c>
      <c r="AH313" s="258"/>
      <c r="AI313" s="258"/>
      <c r="AJ313" s="258"/>
      <c r="AK313" s="258" t="s">
        <v>2271</v>
      </c>
      <c r="AL313" s="258" t="s">
        <v>688</v>
      </c>
      <c r="AM313" s="258" t="s">
        <v>689</v>
      </c>
      <c r="AN313" s="258"/>
      <c r="AO313" s="258"/>
      <c r="AP313" s="258"/>
      <c r="AQ313" s="258"/>
      <c r="AR313" s="258" t="s">
        <v>690</v>
      </c>
      <c r="AS313" s="258" t="s">
        <v>691</v>
      </c>
      <c r="AT313" s="258" t="s">
        <v>1841</v>
      </c>
      <c r="AU313" s="265" t="s">
        <v>1842</v>
      </c>
      <c r="AV313" s="174" t="s">
        <v>225</v>
      </c>
      <c r="AW313" s="269" t="s">
        <v>245</v>
      </c>
      <c r="AX313" s="269" t="s">
        <v>694</v>
      </c>
      <c r="AY313" s="270" t="s">
        <v>1843</v>
      </c>
      <c r="AZ313" s="173" t="s">
        <v>1834</v>
      </c>
      <c r="BA313" s="265">
        <v>10.0</v>
      </c>
      <c r="BB313" s="174" t="s">
        <v>225</v>
      </c>
      <c r="BC313" s="271"/>
      <c r="BD313" s="272" t="s">
        <v>1844</v>
      </c>
      <c r="BE313" s="273"/>
      <c r="BF313" s="274" t="str">
        <f>IFERROR(__xludf.DUMMYFUNCTION("LOWER(Regexreplace(to_text(E313),""[^A-Za-z0-9]"","""")&amp;""_""&amp;Regexreplace(to_text(F313),""[^A-Za-z0-9]"",""""))"),"alc_g5ce")</f>
        <v>alc_g5ce</v>
      </c>
      <c r="BG313" s="275" t="str">
        <f>IFERROR(__xludf.DUMMYFUNCTION("upper(Regexreplace(to_text(E313),""[^A-Za-z0-9]"","""")&amp;""-""&amp;Regexreplace(to_text(F313),""[^A-Za-z0-9]"",""""))"),"ALC-G5CE")</f>
        <v>ALC-G5CE</v>
      </c>
    </row>
    <row r="314" ht="30.0" customHeight="1">
      <c r="A314" s="173">
        <v>307.0</v>
      </c>
      <c r="B314" s="256" t="s">
        <v>670</v>
      </c>
      <c r="C314" s="257" t="s">
        <v>1133</v>
      </c>
      <c r="D314" s="173" t="s">
        <v>1133</v>
      </c>
      <c r="E314" s="174" t="s">
        <v>1830</v>
      </c>
      <c r="F314" s="173" t="s">
        <v>507</v>
      </c>
      <c r="G314" s="258" t="s">
        <v>673</v>
      </c>
      <c r="H314" s="258" t="s">
        <v>674</v>
      </c>
      <c r="I314" s="258" t="s">
        <v>675</v>
      </c>
      <c r="J314" s="259" t="s">
        <v>1088</v>
      </c>
      <c r="K314" s="260">
        <v>533.0</v>
      </c>
      <c r="L314" s="258" t="s">
        <v>2272</v>
      </c>
      <c r="M314" s="265" t="s">
        <v>2273</v>
      </c>
      <c r="N314" s="173" t="s">
        <v>679</v>
      </c>
      <c r="O314" s="173" t="s">
        <v>225</v>
      </c>
      <c r="P314" s="262" t="str">
        <f t="shared" si="1"/>
        <v>IN-BLR-ANANTA-DDC-41_5</v>
      </c>
      <c r="Q314" s="173" t="s">
        <v>2274</v>
      </c>
      <c r="R314" s="258" t="str">
        <f>IFS(C314="","",C314="n/a","N/A",LEN(C314),Concatenate("{",char(34),"asset",char(34),":{",char(34),"guid",char(34),":",char(34),Q314,char(34),",",char(34),"site",char(34),":",char(34),LOWER('2-Building'!$B$4),char(34),",",char(34),"name",char(34),":",char(34),LOWER(C314),char(34),"}}"))</f>
        <v>{"asset":{"guid":"uuid://9aa2bc45-321a-41e9-b647-0891ff2559ce","site":"in-blr-ananta","name":"ddc-41"}}</v>
      </c>
      <c r="S314" s="258" t="s">
        <v>1834</v>
      </c>
      <c r="T314" s="263"/>
      <c r="U314" s="263"/>
      <c r="V314" s="264" t="s">
        <v>1835</v>
      </c>
      <c r="W314" s="258" t="s">
        <v>1836</v>
      </c>
      <c r="X314" s="258" t="s">
        <v>1837</v>
      </c>
      <c r="Y314" s="33" t="s">
        <v>1838</v>
      </c>
      <c r="Z314" s="258">
        <v>11087.0</v>
      </c>
      <c r="AA314" s="258">
        <v>11501.0</v>
      </c>
      <c r="AB314" s="258"/>
      <c r="AC314" s="258"/>
      <c r="AD314" s="265"/>
      <c r="AE314" s="266" t="s">
        <v>685</v>
      </c>
      <c r="AF314" s="267" t="s">
        <v>2275</v>
      </c>
      <c r="AG314" s="268" t="str">
        <f>IFS(LEN(AF314)=17,LOWER('2-Building'!$B$4 &amp; "-" &amp; C314), AF314="N/A", "N/A", LEN(AF314)=0,"")</f>
        <v>in-blr-ananta-ddc-41</v>
      </c>
      <c r="AH314" s="258"/>
      <c r="AI314" s="258"/>
      <c r="AJ314" s="258"/>
      <c r="AK314" s="258" t="s">
        <v>2276</v>
      </c>
      <c r="AL314" s="258" t="s">
        <v>688</v>
      </c>
      <c r="AM314" s="258" t="s">
        <v>689</v>
      </c>
      <c r="AN314" s="258"/>
      <c r="AO314" s="258"/>
      <c r="AP314" s="258"/>
      <c r="AQ314" s="258"/>
      <c r="AR314" s="258" t="s">
        <v>690</v>
      </c>
      <c r="AS314" s="258" t="s">
        <v>691</v>
      </c>
      <c r="AT314" s="258" t="s">
        <v>1841</v>
      </c>
      <c r="AU314" s="265" t="s">
        <v>1842</v>
      </c>
      <c r="AV314" s="174" t="s">
        <v>225</v>
      </c>
      <c r="AW314" s="269" t="s">
        <v>245</v>
      </c>
      <c r="AX314" s="269" t="s">
        <v>694</v>
      </c>
      <c r="AY314" s="270" t="s">
        <v>1843</v>
      </c>
      <c r="AZ314" s="173" t="s">
        <v>1834</v>
      </c>
      <c r="BA314" s="265">
        <v>10.0</v>
      </c>
      <c r="BB314" s="174" t="s">
        <v>225</v>
      </c>
      <c r="BC314" s="271"/>
      <c r="BD314" s="272" t="s">
        <v>1844</v>
      </c>
      <c r="BE314" s="273"/>
      <c r="BF314" s="274" t="str">
        <f>IFERROR(__xludf.DUMMYFUNCTION("LOWER(Regexreplace(to_text(E314),""[^A-Za-z0-9]"","""")&amp;""_""&amp;Regexreplace(to_text(F314),""[^A-Za-z0-9]"",""""))"),"alc_g5ce")</f>
        <v>alc_g5ce</v>
      </c>
      <c r="BG314" s="275" t="str">
        <f>IFERROR(__xludf.DUMMYFUNCTION("upper(Regexreplace(to_text(E314),""[^A-Za-z0-9]"","""")&amp;""-""&amp;Regexreplace(to_text(F314),""[^A-Za-z0-9]"",""""))"),"ALC-G5CE")</f>
        <v>ALC-G5CE</v>
      </c>
    </row>
    <row r="315" ht="30.0" customHeight="1">
      <c r="A315" s="258">
        <v>308.0</v>
      </c>
      <c r="B315" s="256" t="s">
        <v>670</v>
      </c>
      <c r="C315" s="257" t="s">
        <v>2277</v>
      </c>
      <c r="D315" s="173" t="s">
        <v>2277</v>
      </c>
      <c r="E315" s="174" t="s">
        <v>1830</v>
      </c>
      <c r="F315" s="173" t="s">
        <v>507</v>
      </c>
      <c r="G315" s="258" t="s">
        <v>673</v>
      </c>
      <c r="H315" s="258" t="s">
        <v>674</v>
      </c>
      <c r="I315" s="258" t="s">
        <v>1614</v>
      </c>
      <c r="J315" s="259" t="s">
        <v>1088</v>
      </c>
      <c r="K315" s="260">
        <v>533.0</v>
      </c>
      <c r="L315" s="258" t="s">
        <v>2272</v>
      </c>
      <c r="M315" s="265" t="s">
        <v>2278</v>
      </c>
      <c r="N315" s="173" t="s">
        <v>679</v>
      </c>
      <c r="O315" s="173" t="s">
        <v>225</v>
      </c>
      <c r="P315" s="262" t="str">
        <f t="shared" si="1"/>
        <v>IN-BLR-ANANTA-HLI-46_5</v>
      </c>
      <c r="Q315" s="173" t="s">
        <v>2279</v>
      </c>
      <c r="R315" s="258" t="str">
        <f>IFS(C315="","",C315="n/a","N/A",LEN(C315),Concatenate("{",char(34),"asset",char(34),":{",char(34),"guid",char(34),":",char(34),Q315,char(34),",",char(34),"site",char(34),":",char(34),LOWER('2-Building'!$B$4),char(34),",",char(34),"name",char(34),":",char(34),LOWER(C315),char(34),"}}"))</f>
        <v>{"asset":{"guid":"uuid://6f04368a-97af-4df8-82d3-62bcd261a1ef","site":"in-blr-ananta","name":"hli-46"}}</v>
      </c>
      <c r="S315" s="258" t="s">
        <v>1834</v>
      </c>
      <c r="T315" s="263"/>
      <c r="U315" s="263"/>
      <c r="V315" s="264" t="s">
        <v>1835</v>
      </c>
      <c r="W315" s="258" t="s">
        <v>1836</v>
      </c>
      <c r="X315" s="258" t="s">
        <v>1837</v>
      </c>
      <c r="Y315" s="33" t="s">
        <v>1838</v>
      </c>
      <c r="Z315" s="258">
        <v>11088.0</v>
      </c>
      <c r="AA315" s="258">
        <v>11501.0</v>
      </c>
      <c r="AB315" s="258"/>
      <c r="AC315" s="258"/>
      <c r="AD315" s="265"/>
      <c r="AE315" s="266" t="s">
        <v>685</v>
      </c>
      <c r="AF315" s="267" t="s">
        <v>2280</v>
      </c>
      <c r="AG315" s="268" t="str">
        <f>IFS(LEN(AF315)=17,LOWER('2-Building'!$B$4 &amp; "-" &amp; C315), AF315="N/A", "N/A", LEN(AF315)=0,"")</f>
        <v>in-blr-ananta-hli-46</v>
      </c>
      <c r="AH315" s="258"/>
      <c r="AI315" s="258"/>
      <c r="AJ315" s="258"/>
      <c r="AK315" s="258" t="s">
        <v>2281</v>
      </c>
      <c r="AL315" s="258" t="s">
        <v>688</v>
      </c>
      <c r="AM315" s="258" t="s">
        <v>689</v>
      </c>
      <c r="AN315" s="258"/>
      <c r="AO315" s="258"/>
      <c r="AP315" s="258"/>
      <c r="AQ315" s="258"/>
      <c r="AR315" s="258" t="s">
        <v>690</v>
      </c>
      <c r="AS315" s="258" t="s">
        <v>691</v>
      </c>
      <c r="AT315" s="258" t="s">
        <v>1841</v>
      </c>
      <c r="AU315" s="265" t="s">
        <v>1842</v>
      </c>
      <c r="AV315" s="174" t="s">
        <v>225</v>
      </c>
      <c r="AW315" s="269" t="s">
        <v>245</v>
      </c>
      <c r="AX315" s="269" t="s">
        <v>694</v>
      </c>
      <c r="AY315" s="270" t="s">
        <v>1843</v>
      </c>
      <c r="AZ315" s="173" t="s">
        <v>1834</v>
      </c>
      <c r="BA315" s="265">
        <v>10.0</v>
      </c>
      <c r="BB315" s="174" t="s">
        <v>225</v>
      </c>
      <c r="BC315" s="271"/>
      <c r="BD315" s="272" t="s">
        <v>1844</v>
      </c>
      <c r="BE315" s="273"/>
      <c r="BF315" s="274" t="str">
        <f>IFERROR(__xludf.DUMMYFUNCTION("LOWER(Regexreplace(to_text(E315),""[^A-Za-z0-9]"","""")&amp;""_""&amp;Regexreplace(to_text(F315),""[^A-Za-z0-9]"",""""))"),"alc_g5ce")</f>
        <v>alc_g5ce</v>
      </c>
      <c r="BG315" s="275" t="str">
        <f>IFERROR(__xludf.DUMMYFUNCTION("upper(Regexreplace(to_text(E315),""[^A-Za-z0-9]"","""")&amp;""-""&amp;Regexreplace(to_text(F315),""[^A-Za-z0-9]"",""""))"),"ALC-G5CE")</f>
        <v>ALC-G5CE</v>
      </c>
    </row>
    <row r="316" ht="30.0" customHeight="1">
      <c r="A316" s="173">
        <v>309.0</v>
      </c>
      <c r="B316" s="256" t="s">
        <v>670</v>
      </c>
      <c r="C316" s="257" t="s">
        <v>2282</v>
      </c>
      <c r="D316" s="173" t="s">
        <v>2282</v>
      </c>
      <c r="E316" s="174" t="s">
        <v>1830</v>
      </c>
      <c r="F316" s="173" t="s">
        <v>507</v>
      </c>
      <c r="G316" s="258" t="s">
        <v>673</v>
      </c>
      <c r="H316" s="258" t="s">
        <v>674</v>
      </c>
      <c r="I316" s="258" t="s">
        <v>675</v>
      </c>
      <c r="J316" s="259" t="s">
        <v>1088</v>
      </c>
      <c r="K316" s="260" t="s">
        <v>2283</v>
      </c>
      <c r="L316" s="258" t="s">
        <v>2284</v>
      </c>
      <c r="M316" s="265" t="s">
        <v>2285</v>
      </c>
      <c r="N316" s="173" t="s">
        <v>679</v>
      </c>
      <c r="O316" s="173" t="s">
        <v>225</v>
      </c>
      <c r="P316" s="262" t="str">
        <f t="shared" si="1"/>
        <v>IN-BLR-ANANTA-DDC-42_5</v>
      </c>
      <c r="Q316" s="173" t="s">
        <v>2286</v>
      </c>
      <c r="R316" s="258" t="str">
        <f>IFS(C316="","",C316="n/a","N/A",LEN(C316),Concatenate("{",char(34),"asset",char(34),":{",char(34),"guid",char(34),":",char(34),Q316,char(34),",",char(34),"site",char(34),":",char(34),LOWER('2-Building'!$B$4),char(34),",",char(34),"name",char(34),":",char(34),LOWER(C316),char(34),"}}"))</f>
        <v>{"asset":{"guid":"uuid://0cc6447e-7dce-4de6-9b05-7da2eb589185","site":"in-blr-ananta","name":"ddc-42"}}</v>
      </c>
      <c r="S316" s="258" t="s">
        <v>1834</v>
      </c>
      <c r="T316" s="263"/>
      <c r="U316" s="263"/>
      <c r="V316" s="264" t="s">
        <v>1835</v>
      </c>
      <c r="W316" s="258" t="s">
        <v>1836</v>
      </c>
      <c r="X316" s="258" t="s">
        <v>1837</v>
      </c>
      <c r="Y316" s="33" t="s">
        <v>1838</v>
      </c>
      <c r="Z316" s="258">
        <v>11089.0</v>
      </c>
      <c r="AA316" s="258">
        <v>11501.0</v>
      </c>
      <c r="AB316" s="258"/>
      <c r="AC316" s="258"/>
      <c r="AD316" s="265"/>
      <c r="AE316" s="266" t="s">
        <v>685</v>
      </c>
      <c r="AF316" s="267" t="s">
        <v>2287</v>
      </c>
      <c r="AG316" s="268" t="str">
        <f>IFS(LEN(AF316)=17,LOWER('2-Building'!$B$4 &amp; "-" &amp; C316), AF316="N/A", "N/A", LEN(AF316)=0,"")</f>
        <v>in-blr-ananta-ddc-42</v>
      </c>
      <c r="AH316" s="258"/>
      <c r="AI316" s="258"/>
      <c r="AJ316" s="258"/>
      <c r="AK316" s="258" t="s">
        <v>2288</v>
      </c>
      <c r="AL316" s="258" t="s">
        <v>688</v>
      </c>
      <c r="AM316" s="258" t="s">
        <v>689</v>
      </c>
      <c r="AN316" s="258"/>
      <c r="AO316" s="258"/>
      <c r="AP316" s="258"/>
      <c r="AQ316" s="258"/>
      <c r="AR316" s="258" t="s">
        <v>690</v>
      </c>
      <c r="AS316" s="258" t="s">
        <v>691</v>
      </c>
      <c r="AT316" s="258" t="s">
        <v>1841</v>
      </c>
      <c r="AU316" s="265" t="s">
        <v>1842</v>
      </c>
      <c r="AV316" s="174" t="s">
        <v>225</v>
      </c>
      <c r="AW316" s="269" t="s">
        <v>245</v>
      </c>
      <c r="AX316" s="269" t="s">
        <v>694</v>
      </c>
      <c r="AY316" s="270" t="s">
        <v>1843</v>
      </c>
      <c r="AZ316" s="173" t="s">
        <v>1834</v>
      </c>
      <c r="BA316" s="265">
        <v>10.0</v>
      </c>
      <c r="BB316" s="174" t="s">
        <v>225</v>
      </c>
      <c r="BC316" s="271"/>
      <c r="BD316" s="272" t="s">
        <v>1844</v>
      </c>
      <c r="BE316" s="273"/>
      <c r="BF316" s="274" t="str">
        <f>IFERROR(__xludf.DUMMYFUNCTION("LOWER(Regexreplace(to_text(E316),""[^A-Za-z0-9]"","""")&amp;""_""&amp;Regexreplace(to_text(F316),""[^A-Za-z0-9]"",""""))"),"alc_g5ce")</f>
        <v>alc_g5ce</v>
      </c>
      <c r="BG316" s="275" t="str">
        <f>IFERROR(__xludf.DUMMYFUNCTION("upper(Regexreplace(to_text(E316),""[^A-Za-z0-9]"","""")&amp;""-""&amp;Regexreplace(to_text(F316),""[^A-Za-z0-9]"",""""))"),"ALC-G5CE")</f>
        <v>ALC-G5CE</v>
      </c>
    </row>
    <row r="317" ht="30.0" customHeight="1">
      <c r="A317" s="258">
        <v>310.0</v>
      </c>
      <c r="B317" s="256" t="s">
        <v>670</v>
      </c>
      <c r="C317" s="257" t="s">
        <v>2289</v>
      </c>
      <c r="D317" s="173" t="s">
        <v>2289</v>
      </c>
      <c r="E317" s="174" t="s">
        <v>1830</v>
      </c>
      <c r="F317" s="173" t="s">
        <v>510</v>
      </c>
      <c r="G317" s="258" t="s">
        <v>673</v>
      </c>
      <c r="H317" s="258" t="s">
        <v>674</v>
      </c>
      <c r="I317" s="258" t="s">
        <v>1614</v>
      </c>
      <c r="J317" s="259" t="s">
        <v>1088</v>
      </c>
      <c r="K317" s="260" t="s">
        <v>2283</v>
      </c>
      <c r="L317" s="258" t="s">
        <v>2284</v>
      </c>
      <c r="M317" s="265" t="s">
        <v>2290</v>
      </c>
      <c r="N317" s="173" t="s">
        <v>679</v>
      </c>
      <c r="O317" s="173" t="s">
        <v>225</v>
      </c>
      <c r="P317" s="262" t="str">
        <f t="shared" si="1"/>
        <v>IN-BLR-ANANTA-HLI-47_5</v>
      </c>
      <c r="Q317" s="173" t="s">
        <v>2291</v>
      </c>
      <c r="R317" s="258" t="str">
        <f>IFS(C317="","",C317="n/a","N/A",LEN(C317),Concatenate("{",char(34),"asset",char(34),":{",char(34),"guid",char(34),":",char(34),Q317,char(34),",",char(34),"site",char(34),":",char(34),LOWER('2-Building'!$B$4),char(34),",",char(34),"name",char(34),":",char(34),LOWER(C317),char(34),"}}"))</f>
        <v>{"asset":{"guid":"uuid://1a829a1b-643a-4566-bff5-4eb31c6ef62d","site":"in-blr-ananta","name":"hli-47"}}</v>
      </c>
      <c r="S317" s="258" t="s">
        <v>1834</v>
      </c>
      <c r="T317" s="263"/>
      <c r="U317" s="263"/>
      <c r="V317" s="264" t="s">
        <v>1835</v>
      </c>
      <c r="W317" s="258" t="s">
        <v>1836</v>
      </c>
      <c r="X317" s="258" t="s">
        <v>1837</v>
      </c>
      <c r="Y317" s="33" t="s">
        <v>1838</v>
      </c>
      <c r="Z317" s="258">
        <v>11090.0</v>
      </c>
      <c r="AA317" s="258">
        <v>11501.0</v>
      </c>
      <c r="AB317" s="258"/>
      <c r="AC317" s="258"/>
      <c r="AD317" s="265"/>
      <c r="AE317" s="266" t="s">
        <v>685</v>
      </c>
      <c r="AF317" s="267" t="s">
        <v>2292</v>
      </c>
      <c r="AG317" s="268" t="str">
        <f>IFS(LEN(AF317)=17,LOWER('2-Building'!$B$4 &amp; "-" &amp; C317), AF317="N/A", "N/A", LEN(AF317)=0,"")</f>
        <v>in-blr-ananta-hli-47</v>
      </c>
      <c r="AH317" s="258"/>
      <c r="AI317" s="258"/>
      <c r="AJ317" s="258"/>
      <c r="AK317" s="258" t="s">
        <v>2293</v>
      </c>
      <c r="AL317" s="258" t="s">
        <v>688</v>
      </c>
      <c r="AM317" s="258" t="s">
        <v>689</v>
      </c>
      <c r="AN317" s="258"/>
      <c r="AO317" s="258"/>
      <c r="AP317" s="258"/>
      <c r="AQ317" s="258"/>
      <c r="AR317" s="258" t="s">
        <v>690</v>
      </c>
      <c r="AS317" s="258" t="s">
        <v>691</v>
      </c>
      <c r="AT317" s="258" t="s">
        <v>1841</v>
      </c>
      <c r="AU317" s="265" t="s">
        <v>1842</v>
      </c>
      <c r="AV317" s="174" t="s">
        <v>225</v>
      </c>
      <c r="AW317" s="269" t="s">
        <v>245</v>
      </c>
      <c r="AX317" s="269" t="s">
        <v>694</v>
      </c>
      <c r="AY317" s="270" t="s">
        <v>1843</v>
      </c>
      <c r="AZ317" s="173" t="s">
        <v>1834</v>
      </c>
      <c r="BA317" s="265">
        <v>10.0</v>
      </c>
      <c r="BB317" s="174" t="s">
        <v>225</v>
      </c>
      <c r="BC317" s="271"/>
      <c r="BD317" s="272" t="s">
        <v>1844</v>
      </c>
      <c r="BE317" s="273"/>
      <c r="BF317" s="274" t="str">
        <f>IFERROR(__xludf.DUMMYFUNCTION("LOWER(Regexreplace(to_text(E317),""[^A-Za-z0-9]"","""")&amp;""_""&amp;Regexreplace(to_text(F317),""[^A-Za-z0-9]"",""""))"),"alc_ofhi")</f>
        <v>alc_ofhi</v>
      </c>
      <c r="BG317" s="275" t="str">
        <f>IFERROR(__xludf.DUMMYFUNCTION("upper(Regexreplace(to_text(E317),""[^A-Za-z0-9]"","""")&amp;""-""&amp;Regexreplace(to_text(F317),""[^A-Za-z0-9]"",""""))"),"ALC-OFHI")</f>
        <v>ALC-OFHI</v>
      </c>
    </row>
    <row r="318" ht="30.0" customHeight="1">
      <c r="A318" s="173">
        <v>311.0</v>
      </c>
      <c r="B318" s="256" t="s">
        <v>670</v>
      </c>
      <c r="C318" s="257" t="s">
        <v>2294</v>
      </c>
      <c r="D318" s="173" t="s">
        <v>2294</v>
      </c>
      <c r="E318" s="174" t="s">
        <v>1830</v>
      </c>
      <c r="F318" s="173" t="s">
        <v>507</v>
      </c>
      <c r="G318" s="258" t="s">
        <v>673</v>
      </c>
      <c r="H318" s="258" t="s">
        <v>674</v>
      </c>
      <c r="I318" s="258" t="s">
        <v>1614</v>
      </c>
      <c r="J318" s="259" t="s">
        <v>1088</v>
      </c>
      <c r="K318" s="260" t="s">
        <v>2283</v>
      </c>
      <c r="L318" s="258" t="s">
        <v>2284</v>
      </c>
      <c r="M318" s="265" t="s">
        <v>2295</v>
      </c>
      <c r="N318" s="173" t="s">
        <v>679</v>
      </c>
      <c r="O318" s="173" t="s">
        <v>225</v>
      </c>
      <c r="P318" s="262" t="str">
        <f t="shared" si="1"/>
        <v>IN-BLR-ANANTA-HLI-48_5</v>
      </c>
      <c r="Q318" s="173" t="s">
        <v>2296</v>
      </c>
      <c r="R318" s="258" t="str">
        <f>IFS(C318="","",C318="n/a","N/A",LEN(C318),Concatenate("{",char(34),"asset",char(34),":{",char(34),"guid",char(34),":",char(34),Q318,char(34),",",char(34),"site",char(34),":",char(34),LOWER('2-Building'!$B$4),char(34),",",char(34),"name",char(34),":",char(34),LOWER(C318),char(34),"}}"))</f>
        <v>{"asset":{"guid":"uuid://0f71c40b-7b0e-426d-b0e1-9f8348ca8a9b","site":"in-blr-ananta","name":"hli-48"}}</v>
      </c>
      <c r="S318" s="258" t="s">
        <v>1834</v>
      </c>
      <c r="T318" s="263"/>
      <c r="U318" s="263"/>
      <c r="V318" s="264" t="s">
        <v>1835</v>
      </c>
      <c r="W318" s="258" t="s">
        <v>1836</v>
      </c>
      <c r="X318" s="258" t="s">
        <v>1837</v>
      </c>
      <c r="Y318" s="33" t="s">
        <v>1838</v>
      </c>
      <c r="Z318" s="258">
        <v>11091.0</v>
      </c>
      <c r="AA318" s="258">
        <v>11501.0</v>
      </c>
      <c r="AB318" s="258"/>
      <c r="AC318" s="258"/>
      <c r="AD318" s="265"/>
      <c r="AE318" s="266" t="s">
        <v>685</v>
      </c>
      <c r="AF318" s="267" t="s">
        <v>2297</v>
      </c>
      <c r="AG318" s="268" t="str">
        <f>IFS(LEN(AF318)=17,LOWER('2-Building'!$B$4 &amp; "-" &amp; C318), AF318="N/A", "N/A", LEN(AF318)=0,"")</f>
        <v>in-blr-ananta-hli-48</v>
      </c>
      <c r="AH318" s="258"/>
      <c r="AI318" s="258"/>
      <c r="AJ318" s="258"/>
      <c r="AK318" s="258" t="s">
        <v>2298</v>
      </c>
      <c r="AL318" s="258" t="s">
        <v>688</v>
      </c>
      <c r="AM318" s="258" t="s">
        <v>689</v>
      </c>
      <c r="AN318" s="258"/>
      <c r="AO318" s="258"/>
      <c r="AP318" s="258"/>
      <c r="AQ318" s="258"/>
      <c r="AR318" s="258" t="s">
        <v>690</v>
      </c>
      <c r="AS318" s="258" t="s">
        <v>691</v>
      </c>
      <c r="AT318" s="258" t="s">
        <v>1841</v>
      </c>
      <c r="AU318" s="265" t="s">
        <v>1842</v>
      </c>
      <c r="AV318" s="174" t="s">
        <v>225</v>
      </c>
      <c r="AW318" s="269" t="s">
        <v>245</v>
      </c>
      <c r="AX318" s="269" t="s">
        <v>694</v>
      </c>
      <c r="AY318" s="270" t="s">
        <v>1843</v>
      </c>
      <c r="AZ318" s="173" t="s">
        <v>1834</v>
      </c>
      <c r="BA318" s="265">
        <v>10.0</v>
      </c>
      <c r="BB318" s="174" t="s">
        <v>225</v>
      </c>
      <c r="BC318" s="271"/>
      <c r="BD318" s="272" t="s">
        <v>1844</v>
      </c>
      <c r="BE318" s="273"/>
      <c r="BF318" s="274" t="str">
        <f>IFERROR(__xludf.DUMMYFUNCTION("LOWER(Regexreplace(to_text(E318),""[^A-Za-z0-9]"","""")&amp;""_""&amp;Regexreplace(to_text(F318),""[^A-Za-z0-9]"",""""))"),"alc_g5ce")</f>
        <v>alc_g5ce</v>
      </c>
      <c r="BG318" s="275" t="str">
        <f>IFERROR(__xludf.DUMMYFUNCTION("upper(Regexreplace(to_text(E318),""[^A-Za-z0-9]"","""")&amp;""-""&amp;Regexreplace(to_text(F318),""[^A-Za-z0-9]"",""""))"),"ALC-G5CE")</f>
        <v>ALC-G5CE</v>
      </c>
    </row>
    <row r="319" ht="30.0" customHeight="1">
      <c r="A319" s="258">
        <v>312.0</v>
      </c>
      <c r="B319" s="256" t="s">
        <v>670</v>
      </c>
      <c r="C319" s="257" t="s">
        <v>2299</v>
      </c>
      <c r="D319" s="173" t="s">
        <v>2299</v>
      </c>
      <c r="E319" s="174" t="s">
        <v>1830</v>
      </c>
      <c r="F319" s="173" t="s">
        <v>510</v>
      </c>
      <c r="G319" s="258" t="s">
        <v>673</v>
      </c>
      <c r="H319" s="258" t="s">
        <v>674</v>
      </c>
      <c r="I319" s="258" t="s">
        <v>1614</v>
      </c>
      <c r="J319" s="259" t="s">
        <v>1088</v>
      </c>
      <c r="K319" s="260" t="s">
        <v>2283</v>
      </c>
      <c r="L319" s="258" t="s">
        <v>2300</v>
      </c>
      <c r="M319" s="265" t="s">
        <v>2301</v>
      </c>
      <c r="N319" s="173" t="s">
        <v>679</v>
      </c>
      <c r="O319" s="173" t="s">
        <v>225</v>
      </c>
      <c r="P319" s="262" t="str">
        <f t="shared" si="1"/>
        <v>IN-BLR-ANANTA-HLI-49_5</v>
      </c>
      <c r="Q319" s="173" t="s">
        <v>2302</v>
      </c>
      <c r="R319" s="258" t="str">
        <f>IFS(C319="","",C319="n/a","N/A",LEN(C319),Concatenate("{",char(34),"asset",char(34),":{",char(34),"guid",char(34),":",char(34),Q319,char(34),",",char(34),"site",char(34),":",char(34),LOWER('2-Building'!$B$4),char(34),",",char(34),"name",char(34),":",char(34),LOWER(C319),char(34),"}}"))</f>
        <v>{"asset":{"guid":"uuid://276dff3b-c17d-40bd-a433-2046ffbdf8bb","site":"in-blr-ananta","name":"hli-49"}}</v>
      </c>
      <c r="S319" s="258" t="s">
        <v>1834</v>
      </c>
      <c r="T319" s="263"/>
      <c r="U319" s="263"/>
      <c r="V319" s="264" t="s">
        <v>1835</v>
      </c>
      <c r="W319" s="258" t="s">
        <v>1836</v>
      </c>
      <c r="X319" s="258" t="s">
        <v>1837</v>
      </c>
      <c r="Y319" s="33" t="s">
        <v>1838</v>
      </c>
      <c r="Z319" s="258">
        <v>11092.0</v>
      </c>
      <c r="AA319" s="258">
        <v>11501.0</v>
      </c>
      <c r="AB319" s="258"/>
      <c r="AC319" s="258"/>
      <c r="AD319" s="265"/>
      <c r="AE319" s="266" t="s">
        <v>685</v>
      </c>
      <c r="AF319" s="267" t="s">
        <v>2303</v>
      </c>
      <c r="AG319" s="268" t="str">
        <f>IFS(LEN(AF319)=17,LOWER('2-Building'!$B$4 &amp; "-" &amp; C319), AF319="N/A", "N/A", LEN(AF319)=0,"")</f>
        <v>in-blr-ananta-hli-49</v>
      </c>
      <c r="AH319" s="258"/>
      <c r="AI319" s="258"/>
      <c r="AJ319" s="258"/>
      <c r="AK319" s="258" t="s">
        <v>2304</v>
      </c>
      <c r="AL319" s="258" t="s">
        <v>688</v>
      </c>
      <c r="AM319" s="258" t="s">
        <v>689</v>
      </c>
      <c r="AN319" s="258"/>
      <c r="AO319" s="258"/>
      <c r="AP319" s="258"/>
      <c r="AQ319" s="258"/>
      <c r="AR319" s="258" t="s">
        <v>690</v>
      </c>
      <c r="AS319" s="258" t="s">
        <v>691</v>
      </c>
      <c r="AT319" s="258" t="s">
        <v>1841</v>
      </c>
      <c r="AU319" s="265" t="s">
        <v>1842</v>
      </c>
      <c r="AV319" s="174" t="s">
        <v>225</v>
      </c>
      <c r="AW319" s="269" t="s">
        <v>245</v>
      </c>
      <c r="AX319" s="269" t="s">
        <v>694</v>
      </c>
      <c r="AY319" s="270" t="s">
        <v>1843</v>
      </c>
      <c r="AZ319" s="173" t="s">
        <v>1834</v>
      </c>
      <c r="BA319" s="265">
        <v>10.0</v>
      </c>
      <c r="BB319" s="174" t="s">
        <v>225</v>
      </c>
      <c r="BC319" s="271"/>
      <c r="BD319" s="272" t="s">
        <v>1844</v>
      </c>
      <c r="BE319" s="273"/>
      <c r="BF319" s="274" t="str">
        <f>IFERROR(__xludf.DUMMYFUNCTION("LOWER(Regexreplace(to_text(E319),""[^A-Za-z0-9]"","""")&amp;""_""&amp;Regexreplace(to_text(F319),""[^A-Za-z0-9]"",""""))"),"alc_ofhi")</f>
        <v>alc_ofhi</v>
      </c>
      <c r="BG319" s="275" t="str">
        <f>IFERROR(__xludf.DUMMYFUNCTION("upper(Regexreplace(to_text(E319),""[^A-Za-z0-9]"","""")&amp;""-""&amp;Regexreplace(to_text(F319),""[^A-Za-z0-9]"",""""))"),"ALC-OFHI")</f>
        <v>ALC-OFHI</v>
      </c>
    </row>
    <row r="320" ht="30.0" customHeight="1">
      <c r="A320" s="173">
        <v>313.0</v>
      </c>
      <c r="B320" s="256" t="s">
        <v>670</v>
      </c>
      <c r="C320" s="257" t="s">
        <v>2305</v>
      </c>
      <c r="D320" s="173" t="s">
        <v>2305</v>
      </c>
      <c r="E320" s="174" t="s">
        <v>1830</v>
      </c>
      <c r="F320" s="173" t="s">
        <v>507</v>
      </c>
      <c r="G320" s="258" t="s">
        <v>673</v>
      </c>
      <c r="H320" s="258" t="s">
        <v>674</v>
      </c>
      <c r="I320" s="258" t="s">
        <v>675</v>
      </c>
      <c r="J320" s="259" t="s">
        <v>1088</v>
      </c>
      <c r="K320" s="260" t="s">
        <v>2283</v>
      </c>
      <c r="L320" s="258" t="s">
        <v>2306</v>
      </c>
      <c r="M320" s="265" t="s">
        <v>2307</v>
      </c>
      <c r="N320" s="173" t="s">
        <v>679</v>
      </c>
      <c r="O320" s="173" t="s">
        <v>225</v>
      </c>
      <c r="P320" s="262" t="str">
        <f t="shared" si="1"/>
        <v>IN-BLR-ANANTA-DDC-43_5</v>
      </c>
      <c r="Q320" s="173" t="s">
        <v>2308</v>
      </c>
      <c r="R320" s="258" t="str">
        <f>IFS(C320="","",C320="n/a","N/A",LEN(C320),Concatenate("{",char(34),"asset",char(34),":{",char(34),"guid",char(34),":",char(34),Q320,char(34),",",char(34),"site",char(34),":",char(34),LOWER('2-Building'!$B$4),char(34),",",char(34),"name",char(34),":",char(34),LOWER(C320),char(34),"}}"))</f>
        <v>{"asset":{"guid":"uuid://a228fffd-0631-4f31-a489-4b8b8d3efc09","site":"in-blr-ananta","name":"ddc-43"}}</v>
      </c>
      <c r="S320" s="258" t="s">
        <v>1834</v>
      </c>
      <c r="T320" s="263"/>
      <c r="U320" s="263"/>
      <c r="V320" s="264" t="s">
        <v>1835</v>
      </c>
      <c r="W320" s="258" t="s">
        <v>1836</v>
      </c>
      <c r="X320" s="258" t="s">
        <v>1837</v>
      </c>
      <c r="Y320" s="33" t="s">
        <v>1838</v>
      </c>
      <c r="Z320" s="258">
        <v>11093.0</v>
      </c>
      <c r="AA320" s="258">
        <v>11501.0</v>
      </c>
      <c r="AB320" s="258"/>
      <c r="AC320" s="258"/>
      <c r="AD320" s="265"/>
      <c r="AE320" s="266" t="s">
        <v>685</v>
      </c>
      <c r="AF320" s="267" t="s">
        <v>2309</v>
      </c>
      <c r="AG320" s="268" t="str">
        <f>IFS(LEN(AF320)=17,LOWER('2-Building'!$B$4 &amp; "-" &amp; C320), AF320="N/A", "N/A", LEN(AF320)=0,"")</f>
        <v>in-blr-ananta-ddc-43</v>
      </c>
      <c r="AH320" s="258"/>
      <c r="AI320" s="258"/>
      <c r="AJ320" s="258"/>
      <c r="AK320" s="258" t="s">
        <v>2310</v>
      </c>
      <c r="AL320" s="258" t="s">
        <v>688</v>
      </c>
      <c r="AM320" s="258" t="s">
        <v>689</v>
      </c>
      <c r="AN320" s="258"/>
      <c r="AO320" s="258"/>
      <c r="AP320" s="258"/>
      <c r="AQ320" s="258"/>
      <c r="AR320" s="258" t="s">
        <v>690</v>
      </c>
      <c r="AS320" s="258" t="s">
        <v>691</v>
      </c>
      <c r="AT320" s="258" t="s">
        <v>1841</v>
      </c>
      <c r="AU320" s="265" t="s">
        <v>1842</v>
      </c>
      <c r="AV320" s="174" t="s">
        <v>225</v>
      </c>
      <c r="AW320" s="269" t="s">
        <v>245</v>
      </c>
      <c r="AX320" s="269" t="s">
        <v>694</v>
      </c>
      <c r="AY320" s="270" t="s">
        <v>1843</v>
      </c>
      <c r="AZ320" s="173" t="s">
        <v>1834</v>
      </c>
      <c r="BA320" s="265">
        <v>10.0</v>
      </c>
      <c r="BB320" s="174" t="s">
        <v>225</v>
      </c>
      <c r="BC320" s="271"/>
      <c r="BD320" s="272" t="s">
        <v>1844</v>
      </c>
      <c r="BE320" s="273"/>
      <c r="BF320" s="274" t="str">
        <f>IFERROR(__xludf.DUMMYFUNCTION("LOWER(Regexreplace(to_text(E320),""[^A-Za-z0-9]"","""")&amp;""_""&amp;Regexreplace(to_text(F320),""[^A-Za-z0-9]"",""""))"),"alc_g5ce")</f>
        <v>alc_g5ce</v>
      </c>
      <c r="BG320" s="275" t="str">
        <f>IFERROR(__xludf.DUMMYFUNCTION("upper(Regexreplace(to_text(E320),""[^A-Za-z0-9]"","""")&amp;""-""&amp;Regexreplace(to_text(F320),""[^A-Za-z0-9]"",""""))"),"ALC-G5CE")</f>
        <v>ALC-G5CE</v>
      </c>
    </row>
    <row r="321" ht="30.0" customHeight="1">
      <c r="A321" s="258">
        <v>314.0</v>
      </c>
      <c r="B321" s="256" t="s">
        <v>670</v>
      </c>
      <c r="C321" s="257" t="s">
        <v>2311</v>
      </c>
      <c r="D321" s="173" t="s">
        <v>2311</v>
      </c>
      <c r="E321" s="174" t="s">
        <v>1830</v>
      </c>
      <c r="F321" s="173" t="s">
        <v>510</v>
      </c>
      <c r="G321" s="258" t="s">
        <v>673</v>
      </c>
      <c r="H321" s="258" t="s">
        <v>674</v>
      </c>
      <c r="I321" s="258" t="s">
        <v>1614</v>
      </c>
      <c r="J321" s="259" t="s">
        <v>1088</v>
      </c>
      <c r="K321" s="260" t="s">
        <v>2283</v>
      </c>
      <c r="L321" s="258" t="s">
        <v>2306</v>
      </c>
      <c r="M321" s="265" t="s">
        <v>2312</v>
      </c>
      <c r="N321" s="173" t="s">
        <v>679</v>
      </c>
      <c r="O321" s="173" t="s">
        <v>225</v>
      </c>
      <c r="P321" s="262" t="str">
        <f t="shared" si="1"/>
        <v>IN-BLR-ANANTA-HLI-50_5</v>
      </c>
      <c r="Q321" s="173" t="s">
        <v>2313</v>
      </c>
      <c r="R321" s="258" t="str">
        <f>IFS(C321="","",C321="n/a","N/A",LEN(C321),Concatenate("{",char(34),"asset",char(34),":{",char(34),"guid",char(34),":",char(34),Q321,char(34),",",char(34),"site",char(34),":",char(34),LOWER('2-Building'!$B$4),char(34),",",char(34),"name",char(34),":",char(34),LOWER(C321),char(34),"}}"))</f>
        <v>{"asset":{"guid":"uuid://066c66cb-4618-48ea-9f12-3c833f16dbbf","site":"in-blr-ananta","name":"hli-50"}}</v>
      </c>
      <c r="S321" s="258" t="s">
        <v>1834</v>
      </c>
      <c r="T321" s="263"/>
      <c r="U321" s="263"/>
      <c r="V321" s="264" t="s">
        <v>1835</v>
      </c>
      <c r="W321" s="258" t="s">
        <v>1836</v>
      </c>
      <c r="X321" s="258" t="s">
        <v>1837</v>
      </c>
      <c r="Y321" s="33" t="s">
        <v>1838</v>
      </c>
      <c r="Z321" s="258">
        <v>11094.0</v>
      </c>
      <c r="AA321" s="258">
        <v>11501.0</v>
      </c>
      <c r="AB321" s="258"/>
      <c r="AC321" s="258"/>
      <c r="AD321" s="265"/>
      <c r="AE321" s="266" t="s">
        <v>685</v>
      </c>
      <c r="AF321" s="267" t="s">
        <v>2314</v>
      </c>
      <c r="AG321" s="268" t="str">
        <f>IFS(LEN(AF321)=17,LOWER('2-Building'!$B$4 &amp; "-" &amp; C321), AF321="N/A", "N/A", LEN(AF321)=0,"")</f>
        <v>in-blr-ananta-hli-50</v>
      </c>
      <c r="AH321" s="258"/>
      <c r="AI321" s="258"/>
      <c r="AJ321" s="258"/>
      <c r="AK321" s="258" t="s">
        <v>2315</v>
      </c>
      <c r="AL321" s="258" t="s">
        <v>688</v>
      </c>
      <c r="AM321" s="258" t="s">
        <v>689</v>
      </c>
      <c r="AN321" s="258"/>
      <c r="AO321" s="258"/>
      <c r="AP321" s="258"/>
      <c r="AQ321" s="258"/>
      <c r="AR321" s="258" t="s">
        <v>690</v>
      </c>
      <c r="AS321" s="258" t="s">
        <v>691</v>
      </c>
      <c r="AT321" s="258" t="s">
        <v>1841</v>
      </c>
      <c r="AU321" s="265" t="s">
        <v>1842</v>
      </c>
      <c r="AV321" s="174" t="s">
        <v>225</v>
      </c>
      <c r="AW321" s="269" t="s">
        <v>245</v>
      </c>
      <c r="AX321" s="269" t="s">
        <v>694</v>
      </c>
      <c r="AY321" s="270" t="s">
        <v>1843</v>
      </c>
      <c r="AZ321" s="173" t="s">
        <v>1834</v>
      </c>
      <c r="BA321" s="265">
        <v>10.0</v>
      </c>
      <c r="BB321" s="174" t="s">
        <v>225</v>
      </c>
      <c r="BC321" s="271"/>
      <c r="BD321" s="272" t="s">
        <v>1844</v>
      </c>
      <c r="BE321" s="273"/>
      <c r="BF321" s="274" t="str">
        <f>IFERROR(__xludf.DUMMYFUNCTION("LOWER(Regexreplace(to_text(E321),""[^A-Za-z0-9]"","""")&amp;""_""&amp;Regexreplace(to_text(F321),""[^A-Za-z0-9]"",""""))"),"alc_ofhi")</f>
        <v>alc_ofhi</v>
      </c>
      <c r="BG321" s="275" t="str">
        <f>IFERROR(__xludf.DUMMYFUNCTION("upper(Regexreplace(to_text(E321),""[^A-Za-z0-9]"","""")&amp;""-""&amp;Regexreplace(to_text(F321),""[^A-Za-z0-9]"",""""))"),"ALC-OFHI")</f>
        <v>ALC-OFHI</v>
      </c>
    </row>
    <row r="322" ht="30.0" customHeight="1">
      <c r="A322" s="173">
        <v>315.0</v>
      </c>
      <c r="B322" s="256" t="s">
        <v>670</v>
      </c>
      <c r="C322" s="257" t="s">
        <v>2316</v>
      </c>
      <c r="D322" s="173" t="s">
        <v>2316</v>
      </c>
      <c r="E322" s="174" t="s">
        <v>1830</v>
      </c>
      <c r="F322" s="173" t="s">
        <v>507</v>
      </c>
      <c r="G322" s="258" t="s">
        <v>673</v>
      </c>
      <c r="H322" s="258" t="s">
        <v>674</v>
      </c>
      <c r="I322" s="258" t="s">
        <v>1614</v>
      </c>
      <c r="J322" s="259" t="s">
        <v>1149</v>
      </c>
      <c r="K322" s="260" t="s">
        <v>2283</v>
      </c>
      <c r="L322" s="258" t="s">
        <v>2317</v>
      </c>
      <c r="M322" s="265" t="s">
        <v>2318</v>
      </c>
      <c r="N322" s="173" t="s">
        <v>679</v>
      </c>
      <c r="O322" s="173" t="s">
        <v>225</v>
      </c>
      <c r="P322" s="262" t="str">
        <f t="shared" si="1"/>
        <v>IN-BLR-ANANTA-HLI-51_6</v>
      </c>
      <c r="Q322" s="173" t="s">
        <v>2319</v>
      </c>
      <c r="R322" s="258" t="str">
        <f>IFS(C322="","",C322="n/a","N/A",LEN(C322),Concatenate("{",char(34),"asset",char(34),":{",char(34),"guid",char(34),":",char(34),Q322,char(34),",",char(34),"site",char(34),":",char(34),LOWER('2-Building'!$B$4),char(34),",",char(34),"name",char(34),":",char(34),LOWER(C322),char(34),"}}"))</f>
        <v>{"asset":{"guid":"uuid://37f9c71d-f608-4649-81c7-79ef65b2e327","site":"in-blr-ananta","name":"hli-51"}}</v>
      </c>
      <c r="S322" s="258" t="s">
        <v>1834</v>
      </c>
      <c r="T322" s="263"/>
      <c r="U322" s="263"/>
      <c r="V322" s="264" t="s">
        <v>1835</v>
      </c>
      <c r="W322" s="258" t="s">
        <v>1836</v>
      </c>
      <c r="X322" s="258" t="s">
        <v>1837</v>
      </c>
      <c r="Y322" s="33" t="s">
        <v>1838</v>
      </c>
      <c r="Z322" s="258">
        <v>11095.0</v>
      </c>
      <c r="AA322" s="258">
        <v>11501.0</v>
      </c>
      <c r="AB322" s="258"/>
      <c r="AC322" s="258"/>
      <c r="AD322" s="265"/>
      <c r="AE322" s="266" t="s">
        <v>685</v>
      </c>
      <c r="AF322" s="267" t="s">
        <v>2320</v>
      </c>
      <c r="AG322" s="268" t="str">
        <f>IFS(LEN(AF322)=17,LOWER('2-Building'!$B$4 &amp; "-" &amp; C322), AF322="N/A", "N/A", LEN(AF322)=0,"")</f>
        <v>in-blr-ananta-hli-51</v>
      </c>
      <c r="AH322" s="258"/>
      <c r="AI322" s="258"/>
      <c r="AJ322" s="258"/>
      <c r="AK322" s="258" t="s">
        <v>2321</v>
      </c>
      <c r="AL322" s="258" t="s">
        <v>688</v>
      </c>
      <c r="AM322" s="258" t="s">
        <v>689</v>
      </c>
      <c r="AN322" s="258"/>
      <c r="AO322" s="258"/>
      <c r="AP322" s="258"/>
      <c r="AQ322" s="258"/>
      <c r="AR322" s="258" t="s">
        <v>690</v>
      </c>
      <c r="AS322" s="258" t="s">
        <v>691</v>
      </c>
      <c r="AT322" s="258" t="s">
        <v>1841</v>
      </c>
      <c r="AU322" s="265" t="s">
        <v>1842</v>
      </c>
      <c r="AV322" s="174" t="s">
        <v>225</v>
      </c>
      <c r="AW322" s="269" t="s">
        <v>245</v>
      </c>
      <c r="AX322" s="269" t="s">
        <v>694</v>
      </c>
      <c r="AY322" s="270" t="s">
        <v>1843</v>
      </c>
      <c r="AZ322" s="173" t="s">
        <v>1834</v>
      </c>
      <c r="BA322" s="265">
        <v>10.0</v>
      </c>
      <c r="BB322" s="174" t="s">
        <v>225</v>
      </c>
      <c r="BC322" s="271"/>
      <c r="BD322" s="272" t="s">
        <v>1844</v>
      </c>
      <c r="BE322" s="273"/>
      <c r="BF322" s="274" t="str">
        <f>IFERROR(__xludf.DUMMYFUNCTION("LOWER(Regexreplace(to_text(E322),""[^A-Za-z0-9]"","""")&amp;""_""&amp;Regexreplace(to_text(F322),""[^A-Za-z0-9]"",""""))"),"alc_g5ce")</f>
        <v>alc_g5ce</v>
      </c>
      <c r="BG322" s="275" t="str">
        <f>IFERROR(__xludf.DUMMYFUNCTION("upper(Regexreplace(to_text(E322),""[^A-Za-z0-9]"","""")&amp;""-""&amp;Regexreplace(to_text(F322),""[^A-Za-z0-9]"",""""))"),"ALC-G5CE")</f>
        <v>ALC-G5CE</v>
      </c>
    </row>
    <row r="323" ht="30.0" customHeight="1">
      <c r="A323" s="258">
        <v>316.0</v>
      </c>
      <c r="B323" s="256" t="s">
        <v>670</v>
      </c>
      <c r="C323" s="257" t="s">
        <v>2322</v>
      </c>
      <c r="D323" s="173" t="s">
        <v>2322</v>
      </c>
      <c r="E323" s="174" t="s">
        <v>1830</v>
      </c>
      <c r="F323" s="173" t="s">
        <v>507</v>
      </c>
      <c r="G323" s="258" t="s">
        <v>673</v>
      </c>
      <c r="H323" s="258" t="s">
        <v>674</v>
      </c>
      <c r="I323" s="258" t="s">
        <v>1614</v>
      </c>
      <c r="J323" s="259" t="s">
        <v>1149</v>
      </c>
      <c r="K323" s="260" t="s">
        <v>2283</v>
      </c>
      <c r="L323" s="258" t="s">
        <v>2317</v>
      </c>
      <c r="M323" s="265" t="s">
        <v>2323</v>
      </c>
      <c r="N323" s="173" t="s">
        <v>679</v>
      </c>
      <c r="O323" s="173" t="s">
        <v>225</v>
      </c>
      <c r="P323" s="262" t="str">
        <f t="shared" si="1"/>
        <v>IN-BLR-ANANTA-HLI-52_6</v>
      </c>
      <c r="Q323" s="173" t="s">
        <v>2324</v>
      </c>
      <c r="R323" s="258" t="str">
        <f>IFS(C323="","",C323="n/a","N/A",LEN(C323),Concatenate("{",char(34),"asset",char(34),":{",char(34),"guid",char(34),":",char(34),Q323,char(34),",",char(34),"site",char(34),":",char(34),LOWER('2-Building'!$B$4),char(34),",",char(34),"name",char(34),":",char(34),LOWER(C323),char(34),"}}"))</f>
        <v>{"asset":{"guid":"uuid://89cf634e-b516-4737-ae73-bda0c1e2b957","site":"in-blr-ananta","name":"hli-52"}}</v>
      </c>
      <c r="S323" s="258" t="s">
        <v>1834</v>
      </c>
      <c r="T323" s="263"/>
      <c r="U323" s="263"/>
      <c r="V323" s="264" t="s">
        <v>1835</v>
      </c>
      <c r="W323" s="258" t="s">
        <v>1836</v>
      </c>
      <c r="X323" s="258" t="s">
        <v>1837</v>
      </c>
      <c r="Y323" s="33" t="s">
        <v>1838</v>
      </c>
      <c r="Z323" s="258">
        <v>11096.0</v>
      </c>
      <c r="AA323" s="258">
        <v>11501.0</v>
      </c>
      <c r="AB323" s="258"/>
      <c r="AC323" s="258"/>
      <c r="AD323" s="265"/>
      <c r="AE323" s="266" t="s">
        <v>685</v>
      </c>
      <c r="AF323" s="267" t="s">
        <v>2325</v>
      </c>
      <c r="AG323" s="268" t="str">
        <f>IFS(LEN(AF323)=17,LOWER('2-Building'!$B$4 &amp; "-" &amp; C323), AF323="N/A", "N/A", LEN(AF323)=0,"")</f>
        <v>in-blr-ananta-hli-52</v>
      </c>
      <c r="AH323" s="258"/>
      <c r="AI323" s="258"/>
      <c r="AJ323" s="258"/>
      <c r="AK323" s="258" t="s">
        <v>2326</v>
      </c>
      <c r="AL323" s="258" t="s">
        <v>688</v>
      </c>
      <c r="AM323" s="258" t="s">
        <v>689</v>
      </c>
      <c r="AN323" s="258"/>
      <c r="AO323" s="258"/>
      <c r="AP323" s="258"/>
      <c r="AQ323" s="258"/>
      <c r="AR323" s="258" t="s">
        <v>690</v>
      </c>
      <c r="AS323" s="258" t="s">
        <v>691</v>
      </c>
      <c r="AT323" s="258" t="s">
        <v>1841</v>
      </c>
      <c r="AU323" s="265" t="s">
        <v>1842</v>
      </c>
      <c r="AV323" s="174" t="s">
        <v>225</v>
      </c>
      <c r="AW323" s="269" t="s">
        <v>245</v>
      </c>
      <c r="AX323" s="269" t="s">
        <v>694</v>
      </c>
      <c r="AY323" s="270" t="s">
        <v>1843</v>
      </c>
      <c r="AZ323" s="173" t="s">
        <v>1834</v>
      </c>
      <c r="BA323" s="265">
        <v>10.0</v>
      </c>
      <c r="BB323" s="174" t="s">
        <v>225</v>
      </c>
      <c r="BC323" s="271"/>
      <c r="BD323" s="272" t="s">
        <v>1844</v>
      </c>
      <c r="BE323" s="273"/>
      <c r="BF323" s="274" t="str">
        <f>IFERROR(__xludf.DUMMYFUNCTION("LOWER(Regexreplace(to_text(E323),""[^A-Za-z0-9]"","""")&amp;""_""&amp;Regexreplace(to_text(F323),""[^A-Za-z0-9]"",""""))"),"alc_g5ce")</f>
        <v>alc_g5ce</v>
      </c>
      <c r="BG323" s="275" t="str">
        <f>IFERROR(__xludf.DUMMYFUNCTION("upper(Regexreplace(to_text(E323),""[^A-Za-z0-9]"","""")&amp;""-""&amp;Regexreplace(to_text(F323),""[^A-Za-z0-9]"",""""))"),"ALC-G5CE")</f>
        <v>ALC-G5CE</v>
      </c>
    </row>
    <row r="324" ht="30.0" customHeight="1">
      <c r="A324" s="173">
        <v>317.0</v>
      </c>
      <c r="B324" s="256" t="s">
        <v>670</v>
      </c>
      <c r="C324" s="257" t="s">
        <v>2327</v>
      </c>
      <c r="D324" s="173" t="s">
        <v>2327</v>
      </c>
      <c r="E324" s="174" t="s">
        <v>1830</v>
      </c>
      <c r="F324" s="173" t="s">
        <v>510</v>
      </c>
      <c r="G324" s="258" t="s">
        <v>673</v>
      </c>
      <c r="H324" s="258" t="s">
        <v>674</v>
      </c>
      <c r="I324" s="258" t="s">
        <v>1614</v>
      </c>
      <c r="J324" s="259" t="s">
        <v>1149</v>
      </c>
      <c r="K324" s="260" t="s">
        <v>2283</v>
      </c>
      <c r="L324" s="258" t="s">
        <v>2317</v>
      </c>
      <c r="M324" s="265" t="s">
        <v>2328</v>
      </c>
      <c r="N324" s="173" t="s">
        <v>679</v>
      </c>
      <c r="O324" s="173" t="s">
        <v>225</v>
      </c>
      <c r="P324" s="262" t="str">
        <f t="shared" si="1"/>
        <v>IN-BLR-ANANTA-HLI-53_6</v>
      </c>
      <c r="Q324" s="173" t="s">
        <v>2329</v>
      </c>
      <c r="R324" s="258" t="str">
        <f>IFS(C324="","",C324="n/a","N/A",LEN(C324),Concatenate("{",char(34),"asset",char(34),":{",char(34),"guid",char(34),":",char(34),Q324,char(34),",",char(34),"site",char(34),":",char(34),LOWER('2-Building'!$B$4),char(34),",",char(34),"name",char(34),":",char(34),LOWER(C324),char(34),"}}"))</f>
        <v>{"asset":{"guid":"uuid://21d46bf1-cce8-424a-bfa0-04c8a33e115b","site":"in-blr-ananta","name":"hli-53"}}</v>
      </c>
      <c r="S324" s="258" t="s">
        <v>1834</v>
      </c>
      <c r="T324" s="263"/>
      <c r="U324" s="263"/>
      <c r="V324" s="264" t="s">
        <v>1835</v>
      </c>
      <c r="W324" s="258" t="s">
        <v>1836</v>
      </c>
      <c r="X324" s="258" t="s">
        <v>1837</v>
      </c>
      <c r="Y324" s="33" t="s">
        <v>1838</v>
      </c>
      <c r="Z324" s="258">
        <v>11097.0</v>
      </c>
      <c r="AA324" s="258">
        <v>11501.0</v>
      </c>
      <c r="AB324" s="258"/>
      <c r="AC324" s="258"/>
      <c r="AD324" s="265"/>
      <c r="AE324" s="266" t="s">
        <v>685</v>
      </c>
      <c r="AF324" s="267" t="s">
        <v>2330</v>
      </c>
      <c r="AG324" s="268" t="str">
        <f>IFS(LEN(AF324)=17,LOWER('2-Building'!$B$4 &amp; "-" &amp; C324), AF324="N/A", "N/A", LEN(AF324)=0,"")</f>
        <v>in-blr-ananta-hli-53</v>
      </c>
      <c r="AH324" s="258"/>
      <c r="AI324" s="258"/>
      <c r="AJ324" s="258"/>
      <c r="AK324" s="258" t="s">
        <v>2331</v>
      </c>
      <c r="AL324" s="258" t="s">
        <v>688</v>
      </c>
      <c r="AM324" s="258" t="s">
        <v>689</v>
      </c>
      <c r="AN324" s="258"/>
      <c r="AO324" s="258"/>
      <c r="AP324" s="258"/>
      <c r="AQ324" s="258"/>
      <c r="AR324" s="258" t="s">
        <v>690</v>
      </c>
      <c r="AS324" s="258" t="s">
        <v>691</v>
      </c>
      <c r="AT324" s="258" t="s">
        <v>1841</v>
      </c>
      <c r="AU324" s="265" t="s">
        <v>1842</v>
      </c>
      <c r="AV324" s="174" t="s">
        <v>225</v>
      </c>
      <c r="AW324" s="269" t="s">
        <v>245</v>
      </c>
      <c r="AX324" s="269" t="s">
        <v>694</v>
      </c>
      <c r="AY324" s="270" t="s">
        <v>1843</v>
      </c>
      <c r="AZ324" s="173" t="s">
        <v>1834</v>
      </c>
      <c r="BA324" s="265">
        <v>10.0</v>
      </c>
      <c r="BB324" s="174" t="s">
        <v>225</v>
      </c>
      <c r="BC324" s="271"/>
      <c r="BD324" s="272" t="s">
        <v>1844</v>
      </c>
      <c r="BE324" s="273"/>
      <c r="BF324" s="274" t="str">
        <f>IFERROR(__xludf.DUMMYFUNCTION("LOWER(Regexreplace(to_text(E324),""[^A-Za-z0-9]"","""")&amp;""_""&amp;Regexreplace(to_text(F324),""[^A-Za-z0-9]"",""""))"),"alc_ofhi")</f>
        <v>alc_ofhi</v>
      </c>
      <c r="BG324" s="275" t="str">
        <f>IFERROR(__xludf.DUMMYFUNCTION("upper(Regexreplace(to_text(E324),""[^A-Za-z0-9]"","""")&amp;""-""&amp;Regexreplace(to_text(F324),""[^A-Za-z0-9]"",""""))"),"ALC-OFHI")</f>
        <v>ALC-OFHI</v>
      </c>
    </row>
    <row r="325" ht="30.0" customHeight="1">
      <c r="A325" s="258">
        <v>318.0</v>
      </c>
      <c r="B325" s="256" t="s">
        <v>670</v>
      </c>
      <c r="C325" s="257" t="s">
        <v>1175</v>
      </c>
      <c r="D325" s="173" t="s">
        <v>1175</v>
      </c>
      <c r="E325" s="174" t="s">
        <v>1830</v>
      </c>
      <c r="F325" s="173" t="s">
        <v>507</v>
      </c>
      <c r="G325" s="258" t="s">
        <v>673</v>
      </c>
      <c r="H325" s="258" t="s">
        <v>674</v>
      </c>
      <c r="I325" s="258" t="s">
        <v>675</v>
      </c>
      <c r="J325" s="259" t="s">
        <v>1149</v>
      </c>
      <c r="K325" s="260">
        <v>663.0</v>
      </c>
      <c r="L325" s="258" t="s">
        <v>2332</v>
      </c>
      <c r="M325" s="265" t="s">
        <v>2333</v>
      </c>
      <c r="N325" s="173" t="s">
        <v>679</v>
      </c>
      <c r="O325" s="173" t="s">
        <v>225</v>
      </c>
      <c r="P325" s="262" t="str">
        <f t="shared" si="1"/>
        <v>IN-BLR-ANANTA-DDC-44_6</v>
      </c>
      <c r="Q325" s="173" t="s">
        <v>2334</v>
      </c>
      <c r="R325" s="258" t="str">
        <f>IFS(C325="","",C325="n/a","N/A",LEN(C325),Concatenate("{",char(34),"asset",char(34),":{",char(34),"guid",char(34),":",char(34),Q325,char(34),",",char(34),"site",char(34),":",char(34),LOWER('2-Building'!$B$4),char(34),",",char(34),"name",char(34),":",char(34),LOWER(C325),char(34),"}}"))</f>
        <v>{"asset":{"guid":"uuid://56da8de2-69bd-4cd1-8d62-f8807048a0de","site":"in-blr-ananta","name":"ddc-44"}}</v>
      </c>
      <c r="S325" s="258" t="s">
        <v>1834</v>
      </c>
      <c r="T325" s="263"/>
      <c r="U325" s="263"/>
      <c r="V325" s="264" t="s">
        <v>1835</v>
      </c>
      <c r="W325" s="258" t="s">
        <v>1836</v>
      </c>
      <c r="X325" s="258" t="s">
        <v>1837</v>
      </c>
      <c r="Y325" s="33" t="s">
        <v>1838</v>
      </c>
      <c r="Z325" s="258">
        <v>11098.0</v>
      </c>
      <c r="AA325" s="258">
        <v>11501.0</v>
      </c>
      <c r="AB325" s="258"/>
      <c r="AC325" s="258"/>
      <c r="AD325" s="265"/>
      <c r="AE325" s="266" t="s">
        <v>685</v>
      </c>
      <c r="AF325" s="267" t="s">
        <v>2335</v>
      </c>
      <c r="AG325" s="268" t="str">
        <f>IFS(LEN(AF325)=17,LOWER('2-Building'!$B$4 &amp; "-" &amp; C325), AF325="N/A", "N/A", LEN(AF325)=0,"")</f>
        <v>in-blr-ananta-ddc-44</v>
      </c>
      <c r="AH325" s="258"/>
      <c r="AI325" s="258"/>
      <c r="AJ325" s="258"/>
      <c r="AK325" s="258" t="s">
        <v>2336</v>
      </c>
      <c r="AL325" s="258" t="s">
        <v>688</v>
      </c>
      <c r="AM325" s="258" t="s">
        <v>689</v>
      </c>
      <c r="AN325" s="258"/>
      <c r="AO325" s="258"/>
      <c r="AP325" s="258"/>
      <c r="AQ325" s="258"/>
      <c r="AR325" s="258" t="s">
        <v>690</v>
      </c>
      <c r="AS325" s="258" t="s">
        <v>691</v>
      </c>
      <c r="AT325" s="258" t="s">
        <v>1841</v>
      </c>
      <c r="AU325" s="265" t="s">
        <v>1842</v>
      </c>
      <c r="AV325" s="174" t="s">
        <v>225</v>
      </c>
      <c r="AW325" s="269" t="s">
        <v>245</v>
      </c>
      <c r="AX325" s="269" t="s">
        <v>694</v>
      </c>
      <c r="AY325" s="270" t="s">
        <v>1843</v>
      </c>
      <c r="AZ325" s="173" t="s">
        <v>1834</v>
      </c>
      <c r="BA325" s="265">
        <v>10.0</v>
      </c>
      <c r="BB325" s="174" t="s">
        <v>225</v>
      </c>
      <c r="BC325" s="271"/>
      <c r="BD325" s="272" t="s">
        <v>1844</v>
      </c>
      <c r="BE325" s="273"/>
      <c r="BF325" s="274" t="str">
        <f>IFERROR(__xludf.DUMMYFUNCTION("LOWER(Regexreplace(to_text(E325),""[^A-Za-z0-9]"","""")&amp;""_""&amp;Regexreplace(to_text(F325),""[^A-Za-z0-9]"",""""))"),"alc_g5ce")</f>
        <v>alc_g5ce</v>
      </c>
      <c r="BG325" s="275" t="str">
        <f>IFERROR(__xludf.DUMMYFUNCTION("upper(Regexreplace(to_text(E325),""[^A-Za-z0-9]"","""")&amp;""-""&amp;Regexreplace(to_text(F325),""[^A-Za-z0-9]"",""""))"),"ALC-G5CE")</f>
        <v>ALC-G5CE</v>
      </c>
    </row>
    <row r="326" ht="30.0" customHeight="1">
      <c r="A326" s="173">
        <v>319.0</v>
      </c>
      <c r="B326" s="256" t="s">
        <v>670</v>
      </c>
      <c r="C326" s="257" t="s">
        <v>2337</v>
      </c>
      <c r="D326" s="173" t="s">
        <v>2337</v>
      </c>
      <c r="E326" s="174" t="s">
        <v>1830</v>
      </c>
      <c r="F326" s="173" t="s">
        <v>507</v>
      </c>
      <c r="G326" s="258" t="s">
        <v>673</v>
      </c>
      <c r="H326" s="258" t="s">
        <v>674</v>
      </c>
      <c r="I326" s="258" t="s">
        <v>1614</v>
      </c>
      <c r="J326" s="259" t="s">
        <v>1149</v>
      </c>
      <c r="K326" s="260">
        <v>663.0</v>
      </c>
      <c r="L326" s="258" t="s">
        <v>2332</v>
      </c>
      <c r="M326" s="265" t="s">
        <v>2338</v>
      </c>
      <c r="N326" s="173" t="s">
        <v>679</v>
      </c>
      <c r="O326" s="173" t="s">
        <v>225</v>
      </c>
      <c r="P326" s="262" t="str">
        <f t="shared" si="1"/>
        <v>IN-BLR-ANANTA-HLI-54_6</v>
      </c>
      <c r="Q326" s="173" t="s">
        <v>2339</v>
      </c>
      <c r="R326" s="258" t="str">
        <f>IFS(C326="","",C326="n/a","N/A",LEN(C326),Concatenate("{",char(34),"asset",char(34),":{",char(34),"guid",char(34),":",char(34),Q326,char(34),",",char(34),"site",char(34),":",char(34),LOWER('2-Building'!$B$4),char(34),",",char(34),"name",char(34),":",char(34),LOWER(C326),char(34),"}}"))</f>
        <v>{"asset":{"guid":"uuid://537cd68e-46e6-489a-b1ef-9c38702e9c0d","site":"in-blr-ananta","name":"hli-54"}}</v>
      </c>
      <c r="S326" s="258" t="s">
        <v>1834</v>
      </c>
      <c r="T326" s="263"/>
      <c r="U326" s="263"/>
      <c r="V326" s="264" t="s">
        <v>1835</v>
      </c>
      <c r="W326" s="258" t="s">
        <v>1836</v>
      </c>
      <c r="X326" s="258" t="s">
        <v>1837</v>
      </c>
      <c r="Y326" s="33" t="s">
        <v>1838</v>
      </c>
      <c r="Z326" s="258">
        <v>11099.0</v>
      </c>
      <c r="AA326" s="258">
        <v>11501.0</v>
      </c>
      <c r="AB326" s="258"/>
      <c r="AC326" s="258"/>
      <c r="AD326" s="265"/>
      <c r="AE326" s="266" t="s">
        <v>685</v>
      </c>
      <c r="AF326" s="267" t="s">
        <v>2340</v>
      </c>
      <c r="AG326" s="268" t="str">
        <f>IFS(LEN(AF326)=17,LOWER('2-Building'!$B$4 &amp; "-" &amp; C326), AF326="N/A", "N/A", LEN(AF326)=0,"")</f>
        <v>in-blr-ananta-hli-54</v>
      </c>
      <c r="AH326" s="258"/>
      <c r="AI326" s="258"/>
      <c r="AJ326" s="258"/>
      <c r="AK326" s="258" t="s">
        <v>2341</v>
      </c>
      <c r="AL326" s="258" t="s">
        <v>688</v>
      </c>
      <c r="AM326" s="258" t="s">
        <v>689</v>
      </c>
      <c r="AN326" s="258"/>
      <c r="AO326" s="258"/>
      <c r="AP326" s="258"/>
      <c r="AQ326" s="258"/>
      <c r="AR326" s="258" t="s">
        <v>690</v>
      </c>
      <c r="AS326" s="258" t="s">
        <v>691</v>
      </c>
      <c r="AT326" s="258" t="s">
        <v>1841</v>
      </c>
      <c r="AU326" s="265" t="s">
        <v>1842</v>
      </c>
      <c r="AV326" s="174" t="s">
        <v>225</v>
      </c>
      <c r="AW326" s="269" t="s">
        <v>245</v>
      </c>
      <c r="AX326" s="269" t="s">
        <v>694</v>
      </c>
      <c r="AY326" s="270" t="s">
        <v>1843</v>
      </c>
      <c r="AZ326" s="173" t="s">
        <v>1834</v>
      </c>
      <c r="BA326" s="265">
        <v>10.0</v>
      </c>
      <c r="BB326" s="174" t="s">
        <v>225</v>
      </c>
      <c r="BC326" s="271"/>
      <c r="BD326" s="272" t="s">
        <v>1844</v>
      </c>
      <c r="BE326" s="273"/>
      <c r="BF326" s="274" t="str">
        <f>IFERROR(__xludf.DUMMYFUNCTION("LOWER(Regexreplace(to_text(E326),""[^A-Za-z0-9]"","""")&amp;""_""&amp;Regexreplace(to_text(F326),""[^A-Za-z0-9]"",""""))"),"alc_g5ce")</f>
        <v>alc_g5ce</v>
      </c>
      <c r="BG326" s="275" t="str">
        <f>IFERROR(__xludf.DUMMYFUNCTION("upper(Regexreplace(to_text(E326),""[^A-Za-z0-9]"","""")&amp;""-""&amp;Regexreplace(to_text(F326),""[^A-Za-z0-9]"",""""))"),"ALC-G5CE")</f>
        <v>ALC-G5CE</v>
      </c>
    </row>
    <row r="327" ht="30.0" customHeight="1">
      <c r="A327" s="258">
        <v>320.0</v>
      </c>
      <c r="B327" s="256" t="s">
        <v>670</v>
      </c>
      <c r="C327" s="257" t="s">
        <v>1185</v>
      </c>
      <c r="D327" s="173" t="s">
        <v>1185</v>
      </c>
      <c r="E327" s="174" t="s">
        <v>1830</v>
      </c>
      <c r="F327" s="173" t="s">
        <v>507</v>
      </c>
      <c r="G327" s="258" t="s">
        <v>673</v>
      </c>
      <c r="H327" s="258" t="s">
        <v>674</v>
      </c>
      <c r="I327" s="258" t="s">
        <v>675</v>
      </c>
      <c r="J327" s="259" t="s">
        <v>1149</v>
      </c>
      <c r="K327" s="260">
        <v>619.0</v>
      </c>
      <c r="L327" s="258" t="s">
        <v>2342</v>
      </c>
      <c r="M327" s="265" t="s">
        <v>2333</v>
      </c>
      <c r="N327" s="173" t="s">
        <v>679</v>
      </c>
      <c r="O327" s="173" t="s">
        <v>225</v>
      </c>
      <c r="P327" s="262" t="str">
        <f t="shared" si="1"/>
        <v>IN-BLR-ANANTA-DDC-45_6</v>
      </c>
      <c r="Q327" s="173" t="s">
        <v>2343</v>
      </c>
      <c r="R327" s="258" t="str">
        <f>IFS(C327="","",C327="n/a","N/A",LEN(C327),Concatenate("{",char(34),"asset",char(34),":{",char(34),"guid",char(34),":",char(34),Q327,char(34),",",char(34),"site",char(34),":",char(34),LOWER('2-Building'!$B$4),char(34),",",char(34),"name",char(34),":",char(34),LOWER(C327),char(34),"}}"))</f>
        <v>{"asset":{"guid":"uuid://616e05b9-5fd5-455a-a5df-321fad92c3a8","site":"in-blr-ananta","name":"ddc-45"}}</v>
      </c>
      <c r="S327" s="258" t="s">
        <v>1834</v>
      </c>
      <c r="T327" s="263"/>
      <c r="U327" s="263"/>
      <c r="V327" s="264" t="s">
        <v>1835</v>
      </c>
      <c r="W327" s="258" t="s">
        <v>1836</v>
      </c>
      <c r="X327" s="258" t="s">
        <v>1837</v>
      </c>
      <c r="Y327" s="33" t="s">
        <v>1838</v>
      </c>
      <c r="Z327" s="258">
        <v>11100.0</v>
      </c>
      <c r="AA327" s="258">
        <v>11501.0</v>
      </c>
      <c r="AB327" s="258"/>
      <c r="AC327" s="258"/>
      <c r="AD327" s="265"/>
      <c r="AE327" s="266" t="s">
        <v>685</v>
      </c>
      <c r="AF327" s="267" t="s">
        <v>2344</v>
      </c>
      <c r="AG327" s="268" t="str">
        <f>IFS(LEN(AF327)=17,LOWER('2-Building'!$B$4 &amp; "-" &amp; C327), AF327="N/A", "N/A", LEN(AF327)=0,"")</f>
        <v>in-blr-ananta-ddc-45</v>
      </c>
      <c r="AH327" s="258"/>
      <c r="AI327" s="258"/>
      <c r="AJ327" s="258"/>
      <c r="AK327" s="258" t="s">
        <v>2345</v>
      </c>
      <c r="AL327" s="258" t="s">
        <v>688</v>
      </c>
      <c r="AM327" s="258" t="s">
        <v>689</v>
      </c>
      <c r="AN327" s="258"/>
      <c r="AO327" s="258"/>
      <c r="AP327" s="258"/>
      <c r="AQ327" s="258"/>
      <c r="AR327" s="258" t="s">
        <v>690</v>
      </c>
      <c r="AS327" s="258" t="s">
        <v>691</v>
      </c>
      <c r="AT327" s="258" t="s">
        <v>1841</v>
      </c>
      <c r="AU327" s="265" t="s">
        <v>1842</v>
      </c>
      <c r="AV327" s="174" t="s">
        <v>225</v>
      </c>
      <c r="AW327" s="269" t="s">
        <v>245</v>
      </c>
      <c r="AX327" s="269" t="s">
        <v>694</v>
      </c>
      <c r="AY327" s="270" t="s">
        <v>1843</v>
      </c>
      <c r="AZ327" s="173" t="s">
        <v>1834</v>
      </c>
      <c r="BA327" s="265">
        <v>10.0</v>
      </c>
      <c r="BB327" s="174" t="s">
        <v>225</v>
      </c>
      <c r="BC327" s="271"/>
      <c r="BD327" s="272" t="s">
        <v>1844</v>
      </c>
      <c r="BE327" s="273"/>
      <c r="BF327" s="274" t="str">
        <f>IFERROR(__xludf.DUMMYFUNCTION("LOWER(Regexreplace(to_text(E327),""[^A-Za-z0-9]"","""")&amp;""_""&amp;Regexreplace(to_text(F327),""[^A-Za-z0-9]"",""""))"),"alc_g5ce")</f>
        <v>alc_g5ce</v>
      </c>
      <c r="BG327" s="275" t="str">
        <f>IFERROR(__xludf.DUMMYFUNCTION("upper(Regexreplace(to_text(E327),""[^A-Za-z0-9]"","""")&amp;""-""&amp;Regexreplace(to_text(F327),""[^A-Za-z0-9]"",""""))"),"ALC-G5CE")</f>
        <v>ALC-G5CE</v>
      </c>
    </row>
    <row r="328" ht="30.0" customHeight="1">
      <c r="A328" s="173">
        <v>321.0</v>
      </c>
      <c r="B328" s="256" t="s">
        <v>670</v>
      </c>
      <c r="C328" s="257" t="s">
        <v>2346</v>
      </c>
      <c r="D328" s="173" t="s">
        <v>2346</v>
      </c>
      <c r="E328" s="174" t="s">
        <v>1830</v>
      </c>
      <c r="F328" s="173" t="s">
        <v>507</v>
      </c>
      <c r="G328" s="258" t="s">
        <v>673</v>
      </c>
      <c r="H328" s="258" t="s">
        <v>674</v>
      </c>
      <c r="I328" s="258" t="s">
        <v>1614</v>
      </c>
      <c r="J328" s="259" t="s">
        <v>1149</v>
      </c>
      <c r="K328" s="260">
        <v>619.0</v>
      </c>
      <c r="L328" s="258" t="s">
        <v>2342</v>
      </c>
      <c r="M328" s="265" t="s">
        <v>2347</v>
      </c>
      <c r="N328" s="173" t="s">
        <v>679</v>
      </c>
      <c r="O328" s="173" t="s">
        <v>225</v>
      </c>
      <c r="P328" s="262" t="str">
        <f t="shared" si="1"/>
        <v>IN-BLR-ANANTA-HLI-55_6</v>
      </c>
      <c r="Q328" s="173" t="s">
        <v>2348</v>
      </c>
      <c r="R328" s="258" t="str">
        <f>IFS(C328="","",C328="n/a","N/A",LEN(C328),Concatenate("{",char(34),"asset",char(34),":{",char(34),"guid",char(34),":",char(34),Q328,char(34),",",char(34),"site",char(34),":",char(34),LOWER('2-Building'!$B$4),char(34),",",char(34),"name",char(34),":",char(34),LOWER(C328),char(34),"}}"))</f>
        <v>{"asset":{"guid":"uuid://242766bf-b32a-49aa-afde-922c76052716","site":"in-blr-ananta","name":"hli-55"}}</v>
      </c>
      <c r="S328" s="258" t="s">
        <v>1834</v>
      </c>
      <c r="T328" s="263"/>
      <c r="U328" s="263"/>
      <c r="V328" s="264" t="s">
        <v>1835</v>
      </c>
      <c r="W328" s="258" t="s">
        <v>1836</v>
      </c>
      <c r="X328" s="258" t="s">
        <v>1837</v>
      </c>
      <c r="Y328" s="33" t="s">
        <v>1838</v>
      </c>
      <c r="Z328" s="258">
        <v>11101.0</v>
      </c>
      <c r="AA328" s="258">
        <v>11501.0</v>
      </c>
      <c r="AB328" s="258"/>
      <c r="AC328" s="258"/>
      <c r="AD328" s="265"/>
      <c r="AE328" s="266" t="s">
        <v>685</v>
      </c>
      <c r="AF328" s="267" t="s">
        <v>2349</v>
      </c>
      <c r="AG328" s="268" t="str">
        <f>IFS(LEN(AF328)=17,LOWER('2-Building'!$B$4 &amp; "-" &amp; C328), AF328="N/A", "N/A", LEN(AF328)=0,"")</f>
        <v>in-blr-ananta-hli-55</v>
      </c>
      <c r="AH328" s="258"/>
      <c r="AI328" s="258"/>
      <c r="AJ328" s="258"/>
      <c r="AK328" s="258" t="s">
        <v>2350</v>
      </c>
      <c r="AL328" s="258" t="s">
        <v>688</v>
      </c>
      <c r="AM328" s="258" t="s">
        <v>689</v>
      </c>
      <c r="AN328" s="258"/>
      <c r="AO328" s="258"/>
      <c r="AP328" s="258"/>
      <c r="AQ328" s="258"/>
      <c r="AR328" s="258" t="s">
        <v>690</v>
      </c>
      <c r="AS328" s="258" t="s">
        <v>691</v>
      </c>
      <c r="AT328" s="258" t="s">
        <v>1841</v>
      </c>
      <c r="AU328" s="265" t="s">
        <v>1842</v>
      </c>
      <c r="AV328" s="174" t="s">
        <v>225</v>
      </c>
      <c r="AW328" s="269" t="s">
        <v>245</v>
      </c>
      <c r="AX328" s="269" t="s">
        <v>694</v>
      </c>
      <c r="AY328" s="270" t="s">
        <v>1843</v>
      </c>
      <c r="AZ328" s="173" t="s">
        <v>1834</v>
      </c>
      <c r="BA328" s="265">
        <v>10.0</v>
      </c>
      <c r="BB328" s="174" t="s">
        <v>225</v>
      </c>
      <c r="BC328" s="271"/>
      <c r="BD328" s="272" t="s">
        <v>1844</v>
      </c>
      <c r="BE328" s="273"/>
      <c r="BF328" s="274" t="str">
        <f>IFERROR(__xludf.DUMMYFUNCTION("LOWER(Regexreplace(to_text(E328),""[^A-Za-z0-9]"","""")&amp;""_""&amp;Regexreplace(to_text(F328),""[^A-Za-z0-9]"",""""))"),"alc_g5ce")</f>
        <v>alc_g5ce</v>
      </c>
      <c r="BG328" s="275" t="str">
        <f>IFERROR(__xludf.DUMMYFUNCTION("upper(Regexreplace(to_text(E328),""[^A-Za-z0-9]"","""")&amp;""-""&amp;Regexreplace(to_text(F328),""[^A-Za-z0-9]"",""""))"),"ALC-G5CE")</f>
        <v>ALC-G5CE</v>
      </c>
    </row>
    <row r="329" ht="30.0" customHeight="1">
      <c r="A329" s="258">
        <v>322.0</v>
      </c>
      <c r="B329" s="256" t="s">
        <v>670</v>
      </c>
      <c r="C329" s="257" t="s">
        <v>1165</v>
      </c>
      <c r="D329" s="173" t="s">
        <v>1165</v>
      </c>
      <c r="E329" s="174" t="s">
        <v>1830</v>
      </c>
      <c r="F329" s="173" t="s">
        <v>507</v>
      </c>
      <c r="G329" s="258" t="s">
        <v>673</v>
      </c>
      <c r="H329" s="258" t="s">
        <v>674</v>
      </c>
      <c r="I329" s="258" t="s">
        <v>675</v>
      </c>
      <c r="J329" s="259" t="s">
        <v>1149</v>
      </c>
      <c r="K329" s="260">
        <v>648.0</v>
      </c>
      <c r="L329" s="258" t="s">
        <v>2351</v>
      </c>
      <c r="M329" s="265" t="s">
        <v>2352</v>
      </c>
      <c r="N329" s="173" t="s">
        <v>679</v>
      </c>
      <c r="O329" s="173" t="s">
        <v>225</v>
      </c>
      <c r="P329" s="262" t="str">
        <f t="shared" si="1"/>
        <v>IN-BLR-ANANTA-DDC-46_6</v>
      </c>
      <c r="Q329" s="173" t="s">
        <v>2353</v>
      </c>
      <c r="R329" s="258" t="str">
        <f>IFS(C329="","",C329="n/a","N/A",LEN(C329),Concatenate("{",char(34),"asset",char(34),":{",char(34),"guid",char(34),":",char(34),Q329,char(34),",",char(34),"site",char(34),":",char(34),LOWER('2-Building'!$B$4),char(34),",",char(34),"name",char(34),":",char(34),LOWER(C329),char(34),"}}"))</f>
        <v>{"asset":{"guid":"uuid://ed480c42-56a6-4304-8509-b1ff5d8878e4","site":"in-blr-ananta","name":"ddc-46"}}</v>
      </c>
      <c r="S329" s="258" t="s">
        <v>1834</v>
      </c>
      <c r="T329" s="263"/>
      <c r="U329" s="263"/>
      <c r="V329" s="264" t="s">
        <v>1835</v>
      </c>
      <c r="W329" s="258" t="s">
        <v>1836</v>
      </c>
      <c r="X329" s="258" t="s">
        <v>1837</v>
      </c>
      <c r="Y329" s="33" t="s">
        <v>1838</v>
      </c>
      <c r="Z329" s="258">
        <v>11102.0</v>
      </c>
      <c r="AA329" s="258">
        <v>11501.0</v>
      </c>
      <c r="AB329" s="258"/>
      <c r="AC329" s="258"/>
      <c r="AD329" s="265"/>
      <c r="AE329" s="266" t="s">
        <v>685</v>
      </c>
      <c r="AF329" s="267" t="s">
        <v>2354</v>
      </c>
      <c r="AG329" s="268" t="str">
        <f>IFS(LEN(AF329)=17,LOWER('2-Building'!$B$4 &amp; "-" &amp; C329), AF329="N/A", "N/A", LEN(AF329)=0,"")</f>
        <v>in-blr-ananta-ddc-46</v>
      </c>
      <c r="AH329" s="258"/>
      <c r="AI329" s="258"/>
      <c r="AJ329" s="258"/>
      <c r="AK329" s="258" t="s">
        <v>2355</v>
      </c>
      <c r="AL329" s="258" t="s">
        <v>688</v>
      </c>
      <c r="AM329" s="258" t="s">
        <v>689</v>
      </c>
      <c r="AN329" s="258"/>
      <c r="AO329" s="258"/>
      <c r="AP329" s="258"/>
      <c r="AQ329" s="258"/>
      <c r="AR329" s="258" t="s">
        <v>690</v>
      </c>
      <c r="AS329" s="258" t="s">
        <v>691</v>
      </c>
      <c r="AT329" s="258" t="s">
        <v>1841</v>
      </c>
      <c r="AU329" s="265" t="s">
        <v>1842</v>
      </c>
      <c r="AV329" s="174" t="s">
        <v>225</v>
      </c>
      <c r="AW329" s="269" t="s">
        <v>245</v>
      </c>
      <c r="AX329" s="269" t="s">
        <v>694</v>
      </c>
      <c r="AY329" s="270" t="s">
        <v>1843</v>
      </c>
      <c r="AZ329" s="173" t="s">
        <v>1834</v>
      </c>
      <c r="BA329" s="265">
        <v>10.0</v>
      </c>
      <c r="BB329" s="174" t="s">
        <v>225</v>
      </c>
      <c r="BC329" s="271"/>
      <c r="BD329" s="272" t="s">
        <v>1844</v>
      </c>
      <c r="BE329" s="273"/>
      <c r="BF329" s="274" t="str">
        <f>IFERROR(__xludf.DUMMYFUNCTION("LOWER(Regexreplace(to_text(E329),""[^A-Za-z0-9]"","""")&amp;""_""&amp;Regexreplace(to_text(F329),""[^A-Za-z0-9]"",""""))"),"alc_g5ce")</f>
        <v>alc_g5ce</v>
      </c>
      <c r="BG329" s="275" t="str">
        <f>IFERROR(__xludf.DUMMYFUNCTION("upper(Regexreplace(to_text(E329),""[^A-Za-z0-9]"","""")&amp;""-""&amp;Regexreplace(to_text(F329),""[^A-Za-z0-9]"",""""))"),"ALC-G5CE")</f>
        <v>ALC-G5CE</v>
      </c>
    </row>
    <row r="330" ht="30.0" customHeight="1">
      <c r="A330" s="173">
        <v>323.0</v>
      </c>
      <c r="B330" s="256" t="s">
        <v>670</v>
      </c>
      <c r="C330" s="257" t="s">
        <v>2356</v>
      </c>
      <c r="D330" s="173" t="s">
        <v>2356</v>
      </c>
      <c r="E330" s="174" t="s">
        <v>1830</v>
      </c>
      <c r="F330" s="173" t="s">
        <v>507</v>
      </c>
      <c r="G330" s="258" t="s">
        <v>673</v>
      </c>
      <c r="H330" s="258" t="s">
        <v>674</v>
      </c>
      <c r="I330" s="258" t="s">
        <v>1614</v>
      </c>
      <c r="J330" s="259" t="s">
        <v>1149</v>
      </c>
      <c r="K330" s="260">
        <v>648.0</v>
      </c>
      <c r="L330" s="258" t="s">
        <v>2351</v>
      </c>
      <c r="M330" s="265" t="s">
        <v>2357</v>
      </c>
      <c r="N330" s="173" t="s">
        <v>679</v>
      </c>
      <c r="O330" s="173" t="s">
        <v>225</v>
      </c>
      <c r="P330" s="262" t="str">
        <f t="shared" si="1"/>
        <v>IN-BLR-ANANTA-HLI-56_6</v>
      </c>
      <c r="Q330" s="173" t="s">
        <v>2358</v>
      </c>
      <c r="R330" s="258" t="str">
        <f>IFS(C330="","",C330="n/a","N/A",LEN(C330),Concatenate("{",char(34),"asset",char(34),":{",char(34),"guid",char(34),":",char(34),Q330,char(34),",",char(34),"site",char(34),":",char(34),LOWER('2-Building'!$B$4),char(34),",",char(34),"name",char(34),":",char(34),LOWER(C330),char(34),"}}"))</f>
        <v>{"asset":{"guid":"uuid://a2ead946-bac5-427a-b734-4662e42b4fbe","site":"in-blr-ananta","name":"hli-56"}}</v>
      </c>
      <c r="S330" s="258" t="s">
        <v>1834</v>
      </c>
      <c r="T330" s="263"/>
      <c r="U330" s="263"/>
      <c r="V330" s="264" t="s">
        <v>1835</v>
      </c>
      <c r="W330" s="258" t="s">
        <v>1836</v>
      </c>
      <c r="X330" s="258" t="s">
        <v>1837</v>
      </c>
      <c r="Y330" s="33" t="s">
        <v>1838</v>
      </c>
      <c r="Z330" s="258">
        <v>11103.0</v>
      </c>
      <c r="AA330" s="258">
        <v>11501.0</v>
      </c>
      <c r="AB330" s="258"/>
      <c r="AC330" s="258"/>
      <c r="AD330" s="265"/>
      <c r="AE330" s="266" t="s">
        <v>685</v>
      </c>
      <c r="AF330" s="267" t="s">
        <v>2359</v>
      </c>
      <c r="AG330" s="268" t="str">
        <f>IFS(LEN(AF330)=17,LOWER('2-Building'!$B$4 &amp; "-" &amp; C330), AF330="N/A", "N/A", LEN(AF330)=0,"")</f>
        <v>in-blr-ananta-hli-56</v>
      </c>
      <c r="AH330" s="258"/>
      <c r="AI330" s="258"/>
      <c r="AJ330" s="258"/>
      <c r="AK330" s="258" t="s">
        <v>2360</v>
      </c>
      <c r="AL330" s="258" t="s">
        <v>688</v>
      </c>
      <c r="AM330" s="258" t="s">
        <v>689</v>
      </c>
      <c r="AN330" s="258"/>
      <c r="AO330" s="258"/>
      <c r="AP330" s="258"/>
      <c r="AQ330" s="258"/>
      <c r="AR330" s="258" t="s">
        <v>690</v>
      </c>
      <c r="AS330" s="258" t="s">
        <v>691</v>
      </c>
      <c r="AT330" s="258" t="s">
        <v>1841</v>
      </c>
      <c r="AU330" s="265" t="s">
        <v>1842</v>
      </c>
      <c r="AV330" s="174" t="s">
        <v>225</v>
      </c>
      <c r="AW330" s="269" t="s">
        <v>245</v>
      </c>
      <c r="AX330" s="269" t="s">
        <v>694</v>
      </c>
      <c r="AY330" s="270" t="s">
        <v>1843</v>
      </c>
      <c r="AZ330" s="173" t="s">
        <v>1834</v>
      </c>
      <c r="BA330" s="265">
        <v>10.0</v>
      </c>
      <c r="BB330" s="174" t="s">
        <v>225</v>
      </c>
      <c r="BC330" s="271"/>
      <c r="BD330" s="272" t="s">
        <v>1844</v>
      </c>
      <c r="BE330" s="273"/>
      <c r="BF330" s="274" t="str">
        <f>IFERROR(__xludf.DUMMYFUNCTION("LOWER(Regexreplace(to_text(E330),""[^A-Za-z0-9]"","""")&amp;""_""&amp;Regexreplace(to_text(F330),""[^A-Za-z0-9]"",""""))"),"alc_g5ce")</f>
        <v>alc_g5ce</v>
      </c>
      <c r="BG330" s="275" t="str">
        <f>IFERROR(__xludf.DUMMYFUNCTION("upper(Regexreplace(to_text(E330),""[^A-Za-z0-9]"","""")&amp;""-""&amp;Regexreplace(to_text(F330),""[^A-Za-z0-9]"",""""))"),"ALC-G5CE")</f>
        <v>ALC-G5CE</v>
      </c>
    </row>
    <row r="331" ht="30.0" customHeight="1">
      <c r="A331" s="258">
        <v>324.0</v>
      </c>
      <c r="B331" s="256" t="s">
        <v>670</v>
      </c>
      <c r="C331" s="257" t="s">
        <v>1205</v>
      </c>
      <c r="D331" s="173" t="s">
        <v>1205</v>
      </c>
      <c r="E331" s="174" t="s">
        <v>1830</v>
      </c>
      <c r="F331" s="173" t="s">
        <v>507</v>
      </c>
      <c r="G331" s="258" t="s">
        <v>673</v>
      </c>
      <c r="H331" s="258" t="s">
        <v>674</v>
      </c>
      <c r="I331" s="258" t="s">
        <v>675</v>
      </c>
      <c r="J331" s="259" t="s">
        <v>1149</v>
      </c>
      <c r="K331" s="260">
        <v>675.0</v>
      </c>
      <c r="L331" s="258" t="s">
        <v>2361</v>
      </c>
      <c r="M331" s="265" t="s">
        <v>2362</v>
      </c>
      <c r="N331" s="173" t="s">
        <v>679</v>
      </c>
      <c r="O331" s="173" t="s">
        <v>225</v>
      </c>
      <c r="P331" s="262" t="str">
        <f t="shared" si="1"/>
        <v>IN-BLR-ANANTA-DDC-47_6</v>
      </c>
      <c r="Q331" s="173" t="s">
        <v>2363</v>
      </c>
      <c r="R331" s="258" t="str">
        <f>IFS(C331="","",C331="n/a","N/A",LEN(C331),Concatenate("{",char(34),"asset",char(34),":{",char(34),"guid",char(34),":",char(34),Q331,char(34),",",char(34),"site",char(34),":",char(34),LOWER('2-Building'!$B$4),char(34),",",char(34),"name",char(34),":",char(34),LOWER(C331),char(34),"}}"))</f>
        <v>{"asset":{"guid":"uuid://830e0cd2-c530-4bfc-b5b7-235a210fa2fd","site":"in-blr-ananta","name":"ddc-47"}}</v>
      </c>
      <c r="S331" s="258" t="s">
        <v>1834</v>
      </c>
      <c r="T331" s="263"/>
      <c r="U331" s="263"/>
      <c r="V331" s="264" t="s">
        <v>1835</v>
      </c>
      <c r="W331" s="258" t="s">
        <v>1836</v>
      </c>
      <c r="X331" s="258" t="s">
        <v>1837</v>
      </c>
      <c r="Y331" s="33" t="s">
        <v>1838</v>
      </c>
      <c r="Z331" s="258">
        <v>11104.0</v>
      </c>
      <c r="AA331" s="258">
        <v>11501.0</v>
      </c>
      <c r="AB331" s="258"/>
      <c r="AC331" s="258"/>
      <c r="AD331" s="265"/>
      <c r="AE331" s="266" t="s">
        <v>685</v>
      </c>
      <c r="AF331" s="267" t="s">
        <v>2364</v>
      </c>
      <c r="AG331" s="268" t="str">
        <f>IFS(LEN(AF331)=17,LOWER('2-Building'!$B$4 &amp; "-" &amp; C331), AF331="N/A", "N/A", LEN(AF331)=0,"")</f>
        <v>in-blr-ananta-ddc-47</v>
      </c>
      <c r="AH331" s="258"/>
      <c r="AI331" s="258"/>
      <c r="AJ331" s="258"/>
      <c r="AK331" s="258" t="s">
        <v>2365</v>
      </c>
      <c r="AL331" s="258" t="s">
        <v>688</v>
      </c>
      <c r="AM331" s="258" t="s">
        <v>689</v>
      </c>
      <c r="AN331" s="258"/>
      <c r="AO331" s="258"/>
      <c r="AP331" s="258"/>
      <c r="AQ331" s="258"/>
      <c r="AR331" s="258" t="s">
        <v>690</v>
      </c>
      <c r="AS331" s="258" t="s">
        <v>691</v>
      </c>
      <c r="AT331" s="258" t="s">
        <v>1841</v>
      </c>
      <c r="AU331" s="265" t="s">
        <v>1842</v>
      </c>
      <c r="AV331" s="174" t="s">
        <v>225</v>
      </c>
      <c r="AW331" s="269" t="s">
        <v>245</v>
      </c>
      <c r="AX331" s="269" t="s">
        <v>694</v>
      </c>
      <c r="AY331" s="270" t="s">
        <v>1843</v>
      </c>
      <c r="AZ331" s="173" t="s">
        <v>1834</v>
      </c>
      <c r="BA331" s="265">
        <v>10.0</v>
      </c>
      <c r="BB331" s="174" t="s">
        <v>225</v>
      </c>
      <c r="BC331" s="271"/>
      <c r="BD331" s="272" t="s">
        <v>1844</v>
      </c>
      <c r="BE331" s="273"/>
      <c r="BF331" s="274" t="str">
        <f>IFERROR(__xludf.DUMMYFUNCTION("LOWER(Regexreplace(to_text(E331),""[^A-Za-z0-9]"","""")&amp;""_""&amp;Regexreplace(to_text(F331),""[^A-Za-z0-9]"",""""))"),"alc_g5ce")</f>
        <v>alc_g5ce</v>
      </c>
      <c r="BG331" s="275" t="str">
        <f>IFERROR(__xludf.DUMMYFUNCTION("upper(Regexreplace(to_text(E331),""[^A-Za-z0-9]"","""")&amp;""-""&amp;Regexreplace(to_text(F331),""[^A-Za-z0-9]"",""""))"),"ALC-G5CE")</f>
        <v>ALC-G5CE</v>
      </c>
    </row>
    <row r="332" ht="30.0" customHeight="1">
      <c r="A332" s="173">
        <v>325.0</v>
      </c>
      <c r="B332" s="256" t="s">
        <v>670</v>
      </c>
      <c r="C332" s="257" t="s">
        <v>2366</v>
      </c>
      <c r="D332" s="173" t="s">
        <v>2366</v>
      </c>
      <c r="E332" s="174" t="s">
        <v>1830</v>
      </c>
      <c r="F332" s="173" t="s">
        <v>507</v>
      </c>
      <c r="G332" s="258" t="s">
        <v>673</v>
      </c>
      <c r="H332" s="258" t="s">
        <v>674</v>
      </c>
      <c r="I332" s="258" t="s">
        <v>1614</v>
      </c>
      <c r="J332" s="259" t="s">
        <v>1149</v>
      </c>
      <c r="K332" s="260">
        <v>675.0</v>
      </c>
      <c r="L332" s="258" t="s">
        <v>2361</v>
      </c>
      <c r="M332" s="265" t="s">
        <v>2367</v>
      </c>
      <c r="N332" s="173" t="s">
        <v>679</v>
      </c>
      <c r="O332" s="173" t="s">
        <v>225</v>
      </c>
      <c r="P332" s="262" t="str">
        <f t="shared" si="1"/>
        <v>IN-BLR-ANANTA-HLI-57_6</v>
      </c>
      <c r="Q332" s="173" t="s">
        <v>2368</v>
      </c>
      <c r="R332" s="258" t="str">
        <f>IFS(C332="","",C332="n/a","N/A",LEN(C332),Concatenate("{",char(34),"asset",char(34),":{",char(34),"guid",char(34),":",char(34),Q332,char(34),",",char(34),"site",char(34),":",char(34),LOWER('2-Building'!$B$4),char(34),",",char(34),"name",char(34),":",char(34),LOWER(C332),char(34),"}}"))</f>
        <v>{"asset":{"guid":"uuid://ee46cadb-0e6a-4b2a-b3df-a0de4f82c096","site":"in-blr-ananta","name":"hli-57"}}</v>
      </c>
      <c r="S332" s="258" t="s">
        <v>1834</v>
      </c>
      <c r="T332" s="263"/>
      <c r="U332" s="263"/>
      <c r="V332" s="264" t="s">
        <v>1835</v>
      </c>
      <c r="W332" s="258" t="s">
        <v>1836</v>
      </c>
      <c r="X332" s="258" t="s">
        <v>1837</v>
      </c>
      <c r="Y332" s="33" t="s">
        <v>1838</v>
      </c>
      <c r="Z332" s="258">
        <v>11105.0</v>
      </c>
      <c r="AA332" s="258">
        <v>11501.0</v>
      </c>
      <c r="AB332" s="258"/>
      <c r="AC332" s="258"/>
      <c r="AD332" s="265"/>
      <c r="AE332" s="266" t="s">
        <v>685</v>
      </c>
      <c r="AF332" s="267" t="s">
        <v>2369</v>
      </c>
      <c r="AG332" s="268" t="str">
        <f>IFS(LEN(AF332)=17,LOWER('2-Building'!$B$4 &amp; "-" &amp; C332), AF332="N/A", "N/A", LEN(AF332)=0,"")</f>
        <v>in-blr-ananta-hli-57</v>
      </c>
      <c r="AH332" s="258"/>
      <c r="AI332" s="258"/>
      <c r="AJ332" s="258"/>
      <c r="AK332" s="258" t="s">
        <v>2370</v>
      </c>
      <c r="AL332" s="258" t="s">
        <v>688</v>
      </c>
      <c r="AM332" s="258" t="s">
        <v>689</v>
      </c>
      <c r="AN332" s="258"/>
      <c r="AO332" s="258"/>
      <c r="AP332" s="258"/>
      <c r="AQ332" s="258"/>
      <c r="AR332" s="258" t="s">
        <v>690</v>
      </c>
      <c r="AS332" s="258" t="s">
        <v>691</v>
      </c>
      <c r="AT332" s="258" t="s">
        <v>1841</v>
      </c>
      <c r="AU332" s="265" t="s">
        <v>1842</v>
      </c>
      <c r="AV332" s="174" t="s">
        <v>225</v>
      </c>
      <c r="AW332" s="269" t="s">
        <v>245</v>
      </c>
      <c r="AX332" s="269" t="s">
        <v>694</v>
      </c>
      <c r="AY332" s="270" t="s">
        <v>1843</v>
      </c>
      <c r="AZ332" s="173" t="s">
        <v>1834</v>
      </c>
      <c r="BA332" s="265">
        <v>10.0</v>
      </c>
      <c r="BB332" s="174" t="s">
        <v>225</v>
      </c>
      <c r="BC332" s="271"/>
      <c r="BD332" s="272" t="s">
        <v>1844</v>
      </c>
      <c r="BE332" s="273"/>
      <c r="BF332" s="274" t="str">
        <f>IFERROR(__xludf.DUMMYFUNCTION("LOWER(Regexreplace(to_text(E332),""[^A-Za-z0-9]"","""")&amp;""_""&amp;Regexreplace(to_text(F332),""[^A-Za-z0-9]"",""""))"),"alc_g5ce")</f>
        <v>alc_g5ce</v>
      </c>
      <c r="BG332" s="275" t="str">
        <f>IFERROR(__xludf.DUMMYFUNCTION("upper(Regexreplace(to_text(E332),""[^A-Za-z0-9]"","""")&amp;""-""&amp;Regexreplace(to_text(F332),""[^A-Za-z0-9]"",""""))"),"ALC-G5CE")</f>
        <v>ALC-G5CE</v>
      </c>
    </row>
    <row r="333" ht="30.0" customHeight="1">
      <c r="A333" s="258">
        <v>326.0</v>
      </c>
      <c r="B333" s="256" t="s">
        <v>670</v>
      </c>
      <c r="C333" s="257" t="s">
        <v>1195</v>
      </c>
      <c r="D333" s="173" t="s">
        <v>1195</v>
      </c>
      <c r="E333" s="174" t="s">
        <v>1830</v>
      </c>
      <c r="F333" s="173" t="s">
        <v>507</v>
      </c>
      <c r="G333" s="258" t="s">
        <v>673</v>
      </c>
      <c r="H333" s="258" t="s">
        <v>674</v>
      </c>
      <c r="I333" s="258" t="s">
        <v>675</v>
      </c>
      <c r="J333" s="259" t="s">
        <v>1149</v>
      </c>
      <c r="K333" s="260">
        <v>634.0</v>
      </c>
      <c r="L333" s="258" t="s">
        <v>2371</v>
      </c>
      <c r="M333" s="265" t="s">
        <v>2372</v>
      </c>
      <c r="N333" s="173" t="s">
        <v>679</v>
      </c>
      <c r="O333" s="173" t="s">
        <v>225</v>
      </c>
      <c r="P333" s="262" t="str">
        <f t="shared" si="1"/>
        <v>IN-BLR-ANANTA-DDC-48_6</v>
      </c>
      <c r="Q333" s="173" t="s">
        <v>2373</v>
      </c>
      <c r="R333" s="258" t="str">
        <f>IFS(C333="","",C333="n/a","N/A",LEN(C333),Concatenate("{",char(34),"asset",char(34),":{",char(34),"guid",char(34),":",char(34),Q333,char(34),",",char(34),"site",char(34),":",char(34),LOWER('2-Building'!$B$4),char(34),",",char(34),"name",char(34),":",char(34),LOWER(C333),char(34),"}}"))</f>
        <v>{"asset":{"guid":"uuid://23e05640-ffc6-4b09-9d8e-daad4301d35d","site":"in-blr-ananta","name":"ddc-48"}}</v>
      </c>
      <c r="S333" s="258" t="s">
        <v>1834</v>
      </c>
      <c r="T333" s="263"/>
      <c r="U333" s="263"/>
      <c r="V333" s="264" t="s">
        <v>1835</v>
      </c>
      <c r="W333" s="258" t="s">
        <v>1836</v>
      </c>
      <c r="X333" s="258" t="s">
        <v>1837</v>
      </c>
      <c r="Y333" s="33" t="s">
        <v>1838</v>
      </c>
      <c r="Z333" s="258">
        <v>11106.0</v>
      </c>
      <c r="AA333" s="258">
        <v>11501.0</v>
      </c>
      <c r="AB333" s="258"/>
      <c r="AC333" s="258"/>
      <c r="AD333" s="265"/>
      <c r="AE333" s="266" t="s">
        <v>685</v>
      </c>
      <c r="AF333" s="267" t="s">
        <v>2374</v>
      </c>
      <c r="AG333" s="268" t="str">
        <f>IFS(LEN(AF333)=17,LOWER('2-Building'!$B$4 &amp; "-" &amp; C333), AF333="N/A", "N/A", LEN(AF333)=0,"")</f>
        <v>in-blr-ananta-ddc-48</v>
      </c>
      <c r="AH333" s="258"/>
      <c r="AI333" s="258"/>
      <c r="AJ333" s="258"/>
      <c r="AK333" s="258" t="s">
        <v>2375</v>
      </c>
      <c r="AL333" s="258" t="s">
        <v>688</v>
      </c>
      <c r="AM333" s="258" t="s">
        <v>689</v>
      </c>
      <c r="AN333" s="258"/>
      <c r="AO333" s="258"/>
      <c r="AP333" s="258"/>
      <c r="AQ333" s="258"/>
      <c r="AR333" s="258" t="s">
        <v>690</v>
      </c>
      <c r="AS333" s="258" t="s">
        <v>691</v>
      </c>
      <c r="AT333" s="258" t="s">
        <v>1841</v>
      </c>
      <c r="AU333" s="265" t="s">
        <v>1842</v>
      </c>
      <c r="AV333" s="174" t="s">
        <v>225</v>
      </c>
      <c r="AW333" s="269" t="s">
        <v>245</v>
      </c>
      <c r="AX333" s="269" t="s">
        <v>694</v>
      </c>
      <c r="AY333" s="270" t="s">
        <v>1843</v>
      </c>
      <c r="AZ333" s="173" t="s">
        <v>1834</v>
      </c>
      <c r="BA333" s="265">
        <v>10.0</v>
      </c>
      <c r="BB333" s="174" t="s">
        <v>225</v>
      </c>
      <c r="BC333" s="271"/>
      <c r="BD333" s="272" t="s">
        <v>1844</v>
      </c>
      <c r="BE333" s="273"/>
      <c r="BF333" s="274" t="str">
        <f>IFERROR(__xludf.DUMMYFUNCTION("LOWER(Regexreplace(to_text(E333),""[^A-Za-z0-9]"","""")&amp;""_""&amp;Regexreplace(to_text(F333),""[^A-Za-z0-9]"",""""))"),"alc_g5ce")</f>
        <v>alc_g5ce</v>
      </c>
      <c r="BG333" s="275" t="str">
        <f>IFERROR(__xludf.DUMMYFUNCTION("upper(Regexreplace(to_text(E333),""[^A-Za-z0-9]"","""")&amp;""-""&amp;Regexreplace(to_text(F333),""[^A-Za-z0-9]"",""""))"),"ALC-G5CE")</f>
        <v>ALC-G5CE</v>
      </c>
    </row>
    <row r="334" ht="30.0" customHeight="1">
      <c r="A334" s="173">
        <v>327.0</v>
      </c>
      <c r="B334" s="256" t="s">
        <v>670</v>
      </c>
      <c r="C334" s="257" t="s">
        <v>2376</v>
      </c>
      <c r="D334" s="173" t="s">
        <v>2376</v>
      </c>
      <c r="E334" s="174" t="s">
        <v>1830</v>
      </c>
      <c r="F334" s="173" t="s">
        <v>507</v>
      </c>
      <c r="G334" s="258" t="s">
        <v>673</v>
      </c>
      <c r="H334" s="258" t="s">
        <v>674</v>
      </c>
      <c r="I334" s="258" t="s">
        <v>1614</v>
      </c>
      <c r="J334" s="259" t="s">
        <v>1149</v>
      </c>
      <c r="K334" s="260">
        <v>634.0</v>
      </c>
      <c r="L334" s="258" t="s">
        <v>2371</v>
      </c>
      <c r="M334" s="265" t="s">
        <v>2377</v>
      </c>
      <c r="N334" s="173" t="s">
        <v>679</v>
      </c>
      <c r="O334" s="173" t="s">
        <v>225</v>
      </c>
      <c r="P334" s="262" t="str">
        <f t="shared" si="1"/>
        <v>IN-BLR-ANANTA-HLI-58_6</v>
      </c>
      <c r="Q334" s="173" t="s">
        <v>2378</v>
      </c>
      <c r="R334" s="258" t="str">
        <f>IFS(C334="","",C334="n/a","N/A",LEN(C334),Concatenate("{",char(34),"asset",char(34),":{",char(34),"guid",char(34),":",char(34),Q334,char(34),",",char(34),"site",char(34),":",char(34),LOWER('2-Building'!$B$4),char(34),",",char(34),"name",char(34),":",char(34),LOWER(C334),char(34),"}}"))</f>
        <v>{"asset":{"guid":"uuid://5124d8bc-a259-45ac-bc90-7def5dad0e12","site":"in-blr-ananta","name":"hli-58"}}</v>
      </c>
      <c r="S334" s="258" t="s">
        <v>1834</v>
      </c>
      <c r="T334" s="263"/>
      <c r="U334" s="263"/>
      <c r="V334" s="264" t="s">
        <v>1835</v>
      </c>
      <c r="W334" s="258" t="s">
        <v>1836</v>
      </c>
      <c r="X334" s="258" t="s">
        <v>1837</v>
      </c>
      <c r="Y334" s="33" t="s">
        <v>1838</v>
      </c>
      <c r="Z334" s="258">
        <v>11107.0</v>
      </c>
      <c r="AA334" s="258">
        <v>11501.0</v>
      </c>
      <c r="AB334" s="258"/>
      <c r="AC334" s="258"/>
      <c r="AD334" s="265"/>
      <c r="AE334" s="266" t="s">
        <v>685</v>
      </c>
      <c r="AF334" s="267" t="s">
        <v>2379</v>
      </c>
      <c r="AG334" s="268" t="str">
        <f>IFS(LEN(AF334)=17,LOWER('2-Building'!$B$4 &amp; "-" &amp; C334), AF334="N/A", "N/A", LEN(AF334)=0,"")</f>
        <v>in-blr-ananta-hli-58</v>
      </c>
      <c r="AH334" s="258"/>
      <c r="AI334" s="258"/>
      <c r="AJ334" s="258"/>
      <c r="AK334" s="258" t="s">
        <v>2380</v>
      </c>
      <c r="AL334" s="258" t="s">
        <v>688</v>
      </c>
      <c r="AM334" s="258" t="s">
        <v>689</v>
      </c>
      <c r="AN334" s="258"/>
      <c r="AO334" s="258"/>
      <c r="AP334" s="258"/>
      <c r="AQ334" s="258"/>
      <c r="AR334" s="258" t="s">
        <v>690</v>
      </c>
      <c r="AS334" s="258" t="s">
        <v>691</v>
      </c>
      <c r="AT334" s="258" t="s">
        <v>1841</v>
      </c>
      <c r="AU334" s="265" t="s">
        <v>1842</v>
      </c>
      <c r="AV334" s="174" t="s">
        <v>225</v>
      </c>
      <c r="AW334" s="269" t="s">
        <v>245</v>
      </c>
      <c r="AX334" s="269" t="s">
        <v>694</v>
      </c>
      <c r="AY334" s="270" t="s">
        <v>1843</v>
      </c>
      <c r="AZ334" s="173" t="s">
        <v>1834</v>
      </c>
      <c r="BA334" s="265">
        <v>10.0</v>
      </c>
      <c r="BB334" s="174" t="s">
        <v>225</v>
      </c>
      <c r="BC334" s="271"/>
      <c r="BD334" s="272" t="s">
        <v>1844</v>
      </c>
      <c r="BE334" s="273"/>
      <c r="BF334" s="274" t="str">
        <f>IFERROR(__xludf.DUMMYFUNCTION("LOWER(Regexreplace(to_text(E334),""[^A-Za-z0-9]"","""")&amp;""_""&amp;Regexreplace(to_text(F334),""[^A-Za-z0-9]"",""""))"),"alc_g5ce")</f>
        <v>alc_g5ce</v>
      </c>
      <c r="BG334" s="275" t="str">
        <f>IFERROR(__xludf.DUMMYFUNCTION("upper(Regexreplace(to_text(E334),""[^A-Za-z0-9]"","""")&amp;""-""&amp;Regexreplace(to_text(F334),""[^A-Za-z0-9]"",""""))"),"ALC-G5CE")</f>
        <v>ALC-G5CE</v>
      </c>
    </row>
    <row r="335" ht="30.0" customHeight="1">
      <c r="A335" s="258">
        <v>328.0</v>
      </c>
      <c r="B335" s="256" t="s">
        <v>670</v>
      </c>
      <c r="C335" s="257" t="s">
        <v>1155</v>
      </c>
      <c r="D335" s="173" t="s">
        <v>1155</v>
      </c>
      <c r="E335" s="174" t="s">
        <v>1830</v>
      </c>
      <c r="F335" s="173" t="s">
        <v>507</v>
      </c>
      <c r="G335" s="258" t="s">
        <v>673</v>
      </c>
      <c r="H335" s="258" t="s">
        <v>674</v>
      </c>
      <c r="I335" s="258" t="s">
        <v>675</v>
      </c>
      <c r="J335" s="259" t="s">
        <v>1149</v>
      </c>
      <c r="K335" s="260">
        <v>633.0</v>
      </c>
      <c r="L335" s="258" t="s">
        <v>2381</v>
      </c>
      <c r="M335" s="265" t="s">
        <v>2382</v>
      </c>
      <c r="N335" s="173" t="s">
        <v>679</v>
      </c>
      <c r="O335" s="173" t="s">
        <v>225</v>
      </c>
      <c r="P335" s="262" t="str">
        <f t="shared" si="1"/>
        <v>IN-BLR-ANANTA-DDC-49_6</v>
      </c>
      <c r="Q335" s="173" t="s">
        <v>2383</v>
      </c>
      <c r="R335" s="258" t="str">
        <f>IFS(C335="","",C335="n/a","N/A",LEN(C335),Concatenate("{",char(34),"asset",char(34),":{",char(34),"guid",char(34),":",char(34),Q335,char(34),",",char(34),"site",char(34),":",char(34),LOWER('2-Building'!$B$4),char(34),",",char(34),"name",char(34),":",char(34),LOWER(C335),char(34),"}}"))</f>
        <v>{"asset":{"guid":"uuid://b8f86634-d003-4b7a-a838-00c6fddf0348","site":"in-blr-ananta","name":"ddc-49"}}</v>
      </c>
      <c r="S335" s="258" t="s">
        <v>1834</v>
      </c>
      <c r="T335" s="263"/>
      <c r="U335" s="263"/>
      <c r="V335" s="264" t="s">
        <v>1835</v>
      </c>
      <c r="W335" s="258" t="s">
        <v>1836</v>
      </c>
      <c r="X335" s="258" t="s">
        <v>1837</v>
      </c>
      <c r="Y335" s="33" t="s">
        <v>1838</v>
      </c>
      <c r="Z335" s="258">
        <v>11108.0</v>
      </c>
      <c r="AA335" s="258">
        <v>11501.0</v>
      </c>
      <c r="AB335" s="258"/>
      <c r="AC335" s="258"/>
      <c r="AD335" s="265"/>
      <c r="AE335" s="266" t="s">
        <v>685</v>
      </c>
      <c r="AF335" s="267" t="s">
        <v>2384</v>
      </c>
      <c r="AG335" s="268" t="str">
        <f>IFS(LEN(AF335)=17,LOWER('2-Building'!$B$4 &amp; "-" &amp; C335), AF335="N/A", "N/A", LEN(AF335)=0,"")</f>
        <v>in-blr-ananta-ddc-49</v>
      </c>
      <c r="AH335" s="258"/>
      <c r="AI335" s="258"/>
      <c r="AJ335" s="258"/>
      <c r="AK335" s="258" t="s">
        <v>2385</v>
      </c>
      <c r="AL335" s="258" t="s">
        <v>688</v>
      </c>
      <c r="AM335" s="258" t="s">
        <v>689</v>
      </c>
      <c r="AN335" s="258"/>
      <c r="AO335" s="258"/>
      <c r="AP335" s="258"/>
      <c r="AQ335" s="258"/>
      <c r="AR335" s="258" t="s">
        <v>690</v>
      </c>
      <c r="AS335" s="258" t="s">
        <v>691</v>
      </c>
      <c r="AT335" s="258" t="s">
        <v>1841</v>
      </c>
      <c r="AU335" s="265" t="s">
        <v>1842</v>
      </c>
      <c r="AV335" s="174" t="s">
        <v>225</v>
      </c>
      <c r="AW335" s="269" t="s">
        <v>245</v>
      </c>
      <c r="AX335" s="269" t="s">
        <v>694</v>
      </c>
      <c r="AY335" s="270" t="s">
        <v>1843</v>
      </c>
      <c r="AZ335" s="173" t="s">
        <v>1834</v>
      </c>
      <c r="BA335" s="265">
        <v>10.0</v>
      </c>
      <c r="BB335" s="174" t="s">
        <v>225</v>
      </c>
      <c r="BC335" s="271"/>
      <c r="BD335" s="272" t="s">
        <v>1844</v>
      </c>
      <c r="BE335" s="273"/>
      <c r="BF335" s="274" t="str">
        <f>IFERROR(__xludf.DUMMYFUNCTION("LOWER(Regexreplace(to_text(E335),""[^A-Za-z0-9]"","""")&amp;""_""&amp;Regexreplace(to_text(F335),""[^A-Za-z0-9]"",""""))"),"alc_g5ce")</f>
        <v>alc_g5ce</v>
      </c>
      <c r="BG335" s="275" t="str">
        <f>IFERROR(__xludf.DUMMYFUNCTION("upper(Regexreplace(to_text(E335),""[^A-Za-z0-9]"","""")&amp;""-""&amp;Regexreplace(to_text(F335),""[^A-Za-z0-9]"",""""))"),"ALC-G5CE")</f>
        <v>ALC-G5CE</v>
      </c>
    </row>
    <row r="336" ht="30.0" customHeight="1">
      <c r="A336" s="173">
        <v>329.0</v>
      </c>
      <c r="B336" s="256" t="s">
        <v>670</v>
      </c>
      <c r="C336" s="257" t="s">
        <v>1684</v>
      </c>
      <c r="D336" s="173" t="s">
        <v>1684</v>
      </c>
      <c r="E336" s="174" t="s">
        <v>1830</v>
      </c>
      <c r="F336" s="173" t="s">
        <v>507</v>
      </c>
      <c r="G336" s="258" t="s">
        <v>673</v>
      </c>
      <c r="H336" s="258" t="s">
        <v>674</v>
      </c>
      <c r="I336" s="258" t="s">
        <v>1614</v>
      </c>
      <c r="J336" s="259" t="s">
        <v>1211</v>
      </c>
      <c r="K336" s="260">
        <v>763.0</v>
      </c>
      <c r="L336" s="258" t="s">
        <v>2386</v>
      </c>
      <c r="M336" s="265" t="s">
        <v>2387</v>
      </c>
      <c r="N336" s="173" t="s">
        <v>679</v>
      </c>
      <c r="O336" s="173" t="s">
        <v>225</v>
      </c>
      <c r="P336" s="262" t="str">
        <f t="shared" si="1"/>
        <v>IN-BLR-ANANTA-HLI-59_7</v>
      </c>
      <c r="Q336" s="173" t="s">
        <v>2388</v>
      </c>
      <c r="R336" s="258" t="str">
        <f>IFS(C336="","",C336="n/a","N/A",LEN(C336),Concatenate("{",char(34),"asset",char(34),":{",char(34),"guid",char(34),":",char(34),Q336,char(34),",",char(34),"site",char(34),":",char(34),LOWER('2-Building'!$B$4),char(34),",",char(34),"name",char(34),":",char(34),LOWER(C336),char(34),"}}"))</f>
        <v>{"asset":{"guid":"uuid://eb566dd5-3eff-451f-a2d3-4b01d9de12cb","site":"in-blr-ananta","name":"hli-59"}}</v>
      </c>
      <c r="S336" s="258" t="s">
        <v>1834</v>
      </c>
      <c r="T336" s="263"/>
      <c r="U336" s="263"/>
      <c r="V336" s="264" t="s">
        <v>1835</v>
      </c>
      <c r="W336" s="258" t="s">
        <v>1836</v>
      </c>
      <c r="X336" s="258" t="s">
        <v>1837</v>
      </c>
      <c r="Y336" s="33" t="s">
        <v>1838</v>
      </c>
      <c r="Z336" s="258">
        <v>11109.0</v>
      </c>
      <c r="AA336" s="258">
        <v>11501.0</v>
      </c>
      <c r="AB336" s="258"/>
      <c r="AC336" s="258"/>
      <c r="AD336" s="265"/>
      <c r="AE336" s="266" t="s">
        <v>685</v>
      </c>
      <c r="AF336" s="267" t="s">
        <v>2389</v>
      </c>
      <c r="AG336" s="268" t="str">
        <f>IFS(LEN(AF336)=17,LOWER('2-Building'!$B$4 &amp; "-" &amp; C336), AF336="N/A", "N/A", LEN(AF336)=0,"")</f>
        <v>in-blr-ananta-hli-59</v>
      </c>
      <c r="AH336" s="258"/>
      <c r="AI336" s="258"/>
      <c r="AJ336" s="258"/>
      <c r="AK336" s="258" t="s">
        <v>2390</v>
      </c>
      <c r="AL336" s="258" t="s">
        <v>688</v>
      </c>
      <c r="AM336" s="258" t="s">
        <v>689</v>
      </c>
      <c r="AN336" s="258"/>
      <c r="AO336" s="258"/>
      <c r="AP336" s="258"/>
      <c r="AQ336" s="258"/>
      <c r="AR336" s="258" t="s">
        <v>690</v>
      </c>
      <c r="AS336" s="258" t="s">
        <v>691</v>
      </c>
      <c r="AT336" s="258" t="s">
        <v>1841</v>
      </c>
      <c r="AU336" s="265" t="s">
        <v>1842</v>
      </c>
      <c r="AV336" s="174" t="s">
        <v>225</v>
      </c>
      <c r="AW336" s="269" t="s">
        <v>245</v>
      </c>
      <c r="AX336" s="269" t="s">
        <v>694</v>
      </c>
      <c r="AY336" s="270" t="s">
        <v>1843</v>
      </c>
      <c r="AZ336" s="173" t="s">
        <v>1834</v>
      </c>
      <c r="BA336" s="265">
        <v>10.0</v>
      </c>
      <c r="BB336" s="174" t="s">
        <v>225</v>
      </c>
      <c r="BC336" s="271"/>
      <c r="BD336" s="272" t="s">
        <v>1844</v>
      </c>
      <c r="BE336" s="273"/>
      <c r="BF336" s="274" t="str">
        <f>IFERROR(__xludf.DUMMYFUNCTION("LOWER(Regexreplace(to_text(E336),""[^A-Za-z0-9]"","""")&amp;""_""&amp;Regexreplace(to_text(F336),""[^A-Za-z0-9]"",""""))"),"alc_g5ce")</f>
        <v>alc_g5ce</v>
      </c>
      <c r="BG336" s="275" t="str">
        <f>IFERROR(__xludf.DUMMYFUNCTION("upper(Regexreplace(to_text(E336),""[^A-Za-z0-9]"","""")&amp;""-""&amp;Regexreplace(to_text(F336),""[^A-Za-z0-9]"",""""))"),"ALC-G5CE")</f>
        <v>ALC-G5CE</v>
      </c>
    </row>
    <row r="337" ht="30.0" customHeight="1">
      <c r="A337" s="258">
        <v>330.0</v>
      </c>
      <c r="B337" s="256" t="s">
        <v>670</v>
      </c>
      <c r="C337" s="257" t="s">
        <v>2391</v>
      </c>
      <c r="D337" s="173" t="s">
        <v>2391</v>
      </c>
      <c r="E337" s="174" t="s">
        <v>1830</v>
      </c>
      <c r="F337" s="173" t="s">
        <v>510</v>
      </c>
      <c r="G337" s="258" t="s">
        <v>673</v>
      </c>
      <c r="H337" s="258" t="s">
        <v>674</v>
      </c>
      <c r="I337" s="258" t="s">
        <v>1614</v>
      </c>
      <c r="J337" s="259" t="s">
        <v>1211</v>
      </c>
      <c r="K337" s="260">
        <v>763.0</v>
      </c>
      <c r="L337" s="258" t="s">
        <v>2386</v>
      </c>
      <c r="M337" s="265" t="s">
        <v>2392</v>
      </c>
      <c r="N337" s="173" t="s">
        <v>679</v>
      </c>
      <c r="O337" s="173" t="s">
        <v>225</v>
      </c>
      <c r="P337" s="262" t="str">
        <f t="shared" si="1"/>
        <v>IN-BLR-ANANTA-HLI-60_7</v>
      </c>
      <c r="Q337" s="173" t="s">
        <v>2393</v>
      </c>
      <c r="R337" s="258" t="str">
        <f>IFS(C337="","",C337="n/a","N/A",LEN(C337),Concatenate("{",char(34),"asset",char(34),":{",char(34),"guid",char(34),":",char(34),Q337,char(34),",",char(34),"site",char(34),":",char(34),LOWER('2-Building'!$B$4),char(34),",",char(34),"name",char(34),":",char(34),LOWER(C337),char(34),"}}"))</f>
        <v>{"asset":{"guid":"uuid://fb157638-4186-4206-b696-fc56b7445bd1","site":"in-blr-ananta","name":"hli-60"}}</v>
      </c>
      <c r="S337" s="258" t="s">
        <v>1834</v>
      </c>
      <c r="T337" s="263"/>
      <c r="U337" s="263"/>
      <c r="V337" s="264" t="s">
        <v>1835</v>
      </c>
      <c r="W337" s="258" t="s">
        <v>1836</v>
      </c>
      <c r="X337" s="258" t="s">
        <v>1837</v>
      </c>
      <c r="Y337" s="33" t="s">
        <v>1838</v>
      </c>
      <c r="Z337" s="258">
        <v>11110.0</v>
      </c>
      <c r="AA337" s="258">
        <v>11501.0</v>
      </c>
      <c r="AB337" s="258"/>
      <c r="AC337" s="258"/>
      <c r="AD337" s="265"/>
      <c r="AE337" s="266" t="s">
        <v>685</v>
      </c>
      <c r="AF337" s="267" t="s">
        <v>2394</v>
      </c>
      <c r="AG337" s="268" t="str">
        <f>IFS(LEN(AF337)=17,LOWER('2-Building'!$B$4 &amp; "-" &amp; C337), AF337="N/A", "N/A", LEN(AF337)=0,"")</f>
        <v>in-blr-ananta-hli-60</v>
      </c>
      <c r="AH337" s="258"/>
      <c r="AI337" s="258"/>
      <c r="AJ337" s="258"/>
      <c r="AK337" s="258" t="s">
        <v>2395</v>
      </c>
      <c r="AL337" s="258" t="s">
        <v>688</v>
      </c>
      <c r="AM337" s="258" t="s">
        <v>689</v>
      </c>
      <c r="AN337" s="258"/>
      <c r="AO337" s="258"/>
      <c r="AP337" s="258"/>
      <c r="AQ337" s="258"/>
      <c r="AR337" s="258" t="s">
        <v>690</v>
      </c>
      <c r="AS337" s="258" t="s">
        <v>691</v>
      </c>
      <c r="AT337" s="258" t="s">
        <v>1841</v>
      </c>
      <c r="AU337" s="265" t="s">
        <v>1842</v>
      </c>
      <c r="AV337" s="174" t="s">
        <v>225</v>
      </c>
      <c r="AW337" s="269" t="s">
        <v>245</v>
      </c>
      <c r="AX337" s="269" t="s">
        <v>694</v>
      </c>
      <c r="AY337" s="270" t="s">
        <v>1843</v>
      </c>
      <c r="AZ337" s="173" t="s">
        <v>1834</v>
      </c>
      <c r="BA337" s="265">
        <v>10.0</v>
      </c>
      <c r="BB337" s="174" t="s">
        <v>225</v>
      </c>
      <c r="BC337" s="271"/>
      <c r="BD337" s="272" t="s">
        <v>1844</v>
      </c>
      <c r="BE337" s="273"/>
      <c r="BF337" s="274" t="str">
        <f>IFERROR(__xludf.DUMMYFUNCTION("LOWER(Regexreplace(to_text(E337),""[^A-Za-z0-9]"","""")&amp;""_""&amp;Regexreplace(to_text(F337),""[^A-Za-z0-9]"",""""))"),"alc_ofhi")</f>
        <v>alc_ofhi</v>
      </c>
      <c r="BG337" s="275" t="str">
        <f>IFERROR(__xludf.DUMMYFUNCTION("upper(Regexreplace(to_text(E337),""[^A-Za-z0-9]"","""")&amp;""-""&amp;Regexreplace(to_text(F337),""[^A-Za-z0-9]"",""""))"),"ALC-OFHI")</f>
        <v>ALC-OFHI</v>
      </c>
    </row>
    <row r="338" ht="30.0" customHeight="1">
      <c r="A338" s="173">
        <v>331.0</v>
      </c>
      <c r="B338" s="256" t="s">
        <v>670</v>
      </c>
      <c r="C338" s="257" t="s">
        <v>1236</v>
      </c>
      <c r="D338" s="173" t="s">
        <v>1236</v>
      </c>
      <c r="E338" s="174" t="s">
        <v>1830</v>
      </c>
      <c r="F338" s="173" t="s">
        <v>507</v>
      </c>
      <c r="G338" s="258" t="s">
        <v>673</v>
      </c>
      <c r="H338" s="258" t="s">
        <v>674</v>
      </c>
      <c r="I338" s="258" t="s">
        <v>675</v>
      </c>
      <c r="J338" s="259" t="s">
        <v>1211</v>
      </c>
      <c r="K338" s="260">
        <v>719.0</v>
      </c>
      <c r="L338" s="258" t="s">
        <v>2396</v>
      </c>
      <c r="M338" s="265" t="s">
        <v>2397</v>
      </c>
      <c r="N338" s="173" t="s">
        <v>679</v>
      </c>
      <c r="O338" s="173" t="s">
        <v>225</v>
      </c>
      <c r="P338" s="262" t="str">
        <f t="shared" si="1"/>
        <v>IN-BLR-ANANTA-DDC-50_7</v>
      </c>
      <c r="Q338" s="173" t="s">
        <v>2398</v>
      </c>
      <c r="R338" s="258" t="str">
        <f>IFS(C338="","",C338="n/a","N/A",LEN(C338),Concatenate("{",char(34),"asset",char(34),":{",char(34),"guid",char(34),":",char(34),Q338,char(34),",",char(34),"site",char(34),":",char(34),LOWER('2-Building'!$B$4),char(34),",",char(34),"name",char(34),":",char(34),LOWER(C338),char(34),"}}"))</f>
        <v>{"asset":{"guid":"uuid://d15567a8-b41e-4e67-b146-8b20c97c9cc4","site":"in-blr-ananta","name":"ddc-50"}}</v>
      </c>
      <c r="S338" s="258" t="s">
        <v>1834</v>
      </c>
      <c r="T338" s="263"/>
      <c r="U338" s="263"/>
      <c r="V338" s="264" t="s">
        <v>1835</v>
      </c>
      <c r="W338" s="258" t="s">
        <v>1836</v>
      </c>
      <c r="X338" s="258" t="s">
        <v>1837</v>
      </c>
      <c r="Y338" s="33" t="s">
        <v>1838</v>
      </c>
      <c r="Z338" s="258">
        <v>11111.0</v>
      </c>
      <c r="AA338" s="258">
        <v>11501.0</v>
      </c>
      <c r="AB338" s="258"/>
      <c r="AC338" s="258"/>
      <c r="AD338" s="265"/>
      <c r="AE338" s="266" t="s">
        <v>685</v>
      </c>
      <c r="AF338" s="267" t="s">
        <v>2399</v>
      </c>
      <c r="AG338" s="268" t="str">
        <f>IFS(LEN(AF338)=17,LOWER('2-Building'!$B$4 &amp; "-" &amp; C338), AF338="N/A", "N/A", LEN(AF338)=0,"")</f>
        <v>in-blr-ananta-ddc-50</v>
      </c>
      <c r="AH338" s="258"/>
      <c r="AI338" s="258"/>
      <c r="AJ338" s="258"/>
      <c r="AK338" s="258" t="s">
        <v>2400</v>
      </c>
      <c r="AL338" s="258" t="s">
        <v>688</v>
      </c>
      <c r="AM338" s="258" t="s">
        <v>689</v>
      </c>
      <c r="AN338" s="258"/>
      <c r="AO338" s="258"/>
      <c r="AP338" s="258"/>
      <c r="AQ338" s="258"/>
      <c r="AR338" s="258" t="s">
        <v>690</v>
      </c>
      <c r="AS338" s="258" t="s">
        <v>691</v>
      </c>
      <c r="AT338" s="258" t="s">
        <v>1841</v>
      </c>
      <c r="AU338" s="265" t="s">
        <v>1842</v>
      </c>
      <c r="AV338" s="174" t="s">
        <v>225</v>
      </c>
      <c r="AW338" s="269" t="s">
        <v>245</v>
      </c>
      <c r="AX338" s="269" t="s">
        <v>694</v>
      </c>
      <c r="AY338" s="270" t="s">
        <v>1843</v>
      </c>
      <c r="AZ338" s="173" t="s">
        <v>1834</v>
      </c>
      <c r="BA338" s="265">
        <v>10.0</v>
      </c>
      <c r="BB338" s="174" t="s">
        <v>225</v>
      </c>
      <c r="BC338" s="271"/>
      <c r="BD338" s="272" t="s">
        <v>1844</v>
      </c>
      <c r="BE338" s="273"/>
      <c r="BF338" s="274" t="str">
        <f>IFERROR(__xludf.DUMMYFUNCTION("LOWER(Regexreplace(to_text(E338),""[^A-Za-z0-9]"","""")&amp;""_""&amp;Regexreplace(to_text(F338),""[^A-Za-z0-9]"",""""))"),"alc_g5ce")</f>
        <v>alc_g5ce</v>
      </c>
      <c r="BG338" s="275" t="str">
        <f>IFERROR(__xludf.DUMMYFUNCTION("upper(Regexreplace(to_text(E338),""[^A-Za-z0-9]"","""")&amp;""-""&amp;Regexreplace(to_text(F338),""[^A-Za-z0-9]"",""""))"),"ALC-G5CE")</f>
        <v>ALC-G5CE</v>
      </c>
    </row>
    <row r="339" ht="30.0" customHeight="1">
      <c r="A339" s="258">
        <v>332.0</v>
      </c>
      <c r="B339" s="256" t="s">
        <v>670</v>
      </c>
      <c r="C339" s="257" t="s">
        <v>2401</v>
      </c>
      <c r="D339" s="173" t="s">
        <v>2401</v>
      </c>
      <c r="E339" s="174" t="s">
        <v>1830</v>
      </c>
      <c r="F339" s="173" t="s">
        <v>507</v>
      </c>
      <c r="G339" s="258" t="s">
        <v>673</v>
      </c>
      <c r="H339" s="258" t="s">
        <v>674</v>
      </c>
      <c r="I339" s="258" t="s">
        <v>1614</v>
      </c>
      <c r="J339" s="259" t="s">
        <v>1211</v>
      </c>
      <c r="K339" s="260">
        <v>719.0</v>
      </c>
      <c r="L339" s="258" t="s">
        <v>2396</v>
      </c>
      <c r="M339" s="265" t="s">
        <v>2402</v>
      </c>
      <c r="N339" s="173" t="s">
        <v>679</v>
      </c>
      <c r="O339" s="173" t="s">
        <v>225</v>
      </c>
      <c r="P339" s="262" t="str">
        <f t="shared" si="1"/>
        <v>IN-BLR-ANANTA-HLI-61_7</v>
      </c>
      <c r="Q339" s="173" t="s">
        <v>2403</v>
      </c>
      <c r="R339" s="258" t="str">
        <f>IFS(C339="","",C339="n/a","N/A",LEN(C339),Concatenate("{",char(34),"asset",char(34),":{",char(34),"guid",char(34),":",char(34),Q339,char(34),",",char(34),"site",char(34),":",char(34),LOWER('2-Building'!$B$4),char(34),",",char(34),"name",char(34),":",char(34),LOWER(C339),char(34),"}}"))</f>
        <v>{"asset":{"guid":"uuid://1d73bac1-4a35-4e4c-a9a9-49fd918db617","site":"in-blr-ananta","name":"hli-61"}}</v>
      </c>
      <c r="S339" s="258" t="s">
        <v>1834</v>
      </c>
      <c r="T339" s="263"/>
      <c r="U339" s="263"/>
      <c r="V339" s="264" t="s">
        <v>1835</v>
      </c>
      <c r="W339" s="258" t="s">
        <v>1836</v>
      </c>
      <c r="X339" s="258" t="s">
        <v>1837</v>
      </c>
      <c r="Y339" s="33" t="s">
        <v>1838</v>
      </c>
      <c r="Z339" s="258">
        <v>11112.0</v>
      </c>
      <c r="AA339" s="258">
        <v>11501.0</v>
      </c>
      <c r="AB339" s="258"/>
      <c r="AC339" s="258"/>
      <c r="AD339" s="265"/>
      <c r="AE339" s="266" t="s">
        <v>685</v>
      </c>
      <c r="AF339" s="267" t="s">
        <v>2404</v>
      </c>
      <c r="AG339" s="268" t="str">
        <f>IFS(LEN(AF339)=17,LOWER('2-Building'!$B$4 &amp; "-" &amp; C339), AF339="N/A", "N/A", LEN(AF339)=0,"")</f>
        <v>in-blr-ananta-hli-61</v>
      </c>
      <c r="AH339" s="258"/>
      <c r="AI339" s="258"/>
      <c r="AJ339" s="258"/>
      <c r="AK339" s="258" t="s">
        <v>2405</v>
      </c>
      <c r="AL339" s="258" t="s">
        <v>688</v>
      </c>
      <c r="AM339" s="258" t="s">
        <v>689</v>
      </c>
      <c r="AN339" s="258"/>
      <c r="AO339" s="258"/>
      <c r="AP339" s="258"/>
      <c r="AQ339" s="258"/>
      <c r="AR339" s="258" t="s">
        <v>690</v>
      </c>
      <c r="AS339" s="258" t="s">
        <v>691</v>
      </c>
      <c r="AT339" s="258" t="s">
        <v>1841</v>
      </c>
      <c r="AU339" s="265" t="s">
        <v>1842</v>
      </c>
      <c r="AV339" s="174" t="s">
        <v>225</v>
      </c>
      <c r="AW339" s="269" t="s">
        <v>245</v>
      </c>
      <c r="AX339" s="269" t="s">
        <v>694</v>
      </c>
      <c r="AY339" s="270" t="s">
        <v>1843</v>
      </c>
      <c r="AZ339" s="173" t="s">
        <v>1834</v>
      </c>
      <c r="BA339" s="265">
        <v>10.0</v>
      </c>
      <c r="BB339" s="174" t="s">
        <v>225</v>
      </c>
      <c r="BC339" s="271"/>
      <c r="BD339" s="272" t="s">
        <v>1844</v>
      </c>
      <c r="BE339" s="273"/>
      <c r="BF339" s="274" t="str">
        <f>IFERROR(__xludf.DUMMYFUNCTION("LOWER(Regexreplace(to_text(E339),""[^A-Za-z0-9]"","""")&amp;""_""&amp;Regexreplace(to_text(F339),""[^A-Za-z0-9]"",""""))"),"alc_g5ce")</f>
        <v>alc_g5ce</v>
      </c>
      <c r="BG339" s="275" t="str">
        <f>IFERROR(__xludf.DUMMYFUNCTION("upper(Regexreplace(to_text(E339),""[^A-Za-z0-9]"","""")&amp;""-""&amp;Regexreplace(to_text(F339),""[^A-Za-z0-9]"",""""))"),"ALC-G5CE")</f>
        <v>ALC-G5CE</v>
      </c>
    </row>
    <row r="340" ht="30.0" customHeight="1">
      <c r="A340" s="173">
        <v>333.0</v>
      </c>
      <c r="B340" s="256" t="s">
        <v>670</v>
      </c>
      <c r="C340" s="257" t="s">
        <v>1246</v>
      </c>
      <c r="D340" s="173" t="s">
        <v>1246</v>
      </c>
      <c r="E340" s="174" t="s">
        <v>1830</v>
      </c>
      <c r="F340" s="173" t="s">
        <v>507</v>
      </c>
      <c r="G340" s="258" t="s">
        <v>673</v>
      </c>
      <c r="H340" s="258" t="s">
        <v>674</v>
      </c>
      <c r="I340" s="258" t="s">
        <v>675</v>
      </c>
      <c r="J340" s="259" t="s">
        <v>1211</v>
      </c>
      <c r="K340" s="260">
        <v>748.0</v>
      </c>
      <c r="L340" s="258" t="s">
        <v>2406</v>
      </c>
      <c r="M340" s="265" t="s">
        <v>2407</v>
      </c>
      <c r="N340" s="173" t="s">
        <v>679</v>
      </c>
      <c r="O340" s="173" t="s">
        <v>225</v>
      </c>
      <c r="P340" s="262" t="str">
        <f t="shared" si="1"/>
        <v>IN-BLR-ANANTA-DDC-51_7</v>
      </c>
      <c r="Q340" s="173" t="s">
        <v>2408</v>
      </c>
      <c r="R340" s="258" t="str">
        <f>IFS(C340="","",C340="n/a","N/A",LEN(C340),Concatenate("{",char(34),"asset",char(34),":{",char(34),"guid",char(34),":",char(34),Q340,char(34),",",char(34),"site",char(34),":",char(34),LOWER('2-Building'!$B$4),char(34),",",char(34),"name",char(34),":",char(34),LOWER(C340),char(34),"}}"))</f>
        <v>{"asset":{"guid":"uuid://0d4a3a76-7741-4d93-9f3a-c08788f1ed03","site":"in-blr-ananta","name":"ddc-51"}}</v>
      </c>
      <c r="S340" s="258" t="s">
        <v>1834</v>
      </c>
      <c r="T340" s="263"/>
      <c r="U340" s="263"/>
      <c r="V340" s="264" t="s">
        <v>1835</v>
      </c>
      <c r="W340" s="258" t="s">
        <v>1836</v>
      </c>
      <c r="X340" s="258" t="s">
        <v>1837</v>
      </c>
      <c r="Y340" s="33" t="s">
        <v>1838</v>
      </c>
      <c r="Z340" s="258">
        <v>11113.0</v>
      </c>
      <c r="AA340" s="258">
        <v>11501.0</v>
      </c>
      <c r="AB340" s="258"/>
      <c r="AC340" s="258"/>
      <c r="AD340" s="265"/>
      <c r="AE340" s="266" t="s">
        <v>685</v>
      </c>
      <c r="AF340" s="267" t="s">
        <v>2409</v>
      </c>
      <c r="AG340" s="268" t="str">
        <f>IFS(LEN(AF340)=17,LOWER('2-Building'!$B$4 &amp; "-" &amp; C340), AF340="N/A", "N/A", LEN(AF340)=0,"")</f>
        <v>in-blr-ananta-ddc-51</v>
      </c>
      <c r="AH340" s="258"/>
      <c r="AI340" s="258"/>
      <c r="AJ340" s="258"/>
      <c r="AK340" s="258" t="s">
        <v>2410</v>
      </c>
      <c r="AL340" s="258" t="s">
        <v>688</v>
      </c>
      <c r="AM340" s="258" t="s">
        <v>689</v>
      </c>
      <c r="AN340" s="258"/>
      <c r="AO340" s="258"/>
      <c r="AP340" s="258"/>
      <c r="AQ340" s="258"/>
      <c r="AR340" s="258" t="s">
        <v>690</v>
      </c>
      <c r="AS340" s="258" t="s">
        <v>691</v>
      </c>
      <c r="AT340" s="258" t="s">
        <v>1841</v>
      </c>
      <c r="AU340" s="265" t="s">
        <v>1842</v>
      </c>
      <c r="AV340" s="174" t="s">
        <v>225</v>
      </c>
      <c r="AW340" s="269" t="s">
        <v>245</v>
      </c>
      <c r="AX340" s="269" t="s">
        <v>694</v>
      </c>
      <c r="AY340" s="270" t="s">
        <v>1843</v>
      </c>
      <c r="AZ340" s="173" t="s">
        <v>1834</v>
      </c>
      <c r="BA340" s="265">
        <v>10.0</v>
      </c>
      <c r="BB340" s="174" t="s">
        <v>225</v>
      </c>
      <c r="BC340" s="271"/>
      <c r="BD340" s="272" t="s">
        <v>1844</v>
      </c>
      <c r="BE340" s="273"/>
      <c r="BF340" s="274" t="str">
        <f>IFERROR(__xludf.DUMMYFUNCTION("LOWER(Regexreplace(to_text(E340),""[^A-Za-z0-9]"","""")&amp;""_""&amp;Regexreplace(to_text(F340),""[^A-Za-z0-9]"",""""))"),"alc_g5ce")</f>
        <v>alc_g5ce</v>
      </c>
      <c r="BG340" s="275" t="str">
        <f>IFERROR(__xludf.DUMMYFUNCTION("upper(Regexreplace(to_text(E340),""[^A-Za-z0-9]"","""")&amp;""-""&amp;Regexreplace(to_text(F340),""[^A-Za-z0-9]"",""""))"),"ALC-G5CE")</f>
        <v>ALC-G5CE</v>
      </c>
    </row>
    <row r="341" ht="30.0" customHeight="1">
      <c r="A341" s="258">
        <v>334.0</v>
      </c>
      <c r="B341" s="256" t="s">
        <v>670</v>
      </c>
      <c r="C341" s="257" t="s">
        <v>2411</v>
      </c>
      <c r="D341" s="173" t="s">
        <v>2411</v>
      </c>
      <c r="E341" s="174" t="s">
        <v>1830</v>
      </c>
      <c r="F341" s="173" t="s">
        <v>507</v>
      </c>
      <c r="G341" s="258" t="s">
        <v>673</v>
      </c>
      <c r="H341" s="258" t="s">
        <v>674</v>
      </c>
      <c r="I341" s="258" t="s">
        <v>1614</v>
      </c>
      <c r="J341" s="259" t="s">
        <v>1211</v>
      </c>
      <c r="K341" s="260">
        <v>748.0</v>
      </c>
      <c r="L341" s="258" t="s">
        <v>2406</v>
      </c>
      <c r="M341" s="265" t="s">
        <v>2412</v>
      </c>
      <c r="N341" s="173" t="s">
        <v>679</v>
      </c>
      <c r="O341" s="173" t="s">
        <v>225</v>
      </c>
      <c r="P341" s="262" t="str">
        <f t="shared" si="1"/>
        <v>IN-BLR-ANANTA-HLI-62_7</v>
      </c>
      <c r="Q341" s="173" t="s">
        <v>2413</v>
      </c>
      <c r="R341" s="258" t="str">
        <f>IFS(C341="","",C341="n/a","N/A",LEN(C341),Concatenate("{",char(34),"asset",char(34),":{",char(34),"guid",char(34),":",char(34),Q341,char(34),",",char(34),"site",char(34),":",char(34),LOWER('2-Building'!$B$4),char(34),",",char(34),"name",char(34),":",char(34),LOWER(C341),char(34),"}}"))</f>
        <v>{"asset":{"guid":"uuid://ff8306a2-5324-4ce2-b45d-7340b75c6f0f","site":"in-blr-ananta","name":"hli-62"}}</v>
      </c>
      <c r="S341" s="258" t="s">
        <v>1834</v>
      </c>
      <c r="T341" s="263"/>
      <c r="U341" s="263"/>
      <c r="V341" s="264" t="s">
        <v>1835</v>
      </c>
      <c r="W341" s="258" t="s">
        <v>1836</v>
      </c>
      <c r="X341" s="258" t="s">
        <v>1837</v>
      </c>
      <c r="Y341" s="33" t="s">
        <v>1838</v>
      </c>
      <c r="Z341" s="258">
        <v>11114.0</v>
      </c>
      <c r="AA341" s="258">
        <v>11501.0</v>
      </c>
      <c r="AB341" s="258"/>
      <c r="AC341" s="258"/>
      <c r="AD341" s="265"/>
      <c r="AE341" s="266" t="s">
        <v>685</v>
      </c>
      <c r="AF341" s="267" t="s">
        <v>2414</v>
      </c>
      <c r="AG341" s="268" t="str">
        <f>IFS(LEN(AF341)=17,LOWER('2-Building'!$B$4 &amp; "-" &amp; C341), AF341="N/A", "N/A", LEN(AF341)=0,"")</f>
        <v>in-blr-ananta-hli-62</v>
      </c>
      <c r="AH341" s="258"/>
      <c r="AI341" s="258"/>
      <c r="AJ341" s="258"/>
      <c r="AK341" s="258" t="s">
        <v>2415</v>
      </c>
      <c r="AL341" s="258" t="s">
        <v>688</v>
      </c>
      <c r="AM341" s="258" t="s">
        <v>689</v>
      </c>
      <c r="AN341" s="258"/>
      <c r="AO341" s="258"/>
      <c r="AP341" s="258"/>
      <c r="AQ341" s="258"/>
      <c r="AR341" s="258" t="s">
        <v>690</v>
      </c>
      <c r="AS341" s="258" t="s">
        <v>691</v>
      </c>
      <c r="AT341" s="258" t="s">
        <v>1841</v>
      </c>
      <c r="AU341" s="265" t="s">
        <v>1842</v>
      </c>
      <c r="AV341" s="174" t="s">
        <v>225</v>
      </c>
      <c r="AW341" s="269" t="s">
        <v>245</v>
      </c>
      <c r="AX341" s="269" t="s">
        <v>694</v>
      </c>
      <c r="AY341" s="270" t="s">
        <v>1843</v>
      </c>
      <c r="AZ341" s="173" t="s">
        <v>1834</v>
      </c>
      <c r="BA341" s="265">
        <v>10.0</v>
      </c>
      <c r="BB341" s="174" t="s">
        <v>225</v>
      </c>
      <c r="BC341" s="271"/>
      <c r="BD341" s="272" t="s">
        <v>1844</v>
      </c>
      <c r="BE341" s="273"/>
      <c r="BF341" s="274" t="str">
        <f>IFERROR(__xludf.DUMMYFUNCTION("LOWER(Regexreplace(to_text(E341),""[^A-Za-z0-9]"","""")&amp;""_""&amp;Regexreplace(to_text(F341),""[^A-Za-z0-9]"",""""))"),"alc_g5ce")</f>
        <v>alc_g5ce</v>
      </c>
      <c r="BG341" s="275" t="str">
        <f>IFERROR(__xludf.DUMMYFUNCTION("upper(Regexreplace(to_text(E341),""[^A-Za-z0-9]"","""")&amp;""-""&amp;Regexreplace(to_text(F341),""[^A-Za-z0-9]"",""""))"),"ALC-G5CE")</f>
        <v>ALC-G5CE</v>
      </c>
    </row>
    <row r="342" ht="30.0" customHeight="1">
      <c r="A342" s="173">
        <v>335.0</v>
      </c>
      <c r="B342" s="256" t="s">
        <v>670</v>
      </c>
      <c r="C342" s="257" t="s">
        <v>1226</v>
      </c>
      <c r="D342" s="173" t="s">
        <v>1226</v>
      </c>
      <c r="E342" s="174" t="s">
        <v>1830</v>
      </c>
      <c r="F342" s="173" t="s">
        <v>507</v>
      </c>
      <c r="G342" s="258" t="s">
        <v>673</v>
      </c>
      <c r="H342" s="258" t="s">
        <v>674</v>
      </c>
      <c r="I342" s="258" t="s">
        <v>675</v>
      </c>
      <c r="J342" s="259" t="s">
        <v>1211</v>
      </c>
      <c r="K342" s="260">
        <v>775.0</v>
      </c>
      <c r="L342" s="258" t="s">
        <v>2416</v>
      </c>
      <c r="M342" s="265" t="s">
        <v>2417</v>
      </c>
      <c r="N342" s="173" t="s">
        <v>679</v>
      </c>
      <c r="O342" s="173" t="s">
        <v>225</v>
      </c>
      <c r="P342" s="262" t="str">
        <f t="shared" si="1"/>
        <v>IN-BLR-ANANTA-DDC-52_7</v>
      </c>
      <c r="Q342" s="173" t="s">
        <v>2418</v>
      </c>
      <c r="R342" s="258" t="str">
        <f>IFS(C342="","",C342="n/a","N/A",LEN(C342),Concatenate("{",char(34),"asset",char(34),":{",char(34),"guid",char(34),":",char(34),Q342,char(34),",",char(34),"site",char(34),":",char(34),LOWER('2-Building'!$B$4),char(34),",",char(34),"name",char(34),":",char(34),LOWER(C342),char(34),"}}"))</f>
        <v>{"asset":{"guid":"uuid://b2d9b1f9-5285-4331-8956-41c6de234f8d","site":"in-blr-ananta","name":"ddc-52"}}</v>
      </c>
      <c r="S342" s="258" t="s">
        <v>1834</v>
      </c>
      <c r="T342" s="263"/>
      <c r="U342" s="263"/>
      <c r="V342" s="264" t="s">
        <v>1835</v>
      </c>
      <c r="W342" s="258" t="s">
        <v>1836</v>
      </c>
      <c r="X342" s="258" t="s">
        <v>1837</v>
      </c>
      <c r="Y342" s="33" t="s">
        <v>1838</v>
      </c>
      <c r="Z342" s="258">
        <v>11115.0</v>
      </c>
      <c r="AA342" s="258">
        <v>11501.0</v>
      </c>
      <c r="AB342" s="258"/>
      <c r="AC342" s="258"/>
      <c r="AD342" s="265"/>
      <c r="AE342" s="266" t="s">
        <v>685</v>
      </c>
      <c r="AF342" s="267" t="s">
        <v>2419</v>
      </c>
      <c r="AG342" s="268" t="str">
        <f>IFS(LEN(AF342)=17,LOWER('2-Building'!$B$4 &amp; "-" &amp; C342), AF342="N/A", "N/A", LEN(AF342)=0,"")</f>
        <v>in-blr-ananta-ddc-52</v>
      </c>
      <c r="AH342" s="258"/>
      <c r="AI342" s="258"/>
      <c r="AJ342" s="258"/>
      <c r="AK342" s="258" t="s">
        <v>2420</v>
      </c>
      <c r="AL342" s="258" t="s">
        <v>688</v>
      </c>
      <c r="AM342" s="258" t="s">
        <v>689</v>
      </c>
      <c r="AN342" s="258"/>
      <c r="AO342" s="258"/>
      <c r="AP342" s="258"/>
      <c r="AQ342" s="258"/>
      <c r="AR342" s="258" t="s">
        <v>690</v>
      </c>
      <c r="AS342" s="258" t="s">
        <v>691</v>
      </c>
      <c r="AT342" s="258" t="s">
        <v>1841</v>
      </c>
      <c r="AU342" s="265" t="s">
        <v>1842</v>
      </c>
      <c r="AV342" s="174" t="s">
        <v>225</v>
      </c>
      <c r="AW342" s="269" t="s">
        <v>245</v>
      </c>
      <c r="AX342" s="269" t="s">
        <v>694</v>
      </c>
      <c r="AY342" s="270" t="s">
        <v>1843</v>
      </c>
      <c r="AZ342" s="173" t="s">
        <v>1834</v>
      </c>
      <c r="BA342" s="265">
        <v>10.0</v>
      </c>
      <c r="BB342" s="174" t="s">
        <v>225</v>
      </c>
      <c r="BC342" s="271"/>
      <c r="BD342" s="272" t="s">
        <v>1844</v>
      </c>
      <c r="BE342" s="273"/>
      <c r="BF342" s="274" t="str">
        <f>IFERROR(__xludf.DUMMYFUNCTION("LOWER(Regexreplace(to_text(E342),""[^A-Za-z0-9]"","""")&amp;""_""&amp;Regexreplace(to_text(F342),""[^A-Za-z0-9]"",""""))"),"alc_g5ce")</f>
        <v>alc_g5ce</v>
      </c>
      <c r="BG342" s="275" t="str">
        <f>IFERROR(__xludf.DUMMYFUNCTION("upper(Regexreplace(to_text(E342),""[^A-Za-z0-9]"","""")&amp;""-""&amp;Regexreplace(to_text(F342),""[^A-Za-z0-9]"",""""))"),"ALC-G5CE")</f>
        <v>ALC-G5CE</v>
      </c>
    </row>
    <row r="343" ht="30.0" customHeight="1">
      <c r="A343" s="258">
        <v>336.0</v>
      </c>
      <c r="B343" s="256" t="s">
        <v>670</v>
      </c>
      <c r="C343" s="257" t="s">
        <v>2421</v>
      </c>
      <c r="D343" s="173" t="s">
        <v>2421</v>
      </c>
      <c r="E343" s="174" t="s">
        <v>1830</v>
      </c>
      <c r="F343" s="173" t="s">
        <v>507</v>
      </c>
      <c r="G343" s="258" t="s">
        <v>673</v>
      </c>
      <c r="H343" s="258" t="s">
        <v>674</v>
      </c>
      <c r="I343" s="258" t="s">
        <v>1614</v>
      </c>
      <c r="J343" s="259" t="s">
        <v>1211</v>
      </c>
      <c r="K343" s="260">
        <v>775.0</v>
      </c>
      <c r="L343" s="258" t="s">
        <v>2416</v>
      </c>
      <c r="M343" s="265" t="s">
        <v>2422</v>
      </c>
      <c r="N343" s="173" t="s">
        <v>679</v>
      </c>
      <c r="O343" s="173" t="s">
        <v>225</v>
      </c>
      <c r="P343" s="262" t="str">
        <f t="shared" si="1"/>
        <v>IN-BLR-ANANTA-HLI-63_7</v>
      </c>
      <c r="Q343" s="173" t="s">
        <v>2423</v>
      </c>
      <c r="R343" s="258" t="str">
        <f>IFS(C343="","",C343="n/a","N/A",LEN(C343),Concatenate("{",char(34),"asset",char(34),":{",char(34),"guid",char(34),":",char(34),Q343,char(34),",",char(34),"site",char(34),":",char(34),LOWER('2-Building'!$B$4),char(34),",",char(34),"name",char(34),":",char(34),LOWER(C343),char(34),"}}"))</f>
        <v>{"asset":{"guid":"uuid://b4507d36-f013-426c-863d-bba6bf8eb2fb","site":"in-blr-ananta","name":"hli-63"}}</v>
      </c>
      <c r="S343" s="258" t="s">
        <v>1834</v>
      </c>
      <c r="T343" s="263"/>
      <c r="U343" s="263"/>
      <c r="V343" s="264" t="s">
        <v>1835</v>
      </c>
      <c r="W343" s="258" t="s">
        <v>1836</v>
      </c>
      <c r="X343" s="258" t="s">
        <v>1837</v>
      </c>
      <c r="Y343" s="33" t="s">
        <v>1838</v>
      </c>
      <c r="Z343" s="258">
        <v>11116.0</v>
      </c>
      <c r="AA343" s="258">
        <v>11501.0</v>
      </c>
      <c r="AB343" s="258"/>
      <c r="AC343" s="258"/>
      <c r="AD343" s="265"/>
      <c r="AE343" s="266" t="s">
        <v>685</v>
      </c>
      <c r="AF343" s="267" t="s">
        <v>2424</v>
      </c>
      <c r="AG343" s="268" t="str">
        <f>IFS(LEN(AF343)=17,LOWER('2-Building'!$B$4 &amp; "-" &amp; C343), AF343="N/A", "N/A", LEN(AF343)=0,"")</f>
        <v>in-blr-ananta-hli-63</v>
      </c>
      <c r="AH343" s="258"/>
      <c r="AI343" s="258"/>
      <c r="AJ343" s="258"/>
      <c r="AK343" s="258" t="s">
        <v>2425</v>
      </c>
      <c r="AL343" s="258" t="s">
        <v>688</v>
      </c>
      <c r="AM343" s="258" t="s">
        <v>689</v>
      </c>
      <c r="AN343" s="258"/>
      <c r="AO343" s="258"/>
      <c r="AP343" s="258"/>
      <c r="AQ343" s="258"/>
      <c r="AR343" s="258" t="s">
        <v>690</v>
      </c>
      <c r="AS343" s="258" t="s">
        <v>691</v>
      </c>
      <c r="AT343" s="258" t="s">
        <v>1841</v>
      </c>
      <c r="AU343" s="265" t="s">
        <v>1842</v>
      </c>
      <c r="AV343" s="174" t="s">
        <v>225</v>
      </c>
      <c r="AW343" s="269" t="s">
        <v>245</v>
      </c>
      <c r="AX343" s="269" t="s">
        <v>694</v>
      </c>
      <c r="AY343" s="270" t="s">
        <v>1843</v>
      </c>
      <c r="AZ343" s="173" t="s">
        <v>1834</v>
      </c>
      <c r="BA343" s="265">
        <v>10.0</v>
      </c>
      <c r="BB343" s="174" t="s">
        <v>225</v>
      </c>
      <c r="BC343" s="271"/>
      <c r="BD343" s="272" t="s">
        <v>1844</v>
      </c>
      <c r="BE343" s="273"/>
      <c r="BF343" s="274" t="str">
        <f>IFERROR(__xludf.DUMMYFUNCTION("LOWER(Regexreplace(to_text(E343),""[^A-Za-z0-9]"","""")&amp;""_""&amp;Regexreplace(to_text(F343),""[^A-Za-z0-9]"",""""))"),"alc_g5ce")</f>
        <v>alc_g5ce</v>
      </c>
      <c r="BG343" s="275" t="str">
        <f>IFERROR(__xludf.DUMMYFUNCTION("upper(Regexreplace(to_text(E343),""[^A-Za-z0-9]"","""")&amp;""-""&amp;Regexreplace(to_text(F343),""[^A-Za-z0-9]"",""""))"),"ALC-G5CE")</f>
        <v>ALC-G5CE</v>
      </c>
    </row>
    <row r="344" ht="30.0" customHeight="1">
      <c r="A344" s="173">
        <v>337.0</v>
      </c>
      <c r="B344" s="256" t="s">
        <v>670</v>
      </c>
      <c r="C344" s="257" t="s">
        <v>1266</v>
      </c>
      <c r="D344" s="173" t="s">
        <v>1266</v>
      </c>
      <c r="E344" s="174" t="s">
        <v>1830</v>
      </c>
      <c r="F344" s="173" t="s">
        <v>507</v>
      </c>
      <c r="G344" s="258" t="s">
        <v>673</v>
      </c>
      <c r="H344" s="258" t="s">
        <v>674</v>
      </c>
      <c r="I344" s="258" t="s">
        <v>675</v>
      </c>
      <c r="J344" s="259" t="s">
        <v>1211</v>
      </c>
      <c r="K344" s="260">
        <v>734.0</v>
      </c>
      <c r="L344" s="258" t="s">
        <v>2426</v>
      </c>
      <c r="M344" s="265" t="s">
        <v>2427</v>
      </c>
      <c r="N344" s="173" t="s">
        <v>679</v>
      </c>
      <c r="O344" s="173" t="s">
        <v>225</v>
      </c>
      <c r="P344" s="262" t="str">
        <f t="shared" si="1"/>
        <v>IN-BLR-ANANTA-DDC-53_7</v>
      </c>
      <c r="Q344" s="173" t="s">
        <v>2428</v>
      </c>
      <c r="R344" s="258" t="str">
        <f>IFS(C344="","",C344="n/a","N/A",LEN(C344),Concatenate("{",char(34),"asset",char(34),":{",char(34),"guid",char(34),":",char(34),Q344,char(34),",",char(34),"site",char(34),":",char(34),LOWER('2-Building'!$B$4),char(34),",",char(34),"name",char(34),":",char(34),LOWER(C344),char(34),"}}"))</f>
        <v>{"asset":{"guid":"uuid://e6cee0cc-309b-45f5-afa1-1a770d575abd","site":"in-blr-ananta","name":"ddc-53"}}</v>
      </c>
      <c r="S344" s="258" t="s">
        <v>1834</v>
      </c>
      <c r="T344" s="263"/>
      <c r="U344" s="263"/>
      <c r="V344" s="264" t="s">
        <v>1835</v>
      </c>
      <c r="W344" s="258" t="s">
        <v>1836</v>
      </c>
      <c r="X344" s="258" t="s">
        <v>1837</v>
      </c>
      <c r="Y344" s="33" t="s">
        <v>1838</v>
      </c>
      <c r="Z344" s="258">
        <v>11117.0</v>
      </c>
      <c r="AA344" s="258">
        <v>11501.0</v>
      </c>
      <c r="AB344" s="258"/>
      <c r="AC344" s="258"/>
      <c r="AD344" s="265"/>
      <c r="AE344" s="266" t="s">
        <v>685</v>
      </c>
      <c r="AF344" s="267" t="s">
        <v>2429</v>
      </c>
      <c r="AG344" s="268" t="str">
        <f>IFS(LEN(AF344)=17,LOWER('2-Building'!$B$4 &amp; "-" &amp; C344), AF344="N/A", "N/A", LEN(AF344)=0,"")</f>
        <v>in-blr-ananta-ddc-53</v>
      </c>
      <c r="AH344" s="258"/>
      <c r="AI344" s="258"/>
      <c r="AJ344" s="258"/>
      <c r="AK344" s="258" t="s">
        <v>2430</v>
      </c>
      <c r="AL344" s="258" t="s">
        <v>688</v>
      </c>
      <c r="AM344" s="258" t="s">
        <v>689</v>
      </c>
      <c r="AN344" s="258"/>
      <c r="AO344" s="258"/>
      <c r="AP344" s="258"/>
      <c r="AQ344" s="258"/>
      <c r="AR344" s="258" t="s">
        <v>690</v>
      </c>
      <c r="AS344" s="258" t="s">
        <v>691</v>
      </c>
      <c r="AT344" s="258" t="s">
        <v>1841</v>
      </c>
      <c r="AU344" s="265" t="s">
        <v>1842</v>
      </c>
      <c r="AV344" s="174" t="s">
        <v>225</v>
      </c>
      <c r="AW344" s="269" t="s">
        <v>245</v>
      </c>
      <c r="AX344" s="269" t="s">
        <v>694</v>
      </c>
      <c r="AY344" s="270" t="s">
        <v>1843</v>
      </c>
      <c r="AZ344" s="173" t="s">
        <v>1834</v>
      </c>
      <c r="BA344" s="265">
        <v>10.0</v>
      </c>
      <c r="BB344" s="174" t="s">
        <v>225</v>
      </c>
      <c r="BC344" s="271"/>
      <c r="BD344" s="272" t="s">
        <v>1844</v>
      </c>
      <c r="BE344" s="273"/>
      <c r="BF344" s="274" t="str">
        <f>IFERROR(__xludf.DUMMYFUNCTION("LOWER(Regexreplace(to_text(E344),""[^A-Za-z0-9]"","""")&amp;""_""&amp;Regexreplace(to_text(F344),""[^A-Za-z0-9]"",""""))"),"alc_g5ce")</f>
        <v>alc_g5ce</v>
      </c>
      <c r="BG344" s="275" t="str">
        <f>IFERROR(__xludf.DUMMYFUNCTION("upper(Regexreplace(to_text(E344),""[^A-Za-z0-9]"","""")&amp;""-""&amp;Regexreplace(to_text(F344),""[^A-Za-z0-9]"",""""))"),"ALC-G5CE")</f>
        <v>ALC-G5CE</v>
      </c>
    </row>
    <row r="345" ht="30.0" customHeight="1">
      <c r="A345" s="258">
        <v>338.0</v>
      </c>
      <c r="B345" s="256" t="s">
        <v>670</v>
      </c>
      <c r="C345" s="257" t="s">
        <v>2431</v>
      </c>
      <c r="D345" s="173" t="s">
        <v>2431</v>
      </c>
      <c r="E345" s="174" t="s">
        <v>1830</v>
      </c>
      <c r="F345" s="173" t="s">
        <v>507</v>
      </c>
      <c r="G345" s="258" t="s">
        <v>673</v>
      </c>
      <c r="H345" s="258" t="s">
        <v>674</v>
      </c>
      <c r="I345" s="258" t="s">
        <v>1614</v>
      </c>
      <c r="J345" s="259" t="s">
        <v>1211</v>
      </c>
      <c r="K345" s="260">
        <v>734.0</v>
      </c>
      <c r="L345" s="258" t="s">
        <v>2426</v>
      </c>
      <c r="M345" s="265" t="s">
        <v>2432</v>
      </c>
      <c r="N345" s="173" t="s">
        <v>679</v>
      </c>
      <c r="O345" s="173" t="s">
        <v>225</v>
      </c>
      <c r="P345" s="262" t="str">
        <f t="shared" si="1"/>
        <v>IN-BLR-ANANTA-HLI-64_7</v>
      </c>
      <c r="Q345" s="173" t="s">
        <v>2433</v>
      </c>
      <c r="R345" s="258" t="str">
        <f>IFS(C345="","",C345="n/a","N/A",LEN(C345),Concatenate("{",char(34),"asset",char(34),":{",char(34),"guid",char(34),":",char(34),Q345,char(34),",",char(34),"site",char(34),":",char(34),LOWER('2-Building'!$B$4),char(34),",",char(34),"name",char(34),":",char(34),LOWER(C345),char(34),"}}"))</f>
        <v>{"asset":{"guid":"uuid://de22413b-0ffb-4e5c-80d0-ea3aac0d988b","site":"in-blr-ananta","name":"hli-64"}}</v>
      </c>
      <c r="S345" s="258" t="s">
        <v>1834</v>
      </c>
      <c r="T345" s="263"/>
      <c r="U345" s="263"/>
      <c r="V345" s="264" t="s">
        <v>1835</v>
      </c>
      <c r="W345" s="258" t="s">
        <v>1836</v>
      </c>
      <c r="X345" s="258" t="s">
        <v>1837</v>
      </c>
      <c r="Y345" s="33" t="s">
        <v>1838</v>
      </c>
      <c r="Z345" s="258">
        <v>11118.0</v>
      </c>
      <c r="AA345" s="258">
        <v>11501.0</v>
      </c>
      <c r="AB345" s="258"/>
      <c r="AC345" s="258"/>
      <c r="AD345" s="265"/>
      <c r="AE345" s="266" t="s">
        <v>685</v>
      </c>
      <c r="AF345" s="267" t="s">
        <v>2434</v>
      </c>
      <c r="AG345" s="268" t="str">
        <f>IFS(LEN(AF345)=17,LOWER('2-Building'!$B$4 &amp; "-" &amp; C345), AF345="N/A", "N/A", LEN(AF345)=0,"")</f>
        <v>in-blr-ananta-hli-64</v>
      </c>
      <c r="AH345" s="258"/>
      <c r="AI345" s="258"/>
      <c r="AJ345" s="258"/>
      <c r="AK345" s="258" t="s">
        <v>2435</v>
      </c>
      <c r="AL345" s="258" t="s">
        <v>688</v>
      </c>
      <c r="AM345" s="258" t="s">
        <v>689</v>
      </c>
      <c r="AN345" s="258"/>
      <c r="AO345" s="258"/>
      <c r="AP345" s="258"/>
      <c r="AQ345" s="258"/>
      <c r="AR345" s="258" t="s">
        <v>690</v>
      </c>
      <c r="AS345" s="258" t="s">
        <v>691</v>
      </c>
      <c r="AT345" s="258" t="s">
        <v>1841</v>
      </c>
      <c r="AU345" s="265" t="s">
        <v>1842</v>
      </c>
      <c r="AV345" s="174" t="s">
        <v>225</v>
      </c>
      <c r="AW345" s="269" t="s">
        <v>245</v>
      </c>
      <c r="AX345" s="269" t="s">
        <v>694</v>
      </c>
      <c r="AY345" s="270" t="s">
        <v>1843</v>
      </c>
      <c r="AZ345" s="173" t="s">
        <v>1834</v>
      </c>
      <c r="BA345" s="265">
        <v>10.0</v>
      </c>
      <c r="BB345" s="174" t="s">
        <v>225</v>
      </c>
      <c r="BC345" s="271"/>
      <c r="BD345" s="272" t="s">
        <v>1844</v>
      </c>
      <c r="BE345" s="273"/>
      <c r="BF345" s="274" t="str">
        <f>IFERROR(__xludf.DUMMYFUNCTION("LOWER(Regexreplace(to_text(E345),""[^A-Za-z0-9]"","""")&amp;""_""&amp;Regexreplace(to_text(F345),""[^A-Za-z0-9]"",""""))"),"alc_g5ce")</f>
        <v>alc_g5ce</v>
      </c>
      <c r="BG345" s="275" t="str">
        <f>IFERROR(__xludf.DUMMYFUNCTION("upper(Regexreplace(to_text(E345),""[^A-Za-z0-9]"","""")&amp;""-""&amp;Regexreplace(to_text(F345),""[^A-Za-z0-9]"",""""))"),"ALC-G5CE")</f>
        <v>ALC-G5CE</v>
      </c>
    </row>
    <row r="346" ht="30.0" customHeight="1">
      <c r="A346" s="173">
        <v>339.0</v>
      </c>
      <c r="B346" s="256" t="s">
        <v>670</v>
      </c>
      <c r="C346" s="257" t="s">
        <v>1256</v>
      </c>
      <c r="D346" s="173" t="s">
        <v>1256</v>
      </c>
      <c r="E346" s="174" t="s">
        <v>1830</v>
      </c>
      <c r="F346" s="173" t="s">
        <v>507</v>
      </c>
      <c r="G346" s="258" t="s">
        <v>673</v>
      </c>
      <c r="H346" s="258" t="s">
        <v>674</v>
      </c>
      <c r="I346" s="258" t="s">
        <v>675</v>
      </c>
      <c r="J346" s="259" t="s">
        <v>1211</v>
      </c>
      <c r="K346" s="260">
        <v>733.0</v>
      </c>
      <c r="L346" s="258" t="s">
        <v>2436</v>
      </c>
      <c r="M346" s="265" t="s">
        <v>2437</v>
      </c>
      <c r="N346" s="173" t="s">
        <v>679</v>
      </c>
      <c r="O346" s="173" t="s">
        <v>225</v>
      </c>
      <c r="P346" s="262" t="str">
        <f t="shared" si="1"/>
        <v>IN-BLR-ANANTA-DDC-54_7</v>
      </c>
      <c r="Q346" s="173" t="s">
        <v>2438</v>
      </c>
      <c r="R346" s="258" t="str">
        <f>IFS(C346="","",C346="n/a","N/A",LEN(C346),Concatenate("{",char(34),"asset",char(34),":{",char(34),"guid",char(34),":",char(34),Q346,char(34),",",char(34),"site",char(34),":",char(34),LOWER('2-Building'!$B$4),char(34),",",char(34),"name",char(34),":",char(34),LOWER(C346),char(34),"}}"))</f>
        <v>{"asset":{"guid":"uuid://f6cb0eab-a8db-481c-a40c-0f9f4880f615","site":"in-blr-ananta","name":"ddc-54"}}</v>
      </c>
      <c r="S346" s="258" t="s">
        <v>1834</v>
      </c>
      <c r="T346" s="263"/>
      <c r="U346" s="263"/>
      <c r="V346" s="264" t="s">
        <v>1835</v>
      </c>
      <c r="W346" s="258" t="s">
        <v>1836</v>
      </c>
      <c r="X346" s="258" t="s">
        <v>1837</v>
      </c>
      <c r="Y346" s="33" t="s">
        <v>1838</v>
      </c>
      <c r="Z346" s="258">
        <v>11119.0</v>
      </c>
      <c r="AA346" s="258">
        <v>11501.0</v>
      </c>
      <c r="AB346" s="258"/>
      <c r="AC346" s="258"/>
      <c r="AD346" s="265"/>
      <c r="AE346" s="266" t="s">
        <v>685</v>
      </c>
      <c r="AF346" s="267" t="s">
        <v>2439</v>
      </c>
      <c r="AG346" s="268" t="str">
        <f>IFS(LEN(AF346)=17,LOWER('2-Building'!$B$4 &amp; "-" &amp; C346), AF346="N/A", "N/A", LEN(AF346)=0,"")</f>
        <v>in-blr-ananta-ddc-54</v>
      </c>
      <c r="AH346" s="258"/>
      <c r="AI346" s="258"/>
      <c r="AJ346" s="258"/>
      <c r="AK346" s="258" t="s">
        <v>2440</v>
      </c>
      <c r="AL346" s="258" t="s">
        <v>688</v>
      </c>
      <c r="AM346" s="258" t="s">
        <v>689</v>
      </c>
      <c r="AN346" s="258"/>
      <c r="AO346" s="258"/>
      <c r="AP346" s="258"/>
      <c r="AQ346" s="258"/>
      <c r="AR346" s="258" t="s">
        <v>690</v>
      </c>
      <c r="AS346" s="258" t="s">
        <v>691</v>
      </c>
      <c r="AT346" s="258" t="s">
        <v>1841</v>
      </c>
      <c r="AU346" s="265" t="s">
        <v>1842</v>
      </c>
      <c r="AV346" s="174" t="s">
        <v>225</v>
      </c>
      <c r="AW346" s="269" t="s">
        <v>245</v>
      </c>
      <c r="AX346" s="269" t="s">
        <v>694</v>
      </c>
      <c r="AY346" s="270" t="s">
        <v>1843</v>
      </c>
      <c r="AZ346" s="173" t="s">
        <v>1834</v>
      </c>
      <c r="BA346" s="265">
        <v>10.0</v>
      </c>
      <c r="BB346" s="174" t="s">
        <v>225</v>
      </c>
      <c r="BC346" s="271"/>
      <c r="BD346" s="272" t="s">
        <v>1844</v>
      </c>
      <c r="BE346" s="273"/>
      <c r="BF346" s="274" t="str">
        <f>IFERROR(__xludf.DUMMYFUNCTION("LOWER(Regexreplace(to_text(E346),""[^A-Za-z0-9]"","""")&amp;""_""&amp;Regexreplace(to_text(F346),""[^A-Za-z0-9]"",""""))"),"alc_g5ce")</f>
        <v>alc_g5ce</v>
      </c>
      <c r="BG346" s="275" t="str">
        <f>IFERROR(__xludf.DUMMYFUNCTION("upper(Regexreplace(to_text(E346),""[^A-Za-z0-9]"","""")&amp;""-""&amp;Regexreplace(to_text(F346),""[^A-Za-z0-9]"",""""))"),"ALC-G5CE")</f>
        <v>ALC-G5CE</v>
      </c>
    </row>
    <row r="347" ht="30.0" customHeight="1">
      <c r="A347" s="258">
        <v>340.0</v>
      </c>
      <c r="B347" s="256" t="s">
        <v>670</v>
      </c>
      <c r="C347" s="257" t="s">
        <v>2441</v>
      </c>
      <c r="D347" s="173" t="s">
        <v>2441</v>
      </c>
      <c r="E347" s="174" t="s">
        <v>1830</v>
      </c>
      <c r="F347" s="173" t="s">
        <v>507</v>
      </c>
      <c r="G347" s="258" t="s">
        <v>673</v>
      </c>
      <c r="H347" s="258" t="s">
        <v>674</v>
      </c>
      <c r="I347" s="258" t="s">
        <v>1614</v>
      </c>
      <c r="J347" s="259" t="s">
        <v>1211</v>
      </c>
      <c r="K347" s="260">
        <v>733.0</v>
      </c>
      <c r="L347" s="258" t="s">
        <v>2436</v>
      </c>
      <c r="M347" s="265" t="s">
        <v>2442</v>
      </c>
      <c r="N347" s="173" t="s">
        <v>679</v>
      </c>
      <c r="O347" s="173" t="s">
        <v>225</v>
      </c>
      <c r="P347" s="262" t="str">
        <f t="shared" si="1"/>
        <v>IN-BLR-ANANTA-HLI-65_7</v>
      </c>
      <c r="Q347" s="173" t="s">
        <v>2443</v>
      </c>
      <c r="R347" s="258" t="str">
        <f>IFS(C347="","",C347="n/a","N/A",LEN(C347),Concatenate("{",char(34),"asset",char(34),":{",char(34),"guid",char(34),":",char(34),Q347,char(34),",",char(34),"site",char(34),":",char(34),LOWER('2-Building'!$B$4),char(34),",",char(34),"name",char(34),":",char(34),LOWER(C347),char(34),"}}"))</f>
        <v>{"asset":{"guid":"uuid://85f8f21e-043d-4f10-93a2-f67979e41e6a","site":"in-blr-ananta","name":"hli-65"}}</v>
      </c>
      <c r="S347" s="258" t="s">
        <v>1834</v>
      </c>
      <c r="T347" s="263"/>
      <c r="U347" s="263"/>
      <c r="V347" s="264" t="s">
        <v>1835</v>
      </c>
      <c r="W347" s="258" t="s">
        <v>1836</v>
      </c>
      <c r="X347" s="258" t="s">
        <v>1837</v>
      </c>
      <c r="Y347" s="33" t="s">
        <v>1838</v>
      </c>
      <c r="Z347" s="258">
        <v>11120.0</v>
      </c>
      <c r="AA347" s="258">
        <v>11501.0</v>
      </c>
      <c r="AB347" s="258"/>
      <c r="AC347" s="258"/>
      <c r="AD347" s="265"/>
      <c r="AE347" s="266" t="s">
        <v>685</v>
      </c>
      <c r="AF347" s="267" t="s">
        <v>2444</v>
      </c>
      <c r="AG347" s="268" t="str">
        <f>IFS(LEN(AF347)=17,LOWER('2-Building'!$B$4 &amp; "-" &amp; C347), AF347="N/A", "N/A", LEN(AF347)=0,"")</f>
        <v>in-blr-ananta-hli-65</v>
      </c>
      <c r="AH347" s="258"/>
      <c r="AI347" s="258"/>
      <c r="AJ347" s="258"/>
      <c r="AK347" s="258" t="s">
        <v>2445</v>
      </c>
      <c r="AL347" s="258" t="s">
        <v>688</v>
      </c>
      <c r="AM347" s="258" t="s">
        <v>689</v>
      </c>
      <c r="AN347" s="258"/>
      <c r="AO347" s="258"/>
      <c r="AP347" s="258"/>
      <c r="AQ347" s="258"/>
      <c r="AR347" s="258" t="s">
        <v>690</v>
      </c>
      <c r="AS347" s="258" t="s">
        <v>691</v>
      </c>
      <c r="AT347" s="258" t="s">
        <v>1841</v>
      </c>
      <c r="AU347" s="265" t="s">
        <v>1842</v>
      </c>
      <c r="AV347" s="174" t="s">
        <v>225</v>
      </c>
      <c r="AW347" s="269" t="s">
        <v>245</v>
      </c>
      <c r="AX347" s="269" t="s">
        <v>694</v>
      </c>
      <c r="AY347" s="270" t="s">
        <v>1843</v>
      </c>
      <c r="AZ347" s="173" t="s">
        <v>1834</v>
      </c>
      <c r="BA347" s="265">
        <v>10.0</v>
      </c>
      <c r="BB347" s="174" t="s">
        <v>225</v>
      </c>
      <c r="BC347" s="271"/>
      <c r="BD347" s="272" t="s">
        <v>1844</v>
      </c>
      <c r="BE347" s="273"/>
      <c r="BF347" s="274" t="str">
        <f>IFERROR(__xludf.DUMMYFUNCTION("LOWER(Regexreplace(to_text(E347),""[^A-Za-z0-9]"","""")&amp;""_""&amp;Regexreplace(to_text(F347),""[^A-Za-z0-9]"",""""))"),"alc_g5ce")</f>
        <v>alc_g5ce</v>
      </c>
      <c r="BG347" s="275" t="str">
        <f>IFERROR(__xludf.DUMMYFUNCTION("upper(Regexreplace(to_text(E347),""[^A-Za-z0-9]"","""")&amp;""-""&amp;Regexreplace(to_text(F347),""[^A-Za-z0-9]"",""""))"),"ALC-G5CE")</f>
        <v>ALC-G5CE</v>
      </c>
    </row>
    <row r="348" ht="30.0" customHeight="1">
      <c r="A348" s="173">
        <v>341.0</v>
      </c>
      <c r="B348" s="256" t="s">
        <v>670</v>
      </c>
      <c r="C348" s="257" t="s">
        <v>2446</v>
      </c>
      <c r="D348" s="173" t="s">
        <v>2446</v>
      </c>
      <c r="E348" s="174" t="s">
        <v>1830</v>
      </c>
      <c r="F348" s="173" t="s">
        <v>507</v>
      </c>
      <c r="G348" s="258" t="s">
        <v>673</v>
      </c>
      <c r="H348" s="258" t="s">
        <v>674</v>
      </c>
      <c r="I348" s="258" t="s">
        <v>1614</v>
      </c>
      <c r="J348" s="259" t="s">
        <v>1211</v>
      </c>
      <c r="K348" s="260">
        <v>733.0</v>
      </c>
      <c r="L348" s="258" t="s">
        <v>2436</v>
      </c>
      <c r="M348" s="265" t="s">
        <v>2447</v>
      </c>
      <c r="N348" s="173" t="s">
        <v>679</v>
      </c>
      <c r="O348" s="173" t="s">
        <v>225</v>
      </c>
      <c r="P348" s="262" t="str">
        <f t="shared" si="1"/>
        <v>IN-BLR-ANANTA-HLI-66_7</v>
      </c>
      <c r="Q348" s="173" t="s">
        <v>2448</v>
      </c>
      <c r="R348" s="258" t="str">
        <f>IFS(C348="","",C348="n/a","N/A",LEN(C348),Concatenate("{",char(34),"asset",char(34),":{",char(34),"guid",char(34),":",char(34),Q348,char(34),",",char(34),"site",char(34),":",char(34),LOWER('2-Building'!$B$4),char(34),",",char(34),"name",char(34),":",char(34),LOWER(C348),char(34),"}}"))</f>
        <v>{"asset":{"guid":"uuid://5df4213c-b782-49d2-aaea-e35efe53dce2","site":"in-blr-ananta","name":"hli-66"}}</v>
      </c>
      <c r="S348" s="258" t="s">
        <v>1834</v>
      </c>
      <c r="T348" s="263"/>
      <c r="U348" s="263"/>
      <c r="V348" s="264" t="s">
        <v>1835</v>
      </c>
      <c r="W348" s="258" t="s">
        <v>1836</v>
      </c>
      <c r="X348" s="258" t="s">
        <v>1837</v>
      </c>
      <c r="Y348" s="33" t="s">
        <v>1838</v>
      </c>
      <c r="Z348" s="258">
        <v>11121.0</v>
      </c>
      <c r="AA348" s="258">
        <v>11501.0</v>
      </c>
      <c r="AB348" s="258"/>
      <c r="AC348" s="258"/>
      <c r="AD348" s="265"/>
      <c r="AE348" s="266" t="s">
        <v>685</v>
      </c>
      <c r="AF348" s="267" t="s">
        <v>2449</v>
      </c>
      <c r="AG348" s="268" t="str">
        <f>IFS(LEN(AF348)=17,LOWER('2-Building'!$B$4 &amp; "-" &amp; C348), AF348="N/A", "N/A", LEN(AF348)=0,"")</f>
        <v>in-blr-ananta-hli-66</v>
      </c>
      <c r="AH348" s="258"/>
      <c r="AI348" s="258"/>
      <c r="AJ348" s="258"/>
      <c r="AK348" s="258" t="s">
        <v>2450</v>
      </c>
      <c r="AL348" s="258" t="s">
        <v>688</v>
      </c>
      <c r="AM348" s="258" t="s">
        <v>689</v>
      </c>
      <c r="AN348" s="258"/>
      <c r="AO348" s="258"/>
      <c r="AP348" s="258"/>
      <c r="AQ348" s="258"/>
      <c r="AR348" s="258" t="s">
        <v>690</v>
      </c>
      <c r="AS348" s="258" t="s">
        <v>691</v>
      </c>
      <c r="AT348" s="258" t="s">
        <v>1841</v>
      </c>
      <c r="AU348" s="265" t="s">
        <v>1842</v>
      </c>
      <c r="AV348" s="174" t="s">
        <v>225</v>
      </c>
      <c r="AW348" s="269" t="s">
        <v>245</v>
      </c>
      <c r="AX348" s="269" t="s">
        <v>694</v>
      </c>
      <c r="AY348" s="270" t="s">
        <v>1843</v>
      </c>
      <c r="AZ348" s="173" t="s">
        <v>1834</v>
      </c>
      <c r="BA348" s="265">
        <v>10.0</v>
      </c>
      <c r="BB348" s="174" t="s">
        <v>225</v>
      </c>
      <c r="BC348" s="271"/>
      <c r="BD348" s="272" t="s">
        <v>1844</v>
      </c>
      <c r="BE348" s="273"/>
      <c r="BF348" s="274" t="str">
        <f>IFERROR(__xludf.DUMMYFUNCTION("LOWER(Regexreplace(to_text(E348),""[^A-Za-z0-9]"","""")&amp;""_""&amp;Regexreplace(to_text(F348),""[^A-Za-z0-9]"",""""))"),"alc_g5ce")</f>
        <v>alc_g5ce</v>
      </c>
      <c r="BG348" s="275" t="str">
        <f>IFERROR(__xludf.DUMMYFUNCTION("upper(Regexreplace(to_text(E348),""[^A-Za-z0-9]"","""")&amp;""-""&amp;Regexreplace(to_text(F348),""[^A-Za-z0-9]"",""""))"),"ALC-G5CE")</f>
        <v>ALC-G5CE</v>
      </c>
    </row>
    <row r="349" ht="30.0" customHeight="1">
      <c r="A349" s="258">
        <v>342.0</v>
      </c>
      <c r="B349" s="256" t="s">
        <v>670</v>
      </c>
      <c r="C349" s="257" t="s">
        <v>1277</v>
      </c>
      <c r="D349" s="173" t="s">
        <v>1277</v>
      </c>
      <c r="E349" s="174" t="s">
        <v>1830</v>
      </c>
      <c r="F349" s="173" t="s">
        <v>507</v>
      </c>
      <c r="G349" s="258" t="s">
        <v>673</v>
      </c>
      <c r="H349" s="258" t="s">
        <v>674</v>
      </c>
      <c r="I349" s="258" t="s">
        <v>1614</v>
      </c>
      <c r="J349" s="259" t="s">
        <v>1272</v>
      </c>
      <c r="K349" s="260">
        <v>863.0</v>
      </c>
      <c r="L349" s="258" t="s">
        <v>2451</v>
      </c>
      <c r="M349" s="265" t="s">
        <v>2452</v>
      </c>
      <c r="N349" s="173" t="s">
        <v>679</v>
      </c>
      <c r="O349" s="173" t="s">
        <v>225</v>
      </c>
      <c r="P349" s="262" t="str">
        <f t="shared" si="1"/>
        <v>IN-BLR-ANANTA-HLI-67_8</v>
      </c>
      <c r="Q349" s="173" t="s">
        <v>2453</v>
      </c>
      <c r="R349" s="258" t="str">
        <f>IFS(C349="","",C349="n/a","N/A",LEN(C349),Concatenate("{",char(34),"asset",char(34),":{",char(34),"guid",char(34),":",char(34),Q349,char(34),",",char(34),"site",char(34),":",char(34),LOWER('2-Building'!$B$4),char(34),",",char(34),"name",char(34),":",char(34),LOWER(C349),char(34),"}}"))</f>
        <v>{"asset":{"guid":"uuid://83089105-29a1-4c36-99c4-ac9a57c12dde","site":"in-blr-ananta","name":"hli-67"}}</v>
      </c>
      <c r="S349" s="258" t="s">
        <v>1834</v>
      </c>
      <c r="T349" s="263"/>
      <c r="U349" s="263"/>
      <c r="V349" s="264" t="s">
        <v>1835</v>
      </c>
      <c r="W349" s="258" t="s">
        <v>1836</v>
      </c>
      <c r="X349" s="258" t="s">
        <v>1837</v>
      </c>
      <c r="Y349" s="33" t="s">
        <v>1838</v>
      </c>
      <c r="Z349" s="258">
        <v>11122.0</v>
      </c>
      <c r="AA349" s="258">
        <v>11501.0</v>
      </c>
      <c r="AB349" s="258"/>
      <c r="AC349" s="258"/>
      <c r="AD349" s="265"/>
      <c r="AE349" s="266" t="s">
        <v>685</v>
      </c>
      <c r="AF349" s="312" t="s">
        <v>2454</v>
      </c>
      <c r="AG349" s="268" t="str">
        <f>IFS(LEN(AF349)=17,LOWER('2-Building'!$B$4 &amp; "-" &amp; C349), AF349="N/A", "N/A", LEN(AF349)=0,"")</f>
        <v>in-blr-ananta-hli-67</v>
      </c>
      <c r="AH349" s="258"/>
      <c r="AI349" s="258"/>
      <c r="AJ349" s="258"/>
      <c r="AK349" s="258" t="s">
        <v>2455</v>
      </c>
      <c r="AL349" s="258" t="s">
        <v>688</v>
      </c>
      <c r="AM349" s="258" t="s">
        <v>689</v>
      </c>
      <c r="AN349" s="258"/>
      <c r="AO349" s="258"/>
      <c r="AP349" s="258"/>
      <c r="AQ349" s="258"/>
      <c r="AR349" s="258" t="s">
        <v>690</v>
      </c>
      <c r="AS349" s="258" t="s">
        <v>691</v>
      </c>
      <c r="AT349" s="258" t="s">
        <v>1841</v>
      </c>
      <c r="AU349" s="265" t="s">
        <v>1842</v>
      </c>
      <c r="AV349" s="174" t="s">
        <v>225</v>
      </c>
      <c r="AW349" s="269" t="s">
        <v>245</v>
      </c>
      <c r="AX349" s="269" t="s">
        <v>694</v>
      </c>
      <c r="AY349" s="270" t="s">
        <v>1843</v>
      </c>
      <c r="AZ349" s="173" t="s">
        <v>1834</v>
      </c>
      <c r="BA349" s="265">
        <v>10.0</v>
      </c>
      <c r="BB349" s="174" t="s">
        <v>225</v>
      </c>
      <c r="BC349" s="271"/>
      <c r="BD349" s="272" t="s">
        <v>1844</v>
      </c>
      <c r="BE349" s="273"/>
      <c r="BF349" s="274" t="str">
        <f>IFERROR(__xludf.DUMMYFUNCTION("LOWER(Regexreplace(to_text(E349),""[^A-Za-z0-9]"","""")&amp;""_""&amp;Regexreplace(to_text(F349),""[^A-Za-z0-9]"",""""))"),"alc_g5ce")</f>
        <v>alc_g5ce</v>
      </c>
      <c r="BG349" s="275" t="str">
        <f>IFERROR(__xludf.DUMMYFUNCTION("upper(Regexreplace(to_text(E349),""[^A-Za-z0-9]"","""")&amp;""-""&amp;Regexreplace(to_text(F349),""[^A-Za-z0-9]"",""""))"),"ALC-G5CE")</f>
        <v>ALC-G5CE</v>
      </c>
    </row>
    <row r="350" ht="30.0" customHeight="1">
      <c r="A350" s="173">
        <v>343.0</v>
      </c>
      <c r="B350" s="256" t="s">
        <v>670</v>
      </c>
      <c r="C350" s="257" t="s">
        <v>2456</v>
      </c>
      <c r="D350" s="173" t="s">
        <v>2456</v>
      </c>
      <c r="E350" s="174" t="s">
        <v>1830</v>
      </c>
      <c r="F350" s="173" t="s">
        <v>510</v>
      </c>
      <c r="G350" s="258" t="s">
        <v>673</v>
      </c>
      <c r="H350" s="258" t="s">
        <v>674</v>
      </c>
      <c r="I350" s="258" t="s">
        <v>1614</v>
      </c>
      <c r="J350" s="259" t="s">
        <v>1272</v>
      </c>
      <c r="K350" s="260">
        <v>863.0</v>
      </c>
      <c r="L350" s="258" t="s">
        <v>2451</v>
      </c>
      <c r="M350" s="265" t="s">
        <v>2457</v>
      </c>
      <c r="N350" s="173" t="s">
        <v>679</v>
      </c>
      <c r="O350" s="173" t="s">
        <v>225</v>
      </c>
      <c r="P350" s="262" t="str">
        <f t="shared" si="1"/>
        <v>IN-BLR-ANANTA-HLI-68_8</v>
      </c>
      <c r="Q350" s="173" t="s">
        <v>2458</v>
      </c>
      <c r="R350" s="258" t="str">
        <f>IFS(C350="","",C350="n/a","N/A",LEN(C350),Concatenate("{",char(34),"asset",char(34),":{",char(34),"guid",char(34),":",char(34),Q350,char(34),",",char(34),"site",char(34),":",char(34),LOWER('2-Building'!$B$4),char(34),",",char(34),"name",char(34),":",char(34),LOWER(C350),char(34),"}}"))</f>
        <v>{"asset":{"guid":"uuid://cd5060f3-8a7f-47ec-b3dd-357c14ef47a9","site":"in-blr-ananta","name":"hli-68"}}</v>
      </c>
      <c r="S350" s="258" t="s">
        <v>1834</v>
      </c>
      <c r="T350" s="263"/>
      <c r="U350" s="263"/>
      <c r="V350" s="264" t="s">
        <v>1835</v>
      </c>
      <c r="W350" s="258" t="s">
        <v>1836</v>
      </c>
      <c r="X350" s="258" t="s">
        <v>1837</v>
      </c>
      <c r="Y350" s="33" t="s">
        <v>1838</v>
      </c>
      <c r="Z350" s="258">
        <v>11123.0</v>
      </c>
      <c r="AA350" s="258">
        <v>11501.0</v>
      </c>
      <c r="AB350" s="258"/>
      <c r="AC350" s="258"/>
      <c r="AD350" s="265"/>
      <c r="AE350" s="266" t="s">
        <v>685</v>
      </c>
      <c r="AF350" s="267" t="s">
        <v>2459</v>
      </c>
      <c r="AG350" s="268" t="str">
        <f>IFS(LEN(AF350)=17,LOWER('2-Building'!$B$4 &amp; "-" &amp; C350), AF350="N/A", "N/A", LEN(AF350)=0,"")</f>
        <v>in-blr-ananta-hli-68</v>
      </c>
      <c r="AH350" s="258"/>
      <c r="AI350" s="258"/>
      <c r="AJ350" s="258"/>
      <c r="AK350" s="258" t="s">
        <v>2460</v>
      </c>
      <c r="AL350" s="258" t="s">
        <v>688</v>
      </c>
      <c r="AM350" s="258" t="s">
        <v>689</v>
      </c>
      <c r="AN350" s="258"/>
      <c r="AO350" s="258"/>
      <c r="AP350" s="258"/>
      <c r="AQ350" s="258"/>
      <c r="AR350" s="258" t="s">
        <v>690</v>
      </c>
      <c r="AS350" s="258" t="s">
        <v>691</v>
      </c>
      <c r="AT350" s="258" t="s">
        <v>1841</v>
      </c>
      <c r="AU350" s="265" t="s">
        <v>1842</v>
      </c>
      <c r="AV350" s="174" t="s">
        <v>225</v>
      </c>
      <c r="AW350" s="269" t="s">
        <v>245</v>
      </c>
      <c r="AX350" s="269" t="s">
        <v>694</v>
      </c>
      <c r="AY350" s="270" t="s">
        <v>1843</v>
      </c>
      <c r="AZ350" s="173" t="s">
        <v>1834</v>
      </c>
      <c r="BA350" s="265">
        <v>10.0</v>
      </c>
      <c r="BB350" s="174" t="s">
        <v>225</v>
      </c>
      <c r="BC350" s="271"/>
      <c r="BD350" s="272" t="s">
        <v>1844</v>
      </c>
      <c r="BE350" s="273"/>
      <c r="BF350" s="274" t="str">
        <f>IFERROR(__xludf.DUMMYFUNCTION("LOWER(Regexreplace(to_text(E350),""[^A-Za-z0-9]"","""")&amp;""_""&amp;Regexreplace(to_text(F350),""[^A-Za-z0-9]"",""""))"),"alc_ofhi")</f>
        <v>alc_ofhi</v>
      </c>
      <c r="BG350" s="275" t="str">
        <f>IFERROR(__xludf.DUMMYFUNCTION("upper(Regexreplace(to_text(E350),""[^A-Za-z0-9]"","""")&amp;""-""&amp;Regexreplace(to_text(F350),""[^A-Za-z0-9]"",""""))"),"ALC-OFHI")</f>
        <v>ALC-OFHI</v>
      </c>
    </row>
    <row r="351" ht="30.0" customHeight="1">
      <c r="A351" s="258">
        <v>344.0</v>
      </c>
      <c r="B351" s="256" t="s">
        <v>670</v>
      </c>
      <c r="C351" s="257" t="s">
        <v>1297</v>
      </c>
      <c r="D351" s="173" t="s">
        <v>1297</v>
      </c>
      <c r="E351" s="174" t="s">
        <v>1830</v>
      </c>
      <c r="F351" s="173" t="s">
        <v>507</v>
      </c>
      <c r="G351" s="258" t="s">
        <v>673</v>
      </c>
      <c r="H351" s="258" t="s">
        <v>674</v>
      </c>
      <c r="I351" s="258" t="s">
        <v>675</v>
      </c>
      <c r="J351" s="259" t="s">
        <v>1272</v>
      </c>
      <c r="K351" s="260">
        <v>819.0</v>
      </c>
      <c r="L351" s="258" t="s">
        <v>2461</v>
      </c>
      <c r="M351" s="265" t="s">
        <v>2462</v>
      </c>
      <c r="N351" s="173" t="s">
        <v>679</v>
      </c>
      <c r="O351" s="173" t="s">
        <v>225</v>
      </c>
      <c r="P351" s="262" t="str">
        <f t="shared" si="1"/>
        <v>IN-BLR-ANANTA-DDC-55_8</v>
      </c>
      <c r="Q351" s="173" t="s">
        <v>2463</v>
      </c>
      <c r="R351" s="258" t="str">
        <f>IFS(C351="","",C351="n/a","N/A",LEN(C351),Concatenate("{",char(34),"asset",char(34),":{",char(34),"guid",char(34),":",char(34),Q351,char(34),",",char(34),"site",char(34),":",char(34),LOWER('2-Building'!$B$4),char(34),",",char(34),"name",char(34),":",char(34),LOWER(C351),char(34),"}}"))</f>
        <v>{"asset":{"guid":"uuid://5a21e0e8-bcd6-4ee4-a43b-78f6222d46e5","site":"in-blr-ananta","name":"ddc-55"}}</v>
      </c>
      <c r="S351" s="258" t="s">
        <v>1834</v>
      </c>
      <c r="T351" s="263"/>
      <c r="U351" s="263"/>
      <c r="V351" s="264" t="s">
        <v>1835</v>
      </c>
      <c r="W351" s="258" t="s">
        <v>1836</v>
      </c>
      <c r="X351" s="258" t="s">
        <v>1837</v>
      </c>
      <c r="Y351" s="33" t="s">
        <v>1838</v>
      </c>
      <c r="Z351" s="258">
        <v>11124.0</v>
      </c>
      <c r="AA351" s="258">
        <v>11501.0</v>
      </c>
      <c r="AB351" s="258"/>
      <c r="AC351" s="258"/>
      <c r="AD351" s="265"/>
      <c r="AE351" s="266" t="s">
        <v>685</v>
      </c>
      <c r="AF351" s="267" t="s">
        <v>2464</v>
      </c>
      <c r="AG351" s="268" t="str">
        <f>IFS(LEN(AF351)=17,LOWER('2-Building'!$B$4 &amp; "-" &amp; C351), AF351="N/A", "N/A", LEN(AF351)=0,"")</f>
        <v>in-blr-ananta-ddc-55</v>
      </c>
      <c r="AH351" s="258"/>
      <c r="AI351" s="258"/>
      <c r="AJ351" s="258"/>
      <c r="AK351" s="258" t="s">
        <v>2465</v>
      </c>
      <c r="AL351" s="258" t="s">
        <v>688</v>
      </c>
      <c r="AM351" s="258" t="s">
        <v>689</v>
      </c>
      <c r="AN351" s="258"/>
      <c r="AO351" s="258"/>
      <c r="AP351" s="258"/>
      <c r="AQ351" s="258"/>
      <c r="AR351" s="258" t="s">
        <v>690</v>
      </c>
      <c r="AS351" s="258" t="s">
        <v>691</v>
      </c>
      <c r="AT351" s="258" t="s">
        <v>1841</v>
      </c>
      <c r="AU351" s="265" t="s">
        <v>1842</v>
      </c>
      <c r="AV351" s="174" t="s">
        <v>225</v>
      </c>
      <c r="AW351" s="269" t="s">
        <v>245</v>
      </c>
      <c r="AX351" s="269" t="s">
        <v>694</v>
      </c>
      <c r="AY351" s="270" t="s">
        <v>1843</v>
      </c>
      <c r="AZ351" s="173" t="s">
        <v>1834</v>
      </c>
      <c r="BA351" s="265">
        <v>10.0</v>
      </c>
      <c r="BB351" s="174" t="s">
        <v>225</v>
      </c>
      <c r="BC351" s="271"/>
      <c r="BD351" s="272" t="s">
        <v>1844</v>
      </c>
      <c r="BE351" s="273"/>
      <c r="BF351" s="274" t="str">
        <f>IFERROR(__xludf.DUMMYFUNCTION("LOWER(Regexreplace(to_text(E351),""[^A-Za-z0-9]"","""")&amp;""_""&amp;Regexreplace(to_text(F351),""[^A-Za-z0-9]"",""""))"),"alc_g5ce")</f>
        <v>alc_g5ce</v>
      </c>
      <c r="BG351" s="275" t="str">
        <f>IFERROR(__xludf.DUMMYFUNCTION("upper(Regexreplace(to_text(E351),""[^A-Za-z0-9]"","""")&amp;""-""&amp;Regexreplace(to_text(F351),""[^A-Za-z0-9]"",""""))"),"ALC-G5CE")</f>
        <v>ALC-G5CE</v>
      </c>
    </row>
    <row r="352" ht="30.0" customHeight="1">
      <c r="A352" s="173">
        <v>345.0</v>
      </c>
      <c r="B352" s="256" t="s">
        <v>670</v>
      </c>
      <c r="C352" s="257" t="s">
        <v>2466</v>
      </c>
      <c r="D352" s="173" t="s">
        <v>2466</v>
      </c>
      <c r="E352" s="174" t="s">
        <v>1830</v>
      </c>
      <c r="F352" s="173" t="s">
        <v>507</v>
      </c>
      <c r="G352" s="258" t="s">
        <v>673</v>
      </c>
      <c r="H352" s="258" t="s">
        <v>674</v>
      </c>
      <c r="I352" s="258" t="s">
        <v>1614</v>
      </c>
      <c r="J352" s="259" t="s">
        <v>1272</v>
      </c>
      <c r="K352" s="260">
        <v>819.0</v>
      </c>
      <c r="L352" s="258" t="s">
        <v>2461</v>
      </c>
      <c r="M352" s="265" t="s">
        <v>2467</v>
      </c>
      <c r="N352" s="173" t="s">
        <v>679</v>
      </c>
      <c r="O352" s="173" t="s">
        <v>225</v>
      </c>
      <c r="P352" s="262" t="str">
        <f t="shared" si="1"/>
        <v>IN-BLR-ANANTA-HLI-69_8</v>
      </c>
      <c r="Q352" s="173" t="s">
        <v>2468</v>
      </c>
      <c r="R352" s="258" t="str">
        <f>IFS(C352="","",C352="n/a","N/A",LEN(C352),Concatenate("{",char(34),"asset",char(34),":{",char(34),"guid",char(34),":",char(34),Q352,char(34),",",char(34),"site",char(34),":",char(34),LOWER('2-Building'!$B$4),char(34),",",char(34),"name",char(34),":",char(34),LOWER(C352),char(34),"}}"))</f>
        <v>{"asset":{"guid":"uuid://54b2c946-ae97-4aaf-b415-2f83fd2d90b7","site":"in-blr-ananta","name":"hli-69"}}</v>
      </c>
      <c r="S352" s="258" t="s">
        <v>1834</v>
      </c>
      <c r="T352" s="263"/>
      <c r="U352" s="263"/>
      <c r="V352" s="264" t="s">
        <v>1835</v>
      </c>
      <c r="W352" s="258" t="s">
        <v>1836</v>
      </c>
      <c r="X352" s="258" t="s">
        <v>1837</v>
      </c>
      <c r="Y352" s="33" t="s">
        <v>1838</v>
      </c>
      <c r="Z352" s="258">
        <v>11125.0</v>
      </c>
      <c r="AA352" s="258">
        <v>11501.0</v>
      </c>
      <c r="AB352" s="258"/>
      <c r="AC352" s="258"/>
      <c r="AD352" s="265"/>
      <c r="AE352" s="266" t="s">
        <v>685</v>
      </c>
      <c r="AF352" s="267" t="s">
        <v>2469</v>
      </c>
      <c r="AG352" s="268" t="str">
        <f>IFS(LEN(AF352)=17,LOWER('2-Building'!$B$4 &amp; "-" &amp; C352), AF352="N/A", "N/A", LEN(AF352)=0,"")</f>
        <v>in-blr-ananta-hli-69</v>
      </c>
      <c r="AH352" s="258"/>
      <c r="AI352" s="258"/>
      <c r="AJ352" s="258"/>
      <c r="AK352" s="258" t="s">
        <v>2470</v>
      </c>
      <c r="AL352" s="258" t="s">
        <v>688</v>
      </c>
      <c r="AM352" s="258" t="s">
        <v>689</v>
      </c>
      <c r="AN352" s="258"/>
      <c r="AO352" s="258"/>
      <c r="AP352" s="258"/>
      <c r="AQ352" s="258"/>
      <c r="AR352" s="258" t="s">
        <v>690</v>
      </c>
      <c r="AS352" s="258" t="s">
        <v>691</v>
      </c>
      <c r="AT352" s="258" t="s">
        <v>1841</v>
      </c>
      <c r="AU352" s="265" t="s">
        <v>1842</v>
      </c>
      <c r="AV352" s="174" t="s">
        <v>225</v>
      </c>
      <c r="AW352" s="269" t="s">
        <v>245</v>
      </c>
      <c r="AX352" s="269" t="s">
        <v>694</v>
      </c>
      <c r="AY352" s="270" t="s">
        <v>1843</v>
      </c>
      <c r="AZ352" s="173" t="s">
        <v>1834</v>
      </c>
      <c r="BA352" s="265">
        <v>10.0</v>
      </c>
      <c r="BB352" s="174" t="s">
        <v>225</v>
      </c>
      <c r="BC352" s="271"/>
      <c r="BD352" s="272" t="s">
        <v>1844</v>
      </c>
      <c r="BE352" s="273"/>
      <c r="BF352" s="274" t="str">
        <f>IFERROR(__xludf.DUMMYFUNCTION("LOWER(Regexreplace(to_text(E352),""[^A-Za-z0-9]"","""")&amp;""_""&amp;Regexreplace(to_text(F352),""[^A-Za-z0-9]"",""""))"),"alc_g5ce")</f>
        <v>alc_g5ce</v>
      </c>
      <c r="BG352" s="275" t="str">
        <f>IFERROR(__xludf.DUMMYFUNCTION("upper(Regexreplace(to_text(E352),""[^A-Za-z0-9]"","""")&amp;""-""&amp;Regexreplace(to_text(F352),""[^A-Za-z0-9]"",""""))"),"ALC-G5CE")</f>
        <v>ALC-G5CE</v>
      </c>
    </row>
    <row r="353" ht="30.0" customHeight="1">
      <c r="A353" s="258">
        <v>346.0</v>
      </c>
      <c r="B353" s="256" t="s">
        <v>670</v>
      </c>
      <c r="C353" s="257" t="s">
        <v>1307</v>
      </c>
      <c r="D353" s="173" t="s">
        <v>1307</v>
      </c>
      <c r="E353" s="174" t="s">
        <v>1830</v>
      </c>
      <c r="F353" s="173" t="s">
        <v>507</v>
      </c>
      <c r="G353" s="258" t="s">
        <v>673</v>
      </c>
      <c r="H353" s="258" t="s">
        <v>674</v>
      </c>
      <c r="I353" s="258" t="s">
        <v>675</v>
      </c>
      <c r="J353" s="259" t="s">
        <v>1272</v>
      </c>
      <c r="K353" s="260">
        <v>848.0</v>
      </c>
      <c r="L353" s="258" t="s">
        <v>2471</v>
      </c>
      <c r="M353" s="265" t="s">
        <v>2472</v>
      </c>
      <c r="N353" s="173" t="s">
        <v>679</v>
      </c>
      <c r="O353" s="173" t="s">
        <v>225</v>
      </c>
      <c r="P353" s="262" t="str">
        <f t="shared" si="1"/>
        <v>IN-BLR-ANANTA-DDC-56_8</v>
      </c>
      <c r="Q353" s="173" t="s">
        <v>2473</v>
      </c>
      <c r="R353" s="258" t="str">
        <f>IFS(C353="","",C353="n/a","N/A",LEN(C353),Concatenate("{",char(34),"asset",char(34),":{",char(34),"guid",char(34),":",char(34),Q353,char(34),",",char(34),"site",char(34),":",char(34),LOWER('2-Building'!$B$4),char(34),",",char(34),"name",char(34),":",char(34),LOWER(C353),char(34),"}}"))</f>
        <v>{"asset":{"guid":"uuid://50b0984b-2f6c-4f0a-b998-39b0a65f5d93","site":"in-blr-ananta","name":"ddc-56"}}</v>
      </c>
      <c r="S353" s="258" t="s">
        <v>1834</v>
      </c>
      <c r="T353" s="263"/>
      <c r="U353" s="263"/>
      <c r="V353" s="264" t="s">
        <v>1835</v>
      </c>
      <c r="W353" s="258" t="s">
        <v>1836</v>
      </c>
      <c r="X353" s="258" t="s">
        <v>1837</v>
      </c>
      <c r="Y353" s="33" t="s">
        <v>1838</v>
      </c>
      <c r="Z353" s="258">
        <v>11126.0</v>
      </c>
      <c r="AA353" s="258">
        <v>11501.0</v>
      </c>
      <c r="AB353" s="258"/>
      <c r="AC353" s="258"/>
      <c r="AD353" s="265"/>
      <c r="AE353" s="266" t="s">
        <v>685</v>
      </c>
      <c r="AF353" s="267" t="s">
        <v>2474</v>
      </c>
      <c r="AG353" s="268" t="str">
        <f>IFS(LEN(AF353)=17,LOWER('2-Building'!$B$4 &amp; "-" &amp; C353), AF353="N/A", "N/A", LEN(AF353)=0,"")</f>
        <v>in-blr-ananta-ddc-56</v>
      </c>
      <c r="AH353" s="258"/>
      <c r="AI353" s="258"/>
      <c r="AJ353" s="258"/>
      <c r="AK353" s="258" t="s">
        <v>2475</v>
      </c>
      <c r="AL353" s="258" t="s">
        <v>688</v>
      </c>
      <c r="AM353" s="258" t="s">
        <v>689</v>
      </c>
      <c r="AN353" s="258"/>
      <c r="AO353" s="258"/>
      <c r="AP353" s="258"/>
      <c r="AQ353" s="258"/>
      <c r="AR353" s="258" t="s">
        <v>690</v>
      </c>
      <c r="AS353" s="258" t="s">
        <v>691</v>
      </c>
      <c r="AT353" s="258" t="s">
        <v>1841</v>
      </c>
      <c r="AU353" s="265" t="s">
        <v>1842</v>
      </c>
      <c r="AV353" s="174" t="s">
        <v>225</v>
      </c>
      <c r="AW353" s="269" t="s">
        <v>245</v>
      </c>
      <c r="AX353" s="269" t="s">
        <v>694</v>
      </c>
      <c r="AY353" s="270" t="s">
        <v>1843</v>
      </c>
      <c r="AZ353" s="173" t="s">
        <v>1834</v>
      </c>
      <c r="BA353" s="265">
        <v>10.0</v>
      </c>
      <c r="BB353" s="174" t="s">
        <v>225</v>
      </c>
      <c r="BC353" s="271"/>
      <c r="BD353" s="272" t="s">
        <v>1844</v>
      </c>
      <c r="BE353" s="273"/>
      <c r="BF353" s="274" t="str">
        <f>IFERROR(__xludf.DUMMYFUNCTION("LOWER(Regexreplace(to_text(E353),""[^A-Za-z0-9]"","""")&amp;""_""&amp;Regexreplace(to_text(F353),""[^A-Za-z0-9]"",""""))"),"alc_g5ce")</f>
        <v>alc_g5ce</v>
      </c>
      <c r="BG353" s="275" t="str">
        <f>IFERROR(__xludf.DUMMYFUNCTION("upper(Regexreplace(to_text(E353),""[^A-Za-z0-9]"","""")&amp;""-""&amp;Regexreplace(to_text(F353),""[^A-Za-z0-9]"",""""))"),"ALC-G5CE")</f>
        <v>ALC-G5CE</v>
      </c>
    </row>
    <row r="354" ht="30.0" customHeight="1">
      <c r="A354" s="173">
        <v>347.0</v>
      </c>
      <c r="B354" s="256" t="s">
        <v>670</v>
      </c>
      <c r="C354" s="257" t="s">
        <v>2476</v>
      </c>
      <c r="D354" s="173" t="s">
        <v>2476</v>
      </c>
      <c r="E354" s="174" t="s">
        <v>1830</v>
      </c>
      <c r="F354" s="173" t="s">
        <v>507</v>
      </c>
      <c r="G354" s="258" t="s">
        <v>673</v>
      </c>
      <c r="H354" s="258" t="s">
        <v>674</v>
      </c>
      <c r="I354" s="258" t="s">
        <v>1614</v>
      </c>
      <c r="J354" s="259" t="s">
        <v>1272</v>
      </c>
      <c r="K354" s="260">
        <v>848.0</v>
      </c>
      <c r="L354" s="258" t="s">
        <v>2471</v>
      </c>
      <c r="M354" s="265" t="s">
        <v>2477</v>
      </c>
      <c r="N354" s="173" t="s">
        <v>679</v>
      </c>
      <c r="O354" s="173" t="s">
        <v>225</v>
      </c>
      <c r="P354" s="262" t="str">
        <f t="shared" si="1"/>
        <v>IN-BLR-ANANTA-HLI-70_8</v>
      </c>
      <c r="Q354" s="173" t="s">
        <v>2478</v>
      </c>
      <c r="R354" s="258" t="str">
        <f>IFS(C354="","",C354="n/a","N/A",LEN(C354),Concatenate("{",char(34),"asset",char(34),":{",char(34),"guid",char(34),":",char(34),Q354,char(34),",",char(34),"site",char(34),":",char(34),LOWER('2-Building'!$B$4),char(34),",",char(34),"name",char(34),":",char(34),LOWER(C354),char(34),"}}"))</f>
        <v>{"asset":{"guid":"uuid://a9c50594-8637-4758-b6fd-6e523590143d","site":"in-blr-ananta","name":"hli-70"}}</v>
      </c>
      <c r="S354" s="258" t="s">
        <v>1834</v>
      </c>
      <c r="T354" s="263"/>
      <c r="U354" s="263"/>
      <c r="V354" s="264" t="s">
        <v>1835</v>
      </c>
      <c r="W354" s="258" t="s">
        <v>1836</v>
      </c>
      <c r="X354" s="258" t="s">
        <v>1837</v>
      </c>
      <c r="Y354" s="33" t="s">
        <v>1838</v>
      </c>
      <c r="Z354" s="258">
        <v>11127.0</v>
      </c>
      <c r="AA354" s="258">
        <v>11501.0</v>
      </c>
      <c r="AB354" s="258"/>
      <c r="AC354" s="258"/>
      <c r="AD354" s="265"/>
      <c r="AE354" s="266" t="s">
        <v>685</v>
      </c>
      <c r="AF354" s="267" t="s">
        <v>2479</v>
      </c>
      <c r="AG354" s="268" t="str">
        <f>IFS(LEN(AF354)=17,LOWER('2-Building'!$B$4 &amp; "-" &amp; C354), AF354="N/A", "N/A", LEN(AF354)=0,"")</f>
        <v>in-blr-ananta-hli-70</v>
      </c>
      <c r="AH354" s="258"/>
      <c r="AI354" s="258"/>
      <c r="AJ354" s="258"/>
      <c r="AK354" s="258" t="s">
        <v>2480</v>
      </c>
      <c r="AL354" s="258" t="s">
        <v>688</v>
      </c>
      <c r="AM354" s="258" t="s">
        <v>689</v>
      </c>
      <c r="AN354" s="258"/>
      <c r="AO354" s="258"/>
      <c r="AP354" s="258"/>
      <c r="AQ354" s="258"/>
      <c r="AR354" s="258" t="s">
        <v>690</v>
      </c>
      <c r="AS354" s="258" t="s">
        <v>691</v>
      </c>
      <c r="AT354" s="258" t="s">
        <v>1841</v>
      </c>
      <c r="AU354" s="265" t="s">
        <v>1842</v>
      </c>
      <c r="AV354" s="174" t="s">
        <v>225</v>
      </c>
      <c r="AW354" s="269" t="s">
        <v>245</v>
      </c>
      <c r="AX354" s="269" t="s">
        <v>694</v>
      </c>
      <c r="AY354" s="270" t="s">
        <v>1843</v>
      </c>
      <c r="AZ354" s="173" t="s">
        <v>1834</v>
      </c>
      <c r="BA354" s="265">
        <v>10.0</v>
      </c>
      <c r="BB354" s="174" t="s">
        <v>225</v>
      </c>
      <c r="BC354" s="271"/>
      <c r="BD354" s="272" t="s">
        <v>1844</v>
      </c>
      <c r="BE354" s="273"/>
      <c r="BF354" s="274" t="str">
        <f>IFERROR(__xludf.DUMMYFUNCTION("LOWER(Regexreplace(to_text(E354),""[^A-Za-z0-9]"","""")&amp;""_""&amp;Regexreplace(to_text(F354),""[^A-Za-z0-9]"",""""))"),"alc_g5ce")</f>
        <v>alc_g5ce</v>
      </c>
      <c r="BG354" s="275" t="str">
        <f>IFERROR(__xludf.DUMMYFUNCTION("upper(Regexreplace(to_text(E354),""[^A-Za-z0-9]"","""")&amp;""-""&amp;Regexreplace(to_text(F354),""[^A-Za-z0-9]"",""""))"),"ALC-G5CE")</f>
        <v>ALC-G5CE</v>
      </c>
    </row>
    <row r="355" ht="30.0" customHeight="1">
      <c r="A355" s="258">
        <v>348.0</v>
      </c>
      <c r="B355" s="256" t="s">
        <v>670</v>
      </c>
      <c r="C355" s="257" t="s">
        <v>1287</v>
      </c>
      <c r="D355" s="173" t="s">
        <v>1287</v>
      </c>
      <c r="E355" s="174" t="s">
        <v>1830</v>
      </c>
      <c r="F355" s="173" t="s">
        <v>507</v>
      </c>
      <c r="G355" s="258" t="s">
        <v>673</v>
      </c>
      <c r="H355" s="258" t="s">
        <v>674</v>
      </c>
      <c r="I355" s="258" t="s">
        <v>675</v>
      </c>
      <c r="J355" s="259" t="s">
        <v>1272</v>
      </c>
      <c r="K355" s="260">
        <v>875.0</v>
      </c>
      <c r="L355" s="258" t="s">
        <v>2481</v>
      </c>
      <c r="M355" s="265" t="s">
        <v>2482</v>
      </c>
      <c r="N355" s="173" t="s">
        <v>679</v>
      </c>
      <c r="O355" s="173" t="s">
        <v>225</v>
      </c>
      <c r="P355" s="262" t="str">
        <f t="shared" si="1"/>
        <v>IN-BLR-ANANTA-DDC-57_8</v>
      </c>
      <c r="Q355" s="173" t="s">
        <v>2483</v>
      </c>
      <c r="R355" s="258" t="str">
        <f>IFS(C355="","",C355="n/a","N/A",LEN(C355),Concatenate("{",char(34),"asset",char(34),":{",char(34),"guid",char(34),":",char(34),Q355,char(34),",",char(34),"site",char(34),":",char(34),LOWER('2-Building'!$B$4),char(34),",",char(34),"name",char(34),":",char(34),LOWER(C355),char(34),"}}"))</f>
        <v>{"asset":{"guid":"uuid://5848f99e-d84c-40dc-96e9-8abf690fa7e1","site":"in-blr-ananta","name":"ddc-57"}}</v>
      </c>
      <c r="S355" s="258" t="s">
        <v>1834</v>
      </c>
      <c r="T355" s="263"/>
      <c r="U355" s="263"/>
      <c r="V355" s="264" t="s">
        <v>1835</v>
      </c>
      <c r="W355" s="258" t="s">
        <v>1836</v>
      </c>
      <c r="X355" s="258" t="s">
        <v>1837</v>
      </c>
      <c r="Y355" s="33" t="s">
        <v>1838</v>
      </c>
      <c r="Z355" s="258">
        <v>11128.0</v>
      </c>
      <c r="AA355" s="258">
        <v>11501.0</v>
      </c>
      <c r="AB355" s="258"/>
      <c r="AC355" s="258"/>
      <c r="AD355" s="265"/>
      <c r="AE355" s="266" t="s">
        <v>685</v>
      </c>
      <c r="AF355" s="267" t="s">
        <v>2484</v>
      </c>
      <c r="AG355" s="268" t="str">
        <f>IFS(LEN(AF355)=17,LOWER('2-Building'!$B$4 &amp; "-" &amp; C355), AF355="N/A", "N/A", LEN(AF355)=0,"")</f>
        <v>in-blr-ananta-ddc-57</v>
      </c>
      <c r="AH355" s="258"/>
      <c r="AI355" s="258"/>
      <c r="AJ355" s="258"/>
      <c r="AK355" s="258" t="s">
        <v>2485</v>
      </c>
      <c r="AL355" s="258" t="s">
        <v>688</v>
      </c>
      <c r="AM355" s="258" t="s">
        <v>689</v>
      </c>
      <c r="AN355" s="258"/>
      <c r="AO355" s="258"/>
      <c r="AP355" s="258"/>
      <c r="AQ355" s="258"/>
      <c r="AR355" s="258" t="s">
        <v>690</v>
      </c>
      <c r="AS355" s="258" t="s">
        <v>691</v>
      </c>
      <c r="AT355" s="258" t="s">
        <v>1841</v>
      </c>
      <c r="AU355" s="265" t="s">
        <v>1842</v>
      </c>
      <c r="AV355" s="174" t="s">
        <v>225</v>
      </c>
      <c r="AW355" s="269" t="s">
        <v>245</v>
      </c>
      <c r="AX355" s="269" t="s">
        <v>694</v>
      </c>
      <c r="AY355" s="270" t="s">
        <v>1843</v>
      </c>
      <c r="AZ355" s="173" t="s">
        <v>1834</v>
      </c>
      <c r="BA355" s="265">
        <v>10.0</v>
      </c>
      <c r="BB355" s="174" t="s">
        <v>225</v>
      </c>
      <c r="BC355" s="271"/>
      <c r="BD355" s="272" t="s">
        <v>1844</v>
      </c>
      <c r="BE355" s="273"/>
      <c r="BF355" s="274" t="str">
        <f>IFERROR(__xludf.DUMMYFUNCTION("LOWER(Regexreplace(to_text(E355),""[^A-Za-z0-9]"","""")&amp;""_""&amp;Regexreplace(to_text(F355),""[^A-Za-z0-9]"",""""))"),"alc_g5ce")</f>
        <v>alc_g5ce</v>
      </c>
      <c r="BG355" s="275" t="str">
        <f>IFERROR(__xludf.DUMMYFUNCTION("upper(Regexreplace(to_text(E355),""[^A-Za-z0-9]"","""")&amp;""-""&amp;Regexreplace(to_text(F355),""[^A-Za-z0-9]"",""""))"),"ALC-G5CE")</f>
        <v>ALC-G5CE</v>
      </c>
    </row>
    <row r="356" ht="30.0" customHeight="1">
      <c r="A356" s="173">
        <v>349.0</v>
      </c>
      <c r="B356" s="256" t="s">
        <v>670</v>
      </c>
      <c r="C356" s="257" t="s">
        <v>2486</v>
      </c>
      <c r="D356" s="173" t="s">
        <v>2486</v>
      </c>
      <c r="E356" s="174" t="s">
        <v>1830</v>
      </c>
      <c r="F356" s="173" t="s">
        <v>507</v>
      </c>
      <c r="G356" s="258" t="s">
        <v>673</v>
      </c>
      <c r="H356" s="258" t="s">
        <v>674</v>
      </c>
      <c r="I356" s="258" t="s">
        <v>1614</v>
      </c>
      <c r="J356" s="259" t="s">
        <v>1272</v>
      </c>
      <c r="K356" s="260">
        <v>875.0</v>
      </c>
      <c r="L356" s="258" t="s">
        <v>2481</v>
      </c>
      <c r="M356" s="265" t="s">
        <v>2487</v>
      </c>
      <c r="N356" s="173" t="s">
        <v>679</v>
      </c>
      <c r="O356" s="173" t="s">
        <v>225</v>
      </c>
      <c r="P356" s="262" t="str">
        <f t="shared" si="1"/>
        <v>IN-BLR-ANANTA-HLI-71_8</v>
      </c>
      <c r="Q356" s="173" t="s">
        <v>2488</v>
      </c>
      <c r="R356" s="258" t="str">
        <f>IFS(C356="","",C356="n/a","N/A",LEN(C356),Concatenate("{",char(34),"asset",char(34),":{",char(34),"guid",char(34),":",char(34),Q356,char(34),",",char(34),"site",char(34),":",char(34),LOWER('2-Building'!$B$4),char(34),",",char(34),"name",char(34),":",char(34),LOWER(C356),char(34),"}}"))</f>
        <v>{"asset":{"guid":"uuid://c8ba27f4-be56-4337-af77-0bfb24bb4a6e","site":"in-blr-ananta","name":"hli-71"}}</v>
      </c>
      <c r="S356" s="258" t="s">
        <v>1834</v>
      </c>
      <c r="T356" s="263"/>
      <c r="U356" s="263"/>
      <c r="V356" s="264" t="s">
        <v>1835</v>
      </c>
      <c r="W356" s="258" t="s">
        <v>1836</v>
      </c>
      <c r="X356" s="258" t="s">
        <v>1837</v>
      </c>
      <c r="Y356" s="33" t="s">
        <v>1838</v>
      </c>
      <c r="Z356" s="258">
        <v>11212.0</v>
      </c>
      <c r="AA356" s="258">
        <v>11501.0</v>
      </c>
      <c r="AB356" s="258"/>
      <c r="AC356" s="258"/>
      <c r="AD356" s="265"/>
      <c r="AE356" s="266" t="s">
        <v>685</v>
      </c>
      <c r="AF356" s="267" t="s">
        <v>2489</v>
      </c>
      <c r="AG356" s="268" t="str">
        <f>IFS(LEN(AF356)=17,LOWER('2-Building'!$B$4 &amp; "-" &amp; C356), AF356="N/A", "N/A", LEN(AF356)=0,"")</f>
        <v>in-blr-ananta-hli-71</v>
      </c>
      <c r="AH356" s="258"/>
      <c r="AI356" s="258"/>
      <c r="AJ356" s="258"/>
      <c r="AK356" s="258" t="s">
        <v>2490</v>
      </c>
      <c r="AL356" s="258" t="s">
        <v>688</v>
      </c>
      <c r="AM356" s="258" t="s">
        <v>689</v>
      </c>
      <c r="AN356" s="258"/>
      <c r="AO356" s="258"/>
      <c r="AP356" s="258"/>
      <c r="AQ356" s="258"/>
      <c r="AR356" s="258" t="s">
        <v>690</v>
      </c>
      <c r="AS356" s="258" t="s">
        <v>691</v>
      </c>
      <c r="AT356" s="258" t="s">
        <v>1841</v>
      </c>
      <c r="AU356" s="265" t="s">
        <v>1842</v>
      </c>
      <c r="AV356" s="174" t="s">
        <v>225</v>
      </c>
      <c r="AW356" s="269" t="s">
        <v>245</v>
      </c>
      <c r="AX356" s="269" t="s">
        <v>694</v>
      </c>
      <c r="AY356" s="270" t="s">
        <v>1843</v>
      </c>
      <c r="AZ356" s="173" t="s">
        <v>1834</v>
      </c>
      <c r="BA356" s="265">
        <v>10.0</v>
      </c>
      <c r="BB356" s="174" t="s">
        <v>225</v>
      </c>
      <c r="BC356" s="271"/>
      <c r="BD356" s="272" t="s">
        <v>1844</v>
      </c>
      <c r="BE356" s="273"/>
      <c r="BF356" s="274" t="str">
        <f>IFERROR(__xludf.DUMMYFUNCTION("LOWER(Regexreplace(to_text(E356),""[^A-Za-z0-9]"","""")&amp;""_""&amp;Regexreplace(to_text(F356),""[^A-Za-z0-9]"",""""))"),"alc_g5ce")</f>
        <v>alc_g5ce</v>
      </c>
      <c r="BG356" s="275" t="str">
        <f>IFERROR(__xludf.DUMMYFUNCTION("upper(Regexreplace(to_text(E356),""[^A-Za-z0-9]"","""")&amp;""-""&amp;Regexreplace(to_text(F356),""[^A-Za-z0-9]"",""""))"),"ALC-G5CE")</f>
        <v>ALC-G5CE</v>
      </c>
    </row>
    <row r="357" ht="30.0" customHeight="1">
      <c r="A357" s="258">
        <v>350.0</v>
      </c>
      <c r="B357" s="256" t="s">
        <v>670</v>
      </c>
      <c r="C357" s="257" t="s">
        <v>1377</v>
      </c>
      <c r="D357" s="173" t="s">
        <v>1377</v>
      </c>
      <c r="E357" s="174" t="s">
        <v>1830</v>
      </c>
      <c r="F357" s="173" t="s">
        <v>507</v>
      </c>
      <c r="G357" s="258" t="s">
        <v>673</v>
      </c>
      <c r="H357" s="258" t="s">
        <v>674</v>
      </c>
      <c r="I357" s="258" t="s">
        <v>675</v>
      </c>
      <c r="J357" s="259" t="s">
        <v>1272</v>
      </c>
      <c r="K357" s="260">
        <v>834.0</v>
      </c>
      <c r="L357" s="258" t="s">
        <v>2491</v>
      </c>
      <c r="M357" s="265" t="s">
        <v>2492</v>
      </c>
      <c r="N357" s="173" t="s">
        <v>679</v>
      </c>
      <c r="O357" s="173" t="s">
        <v>225</v>
      </c>
      <c r="P357" s="262" t="str">
        <f t="shared" si="1"/>
        <v>IN-BLR-ANANTA-DDC-58_8</v>
      </c>
      <c r="Q357" s="173" t="s">
        <v>2493</v>
      </c>
      <c r="R357" s="258" t="str">
        <f>IFS(C357="","",C357="n/a","N/A",LEN(C357),Concatenate("{",char(34),"asset",char(34),":{",char(34),"guid",char(34),":",char(34),Q357,char(34),",",char(34),"site",char(34),":",char(34),LOWER('2-Building'!$B$4),char(34),",",char(34),"name",char(34),":",char(34),LOWER(C357),char(34),"}}"))</f>
        <v>{"asset":{"guid":"uuid://3f892793-ff98-4ea6-aeaa-f7669d8a99d3","site":"in-blr-ananta","name":"ddc-58"}}</v>
      </c>
      <c r="S357" s="258" t="s">
        <v>1834</v>
      </c>
      <c r="T357" s="263"/>
      <c r="U357" s="263"/>
      <c r="V357" s="264" t="s">
        <v>1835</v>
      </c>
      <c r="W357" s="258" t="s">
        <v>1836</v>
      </c>
      <c r="X357" s="258" t="s">
        <v>1837</v>
      </c>
      <c r="Y357" s="33" t="s">
        <v>1838</v>
      </c>
      <c r="Z357" s="258">
        <v>11213.0</v>
      </c>
      <c r="AA357" s="258">
        <v>11501.0</v>
      </c>
      <c r="AB357" s="258"/>
      <c r="AC357" s="258"/>
      <c r="AD357" s="265"/>
      <c r="AE357" s="266" t="s">
        <v>685</v>
      </c>
      <c r="AF357" s="267" t="s">
        <v>2494</v>
      </c>
      <c r="AG357" s="268" t="str">
        <f>IFS(LEN(AF357)=17,LOWER('2-Building'!$B$4 &amp; "-" &amp; C357), AF357="N/A", "N/A", LEN(AF357)=0,"")</f>
        <v>in-blr-ananta-ddc-58</v>
      </c>
      <c r="AH357" s="258"/>
      <c r="AI357" s="258"/>
      <c r="AJ357" s="258"/>
      <c r="AK357" s="258" t="s">
        <v>2495</v>
      </c>
      <c r="AL357" s="258" t="s">
        <v>688</v>
      </c>
      <c r="AM357" s="258" t="s">
        <v>689</v>
      </c>
      <c r="AN357" s="258"/>
      <c r="AO357" s="258"/>
      <c r="AP357" s="258"/>
      <c r="AQ357" s="258"/>
      <c r="AR357" s="258" t="s">
        <v>690</v>
      </c>
      <c r="AS357" s="258" t="s">
        <v>691</v>
      </c>
      <c r="AT357" s="258" t="s">
        <v>1841</v>
      </c>
      <c r="AU357" s="265" t="s">
        <v>1842</v>
      </c>
      <c r="AV357" s="174" t="s">
        <v>225</v>
      </c>
      <c r="AW357" s="269" t="s">
        <v>245</v>
      </c>
      <c r="AX357" s="269" t="s">
        <v>694</v>
      </c>
      <c r="AY357" s="270" t="s">
        <v>1843</v>
      </c>
      <c r="AZ357" s="173" t="s">
        <v>1834</v>
      </c>
      <c r="BA357" s="265">
        <v>10.0</v>
      </c>
      <c r="BB357" s="174" t="s">
        <v>225</v>
      </c>
      <c r="BC357" s="271"/>
      <c r="BD357" s="272" t="s">
        <v>1844</v>
      </c>
      <c r="BE357" s="273"/>
      <c r="BF357" s="274" t="str">
        <f>IFERROR(__xludf.DUMMYFUNCTION("LOWER(Regexreplace(to_text(E357),""[^A-Za-z0-9]"","""")&amp;""_""&amp;Regexreplace(to_text(F357),""[^A-Za-z0-9]"",""""))"),"alc_g5ce")</f>
        <v>alc_g5ce</v>
      </c>
      <c r="BG357" s="275" t="str">
        <f>IFERROR(__xludf.DUMMYFUNCTION("upper(Regexreplace(to_text(E357),""[^A-Za-z0-9]"","""")&amp;""-""&amp;Regexreplace(to_text(F357),""[^A-Za-z0-9]"",""""))"),"ALC-G5CE")</f>
        <v>ALC-G5CE</v>
      </c>
    </row>
    <row r="358" ht="30.0" customHeight="1">
      <c r="A358" s="173">
        <v>351.0</v>
      </c>
      <c r="B358" s="256" t="s">
        <v>670</v>
      </c>
      <c r="C358" s="257" t="s">
        <v>2496</v>
      </c>
      <c r="D358" s="173" t="s">
        <v>2496</v>
      </c>
      <c r="E358" s="174" t="s">
        <v>1830</v>
      </c>
      <c r="F358" s="173" t="s">
        <v>507</v>
      </c>
      <c r="G358" s="258" t="s">
        <v>673</v>
      </c>
      <c r="H358" s="258" t="s">
        <v>674</v>
      </c>
      <c r="I358" s="258" t="s">
        <v>1614</v>
      </c>
      <c r="J358" s="259" t="s">
        <v>1272</v>
      </c>
      <c r="K358" s="260">
        <v>834.0</v>
      </c>
      <c r="L358" s="258" t="s">
        <v>2491</v>
      </c>
      <c r="M358" s="265" t="s">
        <v>2497</v>
      </c>
      <c r="N358" s="173" t="s">
        <v>679</v>
      </c>
      <c r="O358" s="173" t="s">
        <v>225</v>
      </c>
      <c r="P358" s="262" t="str">
        <f t="shared" si="1"/>
        <v>IN-BLR-ANANTA-HLI-72_8</v>
      </c>
      <c r="Q358" s="173" t="s">
        <v>2498</v>
      </c>
      <c r="R358" s="258" t="str">
        <f>IFS(C358="","",C358="n/a","N/A",LEN(C358),Concatenate("{",char(34),"asset",char(34),":{",char(34),"guid",char(34),":",char(34),Q358,char(34),",",char(34),"site",char(34),":",char(34),LOWER('2-Building'!$B$4),char(34),",",char(34),"name",char(34),":",char(34),LOWER(C358),char(34),"}}"))</f>
        <v>{"asset":{"guid":"uuid://8a5fda8b-ba65-4773-b05e-d495994ab352","site":"in-blr-ananta","name":"hli-72"}}</v>
      </c>
      <c r="S358" s="258" t="s">
        <v>1834</v>
      </c>
      <c r="T358" s="263"/>
      <c r="U358" s="263"/>
      <c r="V358" s="264" t="s">
        <v>1835</v>
      </c>
      <c r="W358" s="258" t="s">
        <v>1836</v>
      </c>
      <c r="X358" s="258" t="s">
        <v>1837</v>
      </c>
      <c r="Y358" s="33" t="s">
        <v>1838</v>
      </c>
      <c r="Z358" s="258">
        <v>11214.0</v>
      </c>
      <c r="AA358" s="258">
        <v>11501.0</v>
      </c>
      <c r="AB358" s="258"/>
      <c r="AC358" s="258"/>
      <c r="AD358" s="265"/>
      <c r="AE358" s="266" t="s">
        <v>685</v>
      </c>
      <c r="AF358" s="267" t="s">
        <v>2499</v>
      </c>
      <c r="AG358" s="268" t="str">
        <f>IFS(LEN(AF358)=17,LOWER('2-Building'!$B$4 &amp; "-" &amp; C358), AF358="N/A", "N/A", LEN(AF358)=0,"")</f>
        <v>in-blr-ananta-hli-72</v>
      </c>
      <c r="AH358" s="258"/>
      <c r="AI358" s="258"/>
      <c r="AJ358" s="258"/>
      <c r="AK358" s="258" t="s">
        <v>2500</v>
      </c>
      <c r="AL358" s="258" t="s">
        <v>688</v>
      </c>
      <c r="AM358" s="258" t="s">
        <v>689</v>
      </c>
      <c r="AN358" s="258"/>
      <c r="AO358" s="258"/>
      <c r="AP358" s="258"/>
      <c r="AQ358" s="258"/>
      <c r="AR358" s="258" t="s">
        <v>690</v>
      </c>
      <c r="AS358" s="258" t="s">
        <v>691</v>
      </c>
      <c r="AT358" s="258" t="s">
        <v>1841</v>
      </c>
      <c r="AU358" s="265" t="s">
        <v>1842</v>
      </c>
      <c r="AV358" s="174" t="s">
        <v>225</v>
      </c>
      <c r="AW358" s="269" t="s">
        <v>245</v>
      </c>
      <c r="AX358" s="269" t="s">
        <v>694</v>
      </c>
      <c r="AY358" s="270" t="s">
        <v>1843</v>
      </c>
      <c r="AZ358" s="173" t="s">
        <v>1834</v>
      </c>
      <c r="BA358" s="265">
        <v>10.0</v>
      </c>
      <c r="BB358" s="174" t="s">
        <v>225</v>
      </c>
      <c r="BC358" s="271"/>
      <c r="BD358" s="272" t="s">
        <v>1844</v>
      </c>
      <c r="BE358" s="273"/>
      <c r="BF358" s="274" t="str">
        <f>IFERROR(__xludf.DUMMYFUNCTION("LOWER(Regexreplace(to_text(E358),""[^A-Za-z0-9]"","""")&amp;""_""&amp;Regexreplace(to_text(F358),""[^A-Za-z0-9]"",""""))"),"alc_g5ce")</f>
        <v>alc_g5ce</v>
      </c>
      <c r="BG358" s="275" t="str">
        <f>IFERROR(__xludf.DUMMYFUNCTION("upper(Regexreplace(to_text(E358),""[^A-Za-z0-9]"","""")&amp;""-""&amp;Regexreplace(to_text(F358),""[^A-Za-z0-9]"",""""))"),"ALC-G5CE")</f>
        <v>ALC-G5CE</v>
      </c>
    </row>
    <row r="359" ht="30.0" customHeight="1">
      <c r="A359" s="258">
        <v>352.0</v>
      </c>
      <c r="B359" s="256" t="s">
        <v>670</v>
      </c>
      <c r="C359" s="257" t="s">
        <v>1317</v>
      </c>
      <c r="D359" s="173" t="s">
        <v>1317</v>
      </c>
      <c r="E359" s="174" t="s">
        <v>1830</v>
      </c>
      <c r="F359" s="173" t="s">
        <v>507</v>
      </c>
      <c r="G359" s="258" t="s">
        <v>673</v>
      </c>
      <c r="H359" s="258" t="s">
        <v>674</v>
      </c>
      <c r="I359" s="258" t="s">
        <v>1614</v>
      </c>
      <c r="J359" s="259" t="s">
        <v>1272</v>
      </c>
      <c r="K359" s="260">
        <v>833.0</v>
      </c>
      <c r="L359" s="258" t="s">
        <v>2501</v>
      </c>
      <c r="M359" s="265" t="s">
        <v>2502</v>
      </c>
      <c r="N359" s="173" t="s">
        <v>679</v>
      </c>
      <c r="O359" s="173" t="s">
        <v>225</v>
      </c>
      <c r="P359" s="262" t="str">
        <f t="shared" si="1"/>
        <v>IN-BLR-ANANTA-HLI-73_8</v>
      </c>
      <c r="Q359" s="173" t="s">
        <v>2503</v>
      </c>
      <c r="R359" s="258" t="str">
        <f>IFS(C359="","",C359="n/a","N/A",LEN(C359),Concatenate("{",char(34),"asset",char(34),":{",char(34),"guid",char(34),":",char(34),Q359,char(34),",",char(34),"site",char(34),":",char(34),LOWER('2-Building'!$B$4),char(34),",",char(34),"name",char(34),":",char(34),LOWER(C359),char(34),"}}"))</f>
        <v>{"asset":{"guid":"uuid://054fe689-b6e6-4aef-a2f7-ee91fc82a1cc","site":"in-blr-ananta","name":"hli-73"}}</v>
      </c>
      <c r="S359" s="258" t="s">
        <v>1834</v>
      </c>
      <c r="T359" s="263"/>
      <c r="U359" s="263"/>
      <c r="V359" s="264" t="s">
        <v>1835</v>
      </c>
      <c r="W359" s="258" t="s">
        <v>1836</v>
      </c>
      <c r="X359" s="258" t="s">
        <v>1837</v>
      </c>
      <c r="Y359" s="33" t="s">
        <v>1838</v>
      </c>
      <c r="Z359" s="258">
        <v>11223.0</v>
      </c>
      <c r="AA359" s="258">
        <v>11501.0</v>
      </c>
      <c r="AB359" s="258"/>
      <c r="AC359" s="258"/>
      <c r="AD359" s="265"/>
      <c r="AE359" s="266" t="s">
        <v>685</v>
      </c>
      <c r="AF359" s="267" t="s">
        <v>2504</v>
      </c>
      <c r="AG359" s="268" t="str">
        <f>IFS(LEN(AF359)=17,LOWER('2-Building'!$B$4 &amp; "-" &amp; C359), AF359="N/A", "N/A", LEN(AF359)=0,"")</f>
        <v>in-blr-ananta-hli-73</v>
      </c>
      <c r="AH359" s="258"/>
      <c r="AI359" s="258"/>
      <c r="AJ359" s="258"/>
      <c r="AK359" s="258" t="s">
        <v>2505</v>
      </c>
      <c r="AL359" s="258" t="s">
        <v>688</v>
      </c>
      <c r="AM359" s="258" t="s">
        <v>689</v>
      </c>
      <c r="AN359" s="258"/>
      <c r="AO359" s="258"/>
      <c r="AP359" s="258"/>
      <c r="AQ359" s="258"/>
      <c r="AR359" s="258" t="s">
        <v>690</v>
      </c>
      <c r="AS359" s="258" t="s">
        <v>691</v>
      </c>
      <c r="AT359" s="258" t="s">
        <v>1841</v>
      </c>
      <c r="AU359" s="265" t="s">
        <v>1842</v>
      </c>
      <c r="AV359" s="174" t="s">
        <v>225</v>
      </c>
      <c r="AW359" s="269" t="s">
        <v>245</v>
      </c>
      <c r="AX359" s="269" t="s">
        <v>694</v>
      </c>
      <c r="AY359" s="270" t="s">
        <v>1843</v>
      </c>
      <c r="AZ359" s="173" t="s">
        <v>1834</v>
      </c>
      <c r="BA359" s="265">
        <v>10.0</v>
      </c>
      <c r="BB359" s="174" t="s">
        <v>225</v>
      </c>
      <c r="BC359" s="271"/>
      <c r="BD359" s="272" t="s">
        <v>1844</v>
      </c>
      <c r="BE359" s="273"/>
      <c r="BF359" s="274" t="str">
        <f>IFERROR(__xludf.DUMMYFUNCTION("LOWER(Regexreplace(to_text(E359),""[^A-Za-z0-9]"","""")&amp;""_""&amp;Regexreplace(to_text(F359),""[^A-Za-z0-9]"",""""))"),"alc_g5ce")</f>
        <v>alc_g5ce</v>
      </c>
      <c r="BG359" s="275" t="str">
        <f>IFERROR(__xludf.DUMMYFUNCTION("upper(Regexreplace(to_text(E359),""[^A-Za-z0-9]"","""")&amp;""-""&amp;Regexreplace(to_text(F359),""[^A-Za-z0-9]"",""""))"),"ALC-G5CE")</f>
        <v>ALC-G5CE</v>
      </c>
    </row>
    <row r="360" ht="30.0" customHeight="1">
      <c r="A360" s="173">
        <v>353.0</v>
      </c>
      <c r="B360" s="256" t="s">
        <v>670</v>
      </c>
      <c r="C360" s="257" t="s">
        <v>2506</v>
      </c>
      <c r="D360" s="173" t="s">
        <v>2506</v>
      </c>
      <c r="E360" s="174" t="s">
        <v>1830</v>
      </c>
      <c r="F360" s="173" t="s">
        <v>507</v>
      </c>
      <c r="G360" s="258" t="s">
        <v>673</v>
      </c>
      <c r="H360" s="258" t="s">
        <v>674</v>
      </c>
      <c r="I360" s="258" t="s">
        <v>1614</v>
      </c>
      <c r="J360" s="259" t="s">
        <v>1272</v>
      </c>
      <c r="K360" s="260">
        <v>833.0</v>
      </c>
      <c r="L360" s="258" t="s">
        <v>2501</v>
      </c>
      <c r="M360" s="265" t="s">
        <v>2507</v>
      </c>
      <c r="N360" s="173" t="s">
        <v>679</v>
      </c>
      <c r="O360" s="173" t="s">
        <v>225</v>
      </c>
      <c r="P360" s="262" t="str">
        <f t="shared" si="1"/>
        <v>IN-BLR-ANANTA-HLI-74_8</v>
      </c>
      <c r="Q360" s="173" t="s">
        <v>2508</v>
      </c>
      <c r="R360" s="258" t="str">
        <f>IFS(C360="","",C360="n/a","N/A",LEN(C360),Concatenate("{",char(34),"asset",char(34),":{",char(34),"guid",char(34),":",char(34),Q360,char(34),",",char(34),"site",char(34),":",char(34),LOWER('2-Building'!$B$4),char(34),",",char(34),"name",char(34),":",char(34),LOWER(C360),char(34),"}}"))</f>
        <v>{"asset":{"guid":"uuid://cc323667-e9cb-492a-a849-6ec92ce616d6","site":"in-blr-ananta","name":"hli-74"}}</v>
      </c>
      <c r="S360" s="258" t="s">
        <v>1834</v>
      </c>
      <c r="T360" s="263"/>
      <c r="U360" s="263"/>
      <c r="V360" s="264" t="s">
        <v>1835</v>
      </c>
      <c r="W360" s="258" t="s">
        <v>1836</v>
      </c>
      <c r="X360" s="258" t="s">
        <v>1837</v>
      </c>
      <c r="Y360" s="33" t="s">
        <v>1838</v>
      </c>
      <c r="Z360" s="258">
        <v>11345.0</v>
      </c>
      <c r="AA360" s="258">
        <v>11501.0</v>
      </c>
      <c r="AB360" s="258"/>
      <c r="AC360" s="258"/>
      <c r="AD360" s="265"/>
      <c r="AE360" s="266" t="s">
        <v>685</v>
      </c>
      <c r="AF360" s="267" t="s">
        <v>2509</v>
      </c>
      <c r="AG360" s="268" t="str">
        <f>IFS(LEN(AF360)=17,LOWER('2-Building'!$B$4 &amp; "-" &amp; C360), AF360="N/A", "N/A", LEN(AF360)=0,"")</f>
        <v>in-blr-ananta-hli-74</v>
      </c>
      <c r="AH360" s="258"/>
      <c r="AI360" s="258"/>
      <c r="AJ360" s="258"/>
      <c r="AK360" s="258" t="s">
        <v>2510</v>
      </c>
      <c r="AL360" s="258" t="s">
        <v>688</v>
      </c>
      <c r="AM360" s="258" t="s">
        <v>689</v>
      </c>
      <c r="AN360" s="258"/>
      <c r="AO360" s="258"/>
      <c r="AP360" s="258"/>
      <c r="AQ360" s="258"/>
      <c r="AR360" s="258" t="s">
        <v>690</v>
      </c>
      <c r="AS360" s="258" t="s">
        <v>691</v>
      </c>
      <c r="AT360" s="258" t="s">
        <v>1841</v>
      </c>
      <c r="AU360" s="265" t="s">
        <v>1842</v>
      </c>
      <c r="AV360" s="174" t="s">
        <v>225</v>
      </c>
      <c r="AW360" s="269" t="s">
        <v>245</v>
      </c>
      <c r="AX360" s="269" t="s">
        <v>694</v>
      </c>
      <c r="AY360" s="270" t="s">
        <v>1843</v>
      </c>
      <c r="AZ360" s="173" t="s">
        <v>1834</v>
      </c>
      <c r="BA360" s="265">
        <v>10.0</v>
      </c>
      <c r="BB360" s="174" t="s">
        <v>225</v>
      </c>
      <c r="BC360" s="271"/>
      <c r="BD360" s="272" t="s">
        <v>1844</v>
      </c>
      <c r="BE360" s="273"/>
      <c r="BF360" s="274" t="str">
        <f>IFERROR(__xludf.DUMMYFUNCTION("LOWER(Regexreplace(to_text(E360),""[^A-Za-z0-9]"","""")&amp;""_""&amp;Regexreplace(to_text(F360),""[^A-Za-z0-9]"",""""))"),"alc_g5ce")</f>
        <v>alc_g5ce</v>
      </c>
      <c r="BG360" s="275" t="str">
        <f>IFERROR(__xludf.DUMMYFUNCTION("upper(Regexreplace(to_text(E360),""[^A-Za-z0-9]"","""")&amp;""-""&amp;Regexreplace(to_text(F360),""[^A-Za-z0-9]"",""""))"),"ALC-G5CE")</f>
        <v>ALC-G5CE</v>
      </c>
    </row>
    <row r="361" ht="30.0" customHeight="1">
      <c r="A361" s="258">
        <v>354.0</v>
      </c>
      <c r="B361" s="256" t="s">
        <v>670</v>
      </c>
      <c r="C361" s="257" t="s">
        <v>1338</v>
      </c>
      <c r="D361" s="173" t="s">
        <v>1338</v>
      </c>
      <c r="E361" s="174" t="s">
        <v>1830</v>
      </c>
      <c r="F361" s="173" t="s">
        <v>507</v>
      </c>
      <c r="G361" s="258" t="s">
        <v>673</v>
      </c>
      <c r="H361" s="258" t="s">
        <v>674</v>
      </c>
      <c r="I361" s="258" t="s">
        <v>1614</v>
      </c>
      <c r="J361" s="259" t="s">
        <v>1333</v>
      </c>
      <c r="K361" s="260">
        <v>963.0</v>
      </c>
      <c r="L361" s="258" t="s">
        <v>2511</v>
      </c>
      <c r="M361" s="265" t="s">
        <v>2512</v>
      </c>
      <c r="N361" s="173" t="s">
        <v>679</v>
      </c>
      <c r="O361" s="173" t="s">
        <v>225</v>
      </c>
      <c r="P361" s="262" t="str">
        <f t="shared" si="1"/>
        <v>IN-BLR-ANANTA-HLI-75_9</v>
      </c>
      <c r="Q361" s="173" t="s">
        <v>2513</v>
      </c>
      <c r="R361" s="258" t="str">
        <f>IFS(C361="","",C361="n/a","N/A",LEN(C361),Concatenate("{",char(34),"asset",char(34),":{",char(34),"guid",char(34),":",char(34),Q361,char(34),",",char(34),"site",char(34),":",char(34),LOWER('2-Building'!$B$4),char(34),",",char(34),"name",char(34),":",char(34),LOWER(C361),char(34),"}}"))</f>
        <v>{"asset":{"guid":"uuid://de63acfd-20a3-45db-8190-1642b058ff89","site":"in-blr-ananta","name":"hli-75"}}</v>
      </c>
      <c r="S361" s="258" t="s">
        <v>1834</v>
      </c>
      <c r="T361" s="263"/>
      <c r="U361" s="263"/>
      <c r="V361" s="264" t="s">
        <v>1835</v>
      </c>
      <c r="W361" s="258" t="s">
        <v>1836</v>
      </c>
      <c r="X361" s="258" t="s">
        <v>1837</v>
      </c>
      <c r="Y361" s="33" t="s">
        <v>1838</v>
      </c>
      <c r="Z361" s="258">
        <v>11280.0</v>
      </c>
      <c r="AA361" s="258">
        <v>11501.0</v>
      </c>
      <c r="AB361" s="258"/>
      <c r="AC361" s="258"/>
      <c r="AD361" s="265"/>
      <c r="AE361" s="266" t="s">
        <v>685</v>
      </c>
      <c r="AF361" s="267" t="s">
        <v>2514</v>
      </c>
      <c r="AG361" s="268" t="str">
        <f>IFS(LEN(AF361)=17,LOWER('2-Building'!$B$4 &amp; "-" &amp; C361), AF361="N/A", "N/A", LEN(AF361)=0,"")</f>
        <v>in-blr-ananta-hli-75</v>
      </c>
      <c r="AH361" s="258"/>
      <c r="AI361" s="258"/>
      <c r="AJ361" s="258"/>
      <c r="AK361" s="258" t="s">
        <v>2515</v>
      </c>
      <c r="AL361" s="258" t="s">
        <v>688</v>
      </c>
      <c r="AM361" s="258" t="s">
        <v>689</v>
      </c>
      <c r="AN361" s="258"/>
      <c r="AO361" s="258"/>
      <c r="AP361" s="258"/>
      <c r="AQ361" s="258"/>
      <c r="AR361" s="258" t="s">
        <v>690</v>
      </c>
      <c r="AS361" s="258" t="s">
        <v>691</v>
      </c>
      <c r="AT361" s="258" t="s">
        <v>1841</v>
      </c>
      <c r="AU361" s="265" t="s">
        <v>1842</v>
      </c>
      <c r="AV361" s="174" t="s">
        <v>225</v>
      </c>
      <c r="AW361" s="269" t="s">
        <v>245</v>
      </c>
      <c r="AX361" s="269" t="s">
        <v>694</v>
      </c>
      <c r="AY361" s="270" t="s">
        <v>1843</v>
      </c>
      <c r="AZ361" s="173" t="s">
        <v>1834</v>
      </c>
      <c r="BA361" s="265">
        <v>10.0</v>
      </c>
      <c r="BB361" s="174" t="s">
        <v>225</v>
      </c>
      <c r="BC361" s="271"/>
      <c r="BD361" s="272" t="s">
        <v>1844</v>
      </c>
      <c r="BE361" s="273"/>
      <c r="BF361" s="274" t="str">
        <f>IFERROR(__xludf.DUMMYFUNCTION("LOWER(Regexreplace(to_text(E361),""[^A-Za-z0-9]"","""")&amp;""_""&amp;Regexreplace(to_text(F361),""[^A-Za-z0-9]"",""""))"),"alc_g5ce")</f>
        <v>alc_g5ce</v>
      </c>
      <c r="BG361" s="275" t="str">
        <f>IFERROR(__xludf.DUMMYFUNCTION("upper(Regexreplace(to_text(E361),""[^A-Za-z0-9]"","""")&amp;""-""&amp;Regexreplace(to_text(F361),""[^A-Za-z0-9]"",""""))"),"ALC-G5CE")</f>
        <v>ALC-G5CE</v>
      </c>
    </row>
    <row r="362" ht="30.0" customHeight="1">
      <c r="A362" s="173">
        <v>355.0</v>
      </c>
      <c r="B362" s="256" t="s">
        <v>670</v>
      </c>
      <c r="C362" s="257" t="s">
        <v>1327</v>
      </c>
      <c r="D362" s="173" t="s">
        <v>1327</v>
      </c>
      <c r="E362" s="174" t="s">
        <v>1830</v>
      </c>
      <c r="F362" s="173" t="s">
        <v>510</v>
      </c>
      <c r="G362" s="258" t="s">
        <v>673</v>
      </c>
      <c r="H362" s="258" t="s">
        <v>674</v>
      </c>
      <c r="I362" s="258" t="s">
        <v>1614</v>
      </c>
      <c r="J362" s="259" t="s">
        <v>1333</v>
      </c>
      <c r="K362" s="260">
        <v>963.0</v>
      </c>
      <c r="L362" s="258" t="s">
        <v>2511</v>
      </c>
      <c r="M362" s="265" t="s">
        <v>2516</v>
      </c>
      <c r="N362" s="173" t="s">
        <v>679</v>
      </c>
      <c r="O362" s="173" t="s">
        <v>225</v>
      </c>
      <c r="P362" s="262" t="str">
        <f t="shared" si="1"/>
        <v>IN-BLR-ANANTA-HLI-76_9</v>
      </c>
      <c r="Q362" s="173" t="s">
        <v>2517</v>
      </c>
      <c r="R362" s="258" t="str">
        <f>IFS(C362="","",C362="n/a","N/A",LEN(C362),Concatenate("{",char(34),"asset",char(34),":{",char(34),"guid",char(34),":",char(34),Q362,char(34),",",char(34),"site",char(34),":",char(34),LOWER('2-Building'!$B$4),char(34),",",char(34),"name",char(34),":",char(34),LOWER(C362),char(34),"}}"))</f>
        <v>{"asset":{"guid":"uuid://bc8d17de-46e3-42ab-9009-e158f42f6117","site":"in-blr-ananta","name":"hli-76"}}</v>
      </c>
      <c r="S362" s="258" t="s">
        <v>1834</v>
      </c>
      <c r="T362" s="263"/>
      <c r="U362" s="263"/>
      <c r="V362" s="264" t="s">
        <v>1835</v>
      </c>
      <c r="W362" s="258" t="s">
        <v>1836</v>
      </c>
      <c r="X362" s="258" t="s">
        <v>1837</v>
      </c>
      <c r="Y362" s="33" t="s">
        <v>1838</v>
      </c>
      <c r="Z362" s="258">
        <v>11281.0</v>
      </c>
      <c r="AA362" s="258">
        <v>11501.0</v>
      </c>
      <c r="AB362" s="258"/>
      <c r="AC362" s="258"/>
      <c r="AD362" s="265"/>
      <c r="AE362" s="266" t="s">
        <v>685</v>
      </c>
      <c r="AF362" s="267" t="s">
        <v>2518</v>
      </c>
      <c r="AG362" s="268" t="str">
        <f>IFS(LEN(AF362)=17,LOWER('2-Building'!$B$4 &amp; "-" &amp; C362), AF362="N/A", "N/A", LEN(AF362)=0,"")</f>
        <v>in-blr-ananta-hli-76</v>
      </c>
      <c r="AH362" s="258"/>
      <c r="AI362" s="258"/>
      <c r="AJ362" s="258"/>
      <c r="AK362" s="258" t="s">
        <v>2519</v>
      </c>
      <c r="AL362" s="258" t="s">
        <v>688</v>
      </c>
      <c r="AM362" s="258" t="s">
        <v>689</v>
      </c>
      <c r="AN362" s="258"/>
      <c r="AO362" s="258"/>
      <c r="AP362" s="258"/>
      <c r="AQ362" s="258"/>
      <c r="AR362" s="258" t="s">
        <v>690</v>
      </c>
      <c r="AS362" s="258" t="s">
        <v>691</v>
      </c>
      <c r="AT362" s="258" t="s">
        <v>1841</v>
      </c>
      <c r="AU362" s="265" t="s">
        <v>1842</v>
      </c>
      <c r="AV362" s="174" t="s">
        <v>225</v>
      </c>
      <c r="AW362" s="269" t="s">
        <v>245</v>
      </c>
      <c r="AX362" s="269" t="s">
        <v>694</v>
      </c>
      <c r="AY362" s="270" t="s">
        <v>1843</v>
      </c>
      <c r="AZ362" s="173" t="s">
        <v>1834</v>
      </c>
      <c r="BA362" s="265">
        <v>10.0</v>
      </c>
      <c r="BB362" s="174" t="s">
        <v>225</v>
      </c>
      <c r="BC362" s="271"/>
      <c r="BD362" s="272" t="s">
        <v>1844</v>
      </c>
      <c r="BE362" s="273"/>
      <c r="BF362" s="274" t="str">
        <f>IFERROR(__xludf.DUMMYFUNCTION("LOWER(Regexreplace(to_text(E362),""[^A-Za-z0-9]"","""")&amp;""_""&amp;Regexreplace(to_text(F362),""[^A-Za-z0-9]"",""""))"),"alc_ofhi")</f>
        <v>alc_ofhi</v>
      </c>
      <c r="BG362" s="275" t="str">
        <f>IFERROR(__xludf.DUMMYFUNCTION("upper(Regexreplace(to_text(E362),""[^A-Za-z0-9]"","""")&amp;""-""&amp;Regexreplace(to_text(F362),""[^A-Za-z0-9]"",""""))"),"ALC-OFHI")</f>
        <v>ALC-OFHI</v>
      </c>
    </row>
    <row r="363" ht="30.0" customHeight="1">
      <c r="A363" s="258">
        <v>356.0</v>
      </c>
      <c r="B363" s="256" t="s">
        <v>670</v>
      </c>
      <c r="C363" s="257" t="s">
        <v>1357</v>
      </c>
      <c r="D363" s="173" t="s">
        <v>1357</v>
      </c>
      <c r="E363" s="174" t="s">
        <v>1830</v>
      </c>
      <c r="F363" s="173" t="s">
        <v>507</v>
      </c>
      <c r="G363" s="258" t="s">
        <v>673</v>
      </c>
      <c r="H363" s="258" t="s">
        <v>674</v>
      </c>
      <c r="I363" s="258" t="s">
        <v>675</v>
      </c>
      <c r="J363" s="259" t="s">
        <v>1333</v>
      </c>
      <c r="K363" s="260">
        <v>919.0</v>
      </c>
      <c r="L363" s="258" t="s">
        <v>2520</v>
      </c>
      <c r="M363" s="265" t="s">
        <v>2521</v>
      </c>
      <c r="N363" s="173" t="s">
        <v>679</v>
      </c>
      <c r="O363" s="173" t="s">
        <v>225</v>
      </c>
      <c r="P363" s="262" t="str">
        <f t="shared" si="1"/>
        <v>IN-BLR-ANANTA-DDC-59_9</v>
      </c>
      <c r="Q363" s="173" t="s">
        <v>2522</v>
      </c>
      <c r="R363" s="258" t="str">
        <f>IFS(C363="","",C363="n/a","N/A",LEN(C363),Concatenate("{",char(34),"asset",char(34),":{",char(34),"guid",char(34),":",char(34),Q363,char(34),",",char(34),"site",char(34),":",char(34),LOWER('2-Building'!$B$4),char(34),",",char(34),"name",char(34),":",char(34),LOWER(C363),char(34),"}}"))</f>
        <v>{"asset":{"guid":"uuid://21c36cb2-8b61-45f4-8f99-5d068462b2db","site":"in-blr-ananta","name":"ddc-59"}}</v>
      </c>
      <c r="S363" s="258" t="s">
        <v>1834</v>
      </c>
      <c r="T363" s="263"/>
      <c r="U363" s="263"/>
      <c r="V363" s="264" t="s">
        <v>1835</v>
      </c>
      <c r="W363" s="258" t="s">
        <v>1836</v>
      </c>
      <c r="X363" s="258" t="s">
        <v>1837</v>
      </c>
      <c r="Y363" s="33" t="s">
        <v>1838</v>
      </c>
      <c r="Z363" s="258">
        <v>11287.0</v>
      </c>
      <c r="AA363" s="258">
        <v>11501.0</v>
      </c>
      <c r="AB363" s="258"/>
      <c r="AC363" s="258"/>
      <c r="AD363" s="265"/>
      <c r="AE363" s="266" t="s">
        <v>685</v>
      </c>
      <c r="AF363" s="267" t="s">
        <v>2523</v>
      </c>
      <c r="AG363" s="268" t="str">
        <f>IFS(LEN(AF363)=17,LOWER('2-Building'!$B$4 &amp; "-" &amp; C363), AF363="N/A", "N/A", LEN(AF363)=0,"")</f>
        <v>in-blr-ananta-ddc-59</v>
      </c>
      <c r="AH363" s="258"/>
      <c r="AI363" s="258"/>
      <c r="AJ363" s="258"/>
      <c r="AK363" s="258" t="s">
        <v>2524</v>
      </c>
      <c r="AL363" s="258" t="s">
        <v>688</v>
      </c>
      <c r="AM363" s="258" t="s">
        <v>689</v>
      </c>
      <c r="AN363" s="258"/>
      <c r="AO363" s="258"/>
      <c r="AP363" s="258"/>
      <c r="AQ363" s="258"/>
      <c r="AR363" s="258" t="s">
        <v>690</v>
      </c>
      <c r="AS363" s="258" t="s">
        <v>691</v>
      </c>
      <c r="AT363" s="258" t="s">
        <v>1841</v>
      </c>
      <c r="AU363" s="265" t="s">
        <v>1842</v>
      </c>
      <c r="AV363" s="174" t="s">
        <v>225</v>
      </c>
      <c r="AW363" s="269" t="s">
        <v>245</v>
      </c>
      <c r="AX363" s="269" t="s">
        <v>694</v>
      </c>
      <c r="AY363" s="270" t="s">
        <v>1843</v>
      </c>
      <c r="AZ363" s="173" t="s">
        <v>1834</v>
      </c>
      <c r="BA363" s="265">
        <v>10.0</v>
      </c>
      <c r="BB363" s="174" t="s">
        <v>225</v>
      </c>
      <c r="BC363" s="271"/>
      <c r="BD363" s="272" t="s">
        <v>1844</v>
      </c>
      <c r="BE363" s="273"/>
      <c r="BF363" s="274" t="str">
        <f>IFERROR(__xludf.DUMMYFUNCTION("LOWER(Regexreplace(to_text(E363),""[^A-Za-z0-9]"","""")&amp;""_""&amp;Regexreplace(to_text(F363),""[^A-Za-z0-9]"",""""))"),"alc_g5ce")</f>
        <v>alc_g5ce</v>
      </c>
      <c r="BG363" s="275" t="str">
        <f>IFERROR(__xludf.DUMMYFUNCTION("upper(Regexreplace(to_text(E363),""[^A-Za-z0-9]"","""")&amp;""-""&amp;Regexreplace(to_text(F363),""[^A-Za-z0-9]"",""""))"),"ALC-G5CE")</f>
        <v>ALC-G5CE</v>
      </c>
    </row>
    <row r="364" ht="30.0" customHeight="1">
      <c r="A364" s="173">
        <v>357.0</v>
      </c>
      <c r="B364" s="256" t="s">
        <v>670</v>
      </c>
      <c r="C364" s="257" t="s">
        <v>2525</v>
      </c>
      <c r="D364" s="173" t="s">
        <v>2525</v>
      </c>
      <c r="E364" s="174" t="s">
        <v>1830</v>
      </c>
      <c r="F364" s="173" t="s">
        <v>507</v>
      </c>
      <c r="G364" s="258" t="s">
        <v>673</v>
      </c>
      <c r="H364" s="258" t="s">
        <v>674</v>
      </c>
      <c r="I364" s="258" t="s">
        <v>1614</v>
      </c>
      <c r="J364" s="259" t="s">
        <v>1333</v>
      </c>
      <c r="K364" s="260">
        <v>919.0</v>
      </c>
      <c r="L364" s="258" t="s">
        <v>2520</v>
      </c>
      <c r="M364" s="265" t="s">
        <v>2526</v>
      </c>
      <c r="N364" s="173" t="s">
        <v>679</v>
      </c>
      <c r="O364" s="173" t="s">
        <v>225</v>
      </c>
      <c r="P364" s="262" t="str">
        <f t="shared" si="1"/>
        <v>IN-BLR-ANANTA-HLI-77_9</v>
      </c>
      <c r="Q364" s="173" t="s">
        <v>2527</v>
      </c>
      <c r="R364" s="258" t="str">
        <f>IFS(C364="","",C364="n/a","N/A",LEN(C364),Concatenate("{",char(34),"asset",char(34),":{",char(34),"guid",char(34),":",char(34),Q364,char(34),",",char(34),"site",char(34),":",char(34),LOWER('2-Building'!$B$4),char(34),",",char(34),"name",char(34),":",char(34),LOWER(C364),char(34),"}}"))</f>
        <v>{"asset":{"guid":"uuid://5b96fd6e-ebe7-4648-8468-cc19ee7bdb48","site":"in-blr-ananta","name":"hli-77"}}</v>
      </c>
      <c r="S364" s="258" t="s">
        <v>1834</v>
      </c>
      <c r="T364" s="263"/>
      <c r="U364" s="263"/>
      <c r="V364" s="264" t="s">
        <v>1835</v>
      </c>
      <c r="W364" s="258" t="s">
        <v>1836</v>
      </c>
      <c r="X364" s="258" t="s">
        <v>1837</v>
      </c>
      <c r="Y364" s="33" t="s">
        <v>1838</v>
      </c>
      <c r="Z364" s="258">
        <v>11282.0</v>
      </c>
      <c r="AA364" s="258">
        <v>11501.0</v>
      </c>
      <c r="AB364" s="258"/>
      <c r="AC364" s="258"/>
      <c r="AD364" s="265"/>
      <c r="AE364" s="266" t="s">
        <v>685</v>
      </c>
      <c r="AF364" s="267" t="s">
        <v>2528</v>
      </c>
      <c r="AG364" s="268" t="str">
        <f>IFS(LEN(AF364)=17,LOWER('2-Building'!$B$4 &amp; "-" &amp; C364), AF364="N/A", "N/A", LEN(AF364)=0,"")</f>
        <v>in-blr-ananta-hli-77</v>
      </c>
      <c r="AH364" s="258"/>
      <c r="AI364" s="258"/>
      <c r="AJ364" s="258"/>
      <c r="AK364" s="258" t="s">
        <v>2529</v>
      </c>
      <c r="AL364" s="258" t="s">
        <v>688</v>
      </c>
      <c r="AM364" s="258" t="s">
        <v>689</v>
      </c>
      <c r="AN364" s="258"/>
      <c r="AO364" s="258"/>
      <c r="AP364" s="258"/>
      <c r="AQ364" s="258"/>
      <c r="AR364" s="258" t="s">
        <v>690</v>
      </c>
      <c r="AS364" s="258" t="s">
        <v>691</v>
      </c>
      <c r="AT364" s="258" t="s">
        <v>1841</v>
      </c>
      <c r="AU364" s="265" t="s">
        <v>1842</v>
      </c>
      <c r="AV364" s="174" t="s">
        <v>225</v>
      </c>
      <c r="AW364" s="269" t="s">
        <v>245</v>
      </c>
      <c r="AX364" s="269" t="s">
        <v>694</v>
      </c>
      <c r="AY364" s="270" t="s">
        <v>1843</v>
      </c>
      <c r="AZ364" s="173" t="s">
        <v>1834</v>
      </c>
      <c r="BA364" s="265">
        <v>10.0</v>
      </c>
      <c r="BB364" s="174" t="s">
        <v>225</v>
      </c>
      <c r="BC364" s="271"/>
      <c r="BD364" s="272" t="s">
        <v>1844</v>
      </c>
      <c r="BE364" s="273"/>
      <c r="BF364" s="274" t="str">
        <f>IFERROR(__xludf.DUMMYFUNCTION("LOWER(Regexreplace(to_text(E364),""[^A-Za-z0-9]"","""")&amp;""_""&amp;Regexreplace(to_text(F364),""[^A-Za-z0-9]"",""""))"),"alc_g5ce")</f>
        <v>alc_g5ce</v>
      </c>
      <c r="BG364" s="275" t="str">
        <f>IFERROR(__xludf.DUMMYFUNCTION("upper(Regexreplace(to_text(E364),""[^A-Za-z0-9]"","""")&amp;""-""&amp;Regexreplace(to_text(F364),""[^A-Za-z0-9]"",""""))"),"ALC-G5CE")</f>
        <v>ALC-G5CE</v>
      </c>
    </row>
    <row r="365" ht="30.0" customHeight="1">
      <c r="A365" s="258">
        <v>358.0</v>
      </c>
      <c r="B365" s="256" t="s">
        <v>670</v>
      </c>
      <c r="C365" s="257" t="s">
        <v>1367</v>
      </c>
      <c r="D365" s="173" t="s">
        <v>1367</v>
      </c>
      <c r="E365" s="174" t="s">
        <v>1830</v>
      </c>
      <c r="F365" s="173" t="s">
        <v>507</v>
      </c>
      <c r="G365" s="258" t="s">
        <v>673</v>
      </c>
      <c r="H365" s="258" t="s">
        <v>674</v>
      </c>
      <c r="I365" s="258" t="s">
        <v>675</v>
      </c>
      <c r="J365" s="259" t="s">
        <v>1333</v>
      </c>
      <c r="K365" s="260">
        <v>948.0</v>
      </c>
      <c r="L365" s="258" t="s">
        <v>2530</v>
      </c>
      <c r="M365" s="265" t="s">
        <v>2531</v>
      </c>
      <c r="N365" s="173" t="s">
        <v>679</v>
      </c>
      <c r="O365" s="173" t="s">
        <v>225</v>
      </c>
      <c r="P365" s="262" t="str">
        <f t="shared" si="1"/>
        <v>IN-BLR-ANANTA-DDC-60_9</v>
      </c>
      <c r="Q365" s="173" t="s">
        <v>2532</v>
      </c>
      <c r="R365" s="258" t="str">
        <f>IFS(C365="","",C365="n/a","N/A",LEN(C365),Concatenate("{",char(34),"asset",char(34),":{",char(34),"guid",char(34),":",char(34),Q365,char(34),",",char(34),"site",char(34),":",char(34),LOWER('2-Building'!$B$4),char(34),",",char(34),"name",char(34),":",char(34),LOWER(C365),char(34),"}}"))</f>
        <v>{"asset":{"guid":"uuid://e3a7a713-ac5d-4a30-8d2f-b1539dc96986","site":"in-blr-ananta","name":"ddc-60"}}</v>
      </c>
      <c r="S365" s="258" t="s">
        <v>1834</v>
      </c>
      <c r="T365" s="263"/>
      <c r="U365" s="263"/>
      <c r="V365" s="264" t="s">
        <v>1835</v>
      </c>
      <c r="W365" s="258" t="s">
        <v>1836</v>
      </c>
      <c r="X365" s="258" t="s">
        <v>1837</v>
      </c>
      <c r="Y365" s="33" t="s">
        <v>1838</v>
      </c>
      <c r="Z365" s="258">
        <v>11288.0</v>
      </c>
      <c r="AA365" s="258">
        <v>11501.0</v>
      </c>
      <c r="AB365" s="258"/>
      <c r="AC365" s="258"/>
      <c r="AD365" s="265"/>
      <c r="AE365" s="266" t="s">
        <v>685</v>
      </c>
      <c r="AF365" s="267" t="s">
        <v>2533</v>
      </c>
      <c r="AG365" s="268" t="str">
        <f>IFS(LEN(AF365)=17,LOWER('2-Building'!$B$4 &amp; "-" &amp; C365), AF365="N/A", "N/A", LEN(AF365)=0,"")</f>
        <v>in-blr-ananta-ddc-60</v>
      </c>
      <c r="AH365" s="258"/>
      <c r="AI365" s="258"/>
      <c r="AJ365" s="258"/>
      <c r="AK365" s="258" t="s">
        <v>2534</v>
      </c>
      <c r="AL365" s="258" t="s">
        <v>688</v>
      </c>
      <c r="AM365" s="258" t="s">
        <v>689</v>
      </c>
      <c r="AN365" s="258"/>
      <c r="AO365" s="258"/>
      <c r="AP365" s="258"/>
      <c r="AQ365" s="258"/>
      <c r="AR365" s="258" t="s">
        <v>690</v>
      </c>
      <c r="AS365" s="258" t="s">
        <v>691</v>
      </c>
      <c r="AT365" s="258" t="s">
        <v>1841</v>
      </c>
      <c r="AU365" s="265" t="s">
        <v>1842</v>
      </c>
      <c r="AV365" s="174" t="s">
        <v>225</v>
      </c>
      <c r="AW365" s="269" t="s">
        <v>245</v>
      </c>
      <c r="AX365" s="269" t="s">
        <v>694</v>
      </c>
      <c r="AY365" s="270" t="s">
        <v>1843</v>
      </c>
      <c r="AZ365" s="173" t="s">
        <v>1834</v>
      </c>
      <c r="BA365" s="265">
        <v>10.0</v>
      </c>
      <c r="BB365" s="174" t="s">
        <v>225</v>
      </c>
      <c r="BC365" s="271"/>
      <c r="BD365" s="272" t="s">
        <v>1844</v>
      </c>
      <c r="BE365" s="273"/>
      <c r="BF365" s="274" t="str">
        <f>IFERROR(__xludf.DUMMYFUNCTION("LOWER(Regexreplace(to_text(E365),""[^A-Za-z0-9]"","""")&amp;""_""&amp;Regexreplace(to_text(F365),""[^A-Za-z0-9]"",""""))"),"alc_g5ce")</f>
        <v>alc_g5ce</v>
      </c>
      <c r="BG365" s="275" t="str">
        <f>IFERROR(__xludf.DUMMYFUNCTION("upper(Regexreplace(to_text(E365),""[^A-Za-z0-9]"","""")&amp;""-""&amp;Regexreplace(to_text(F365),""[^A-Za-z0-9]"",""""))"),"ALC-G5CE")</f>
        <v>ALC-G5CE</v>
      </c>
    </row>
    <row r="366" ht="30.0" customHeight="1">
      <c r="A366" s="173">
        <v>359.0</v>
      </c>
      <c r="B366" s="256" t="s">
        <v>670</v>
      </c>
      <c r="C366" s="257" t="s">
        <v>2535</v>
      </c>
      <c r="D366" s="173" t="s">
        <v>2535</v>
      </c>
      <c r="E366" s="174" t="s">
        <v>1830</v>
      </c>
      <c r="F366" s="173" t="s">
        <v>507</v>
      </c>
      <c r="G366" s="258" t="s">
        <v>673</v>
      </c>
      <c r="H366" s="258" t="s">
        <v>674</v>
      </c>
      <c r="I366" s="258" t="s">
        <v>1614</v>
      </c>
      <c r="J366" s="259" t="s">
        <v>1333</v>
      </c>
      <c r="K366" s="260">
        <v>948.0</v>
      </c>
      <c r="L366" s="258" t="s">
        <v>2530</v>
      </c>
      <c r="M366" s="265" t="s">
        <v>2536</v>
      </c>
      <c r="N366" s="173" t="s">
        <v>679</v>
      </c>
      <c r="O366" s="173" t="s">
        <v>225</v>
      </c>
      <c r="P366" s="262" t="str">
        <f t="shared" si="1"/>
        <v>IN-BLR-ANANTA-HLI-78_9</v>
      </c>
      <c r="Q366" s="173" t="s">
        <v>2537</v>
      </c>
      <c r="R366" s="258" t="str">
        <f>IFS(C366="","",C366="n/a","N/A",LEN(C366),Concatenate("{",char(34),"asset",char(34),":{",char(34),"guid",char(34),":",char(34),Q366,char(34),",",char(34),"site",char(34),":",char(34),LOWER('2-Building'!$B$4),char(34),",",char(34),"name",char(34),":",char(34),LOWER(C366),char(34),"}}"))</f>
        <v>{"asset":{"guid":"uuid://a411f60e-a0d0-44d1-a950-f78423944462","site":"in-blr-ananta","name":"hli-78"}}</v>
      </c>
      <c r="S366" s="258" t="s">
        <v>1834</v>
      </c>
      <c r="T366" s="263"/>
      <c r="U366" s="263"/>
      <c r="V366" s="264" t="s">
        <v>1835</v>
      </c>
      <c r="W366" s="258" t="s">
        <v>1836</v>
      </c>
      <c r="X366" s="258" t="s">
        <v>1837</v>
      </c>
      <c r="Y366" s="33" t="s">
        <v>1838</v>
      </c>
      <c r="Z366" s="258">
        <v>11283.0</v>
      </c>
      <c r="AA366" s="258">
        <v>11501.0</v>
      </c>
      <c r="AB366" s="258"/>
      <c r="AC366" s="258"/>
      <c r="AD366" s="265"/>
      <c r="AE366" s="266" t="s">
        <v>685</v>
      </c>
      <c r="AF366" s="267" t="s">
        <v>2538</v>
      </c>
      <c r="AG366" s="268" t="str">
        <f>IFS(LEN(AF366)=17,LOWER('2-Building'!$B$4 &amp; "-" &amp; C366), AF366="N/A", "N/A", LEN(AF366)=0,"")</f>
        <v>in-blr-ananta-hli-78</v>
      </c>
      <c r="AH366" s="258"/>
      <c r="AI366" s="258"/>
      <c r="AJ366" s="258"/>
      <c r="AK366" s="258" t="s">
        <v>2539</v>
      </c>
      <c r="AL366" s="258" t="s">
        <v>688</v>
      </c>
      <c r="AM366" s="258" t="s">
        <v>689</v>
      </c>
      <c r="AN366" s="258"/>
      <c r="AO366" s="258"/>
      <c r="AP366" s="258"/>
      <c r="AQ366" s="258"/>
      <c r="AR366" s="258" t="s">
        <v>690</v>
      </c>
      <c r="AS366" s="258" t="s">
        <v>691</v>
      </c>
      <c r="AT366" s="258" t="s">
        <v>1841</v>
      </c>
      <c r="AU366" s="265" t="s">
        <v>1842</v>
      </c>
      <c r="AV366" s="174" t="s">
        <v>225</v>
      </c>
      <c r="AW366" s="269" t="s">
        <v>245</v>
      </c>
      <c r="AX366" s="269" t="s">
        <v>694</v>
      </c>
      <c r="AY366" s="270" t="s">
        <v>1843</v>
      </c>
      <c r="AZ366" s="173" t="s">
        <v>1834</v>
      </c>
      <c r="BA366" s="265">
        <v>10.0</v>
      </c>
      <c r="BB366" s="174" t="s">
        <v>225</v>
      </c>
      <c r="BC366" s="271"/>
      <c r="BD366" s="272" t="s">
        <v>1844</v>
      </c>
      <c r="BE366" s="273"/>
      <c r="BF366" s="274" t="str">
        <f>IFERROR(__xludf.DUMMYFUNCTION("LOWER(Regexreplace(to_text(E366),""[^A-Za-z0-9]"","""")&amp;""_""&amp;Regexreplace(to_text(F366),""[^A-Za-z0-9]"",""""))"),"alc_g5ce")</f>
        <v>alc_g5ce</v>
      </c>
      <c r="BG366" s="275" t="str">
        <f>IFERROR(__xludf.DUMMYFUNCTION("upper(Regexreplace(to_text(E366),""[^A-Za-z0-9]"","""")&amp;""-""&amp;Regexreplace(to_text(F366),""[^A-Za-z0-9]"",""""))"),"ALC-G5CE")</f>
        <v>ALC-G5CE</v>
      </c>
    </row>
    <row r="367" ht="30.0" customHeight="1">
      <c r="A367" s="258">
        <v>360.0</v>
      </c>
      <c r="B367" s="256" t="s">
        <v>670</v>
      </c>
      <c r="C367" s="257" t="s">
        <v>2540</v>
      </c>
      <c r="D367" s="173" t="s">
        <v>2540</v>
      </c>
      <c r="E367" s="174" t="s">
        <v>1830</v>
      </c>
      <c r="F367" s="173" t="s">
        <v>507</v>
      </c>
      <c r="G367" s="258" t="s">
        <v>673</v>
      </c>
      <c r="H367" s="258" t="s">
        <v>674</v>
      </c>
      <c r="I367" s="258" t="s">
        <v>1614</v>
      </c>
      <c r="J367" s="259" t="s">
        <v>1333</v>
      </c>
      <c r="K367" s="260">
        <v>948.0</v>
      </c>
      <c r="L367" s="258" t="s">
        <v>2541</v>
      </c>
      <c r="M367" s="265" t="s">
        <v>2542</v>
      </c>
      <c r="N367" s="173" t="s">
        <v>679</v>
      </c>
      <c r="O367" s="173" t="s">
        <v>225</v>
      </c>
      <c r="P367" s="262" t="str">
        <f t="shared" si="1"/>
        <v>IN-BLR-ANANTA-HLI-79_9</v>
      </c>
      <c r="Q367" s="173" t="s">
        <v>2543</v>
      </c>
      <c r="R367" s="258" t="str">
        <f>IFS(C367="","",C367="n/a","N/A",LEN(C367),Concatenate("{",char(34),"asset",char(34),":{",char(34),"guid",char(34),":",char(34),Q367,char(34),",",char(34),"site",char(34),":",char(34),LOWER('2-Building'!$B$4),char(34),",",char(34),"name",char(34),":",char(34),LOWER(C367),char(34),"}}"))</f>
        <v>{"asset":{"guid":"uuid://a95f2afd-f521-42a6-840c-a8dd8c26e8e1","site":"in-blr-ananta","name":"hli-79"}}</v>
      </c>
      <c r="S367" s="258" t="s">
        <v>1834</v>
      </c>
      <c r="T367" s="263"/>
      <c r="U367" s="263"/>
      <c r="V367" s="264" t="s">
        <v>1835</v>
      </c>
      <c r="W367" s="258" t="s">
        <v>1836</v>
      </c>
      <c r="X367" s="258" t="s">
        <v>1837</v>
      </c>
      <c r="Y367" s="33" t="s">
        <v>1838</v>
      </c>
      <c r="Z367" s="258">
        <v>11284.0</v>
      </c>
      <c r="AA367" s="258">
        <v>11501.0</v>
      </c>
      <c r="AB367" s="258"/>
      <c r="AC367" s="258"/>
      <c r="AD367" s="265"/>
      <c r="AE367" s="266" t="s">
        <v>685</v>
      </c>
      <c r="AF367" s="267" t="s">
        <v>2544</v>
      </c>
      <c r="AG367" s="268" t="str">
        <f>IFS(LEN(AF367)=17,LOWER('2-Building'!$B$4 &amp; "-" &amp; C367), AF367="N/A", "N/A", LEN(AF367)=0,"")</f>
        <v>in-blr-ananta-hli-79</v>
      </c>
      <c r="AH367" s="258"/>
      <c r="AI367" s="258"/>
      <c r="AJ367" s="258"/>
      <c r="AK367" s="258" t="s">
        <v>2545</v>
      </c>
      <c r="AL367" s="258" t="s">
        <v>688</v>
      </c>
      <c r="AM367" s="258" t="s">
        <v>689</v>
      </c>
      <c r="AN367" s="258"/>
      <c r="AO367" s="258"/>
      <c r="AP367" s="258"/>
      <c r="AQ367" s="258"/>
      <c r="AR367" s="258" t="s">
        <v>690</v>
      </c>
      <c r="AS367" s="258" t="s">
        <v>691</v>
      </c>
      <c r="AT367" s="258" t="s">
        <v>1841</v>
      </c>
      <c r="AU367" s="265" t="s">
        <v>1842</v>
      </c>
      <c r="AV367" s="174" t="s">
        <v>225</v>
      </c>
      <c r="AW367" s="269" t="s">
        <v>245</v>
      </c>
      <c r="AX367" s="269" t="s">
        <v>694</v>
      </c>
      <c r="AY367" s="270" t="s">
        <v>1843</v>
      </c>
      <c r="AZ367" s="173" t="s">
        <v>1834</v>
      </c>
      <c r="BA367" s="265">
        <v>10.0</v>
      </c>
      <c r="BB367" s="174" t="s">
        <v>225</v>
      </c>
      <c r="BC367" s="271"/>
      <c r="BD367" s="272" t="s">
        <v>1844</v>
      </c>
      <c r="BE367" s="273"/>
      <c r="BF367" s="274" t="str">
        <f>IFERROR(__xludf.DUMMYFUNCTION("LOWER(Regexreplace(to_text(E367),""[^A-Za-z0-9]"","""")&amp;""_""&amp;Regexreplace(to_text(F367),""[^A-Za-z0-9]"",""""))"),"alc_g5ce")</f>
        <v>alc_g5ce</v>
      </c>
      <c r="BG367" s="275" t="str">
        <f>IFERROR(__xludf.DUMMYFUNCTION("upper(Regexreplace(to_text(E367),""[^A-Za-z0-9]"","""")&amp;""-""&amp;Regexreplace(to_text(F367),""[^A-Za-z0-9]"",""""))"),"ALC-G5CE")</f>
        <v>ALC-G5CE</v>
      </c>
    </row>
    <row r="368" ht="30.0" customHeight="1">
      <c r="A368" s="173">
        <v>361.0</v>
      </c>
      <c r="B368" s="256" t="s">
        <v>670</v>
      </c>
      <c r="C368" s="257" t="s">
        <v>1387</v>
      </c>
      <c r="D368" s="173" t="s">
        <v>1387</v>
      </c>
      <c r="E368" s="174" t="s">
        <v>1830</v>
      </c>
      <c r="F368" s="173" t="s">
        <v>507</v>
      </c>
      <c r="G368" s="258" t="s">
        <v>673</v>
      </c>
      <c r="H368" s="258" t="s">
        <v>674</v>
      </c>
      <c r="I368" s="258" t="s">
        <v>675</v>
      </c>
      <c r="J368" s="259" t="s">
        <v>1333</v>
      </c>
      <c r="K368" s="260">
        <v>975.0</v>
      </c>
      <c r="L368" s="258" t="s">
        <v>2546</v>
      </c>
      <c r="M368" s="265" t="s">
        <v>2547</v>
      </c>
      <c r="N368" s="173" t="s">
        <v>679</v>
      </c>
      <c r="O368" s="173" t="s">
        <v>225</v>
      </c>
      <c r="P368" s="262" t="str">
        <f t="shared" si="1"/>
        <v>IN-BLR-ANANTA-DDC-61_9</v>
      </c>
      <c r="Q368" s="173" t="s">
        <v>2548</v>
      </c>
      <c r="R368" s="258" t="str">
        <f>IFS(C368="","",C368="n/a","N/A",LEN(C368),Concatenate("{",char(34),"asset",char(34),":{",char(34),"guid",char(34),":",char(34),Q368,char(34),",",char(34),"site",char(34),":",char(34),LOWER('2-Building'!$B$4),char(34),",",char(34),"name",char(34),":",char(34),LOWER(C368),char(34),"}}"))</f>
        <v>{"asset":{"guid":"uuid://3fc6be45-b85f-4fe7-adb7-c2dcc3e30383","site":"in-blr-ananta","name":"ddc-61"}}</v>
      </c>
      <c r="S368" s="258" t="s">
        <v>1834</v>
      </c>
      <c r="T368" s="263"/>
      <c r="U368" s="263"/>
      <c r="V368" s="264" t="s">
        <v>1835</v>
      </c>
      <c r="W368" s="258" t="s">
        <v>1836</v>
      </c>
      <c r="X368" s="258" t="s">
        <v>1837</v>
      </c>
      <c r="Y368" s="33" t="s">
        <v>1838</v>
      </c>
      <c r="Z368" s="258">
        <v>11289.0</v>
      </c>
      <c r="AA368" s="258">
        <v>11501.0</v>
      </c>
      <c r="AB368" s="258"/>
      <c r="AC368" s="258"/>
      <c r="AD368" s="265"/>
      <c r="AE368" s="266" t="s">
        <v>685</v>
      </c>
      <c r="AF368" s="267" t="s">
        <v>2549</v>
      </c>
      <c r="AG368" s="268" t="str">
        <f>IFS(LEN(AF368)=17,LOWER('2-Building'!$B$4 &amp; "-" &amp; C368), AF368="N/A", "N/A", LEN(AF368)=0,"")</f>
        <v>in-blr-ananta-ddc-61</v>
      </c>
      <c r="AH368" s="258"/>
      <c r="AI368" s="258"/>
      <c r="AJ368" s="258"/>
      <c r="AK368" s="258" t="s">
        <v>2550</v>
      </c>
      <c r="AL368" s="258" t="s">
        <v>688</v>
      </c>
      <c r="AM368" s="258" t="s">
        <v>689</v>
      </c>
      <c r="AN368" s="258"/>
      <c r="AO368" s="258"/>
      <c r="AP368" s="258"/>
      <c r="AQ368" s="258"/>
      <c r="AR368" s="258" t="s">
        <v>690</v>
      </c>
      <c r="AS368" s="258" t="s">
        <v>691</v>
      </c>
      <c r="AT368" s="258" t="s">
        <v>1841</v>
      </c>
      <c r="AU368" s="265" t="s">
        <v>1842</v>
      </c>
      <c r="AV368" s="174" t="s">
        <v>225</v>
      </c>
      <c r="AW368" s="269" t="s">
        <v>245</v>
      </c>
      <c r="AX368" s="269" t="s">
        <v>694</v>
      </c>
      <c r="AY368" s="270" t="s">
        <v>1843</v>
      </c>
      <c r="AZ368" s="173" t="s">
        <v>1834</v>
      </c>
      <c r="BA368" s="265">
        <v>10.0</v>
      </c>
      <c r="BB368" s="174" t="s">
        <v>225</v>
      </c>
      <c r="BC368" s="271"/>
      <c r="BD368" s="272" t="s">
        <v>1844</v>
      </c>
      <c r="BE368" s="273"/>
      <c r="BF368" s="274" t="str">
        <f>IFERROR(__xludf.DUMMYFUNCTION("LOWER(Regexreplace(to_text(E368),""[^A-Za-z0-9]"","""")&amp;""_""&amp;Regexreplace(to_text(F368),""[^A-Za-z0-9]"",""""))"),"alc_g5ce")</f>
        <v>alc_g5ce</v>
      </c>
      <c r="BG368" s="275" t="str">
        <f>IFERROR(__xludf.DUMMYFUNCTION("upper(Regexreplace(to_text(E368),""[^A-Za-z0-9]"","""")&amp;""-""&amp;Regexreplace(to_text(F368),""[^A-Za-z0-9]"",""""))"),"ALC-G5CE")</f>
        <v>ALC-G5CE</v>
      </c>
    </row>
    <row r="369" ht="30.0" customHeight="1">
      <c r="A369" s="258">
        <v>362.0</v>
      </c>
      <c r="B369" s="256" t="s">
        <v>670</v>
      </c>
      <c r="C369" s="257" t="s">
        <v>2551</v>
      </c>
      <c r="D369" s="173" t="s">
        <v>2551</v>
      </c>
      <c r="E369" s="174" t="s">
        <v>1830</v>
      </c>
      <c r="F369" s="173" t="s">
        <v>507</v>
      </c>
      <c r="G369" s="258" t="s">
        <v>673</v>
      </c>
      <c r="H369" s="258" t="s">
        <v>674</v>
      </c>
      <c r="I369" s="258" t="s">
        <v>1614</v>
      </c>
      <c r="J369" s="259" t="s">
        <v>1333</v>
      </c>
      <c r="K369" s="260">
        <v>975.0</v>
      </c>
      <c r="L369" s="258" t="s">
        <v>2546</v>
      </c>
      <c r="M369" s="265" t="s">
        <v>2552</v>
      </c>
      <c r="N369" s="173" t="s">
        <v>679</v>
      </c>
      <c r="O369" s="173" t="s">
        <v>225</v>
      </c>
      <c r="P369" s="262" t="str">
        <f t="shared" si="1"/>
        <v>IN-BLR-ANANTA-HLI-80_9</v>
      </c>
      <c r="Q369" s="173" t="s">
        <v>2553</v>
      </c>
      <c r="R369" s="258" t="str">
        <f>IFS(C369="","",C369="n/a","N/A",LEN(C369),Concatenate("{",char(34),"asset",char(34),":{",char(34),"guid",char(34),":",char(34),Q369,char(34),",",char(34),"site",char(34),":",char(34),LOWER('2-Building'!$B$4),char(34),",",char(34),"name",char(34),":",char(34),LOWER(C369),char(34),"}}"))</f>
        <v>{"asset":{"guid":"uuid://35d133ed-06ff-4c52-a5e4-8681b1372bf6","site":"in-blr-ananta","name":"hli-80"}}</v>
      </c>
      <c r="S369" s="258" t="s">
        <v>1834</v>
      </c>
      <c r="T369" s="263"/>
      <c r="U369" s="263"/>
      <c r="V369" s="264" t="s">
        <v>1835</v>
      </c>
      <c r="W369" s="258" t="s">
        <v>1836</v>
      </c>
      <c r="X369" s="258" t="s">
        <v>1837</v>
      </c>
      <c r="Y369" s="33" t="s">
        <v>1838</v>
      </c>
      <c r="Z369" s="258">
        <v>11285.0</v>
      </c>
      <c r="AA369" s="258">
        <v>11501.0</v>
      </c>
      <c r="AB369" s="258"/>
      <c r="AC369" s="258"/>
      <c r="AD369" s="265"/>
      <c r="AE369" s="266" t="s">
        <v>685</v>
      </c>
      <c r="AF369" s="267" t="s">
        <v>2554</v>
      </c>
      <c r="AG369" s="268" t="str">
        <f>IFS(LEN(AF369)=17,LOWER('2-Building'!$B$4 &amp; "-" &amp; C369), AF369="N/A", "N/A", LEN(AF369)=0,"")</f>
        <v>in-blr-ananta-hli-80</v>
      </c>
      <c r="AH369" s="258"/>
      <c r="AI369" s="258"/>
      <c r="AJ369" s="258"/>
      <c r="AK369" s="258" t="s">
        <v>2555</v>
      </c>
      <c r="AL369" s="258" t="s">
        <v>688</v>
      </c>
      <c r="AM369" s="258" t="s">
        <v>689</v>
      </c>
      <c r="AN369" s="258"/>
      <c r="AO369" s="258"/>
      <c r="AP369" s="258"/>
      <c r="AQ369" s="258"/>
      <c r="AR369" s="258" t="s">
        <v>690</v>
      </c>
      <c r="AS369" s="258" t="s">
        <v>691</v>
      </c>
      <c r="AT369" s="258" t="s">
        <v>1841</v>
      </c>
      <c r="AU369" s="265" t="s">
        <v>1842</v>
      </c>
      <c r="AV369" s="174" t="s">
        <v>225</v>
      </c>
      <c r="AW369" s="269" t="s">
        <v>245</v>
      </c>
      <c r="AX369" s="269" t="s">
        <v>694</v>
      </c>
      <c r="AY369" s="270" t="s">
        <v>1843</v>
      </c>
      <c r="AZ369" s="173" t="s">
        <v>1834</v>
      </c>
      <c r="BA369" s="265">
        <v>10.0</v>
      </c>
      <c r="BB369" s="174" t="s">
        <v>225</v>
      </c>
      <c r="BC369" s="271"/>
      <c r="BD369" s="272" t="s">
        <v>1844</v>
      </c>
      <c r="BE369" s="273"/>
      <c r="BF369" s="274" t="str">
        <f>IFERROR(__xludf.DUMMYFUNCTION("LOWER(Regexreplace(to_text(E369),""[^A-Za-z0-9]"","""")&amp;""_""&amp;Regexreplace(to_text(F369),""[^A-Za-z0-9]"",""""))"),"alc_g5ce")</f>
        <v>alc_g5ce</v>
      </c>
      <c r="BG369" s="275" t="str">
        <f>IFERROR(__xludf.DUMMYFUNCTION("upper(Regexreplace(to_text(E369),""[^A-Za-z0-9]"","""")&amp;""-""&amp;Regexreplace(to_text(F369),""[^A-Za-z0-9]"",""""))"),"ALC-G5CE")</f>
        <v>ALC-G5CE</v>
      </c>
    </row>
    <row r="370" ht="30.0" customHeight="1">
      <c r="A370" s="173">
        <v>363.0</v>
      </c>
      <c r="B370" s="256" t="s">
        <v>670</v>
      </c>
      <c r="C370" s="257" t="s">
        <v>2556</v>
      </c>
      <c r="D370" s="173" t="s">
        <v>2556</v>
      </c>
      <c r="E370" s="174" t="s">
        <v>1830</v>
      </c>
      <c r="F370" s="173" t="s">
        <v>507</v>
      </c>
      <c r="G370" s="258" t="s">
        <v>673</v>
      </c>
      <c r="H370" s="258" t="s">
        <v>674</v>
      </c>
      <c r="I370" s="258" t="s">
        <v>675</v>
      </c>
      <c r="J370" s="259" t="s">
        <v>1333</v>
      </c>
      <c r="K370" s="260">
        <v>934.0</v>
      </c>
      <c r="L370" s="258" t="s">
        <v>2557</v>
      </c>
      <c r="M370" s="265" t="s">
        <v>2558</v>
      </c>
      <c r="N370" s="173" t="s">
        <v>679</v>
      </c>
      <c r="O370" s="173" t="s">
        <v>225</v>
      </c>
      <c r="P370" s="262" t="str">
        <f t="shared" si="1"/>
        <v>IN-BLR-ANANTA-DDC-62_9</v>
      </c>
      <c r="Q370" s="173" t="s">
        <v>2559</v>
      </c>
      <c r="R370" s="258" t="str">
        <f>IFS(C370="","",C370="n/a","N/A",LEN(C370),Concatenate("{",char(34),"asset",char(34),":{",char(34),"guid",char(34),":",char(34),Q370,char(34),",",char(34),"site",char(34),":",char(34),LOWER('2-Building'!$B$4),char(34),",",char(34),"name",char(34),":",char(34),LOWER(C370),char(34),"}}"))</f>
        <v>{"asset":{"guid":"uuid://0a119a58-6ac4-4d9c-9dc2-63c81532a420","site":"in-blr-ananta","name":"ddc-62"}}</v>
      </c>
      <c r="S370" s="258" t="s">
        <v>1834</v>
      </c>
      <c r="T370" s="263"/>
      <c r="U370" s="263"/>
      <c r="V370" s="264" t="s">
        <v>1835</v>
      </c>
      <c r="W370" s="258" t="s">
        <v>1836</v>
      </c>
      <c r="X370" s="258" t="s">
        <v>1837</v>
      </c>
      <c r="Y370" s="33" t="s">
        <v>1838</v>
      </c>
      <c r="Z370" s="258">
        <v>11290.0</v>
      </c>
      <c r="AA370" s="258">
        <v>11501.0</v>
      </c>
      <c r="AB370" s="258"/>
      <c r="AC370" s="258"/>
      <c r="AD370" s="265"/>
      <c r="AE370" s="266" t="s">
        <v>685</v>
      </c>
      <c r="AF370" s="267" t="s">
        <v>2560</v>
      </c>
      <c r="AG370" s="268" t="str">
        <f>IFS(LEN(AF370)=17,LOWER('2-Building'!$B$4 &amp; "-" &amp; C370), AF370="N/A", "N/A", LEN(AF370)=0,"")</f>
        <v>in-blr-ananta-ddc-62</v>
      </c>
      <c r="AH370" s="258"/>
      <c r="AI370" s="258"/>
      <c r="AJ370" s="258"/>
      <c r="AK370" s="258" t="s">
        <v>2561</v>
      </c>
      <c r="AL370" s="258" t="s">
        <v>688</v>
      </c>
      <c r="AM370" s="258" t="s">
        <v>689</v>
      </c>
      <c r="AN370" s="258"/>
      <c r="AO370" s="258"/>
      <c r="AP370" s="258"/>
      <c r="AQ370" s="258"/>
      <c r="AR370" s="258" t="s">
        <v>690</v>
      </c>
      <c r="AS370" s="258" t="s">
        <v>691</v>
      </c>
      <c r="AT370" s="258" t="s">
        <v>1841</v>
      </c>
      <c r="AU370" s="265" t="s">
        <v>1842</v>
      </c>
      <c r="AV370" s="174" t="s">
        <v>225</v>
      </c>
      <c r="AW370" s="269" t="s">
        <v>245</v>
      </c>
      <c r="AX370" s="269" t="s">
        <v>694</v>
      </c>
      <c r="AY370" s="270" t="s">
        <v>1843</v>
      </c>
      <c r="AZ370" s="173" t="s">
        <v>1834</v>
      </c>
      <c r="BA370" s="265">
        <v>10.0</v>
      </c>
      <c r="BB370" s="174" t="s">
        <v>225</v>
      </c>
      <c r="BC370" s="271"/>
      <c r="BD370" s="272" t="s">
        <v>1844</v>
      </c>
      <c r="BE370" s="273"/>
      <c r="BF370" s="274" t="str">
        <f>IFERROR(__xludf.DUMMYFUNCTION("LOWER(Regexreplace(to_text(E370),""[^A-Za-z0-9]"","""")&amp;""_""&amp;Regexreplace(to_text(F370),""[^A-Za-z0-9]"",""""))"),"alc_g5ce")</f>
        <v>alc_g5ce</v>
      </c>
      <c r="BG370" s="275" t="str">
        <f>IFERROR(__xludf.DUMMYFUNCTION("upper(Regexreplace(to_text(E370),""[^A-Za-z0-9]"","""")&amp;""-""&amp;Regexreplace(to_text(F370),""[^A-Za-z0-9]"",""""))"),"ALC-G5CE")</f>
        <v>ALC-G5CE</v>
      </c>
    </row>
    <row r="371" ht="30.0" customHeight="1">
      <c r="A371" s="258">
        <v>364.0</v>
      </c>
      <c r="B371" s="256" t="s">
        <v>670</v>
      </c>
      <c r="C371" s="257" t="s">
        <v>2562</v>
      </c>
      <c r="D371" s="173" t="s">
        <v>2562</v>
      </c>
      <c r="E371" s="174" t="s">
        <v>1830</v>
      </c>
      <c r="F371" s="173" t="s">
        <v>507</v>
      </c>
      <c r="G371" s="258" t="s">
        <v>673</v>
      </c>
      <c r="H371" s="258" t="s">
        <v>674</v>
      </c>
      <c r="I371" s="258" t="s">
        <v>1614</v>
      </c>
      <c r="J371" s="259" t="s">
        <v>1333</v>
      </c>
      <c r="K371" s="260">
        <v>934.0</v>
      </c>
      <c r="L371" s="258" t="s">
        <v>2557</v>
      </c>
      <c r="M371" s="265" t="s">
        <v>2563</v>
      </c>
      <c r="N371" s="173" t="s">
        <v>679</v>
      </c>
      <c r="O371" s="173" t="s">
        <v>225</v>
      </c>
      <c r="P371" s="262" t="str">
        <f t="shared" si="1"/>
        <v>IN-BLR-ANANTA-HLI-81_9</v>
      </c>
      <c r="Q371" s="173" t="s">
        <v>2564</v>
      </c>
      <c r="R371" s="258" t="str">
        <f>IFS(C371="","",C371="n/a","N/A",LEN(C371),Concatenate("{",char(34),"asset",char(34),":{",char(34),"guid",char(34),":",char(34),Q371,char(34),",",char(34),"site",char(34),":",char(34),LOWER('2-Building'!$B$4),char(34),",",char(34),"name",char(34),":",char(34),LOWER(C371),char(34),"}}"))</f>
        <v>{"asset":{"guid":"uuid://2ff77399-9d42-4aed-b50c-76b9bddf3fc2","site":"in-blr-ananta","name":"hli-81"}}</v>
      </c>
      <c r="S371" s="258" t="s">
        <v>1834</v>
      </c>
      <c r="T371" s="263"/>
      <c r="U371" s="263"/>
      <c r="V371" s="264" t="s">
        <v>1835</v>
      </c>
      <c r="W371" s="258" t="s">
        <v>1836</v>
      </c>
      <c r="X371" s="258" t="s">
        <v>1837</v>
      </c>
      <c r="Y371" s="33" t="s">
        <v>1838</v>
      </c>
      <c r="Z371" s="258">
        <v>11286.0</v>
      </c>
      <c r="AA371" s="258">
        <v>11501.0</v>
      </c>
      <c r="AB371" s="258"/>
      <c r="AC371" s="258"/>
      <c r="AD371" s="265"/>
      <c r="AE371" s="266" t="s">
        <v>685</v>
      </c>
      <c r="AF371" s="267" t="s">
        <v>2565</v>
      </c>
      <c r="AG371" s="268" t="str">
        <f>IFS(LEN(AF371)=17,LOWER('2-Building'!$B$4 &amp; "-" &amp; C371), AF371="N/A", "N/A", LEN(AF371)=0,"")</f>
        <v>in-blr-ananta-hli-81</v>
      </c>
      <c r="AH371" s="258"/>
      <c r="AI371" s="258"/>
      <c r="AJ371" s="258"/>
      <c r="AK371" s="258" t="s">
        <v>2566</v>
      </c>
      <c r="AL371" s="258" t="s">
        <v>688</v>
      </c>
      <c r="AM371" s="258" t="s">
        <v>689</v>
      </c>
      <c r="AN371" s="258"/>
      <c r="AO371" s="258"/>
      <c r="AP371" s="258"/>
      <c r="AQ371" s="258"/>
      <c r="AR371" s="258" t="s">
        <v>690</v>
      </c>
      <c r="AS371" s="258" t="s">
        <v>691</v>
      </c>
      <c r="AT371" s="258" t="s">
        <v>1841</v>
      </c>
      <c r="AU371" s="265" t="s">
        <v>1842</v>
      </c>
      <c r="AV371" s="174" t="s">
        <v>225</v>
      </c>
      <c r="AW371" s="269" t="s">
        <v>245</v>
      </c>
      <c r="AX371" s="269" t="s">
        <v>694</v>
      </c>
      <c r="AY371" s="270" t="s">
        <v>1843</v>
      </c>
      <c r="AZ371" s="173" t="s">
        <v>1834</v>
      </c>
      <c r="BA371" s="265">
        <v>10.0</v>
      </c>
      <c r="BB371" s="174" t="s">
        <v>225</v>
      </c>
      <c r="BC371" s="271"/>
      <c r="BD371" s="272" t="s">
        <v>1844</v>
      </c>
      <c r="BE371" s="273"/>
      <c r="BF371" s="274" t="str">
        <f>IFERROR(__xludf.DUMMYFUNCTION("LOWER(Regexreplace(to_text(E371),""[^A-Za-z0-9]"","""")&amp;""_""&amp;Regexreplace(to_text(F371),""[^A-Za-z0-9]"",""""))"),"alc_g5ce")</f>
        <v>alc_g5ce</v>
      </c>
      <c r="BG371" s="275" t="str">
        <f>IFERROR(__xludf.DUMMYFUNCTION("upper(Regexreplace(to_text(E371),""[^A-Za-z0-9]"","""")&amp;""-""&amp;Regexreplace(to_text(F371),""[^A-Za-z0-9]"",""""))"),"ALC-G5CE")</f>
        <v>ALC-G5CE</v>
      </c>
    </row>
    <row r="372" ht="30.0" customHeight="1">
      <c r="A372" s="173">
        <v>365.0</v>
      </c>
      <c r="B372" s="256" t="s">
        <v>670</v>
      </c>
      <c r="C372" s="257" t="s">
        <v>2567</v>
      </c>
      <c r="D372" s="173" t="s">
        <v>2567</v>
      </c>
      <c r="E372" s="174" t="s">
        <v>1830</v>
      </c>
      <c r="F372" s="173" t="s">
        <v>507</v>
      </c>
      <c r="G372" s="258" t="s">
        <v>673</v>
      </c>
      <c r="H372" s="258" t="s">
        <v>674</v>
      </c>
      <c r="I372" s="258" t="s">
        <v>675</v>
      </c>
      <c r="J372" s="259" t="s">
        <v>1333</v>
      </c>
      <c r="K372" s="260">
        <v>933.0</v>
      </c>
      <c r="L372" s="258" t="s">
        <v>2568</v>
      </c>
      <c r="M372" s="265" t="s">
        <v>2569</v>
      </c>
      <c r="N372" s="173" t="s">
        <v>679</v>
      </c>
      <c r="O372" s="173" t="s">
        <v>225</v>
      </c>
      <c r="P372" s="262" t="str">
        <f t="shared" si="1"/>
        <v>IN-BLR-ANANTA-DDC-63_9</v>
      </c>
      <c r="Q372" s="173" t="s">
        <v>2570</v>
      </c>
      <c r="R372" s="258" t="str">
        <f>IFS(C372="","",C372="n/a","N/A",LEN(C372),Concatenate("{",char(34),"asset",char(34),":{",char(34),"guid",char(34),":",char(34),Q372,char(34),",",char(34),"site",char(34),":",char(34),LOWER('2-Building'!$B$4),char(34),",",char(34),"name",char(34),":",char(34),LOWER(C372),char(34),"}}"))</f>
        <v>{"asset":{"guid":"uuid://37eeb8a1-0eb3-483f-adc4-4d8a1b3e8325","site":"in-blr-ananta","name":"ddc-63"}}</v>
      </c>
      <c r="S372" s="258" t="s">
        <v>1834</v>
      </c>
      <c r="T372" s="263"/>
      <c r="U372" s="263"/>
      <c r="V372" s="264" t="s">
        <v>1835</v>
      </c>
      <c r="W372" s="258" t="s">
        <v>1836</v>
      </c>
      <c r="X372" s="258" t="s">
        <v>1837</v>
      </c>
      <c r="Y372" s="33" t="s">
        <v>1838</v>
      </c>
      <c r="Z372" s="258">
        <v>11291.0</v>
      </c>
      <c r="AA372" s="258">
        <v>11501.0</v>
      </c>
      <c r="AB372" s="258"/>
      <c r="AC372" s="258"/>
      <c r="AD372" s="265"/>
      <c r="AE372" s="266" t="s">
        <v>685</v>
      </c>
      <c r="AF372" s="267" t="s">
        <v>2571</v>
      </c>
      <c r="AG372" s="268" t="str">
        <f>IFS(LEN(AF372)=17,LOWER('2-Building'!$B$4 &amp; "-" &amp; C372), AF372="N/A", "N/A", LEN(AF372)=0,"")</f>
        <v>in-blr-ananta-ddc-63</v>
      </c>
      <c r="AH372" s="258"/>
      <c r="AI372" s="258"/>
      <c r="AJ372" s="258"/>
      <c r="AK372" s="258" t="s">
        <v>2572</v>
      </c>
      <c r="AL372" s="258" t="s">
        <v>688</v>
      </c>
      <c r="AM372" s="258" t="s">
        <v>689</v>
      </c>
      <c r="AN372" s="258"/>
      <c r="AO372" s="258"/>
      <c r="AP372" s="258"/>
      <c r="AQ372" s="258"/>
      <c r="AR372" s="258" t="s">
        <v>690</v>
      </c>
      <c r="AS372" s="258" t="s">
        <v>691</v>
      </c>
      <c r="AT372" s="258" t="s">
        <v>1841</v>
      </c>
      <c r="AU372" s="265" t="s">
        <v>1842</v>
      </c>
      <c r="AV372" s="174" t="s">
        <v>225</v>
      </c>
      <c r="AW372" s="269" t="s">
        <v>245</v>
      </c>
      <c r="AX372" s="269" t="s">
        <v>694</v>
      </c>
      <c r="AY372" s="270" t="s">
        <v>1843</v>
      </c>
      <c r="AZ372" s="173" t="s">
        <v>1834</v>
      </c>
      <c r="BA372" s="265">
        <v>10.0</v>
      </c>
      <c r="BB372" s="174" t="s">
        <v>225</v>
      </c>
      <c r="BC372" s="271"/>
      <c r="BD372" s="272" t="s">
        <v>1844</v>
      </c>
      <c r="BE372" s="273"/>
      <c r="BF372" s="274" t="str">
        <f>IFERROR(__xludf.DUMMYFUNCTION("LOWER(Regexreplace(to_text(E372),""[^A-Za-z0-9]"","""")&amp;""_""&amp;Regexreplace(to_text(F372),""[^A-Za-z0-9]"",""""))"),"alc_g5ce")</f>
        <v>alc_g5ce</v>
      </c>
      <c r="BG372" s="275" t="str">
        <f>IFERROR(__xludf.DUMMYFUNCTION("upper(Regexreplace(to_text(E372),""[^A-Za-z0-9]"","""")&amp;""-""&amp;Regexreplace(to_text(F372),""[^A-Za-z0-9]"",""""))"),"ALC-G5CE")</f>
        <v>ALC-G5CE</v>
      </c>
    </row>
    <row r="373" ht="30.0" customHeight="1">
      <c r="A373" s="258">
        <v>366.0</v>
      </c>
      <c r="B373" s="256" t="s">
        <v>670</v>
      </c>
      <c r="C373" s="257" t="s">
        <v>1399</v>
      </c>
      <c r="D373" s="173" t="s">
        <v>1399</v>
      </c>
      <c r="E373" s="174" t="s">
        <v>1830</v>
      </c>
      <c r="F373" s="173" t="s">
        <v>507</v>
      </c>
      <c r="G373" s="258" t="s">
        <v>673</v>
      </c>
      <c r="H373" s="258" t="s">
        <v>674</v>
      </c>
      <c r="I373" s="258" t="s">
        <v>1614</v>
      </c>
      <c r="J373" s="259" t="s">
        <v>1393</v>
      </c>
      <c r="K373" s="260" t="s">
        <v>1394</v>
      </c>
      <c r="L373" s="258" t="s">
        <v>2573</v>
      </c>
      <c r="M373" s="265" t="s">
        <v>2574</v>
      </c>
      <c r="N373" s="173" t="s">
        <v>679</v>
      </c>
      <c r="O373" s="173" t="s">
        <v>225</v>
      </c>
      <c r="P373" s="262" t="str">
        <f t="shared" si="1"/>
        <v>IN-BLR-ANANTA-HLI-82_10</v>
      </c>
      <c r="Q373" s="173" t="s">
        <v>2575</v>
      </c>
      <c r="R373" s="258" t="str">
        <f>IFS(C373="","",C373="n/a","N/A",LEN(C373),Concatenate("{",char(34),"asset",char(34),":{",char(34),"guid",char(34),":",char(34),Q373,char(34),",",char(34),"site",char(34),":",char(34),LOWER('2-Building'!$B$4),char(34),",",char(34),"name",char(34),":",char(34),LOWER(C373),char(34),"}}"))</f>
        <v>{"asset":{"guid":"uuid://fa16aea9-4524-45d5-b18e-676a2663f8b5","site":"in-blr-ananta","name":"hli-82"}}</v>
      </c>
      <c r="S373" s="258" t="s">
        <v>1834</v>
      </c>
      <c r="T373" s="263"/>
      <c r="U373" s="263"/>
      <c r="V373" s="264" t="s">
        <v>1835</v>
      </c>
      <c r="W373" s="258" t="s">
        <v>1836</v>
      </c>
      <c r="X373" s="258" t="s">
        <v>1837</v>
      </c>
      <c r="Y373" s="33" t="s">
        <v>1838</v>
      </c>
      <c r="Z373" s="258">
        <v>11301.0</v>
      </c>
      <c r="AA373" s="258">
        <v>11501.0</v>
      </c>
      <c r="AB373" s="258"/>
      <c r="AC373" s="258"/>
      <c r="AD373" s="265"/>
      <c r="AE373" s="266" t="s">
        <v>685</v>
      </c>
      <c r="AF373" s="267" t="s">
        <v>2576</v>
      </c>
      <c r="AG373" s="268" t="str">
        <f>IFS(LEN(AF373)=17,LOWER('2-Building'!$B$4 &amp; "-" &amp; C373), AF373="N/A", "N/A", LEN(AF373)=0,"")</f>
        <v>in-blr-ananta-hli-82</v>
      </c>
      <c r="AH373" s="258"/>
      <c r="AI373" s="258"/>
      <c r="AJ373" s="258"/>
      <c r="AK373" s="258" t="s">
        <v>2577</v>
      </c>
      <c r="AL373" s="258" t="s">
        <v>688</v>
      </c>
      <c r="AM373" s="258" t="s">
        <v>689</v>
      </c>
      <c r="AN373" s="258"/>
      <c r="AO373" s="258"/>
      <c r="AP373" s="258"/>
      <c r="AQ373" s="258"/>
      <c r="AR373" s="258" t="s">
        <v>690</v>
      </c>
      <c r="AS373" s="258" t="s">
        <v>691</v>
      </c>
      <c r="AT373" s="258" t="s">
        <v>1841</v>
      </c>
      <c r="AU373" s="265" t="s">
        <v>1842</v>
      </c>
      <c r="AV373" s="174" t="s">
        <v>225</v>
      </c>
      <c r="AW373" s="269" t="s">
        <v>245</v>
      </c>
      <c r="AX373" s="269" t="s">
        <v>694</v>
      </c>
      <c r="AY373" s="270" t="s">
        <v>1843</v>
      </c>
      <c r="AZ373" s="173" t="s">
        <v>1834</v>
      </c>
      <c r="BA373" s="265">
        <v>10.0</v>
      </c>
      <c r="BB373" s="174" t="s">
        <v>225</v>
      </c>
      <c r="BC373" s="271"/>
      <c r="BD373" s="272" t="s">
        <v>1844</v>
      </c>
      <c r="BE373" s="273"/>
      <c r="BF373" s="274" t="str">
        <f>IFERROR(__xludf.DUMMYFUNCTION("LOWER(Regexreplace(to_text(E373),""[^A-Za-z0-9]"","""")&amp;""_""&amp;Regexreplace(to_text(F373),""[^A-Za-z0-9]"",""""))"),"alc_g5ce")</f>
        <v>alc_g5ce</v>
      </c>
      <c r="BG373" s="275" t="str">
        <f>IFERROR(__xludf.DUMMYFUNCTION("upper(Regexreplace(to_text(E373),""[^A-Za-z0-9]"","""")&amp;""-""&amp;Regexreplace(to_text(F373),""[^A-Za-z0-9]"",""""))"),"ALC-G5CE")</f>
        <v>ALC-G5CE</v>
      </c>
    </row>
    <row r="374" ht="30.0" customHeight="1">
      <c r="A374" s="173">
        <v>367.0</v>
      </c>
      <c r="B374" s="256" t="s">
        <v>670</v>
      </c>
      <c r="C374" s="257" t="s">
        <v>2578</v>
      </c>
      <c r="D374" s="173" t="s">
        <v>2578</v>
      </c>
      <c r="E374" s="174" t="s">
        <v>1830</v>
      </c>
      <c r="F374" s="173" t="s">
        <v>507</v>
      </c>
      <c r="G374" s="258" t="s">
        <v>673</v>
      </c>
      <c r="H374" s="258" t="s">
        <v>674</v>
      </c>
      <c r="I374" s="258" t="s">
        <v>1614</v>
      </c>
      <c r="J374" s="259" t="s">
        <v>1393</v>
      </c>
      <c r="K374" s="260" t="s">
        <v>1394</v>
      </c>
      <c r="L374" s="258" t="s">
        <v>2573</v>
      </c>
      <c r="M374" s="265" t="s">
        <v>2579</v>
      </c>
      <c r="N374" s="173" t="s">
        <v>679</v>
      </c>
      <c r="O374" s="173" t="s">
        <v>225</v>
      </c>
      <c r="P374" s="262" t="str">
        <f t="shared" si="1"/>
        <v>IN-BLR-ANANTA-HLI-83_10</v>
      </c>
      <c r="Q374" s="173" t="s">
        <v>2580</v>
      </c>
      <c r="R374" s="258" t="str">
        <f>IFS(C374="","",C374="n/a","N/A",LEN(C374),Concatenate("{",char(34),"asset",char(34),":{",char(34),"guid",char(34),":",char(34),Q374,char(34),",",char(34),"site",char(34),":",char(34),LOWER('2-Building'!$B$4),char(34),",",char(34),"name",char(34),":",char(34),LOWER(C374),char(34),"}}"))</f>
        <v>{"asset":{"guid":"uuid://2d49e908-85d7-4dcb-bf3c-d7b7903a6811","site":"in-blr-ananta","name":"hli-83"}}</v>
      </c>
      <c r="S374" s="258" t="s">
        <v>1834</v>
      </c>
      <c r="T374" s="263"/>
      <c r="U374" s="263"/>
      <c r="V374" s="264" t="s">
        <v>1835</v>
      </c>
      <c r="W374" s="258" t="s">
        <v>1836</v>
      </c>
      <c r="X374" s="258" t="s">
        <v>1837</v>
      </c>
      <c r="Y374" s="33" t="s">
        <v>1838</v>
      </c>
      <c r="Z374" s="258">
        <v>11302.0</v>
      </c>
      <c r="AA374" s="258">
        <v>11501.0</v>
      </c>
      <c r="AB374" s="258"/>
      <c r="AC374" s="258"/>
      <c r="AD374" s="265"/>
      <c r="AE374" s="266" t="s">
        <v>685</v>
      </c>
      <c r="AF374" s="267" t="s">
        <v>2581</v>
      </c>
      <c r="AG374" s="268" t="str">
        <f>IFS(LEN(AF374)=17,LOWER('2-Building'!$B$4 &amp; "-" &amp; C374), AF374="N/A", "N/A", LEN(AF374)=0,"")</f>
        <v>in-blr-ananta-hli-83</v>
      </c>
      <c r="AH374" s="258"/>
      <c r="AI374" s="258"/>
      <c r="AJ374" s="258"/>
      <c r="AK374" s="258" t="s">
        <v>2582</v>
      </c>
      <c r="AL374" s="258" t="s">
        <v>688</v>
      </c>
      <c r="AM374" s="258" t="s">
        <v>689</v>
      </c>
      <c r="AN374" s="258"/>
      <c r="AO374" s="258"/>
      <c r="AP374" s="258"/>
      <c r="AQ374" s="258"/>
      <c r="AR374" s="258" t="s">
        <v>690</v>
      </c>
      <c r="AS374" s="258" t="s">
        <v>691</v>
      </c>
      <c r="AT374" s="258" t="s">
        <v>1841</v>
      </c>
      <c r="AU374" s="265" t="s">
        <v>1842</v>
      </c>
      <c r="AV374" s="174" t="s">
        <v>225</v>
      </c>
      <c r="AW374" s="269" t="s">
        <v>245</v>
      </c>
      <c r="AX374" s="269" t="s">
        <v>694</v>
      </c>
      <c r="AY374" s="270" t="s">
        <v>1843</v>
      </c>
      <c r="AZ374" s="173" t="s">
        <v>1834</v>
      </c>
      <c r="BA374" s="265">
        <v>10.0</v>
      </c>
      <c r="BB374" s="174" t="s">
        <v>225</v>
      </c>
      <c r="BC374" s="271"/>
      <c r="BD374" s="272" t="s">
        <v>1844</v>
      </c>
      <c r="BE374" s="273"/>
      <c r="BF374" s="274" t="str">
        <f>IFERROR(__xludf.DUMMYFUNCTION("LOWER(Regexreplace(to_text(E374),""[^A-Za-z0-9]"","""")&amp;""_""&amp;Regexreplace(to_text(F374),""[^A-Za-z0-9]"",""""))"),"alc_g5ce")</f>
        <v>alc_g5ce</v>
      </c>
      <c r="BG374" s="275" t="str">
        <f>IFERROR(__xludf.DUMMYFUNCTION("upper(Regexreplace(to_text(E374),""[^A-Za-z0-9]"","""")&amp;""-""&amp;Regexreplace(to_text(F374),""[^A-Za-z0-9]"",""""))"),"ALC-G5CE")</f>
        <v>ALC-G5CE</v>
      </c>
    </row>
    <row r="375" ht="30.0" customHeight="1">
      <c r="A375" s="258">
        <v>368.0</v>
      </c>
      <c r="B375" s="256" t="s">
        <v>670</v>
      </c>
      <c r="C375" s="257" t="s">
        <v>2583</v>
      </c>
      <c r="D375" s="173" t="s">
        <v>2583</v>
      </c>
      <c r="E375" s="174" t="s">
        <v>1830</v>
      </c>
      <c r="F375" s="173" t="s">
        <v>510</v>
      </c>
      <c r="G375" s="258" t="s">
        <v>673</v>
      </c>
      <c r="H375" s="258" t="s">
        <v>674</v>
      </c>
      <c r="I375" s="258" t="s">
        <v>1614</v>
      </c>
      <c r="J375" s="259" t="s">
        <v>1393</v>
      </c>
      <c r="K375" s="260" t="s">
        <v>1394</v>
      </c>
      <c r="L375" s="258" t="s">
        <v>2573</v>
      </c>
      <c r="M375" s="265" t="s">
        <v>2584</v>
      </c>
      <c r="N375" s="173" t="s">
        <v>679</v>
      </c>
      <c r="O375" s="173" t="s">
        <v>225</v>
      </c>
      <c r="P375" s="262" t="str">
        <f t="shared" si="1"/>
        <v>IN-BLR-ANANTA-HLI-84_10</v>
      </c>
      <c r="Q375" s="173" t="s">
        <v>2585</v>
      </c>
      <c r="R375" s="258" t="str">
        <f>IFS(C375="","",C375="n/a","N/A",LEN(C375),Concatenate("{",char(34),"asset",char(34),":{",char(34),"guid",char(34),":",char(34),Q375,char(34),",",char(34),"site",char(34),":",char(34),LOWER('2-Building'!$B$4),char(34),",",char(34),"name",char(34),":",char(34),LOWER(C375),char(34),"}}"))</f>
        <v>{"asset":{"guid":"uuid://8dc73817-9be5-4235-9df7-92b31e03c5a0","site":"in-blr-ananta","name":"hli-84"}}</v>
      </c>
      <c r="S375" s="258" t="s">
        <v>1834</v>
      </c>
      <c r="T375" s="263"/>
      <c r="U375" s="263"/>
      <c r="V375" s="264" t="s">
        <v>1835</v>
      </c>
      <c r="W375" s="258" t="s">
        <v>1836</v>
      </c>
      <c r="X375" s="258" t="s">
        <v>1837</v>
      </c>
      <c r="Y375" s="33" t="s">
        <v>1838</v>
      </c>
      <c r="Z375" s="258">
        <v>11303.0</v>
      </c>
      <c r="AA375" s="258">
        <v>11501.0</v>
      </c>
      <c r="AB375" s="258"/>
      <c r="AC375" s="258"/>
      <c r="AD375" s="265"/>
      <c r="AE375" s="266" t="s">
        <v>685</v>
      </c>
      <c r="AF375" s="267" t="s">
        <v>2586</v>
      </c>
      <c r="AG375" s="268" t="str">
        <f>IFS(LEN(AF375)=17,LOWER('2-Building'!$B$4 &amp; "-" &amp; C375), AF375="N/A", "N/A", LEN(AF375)=0,"")</f>
        <v>in-blr-ananta-hli-84</v>
      </c>
      <c r="AH375" s="258"/>
      <c r="AI375" s="258"/>
      <c r="AJ375" s="258"/>
      <c r="AK375" s="258" t="s">
        <v>2587</v>
      </c>
      <c r="AL375" s="258" t="s">
        <v>688</v>
      </c>
      <c r="AM375" s="258" t="s">
        <v>689</v>
      </c>
      <c r="AN375" s="258"/>
      <c r="AO375" s="258"/>
      <c r="AP375" s="258"/>
      <c r="AQ375" s="258"/>
      <c r="AR375" s="258" t="s">
        <v>690</v>
      </c>
      <c r="AS375" s="258" t="s">
        <v>691</v>
      </c>
      <c r="AT375" s="258" t="s">
        <v>1841</v>
      </c>
      <c r="AU375" s="265" t="s">
        <v>1842</v>
      </c>
      <c r="AV375" s="174" t="s">
        <v>225</v>
      </c>
      <c r="AW375" s="269" t="s">
        <v>245</v>
      </c>
      <c r="AX375" s="269" t="s">
        <v>694</v>
      </c>
      <c r="AY375" s="270" t="s">
        <v>1843</v>
      </c>
      <c r="AZ375" s="173" t="s">
        <v>1834</v>
      </c>
      <c r="BA375" s="265">
        <v>10.0</v>
      </c>
      <c r="BB375" s="174" t="s">
        <v>225</v>
      </c>
      <c r="BC375" s="271"/>
      <c r="BD375" s="272" t="s">
        <v>1844</v>
      </c>
      <c r="BE375" s="273"/>
      <c r="BF375" s="274" t="str">
        <f>IFERROR(__xludf.DUMMYFUNCTION("LOWER(Regexreplace(to_text(E375),""[^A-Za-z0-9]"","""")&amp;""_""&amp;Regexreplace(to_text(F375),""[^A-Za-z0-9]"",""""))"),"alc_ofhi")</f>
        <v>alc_ofhi</v>
      </c>
      <c r="BG375" s="275" t="str">
        <f>IFERROR(__xludf.DUMMYFUNCTION("upper(Regexreplace(to_text(E375),""[^A-Za-z0-9]"","""")&amp;""-""&amp;Regexreplace(to_text(F375),""[^A-Za-z0-9]"",""""))"),"ALC-OFHI")</f>
        <v>ALC-OFHI</v>
      </c>
    </row>
    <row r="376" ht="30.0" customHeight="1">
      <c r="A376" s="173">
        <v>369.0</v>
      </c>
      <c r="B376" s="256" t="s">
        <v>670</v>
      </c>
      <c r="C376" s="257" t="s">
        <v>1419</v>
      </c>
      <c r="D376" s="173" t="s">
        <v>1419</v>
      </c>
      <c r="E376" s="174" t="s">
        <v>1830</v>
      </c>
      <c r="F376" s="173" t="s">
        <v>507</v>
      </c>
      <c r="G376" s="258" t="s">
        <v>673</v>
      </c>
      <c r="H376" s="258" t="s">
        <v>674</v>
      </c>
      <c r="I376" s="258" t="s">
        <v>675</v>
      </c>
      <c r="J376" s="259" t="s">
        <v>1393</v>
      </c>
      <c r="K376" s="260">
        <v>1019.0</v>
      </c>
      <c r="L376" s="258" t="s">
        <v>2588</v>
      </c>
      <c r="M376" s="265" t="s">
        <v>2589</v>
      </c>
      <c r="N376" s="173" t="s">
        <v>679</v>
      </c>
      <c r="O376" s="173" t="s">
        <v>225</v>
      </c>
      <c r="P376" s="262" t="str">
        <f t="shared" si="1"/>
        <v>IN-BLR-ANANTA-DDC-64_10</v>
      </c>
      <c r="Q376" s="173" t="s">
        <v>2590</v>
      </c>
      <c r="R376" s="258" t="str">
        <f>IFS(C376="","",C376="n/a","N/A",LEN(C376),Concatenate("{",char(34),"asset",char(34),":{",char(34),"guid",char(34),":",char(34),Q376,char(34),",",char(34),"site",char(34),":",char(34),LOWER('2-Building'!$B$4),char(34),",",char(34),"name",char(34),":",char(34),LOWER(C376),char(34),"}}"))</f>
        <v>{"asset":{"guid":"uuid://715e84e3-31ae-4254-9bc9-0cb5f7643105","site":"in-blr-ananta","name":"ddc-64"}}</v>
      </c>
      <c r="S376" s="258" t="s">
        <v>1834</v>
      </c>
      <c r="T376" s="263"/>
      <c r="U376" s="263"/>
      <c r="V376" s="264" t="s">
        <v>1835</v>
      </c>
      <c r="W376" s="258" t="s">
        <v>1836</v>
      </c>
      <c r="X376" s="258" t="s">
        <v>1837</v>
      </c>
      <c r="Y376" s="33" t="s">
        <v>1838</v>
      </c>
      <c r="Z376" s="258">
        <v>11323.0</v>
      </c>
      <c r="AA376" s="258">
        <v>11501.0</v>
      </c>
      <c r="AB376" s="258"/>
      <c r="AC376" s="258"/>
      <c r="AD376" s="265"/>
      <c r="AE376" s="266" t="s">
        <v>685</v>
      </c>
      <c r="AF376" s="267" t="s">
        <v>2591</v>
      </c>
      <c r="AG376" s="268" t="str">
        <f>IFS(LEN(AF376)=17,LOWER('2-Building'!$B$4 &amp; "-" &amp; C376), AF376="N/A", "N/A", LEN(AF376)=0,"")</f>
        <v>in-blr-ananta-ddc-64</v>
      </c>
      <c r="AH376" s="258"/>
      <c r="AI376" s="258"/>
      <c r="AJ376" s="258"/>
      <c r="AK376" s="258" t="s">
        <v>2592</v>
      </c>
      <c r="AL376" s="258" t="s">
        <v>688</v>
      </c>
      <c r="AM376" s="258" t="s">
        <v>689</v>
      </c>
      <c r="AN376" s="258"/>
      <c r="AO376" s="258"/>
      <c r="AP376" s="258"/>
      <c r="AQ376" s="258"/>
      <c r="AR376" s="258" t="s">
        <v>690</v>
      </c>
      <c r="AS376" s="258" t="s">
        <v>691</v>
      </c>
      <c r="AT376" s="258" t="s">
        <v>1841</v>
      </c>
      <c r="AU376" s="265" t="s">
        <v>1842</v>
      </c>
      <c r="AV376" s="174" t="s">
        <v>225</v>
      </c>
      <c r="AW376" s="269" t="s">
        <v>245</v>
      </c>
      <c r="AX376" s="269" t="s">
        <v>694</v>
      </c>
      <c r="AY376" s="270" t="s">
        <v>1843</v>
      </c>
      <c r="AZ376" s="173" t="s">
        <v>1834</v>
      </c>
      <c r="BA376" s="265">
        <v>10.0</v>
      </c>
      <c r="BB376" s="174" t="s">
        <v>225</v>
      </c>
      <c r="BC376" s="271"/>
      <c r="BD376" s="272" t="s">
        <v>1844</v>
      </c>
      <c r="BE376" s="273"/>
      <c r="BF376" s="274" t="str">
        <f>IFERROR(__xludf.DUMMYFUNCTION("LOWER(Regexreplace(to_text(E376),""[^A-Za-z0-9]"","""")&amp;""_""&amp;Regexreplace(to_text(F376),""[^A-Za-z0-9]"",""""))"),"alc_g5ce")</f>
        <v>alc_g5ce</v>
      </c>
      <c r="BG376" s="275" t="str">
        <f>IFERROR(__xludf.DUMMYFUNCTION("upper(Regexreplace(to_text(E376),""[^A-Za-z0-9]"","""")&amp;""-""&amp;Regexreplace(to_text(F376),""[^A-Za-z0-9]"",""""))"),"ALC-G5CE")</f>
        <v>ALC-G5CE</v>
      </c>
    </row>
    <row r="377" ht="30.0" customHeight="1">
      <c r="A377" s="258">
        <v>370.0</v>
      </c>
      <c r="B377" s="256" t="s">
        <v>670</v>
      </c>
      <c r="C377" s="257" t="s">
        <v>2593</v>
      </c>
      <c r="D377" s="173" t="s">
        <v>2593</v>
      </c>
      <c r="E377" s="174" t="s">
        <v>1830</v>
      </c>
      <c r="F377" s="173" t="s">
        <v>507</v>
      </c>
      <c r="G377" s="258" t="s">
        <v>673</v>
      </c>
      <c r="H377" s="258" t="s">
        <v>674</v>
      </c>
      <c r="I377" s="258" t="s">
        <v>1614</v>
      </c>
      <c r="J377" s="259" t="s">
        <v>1393</v>
      </c>
      <c r="K377" s="260">
        <v>1019.0</v>
      </c>
      <c r="L377" s="258" t="s">
        <v>2588</v>
      </c>
      <c r="M377" s="265" t="s">
        <v>2594</v>
      </c>
      <c r="N377" s="173" t="s">
        <v>679</v>
      </c>
      <c r="O377" s="173" t="s">
        <v>225</v>
      </c>
      <c r="P377" s="262" t="str">
        <f t="shared" si="1"/>
        <v>IN-BLR-ANANTA-HLI-85_10</v>
      </c>
      <c r="Q377" s="173" t="s">
        <v>2595</v>
      </c>
      <c r="R377" s="258" t="str">
        <f>IFS(C377="","",C377="n/a","N/A",LEN(C377),Concatenate("{",char(34),"asset",char(34),":{",char(34),"guid",char(34),":",char(34),Q377,char(34),",",char(34),"site",char(34),":",char(34),LOWER('2-Building'!$B$4),char(34),",",char(34),"name",char(34),":",char(34),LOWER(C377),char(34),"}}"))</f>
        <v>{"asset":{"guid":"uuid://55418cd5-5055-442a-a0ce-7d098c687e77","site":"in-blr-ananta","name":"hli-85"}}</v>
      </c>
      <c r="S377" s="258" t="s">
        <v>1834</v>
      </c>
      <c r="T377" s="263"/>
      <c r="U377" s="263"/>
      <c r="V377" s="264" t="s">
        <v>1835</v>
      </c>
      <c r="W377" s="258" t="s">
        <v>1836</v>
      </c>
      <c r="X377" s="258" t="s">
        <v>1837</v>
      </c>
      <c r="Y377" s="33" t="s">
        <v>1838</v>
      </c>
      <c r="Z377" s="258">
        <v>11304.0</v>
      </c>
      <c r="AA377" s="258">
        <v>11501.0</v>
      </c>
      <c r="AB377" s="258"/>
      <c r="AC377" s="258"/>
      <c r="AD377" s="265"/>
      <c r="AE377" s="266" t="s">
        <v>685</v>
      </c>
      <c r="AF377" s="267" t="s">
        <v>2596</v>
      </c>
      <c r="AG377" s="268" t="str">
        <f>IFS(LEN(AF377)=17,LOWER('2-Building'!$B$4 &amp; "-" &amp; C377), AF377="N/A", "N/A", LEN(AF377)=0,"")</f>
        <v>in-blr-ananta-hli-85</v>
      </c>
      <c r="AH377" s="258"/>
      <c r="AI377" s="258"/>
      <c r="AJ377" s="258"/>
      <c r="AK377" s="258" t="s">
        <v>2597</v>
      </c>
      <c r="AL377" s="258" t="s">
        <v>688</v>
      </c>
      <c r="AM377" s="258" t="s">
        <v>689</v>
      </c>
      <c r="AN377" s="258"/>
      <c r="AO377" s="258"/>
      <c r="AP377" s="258"/>
      <c r="AQ377" s="258"/>
      <c r="AR377" s="258" t="s">
        <v>690</v>
      </c>
      <c r="AS377" s="258" t="s">
        <v>691</v>
      </c>
      <c r="AT377" s="258" t="s">
        <v>1841</v>
      </c>
      <c r="AU377" s="265" t="s">
        <v>1842</v>
      </c>
      <c r="AV377" s="174" t="s">
        <v>225</v>
      </c>
      <c r="AW377" s="269" t="s">
        <v>245</v>
      </c>
      <c r="AX377" s="269" t="s">
        <v>694</v>
      </c>
      <c r="AY377" s="270" t="s">
        <v>1843</v>
      </c>
      <c r="AZ377" s="173" t="s">
        <v>1834</v>
      </c>
      <c r="BA377" s="265">
        <v>10.0</v>
      </c>
      <c r="BB377" s="174" t="s">
        <v>225</v>
      </c>
      <c r="BC377" s="271"/>
      <c r="BD377" s="272" t="s">
        <v>1844</v>
      </c>
      <c r="BE377" s="273"/>
      <c r="BF377" s="274" t="str">
        <f>IFERROR(__xludf.DUMMYFUNCTION("LOWER(Regexreplace(to_text(E377),""[^A-Za-z0-9]"","""")&amp;""_""&amp;Regexreplace(to_text(F377),""[^A-Za-z0-9]"",""""))"),"alc_g5ce")</f>
        <v>alc_g5ce</v>
      </c>
      <c r="BG377" s="275" t="str">
        <f>IFERROR(__xludf.DUMMYFUNCTION("upper(Regexreplace(to_text(E377),""[^A-Za-z0-9]"","""")&amp;""-""&amp;Regexreplace(to_text(F377),""[^A-Za-z0-9]"",""""))"),"ALC-G5CE")</f>
        <v>ALC-G5CE</v>
      </c>
    </row>
    <row r="378" ht="30.0" customHeight="1">
      <c r="A378" s="173">
        <v>371.0</v>
      </c>
      <c r="B378" s="256" t="s">
        <v>670</v>
      </c>
      <c r="C378" s="257" t="s">
        <v>1429</v>
      </c>
      <c r="D378" s="173" t="s">
        <v>1429</v>
      </c>
      <c r="E378" s="174" t="s">
        <v>1830</v>
      </c>
      <c r="F378" s="173" t="s">
        <v>507</v>
      </c>
      <c r="G378" s="258" t="s">
        <v>673</v>
      </c>
      <c r="H378" s="258" t="s">
        <v>674</v>
      </c>
      <c r="I378" s="258" t="s">
        <v>675</v>
      </c>
      <c r="J378" s="259" t="s">
        <v>1393</v>
      </c>
      <c r="K378" s="260">
        <v>1048.0</v>
      </c>
      <c r="L378" s="258" t="s">
        <v>2598</v>
      </c>
      <c r="M378" s="265" t="s">
        <v>2599</v>
      </c>
      <c r="N378" s="173" t="s">
        <v>679</v>
      </c>
      <c r="O378" s="173" t="s">
        <v>225</v>
      </c>
      <c r="P378" s="262" t="str">
        <f t="shared" si="1"/>
        <v>IN-BLR-ANANTA-DDC-65_10</v>
      </c>
      <c r="Q378" s="173" t="s">
        <v>2600</v>
      </c>
      <c r="R378" s="258" t="str">
        <f>IFS(C378="","",C378="n/a","N/A",LEN(C378),Concatenate("{",char(34),"asset",char(34),":{",char(34),"guid",char(34),":",char(34),Q378,char(34),",",char(34),"site",char(34),":",char(34),LOWER('2-Building'!$B$4),char(34),",",char(34),"name",char(34),":",char(34),LOWER(C378),char(34),"}}"))</f>
        <v>{"asset":{"guid":"uuid://f8b47eee-9e94-4ea3-9b0e-223518ea269a","site":"in-blr-ananta","name":"ddc-65"}}</v>
      </c>
      <c r="S378" s="258" t="s">
        <v>1834</v>
      </c>
      <c r="T378" s="263"/>
      <c r="U378" s="263"/>
      <c r="V378" s="264" t="s">
        <v>1835</v>
      </c>
      <c r="W378" s="258" t="s">
        <v>1836</v>
      </c>
      <c r="X378" s="258" t="s">
        <v>1837</v>
      </c>
      <c r="Y378" s="33" t="s">
        <v>1838</v>
      </c>
      <c r="Z378" s="258">
        <v>11324.0</v>
      </c>
      <c r="AA378" s="258">
        <v>11501.0</v>
      </c>
      <c r="AB378" s="258"/>
      <c r="AC378" s="258"/>
      <c r="AD378" s="265"/>
      <c r="AE378" s="266" t="s">
        <v>685</v>
      </c>
      <c r="AF378" s="267" t="s">
        <v>2601</v>
      </c>
      <c r="AG378" s="268" t="str">
        <f>IFS(LEN(AF378)=17,LOWER('2-Building'!$B$4 &amp; "-" &amp; C378), AF378="N/A", "N/A", LEN(AF378)=0,"")</f>
        <v>in-blr-ananta-ddc-65</v>
      </c>
      <c r="AH378" s="258"/>
      <c r="AI378" s="258"/>
      <c r="AJ378" s="258"/>
      <c r="AK378" s="258" t="s">
        <v>2602</v>
      </c>
      <c r="AL378" s="258" t="s">
        <v>688</v>
      </c>
      <c r="AM378" s="258" t="s">
        <v>689</v>
      </c>
      <c r="AN378" s="258"/>
      <c r="AO378" s="258"/>
      <c r="AP378" s="258"/>
      <c r="AQ378" s="258"/>
      <c r="AR378" s="258" t="s">
        <v>690</v>
      </c>
      <c r="AS378" s="258" t="s">
        <v>691</v>
      </c>
      <c r="AT378" s="258" t="s">
        <v>1841</v>
      </c>
      <c r="AU378" s="265" t="s">
        <v>1842</v>
      </c>
      <c r="AV378" s="174" t="s">
        <v>225</v>
      </c>
      <c r="AW378" s="269" t="s">
        <v>245</v>
      </c>
      <c r="AX378" s="269" t="s">
        <v>694</v>
      </c>
      <c r="AY378" s="270" t="s">
        <v>1843</v>
      </c>
      <c r="AZ378" s="173" t="s">
        <v>1834</v>
      </c>
      <c r="BA378" s="265">
        <v>10.0</v>
      </c>
      <c r="BB378" s="174" t="s">
        <v>225</v>
      </c>
      <c r="BC378" s="271"/>
      <c r="BD378" s="272" t="s">
        <v>1844</v>
      </c>
      <c r="BE378" s="273"/>
      <c r="BF378" s="274" t="str">
        <f>IFERROR(__xludf.DUMMYFUNCTION("LOWER(Regexreplace(to_text(E378),""[^A-Za-z0-9]"","""")&amp;""_""&amp;Regexreplace(to_text(F378),""[^A-Za-z0-9]"",""""))"),"alc_g5ce")</f>
        <v>alc_g5ce</v>
      </c>
      <c r="BG378" s="275" t="str">
        <f>IFERROR(__xludf.DUMMYFUNCTION("upper(Regexreplace(to_text(E378),""[^A-Za-z0-9]"","""")&amp;""-""&amp;Regexreplace(to_text(F378),""[^A-Za-z0-9]"",""""))"),"ALC-G5CE")</f>
        <v>ALC-G5CE</v>
      </c>
    </row>
    <row r="379" ht="30.0" customHeight="1">
      <c r="A379" s="258">
        <v>372.0</v>
      </c>
      <c r="B379" s="256" t="s">
        <v>670</v>
      </c>
      <c r="C379" s="257" t="s">
        <v>2603</v>
      </c>
      <c r="D379" s="173" t="s">
        <v>2603</v>
      </c>
      <c r="E379" s="174" t="s">
        <v>1830</v>
      </c>
      <c r="F379" s="173" t="s">
        <v>507</v>
      </c>
      <c r="G379" s="258" t="s">
        <v>673</v>
      </c>
      <c r="H379" s="258" t="s">
        <v>674</v>
      </c>
      <c r="I379" s="258" t="s">
        <v>1614</v>
      </c>
      <c r="J379" s="259" t="s">
        <v>1393</v>
      </c>
      <c r="K379" s="260">
        <v>1048.0</v>
      </c>
      <c r="L379" s="258" t="s">
        <v>2598</v>
      </c>
      <c r="M379" s="265" t="s">
        <v>2604</v>
      </c>
      <c r="N379" s="173" t="s">
        <v>679</v>
      </c>
      <c r="O379" s="173" t="s">
        <v>225</v>
      </c>
      <c r="P379" s="262" t="str">
        <f t="shared" si="1"/>
        <v>IN-BLR-ANANTA-HLI-86_10</v>
      </c>
      <c r="Q379" s="173" t="s">
        <v>2605</v>
      </c>
      <c r="R379" s="258" t="str">
        <f>IFS(C379="","",C379="n/a","N/A",LEN(C379),Concatenate("{",char(34),"asset",char(34),":{",char(34),"guid",char(34),":",char(34),Q379,char(34),",",char(34),"site",char(34),":",char(34),LOWER('2-Building'!$B$4),char(34),",",char(34),"name",char(34),":",char(34),LOWER(C379),char(34),"}}"))</f>
        <v>{"asset":{"guid":"uuid://f588734d-4d0e-42b0-9a85-b1f383ae86b9","site":"in-blr-ananta","name":"hli-86"}}</v>
      </c>
      <c r="S379" s="258" t="s">
        <v>1834</v>
      </c>
      <c r="T379" s="263"/>
      <c r="U379" s="263"/>
      <c r="V379" s="264" t="s">
        <v>1835</v>
      </c>
      <c r="W379" s="258" t="s">
        <v>1836</v>
      </c>
      <c r="X379" s="258" t="s">
        <v>1837</v>
      </c>
      <c r="Y379" s="33" t="s">
        <v>1838</v>
      </c>
      <c r="Z379" s="258">
        <v>11305.0</v>
      </c>
      <c r="AA379" s="258">
        <v>11501.0</v>
      </c>
      <c r="AB379" s="258"/>
      <c r="AC379" s="258"/>
      <c r="AD379" s="265"/>
      <c r="AE379" s="266" t="s">
        <v>685</v>
      </c>
      <c r="AF379" s="267" t="s">
        <v>2606</v>
      </c>
      <c r="AG379" s="268" t="str">
        <f>IFS(LEN(AF379)=17,LOWER('2-Building'!$B$4 &amp; "-" &amp; C379), AF379="N/A", "N/A", LEN(AF379)=0,"")</f>
        <v>in-blr-ananta-hli-86</v>
      </c>
      <c r="AH379" s="258"/>
      <c r="AI379" s="258"/>
      <c r="AJ379" s="258"/>
      <c r="AK379" s="258" t="s">
        <v>2607</v>
      </c>
      <c r="AL379" s="258" t="s">
        <v>688</v>
      </c>
      <c r="AM379" s="258" t="s">
        <v>689</v>
      </c>
      <c r="AN379" s="258"/>
      <c r="AO379" s="258"/>
      <c r="AP379" s="258"/>
      <c r="AQ379" s="258"/>
      <c r="AR379" s="258" t="s">
        <v>690</v>
      </c>
      <c r="AS379" s="258" t="s">
        <v>691</v>
      </c>
      <c r="AT379" s="258" t="s">
        <v>1841</v>
      </c>
      <c r="AU379" s="265" t="s">
        <v>1842</v>
      </c>
      <c r="AV379" s="174" t="s">
        <v>225</v>
      </c>
      <c r="AW379" s="269" t="s">
        <v>245</v>
      </c>
      <c r="AX379" s="269" t="s">
        <v>694</v>
      </c>
      <c r="AY379" s="270" t="s">
        <v>1843</v>
      </c>
      <c r="AZ379" s="173" t="s">
        <v>1834</v>
      </c>
      <c r="BA379" s="265">
        <v>10.0</v>
      </c>
      <c r="BB379" s="174" t="s">
        <v>225</v>
      </c>
      <c r="BC379" s="271"/>
      <c r="BD379" s="272" t="s">
        <v>1844</v>
      </c>
      <c r="BE379" s="273"/>
      <c r="BF379" s="274" t="str">
        <f>IFERROR(__xludf.DUMMYFUNCTION("LOWER(Regexreplace(to_text(E379),""[^A-Za-z0-9]"","""")&amp;""_""&amp;Regexreplace(to_text(F379),""[^A-Za-z0-9]"",""""))"),"alc_g5ce")</f>
        <v>alc_g5ce</v>
      </c>
      <c r="BG379" s="275" t="str">
        <f>IFERROR(__xludf.DUMMYFUNCTION("upper(Regexreplace(to_text(E379),""[^A-Za-z0-9]"","""")&amp;""-""&amp;Regexreplace(to_text(F379),""[^A-Za-z0-9]"",""""))"),"ALC-G5CE")</f>
        <v>ALC-G5CE</v>
      </c>
    </row>
    <row r="380" ht="30.0" customHeight="1">
      <c r="A380" s="173">
        <v>373.0</v>
      </c>
      <c r="B380" s="256" t="s">
        <v>670</v>
      </c>
      <c r="C380" s="257" t="s">
        <v>1409</v>
      </c>
      <c r="D380" s="173" t="s">
        <v>1409</v>
      </c>
      <c r="E380" s="174" t="s">
        <v>1830</v>
      </c>
      <c r="F380" s="173" t="s">
        <v>507</v>
      </c>
      <c r="G380" s="258" t="s">
        <v>673</v>
      </c>
      <c r="H380" s="258" t="s">
        <v>674</v>
      </c>
      <c r="I380" s="258" t="s">
        <v>675</v>
      </c>
      <c r="J380" s="259" t="s">
        <v>1393</v>
      </c>
      <c r="K380" s="260">
        <v>1075.0</v>
      </c>
      <c r="L380" s="258" t="s">
        <v>2608</v>
      </c>
      <c r="M380" s="265" t="s">
        <v>2609</v>
      </c>
      <c r="N380" s="173" t="s">
        <v>679</v>
      </c>
      <c r="O380" s="173" t="s">
        <v>225</v>
      </c>
      <c r="P380" s="262" t="str">
        <f t="shared" si="1"/>
        <v>IN-BLR-ANANTA-DDC-66_10</v>
      </c>
      <c r="Q380" s="173" t="s">
        <v>2610</v>
      </c>
      <c r="R380" s="258" t="str">
        <f>IFS(C380="","",C380="n/a","N/A",LEN(C380),Concatenate("{",char(34),"asset",char(34),":{",char(34),"guid",char(34),":",char(34),Q380,char(34),",",char(34),"site",char(34),":",char(34),LOWER('2-Building'!$B$4),char(34),",",char(34),"name",char(34),":",char(34),LOWER(C380),char(34),"}}"))</f>
        <v>{"asset":{"guid":"uuid://4684f78c-c774-4acb-a5b0-be7b901dc6d7","site":"in-blr-ananta","name":"ddc-66"}}</v>
      </c>
      <c r="S380" s="258" t="s">
        <v>1834</v>
      </c>
      <c r="T380" s="263"/>
      <c r="U380" s="263"/>
      <c r="V380" s="264" t="s">
        <v>1835</v>
      </c>
      <c r="W380" s="258" t="s">
        <v>1836</v>
      </c>
      <c r="X380" s="258" t="s">
        <v>1837</v>
      </c>
      <c r="Y380" s="33" t="s">
        <v>1838</v>
      </c>
      <c r="Z380" s="258">
        <v>11325.0</v>
      </c>
      <c r="AA380" s="258">
        <v>11501.0</v>
      </c>
      <c r="AB380" s="258"/>
      <c r="AC380" s="258"/>
      <c r="AD380" s="265"/>
      <c r="AE380" s="266" t="s">
        <v>685</v>
      </c>
      <c r="AF380" s="267" t="s">
        <v>2611</v>
      </c>
      <c r="AG380" s="268" t="str">
        <f>IFS(LEN(AF380)=17,LOWER('2-Building'!$B$4 &amp; "-" &amp; C380), AF380="N/A", "N/A", LEN(AF380)=0,"")</f>
        <v>in-blr-ananta-ddc-66</v>
      </c>
      <c r="AH380" s="258"/>
      <c r="AI380" s="258"/>
      <c r="AJ380" s="258"/>
      <c r="AK380" s="258" t="s">
        <v>2612</v>
      </c>
      <c r="AL380" s="258" t="s">
        <v>688</v>
      </c>
      <c r="AM380" s="258" t="s">
        <v>689</v>
      </c>
      <c r="AN380" s="258"/>
      <c r="AO380" s="258"/>
      <c r="AP380" s="258"/>
      <c r="AQ380" s="258"/>
      <c r="AR380" s="258" t="s">
        <v>690</v>
      </c>
      <c r="AS380" s="258" t="s">
        <v>691</v>
      </c>
      <c r="AT380" s="258" t="s">
        <v>1841</v>
      </c>
      <c r="AU380" s="265" t="s">
        <v>1842</v>
      </c>
      <c r="AV380" s="174" t="s">
        <v>225</v>
      </c>
      <c r="AW380" s="269" t="s">
        <v>245</v>
      </c>
      <c r="AX380" s="269" t="s">
        <v>694</v>
      </c>
      <c r="AY380" s="270" t="s">
        <v>1843</v>
      </c>
      <c r="AZ380" s="173" t="s">
        <v>1834</v>
      </c>
      <c r="BA380" s="265">
        <v>10.0</v>
      </c>
      <c r="BB380" s="174" t="s">
        <v>225</v>
      </c>
      <c r="BC380" s="271"/>
      <c r="BD380" s="272" t="s">
        <v>1844</v>
      </c>
      <c r="BE380" s="273"/>
      <c r="BF380" s="274" t="str">
        <f>IFERROR(__xludf.DUMMYFUNCTION("LOWER(Regexreplace(to_text(E380),""[^A-Za-z0-9]"","""")&amp;""_""&amp;Regexreplace(to_text(F380),""[^A-Za-z0-9]"",""""))"),"alc_g5ce")</f>
        <v>alc_g5ce</v>
      </c>
      <c r="BG380" s="275" t="str">
        <f>IFERROR(__xludf.DUMMYFUNCTION("upper(Regexreplace(to_text(E380),""[^A-Za-z0-9]"","""")&amp;""-""&amp;Regexreplace(to_text(F380),""[^A-Za-z0-9]"",""""))"),"ALC-G5CE")</f>
        <v>ALC-G5CE</v>
      </c>
    </row>
    <row r="381" ht="30.0" customHeight="1">
      <c r="A381" s="258">
        <v>374.0</v>
      </c>
      <c r="B381" s="256" t="s">
        <v>670</v>
      </c>
      <c r="C381" s="257" t="s">
        <v>2613</v>
      </c>
      <c r="D381" s="173" t="s">
        <v>2613</v>
      </c>
      <c r="E381" s="174" t="s">
        <v>1830</v>
      </c>
      <c r="F381" s="173" t="s">
        <v>507</v>
      </c>
      <c r="G381" s="258" t="s">
        <v>673</v>
      </c>
      <c r="H381" s="258" t="s">
        <v>674</v>
      </c>
      <c r="I381" s="258" t="s">
        <v>1614</v>
      </c>
      <c r="J381" s="259" t="s">
        <v>1393</v>
      </c>
      <c r="K381" s="260">
        <v>1075.0</v>
      </c>
      <c r="L381" s="258" t="s">
        <v>2608</v>
      </c>
      <c r="M381" s="265" t="s">
        <v>2614</v>
      </c>
      <c r="N381" s="173" t="s">
        <v>679</v>
      </c>
      <c r="O381" s="173" t="s">
        <v>225</v>
      </c>
      <c r="P381" s="262" t="str">
        <f t="shared" si="1"/>
        <v>IN-BLR-ANANTA-HLI-87_10</v>
      </c>
      <c r="Q381" s="173" t="s">
        <v>2615</v>
      </c>
      <c r="R381" s="258" t="str">
        <f>IFS(C381="","",C381="n/a","N/A",LEN(C381),Concatenate("{",char(34),"asset",char(34),":{",char(34),"guid",char(34),":",char(34),Q381,char(34),",",char(34),"site",char(34),":",char(34),LOWER('2-Building'!$B$4),char(34),",",char(34),"name",char(34),":",char(34),LOWER(C381),char(34),"}}"))</f>
        <v>{"asset":{"guid":"uuid://104ad182-2a15-4755-9a27-f70fcacb777c","site":"in-blr-ananta","name":"hli-87"}}</v>
      </c>
      <c r="S381" s="258" t="s">
        <v>1834</v>
      </c>
      <c r="T381" s="263"/>
      <c r="U381" s="263"/>
      <c r="V381" s="264" t="s">
        <v>1835</v>
      </c>
      <c r="W381" s="258" t="s">
        <v>1836</v>
      </c>
      <c r="X381" s="258" t="s">
        <v>1837</v>
      </c>
      <c r="Y381" s="33" t="s">
        <v>1838</v>
      </c>
      <c r="Z381" s="258">
        <v>11306.0</v>
      </c>
      <c r="AA381" s="258">
        <v>11501.0</v>
      </c>
      <c r="AB381" s="258"/>
      <c r="AC381" s="258"/>
      <c r="AD381" s="265"/>
      <c r="AE381" s="266" t="s">
        <v>685</v>
      </c>
      <c r="AF381" s="267" t="s">
        <v>2616</v>
      </c>
      <c r="AG381" s="268" t="str">
        <f>IFS(LEN(AF381)=17,LOWER('2-Building'!$B$4 &amp; "-" &amp; C381), AF381="N/A", "N/A", LEN(AF381)=0,"")</f>
        <v>in-blr-ananta-hli-87</v>
      </c>
      <c r="AH381" s="258"/>
      <c r="AI381" s="258"/>
      <c r="AJ381" s="258"/>
      <c r="AK381" s="258" t="s">
        <v>2617</v>
      </c>
      <c r="AL381" s="258" t="s">
        <v>688</v>
      </c>
      <c r="AM381" s="258" t="s">
        <v>689</v>
      </c>
      <c r="AN381" s="258"/>
      <c r="AO381" s="258"/>
      <c r="AP381" s="258"/>
      <c r="AQ381" s="258"/>
      <c r="AR381" s="258" t="s">
        <v>690</v>
      </c>
      <c r="AS381" s="258" t="s">
        <v>691</v>
      </c>
      <c r="AT381" s="258" t="s">
        <v>1841</v>
      </c>
      <c r="AU381" s="265" t="s">
        <v>1842</v>
      </c>
      <c r="AV381" s="174" t="s">
        <v>225</v>
      </c>
      <c r="AW381" s="269" t="s">
        <v>245</v>
      </c>
      <c r="AX381" s="269" t="s">
        <v>694</v>
      </c>
      <c r="AY381" s="270" t="s">
        <v>1843</v>
      </c>
      <c r="AZ381" s="173" t="s">
        <v>1834</v>
      </c>
      <c r="BA381" s="265">
        <v>10.0</v>
      </c>
      <c r="BB381" s="174" t="s">
        <v>225</v>
      </c>
      <c r="BC381" s="271"/>
      <c r="BD381" s="272" t="s">
        <v>1844</v>
      </c>
      <c r="BE381" s="273"/>
      <c r="BF381" s="274" t="str">
        <f>IFERROR(__xludf.DUMMYFUNCTION("LOWER(Regexreplace(to_text(E381),""[^A-Za-z0-9]"","""")&amp;""_""&amp;Regexreplace(to_text(F381),""[^A-Za-z0-9]"",""""))"),"alc_g5ce")</f>
        <v>alc_g5ce</v>
      </c>
      <c r="BG381" s="275" t="str">
        <f>IFERROR(__xludf.DUMMYFUNCTION("upper(Regexreplace(to_text(E381),""[^A-Za-z0-9]"","""")&amp;""-""&amp;Regexreplace(to_text(F381),""[^A-Za-z0-9]"",""""))"),"ALC-G5CE")</f>
        <v>ALC-G5CE</v>
      </c>
    </row>
    <row r="382" ht="30.0" customHeight="1">
      <c r="A382" s="173">
        <v>375.0</v>
      </c>
      <c r="B382" s="256" t="s">
        <v>670</v>
      </c>
      <c r="C382" s="257" t="s">
        <v>1448</v>
      </c>
      <c r="D382" s="173" t="s">
        <v>1448</v>
      </c>
      <c r="E382" s="174" t="s">
        <v>1830</v>
      </c>
      <c r="F382" s="173" t="s">
        <v>507</v>
      </c>
      <c r="G382" s="258" t="s">
        <v>673</v>
      </c>
      <c r="H382" s="258" t="s">
        <v>674</v>
      </c>
      <c r="I382" s="258" t="s">
        <v>675</v>
      </c>
      <c r="J382" s="259" t="s">
        <v>1393</v>
      </c>
      <c r="K382" s="260">
        <v>1034.0</v>
      </c>
      <c r="L382" s="258" t="s">
        <v>2618</v>
      </c>
      <c r="M382" s="265" t="s">
        <v>2619</v>
      </c>
      <c r="N382" s="173" t="s">
        <v>679</v>
      </c>
      <c r="O382" s="173" t="s">
        <v>225</v>
      </c>
      <c r="P382" s="262" t="str">
        <f t="shared" si="1"/>
        <v>IN-BLR-ANANTA-DDC-67_10</v>
      </c>
      <c r="Q382" s="173" t="s">
        <v>2620</v>
      </c>
      <c r="R382" s="258" t="str">
        <f>IFS(C382="","",C382="n/a","N/A",LEN(C382),Concatenate("{",char(34),"asset",char(34),":{",char(34),"guid",char(34),":",char(34),Q382,char(34),",",char(34),"site",char(34),":",char(34),LOWER('2-Building'!$B$4),char(34),",",char(34),"name",char(34),":",char(34),LOWER(C382),char(34),"}}"))</f>
        <v>{"asset":{"guid":"uuid://9a7996b6-0de4-4adf-8b93-6ed75f152a4c","site":"in-blr-ananta","name":"ddc-67"}}</v>
      </c>
      <c r="S382" s="258" t="s">
        <v>1834</v>
      </c>
      <c r="T382" s="263"/>
      <c r="U382" s="263"/>
      <c r="V382" s="264" t="s">
        <v>1835</v>
      </c>
      <c r="W382" s="258" t="s">
        <v>1836</v>
      </c>
      <c r="X382" s="258" t="s">
        <v>1837</v>
      </c>
      <c r="Y382" s="33" t="s">
        <v>1838</v>
      </c>
      <c r="Z382" s="258">
        <v>11326.0</v>
      </c>
      <c r="AA382" s="258">
        <v>11501.0</v>
      </c>
      <c r="AB382" s="258"/>
      <c r="AC382" s="258"/>
      <c r="AD382" s="265"/>
      <c r="AE382" s="266" t="s">
        <v>685</v>
      </c>
      <c r="AF382" s="267" t="s">
        <v>2621</v>
      </c>
      <c r="AG382" s="268" t="str">
        <f>IFS(LEN(AF382)=17,LOWER('2-Building'!$B$4 &amp; "-" &amp; C382), AF382="N/A", "N/A", LEN(AF382)=0,"")</f>
        <v>in-blr-ananta-ddc-67</v>
      </c>
      <c r="AH382" s="258"/>
      <c r="AI382" s="258"/>
      <c r="AJ382" s="258"/>
      <c r="AK382" s="258" t="s">
        <v>2622</v>
      </c>
      <c r="AL382" s="258" t="s">
        <v>688</v>
      </c>
      <c r="AM382" s="258" t="s">
        <v>689</v>
      </c>
      <c r="AN382" s="258"/>
      <c r="AO382" s="258"/>
      <c r="AP382" s="258"/>
      <c r="AQ382" s="258"/>
      <c r="AR382" s="258" t="s">
        <v>690</v>
      </c>
      <c r="AS382" s="258" t="s">
        <v>691</v>
      </c>
      <c r="AT382" s="258" t="s">
        <v>1841</v>
      </c>
      <c r="AU382" s="265" t="s">
        <v>1842</v>
      </c>
      <c r="AV382" s="174" t="s">
        <v>225</v>
      </c>
      <c r="AW382" s="269" t="s">
        <v>245</v>
      </c>
      <c r="AX382" s="269" t="s">
        <v>694</v>
      </c>
      <c r="AY382" s="270" t="s">
        <v>1843</v>
      </c>
      <c r="AZ382" s="173" t="s">
        <v>1834</v>
      </c>
      <c r="BA382" s="265">
        <v>10.0</v>
      </c>
      <c r="BB382" s="174" t="s">
        <v>225</v>
      </c>
      <c r="BC382" s="271"/>
      <c r="BD382" s="272" t="s">
        <v>1844</v>
      </c>
      <c r="BE382" s="273"/>
      <c r="BF382" s="274" t="str">
        <f>IFERROR(__xludf.DUMMYFUNCTION("LOWER(Regexreplace(to_text(E382),""[^A-Za-z0-9]"","""")&amp;""_""&amp;Regexreplace(to_text(F382),""[^A-Za-z0-9]"",""""))"),"alc_g5ce")</f>
        <v>alc_g5ce</v>
      </c>
      <c r="BG382" s="275" t="str">
        <f>IFERROR(__xludf.DUMMYFUNCTION("upper(Regexreplace(to_text(E382),""[^A-Za-z0-9]"","""")&amp;""-""&amp;Regexreplace(to_text(F382),""[^A-Za-z0-9]"",""""))"),"ALC-G5CE")</f>
        <v>ALC-G5CE</v>
      </c>
    </row>
    <row r="383" ht="30.0" customHeight="1">
      <c r="A383" s="258">
        <v>376.0</v>
      </c>
      <c r="B383" s="256" t="s">
        <v>670</v>
      </c>
      <c r="C383" s="257" t="s">
        <v>2623</v>
      </c>
      <c r="D383" s="173" t="s">
        <v>2623</v>
      </c>
      <c r="E383" s="174" t="s">
        <v>1830</v>
      </c>
      <c r="F383" s="173" t="s">
        <v>510</v>
      </c>
      <c r="G383" s="258" t="s">
        <v>673</v>
      </c>
      <c r="H383" s="258" t="s">
        <v>674</v>
      </c>
      <c r="I383" s="258" t="s">
        <v>1614</v>
      </c>
      <c r="J383" s="259" t="s">
        <v>1393</v>
      </c>
      <c r="K383" s="260">
        <v>1033.0</v>
      </c>
      <c r="L383" s="258" t="s">
        <v>2618</v>
      </c>
      <c r="M383" s="265" t="s">
        <v>2624</v>
      </c>
      <c r="N383" s="173" t="s">
        <v>679</v>
      </c>
      <c r="O383" s="173" t="s">
        <v>225</v>
      </c>
      <c r="P383" s="262" t="str">
        <f t="shared" si="1"/>
        <v>IN-BLR-ANANTA-HLI-88_10</v>
      </c>
      <c r="Q383" s="173" t="s">
        <v>2625</v>
      </c>
      <c r="R383" s="258" t="str">
        <f>IFS(C383="","",C383="n/a","N/A",LEN(C383),Concatenate("{",char(34),"asset",char(34),":{",char(34),"guid",char(34),":",char(34),Q383,char(34),",",char(34),"site",char(34),":",char(34),LOWER('2-Building'!$B$4),char(34),",",char(34),"name",char(34),":",char(34),LOWER(C383),char(34),"}}"))</f>
        <v>{"asset":{"guid":"uuid://4d4768d2-ece7-4d82-9b73-0ce881e1b0cc","site":"in-blr-ananta","name":"hli-88"}}</v>
      </c>
      <c r="S383" s="258" t="s">
        <v>1834</v>
      </c>
      <c r="T383" s="263"/>
      <c r="U383" s="263"/>
      <c r="V383" s="264" t="s">
        <v>1835</v>
      </c>
      <c r="W383" s="258" t="s">
        <v>1836</v>
      </c>
      <c r="X383" s="258" t="s">
        <v>1837</v>
      </c>
      <c r="Y383" s="33" t="s">
        <v>1838</v>
      </c>
      <c r="Z383" s="258">
        <v>11307.0</v>
      </c>
      <c r="AA383" s="258">
        <v>11501.0</v>
      </c>
      <c r="AB383" s="258"/>
      <c r="AC383" s="258"/>
      <c r="AD383" s="265"/>
      <c r="AE383" s="266" t="s">
        <v>685</v>
      </c>
      <c r="AF383" s="267" t="s">
        <v>2626</v>
      </c>
      <c r="AG383" s="268" t="str">
        <f>IFS(LEN(AF383)=17,LOWER('2-Building'!$B$4 &amp; "-" &amp; C383), AF383="N/A", "N/A", LEN(AF383)=0,"")</f>
        <v>in-blr-ananta-hli-88</v>
      </c>
      <c r="AH383" s="258"/>
      <c r="AI383" s="258"/>
      <c r="AJ383" s="258"/>
      <c r="AK383" s="258" t="s">
        <v>2627</v>
      </c>
      <c r="AL383" s="258" t="s">
        <v>688</v>
      </c>
      <c r="AM383" s="258" t="s">
        <v>689</v>
      </c>
      <c r="AN383" s="258"/>
      <c r="AO383" s="258"/>
      <c r="AP383" s="258"/>
      <c r="AQ383" s="258"/>
      <c r="AR383" s="258" t="s">
        <v>690</v>
      </c>
      <c r="AS383" s="258" t="s">
        <v>691</v>
      </c>
      <c r="AT383" s="258" t="s">
        <v>1841</v>
      </c>
      <c r="AU383" s="265" t="s">
        <v>1842</v>
      </c>
      <c r="AV383" s="174" t="s">
        <v>225</v>
      </c>
      <c r="AW383" s="269" t="s">
        <v>245</v>
      </c>
      <c r="AX383" s="269" t="s">
        <v>694</v>
      </c>
      <c r="AY383" s="270" t="s">
        <v>1843</v>
      </c>
      <c r="AZ383" s="173" t="s">
        <v>1834</v>
      </c>
      <c r="BA383" s="265">
        <v>10.0</v>
      </c>
      <c r="BB383" s="174" t="s">
        <v>225</v>
      </c>
      <c r="BC383" s="271"/>
      <c r="BD383" s="272" t="s">
        <v>1844</v>
      </c>
      <c r="BE383" s="273"/>
      <c r="BF383" s="274" t="str">
        <f>IFERROR(__xludf.DUMMYFUNCTION("LOWER(Regexreplace(to_text(E383),""[^A-Za-z0-9]"","""")&amp;""_""&amp;Regexreplace(to_text(F383),""[^A-Za-z0-9]"",""""))"),"alc_ofhi")</f>
        <v>alc_ofhi</v>
      </c>
      <c r="BG383" s="275" t="str">
        <f>IFERROR(__xludf.DUMMYFUNCTION("upper(Regexreplace(to_text(E383),""[^A-Za-z0-9]"","""")&amp;""-""&amp;Regexreplace(to_text(F383),""[^A-Za-z0-9]"",""""))"),"ALC-OFHI")</f>
        <v>ALC-OFHI</v>
      </c>
    </row>
    <row r="384" ht="30.0" customHeight="1">
      <c r="A384" s="173">
        <v>377.0</v>
      </c>
      <c r="B384" s="256" t="s">
        <v>670</v>
      </c>
      <c r="C384" s="257" t="s">
        <v>1439</v>
      </c>
      <c r="D384" s="173" t="s">
        <v>1439</v>
      </c>
      <c r="E384" s="174" t="s">
        <v>1830</v>
      </c>
      <c r="F384" s="173" t="s">
        <v>507</v>
      </c>
      <c r="G384" s="258" t="s">
        <v>673</v>
      </c>
      <c r="H384" s="258" t="s">
        <v>674</v>
      </c>
      <c r="I384" s="258" t="s">
        <v>675</v>
      </c>
      <c r="J384" s="259" t="s">
        <v>1393</v>
      </c>
      <c r="K384" s="260">
        <v>1033.0</v>
      </c>
      <c r="L384" s="258" t="s">
        <v>2628</v>
      </c>
      <c r="M384" s="265" t="s">
        <v>2629</v>
      </c>
      <c r="N384" s="173" t="s">
        <v>679</v>
      </c>
      <c r="O384" s="173" t="s">
        <v>225</v>
      </c>
      <c r="P384" s="262" t="str">
        <f t="shared" si="1"/>
        <v>IN-BLR-ANANTA-DDC-68_10</v>
      </c>
      <c r="Q384" s="173" t="s">
        <v>2630</v>
      </c>
      <c r="R384" s="258" t="str">
        <f>IFS(C384="","",C384="n/a","N/A",LEN(C384),Concatenate("{",char(34),"asset",char(34),":{",char(34),"guid",char(34),":",char(34),Q384,char(34),",",char(34),"site",char(34),":",char(34),LOWER('2-Building'!$B$4),char(34),",",char(34),"name",char(34),":",char(34),LOWER(C384),char(34),"}}"))</f>
        <v>{"asset":{"guid":"uuid://392c081e-f6d4-4421-9ec8-71e60dec2911","site":"in-blr-ananta","name":"ddc-68"}}</v>
      </c>
      <c r="S384" s="258" t="s">
        <v>1834</v>
      </c>
      <c r="T384" s="263"/>
      <c r="U384" s="263"/>
      <c r="V384" s="264" t="s">
        <v>1835</v>
      </c>
      <c r="W384" s="258" t="s">
        <v>1836</v>
      </c>
      <c r="X384" s="258" t="s">
        <v>1837</v>
      </c>
      <c r="Y384" s="33" t="s">
        <v>1838</v>
      </c>
      <c r="Z384" s="258">
        <v>11327.0</v>
      </c>
      <c r="AA384" s="258">
        <v>11501.0</v>
      </c>
      <c r="AB384" s="258"/>
      <c r="AC384" s="258"/>
      <c r="AD384" s="265"/>
      <c r="AE384" s="266" t="s">
        <v>685</v>
      </c>
      <c r="AF384" s="267" t="s">
        <v>2631</v>
      </c>
      <c r="AG384" s="268" t="str">
        <f>IFS(LEN(AF384)=17,LOWER('2-Building'!$B$4 &amp; "-" &amp; C384), AF384="N/A", "N/A", LEN(AF384)=0,"")</f>
        <v>in-blr-ananta-ddc-68</v>
      </c>
      <c r="AH384" s="258"/>
      <c r="AI384" s="258"/>
      <c r="AJ384" s="258"/>
      <c r="AK384" s="258" t="s">
        <v>2632</v>
      </c>
      <c r="AL384" s="258" t="s">
        <v>688</v>
      </c>
      <c r="AM384" s="258" t="s">
        <v>689</v>
      </c>
      <c r="AN384" s="258"/>
      <c r="AO384" s="258"/>
      <c r="AP384" s="258"/>
      <c r="AQ384" s="258"/>
      <c r="AR384" s="258" t="s">
        <v>690</v>
      </c>
      <c r="AS384" s="258" t="s">
        <v>691</v>
      </c>
      <c r="AT384" s="258" t="s">
        <v>1841</v>
      </c>
      <c r="AU384" s="265" t="s">
        <v>1842</v>
      </c>
      <c r="AV384" s="174" t="s">
        <v>225</v>
      </c>
      <c r="AW384" s="269" t="s">
        <v>245</v>
      </c>
      <c r="AX384" s="269" t="s">
        <v>694</v>
      </c>
      <c r="AY384" s="270" t="s">
        <v>1843</v>
      </c>
      <c r="AZ384" s="173" t="s">
        <v>1834</v>
      </c>
      <c r="BA384" s="265">
        <v>10.0</v>
      </c>
      <c r="BB384" s="174" t="s">
        <v>225</v>
      </c>
      <c r="BC384" s="271"/>
      <c r="BD384" s="272" t="s">
        <v>1844</v>
      </c>
      <c r="BE384" s="273"/>
      <c r="BF384" s="274" t="str">
        <f>IFERROR(__xludf.DUMMYFUNCTION("LOWER(Regexreplace(to_text(E384),""[^A-Za-z0-9]"","""")&amp;""_""&amp;Regexreplace(to_text(F384),""[^A-Za-z0-9]"",""""))"),"alc_g5ce")</f>
        <v>alc_g5ce</v>
      </c>
      <c r="BG384" s="275" t="str">
        <f>IFERROR(__xludf.DUMMYFUNCTION("upper(Regexreplace(to_text(E384),""[^A-Za-z0-9]"","""")&amp;""-""&amp;Regexreplace(to_text(F384),""[^A-Za-z0-9]"",""""))"),"ALC-G5CE")</f>
        <v>ALC-G5CE</v>
      </c>
    </row>
    <row r="385" ht="30.0" customHeight="1">
      <c r="A385" s="258">
        <v>378.0</v>
      </c>
      <c r="B385" s="256" t="s">
        <v>670</v>
      </c>
      <c r="C385" s="257" t="s">
        <v>2633</v>
      </c>
      <c r="D385" s="173" t="s">
        <v>2633</v>
      </c>
      <c r="E385" s="174" t="s">
        <v>1830</v>
      </c>
      <c r="F385" s="173" t="s">
        <v>507</v>
      </c>
      <c r="G385" s="258" t="s">
        <v>673</v>
      </c>
      <c r="H385" s="258" t="s">
        <v>674</v>
      </c>
      <c r="I385" s="258" t="s">
        <v>1614</v>
      </c>
      <c r="J385" s="259" t="s">
        <v>1393</v>
      </c>
      <c r="K385" s="260">
        <v>1034.0</v>
      </c>
      <c r="L385" s="258" t="s">
        <v>2628</v>
      </c>
      <c r="M385" s="265" t="s">
        <v>2634</v>
      </c>
      <c r="N385" s="173" t="s">
        <v>679</v>
      </c>
      <c r="O385" s="173" t="s">
        <v>225</v>
      </c>
      <c r="P385" s="262" t="str">
        <f t="shared" si="1"/>
        <v>IN-BLR-ANANTA-HLI-89_10</v>
      </c>
      <c r="Q385" s="173" t="s">
        <v>2635</v>
      </c>
      <c r="R385" s="258" t="str">
        <f>IFS(C385="","",C385="n/a","N/A",LEN(C385),Concatenate("{",char(34),"asset",char(34),":{",char(34),"guid",char(34),":",char(34),Q385,char(34),",",char(34),"site",char(34),":",char(34),LOWER('2-Building'!$B$4),char(34),",",char(34),"name",char(34),":",char(34),LOWER(C385),char(34),"}}"))</f>
        <v>{"asset":{"guid":"uuid://dee4e383-7dd8-4af4-beea-5699af45098e","site":"in-blr-ananta","name":"hli-89"}}</v>
      </c>
      <c r="S385" s="258" t="s">
        <v>1834</v>
      </c>
      <c r="T385" s="263"/>
      <c r="U385" s="263"/>
      <c r="V385" s="264" t="s">
        <v>1835</v>
      </c>
      <c r="W385" s="258" t="s">
        <v>1836</v>
      </c>
      <c r="X385" s="258" t="s">
        <v>1837</v>
      </c>
      <c r="Y385" s="33" t="s">
        <v>1838</v>
      </c>
      <c r="Z385" s="258">
        <v>11308.0</v>
      </c>
      <c r="AA385" s="258">
        <v>11501.0</v>
      </c>
      <c r="AB385" s="258"/>
      <c r="AC385" s="258"/>
      <c r="AD385" s="265"/>
      <c r="AE385" s="266" t="s">
        <v>685</v>
      </c>
      <c r="AF385" s="267" t="s">
        <v>2636</v>
      </c>
      <c r="AG385" s="268" t="str">
        <f>IFS(LEN(AF385)=17,LOWER('2-Building'!$B$4 &amp; "-" &amp; C385), AF385="N/A", "N/A", LEN(AF385)=0,"")</f>
        <v>in-blr-ananta-hli-89</v>
      </c>
      <c r="AH385" s="258"/>
      <c r="AI385" s="258"/>
      <c r="AJ385" s="258"/>
      <c r="AK385" s="258" t="s">
        <v>2637</v>
      </c>
      <c r="AL385" s="258" t="s">
        <v>688</v>
      </c>
      <c r="AM385" s="258" t="s">
        <v>689</v>
      </c>
      <c r="AN385" s="258"/>
      <c r="AO385" s="258"/>
      <c r="AP385" s="258"/>
      <c r="AQ385" s="258"/>
      <c r="AR385" s="258" t="s">
        <v>690</v>
      </c>
      <c r="AS385" s="258" t="s">
        <v>691</v>
      </c>
      <c r="AT385" s="258" t="s">
        <v>1841</v>
      </c>
      <c r="AU385" s="265" t="s">
        <v>1842</v>
      </c>
      <c r="AV385" s="174" t="s">
        <v>225</v>
      </c>
      <c r="AW385" s="269" t="s">
        <v>245</v>
      </c>
      <c r="AX385" s="269" t="s">
        <v>694</v>
      </c>
      <c r="AY385" s="270" t="s">
        <v>1843</v>
      </c>
      <c r="AZ385" s="173" t="s">
        <v>1834</v>
      </c>
      <c r="BA385" s="265">
        <v>10.0</v>
      </c>
      <c r="BB385" s="174" t="s">
        <v>225</v>
      </c>
      <c r="BC385" s="271"/>
      <c r="BD385" s="272" t="s">
        <v>1844</v>
      </c>
      <c r="BE385" s="273"/>
      <c r="BF385" s="274" t="str">
        <f>IFERROR(__xludf.DUMMYFUNCTION("LOWER(Regexreplace(to_text(E385),""[^A-Za-z0-9]"","""")&amp;""_""&amp;Regexreplace(to_text(F385),""[^A-Za-z0-9]"",""""))"),"alc_g5ce")</f>
        <v>alc_g5ce</v>
      </c>
      <c r="BG385" s="275" t="str">
        <f>IFERROR(__xludf.DUMMYFUNCTION("upper(Regexreplace(to_text(E385),""[^A-Za-z0-9]"","""")&amp;""-""&amp;Regexreplace(to_text(F385),""[^A-Za-z0-9]"",""""))"),"ALC-G5CE")</f>
        <v>ALC-G5CE</v>
      </c>
    </row>
    <row r="386" ht="30.0" customHeight="1">
      <c r="A386" s="173">
        <v>379.0</v>
      </c>
      <c r="B386" s="256" t="s">
        <v>670</v>
      </c>
      <c r="C386" s="257" t="s">
        <v>2638</v>
      </c>
      <c r="D386" s="173" t="s">
        <v>2638</v>
      </c>
      <c r="E386" s="174" t="s">
        <v>1830</v>
      </c>
      <c r="F386" s="173" t="s">
        <v>507</v>
      </c>
      <c r="G386" s="258" t="s">
        <v>673</v>
      </c>
      <c r="H386" s="258" t="s">
        <v>674</v>
      </c>
      <c r="I386" s="258" t="s">
        <v>675</v>
      </c>
      <c r="J386" s="259" t="s">
        <v>1393</v>
      </c>
      <c r="K386" s="260" t="s">
        <v>1394</v>
      </c>
      <c r="L386" s="258" t="s">
        <v>2639</v>
      </c>
      <c r="M386" s="265" t="s">
        <v>2640</v>
      </c>
      <c r="N386" s="173" t="s">
        <v>679</v>
      </c>
      <c r="O386" s="173" t="s">
        <v>225</v>
      </c>
      <c r="P386" s="262" t="str">
        <f t="shared" si="1"/>
        <v>IN-BLR-ANANTA-DDC-69_10</v>
      </c>
      <c r="Q386" s="173" t="s">
        <v>2641</v>
      </c>
      <c r="R386" s="258" t="str">
        <f>IFS(C386="","",C386="n/a","N/A",LEN(C386),Concatenate("{",char(34),"asset",char(34),":{",char(34),"guid",char(34),":",char(34),Q386,char(34),",",char(34),"site",char(34),":",char(34),LOWER('2-Building'!$B$4),char(34),",",char(34),"name",char(34),":",char(34),LOWER(C386),char(34),"}}"))</f>
        <v>{"asset":{"guid":"uuid://e6b04a8b-2161-4374-97ea-89ec186368ad","site":"in-blr-ananta","name":"ddc-69"}}</v>
      </c>
      <c r="S386" s="258" t="s">
        <v>1834</v>
      </c>
      <c r="T386" s="263"/>
      <c r="U386" s="263"/>
      <c r="V386" s="264" t="s">
        <v>1835</v>
      </c>
      <c r="W386" s="258" t="s">
        <v>1836</v>
      </c>
      <c r="X386" s="258" t="s">
        <v>1837</v>
      </c>
      <c r="Y386" s="33" t="s">
        <v>1838</v>
      </c>
      <c r="Z386" s="258">
        <v>11328.0</v>
      </c>
      <c r="AA386" s="258">
        <v>11501.0</v>
      </c>
      <c r="AB386" s="258"/>
      <c r="AC386" s="258"/>
      <c r="AD386" s="265"/>
      <c r="AE386" s="266" t="s">
        <v>685</v>
      </c>
      <c r="AF386" s="267" t="s">
        <v>2642</v>
      </c>
      <c r="AG386" s="268" t="str">
        <f>IFS(LEN(AF386)=17,LOWER('2-Building'!$B$4 &amp; "-" &amp; C386), AF386="N/A", "N/A", LEN(AF386)=0,"")</f>
        <v>in-blr-ananta-ddc-69</v>
      </c>
      <c r="AH386" s="258"/>
      <c r="AI386" s="258"/>
      <c r="AJ386" s="258"/>
      <c r="AK386" s="258" t="s">
        <v>2643</v>
      </c>
      <c r="AL386" s="258" t="s">
        <v>688</v>
      </c>
      <c r="AM386" s="258" t="s">
        <v>689</v>
      </c>
      <c r="AN386" s="258"/>
      <c r="AO386" s="258"/>
      <c r="AP386" s="258"/>
      <c r="AQ386" s="258"/>
      <c r="AR386" s="258" t="s">
        <v>690</v>
      </c>
      <c r="AS386" s="258" t="s">
        <v>691</v>
      </c>
      <c r="AT386" s="258" t="s">
        <v>1841</v>
      </c>
      <c r="AU386" s="265" t="s">
        <v>1842</v>
      </c>
      <c r="AV386" s="174" t="s">
        <v>225</v>
      </c>
      <c r="AW386" s="269" t="s">
        <v>245</v>
      </c>
      <c r="AX386" s="269" t="s">
        <v>694</v>
      </c>
      <c r="AY386" s="270" t="s">
        <v>1843</v>
      </c>
      <c r="AZ386" s="173" t="s">
        <v>1834</v>
      </c>
      <c r="BA386" s="265">
        <v>10.0</v>
      </c>
      <c r="BB386" s="174" t="s">
        <v>225</v>
      </c>
      <c r="BC386" s="271"/>
      <c r="BD386" s="272" t="s">
        <v>1844</v>
      </c>
      <c r="BE386" s="273"/>
      <c r="BF386" s="274" t="str">
        <f>IFERROR(__xludf.DUMMYFUNCTION("LOWER(Regexreplace(to_text(E386),""[^A-Za-z0-9]"","""")&amp;""_""&amp;Regexreplace(to_text(F386),""[^A-Za-z0-9]"",""""))"),"alc_g5ce")</f>
        <v>alc_g5ce</v>
      </c>
      <c r="BG386" s="275" t="str">
        <f>IFERROR(__xludf.DUMMYFUNCTION("upper(Regexreplace(to_text(E386),""[^A-Za-z0-9]"","""")&amp;""-""&amp;Regexreplace(to_text(F386),""[^A-Za-z0-9]"",""""))"),"ALC-G5CE")</f>
        <v>ALC-G5CE</v>
      </c>
    </row>
    <row r="387" ht="30.0" customHeight="1">
      <c r="A387" s="258">
        <v>380.0</v>
      </c>
      <c r="B387" s="256" t="s">
        <v>670</v>
      </c>
      <c r="C387" s="257" t="s">
        <v>1459</v>
      </c>
      <c r="D387" s="173" t="s">
        <v>1459</v>
      </c>
      <c r="E387" s="174" t="s">
        <v>1830</v>
      </c>
      <c r="F387" s="173" t="s">
        <v>507</v>
      </c>
      <c r="G387" s="258" t="s">
        <v>673</v>
      </c>
      <c r="H387" s="258" t="s">
        <v>674</v>
      </c>
      <c r="I387" s="258" t="s">
        <v>1614</v>
      </c>
      <c r="J387" s="259" t="s">
        <v>1453</v>
      </c>
      <c r="K387" s="260" t="s">
        <v>1454</v>
      </c>
      <c r="L387" s="258" t="s">
        <v>2644</v>
      </c>
      <c r="M387" s="265" t="s">
        <v>2645</v>
      </c>
      <c r="N387" s="173" t="s">
        <v>679</v>
      </c>
      <c r="O387" s="173" t="s">
        <v>225</v>
      </c>
      <c r="P387" s="262" t="str">
        <f t="shared" si="1"/>
        <v>IN-BLR-ANANTA-HLI-90_11</v>
      </c>
      <c r="Q387" s="173" t="s">
        <v>2646</v>
      </c>
      <c r="R387" s="258" t="str">
        <f>IFS(C387="","",C387="n/a","N/A",LEN(C387),Concatenate("{",char(34),"asset",char(34),":{",char(34),"guid",char(34),":",char(34),Q387,char(34),",",char(34),"site",char(34),":",char(34),LOWER('2-Building'!$B$4),char(34),",",char(34),"name",char(34),":",char(34),LOWER(C387),char(34),"}}"))</f>
        <v>{"asset":{"guid":"uuid://bbc63d14-edc8-4859-b2d5-18c95b148ad0","site":"in-blr-ananta","name":"hli-90"}}</v>
      </c>
      <c r="S387" s="258" t="s">
        <v>1834</v>
      </c>
      <c r="T387" s="263"/>
      <c r="U387" s="263"/>
      <c r="V387" s="264" t="s">
        <v>1835</v>
      </c>
      <c r="W387" s="258" t="s">
        <v>1836</v>
      </c>
      <c r="X387" s="258" t="s">
        <v>1837</v>
      </c>
      <c r="Y387" s="33" t="s">
        <v>1838</v>
      </c>
      <c r="Z387" s="258">
        <v>11309.0</v>
      </c>
      <c r="AA387" s="258">
        <v>11501.0</v>
      </c>
      <c r="AB387" s="258"/>
      <c r="AC387" s="258"/>
      <c r="AD387" s="265"/>
      <c r="AE387" s="266" t="s">
        <v>685</v>
      </c>
      <c r="AF387" s="267" t="s">
        <v>2647</v>
      </c>
      <c r="AG387" s="268" t="str">
        <f>IFS(LEN(AF387)=17,LOWER('2-Building'!$B$4 &amp; "-" &amp; C387), AF387="N/A", "N/A", LEN(AF387)=0,"")</f>
        <v>in-blr-ananta-hli-90</v>
      </c>
      <c r="AH387" s="258"/>
      <c r="AI387" s="258"/>
      <c r="AJ387" s="258"/>
      <c r="AK387" s="258" t="s">
        <v>2648</v>
      </c>
      <c r="AL387" s="258" t="s">
        <v>688</v>
      </c>
      <c r="AM387" s="258" t="s">
        <v>689</v>
      </c>
      <c r="AN387" s="258"/>
      <c r="AO387" s="258"/>
      <c r="AP387" s="258"/>
      <c r="AQ387" s="258"/>
      <c r="AR387" s="258" t="s">
        <v>690</v>
      </c>
      <c r="AS387" s="258" t="s">
        <v>691</v>
      </c>
      <c r="AT387" s="258" t="s">
        <v>1841</v>
      </c>
      <c r="AU387" s="265" t="s">
        <v>1842</v>
      </c>
      <c r="AV387" s="174" t="s">
        <v>225</v>
      </c>
      <c r="AW387" s="269" t="s">
        <v>245</v>
      </c>
      <c r="AX387" s="269" t="s">
        <v>694</v>
      </c>
      <c r="AY387" s="270" t="s">
        <v>1843</v>
      </c>
      <c r="AZ387" s="173" t="s">
        <v>1834</v>
      </c>
      <c r="BA387" s="265">
        <v>10.0</v>
      </c>
      <c r="BB387" s="174" t="s">
        <v>225</v>
      </c>
      <c r="BC387" s="271"/>
      <c r="BD387" s="272" t="s">
        <v>1844</v>
      </c>
      <c r="BE387" s="273"/>
      <c r="BF387" s="274" t="str">
        <f>IFERROR(__xludf.DUMMYFUNCTION("LOWER(Regexreplace(to_text(E387),""[^A-Za-z0-9]"","""")&amp;""_""&amp;Regexreplace(to_text(F387),""[^A-Za-z0-9]"",""""))"),"alc_g5ce")</f>
        <v>alc_g5ce</v>
      </c>
      <c r="BG387" s="275" t="str">
        <f>IFERROR(__xludf.DUMMYFUNCTION("upper(Regexreplace(to_text(E387),""[^A-Za-z0-9]"","""")&amp;""-""&amp;Regexreplace(to_text(F387),""[^A-Za-z0-9]"",""""))"),"ALC-G5CE")</f>
        <v>ALC-G5CE</v>
      </c>
    </row>
    <row r="388" ht="30.0" customHeight="1">
      <c r="A388" s="173">
        <v>381.0</v>
      </c>
      <c r="B388" s="256" t="s">
        <v>670</v>
      </c>
      <c r="C388" s="257" t="s">
        <v>2649</v>
      </c>
      <c r="D388" s="173" t="s">
        <v>2649</v>
      </c>
      <c r="E388" s="174" t="s">
        <v>1830</v>
      </c>
      <c r="F388" s="173" t="s">
        <v>510</v>
      </c>
      <c r="G388" s="258" t="s">
        <v>673</v>
      </c>
      <c r="H388" s="258" t="s">
        <v>674</v>
      </c>
      <c r="I388" s="258" t="s">
        <v>1614</v>
      </c>
      <c r="J388" s="259" t="s">
        <v>1453</v>
      </c>
      <c r="K388" s="260" t="s">
        <v>1454</v>
      </c>
      <c r="L388" s="258" t="s">
        <v>2644</v>
      </c>
      <c r="M388" s="265" t="s">
        <v>2650</v>
      </c>
      <c r="N388" s="173" t="s">
        <v>679</v>
      </c>
      <c r="O388" s="173" t="s">
        <v>225</v>
      </c>
      <c r="P388" s="262" t="str">
        <f t="shared" si="1"/>
        <v>IN-BLR-ANANTA-HLI-91_11</v>
      </c>
      <c r="Q388" s="173" t="s">
        <v>2651</v>
      </c>
      <c r="R388" s="258" t="str">
        <f>IFS(C388="","",C388="n/a","N/A",LEN(C388),Concatenate("{",char(34),"asset",char(34),":{",char(34),"guid",char(34),":",char(34),Q388,char(34),",",char(34),"site",char(34),":",char(34),LOWER('2-Building'!$B$4),char(34),",",char(34),"name",char(34),":",char(34),LOWER(C388),char(34),"}}"))</f>
        <v>{"asset":{"guid":"uuid://71e457d4-aa34-466e-98fe-c7e96f6ee3e2","site":"in-blr-ananta","name":"hli-91"}}</v>
      </c>
      <c r="S388" s="258" t="s">
        <v>1834</v>
      </c>
      <c r="T388" s="263"/>
      <c r="U388" s="263"/>
      <c r="V388" s="264" t="s">
        <v>1835</v>
      </c>
      <c r="W388" s="258" t="s">
        <v>1836</v>
      </c>
      <c r="X388" s="258" t="s">
        <v>1837</v>
      </c>
      <c r="Y388" s="33" t="s">
        <v>1838</v>
      </c>
      <c r="Z388" s="258">
        <v>11310.0</v>
      </c>
      <c r="AA388" s="258">
        <v>11501.0</v>
      </c>
      <c r="AB388" s="258"/>
      <c r="AC388" s="258"/>
      <c r="AD388" s="265"/>
      <c r="AE388" s="266" t="s">
        <v>685</v>
      </c>
      <c r="AF388" s="267" t="s">
        <v>2652</v>
      </c>
      <c r="AG388" s="268" t="str">
        <f>IFS(LEN(AF388)=17,LOWER('2-Building'!$B$4 &amp; "-" &amp; C388), AF388="N/A", "N/A", LEN(AF388)=0,"")</f>
        <v>in-blr-ananta-hli-91</v>
      </c>
      <c r="AH388" s="258"/>
      <c r="AI388" s="258"/>
      <c r="AJ388" s="258"/>
      <c r="AK388" s="258" t="s">
        <v>2653</v>
      </c>
      <c r="AL388" s="258" t="s">
        <v>688</v>
      </c>
      <c r="AM388" s="258" t="s">
        <v>689</v>
      </c>
      <c r="AN388" s="258"/>
      <c r="AO388" s="258"/>
      <c r="AP388" s="258"/>
      <c r="AQ388" s="258"/>
      <c r="AR388" s="258" t="s">
        <v>690</v>
      </c>
      <c r="AS388" s="258" t="s">
        <v>691</v>
      </c>
      <c r="AT388" s="258" t="s">
        <v>1841</v>
      </c>
      <c r="AU388" s="265" t="s">
        <v>1842</v>
      </c>
      <c r="AV388" s="174" t="s">
        <v>225</v>
      </c>
      <c r="AW388" s="269" t="s">
        <v>245</v>
      </c>
      <c r="AX388" s="269" t="s">
        <v>694</v>
      </c>
      <c r="AY388" s="270" t="s">
        <v>1843</v>
      </c>
      <c r="AZ388" s="173" t="s">
        <v>1834</v>
      </c>
      <c r="BA388" s="265">
        <v>10.0</v>
      </c>
      <c r="BB388" s="174" t="s">
        <v>225</v>
      </c>
      <c r="BC388" s="271"/>
      <c r="BD388" s="272" t="s">
        <v>1844</v>
      </c>
      <c r="BE388" s="273"/>
      <c r="BF388" s="274" t="str">
        <f>IFERROR(__xludf.DUMMYFUNCTION("LOWER(Regexreplace(to_text(E388),""[^A-Za-z0-9]"","""")&amp;""_""&amp;Regexreplace(to_text(F388),""[^A-Za-z0-9]"",""""))"),"alc_ofhi")</f>
        <v>alc_ofhi</v>
      </c>
      <c r="BG388" s="275" t="str">
        <f>IFERROR(__xludf.DUMMYFUNCTION("upper(Regexreplace(to_text(E388),""[^A-Za-z0-9]"","""")&amp;""-""&amp;Regexreplace(to_text(F388),""[^A-Za-z0-9]"",""""))"),"ALC-OFHI")</f>
        <v>ALC-OFHI</v>
      </c>
    </row>
    <row r="389" ht="30.0" customHeight="1">
      <c r="A389" s="258">
        <v>382.0</v>
      </c>
      <c r="B389" s="256" t="s">
        <v>670</v>
      </c>
      <c r="C389" s="257" t="s">
        <v>1481</v>
      </c>
      <c r="D389" s="173" t="s">
        <v>1481</v>
      </c>
      <c r="E389" s="174" t="s">
        <v>1830</v>
      </c>
      <c r="F389" s="173" t="s">
        <v>507</v>
      </c>
      <c r="G389" s="258" t="s">
        <v>673</v>
      </c>
      <c r="H389" s="258" t="s">
        <v>674</v>
      </c>
      <c r="I389" s="258" t="s">
        <v>675</v>
      </c>
      <c r="J389" s="259" t="s">
        <v>1453</v>
      </c>
      <c r="K389" s="260" t="s">
        <v>1476</v>
      </c>
      <c r="L389" s="258" t="s">
        <v>2654</v>
      </c>
      <c r="M389" s="265" t="s">
        <v>2655</v>
      </c>
      <c r="N389" s="173" t="s">
        <v>679</v>
      </c>
      <c r="O389" s="173" t="s">
        <v>225</v>
      </c>
      <c r="P389" s="262" t="str">
        <f t="shared" si="1"/>
        <v>IN-BLR-ANANTA-DDC-70_11</v>
      </c>
      <c r="Q389" s="173" t="s">
        <v>2656</v>
      </c>
      <c r="R389" s="258" t="str">
        <f>IFS(C389="","",C389="n/a","N/A",LEN(C389),Concatenate("{",char(34),"asset",char(34),":{",char(34),"guid",char(34),":",char(34),Q389,char(34),",",char(34),"site",char(34),":",char(34),LOWER('2-Building'!$B$4),char(34),",",char(34),"name",char(34),":",char(34),LOWER(C389),char(34),"}}"))</f>
        <v>{"asset":{"guid":"uuid://8a263825-0a45-446a-b6ff-a1036bdda899","site":"in-blr-ananta","name":"ddc-70"}}</v>
      </c>
      <c r="S389" s="258" t="s">
        <v>1834</v>
      </c>
      <c r="T389" s="263"/>
      <c r="U389" s="263"/>
      <c r="V389" s="264" t="s">
        <v>1835</v>
      </c>
      <c r="W389" s="258" t="s">
        <v>1836</v>
      </c>
      <c r="X389" s="258" t="s">
        <v>1837</v>
      </c>
      <c r="Y389" s="33" t="s">
        <v>1838</v>
      </c>
      <c r="Z389" s="258">
        <v>11329.0</v>
      </c>
      <c r="AA389" s="258">
        <v>11501.0</v>
      </c>
      <c r="AB389" s="258"/>
      <c r="AC389" s="258"/>
      <c r="AD389" s="265"/>
      <c r="AE389" s="266" t="s">
        <v>685</v>
      </c>
      <c r="AF389" s="267" t="s">
        <v>2657</v>
      </c>
      <c r="AG389" s="268" t="str">
        <f>IFS(LEN(AF389)=17,LOWER('2-Building'!$B$4 &amp; "-" &amp; C389), AF389="N/A", "N/A", LEN(AF389)=0,"")</f>
        <v>in-blr-ananta-ddc-70</v>
      </c>
      <c r="AH389" s="258"/>
      <c r="AI389" s="258"/>
      <c r="AJ389" s="258"/>
      <c r="AK389" s="258" t="s">
        <v>2658</v>
      </c>
      <c r="AL389" s="258" t="s">
        <v>688</v>
      </c>
      <c r="AM389" s="258" t="s">
        <v>689</v>
      </c>
      <c r="AN389" s="258"/>
      <c r="AO389" s="258"/>
      <c r="AP389" s="258"/>
      <c r="AQ389" s="258"/>
      <c r="AR389" s="258" t="s">
        <v>690</v>
      </c>
      <c r="AS389" s="258" t="s">
        <v>691</v>
      </c>
      <c r="AT389" s="258" t="s">
        <v>1841</v>
      </c>
      <c r="AU389" s="265" t="s">
        <v>1842</v>
      </c>
      <c r="AV389" s="174" t="s">
        <v>225</v>
      </c>
      <c r="AW389" s="269" t="s">
        <v>245</v>
      </c>
      <c r="AX389" s="269" t="s">
        <v>694</v>
      </c>
      <c r="AY389" s="270" t="s">
        <v>1843</v>
      </c>
      <c r="AZ389" s="173" t="s">
        <v>1834</v>
      </c>
      <c r="BA389" s="265">
        <v>10.0</v>
      </c>
      <c r="BB389" s="174" t="s">
        <v>225</v>
      </c>
      <c r="BC389" s="271"/>
      <c r="BD389" s="272" t="s">
        <v>1844</v>
      </c>
      <c r="BE389" s="273"/>
      <c r="BF389" s="274" t="str">
        <f>IFERROR(__xludf.DUMMYFUNCTION("LOWER(Regexreplace(to_text(E389),""[^A-Za-z0-9]"","""")&amp;""_""&amp;Regexreplace(to_text(F389),""[^A-Za-z0-9]"",""""))"),"alc_g5ce")</f>
        <v>alc_g5ce</v>
      </c>
      <c r="BG389" s="275" t="str">
        <f>IFERROR(__xludf.DUMMYFUNCTION("upper(Regexreplace(to_text(E389),""[^A-Za-z0-9]"","""")&amp;""-""&amp;Regexreplace(to_text(F389),""[^A-Za-z0-9]"",""""))"),"ALC-G5CE")</f>
        <v>ALC-G5CE</v>
      </c>
    </row>
    <row r="390" ht="30.0" customHeight="1">
      <c r="A390" s="173">
        <v>383.0</v>
      </c>
      <c r="B390" s="256" t="s">
        <v>670</v>
      </c>
      <c r="C390" s="257" t="s">
        <v>2659</v>
      </c>
      <c r="D390" s="173" t="s">
        <v>2659</v>
      </c>
      <c r="E390" s="174" t="s">
        <v>1830</v>
      </c>
      <c r="F390" s="173" t="s">
        <v>507</v>
      </c>
      <c r="G390" s="258" t="s">
        <v>673</v>
      </c>
      <c r="H390" s="258" t="s">
        <v>674</v>
      </c>
      <c r="I390" s="258" t="s">
        <v>1614</v>
      </c>
      <c r="J390" s="259" t="s">
        <v>1453</v>
      </c>
      <c r="K390" s="260" t="s">
        <v>1476</v>
      </c>
      <c r="L390" s="258" t="s">
        <v>2654</v>
      </c>
      <c r="M390" s="265" t="s">
        <v>2660</v>
      </c>
      <c r="N390" s="173" t="s">
        <v>679</v>
      </c>
      <c r="O390" s="173" t="s">
        <v>225</v>
      </c>
      <c r="P390" s="262" t="str">
        <f t="shared" si="1"/>
        <v>IN-BLR-ANANTA-HLI-92_11</v>
      </c>
      <c r="Q390" s="173" t="s">
        <v>2661</v>
      </c>
      <c r="R390" s="258" t="str">
        <f>IFS(C390="","",C390="n/a","N/A",LEN(C390),Concatenate("{",char(34),"asset",char(34),":{",char(34),"guid",char(34),":",char(34),Q390,char(34),",",char(34),"site",char(34),":",char(34),LOWER('2-Building'!$B$4),char(34),",",char(34),"name",char(34),":",char(34),LOWER(C390),char(34),"}}"))</f>
        <v>{"asset":{"guid":"uuid://052044fa-f4ee-480b-a0b5-aedf45f2f4c8","site":"in-blr-ananta","name":"hli-92"}}</v>
      </c>
      <c r="S390" s="258" t="s">
        <v>1834</v>
      </c>
      <c r="T390" s="263"/>
      <c r="U390" s="263"/>
      <c r="V390" s="264" t="s">
        <v>1835</v>
      </c>
      <c r="W390" s="258" t="s">
        <v>1836</v>
      </c>
      <c r="X390" s="258" t="s">
        <v>1837</v>
      </c>
      <c r="Y390" s="33" t="s">
        <v>1838</v>
      </c>
      <c r="Z390" s="258">
        <v>11311.0</v>
      </c>
      <c r="AA390" s="258">
        <v>11501.0</v>
      </c>
      <c r="AB390" s="258"/>
      <c r="AC390" s="258"/>
      <c r="AD390" s="265"/>
      <c r="AE390" s="266" t="s">
        <v>685</v>
      </c>
      <c r="AF390" s="267" t="s">
        <v>2662</v>
      </c>
      <c r="AG390" s="268" t="str">
        <f>IFS(LEN(AF390)=17,LOWER('2-Building'!$B$4 &amp; "-" &amp; C390), AF390="N/A", "N/A", LEN(AF390)=0,"")</f>
        <v>in-blr-ananta-hli-92</v>
      </c>
      <c r="AH390" s="258"/>
      <c r="AI390" s="258"/>
      <c r="AJ390" s="258"/>
      <c r="AK390" s="258" t="s">
        <v>2663</v>
      </c>
      <c r="AL390" s="258" t="s">
        <v>688</v>
      </c>
      <c r="AM390" s="258" t="s">
        <v>689</v>
      </c>
      <c r="AN390" s="258"/>
      <c r="AO390" s="258"/>
      <c r="AP390" s="258"/>
      <c r="AQ390" s="258"/>
      <c r="AR390" s="258" t="s">
        <v>690</v>
      </c>
      <c r="AS390" s="258" t="s">
        <v>691</v>
      </c>
      <c r="AT390" s="258" t="s">
        <v>1841</v>
      </c>
      <c r="AU390" s="265" t="s">
        <v>1842</v>
      </c>
      <c r="AV390" s="174" t="s">
        <v>225</v>
      </c>
      <c r="AW390" s="269" t="s">
        <v>245</v>
      </c>
      <c r="AX390" s="269" t="s">
        <v>694</v>
      </c>
      <c r="AY390" s="270" t="s">
        <v>1843</v>
      </c>
      <c r="AZ390" s="173" t="s">
        <v>1834</v>
      </c>
      <c r="BA390" s="265">
        <v>10.0</v>
      </c>
      <c r="BB390" s="174" t="s">
        <v>225</v>
      </c>
      <c r="BC390" s="271"/>
      <c r="BD390" s="272" t="s">
        <v>1844</v>
      </c>
      <c r="BE390" s="273"/>
      <c r="BF390" s="274" t="str">
        <f>IFERROR(__xludf.DUMMYFUNCTION("LOWER(Regexreplace(to_text(E390),""[^A-Za-z0-9]"","""")&amp;""_""&amp;Regexreplace(to_text(F390),""[^A-Za-z0-9]"",""""))"),"alc_g5ce")</f>
        <v>alc_g5ce</v>
      </c>
      <c r="BG390" s="275" t="str">
        <f>IFERROR(__xludf.DUMMYFUNCTION("upper(Regexreplace(to_text(E390),""[^A-Za-z0-9]"","""")&amp;""-""&amp;Regexreplace(to_text(F390),""[^A-Za-z0-9]"",""""))"),"ALC-G5CE")</f>
        <v>ALC-G5CE</v>
      </c>
    </row>
    <row r="391" ht="30.0" customHeight="1">
      <c r="A391" s="258">
        <v>384.0</v>
      </c>
      <c r="B391" s="256" t="s">
        <v>670</v>
      </c>
      <c r="C391" s="257" t="s">
        <v>1492</v>
      </c>
      <c r="D391" s="173" t="s">
        <v>1492</v>
      </c>
      <c r="E391" s="174" t="s">
        <v>1830</v>
      </c>
      <c r="F391" s="173" t="s">
        <v>507</v>
      </c>
      <c r="G391" s="258" t="s">
        <v>673</v>
      </c>
      <c r="H391" s="258" t="s">
        <v>674</v>
      </c>
      <c r="I391" s="258" t="s">
        <v>675</v>
      </c>
      <c r="J391" s="259" t="s">
        <v>1453</v>
      </c>
      <c r="K391" s="260" t="s">
        <v>1487</v>
      </c>
      <c r="L391" s="258" t="s">
        <v>2664</v>
      </c>
      <c r="M391" s="265" t="s">
        <v>2665</v>
      </c>
      <c r="N391" s="173" t="s">
        <v>679</v>
      </c>
      <c r="O391" s="173" t="s">
        <v>225</v>
      </c>
      <c r="P391" s="262" t="str">
        <f t="shared" si="1"/>
        <v>IN-BLR-ANANTA-DDC-71_11</v>
      </c>
      <c r="Q391" s="173" t="s">
        <v>2666</v>
      </c>
      <c r="R391" s="258" t="str">
        <f>IFS(C391="","",C391="n/a","N/A",LEN(C391),Concatenate("{",char(34),"asset",char(34),":{",char(34),"guid",char(34),":",char(34),Q391,char(34),",",char(34),"site",char(34),":",char(34),LOWER('2-Building'!$B$4),char(34),",",char(34),"name",char(34),":",char(34),LOWER(C391),char(34),"}}"))</f>
        <v>{"asset":{"guid":"uuid://6af7ec7c-c36c-4b3c-9834-bab1ae7f685a","site":"in-blr-ananta","name":"ddc-71"}}</v>
      </c>
      <c r="S391" s="258" t="s">
        <v>1834</v>
      </c>
      <c r="T391" s="263"/>
      <c r="U391" s="263"/>
      <c r="V391" s="264" t="s">
        <v>1835</v>
      </c>
      <c r="W391" s="258" t="s">
        <v>1836</v>
      </c>
      <c r="X391" s="258" t="s">
        <v>1837</v>
      </c>
      <c r="Y391" s="33" t="s">
        <v>1838</v>
      </c>
      <c r="Z391" s="258">
        <v>11330.0</v>
      </c>
      <c r="AA391" s="258">
        <v>11501.0</v>
      </c>
      <c r="AB391" s="258"/>
      <c r="AC391" s="258"/>
      <c r="AD391" s="265"/>
      <c r="AE391" s="266" t="s">
        <v>685</v>
      </c>
      <c r="AF391" s="267" t="s">
        <v>2667</v>
      </c>
      <c r="AG391" s="268" t="str">
        <f>IFS(LEN(AF391)=17,LOWER('2-Building'!$B$4 &amp; "-" &amp; C391), AF391="N/A", "N/A", LEN(AF391)=0,"")</f>
        <v>in-blr-ananta-ddc-71</v>
      </c>
      <c r="AH391" s="258"/>
      <c r="AI391" s="258"/>
      <c r="AJ391" s="258"/>
      <c r="AK391" s="258" t="s">
        <v>2668</v>
      </c>
      <c r="AL391" s="258" t="s">
        <v>688</v>
      </c>
      <c r="AM391" s="258" t="s">
        <v>689</v>
      </c>
      <c r="AN391" s="258"/>
      <c r="AO391" s="258"/>
      <c r="AP391" s="258"/>
      <c r="AQ391" s="258"/>
      <c r="AR391" s="258" t="s">
        <v>690</v>
      </c>
      <c r="AS391" s="258" t="s">
        <v>691</v>
      </c>
      <c r="AT391" s="258" t="s">
        <v>1841</v>
      </c>
      <c r="AU391" s="265" t="s">
        <v>1842</v>
      </c>
      <c r="AV391" s="174" t="s">
        <v>225</v>
      </c>
      <c r="AW391" s="269" t="s">
        <v>245</v>
      </c>
      <c r="AX391" s="269" t="s">
        <v>694</v>
      </c>
      <c r="AY391" s="270" t="s">
        <v>1843</v>
      </c>
      <c r="AZ391" s="173" t="s">
        <v>1834</v>
      </c>
      <c r="BA391" s="265">
        <v>10.0</v>
      </c>
      <c r="BB391" s="174" t="s">
        <v>225</v>
      </c>
      <c r="BC391" s="271"/>
      <c r="BD391" s="272" t="s">
        <v>1844</v>
      </c>
      <c r="BE391" s="273"/>
      <c r="BF391" s="274" t="str">
        <f>IFERROR(__xludf.DUMMYFUNCTION("LOWER(Regexreplace(to_text(E391),""[^A-Za-z0-9]"","""")&amp;""_""&amp;Regexreplace(to_text(F391),""[^A-Za-z0-9]"",""""))"),"alc_g5ce")</f>
        <v>alc_g5ce</v>
      </c>
      <c r="BG391" s="275" t="str">
        <f>IFERROR(__xludf.DUMMYFUNCTION("upper(Regexreplace(to_text(E391),""[^A-Za-z0-9]"","""")&amp;""-""&amp;Regexreplace(to_text(F391),""[^A-Za-z0-9]"",""""))"),"ALC-G5CE")</f>
        <v>ALC-G5CE</v>
      </c>
    </row>
    <row r="392" ht="30.0" customHeight="1">
      <c r="A392" s="173">
        <v>385.0</v>
      </c>
      <c r="B392" s="256" t="s">
        <v>670</v>
      </c>
      <c r="C392" s="257" t="s">
        <v>2669</v>
      </c>
      <c r="D392" s="173" t="s">
        <v>2669</v>
      </c>
      <c r="E392" s="174" t="s">
        <v>1830</v>
      </c>
      <c r="F392" s="173" t="s">
        <v>507</v>
      </c>
      <c r="G392" s="258" t="s">
        <v>673</v>
      </c>
      <c r="H392" s="258" t="s">
        <v>674</v>
      </c>
      <c r="I392" s="258" t="s">
        <v>1614</v>
      </c>
      <c r="J392" s="259" t="s">
        <v>1453</v>
      </c>
      <c r="K392" s="260" t="s">
        <v>1487</v>
      </c>
      <c r="L392" s="258" t="s">
        <v>2664</v>
      </c>
      <c r="M392" s="265" t="s">
        <v>2670</v>
      </c>
      <c r="N392" s="173" t="s">
        <v>679</v>
      </c>
      <c r="O392" s="173" t="s">
        <v>225</v>
      </c>
      <c r="P392" s="262" t="str">
        <f t="shared" si="1"/>
        <v>IN-BLR-ANANTA-HLI-93_11</v>
      </c>
      <c r="Q392" s="173" t="s">
        <v>2671</v>
      </c>
      <c r="R392" s="258" t="str">
        <f>IFS(C392="","",C392="n/a","N/A",LEN(C392),Concatenate("{",char(34),"asset",char(34),":{",char(34),"guid",char(34),":",char(34),Q392,char(34),",",char(34),"site",char(34),":",char(34),LOWER('2-Building'!$B$4),char(34),",",char(34),"name",char(34),":",char(34),LOWER(C392),char(34),"}}"))</f>
        <v>{"asset":{"guid":"uuid://11cf8430-273f-4a3a-aabc-254284d7a80f","site":"in-blr-ananta","name":"hli-93"}}</v>
      </c>
      <c r="S392" s="258" t="s">
        <v>1834</v>
      </c>
      <c r="T392" s="263"/>
      <c r="U392" s="263"/>
      <c r="V392" s="264" t="s">
        <v>1835</v>
      </c>
      <c r="W392" s="258" t="s">
        <v>1836</v>
      </c>
      <c r="X392" s="258" t="s">
        <v>1837</v>
      </c>
      <c r="Y392" s="33" t="s">
        <v>1838</v>
      </c>
      <c r="Z392" s="258">
        <v>11312.0</v>
      </c>
      <c r="AA392" s="258">
        <v>11501.0</v>
      </c>
      <c r="AB392" s="258"/>
      <c r="AC392" s="258"/>
      <c r="AD392" s="265"/>
      <c r="AE392" s="266" t="s">
        <v>685</v>
      </c>
      <c r="AF392" s="267" t="s">
        <v>2672</v>
      </c>
      <c r="AG392" s="268" t="str">
        <f>IFS(LEN(AF392)=17,LOWER('2-Building'!$B$4 &amp; "-" &amp; C392), AF392="N/A", "N/A", LEN(AF392)=0,"")</f>
        <v>in-blr-ananta-hli-93</v>
      </c>
      <c r="AH392" s="258"/>
      <c r="AI392" s="258"/>
      <c r="AJ392" s="258"/>
      <c r="AK392" s="258" t="s">
        <v>2673</v>
      </c>
      <c r="AL392" s="258" t="s">
        <v>688</v>
      </c>
      <c r="AM392" s="258" t="s">
        <v>689</v>
      </c>
      <c r="AN392" s="258"/>
      <c r="AO392" s="258"/>
      <c r="AP392" s="258"/>
      <c r="AQ392" s="258"/>
      <c r="AR392" s="258" t="s">
        <v>690</v>
      </c>
      <c r="AS392" s="258" t="s">
        <v>691</v>
      </c>
      <c r="AT392" s="258" t="s">
        <v>1841</v>
      </c>
      <c r="AU392" s="265" t="s">
        <v>1842</v>
      </c>
      <c r="AV392" s="174" t="s">
        <v>225</v>
      </c>
      <c r="AW392" s="269" t="s">
        <v>245</v>
      </c>
      <c r="AX392" s="269" t="s">
        <v>694</v>
      </c>
      <c r="AY392" s="270" t="s">
        <v>1843</v>
      </c>
      <c r="AZ392" s="173" t="s">
        <v>1834</v>
      </c>
      <c r="BA392" s="265">
        <v>10.0</v>
      </c>
      <c r="BB392" s="174" t="s">
        <v>225</v>
      </c>
      <c r="BC392" s="271"/>
      <c r="BD392" s="272" t="s">
        <v>1844</v>
      </c>
      <c r="BE392" s="273"/>
      <c r="BF392" s="274" t="str">
        <f>IFERROR(__xludf.DUMMYFUNCTION("LOWER(Regexreplace(to_text(E392),""[^A-Za-z0-9]"","""")&amp;""_""&amp;Regexreplace(to_text(F392),""[^A-Za-z0-9]"",""""))"),"alc_g5ce")</f>
        <v>alc_g5ce</v>
      </c>
      <c r="BG392" s="275" t="str">
        <f>IFERROR(__xludf.DUMMYFUNCTION("upper(Regexreplace(to_text(E392),""[^A-Za-z0-9]"","""")&amp;""-""&amp;Regexreplace(to_text(F392),""[^A-Za-z0-9]"",""""))"),"ALC-G5CE")</f>
        <v>ALC-G5CE</v>
      </c>
    </row>
    <row r="393" ht="30.0" customHeight="1">
      <c r="A393" s="258">
        <v>386.0</v>
      </c>
      <c r="B393" s="256" t="s">
        <v>670</v>
      </c>
      <c r="C393" s="257" t="s">
        <v>1470</v>
      </c>
      <c r="D393" s="173" t="s">
        <v>1470</v>
      </c>
      <c r="E393" s="174" t="s">
        <v>1830</v>
      </c>
      <c r="F393" s="173" t="s">
        <v>507</v>
      </c>
      <c r="G393" s="258" t="s">
        <v>673</v>
      </c>
      <c r="H393" s="258" t="s">
        <v>674</v>
      </c>
      <c r="I393" s="258" t="s">
        <v>675</v>
      </c>
      <c r="J393" s="259" t="s">
        <v>1453</v>
      </c>
      <c r="K393" s="260" t="s">
        <v>1465</v>
      </c>
      <c r="L393" s="258" t="s">
        <v>2674</v>
      </c>
      <c r="M393" s="265" t="s">
        <v>2675</v>
      </c>
      <c r="N393" s="173" t="s">
        <v>679</v>
      </c>
      <c r="O393" s="173" t="s">
        <v>225</v>
      </c>
      <c r="P393" s="262" t="str">
        <f t="shared" si="1"/>
        <v>IN-BLR-ANANTA-DDC-72_11</v>
      </c>
      <c r="Q393" s="173" t="s">
        <v>2676</v>
      </c>
      <c r="R393" s="258" t="str">
        <f>IFS(C393="","",C393="n/a","N/A",LEN(C393),Concatenate("{",char(34),"asset",char(34),":{",char(34),"guid",char(34),":",char(34),Q393,char(34),",",char(34),"site",char(34),":",char(34),LOWER('2-Building'!$B$4),char(34),",",char(34),"name",char(34),":",char(34),LOWER(C393),char(34),"}}"))</f>
        <v>{"asset":{"guid":"uuid://97fe5850-cedf-45e9-8f89-845f8e451bdf","site":"in-blr-ananta","name":"ddc-72"}}</v>
      </c>
      <c r="S393" s="258" t="s">
        <v>1834</v>
      </c>
      <c r="T393" s="263"/>
      <c r="U393" s="263"/>
      <c r="V393" s="264" t="s">
        <v>1835</v>
      </c>
      <c r="W393" s="258" t="s">
        <v>1836</v>
      </c>
      <c r="X393" s="258" t="s">
        <v>1837</v>
      </c>
      <c r="Y393" s="33" t="s">
        <v>1838</v>
      </c>
      <c r="Z393" s="258">
        <v>11331.0</v>
      </c>
      <c r="AA393" s="258">
        <v>11501.0</v>
      </c>
      <c r="AB393" s="258"/>
      <c r="AC393" s="258"/>
      <c r="AD393" s="265"/>
      <c r="AE393" s="266" t="s">
        <v>685</v>
      </c>
      <c r="AF393" s="267" t="s">
        <v>2677</v>
      </c>
      <c r="AG393" s="268" t="str">
        <f>IFS(LEN(AF393)=17,LOWER('2-Building'!$B$4 &amp; "-" &amp; C393), AF393="N/A", "N/A", LEN(AF393)=0,"")</f>
        <v>in-blr-ananta-ddc-72</v>
      </c>
      <c r="AH393" s="258"/>
      <c r="AI393" s="258"/>
      <c r="AJ393" s="258"/>
      <c r="AK393" s="258" t="s">
        <v>2678</v>
      </c>
      <c r="AL393" s="258" t="s">
        <v>688</v>
      </c>
      <c r="AM393" s="258" t="s">
        <v>689</v>
      </c>
      <c r="AN393" s="258"/>
      <c r="AO393" s="258"/>
      <c r="AP393" s="258"/>
      <c r="AQ393" s="258"/>
      <c r="AR393" s="258" t="s">
        <v>690</v>
      </c>
      <c r="AS393" s="258" t="s">
        <v>691</v>
      </c>
      <c r="AT393" s="258" t="s">
        <v>1841</v>
      </c>
      <c r="AU393" s="265" t="s">
        <v>1842</v>
      </c>
      <c r="AV393" s="174" t="s">
        <v>225</v>
      </c>
      <c r="AW393" s="269" t="s">
        <v>245</v>
      </c>
      <c r="AX393" s="269" t="s">
        <v>694</v>
      </c>
      <c r="AY393" s="270" t="s">
        <v>1843</v>
      </c>
      <c r="AZ393" s="173" t="s">
        <v>1834</v>
      </c>
      <c r="BA393" s="265">
        <v>10.0</v>
      </c>
      <c r="BB393" s="174" t="s">
        <v>225</v>
      </c>
      <c r="BC393" s="271"/>
      <c r="BD393" s="272" t="s">
        <v>1844</v>
      </c>
      <c r="BE393" s="273"/>
      <c r="BF393" s="274" t="str">
        <f>IFERROR(__xludf.DUMMYFUNCTION("LOWER(Regexreplace(to_text(E393),""[^A-Za-z0-9]"","""")&amp;""_""&amp;Regexreplace(to_text(F393),""[^A-Za-z0-9]"",""""))"),"alc_g5ce")</f>
        <v>alc_g5ce</v>
      </c>
      <c r="BG393" s="275" t="str">
        <f>IFERROR(__xludf.DUMMYFUNCTION("upper(Regexreplace(to_text(E393),""[^A-Za-z0-9]"","""")&amp;""-""&amp;Regexreplace(to_text(F393),""[^A-Za-z0-9]"",""""))"),"ALC-G5CE")</f>
        <v>ALC-G5CE</v>
      </c>
    </row>
    <row r="394" ht="30.0" customHeight="1">
      <c r="A394" s="173">
        <v>387.0</v>
      </c>
      <c r="B394" s="256" t="s">
        <v>670</v>
      </c>
      <c r="C394" s="257" t="s">
        <v>2679</v>
      </c>
      <c r="D394" s="173" t="s">
        <v>2679</v>
      </c>
      <c r="E394" s="174" t="s">
        <v>1830</v>
      </c>
      <c r="F394" s="173" t="s">
        <v>507</v>
      </c>
      <c r="G394" s="258" t="s">
        <v>673</v>
      </c>
      <c r="H394" s="258" t="s">
        <v>674</v>
      </c>
      <c r="I394" s="258" t="s">
        <v>1614</v>
      </c>
      <c r="J394" s="259" t="s">
        <v>1453</v>
      </c>
      <c r="K394" s="260" t="s">
        <v>1465</v>
      </c>
      <c r="L394" s="258" t="s">
        <v>2674</v>
      </c>
      <c r="M394" s="265" t="s">
        <v>2680</v>
      </c>
      <c r="N394" s="173" t="s">
        <v>679</v>
      </c>
      <c r="O394" s="173" t="s">
        <v>225</v>
      </c>
      <c r="P394" s="262" t="str">
        <f t="shared" si="1"/>
        <v>IN-BLR-ANANTA-HLI-94_11</v>
      </c>
      <c r="Q394" s="173" t="s">
        <v>2681</v>
      </c>
      <c r="R394" s="258" t="str">
        <f>IFS(C394="","",C394="n/a","N/A",LEN(C394),Concatenate("{",char(34),"asset",char(34),":{",char(34),"guid",char(34),":",char(34),Q394,char(34),",",char(34),"site",char(34),":",char(34),LOWER('2-Building'!$B$4),char(34),",",char(34),"name",char(34),":",char(34),LOWER(C394),char(34),"}}"))</f>
        <v>{"asset":{"guid":"uuid://a6e09a0e-ec65-44f5-94ec-e4018ccc0a85","site":"in-blr-ananta","name":"hli-94"}}</v>
      </c>
      <c r="S394" s="258" t="s">
        <v>1834</v>
      </c>
      <c r="T394" s="263"/>
      <c r="U394" s="263"/>
      <c r="V394" s="264" t="s">
        <v>1835</v>
      </c>
      <c r="W394" s="258" t="s">
        <v>1836</v>
      </c>
      <c r="X394" s="258" t="s">
        <v>1837</v>
      </c>
      <c r="Y394" s="33" t="s">
        <v>1838</v>
      </c>
      <c r="Z394" s="258">
        <v>11313.0</v>
      </c>
      <c r="AA394" s="258">
        <v>11501.0</v>
      </c>
      <c r="AB394" s="258"/>
      <c r="AC394" s="258"/>
      <c r="AD394" s="265"/>
      <c r="AE394" s="266" t="s">
        <v>685</v>
      </c>
      <c r="AF394" s="267" t="s">
        <v>2682</v>
      </c>
      <c r="AG394" s="268" t="str">
        <f>IFS(LEN(AF394)=17,LOWER('2-Building'!$B$4 &amp; "-" &amp; C394), AF394="N/A", "N/A", LEN(AF394)=0,"")</f>
        <v>in-blr-ananta-hli-94</v>
      </c>
      <c r="AH394" s="258"/>
      <c r="AI394" s="258"/>
      <c r="AJ394" s="258"/>
      <c r="AK394" s="258" t="s">
        <v>2683</v>
      </c>
      <c r="AL394" s="258" t="s">
        <v>688</v>
      </c>
      <c r="AM394" s="258" t="s">
        <v>689</v>
      </c>
      <c r="AN394" s="258"/>
      <c r="AO394" s="258"/>
      <c r="AP394" s="258"/>
      <c r="AQ394" s="258"/>
      <c r="AR394" s="258" t="s">
        <v>690</v>
      </c>
      <c r="AS394" s="258" t="s">
        <v>691</v>
      </c>
      <c r="AT394" s="258" t="s">
        <v>1841</v>
      </c>
      <c r="AU394" s="265" t="s">
        <v>1842</v>
      </c>
      <c r="AV394" s="174" t="s">
        <v>225</v>
      </c>
      <c r="AW394" s="269" t="s">
        <v>245</v>
      </c>
      <c r="AX394" s="269" t="s">
        <v>694</v>
      </c>
      <c r="AY394" s="270" t="s">
        <v>1843</v>
      </c>
      <c r="AZ394" s="173" t="s">
        <v>1834</v>
      </c>
      <c r="BA394" s="265">
        <v>10.0</v>
      </c>
      <c r="BB394" s="174" t="s">
        <v>225</v>
      </c>
      <c r="BC394" s="271"/>
      <c r="BD394" s="272" t="s">
        <v>1844</v>
      </c>
      <c r="BE394" s="273"/>
      <c r="BF394" s="274" t="str">
        <f>IFERROR(__xludf.DUMMYFUNCTION("LOWER(Regexreplace(to_text(E394),""[^A-Za-z0-9]"","""")&amp;""_""&amp;Regexreplace(to_text(F394),""[^A-Za-z0-9]"",""""))"),"alc_g5ce")</f>
        <v>alc_g5ce</v>
      </c>
      <c r="BG394" s="275" t="str">
        <f>IFERROR(__xludf.DUMMYFUNCTION("upper(Regexreplace(to_text(E394),""[^A-Za-z0-9]"","""")&amp;""-""&amp;Regexreplace(to_text(F394),""[^A-Za-z0-9]"",""""))"),"ALC-G5CE")</f>
        <v>ALC-G5CE</v>
      </c>
    </row>
    <row r="395" ht="30.0" customHeight="1">
      <c r="A395" s="258">
        <v>388.0</v>
      </c>
      <c r="B395" s="256" t="s">
        <v>670</v>
      </c>
      <c r="C395" s="257" t="s">
        <v>2684</v>
      </c>
      <c r="D395" s="173" t="s">
        <v>2684</v>
      </c>
      <c r="E395" s="174" t="s">
        <v>1830</v>
      </c>
      <c r="F395" s="173" t="s">
        <v>507</v>
      </c>
      <c r="G395" s="258" t="s">
        <v>673</v>
      </c>
      <c r="H395" s="258" t="s">
        <v>674</v>
      </c>
      <c r="I395" s="258" t="s">
        <v>675</v>
      </c>
      <c r="J395" s="259" t="s">
        <v>1453</v>
      </c>
      <c r="K395" s="260" t="s">
        <v>1509</v>
      </c>
      <c r="L395" s="258" t="s">
        <v>2685</v>
      </c>
      <c r="M395" s="265" t="s">
        <v>2686</v>
      </c>
      <c r="N395" s="173" t="s">
        <v>679</v>
      </c>
      <c r="O395" s="173" t="s">
        <v>225</v>
      </c>
      <c r="P395" s="262" t="str">
        <f t="shared" si="1"/>
        <v>IN-BLR-ANANTA-DDC-73_11</v>
      </c>
      <c r="Q395" s="173" t="s">
        <v>2687</v>
      </c>
      <c r="R395" s="258" t="str">
        <f>IFS(C395="","",C395="n/a","N/A",LEN(C395),Concatenate("{",char(34),"asset",char(34),":{",char(34),"guid",char(34),":",char(34),Q395,char(34),",",char(34),"site",char(34),":",char(34),LOWER('2-Building'!$B$4),char(34),",",char(34),"name",char(34),":",char(34),LOWER(C395),char(34),"}}"))</f>
        <v>{"asset":{"guid":"uuid://7833dc94-098f-40b9-b623-c7b93063aeb9","site":"in-blr-ananta","name":"ddc-73"}}</v>
      </c>
      <c r="S395" s="258" t="s">
        <v>1834</v>
      </c>
      <c r="T395" s="263"/>
      <c r="U395" s="263"/>
      <c r="V395" s="264" t="s">
        <v>1835</v>
      </c>
      <c r="W395" s="258" t="s">
        <v>1836</v>
      </c>
      <c r="X395" s="258" t="s">
        <v>1837</v>
      </c>
      <c r="Y395" s="33" t="s">
        <v>1838</v>
      </c>
      <c r="Z395" s="258">
        <v>11332.0</v>
      </c>
      <c r="AA395" s="258">
        <v>11501.0</v>
      </c>
      <c r="AB395" s="258"/>
      <c r="AC395" s="258"/>
      <c r="AD395" s="265"/>
      <c r="AE395" s="266" t="s">
        <v>685</v>
      </c>
      <c r="AF395" s="267" t="s">
        <v>2688</v>
      </c>
      <c r="AG395" s="268" t="str">
        <f>IFS(LEN(AF395)=17,LOWER('2-Building'!$B$4 &amp; "-" &amp; C395), AF395="N/A", "N/A", LEN(AF395)=0,"")</f>
        <v>in-blr-ananta-ddc-73</v>
      </c>
      <c r="AH395" s="258"/>
      <c r="AI395" s="258"/>
      <c r="AJ395" s="258"/>
      <c r="AK395" s="258" t="s">
        <v>2689</v>
      </c>
      <c r="AL395" s="258" t="s">
        <v>688</v>
      </c>
      <c r="AM395" s="258" t="s">
        <v>689</v>
      </c>
      <c r="AN395" s="258"/>
      <c r="AO395" s="258"/>
      <c r="AP395" s="258"/>
      <c r="AQ395" s="258"/>
      <c r="AR395" s="258" t="s">
        <v>690</v>
      </c>
      <c r="AS395" s="258" t="s">
        <v>691</v>
      </c>
      <c r="AT395" s="258" t="s">
        <v>1841</v>
      </c>
      <c r="AU395" s="265" t="s">
        <v>1842</v>
      </c>
      <c r="AV395" s="174" t="s">
        <v>225</v>
      </c>
      <c r="AW395" s="269" t="s">
        <v>245</v>
      </c>
      <c r="AX395" s="269" t="s">
        <v>694</v>
      </c>
      <c r="AY395" s="270" t="s">
        <v>1843</v>
      </c>
      <c r="AZ395" s="173" t="s">
        <v>1834</v>
      </c>
      <c r="BA395" s="265">
        <v>10.0</v>
      </c>
      <c r="BB395" s="174" t="s">
        <v>225</v>
      </c>
      <c r="BC395" s="271"/>
      <c r="BD395" s="272" t="s">
        <v>1844</v>
      </c>
      <c r="BE395" s="273"/>
      <c r="BF395" s="274" t="str">
        <f>IFERROR(__xludf.DUMMYFUNCTION("LOWER(Regexreplace(to_text(E395),""[^A-Za-z0-9]"","""")&amp;""_""&amp;Regexreplace(to_text(F395),""[^A-Za-z0-9]"",""""))"),"alc_g5ce")</f>
        <v>alc_g5ce</v>
      </c>
      <c r="BG395" s="275" t="str">
        <f>IFERROR(__xludf.DUMMYFUNCTION("upper(Regexreplace(to_text(E395),""[^A-Za-z0-9]"","""")&amp;""-""&amp;Regexreplace(to_text(F395),""[^A-Za-z0-9]"",""""))"),"ALC-G5CE")</f>
        <v>ALC-G5CE</v>
      </c>
    </row>
    <row r="396" ht="30.0" customHeight="1">
      <c r="A396" s="173">
        <v>389.0</v>
      </c>
      <c r="B396" s="256" t="s">
        <v>670</v>
      </c>
      <c r="C396" s="257" t="s">
        <v>2690</v>
      </c>
      <c r="D396" s="173" t="s">
        <v>2690</v>
      </c>
      <c r="E396" s="174" t="s">
        <v>1830</v>
      </c>
      <c r="F396" s="173" t="s">
        <v>507</v>
      </c>
      <c r="G396" s="258" t="s">
        <v>673</v>
      </c>
      <c r="H396" s="258" t="s">
        <v>674</v>
      </c>
      <c r="I396" s="258" t="s">
        <v>1614</v>
      </c>
      <c r="J396" s="259" t="s">
        <v>1453</v>
      </c>
      <c r="K396" s="260" t="s">
        <v>1509</v>
      </c>
      <c r="L396" s="258" t="s">
        <v>2685</v>
      </c>
      <c r="M396" s="265" t="s">
        <v>2558</v>
      </c>
      <c r="N396" s="173" t="s">
        <v>679</v>
      </c>
      <c r="O396" s="173" t="s">
        <v>225</v>
      </c>
      <c r="P396" s="262" t="str">
        <f t="shared" si="1"/>
        <v>IN-BLR-ANANTA-HLI-95_11</v>
      </c>
      <c r="Q396" s="173" t="s">
        <v>2691</v>
      </c>
      <c r="R396" s="258" t="str">
        <f>IFS(C396="","",C396="n/a","N/A",LEN(C396),Concatenate("{",char(34),"asset",char(34),":{",char(34),"guid",char(34),":",char(34),Q396,char(34),",",char(34),"site",char(34),":",char(34),LOWER('2-Building'!$B$4),char(34),",",char(34),"name",char(34),":",char(34),LOWER(C396),char(34),"}}"))</f>
        <v>{"asset":{"guid":"uuid://21fdc81c-1507-4925-9b35-6eda247a57aa","site":"in-blr-ananta","name":"hli-95"}}</v>
      </c>
      <c r="S396" s="258" t="s">
        <v>1834</v>
      </c>
      <c r="T396" s="263"/>
      <c r="U396" s="263"/>
      <c r="V396" s="264" t="s">
        <v>1835</v>
      </c>
      <c r="W396" s="258" t="s">
        <v>1836</v>
      </c>
      <c r="X396" s="258" t="s">
        <v>1837</v>
      </c>
      <c r="Y396" s="33" t="s">
        <v>1838</v>
      </c>
      <c r="Z396" s="258">
        <v>11314.0</v>
      </c>
      <c r="AA396" s="258">
        <v>11501.0</v>
      </c>
      <c r="AB396" s="258"/>
      <c r="AC396" s="258"/>
      <c r="AD396" s="265"/>
      <c r="AE396" s="266" t="s">
        <v>685</v>
      </c>
      <c r="AF396" s="267" t="s">
        <v>2692</v>
      </c>
      <c r="AG396" s="268" t="str">
        <f>IFS(LEN(AF396)=17,LOWER('2-Building'!$B$4 &amp; "-" &amp; C396), AF396="N/A", "N/A", LEN(AF396)=0,"")</f>
        <v>in-blr-ananta-hli-95</v>
      </c>
      <c r="AH396" s="258"/>
      <c r="AI396" s="258"/>
      <c r="AJ396" s="258"/>
      <c r="AK396" s="258" t="s">
        <v>2693</v>
      </c>
      <c r="AL396" s="258" t="s">
        <v>688</v>
      </c>
      <c r="AM396" s="258" t="s">
        <v>689</v>
      </c>
      <c r="AN396" s="258"/>
      <c r="AO396" s="258"/>
      <c r="AP396" s="258"/>
      <c r="AQ396" s="258"/>
      <c r="AR396" s="258" t="s">
        <v>690</v>
      </c>
      <c r="AS396" s="258" t="s">
        <v>691</v>
      </c>
      <c r="AT396" s="258" t="s">
        <v>1841</v>
      </c>
      <c r="AU396" s="265" t="s">
        <v>1842</v>
      </c>
      <c r="AV396" s="174" t="s">
        <v>225</v>
      </c>
      <c r="AW396" s="269" t="s">
        <v>245</v>
      </c>
      <c r="AX396" s="269" t="s">
        <v>694</v>
      </c>
      <c r="AY396" s="270" t="s">
        <v>1843</v>
      </c>
      <c r="AZ396" s="173" t="s">
        <v>1834</v>
      </c>
      <c r="BA396" s="265">
        <v>10.0</v>
      </c>
      <c r="BB396" s="174" t="s">
        <v>225</v>
      </c>
      <c r="BC396" s="271"/>
      <c r="BD396" s="272" t="s">
        <v>1844</v>
      </c>
      <c r="BE396" s="273"/>
      <c r="BF396" s="274" t="str">
        <f>IFERROR(__xludf.DUMMYFUNCTION("LOWER(Regexreplace(to_text(E396),""[^A-Za-z0-9]"","""")&amp;""_""&amp;Regexreplace(to_text(F396),""[^A-Za-z0-9]"",""""))"),"alc_g5ce")</f>
        <v>alc_g5ce</v>
      </c>
      <c r="BG396" s="275" t="str">
        <f>IFERROR(__xludf.DUMMYFUNCTION("upper(Regexreplace(to_text(E396),""[^A-Za-z0-9]"","""")&amp;""-""&amp;Regexreplace(to_text(F396),""[^A-Za-z0-9]"",""""))"),"ALC-G5CE")</f>
        <v>ALC-G5CE</v>
      </c>
    </row>
    <row r="397" ht="30.0" customHeight="1">
      <c r="A397" s="258">
        <v>390.0</v>
      </c>
      <c r="B397" s="256" t="s">
        <v>670</v>
      </c>
      <c r="C397" s="257" t="s">
        <v>1503</v>
      </c>
      <c r="D397" s="173" t="s">
        <v>1503</v>
      </c>
      <c r="E397" s="174" t="s">
        <v>1830</v>
      </c>
      <c r="F397" s="173" t="s">
        <v>507</v>
      </c>
      <c r="G397" s="258" t="s">
        <v>673</v>
      </c>
      <c r="H397" s="258" t="s">
        <v>674</v>
      </c>
      <c r="I397" s="258" t="s">
        <v>1614</v>
      </c>
      <c r="J397" s="259" t="s">
        <v>1453</v>
      </c>
      <c r="K397" s="260" t="s">
        <v>1498</v>
      </c>
      <c r="L397" s="258" t="s">
        <v>2694</v>
      </c>
      <c r="M397" s="265" t="s">
        <v>2695</v>
      </c>
      <c r="N397" s="173" t="s">
        <v>679</v>
      </c>
      <c r="O397" s="173" t="s">
        <v>225</v>
      </c>
      <c r="P397" s="262" t="str">
        <f t="shared" si="1"/>
        <v>IN-BLR-ANANTA-HLI-96_11</v>
      </c>
      <c r="Q397" s="173" t="s">
        <v>2696</v>
      </c>
      <c r="R397" s="258" t="str">
        <f>IFS(C397="","",C397="n/a","N/A",LEN(C397),Concatenate("{",char(34),"asset",char(34),":{",char(34),"guid",char(34),":",char(34),Q397,char(34),",",char(34),"site",char(34),":",char(34),LOWER('2-Building'!$B$4),char(34),",",char(34),"name",char(34),":",char(34),LOWER(C397),char(34),"}}"))</f>
        <v>{"asset":{"guid":"uuid://bc256bf0-4d28-4664-83f3-aaad9e27f7e9","site":"in-blr-ananta","name":"hli-96"}}</v>
      </c>
      <c r="S397" s="258" t="s">
        <v>1834</v>
      </c>
      <c r="T397" s="263"/>
      <c r="U397" s="263"/>
      <c r="V397" s="264" t="s">
        <v>1835</v>
      </c>
      <c r="W397" s="258" t="s">
        <v>1836</v>
      </c>
      <c r="X397" s="258" t="s">
        <v>1837</v>
      </c>
      <c r="Y397" s="33" t="s">
        <v>1838</v>
      </c>
      <c r="Z397" s="258">
        <v>11315.0</v>
      </c>
      <c r="AA397" s="258">
        <v>11501.0</v>
      </c>
      <c r="AB397" s="258"/>
      <c r="AC397" s="258"/>
      <c r="AD397" s="265"/>
      <c r="AE397" s="266" t="s">
        <v>685</v>
      </c>
      <c r="AF397" s="267" t="s">
        <v>2697</v>
      </c>
      <c r="AG397" s="268" t="str">
        <f>IFS(LEN(AF397)=17,LOWER('2-Building'!$B$4 &amp; "-" &amp; C397), AF397="N/A", "N/A", LEN(AF397)=0,"")</f>
        <v>in-blr-ananta-hli-96</v>
      </c>
      <c r="AH397" s="258"/>
      <c r="AI397" s="258"/>
      <c r="AJ397" s="258"/>
      <c r="AK397" s="258" t="s">
        <v>2698</v>
      </c>
      <c r="AL397" s="258" t="s">
        <v>688</v>
      </c>
      <c r="AM397" s="258" t="s">
        <v>689</v>
      </c>
      <c r="AN397" s="258"/>
      <c r="AO397" s="258"/>
      <c r="AP397" s="258"/>
      <c r="AQ397" s="258"/>
      <c r="AR397" s="258" t="s">
        <v>690</v>
      </c>
      <c r="AS397" s="258" t="s">
        <v>691</v>
      </c>
      <c r="AT397" s="258" t="s">
        <v>1841</v>
      </c>
      <c r="AU397" s="265" t="s">
        <v>1842</v>
      </c>
      <c r="AV397" s="174" t="s">
        <v>225</v>
      </c>
      <c r="AW397" s="269" t="s">
        <v>245</v>
      </c>
      <c r="AX397" s="269" t="s">
        <v>694</v>
      </c>
      <c r="AY397" s="270" t="s">
        <v>1843</v>
      </c>
      <c r="AZ397" s="173" t="s">
        <v>1834</v>
      </c>
      <c r="BA397" s="265">
        <v>10.0</v>
      </c>
      <c r="BB397" s="174" t="s">
        <v>225</v>
      </c>
      <c r="BC397" s="271"/>
      <c r="BD397" s="272" t="s">
        <v>1844</v>
      </c>
      <c r="BE397" s="273"/>
      <c r="BF397" s="274" t="str">
        <f>IFERROR(__xludf.DUMMYFUNCTION("LOWER(Regexreplace(to_text(E397),""[^A-Za-z0-9]"","""")&amp;""_""&amp;Regexreplace(to_text(F397),""[^A-Za-z0-9]"",""""))"),"alc_g5ce")</f>
        <v>alc_g5ce</v>
      </c>
      <c r="BG397" s="275" t="str">
        <f>IFERROR(__xludf.DUMMYFUNCTION("upper(Regexreplace(to_text(E397),""[^A-Za-z0-9]"","""")&amp;""-""&amp;Regexreplace(to_text(F397),""[^A-Za-z0-9]"",""""))"),"ALC-G5CE")</f>
        <v>ALC-G5CE</v>
      </c>
    </row>
    <row r="398" ht="30.0" customHeight="1">
      <c r="A398" s="173">
        <v>391.0</v>
      </c>
      <c r="B398" s="256" t="s">
        <v>670</v>
      </c>
      <c r="C398" s="257" t="s">
        <v>2699</v>
      </c>
      <c r="D398" s="173" t="s">
        <v>2699</v>
      </c>
      <c r="E398" s="174" t="s">
        <v>1830</v>
      </c>
      <c r="F398" s="173" t="s">
        <v>510</v>
      </c>
      <c r="G398" s="258" t="s">
        <v>673</v>
      </c>
      <c r="H398" s="258" t="s">
        <v>674</v>
      </c>
      <c r="I398" s="258" t="s">
        <v>1614</v>
      </c>
      <c r="J398" s="259" t="s">
        <v>1453</v>
      </c>
      <c r="K398" s="260" t="s">
        <v>1498</v>
      </c>
      <c r="L398" s="258" t="s">
        <v>2694</v>
      </c>
      <c r="M398" s="265" t="s">
        <v>2700</v>
      </c>
      <c r="N398" s="173" t="s">
        <v>679</v>
      </c>
      <c r="O398" s="173" t="s">
        <v>225</v>
      </c>
      <c r="P398" s="262" t="str">
        <f t="shared" si="1"/>
        <v>IN-BLR-ANANTA-HLI-97_11</v>
      </c>
      <c r="Q398" s="173" t="s">
        <v>2701</v>
      </c>
      <c r="R398" s="258" t="str">
        <f>IFS(C398="","",C398="n/a","N/A",LEN(C398),Concatenate("{",char(34),"asset",char(34),":{",char(34),"guid",char(34),":",char(34),Q398,char(34),",",char(34),"site",char(34),":",char(34),LOWER('2-Building'!$B$4),char(34),",",char(34),"name",char(34),":",char(34),LOWER(C398),char(34),"}}"))</f>
        <v>{"asset":{"guid":"uuid://e8a26836-a975-461c-8992-2f53c90ac790","site":"in-blr-ananta","name":"hli-97"}}</v>
      </c>
      <c r="S398" s="258" t="s">
        <v>1834</v>
      </c>
      <c r="T398" s="263"/>
      <c r="U398" s="263"/>
      <c r="V398" s="264" t="s">
        <v>1835</v>
      </c>
      <c r="W398" s="258" t="s">
        <v>1836</v>
      </c>
      <c r="X398" s="258" t="s">
        <v>1837</v>
      </c>
      <c r="Y398" s="33" t="s">
        <v>1838</v>
      </c>
      <c r="Z398" s="258">
        <v>11316.0</v>
      </c>
      <c r="AA398" s="258">
        <v>11501.0</v>
      </c>
      <c r="AB398" s="258"/>
      <c r="AC398" s="258"/>
      <c r="AD398" s="265"/>
      <c r="AE398" s="266" t="s">
        <v>685</v>
      </c>
      <c r="AF398" s="267" t="s">
        <v>2702</v>
      </c>
      <c r="AG398" s="268" t="str">
        <f>IFS(LEN(AF398)=17,LOWER('2-Building'!$B$4 &amp; "-" &amp; C398), AF398="N/A", "N/A", LEN(AF398)=0,"")</f>
        <v>in-blr-ananta-hli-97</v>
      </c>
      <c r="AH398" s="258"/>
      <c r="AI398" s="258"/>
      <c r="AJ398" s="258"/>
      <c r="AK398" s="258" t="s">
        <v>2703</v>
      </c>
      <c r="AL398" s="258" t="s">
        <v>688</v>
      </c>
      <c r="AM398" s="258" t="s">
        <v>689</v>
      </c>
      <c r="AN398" s="258"/>
      <c r="AO398" s="258"/>
      <c r="AP398" s="258"/>
      <c r="AQ398" s="258"/>
      <c r="AR398" s="258" t="s">
        <v>690</v>
      </c>
      <c r="AS398" s="258" t="s">
        <v>691</v>
      </c>
      <c r="AT398" s="258" t="s">
        <v>1841</v>
      </c>
      <c r="AU398" s="265" t="s">
        <v>1842</v>
      </c>
      <c r="AV398" s="174" t="s">
        <v>225</v>
      </c>
      <c r="AW398" s="269" t="s">
        <v>245</v>
      </c>
      <c r="AX398" s="269" t="s">
        <v>694</v>
      </c>
      <c r="AY398" s="270" t="s">
        <v>1843</v>
      </c>
      <c r="AZ398" s="173" t="s">
        <v>1834</v>
      </c>
      <c r="BA398" s="265">
        <v>10.0</v>
      </c>
      <c r="BB398" s="174" t="s">
        <v>225</v>
      </c>
      <c r="BC398" s="271"/>
      <c r="BD398" s="272" t="s">
        <v>1844</v>
      </c>
      <c r="BE398" s="273"/>
      <c r="BF398" s="274" t="str">
        <f>IFERROR(__xludf.DUMMYFUNCTION("LOWER(Regexreplace(to_text(E398),""[^A-Za-z0-9]"","""")&amp;""_""&amp;Regexreplace(to_text(F398),""[^A-Za-z0-9]"",""""))"),"alc_ofhi")</f>
        <v>alc_ofhi</v>
      </c>
      <c r="BG398" s="275" t="str">
        <f>IFERROR(__xludf.DUMMYFUNCTION("upper(Regexreplace(to_text(E398),""[^A-Za-z0-9]"","""")&amp;""-""&amp;Regexreplace(to_text(F398),""[^A-Za-z0-9]"",""""))"),"ALC-OFHI")</f>
        <v>ALC-OFHI</v>
      </c>
    </row>
    <row r="399" ht="30.0" customHeight="1">
      <c r="A399" s="258">
        <v>392.0</v>
      </c>
      <c r="B399" s="256" t="s">
        <v>670</v>
      </c>
      <c r="C399" s="257" t="s">
        <v>2704</v>
      </c>
      <c r="D399" s="173" t="s">
        <v>2704</v>
      </c>
      <c r="E399" s="174" t="s">
        <v>1830</v>
      </c>
      <c r="F399" s="173" t="s">
        <v>507</v>
      </c>
      <c r="G399" s="258" t="s">
        <v>673</v>
      </c>
      <c r="H399" s="258" t="s">
        <v>674</v>
      </c>
      <c r="I399" s="258" t="s">
        <v>675</v>
      </c>
      <c r="J399" s="259" t="s">
        <v>1520</v>
      </c>
      <c r="K399" s="260"/>
      <c r="L399" s="258" t="s">
        <v>2705</v>
      </c>
      <c r="M399" s="265" t="s">
        <v>2706</v>
      </c>
      <c r="N399" s="173" t="s">
        <v>679</v>
      </c>
      <c r="O399" s="173" t="s">
        <v>225</v>
      </c>
      <c r="P399" s="262" t="str">
        <f t="shared" si="1"/>
        <v>IN-BLR-ANANTA-DDC-74_Roof</v>
      </c>
      <c r="Q399" s="173" t="s">
        <v>2707</v>
      </c>
      <c r="R399" s="258" t="str">
        <f>IFS(C399="","",C399="n/a","N/A",LEN(C399),Concatenate("{",char(34),"asset",char(34),":{",char(34),"guid",char(34),":",char(34),Q399,char(34),",",char(34),"site",char(34),":",char(34),LOWER('2-Building'!$B$4),char(34),",",char(34),"name",char(34),":",char(34),LOWER(C399),char(34),"}}"))</f>
        <v>{"asset":{"guid":"uuid://d5bccb07-eb4d-47c2-935f-494e2b2dad04","site":"in-blr-ananta","name":"ddc-74"}}</v>
      </c>
      <c r="S399" s="258" t="s">
        <v>1834</v>
      </c>
      <c r="T399" s="263"/>
      <c r="U399" s="263"/>
      <c r="V399" s="264" t="s">
        <v>1835</v>
      </c>
      <c r="W399" s="258" t="s">
        <v>1836</v>
      </c>
      <c r="X399" s="258" t="s">
        <v>1837</v>
      </c>
      <c r="Y399" s="33" t="s">
        <v>1838</v>
      </c>
      <c r="Z399" s="258">
        <v>11333.0</v>
      </c>
      <c r="AA399" s="258">
        <v>11501.0</v>
      </c>
      <c r="AB399" s="258"/>
      <c r="AC399" s="258"/>
      <c r="AD399" s="265"/>
      <c r="AE399" s="266" t="s">
        <v>685</v>
      </c>
      <c r="AF399" s="267" t="s">
        <v>2708</v>
      </c>
      <c r="AG399" s="268" t="str">
        <f>IFS(LEN(AF399)=17,LOWER('2-Building'!$B$4 &amp; "-" &amp; C399), AF399="N/A", "N/A", LEN(AF399)=0,"")</f>
        <v>in-blr-ananta-ddc-74</v>
      </c>
      <c r="AH399" s="258"/>
      <c r="AI399" s="258"/>
      <c r="AJ399" s="258"/>
      <c r="AK399" s="258" t="s">
        <v>2709</v>
      </c>
      <c r="AL399" s="258" t="s">
        <v>688</v>
      </c>
      <c r="AM399" s="258" t="s">
        <v>689</v>
      </c>
      <c r="AN399" s="258"/>
      <c r="AO399" s="258"/>
      <c r="AP399" s="258"/>
      <c r="AQ399" s="258"/>
      <c r="AR399" s="258" t="s">
        <v>690</v>
      </c>
      <c r="AS399" s="258" t="s">
        <v>691</v>
      </c>
      <c r="AT399" s="258" t="s">
        <v>1841</v>
      </c>
      <c r="AU399" s="265" t="s">
        <v>1842</v>
      </c>
      <c r="AV399" s="174" t="s">
        <v>225</v>
      </c>
      <c r="AW399" s="269" t="s">
        <v>245</v>
      </c>
      <c r="AX399" s="269" t="s">
        <v>694</v>
      </c>
      <c r="AY399" s="270" t="s">
        <v>1843</v>
      </c>
      <c r="AZ399" s="173" t="s">
        <v>1834</v>
      </c>
      <c r="BA399" s="265">
        <v>10.0</v>
      </c>
      <c r="BB399" s="174" t="s">
        <v>225</v>
      </c>
      <c r="BC399" s="271"/>
      <c r="BD399" s="272" t="s">
        <v>1844</v>
      </c>
      <c r="BE399" s="273"/>
      <c r="BF399" s="274" t="str">
        <f>IFERROR(__xludf.DUMMYFUNCTION("LOWER(Regexreplace(to_text(E399),""[^A-Za-z0-9]"","""")&amp;""_""&amp;Regexreplace(to_text(F399),""[^A-Za-z0-9]"",""""))"),"alc_g5ce")</f>
        <v>alc_g5ce</v>
      </c>
      <c r="BG399" s="275" t="str">
        <f>IFERROR(__xludf.DUMMYFUNCTION("upper(Regexreplace(to_text(E399),""[^A-Za-z0-9]"","""")&amp;""-""&amp;Regexreplace(to_text(F399),""[^A-Za-z0-9]"",""""))"),"ALC-G5CE")</f>
        <v>ALC-G5CE</v>
      </c>
    </row>
    <row r="400" ht="30.0" customHeight="1">
      <c r="A400" s="173">
        <v>393.0</v>
      </c>
      <c r="B400" s="256" t="s">
        <v>670</v>
      </c>
      <c r="C400" s="257" t="s">
        <v>2710</v>
      </c>
      <c r="D400" s="173" t="s">
        <v>2710</v>
      </c>
      <c r="E400" s="174" t="s">
        <v>1830</v>
      </c>
      <c r="F400" s="173" t="s">
        <v>510</v>
      </c>
      <c r="G400" s="258" t="s">
        <v>673</v>
      </c>
      <c r="H400" s="258" t="s">
        <v>674</v>
      </c>
      <c r="I400" s="258" t="s">
        <v>1614</v>
      </c>
      <c r="J400" s="259" t="s">
        <v>1520</v>
      </c>
      <c r="K400" s="260" t="s">
        <v>1520</v>
      </c>
      <c r="L400" s="258" t="s">
        <v>2705</v>
      </c>
      <c r="M400" s="265" t="s">
        <v>2711</v>
      </c>
      <c r="N400" s="173" t="s">
        <v>679</v>
      </c>
      <c r="O400" s="173" t="s">
        <v>225</v>
      </c>
      <c r="P400" s="262" t="str">
        <f t="shared" si="1"/>
        <v>IN-BLR-ANANTA-HLI-98_Roof</v>
      </c>
      <c r="Q400" s="173" t="s">
        <v>2712</v>
      </c>
      <c r="R400" s="258" t="str">
        <f>IFS(C400="","",C400="n/a","N/A",LEN(C400),Concatenate("{",char(34),"asset",char(34),":{",char(34),"guid",char(34),":",char(34),Q400,char(34),",",char(34),"site",char(34),":",char(34),LOWER('2-Building'!$B$4),char(34),",",char(34),"name",char(34),":",char(34),LOWER(C400),char(34),"}}"))</f>
        <v>{"asset":{"guid":"uuid://d3740d21-d42a-49f3-927e-b9ff9b26be53","site":"in-blr-ananta","name":"hli-98"}}</v>
      </c>
      <c r="S400" s="258" t="s">
        <v>1834</v>
      </c>
      <c r="T400" s="263"/>
      <c r="U400" s="263"/>
      <c r="V400" s="264" t="s">
        <v>1835</v>
      </c>
      <c r="W400" s="258" t="s">
        <v>1836</v>
      </c>
      <c r="X400" s="258" t="s">
        <v>1837</v>
      </c>
      <c r="Y400" s="33" t="s">
        <v>1838</v>
      </c>
      <c r="Z400" s="258">
        <v>11317.0</v>
      </c>
      <c r="AA400" s="258">
        <v>11501.0</v>
      </c>
      <c r="AB400" s="258"/>
      <c r="AC400" s="258"/>
      <c r="AD400" s="265"/>
      <c r="AE400" s="266" t="s">
        <v>685</v>
      </c>
      <c r="AF400" s="267" t="s">
        <v>2713</v>
      </c>
      <c r="AG400" s="268" t="str">
        <f>IFS(LEN(AF400)=17,LOWER('2-Building'!$B$4 &amp; "-" &amp; C400), AF400="N/A", "N/A", LEN(AF400)=0,"")</f>
        <v>in-blr-ananta-hli-98</v>
      </c>
      <c r="AH400" s="258"/>
      <c r="AI400" s="258"/>
      <c r="AJ400" s="258"/>
      <c r="AK400" s="258" t="s">
        <v>2714</v>
      </c>
      <c r="AL400" s="258" t="s">
        <v>688</v>
      </c>
      <c r="AM400" s="258" t="s">
        <v>689</v>
      </c>
      <c r="AN400" s="258"/>
      <c r="AO400" s="258"/>
      <c r="AP400" s="258"/>
      <c r="AQ400" s="258"/>
      <c r="AR400" s="258" t="s">
        <v>690</v>
      </c>
      <c r="AS400" s="258" t="s">
        <v>691</v>
      </c>
      <c r="AT400" s="258" t="s">
        <v>1841</v>
      </c>
      <c r="AU400" s="265" t="s">
        <v>1842</v>
      </c>
      <c r="AV400" s="174" t="s">
        <v>225</v>
      </c>
      <c r="AW400" s="269" t="s">
        <v>245</v>
      </c>
      <c r="AX400" s="269" t="s">
        <v>694</v>
      </c>
      <c r="AY400" s="270" t="s">
        <v>1843</v>
      </c>
      <c r="AZ400" s="173" t="s">
        <v>1834</v>
      </c>
      <c r="BA400" s="265">
        <v>10.0</v>
      </c>
      <c r="BB400" s="174" t="s">
        <v>225</v>
      </c>
      <c r="BC400" s="271"/>
      <c r="BD400" s="272" t="s">
        <v>1844</v>
      </c>
      <c r="BE400" s="273"/>
      <c r="BF400" s="274" t="str">
        <f>IFERROR(__xludf.DUMMYFUNCTION("LOWER(Regexreplace(to_text(E400),""[^A-Za-z0-9]"","""")&amp;""_""&amp;Regexreplace(to_text(F400),""[^A-Za-z0-9]"",""""))"),"alc_ofhi")</f>
        <v>alc_ofhi</v>
      </c>
      <c r="BG400" s="275" t="str">
        <f>IFERROR(__xludf.DUMMYFUNCTION("upper(Regexreplace(to_text(E400),""[^A-Za-z0-9]"","""")&amp;""-""&amp;Regexreplace(to_text(F400),""[^A-Za-z0-9]"",""""))"),"ALC-OFHI")</f>
        <v>ALC-OFHI</v>
      </c>
    </row>
    <row r="401" ht="30.0" customHeight="1">
      <c r="A401" s="258">
        <v>394.0</v>
      </c>
      <c r="B401" s="256" t="s">
        <v>670</v>
      </c>
      <c r="C401" s="257" t="s">
        <v>2715</v>
      </c>
      <c r="D401" s="173" t="s">
        <v>2715</v>
      </c>
      <c r="E401" s="174" t="s">
        <v>1830</v>
      </c>
      <c r="F401" s="173" t="s">
        <v>507</v>
      </c>
      <c r="G401" s="258" t="s">
        <v>673</v>
      </c>
      <c r="H401" s="258" t="s">
        <v>674</v>
      </c>
      <c r="I401" s="258" t="s">
        <v>675</v>
      </c>
      <c r="J401" s="259" t="s">
        <v>1520</v>
      </c>
      <c r="K401" s="260"/>
      <c r="L401" s="258" t="s">
        <v>2716</v>
      </c>
      <c r="M401" s="265" t="s">
        <v>2717</v>
      </c>
      <c r="N401" s="173" t="s">
        <v>679</v>
      </c>
      <c r="O401" s="173" t="s">
        <v>225</v>
      </c>
      <c r="P401" s="262" t="str">
        <f t="shared" si="1"/>
        <v>IN-BLR-ANANTA-DDC-75_Roof</v>
      </c>
      <c r="Q401" s="173" t="s">
        <v>2718</v>
      </c>
      <c r="R401" s="258" t="str">
        <f>IFS(C401="","",C401="n/a","N/A",LEN(C401),Concatenate("{",char(34),"asset",char(34),":{",char(34),"guid",char(34),":",char(34),Q401,char(34),",",char(34),"site",char(34),":",char(34),LOWER('2-Building'!$B$4),char(34),",",char(34),"name",char(34),":",char(34),LOWER(C401),char(34),"}}"))</f>
        <v>{"asset":{"guid":"uuid://44f2547b-f75b-4593-ba22-955fb14e3cba","site":"in-blr-ananta","name":"ddc-75"}}</v>
      </c>
      <c r="S401" s="258" t="s">
        <v>1834</v>
      </c>
      <c r="T401" s="263"/>
      <c r="U401" s="263"/>
      <c r="V401" s="264" t="s">
        <v>1835</v>
      </c>
      <c r="W401" s="258" t="s">
        <v>1836</v>
      </c>
      <c r="X401" s="258" t="s">
        <v>1837</v>
      </c>
      <c r="Y401" s="33" t="s">
        <v>1838</v>
      </c>
      <c r="Z401" s="258">
        <v>11334.0</v>
      </c>
      <c r="AA401" s="258">
        <v>11501.0</v>
      </c>
      <c r="AB401" s="258"/>
      <c r="AC401" s="258"/>
      <c r="AD401" s="265"/>
      <c r="AE401" s="266" t="s">
        <v>685</v>
      </c>
      <c r="AF401" s="267" t="s">
        <v>2719</v>
      </c>
      <c r="AG401" s="268" t="str">
        <f>IFS(LEN(AF401)=17,LOWER('2-Building'!$B$4 &amp; "-" &amp; C401), AF401="N/A", "N/A", LEN(AF401)=0,"")</f>
        <v>in-blr-ananta-ddc-75</v>
      </c>
      <c r="AH401" s="258"/>
      <c r="AI401" s="258"/>
      <c r="AJ401" s="258"/>
      <c r="AK401" s="258" t="s">
        <v>2720</v>
      </c>
      <c r="AL401" s="258" t="s">
        <v>688</v>
      </c>
      <c r="AM401" s="258" t="s">
        <v>689</v>
      </c>
      <c r="AN401" s="258"/>
      <c r="AO401" s="258"/>
      <c r="AP401" s="258"/>
      <c r="AQ401" s="258"/>
      <c r="AR401" s="258" t="s">
        <v>690</v>
      </c>
      <c r="AS401" s="258" t="s">
        <v>691</v>
      </c>
      <c r="AT401" s="258" t="s">
        <v>1841</v>
      </c>
      <c r="AU401" s="265" t="s">
        <v>1842</v>
      </c>
      <c r="AV401" s="174" t="s">
        <v>225</v>
      </c>
      <c r="AW401" s="269" t="s">
        <v>245</v>
      </c>
      <c r="AX401" s="269" t="s">
        <v>694</v>
      </c>
      <c r="AY401" s="270" t="s">
        <v>1843</v>
      </c>
      <c r="AZ401" s="173" t="s">
        <v>1834</v>
      </c>
      <c r="BA401" s="265">
        <v>10.0</v>
      </c>
      <c r="BB401" s="174" t="s">
        <v>225</v>
      </c>
      <c r="BC401" s="271"/>
      <c r="BD401" s="272" t="s">
        <v>1844</v>
      </c>
      <c r="BE401" s="273"/>
      <c r="BF401" s="274" t="str">
        <f>IFERROR(__xludf.DUMMYFUNCTION("LOWER(Regexreplace(to_text(E401),""[^A-Za-z0-9]"","""")&amp;""_""&amp;Regexreplace(to_text(F401),""[^A-Za-z0-9]"",""""))"),"alc_g5ce")</f>
        <v>alc_g5ce</v>
      </c>
      <c r="BG401" s="275" t="str">
        <f>IFERROR(__xludf.DUMMYFUNCTION("upper(Regexreplace(to_text(E401),""[^A-Za-z0-9]"","""")&amp;""-""&amp;Regexreplace(to_text(F401),""[^A-Za-z0-9]"",""""))"),"ALC-G5CE")</f>
        <v>ALC-G5CE</v>
      </c>
    </row>
    <row r="402" ht="30.0" customHeight="1">
      <c r="A402" s="173">
        <v>395.0</v>
      </c>
      <c r="B402" s="256" t="s">
        <v>670</v>
      </c>
      <c r="C402" s="257" t="s">
        <v>2721</v>
      </c>
      <c r="D402" s="173" t="s">
        <v>2721</v>
      </c>
      <c r="E402" s="174" t="s">
        <v>1830</v>
      </c>
      <c r="F402" s="173" t="s">
        <v>510</v>
      </c>
      <c r="G402" s="258" t="s">
        <v>673</v>
      </c>
      <c r="H402" s="258" t="s">
        <v>674</v>
      </c>
      <c r="I402" s="258" t="s">
        <v>1614</v>
      </c>
      <c r="J402" s="259" t="s">
        <v>1520</v>
      </c>
      <c r="K402" s="260" t="s">
        <v>1520</v>
      </c>
      <c r="L402" s="258" t="s">
        <v>2716</v>
      </c>
      <c r="M402" s="265" t="s">
        <v>2722</v>
      </c>
      <c r="N402" s="173" t="s">
        <v>679</v>
      </c>
      <c r="O402" s="173" t="s">
        <v>225</v>
      </c>
      <c r="P402" s="262" t="str">
        <f t="shared" si="1"/>
        <v>IN-BLR-ANANTA-HLI-99_Roof</v>
      </c>
      <c r="Q402" s="173" t="s">
        <v>2723</v>
      </c>
      <c r="R402" s="258" t="str">
        <f>IFS(C402="","",C402="n/a","N/A",LEN(C402),Concatenate("{",char(34),"asset",char(34),":{",char(34),"guid",char(34),":",char(34),Q402,char(34),",",char(34),"site",char(34),":",char(34),LOWER('2-Building'!$B$4),char(34),",",char(34),"name",char(34),":",char(34),LOWER(C402),char(34),"}}"))</f>
        <v>{"asset":{"guid":"uuid://edc00bf2-bd94-4fb0-9770-115c4da6d60e","site":"in-blr-ananta","name":"hli-99"}}</v>
      </c>
      <c r="S402" s="258" t="s">
        <v>1834</v>
      </c>
      <c r="T402" s="263"/>
      <c r="U402" s="263"/>
      <c r="V402" s="264" t="s">
        <v>1835</v>
      </c>
      <c r="W402" s="258" t="s">
        <v>1836</v>
      </c>
      <c r="X402" s="258" t="s">
        <v>1837</v>
      </c>
      <c r="Y402" s="33" t="s">
        <v>1838</v>
      </c>
      <c r="Z402" s="258">
        <v>11318.0</v>
      </c>
      <c r="AA402" s="258">
        <v>11501.0</v>
      </c>
      <c r="AB402" s="258"/>
      <c r="AC402" s="258"/>
      <c r="AD402" s="265"/>
      <c r="AE402" s="266" t="s">
        <v>685</v>
      </c>
      <c r="AF402" s="267" t="s">
        <v>2724</v>
      </c>
      <c r="AG402" s="268" t="str">
        <f>IFS(LEN(AF402)=17,LOWER('2-Building'!$B$4 &amp; "-" &amp; C402), AF402="N/A", "N/A", LEN(AF402)=0,"")</f>
        <v>in-blr-ananta-hli-99</v>
      </c>
      <c r="AH402" s="258"/>
      <c r="AI402" s="258"/>
      <c r="AJ402" s="258"/>
      <c r="AK402" s="258" t="s">
        <v>2725</v>
      </c>
      <c r="AL402" s="258" t="s">
        <v>688</v>
      </c>
      <c r="AM402" s="258" t="s">
        <v>689</v>
      </c>
      <c r="AN402" s="258"/>
      <c r="AO402" s="258"/>
      <c r="AP402" s="258"/>
      <c r="AQ402" s="258"/>
      <c r="AR402" s="258" t="s">
        <v>690</v>
      </c>
      <c r="AS402" s="258" t="s">
        <v>691</v>
      </c>
      <c r="AT402" s="258" t="s">
        <v>1841</v>
      </c>
      <c r="AU402" s="265" t="s">
        <v>1842</v>
      </c>
      <c r="AV402" s="174" t="s">
        <v>225</v>
      </c>
      <c r="AW402" s="269" t="s">
        <v>245</v>
      </c>
      <c r="AX402" s="269" t="s">
        <v>694</v>
      </c>
      <c r="AY402" s="270" t="s">
        <v>1843</v>
      </c>
      <c r="AZ402" s="173" t="s">
        <v>1834</v>
      </c>
      <c r="BA402" s="265">
        <v>10.0</v>
      </c>
      <c r="BB402" s="174" t="s">
        <v>225</v>
      </c>
      <c r="BC402" s="271"/>
      <c r="BD402" s="272" t="s">
        <v>1844</v>
      </c>
      <c r="BE402" s="273"/>
      <c r="BF402" s="274" t="str">
        <f>IFERROR(__xludf.DUMMYFUNCTION("LOWER(Regexreplace(to_text(E402),""[^A-Za-z0-9]"","""")&amp;""_""&amp;Regexreplace(to_text(F402),""[^A-Za-z0-9]"",""""))"),"alc_ofhi")</f>
        <v>alc_ofhi</v>
      </c>
      <c r="BG402" s="275" t="str">
        <f>IFERROR(__xludf.DUMMYFUNCTION("upper(Regexreplace(to_text(E402),""[^A-Za-z0-9]"","""")&amp;""-""&amp;Regexreplace(to_text(F402),""[^A-Za-z0-9]"",""""))"),"ALC-OFHI")</f>
        <v>ALC-OFHI</v>
      </c>
    </row>
    <row r="403" ht="30.0" customHeight="1">
      <c r="A403" s="258">
        <v>396.0</v>
      </c>
      <c r="B403" s="256" t="s">
        <v>670</v>
      </c>
      <c r="C403" s="257" t="s">
        <v>2726</v>
      </c>
      <c r="D403" s="173" t="s">
        <v>2726</v>
      </c>
      <c r="E403" s="174" t="s">
        <v>1830</v>
      </c>
      <c r="F403" s="173" t="s">
        <v>507</v>
      </c>
      <c r="G403" s="258" t="s">
        <v>673</v>
      </c>
      <c r="H403" s="258" t="s">
        <v>674</v>
      </c>
      <c r="I403" s="258" t="s">
        <v>675</v>
      </c>
      <c r="J403" s="259" t="s">
        <v>1520</v>
      </c>
      <c r="K403" s="260"/>
      <c r="L403" s="258" t="s">
        <v>2727</v>
      </c>
      <c r="M403" s="265" t="s">
        <v>2728</v>
      </c>
      <c r="N403" s="173" t="s">
        <v>679</v>
      </c>
      <c r="O403" s="173" t="s">
        <v>225</v>
      </c>
      <c r="P403" s="262" t="str">
        <f t="shared" si="1"/>
        <v>IN-BLR-ANANTA-DDC-76_Roof</v>
      </c>
      <c r="Q403" s="173" t="s">
        <v>2729</v>
      </c>
      <c r="R403" s="258" t="str">
        <f>IFS(C403="","",C403="n/a","N/A",LEN(C403),Concatenate("{",char(34),"asset",char(34),":{",char(34),"guid",char(34),":",char(34),Q403,char(34),",",char(34),"site",char(34),":",char(34),LOWER('2-Building'!$B$4),char(34),",",char(34),"name",char(34),":",char(34),LOWER(C403),char(34),"}}"))</f>
        <v>{"asset":{"guid":"uuid://4bfa152e-139a-4007-b4d9-b42591fc6335","site":"in-blr-ananta","name":"ddc-76"}}</v>
      </c>
      <c r="S403" s="258" t="s">
        <v>1834</v>
      </c>
      <c r="T403" s="263"/>
      <c r="U403" s="263"/>
      <c r="V403" s="264" t="s">
        <v>1835</v>
      </c>
      <c r="W403" s="258" t="s">
        <v>1836</v>
      </c>
      <c r="X403" s="258" t="s">
        <v>1837</v>
      </c>
      <c r="Y403" s="33" t="s">
        <v>1838</v>
      </c>
      <c r="Z403" s="258">
        <v>11335.0</v>
      </c>
      <c r="AA403" s="258">
        <v>11501.0</v>
      </c>
      <c r="AB403" s="258"/>
      <c r="AC403" s="258"/>
      <c r="AD403" s="265"/>
      <c r="AE403" s="266" t="s">
        <v>685</v>
      </c>
      <c r="AF403" s="267" t="s">
        <v>2730</v>
      </c>
      <c r="AG403" s="268" t="str">
        <f>IFS(LEN(AF403)=17,LOWER('2-Building'!$B$4 &amp; "-" &amp; C403), AF403="N/A", "N/A", LEN(AF403)=0,"")</f>
        <v>in-blr-ananta-ddc-76</v>
      </c>
      <c r="AH403" s="258"/>
      <c r="AI403" s="258"/>
      <c r="AJ403" s="258"/>
      <c r="AK403" s="258" t="s">
        <v>2731</v>
      </c>
      <c r="AL403" s="258" t="s">
        <v>688</v>
      </c>
      <c r="AM403" s="258" t="s">
        <v>689</v>
      </c>
      <c r="AN403" s="258"/>
      <c r="AO403" s="258"/>
      <c r="AP403" s="258"/>
      <c r="AQ403" s="258"/>
      <c r="AR403" s="258" t="s">
        <v>690</v>
      </c>
      <c r="AS403" s="258" t="s">
        <v>691</v>
      </c>
      <c r="AT403" s="258" t="s">
        <v>1841</v>
      </c>
      <c r="AU403" s="265" t="s">
        <v>1842</v>
      </c>
      <c r="AV403" s="174" t="s">
        <v>225</v>
      </c>
      <c r="AW403" s="269" t="s">
        <v>245</v>
      </c>
      <c r="AX403" s="269" t="s">
        <v>694</v>
      </c>
      <c r="AY403" s="270" t="s">
        <v>1843</v>
      </c>
      <c r="AZ403" s="173" t="s">
        <v>1834</v>
      </c>
      <c r="BA403" s="265">
        <v>10.0</v>
      </c>
      <c r="BB403" s="174" t="s">
        <v>225</v>
      </c>
      <c r="BC403" s="271"/>
      <c r="BD403" s="272" t="s">
        <v>1844</v>
      </c>
      <c r="BE403" s="273"/>
      <c r="BF403" s="274" t="str">
        <f>IFERROR(__xludf.DUMMYFUNCTION("LOWER(Regexreplace(to_text(E403),""[^A-Za-z0-9]"","""")&amp;""_""&amp;Regexreplace(to_text(F403),""[^A-Za-z0-9]"",""""))"),"alc_g5ce")</f>
        <v>alc_g5ce</v>
      </c>
      <c r="BG403" s="275" t="str">
        <f>IFERROR(__xludf.DUMMYFUNCTION("upper(Regexreplace(to_text(E403),""[^A-Za-z0-9]"","""")&amp;""-""&amp;Regexreplace(to_text(F403),""[^A-Za-z0-9]"",""""))"),"ALC-G5CE")</f>
        <v>ALC-G5CE</v>
      </c>
    </row>
    <row r="404" ht="30.0" customHeight="1">
      <c r="A404" s="173">
        <v>397.0</v>
      </c>
      <c r="B404" s="256" t="s">
        <v>670</v>
      </c>
      <c r="C404" s="313" t="s">
        <v>2732</v>
      </c>
      <c r="D404" s="314" t="s">
        <v>2732</v>
      </c>
      <c r="E404" s="174" t="s">
        <v>1830</v>
      </c>
      <c r="F404" s="173" t="s">
        <v>510</v>
      </c>
      <c r="G404" s="258" t="s">
        <v>673</v>
      </c>
      <c r="H404" s="258" t="s">
        <v>674</v>
      </c>
      <c r="I404" s="258" t="s">
        <v>1614</v>
      </c>
      <c r="J404" s="259" t="s">
        <v>1520</v>
      </c>
      <c r="K404" s="260" t="s">
        <v>1520</v>
      </c>
      <c r="L404" s="258" t="s">
        <v>2727</v>
      </c>
      <c r="M404" s="265" t="s">
        <v>2733</v>
      </c>
      <c r="N404" s="173" t="s">
        <v>679</v>
      </c>
      <c r="O404" s="173" t="s">
        <v>225</v>
      </c>
      <c r="P404" s="262" t="str">
        <f t="shared" si="1"/>
        <v>IN-BLR-ANANTA-HLI-100_Roof</v>
      </c>
      <c r="Q404" s="173" t="s">
        <v>2734</v>
      </c>
      <c r="R404" s="258" t="str">
        <f>IFS(C404="","",C404="n/a","N/A",LEN(C404),Concatenate("{",char(34),"asset",char(34),":{",char(34),"guid",char(34),":",char(34),Q404,char(34),",",char(34),"site",char(34),":",char(34),LOWER('2-Building'!$B$4),char(34),",",char(34),"name",char(34),":",char(34),LOWER(C404),char(34),"}}"))</f>
        <v>{"asset":{"guid":"uuid://804b274c-f978-435c-8e90-99554d567872","site":"in-blr-ananta","name":"hli-100"}}</v>
      </c>
      <c r="S404" s="258" t="s">
        <v>1834</v>
      </c>
      <c r="T404" s="263"/>
      <c r="U404" s="263"/>
      <c r="V404" s="264" t="s">
        <v>1835</v>
      </c>
      <c r="W404" s="258" t="s">
        <v>1836</v>
      </c>
      <c r="X404" s="258" t="s">
        <v>1837</v>
      </c>
      <c r="Y404" s="33" t="s">
        <v>1838</v>
      </c>
      <c r="Z404" s="258">
        <v>11319.0</v>
      </c>
      <c r="AA404" s="258">
        <v>11501.0</v>
      </c>
      <c r="AB404" s="258"/>
      <c r="AC404" s="258"/>
      <c r="AD404" s="265"/>
      <c r="AE404" s="266" t="s">
        <v>685</v>
      </c>
      <c r="AF404" s="267" t="s">
        <v>2735</v>
      </c>
      <c r="AG404" s="268" t="str">
        <f>IFS(LEN(AF404)=17,LOWER('2-Building'!$B$4 &amp; "-" &amp; C404), AF404="N/A", "N/A", LEN(AF404)=0,"")</f>
        <v>in-blr-ananta-hli-100</v>
      </c>
      <c r="AH404" s="258"/>
      <c r="AI404" s="258"/>
      <c r="AJ404" s="258"/>
      <c r="AK404" s="258" t="s">
        <v>1602</v>
      </c>
      <c r="AL404" s="258" t="s">
        <v>688</v>
      </c>
      <c r="AM404" s="258" t="s">
        <v>689</v>
      </c>
      <c r="AN404" s="258"/>
      <c r="AO404" s="258"/>
      <c r="AP404" s="258"/>
      <c r="AQ404" s="258"/>
      <c r="AR404" s="258" t="s">
        <v>690</v>
      </c>
      <c r="AS404" s="258" t="s">
        <v>691</v>
      </c>
      <c r="AT404" s="258" t="s">
        <v>1841</v>
      </c>
      <c r="AU404" s="265" t="s">
        <v>1842</v>
      </c>
      <c r="AV404" s="174" t="s">
        <v>225</v>
      </c>
      <c r="AW404" s="269" t="s">
        <v>245</v>
      </c>
      <c r="AX404" s="269" t="s">
        <v>694</v>
      </c>
      <c r="AY404" s="270" t="s">
        <v>1843</v>
      </c>
      <c r="AZ404" s="173" t="s">
        <v>1834</v>
      </c>
      <c r="BA404" s="265">
        <v>10.0</v>
      </c>
      <c r="BB404" s="174" t="s">
        <v>225</v>
      </c>
      <c r="BC404" s="271"/>
      <c r="BD404" s="272" t="s">
        <v>1844</v>
      </c>
      <c r="BE404" s="273"/>
      <c r="BF404" s="274" t="str">
        <f>IFERROR(__xludf.DUMMYFUNCTION("LOWER(Regexreplace(to_text(E404),""[^A-Za-z0-9]"","""")&amp;""_""&amp;Regexreplace(to_text(F404),""[^A-Za-z0-9]"",""""))"),"alc_ofhi")</f>
        <v>alc_ofhi</v>
      </c>
      <c r="BG404" s="275" t="str">
        <f>IFERROR(__xludf.DUMMYFUNCTION("upper(Regexreplace(to_text(E404),""[^A-Za-z0-9]"","""")&amp;""-""&amp;Regexreplace(to_text(F404),""[^A-Za-z0-9]"",""""))"),"ALC-OFHI")</f>
        <v>ALC-OFHI</v>
      </c>
    </row>
    <row r="405" ht="30.0" customHeight="1">
      <c r="A405" s="258">
        <v>398.0</v>
      </c>
      <c r="B405" s="256" t="s">
        <v>670</v>
      </c>
      <c r="C405" s="313" t="s">
        <v>702</v>
      </c>
      <c r="D405" s="314" t="s">
        <v>702</v>
      </c>
      <c r="E405" s="174" t="s">
        <v>1830</v>
      </c>
      <c r="F405" s="173" t="s">
        <v>510</v>
      </c>
      <c r="G405" s="258" t="s">
        <v>673</v>
      </c>
      <c r="H405" s="258" t="s">
        <v>674</v>
      </c>
      <c r="I405" s="258" t="s">
        <v>1614</v>
      </c>
      <c r="J405" s="259" t="s">
        <v>1574</v>
      </c>
      <c r="K405" s="260" t="s">
        <v>1805</v>
      </c>
      <c r="L405" s="258" t="s">
        <v>2736</v>
      </c>
      <c r="M405" s="265" t="s">
        <v>2737</v>
      </c>
      <c r="N405" s="173" t="s">
        <v>679</v>
      </c>
      <c r="O405" s="173" t="s">
        <v>225</v>
      </c>
      <c r="P405" s="262" t="str">
        <f t="shared" si="1"/>
        <v>IN-BLR-ANANTA-HLI-101_BM</v>
      </c>
      <c r="Q405" s="173" t="s">
        <v>2738</v>
      </c>
      <c r="R405" s="258" t="str">
        <f>IFS(C405="","",C405="n/a","N/A",LEN(C405),Concatenate("{",char(34),"asset",char(34),":{",char(34),"guid",char(34),":",char(34),Q405,char(34),",",char(34),"site",char(34),":",char(34),LOWER('2-Building'!$B$4),char(34),",",char(34),"name",char(34),":",char(34),LOWER(C405),char(34),"}}"))</f>
        <v>{"asset":{"guid":"uuid://4bb96118-54f0-4f3d-8cfe-0ea715c9a415","site":"in-blr-ananta","name":"hli-101"}}</v>
      </c>
      <c r="S405" s="258" t="s">
        <v>1834</v>
      </c>
      <c r="T405" s="263"/>
      <c r="U405" s="263"/>
      <c r="V405" s="264" t="s">
        <v>1835</v>
      </c>
      <c r="W405" s="258" t="s">
        <v>1836</v>
      </c>
      <c r="X405" s="258" t="s">
        <v>1837</v>
      </c>
      <c r="Y405" s="33" t="s">
        <v>1838</v>
      </c>
      <c r="Z405" s="258">
        <v>11320.0</v>
      </c>
      <c r="AA405" s="258">
        <v>11501.0</v>
      </c>
      <c r="AB405" s="258"/>
      <c r="AC405" s="258"/>
      <c r="AD405" s="265"/>
      <c r="AE405" s="266" t="s">
        <v>685</v>
      </c>
      <c r="AF405" s="267" t="s">
        <v>2739</v>
      </c>
      <c r="AG405" s="268" t="str">
        <f>IFS(LEN(AF405)=17,LOWER('2-Building'!$B$4 &amp; "-" &amp; C405), AF405="N/A", "N/A", LEN(AF405)=0,"")</f>
        <v>in-blr-ananta-hli-101</v>
      </c>
      <c r="AH405" s="258"/>
      <c r="AI405" s="258"/>
      <c r="AJ405" s="258"/>
      <c r="AK405" s="258" t="s">
        <v>2740</v>
      </c>
      <c r="AL405" s="258" t="s">
        <v>688</v>
      </c>
      <c r="AM405" s="258" t="s">
        <v>689</v>
      </c>
      <c r="AN405" s="258"/>
      <c r="AO405" s="258"/>
      <c r="AP405" s="258"/>
      <c r="AQ405" s="258"/>
      <c r="AR405" s="258" t="s">
        <v>690</v>
      </c>
      <c r="AS405" s="258" t="s">
        <v>691</v>
      </c>
      <c r="AT405" s="258" t="s">
        <v>1841</v>
      </c>
      <c r="AU405" s="265" t="s">
        <v>1842</v>
      </c>
      <c r="AV405" s="174" t="s">
        <v>225</v>
      </c>
      <c r="AW405" s="269" t="s">
        <v>245</v>
      </c>
      <c r="AX405" s="269" t="s">
        <v>694</v>
      </c>
      <c r="AY405" s="270" t="s">
        <v>1843</v>
      </c>
      <c r="AZ405" s="173" t="s">
        <v>1834</v>
      </c>
      <c r="BA405" s="265">
        <v>10.0</v>
      </c>
      <c r="BB405" s="174" t="s">
        <v>225</v>
      </c>
      <c r="BC405" s="271"/>
      <c r="BD405" s="272" t="s">
        <v>1844</v>
      </c>
      <c r="BE405" s="273"/>
      <c r="BF405" s="274" t="str">
        <f>IFERROR(__xludf.DUMMYFUNCTION("LOWER(Regexreplace(to_text(E405),""[^A-Za-z0-9]"","""")&amp;""_""&amp;Regexreplace(to_text(F405),""[^A-Za-z0-9]"",""""))"),"alc_ofhi")</f>
        <v>alc_ofhi</v>
      </c>
      <c r="BG405" s="275" t="str">
        <f>IFERROR(__xludf.DUMMYFUNCTION("upper(Regexreplace(to_text(E405),""[^A-Za-z0-9]"","""")&amp;""-""&amp;Regexreplace(to_text(F405),""[^A-Za-z0-9]"",""""))"),"ALC-OFHI")</f>
        <v>ALC-OFHI</v>
      </c>
    </row>
    <row r="406" ht="30.0" customHeight="1">
      <c r="A406" s="173">
        <v>399.0</v>
      </c>
      <c r="B406" s="256" t="s">
        <v>670</v>
      </c>
      <c r="C406" s="313" t="s">
        <v>745</v>
      </c>
      <c r="D406" s="314" t="s">
        <v>745</v>
      </c>
      <c r="E406" s="174" t="s">
        <v>1830</v>
      </c>
      <c r="F406" s="173" t="s">
        <v>510</v>
      </c>
      <c r="G406" s="258" t="s">
        <v>673</v>
      </c>
      <c r="H406" s="258" t="s">
        <v>674</v>
      </c>
      <c r="I406" s="258" t="s">
        <v>1614</v>
      </c>
      <c r="J406" s="259" t="s">
        <v>1574</v>
      </c>
      <c r="K406" s="260" t="s">
        <v>1805</v>
      </c>
      <c r="L406" s="258" t="s">
        <v>2741</v>
      </c>
      <c r="M406" s="265" t="s">
        <v>2742</v>
      </c>
      <c r="N406" s="173" t="s">
        <v>679</v>
      </c>
      <c r="O406" s="173" t="s">
        <v>225</v>
      </c>
      <c r="P406" s="262" t="str">
        <f t="shared" si="1"/>
        <v>IN-BLR-ANANTA-HLI-102_BM</v>
      </c>
      <c r="Q406" s="173" t="s">
        <v>2743</v>
      </c>
      <c r="R406" s="258" t="str">
        <f>IFS(C406="","",C406="n/a","N/A",LEN(C406),Concatenate("{",char(34),"asset",char(34),":{",char(34),"guid",char(34),":",char(34),Q406,char(34),",",char(34),"site",char(34),":",char(34),LOWER('2-Building'!$B$4),char(34),",",char(34),"name",char(34),":",char(34),LOWER(C406),char(34),"}}"))</f>
        <v>{"asset":{"guid":"uuid://7575901c-5a3c-41ae-b019-45688de99a84","site":"in-blr-ananta","name":"hli-102"}}</v>
      </c>
      <c r="S406" s="258" t="s">
        <v>1834</v>
      </c>
      <c r="T406" s="263"/>
      <c r="U406" s="263"/>
      <c r="V406" s="264" t="s">
        <v>1835</v>
      </c>
      <c r="W406" s="258" t="s">
        <v>1836</v>
      </c>
      <c r="X406" s="258" t="s">
        <v>1837</v>
      </c>
      <c r="Y406" s="33" t="s">
        <v>1838</v>
      </c>
      <c r="Z406" s="258">
        <v>11321.0</v>
      </c>
      <c r="AA406" s="258">
        <v>11501.0</v>
      </c>
      <c r="AB406" s="258"/>
      <c r="AC406" s="258"/>
      <c r="AD406" s="265"/>
      <c r="AE406" s="266" t="s">
        <v>685</v>
      </c>
      <c r="AF406" s="267" t="s">
        <v>2744</v>
      </c>
      <c r="AG406" s="268" t="str">
        <f>IFS(LEN(AF406)=17,LOWER('2-Building'!$B$4 &amp; "-" &amp; C406), AF406="N/A", "N/A", LEN(AF406)=0,"")</f>
        <v>in-blr-ananta-hli-102</v>
      </c>
      <c r="AH406" s="258"/>
      <c r="AI406" s="258"/>
      <c r="AJ406" s="258"/>
      <c r="AK406" s="258" t="s">
        <v>2745</v>
      </c>
      <c r="AL406" s="258" t="s">
        <v>688</v>
      </c>
      <c r="AM406" s="258" t="s">
        <v>689</v>
      </c>
      <c r="AN406" s="258"/>
      <c r="AO406" s="258"/>
      <c r="AP406" s="258"/>
      <c r="AQ406" s="258"/>
      <c r="AR406" s="258" t="s">
        <v>690</v>
      </c>
      <c r="AS406" s="258" t="s">
        <v>691</v>
      </c>
      <c r="AT406" s="258" t="s">
        <v>1841</v>
      </c>
      <c r="AU406" s="265" t="s">
        <v>1842</v>
      </c>
      <c r="AV406" s="174" t="s">
        <v>225</v>
      </c>
      <c r="AW406" s="269" t="s">
        <v>245</v>
      </c>
      <c r="AX406" s="269" t="s">
        <v>694</v>
      </c>
      <c r="AY406" s="270" t="s">
        <v>1843</v>
      </c>
      <c r="AZ406" s="173" t="s">
        <v>1834</v>
      </c>
      <c r="BA406" s="265">
        <v>10.0</v>
      </c>
      <c r="BB406" s="174" t="s">
        <v>225</v>
      </c>
      <c r="BC406" s="271"/>
      <c r="BD406" s="272" t="s">
        <v>1844</v>
      </c>
      <c r="BE406" s="273"/>
      <c r="BF406" s="274" t="str">
        <f>IFERROR(__xludf.DUMMYFUNCTION("LOWER(Regexreplace(to_text(E406),""[^A-Za-z0-9]"","""")&amp;""_""&amp;Regexreplace(to_text(F406),""[^A-Za-z0-9]"",""""))"),"alc_ofhi")</f>
        <v>alc_ofhi</v>
      </c>
      <c r="BG406" s="275" t="str">
        <f>IFERROR(__xludf.DUMMYFUNCTION("upper(Regexreplace(to_text(E406),""[^A-Za-z0-9]"","""")&amp;""-""&amp;Regexreplace(to_text(F406),""[^A-Za-z0-9]"",""""))"),"ALC-OFHI")</f>
        <v>ALC-OFHI</v>
      </c>
    </row>
    <row r="407" ht="30.0" customHeight="1">
      <c r="A407" s="258">
        <v>400.0</v>
      </c>
      <c r="B407" s="256" t="s">
        <v>670</v>
      </c>
      <c r="C407" s="313" t="s">
        <v>2746</v>
      </c>
      <c r="D407" s="314" t="s">
        <v>2746</v>
      </c>
      <c r="E407" s="174" t="s">
        <v>1830</v>
      </c>
      <c r="F407" s="173" t="s">
        <v>510</v>
      </c>
      <c r="G407" s="258" t="s">
        <v>673</v>
      </c>
      <c r="H407" s="258" t="s">
        <v>674</v>
      </c>
      <c r="I407" s="258" t="s">
        <v>1614</v>
      </c>
      <c r="J407" s="259" t="s">
        <v>1574</v>
      </c>
      <c r="K407" s="260" t="s">
        <v>1805</v>
      </c>
      <c r="L407" s="258" t="s">
        <v>2747</v>
      </c>
      <c r="M407" s="265" t="s">
        <v>2748</v>
      </c>
      <c r="N407" s="173" t="s">
        <v>679</v>
      </c>
      <c r="O407" s="173" t="s">
        <v>225</v>
      </c>
      <c r="P407" s="262" t="str">
        <f t="shared" si="1"/>
        <v>IN-BLR-ANANTA-HLI-103_BM</v>
      </c>
      <c r="Q407" s="173" t="s">
        <v>2749</v>
      </c>
      <c r="R407" s="258" t="str">
        <f>IFS(C407="","",C407="n/a","N/A",LEN(C407),Concatenate("{",char(34),"asset",char(34),":{",char(34),"guid",char(34),":",char(34),Q407,char(34),",",char(34),"site",char(34),":",char(34),LOWER('2-Building'!$B$4),char(34),",",char(34),"name",char(34),":",char(34),LOWER(C407),char(34),"}}"))</f>
        <v>{"asset":{"guid":"uuid://ca232895-2c93-4f17-b779-24bf468c83b1","site":"in-blr-ananta","name":"hli-103"}}</v>
      </c>
      <c r="S407" s="258" t="s">
        <v>1834</v>
      </c>
      <c r="T407" s="263"/>
      <c r="U407" s="263"/>
      <c r="V407" s="264" t="s">
        <v>1835</v>
      </c>
      <c r="W407" s="258" t="s">
        <v>1836</v>
      </c>
      <c r="X407" s="258" t="s">
        <v>1837</v>
      </c>
      <c r="Y407" s="33" t="s">
        <v>1838</v>
      </c>
      <c r="Z407" s="258">
        <v>11322.0</v>
      </c>
      <c r="AA407" s="258">
        <v>11501.0</v>
      </c>
      <c r="AB407" s="258"/>
      <c r="AC407" s="258"/>
      <c r="AD407" s="265"/>
      <c r="AE407" s="266" t="s">
        <v>685</v>
      </c>
      <c r="AF407" s="267" t="s">
        <v>2750</v>
      </c>
      <c r="AG407" s="268" t="str">
        <f>IFS(LEN(AF407)=17,LOWER('2-Building'!$B$4 &amp; "-" &amp; C407), AF407="N/A", "N/A", LEN(AF407)=0,"")</f>
        <v>in-blr-ananta-hli-103</v>
      </c>
      <c r="AH407" s="258"/>
      <c r="AI407" s="258"/>
      <c r="AJ407" s="258"/>
      <c r="AK407" s="258" t="s">
        <v>2751</v>
      </c>
      <c r="AL407" s="258" t="s">
        <v>688</v>
      </c>
      <c r="AM407" s="258" t="s">
        <v>689</v>
      </c>
      <c r="AN407" s="258"/>
      <c r="AO407" s="258"/>
      <c r="AP407" s="258"/>
      <c r="AQ407" s="258"/>
      <c r="AR407" s="258" t="s">
        <v>690</v>
      </c>
      <c r="AS407" s="258" t="s">
        <v>691</v>
      </c>
      <c r="AT407" s="258" t="s">
        <v>1841</v>
      </c>
      <c r="AU407" s="265" t="s">
        <v>1842</v>
      </c>
      <c r="AV407" s="174" t="s">
        <v>225</v>
      </c>
      <c r="AW407" s="269" t="s">
        <v>245</v>
      </c>
      <c r="AX407" s="269" t="s">
        <v>694</v>
      </c>
      <c r="AY407" s="270" t="s">
        <v>1843</v>
      </c>
      <c r="AZ407" s="173" t="s">
        <v>1834</v>
      </c>
      <c r="BA407" s="265">
        <v>10.0</v>
      </c>
      <c r="BB407" s="174" t="s">
        <v>225</v>
      </c>
      <c r="BC407" s="271"/>
      <c r="BD407" s="272" t="s">
        <v>1844</v>
      </c>
      <c r="BE407" s="273"/>
      <c r="BF407" s="274" t="str">
        <f>IFERROR(__xludf.DUMMYFUNCTION("LOWER(Regexreplace(to_text(E407),""[^A-Za-z0-9]"","""")&amp;""_""&amp;Regexreplace(to_text(F407),""[^A-Za-z0-9]"",""""))"),"alc_ofhi")</f>
        <v>alc_ofhi</v>
      </c>
      <c r="BG407" s="275" t="str">
        <f>IFERROR(__xludf.DUMMYFUNCTION("upper(Regexreplace(to_text(E407),""[^A-Za-z0-9]"","""")&amp;""-""&amp;Regexreplace(to_text(F407),""[^A-Za-z0-9]"",""""))"),"ALC-OFHI")</f>
        <v>ALC-OFHI</v>
      </c>
    </row>
    <row r="408" ht="30.0" customHeight="1">
      <c r="A408" s="173">
        <v>401.0</v>
      </c>
      <c r="B408" s="256" t="s">
        <v>670</v>
      </c>
      <c r="C408" s="313" t="s">
        <v>2752</v>
      </c>
      <c r="D408" s="313" t="s">
        <v>2752</v>
      </c>
      <c r="E408" s="174" t="s">
        <v>1830</v>
      </c>
      <c r="F408" s="173" t="s">
        <v>510</v>
      </c>
      <c r="G408" s="258" t="s">
        <v>673</v>
      </c>
      <c r="H408" s="258" t="s">
        <v>674</v>
      </c>
      <c r="I408" s="258" t="s">
        <v>1614</v>
      </c>
      <c r="J408" s="259" t="s">
        <v>1088</v>
      </c>
      <c r="K408" s="260" t="s">
        <v>2283</v>
      </c>
      <c r="L408" s="258" t="s">
        <v>2753</v>
      </c>
      <c r="M408" s="265" t="s">
        <v>2754</v>
      </c>
      <c r="N408" s="173" t="s">
        <v>679</v>
      </c>
      <c r="O408" s="173" t="s">
        <v>225</v>
      </c>
      <c r="P408" s="262" t="str">
        <f t="shared" si="1"/>
        <v>IN-BLR-ANANTA-HLI-104_5</v>
      </c>
      <c r="Q408" s="173" t="s">
        <v>2755</v>
      </c>
      <c r="R408" s="258" t="str">
        <f>IFS(C408="","",C408="n/a","N/A",LEN(C408),Concatenate("{",char(34),"asset",char(34),":{",char(34),"guid",char(34),":",char(34),Q408,char(34),",",char(34),"site",char(34),":",char(34),LOWER('2-Building'!$B$4),char(34),",",char(34),"name",char(34),":",char(34),LOWER(C408),char(34),"}}"))</f>
        <v>{"asset":{"guid":"uuid://207ed045-0806-4ba6-ae11-d9f29cc66fe5","site":"in-blr-ananta","name":"hli-104"}}</v>
      </c>
      <c r="S408" s="258" t="s">
        <v>1834</v>
      </c>
      <c r="T408" s="263"/>
      <c r="U408" s="263"/>
      <c r="V408" s="264" t="s">
        <v>1835</v>
      </c>
      <c r="W408" s="258" t="s">
        <v>1836</v>
      </c>
      <c r="X408" s="258" t="s">
        <v>1837</v>
      </c>
      <c r="Y408" s="33" t="s">
        <v>1838</v>
      </c>
      <c r="Z408" s="258">
        <v>11273.0</v>
      </c>
      <c r="AA408" s="258">
        <v>11501.0</v>
      </c>
      <c r="AB408" s="258"/>
      <c r="AC408" s="258"/>
      <c r="AD408" s="265"/>
      <c r="AE408" s="266" t="s">
        <v>685</v>
      </c>
      <c r="AF408" s="267" t="s">
        <v>2756</v>
      </c>
      <c r="AG408" s="268" t="str">
        <f>IFS(LEN(AF408)=17,LOWER('2-Building'!$B$4 &amp; "-" &amp; C408), AF408="N/A", "N/A", LEN(AF408)=0,"")</f>
        <v>in-blr-ananta-hli-104</v>
      </c>
      <c r="AH408" s="258"/>
      <c r="AI408" s="258"/>
      <c r="AJ408" s="258"/>
      <c r="AK408" s="258" t="s">
        <v>2757</v>
      </c>
      <c r="AL408" s="258" t="s">
        <v>688</v>
      </c>
      <c r="AM408" s="258" t="s">
        <v>689</v>
      </c>
      <c r="AN408" s="258"/>
      <c r="AO408" s="258"/>
      <c r="AP408" s="258"/>
      <c r="AQ408" s="258"/>
      <c r="AR408" s="258" t="s">
        <v>690</v>
      </c>
      <c r="AS408" s="258" t="s">
        <v>691</v>
      </c>
      <c r="AT408" s="258" t="s">
        <v>1841</v>
      </c>
      <c r="AU408" s="265" t="s">
        <v>1842</v>
      </c>
      <c r="AV408" s="174" t="s">
        <v>225</v>
      </c>
      <c r="AW408" s="269" t="s">
        <v>245</v>
      </c>
      <c r="AX408" s="269" t="s">
        <v>694</v>
      </c>
      <c r="AY408" s="270" t="s">
        <v>1843</v>
      </c>
      <c r="AZ408" s="173" t="s">
        <v>1834</v>
      </c>
      <c r="BA408" s="265">
        <v>10.0</v>
      </c>
      <c r="BB408" s="174" t="s">
        <v>225</v>
      </c>
      <c r="BC408" s="271"/>
      <c r="BD408" s="272" t="s">
        <v>1844</v>
      </c>
      <c r="BE408" s="273"/>
      <c r="BF408" s="274" t="str">
        <f>IFERROR(__xludf.DUMMYFUNCTION("LOWER(Regexreplace(to_text(E408),""[^A-Za-z0-9]"","""")&amp;""_""&amp;Regexreplace(to_text(F408),""[^A-Za-z0-9]"",""""))"),"alc_ofhi")</f>
        <v>alc_ofhi</v>
      </c>
      <c r="BG408" s="275" t="str">
        <f>IFERROR(__xludf.DUMMYFUNCTION("upper(Regexreplace(to_text(E408),""[^A-Za-z0-9]"","""")&amp;""-""&amp;Regexreplace(to_text(F408),""[^A-Za-z0-9]"",""""))"),"ALC-OFHI")</f>
        <v>ALC-OFHI</v>
      </c>
    </row>
    <row r="409" ht="30.0" customHeight="1">
      <c r="A409" s="258">
        <v>402.0</v>
      </c>
      <c r="B409" s="256" t="s">
        <v>670</v>
      </c>
      <c r="C409" s="313" t="s">
        <v>2758</v>
      </c>
      <c r="D409" s="313" t="s">
        <v>2758</v>
      </c>
      <c r="E409" s="174" t="s">
        <v>1830</v>
      </c>
      <c r="F409" s="173" t="s">
        <v>510</v>
      </c>
      <c r="G409" s="258" t="s">
        <v>673</v>
      </c>
      <c r="H409" s="258" t="s">
        <v>674</v>
      </c>
      <c r="I409" s="258" t="s">
        <v>1614</v>
      </c>
      <c r="J409" s="259" t="s">
        <v>1088</v>
      </c>
      <c r="K409" s="260" t="s">
        <v>2283</v>
      </c>
      <c r="L409" s="258" t="s">
        <v>2753</v>
      </c>
      <c r="M409" s="265" t="s">
        <v>2759</v>
      </c>
      <c r="N409" s="173" t="s">
        <v>679</v>
      </c>
      <c r="O409" s="173" t="s">
        <v>225</v>
      </c>
      <c r="P409" s="262" t="str">
        <f t="shared" si="1"/>
        <v>IN-BLR-ANANTA-HLI-105_5</v>
      </c>
      <c r="Q409" s="173" t="s">
        <v>2760</v>
      </c>
      <c r="R409" s="258" t="str">
        <f>IFS(C409="","",C409="n/a","N/A",LEN(C409),Concatenate("{",char(34),"asset",char(34),":{",char(34),"guid",char(34),":",char(34),Q409,char(34),",",char(34),"site",char(34),":",char(34),LOWER('2-Building'!$B$4),char(34),",",char(34),"name",char(34),":",char(34),LOWER(C409),char(34),"}}"))</f>
        <v>{"asset":{"guid":"uuid://ef0d9d75-3dc1-4933-afc4-788843083bf1","site":"in-blr-ananta","name":"hli-105"}}</v>
      </c>
      <c r="S409" s="258" t="s">
        <v>1834</v>
      </c>
      <c r="T409" s="263"/>
      <c r="U409" s="263"/>
      <c r="V409" s="264" t="s">
        <v>1835</v>
      </c>
      <c r="W409" s="258" t="s">
        <v>1836</v>
      </c>
      <c r="X409" s="258" t="s">
        <v>1837</v>
      </c>
      <c r="Y409" s="33" t="s">
        <v>1838</v>
      </c>
      <c r="Z409" s="258">
        <v>11274.0</v>
      </c>
      <c r="AA409" s="258">
        <v>11501.0</v>
      </c>
      <c r="AB409" s="258"/>
      <c r="AC409" s="258"/>
      <c r="AD409" s="265"/>
      <c r="AE409" s="266" t="s">
        <v>685</v>
      </c>
      <c r="AF409" s="267" t="s">
        <v>2761</v>
      </c>
      <c r="AG409" s="268" t="str">
        <f>IFS(LEN(AF409)=17,LOWER('2-Building'!$B$4 &amp; "-" &amp; C409), AF409="N/A", "N/A", LEN(AF409)=0,"")</f>
        <v>in-blr-ananta-hli-105</v>
      </c>
      <c r="AH409" s="258"/>
      <c r="AI409" s="258"/>
      <c r="AJ409" s="258"/>
      <c r="AK409" s="258" t="s">
        <v>2762</v>
      </c>
      <c r="AL409" s="258" t="s">
        <v>688</v>
      </c>
      <c r="AM409" s="258" t="s">
        <v>689</v>
      </c>
      <c r="AN409" s="258"/>
      <c r="AO409" s="258"/>
      <c r="AP409" s="258"/>
      <c r="AQ409" s="258"/>
      <c r="AR409" s="258" t="s">
        <v>690</v>
      </c>
      <c r="AS409" s="258" t="s">
        <v>691</v>
      </c>
      <c r="AT409" s="258" t="s">
        <v>1841</v>
      </c>
      <c r="AU409" s="265" t="s">
        <v>1842</v>
      </c>
      <c r="AV409" s="174" t="s">
        <v>225</v>
      </c>
      <c r="AW409" s="269" t="s">
        <v>245</v>
      </c>
      <c r="AX409" s="269" t="s">
        <v>694</v>
      </c>
      <c r="AY409" s="270" t="s">
        <v>1843</v>
      </c>
      <c r="AZ409" s="173" t="s">
        <v>1834</v>
      </c>
      <c r="BA409" s="265">
        <v>10.0</v>
      </c>
      <c r="BB409" s="174" t="s">
        <v>225</v>
      </c>
      <c r="BC409" s="271"/>
      <c r="BD409" s="272" t="s">
        <v>1844</v>
      </c>
      <c r="BE409" s="273"/>
      <c r="BF409" s="274" t="str">
        <f>IFERROR(__xludf.DUMMYFUNCTION("LOWER(Regexreplace(to_text(E409),""[^A-Za-z0-9]"","""")&amp;""_""&amp;Regexreplace(to_text(F409),""[^A-Za-z0-9]"",""""))"),"alc_ofhi")</f>
        <v>alc_ofhi</v>
      </c>
      <c r="BG409" s="275" t="str">
        <f>IFERROR(__xludf.DUMMYFUNCTION("upper(Regexreplace(to_text(E409),""[^A-Za-z0-9]"","""")&amp;""-""&amp;Regexreplace(to_text(F409),""[^A-Za-z0-9]"",""""))"),"ALC-OFHI")</f>
        <v>ALC-OFHI</v>
      </c>
    </row>
    <row r="410" ht="30.0" customHeight="1">
      <c r="A410" s="173">
        <v>403.0</v>
      </c>
      <c r="B410" s="256" t="s">
        <v>670</v>
      </c>
      <c r="C410" s="313" t="s">
        <v>2763</v>
      </c>
      <c r="D410" s="313" t="s">
        <v>2763</v>
      </c>
      <c r="E410" s="174" t="s">
        <v>1830</v>
      </c>
      <c r="F410" s="173" t="s">
        <v>510</v>
      </c>
      <c r="G410" s="258" t="s">
        <v>673</v>
      </c>
      <c r="H410" s="258" t="s">
        <v>674</v>
      </c>
      <c r="I410" s="258" t="s">
        <v>1614</v>
      </c>
      <c r="J410" s="259" t="s">
        <v>1088</v>
      </c>
      <c r="K410" s="260" t="s">
        <v>2283</v>
      </c>
      <c r="L410" s="258" t="s">
        <v>2753</v>
      </c>
      <c r="M410" s="265" t="s">
        <v>2764</v>
      </c>
      <c r="N410" s="173" t="s">
        <v>679</v>
      </c>
      <c r="O410" s="173" t="s">
        <v>225</v>
      </c>
      <c r="P410" s="262" t="str">
        <f t="shared" si="1"/>
        <v>IN-BLR-ANANTA-HLI-106_5</v>
      </c>
      <c r="Q410" s="173" t="s">
        <v>2765</v>
      </c>
      <c r="R410" s="258" t="str">
        <f>IFS(C410="","",C410="n/a","N/A",LEN(C410),Concatenate("{",char(34),"asset",char(34),":{",char(34),"guid",char(34),":",char(34),Q410,char(34),",",char(34),"site",char(34),":",char(34),LOWER('2-Building'!$B$4),char(34),",",char(34),"name",char(34),":",char(34),LOWER(C410),char(34),"}}"))</f>
        <v>{"asset":{"guid":"uuid://68cdc51f-c81b-4ce3-a015-e9bf52af433d","site":"in-blr-ananta","name":"hli-106"}}</v>
      </c>
      <c r="S410" s="258" t="s">
        <v>1834</v>
      </c>
      <c r="T410" s="263"/>
      <c r="U410" s="263"/>
      <c r="V410" s="264" t="s">
        <v>1835</v>
      </c>
      <c r="W410" s="258" t="s">
        <v>1836</v>
      </c>
      <c r="X410" s="258" t="s">
        <v>1837</v>
      </c>
      <c r="Y410" s="33" t="s">
        <v>1838</v>
      </c>
      <c r="Z410" s="258">
        <v>11275.0</v>
      </c>
      <c r="AA410" s="258">
        <v>11501.0</v>
      </c>
      <c r="AB410" s="258"/>
      <c r="AC410" s="258"/>
      <c r="AD410" s="265"/>
      <c r="AE410" s="266" t="s">
        <v>685</v>
      </c>
      <c r="AF410" s="267" t="s">
        <v>2766</v>
      </c>
      <c r="AG410" s="268" t="str">
        <f>IFS(LEN(AF410)=17,LOWER('2-Building'!$B$4 &amp; "-" &amp; C410), AF410="N/A", "N/A", LEN(AF410)=0,"")</f>
        <v>in-blr-ananta-hli-106</v>
      </c>
      <c r="AH410" s="258"/>
      <c r="AI410" s="258"/>
      <c r="AJ410" s="258"/>
      <c r="AK410" s="258" t="s">
        <v>2767</v>
      </c>
      <c r="AL410" s="258" t="s">
        <v>688</v>
      </c>
      <c r="AM410" s="258" t="s">
        <v>689</v>
      </c>
      <c r="AN410" s="258"/>
      <c r="AO410" s="258"/>
      <c r="AP410" s="258"/>
      <c r="AQ410" s="258"/>
      <c r="AR410" s="258" t="s">
        <v>690</v>
      </c>
      <c r="AS410" s="258" t="s">
        <v>691</v>
      </c>
      <c r="AT410" s="258" t="s">
        <v>1841</v>
      </c>
      <c r="AU410" s="265" t="s">
        <v>1842</v>
      </c>
      <c r="AV410" s="174" t="s">
        <v>225</v>
      </c>
      <c r="AW410" s="269" t="s">
        <v>245</v>
      </c>
      <c r="AX410" s="269" t="s">
        <v>694</v>
      </c>
      <c r="AY410" s="270" t="s">
        <v>1843</v>
      </c>
      <c r="AZ410" s="173" t="s">
        <v>1834</v>
      </c>
      <c r="BA410" s="265">
        <v>10.0</v>
      </c>
      <c r="BB410" s="174" t="s">
        <v>225</v>
      </c>
      <c r="BC410" s="271"/>
      <c r="BD410" s="272" t="s">
        <v>1844</v>
      </c>
      <c r="BE410" s="273"/>
      <c r="BF410" s="274" t="str">
        <f>IFERROR(__xludf.DUMMYFUNCTION("LOWER(Regexreplace(to_text(E410),""[^A-Za-z0-9]"","""")&amp;""_""&amp;Regexreplace(to_text(F410),""[^A-Za-z0-9]"",""""))"),"alc_ofhi")</f>
        <v>alc_ofhi</v>
      </c>
      <c r="BG410" s="275" t="str">
        <f>IFERROR(__xludf.DUMMYFUNCTION("upper(Regexreplace(to_text(E410),""[^A-Za-z0-9]"","""")&amp;""-""&amp;Regexreplace(to_text(F410),""[^A-Za-z0-9]"",""""))"),"ALC-OFHI")</f>
        <v>ALC-OFHI</v>
      </c>
    </row>
    <row r="411" ht="30.0" customHeight="1">
      <c r="A411" s="258">
        <v>404.0</v>
      </c>
      <c r="B411" s="256" t="s">
        <v>670</v>
      </c>
      <c r="C411" s="313" t="s">
        <v>2768</v>
      </c>
      <c r="D411" s="313" t="s">
        <v>2768</v>
      </c>
      <c r="E411" s="174" t="s">
        <v>1830</v>
      </c>
      <c r="F411" s="173" t="s">
        <v>510</v>
      </c>
      <c r="G411" s="258" t="s">
        <v>673</v>
      </c>
      <c r="H411" s="258" t="s">
        <v>674</v>
      </c>
      <c r="I411" s="258" t="s">
        <v>1614</v>
      </c>
      <c r="J411" s="259" t="s">
        <v>1088</v>
      </c>
      <c r="K411" s="260" t="s">
        <v>2283</v>
      </c>
      <c r="L411" s="258" t="s">
        <v>2753</v>
      </c>
      <c r="M411" s="265" t="s">
        <v>2769</v>
      </c>
      <c r="N411" s="173" t="s">
        <v>679</v>
      </c>
      <c r="O411" s="173" t="s">
        <v>225</v>
      </c>
      <c r="P411" s="262" t="str">
        <f t="shared" si="1"/>
        <v>IN-BLR-ANANTA-HLI-107_5</v>
      </c>
      <c r="Q411" s="173" t="s">
        <v>2770</v>
      </c>
      <c r="R411" s="258" t="str">
        <f>IFS(C411="","",C411="n/a","N/A",LEN(C411),Concatenate("{",char(34),"asset",char(34),":{",char(34),"guid",char(34),":",char(34),Q411,char(34),",",char(34),"site",char(34),":",char(34),LOWER('2-Building'!$B$4),char(34),",",char(34),"name",char(34),":",char(34),LOWER(C411),char(34),"}}"))</f>
        <v>{"asset":{"guid":"uuid://93accdcf-a23f-4da4-b556-87ae9447f9d9","site":"in-blr-ananta","name":"hli-107"}}</v>
      </c>
      <c r="S411" s="258" t="s">
        <v>1834</v>
      </c>
      <c r="T411" s="263"/>
      <c r="U411" s="263"/>
      <c r="V411" s="264" t="s">
        <v>1835</v>
      </c>
      <c r="W411" s="258" t="s">
        <v>1836</v>
      </c>
      <c r="X411" s="258" t="s">
        <v>1837</v>
      </c>
      <c r="Y411" s="33" t="s">
        <v>1838</v>
      </c>
      <c r="Z411" s="258">
        <v>11276.0</v>
      </c>
      <c r="AA411" s="258">
        <v>11501.0</v>
      </c>
      <c r="AB411" s="258"/>
      <c r="AC411" s="258"/>
      <c r="AD411" s="265"/>
      <c r="AE411" s="266" t="s">
        <v>685</v>
      </c>
      <c r="AF411" s="267" t="s">
        <v>2771</v>
      </c>
      <c r="AG411" s="268" t="str">
        <f>IFS(LEN(AF411)=17,LOWER('2-Building'!$B$4 &amp; "-" &amp; C411), AF411="N/A", "N/A", LEN(AF411)=0,"")</f>
        <v>in-blr-ananta-hli-107</v>
      </c>
      <c r="AH411" s="258"/>
      <c r="AI411" s="258"/>
      <c r="AJ411" s="258"/>
      <c r="AK411" s="258" t="s">
        <v>2772</v>
      </c>
      <c r="AL411" s="258" t="s">
        <v>688</v>
      </c>
      <c r="AM411" s="258" t="s">
        <v>689</v>
      </c>
      <c r="AN411" s="258"/>
      <c r="AO411" s="258"/>
      <c r="AP411" s="258"/>
      <c r="AQ411" s="258"/>
      <c r="AR411" s="258" t="s">
        <v>690</v>
      </c>
      <c r="AS411" s="258" t="s">
        <v>691</v>
      </c>
      <c r="AT411" s="258" t="s">
        <v>1841</v>
      </c>
      <c r="AU411" s="265" t="s">
        <v>1842</v>
      </c>
      <c r="AV411" s="174" t="s">
        <v>225</v>
      </c>
      <c r="AW411" s="269" t="s">
        <v>245</v>
      </c>
      <c r="AX411" s="269" t="s">
        <v>694</v>
      </c>
      <c r="AY411" s="270" t="s">
        <v>1843</v>
      </c>
      <c r="AZ411" s="173" t="s">
        <v>1834</v>
      </c>
      <c r="BA411" s="265">
        <v>10.0</v>
      </c>
      <c r="BB411" s="174" t="s">
        <v>225</v>
      </c>
      <c r="BC411" s="271"/>
      <c r="BD411" s="272" t="s">
        <v>1844</v>
      </c>
      <c r="BE411" s="273"/>
      <c r="BF411" s="274" t="str">
        <f>IFERROR(__xludf.DUMMYFUNCTION("LOWER(Regexreplace(to_text(E411),""[^A-Za-z0-9]"","""")&amp;""_""&amp;Regexreplace(to_text(F411),""[^A-Za-z0-9]"",""""))"),"alc_ofhi")</f>
        <v>alc_ofhi</v>
      </c>
      <c r="BG411" s="275" t="str">
        <f>IFERROR(__xludf.DUMMYFUNCTION("upper(Regexreplace(to_text(E411),""[^A-Za-z0-9]"","""")&amp;""-""&amp;Regexreplace(to_text(F411),""[^A-Za-z0-9]"",""""))"),"ALC-OFHI")</f>
        <v>ALC-OFHI</v>
      </c>
    </row>
    <row r="412" ht="30.0" customHeight="1">
      <c r="A412" s="173">
        <v>405.0</v>
      </c>
      <c r="B412" s="256" t="s">
        <v>670</v>
      </c>
      <c r="C412" s="313" t="s">
        <v>2773</v>
      </c>
      <c r="D412" s="313" t="s">
        <v>2773</v>
      </c>
      <c r="E412" s="174" t="s">
        <v>1830</v>
      </c>
      <c r="F412" s="173" t="s">
        <v>510</v>
      </c>
      <c r="G412" s="258" t="s">
        <v>673</v>
      </c>
      <c r="H412" s="258" t="s">
        <v>674</v>
      </c>
      <c r="I412" s="258" t="s">
        <v>1614</v>
      </c>
      <c r="J412" s="259" t="s">
        <v>1088</v>
      </c>
      <c r="K412" s="260" t="s">
        <v>2283</v>
      </c>
      <c r="L412" s="258" t="s">
        <v>2774</v>
      </c>
      <c r="M412" s="265" t="s">
        <v>2775</v>
      </c>
      <c r="N412" s="173" t="s">
        <v>679</v>
      </c>
      <c r="O412" s="173" t="s">
        <v>225</v>
      </c>
      <c r="P412" s="262" t="str">
        <f t="shared" si="1"/>
        <v>IN-BLR-ANANTA-HLI-108_5</v>
      </c>
      <c r="Q412" s="173" t="s">
        <v>2776</v>
      </c>
      <c r="R412" s="258" t="str">
        <f>IFS(C412="","",C412="n/a","N/A",LEN(C412),Concatenate("{",char(34),"asset",char(34),":{",char(34),"guid",char(34),":",char(34),Q412,char(34),",",char(34),"site",char(34),":",char(34),LOWER('2-Building'!$B$4),char(34),",",char(34),"name",char(34),":",char(34),LOWER(C412),char(34),"}}"))</f>
        <v>{"asset":{"guid":"uuid://266e4268-92ac-411d-a26b-9bc858d132e6","site":"in-blr-ananta","name":"hli-108"}}</v>
      </c>
      <c r="S412" s="258" t="s">
        <v>1834</v>
      </c>
      <c r="T412" s="263"/>
      <c r="U412" s="263"/>
      <c r="V412" s="264" t="s">
        <v>1835</v>
      </c>
      <c r="W412" s="258" t="s">
        <v>1836</v>
      </c>
      <c r="X412" s="258" t="s">
        <v>1837</v>
      </c>
      <c r="Y412" s="33" t="s">
        <v>1838</v>
      </c>
      <c r="Z412" s="258">
        <v>11277.0</v>
      </c>
      <c r="AA412" s="258">
        <v>11501.0</v>
      </c>
      <c r="AB412" s="258"/>
      <c r="AC412" s="258"/>
      <c r="AD412" s="265"/>
      <c r="AE412" s="266" t="s">
        <v>685</v>
      </c>
      <c r="AF412" s="267" t="s">
        <v>2777</v>
      </c>
      <c r="AG412" s="268" t="str">
        <f>IFS(LEN(AF412)=17,LOWER('2-Building'!$B$4 &amp; "-" &amp; C412), AF412="N/A", "N/A", LEN(AF412)=0,"")</f>
        <v>in-blr-ananta-hli-108</v>
      </c>
      <c r="AH412" s="258"/>
      <c r="AI412" s="258"/>
      <c r="AJ412" s="258"/>
      <c r="AK412" s="258" t="s">
        <v>2778</v>
      </c>
      <c r="AL412" s="258" t="s">
        <v>688</v>
      </c>
      <c r="AM412" s="258" t="s">
        <v>689</v>
      </c>
      <c r="AN412" s="258"/>
      <c r="AO412" s="258"/>
      <c r="AP412" s="258"/>
      <c r="AQ412" s="258"/>
      <c r="AR412" s="258" t="s">
        <v>690</v>
      </c>
      <c r="AS412" s="258" t="s">
        <v>691</v>
      </c>
      <c r="AT412" s="258" t="s">
        <v>1841</v>
      </c>
      <c r="AU412" s="265" t="s">
        <v>1842</v>
      </c>
      <c r="AV412" s="174" t="s">
        <v>225</v>
      </c>
      <c r="AW412" s="269" t="s">
        <v>245</v>
      </c>
      <c r="AX412" s="269" t="s">
        <v>694</v>
      </c>
      <c r="AY412" s="270" t="s">
        <v>1843</v>
      </c>
      <c r="AZ412" s="173" t="s">
        <v>1834</v>
      </c>
      <c r="BA412" s="265">
        <v>10.0</v>
      </c>
      <c r="BB412" s="174" t="s">
        <v>225</v>
      </c>
      <c r="BC412" s="271"/>
      <c r="BD412" s="272" t="s">
        <v>1844</v>
      </c>
      <c r="BE412" s="273"/>
      <c r="BF412" s="274" t="str">
        <f>IFERROR(__xludf.DUMMYFUNCTION("LOWER(Regexreplace(to_text(E412),""[^A-Za-z0-9]"","""")&amp;""_""&amp;Regexreplace(to_text(F412),""[^A-Za-z0-9]"",""""))"),"alc_ofhi")</f>
        <v>alc_ofhi</v>
      </c>
      <c r="BG412" s="275" t="str">
        <f>IFERROR(__xludf.DUMMYFUNCTION("upper(Regexreplace(to_text(E412),""[^A-Za-z0-9]"","""")&amp;""-""&amp;Regexreplace(to_text(F412),""[^A-Za-z0-9]"",""""))"),"ALC-OFHI")</f>
        <v>ALC-OFHI</v>
      </c>
    </row>
    <row r="413" ht="30.0" customHeight="1">
      <c r="A413" s="258">
        <v>406.0</v>
      </c>
      <c r="B413" s="256" t="s">
        <v>670</v>
      </c>
      <c r="C413" s="313" t="s">
        <v>2779</v>
      </c>
      <c r="D413" s="313" t="s">
        <v>2779</v>
      </c>
      <c r="E413" s="174" t="s">
        <v>1830</v>
      </c>
      <c r="F413" s="173" t="s">
        <v>510</v>
      </c>
      <c r="G413" s="258" t="s">
        <v>673</v>
      </c>
      <c r="H413" s="258" t="s">
        <v>674</v>
      </c>
      <c r="I413" s="258" t="s">
        <v>1614</v>
      </c>
      <c r="J413" s="259" t="s">
        <v>1088</v>
      </c>
      <c r="K413" s="260" t="s">
        <v>2283</v>
      </c>
      <c r="L413" s="258" t="s">
        <v>2774</v>
      </c>
      <c r="M413" s="265" t="s">
        <v>2780</v>
      </c>
      <c r="N413" s="173" t="s">
        <v>679</v>
      </c>
      <c r="O413" s="173" t="s">
        <v>225</v>
      </c>
      <c r="P413" s="262" t="str">
        <f t="shared" si="1"/>
        <v>IN-BLR-ANANTA-HLI-109_5</v>
      </c>
      <c r="Q413" s="173" t="s">
        <v>2781</v>
      </c>
      <c r="R413" s="258" t="str">
        <f>IFS(C413="","",C413="n/a","N/A",LEN(C413),Concatenate("{",char(34),"asset",char(34),":{",char(34),"guid",char(34),":",char(34),Q413,char(34),",",char(34),"site",char(34),":",char(34),LOWER('2-Building'!$B$4),char(34),",",char(34),"name",char(34),":",char(34),LOWER(C413),char(34),"}}"))</f>
        <v>{"asset":{"guid":"uuid://93359c51-fee7-4791-b462-b4e166dba06c","site":"in-blr-ananta","name":"hli-109"}}</v>
      </c>
      <c r="S413" s="258" t="s">
        <v>1834</v>
      </c>
      <c r="T413" s="263"/>
      <c r="U413" s="263"/>
      <c r="V413" s="264" t="s">
        <v>1835</v>
      </c>
      <c r="W413" s="258" t="s">
        <v>1836</v>
      </c>
      <c r="X413" s="258" t="s">
        <v>1837</v>
      </c>
      <c r="Y413" s="33" t="s">
        <v>1838</v>
      </c>
      <c r="Z413" s="258">
        <v>11278.0</v>
      </c>
      <c r="AA413" s="258">
        <v>11501.0</v>
      </c>
      <c r="AB413" s="258"/>
      <c r="AC413" s="258"/>
      <c r="AD413" s="265"/>
      <c r="AE413" s="266" t="s">
        <v>685</v>
      </c>
      <c r="AF413" s="267" t="s">
        <v>2782</v>
      </c>
      <c r="AG413" s="268" t="str">
        <f>IFS(LEN(AF413)=17,LOWER('2-Building'!$B$4 &amp; "-" &amp; C413), AF413="N/A", "N/A", LEN(AF413)=0,"")</f>
        <v>in-blr-ananta-hli-109</v>
      </c>
      <c r="AH413" s="258"/>
      <c r="AI413" s="258"/>
      <c r="AJ413" s="258"/>
      <c r="AK413" s="258" t="s">
        <v>2783</v>
      </c>
      <c r="AL413" s="258" t="s">
        <v>688</v>
      </c>
      <c r="AM413" s="258" t="s">
        <v>689</v>
      </c>
      <c r="AN413" s="258"/>
      <c r="AO413" s="258"/>
      <c r="AP413" s="258"/>
      <c r="AQ413" s="258"/>
      <c r="AR413" s="258" t="s">
        <v>690</v>
      </c>
      <c r="AS413" s="258" t="s">
        <v>691</v>
      </c>
      <c r="AT413" s="258" t="s">
        <v>1841</v>
      </c>
      <c r="AU413" s="265" t="s">
        <v>1842</v>
      </c>
      <c r="AV413" s="174" t="s">
        <v>225</v>
      </c>
      <c r="AW413" s="269" t="s">
        <v>245</v>
      </c>
      <c r="AX413" s="269" t="s">
        <v>694</v>
      </c>
      <c r="AY413" s="270" t="s">
        <v>1843</v>
      </c>
      <c r="AZ413" s="173" t="s">
        <v>1834</v>
      </c>
      <c r="BA413" s="265">
        <v>10.0</v>
      </c>
      <c r="BB413" s="174" t="s">
        <v>225</v>
      </c>
      <c r="BC413" s="271"/>
      <c r="BD413" s="272" t="s">
        <v>1844</v>
      </c>
      <c r="BE413" s="273"/>
      <c r="BF413" s="274" t="str">
        <f>IFERROR(__xludf.DUMMYFUNCTION("LOWER(Regexreplace(to_text(E413),""[^A-Za-z0-9]"","""")&amp;""_""&amp;Regexreplace(to_text(F413),""[^A-Za-z0-9]"",""""))"),"alc_ofhi")</f>
        <v>alc_ofhi</v>
      </c>
      <c r="BG413" s="275" t="str">
        <f>IFERROR(__xludf.DUMMYFUNCTION("upper(Regexreplace(to_text(E413),""[^A-Za-z0-9]"","""")&amp;""-""&amp;Regexreplace(to_text(F413),""[^A-Za-z0-9]"",""""))"),"ALC-OFHI")</f>
        <v>ALC-OFHI</v>
      </c>
    </row>
    <row r="414" ht="30.0" customHeight="1">
      <c r="A414" s="173">
        <v>407.0</v>
      </c>
      <c r="B414" s="256" t="s">
        <v>670</v>
      </c>
      <c r="C414" s="313" t="s">
        <v>2784</v>
      </c>
      <c r="D414" s="313" t="s">
        <v>2784</v>
      </c>
      <c r="E414" s="174" t="s">
        <v>1830</v>
      </c>
      <c r="F414" s="173" t="s">
        <v>510</v>
      </c>
      <c r="G414" s="258" t="s">
        <v>673</v>
      </c>
      <c r="H414" s="258" t="s">
        <v>674</v>
      </c>
      <c r="I414" s="258" t="s">
        <v>1614</v>
      </c>
      <c r="J414" s="259" t="s">
        <v>1088</v>
      </c>
      <c r="K414" s="260" t="s">
        <v>2283</v>
      </c>
      <c r="L414" s="258" t="s">
        <v>2774</v>
      </c>
      <c r="M414" s="265" t="s">
        <v>2785</v>
      </c>
      <c r="N414" s="173" t="s">
        <v>679</v>
      </c>
      <c r="O414" s="173" t="s">
        <v>225</v>
      </c>
      <c r="P414" s="262" t="str">
        <f t="shared" si="1"/>
        <v>IN-BLR-ANANTA-HLI-110_5</v>
      </c>
      <c r="Q414" s="173" t="s">
        <v>2786</v>
      </c>
      <c r="R414" s="258" t="str">
        <f>IFS(C414="","",C414="n/a","N/A",LEN(C414),Concatenate("{",char(34),"asset",char(34),":{",char(34),"guid",char(34),":",char(34),Q414,char(34),",",char(34),"site",char(34),":",char(34),LOWER('2-Building'!$B$4),char(34),",",char(34),"name",char(34),":",char(34),LOWER(C414),char(34),"}}"))</f>
        <v>{"asset":{"guid":"uuid://46790fe1-5e9d-4795-9847-d0b901b5acfc","site":"in-blr-ananta","name":"hli-110"}}</v>
      </c>
      <c r="S414" s="258" t="s">
        <v>1834</v>
      </c>
      <c r="T414" s="263"/>
      <c r="U414" s="263"/>
      <c r="V414" s="264" t="s">
        <v>1835</v>
      </c>
      <c r="W414" s="258" t="s">
        <v>1836</v>
      </c>
      <c r="X414" s="258" t="s">
        <v>1837</v>
      </c>
      <c r="Y414" s="33" t="s">
        <v>1838</v>
      </c>
      <c r="Z414" s="258">
        <v>11279.0</v>
      </c>
      <c r="AA414" s="258">
        <v>11501.0</v>
      </c>
      <c r="AB414" s="258"/>
      <c r="AC414" s="258"/>
      <c r="AD414" s="265"/>
      <c r="AE414" s="266" t="s">
        <v>685</v>
      </c>
      <c r="AF414" s="267" t="s">
        <v>2787</v>
      </c>
      <c r="AG414" s="268" t="str">
        <f>IFS(LEN(AF414)=17,LOWER('2-Building'!$B$4 &amp; "-" &amp; C414), AF414="N/A", "N/A", LEN(AF414)=0,"")</f>
        <v>in-blr-ananta-hli-110</v>
      </c>
      <c r="AH414" s="258"/>
      <c r="AI414" s="258"/>
      <c r="AJ414" s="258"/>
      <c r="AK414" s="258" t="s">
        <v>2788</v>
      </c>
      <c r="AL414" s="258" t="s">
        <v>688</v>
      </c>
      <c r="AM414" s="258" t="s">
        <v>689</v>
      </c>
      <c r="AN414" s="258"/>
      <c r="AO414" s="258"/>
      <c r="AP414" s="258"/>
      <c r="AQ414" s="258"/>
      <c r="AR414" s="258" t="s">
        <v>690</v>
      </c>
      <c r="AS414" s="258" t="s">
        <v>691</v>
      </c>
      <c r="AT414" s="258" t="s">
        <v>1841</v>
      </c>
      <c r="AU414" s="265" t="s">
        <v>1842</v>
      </c>
      <c r="AV414" s="174" t="s">
        <v>225</v>
      </c>
      <c r="AW414" s="269" t="s">
        <v>245</v>
      </c>
      <c r="AX414" s="269" t="s">
        <v>694</v>
      </c>
      <c r="AY414" s="270" t="s">
        <v>1843</v>
      </c>
      <c r="AZ414" s="173" t="s">
        <v>1834</v>
      </c>
      <c r="BA414" s="265">
        <v>10.0</v>
      </c>
      <c r="BB414" s="174" t="s">
        <v>225</v>
      </c>
      <c r="BC414" s="271"/>
      <c r="BD414" s="272" t="s">
        <v>1844</v>
      </c>
      <c r="BE414" s="273"/>
      <c r="BF414" s="274" t="str">
        <f>IFERROR(__xludf.DUMMYFUNCTION("LOWER(Regexreplace(to_text(E414),""[^A-Za-z0-9]"","""")&amp;""_""&amp;Regexreplace(to_text(F414),""[^A-Za-z0-9]"",""""))"),"alc_ofhi")</f>
        <v>alc_ofhi</v>
      </c>
      <c r="BG414" s="275" t="str">
        <f>IFERROR(__xludf.DUMMYFUNCTION("upper(Regexreplace(to_text(E414),""[^A-Za-z0-9]"","""")&amp;""-""&amp;Regexreplace(to_text(F414),""[^A-Za-z0-9]"",""""))"),"ALC-OFHI")</f>
        <v>ALC-OFHI</v>
      </c>
    </row>
    <row r="415" ht="30.0" customHeight="1">
      <c r="A415" s="258">
        <v>408.0</v>
      </c>
      <c r="B415" s="256" t="s">
        <v>670</v>
      </c>
      <c r="C415" s="313" t="s">
        <v>836</v>
      </c>
      <c r="D415" s="313" t="s">
        <v>836</v>
      </c>
      <c r="E415" s="174" t="s">
        <v>1830</v>
      </c>
      <c r="F415" s="173" t="s">
        <v>507</v>
      </c>
      <c r="G415" s="258" t="s">
        <v>673</v>
      </c>
      <c r="H415" s="258" t="s">
        <v>674</v>
      </c>
      <c r="I415" s="258" t="s">
        <v>1614</v>
      </c>
      <c r="J415" s="259" t="s">
        <v>739</v>
      </c>
      <c r="K415" s="260" t="s">
        <v>803</v>
      </c>
      <c r="L415" s="258" t="s">
        <v>2789</v>
      </c>
      <c r="M415" s="265" t="s">
        <v>2790</v>
      </c>
      <c r="N415" s="173" t="s">
        <v>679</v>
      </c>
      <c r="O415" s="173" t="s">
        <v>225</v>
      </c>
      <c r="P415" s="262" t="str">
        <f t="shared" si="1"/>
        <v>IN-BLR-ANANTA-HLI-111_G</v>
      </c>
      <c r="Q415" s="173" t="s">
        <v>2791</v>
      </c>
      <c r="R415" s="258" t="str">
        <f>IFS(C415="","",C415="n/a","N/A",LEN(C415),Concatenate("{",char(34),"asset",char(34),":{",char(34),"guid",char(34),":",char(34),Q415,char(34),",",char(34),"site",char(34),":",char(34),LOWER('2-Building'!$B$4),char(34),",",char(34),"name",char(34),":",char(34),LOWER(C415),char(34),"}}"))</f>
        <v>{"asset":{"guid":"uuid://2bf5db5e-9d81-4c7d-b109-cebbed92f6ff","site":"in-blr-ananta","name":"hli-111"}}</v>
      </c>
      <c r="S415" s="258" t="s">
        <v>1834</v>
      </c>
      <c r="T415" s="263"/>
      <c r="U415" s="263"/>
      <c r="V415" s="264" t="s">
        <v>1835</v>
      </c>
      <c r="W415" s="258" t="s">
        <v>1836</v>
      </c>
      <c r="X415" s="258" t="s">
        <v>1837</v>
      </c>
      <c r="Y415" s="33" t="s">
        <v>1838</v>
      </c>
      <c r="Z415" s="258">
        <v>11428.0</v>
      </c>
      <c r="AA415" s="258">
        <v>11501.0</v>
      </c>
      <c r="AB415" s="258"/>
      <c r="AC415" s="258"/>
      <c r="AD415" s="265"/>
      <c r="AE415" s="266" t="s">
        <v>685</v>
      </c>
      <c r="AF415" s="267" t="s">
        <v>2792</v>
      </c>
      <c r="AG415" s="268" t="str">
        <f>IFS(LEN(AF415)=17,LOWER('2-Building'!$B$4 &amp; "-" &amp; C415), AF415="N/A", "N/A", LEN(AF415)=0,"")</f>
        <v>in-blr-ananta-hli-111</v>
      </c>
      <c r="AH415" s="258"/>
      <c r="AI415" s="258"/>
      <c r="AJ415" s="258"/>
      <c r="AK415" s="258" t="s">
        <v>2793</v>
      </c>
      <c r="AL415" s="258" t="s">
        <v>688</v>
      </c>
      <c r="AM415" s="258" t="s">
        <v>689</v>
      </c>
      <c r="AN415" s="258"/>
      <c r="AO415" s="258"/>
      <c r="AP415" s="258"/>
      <c r="AQ415" s="258"/>
      <c r="AR415" s="258" t="s">
        <v>690</v>
      </c>
      <c r="AS415" s="258" t="s">
        <v>691</v>
      </c>
      <c r="AT415" s="258" t="s">
        <v>1841</v>
      </c>
      <c r="AU415" s="265" t="s">
        <v>1842</v>
      </c>
      <c r="AV415" s="174" t="s">
        <v>225</v>
      </c>
      <c r="AW415" s="269" t="s">
        <v>245</v>
      </c>
      <c r="AX415" s="269" t="s">
        <v>694</v>
      </c>
      <c r="AY415" s="270" t="s">
        <v>1843</v>
      </c>
      <c r="AZ415" s="173" t="s">
        <v>1834</v>
      </c>
      <c r="BA415" s="265">
        <v>10.0</v>
      </c>
      <c r="BB415" s="174" t="s">
        <v>225</v>
      </c>
      <c r="BC415" s="271"/>
      <c r="BD415" s="272" t="s">
        <v>1844</v>
      </c>
      <c r="BE415" s="273"/>
      <c r="BF415" s="274" t="str">
        <f>IFERROR(__xludf.DUMMYFUNCTION("LOWER(Regexreplace(to_text(E415),""[^A-Za-z0-9]"","""")&amp;""_""&amp;Regexreplace(to_text(F415),""[^A-Za-z0-9]"",""""))"),"alc_g5ce")</f>
        <v>alc_g5ce</v>
      </c>
      <c r="BG415" s="275" t="str">
        <f>IFERROR(__xludf.DUMMYFUNCTION("upper(Regexreplace(to_text(E415),""[^A-Za-z0-9]"","""")&amp;""-""&amp;Regexreplace(to_text(F415),""[^A-Za-z0-9]"",""""))"),"ALC-G5CE")</f>
        <v>ALC-G5CE</v>
      </c>
    </row>
    <row r="416" ht="30.0" customHeight="1">
      <c r="A416" s="173">
        <v>409.0</v>
      </c>
      <c r="B416" s="256" t="s">
        <v>670</v>
      </c>
      <c r="C416" s="313" t="s">
        <v>1525</v>
      </c>
      <c r="D416" s="313" t="s">
        <v>1525</v>
      </c>
      <c r="E416" s="174" t="s">
        <v>1830</v>
      </c>
      <c r="F416" s="173" t="s">
        <v>507</v>
      </c>
      <c r="G416" s="258" t="s">
        <v>673</v>
      </c>
      <c r="H416" s="258" t="s">
        <v>674</v>
      </c>
      <c r="I416" s="258" t="s">
        <v>1614</v>
      </c>
      <c r="J416" s="259" t="s">
        <v>1520</v>
      </c>
      <c r="K416" s="260" t="s">
        <v>1520</v>
      </c>
      <c r="L416" s="258" t="s">
        <v>2794</v>
      </c>
      <c r="M416" s="265" t="s">
        <v>2795</v>
      </c>
      <c r="N416" s="173" t="s">
        <v>679</v>
      </c>
      <c r="O416" s="173" t="s">
        <v>225</v>
      </c>
      <c r="P416" s="262" t="str">
        <f t="shared" si="1"/>
        <v>IN-BLR-ANANTA-HLI-112_Roof</v>
      </c>
      <c r="Q416" s="173" t="s">
        <v>2796</v>
      </c>
      <c r="R416" s="258" t="str">
        <f>IFS(C416="","",C416="n/a","N/A",LEN(C416),Concatenate("{",char(34),"asset",char(34),":{",char(34),"guid",char(34),":",char(34),Q416,char(34),",",char(34),"site",char(34),":",char(34),LOWER('2-Building'!$B$4),char(34),",",char(34),"name",char(34),":",char(34),LOWER(C416),char(34),"}}"))</f>
        <v>{"asset":{"guid":"uuid://9855221a-416d-4244-a702-d2e6827fbb80","site":"in-blr-ananta","name":"hli-112"}}</v>
      </c>
      <c r="S416" s="258" t="s">
        <v>1834</v>
      </c>
      <c r="T416" s="263"/>
      <c r="U416" s="263"/>
      <c r="V416" s="264" t="s">
        <v>1835</v>
      </c>
      <c r="W416" s="258" t="s">
        <v>1836</v>
      </c>
      <c r="X416" s="258" t="s">
        <v>1837</v>
      </c>
      <c r="Y416" s="33" t="s">
        <v>1838</v>
      </c>
      <c r="Z416" s="258">
        <v>11381.0</v>
      </c>
      <c r="AA416" s="258">
        <v>11501.0</v>
      </c>
      <c r="AB416" s="258"/>
      <c r="AC416" s="258"/>
      <c r="AD416" s="265"/>
      <c r="AE416" s="266" t="s">
        <v>685</v>
      </c>
      <c r="AF416" s="267" t="s">
        <v>2797</v>
      </c>
      <c r="AG416" s="268" t="str">
        <f>IFS(LEN(AF416)=17,LOWER('2-Building'!$B$4 &amp; "-" &amp; C416), AF416="N/A", "N/A", LEN(AF416)=0,"")</f>
        <v>in-blr-ananta-hli-112</v>
      </c>
      <c r="AH416" s="258"/>
      <c r="AI416" s="258"/>
      <c r="AJ416" s="258"/>
      <c r="AK416" s="258" t="s">
        <v>2798</v>
      </c>
      <c r="AL416" s="258" t="s">
        <v>688</v>
      </c>
      <c r="AM416" s="258" t="s">
        <v>689</v>
      </c>
      <c r="AN416" s="258"/>
      <c r="AO416" s="258"/>
      <c r="AP416" s="258"/>
      <c r="AQ416" s="258"/>
      <c r="AR416" s="258" t="s">
        <v>690</v>
      </c>
      <c r="AS416" s="258" t="s">
        <v>691</v>
      </c>
      <c r="AT416" s="258" t="s">
        <v>1841</v>
      </c>
      <c r="AU416" s="265" t="s">
        <v>1842</v>
      </c>
      <c r="AV416" s="174" t="s">
        <v>225</v>
      </c>
      <c r="AW416" s="269" t="s">
        <v>245</v>
      </c>
      <c r="AX416" s="269" t="s">
        <v>694</v>
      </c>
      <c r="AY416" s="270" t="s">
        <v>1843</v>
      </c>
      <c r="AZ416" s="173" t="s">
        <v>1834</v>
      </c>
      <c r="BA416" s="265">
        <v>10.0</v>
      </c>
      <c r="BB416" s="174" t="s">
        <v>225</v>
      </c>
      <c r="BC416" s="271"/>
      <c r="BD416" s="272" t="s">
        <v>1844</v>
      </c>
      <c r="BE416" s="273"/>
      <c r="BF416" s="274" t="str">
        <f>IFERROR(__xludf.DUMMYFUNCTION("LOWER(Regexreplace(to_text(E416),""[^A-Za-z0-9]"","""")&amp;""_""&amp;Regexreplace(to_text(F416),""[^A-Za-z0-9]"",""""))"),"alc_g5ce")</f>
        <v>alc_g5ce</v>
      </c>
      <c r="BG416" s="275" t="str">
        <f>IFERROR(__xludf.DUMMYFUNCTION("upper(Regexreplace(to_text(E416),""[^A-Za-z0-9]"","""")&amp;""-""&amp;Regexreplace(to_text(F416),""[^A-Za-z0-9]"",""""))"),"ALC-G5CE")</f>
        <v>ALC-G5CE</v>
      </c>
    </row>
    <row r="417" ht="30.0" customHeight="1">
      <c r="A417" s="258">
        <v>410.0</v>
      </c>
      <c r="B417" s="256" t="s">
        <v>670</v>
      </c>
      <c r="C417" s="313" t="s">
        <v>2799</v>
      </c>
      <c r="D417" s="313" t="s">
        <v>2799</v>
      </c>
      <c r="E417" s="174" t="s">
        <v>1830</v>
      </c>
      <c r="F417" s="173" t="s">
        <v>507</v>
      </c>
      <c r="G417" s="258" t="s">
        <v>673</v>
      </c>
      <c r="H417" s="258" t="s">
        <v>674</v>
      </c>
      <c r="I417" s="258" t="s">
        <v>1614</v>
      </c>
      <c r="J417" s="259" t="s">
        <v>1520</v>
      </c>
      <c r="K417" s="260" t="s">
        <v>1520</v>
      </c>
      <c r="L417" s="258" t="s">
        <v>2794</v>
      </c>
      <c r="M417" s="265" t="s">
        <v>2800</v>
      </c>
      <c r="N417" s="173" t="s">
        <v>679</v>
      </c>
      <c r="O417" s="173" t="s">
        <v>225</v>
      </c>
      <c r="P417" s="262" t="str">
        <f t="shared" si="1"/>
        <v>IN-BLR-ANANTA-HLI-113_Roof</v>
      </c>
      <c r="Q417" s="173" t="s">
        <v>2801</v>
      </c>
      <c r="R417" s="258" t="str">
        <f>IFS(C417="","",C417="n/a","N/A",LEN(C417),Concatenate("{",char(34),"asset",char(34),":{",char(34),"guid",char(34),":",char(34),Q417,char(34),",",char(34),"site",char(34),":",char(34),LOWER('2-Building'!$B$4),char(34),",",char(34),"name",char(34),":",char(34),LOWER(C417),char(34),"}}"))</f>
        <v>{"asset":{"guid":"uuid://f05c7afc-abea-449d-a2cd-60bae72743c5","site":"in-blr-ananta","name":"hli-113"}}</v>
      </c>
      <c r="S417" s="258" t="s">
        <v>1834</v>
      </c>
      <c r="T417" s="263"/>
      <c r="U417" s="263"/>
      <c r="V417" s="264" t="s">
        <v>1835</v>
      </c>
      <c r="W417" s="258" t="s">
        <v>1836</v>
      </c>
      <c r="X417" s="258" t="s">
        <v>1837</v>
      </c>
      <c r="Y417" s="33" t="s">
        <v>1838</v>
      </c>
      <c r="Z417" s="258">
        <v>11390.0</v>
      </c>
      <c r="AA417" s="258">
        <v>11501.0</v>
      </c>
      <c r="AB417" s="258"/>
      <c r="AC417" s="258"/>
      <c r="AD417" s="265"/>
      <c r="AE417" s="266" t="s">
        <v>685</v>
      </c>
      <c r="AF417" s="267" t="s">
        <v>2802</v>
      </c>
      <c r="AG417" s="268" t="str">
        <f>IFS(LEN(AF417)=17,LOWER('2-Building'!$B$4 &amp; "-" &amp; C417), AF417="N/A", "N/A", LEN(AF417)=0,"")</f>
        <v>in-blr-ananta-hli-113</v>
      </c>
      <c r="AH417" s="258"/>
      <c r="AI417" s="258"/>
      <c r="AJ417" s="258"/>
      <c r="AK417" s="258" t="s">
        <v>2803</v>
      </c>
      <c r="AL417" s="258" t="s">
        <v>688</v>
      </c>
      <c r="AM417" s="258" t="s">
        <v>689</v>
      </c>
      <c r="AN417" s="258"/>
      <c r="AO417" s="258"/>
      <c r="AP417" s="258"/>
      <c r="AQ417" s="258"/>
      <c r="AR417" s="258" t="s">
        <v>690</v>
      </c>
      <c r="AS417" s="258" t="s">
        <v>691</v>
      </c>
      <c r="AT417" s="258" t="s">
        <v>1841</v>
      </c>
      <c r="AU417" s="265" t="s">
        <v>1842</v>
      </c>
      <c r="AV417" s="174" t="s">
        <v>225</v>
      </c>
      <c r="AW417" s="269" t="s">
        <v>245</v>
      </c>
      <c r="AX417" s="269" t="s">
        <v>694</v>
      </c>
      <c r="AY417" s="270" t="s">
        <v>1843</v>
      </c>
      <c r="AZ417" s="173" t="s">
        <v>1834</v>
      </c>
      <c r="BA417" s="265">
        <v>10.0</v>
      </c>
      <c r="BB417" s="174" t="s">
        <v>225</v>
      </c>
      <c r="BC417" s="271"/>
      <c r="BD417" s="272" t="s">
        <v>1844</v>
      </c>
      <c r="BE417" s="273"/>
      <c r="BF417" s="274" t="str">
        <f>IFERROR(__xludf.DUMMYFUNCTION("LOWER(Regexreplace(to_text(E417),""[^A-Za-z0-9]"","""")&amp;""_""&amp;Regexreplace(to_text(F417),""[^A-Za-z0-9]"",""""))"),"alc_g5ce")</f>
        <v>alc_g5ce</v>
      </c>
      <c r="BG417" s="275" t="str">
        <f>IFERROR(__xludf.DUMMYFUNCTION("upper(Regexreplace(to_text(E417),""[^A-Za-z0-9]"","""")&amp;""-""&amp;Regexreplace(to_text(F417),""[^A-Za-z0-9]"",""""))"),"ALC-G5CE")</f>
        <v>ALC-G5CE</v>
      </c>
    </row>
    <row r="418" ht="30.0" customHeight="1">
      <c r="A418" s="173">
        <v>411.0</v>
      </c>
      <c r="B418" s="256" t="s">
        <v>670</v>
      </c>
      <c r="C418" s="313" t="s">
        <v>2804</v>
      </c>
      <c r="D418" s="313" t="s">
        <v>2804</v>
      </c>
      <c r="E418" s="174" t="s">
        <v>1830</v>
      </c>
      <c r="F418" s="173" t="s">
        <v>507</v>
      </c>
      <c r="G418" s="258" t="s">
        <v>673</v>
      </c>
      <c r="H418" s="258" t="s">
        <v>674</v>
      </c>
      <c r="I418" s="258" t="s">
        <v>1614</v>
      </c>
      <c r="J418" s="259" t="s">
        <v>739</v>
      </c>
      <c r="K418" s="260" t="s">
        <v>803</v>
      </c>
      <c r="L418" s="258" t="s">
        <v>2789</v>
      </c>
      <c r="M418" s="265" t="s">
        <v>2805</v>
      </c>
      <c r="N418" s="173" t="s">
        <v>679</v>
      </c>
      <c r="O418" s="173" t="s">
        <v>225</v>
      </c>
      <c r="P418" s="262" t="str">
        <f t="shared" si="1"/>
        <v>IN-BLR-ANANTA-HLI-114_G</v>
      </c>
      <c r="Q418" s="173" t="s">
        <v>2806</v>
      </c>
      <c r="R418" s="258" t="str">
        <f>IFS(C418="","",C418="n/a","N/A",LEN(C418),Concatenate("{",char(34),"asset",char(34),":{",char(34),"guid",char(34),":",char(34),Q418,char(34),",",char(34),"site",char(34),":",char(34),LOWER('2-Building'!$B$4),char(34),",",char(34),"name",char(34),":",char(34),LOWER(C418),char(34),"}}"))</f>
        <v>{"asset":{"guid":"uuid://20f25134-8fad-4bd9-8183-048c584381cd","site":"in-blr-ananta","name":"hli-114"}}</v>
      </c>
      <c r="S418" s="258" t="s">
        <v>1834</v>
      </c>
      <c r="T418" s="263"/>
      <c r="U418" s="263"/>
      <c r="V418" s="264" t="s">
        <v>1835</v>
      </c>
      <c r="W418" s="258" t="s">
        <v>1836</v>
      </c>
      <c r="X418" s="258" t="s">
        <v>1837</v>
      </c>
      <c r="Y418" s="33" t="s">
        <v>1838</v>
      </c>
      <c r="Z418" s="258">
        <v>11233.0</v>
      </c>
      <c r="AA418" s="258">
        <v>11501.0</v>
      </c>
      <c r="AB418" s="258"/>
      <c r="AC418" s="258"/>
      <c r="AD418" s="265"/>
      <c r="AE418" s="266" t="s">
        <v>685</v>
      </c>
      <c r="AF418" s="267" t="s">
        <v>2807</v>
      </c>
      <c r="AG418" s="268" t="str">
        <f>IFS(LEN(AF418)=17,LOWER('2-Building'!$B$4 &amp; "-" &amp; C418), AF418="N/A", "N/A", LEN(AF418)=0,"")</f>
        <v>in-blr-ananta-hli-114</v>
      </c>
      <c r="AH418" s="258"/>
      <c r="AI418" s="258"/>
      <c r="AJ418" s="258"/>
      <c r="AK418" s="258" t="s">
        <v>2808</v>
      </c>
      <c r="AL418" s="258" t="s">
        <v>688</v>
      </c>
      <c r="AM418" s="258" t="s">
        <v>689</v>
      </c>
      <c r="AN418" s="258"/>
      <c r="AO418" s="258"/>
      <c r="AP418" s="258"/>
      <c r="AQ418" s="258"/>
      <c r="AR418" s="258" t="s">
        <v>690</v>
      </c>
      <c r="AS418" s="258" t="s">
        <v>691</v>
      </c>
      <c r="AT418" s="258" t="s">
        <v>1841</v>
      </c>
      <c r="AU418" s="265" t="s">
        <v>1842</v>
      </c>
      <c r="AV418" s="174" t="s">
        <v>225</v>
      </c>
      <c r="AW418" s="269" t="s">
        <v>245</v>
      </c>
      <c r="AX418" s="269" t="s">
        <v>694</v>
      </c>
      <c r="AY418" s="270" t="s">
        <v>1843</v>
      </c>
      <c r="AZ418" s="173" t="s">
        <v>1834</v>
      </c>
      <c r="BA418" s="265">
        <v>10.0</v>
      </c>
      <c r="BB418" s="174" t="s">
        <v>225</v>
      </c>
      <c r="BC418" s="271"/>
      <c r="BD418" s="272" t="s">
        <v>1844</v>
      </c>
      <c r="BE418" s="273"/>
      <c r="BF418" s="274" t="str">
        <f>IFERROR(__xludf.DUMMYFUNCTION("LOWER(Regexreplace(to_text(E418),""[^A-Za-z0-9]"","""")&amp;""_""&amp;Regexreplace(to_text(F418),""[^A-Za-z0-9]"",""""))"),"alc_g5ce")</f>
        <v>alc_g5ce</v>
      </c>
      <c r="BG418" s="275" t="str">
        <f>IFERROR(__xludf.DUMMYFUNCTION("upper(Regexreplace(to_text(E418),""[^A-Za-z0-9]"","""")&amp;""-""&amp;Regexreplace(to_text(F418),""[^A-Za-z0-9]"",""""))"),"ALC-G5CE")</f>
        <v>ALC-G5CE</v>
      </c>
    </row>
    <row r="419" ht="30.0" customHeight="1">
      <c r="A419" s="258">
        <v>412.0</v>
      </c>
      <c r="B419" s="256" t="s">
        <v>670</v>
      </c>
      <c r="C419" s="313" t="s">
        <v>2809</v>
      </c>
      <c r="D419" s="313" t="s">
        <v>2809</v>
      </c>
      <c r="E419" s="174" t="s">
        <v>1830</v>
      </c>
      <c r="F419" s="173" t="s">
        <v>507</v>
      </c>
      <c r="G419" s="258" t="s">
        <v>673</v>
      </c>
      <c r="H419" s="258" t="s">
        <v>674</v>
      </c>
      <c r="I419" s="258" t="s">
        <v>1614</v>
      </c>
      <c r="J419" s="259" t="s">
        <v>739</v>
      </c>
      <c r="K419" s="260" t="s">
        <v>803</v>
      </c>
      <c r="L419" s="258" t="s">
        <v>2789</v>
      </c>
      <c r="M419" s="265" t="s">
        <v>2810</v>
      </c>
      <c r="N419" s="173" t="s">
        <v>679</v>
      </c>
      <c r="O419" s="173" t="s">
        <v>225</v>
      </c>
      <c r="P419" s="262" t="str">
        <f t="shared" si="1"/>
        <v>IN-BLR-ANANTA-HLI-115_G</v>
      </c>
      <c r="Q419" s="173" t="s">
        <v>2811</v>
      </c>
      <c r="R419" s="258" t="str">
        <f>IFS(C419="","",C419="n/a","N/A",LEN(C419),Concatenate("{",char(34),"asset",char(34),":{",char(34),"guid",char(34),":",char(34),Q419,char(34),",",char(34),"site",char(34),":",char(34),LOWER('2-Building'!$B$4),char(34),",",char(34),"name",char(34),":",char(34),LOWER(C419),char(34),"}}"))</f>
        <v>{"asset":{"guid":"uuid://93855159-0b81-45a6-8828-2ff994193d97","site":"in-blr-ananta","name":"hli-115"}}</v>
      </c>
      <c r="S419" s="258" t="s">
        <v>1834</v>
      </c>
      <c r="T419" s="263"/>
      <c r="U419" s="263"/>
      <c r="V419" s="264" t="s">
        <v>1835</v>
      </c>
      <c r="W419" s="258" t="s">
        <v>1836</v>
      </c>
      <c r="X419" s="258" t="s">
        <v>1837</v>
      </c>
      <c r="Y419" s="33" t="s">
        <v>1838</v>
      </c>
      <c r="Z419" s="258">
        <v>11234.0</v>
      </c>
      <c r="AA419" s="258">
        <v>11501.0</v>
      </c>
      <c r="AB419" s="258"/>
      <c r="AC419" s="258"/>
      <c r="AD419" s="265"/>
      <c r="AE419" s="266" t="s">
        <v>685</v>
      </c>
      <c r="AF419" s="267" t="s">
        <v>2812</v>
      </c>
      <c r="AG419" s="268" t="str">
        <f>IFS(LEN(AF419)=17,LOWER('2-Building'!$B$4 &amp; "-" &amp; C419), AF419="N/A", "N/A", LEN(AF419)=0,"")</f>
        <v>in-blr-ananta-hli-115</v>
      </c>
      <c r="AH419" s="258"/>
      <c r="AI419" s="258"/>
      <c r="AJ419" s="258"/>
      <c r="AK419" s="258" t="s">
        <v>2813</v>
      </c>
      <c r="AL419" s="258" t="s">
        <v>688</v>
      </c>
      <c r="AM419" s="258" t="s">
        <v>689</v>
      </c>
      <c r="AN419" s="258"/>
      <c r="AO419" s="258"/>
      <c r="AP419" s="258"/>
      <c r="AQ419" s="258"/>
      <c r="AR419" s="258" t="s">
        <v>690</v>
      </c>
      <c r="AS419" s="258" t="s">
        <v>691</v>
      </c>
      <c r="AT419" s="258" t="s">
        <v>1841</v>
      </c>
      <c r="AU419" s="265" t="s">
        <v>1842</v>
      </c>
      <c r="AV419" s="174" t="s">
        <v>225</v>
      </c>
      <c r="AW419" s="269" t="s">
        <v>245</v>
      </c>
      <c r="AX419" s="269" t="s">
        <v>694</v>
      </c>
      <c r="AY419" s="270" t="s">
        <v>1843</v>
      </c>
      <c r="AZ419" s="173" t="s">
        <v>1834</v>
      </c>
      <c r="BA419" s="265">
        <v>10.0</v>
      </c>
      <c r="BB419" s="174" t="s">
        <v>225</v>
      </c>
      <c r="BC419" s="271"/>
      <c r="BD419" s="272" t="s">
        <v>1844</v>
      </c>
      <c r="BE419" s="273"/>
      <c r="BF419" s="274" t="str">
        <f>IFERROR(__xludf.DUMMYFUNCTION("LOWER(Regexreplace(to_text(E419),""[^A-Za-z0-9]"","""")&amp;""_""&amp;Regexreplace(to_text(F419),""[^A-Za-z0-9]"",""""))"),"alc_g5ce")</f>
        <v>alc_g5ce</v>
      </c>
      <c r="BG419" s="275" t="str">
        <f>IFERROR(__xludf.DUMMYFUNCTION("upper(Regexreplace(to_text(E419),""[^A-Za-z0-9]"","""")&amp;""-""&amp;Regexreplace(to_text(F419),""[^A-Za-z0-9]"",""""))"),"ALC-G5CE")</f>
        <v>ALC-G5CE</v>
      </c>
    </row>
    <row r="420" ht="30.0" customHeight="1">
      <c r="A420" s="173">
        <v>413.0</v>
      </c>
      <c r="B420" s="256" t="s">
        <v>670</v>
      </c>
      <c r="C420" s="313" t="s">
        <v>2814</v>
      </c>
      <c r="D420" s="313" t="s">
        <v>2814</v>
      </c>
      <c r="E420" s="174" t="s">
        <v>1830</v>
      </c>
      <c r="F420" s="173" t="s">
        <v>507</v>
      </c>
      <c r="G420" s="258" t="s">
        <v>673</v>
      </c>
      <c r="H420" s="258" t="s">
        <v>674</v>
      </c>
      <c r="I420" s="258" t="s">
        <v>1614</v>
      </c>
      <c r="J420" s="259" t="s">
        <v>1520</v>
      </c>
      <c r="K420" s="260" t="s">
        <v>1520</v>
      </c>
      <c r="L420" s="258" t="s">
        <v>2794</v>
      </c>
      <c r="M420" s="265" t="s">
        <v>2815</v>
      </c>
      <c r="N420" s="173" t="s">
        <v>679</v>
      </c>
      <c r="O420" s="173" t="s">
        <v>225</v>
      </c>
      <c r="P420" s="262" t="str">
        <f t="shared" si="1"/>
        <v>IN-BLR-ANANTA-HLI-116_Roof</v>
      </c>
      <c r="Q420" s="173" t="s">
        <v>2816</v>
      </c>
      <c r="R420" s="258" t="str">
        <f>IFS(C420="","",C420="n/a","N/A",LEN(C420),Concatenate("{",char(34),"asset",char(34),":{",char(34),"guid",char(34),":",char(34),Q420,char(34),",",char(34),"site",char(34),":",char(34),LOWER('2-Building'!$B$4),char(34),",",char(34),"name",char(34),":",char(34),LOWER(C420),char(34),"}}"))</f>
        <v>{"asset":{"guid":"uuid://f03e81f0-fd0b-4123-85d0-d93a419484bc","site":"in-blr-ananta","name":"hli-116"}}</v>
      </c>
      <c r="S420" s="258" t="s">
        <v>1834</v>
      </c>
      <c r="T420" s="263"/>
      <c r="U420" s="263"/>
      <c r="V420" s="264" t="s">
        <v>1835</v>
      </c>
      <c r="W420" s="258" t="s">
        <v>1836</v>
      </c>
      <c r="X420" s="258" t="s">
        <v>1837</v>
      </c>
      <c r="Y420" s="33" t="s">
        <v>1838</v>
      </c>
      <c r="Z420" s="258">
        <v>11396.0</v>
      </c>
      <c r="AA420" s="258">
        <v>11501.0</v>
      </c>
      <c r="AB420" s="258"/>
      <c r="AC420" s="258"/>
      <c r="AD420" s="265"/>
      <c r="AE420" s="266" t="s">
        <v>685</v>
      </c>
      <c r="AF420" s="267" t="s">
        <v>2817</v>
      </c>
      <c r="AG420" s="268" t="str">
        <f>IFS(LEN(AF420)=17,LOWER('2-Building'!$B$4 &amp; "-" &amp; C420), AF420="N/A", "N/A", LEN(AF420)=0,"")</f>
        <v>in-blr-ananta-hli-116</v>
      </c>
      <c r="AH420" s="258"/>
      <c r="AI420" s="258"/>
      <c r="AJ420" s="258"/>
      <c r="AK420" s="258" t="s">
        <v>2818</v>
      </c>
      <c r="AL420" s="258" t="s">
        <v>688</v>
      </c>
      <c r="AM420" s="258" t="s">
        <v>689</v>
      </c>
      <c r="AN420" s="258"/>
      <c r="AO420" s="258"/>
      <c r="AP420" s="258"/>
      <c r="AQ420" s="258"/>
      <c r="AR420" s="258" t="s">
        <v>690</v>
      </c>
      <c r="AS420" s="258" t="s">
        <v>691</v>
      </c>
      <c r="AT420" s="258" t="s">
        <v>1841</v>
      </c>
      <c r="AU420" s="265" t="s">
        <v>1842</v>
      </c>
      <c r="AV420" s="174" t="s">
        <v>225</v>
      </c>
      <c r="AW420" s="269" t="s">
        <v>245</v>
      </c>
      <c r="AX420" s="269" t="s">
        <v>694</v>
      </c>
      <c r="AY420" s="270" t="s">
        <v>1843</v>
      </c>
      <c r="AZ420" s="173" t="s">
        <v>1834</v>
      </c>
      <c r="BA420" s="265">
        <v>10.0</v>
      </c>
      <c r="BB420" s="174" t="s">
        <v>225</v>
      </c>
      <c r="BC420" s="271"/>
      <c r="BD420" s="272" t="s">
        <v>1844</v>
      </c>
      <c r="BE420" s="273"/>
      <c r="BF420" s="274" t="str">
        <f>IFERROR(__xludf.DUMMYFUNCTION("LOWER(Regexreplace(to_text(E420),""[^A-Za-z0-9]"","""")&amp;""_""&amp;Regexreplace(to_text(F420),""[^A-Za-z0-9]"",""""))"),"alc_g5ce")</f>
        <v>alc_g5ce</v>
      </c>
      <c r="BG420" s="275" t="str">
        <f>IFERROR(__xludf.DUMMYFUNCTION("upper(Regexreplace(to_text(E420),""[^A-Za-z0-9]"","""")&amp;""-""&amp;Regexreplace(to_text(F420),""[^A-Za-z0-9]"",""""))"),"ALC-G5CE")</f>
        <v>ALC-G5CE</v>
      </c>
    </row>
    <row r="421" ht="30.0" customHeight="1">
      <c r="A421" s="258">
        <v>414.0</v>
      </c>
      <c r="B421" s="256" t="s">
        <v>670</v>
      </c>
      <c r="C421" s="313" t="s">
        <v>1795</v>
      </c>
      <c r="D421" s="313" t="s">
        <v>1795</v>
      </c>
      <c r="E421" s="174" t="s">
        <v>1830</v>
      </c>
      <c r="F421" s="173" t="s">
        <v>507</v>
      </c>
      <c r="G421" s="258" t="s">
        <v>673</v>
      </c>
      <c r="H421" s="258" t="s">
        <v>674</v>
      </c>
      <c r="I421" s="258" t="s">
        <v>1614</v>
      </c>
      <c r="J421" s="259" t="s">
        <v>1520</v>
      </c>
      <c r="K421" s="260" t="s">
        <v>1520</v>
      </c>
      <c r="L421" s="258" t="s">
        <v>2794</v>
      </c>
      <c r="M421" s="265" t="s">
        <v>2819</v>
      </c>
      <c r="N421" s="173" t="s">
        <v>679</v>
      </c>
      <c r="O421" s="173" t="s">
        <v>225</v>
      </c>
      <c r="P421" s="262" t="str">
        <f t="shared" si="1"/>
        <v>IN-BLR-ANANTA-HLI-117_Roof</v>
      </c>
      <c r="Q421" s="173" t="s">
        <v>2820</v>
      </c>
      <c r="R421" s="258" t="str">
        <f>IFS(C421="","",C421="n/a","N/A",LEN(C421),Concatenate("{",char(34),"asset",char(34),":{",char(34),"guid",char(34),":",char(34),Q421,char(34),",",char(34),"site",char(34),":",char(34),LOWER('2-Building'!$B$4),char(34),",",char(34),"name",char(34),":",char(34),LOWER(C421),char(34),"}}"))</f>
        <v>{"asset":{"guid":"uuid://c505736a-bf0b-4e2b-846e-102341bdbb44","site":"in-blr-ananta","name":"hli-117"}}</v>
      </c>
      <c r="S421" s="258" t="s">
        <v>1834</v>
      </c>
      <c r="T421" s="263"/>
      <c r="U421" s="263"/>
      <c r="V421" s="264" t="s">
        <v>1835</v>
      </c>
      <c r="W421" s="258" t="s">
        <v>1836</v>
      </c>
      <c r="X421" s="258" t="s">
        <v>1837</v>
      </c>
      <c r="Y421" s="33" t="s">
        <v>1838</v>
      </c>
      <c r="Z421" s="258">
        <v>11399.0</v>
      </c>
      <c r="AA421" s="258">
        <v>11501.0</v>
      </c>
      <c r="AB421" s="258"/>
      <c r="AC421" s="258"/>
      <c r="AD421" s="265"/>
      <c r="AE421" s="266" t="s">
        <v>685</v>
      </c>
      <c r="AF421" s="267" t="s">
        <v>2821</v>
      </c>
      <c r="AG421" s="268" t="str">
        <f>IFS(LEN(AF421)=17,LOWER('2-Building'!$B$4 &amp; "-" &amp; C421), AF421="N/A", "N/A", LEN(AF421)=0,"")</f>
        <v>in-blr-ananta-hli-117</v>
      </c>
      <c r="AH421" s="258"/>
      <c r="AI421" s="258"/>
      <c r="AJ421" s="258"/>
      <c r="AK421" s="258" t="s">
        <v>2822</v>
      </c>
      <c r="AL421" s="258" t="s">
        <v>688</v>
      </c>
      <c r="AM421" s="258" t="s">
        <v>689</v>
      </c>
      <c r="AN421" s="258"/>
      <c r="AO421" s="258"/>
      <c r="AP421" s="258"/>
      <c r="AQ421" s="258"/>
      <c r="AR421" s="258" t="s">
        <v>690</v>
      </c>
      <c r="AS421" s="258" t="s">
        <v>691</v>
      </c>
      <c r="AT421" s="258" t="s">
        <v>1841</v>
      </c>
      <c r="AU421" s="265" t="s">
        <v>1842</v>
      </c>
      <c r="AV421" s="174" t="s">
        <v>225</v>
      </c>
      <c r="AW421" s="269" t="s">
        <v>245</v>
      </c>
      <c r="AX421" s="269" t="s">
        <v>694</v>
      </c>
      <c r="AY421" s="270" t="s">
        <v>1843</v>
      </c>
      <c r="AZ421" s="173" t="s">
        <v>1834</v>
      </c>
      <c r="BA421" s="265">
        <v>10.0</v>
      </c>
      <c r="BB421" s="174" t="s">
        <v>225</v>
      </c>
      <c r="BC421" s="271"/>
      <c r="BD421" s="272" t="s">
        <v>1844</v>
      </c>
      <c r="BE421" s="273"/>
      <c r="BF421" s="274" t="str">
        <f>IFERROR(__xludf.DUMMYFUNCTION("LOWER(Regexreplace(to_text(E421),""[^A-Za-z0-9]"","""")&amp;""_""&amp;Regexreplace(to_text(F421),""[^A-Za-z0-9]"",""""))"),"alc_g5ce")</f>
        <v>alc_g5ce</v>
      </c>
      <c r="BG421" s="275" t="str">
        <f>IFERROR(__xludf.DUMMYFUNCTION("upper(Regexreplace(to_text(E421),""[^A-Za-z0-9]"","""")&amp;""-""&amp;Regexreplace(to_text(F421),""[^A-Za-z0-9]"",""""))"),"ALC-G5CE")</f>
        <v>ALC-G5CE</v>
      </c>
    </row>
    <row r="422" ht="30.0" customHeight="1">
      <c r="A422" s="173">
        <v>415.0</v>
      </c>
      <c r="B422" s="256" t="s">
        <v>670</v>
      </c>
      <c r="C422" s="313" t="s">
        <v>2823</v>
      </c>
      <c r="D422" s="313" t="s">
        <v>2823</v>
      </c>
      <c r="E422" s="174" t="s">
        <v>1830</v>
      </c>
      <c r="F422" s="173" t="s">
        <v>507</v>
      </c>
      <c r="G422" s="258" t="s">
        <v>673</v>
      </c>
      <c r="H422" s="258" t="s">
        <v>674</v>
      </c>
      <c r="I422" s="258" t="s">
        <v>1614</v>
      </c>
      <c r="J422" s="259" t="s">
        <v>739</v>
      </c>
      <c r="K422" s="260" t="s">
        <v>803</v>
      </c>
      <c r="L422" s="258" t="s">
        <v>2789</v>
      </c>
      <c r="M422" s="265" t="s">
        <v>2824</v>
      </c>
      <c r="N422" s="173" t="s">
        <v>679</v>
      </c>
      <c r="O422" s="173" t="s">
        <v>225</v>
      </c>
      <c r="P422" s="262" t="str">
        <f t="shared" si="1"/>
        <v>IN-BLR-ANANTA-HLI-118_G</v>
      </c>
      <c r="Q422" s="173" t="s">
        <v>2825</v>
      </c>
      <c r="R422" s="258" t="str">
        <f>IFS(C422="","",C422="n/a","N/A",LEN(C422),Concatenate("{",char(34),"asset",char(34),":{",char(34),"guid",char(34),":",char(34),Q422,char(34),",",char(34),"site",char(34),":",char(34),LOWER('2-Building'!$B$4),char(34),",",char(34),"name",char(34),":",char(34),LOWER(C422),char(34),"}}"))</f>
        <v>{"asset":{"guid":"uuid://fed7ea73-46b0-4cc0-a922-c1f1ac8e6bcd","site":"in-blr-ananta","name":"hli-118"}}</v>
      </c>
      <c r="S422" s="258" t="s">
        <v>1834</v>
      </c>
      <c r="T422" s="263"/>
      <c r="U422" s="263"/>
      <c r="V422" s="264" t="s">
        <v>1835</v>
      </c>
      <c r="W422" s="258" t="s">
        <v>1836</v>
      </c>
      <c r="X422" s="258" t="s">
        <v>1837</v>
      </c>
      <c r="Y422" s="33" t="s">
        <v>1838</v>
      </c>
      <c r="Z422" s="258">
        <v>11235.0</v>
      </c>
      <c r="AA422" s="258">
        <v>11501.0</v>
      </c>
      <c r="AB422" s="258"/>
      <c r="AC422" s="258"/>
      <c r="AD422" s="265"/>
      <c r="AE422" s="266" t="s">
        <v>685</v>
      </c>
      <c r="AF422" s="267" t="s">
        <v>2826</v>
      </c>
      <c r="AG422" s="268" t="str">
        <f>IFS(LEN(AF422)=17,LOWER('2-Building'!$B$4 &amp; "-" &amp; C422), AF422="N/A", "N/A", LEN(AF422)=0,"")</f>
        <v>in-blr-ananta-hli-118</v>
      </c>
      <c r="AH422" s="258"/>
      <c r="AI422" s="258"/>
      <c r="AJ422" s="258"/>
      <c r="AK422" s="258" t="s">
        <v>2827</v>
      </c>
      <c r="AL422" s="258" t="s">
        <v>688</v>
      </c>
      <c r="AM422" s="258" t="s">
        <v>689</v>
      </c>
      <c r="AN422" s="258"/>
      <c r="AO422" s="258"/>
      <c r="AP422" s="258"/>
      <c r="AQ422" s="258"/>
      <c r="AR422" s="258" t="s">
        <v>690</v>
      </c>
      <c r="AS422" s="258" t="s">
        <v>691</v>
      </c>
      <c r="AT422" s="258" t="s">
        <v>1841</v>
      </c>
      <c r="AU422" s="265" t="s">
        <v>1842</v>
      </c>
      <c r="AV422" s="174" t="s">
        <v>225</v>
      </c>
      <c r="AW422" s="269" t="s">
        <v>245</v>
      </c>
      <c r="AX422" s="269" t="s">
        <v>694</v>
      </c>
      <c r="AY422" s="270" t="s">
        <v>1843</v>
      </c>
      <c r="AZ422" s="173" t="s">
        <v>1834</v>
      </c>
      <c r="BA422" s="265">
        <v>10.0</v>
      </c>
      <c r="BB422" s="174" t="s">
        <v>225</v>
      </c>
      <c r="BC422" s="271"/>
      <c r="BD422" s="272" t="s">
        <v>1844</v>
      </c>
      <c r="BE422" s="273"/>
      <c r="BF422" s="274" t="str">
        <f>IFERROR(__xludf.DUMMYFUNCTION("LOWER(Regexreplace(to_text(E422),""[^A-Za-z0-9]"","""")&amp;""_""&amp;Regexreplace(to_text(F422),""[^A-Za-z0-9]"",""""))"),"alc_g5ce")</f>
        <v>alc_g5ce</v>
      </c>
      <c r="BG422" s="275" t="str">
        <f>IFERROR(__xludf.DUMMYFUNCTION("upper(Regexreplace(to_text(E422),""[^A-Za-z0-9]"","""")&amp;""-""&amp;Regexreplace(to_text(F422),""[^A-Za-z0-9]"",""""))"),"ALC-G5CE")</f>
        <v>ALC-G5CE</v>
      </c>
    </row>
    <row r="423" ht="30.0" customHeight="1">
      <c r="A423" s="258">
        <v>416.0</v>
      </c>
      <c r="B423" s="256" t="s">
        <v>670</v>
      </c>
      <c r="C423" s="257" t="s">
        <v>2828</v>
      </c>
      <c r="D423" s="257" t="s">
        <v>2828</v>
      </c>
      <c r="E423" s="174" t="s">
        <v>1830</v>
      </c>
      <c r="F423" s="173" t="s">
        <v>507</v>
      </c>
      <c r="G423" s="258" t="s">
        <v>673</v>
      </c>
      <c r="H423" s="258" t="s">
        <v>674</v>
      </c>
      <c r="I423" s="258" t="s">
        <v>1614</v>
      </c>
      <c r="J423" s="259" t="s">
        <v>739</v>
      </c>
      <c r="K423" s="260" t="s">
        <v>803</v>
      </c>
      <c r="L423" s="258" t="s">
        <v>2789</v>
      </c>
      <c r="M423" s="265" t="s">
        <v>2829</v>
      </c>
      <c r="N423" s="173" t="s">
        <v>679</v>
      </c>
      <c r="O423" s="173" t="s">
        <v>225</v>
      </c>
      <c r="P423" s="262" t="str">
        <f t="shared" si="1"/>
        <v>IN-BLR-ANANTA-HLI-119_G</v>
      </c>
      <c r="Q423" s="173" t="s">
        <v>2830</v>
      </c>
      <c r="R423" s="258" t="str">
        <f>IFS(C423="","",C423="n/a","N/A",LEN(C423),Concatenate("{",char(34),"asset",char(34),":{",char(34),"guid",char(34),":",char(34),Q423,char(34),",",char(34),"site",char(34),":",char(34),LOWER('2-Building'!$B$4),char(34),",",char(34),"name",char(34),":",char(34),LOWER(C423),char(34),"}}"))</f>
        <v>{"asset":{"guid":"uuid://6a895db8-2d73-4410-9fd8-f0815041bff3","site":"in-blr-ananta","name":"hli-119"}}</v>
      </c>
      <c r="S423" s="258" t="s">
        <v>1834</v>
      </c>
      <c r="T423" s="263"/>
      <c r="U423" s="263"/>
      <c r="V423" s="264" t="s">
        <v>1835</v>
      </c>
      <c r="W423" s="258" t="s">
        <v>1836</v>
      </c>
      <c r="X423" s="258" t="s">
        <v>1837</v>
      </c>
      <c r="Y423" s="33" t="s">
        <v>1838</v>
      </c>
      <c r="Z423" s="258">
        <v>11429.0</v>
      </c>
      <c r="AA423" s="258">
        <v>11501.0</v>
      </c>
      <c r="AB423" s="258"/>
      <c r="AC423" s="258"/>
      <c r="AD423" s="265"/>
      <c r="AE423" s="266" t="s">
        <v>685</v>
      </c>
      <c r="AF423" s="267" t="s">
        <v>2831</v>
      </c>
      <c r="AG423" s="268" t="str">
        <f>IFS(LEN(AF423)=17,LOWER('2-Building'!$B$4 &amp; "-" &amp; C423), AF423="N/A", "N/A", LEN(AF423)=0,"")</f>
        <v>in-blr-ananta-hli-119</v>
      </c>
      <c r="AH423" s="258"/>
      <c r="AI423" s="258"/>
      <c r="AJ423" s="258"/>
      <c r="AK423" s="258" t="s">
        <v>2832</v>
      </c>
      <c r="AL423" s="258" t="s">
        <v>688</v>
      </c>
      <c r="AM423" s="258" t="s">
        <v>689</v>
      </c>
      <c r="AN423" s="258"/>
      <c r="AO423" s="258"/>
      <c r="AP423" s="258"/>
      <c r="AQ423" s="258"/>
      <c r="AR423" s="258" t="s">
        <v>690</v>
      </c>
      <c r="AS423" s="258" t="s">
        <v>691</v>
      </c>
      <c r="AT423" s="258" t="s">
        <v>1841</v>
      </c>
      <c r="AU423" s="265" t="s">
        <v>1842</v>
      </c>
      <c r="AV423" s="174" t="s">
        <v>225</v>
      </c>
      <c r="AW423" s="269" t="s">
        <v>245</v>
      </c>
      <c r="AX423" s="269" t="s">
        <v>694</v>
      </c>
      <c r="AY423" s="270" t="s">
        <v>1843</v>
      </c>
      <c r="AZ423" s="173" t="s">
        <v>1834</v>
      </c>
      <c r="BA423" s="265">
        <v>10.0</v>
      </c>
      <c r="BB423" s="174" t="s">
        <v>225</v>
      </c>
      <c r="BC423" s="271"/>
      <c r="BD423" s="272" t="s">
        <v>1844</v>
      </c>
      <c r="BE423" s="273"/>
      <c r="BF423" s="274" t="str">
        <f>IFERROR(__xludf.DUMMYFUNCTION("LOWER(Regexreplace(to_text(E423),""[^A-Za-z0-9]"","""")&amp;""_""&amp;Regexreplace(to_text(F423),""[^A-Za-z0-9]"",""""))"),"alc_g5ce")</f>
        <v>alc_g5ce</v>
      </c>
      <c r="BG423" s="275" t="str">
        <f>IFERROR(__xludf.DUMMYFUNCTION("upper(Regexreplace(to_text(E423),""[^A-Za-z0-9]"","""")&amp;""-""&amp;Regexreplace(to_text(F423),""[^A-Za-z0-9]"",""""))"),"ALC-G5CE")</f>
        <v>ALC-G5CE</v>
      </c>
    </row>
    <row r="424" ht="30.0" customHeight="1">
      <c r="A424" s="278"/>
      <c r="B424" s="279" t="s">
        <v>670</v>
      </c>
      <c r="C424" s="257" t="s">
        <v>2833</v>
      </c>
      <c r="D424" s="257" t="s">
        <v>2833</v>
      </c>
      <c r="E424" s="281" t="s">
        <v>1830</v>
      </c>
      <c r="F424" s="173" t="s">
        <v>510</v>
      </c>
      <c r="G424" s="278" t="s">
        <v>673</v>
      </c>
      <c r="H424" s="278" t="s">
        <v>674</v>
      </c>
      <c r="I424" s="258" t="s">
        <v>1614</v>
      </c>
      <c r="J424" s="259" t="s">
        <v>1088</v>
      </c>
      <c r="K424" s="260" t="s">
        <v>2283</v>
      </c>
      <c r="L424" s="278" t="s">
        <v>2774</v>
      </c>
      <c r="M424" s="265" t="s">
        <v>2775</v>
      </c>
      <c r="N424" s="173" t="s">
        <v>679</v>
      </c>
      <c r="O424" s="280" t="s">
        <v>225</v>
      </c>
      <c r="P424" s="283" t="str">
        <f t="shared" si="1"/>
        <v>IN-BLR-ANANTA-HLI-120_5</v>
      </c>
      <c r="Q424" s="173" t="s">
        <v>2834</v>
      </c>
      <c r="R424" s="258" t="str">
        <f>IFS(C424="","",C424="n/a","N/A",LEN(C424),Concatenate("{",char(34),"asset",char(34),":{",char(34),"guid",char(34),":",char(34),Q424,char(34),",",char(34),"site",char(34),":",char(34),LOWER('2-Building'!$B$4),char(34),",",char(34),"name",char(34),":",char(34),LOWER(C424),char(34),"}}"))</f>
        <v>{"asset":{"guid":"uuid://6ac6b50a-aea7-48d7-bcbe-262824d1b677","site":"in-blr-ananta","name":"hli-120"}}</v>
      </c>
      <c r="S424" s="258" t="s">
        <v>1834</v>
      </c>
      <c r="T424" s="284"/>
      <c r="U424" s="284"/>
      <c r="V424" s="264" t="s">
        <v>1835</v>
      </c>
      <c r="W424" s="258" t="s">
        <v>1836</v>
      </c>
      <c r="X424" s="258" t="s">
        <v>1837</v>
      </c>
      <c r="Y424" s="33" t="s">
        <v>1838</v>
      </c>
      <c r="Z424" s="258">
        <v>11469.0</v>
      </c>
      <c r="AA424" s="258">
        <v>11501.0</v>
      </c>
      <c r="AB424" s="278"/>
      <c r="AC424" s="278"/>
      <c r="AD424" s="286"/>
      <c r="AE424" s="266" t="s">
        <v>685</v>
      </c>
      <c r="AF424" s="267" t="s">
        <v>2835</v>
      </c>
      <c r="AG424" s="268" t="str">
        <f>IFS(LEN(AF424)=17,LOWER('2-Building'!$B$4 &amp; "-" &amp; C424), AF424="N/A", "N/A", LEN(AF424)=0,"")</f>
        <v>in-blr-ananta-hli-120</v>
      </c>
      <c r="AH424" s="278"/>
      <c r="AI424" s="278"/>
      <c r="AJ424" s="278"/>
      <c r="AK424" s="258" t="s">
        <v>2836</v>
      </c>
      <c r="AL424" s="258" t="s">
        <v>688</v>
      </c>
      <c r="AM424" s="258" t="s">
        <v>689</v>
      </c>
      <c r="AN424" s="278"/>
      <c r="AO424" s="278"/>
      <c r="AP424" s="278"/>
      <c r="AQ424" s="278"/>
      <c r="AR424" s="278"/>
      <c r="AS424" s="278"/>
      <c r="AT424" s="278"/>
      <c r="AU424" s="286"/>
      <c r="AV424" s="281"/>
      <c r="AW424" s="289"/>
      <c r="AX424" s="289"/>
      <c r="AY424" s="290"/>
      <c r="AZ424" s="280"/>
      <c r="BA424" s="286"/>
      <c r="BB424" s="281"/>
      <c r="BC424" s="291"/>
      <c r="BD424" s="308" t="s">
        <v>1844</v>
      </c>
      <c r="BE424" s="292"/>
      <c r="BF424" s="274" t="str">
        <f>IFERROR(__xludf.DUMMYFUNCTION("LOWER(Regexreplace(to_text(E424),""[^A-Za-z0-9]"","""")&amp;""_""&amp;Regexreplace(to_text(F424),""[^A-Za-z0-9]"",""""))"),"alc_ofhi")</f>
        <v>alc_ofhi</v>
      </c>
      <c r="BG424" s="275" t="str">
        <f>IFERROR(__xludf.DUMMYFUNCTION("upper(Regexreplace(to_text(E424),""[^A-Za-z0-9]"","""")&amp;""-""&amp;Regexreplace(to_text(F424),""[^A-Za-z0-9]"",""""))"),"ALC-OFHI")</f>
        <v>ALC-OFHI</v>
      </c>
    </row>
    <row r="425" ht="30.0" customHeight="1">
      <c r="A425" s="315">
        <v>417.0</v>
      </c>
      <c r="B425" s="316" t="s">
        <v>670</v>
      </c>
      <c r="C425" s="317" t="s">
        <v>2837</v>
      </c>
      <c r="D425" s="315" t="s">
        <v>2837</v>
      </c>
      <c r="E425" s="315" t="s">
        <v>2838</v>
      </c>
      <c r="F425" s="173" t="s">
        <v>518</v>
      </c>
      <c r="G425" s="316" t="s">
        <v>673</v>
      </c>
      <c r="H425" s="316" t="s">
        <v>674</v>
      </c>
      <c r="I425" s="258" t="s">
        <v>1614</v>
      </c>
      <c r="J425" s="259" t="s">
        <v>2839</v>
      </c>
      <c r="K425" s="260" t="s">
        <v>1805</v>
      </c>
      <c r="L425" s="316"/>
      <c r="M425" s="318"/>
      <c r="N425" s="173" t="s">
        <v>679</v>
      </c>
      <c r="O425" s="315" t="s">
        <v>225</v>
      </c>
      <c r="P425" s="319" t="str">
        <f t="shared" si="1"/>
        <v>IN-BLR-ANANTA-HLI-301_M</v>
      </c>
      <c r="Q425" s="173" t="s">
        <v>2840</v>
      </c>
      <c r="R425" s="316" t="str">
        <f>IFS(C425="","",C425="n/a","N/A",LEN(C425),Concatenate("{",char(34),"asset",char(34),":{",char(34),"guid",char(34),":",char(34),Q425,char(34),",",char(34),"site",char(34),":",char(34),LOWER('2-Building'!$B$4),char(34),",",char(34),"name",char(34),":",char(34),LOWER(C425),char(34),"}}"))</f>
        <v>{"asset":{"guid":"uuid://7679b9e8-bb89-4493-8fd7-5b7147157f5e","site":"in-blr-ananta","name":"hli-301"}}</v>
      </c>
      <c r="S425" s="316" t="s">
        <v>2841</v>
      </c>
      <c r="T425" s="320"/>
      <c r="U425" s="320"/>
      <c r="V425" s="321"/>
      <c r="W425" s="316"/>
      <c r="X425" s="316"/>
      <c r="Y425" s="33" t="s">
        <v>684</v>
      </c>
      <c r="Z425" s="316"/>
      <c r="AA425" s="316"/>
      <c r="AB425" s="316"/>
      <c r="AC425" s="316"/>
      <c r="AD425" s="318"/>
      <c r="AE425" s="322" t="s">
        <v>685</v>
      </c>
      <c r="AF425" s="323" t="s">
        <v>2842</v>
      </c>
      <c r="AG425" s="317" t="str">
        <f>IFS(LEN(AF425)=17,LOWER('2-Building'!$B$4 &amp; "-" &amp; C425), AF425="N/A", "N/A", LEN(AF425)=0,"")</f>
        <v>in-blr-ananta-hli-301</v>
      </c>
      <c r="AH425" s="316"/>
      <c r="AI425" s="316"/>
      <c r="AJ425" s="316"/>
      <c r="AK425" s="316"/>
      <c r="AL425" s="316"/>
      <c r="AM425" s="316" t="s">
        <v>689</v>
      </c>
      <c r="AN425" s="316"/>
      <c r="AO425" s="316"/>
      <c r="AP425" s="316"/>
      <c r="AQ425" s="316"/>
      <c r="AR425" s="316" t="s">
        <v>690</v>
      </c>
      <c r="AS425" s="316" t="s">
        <v>691</v>
      </c>
      <c r="AT425" s="316"/>
      <c r="AU425" s="318"/>
      <c r="AV425" s="315"/>
      <c r="AW425" s="324"/>
      <c r="AX425" s="324"/>
      <c r="AY425" s="325" t="s">
        <v>695</v>
      </c>
      <c r="AZ425" s="315" t="s">
        <v>2841</v>
      </c>
      <c r="BA425" s="318">
        <v>10.0</v>
      </c>
      <c r="BB425" s="315"/>
      <c r="BC425" s="326"/>
      <c r="BD425" s="308"/>
      <c r="BE425" s="327" t="s">
        <v>2843</v>
      </c>
      <c r="BF425" s="274" t="str">
        <f>IFERROR(__xludf.DUMMYFUNCTION("LOWER(Regexreplace(to_text(E425),""[^A-Za-z0-9]"","""")&amp;""_""&amp;Regexreplace(to_text(F425),""[^A-Za-z0-9]"",""""))"),"tridium_jace8000")</f>
        <v>tridium_jace8000</v>
      </c>
      <c r="BG425" s="275" t="str">
        <f>IFERROR(__xludf.DUMMYFUNCTION("upper(Regexreplace(to_text(E425),""[^A-Za-z0-9]"","""")&amp;""-""&amp;Regexreplace(to_text(F425),""[^A-Za-z0-9]"",""""))"),"TRIDIUM-JACE8000")</f>
        <v>TRIDIUM-JACE8000</v>
      </c>
    </row>
    <row r="426" ht="30.0" customHeight="1">
      <c r="A426" s="316">
        <v>418.0</v>
      </c>
      <c r="B426" s="316" t="s">
        <v>670</v>
      </c>
      <c r="C426" s="317" t="s">
        <v>2844</v>
      </c>
      <c r="D426" s="315" t="s">
        <v>2844</v>
      </c>
      <c r="E426" s="315" t="s">
        <v>2838</v>
      </c>
      <c r="F426" s="173" t="s">
        <v>518</v>
      </c>
      <c r="G426" s="316" t="s">
        <v>673</v>
      </c>
      <c r="H426" s="316" t="s">
        <v>674</v>
      </c>
      <c r="I426" s="258" t="s">
        <v>1614</v>
      </c>
      <c r="J426" s="259" t="s">
        <v>2839</v>
      </c>
      <c r="K426" s="260" t="s">
        <v>1805</v>
      </c>
      <c r="L426" s="316"/>
      <c r="M426" s="318"/>
      <c r="N426" s="173" t="s">
        <v>679</v>
      </c>
      <c r="O426" s="315" t="s">
        <v>225</v>
      </c>
      <c r="P426" s="319" t="str">
        <f t="shared" si="1"/>
        <v>IN-BLR-ANANTA-HLI-302_M</v>
      </c>
      <c r="Q426" s="173" t="s">
        <v>2845</v>
      </c>
      <c r="R426" s="316" t="str">
        <f>IFS(C426="","",C426="n/a","N/A",LEN(C426),Concatenate("{",char(34),"asset",char(34),":{",char(34),"guid",char(34),":",char(34),Q426,char(34),",",char(34),"site",char(34),":",char(34),LOWER('2-Building'!$B$4),char(34),",",char(34),"name",char(34),":",char(34),LOWER(C426),char(34),"}}"))</f>
        <v>{"asset":{"guid":"uuid://b8a7cd6b-784a-4d75-8b2f-04a068de986a","site":"in-blr-ananta","name":"hli-302"}}</v>
      </c>
      <c r="S426" s="316" t="s">
        <v>2841</v>
      </c>
      <c r="T426" s="320"/>
      <c r="U426" s="320"/>
      <c r="V426" s="321"/>
      <c r="W426" s="316"/>
      <c r="X426" s="316"/>
      <c r="Y426" s="33" t="s">
        <v>684</v>
      </c>
      <c r="Z426" s="316"/>
      <c r="AA426" s="316"/>
      <c r="AB426" s="316"/>
      <c r="AC426" s="316"/>
      <c r="AD426" s="318"/>
      <c r="AE426" s="322" t="s">
        <v>685</v>
      </c>
      <c r="AF426" s="323" t="s">
        <v>2846</v>
      </c>
      <c r="AG426" s="317" t="str">
        <f>IFS(LEN(AF426)=17,LOWER('2-Building'!$B$4 &amp; "-" &amp; C426), AF426="N/A", "N/A", LEN(AF426)=0,"")</f>
        <v>in-blr-ananta-hli-302</v>
      </c>
      <c r="AH426" s="316"/>
      <c r="AI426" s="316"/>
      <c r="AJ426" s="316"/>
      <c r="AK426" s="316"/>
      <c r="AL426" s="316"/>
      <c r="AM426" s="316" t="s">
        <v>689</v>
      </c>
      <c r="AN426" s="316"/>
      <c r="AO426" s="316"/>
      <c r="AP426" s="316"/>
      <c r="AQ426" s="316"/>
      <c r="AR426" s="316" t="s">
        <v>690</v>
      </c>
      <c r="AS426" s="316" t="s">
        <v>691</v>
      </c>
      <c r="AT426" s="316"/>
      <c r="AU426" s="318"/>
      <c r="AV426" s="315"/>
      <c r="AW426" s="324"/>
      <c r="AX426" s="324"/>
      <c r="AY426" s="325" t="s">
        <v>695</v>
      </c>
      <c r="AZ426" s="315" t="s">
        <v>2841</v>
      </c>
      <c r="BA426" s="318">
        <v>10.0</v>
      </c>
      <c r="BB426" s="315"/>
      <c r="BC426" s="326"/>
      <c r="BD426" s="308"/>
      <c r="BE426" s="327" t="s">
        <v>2843</v>
      </c>
      <c r="BF426" s="274" t="str">
        <f>IFERROR(__xludf.DUMMYFUNCTION("LOWER(Regexreplace(to_text(E426),""[^A-Za-z0-9]"","""")&amp;""_""&amp;Regexreplace(to_text(F426),""[^A-Za-z0-9]"",""""))"),"tridium_jace8000")</f>
        <v>tridium_jace8000</v>
      </c>
      <c r="BG426" s="275" t="str">
        <f>IFERROR(__xludf.DUMMYFUNCTION("upper(Regexreplace(to_text(E426),""[^A-Za-z0-9]"","""")&amp;""-""&amp;Regexreplace(to_text(F426),""[^A-Za-z0-9]"",""""))"),"TRIDIUM-JACE8000")</f>
        <v>TRIDIUM-JACE8000</v>
      </c>
    </row>
    <row r="427" ht="30.0" customHeight="1">
      <c r="A427" s="173">
        <v>419.0</v>
      </c>
      <c r="B427" s="256" t="s">
        <v>670</v>
      </c>
      <c r="C427" s="257" t="s">
        <v>2847</v>
      </c>
      <c r="D427" s="173" t="s">
        <v>2847</v>
      </c>
      <c r="E427" s="174" t="s">
        <v>2848</v>
      </c>
      <c r="F427" s="173" t="s">
        <v>516</v>
      </c>
      <c r="G427" s="258" t="s">
        <v>673</v>
      </c>
      <c r="H427" s="258" t="s">
        <v>674</v>
      </c>
      <c r="I427" s="258" t="s">
        <v>1614</v>
      </c>
      <c r="J427" s="259" t="s">
        <v>2839</v>
      </c>
      <c r="K427" s="260" t="s">
        <v>1805</v>
      </c>
      <c r="L427" s="258" t="s">
        <v>2849</v>
      </c>
      <c r="M427" s="258" t="s">
        <v>2850</v>
      </c>
      <c r="N427" s="173" t="s">
        <v>679</v>
      </c>
      <c r="O427" s="173" t="s">
        <v>225</v>
      </c>
      <c r="P427" s="262" t="str">
        <f t="shared" si="1"/>
        <v>IN-BLR-ANANTA-HLI-303_M</v>
      </c>
      <c r="Q427" s="173" t="s">
        <v>2851</v>
      </c>
      <c r="R427" s="258" t="str">
        <f>IFS(C427="","",C427="n/a","N/A",LEN(C427),Concatenate("{",char(34),"asset",char(34),":{",char(34),"guid",char(34),":",char(34),Q427,char(34),",",char(34),"site",char(34),":",char(34),LOWER('2-Building'!$B$4),char(34),",",char(34),"name",char(34),":",char(34),LOWER(C427),char(34),"}}"))</f>
        <v>{"asset":{"guid":"uuid://758b1152-3e73-4863-b46d-423f5df62ae3","site":"in-blr-ananta","name":"hli-303"}}</v>
      </c>
      <c r="S427" s="258" t="s">
        <v>2841</v>
      </c>
      <c r="T427" s="263"/>
      <c r="U427" s="263"/>
      <c r="V427" s="264"/>
      <c r="W427" s="258"/>
      <c r="X427" s="33" t="s">
        <v>2852</v>
      </c>
      <c r="Y427" s="33" t="s">
        <v>684</v>
      </c>
      <c r="Z427" s="258">
        <v>50000.0</v>
      </c>
      <c r="AA427" s="258">
        <v>11501.0</v>
      </c>
      <c r="AB427" s="258"/>
      <c r="AC427" s="258"/>
      <c r="AD427" s="265"/>
      <c r="AE427" s="266" t="s">
        <v>685</v>
      </c>
      <c r="AF427" s="267" t="s">
        <v>2853</v>
      </c>
      <c r="AG427" s="268" t="str">
        <f>IFS(LEN(AF427)=17,LOWER('2-Building'!$B$4 &amp; "-" &amp; C427), AF427="N/A", "N/A", LEN(AF427)=0,"")</f>
        <v>in-blr-ananta-hli-303</v>
      </c>
      <c r="AH427" s="258"/>
      <c r="AI427" s="258"/>
      <c r="AJ427" s="258"/>
      <c r="AK427" s="258" t="s">
        <v>2854</v>
      </c>
      <c r="AL427" s="258" t="s">
        <v>688</v>
      </c>
      <c r="AM427" s="258" t="s">
        <v>689</v>
      </c>
      <c r="AN427" s="258"/>
      <c r="AO427" s="258"/>
      <c r="AP427" s="258"/>
      <c r="AQ427" s="258"/>
      <c r="AR427" s="258" t="s">
        <v>690</v>
      </c>
      <c r="AS427" s="258" t="s">
        <v>691</v>
      </c>
      <c r="AT427" s="258" t="s">
        <v>2746</v>
      </c>
      <c r="AU427" s="265" t="s">
        <v>693</v>
      </c>
      <c r="AV427" s="174" t="s">
        <v>243</v>
      </c>
      <c r="AW427" s="269"/>
      <c r="AX427" s="269" t="s">
        <v>694</v>
      </c>
      <c r="AY427" s="270" t="s">
        <v>695</v>
      </c>
      <c r="AZ427" s="173" t="s">
        <v>2841</v>
      </c>
      <c r="BA427" s="265">
        <v>10.0</v>
      </c>
      <c r="BB427" s="174" t="s">
        <v>225</v>
      </c>
      <c r="BC427" s="271"/>
      <c r="BD427" s="308"/>
      <c r="BE427" s="273"/>
      <c r="BF427" s="274" t="str">
        <f>IFERROR(__xludf.DUMMYFUNCTION("LOWER(Regexreplace(to_text(E427),""[^A-Za-z0-9]"","""")&amp;""_""&amp;Regexreplace(to_text(F427),""[^A-Za-z0-9]"",""""))"),"trane_tracersc")</f>
        <v>trane_tracersc</v>
      </c>
      <c r="BG427" s="275" t="str">
        <f>IFERROR(__xludf.DUMMYFUNCTION("upper(Regexreplace(to_text(E427),""[^A-Za-z0-9]"","""")&amp;""-""&amp;Regexreplace(to_text(F427),""[^A-Za-z0-9]"",""""))"),"TRANE-TRACERSC")</f>
        <v>TRANE-TRACERSC</v>
      </c>
    </row>
    <row r="428" ht="30.0" customHeight="1">
      <c r="A428" s="258">
        <v>420.0</v>
      </c>
      <c r="B428" s="256" t="s">
        <v>670</v>
      </c>
      <c r="C428" s="257" t="s">
        <v>2855</v>
      </c>
      <c r="D428" s="173" t="s">
        <v>2855</v>
      </c>
      <c r="E428" s="174" t="s">
        <v>2848</v>
      </c>
      <c r="F428" s="173" t="s">
        <v>516</v>
      </c>
      <c r="G428" s="258" t="s">
        <v>673</v>
      </c>
      <c r="H428" s="258" t="s">
        <v>674</v>
      </c>
      <c r="I428" s="258" t="s">
        <v>1614</v>
      </c>
      <c r="J428" s="259" t="s">
        <v>2839</v>
      </c>
      <c r="K428" s="260" t="s">
        <v>1805</v>
      </c>
      <c r="L428" s="258" t="s">
        <v>2849</v>
      </c>
      <c r="M428" s="258" t="s">
        <v>2856</v>
      </c>
      <c r="N428" s="173" t="s">
        <v>679</v>
      </c>
      <c r="O428" s="173" t="s">
        <v>225</v>
      </c>
      <c r="P428" s="262" t="str">
        <f t="shared" si="1"/>
        <v>IN-BLR-ANANTA-HLI-304_M</v>
      </c>
      <c r="Q428" s="173" t="s">
        <v>2857</v>
      </c>
      <c r="R428" s="258" t="str">
        <f>IFS(C428="","",C428="n/a","N/A",LEN(C428),Concatenate("{",char(34),"asset",char(34),":{",char(34),"guid",char(34),":",char(34),Q428,char(34),",",char(34),"site",char(34),":",char(34),LOWER('2-Building'!$B$4),char(34),",",char(34),"name",char(34),":",char(34),LOWER(C428),char(34),"}}"))</f>
        <v>{"asset":{"guid":"uuid://35691f3e-6364-422f-badf-fde9e33729f7","site":"in-blr-ananta","name":"hli-304"}}</v>
      </c>
      <c r="S428" s="258" t="s">
        <v>2841</v>
      </c>
      <c r="T428" s="263"/>
      <c r="U428" s="263"/>
      <c r="V428" s="264"/>
      <c r="W428" s="258"/>
      <c r="X428" s="33" t="s">
        <v>2852</v>
      </c>
      <c r="Y428" s="33" t="s">
        <v>684</v>
      </c>
      <c r="Z428" s="258">
        <v>60000.0</v>
      </c>
      <c r="AA428" s="258">
        <v>11501.0</v>
      </c>
      <c r="AB428" s="258"/>
      <c r="AC428" s="258"/>
      <c r="AD428" s="265"/>
      <c r="AE428" s="266" t="s">
        <v>685</v>
      </c>
      <c r="AF428" s="267" t="s">
        <v>2858</v>
      </c>
      <c r="AG428" s="268" t="str">
        <f>IFS(LEN(AF428)=17,LOWER('2-Building'!$B$4 &amp; "-" &amp; C428), AF428="N/A", "N/A", LEN(AF428)=0,"")</f>
        <v>in-blr-ananta-hli-304</v>
      </c>
      <c r="AH428" s="258"/>
      <c r="AI428" s="258"/>
      <c r="AJ428" s="258"/>
      <c r="AK428" s="258" t="s">
        <v>2859</v>
      </c>
      <c r="AL428" s="258" t="s">
        <v>688</v>
      </c>
      <c r="AM428" s="258" t="s">
        <v>689</v>
      </c>
      <c r="AN428" s="258"/>
      <c r="AO428" s="258"/>
      <c r="AP428" s="258"/>
      <c r="AQ428" s="258"/>
      <c r="AR428" s="258" t="s">
        <v>690</v>
      </c>
      <c r="AS428" s="258" t="s">
        <v>691</v>
      </c>
      <c r="AT428" s="258" t="s">
        <v>2746</v>
      </c>
      <c r="AU428" s="265" t="s">
        <v>693</v>
      </c>
      <c r="AV428" s="174" t="s">
        <v>243</v>
      </c>
      <c r="AW428" s="269"/>
      <c r="AX428" s="269" t="s">
        <v>694</v>
      </c>
      <c r="AY428" s="270" t="s">
        <v>695</v>
      </c>
      <c r="AZ428" s="173" t="s">
        <v>2841</v>
      </c>
      <c r="BA428" s="265">
        <v>10.0</v>
      </c>
      <c r="BB428" s="174" t="s">
        <v>225</v>
      </c>
      <c r="BC428" s="271"/>
      <c r="BD428" s="308"/>
      <c r="BE428" s="273"/>
      <c r="BF428" s="274" t="str">
        <f>IFERROR(__xludf.DUMMYFUNCTION("LOWER(Regexreplace(to_text(E428),""[^A-Za-z0-9]"","""")&amp;""_""&amp;Regexreplace(to_text(F428),""[^A-Za-z0-9]"",""""))"),"trane_tracersc")</f>
        <v>trane_tracersc</v>
      </c>
      <c r="BG428" s="275" t="str">
        <f>IFERROR(__xludf.DUMMYFUNCTION("upper(Regexreplace(to_text(E428),""[^A-Za-z0-9]"","""")&amp;""-""&amp;Regexreplace(to_text(F428),""[^A-Za-z0-9]"",""""))"),"TRANE-TRACERSC")</f>
        <v>TRANE-TRACERSC</v>
      </c>
    </row>
    <row r="429" ht="30.0" customHeight="1">
      <c r="A429" s="173">
        <v>421.0</v>
      </c>
      <c r="B429" s="328" t="s">
        <v>670</v>
      </c>
      <c r="C429" s="257" t="s">
        <v>2860</v>
      </c>
      <c r="D429" s="173" t="s">
        <v>2860</v>
      </c>
      <c r="E429" s="174" t="s">
        <v>2861</v>
      </c>
      <c r="F429" s="173" t="s">
        <v>2862</v>
      </c>
      <c r="G429" s="328" t="s">
        <v>673</v>
      </c>
      <c r="H429" s="328" t="s">
        <v>2863</v>
      </c>
      <c r="I429" s="258" t="s">
        <v>2864</v>
      </c>
      <c r="J429" s="259" t="s">
        <v>739</v>
      </c>
      <c r="K429" s="260" t="s">
        <v>1149</v>
      </c>
      <c r="L429" s="328"/>
      <c r="M429" s="329"/>
      <c r="N429" s="173" t="s">
        <v>679</v>
      </c>
      <c r="O429" s="173" t="s">
        <v>225</v>
      </c>
      <c r="P429" s="262" t="str">
        <f t="shared" si="1"/>
        <v>IN-BLR-ANANTA-VAV-1_G</v>
      </c>
      <c r="Q429" s="173" t="s">
        <v>2865</v>
      </c>
      <c r="R429" s="328" t="str">
        <f>IFS(C429="","",C429="n/a","N/A",LEN(C429),Concatenate("{",char(34),"asset",char(34),":{",char(34),"guid",char(34),":",char(34),Q429,char(34),",",char(34),"site",char(34),":",char(34),LOWER('2-Building'!$B$4),char(34),",",char(34),"name",char(34),":",char(34),LOWER(C429),char(34),"}}"))</f>
        <v>{"asset":{"guid":"uuid://9bb583f2-3aec-45e6-aea2-45ce2fdb930c","site":"in-blr-ananta","name":"vav-1"}}</v>
      </c>
      <c r="S429" s="237" t="s">
        <v>2866</v>
      </c>
      <c r="T429" s="330"/>
      <c r="U429" s="330"/>
      <c r="V429" s="331"/>
      <c r="W429" s="332"/>
      <c r="X429" s="333"/>
      <c r="Y429" s="33" t="s">
        <v>2867</v>
      </c>
      <c r="Z429" s="258">
        <v>120001.0</v>
      </c>
      <c r="AA429" s="334">
        <v>11642.0</v>
      </c>
      <c r="AB429" s="333"/>
      <c r="AC429" s="333"/>
      <c r="AD429" s="329"/>
      <c r="AE429" s="335"/>
      <c r="AF429" s="336"/>
      <c r="AG429" s="337"/>
      <c r="AH429" s="333"/>
      <c r="AI429" s="333"/>
      <c r="AJ429" s="333"/>
      <c r="AK429" s="333"/>
      <c r="AL429" s="333"/>
      <c r="AM429" s="338"/>
      <c r="AN429" s="333"/>
      <c r="AO429" s="333"/>
      <c r="AP429" s="333"/>
      <c r="AQ429" s="333"/>
      <c r="AR429" s="339" t="s">
        <v>2868</v>
      </c>
      <c r="AS429" s="333"/>
      <c r="AT429" s="339"/>
      <c r="AU429" s="329"/>
      <c r="AV429" s="340"/>
      <c r="AW429" s="269" t="s">
        <v>1572</v>
      </c>
      <c r="AX429" s="334" t="s">
        <v>2869</v>
      </c>
      <c r="AY429" s="270" t="s">
        <v>695</v>
      </c>
      <c r="AZ429" s="270" t="s">
        <v>2866</v>
      </c>
      <c r="BA429" s="265">
        <v>10.0</v>
      </c>
      <c r="BB429" s="174" t="s">
        <v>245</v>
      </c>
      <c r="BC429" s="341"/>
      <c r="BD429" s="308" t="s">
        <v>1844</v>
      </c>
      <c r="BE429" s="342"/>
      <c r="BF429" s="274" t="str">
        <f>IFERROR(__xludf.DUMMYFUNCTION("LOWER(Regexreplace(to_text(E429),""[^A-Za-z0-9]"","""")&amp;""_""&amp;Regexreplace(to_text(F429),""[^A-Za-z0-9]"",""""))"),"neptronic_evcbseries")</f>
        <v>neptronic_evcbseries</v>
      </c>
      <c r="BG429" s="275" t="str">
        <f>IFERROR(__xludf.DUMMYFUNCTION("upper(Regexreplace(to_text(E429),""[^A-Za-z0-9]"","""")&amp;""-""&amp;Regexreplace(to_text(F429),""[^A-Za-z0-9]"",""""))"),"NEPTRONIC-EVCBSERIES")</f>
        <v>NEPTRONIC-EVCBSERIES</v>
      </c>
    </row>
    <row r="430" ht="30.0" customHeight="1">
      <c r="A430" s="258">
        <v>422.0</v>
      </c>
      <c r="B430" s="328" t="s">
        <v>670</v>
      </c>
      <c r="C430" s="257" t="s">
        <v>2870</v>
      </c>
      <c r="D430" s="173" t="s">
        <v>2870</v>
      </c>
      <c r="E430" s="174" t="s">
        <v>2861</v>
      </c>
      <c r="F430" s="173" t="s">
        <v>2862</v>
      </c>
      <c r="G430" s="328" t="s">
        <v>673</v>
      </c>
      <c r="H430" s="328" t="s">
        <v>2863</v>
      </c>
      <c r="I430" s="258" t="s">
        <v>2864</v>
      </c>
      <c r="J430" s="259" t="s">
        <v>739</v>
      </c>
      <c r="K430" s="260" t="s">
        <v>2871</v>
      </c>
      <c r="L430" s="328"/>
      <c r="M430" s="343"/>
      <c r="N430" s="173" t="s">
        <v>679</v>
      </c>
      <c r="O430" s="173" t="s">
        <v>225</v>
      </c>
      <c r="P430" s="262" t="str">
        <f t="shared" si="1"/>
        <v>IN-BLR-ANANTA-VAV-2_G</v>
      </c>
      <c r="Q430" s="173" t="s">
        <v>2872</v>
      </c>
      <c r="R430" s="328" t="str">
        <f>IFS(C430="","",C430="n/a","N/A",LEN(C430),Concatenate("{",char(34),"asset",char(34),":{",char(34),"guid",char(34),":",char(34),Q430,char(34),",",char(34),"site",char(34),":",char(34),LOWER('2-Building'!$B$4),char(34),",",char(34),"name",char(34),":",char(34),LOWER(C430),char(34),"}}"))</f>
        <v>{"asset":{"guid":"uuid://e8d4f9c2-555a-4890-8a32-7f68a82be9a3","site":"in-blr-ananta","name":"vav-2"}}</v>
      </c>
      <c r="S430" s="237" t="s">
        <v>2866</v>
      </c>
      <c r="T430" s="330"/>
      <c r="U430" s="330"/>
      <c r="V430" s="331"/>
      <c r="W430" s="344"/>
      <c r="X430" s="341"/>
      <c r="Y430" s="33" t="s">
        <v>2867</v>
      </c>
      <c r="Z430" s="258">
        <v>120002.0</v>
      </c>
      <c r="AA430" s="334">
        <v>11642.0</v>
      </c>
      <c r="AB430" s="341"/>
      <c r="AC430" s="341"/>
      <c r="AD430" s="343"/>
      <c r="AE430" s="331"/>
      <c r="AF430" s="336"/>
      <c r="AG430" s="337"/>
      <c r="AH430" s="341"/>
      <c r="AI430" s="341"/>
      <c r="AJ430" s="341"/>
      <c r="AK430" s="341"/>
      <c r="AL430" s="341"/>
      <c r="AM430" s="338"/>
      <c r="AN430" s="341"/>
      <c r="AO430" s="341"/>
      <c r="AP430" s="341"/>
      <c r="AQ430" s="341"/>
      <c r="AR430" s="341"/>
      <c r="AS430" s="341"/>
      <c r="AT430" s="341"/>
      <c r="AU430" s="343"/>
      <c r="AV430" s="341"/>
      <c r="AW430" s="269" t="s">
        <v>1572</v>
      </c>
      <c r="AX430" s="334" t="s">
        <v>2869</v>
      </c>
      <c r="AY430" s="270" t="s">
        <v>695</v>
      </c>
      <c r="AZ430" s="270" t="s">
        <v>2866</v>
      </c>
      <c r="BA430" s="265">
        <v>10.0</v>
      </c>
      <c r="BB430" s="174" t="s">
        <v>245</v>
      </c>
      <c r="BC430" s="341"/>
      <c r="BD430" s="308"/>
      <c r="BE430" s="345"/>
      <c r="BF430" s="274" t="str">
        <f>IFERROR(__xludf.DUMMYFUNCTION("LOWER(Regexreplace(to_text(E430),""[^A-Za-z0-9]"","""")&amp;""_""&amp;Regexreplace(to_text(F430),""[^A-Za-z0-9]"",""""))"),"neptronic_evcbseries")</f>
        <v>neptronic_evcbseries</v>
      </c>
      <c r="BG430" s="275" t="str">
        <f>IFERROR(__xludf.DUMMYFUNCTION("upper(Regexreplace(to_text(E430),""[^A-Za-z0-9]"","""")&amp;""-""&amp;Regexreplace(to_text(F430),""[^A-Za-z0-9]"",""""))"),"NEPTRONIC-EVCBSERIES")</f>
        <v>NEPTRONIC-EVCBSERIES</v>
      </c>
    </row>
    <row r="431" ht="30.0" customHeight="1">
      <c r="A431" s="173">
        <v>423.0</v>
      </c>
      <c r="B431" s="237" t="s">
        <v>670</v>
      </c>
      <c r="C431" s="257" t="s">
        <v>2873</v>
      </c>
      <c r="D431" s="173" t="s">
        <v>2873</v>
      </c>
      <c r="E431" s="174" t="s">
        <v>2861</v>
      </c>
      <c r="F431" s="173" t="s">
        <v>2862</v>
      </c>
      <c r="G431" s="328" t="s">
        <v>673</v>
      </c>
      <c r="H431" s="328" t="s">
        <v>2863</v>
      </c>
      <c r="I431" s="258" t="s">
        <v>2864</v>
      </c>
      <c r="J431" s="259" t="s">
        <v>739</v>
      </c>
      <c r="K431" s="260" t="s">
        <v>2874</v>
      </c>
      <c r="L431" s="328"/>
      <c r="M431" s="343"/>
      <c r="N431" s="173" t="s">
        <v>679</v>
      </c>
      <c r="O431" s="173" t="s">
        <v>225</v>
      </c>
      <c r="P431" s="262" t="str">
        <f t="shared" si="1"/>
        <v>IN-BLR-ANANTA-VAV-3_G</v>
      </c>
      <c r="Q431" s="173" t="s">
        <v>2875</v>
      </c>
      <c r="R431" s="328" t="str">
        <f>IFS(C431="","",C431="n/a","N/A",LEN(C431),Concatenate("{",char(34),"asset",char(34),":{",char(34),"guid",char(34),":",char(34),Q431,char(34),",",char(34),"site",char(34),":",char(34),LOWER('2-Building'!$B$4),char(34),",",char(34),"name",char(34),":",char(34),LOWER(C431),char(34),"}}"))</f>
        <v>{"asset":{"guid":"uuid://971a39e7-52f5-4d19-b9af-1abc3a629551","site":"in-blr-ananta","name":"vav-3"}}</v>
      </c>
      <c r="S431" s="237" t="s">
        <v>2866</v>
      </c>
      <c r="T431" s="346"/>
      <c r="U431" s="330"/>
      <c r="V431" s="331"/>
      <c r="W431" s="344"/>
      <c r="X431" s="341"/>
      <c r="Y431" s="33" t="s">
        <v>2867</v>
      </c>
      <c r="Z431" s="258">
        <v>120003.0</v>
      </c>
      <c r="AA431" s="334">
        <v>11642.0</v>
      </c>
      <c r="AB431" s="341"/>
      <c r="AC431" s="341"/>
      <c r="AD431" s="343"/>
      <c r="AE431" s="331"/>
      <c r="AF431" s="336"/>
      <c r="AG431" s="337"/>
      <c r="AH431" s="341"/>
      <c r="AI431" s="341"/>
      <c r="AJ431" s="341"/>
      <c r="AK431" s="341"/>
      <c r="AL431" s="341"/>
      <c r="AM431" s="338"/>
      <c r="AN431" s="341"/>
      <c r="AO431" s="341"/>
      <c r="AP431" s="341"/>
      <c r="AQ431" s="341"/>
      <c r="AR431" s="341"/>
      <c r="AS431" s="341"/>
      <c r="AT431" s="341"/>
      <c r="AU431" s="343"/>
      <c r="AV431" s="341"/>
      <c r="AW431" s="269" t="s">
        <v>1572</v>
      </c>
      <c r="AX431" s="334" t="s">
        <v>2869</v>
      </c>
      <c r="AY431" s="270" t="s">
        <v>695</v>
      </c>
      <c r="AZ431" s="270" t="s">
        <v>2866</v>
      </c>
      <c r="BA431" s="265">
        <v>10.0</v>
      </c>
      <c r="BB431" s="174" t="s">
        <v>245</v>
      </c>
      <c r="BC431" s="341"/>
      <c r="BD431" s="308"/>
      <c r="BE431" s="347"/>
      <c r="BF431" s="274" t="str">
        <f>IFERROR(__xludf.DUMMYFUNCTION("LOWER(Regexreplace(to_text(E431),""[^A-Za-z0-9]"","""")&amp;""_""&amp;Regexreplace(to_text(F431),""[^A-Za-z0-9]"",""""))"),"neptronic_evcbseries")</f>
        <v>neptronic_evcbseries</v>
      </c>
      <c r="BG431" s="275" t="str">
        <f>IFERROR(__xludf.DUMMYFUNCTION("upper(Regexreplace(to_text(E431),""[^A-Za-z0-9]"","""")&amp;""-""&amp;Regexreplace(to_text(F431),""[^A-Za-z0-9]"",""""))"),"NEPTRONIC-EVCBSERIES")</f>
        <v>NEPTRONIC-EVCBSERIES</v>
      </c>
    </row>
    <row r="432" ht="30.0" customHeight="1">
      <c r="A432" s="258">
        <v>424.0</v>
      </c>
      <c r="B432" s="237" t="s">
        <v>670</v>
      </c>
      <c r="C432" s="257" t="s">
        <v>2876</v>
      </c>
      <c r="D432" s="173" t="s">
        <v>2876</v>
      </c>
      <c r="E432" s="174" t="s">
        <v>2861</v>
      </c>
      <c r="F432" s="173" t="s">
        <v>2862</v>
      </c>
      <c r="G432" s="328" t="s">
        <v>673</v>
      </c>
      <c r="H432" s="328" t="s">
        <v>2863</v>
      </c>
      <c r="I432" s="258" t="s">
        <v>2864</v>
      </c>
      <c r="J432" s="259" t="s">
        <v>739</v>
      </c>
      <c r="K432" s="260" t="s">
        <v>2877</v>
      </c>
      <c r="L432" s="328"/>
      <c r="M432" s="343"/>
      <c r="N432" s="173" t="s">
        <v>679</v>
      </c>
      <c r="O432" s="173" t="s">
        <v>225</v>
      </c>
      <c r="P432" s="262" t="str">
        <f t="shared" si="1"/>
        <v>IN-BLR-ANANTA-VAV-4_G</v>
      </c>
      <c r="Q432" s="173" t="s">
        <v>2878</v>
      </c>
      <c r="R432" s="328" t="str">
        <f>IFS(C432="","",C432="n/a","N/A",LEN(C432),Concatenate("{",char(34),"asset",char(34),":{",char(34),"guid",char(34),":",char(34),Q432,char(34),",",char(34),"site",char(34),":",char(34),LOWER('2-Building'!$B$4),char(34),",",char(34),"name",char(34),":",char(34),LOWER(C432),char(34),"}}"))</f>
        <v>{"asset":{"guid":"uuid://828d3d7b-5274-4c27-b5c6-d54511f514b2","site":"in-blr-ananta","name":"vav-4"}}</v>
      </c>
      <c r="S432" s="237" t="s">
        <v>2866</v>
      </c>
      <c r="T432" s="330"/>
      <c r="U432" s="330"/>
      <c r="V432" s="331"/>
      <c r="W432" s="344"/>
      <c r="X432" s="341"/>
      <c r="Y432" s="33" t="s">
        <v>2867</v>
      </c>
      <c r="Z432" s="258">
        <v>120004.0</v>
      </c>
      <c r="AA432" s="334">
        <v>11642.0</v>
      </c>
      <c r="AB432" s="341"/>
      <c r="AC432" s="341"/>
      <c r="AD432" s="343"/>
      <c r="AE432" s="331"/>
      <c r="AF432" s="348"/>
      <c r="AG432" s="337"/>
      <c r="AH432" s="341"/>
      <c r="AI432" s="341"/>
      <c r="AJ432" s="341"/>
      <c r="AK432" s="341"/>
      <c r="AL432" s="341"/>
      <c r="AM432" s="338"/>
      <c r="AN432" s="341"/>
      <c r="AO432" s="341"/>
      <c r="AP432" s="341"/>
      <c r="AQ432" s="341"/>
      <c r="AR432" s="341"/>
      <c r="AS432" s="341"/>
      <c r="AT432" s="341"/>
      <c r="AU432" s="343"/>
      <c r="AV432" s="341"/>
      <c r="AW432" s="269" t="s">
        <v>1572</v>
      </c>
      <c r="AX432" s="334" t="s">
        <v>2869</v>
      </c>
      <c r="AY432" s="270" t="s">
        <v>695</v>
      </c>
      <c r="AZ432" s="270" t="s">
        <v>2866</v>
      </c>
      <c r="BA432" s="265">
        <v>10.0</v>
      </c>
      <c r="BB432" s="174" t="s">
        <v>245</v>
      </c>
      <c r="BC432" s="341"/>
      <c r="BD432" s="308"/>
      <c r="BE432" s="347"/>
      <c r="BF432" s="274" t="str">
        <f>IFERROR(__xludf.DUMMYFUNCTION("LOWER(Regexreplace(to_text(E432),""[^A-Za-z0-9]"","""")&amp;""_""&amp;Regexreplace(to_text(F432),""[^A-Za-z0-9]"",""""))"),"neptronic_evcbseries")</f>
        <v>neptronic_evcbseries</v>
      </c>
      <c r="BG432" s="275" t="str">
        <f>IFERROR(__xludf.DUMMYFUNCTION("upper(Regexreplace(to_text(E432),""[^A-Za-z0-9]"","""")&amp;""-""&amp;Regexreplace(to_text(F432),""[^A-Za-z0-9]"",""""))"),"NEPTRONIC-EVCBSERIES")</f>
        <v>NEPTRONIC-EVCBSERIES</v>
      </c>
    </row>
    <row r="433" ht="30.0" customHeight="1">
      <c r="A433" s="173">
        <v>425.0</v>
      </c>
      <c r="B433" s="237" t="s">
        <v>670</v>
      </c>
      <c r="C433" s="257" t="s">
        <v>2879</v>
      </c>
      <c r="D433" s="173" t="s">
        <v>2879</v>
      </c>
      <c r="E433" s="174" t="s">
        <v>2861</v>
      </c>
      <c r="F433" s="173" t="s">
        <v>2862</v>
      </c>
      <c r="G433" s="328" t="s">
        <v>673</v>
      </c>
      <c r="H433" s="328" t="s">
        <v>2863</v>
      </c>
      <c r="I433" s="258" t="s">
        <v>2864</v>
      </c>
      <c r="J433" s="259" t="s">
        <v>739</v>
      </c>
      <c r="K433" s="260" t="s">
        <v>2880</v>
      </c>
      <c r="L433" s="328"/>
      <c r="M433" s="343"/>
      <c r="N433" s="173" t="s">
        <v>679</v>
      </c>
      <c r="O433" s="173" t="s">
        <v>225</v>
      </c>
      <c r="P433" s="262" t="str">
        <f t="shared" si="1"/>
        <v>IN-BLR-ANANTA-VAV-5_G</v>
      </c>
      <c r="Q433" s="173" t="s">
        <v>2881</v>
      </c>
      <c r="R433" s="328" t="str">
        <f>IFS(C433="","",C433="n/a","N/A",LEN(C433),Concatenate("{",char(34),"asset",char(34),":{",char(34),"guid",char(34),":",char(34),Q433,char(34),",",char(34),"site",char(34),":",char(34),LOWER('2-Building'!$B$4),char(34),",",char(34),"name",char(34),":",char(34),LOWER(C433),char(34),"}}"))</f>
        <v>{"asset":{"guid":"uuid://d843a460-0abc-4520-810f-dfb0a0a4130a","site":"in-blr-ananta","name":"vav-5"}}</v>
      </c>
      <c r="S433" s="237" t="s">
        <v>2866</v>
      </c>
      <c r="T433" s="330"/>
      <c r="U433" s="330"/>
      <c r="V433" s="331"/>
      <c r="W433" s="344"/>
      <c r="X433" s="341"/>
      <c r="Y433" s="33" t="s">
        <v>2867</v>
      </c>
      <c r="Z433" s="258">
        <v>120005.0</v>
      </c>
      <c r="AA433" s="334">
        <v>11642.0</v>
      </c>
      <c r="AB433" s="341"/>
      <c r="AC433" s="341"/>
      <c r="AD433" s="343"/>
      <c r="AE433" s="331"/>
      <c r="AF433" s="348"/>
      <c r="AG433" s="337"/>
      <c r="AH433" s="341"/>
      <c r="AI433" s="341"/>
      <c r="AJ433" s="341"/>
      <c r="AK433" s="341"/>
      <c r="AL433" s="341"/>
      <c r="AM433" s="338"/>
      <c r="AN433" s="341"/>
      <c r="AO433" s="341"/>
      <c r="AP433" s="341"/>
      <c r="AQ433" s="341"/>
      <c r="AR433" s="341"/>
      <c r="AS433" s="341"/>
      <c r="AT433" s="341"/>
      <c r="AU433" s="343"/>
      <c r="AV433" s="341"/>
      <c r="AW433" s="269" t="s">
        <v>1572</v>
      </c>
      <c r="AX433" s="334" t="s">
        <v>2869</v>
      </c>
      <c r="AY433" s="270" t="s">
        <v>695</v>
      </c>
      <c r="AZ433" s="270" t="s">
        <v>2866</v>
      </c>
      <c r="BA433" s="265">
        <v>10.0</v>
      </c>
      <c r="BB433" s="174" t="s">
        <v>245</v>
      </c>
      <c r="BC433" s="341"/>
      <c r="BD433" s="308"/>
      <c r="BE433" s="347"/>
      <c r="BF433" s="274" t="str">
        <f>IFERROR(__xludf.DUMMYFUNCTION("LOWER(Regexreplace(to_text(E433),""[^A-Za-z0-9]"","""")&amp;""_""&amp;Regexreplace(to_text(F433),""[^A-Za-z0-9]"",""""))"),"neptronic_evcbseries")</f>
        <v>neptronic_evcbseries</v>
      </c>
      <c r="BG433" s="275" t="str">
        <f>IFERROR(__xludf.DUMMYFUNCTION("upper(Regexreplace(to_text(E433),""[^A-Za-z0-9]"","""")&amp;""-""&amp;Regexreplace(to_text(F433),""[^A-Za-z0-9]"",""""))"),"NEPTRONIC-EVCBSERIES")</f>
        <v>NEPTRONIC-EVCBSERIES</v>
      </c>
    </row>
    <row r="434" ht="30.0" customHeight="1">
      <c r="A434" s="258">
        <v>426.0</v>
      </c>
      <c r="B434" s="237" t="s">
        <v>670</v>
      </c>
      <c r="C434" s="257" t="s">
        <v>2882</v>
      </c>
      <c r="D434" s="173" t="s">
        <v>2882</v>
      </c>
      <c r="E434" s="174" t="s">
        <v>2861</v>
      </c>
      <c r="F434" s="173" t="s">
        <v>2862</v>
      </c>
      <c r="G434" s="328" t="s">
        <v>673</v>
      </c>
      <c r="H434" s="328" t="s">
        <v>2863</v>
      </c>
      <c r="I434" s="258" t="s">
        <v>2864</v>
      </c>
      <c r="J434" s="259" t="s">
        <v>739</v>
      </c>
      <c r="K434" s="260" t="s">
        <v>2883</v>
      </c>
      <c r="L434" s="328"/>
      <c r="M434" s="343"/>
      <c r="N434" s="173" t="s">
        <v>679</v>
      </c>
      <c r="O434" s="173" t="s">
        <v>225</v>
      </c>
      <c r="P434" s="262" t="str">
        <f t="shared" si="1"/>
        <v>IN-BLR-ANANTA-VAV-6_G</v>
      </c>
      <c r="Q434" s="173" t="s">
        <v>2884</v>
      </c>
      <c r="R434" s="328" t="str">
        <f>IFS(C434="","",C434="n/a","N/A",LEN(C434),Concatenate("{",char(34),"asset",char(34),":{",char(34),"guid",char(34),":",char(34),Q434,char(34),",",char(34),"site",char(34),":",char(34),LOWER('2-Building'!$B$4),char(34),",",char(34),"name",char(34),":",char(34),LOWER(C434),char(34),"}}"))</f>
        <v>{"asset":{"guid":"uuid://93035b42-b971-4e87-9c8a-9f97c7d919f2","site":"in-blr-ananta","name":"vav-6"}}</v>
      </c>
      <c r="S434" s="237" t="s">
        <v>2866</v>
      </c>
      <c r="T434" s="330"/>
      <c r="U434" s="330"/>
      <c r="V434" s="331"/>
      <c r="W434" s="344"/>
      <c r="X434" s="341"/>
      <c r="Y434" s="33" t="s">
        <v>2867</v>
      </c>
      <c r="Z434" s="258">
        <v>120006.0</v>
      </c>
      <c r="AA434" s="334">
        <v>11642.0</v>
      </c>
      <c r="AB434" s="341"/>
      <c r="AC434" s="341"/>
      <c r="AD434" s="343"/>
      <c r="AE434" s="331"/>
      <c r="AF434" s="348"/>
      <c r="AG434" s="337"/>
      <c r="AH434" s="341"/>
      <c r="AI434" s="341"/>
      <c r="AJ434" s="341"/>
      <c r="AK434" s="341"/>
      <c r="AL434" s="341"/>
      <c r="AM434" s="338"/>
      <c r="AN434" s="341"/>
      <c r="AO434" s="341"/>
      <c r="AP434" s="341"/>
      <c r="AQ434" s="341"/>
      <c r="AR434" s="341"/>
      <c r="AS434" s="341"/>
      <c r="AT434" s="341"/>
      <c r="AU434" s="343"/>
      <c r="AV434" s="341"/>
      <c r="AW434" s="269" t="s">
        <v>1572</v>
      </c>
      <c r="AX434" s="334" t="s">
        <v>2869</v>
      </c>
      <c r="AY434" s="270" t="s">
        <v>695</v>
      </c>
      <c r="AZ434" s="270" t="s">
        <v>2866</v>
      </c>
      <c r="BA434" s="265">
        <v>10.0</v>
      </c>
      <c r="BB434" s="174" t="s">
        <v>245</v>
      </c>
      <c r="BC434" s="341"/>
      <c r="BD434" s="308"/>
      <c r="BE434" s="347"/>
      <c r="BF434" s="274" t="str">
        <f>IFERROR(__xludf.DUMMYFUNCTION("LOWER(Regexreplace(to_text(E434),""[^A-Za-z0-9]"","""")&amp;""_""&amp;Regexreplace(to_text(F434),""[^A-Za-z0-9]"",""""))"),"neptronic_evcbseries")</f>
        <v>neptronic_evcbseries</v>
      </c>
      <c r="BG434" s="275" t="str">
        <f>IFERROR(__xludf.DUMMYFUNCTION("upper(Regexreplace(to_text(E434),""[^A-Za-z0-9]"","""")&amp;""-""&amp;Regexreplace(to_text(F434),""[^A-Za-z0-9]"",""""))"),"NEPTRONIC-EVCBSERIES")</f>
        <v>NEPTRONIC-EVCBSERIES</v>
      </c>
    </row>
    <row r="435" ht="30.0" customHeight="1">
      <c r="A435" s="173">
        <v>427.0</v>
      </c>
      <c r="B435" s="237" t="s">
        <v>670</v>
      </c>
      <c r="C435" s="257" t="s">
        <v>2885</v>
      </c>
      <c r="D435" s="173" t="s">
        <v>2885</v>
      </c>
      <c r="E435" s="174" t="s">
        <v>2861</v>
      </c>
      <c r="F435" s="173" t="s">
        <v>2862</v>
      </c>
      <c r="G435" s="328" t="s">
        <v>673</v>
      </c>
      <c r="H435" s="328" t="s">
        <v>2863</v>
      </c>
      <c r="I435" s="258" t="s">
        <v>2864</v>
      </c>
      <c r="J435" s="259" t="s">
        <v>739</v>
      </c>
      <c r="K435" s="260" t="s">
        <v>2883</v>
      </c>
      <c r="L435" s="328"/>
      <c r="M435" s="343"/>
      <c r="N435" s="173" t="s">
        <v>679</v>
      </c>
      <c r="O435" s="173" t="s">
        <v>225</v>
      </c>
      <c r="P435" s="262" t="str">
        <f t="shared" si="1"/>
        <v>IN-BLR-ANANTA-VAV-7_G</v>
      </c>
      <c r="Q435" s="173" t="s">
        <v>2886</v>
      </c>
      <c r="R435" s="328" t="str">
        <f>IFS(C435="","",C435="n/a","N/A",LEN(C435),Concatenate("{",char(34),"asset",char(34),":{",char(34),"guid",char(34),":",char(34),Q435,char(34),",",char(34),"site",char(34),":",char(34),LOWER('2-Building'!$B$4),char(34),",",char(34),"name",char(34),":",char(34),LOWER(C435),char(34),"}}"))</f>
        <v>{"asset":{"guid":"uuid://2c01dd67-f4a2-4aa7-9bca-b96190d8fc21","site":"in-blr-ananta","name":"vav-7"}}</v>
      </c>
      <c r="S435" s="237" t="s">
        <v>2866</v>
      </c>
      <c r="T435" s="330"/>
      <c r="U435" s="330"/>
      <c r="V435" s="331"/>
      <c r="W435" s="344"/>
      <c r="X435" s="341"/>
      <c r="Y435" s="33" t="s">
        <v>2867</v>
      </c>
      <c r="Z435" s="258">
        <v>120007.0</v>
      </c>
      <c r="AA435" s="334">
        <v>11642.0</v>
      </c>
      <c r="AB435" s="341"/>
      <c r="AC435" s="341"/>
      <c r="AD435" s="343"/>
      <c r="AE435" s="331"/>
      <c r="AF435" s="348"/>
      <c r="AG435" s="337"/>
      <c r="AH435" s="341"/>
      <c r="AI435" s="341"/>
      <c r="AJ435" s="341"/>
      <c r="AK435" s="341"/>
      <c r="AL435" s="341"/>
      <c r="AM435" s="338"/>
      <c r="AN435" s="341"/>
      <c r="AO435" s="341"/>
      <c r="AP435" s="341"/>
      <c r="AQ435" s="341"/>
      <c r="AR435" s="341"/>
      <c r="AS435" s="341"/>
      <c r="AT435" s="341"/>
      <c r="AU435" s="343"/>
      <c r="AV435" s="341"/>
      <c r="AW435" s="269" t="s">
        <v>1572</v>
      </c>
      <c r="AX435" s="334" t="s">
        <v>2869</v>
      </c>
      <c r="AY435" s="270" t="s">
        <v>695</v>
      </c>
      <c r="AZ435" s="270" t="s">
        <v>2866</v>
      </c>
      <c r="BA435" s="265">
        <v>10.0</v>
      </c>
      <c r="BB435" s="174" t="s">
        <v>245</v>
      </c>
      <c r="BC435" s="341"/>
      <c r="BD435" s="308"/>
      <c r="BE435" s="347"/>
      <c r="BF435" s="274" t="str">
        <f>IFERROR(__xludf.DUMMYFUNCTION("LOWER(Regexreplace(to_text(E435),""[^A-Za-z0-9]"","""")&amp;""_""&amp;Regexreplace(to_text(F435),""[^A-Za-z0-9]"",""""))"),"neptronic_evcbseries")</f>
        <v>neptronic_evcbseries</v>
      </c>
      <c r="BG435" s="275" t="str">
        <f>IFERROR(__xludf.DUMMYFUNCTION("upper(Regexreplace(to_text(E435),""[^A-Za-z0-9]"","""")&amp;""-""&amp;Regexreplace(to_text(F435),""[^A-Za-z0-9]"",""""))"),"NEPTRONIC-EVCBSERIES")</f>
        <v>NEPTRONIC-EVCBSERIES</v>
      </c>
    </row>
    <row r="436" ht="30.0" customHeight="1">
      <c r="A436" s="258">
        <v>428.0</v>
      </c>
      <c r="B436" s="237" t="s">
        <v>670</v>
      </c>
      <c r="C436" s="257" t="s">
        <v>2887</v>
      </c>
      <c r="D436" s="173" t="s">
        <v>2887</v>
      </c>
      <c r="E436" s="174" t="s">
        <v>2861</v>
      </c>
      <c r="F436" s="173" t="s">
        <v>2862</v>
      </c>
      <c r="G436" s="328" t="s">
        <v>673</v>
      </c>
      <c r="H436" s="328" t="s">
        <v>2863</v>
      </c>
      <c r="I436" s="258" t="s">
        <v>2864</v>
      </c>
      <c r="J436" s="259" t="s">
        <v>739</v>
      </c>
      <c r="K436" s="260" t="s">
        <v>2888</v>
      </c>
      <c r="L436" s="328"/>
      <c r="M436" s="343"/>
      <c r="N436" s="173" t="s">
        <v>679</v>
      </c>
      <c r="O436" s="173" t="s">
        <v>225</v>
      </c>
      <c r="P436" s="262" t="str">
        <f t="shared" si="1"/>
        <v>IN-BLR-ANANTA-VAV-8_G</v>
      </c>
      <c r="Q436" s="173" t="s">
        <v>2889</v>
      </c>
      <c r="R436" s="328" t="str">
        <f>IFS(C436="","",C436="n/a","N/A",LEN(C436),Concatenate("{",char(34),"asset",char(34),":{",char(34),"guid",char(34),":",char(34),Q436,char(34),",",char(34),"site",char(34),":",char(34),LOWER('2-Building'!$B$4),char(34),",",char(34),"name",char(34),":",char(34),LOWER(C436),char(34),"}}"))</f>
        <v>{"asset":{"guid":"uuid://559e4480-8195-4653-9c05-b36ccd47c672","site":"in-blr-ananta","name":"vav-8"}}</v>
      </c>
      <c r="S436" s="237" t="s">
        <v>2866</v>
      </c>
      <c r="T436" s="330"/>
      <c r="U436" s="330"/>
      <c r="V436" s="331"/>
      <c r="W436" s="344"/>
      <c r="X436" s="341"/>
      <c r="Y436" s="33" t="s">
        <v>2867</v>
      </c>
      <c r="Z436" s="258">
        <v>120008.0</v>
      </c>
      <c r="AA436" s="334">
        <v>11642.0</v>
      </c>
      <c r="AB436" s="341"/>
      <c r="AC436" s="341"/>
      <c r="AD436" s="343"/>
      <c r="AE436" s="331"/>
      <c r="AF436" s="348"/>
      <c r="AG436" s="337"/>
      <c r="AH436" s="341"/>
      <c r="AI436" s="341"/>
      <c r="AJ436" s="341"/>
      <c r="AK436" s="341"/>
      <c r="AL436" s="341"/>
      <c r="AM436" s="338"/>
      <c r="AN436" s="341"/>
      <c r="AO436" s="341"/>
      <c r="AP436" s="341"/>
      <c r="AQ436" s="341"/>
      <c r="AR436" s="341"/>
      <c r="AS436" s="341"/>
      <c r="AT436" s="341"/>
      <c r="AU436" s="343"/>
      <c r="AV436" s="341"/>
      <c r="AW436" s="269" t="s">
        <v>1572</v>
      </c>
      <c r="AX436" s="334" t="s">
        <v>2869</v>
      </c>
      <c r="AY436" s="270" t="s">
        <v>695</v>
      </c>
      <c r="AZ436" s="270" t="s">
        <v>2866</v>
      </c>
      <c r="BA436" s="265">
        <v>10.0</v>
      </c>
      <c r="BB436" s="174" t="s">
        <v>245</v>
      </c>
      <c r="BC436" s="341"/>
      <c r="BD436" s="308"/>
      <c r="BE436" s="347"/>
      <c r="BF436" s="274" t="str">
        <f>IFERROR(__xludf.DUMMYFUNCTION("LOWER(Regexreplace(to_text(E436),""[^A-Za-z0-9]"","""")&amp;""_""&amp;Regexreplace(to_text(F436),""[^A-Za-z0-9]"",""""))"),"neptronic_evcbseries")</f>
        <v>neptronic_evcbseries</v>
      </c>
      <c r="BG436" s="275" t="str">
        <f>IFERROR(__xludf.DUMMYFUNCTION("upper(Regexreplace(to_text(E436),""[^A-Za-z0-9]"","""")&amp;""-""&amp;Regexreplace(to_text(F436),""[^A-Za-z0-9]"",""""))"),"NEPTRONIC-EVCBSERIES")</f>
        <v>NEPTRONIC-EVCBSERIES</v>
      </c>
    </row>
    <row r="437" ht="30.0" customHeight="1">
      <c r="A437" s="173">
        <v>429.0</v>
      </c>
      <c r="B437" s="237" t="s">
        <v>670</v>
      </c>
      <c r="C437" s="257" t="s">
        <v>2890</v>
      </c>
      <c r="D437" s="173" t="s">
        <v>2890</v>
      </c>
      <c r="E437" s="174" t="s">
        <v>2861</v>
      </c>
      <c r="F437" s="173" t="s">
        <v>2862</v>
      </c>
      <c r="G437" s="328" t="s">
        <v>673</v>
      </c>
      <c r="H437" s="328" t="s">
        <v>2863</v>
      </c>
      <c r="I437" s="258" t="s">
        <v>2864</v>
      </c>
      <c r="J437" s="259" t="s">
        <v>739</v>
      </c>
      <c r="K437" s="260" t="s">
        <v>2891</v>
      </c>
      <c r="L437" s="328"/>
      <c r="M437" s="343"/>
      <c r="N437" s="173" t="s">
        <v>679</v>
      </c>
      <c r="O437" s="173" t="s">
        <v>225</v>
      </c>
      <c r="P437" s="262" t="str">
        <f t="shared" si="1"/>
        <v>IN-BLR-ANANTA-VAV-9_G</v>
      </c>
      <c r="Q437" s="173" t="s">
        <v>2892</v>
      </c>
      <c r="R437" s="328" t="str">
        <f>IFS(C437="","",C437="n/a","N/A",LEN(C437),Concatenate("{",char(34),"asset",char(34),":{",char(34),"guid",char(34),":",char(34),Q437,char(34),",",char(34),"site",char(34),":",char(34),LOWER('2-Building'!$B$4),char(34),",",char(34),"name",char(34),":",char(34),LOWER(C437),char(34),"}}"))</f>
        <v>{"asset":{"guid":"uuid://4fdf5dc9-0fdc-42d2-be94-c86a567bffe7","site":"in-blr-ananta","name":"vav-9"}}</v>
      </c>
      <c r="S437" s="237" t="s">
        <v>2866</v>
      </c>
      <c r="T437" s="330"/>
      <c r="U437" s="330"/>
      <c r="V437" s="331"/>
      <c r="W437" s="344"/>
      <c r="X437" s="341"/>
      <c r="Y437" s="33" t="s">
        <v>2867</v>
      </c>
      <c r="Z437" s="258">
        <v>120009.0</v>
      </c>
      <c r="AA437" s="334">
        <v>11642.0</v>
      </c>
      <c r="AB437" s="341"/>
      <c r="AC437" s="341"/>
      <c r="AD437" s="343"/>
      <c r="AE437" s="331"/>
      <c r="AF437" s="348"/>
      <c r="AG437" s="337"/>
      <c r="AH437" s="341"/>
      <c r="AI437" s="341"/>
      <c r="AJ437" s="341"/>
      <c r="AK437" s="341"/>
      <c r="AL437" s="341"/>
      <c r="AM437" s="338"/>
      <c r="AN437" s="341"/>
      <c r="AO437" s="341"/>
      <c r="AP437" s="341"/>
      <c r="AQ437" s="341"/>
      <c r="AR437" s="341"/>
      <c r="AS437" s="341"/>
      <c r="AT437" s="341"/>
      <c r="AU437" s="343"/>
      <c r="AV437" s="341"/>
      <c r="AW437" s="269" t="s">
        <v>1572</v>
      </c>
      <c r="AX437" s="334" t="s">
        <v>2869</v>
      </c>
      <c r="AY437" s="270" t="s">
        <v>695</v>
      </c>
      <c r="AZ437" s="270" t="s">
        <v>2866</v>
      </c>
      <c r="BA437" s="265">
        <v>10.0</v>
      </c>
      <c r="BB437" s="174" t="s">
        <v>245</v>
      </c>
      <c r="BC437" s="341"/>
      <c r="BD437" s="308" t="s">
        <v>1844</v>
      </c>
      <c r="BE437" s="347"/>
      <c r="BF437" s="274" t="str">
        <f>IFERROR(__xludf.DUMMYFUNCTION("LOWER(Regexreplace(to_text(E437),""[^A-Za-z0-9]"","""")&amp;""_""&amp;Regexreplace(to_text(F437),""[^A-Za-z0-9]"",""""))"),"neptronic_evcbseries")</f>
        <v>neptronic_evcbseries</v>
      </c>
      <c r="BG437" s="275" t="str">
        <f>IFERROR(__xludf.DUMMYFUNCTION("upper(Regexreplace(to_text(E437),""[^A-Za-z0-9]"","""")&amp;""-""&amp;Regexreplace(to_text(F437),""[^A-Za-z0-9]"",""""))"),"NEPTRONIC-EVCBSERIES")</f>
        <v>NEPTRONIC-EVCBSERIES</v>
      </c>
    </row>
    <row r="438" ht="30.0" customHeight="1">
      <c r="A438" s="258">
        <v>430.0</v>
      </c>
      <c r="B438" s="237" t="s">
        <v>670</v>
      </c>
      <c r="C438" s="257" t="s">
        <v>2893</v>
      </c>
      <c r="D438" s="173" t="s">
        <v>2893</v>
      </c>
      <c r="E438" s="174" t="s">
        <v>2861</v>
      </c>
      <c r="F438" s="173" t="s">
        <v>2862</v>
      </c>
      <c r="G438" s="328" t="s">
        <v>673</v>
      </c>
      <c r="H438" s="328" t="s">
        <v>2863</v>
      </c>
      <c r="I438" s="258" t="s">
        <v>2864</v>
      </c>
      <c r="J438" s="259" t="s">
        <v>739</v>
      </c>
      <c r="K438" s="260" t="s">
        <v>2894</v>
      </c>
      <c r="L438" s="328"/>
      <c r="M438" s="343"/>
      <c r="N438" s="173" t="s">
        <v>679</v>
      </c>
      <c r="O438" s="173" t="s">
        <v>225</v>
      </c>
      <c r="P438" s="262" t="str">
        <f t="shared" si="1"/>
        <v>IN-BLR-ANANTA-VAV-10_G</v>
      </c>
      <c r="Q438" s="173" t="s">
        <v>2895</v>
      </c>
      <c r="R438" s="328" t="str">
        <f>IFS(C438="","",C438="n/a","N/A",LEN(C438),Concatenate("{",char(34),"asset",char(34),":{",char(34),"guid",char(34),":",char(34),Q438,char(34),",",char(34),"site",char(34),":",char(34),LOWER('2-Building'!$B$4),char(34),",",char(34),"name",char(34),":",char(34),LOWER(C438),char(34),"}}"))</f>
        <v>{"asset":{"guid":"uuid://098f8993-1ed0-4331-9650-e139ee518a0d","site":"in-blr-ananta","name":"vav-10"}}</v>
      </c>
      <c r="S438" s="237" t="s">
        <v>2866</v>
      </c>
      <c r="T438" s="330"/>
      <c r="U438" s="330"/>
      <c r="V438" s="331"/>
      <c r="W438" s="344"/>
      <c r="X438" s="341"/>
      <c r="Y438" s="33" t="s">
        <v>2867</v>
      </c>
      <c r="Z438" s="258">
        <v>120010.0</v>
      </c>
      <c r="AA438" s="334">
        <v>11642.0</v>
      </c>
      <c r="AB438" s="341"/>
      <c r="AC438" s="341"/>
      <c r="AD438" s="343"/>
      <c r="AE438" s="331"/>
      <c r="AF438" s="348"/>
      <c r="AG438" s="337"/>
      <c r="AH438" s="341"/>
      <c r="AI438" s="341"/>
      <c r="AJ438" s="341"/>
      <c r="AK438" s="341"/>
      <c r="AL438" s="341"/>
      <c r="AM438" s="338"/>
      <c r="AN438" s="341"/>
      <c r="AO438" s="341"/>
      <c r="AP438" s="341"/>
      <c r="AQ438" s="341"/>
      <c r="AR438" s="341"/>
      <c r="AS438" s="341"/>
      <c r="AT438" s="341"/>
      <c r="AU438" s="343"/>
      <c r="AV438" s="341"/>
      <c r="AW438" s="269" t="s">
        <v>1572</v>
      </c>
      <c r="AX438" s="334" t="s">
        <v>2869</v>
      </c>
      <c r="AY438" s="270" t="s">
        <v>695</v>
      </c>
      <c r="AZ438" s="270" t="s">
        <v>2866</v>
      </c>
      <c r="BA438" s="265">
        <v>10.0</v>
      </c>
      <c r="BB438" s="174" t="s">
        <v>245</v>
      </c>
      <c r="BC438" s="341"/>
      <c r="BD438" s="308"/>
      <c r="BE438" s="347"/>
      <c r="BF438" s="274" t="str">
        <f>IFERROR(__xludf.DUMMYFUNCTION("LOWER(Regexreplace(to_text(E438),""[^A-Za-z0-9]"","""")&amp;""_""&amp;Regexreplace(to_text(F438),""[^A-Za-z0-9]"",""""))"),"neptronic_evcbseries")</f>
        <v>neptronic_evcbseries</v>
      </c>
      <c r="BG438" s="275" t="str">
        <f>IFERROR(__xludf.DUMMYFUNCTION("upper(Regexreplace(to_text(E438),""[^A-Za-z0-9]"","""")&amp;""-""&amp;Regexreplace(to_text(F438),""[^A-Za-z0-9]"",""""))"),"NEPTRONIC-EVCBSERIES")</f>
        <v>NEPTRONIC-EVCBSERIES</v>
      </c>
    </row>
    <row r="439" ht="30.0" customHeight="1">
      <c r="A439" s="173">
        <v>431.0</v>
      </c>
      <c r="B439" s="237" t="s">
        <v>670</v>
      </c>
      <c r="C439" s="257" t="s">
        <v>2896</v>
      </c>
      <c r="D439" s="173" t="s">
        <v>2896</v>
      </c>
      <c r="E439" s="174" t="s">
        <v>2861</v>
      </c>
      <c r="F439" s="173" t="s">
        <v>2862</v>
      </c>
      <c r="G439" s="328" t="s">
        <v>673</v>
      </c>
      <c r="H439" s="328" t="s">
        <v>2863</v>
      </c>
      <c r="I439" s="258" t="s">
        <v>2864</v>
      </c>
      <c r="J439" s="259" t="s">
        <v>739</v>
      </c>
      <c r="K439" s="260" t="s">
        <v>2897</v>
      </c>
      <c r="L439" s="328"/>
      <c r="M439" s="343"/>
      <c r="N439" s="173" t="s">
        <v>679</v>
      </c>
      <c r="O439" s="173" t="s">
        <v>225</v>
      </c>
      <c r="P439" s="262" t="str">
        <f t="shared" si="1"/>
        <v>IN-BLR-ANANTA-VAV-11_G</v>
      </c>
      <c r="Q439" s="173" t="s">
        <v>2898</v>
      </c>
      <c r="R439" s="328" t="str">
        <f>IFS(C439="","",C439="n/a","N/A",LEN(C439),Concatenate("{",char(34),"asset",char(34),":{",char(34),"guid",char(34),":",char(34),Q439,char(34),",",char(34),"site",char(34),":",char(34),LOWER('2-Building'!$B$4),char(34),",",char(34),"name",char(34),":",char(34),LOWER(C439),char(34),"}}"))</f>
        <v>{"asset":{"guid":"uuid://4ff40827-e495-4a3c-bd0c-ca697ab38da8","site":"in-blr-ananta","name":"vav-11"}}</v>
      </c>
      <c r="S439" s="237" t="s">
        <v>2866</v>
      </c>
      <c r="T439" s="330"/>
      <c r="U439" s="330"/>
      <c r="V439" s="331"/>
      <c r="W439" s="344"/>
      <c r="X439" s="341"/>
      <c r="Y439" s="33" t="s">
        <v>2867</v>
      </c>
      <c r="Z439" s="258">
        <v>120011.0</v>
      </c>
      <c r="AA439" s="334">
        <v>11642.0</v>
      </c>
      <c r="AB439" s="341"/>
      <c r="AC439" s="341"/>
      <c r="AD439" s="343"/>
      <c r="AE439" s="331"/>
      <c r="AF439" s="348"/>
      <c r="AG439" s="337"/>
      <c r="AH439" s="341"/>
      <c r="AI439" s="341"/>
      <c r="AJ439" s="341"/>
      <c r="AK439" s="341"/>
      <c r="AL439" s="341"/>
      <c r="AM439" s="338"/>
      <c r="AN439" s="341"/>
      <c r="AO439" s="341"/>
      <c r="AP439" s="341"/>
      <c r="AQ439" s="341"/>
      <c r="AR439" s="341"/>
      <c r="AS439" s="341"/>
      <c r="AT439" s="341"/>
      <c r="AU439" s="343"/>
      <c r="AV439" s="341"/>
      <c r="AW439" s="269" t="s">
        <v>1572</v>
      </c>
      <c r="AX439" s="334" t="s">
        <v>2869</v>
      </c>
      <c r="AY439" s="270" t="s">
        <v>695</v>
      </c>
      <c r="AZ439" s="270" t="s">
        <v>2866</v>
      </c>
      <c r="BA439" s="265">
        <v>10.0</v>
      </c>
      <c r="BB439" s="174" t="s">
        <v>245</v>
      </c>
      <c r="BC439" s="341"/>
      <c r="BD439" s="308"/>
      <c r="BE439" s="347"/>
      <c r="BF439" s="274" t="str">
        <f>IFERROR(__xludf.DUMMYFUNCTION("LOWER(Regexreplace(to_text(E439),""[^A-Za-z0-9]"","""")&amp;""_""&amp;Regexreplace(to_text(F439),""[^A-Za-z0-9]"",""""))"),"neptronic_evcbseries")</f>
        <v>neptronic_evcbseries</v>
      </c>
      <c r="BG439" s="275" t="str">
        <f>IFERROR(__xludf.DUMMYFUNCTION("upper(Regexreplace(to_text(E439),""[^A-Za-z0-9]"","""")&amp;""-""&amp;Regexreplace(to_text(F439),""[^A-Za-z0-9]"",""""))"),"NEPTRONIC-EVCBSERIES")</f>
        <v>NEPTRONIC-EVCBSERIES</v>
      </c>
    </row>
    <row r="440" ht="30.0" customHeight="1">
      <c r="A440" s="258">
        <v>432.0</v>
      </c>
      <c r="B440" s="237" t="s">
        <v>670</v>
      </c>
      <c r="C440" s="257" t="s">
        <v>2899</v>
      </c>
      <c r="D440" s="173" t="s">
        <v>2899</v>
      </c>
      <c r="E440" s="174" t="s">
        <v>2861</v>
      </c>
      <c r="F440" s="173" t="s">
        <v>2862</v>
      </c>
      <c r="G440" s="328" t="s">
        <v>673</v>
      </c>
      <c r="H440" s="328" t="s">
        <v>2863</v>
      </c>
      <c r="I440" s="258" t="s">
        <v>2864</v>
      </c>
      <c r="J440" s="259" t="s">
        <v>739</v>
      </c>
      <c r="K440" s="260" t="s">
        <v>2900</v>
      </c>
      <c r="L440" s="328"/>
      <c r="M440" s="343"/>
      <c r="N440" s="173" t="s">
        <v>679</v>
      </c>
      <c r="O440" s="173" t="s">
        <v>225</v>
      </c>
      <c r="P440" s="262" t="str">
        <f t="shared" si="1"/>
        <v>IN-BLR-ANANTA-VAV-12_G</v>
      </c>
      <c r="Q440" s="173" t="s">
        <v>2901</v>
      </c>
      <c r="R440" s="328" t="str">
        <f>IFS(C440="","",C440="n/a","N/A",LEN(C440),Concatenate("{",char(34),"asset",char(34),":{",char(34),"guid",char(34),":",char(34),Q440,char(34),",",char(34),"site",char(34),":",char(34),LOWER('2-Building'!$B$4),char(34),",",char(34),"name",char(34),":",char(34),LOWER(C440),char(34),"}}"))</f>
        <v>{"asset":{"guid":"uuid://117dc1d7-fe73-4550-9cf9-f5a5679b3dc3","site":"in-blr-ananta","name":"vav-12"}}</v>
      </c>
      <c r="S440" s="237" t="s">
        <v>2866</v>
      </c>
      <c r="T440" s="330"/>
      <c r="U440" s="330"/>
      <c r="V440" s="331"/>
      <c r="W440" s="344"/>
      <c r="X440" s="341"/>
      <c r="Y440" s="33" t="s">
        <v>2867</v>
      </c>
      <c r="Z440" s="258">
        <v>120012.0</v>
      </c>
      <c r="AA440" s="334">
        <v>11642.0</v>
      </c>
      <c r="AB440" s="341"/>
      <c r="AC440" s="341"/>
      <c r="AD440" s="343"/>
      <c r="AE440" s="331"/>
      <c r="AF440" s="348"/>
      <c r="AG440" s="337"/>
      <c r="AH440" s="341"/>
      <c r="AI440" s="341"/>
      <c r="AJ440" s="341"/>
      <c r="AK440" s="341"/>
      <c r="AL440" s="341"/>
      <c r="AM440" s="338"/>
      <c r="AN440" s="341"/>
      <c r="AO440" s="341"/>
      <c r="AP440" s="341"/>
      <c r="AQ440" s="341"/>
      <c r="AR440" s="341"/>
      <c r="AS440" s="341"/>
      <c r="AT440" s="341"/>
      <c r="AU440" s="343"/>
      <c r="AV440" s="341"/>
      <c r="AW440" s="269" t="s">
        <v>1572</v>
      </c>
      <c r="AX440" s="334" t="s">
        <v>2869</v>
      </c>
      <c r="AY440" s="270" t="s">
        <v>695</v>
      </c>
      <c r="AZ440" s="270" t="s">
        <v>2866</v>
      </c>
      <c r="BA440" s="265">
        <v>10.0</v>
      </c>
      <c r="BB440" s="174" t="s">
        <v>245</v>
      </c>
      <c r="BC440" s="341"/>
      <c r="BD440" s="308"/>
      <c r="BE440" s="347"/>
      <c r="BF440" s="274" t="str">
        <f>IFERROR(__xludf.DUMMYFUNCTION("LOWER(Regexreplace(to_text(E440),""[^A-Za-z0-9]"","""")&amp;""_""&amp;Regexreplace(to_text(F440),""[^A-Za-z0-9]"",""""))"),"neptronic_evcbseries")</f>
        <v>neptronic_evcbseries</v>
      </c>
      <c r="BG440" s="275" t="str">
        <f>IFERROR(__xludf.DUMMYFUNCTION("upper(Regexreplace(to_text(E440),""[^A-Za-z0-9]"","""")&amp;""-""&amp;Regexreplace(to_text(F440),""[^A-Za-z0-9]"",""""))"),"NEPTRONIC-EVCBSERIES")</f>
        <v>NEPTRONIC-EVCBSERIES</v>
      </c>
    </row>
    <row r="441" ht="30.0" customHeight="1">
      <c r="A441" s="173">
        <v>433.0</v>
      </c>
      <c r="B441" s="237" t="s">
        <v>670</v>
      </c>
      <c r="C441" s="257" t="s">
        <v>2902</v>
      </c>
      <c r="D441" s="173" t="s">
        <v>2902</v>
      </c>
      <c r="E441" s="174" t="s">
        <v>2861</v>
      </c>
      <c r="F441" s="173" t="s">
        <v>2862</v>
      </c>
      <c r="G441" s="328" t="s">
        <v>673</v>
      </c>
      <c r="H441" s="328" t="s">
        <v>2863</v>
      </c>
      <c r="I441" s="258" t="s">
        <v>2864</v>
      </c>
      <c r="J441" s="259" t="s">
        <v>739</v>
      </c>
      <c r="K441" s="260" t="s">
        <v>2903</v>
      </c>
      <c r="L441" s="328"/>
      <c r="M441" s="343"/>
      <c r="N441" s="173" t="s">
        <v>679</v>
      </c>
      <c r="O441" s="173" t="s">
        <v>225</v>
      </c>
      <c r="P441" s="262" t="str">
        <f t="shared" si="1"/>
        <v>IN-BLR-ANANTA-VAV-13_G</v>
      </c>
      <c r="Q441" s="173" t="s">
        <v>2904</v>
      </c>
      <c r="R441" s="328" t="str">
        <f>IFS(C441="","",C441="n/a","N/A",LEN(C441),Concatenate("{",char(34),"asset",char(34),":{",char(34),"guid",char(34),":",char(34),Q441,char(34),",",char(34),"site",char(34),":",char(34),LOWER('2-Building'!$B$4),char(34),",",char(34),"name",char(34),":",char(34),LOWER(C441),char(34),"}}"))</f>
        <v>{"asset":{"guid":"uuid://fb8d274c-a2f0-44b6-90f1-1de8adcc900a","site":"in-blr-ananta","name":"vav-13"}}</v>
      </c>
      <c r="S441" s="237" t="s">
        <v>2866</v>
      </c>
      <c r="T441" s="330"/>
      <c r="U441" s="330"/>
      <c r="V441" s="331"/>
      <c r="W441" s="344"/>
      <c r="X441" s="341"/>
      <c r="Y441" s="33" t="s">
        <v>2867</v>
      </c>
      <c r="Z441" s="258">
        <v>120013.0</v>
      </c>
      <c r="AA441" s="334">
        <v>11642.0</v>
      </c>
      <c r="AB441" s="341"/>
      <c r="AC441" s="341"/>
      <c r="AD441" s="343"/>
      <c r="AE441" s="331"/>
      <c r="AF441" s="348"/>
      <c r="AG441" s="337"/>
      <c r="AH441" s="341"/>
      <c r="AI441" s="341"/>
      <c r="AJ441" s="341"/>
      <c r="AK441" s="341"/>
      <c r="AL441" s="341"/>
      <c r="AM441" s="338"/>
      <c r="AN441" s="341"/>
      <c r="AO441" s="341"/>
      <c r="AP441" s="341"/>
      <c r="AQ441" s="341"/>
      <c r="AR441" s="341"/>
      <c r="AS441" s="341"/>
      <c r="AT441" s="341"/>
      <c r="AU441" s="343"/>
      <c r="AV441" s="341"/>
      <c r="AW441" s="269" t="s">
        <v>1572</v>
      </c>
      <c r="AX441" s="334" t="s">
        <v>2869</v>
      </c>
      <c r="AY441" s="270" t="s">
        <v>695</v>
      </c>
      <c r="AZ441" s="270" t="s">
        <v>2866</v>
      </c>
      <c r="BA441" s="265">
        <v>10.0</v>
      </c>
      <c r="BB441" s="174" t="s">
        <v>245</v>
      </c>
      <c r="BC441" s="341"/>
      <c r="BD441" s="308"/>
      <c r="BE441" s="347"/>
      <c r="BF441" s="274" t="str">
        <f>IFERROR(__xludf.DUMMYFUNCTION("LOWER(Regexreplace(to_text(E441),""[^A-Za-z0-9]"","""")&amp;""_""&amp;Regexreplace(to_text(F441),""[^A-Za-z0-9]"",""""))"),"neptronic_evcbseries")</f>
        <v>neptronic_evcbseries</v>
      </c>
      <c r="BG441" s="275" t="str">
        <f>IFERROR(__xludf.DUMMYFUNCTION("upper(Regexreplace(to_text(E441),""[^A-Za-z0-9]"","""")&amp;""-""&amp;Regexreplace(to_text(F441),""[^A-Za-z0-9]"",""""))"),"NEPTRONIC-EVCBSERIES")</f>
        <v>NEPTRONIC-EVCBSERIES</v>
      </c>
    </row>
    <row r="442" ht="30.0" customHeight="1">
      <c r="A442" s="258">
        <v>434.0</v>
      </c>
      <c r="B442" s="237" t="s">
        <v>670</v>
      </c>
      <c r="C442" s="257" t="s">
        <v>2905</v>
      </c>
      <c r="D442" s="173" t="s">
        <v>2905</v>
      </c>
      <c r="E442" s="174" t="s">
        <v>2861</v>
      </c>
      <c r="F442" s="173" t="s">
        <v>2862</v>
      </c>
      <c r="G442" s="328" t="s">
        <v>673</v>
      </c>
      <c r="H442" s="328" t="s">
        <v>2863</v>
      </c>
      <c r="I442" s="258" t="s">
        <v>2864</v>
      </c>
      <c r="J442" s="259" t="s">
        <v>739</v>
      </c>
      <c r="K442" s="260" t="s">
        <v>2906</v>
      </c>
      <c r="L442" s="328"/>
      <c r="M442" s="343"/>
      <c r="N442" s="173" t="s">
        <v>679</v>
      </c>
      <c r="O442" s="173" t="s">
        <v>225</v>
      </c>
      <c r="P442" s="262" t="str">
        <f t="shared" si="1"/>
        <v>IN-BLR-ANANTA-VAV-14_G</v>
      </c>
      <c r="Q442" s="173" t="s">
        <v>2907</v>
      </c>
      <c r="R442" s="328" t="str">
        <f>IFS(C442="","",C442="n/a","N/A",LEN(C442),Concatenate("{",char(34),"asset",char(34),":{",char(34),"guid",char(34),":",char(34),Q442,char(34),",",char(34),"site",char(34),":",char(34),LOWER('2-Building'!$B$4),char(34),",",char(34),"name",char(34),":",char(34),LOWER(C442),char(34),"}}"))</f>
        <v>{"asset":{"guid":"uuid://c75c7cde-e1d0-4714-8ff7-23eb1cda6284","site":"in-blr-ananta","name":"vav-14"}}</v>
      </c>
      <c r="S442" s="237" t="s">
        <v>2866</v>
      </c>
      <c r="T442" s="330"/>
      <c r="U442" s="330"/>
      <c r="V442" s="331"/>
      <c r="W442" s="344"/>
      <c r="X442" s="341"/>
      <c r="Y442" s="33" t="s">
        <v>2867</v>
      </c>
      <c r="Z442" s="258">
        <v>120014.0</v>
      </c>
      <c r="AA442" s="334">
        <v>11642.0</v>
      </c>
      <c r="AB442" s="341"/>
      <c r="AC442" s="341"/>
      <c r="AD442" s="343"/>
      <c r="AE442" s="331"/>
      <c r="AF442" s="348"/>
      <c r="AG442" s="337"/>
      <c r="AH442" s="341"/>
      <c r="AI442" s="341"/>
      <c r="AJ442" s="341"/>
      <c r="AK442" s="341"/>
      <c r="AL442" s="341"/>
      <c r="AM442" s="338"/>
      <c r="AN442" s="341"/>
      <c r="AO442" s="341"/>
      <c r="AP442" s="341"/>
      <c r="AQ442" s="341"/>
      <c r="AR442" s="341"/>
      <c r="AS442" s="341"/>
      <c r="AT442" s="341"/>
      <c r="AU442" s="343"/>
      <c r="AV442" s="341"/>
      <c r="AW442" s="269" t="s">
        <v>1572</v>
      </c>
      <c r="AX442" s="334" t="s">
        <v>2869</v>
      </c>
      <c r="AY442" s="270" t="s">
        <v>695</v>
      </c>
      <c r="AZ442" s="270" t="s">
        <v>2866</v>
      </c>
      <c r="BA442" s="265">
        <v>10.0</v>
      </c>
      <c r="BB442" s="174" t="s">
        <v>245</v>
      </c>
      <c r="BC442" s="341"/>
      <c r="BD442" s="308"/>
      <c r="BE442" s="347"/>
      <c r="BF442" s="274" t="str">
        <f>IFERROR(__xludf.DUMMYFUNCTION("LOWER(Regexreplace(to_text(E442),""[^A-Za-z0-9]"","""")&amp;""_""&amp;Regexreplace(to_text(F442),""[^A-Za-z0-9]"",""""))"),"neptronic_evcbseries")</f>
        <v>neptronic_evcbseries</v>
      </c>
      <c r="BG442" s="275" t="str">
        <f>IFERROR(__xludf.DUMMYFUNCTION("upper(Regexreplace(to_text(E442),""[^A-Za-z0-9]"","""")&amp;""-""&amp;Regexreplace(to_text(F442),""[^A-Za-z0-9]"",""""))"),"NEPTRONIC-EVCBSERIES")</f>
        <v>NEPTRONIC-EVCBSERIES</v>
      </c>
    </row>
    <row r="443" ht="30.0" customHeight="1">
      <c r="A443" s="173">
        <v>435.0</v>
      </c>
      <c r="B443" s="237" t="s">
        <v>670</v>
      </c>
      <c r="C443" s="257" t="s">
        <v>2908</v>
      </c>
      <c r="D443" s="173" t="s">
        <v>2908</v>
      </c>
      <c r="E443" s="174" t="s">
        <v>2861</v>
      </c>
      <c r="F443" s="173" t="s">
        <v>2862</v>
      </c>
      <c r="G443" s="328" t="s">
        <v>673</v>
      </c>
      <c r="H443" s="328" t="s">
        <v>2863</v>
      </c>
      <c r="I443" s="258" t="s">
        <v>2864</v>
      </c>
      <c r="J443" s="259" t="s">
        <v>739</v>
      </c>
      <c r="K443" s="260" t="s">
        <v>2909</v>
      </c>
      <c r="L443" s="328"/>
      <c r="M443" s="343"/>
      <c r="N443" s="173" t="s">
        <v>679</v>
      </c>
      <c r="O443" s="173" t="s">
        <v>225</v>
      </c>
      <c r="P443" s="262" t="str">
        <f t="shared" si="1"/>
        <v>IN-BLR-ANANTA-VAV-15_G</v>
      </c>
      <c r="Q443" s="173" t="s">
        <v>2910</v>
      </c>
      <c r="R443" s="328" t="str">
        <f>IFS(C443="","",C443="n/a","N/A",LEN(C443),Concatenate("{",char(34),"asset",char(34),":{",char(34),"guid",char(34),":",char(34),Q443,char(34),",",char(34),"site",char(34),":",char(34),LOWER('2-Building'!$B$4),char(34),",",char(34),"name",char(34),":",char(34),LOWER(C443),char(34),"}}"))</f>
        <v>{"asset":{"guid":"uuid://bca693c6-494f-46a7-bd6a-f9d66106eee5","site":"in-blr-ananta","name":"vav-15"}}</v>
      </c>
      <c r="S443" s="237" t="s">
        <v>2866</v>
      </c>
      <c r="T443" s="330"/>
      <c r="U443" s="330"/>
      <c r="V443" s="331"/>
      <c r="W443" s="344"/>
      <c r="X443" s="341"/>
      <c r="Y443" s="33" t="s">
        <v>2867</v>
      </c>
      <c r="Z443" s="258">
        <v>120015.0</v>
      </c>
      <c r="AA443" s="334">
        <v>11642.0</v>
      </c>
      <c r="AB443" s="341"/>
      <c r="AC443" s="341"/>
      <c r="AD443" s="343"/>
      <c r="AE443" s="331"/>
      <c r="AF443" s="348"/>
      <c r="AG443" s="337"/>
      <c r="AH443" s="341"/>
      <c r="AI443" s="341"/>
      <c r="AJ443" s="341"/>
      <c r="AK443" s="341"/>
      <c r="AL443" s="341"/>
      <c r="AM443" s="338"/>
      <c r="AN443" s="341"/>
      <c r="AO443" s="341"/>
      <c r="AP443" s="341"/>
      <c r="AQ443" s="341"/>
      <c r="AR443" s="341"/>
      <c r="AS443" s="341"/>
      <c r="AT443" s="341"/>
      <c r="AU443" s="343"/>
      <c r="AV443" s="341"/>
      <c r="AW443" s="269" t="s">
        <v>1572</v>
      </c>
      <c r="AX443" s="334" t="s">
        <v>2869</v>
      </c>
      <c r="AY443" s="270" t="s">
        <v>695</v>
      </c>
      <c r="AZ443" s="270" t="s">
        <v>2866</v>
      </c>
      <c r="BA443" s="265">
        <v>10.0</v>
      </c>
      <c r="BB443" s="174" t="s">
        <v>245</v>
      </c>
      <c r="BC443" s="341"/>
      <c r="BD443" s="308"/>
      <c r="BE443" s="347"/>
      <c r="BF443" s="274" t="str">
        <f>IFERROR(__xludf.DUMMYFUNCTION("LOWER(Regexreplace(to_text(E443),""[^A-Za-z0-9]"","""")&amp;""_""&amp;Regexreplace(to_text(F443),""[^A-Za-z0-9]"",""""))"),"neptronic_evcbseries")</f>
        <v>neptronic_evcbseries</v>
      </c>
      <c r="BG443" s="275" t="str">
        <f>IFERROR(__xludf.DUMMYFUNCTION("upper(Regexreplace(to_text(E443),""[^A-Za-z0-9]"","""")&amp;""-""&amp;Regexreplace(to_text(F443),""[^A-Za-z0-9]"",""""))"),"NEPTRONIC-EVCBSERIES")</f>
        <v>NEPTRONIC-EVCBSERIES</v>
      </c>
    </row>
    <row r="444" ht="30.0" customHeight="1">
      <c r="A444" s="258">
        <v>436.0</v>
      </c>
      <c r="B444" s="237" t="s">
        <v>670</v>
      </c>
      <c r="C444" s="257" t="s">
        <v>2911</v>
      </c>
      <c r="D444" s="173" t="s">
        <v>2911</v>
      </c>
      <c r="E444" s="174" t="s">
        <v>2861</v>
      </c>
      <c r="F444" s="173" t="s">
        <v>2862</v>
      </c>
      <c r="G444" s="328" t="s">
        <v>673</v>
      </c>
      <c r="H444" s="328" t="s">
        <v>2863</v>
      </c>
      <c r="I444" s="258" t="s">
        <v>2864</v>
      </c>
      <c r="J444" s="259" t="s">
        <v>739</v>
      </c>
      <c r="K444" s="260" t="s">
        <v>2912</v>
      </c>
      <c r="L444" s="328"/>
      <c r="M444" s="343"/>
      <c r="N444" s="173" t="s">
        <v>679</v>
      </c>
      <c r="O444" s="173" t="s">
        <v>225</v>
      </c>
      <c r="P444" s="262" t="str">
        <f t="shared" si="1"/>
        <v>IN-BLR-ANANTA-VAV-16_G</v>
      </c>
      <c r="Q444" s="173" t="s">
        <v>2913</v>
      </c>
      <c r="R444" s="328" t="str">
        <f>IFS(C444="","",C444="n/a","N/A",LEN(C444),Concatenate("{",char(34),"asset",char(34),":{",char(34),"guid",char(34),":",char(34),Q444,char(34),",",char(34),"site",char(34),":",char(34),LOWER('2-Building'!$B$4),char(34),",",char(34),"name",char(34),":",char(34),LOWER(C444),char(34),"}}"))</f>
        <v>{"asset":{"guid":"uuid://42e0eb38-c10c-4a43-a4ef-f14031344dba","site":"in-blr-ananta","name":"vav-16"}}</v>
      </c>
      <c r="S444" s="237" t="s">
        <v>2866</v>
      </c>
      <c r="T444" s="330"/>
      <c r="U444" s="330"/>
      <c r="V444" s="331"/>
      <c r="W444" s="344"/>
      <c r="X444" s="341"/>
      <c r="Y444" s="33" t="s">
        <v>2867</v>
      </c>
      <c r="Z444" s="258">
        <v>120016.0</v>
      </c>
      <c r="AA444" s="334">
        <v>11642.0</v>
      </c>
      <c r="AB444" s="341"/>
      <c r="AC444" s="341"/>
      <c r="AD444" s="343"/>
      <c r="AE444" s="331"/>
      <c r="AF444" s="348"/>
      <c r="AG444" s="337"/>
      <c r="AH444" s="341"/>
      <c r="AI444" s="341"/>
      <c r="AJ444" s="341"/>
      <c r="AK444" s="341"/>
      <c r="AL444" s="341"/>
      <c r="AM444" s="338"/>
      <c r="AN444" s="341"/>
      <c r="AO444" s="341"/>
      <c r="AP444" s="341"/>
      <c r="AQ444" s="341"/>
      <c r="AR444" s="341"/>
      <c r="AS444" s="341"/>
      <c r="AT444" s="341"/>
      <c r="AU444" s="343"/>
      <c r="AV444" s="341"/>
      <c r="AW444" s="269" t="s">
        <v>1572</v>
      </c>
      <c r="AX444" s="334" t="s">
        <v>2869</v>
      </c>
      <c r="AY444" s="270" t="s">
        <v>695</v>
      </c>
      <c r="AZ444" s="270" t="s">
        <v>2866</v>
      </c>
      <c r="BA444" s="265">
        <v>10.0</v>
      </c>
      <c r="BB444" s="174" t="s">
        <v>245</v>
      </c>
      <c r="BC444" s="341"/>
      <c r="BD444" s="308"/>
      <c r="BE444" s="347"/>
      <c r="BF444" s="274" t="str">
        <f>IFERROR(__xludf.DUMMYFUNCTION("LOWER(Regexreplace(to_text(E444),""[^A-Za-z0-9]"","""")&amp;""_""&amp;Regexreplace(to_text(F444),""[^A-Za-z0-9]"",""""))"),"neptronic_evcbseries")</f>
        <v>neptronic_evcbseries</v>
      </c>
      <c r="BG444" s="275" t="str">
        <f>IFERROR(__xludf.DUMMYFUNCTION("upper(Regexreplace(to_text(E444),""[^A-Za-z0-9]"","""")&amp;""-""&amp;Regexreplace(to_text(F444),""[^A-Za-z0-9]"",""""))"),"NEPTRONIC-EVCBSERIES")</f>
        <v>NEPTRONIC-EVCBSERIES</v>
      </c>
    </row>
    <row r="445" ht="30.0" customHeight="1">
      <c r="A445" s="173">
        <v>437.0</v>
      </c>
      <c r="B445" s="237" t="s">
        <v>670</v>
      </c>
      <c r="C445" s="257" t="s">
        <v>2914</v>
      </c>
      <c r="D445" s="173" t="s">
        <v>2914</v>
      </c>
      <c r="E445" s="174" t="s">
        <v>2861</v>
      </c>
      <c r="F445" s="173" t="s">
        <v>2862</v>
      </c>
      <c r="G445" s="328" t="s">
        <v>673</v>
      </c>
      <c r="H445" s="328" t="s">
        <v>2863</v>
      </c>
      <c r="I445" s="258" t="s">
        <v>2864</v>
      </c>
      <c r="J445" s="259" t="s">
        <v>739</v>
      </c>
      <c r="K445" s="260" t="s">
        <v>2915</v>
      </c>
      <c r="L445" s="328"/>
      <c r="M445" s="343"/>
      <c r="N445" s="173" t="s">
        <v>679</v>
      </c>
      <c r="O445" s="173" t="s">
        <v>225</v>
      </c>
      <c r="P445" s="262" t="str">
        <f t="shared" si="1"/>
        <v>IN-BLR-ANANTA-VAV-17_G</v>
      </c>
      <c r="Q445" s="173" t="s">
        <v>2916</v>
      </c>
      <c r="R445" s="328" t="str">
        <f>IFS(C445="","",C445="n/a","N/A",LEN(C445),Concatenate("{",char(34),"asset",char(34),":{",char(34),"guid",char(34),":",char(34),Q445,char(34),",",char(34),"site",char(34),":",char(34),LOWER('2-Building'!$B$4),char(34),",",char(34),"name",char(34),":",char(34),LOWER(C445),char(34),"}}"))</f>
        <v>{"asset":{"guid":"uuid://40df1b95-b7c8-4e95-a692-8437fed59bb3","site":"in-blr-ananta","name":"vav-17"}}</v>
      </c>
      <c r="S445" s="237" t="s">
        <v>2866</v>
      </c>
      <c r="T445" s="330"/>
      <c r="U445" s="330"/>
      <c r="V445" s="331"/>
      <c r="W445" s="344"/>
      <c r="X445" s="341"/>
      <c r="Y445" s="33" t="s">
        <v>2867</v>
      </c>
      <c r="Z445" s="258">
        <v>120017.0</v>
      </c>
      <c r="AA445" s="334">
        <v>11642.0</v>
      </c>
      <c r="AB445" s="341"/>
      <c r="AC445" s="341"/>
      <c r="AD445" s="343"/>
      <c r="AE445" s="331"/>
      <c r="AF445" s="348"/>
      <c r="AG445" s="337"/>
      <c r="AH445" s="341"/>
      <c r="AI445" s="341"/>
      <c r="AJ445" s="341"/>
      <c r="AK445" s="341"/>
      <c r="AL445" s="341"/>
      <c r="AM445" s="338"/>
      <c r="AN445" s="341"/>
      <c r="AO445" s="341"/>
      <c r="AP445" s="341"/>
      <c r="AQ445" s="341"/>
      <c r="AR445" s="341"/>
      <c r="AS445" s="341"/>
      <c r="AT445" s="341"/>
      <c r="AU445" s="343"/>
      <c r="AV445" s="341"/>
      <c r="AW445" s="269" t="s">
        <v>1572</v>
      </c>
      <c r="AX445" s="334" t="s">
        <v>2869</v>
      </c>
      <c r="AY445" s="270" t="s">
        <v>695</v>
      </c>
      <c r="AZ445" s="270" t="s">
        <v>2866</v>
      </c>
      <c r="BA445" s="265">
        <v>10.0</v>
      </c>
      <c r="BB445" s="174" t="s">
        <v>245</v>
      </c>
      <c r="BC445" s="341"/>
      <c r="BD445" s="308"/>
      <c r="BE445" s="347"/>
      <c r="BF445" s="274" t="str">
        <f>IFERROR(__xludf.DUMMYFUNCTION("LOWER(Regexreplace(to_text(E445),""[^A-Za-z0-9]"","""")&amp;""_""&amp;Regexreplace(to_text(F445),""[^A-Za-z0-9]"",""""))"),"neptronic_evcbseries")</f>
        <v>neptronic_evcbseries</v>
      </c>
      <c r="BG445" s="275" t="str">
        <f>IFERROR(__xludf.DUMMYFUNCTION("upper(Regexreplace(to_text(E445),""[^A-Za-z0-9]"","""")&amp;""-""&amp;Regexreplace(to_text(F445),""[^A-Za-z0-9]"",""""))"),"NEPTRONIC-EVCBSERIES")</f>
        <v>NEPTRONIC-EVCBSERIES</v>
      </c>
    </row>
    <row r="446" ht="30.0" customHeight="1">
      <c r="A446" s="258">
        <v>438.0</v>
      </c>
      <c r="B446" s="237" t="s">
        <v>670</v>
      </c>
      <c r="C446" s="257" t="s">
        <v>2917</v>
      </c>
      <c r="D446" s="173" t="s">
        <v>2917</v>
      </c>
      <c r="E446" s="174" t="s">
        <v>2861</v>
      </c>
      <c r="F446" s="173" t="s">
        <v>2862</v>
      </c>
      <c r="G446" s="328" t="s">
        <v>673</v>
      </c>
      <c r="H446" s="328" t="s">
        <v>2863</v>
      </c>
      <c r="I446" s="258" t="s">
        <v>2864</v>
      </c>
      <c r="J446" s="259" t="s">
        <v>739</v>
      </c>
      <c r="K446" s="260" t="s">
        <v>2918</v>
      </c>
      <c r="L446" s="328"/>
      <c r="M446" s="343"/>
      <c r="N446" s="173" t="s">
        <v>679</v>
      </c>
      <c r="O446" s="173" t="s">
        <v>225</v>
      </c>
      <c r="P446" s="262" t="str">
        <f t="shared" si="1"/>
        <v>IN-BLR-ANANTA-VAV-18_G</v>
      </c>
      <c r="Q446" s="173" t="s">
        <v>2919</v>
      </c>
      <c r="R446" s="328" t="str">
        <f>IFS(C446="","",C446="n/a","N/A",LEN(C446),Concatenate("{",char(34),"asset",char(34),":{",char(34),"guid",char(34),":",char(34),Q446,char(34),",",char(34),"site",char(34),":",char(34),LOWER('2-Building'!$B$4),char(34),",",char(34),"name",char(34),":",char(34),LOWER(C446),char(34),"}}"))</f>
        <v>{"asset":{"guid":"uuid://dee00bab-cf86-48fe-99a4-43fcce5116c0","site":"in-blr-ananta","name":"vav-18"}}</v>
      </c>
      <c r="S446" s="237" t="s">
        <v>2866</v>
      </c>
      <c r="T446" s="330"/>
      <c r="U446" s="330"/>
      <c r="V446" s="331"/>
      <c r="W446" s="344"/>
      <c r="X446" s="341"/>
      <c r="Y446" s="33" t="s">
        <v>2867</v>
      </c>
      <c r="Z446" s="258">
        <v>120018.0</v>
      </c>
      <c r="AA446" s="334">
        <v>11642.0</v>
      </c>
      <c r="AB446" s="341"/>
      <c r="AC446" s="341"/>
      <c r="AD446" s="343"/>
      <c r="AE446" s="331"/>
      <c r="AF446" s="348"/>
      <c r="AG446" s="337"/>
      <c r="AH446" s="341"/>
      <c r="AI446" s="341"/>
      <c r="AJ446" s="341"/>
      <c r="AK446" s="341"/>
      <c r="AL446" s="341"/>
      <c r="AM446" s="338"/>
      <c r="AN446" s="341"/>
      <c r="AO446" s="341"/>
      <c r="AP446" s="341"/>
      <c r="AQ446" s="341"/>
      <c r="AR446" s="341"/>
      <c r="AS446" s="341"/>
      <c r="AT446" s="341"/>
      <c r="AU446" s="343"/>
      <c r="AV446" s="341"/>
      <c r="AW446" s="269" t="s">
        <v>1572</v>
      </c>
      <c r="AX446" s="334" t="s">
        <v>2869</v>
      </c>
      <c r="AY446" s="270" t="s">
        <v>695</v>
      </c>
      <c r="AZ446" s="270" t="s">
        <v>2866</v>
      </c>
      <c r="BA446" s="265">
        <v>10.0</v>
      </c>
      <c r="BB446" s="174" t="s">
        <v>245</v>
      </c>
      <c r="BC446" s="341"/>
      <c r="BD446" s="308"/>
      <c r="BE446" s="347"/>
      <c r="BF446" s="274" t="str">
        <f>IFERROR(__xludf.DUMMYFUNCTION("LOWER(Regexreplace(to_text(E446),""[^A-Za-z0-9]"","""")&amp;""_""&amp;Regexreplace(to_text(F446),""[^A-Za-z0-9]"",""""))"),"neptronic_evcbseries")</f>
        <v>neptronic_evcbseries</v>
      </c>
      <c r="BG446" s="275" t="str">
        <f>IFERROR(__xludf.DUMMYFUNCTION("upper(Regexreplace(to_text(E446),""[^A-Za-z0-9]"","""")&amp;""-""&amp;Regexreplace(to_text(F446),""[^A-Za-z0-9]"",""""))"),"NEPTRONIC-EVCBSERIES")</f>
        <v>NEPTRONIC-EVCBSERIES</v>
      </c>
    </row>
    <row r="447" ht="30.0" customHeight="1">
      <c r="A447" s="173">
        <v>439.0</v>
      </c>
      <c r="B447" s="237" t="s">
        <v>670</v>
      </c>
      <c r="C447" s="257" t="s">
        <v>2920</v>
      </c>
      <c r="D447" s="173" t="s">
        <v>2920</v>
      </c>
      <c r="E447" s="174" t="s">
        <v>2861</v>
      </c>
      <c r="F447" s="173" t="s">
        <v>2862</v>
      </c>
      <c r="G447" s="328" t="s">
        <v>673</v>
      </c>
      <c r="H447" s="328" t="s">
        <v>2863</v>
      </c>
      <c r="I447" s="258" t="s">
        <v>2864</v>
      </c>
      <c r="J447" s="259" t="s">
        <v>739</v>
      </c>
      <c r="K447" s="260" t="s">
        <v>2921</v>
      </c>
      <c r="L447" s="328"/>
      <c r="M447" s="343"/>
      <c r="N447" s="173" t="s">
        <v>679</v>
      </c>
      <c r="O447" s="173" t="s">
        <v>225</v>
      </c>
      <c r="P447" s="262" t="str">
        <f t="shared" si="1"/>
        <v>IN-BLR-ANANTA-VAV-19_G</v>
      </c>
      <c r="Q447" s="173" t="s">
        <v>2922</v>
      </c>
      <c r="R447" s="328" t="str">
        <f>IFS(C447="","",C447="n/a","N/A",LEN(C447),Concatenate("{",char(34),"asset",char(34),":{",char(34),"guid",char(34),":",char(34),Q447,char(34),",",char(34),"site",char(34),":",char(34),LOWER('2-Building'!$B$4),char(34),",",char(34),"name",char(34),":",char(34),LOWER(C447),char(34),"}}"))</f>
        <v>{"asset":{"guid":"uuid://964ad1a5-910b-4b9f-a0f6-e30ba8084094","site":"in-blr-ananta","name":"vav-19"}}</v>
      </c>
      <c r="S447" s="237" t="s">
        <v>2866</v>
      </c>
      <c r="T447" s="330"/>
      <c r="U447" s="330"/>
      <c r="V447" s="331"/>
      <c r="W447" s="344"/>
      <c r="X447" s="341"/>
      <c r="Y447" s="33" t="s">
        <v>2867</v>
      </c>
      <c r="Z447" s="258">
        <v>120019.0</v>
      </c>
      <c r="AA447" s="334">
        <v>11573.0</v>
      </c>
      <c r="AB447" s="341"/>
      <c r="AC447" s="341"/>
      <c r="AD447" s="343"/>
      <c r="AE447" s="331"/>
      <c r="AF447" s="348"/>
      <c r="AG447" s="337"/>
      <c r="AH447" s="341"/>
      <c r="AI447" s="341"/>
      <c r="AJ447" s="341"/>
      <c r="AK447" s="341"/>
      <c r="AL447" s="341"/>
      <c r="AM447" s="338"/>
      <c r="AN447" s="341"/>
      <c r="AO447" s="341"/>
      <c r="AP447" s="341"/>
      <c r="AQ447" s="341"/>
      <c r="AR447" s="341"/>
      <c r="AS447" s="341"/>
      <c r="AT447" s="341"/>
      <c r="AU447" s="343"/>
      <c r="AV447" s="341"/>
      <c r="AW447" s="269" t="s">
        <v>836</v>
      </c>
      <c r="AX447" s="334" t="s">
        <v>2869</v>
      </c>
      <c r="AY447" s="270" t="s">
        <v>695</v>
      </c>
      <c r="AZ447" s="270" t="s">
        <v>2866</v>
      </c>
      <c r="BA447" s="265">
        <v>10.0</v>
      </c>
      <c r="BB447" s="174" t="s">
        <v>245</v>
      </c>
      <c r="BC447" s="341"/>
      <c r="BD447" s="308"/>
      <c r="BE447" s="347"/>
      <c r="BF447" s="274" t="str">
        <f>IFERROR(__xludf.DUMMYFUNCTION("LOWER(Regexreplace(to_text(E447),""[^A-Za-z0-9]"","""")&amp;""_""&amp;Regexreplace(to_text(F447),""[^A-Za-z0-9]"",""""))"),"neptronic_evcbseries")</f>
        <v>neptronic_evcbseries</v>
      </c>
      <c r="BG447" s="275" t="str">
        <f>IFERROR(__xludf.DUMMYFUNCTION("upper(Regexreplace(to_text(E447),""[^A-Za-z0-9]"","""")&amp;""-""&amp;Regexreplace(to_text(F447),""[^A-Za-z0-9]"",""""))"),"NEPTRONIC-EVCBSERIES")</f>
        <v>NEPTRONIC-EVCBSERIES</v>
      </c>
    </row>
    <row r="448" ht="30.0" customHeight="1">
      <c r="A448" s="258">
        <v>440.0</v>
      </c>
      <c r="B448" s="237" t="s">
        <v>670</v>
      </c>
      <c r="C448" s="257" t="s">
        <v>2923</v>
      </c>
      <c r="D448" s="173" t="s">
        <v>2923</v>
      </c>
      <c r="E448" s="174" t="s">
        <v>2861</v>
      </c>
      <c r="F448" s="173" t="s">
        <v>2862</v>
      </c>
      <c r="G448" s="328" t="s">
        <v>673</v>
      </c>
      <c r="H448" s="328" t="s">
        <v>2863</v>
      </c>
      <c r="I448" s="258" t="s">
        <v>2864</v>
      </c>
      <c r="J448" s="259" t="s">
        <v>739</v>
      </c>
      <c r="K448" s="260" t="s">
        <v>2924</v>
      </c>
      <c r="L448" s="328"/>
      <c r="M448" s="343"/>
      <c r="N448" s="173" t="s">
        <v>679</v>
      </c>
      <c r="O448" s="173" t="s">
        <v>225</v>
      </c>
      <c r="P448" s="262" t="str">
        <f t="shared" si="1"/>
        <v>IN-BLR-ANANTA-VAV-20_G</v>
      </c>
      <c r="Q448" s="173" t="s">
        <v>2925</v>
      </c>
      <c r="R448" s="328" t="str">
        <f>IFS(C448="","",C448="n/a","N/A",LEN(C448),Concatenate("{",char(34),"asset",char(34),":{",char(34),"guid",char(34),":",char(34),Q448,char(34),",",char(34),"site",char(34),":",char(34),LOWER('2-Building'!$B$4),char(34),",",char(34),"name",char(34),":",char(34),LOWER(C448),char(34),"}}"))</f>
        <v>{"asset":{"guid":"uuid://358e35f8-b44b-4212-8fdf-a27637e11ccd","site":"in-blr-ananta","name":"vav-20"}}</v>
      </c>
      <c r="S448" s="237" t="s">
        <v>2866</v>
      </c>
      <c r="T448" s="330"/>
      <c r="U448" s="330"/>
      <c r="V448" s="331"/>
      <c r="W448" s="344"/>
      <c r="X448" s="341"/>
      <c r="Y448" s="33" t="s">
        <v>2867</v>
      </c>
      <c r="Z448" s="258">
        <v>120020.0</v>
      </c>
      <c r="AA448" s="334">
        <v>11573.0</v>
      </c>
      <c r="AB448" s="341"/>
      <c r="AC448" s="341"/>
      <c r="AD448" s="343"/>
      <c r="AE448" s="331"/>
      <c r="AF448" s="348"/>
      <c r="AG448" s="337"/>
      <c r="AH448" s="341"/>
      <c r="AI448" s="341"/>
      <c r="AJ448" s="341"/>
      <c r="AK448" s="341"/>
      <c r="AL448" s="341"/>
      <c r="AM448" s="338"/>
      <c r="AN448" s="341"/>
      <c r="AO448" s="341"/>
      <c r="AP448" s="341"/>
      <c r="AQ448" s="341"/>
      <c r="AR448" s="341"/>
      <c r="AS448" s="341"/>
      <c r="AT448" s="341"/>
      <c r="AU448" s="343"/>
      <c r="AV448" s="341"/>
      <c r="AW448" s="269" t="s">
        <v>836</v>
      </c>
      <c r="AX448" s="334" t="s">
        <v>2869</v>
      </c>
      <c r="AY448" s="270" t="s">
        <v>695</v>
      </c>
      <c r="AZ448" s="270" t="s">
        <v>2866</v>
      </c>
      <c r="BA448" s="265">
        <v>10.0</v>
      </c>
      <c r="BB448" s="174" t="s">
        <v>245</v>
      </c>
      <c r="BC448" s="341"/>
      <c r="BD448" s="308"/>
      <c r="BE448" s="347"/>
      <c r="BF448" s="274" t="str">
        <f>IFERROR(__xludf.DUMMYFUNCTION("LOWER(Regexreplace(to_text(E448),""[^A-Za-z0-9]"","""")&amp;""_""&amp;Regexreplace(to_text(F448),""[^A-Za-z0-9]"",""""))"),"neptronic_evcbseries")</f>
        <v>neptronic_evcbseries</v>
      </c>
      <c r="BG448" s="275" t="str">
        <f>IFERROR(__xludf.DUMMYFUNCTION("upper(Regexreplace(to_text(E448),""[^A-Za-z0-9]"","""")&amp;""-""&amp;Regexreplace(to_text(F448),""[^A-Za-z0-9]"",""""))"),"NEPTRONIC-EVCBSERIES")</f>
        <v>NEPTRONIC-EVCBSERIES</v>
      </c>
    </row>
    <row r="449" ht="30.0" customHeight="1">
      <c r="A449" s="173">
        <v>441.0</v>
      </c>
      <c r="B449" s="237" t="s">
        <v>670</v>
      </c>
      <c r="C449" s="257" t="s">
        <v>2926</v>
      </c>
      <c r="D449" s="173" t="s">
        <v>2926</v>
      </c>
      <c r="E449" s="174" t="s">
        <v>2861</v>
      </c>
      <c r="F449" s="173" t="s">
        <v>2862</v>
      </c>
      <c r="G449" s="328" t="s">
        <v>673</v>
      </c>
      <c r="H449" s="328" t="s">
        <v>2863</v>
      </c>
      <c r="I449" s="258" t="s">
        <v>2864</v>
      </c>
      <c r="J449" s="259" t="s">
        <v>739</v>
      </c>
      <c r="K449" s="260" t="s">
        <v>2927</v>
      </c>
      <c r="L449" s="328"/>
      <c r="M449" s="343"/>
      <c r="N449" s="173" t="s">
        <v>679</v>
      </c>
      <c r="O449" s="173" t="s">
        <v>225</v>
      </c>
      <c r="P449" s="262" t="str">
        <f t="shared" si="1"/>
        <v>IN-BLR-ANANTA-VAV-21_G</v>
      </c>
      <c r="Q449" s="173" t="s">
        <v>2928</v>
      </c>
      <c r="R449" s="328" t="str">
        <f>IFS(C449="","",C449="n/a","N/A",LEN(C449),Concatenate("{",char(34),"asset",char(34),":{",char(34),"guid",char(34),":",char(34),Q449,char(34),",",char(34),"site",char(34),":",char(34),LOWER('2-Building'!$B$4),char(34),",",char(34),"name",char(34),":",char(34),LOWER(C449),char(34),"}}"))</f>
        <v>{"asset":{"guid":"uuid://1f0dd49b-0f55-4d40-a81b-b0bc23d02b3e","site":"in-blr-ananta","name":"vav-21"}}</v>
      </c>
      <c r="S449" s="237" t="s">
        <v>2866</v>
      </c>
      <c r="T449" s="330"/>
      <c r="U449" s="330"/>
      <c r="V449" s="331"/>
      <c r="W449" s="344"/>
      <c r="X449" s="341"/>
      <c r="Y449" s="33" t="s">
        <v>2867</v>
      </c>
      <c r="Z449" s="258">
        <v>120021.0</v>
      </c>
      <c r="AA449" s="334">
        <v>11573.0</v>
      </c>
      <c r="AB449" s="341"/>
      <c r="AC449" s="341"/>
      <c r="AD449" s="343"/>
      <c r="AE449" s="331"/>
      <c r="AF449" s="348"/>
      <c r="AG449" s="337"/>
      <c r="AH449" s="341"/>
      <c r="AI449" s="341"/>
      <c r="AJ449" s="341"/>
      <c r="AK449" s="341"/>
      <c r="AL449" s="341"/>
      <c r="AM449" s="338"/>
      <c r="AN449" s="341"/>
      <c r="AO449" s="341"/>
      <c r="AP449" s="341"/>
      <c r="AQ449" s="341"/>
      <c r="AR449" s="341"/>
      <c r="AS449" s="341"/>
      <c r="AT449" s="341"/>
      <c r="AU449" s="343"/>
      <c r="AV449" s="341"/>
      <c r="AW449" s="269" t="s">
        <v>836</v>
      </c>
      <c r="AX449" s="334" t="s">
        <v>2869</v>
      </c>
      <c r="AY449" s="270" t="s">
        <v>695</v>
      </c>
      <c r="AZ449" s="270" t="s">
        <v>2866</v>
      </c>
      <c r="BA449" s="265">
        <v>10.0</v>
      </c>
      <c r="BB449" s="174" t="s">
        <v>245</v>
      </c>
      <c r="BC449" s="341"/>
      <c r="BD449" s="308"/>
      <c r="BE449" s="347"/>
      <c r="BF449" s="274" t="str">
        <f>IFERROR(__xludf.DUMMYFUNCTION("LOWER(Regexreplace(to_text(E449),""[^A-Za-z0-9]"","""")&amp;""_""&amp;Regexreplace(to_text(F449),""[^A-Za-z0-9]"",""""))"),"neptronic_evcbseries")</f>
        <v>neptronic_evcbseries</v>
      </c>
      <c r="BG449" s="275" t="str">
        <f>IFERROR(__xludf.DUMMYFUNCTION("upper(Regexreplace(to_text(E449),""[^A-Za-z0-9]"","""")&amp;""-""&amp;Regexreplace(to_text(F449),""[^A-Za-z0-9]"",""""))"),"NEPTRONIC-EVCBSERIES")</f>
        <v>NEPTRONIC-EVCBSERIES</v>
      </c>
    </row>
    <row r="450" ht="30.0" customHeight="1">
      <c r="A450" s="258">
        <v>442.0</v>
      </c>
      <c r="B450" s="237" t="s">
        <v>670</v>
      </c>
      <c r="C450" s="257" t="s">
        <v>2929</v>
      </c>
      <c r="D450" s="173" t="s">
        <v>2929</v>
      </c>
      <c r="E450" s="174" t="s">
        <v>2861</v>
      </c>
      <c r="F450" s="173" t="s">
        <v>2862</v>
      </c>
      <c r="G450" s="328" t="s">
        <v>673</v>
      </c>
      <c r="H450" s="328" t="s">
        <v>2863</v>
      </c>
      <c r="I450" s="258" t="s">
        <v>2864</v>
      </c>
      <c r="J450" s="259" t="s">
        <v>739</v>
      </c>
      <c r="K450" s="260" t="s">
        <v>2930</v>
      </c>
      <c r="L450" s="328"/>
      <c r="M450" s="343"/>
      <c r="N450" s="173" t="s">
        <v>679</v>
      </c>
      <c r="O450" s="173" t="s">
        <v>225</v>
      </c>
      <c r="P450" s="262" t="str">
        <f t="shared" si="1"/>
        <v>IN-BLR-ANANTA-VAV-22_G</v>
      </c>
      <c r="Q450" s="173" t="s">
        <v>2931</v>
      </c>
      <c r="R450" s="328" t="str">
        <f>IFS(C450="","",C450="n/a","N/A",LEN(C450),Concatenate("{",char(34),"asset",char(34),":{",char(34),"guid",char(34),":",char(34),Q450,char(34),",",char(34),"site",char(34),":",char(34),LOWER('2-Building'!$B$4),char(34),",",char(34),"name",char(34),":",char(34),LOWER(C450),char(34),"}}"))</f>
        <v>{"asset":{"guid":"uuid://7ae096fa-0010-4b03-abc7-120025541966","site":"in-blr-ananta","name":"vav-22"}}</v>
      </c>
      <c r="S450" s="237" t="s">
        <v>2866</v>
      </c>
      <c r="T450" s="330"/>
      <c r="U450" s="330"/>
      <c r="V450" s="331"/>
      <c r="W450" s="344"/>
      <c r="X450" s="341"/>
      <c r="Y450" s="33" t="s">
        <v>2867</v>
      </c>
      <c r="Z450" s="258">
        <v>120022.0</v>
      </c>
      <c r="AA450" s="334">
        <v>11603.0</v>
      </c>
      <c r="AB450" s="341"/>
      <c r="AC450" s="341"/>
      <c r="AD450" s="343"/>
      <c r="AE450" s="331"/>
      <c r="AF450" s="348"/>
      <c r="AG450" s="337"/>
      <c r="AH450" s="341"/>
      <c r="AI450" s="341"/>
      <c r="AJ450" s="341"/>
      <c r="AK450" s="341"/>
      <c r="AL450" s="341"/>
      <c r="AM450" s="338"/>
      <c r="AN450" s="341"/>
      <c r="AO450" s="341"/>
      <c r="AP450" s="341"/>
      <c r="AQ450" s="341"/>
      <c r="AR450" s="341"/>
      <c r="AS450" s="341"/>
      <c r="AT450" s="341"/>
      <c r="AU450" s="343"/>
      <c r="AV450" s="341"/>
      <c r="AW450" s="269" t="s">
        <v>1909</v>
      </c>
      <c r="AX450" s="334" t="s">
        <v>2869</v>
      </c>
      <c r="AY450" s="270" t="s">
        <v>695</v>
      </c>
      <c r="AZ450" s="270" t="s">
        <v>2866</v>
      </c>
      <c r="BA450" s="265">
        <v>10.0</v>
      </c>
      <c r="BB450" s="174" t="s">
        <v>245</v>
      </c>
      <c r="BC450" s="341"/>
      <c r="BD450" s="308"/>
      <c r="BE450" s="347"/>
      <c r="BF450" s="274" t="str">
        <f>IFERROR(__xludf.DUMMYFUNCTION("LOWER(Regexreplace(to_text(E450),""[^A-Za-z0-9]"","""")&amp;""_""&amp;Regexreplace(to_text(F450),""[^A-Za-z0-9]"",""""))"),"neptronic_evcbseries")</f>
        <v>neptronic_evcbseries</v>
      </c>
      <c r="BG450" s="275" t="str">
        <f>IFERROR(__xludf.DUMMYFUNCTION("upper(Regexreplace(to_text(E450),""[^A-Za-z0-9]"","""")&amp;""-""&amp;Regexreplace(to_text(F450),""[^A-Za-z0-9]"",""""))"),"NEPTRONIC-EVCBSERIES")</f>
        <v>NEPTRONIC-EVCBSERIES</v>
      </c>
    </row>
    <row r="451" ht="30.0" customHeight="1">
      <c r="A451" s="173">
        <v>443.0</v>
      </c>
      <c r="B451" s="237" t="s">
        <v>670</v>
      </c>
      <c r="C451" s="257" t="s">
        <v>2932</v>
      </c>
      <c r="D451" s="173" t="s">
        <v>2932</v>
      </c>
      <c r="E451" s="174" t="s">
        <v>2861</v>
      </c>
      <c r="F451" s="173" t="s">
        <v>2862</v>
      </c>
      <c r="G451" s="328" t="s">
        <v>673</v>
      </c>
      <c r="H451" s="328" t="s">
        <v>2863</v>
      </c>
      <c r="I451" s="258" t="s">
        <v>2864</v>
      </c>
      <c r="J451" s="259" t="s">
        <v>739</v>
      </c>
      <c r="K451" s="260" t="s">
        <v>2933</v>
      </c>
      <c r="L451" s="328"/>
      <c r="M451" s="343"/>
      <c r="N451" s="173" t="s">
        <v>679</v>
      </c>
      <c r="O451" s="173" t="s">
        <v>225</v>
      </c>
      <c r="P451" s="262" t="str">
        <f t="shared" si="1"/>
        <v>IN-BLR-ANANTA-VAV-23_G</v>
      </c>
      <c r="Q451" s="173" t="s">
        <v>2934</v>
      </c>
      <c r="R451" s="328" t="str">
        <f>IFS(C451="","",C451="n/a","N/A",LEN(C451),Concatenate("{",char(34),"asset",char(34),":{",char(34),"guid",char(34),":",char(34),Q451,char(34),",",char(34),"site",char(34),":",char(34),LOWER('2-Building'!$B$4),char(34),",",char(34),"name",char(34),":",char(34),LOWER(C451),char(34),"}}"))</f>
        <v>{"asset":{"guid":"uuid://5363a79c-83e5-4c41-b2d4-a3fd3714778e","site":"in-blr-ananta","name":"vav-23"}}</v>
      </c>
      <c r="S451" s="237" t="s">
        <v>2866</v>
      </c>
      <c r="T451" s="330"/>
      <c r="U451" s="330"/>
      <c r="V451" s="331"/>
      <c r="W451" s="344"/>
      <c r="X451" s="341"/>
      <c r="Y451" s="33" t="s">
        <v>2867</v>
      </c>
      <c r="Z451" s="258">
        <v>120023.0</v>
      </c>
      <c r="AA451" s="334">
        <v>11603.0</v>
      </c>
      <c r="AB451" s="341"/>
      <c r="AC451" s="341"/>
      <c r="AD451" s="343"/>
      <c r="AE451" s="331"/>
      <c r="AF451" s="348"/>
      <c r="AG451" s="337"/>
      <c r="AH451" s="341"/>
      <c r="AI451" s="341"/>
      <c r="AJ451" s="341"/>
      <c r="AK451" s="341"/>
      <c r="AL451" s="341"/>
      <c r="AM451" s="338"/>
      <c r="AN451" s="341"/>
      <c r="AO451" s="341"/>
      <c r="AP451" s="341"/>
      <c r="AQ451" s="341"/>
      <c r="AR451" s="341"/>
      <c r="AS451" s="341"/>
      <c r="AT451" s="341"/>
      <c r="AU451" s="343"/>
      <c r="AV451" s="341"/>
      <c r="AW451" s="269" t="s">
        <v>1909</v>
      </c>
      <c r="AX451" s="334" t="s">
        <v>2869</v>
      </c>
      <c r="AY451" s="270" t="s">
        <v>695</v>
      </c>
      <c r="AZ451" s="270" t="s">
        <v>2866</v>
      </c>
      <c r="BA451" s="265">
        <v>10.0</v>
      </c>
      <c r="BB451" s="174" t="s">
        <v>245</v>
      </c>
      <c r="BC451" s="341"/>
      <c r="BD451" s="308"/>
      <c r="BE451" s="347"/>
      <c r="BF451" s="274" t="str">
        <f>IFERROR(__xludf.DUMMYFUNCTION("LOWER(Regexreplace(to_text(E451),""[^A-Za-z0-9]"","""")&amp;""_""&amp;Regexreplace(to_text(F451),""[^A-Za-z0-9]"",""""))"),"neptronic_evcbseries")</f>
        <v>neptronic_evcbseries</v>
      </c>
      <c r="BG451" s="275" t="str">
        <f>IFERROR(__xludf.DUMMYFUNCTION("upper(Regexreplace(to_text(E451),""[^A-Za-z0-9]"","""")&amp;""-""&amp;Regexreplace(to_text(F451),""[^A-Za-z0-9]"",""""))"),"NEPTRONIC-EVCBSERIES")</f>
        <v>NEPTRONIC-EVCBSERIES</v>
      </c>
    </row>
    <row r="452" ht="30.0" customHeight="1">
      <c r="A452" s="258">
        <v>444.0</v>
      </c>
      <c r="B452" s="237" t="s">
        <v>670</v>
      </c>
      <c r="C452" s="257" t="s">
        <v>2935</v>
      </c>
      <c r="D452" s="173" t="s">
        <v>2935</v>
      </c>
      <c r="E452" s="174" t="s">
        <v>2861</v>
      </c>
      <c r="F452" s="173" t="s">
        <v>2862</v>
      </c>
      <c r="G452" s="328" t="s">
        <v>673</v>
      </c>
      <c r="H452" s="328" t="s">
        <v>2863</v>
      </c>
      <c r="I452" s="258" t="s">
        <v>2864</v>
      </c>
      <c r="J452" s="259" t="s">
        <v>739</v>
      </c>
      <c r="K452" s="260" t="s">
        <v>2936</v>
      </c>
      <c r="L452" s="328"/>
      <c r="M452" s="343"/>
      <c r="N452" s="173" t="s">
        <v>679</v>
      </c>
      <c r="O452" s="173" t="s">
        <v>225</v>
      </c>
      <c r="P452" s="262" t="str">
        <f t="shared" si="1"/>
        <v>IN-BLR-ANANTA-VAV-24_G</v>
      </c>
      <c r="Q452" s="173" t="s">
        <v>2937</v>
      </c>
      <c r="R452" s="328" t="str">
        <f>IFS(C452="","",C452="n/a","N/A",LEN(C452),Concatenate("{",char(34),"asset",char(34),":{",char(34),"guid",char(34),":",char(34),Q452,char(34),",",char(34),"site",char(34),":",char(34),LOWER('2-Building'!$B$4),char(34),",",char(34),"name",char(34),":",char(34),LOWER(C452),char(34),"}}"))</f>
        <v>{"asset":{"guid":"uuid://88331df4-9e76-4c60-af59-aedd39df987c","site":"in-blr-ananta","name":"vav-24"}}</v>
      </c>
      <c r="S452" s="237" t="s">
        <v>2866</v>
      </c>
      <c r="T452" s="330"/>
      <c r="U452" s="330"/>
      <c r="V452" s="331"/>
      <c r="W452" s="344"/>
      <c r="X452" s="341"/>
      <c r="Y452" s="33" t="s">
        <v>2867</v>
      </c>
      <c r="Z452" s="258">
        <v>120024.0</v>
      </c>
      <c r="AA452" s="334">
        <v>11603.0</v>
      </c>
      <c r="AB452" s="341"/>
      <c r="AC452" s="341"/>
      <c r="AD452" s="343"/>
      <c r="AE452" s="331"/>
      <c r="AF452" s="348"/>
      <c r="AG452" s="337"/>
      <c r="AH452" s="341"/>
      <c r="AI452" s="341"/>
      <c r="AJ452" s="341"/>
      <c r="AK452" s="341"/>
      <c r="AL452" s="341"/>
      <c r="AM452" s="338"/>
      <c r="AN452" s="341"/>
      <c r="AO452" s="341"/>
      <c r="AP452" s="341"/>
      <c r="AQ452" s="341"/>
      <c r="AR452" s="341"/>
      <c r="AS452" s="341"/>
      <c r="AT452" s="341"/>
      <c r="AU452" s="343"/>
      <c r="AV452" s="341"/>
      <c r="AW452" s="269" t="s">
        <v>1909</v>
      </c>
      <c r="AX452" s="334" t="s">
        <v>2869</v>
      </c>
      <c r="AY452" s="270" t="s">
        <v>695</v>
      </c>
      <c r="AZ452" s="270" t="s">
        <v>2866</v>
      </c>
      <c r="BA452" s="265">
        <v>10.0</v>
      </c>
      <c r="BB452" s="174" t="s">
        <v>245</v>
      </c>
      <c r="BC452" s="341"/>
      <c r="BD452" s="308"/>
      <c r="BE452" s="347"/>
      <c r="BF452" s="274" t="str">
        <f>IFERROR(__xludf.DUMMYFUNCTION("LOWER(Regexreplace(to_text(E452),""[^A-Za-z0-9]"","""")&amp;""_""&amp;Regexreplace(to_text(F452),""[^A-Za-z0-9]"",""""))"),"neptronic_evcbseries")</f>
        <v>neptronic_evcbseries</v>
      </c>
      <c r="BG452" s="275" t="str">
        <f>IFERROR(__xludf.DUMMYFUNCTION("upper(Regexreplace(to_text(E452),""[^A-Za-z0-9]"","""")&amp;""-""&amp;Regexreplace(to_text(F452),""[^A-Za-z0-9]"",""""))"),"NEPTRONIC-EVCBSERIES")</f>
        <v>NEPTRONIC-EVCBSERIES</v>
      </c>
    </row>
    <row r="453" ht="30.0" customHeight="1">
      <c r="A453" s="173">
        <v>445.0</v>
      </c>
      <c r="B453" s="237" t="s">
        <v>670</v>
      </c>
      <c r="C453" s="257" t="s">
        <v>2938</v>
      </c>
      <c r="D453" s="173" t="s">
        <v>2938</v>
      </c>
      <c r="E453" s="174" t="s">
        <v>2861</v>
      </c>
      <c r="F453" s="173" t="s">
        <v>2862</v>
      </c>
      <c r="G453" s="328" t="s">
        <v>673</v>
      </c>
      <c r="H453" s="328" t="s">
        <v>2863</v>
      </c>
      <c r="I453" s="258" t="s">
        <v>2864</v>
      </c>
      <c r="J453" s="259" t="s">
        <v>739</v>
      </c>
      <c r="K453" s="260" t="s">
        <v>2939</v>
      </c>
      <c r="L453" s="328"/>
      <c r="M453" s="343"/>
      <c r="N453" s="173" t="s">
        <v>679</v>
      </c>
      <c r="O453" s="173" t="s">
        <v>225</v>
      </c>
      <c r="P453" s="262" t="str">
        <f t="shared" si="1"/>
        <v>IN-BLR-ANANTA-VAV-25_G</v>
      </c>
      <c r="Q453" s="173" t="s">
        <v>2940</v>
      </c>
      <c r="R453" s="328" t="str">
        <f>IFS(C453="","",C453="n/a","N/A",LEN(C453),Concatenate("{",char(34),"asset",char(34),":{",char(34),"guid",char(34),":",char(34),Q453,char(34),",",char(34),"site",char(34),":",char(34),LOWER('2-Building'!$B$4),char(34),",",char(34),"name",char(34),":",char(34),LOWER(C453),char(34),"}}"))</f>
        <v>{"asset":{"guid":"uuid://b7b9fa01-e42a-41c7-8862-795d23f1966d","site":"in-blr-ananta","name":"vav-25"}}</v>
      </c>
      <c r="S453" s="237" t="s">
        <v>2866</v>
      </c>
      <c r="T453" s="330"/>
      <c r="U453" s="330"/>
      <c r="V453" s="331"/>
      <c r="W453" s="344"/>
      <c r="X453" s="341"/>
      <c r="Y453" s="33" t="s">
        <v>2867</v>
      </c>
      <c r="Z453" s="258">
        <v>120025.0</v>
      </c>
      <c r="AA453" s="334">
        <v>11603.0</v>
      </c>
      <c r="AB453" s="341"/>
      <c r="AC453" s="341"/>
      <c r="AD453" s="343"/>
      <c r="AE453" s="331"/>
      <c r="AF453" s="348"/>
      <c r="AG453" s="337"/>
      <c r="AH453" s="341"/>
      <c r="AI453" s="341"/>
      <c r="AJ453" s="341"/>
      <c r="AK453" s="341"/>
      <c r="AL453" s="341"/>
      <c r="AM453" s="338"/>
      <c r="AN453" s="341"/>
      <c r="AO453" s="341"/>
      <c r="AP453" s="341"/>
      <c r="AQ453" s="341"/>
      <c r="AR453" s="341"/>
      <c r="AS453" s="341"/>
      <c r="AT453" s="341"/>
      <c r="AU453" s="343"/>
      <c r="AV453" s="341"/>
      <c r="AW453" s="269" t="s">
        <v>1909</v>
      </c>
      <c r="AX453" s="334" t="s">
        <v>2869</v>
      </c>
      <c r="AY453" s="270" t="s">
        <v>695</v>
      </c>
      <c r="AZ453" s="270" t="s">
        <v>2866</v>
      </c>
      <c r="BA453" s="265">
        <v>10.0</v>
      </c>
      <c r="BB453" s="174" t="s">
        <v>245</v>
      </c>
      <c r="BC453" s="341"/>
      <c r="BD453" s="308"/>
      <c r="BE453" s="347"/>
      <c r="BF453" s="274" t="str">
        <f>IFERROR(__xludf.DUMMYFUNCTION("LOWER(Regexreplace(to_text(E453),""[^A-Za-z0-9]"","""")&amp;""_""&amp;Regexreplace(to_text(F453),""[^A-Za-z0-9]"",""""))"),"neptronic_evcbseries")</f>
        <v>neptronic_evcbseries</v>
      </c>
      <c r="BG453" s="275" t="str">
        <f>IFERROR(__xludf.DUMMYFUNCTION("upper(Regexreplace(to_text(E453),""[^A-Za-z0-9]"","""")&amp;""-""&amp;Regexreplace(to_text(F453),""[^A-Za-z0-9]"",""""))"),"NEPTRONIC-EVCBSERIES")</f>
        <v>NEPTRONIC-EVCBSERIES</v>
      </c>
    </row>
    <row r="454" ht="30.0" customHeight="1">
      <c r="A454" s="258">
        <v>446.0</v>
      </c>
      <c r="B454" s="237" t="s">
        <v>670</v>
      </c>
      <c r="C454" s="257" t="s">
        <v>2941</v>
      </c>
      <c r="D454" s="173" t="s">
        <v>2941</v>
      </c>
      <c r="E454" s="174" t="s">
        <v>2861</v>
      </c>
      <c r="F454" s="173" t="s">
        <v>2862</v>
      </c>
      <c r="G454" s="328" t="s">
        <v>673</v>
      </c>
      <c r="H454" s="328" t="s">
        <v>2863</v>
      </c>
      <c r="I454" s="258" t="s">
        <v>2864</v>
      </c>
      <c r="J454" s="259" t="s">
        <v>739</v>
      </c>
      <c r="K454" s="260" t="s">
        <v>2942</v>
      </c>
      <c r="L454" s="328"/>
      <c r="M454" s="343"/>
      <c r="N454" s="173" t="s">
        <v>679</v>
      </c>
      <c r="O454" s="173" t="s">
        <v>225</v>
      </c>
      <c r="P454" s="262" t="str">
        <f t="shared" si="1"/>
        <v>IN-BLR-ANANTA-VAV-26_G</v>
      </c>
      <c r="Q454" s="173" t="s">
        <v>2943</v>
      </c>
      <c r="R454" s="328" t="str">
        <f>IFS(C454="","",C454="n/a","N/A",LEN(C454),Concatenate("{",char(34),"asset",char(34),":{",char(34),"guid",char(34),":",char(34),Q454,char(34),",",char(34),"site",char(34),":",char(34),LOWER('2-Building'!$B$4),char(34),",",char(34),"name",char(34),":",char(34),LOWER(C454),char(34),"}}"))</f>
        <v>{"asset":{"guid":"uuid://df70033a-e58b-48cd-8686-83b889a38ecb","site":"in-blr-ananta","name":"vav-26"}}</v>
      </c>
      <c r="S454" s="237" t="s">
        <v>2866</v>
      </c>
      <c r="T454" s="330"/>
      <c r="U454" s="330"/>
      <c r="V454" s="331"/>
      <c r="W454" s="344"/>
      <c r="X454" s="341"/>
      <c r="Y454" s="33" t="s">
        <v>2867</v>
      </c>
      <c r="Z454" s="258">
        <v>120026.0</v>
      </c>
      <c r="AA454" s="334">
        <v>11603.0</v>
      </c>
      <c r="AB454" s="341"/>
      <c r="AC454" s="341"/>
      <c r="AD454" s="343"/>
      <c r="AE454" s="331"/>
      <c r="AF454" s="348"/>
      <c r="AG454" s="337"/>
      <c r="AH454" s="341"/>
      <c r="AI454" s="341"/>
      <c r="AJ454" s="341"/>
      <c r="AK454" s="341"/>
      <c r="AL454" s="341"/>
      <c r="AM454" s="338"/>
      <c r="AN454" s="341"/>
      <c r="AO454" s="341"/>
      <c r="AP454" s="341"/>
      <c r="AQ454" s="341"/>
      <c r="AR454" s="341"/>
      <c r="AS454" s="341"/>
      <c r="AT454" s="341"/>
      <c r="AU454" s="343"/>
      <c r="AV454" s="341"/>
      <c r="AW454" s="269" t="s">
        <v>1909</v>
      </c>
      <c r="AX454" s="334" t="s">
        <v>2869</v>
      </c>
      <c r="AY454" s="270" t="s">
        <v>695</v>
      </c>
      <c r="AZ454" s="270" t="s">
        <v>2866</v>
      </c>
      <c r="BA454" s="265">
        <v>10.0</v>
      </c>
      <c r="BB454" s="174" t="s">
        <v>245</v>
      </c>
      <c r="BC454" s="341"/>
      <c r="BD454" s="308"/>
      <c r="BE454" s="347"/>
      <c r="BF454" s="274" t="str">
        <f>IFERROR(__xludf.DUMMYFUNCTION("LOWER(Regexreplace(to_text(E454),""[^A-Za-z0-9]"","""")&amp;""_""&amp;Regexreplace(to_text(F454),""[^A-Za-z0-9]"",""""))"),"neptronic_evcbseries")</f>
        <v>neptronic_evcbseries</v>
      </c>
      <c r="BG454" s="275" t="str">
        <f>IFERROR(__xludf.DUMMYFUNCTION("upper(Regexreplace(to_text(E454),""[^A-Za-z0-9]"","""")&amp;""-""&amp;Regexreplace(to_text(F454),""[^A-Za-z0-9]"",""""))"),"NEPTRONIC-EVCBSERIES")</f>
        <v>NEPTRONIC-EVCBSERIES</v>
      </c>
    </row>
    <row r="455" ht="30.0" customHeight="1">
      <c r="A455" s="173">
        <v>447.0</v>
      </c>
      <c r="B455" s="237" t="s">
        <v>670</v>
      </c>
      <c r="C455" s="257" t="s">
        <v>2944</v>
      </c>
      <c r="D455" s="173" t="s">
        <v>2944</v>
      </c>
      <c r="E455" s="174" t="s">
        <v>2861</v>
      </c>
      <c r="F455" s="173" t="s">
        <v>2862</v>
      </c>
      <c r="G455" s="328" t="s">
        <v>673</v>
      </c>
      <c r="H455" s="328" t="s">
        <v>2863</v>
      </c>
      <c r="I455" s="258" t="s">
        <v>2864</v>
      </c>
      <c r="J455" s="259" t="s">
        <v>739</v>
      </c>
      <c r="K455" s="260" t="s">
        <v>2945</v>
      </c>
      <c r="L455" s="328"/>
      <c r="M455" s="343"/>
      <c r="N455" s="173" t="s">
        <v>679</v>
      </c>
      <c r="O455" s="173" t="s">
        <v>225</v>
      </c>
      <c r="P455" s="262" t="str">
        <f t="shared" si="1"/>
        <v>IN-BLR-ANANTA-VAV-27_G</v>
      </c>
      <c r="Q455" s="173" t="s">
        <v>2946</v>
      </c>
      <c r="R455" s="328" t="str">
        <f>IFS(C455="","",C455="n/a","N/A",LEN(C455),Concatenate("{",char(34),"asset",char(34),":{",char(34),"guid",char(34),":",char(34),Q455,char(34),",",char(34),"site",char(34),":",char(34),LOWER('2-Building'!$B$4),char(34),",",char(34),"name",char(34),":",char(34),LOWER(C455),char(34),"}}"))</f>
        <v>{"asset":{"guid":"uuid://a9ed1ef4-9925-44c5-a2b2-1be9fbdc21d2","site":"in-blr-ananta","name":"vav-27"}}</v>
      </c>
      <c r="S455" s="237" t="s">
        <v>2866</v>
      </c>
      <c r="T455" s="330"/>
      <c r="U455" s="330"/>
      <c r="V455" s="331"/>
      <c r="W455" s="344"/>
      <c r="X455" s="341"/>
      <c r="Y455" s="33" t="s">
        <v>2867</v>
      </c>
      <c r="Z455" s="258">
        <v>120027.0</v>
      </c>
      <c r="AA455" s="334">
        <v>11603.0</v>
      </c>
      <c r="AB455" s="341"/>
      <c r="AC455" s="341"/>
      <c r="AD455" s="343"/>
      <c r="AE455" s="331"/>
      <c r="AF455" s="348"/>
      <c r="AG455" s="337"/>
      <c r="AH455" s="341"/>
      <c r="AI455" s="341"/>
      <c r="AJ455" s="341"/>
      <c r="AK455" s="341"/>
      <c r="AL455" s="341"/>
      <c r="AM455" s="338"/>
      <c r="AN455" s="341"/>
      <c r="AO455" s="341"/>
      <c r="AP455" s="341"/>
      <c r="AQ455" s="341"/>
      <c r="AR455" s="341"/>
      <c r="AS455" s="341"/>
      <c r="AT455" s="341"/>
      <c r="AU455" s="343"/>
      <c r="AV455" s="341"/>
      <c r="AW455" s="269" t="s">
        <v>1909</v>
      </c>
      <c r="AX455" s="334" t="s">
        <v>2869</v>
      </c>
      <c r="AY455" s="270" t="s">
        <v>695</v>
      </c>
      <c r="AZ455" s="270" t="s">
        <v>2866</v>
      </c>
      <c r="BA455" s="265">
        <v>10.0</v>
      </c>
      <c r="BB455" s="174" t="s">
        <v>245</v>
      </c>
      <c r="BC455" s="341"/>
      <c r="BD455" s="308"/>
      <c r="BE455" s="347"/>
      <c r="BF455" s="274" t="str">
        <f>IFERROR(__xludf.DUMMYFUNCTION("LOWER(Regexreplace(to_text(E455),""[^A-Za-z0-9]"","""")&amp;""_""&amp;Regexreplace(to_text(F455),""[^A-Za-z0-9]"",""""))"),"neptronic_evcbseries")</f>
        <v>neptronic_evcbseries</v>
      </c>
      <c r="BG455" s="275" t="str">
        <f>IFERROR(__xludf.DUMMYFUNCTION("upper(Regexreplace(to_text(E455),""[^A-Za-z0-9]"","""")&amp;""-""&amp;Regexreplace(to_text(F455),""[^A-Za-z0-9]"",""""))"),"NEPTRONIC-EVCBSERIES")</f>
        <v>NEPTRONIC-EVCBSERIES</v>
      </c>
    </row>
    <row r="456" ht="30.0" customHeight="1">
      <c r="A456" s="258">
        <v>448.0</v>
      </c>
      <c r="B456" s="237" t="s">
        <v>670</v>
      </c>
      <c r="C456" s="257" t="s">
        <v>2947</v>
      </c>
      <c r="D456" s="173" t="s">
        <v>2947</v>
      </c>
      <c r="E456" s="174" t="s">
        <v>2861</v>
      </c>
      <c r="F456" s="173" t="s">
        <v>2862</v>
      </c>
      <c r="G456" s="328" t="s">
        <v>673</v>
      </c>
      <c r="H456" s="328" t="s">
        <v>2863</v>
      </c>
      <c r="I456" s="258" t="s">
        <v>2864</v>
      </c>
      <c r="J456" s="259" t="s">
        <v>739</v>
      </c>
      <c r="K456" s="260" t="s">
        <v>2948</v>
      </c>
      <c r="L456" s="328"/>
      <c r="M456" s="343"/>
      <c r="N456" s="173" t="s">
        <v>679</v>
      </c>
      <c r="O456" s="173" t="s">
        <v>225</v>
      </c>
      <c r="P456" s="262" t="str">
        <f t="shared" si="1"/>
        <v>IN-BLR-ANANTA-VAV-28_G</v>
      </c>
      <c r="Q456" s="173" t="s">
        <v>2949</v>
      </c>
      <c r="R456" s="328" t="str">
        <f>IFS(C456="","",C456="n/a","N/A",LEN(C456),Concatenate("{",char(34),"asset",char(34),":{",char(34),"guid",char(34),":",char(34),Q456,char(34),",",char(34),"site",char(34),":",char(34),LOWER('2-Building'!$B$4),char(34),",",char(34),"name",char(34),":",char(34),LOWER(C456),char(34),"}}"))</f>
        <v>{"asset":{"guid":"uuid://c1858fa6-ce39-449d-8100-86526d564d14","site":"in-blr-ananta","name":"vav-28"}}</v>
      </c>
      <c r="S456" s="237" t="s">
        <v>2866</v>
      </c>
      <c r="T456" s="330"/>
      <c r="U456" s="330"/>
      <c r="V456" s="331"/>
      <c r="W456" s="344"/>
      <c r="X456" s="341"/>
      <c r="Y456" s="33" t="s">
        <v>2867</v>
      </c>
      <c r="Z456" s="258">
        <v>120028.0</v>
      </c>
      <c r="AA456" s="334">
        <v>11603.0</v>
      </c>
      <c r="AB456" s="341"/>
      <c r="AC456" s="341"/>
      <c r="AD456" s="343"/>
      <c r="AE456" s="331"/>
      <c r="AF456" s="348"/>
      <c r="AG456" s="337"/>
      <c r="AH456" s="341"/>
      <c r="AI456" s="341"/>
      <c r="AJ456" s="341"/>
      <c r="AK456" s="341"/>
      <c r="AL456" s="341"/>
      <c r="AM456" s="338"/>
      <c r="AN456" s="341"/>
      <c r="AO456" s="341"/>
      <c r="AP456" s="341"/>
      <c r="AQ456" s="341"/>
      <c r="AR456" s="341"/>
      <c r="AS456" s="341"/>
      <c r="AT456" s="341"/>
      <c r="AU456" s="343"/>
      <c r="AV456" s="341"/>
      <c r="AW456" s="269" t="s">
        <v>1909</v>
      </c>
      <c r="AX456" s="334" t="s">
        <v>2869</v>
      </c>
      <c r="AY456" s="270" t="s">
        <v>695</v>
      </c>
      <c r="AZ456" s="270" t="s">
        <v>2866</v>
      </c>
      <c r="BA456" s="265">
        <v>10.0</v>
      </c>
      <c r="BB456" s="174" t="s">
        <v>245</v>
      </c>
      <c r="BC456" s="341"/>
      <c r="BD456" s="308"/>
      <c r="BE456" s="347"/>
      <c r="BF456" s="274" t="str">
        <f>IFERROR(__xludf.DUMMYFUNCTION("LOWER(Regexreplace(to_text(E456),""[^A-Za-z0-9]"","""")&amp;""_""&amp;Regexreplace(to_text(F456),""[^A-Za-z0-9]"",""""))"),"neptronic_evcbseries")</f>
        <v>neptronic_evcbseries</v>
      </c>
      <c r="BG456" s="275" t="str">
        <f>IFERROR(__xludf.DUMMYFUNCTION("upper(Regexreplace(to_text(E456),""[^A-Za-z0-9]"","""")&amp;""-""&amp;Regexreplace(to_text(F456),""[^A-Za-z0-9]"",""""))"),"NEPTRONIC-EVCBSERIES")</f>
        <v>NEPTRONIC-EVCBSERIES</v>
      </c>
    </row>
    <row r="457" ht="30.0" customHeight="1">
      <c r="A457" s="173">
        <v>449.0</v>
      </c>
      <c r="B457" s="237" t="s">
        <v>670</v>
      </c>
      <c r="C457" s="257" t="s">
        <v>2950</v>
      </c>
      <c r="D457" s="173" t="s">
        <v>2950</v>
      </c>
      <c r="E457" s="174" t="s">
        <v>2861</v>
      </c>
      <c r="F457" s="173" t="s">
        <v>2862</v>
      </c>
      <c r="G457" s="328" t="s">
        <v>673</v>
      </c>
      <c r="H457" s="328" t="s">
        <v>2863</v>
      </c>
      <c r="I457" s="258" t="s">
        <v>2864</v>
      </c>
      <c r="J457" s="259" t="s">
        <v>739</v>
      </c>
      <c r="K457" s="260" t="s">
        <v>2951</v>
      </c>
      <c r="L457" s="328"/>
      <c r="M457" s="343"/>
      <c r="N457" s="173" t="s">
        <v>679</v>
      </c>
      <c r="O457" s="173" t="s">
        <v>225</v>
      </c>
      <c r="P457" s="262" t="str">
        <f t="shared" si="1"/>
        <v>IN-BLR-ANANTA-VAV-29_G</v>
      </c>
      <c r="Q457" s="173" t="s">
        <v>2952</v>
      </c>
      <c r="R457" s="328" t="str">
        <f>IFS(C457="","",C457="n/a","N/A",LEN(C457),Concatenate("{",char(34),"asset",char(34),":{",char(34),"guid",char(34),":",char(34),Q457,char(34),",",char(34),"site",char(34),":",char(34),LOWER('2-Building'!$B$4),char(34),",",char(34),"name",char(34),":",char(34),LOWER(C457),char(34),"}}"))</f>
        <v>{"asset":{"guid":"uuid://2687b98b-23e3-4065-a72b-dc9ee021cc91","site":"in-blr-ananta","name":"vav-29"}}</v>
      </c>
      <c r="S457" s="237" t="s">
        <v>2866</v>
      </c>
      <c r="T457" s="330"/>
      <c r="U457" s="330"/>
      <c r="V457" s="331"/>
      <c r="W457" s="344"/>
      <c r="X457" s="341"/>
      <c r="Y457" s="33" t="s">
        <v>2867</v>
      </c>
      <c r="Z457" s="258">
        <v>120029.0</v>
      </c>
      <c r="AA457" s="334">
        <v>11603.0</v>
      </c>
      <c r="AB457" s="341"/>
      <c r="AC457" s="341"/>
      <c r="AD457" s="343"/>
      <c r="AE457" s="331"/>
      <c r="AF457" s="348"/>
      <c r="AG457" s="337"/>
      <c r="AH457" s="341"/>
      <c r="AI457" s="341"/>
      <c r="AJ457" s="341"/>
      <c r="AK457" s="341"/>
      <c r="AL457" s="341"/>
      <c r="AM457" s="338"/>
      <c r="AN457" s="341"/>
      <c r="AO457" s="341"/>
      <c r="AP457" s="341"/>
      <c r="AQ457" s="341"/>
      <c r="AR457" s="341"/>
      <c r="AS457" s="341"/>
      <c r="AT457" s="341"/>
      <c r="AU457" s="343"/>
      <c r="AV457" s="341"/>
      <c r="AW457" s="269" t="s">
        <v>1909</v>
      </c>
      <c r="AX457" s="334" t="s">
        <v>2869</v>
      </c>
      <c r="AY457" s="270" t="s">
        <v>695</v>
      </c>
      <c r="AZ457" s="270" t="s">
        <v>2866</v>
      </c>
      <c r="BA457" s="265">
        <v>10.0</v>
      </c>
      <c r="BB457" s="174" t="s">
        <v>245</v>
      </c>
      <c r="BC457" s="341"/>
      <c r="BD457" s="308"/>
      <c r="BE457" s="347"/>
      <c r="BF457" s="274" t="str">
        <f>IFERROR(__xludf.DUMMYFUNCTION("LOWER(Regexreplace(to_text(E457),""[^A-Za-z0-9]"","""")&amp;""_""&amp;Regexreplace(to_text(F457),""[^A-Za-z0-9]"",""""))"),"neptronic_evcbseries")</f>
        <v>neptronic_evcbseries</v>
      </c>
      <c r="BG457" s="275" t="str">
        <f>IFERROR(__xludf.DUMMYFUNCTION("upper(Regexreplace(to_text(E457),""[^A-Za-z0-9]"","""")&amp;""-""&amp;Regexreplace(to_text(F457),""[^A-Za-z0-9]"",""""))"),"NEPTRONIC-EVCBSERIES")</f>
        <v>NEPTRONIC-EVCBSERIES</v>
      </c>
    </row>
    <row r="458" ht="30.0" customHeight="1">
      <c r="A458" s="258">
        <v>450.0</v>
      </c>
      <c r="B458" s="237" t="s">
        <v>670</v>
      </c>
      <c r="C458" s="257" t="s">
        <v>2953</v>
      </c>
      <c r="D458" s="173" t="s">
        <v>2953</v>
      </c>
      <c r="E458" s="174" t="s">
        <v>2861</v>
      </c>
      <c r="F458" s="173" t="s">
        <v>2862</v>
      </c>
      <c r="G458" s="328" t="s">
        <v>673</v>
      </c>
      <c r="H458" s="328" t="s">
        <v>2863</v>
      </c>
      <c r="I458" s="258" t="s">
        <v>2864</v>
      </c>
      <c r="J458" s="259" t="s">
        <v>739</v>
      </c>
      <c r="K458" s="260" t="s">
        <v>2954</v>
      </c>
      <c r="L458" s="328"/>
      <c r="M458" s="343"/>
      <c r="N458" s="173" t="s">
        <v>679</v>
      </c>
      <c r="O458" s="173" t="s">
        <v>225</v>
      </c>
      <c r="P458" s="262" t="str">
        <f t="shared" si="1"/>
        <v>IN-BLR-ANANTA-VAV-30_G</v>
      </c>
      <c r="Q458" s="173" t="s">
        <v>2955</v>
      </c>
      <c r="R458" s="328" t="str">
        <f>IFS(C458="","",C458="n/a","N/A",LEN(C458),Concatenate("{",char(34),"asset",char(34),":{",char(34),"guid",char(34),":",char(34),Q458,char(34),",",char(34),"site",char(34),":",char(34),LOWER('2-Building'!$B$4),char(34),",",char(34),"name",char(34),":",char(34),LOWER(C458),char(34),"}}"))</f>
        <v>{"asset":{"guid":"uuid://ae20e9f8-e6e5-4692-8a75-abcb42cf9cd0","site":"in-blr-ananta","name":"vav-30"}}</v>
      </c>
      <c r="S458" s="237" t="s">
        <v>2866</v>
      </c>
      <c r="T458" s="330"/>
      <c r="U458" s="330"/>
      <c r="V458" s="331"/>
      <c r="W458" s="344"/>
      <c r="X458" s="341"/>
      <c r="Y458" s="33" t="s">
        <v>2867</v>
      </c>
      <c r="Z458" s="258">
        <v>120030.0</v>
      </c>
      <c r="AA458" s="334">
        <v>11603.0</v>
      </c>
      <c r="AB458" s="341"/>
      <c r="AC458" s="341"/>
      <c r="AD458" s="343"/>
      <c r="AE458" s="331"/>
      <c r="AF458" s="348"/>
      <c r="AG458" s="337"/>
      <c r="AH458" s="341"/>
      <c r="AI458" s="341"/>
      <c r="AJ458" s="341"/>
      <c r="AK458" s="341"/>
      <c r="AL458" s="341"/>
      <c r="AM458" s="338"/>
      <c r="AN458" s="341"/>
      <c r="AO458" s="341"/>
      <c r="AP458" s="341"/>
      <c r="AQ458" s="341"/>
      <c r="AR458" s="341"/>
      <c r="AS458" s="341"/>
      <c r="AT458" s="341"/>
      <c r="AU458" s="343"/>
      <c r="AV458" s="341"/>
      <c r="AW458" s="269" t="s">
        <v>1909</v>
      </c>
      <c r="AX458" s="334" t="s">
        <v>2869</v>
      </c>
      <c r="AY458" s="270" t="s">
        <v>695</v>
      </c>
      <c r="AZ458" s="270" t="s">
        <v>2866</v>
      </c>
      <c r="BA458" s="265">
        <v>10.0</v>
      </c>
      <c r="BB458" s="174" t="s">
        <v>245</v>
      </c>
      <c r="BC458" s="341"/>
      <c r="BD458" s="308"/>
      <c r="BE458" s="347"/>
      <c r="BF458" s="274" t="str">
        <f>IFERROR(__xludf.DUMMYFUNCTION("LOWER(Regexreplace(to_text(E458),""[^A-Za-z0-9]"","""")&amp;""_""&amp;Regexreplace(to_text(F458),""[^A-Za-z0-9]"",""""))"),"neptronic_evcbseries")</f>
        <v>neptronic_evcbseries</v>
      </c>
      <c r="BG458" s="275" t="str">
        <f>IFERROR(__xludf.DUMMYFUNCTION("upper(Regexreplace(to_text(E458),""[^A-Za-z0-9]"","""")&amp;""-""&amp;Regexreplace(to_text(F458),""[^A-Za-z0-9]"",""""))"),"NEPTRONIC-EVCBSERIES")</f>
        <v>NEPTRONIC-EVCBSERIES</v>
      </c>
    </row>
    <row r="459" ht="30.0" customHeight="1">
      <c r="A459" s="173">
        <v>451.0</v>
      </c>
      <c r="B459" s="237" t="s">
        <v>670</v>
      </c>
      <c r="C459" s="257" t="s">
        <v>2956</v>
      </c>
      <c r="D459" s="173" t="s">
        <v>2956</v>
      </c>
      <c r="E459" s="174" t="s">
        <v>2861</v>
      </c>
      <c r="F459" s="173" t="s">
        <v>2862</v>
      </c>
      <c r="G459" s="328" t="s">
        <v>673</v>
      </c>
      <c r="H459" s="328" t="s">
        <v>2863</v>
      </c>
      <c r="I459" s="258" t="s">
        <v>2864</v>
      </c>
      <c r="J459" s="259" t="s">
        <v>739</v>
      </c>
      <c r="K459" s="260" t="s">
        <v>2957</v>
      </c>
      <c r="L459" s="328"/>
      <c r="M459" s="343"/>
      <c r="N459" s="173" t="s">
        <v>679</v>
      </c>
      <c r="O459" s="173" t="s">
        <v>225</v>
      </c>
      <c r="P459" s="262" t="str">
        <f t="shared" si="1"/>
        <v>IN-BLR-ANANTA-VAV-31_G</v>
      </c>
      <c r="Q459" s="173" t="s">
        <v>2958</v>
      </c>
      <c r="R459" s="328" t="str">
        <f>IFS(C459="","",C459="n/a","N/A",LEN(C459),Concatenate("{",char(34),"asset",char(34),":{",char(34),"guid",char(34),":",char(34),Q459,char(34),",",char(34),"site",char(34),":",char(34),LOWER('2-Building'!$B$4),char(34),",",char(34),"name",char(34),":",char(34),LOWER(C459),char(34),"}}"))</f>
        <v>{"asset":{"guid":"uuid://98bbb1a9-30ec-4c3a-8d74-5a19ca0c99a5","site":"in-blr-ananta","name":"vav-31"}}</v>
      </c>
      <c r="S459" s="237" t="s">
        <v>2866</v>
      </c>
      <c r="T459" s="330"/>
      <c r="U459" s="330"/>
      <c r="V459" s="331"/>
      <c r="W459" s="344"/>
      <c r="X459" s="341"/>
      <c r="Y459" s="33" t="s">
        <v>2867</v>
      </c>
      <c r="Z459" s="258">
        <v>120031.0</v>
      </c>
      <c r="AA459" s="334">
        <v>11603.0</v>
      </c>
      <c r="AB459" s="341"/>
      <c r="AC459" s="341"/>
      <c r="AD459" s="343"/>
      <c r="AE459" s="331"/>
      <c r="AF459" s="348"/>
      <c r="AG459" s="337"/>
      <c r="AH459" s="341"/>
      <c r="AI459" s="341"/>
      <c r="AJ459" s="341"/>
      <c r="AK459" s="341"/>
      <c r="AL459" s="341"/>
      <c r="AM459" s="338"/>
      <c r="AN459" s="341"/>
      <c r="AO459" s="341"/>
      <c r="AP459" s="341"/>
      <c r="AQ459" s="341"/>
      <c r="AR459" s="341"/>
      <c r="AS459" s="341"/>
      <c r="AT459" s="341"/>
      <c r="AU459" s="343"/>
      <c r="AV459" s="341"/>
      <c r="AW459" s="269" t="s">
        <v>1909</v>
      </c>
      <c r="AX459" s="334" t="s">
        <v>2869</v>
      </c>
      <c r="AY459" s="270" t="s">
        <v>695</v>
      </c>
      <c r="AZ459" s="270" t="s">
        <v>2866</v>
      </c>
      <c r="BA459" s="265">
        <v>10.0</v>
      </c>
      <c r="BB459" s="174" t="s">
        <v>245</v>
      </c>
      <c r="BC459" s="341"/>
      <c r="BD459" s="308"/>
      <c r="BE459" s="347"/>
      <c r="BF459" s="274" t="str">
        <f>IFERROR(__xludf.DUMMYFUNCTION("LOWER(Regexreplace(to_text(E459),""[^A-Za-z0-9]"","""")&amp;""_""&amp;Regexreplace(to_text(F459),""[^A-Za-z0-9]"",""""))"),"neptronic_evcbseries")</f>
        <v>neptronic_evcbseries</v>
      </c>
      <c r="BG459" s="275" t="str">
        <f>IFERROR(__xludf.DUMMYFUNCTION("upper(Regexreplace(to_text(E459),""[^A-Za-z0-9]"","""")&amp;""-""&amp;Regexreplace(to_text(F459),""[^A-Za-z0-9]"",""""))"),"NEPTRONIC-EVCBSERIES")</f>
        <v>NEPTRONIC-EVCBSERIES</v>
      </c>
    </row>
    <row r="460" ht="30.0" customHeight="1">
      <c r="A460" s="258">
        <v>452.0</v>
      </c>
      <c r="B460" s="237" t="s">
        <v>670</v>
      </c>
      <c r="C460" s="257" t="s">
        <v>2959</v>
      </c>
      <c r="D460" s="173" t="s">
        <v>2959</v>
      </c>
      <c r="E460" s="174" t="s">
        <v>2861</v>
      </c>
      <c r="F460" s="173" t="s">
        <v>2862</v>
      </c>
      <c r="G460" s="328" t="s">
        <v>673</v>
      </c>
      <c r="H460" s="328" t="s">
        <v>2863</v>
      </c>
      <c r="I460" s="258" t="s">
        <v>2864</v>
      </c>
      <c r="J460" s="259" t="s">
        <v>739</v>
      </c>
      <c r="K460" s="260" t="s">
        <v>2960</v>
      </c>
      <c r="L460" s="328"/>
      <c r="M460" s="343"/>
      <c r="N460" s="173" t="s">
        <v>679</v>
      </c>
      <c r="O460" s="173" t="s">
        <v>225</v>
      </c>
      <c r="P460" s="262" t="str">
        <f t="shared" si="1"/>
        <v>IN-BLR-ANANTA-VAV-32_G</v>
      </c>
      <c r="Q460" s="173" t="s">
        <v>2961</v>
      </c>
      <c r="R460" s="328" t="str">
        <f>IFS(C460="","",C460="n/a","N/A",LEN(C460),Concatenate("{",char(34),"asset",char(34),":{",char(34),"guid",char(34),":",char(34),Q460,char(34),",",char(34),"site",char(34),":",char(34),LOWER('2-Building'!$B$4),char(34),",",char(34),"name",char(34),":",char(34),LOWER(C460),char(34),"}}"))</f>
        <v>{"asset":{"guid":"uuid://408e2f64-8d6d-4c94-9f66-82010de80794","site":"in-blr-ananta","name":"vav-32"}}</v>
      </c>
      <c r="S460" s="237" t="s">
        <v>2866</v>
      </c>
      <c r="T460" s="330"/>
      <c r="U460" s="330"/>
      <c r="V460" s="331"/>
      <c r="W460" s="344"/>
      <c r="X460" s="341"/>
      <c r="Y460" s="33" t="s">
        <v>2867</v>
      </c>
      <c r="Z460" s="258">
        <v>120032.0</v>
      </c>
      <c r="AA460" s="334">
        <v>11603.0</v>
      </c>
      <c r="AB460" s="341"/>
      <c r="AC460" s="341"/>
      <c r="AD460" s="343"/>
      <c r="AE460" s="331"/>
      <c r="AF460" s="348"/>
      <c r="AG460" s="337"/>
      <c r="AH460" s="341"/>
      <c r="AI460" s="341"/>
      <c r="AJ460" s="341"/>
      <c r="AK460" s="341"/>
      <c r="AL460" s="341"/>
      <c r="AM460" s="338"/>
      <c r="AN460" s="341"/>
      <c r="AO460" s="341"/>
      <c r="AP460" s="341"/>
      <c r="AQ460" s="341"/>
      <c r="AR460" s="341"/>
      <c r="AS460" s="341"/>
      <c r="AT460" s="341"/>
      <c r="AU460" s="343"/>
      <c r="AV460" s="341"/>
      <c r="AW460" s="269" t="s">
        <v>1909</v>
      </c>
      <c r="AX460" s="334" t="s">
        <v>2869</v>
      </c>
      <c r="AY460" s="270" t="s">
        <v>695</v>
      </c>
      <c r="AZ460" s="270" t="s">
        <v>2866</v>
      </c>
      <c r="BA460" s="265">
        <v>10.0</v>
      </c>
      <c r="BB460" s="174" t="s">
        <v>245</v>
      </c>
      <c r="BC460" s="341"/>
      <c r="BD460" s="308"/>
      <c r="BE460" s="347"/>
      <c r="BF460" s="274" t="str">
        <f>IFERROR(__xludf.DUMMYFUNCTION("LOWER(Regexreplace(to_text(E460),""[^A-Za-z0-9]"","""")&amp;""_""&amp;Regexreplace(to_text(F460),""[^A-Za-z0-9]"",""""))"),"neptronic_evcbseries")</f>
        <v>neptronic_evcbseries</v>
      </c>
      <c r="BG460" s="275" t="str">
        <f>IFERROR(__xludf.DUMMYFUNCTION("upper(Regexreplace(to_text(E460),""[^A-Za-z0-9]"","""")&amp;""-""&amp;Regexreplace(to_text(F460),""[^A-Za-z0-9]"",""""))"),"NEPTRONIC-EVCBSERIES")</f>
        <v>NEPTRONIC-EVCBSERIES</v>
      </c>
    </row>
    <row r="461" ht="30.0" customHeight="1">
      <c r="A461" s="173">
        <v>453.0</v>
      </c>
      <c r="B461" s="237" t="s">
        <v>670</v>
      </c>
      <c r="C461" s="257" t="s">
        <v>2962</v>
      </c>
      <c r="D461" s="173" t="s">
        <v>2962</v>
      </c>
      <c r="E461" s="174" t="s">
        <v>2861</v>
      </c>
      <c r="F461" s="173" t="s">
        <v>2862</v>
      </c>
      <c r="G461" s="328" t="s">
        <v>673</v>
      </c>
      <c r="H461" s="328" t="s">
        <v>2863</v>
      </c>
      <c r="I461" s="258" t="s">
        <v>2864</v>
      </c>
      <c r="J461" s="259" t="s">
        <v>739</v>
      </c>
      <c r="K461" s="260" t="s">
        <v>2963</v>
      </c>
      <c r="L461" s="328"/>
      <c r="M461" s="343"/>
      <c r="N461" s="173" t="s">
        <v>679</v>
      </c>
      <c r="O461" s="173" t="s">
        <v>225</v>
      </c>
      <c r="P461" s="262" t="str">
        <f t="shared" si="1"/>
        <v>IN-BLR-ANANTA-VAV-33_G</v>
      </c>
      <c r="Q461" s="173" t="s">
        <v>2964</v>
      </c>
      <c r="R461" s="328" t="str">
        <f>IFS(C461="","",C461="n/a","N/A",LEN(C461),Concatenate("{",char(34),"asset",char(34),":{",char(34),"guid",char(34),":",char(34),Q461,char(34),",",char(34),"site",char(34),":",char(34),LOWER('2-Building'!$B$4),char(34),",",char(34),"name",char(34),":",char(34),LOWER(C461),char(34),"}}"))</f>
        <v>{"asset":{"guid":"uuid://1b3f2a68-7c5a-4cea-8955-b89c49d1ae00","site":"in-blr-ananta","name":"vav-33"}}</v>
      </c>
      <c r="S461" s="237" t="s">
        <v>2866</v>
      </c>
      <c r="T461" s="330"/>
      <c r="U461" s="330"/>
      <c r="V461" s="331"/>
      <c r="W461" s="344"/>
      <c r="X461" s="341"/>
      <c r="Y461" s="33" t="s">
        <v>2867</v>
      </c>
      <c r="Z461" s="258">
        <v>120033.0</v>
      </c>
      <c r="AA461" s="334">
        <v>11603.0</v>
      </c>
      <c r="AB461" s="341"/>
      <c r="AC461" s="341"/>
      <c r="AD461" s="343"/>
      <c r="AE461" s="331"/>
      <c r="AF461" s="348"/>
      <c r="AG461" s="337"/>
      <c r="AH461" s="341"/>
      <c r="AI461" s="341"/>
      <c r="AJ461" s="341"/>
      <c r="AK461" s="341"/>
      <c r="AL461" s="341"/>
      <c r="AM461" s="338"/>
      <c r="AN461" s="341"/>
      <c r="AO461" s="341"/>
      <c r="AP461" s="341"/>
      <c r="AQ461" s="341"/>
      <c r="AR461" s="341"/>
      <c r="AS461" s="341"/>
      <c r="AT461" s="341"/>
      <c r="AU461" s="343"/>
      <c r="AV461" s="341"/>
      <c r="AW461" s="269" t="s">
        <v>1909</v>
      </c>
      <c r="AX461" s="334" t="s">
        <v>2869</v>
      </c>
      <c r="AY461" s="270" t="s">
        <v>695</v>
      </c>
      <c r="AZ461" s="270" t="s">
        <v>2866</v>
      </c>
      <c r="BA461" s="265">
        <v>10.0</v>
      </c>
      <c r="BB461" s="174" t="s">
        <v>245</v>
      </c>
      <c r="BC461" s="341"/>
      <c r="BD461" s="308"/>
      <c r="BE461" s="347"/>
      <c r="BF461" s="274" t="str">
        <f>IFERROR(__xludf.DUMMYFUNCTION("LOWER(Regexreplace(to_text(E461),""[^A-Za-z0-9]"","""")&amp;""_""&amp;Regexreplace(to_text(F461),""[^A-Za-z0-9]"",""""))"),"neptronic_evcbseries")</f>
        <v>neptronic_evcbseries</v>
      </c>
      <c r="BG461" s="275" t="str">
        <f>IFERROR(__xludf.DUMMYFUNCTION("upper(Regexreplace(to_text(E461),""[^A-Za-z0-9]"","""")&amp;""-""&amp;Regexreplace(to_text(F461),""[^A-Za-z0-9]"",""""))"),"NEPTRONIC-EVCBSERIES")</f>
        <v>NEPTRONIC-EVCBSERIES</v>
      </c>
    </row>
    <row r="462" ht="30.0" customHeight="1">
      <c r="A462" s="258">
        <v>454.0</v>
      </c>
      <c r="B462" s="237" t="s">
        <v>670</v>
      </c>
      <c r="C462" s="257" t="s">
        <v>2965</v>
      </c>
      <c r="D462" s="173" t="s">
        <v>2965</v>
      </c>
      <c r="E462" s="174" t="s">
        <v>2861</v>
      </c>
      <c r="F462" s="173" t="s">
        <v>2862</v>
      </c>
      <c r="G462" s="328" t="s">
        <v>673</v>
      </c>
      <c r="H462" s="328" t="s">
        <v>2863</v>
      </c>
      <c r="I462" s="258" t="s">
        <v>2864</v>
      </c>
      <c r="J462" s="259" t="s">
        <v>739</v>
      </c>
      <c r="K462" s="260" t="s">
        <v>2966</v>
      </c>
      <c r="L462" s="328"/>
      <c r="M462" s="343"/>
      <c r="N462" s="173" t="s">
        <v>679</v>
      </c>
      <c r="O462" s="173" t="s">
        <v>225</v>
      </c>
      <c r="P462" s="262" t="str">
        <f t="shared" si="1"/>
        <v>IN-BLR-ANANTA-VAV-34_G</v>
      </c>
      <c r="Q462" s="173" t="s">
        <v>2967</v>
      </c>
      <c r="R462" s="328" t="str">
        <f>IFS(C462="","",C462="n/a","N/A",LEN(C462),Concatenate("{",char(34),"asset",char(34),":{",char(34),"guid",char(34),":",char(34),Q462,char(34),",",char(34),"site",char(34),":",char(34),LOWER('2-Building'!$B$4),char(34),",",char(34),"name",char(34),":",char(34),LOWER(C462),char(34),"}}"))</f>
        <v>{"asset":{"guid":"uuid://1335d5e3-6f39-4bee-b1ae-b2089cdb6cc3","site":"in-blr-ananta","name":"vav-34"}}</v>
      </c>
      <c r="S462" s="237" t="s">
        <v>2866</v>
      </c>
      <c r="T462" s="330"/>
      <c r="U462" s="330"/>
      <c r="V462" s="331"/>
      <c r="W462" s="344"/>
      <c r="X462" s="341"/>
      <c r="Y462" s="33" t="s">
        <v>2867</v>
      </c>
      <c r="Z462" s="258">
        <v>120034.0</v>
      </c>
      <c r="AA462" s="334">
        <v>11603.0</v>
      </c>
      <c r="AB462" s="341"/>
      <c r="AC462" s="341"/>
      <c r="AD462" s="343"/>
      <c r="AE462" s="331"/>
      <c r="AF462" s="348"/>
      <c r="AG462" s="337"/>
      <c r="AH462" s="341"/>
      <c r="AI462" s="341"/>
      <c r="AJ462" s="341"/>
      <c r="AK462" s="341"/>
      <c r="AL462" s="341"/>
      <c r="AM462" s="338"/>
      <c r="AN462" s="341"/>
      <c r="AO462" s="341"/>
      <c r="AP462" s="341"/>
      <c r="AQ462" s="341"/>
      <c r="AR462" s="341"/>
      <c r="AS462" s="341"/>
      <c r="AT462" s="341"/>
      <c r="AU462" s="343"/>
      <c r="AV462" s="341"/>
      <c r="AW462" s="269" t="s">
        <v>1909</v>
      </c>
      <c r="AX462" s="334" t="s">
        <v>2869</v>
      </c>
      <c r="AY462" s="270" t="s">
        <v>695</v>
      </c>
      <c r="AZ462" s="270" t="s">
        <v>2866</v>
      </c>
      <c r="BA462" s="265">
        <v>10.0</v>
      </c>
      <c r="BB462" s="174" t="s">
        <v>245</v>
      </c>
      <c r="BC462" s="341"/>
      <c r="BD462" s="308"/>
      <c r="BE462" s="347"/>
      <c r="BF462" s="274" t="str">
        <f>IFERROR(__xludf.DUMMYFUNCTION("LOWER(Regexreplace(to_text(E462),""[^A-Za-z0-9]"","""")&amp;""_""&amp;Regexreplace(to_text(F462),""[^A-Za-z0-9]"",""""))"),"neptronic_evcbseries")</f>
        <v>neptronic_evcbseries</v>
      </c>
      <c r="BG462" s="275" t="str">
        <f>IFERROR(__xludf.DUMMYFUNCTION("upper(Regexreplace(to_text(E462),""[^A-Za-z0-9]"","""")&amp;""-""&amp;Regexreplace(to_text(F462),""[^A-Za-z0-9]"",""""))"),"NEPTRONIC-EVCBSERIES")</f>
        <v>NEPTRONIC-EVCBSERIES</v>
      </c>
    </row>
    <row r="463" ht="30.0" customHeight="1">
      <c r="A463" s="173">
        <v>455.0</v>
      </c>
      <c r="B463" s="237" t="s">
        <v>670</v>
      </c>
      <c r="C463" s="257" t="s">
        <v>2968</v>
      </c>
      <c r="D463" s="173" t="s">
        <v>2968</v>
      </c>
      <c r="E463" s="174" t="s">
        <v>2861</v>
      </c>
      <c r="F463" s="173" t="s">
        <v>2862</v>
      </c>
      <c r="G463" s="328" t="s">
        <v>673</v>
      </c>
      <c r="H463" s="328" t="s">
        <v>2863</v>
      </c>
      <c r="I463" s="258" t="s">
        <v>2864</v>
      </c>
      <c r="J463" s="259" t="s">
        <v>739</v>
      </c>
      <c r="K463" s="260" t="s">
        <v>2969</v>
      </c>
      <c r="L463" s="328"/>
      <c r="M463" s="343"/>
      <c r="N463" s="173" t="s">
        <v>679</v>
      </c>
      <c r="O463" s="173" t="s">
        <v>225</v>
      </c>
      <c r="P463" s="262" t="str">
        <f t="shared" si="1"/>
        <v>IN-BLR-ANANTA-VAV-35_G</v>
      </c>
      <c r="Q463" s="173" t="s">
        <v>2970</v>
      </c>
      <c r="R463" s="328" t="str">
        <f>IFS(C463="","",C463="n/a","N/A",LEN(C463),Concatenate("{",char(34),"asset",char(34),":{",char(34),"guid",char(34),":",char(34),Q463,char(34),",",char(34),"site",char(34),":",char(34),LOWER('2-Building'!$B$4),char(34),",",char(34),"name",char(34),":",char(34),LOWER(C463),char(34),"}}"))</f>
        <v>{"asset":{"guid":"uuid://1ce7a051-7fb7-49f2-a765-1f30f7f01c52","site":"in-blr-ananta","name":"vav-35"}}</v>
      </c>
      <c r="S463" s="237" t="s">
        <v>2866</v>
      </c>
      <c r="T463" s="330"/>
      <c r="U463" s="330"/>
      <c r="V463" s="331"/>
      <c r="W463" s="344"/>
      <c r="X463" s="341"/>
      <c r="Y463" s="33" t="s">
        <v>2867</v>
      </c>
      <c r="Z463" s="258">
        <v>120035.0</v>
      </c>
      <c r="AA463" s="334">
        <v>11603.0</v>
      </c>
      <c r="AB463" s="341"/>
      <c r="AC463" s="341"/>
      <c r="AD463" s="343"/>
      <c r="AE463" s="331"/>
      <c r="AF463" s="348"/>
      <c r="AG463" s="337"/>
      <c r="AH463" s="341"/>
      <c r="AI463" s="341"/>
      <c r="AJ463" s="341"/>
      <c r="AK463" s="341"/>
      <c r="AL463" s="341"/>
      <c r="AM463" s="338"/>
      <c r="AN463" s="341"/>
      <c r="AO463" s="341"/>
      <c r="AP463" s="341"/>
      <c r="AQ463" s="341"/>
      <c r="AR463" s="341"/>
      <c r="AS463" s="341"/>
      <c r="AT463" s="341"/>
      <c r="AU463" s="343"/>
      <c r="AV463" s="341"/>
      <c r="AW463" s="269" t="s">
        <v>1909</v>
      </c>
      <c r="AX463" s="334" t="s">
        <v>2869</v>
      </c>
      <c r="AY463" s="270" t="s">
        <v>695</v>
      </c>
      <c r="AZ463" s="270" t="s">
        <v>2866</v>
      </c>
      <c r="BA463" s="265">
        <v>10.0</v>
      </c>
      <c r="BB463" s="174" t="s">
        <v>245</v>
      </c>
      <c r="BC463" s="341"/>
      <c r="BD463" s="308"/>
      <c r="BE463" s="347"/>
      <c r="BF463" s="274" t="str">
        <f>IFERROR(__xludf.DUMMYFUNCTION("LOWER(Regexreplace(to_text(E463),""[^A-Za-z0-9]"","""")&amp;""_""&amp;Regexreplace(to_text(F463),""[^A-Za-z0-9]"",""""))"),"neptronic_evcbseries")</f>
        <v>neptronic_evcbseries</v>
      </c>
      <c r="BG463" s="275" t="str">
        <f>IFERROR(__xludf.DUMMYFUNCTION("upper(Regexreplace(to_text(E463),""[^A-Za-z0-9]"","""")&amp;""-""&amp;Regexreplace(to_text(F463),""[^A-Za-z0-9]"",""""))"),"NEPTRONIC-EVCBSERIES")</f>
        <v>NEPTRONIC-EVCBSERIES</v>
      </c>
    </row>
    <row r="464" ht="30.0" customHeight="1">
      <c r="A464" s="258">
        <v>456.0</v>
      </c>
      <c r="B464" s="237" t="s">
        <v>670</v>
      </c>
      <c r="C464" s="257" t="s">
        <v>2971</v>
      </c>
      <c r="D464" s="173" t="s">
        <v>2971</v>
      </c>
      <c r="E464" s="174" t="s">
        <v>2861</v>
      </c>
      <c r="F464" s="173" t="s">
        <v>2862</v>
      </c>
      <c r="G464" s="328" t="s">
        <v>673</v>
      </c>
      <c r="H464" s="328" t="s">
        <v>2863</v>
      </c>
      <c r="I464" s="258" t="s">
        <v>2864</v>
      </c>
      <c r="J464" s="259" t="s">
        <v>739</v>
      </c>
      <c r="K464" s="260" t="s">
        <v>2972</v>
      </c>
      <c r="L464" s="328"/>
      <c r="M464" s="343"/>
      <c r="N464" s="173" t="s">
        <v>679</v>
      </c>
      <c r="O464" s="173" t="s">
        <v>225</v>
      </c>
      <c r="P464" s="262" t="str">
        <f t="shared" si="1"/>
        <v>IN-BLR-ANANTA-VAV-36_G</v>
      </c>
      <c r="Q464" s="173" t="s">
        <v>2973</v>
      </c>
      <c r="R464" s="328" t="str">
        <f>IFS(C464="","",C464="n/a","N/A",LEN(C464),Concatenate("{",char(34),"asset",char(34),":{",char(34),"guid",char(34),":",char(34),Q464,char(34),",",char(34),"site",char(34),":",char(34),LOWER('2-Building'!$B$4),char(34),",",char(34),"name",char(34),":",char(34),LOWER(C464),char(34),"}}"))</f>
        <v>{"asset":{"guid":"uuid://74be80cc-6545-48a7-b619-e5884c309eba","site":"in-blr-ananta","name":"vav-36"}}</v>
      </c>
      <c r="S464" s="237" t="s">
        <v>2866</v>
      </c>
      <c r="T464" s="330"/>
      <c r="U464" s="330"/>
      <c r="V464" s="331"/>
      <c r="W464" s="344"/>
      <c r="X464" s="341"/>
      <c r="Y464" s="33" t="s">
        <v>2867</v>
      </c>
      <c r="Z464" s="258">
        <v>120036.0</v>
      </c>
      <c r="AA464" s="334">
        <v>11603.0</v>
      </c>
      <c r="AB464" s="341"/>
      <c r="AC464" s="341"/>
      <c r="AD464" s="343"/>
      <c r="AE464" s="331"/>
      <c r="AF464" s="348"/>
      <c r="AG464" s="337"/>
      <c r="AH464" s="341"/>
      <c r="AI464" s="341"/>
      <c r="AJ464" s="341"/>
      <c r="AK464" s="341"/>
      <c r="AL464" s="341"/>
      <c r="AM464" s="338"/>
      <c r="AN464" s="341"/>
      <c r="AO464" s="341"/>
      <c r="AP464" s="341"/>
      <c r="AQ464" s="341"/>
      <c r="AR464" s="341"/>
      <c r="AS464" s="341"/>
      <c r="AT464" s="341"/>
      <c r="AU464" s="343"/>
      <c r="AV464" s="341"/>
      <c r="AW464" s="269" t="s">
        <v>1909</v>
      </c>
      <c r="AX464" s="334" t="s">
        <v>2869</v>
      </c>
      <c r="AY464" s="270" t="s">
        <v>695</v>
      </c>
      <c r="AZ464" s="270" t="s">
        <v>2866</v>
      </c>
      <c r="BA464" s="265">
        <v>10.0</v>
      </c>
      <c r="BB464" s="174" t="s">
        <v>245</v>
      </c>
      <c r="BC464" s="341"/>
      <c r="BD464" s="308"/>
      <c r="BE464" s="347"/>
      <c r="BF464" s="274" t="str">
        <f>IFERROR(__xludf.DUMMYFUNCTION("LOWER(Regexreplace(to_text(E464),""[^A-Za-z0-9]"","""")&amp;""_""&amp;Regexreplace(to_text(F464),""[^A-Za-z0-9]"",""""))"),"neptronic_evcbseries")</f>
        <v>neptronic_evcbseries</v>
      </c>
      <c r="BG464" s="275" t="str">
        <f>IFERROR(__xludf.DUMMYFUNCTION("upper(Regexreplace(to_text(E464),""[^A-Za-z0-9]"","""")&amp;""-""&amp;Regexreplace(to_text(F464),""[^A-Za-z0-9]"",""""))"),"NEPTRONIC-EVCBSERIES")</f>
        <v>NEPTRONIC-EVCBSERIES</v>
      </c>
    </row>
    <row r="465" ht="30.0" customHeight="1">
      <c r="A465" s="173">
        <v>457.0</v>
      </c>
      <c r="B465" s="237" t="s">
        <v>670</v>
      </c>
      <c r="C465" s="257" t="s">
        <v>2974</v>
      </c>
      <c r="D465" s="173" t="s">
        <v>2974</v>
      </c>
      <c r="E465" s="174" t="s">
        <v>2861</v>
      </c>
      <c r="F465" s="173" t="s">
        <v>2862</v>
      </c>
      <c r="G465" s="328" t="s">
        <v>673</v>
      </c>
      <c r="H465" s="328" t="s">
        <v>2863</v>
      </c>
      <c r="I465" s="258" t="s">
        <v>2864</v>
      </c>
      <c r="J465" s="259" t="s">
        <v>739</v>
      </c>
      <c r="K465" s="260" t="s">
        <v>2975</v>
      </c>
      <c r="L465" s="328"/>
      <c r="M465" s="343"/>
      <c r="N465" s="173" t="s">
        <v>679</v>
      </c>
      <c r="O465" s="173" t="s">
        <v>225</v>
      </c>
      <c r="P465" s="262" t="str">
        <f t="shared" si="1"/>
        <v>IN-BLR-ANANTA-VAV-37_G</v>
      </c>
      <c r="Q465" s="173" t="s">
        <v>2976</v>
      </c>
      <c r="R465" s="328" t="str">
        <f>IFS(C465="","",C465="n/a","N/A",LEN(C465),Concatenate("{",char(34),"asset",char(34),":{",char(34),"guid",char(34),":",char(34),Q465,char(34),",",char(34),"site",char(34),":",char(34),LOWER('2-Building'!$B$4),char(34),",",char(34),"name",char(34),":",char(34),LOWER(C465),char(34),"}}"))</f>
        <v>{"asset":{"guid":"uuid://0a88b9d1-d8bb-4512-9e15-f42cee233a14","site":"in-blr-ananta","name":"vav-37"}}</v>
      </c>
      <c r="S465" s="237" t="s">
        <v>2866</v>
      </c>
      <c r="T465" s="330"/>
      <c r="U465" s="330"/>
      <c r="V465" s="331"/>
      <c r="W465" s="344"/>
      <c r="X465" s="341"/>
      <c r="Y465" s="33" t="s">
        <v>2867</v>
      </c>
      <c r="Z465" s="258">
        <v>120037.0</v>
      </c>
      <c r="AA465" s="334">
        <v>11603.0</v>
      </c>
      <c r="AB465" s="341"/>
      <c r="AC465" s="341"/>
      <c r="AD465" s="343"/>
      <c r="AE465" s="331"/>
      <c r="AF465" s="348"/>
      <c r="AG465" s="337"/>
      <c r="AH465" s="341"/>
      <c r="AI465" s="341"/>
      <c r="AJ465" s="341"/>
      <c r="AK465" s="341"/>
      <c r="AL465" s="341"/>
      <c r="AM465" s="338"/>
      <c r="AN465" s="341"/>
      <c r="AO465" s="341"/>
      <c r="AP465" s="341"/>
      <c r="AQ465" s="341"/>
      <c r="AR465" s="341"/>
      <c r="AS465" s="341"/>
      <c r="AT465" s="341"/>
      <c r="AU465" s="343"/>
      <c r="AV465" s="341"/>
      <c r="AW465" s="269" t="s">
        <v>1909</v>
      </c>
      <c r="AX465" s="334" t="s">
        <v>2869</v>
      </c>
      <c r="AY465" s="270" t="s">
        <v>695</v>
      </c>
      <c r="AZ465" s="270" t="s">
        <v>2866</v>
      </c>
      <c r="BA465" s="265">
        <v>10.0</v>
      </c>
      <c r="BB465" s="174" t="s">
        <v>245</v>
      </c>
      <c r="BC465" s="341"/>
      <c r="BD465" s="308"/>
      <c r="BE465" s="347"/>
      <c r="BF465" s="274" t="str">
        <f>IFERROR(__xludf.DUMMYFUNCTION("LOWER(Regexreplace(to_text(E465),""[^A-Za-z0-9]"","""")&amp;""_""&amp;Regexreplace(to_text(F465),""[^A-Za-z0-9]"",""""))"),"neptronic_evcbseries")</f>
        <v>neptronic_evcbseries</v>
      </c>
      <c r="BG465" s="275" t="str">
        <f>IFERROR(__xludf.DUMMYFUNCTION("upper(Regexreplace(to_text(E465),""[^A-Za-z0-9]"","""")&amp;""-""&amp;Regexreplace(to_text(F465),""[^A-Za-z0-9]"",""""))"),"NEPTRONIC-EVCBSERIES")</f>
        <v>NEPTRONIC-EVCBSERIES</v>
      </c>
    </row>
    <row r="466" ht="30.0" customHeight="1">
      <c r="A466" s="258">
        <v>458.0</v>
      </c>
      <c r="B466" s="237" t="s">
        <v>670</v>
      </c>
      <c r="C466" s="257" t="s">
        <v>2977</v>
      </c>
      <c r="D466" s="173" t="s">
        <v>2977</v>
      </c>
      <c r="E466" s="174" t="s">
        <v>2861</v>
      </c>
      <c r="F466" s="173" t="s">
        <v>2862</v>
      </c>
      <c r="G466" s="328" t="s">
        <v>673</v>
      </c>
      <c r="H466" s="328" t="s">
        <v>2863</v>
      </c>
      <c r="I466" s="258" t="s">
        <v>2864</v>
      </c>
      <c r="J466" s="259" t="s">
        <v>739</v>
      </c>
      <c r="K466" s="260" t="s">
        <v>2978</v>
      </c>
      <c r="L466" s="328"/>
      <c r="M466" s="343"/>
      <c r="N466" s="173" t="s">
        <v>679</v>
      </c>
      <c r="O466" s="173" t="s">
        <v>225</v>
      </c>
      <c r="P466" s="262" t="str">
        <f t="shared" si="1"/>
        <v>IN-BLR-ANANTA-VAV-38_G</v>
      </c>
      <c r="Q466" s="173" t="s">
        <v>2979</v>
      </c>
      <c r="R466" s="328" t="str">
        <f>IFS(C466="","",C466="n/a","N/A",LEN(C466),Concatenate("{",char(34),"asset",char(34),":{",char(34),"guid",char(34),":",char(34),Q466,char(34),",",char(34),"site",char(34),":",char(34),LOWER('2-Building'!$B$4),char(34),",",char(34),"name",char(34),":",char(34),LOWER(C466),char(34),"}}"))</f>
        <v>{"asset":{"guid":"uuid://0a90b1f5-c0f8-461c-ae8e-dc2e134274c6","site":"in-blr-ananta","name":"vav-38"}}</v>
      </c>
      <c r="S466" s="237" t="s">
        <v>2866</v>
      </c>
      <c r="T466" s="330"/>
      <c r="U466" s="330"/>
      <c r="V466" s="331"/>
      <c r="W466" s="344"/>
      <c r="X466" s="341"/>
      <c r="Y466" s="33" t="s">
        <v>2867</v>
      </c>
      <c r="Z466" s="258">
        <v>120038.0</v>
      </c>
      <c r="AA466" s="334">
        <v>11584.0</v>
      </c>
      <c r="AB466" s="341"/>
      <c r="AC466" s="341"/>
      <c r="AD466" s="343"/>
      <c r="AE466" s="331"/>
      <c r="AF466" s="348"/>
      <c r="AG466" s="337"/>
      <c r="AH466" s="341"/>
      <c r="AI466" s="341"/>
      <c r="AJ466" s="341"/>
      <c r="AK466" s="341"/>
      <c r="AL466" s="341"/>
      <c r="AM466" s="338"/>
      <c r="AN466" s="341"/>
      <c r="AO466" s="341"/>
      <c r="AP466" s="341"/>
      <c r="AQ466" s="341"/>
      <c r="AR466" s="341"/>
      <c r="AS466" s="341"/>
      <c r="AT466" s="341"/>
      <c r="AU466" s="343"/>
      <c r="AV466" s="341"/>
      <c r="AW466" s="269" t="s">
        <v>1921</v>
      </c>
      <c r="AX466" s="334" t="s">
        <v>2869</v>
      </c>
      <c r="AY466" s="270" t="s">
        <v>695</v>
      </c>
      <c r="AZ466" s="270" t="s">
        <v>2866</v>
      </c>
      <c r="BA466" s="265">
        <v>10.0</v>
      </c>
      <c r="BB466" s="174" t="s">
        <v>245</v>
      </c>
      <c r="BC466" s="341"/>
      <c r="BD466" s="308"/>
      <c r="BE466" s="347"/>
      <c r="BF466" s="274" t="str">
        <f>IFERROR(__xludf.DUMMYFUNCTION("LOWER(Regexreplace(to_text(E466),""[^A-Za-z0-9]"","""")&amp;""_""&amp;Regexreplace(to_text(F466),""[^A-Za-z0-9]"",""""))"),"neptronic_evcbseries")</f>
        <v>neptronic_evcbseries</v>
      </c>
      <c r="BG466" s="275" t="str">
        <f>IFERROR(__xludf.DUMMYFUNCTION("upper(Regexreplace(to_text(E466),""[^A-Za-z0-9]"","""")&amp;""-""&amp;Regexreplace(to_text(F466),""[^A-Za-z0-9]"",""""))"),"NEPTRONIC-EVCBSERIES")</f>
        <v>NEPTRONIC-EVCBSERIES</v>
      </c>
    </row>
    <row r="467" ht="30.0" customHeight="1">
      <c r="A467" s="173">
        <v>459.0</v>
      </c>
      <c r="B467" s="237" t="s">
        <v>670</v>
      </c>
      <c r="C467" s="257" t="s">
        <v>2980</v>
      </c>
      <c r="D467" s="173" t="s">
        <v>2980</v>
      </c>
      <c r="E467" s="174" t="s">
        <v>2861</v>
      </c>
      <c r="F467" s="173" t="s">
        <v>2862</v>
      </c>
      <c r="G467" s="328" t="s">
        <v>673</v>
      </c>
      <c r="H467" s="328" t="s">
        <v>2863</v>
      </c>
      <c r="I467" s="258" t="s">
        <v>2864</v>
      </c>
      <c r="J467" s="259" t="s">
        <v>739</v>
      </c>
      <c r="K467" s="260" t="s">
        <v>2981</v>
      </c>
      <c r="L467" s="328"/>
      <c r="M467" s="343"/>
      <c r="N467" s="173" t="s">
        <v>679</v>
      </c>
      <c r="O467" s="173" t="s">
        <v>225</v>
      </c>
      <c r="P467" s="262" t="str">
        <f t="shared" si="1"/>
        <v>IN-BLR-ANANTA-VAV-39_G</v>
      </c>
      <c r="Q467" s="173" t="s">
        <v>2982</v>
      </c>
      <c r="R467" s="328" t="str">
        <f>IFS(C467="","",C467="n/a","N/A",LEN(C467),Concatenate("{",char(34),"asset",char(34),":{",char(34),"guid",char(34),":",char(34),Q467,char(34),",",char(34),"site",char(34),":",char(34),LOWER('2-Building'!$B$4),char(34),",",char(34),"name",char(34),":",char(34),LOWER(C467),char(34),"}}"))</f>
        <v>{"asset":{"guid":"uuid://0f7cba2a-2609-40b1-a70a-632266b8e495","site":"in-blr-ananta","name":"vav-39"}}</v>
      </c>
      <c r="S467" s="237" t="s">
        <v>2866</v>
      </c>
      <c r="T467" s="330"/>
      <c r="U467" s="330"/>
      <c r="V467" s="331"/>
      <c r="W467" s="344"/>
      <c r="X467" s="341"/>
      <c r="Y467" s="33" t="s">
        <v>2867</v>
      </c>
      <c r="Z467" s="258">
        <v>120039.0</v>
      </c>
      <c r="AA467" s="334">
        <v>11584.0</v>
      </c>
      <c r="AB467" s="341"/>
      <c r="AC467" s="341"/>
      <c r="AD467" s="343"/>
      <c r="AE467" s="331"/>
      <c r="AF467" s="348"/>
      <c r="AG467" s="337"/>
      <c r="AH467" s="341"/>
      <c r="AI467" s="341"/>
      <c r="AJ467" s="341"/>
      <c r="AK467" s="341"/>
      <c r="AL467" s="341"/>
      <c r="AM467" s="338"/>
      <c r="AN467" s="341"/>
      <c r="AO467" s="341"/>
      <c r="AP467" s="341"/>
      <c r="AQ467" s="341"/>
      <c r="AR467" s="341"/>
      <c r="AS467" s="341"/>
      <c r="AT467" s="341"/>
      <c r="AU467" s="343"/>
      <c r="AV467" s="341"/>
      <c r="AW467" s="269" t="s">
        <v>1921</v>
      </c>
      <c r="AX467" s="334" t="s">
        <v>2869</v>
      </c>
      <c r="AY467" s="270" t="s">
        <v>695</v>
      </c>
      <c r="AZ467" s="270" t="s">
        <v>2866</v>
      </c>
      <c r="BA467" s="265">
        <v>10.0</v>
      </c>
      <c r="BB467" s="174" t="s">
        <v>245</v>
      </c>
      <c r="BC467" s="341"/>
      <c r="BD467" s="308"/>
      <c r="BE467" s="347"/>
      <c r="BF467" s="274" t="str">
        <f>IFERROR(__xludf.DUMMYFUNCTION("LOWER(Regexreplace(to_text(E467),""[^A-Za-z0-9]"","""")&amp;""_""&amp;Regexreplace(to_text(F467),""[^A-Za-z0-9]"",""""))"),"neptronic_evcbseries")</f>
        <v>neptronic_evcbseries</v>
      </c>
      <c r="BG467" s="275" t="str">
        <f>IFERROR(__xludf.DUMMYFUNCTION("upper(Regexreplace(to_text(E467),""[^A-Za-z0-9]"","""")&amp;""-""&amp;Regexreplace(to_text(F467),""[^A-Za-z0-9]"",""""))"),"NEPTRONIC-EVCBSERIES")</f>
        <v>NEPTRONIC-EVCBSERIES</v>
      </c>
    </row>
    <row r="468" ht="30.0" customHeight="1">
      <c r="A468" s="258">
        <v>460.0</v>
      </c>
      <c r="B468" s="237" t="s">
        <v>670</v>
      </c>
      <c r="C468" s="257" t="s">
        <v>2983</v>
      </c>
      <c r="D468" s="173" t="s">
        <v>2983</v>
      </c>
      <c r="E468" s="174" t="s">
        <v>2861</v>
      </c>
      <c r="F468" s="173" t="s">
        <v>2862</v>
      </c>
      <c r="G468" s="328" t="s">
        <v>673</v>
      </c>
      <c r="H468" s="328" t="s">
        <v>2863</v>
      </c>
      <c r="I468" s="258" t="s">
        <v>2864</v>
      </c>
      <c r="J468" s="259" t="s">
        <v>739</v>
      </c>
      <c r="K468" s="260" t="s">
        <v>2981</v>
      </c>
      <c r="L468" s="328"/>
      <c r="M468" s="343"/>
      <c r="N468" s="173" t="s">
        <v>679</v>
      </c>
      <c r="O468" s="173" t="s">
        <v>225</v>
      </c>
      <c r="P468" s="262" t="str">
        <f t="shared" si="1"/>
        <v>IN-BLR-ANANTA-VAV-40_G</v>
      </c>
      <c r="Q468" s="173" t="s">
        <v>2984</v>
      </c>
      <c r="R468" s="328" t="str">
        <f>IFS(C468="","",C468="n/a","N/A",LEN(C468),Concatenate("{",char(34),"asset",char(34),":{",char(34),"guid",char(34),":",char(34),Q468,char(34),",",char(34),"site",char(34),":",char(34),LOWER('2-Building'!$B$4),char(34),",",char(34),"name",char(34),":",char(34),LOWER(C468),char(34),"}}"))</f>
        <v>{"asset":{"guid":"uuid://84e4bfe2-4428-42fc-8e89-6a629ad4443e","site":"in-blr-ananta","name":"vav-40"}}</v>
      </c>
      <c r="S468" s="237" t="s">
        <v>2866</v>
      </c>
      <c r="T468" s="330"/>
      <c r="U468" s="330"/>
      <c r="V468" s="331"/>
      <c r="W468" s="344"/>
      <c r="X468" s="341"/>
      <c r="Y468" s="33" t="s">
        <v>2867</v>
      </c>
      <c r="Z468" s="258">
        <v>120040.0</v>
      </c>
      <c r="AA468" s="334">
        <v>11584.0</v>
      </c>
      <c r="AB468" s="341"/>
      <c r="AC468" s="341"/>
      <c r="AD468" s="343"/>
      <c r="AE468" s="331"/>
      <c r="AF468" s="348"/>
      <c r="AG468" s="337"/>
      <c r="AH468" s="341"/>
      <c r="AI468" s="341"/>
      <c r="AJ468" s="341"/>
      <c r="AK468" s="341"/>
      <c r="AL468" s="341"/>
      <c r="AM468" s="338"/>
      <c r="AN468" s="341"/>
      <c r="AO468" s="341"/>
      <c r="AP468" s="341"/>
      <c r="AQ468" s="341"/>
      <c r="AR468" s="341"/>
      <c r="AS468" s="341"/>
      <c r="AT468" s="341"/>
      <c r="AU468" s="343"/>
      <c r="AV468" s="341"/>
      <c r="AW468" s="269" t="s">
        <v>1921</v>
      </c>
      <c r="AX468" s="334" t="s">
        <v>2869</v>
      </c>
      <c r="AY468" s="270" t="s">
        <v>695</v>
      </c>
      <c r="AZ468" s="270" t="s">
        <v>2866</v>
      </c>
      <c r="BA468" s="265">
        <v>10.0</v>
      </c>
      <c r="BB468" s="174" t="s">
        <v>245</v>
      </c>
      <c r="BC468" s="341"/>
      <c r="BD468" s="308"/>
      <c r="BE468" s="347"/>
      <c r="BF468" s="274" t="str">
        <f>IFERROR(__xludf.DUMMYFUNCTION("LOWER(Regexreplace(to_text(E468),""[^A-Za-z0-9]"","""")&amp;""_""&amp;Regexreplace(to_text(F468),""[^A-Za-z0-9]"",""""))"),"neptronic_evcbseries")</f>
        <v>neptronic_evcbseries</v>
      </c>
      <c r="BG468" s="275" t="str">
        <f>IFERROR(__xludf.DUMMYFUNCTION("upper(Regexreplace(to_text(E468),""[^A-Za-z0-9]"","""")&amp;""-""&amp;Regexreplace(to_text(F468),""[^A-Za-z0-9]"",""""))"),"NEPTRONIC-EVCBSERIES")</f>
        <v>NEPTRONIC-EVCBSERIES</v>
      </c>
    </row>
    <row r="469" ht="30.0" customHeight="1">
      <c r="A469" s="173">
        <v>461.0</v>
      </c>
      <c r="B469" s="237" t="s">
        <v>670</v>
      </c>
      <c r="C469" s="257" t="s">
        <v>2985</v>
      </c>
      <c r="D469" s="173" t="s">
        <v>2985</v>
      </c>
      <c r="E469" s="174" t="s">
        <v>2861</v>
      </c>
      <c r="F469" s="173" t="s">
        <v>2862</v>
      </c>
      <c r="G469" s="328" t="s">
        <v>673</v>
      </c>
      <c r="H469" s="328" t="s">
        <v>2863</v>
      </c>
      <c r="I469" s="258" t="s">
        <v>2864</v>
      </c>
      <c r="J469" s="259" t="s">
        <v>739</v>
      </c>
      <c r="K469" s="260" t="s">
        <v>2986</v>
      </c>
      <c r="L469" s="328"/>
      <c r="M469" s="343"/>
      <c r="N469" s="173" t="s">
        <v>679</v>
      </c>
      <c r="O469" s="173" t="s">
        <v>225</v>
      </c>
      <c r="P469" s="262" t="str">
        <f t="shared" si="1"/>
        <v>IN-BLR-ANANTA-VAV-41_G</v>
      </c>
      <c r="Q469" s="173" t="s">
        <v>2987</v>
      </c>
      <c r="R469" s="328" t="str">
        <f>IFS(C469="","",C469="n/a","N/A",LEN(C469),Concatenate("{",char(34),"asset",char(34),":{",char(34),"guid",char(34),":",char(34),Q469,char(34),",",char(34),"site",char(34),":",char(34),LOWER('2-Building'!$B$4),char(34),",",char(34),"name",char(34),":",char(34),LOWER(C469),char(34),"}}"))</f>
        <v>{"asset":{"guid":"uuid://98f269d4-d1ad-4e84-8a88-f51491ae65cd","site":"in-blr-ananta","name":"vav-41"}}</v>
      </c>
      <c r="S469" s="237" t="s">
        <v>2866</v>
      </c>
      <c r="T469" s="330"/>
      <c r="U469" s="330"/>
      <c r="V469" s="331"/>
      <c r="W469" s="344"/>
      <c r="X469" s="341"/>
      <c r="Y469" s="33" t="s">
        <v>2867</v>
      </c>
      <c r="Z469" s="258">
        <v>120041.0</v>
      </c>
      <c r="AA469" s="334">
        <v>11584.0</v>
      </c>
      <c r="AB469" s="341"/>
      <c r="AC469" s="341"/>
      <c r="AD469" s="343"/>
      <c r="AE469" s="331"/>
      <c r="AF469" s="348"/>
      <c r="AG469" s="337"/>
      <c r="AH469" s="341"/>
      <c r="AI469" s="341"/>
      <c r="AJ469" s="341"/>
      <c r="AK469" s="341"/>
      <c r="AL469" s="341"/>
      <c r="AM469" s="338"/>
      <c r="AN469" s="341"/>
      <c r="AO469" s="341"/>
      <c r="AP469" s="341"/>
      <c r="AQ469" s="341"/>
      <c r="AR469" s="341"/>
      <c r="AS469" s="341"/>
      <c r="AT469" s="341"/>
      <c r="AU469" s="343"/>
      <c r="AV469" s="341"/>
      <c r="AW469" s="269" t="s">
        <v>1921</v>
      </c>
      <c r="AX469" s="334" t="s">
        <v>2869</v>
      </c>
      <c r="AY469" s="270" t="s">
        <v>695</v>
      </c>
      <c r="AZ469" s="270" t="s">
        <v>2866</v>
      </c>
      <c r="BA469" s="265">
        <v>10.0</v>
      </c>
      <c r="BB469" s="174" t="s">
        <v>245</v>
      </c>
      <c r="BC469" s="341"/>
      <c r="BD469" s="308"/>
      <c r="BE469" s="347"/>
      <c r="BF469" s="274" t="str">
        <f>IFERROR(__xludf.DUMMYFUNCTION("LOWER(Regexreplace(to_text(E469),""[^A-Za-z0-9]"","""")&amp;""_""&amp;Regexreplace(to_text(F469),""[^A-Za-z0-9]"",""""))"),"neptronic_evcbseries")</f>
        <v>neptronic_evcbseries</v>
      </c>
      <c r="BG469" s="275" t="str">
        <f>IFERROR(__xludf.DUMMYFUNCTION("upper(Regexreplace(to_text(E469),""[^A-Za-z0-9]"","""")&amp;""-""&amp;Regexreplace(to_text(F469),""[^A-Za-z0-9]"",""""))"),"NEPTRONIC-EVCBSERIES")</f>
        <v>NEPTRONIC-EVCBSERIES</v>
      </c>
    </row>
    <row r="470" ht="30.0" customHeight="1">
      <c r="A470" s="258">
        <v>462.0</v>
      </c>
      <c r="B470" s="237" t="s">
        <v>670</v>
      </c>
      <c r="C470" s="257" t="s">
        <v>2988</v>
      </c>
      <c r="D470" s="173" t="s">
        <v>2988</v>
      </c>
      <c r="E470" s="174" t="s">
        <v>2861</v>
      </c>
      <c r="F470" s="173" t="s">
        <v>2862</v>
      </c>
      <c r="G470" s="328" t="s">
        <v>673</v>
      </c>
      <c r="H470" s="328" t="s">
        <v>2863</v>
      </c>
      <c r="I470" s="258" t="s">
        <v>2864</v>
      </c>
      <c r="J470" s="259" t="s">
        <v>739</v>
      </c>
      <c r="K470" s="260" t="s">
        <v>2989</v>
      </c>
      <c r="L470" s="328"/>
      <c r="M470" s="343"/>
      <c r="N470" s="173" t="s">
        <v>679</v>
      </c>
      <c r="O470" s="173" t="s">
        <v>225</v>
      </c>
      <c r="P470" s="262" t="str">
        <f t="shared" si="1"/>
        <v>IN-BLR-ANANTA-VAV-42_G</v>
      </c>
      <c r="Q470" s="173" t="s">
        <v>2990</v>
      </c>
      <c r="R470" s="328" t="str">
        <f>IFS(C470="","",C470="n/a","N/A",LEN(C470),Concatenate("{",char(34),"asset",char(34),":{",char(34),"guid",char(34),":",char(34),Q470,char(34),",",char(34),"site",char(34),":",char(34),LOWER('2-Building'!$B$4),char(34),",",char(34),"name",char(34),":",char(34),LOWER(C470),char(34),"}}"))</f>
        <v>{"asset":{"guid":"uuid://3f2eb546-2616-4565-a5e5-10c2ad36417b","site":"in-blr-ananta","name":"vav-42"}}</v>
      </c>
      <c r="S470" s="237" t="s">
        <v>2866</v>
      </c>
      <c r="T470" s="330"/>
      <c r="U470" s="330"/>
      <c r="V470" s="331"/>
      <c r="W470" s="344"/>
      <c r="X470" s="341"/>
      <c r="Y470" s="33" t="s">
        <v>2867</v>
      </c>
      <c r="Z470" s="258">
        <v>120042.0</v>
      </c>
      <c r="AA470" s="334">
        <v>11584.0</v>
      </c>
      <c r="AB470" s="341"/>
      <c r="AC470" s="341"/>
      <c r="AD470" s="343"/>
      <c r="AE470" s="331"/>
      <c r="AF470" s="348"/>
      <c r="AG470" s="337"/>
      <c r="AH470" s="341"/>
      <c r="AI470" s="341"/>
      <c r="AJ470" s="341"/>
      <c r="AK470" s="341"/>
      <c r="AL470" s="341"/>
      <c r="AM470" s="338"/>
      <c r="AN470" s="341"/>
      <c r="AO470" s="341"/>
      <c r="AP470" s="341"/>
      <c r="AQ470" s="341"/>
      <c r="AR470" s="341"/>
      <c r="AS470" s="341"/>
      <c r="AT470" s="341"/>
      <c r="AU470" s="343"/>
      <c r="AV470" s="341"/>
      <c r="AW470" s="269" t="s">
        <v>1921</v>
      </c>
      <c r="AX470" s="334" t="s">
        <v>2869</v>
      </c>
      <c r="AY470" s="270" t="s">
        <v>695</v>
      </c>
      <c r="AZ470" s="270" t="s">
        <v>2866</v>
      </c>
      <c r="BA470" s="265">
        <v>10.0</v>
      </c>
      <c r="BB470" s="174" t="s">
        <v>245</v>
      </c>
      <c r="BC470" s="341"/>
      <c r="BD470" s="308"/>
      <c r="BE470" s="347"/>
      <c r="BF470" s="274" t="str">
        <f>IFERROR(__xludf.DUMMYFUNCTION("LOWER(Regexreplace(to_text(E470),""[^A-Za-z0-9]"","""")&amp;""_""&amp;Regexreplace(to_text(F470),""[^A-Za-z0-9]"",""""))"),"neptronic_evcbseries")</f>
        <v>neptronic_evcbseries</v>
      </c>
      <c r="BG470" s="275" t="str">
        <f>IFERROR(__xludf.DUMMYFUNCTION("upper(Regexreplace(to_text(E470),""[^A-Za-z0-9]"","""")&amp;""-""&amp;Regexreplace(to_text(F470),""[^A-Za-z0-9]"",""""))"),"NEPTRONIC-EVCBSERIES")</f>
        <v>NEPTRONIC-EVCBSERIES</v>
      </c>
    </row>
    <row r="471" ht="30.0" customHeight="1">
      <c r="A471" s="173">
        <v>463.0</v>
      </c>
      <c r="B471" s="237" t="s">
        <v>670</v>
      </c>
      <c r="C471" s="257" t="s">
        <v>2991</v>
      </c>
      <c r="D471" s="173" t="s">
        <v>2991</v>
      </c>
      <c r="E471" s="174" t="s">
        <v>2861</v>
      </c>
      <c r="F471" s="173" t="s">
        <v>2862</v>
      </c>
      <c r="G471" s="328" t="s">
        <v>673</v>
      </c>
      <c r="H471" s="328" t="s">
        <v>2863</v>
      </c>
      <c r="I471" s="258" t="s">
        <v>2864</v>
      </c>
      <c r="J471" s="259" t="s">
        <v>739</v>
      </c>
      <c r="K471" s="260" t="s">
        <v>2992</v>
      </c>
      <c r="L471" s="328"/>
      <c r="M471" s="343"/>
      <c r="N471" s="173" t="s">
        <v>679</v>
      </c>
      <c r="O471" s="173" t="s">
        <v>225</v>
      </c>
      <c r="P471" s="262" t="str">
        <f t="shared" si="1"/>
        <v>IN-BLR-ANANTA-VAV-43_G</v>
      </c>
      <c r="Q471" s="173" t="s">
        <v>2993</v>
      </c>
      <c r="R471" s="328" t="str">
        <f>IFS(C471="","",C471="n/a","N/A",LEN(C471),Concatenate("{",char(34),"asset",char(34),":{",char(34),"guid",char(34),":",char(34),Q471,char(34),",",char(34),"site",char(34),":",char(34),LOWER('2-Building'!$B$4),char(34),",",char(34),"name",char(34),":",char(34),LOWER(C471),char(34),"}}"))</f>
        <v>{"asset":{"guid":"uuid://150aca48-7473-4a1d-b633-86f8b5ded0cc","site":"in-blr-ananta","name":"vav-43"}}</v>
      </c>
      <c r="S471" s="237" t="s">
        <v>2866</v>
      </c>
      <c r="T471" s="330"/>
      <c r="U471" s="330"/>
      <c r="V471" s="331"/>
      <c r="W471" s="344"/>
      <c r="X471" s="341"/>
      <c r="Y471" s="33" t="s">
        <v>2867</v>
      </c>
      <c r="Z471" s="258">
        <v>120043.0</v>
      </c>
      <c r="AA471" s="334">
        <v>11584.0</v>
      </c>
      <c r="AB471" s="341"/>
      <c r="AC471" s="341"/>
      <c r="AD471" s="343"/>
      <c r="AE471" s="331"/>
      <c r="AF471" s="348"/>
      <c r="AG471" s="337"/>
      <c r="AH471" s="341"/>
      <c r="AI471" s="341"/>
      <c r="AJ471" s="341"/>
      <c r="AK471" s="341"/>
      <c r="AL471" s="341"/>
      <c r="AM471" s="338"/>
      <c r="AN471" s="341"/>
      <c r="AO471" s="341"/>
      <c r="AP471" s="341"/>
      <c r="AQ471" s="341"/>
      <c r="AR471" s="341"/>
      <c r="AS471" s="341"/>
      <c r="AT471" s="341"/>
      <c r="AU471" s="343"/>
      <c r="AV471" s="341"/>
      <c r="AW471" s="269" t="s">
        <v>1921</v>
      </c>
      <c r="AX471" s="334" t="s">
        <v>2869</v>
      </c>
      <c r="AY471" s="270" t="s">
        <v>695</v>
      </c>
      <c r="AZ471" s="270" t="s">
        <v>2866</v>
      </c>
      <c r="BA471" s="265">
        <v>10.0</v>
      </c>
      <c r="BB471" s="174" t="s">
        <v>245</v>
      </c>
      <c r="BC471" s="341"/>
      <c r="BD471" s="308"/>
      <c r="BE471" s="347"/>
      <c r="BF471" s="274" t="str">
        <f>IFERROR(__xludf.DUMMYFUNCTION("LOWER(Regexreplace(to_text(E471),""[^A-Za-z0-9]"","""")&amp;""_""&amp;Regexreplace(to_text(F471),""[^A-Za-z0-9]"",""""))"),"neptronic_evcbseries")</f>
        <v>neptronic_evcbseries</v>
      </c>
      <c r="BG471" s="275" t="str">
        <f>IFERROR(__xludf.DUMMYFUNCTION("upper(Regexreplace(to_text(E471),""[^A-Za-z0-9]"","""")&amp;""-""&amp;Regexreplace(to_text(F471),""[^A-Za-z0-9]"",""""))"),"NEPTRONIC-EVCBSERIES")</f>
        <v>NEPTRONIC-EVCBSERIES</v>
      </c>
    </row>
    <row r="472" ht="30.0" customHeight="1">
      <c r="A472" s="258">
        <v>464.0</v>
      </c>
      <c r="B472" s="237" t="s">
        <v>670</v>
      </c>
      <c r="C472" s="257" t="s">
        <v>2994</v>
      </c>
      <c r="D472" s="173" t="s">
        <v>2994</v>
      </c>
      <c r="E472" s="174" t="s">
        <v>2861</v>
      </c>
      <c r="F472" s="173" t="s">
        <v>2862</v>
      </c>
      <c r="G472" s="328" t="s">
        <v>673</v>
      </c>
      <c r="H472" s="328" t="s">
        <v>2863</v>
      </c>
      <c r="I472" s="258" t="s">
        <v>2864</v>
      </c>
      <c r="J472" s="259" t="s">
        <v>739</v>
      </c>
      <c r="K472" s="260" t="s">
        <v>2995</v>
      </c>
      <c r="L472" s="328"/>
      <c r="M472" s="343"/>
      <c r="N472" s="173" t="s">
        <v>679</v>
      </c>
      <c r="O472" s="173" t="s">
        <v>225</v>
      </c>
      <c r="P472" s="262" t="str">
        <f t="shared" si="1"/>
        <v>IN-BLR-ANANTA-VAV-44_G</v>
      </c>
      <c r="Q472" s="173" t="s">
        <v>2996</v>
      </c>
      <c r="R472" s="328" t="str">
        <f>IFS(C472="","",C472="n/a","N/A",LEN(C472),Concatenate("{",char(34),"asset",char(34),":{",char(34),"guid",char(34),":",char(34),Q472,char(34),",",char(34),"site",char(34),":",char(34),LOWER('2-Building'!$B$4),char(34),",",char(34),"name",char(34),":",char(34),LOWER(C472),char(34),"}}"))</f>
        <v>{"asset":{"guid":"uuid://a4bdd57d-f0af-4461-8e39-9052c1fa700a","site":"in-blr-ananta","name":"vav-44"}}</v>
      </c>
      <c r="S472" s="237" t="s">
        <v>2866</v>
      </c>
      <c r="T472" s="330"/>
      <c r="U472" s="330"/>
      <c r="V472" s="331"/>
      <c r="W472" s="344"/>
      <c r="X472" s="341"/>
      <c r="Y472" s="33" t="s">
        <v>2867</v>
      </c>
      <c r="Z472" s="258">
        <v>120044.0</v>
      </c>
      <c r="AA472" s="334">
        <v>11584.0</v>
      </c>
      <c r="AB472" s="341"/>
      <c r="AC472" s="341"/>
      <c r="AD472" s="343"/>
      <c r="AE472" s="331"/>
      <c r="AF472" s="348"/>
      <c r="AG472" s="337"/>
      <c r="AH472" s="341"/>
      <c r="AI472" s="341"/>
      <c r="AJ472" s="341"/>
      <c r="AK472" s="341"/>
      <c r="AL472" s="341"/>
      <c r="AM472" s="338"/>
      <c r="AN472" s="341"/>
      <c r="AO472" s="341"/>
      <c r="AP472" s="341"/>
      <c r="AQ472" s="341"/>
      <c r="AR472" s="341"/>
      <c r="AS472" s="341"/>
      <c r="AT472" s="341"/>
      <c r="AU472" s="343"/>
      <c r="AV472" s="341"/>
      <c r="AW472" s="269" t="s">
        <v>1921</v>
      </c>
      <c r="AX472" s="334" t="s">
        <v>2869</v>
      </c>
      <c r="AY472" s="270" t="s">
        <v>695</v>
      </c>
      <c r="AZ472" s="270" t="s">
        <v>2866</v>
      </c>
      <c r="BA472" s="265">
        <v>10.0</v>
      </c>
      <c r="BB472" s="174" t="s">
        <v>245</v>
      </c>
      <c r="BC472" s="341"/>
      <c r="BD472" s="308"/>
      <c r="BE472" s="347"/>
      <c r="BF472" s="274" t="str">
        <f>IFERROR(__xludf.DUMMYFUNCTION("LOWER(Regexreplace(to_text(E472),""[^A-Za-z0-9]"","""")&amp;""_""&amp;Regexreplace(to_text(F472),""[^A-Za-z0-9]"",""""))"),"neptronic_evcbseries")</f>
        <v>neptronic_evcbseries</v>
      </c>
      <c r="BG472" s="275" t="str">
        <f>IFERROR(__xludf.DUMMYFUNCTION("upper(Regexreplace(to_text(E472),""[^A-Za-z0-9]"","""")&amp;""-""&amp;Regexreplace(to_text(F472),""[^A-Za-z0-9]"",""""))"),"NEPTRONIC-EVCBSERIES")</f>
        <v>NEPTRONIC-EVCBSERIES</v>
      </c>
    </row>
    <row r="473" ht="30.0" customHeight="1">
      <c r="A473" s="173">
        <v>465.0</v>
      </c>
      <c r="B473" s="237" t="s">
        <v>670</v>
      </c>
      <c r="C473" s="257" t="s">
        <v>2997</v>
      </c>
      <c r="D473" s="173" t="s">
        <v>2997</v>
      </c>
      <c r="E473" s="174" t="s">
        <v>2861</v>
      </c>
      <c r="F473" s="173" t="s">
        <v>2862</v>
      </c>
      <c r="G473" s="328" t="s">
        <v>673</v>
      </c>
      <c r="H473" s="328" t="s">
        <v>2863</v>
      </c>
      <c r="I473" s="258" t="s">
        <v>2864</v>
      </c>
      <c r="J473" s="259" t="s">
        <v>739</v>
      </c>
      <c r="K473" s="260" t="s">
        <v>2998</v>
      </c>
      <c r="L473" s="328"/>
      <c r="M473" s="343"/>
      <c r="N473" s="173" t="s">
        <v>679</v>
      </c>
      <c r="O473" s="173" t="s">
        <v>225</v>
      </c>
      <c r="P473" s="262" t="str">
        <f t="shared" si="1"/>
        <v>IN-BLR-ANANTA-VAV-45_G</v>
      </c>
      <c r="Q473" s="173" t="s">
        <v>2999</v>
      </c>
      <c r="R473" s="328" t="str">
        <f>IFS(C473="","",C473="n/a","N/A",LEN(C473),Concatenate("{",char(34),"asset",char(34),":{",char(34),"guid",char(34),":",char(34),Q473,char(34),",",char(34),"site",char(34),":",char(34),LOWER('2-Building'!$B$4),char(34),",",char(34),"name",char(34),":",char(34),LOWER(C473),char(34),"}}"))</f>
        <v>{"asset":{"guid":"uuid://8ea40451-53f1-4054-b741-96e89e40c0d2","site":"in-blr-ananta","name":"vav-45"}}</v>
      </c>
      <c r="S473" s="237" t="s">
        <v>2866</v>
      </c>
      <c r="T473" s="330"/>
      <c r="U473" s="330"/>
      <c r="V473" s="331"/>
      <c r="W473" s="344"/>
      <c r="X473" s="341"/>
      <c r="Y473" s="33" t="s">
        <v>2867</v>
      </c>
      <c r="Z473" s="258">
        <v>120045.0</v>
      </c>
      <c r="AA473" s="334">
        <v>11584.0</v>
      </c>
      <c r="AB473" s="341"/>
      <c r="AC473" s="341"/>
      <c r="AD473" s="343"/>
      <c r="AE473" s="331"/>
      <c r="AF473" s="348"/>
      <c r="AG473" s="337"/>
      <c r="AH473" s="341"/>
      <c r="AI473" s="341"/>
      <c r="AJ473" s="341"/>
      <c r="AK473" s="341"/>
      <c r="AL473" s="341"/>
      <c r="AM473" s="338"/>
      <c r="AN473" s="341"/>
      <c r="AO473" s="341"/>
      <c r="AP473" s="341"/>
      <c r="AQ473" s="341"/>
      <c r="AR473" s="341"/>
      <c r="AS473" s="341"/>
      <c r="AT473" s="341"/>
      <c r="AU473" s="343"/>
      <c r="AV473" s="341"/>
      <c r="AW473" s="269" t="s">
        <v>1921</v>
      </c>
      <c r="AX473" s="334" t="s">
        <v>2869</v>
      </c>
      <c r="AY473" s="270" t="s">
        <v>695</v>
      </c>
      <c r="AZ473" s="270" t="s">
        <v>2866</v>
      </c>
      <c r="BA473" s="265">
        <v>10.0</v>
      </c>
      <c r="BB473" s="174" t="s">
        <v>245</v>
      </c>
      <c r="BC473" s="341"/>
      <c r="BD473" s="308"/>
      <c r="BE473" s="347"/>
      <c r="BF473" s="274" t="str">
        <f>IFERROR(__xludf.DUMMYFUNCTION("LOWER(Regexreplace(to_text(E473),""[^A-Za-z0-9]"","""")&amp;""_""&amp;Regexreplace(to_text(F473),""[^A-Za-z0-9]"",""""))"),"neptronic_evcbseries")</f>
        <v>neptronic_evcbseries</v>
      </c>
      <c r="BG473" s="275" t="str">
        <f>IFERROR(__xludf.DUMMYFUNCTION("upper(Regexreplace(to_text(E473),""[^A-Za-z0-9]"","""")&amp;""-""&amp;Regexreplace(to_text(F473),""[^A-Za-z0-9]"",""""))"),"NEPTRONIC-EVCBSERIES")</f>
        <v>NEPTRONIC-EVCBSERIES</v>
      </c>
    </row>
    <row r="474" ht="30.0" customHeight="1">
      <c r="A474" s="258">
        <v>466.0</v>
      </c>
      <c r="B474" s="237" t="s">
        <v>670</v>
      </c>
      <c r="C474" s="257" t="s">
        <v>3000</v>
      </c>
      <c r="D474" s="173" t="s">
        <v>3000</v>
      </c>
      <c r="E474" s="174" t="s">
        <v>2861</v>
      </c>
      <c r="F474" s="173" t="s">
        <v>2862</v>
      </c>
      <c r="G474" s="328" t="s">
        <v>673</v>
      </c>
      <c r="H474" s="328" t="s">
        <v>2863</v>
      </c>
      <c r="I474" s="258" t="s">
        <v>2864</v>
      </c>
      <c r="J474" s="259" t="s">
        <v>739</v>
      </c>
      <c r="K474" s="260" t="s">
        <v>3001</v>
      </c>
      <c r="L474" s="328"/>
      <c r="M474" s="343"/>
      <c r="N474" s="173" t="s">
        <v>679</v>
      </c>
      <c r="O474" s="173" t="s">
        <v>225</v>
      </c>
      <c r="P474" s="262" t="str">
        <f t="shared" si="1"/>
        <v>IN-BLR-ANANTA-VAV-46_G</v>
      </c>
      <c r="Q474" s="173" t="s">
        <v>3002</v>
      </c>
      <c r="R474" s="328" t="str">
        <f>IFS(C474="","",C474="n/a","N/A",LEN(C474),Concatenate("{",char(34),"asset",char(34),":{",char(34),"guid",char(34),":",char(34),Q474,char(34),",",char(34),"site",char(34),":",char(34),LOWER('2-Building'!$B$4),char(34),",",char(34),"name",char(34),":",char(34),LOWER(C474),char(34),"}}"))</f>
        <v>{"asset":{"guid":"uuid://dd9f4c96-1404-47a6-becb-9ccac9c4cbc3","site":"in-blr-ananta","name":"vav-46"}}</v>
      </c>
      <c r="S474" s="237" t="s">
        <v>2866</v>
      </c>
      <c r="T474" s="330"/>
      <c r="U474" s="330"/>
      <c r="V474" s="331"/>
      <c r="W474" s="344"/>
      <c r="X474" s="341"/>
      <c r="Y474" s="33" t="s">
        <v>2867</v>
      </c>
      <c r="Z474" s="258">
        <v>120046.0</v>
      </c>
      <c r="AA474" s="334">
        <v>11584.0</v>
      </c>
      <c r="AB474" s="341"/>
      <c r="AC474" s="341"/>
      <c r="AD474" s="343"/>
      <c r="AE474" s="331"/>
      <c r="AF474" s="348"/>
      <c r="AG474" s="337"/>
      <c r="AH474" s="341"/>
      <c r="AI474" s="341"/>
      <c r="AJ474" s="341"/>
      <c r="AK474" s="341"/>
      <c r="AL474" s="341"/>
      <c r="AM474" s="338"/>
      <c r="AN474" s="341"/>
      <c r="AO474" s="341"/>
      <c r="AP474" s="341"/>
      <c r="AQ474" s="341"/>
      <c r="AR474" s="341"/>
      <c r="AS474" s="341"/>
      <c r="AT474" s="341"/>
      <c r="AU474" s="343"/>
      <c r="AV474" s="341"/>
      <c r="AW474" s="269" t="s">
        <v>1921</v>
      </c>
      <c r="AX474" s="334" t="s">
        <v>2869</v>
      </c>
      <c r="AY474" s="270" t="s">
        <v>695</v>
      </c>
      <c r="AZ474" s="270" t="s">
        <v>2866</v>
      </c>
      <c r="BA474" s="265">
        <v>10.0</v>
      </c>
      <c r="BB474" s="174" t="s">
        <v>245</v>
      </c>
      <c r="BC474" s="341"/>
      <c r="BD474" s="308"/>
      <c r="BE474" s="347"/>
      <c r="BF474" s="274" t="str">
        <f>IFERROR(__xludf.DUMMYFUNCTION("LOWER(Regexreplace(to_text(E474),""[^A-Za-z0-9]"","""")&amp;""_""&amp;Regexreplace(to_text(F474),""[^A-Za-z0-9]"",""""))"),"neptronic_evcbseries")</f>
        <v>neptronic_evcbseries</v>
      </c>
      <c r="BG474" s="275" t="str">
        <f>IFERROR(__xludf.DUMMYFUNCTION("upper(Regexreplace(to_text(E474),""[^A-Za-z0-9]"","""")&amp;""-""&amp;Regexreplace(to_text(F474),""[^A-Za-z0-9]"",""""))"),"NEPTRONIC-EVCBSERIES")</f>
        <v>NEPTRONIC-EVCBSERIES</v>
      </c>
    </row>
    <row r="475" ht="30.0" customHeight="1">
      <c r="A475" s="173">
        <v>467.0</v>
      </c>
      <c r="B475" s="237" t="s">
        <v>670</v>
      </c>
      <c r="C475" s="257" t="s">
        <v>3003</v>
      </c>
      <c r="D475" s="173" t="s">
        <v>3003</v>
      </c>
      <c r="E475" s="174" t="s">
        <v>2861</v>
      </c>
      <c r="F475" s="173" t="s">
        <v>2862</v>
      </c>
      <c r="G475" s="328" t="s">
        <v>673</v>
      </c>
      <c r="H475" s="328" t="s">
        <v>2863</v>
      </c>
      <c r="I475" s="258" t="s">
        <v>2864</v>
      </c>
      <c r="J475" s="259" t="s">
        <v>739</v>
      </c>
      <c r="K475" s="260" t="s">
        <v>3004</v>
      </c>
      <c r="L475" s="328"/>
      <c r="M475" s="343"/>
      <c r="N475" s="173" t="s">
        <v>679</v>
      </c>
      <c r="O475" s="173" t="s">
        <v>225</v>
      </c>
      <c r="P475" s="262" t="str">
        <f t="shared" si="1"/>
        <v>IN-BLR-ANANTA-VAV-47_G</v>
      </c>
      <c r="Q475" s="173" t="s">
        <v>3005</v>
      </c>
      <c r="R475" s="328" t="str">
        <f>IFS(C475="","",C475="n/a","N/A",LEN(C475),Concatenate("{",char(34),"asset",char(34),":{",char(34),"guid",char(34),":",char(34),Q475,char(34),",",char(34),"site",char(34),":",char(34),LOWER('2-Building'!$B$4),char(34),",",char(34),"name",char(34),":",char(34),LOWER(C475),char(34),"}}"))</f>
        <v>{"asset":{"guid":"uuid://cc8cda0d-bf38-4613-9b60-76a2dbadde99","site":"in-blr-ananta","name":"vav-47"}}</v>
      </c>
      <c r="S475" s="237" t="s">
        <v>2866</v>
      </c>
      <c r="T475" s="330"/>
      <c r="U475" s="330"/>
      <c r="V475" s="331"/>
      <c r="W475" s="344"/>
      <c r="X475" s="341"/>
      <c r="Y475" s="33" t="s">
        <v>2867</v>
      </c>
      <c r="Z475" s="258">
        <v>120047.0</v>
      </c>
      <c r="AA475" s="334">
        <v>11584.0</v>
      </c>
      <c r="AB475" s="341"/>
      <c r="AC475" s="341"/>
      <c r="AD475" s="343"/>
      <c r="AE475" s="331"/>
      <c r="AF475" s="348"/>
      <c r="AG475" s="337"/>
      <c r="AH475" s="341"/>
      <c r="AI475" s="341"/>
      <c r="AJ475" s="341"/>
      <c r="AK475" s="341"/>
      <c r="AL475" s="341"/>
      <c r="AM475" s="338"/>
      <c r="AN475" s="341"/>
      <c r="AO475" s="341"/>
      <c r="AP475" s="341"/>
      <c r="AQ475" s="341"/>
      <c r="AR475" s="341"/>
      <c r="AS475" s="341"/>
      <c r="AT475" s="341"/>
      <c r="AU475" s="343"/>
      <c r="AV475" s="341"/>
      <c r="AW475" s="269" t="s">
        <v>1921</v>
      </c>
      <c r="AX475" s="334" t="s">
        <v>2869</v>
      </c>
      <c r="AY475" s="270" t="s">
        <v>695</v>
      </c>
      <c r="AZ475" s="270" t="s">
        <v>2866</v>
      </c>
      <c r="BA475" s="265">
        <v>10.0</v>
      </c>
      <c r="BB475" s="174" t="s">
        <v>245</v>
      </c>
      <c r="BC475" s="341"/>
      <c r="BD475" s="308"/>
      <c r="BE475" s="347"/>
      <c r="BF475" s="274" t="str">
        <f>IFERROR(__xludf.DUMMYFUNCTION("LOWER(Regexreplace(to_text(E475),""[^A-Za-z0-9]"","""")&amp;""_""&amp;Regexreplace(to_text(F475),""[^A-Za-z0-9]"",""""))"),"neptronic_evcbseries")</f>
        <v>neptronic_evcbseries</v>
      </c>
      <c r="BG475" s="275" t="str">
        <f>IFERROR(__xludf.DUMMYFUNCTION("upper(Regexreplace(to_text(E475),""[^A-Za-z0-9]"","""")&amp;""-""&amp;Regexreplace(to_text(F475),""[^A-Za-z0-9]"",""""))"),"NEPTRONIC-EVCBSERIES")</f>
        <v>NEPTRONIC-EVCBSERIES</v>
      </c>
    </row>
    <row r="476" ht="30.0" customHeight="1">
      <c r="A476" s="258">
        <v>468.0</v>
      </c>
      <c r="B476" s="237" t="s">
        <v>670</v>
      </c>
      <c r="C476" s="257" t="s">
        <v>3006</v>
      </c>
      <c r="D476" s="173" t="s">
        <v>3006</v>
      </c>
      <c r="E476" s="174" t="s">
        <v>2861</v>
      </c>
      <c r="F476" s="173" t="s">
        <v>2862</v>
      </c>
      <c r="G476" s="328" t="s">
        <v>673</v>
      </c>
      <c r="H476" s="328" t="s">
        <v>2863</v>
      </c>
      <c r="I476" s="258" t="s">
        <v>2864</v>
      </c>
      <c r="J476" s="259" t="s">
        <v>739</v>
      </c>
      <c r="K476" s="260" t="s">
        <v>3007</v>
      </c>
      <c r="L476" s="328"/>
      <c r="M476" s="343"/>
      <c r="N476" s="173" t="s">
        <v>679</v>
      </c>
      <c r="O476" s="173" t="s">
        <v>225</v>
      </c>
      <c r="P476" s="262" t="str">
        <f t="shared" si="1"/>
        <v>IN-BLR-ANANTA-VAV-48_G</v>
      </c>
      <c r="Q476" s="173" t="s">
        <v>3008</v>
      </c>
      <c r="R476" s="328" t="str">
        <f>IFS(C476="","",C476="n/a","N/A",LEN(C476),Concatenate("{",char(34),"asset",char(34),":{",char(34),"guid",char(34),":",char(34),Q476,char(34),",",char(34),"site",char(34),":",char(34),LOWER('2-Building'!$B$4),char(34),",",char(34),"name",char(34),":",char(34),LOWER(C476),char(34),"}}"))</f>
        <v>{"asset":{"guid":"uuid://4ed61a02-ded0-41f2-aec9-0a57ce770745","site":"in-blr-ananta","name":"vav-48"}}</v>
      </c>
      <c r="S476" s="237" t="s">
        <v>2866</v>
      </c>
      <c r="T476" s="330"/>
      <c r="U476" s="330"/>
      <c r="V476" s="331"/>
      <c r="W476" s="344"/>
      <c r="X476" s="341"/>
      <c r="Y476" s="33" t="s">
        <v>2867</v>
      </c>
      <c r="Z476" s="258">
        <v>120048.0</v>
      </c>
      <c r="AA476" s="334">
        <v>11602.0</v>
      </c>
      <c r="AB476" s="341"/>
      <c r="AC476" s="341"/>
      <c r="AD476" s="343"/>
      <c r="AE476" s="331"/>
      <c r="AF476" s="348"/>
      <c r="AG476" s="337"/>
      <c r="AH476" s="341"/>
      <c r="AI476" s="341"/>
      <c r="AJ476" s="341"/>
      <c r="AK476" s="341"/>
      <c r="AL476" s="341"/>
      <c r="AM476" s="338"/>
      <c r="AN476" s="341"/>
      <c r="AO476" s="341"/>
      <c r="AP476" s="341"/>
      <c r="AQ476" s="341"/>
      <c r="AR476" s="341"/>
      <c r="AS476" s="341"/>
      <c r="AT476" s="341"/>
      <c r="AU476" s="343"/>
      <c r="AV476" s="341"/>
      <c r="AW476" s="269" t="s">
        <v>1952</v>
      </c>
      <c r="AX476" s="334" t="s">
        <v>2869</v>
      </c>
      <c r="AY476" s="270" t="s">
        <v>695</v>
      </c>
      <c r="AZ476" s="270" t="s">
        <v>2866</v>
      </c>
      <c r="BA476" s="265">
        <v>10.0</v>
      </c>
      <c r="BB476" s="174" t="s">
        <v>245</v>
      </c>
      <c r="BC476" s="341"/>
      <c r="BD476" s="308"/>
      <c r="BE476" s="347"/>
      <c r="BF476" s="274" t="str">
        <f>IFERROR(__xludf.DUMMYFUNCTION("LOWER(Regexreplace(to_text(E476),""[^A-Za-z0-9]"","""")&amp;""_""&amp;Regexreplace(to_text(F476),""[^A-Za-z0-9]"",""""))"),"neptronic_evcbseries")</f>
        <v>neptronic_evcbseries</v>
      </c>
      <c r="BG476" s="275" t="str">
        <f>IFERROR(__xludf.DUMMYFUNCTION("upper(Regexreplace(to_text(E476),""[^A-Za-z0-9]"","""")&amp;""-""&amp;Regexreplace(to_text(F476),""[^A-Za-z0-9]"",""""))"),"NEPTRONIC-EVCBSERIES")</f>
        <v>NEPTRONIC-EVCBSERIES</v>
      </c>
    </row>
    <row r="477" ht="30.0" customHeight="1">
      <c r="A477" s="173">
        <v>469.0</v>
      </c>
      <c r="B477" s="237" t="s">
        <v>670</v>
      </c>
      <c r="C477" s="257" t="s">
        <v>3009</v>
      </c>
      <c r="D477" s="173" t="s">
        <v>3009</v>
      </c>
      <c r="E477" s="174" t="s">
        <v>2861</v>
      </c>
      <c r="F477" s="173" t="s">
        <v>2862</v>
      </c>
      <c r="G477" s="328" t="s">
        <v>673</v>
      </c>
      <c r="H477" s="328" t="s">
        <v>2863</v>
      </c>
      <c r="I477" s="258" t="s">
        <v>2864</v>
      </c>
      <c r="J477" s="259" t="s">
        <v>739</v>
      </c>
      <c r="K477" s="260" t="s">
        <v>3010</v>
      </c>
      <c r="L477" s="328"/>
      <c r="M477" s="343"/>
      <c r="N477" s="173" t="s">
        <v>679</v>
      </c>
      <c r="O477" s="173" t="s">
        <v>225</v>
      </c>
      <c r="P477" s="262" t="str">
        <f t="shared" si="1"/>
        <v>IN-BLR-ANANTA-VAV-49_G</v>
      </c>
      <c r="Q477" s="173" t="s">
        <v>3011</v>
      </c>
      <c r="R477" s="328" t="str">
        <f>IFS(C477="","",C477="n/a","N/A",LEN(C477),Concatenate("{",char(34),"asset",char(34),":{",char(34),"guid",char(34),":",char(34),Q477,char(34),",",char(34),"site",char(34),":",char(34),LOWER('2-Building'!$B$4),char(34),",",char(34),"name",char(34),":",char(34),LOWER(C477),char(34),"}}"))</f>
        <v>{"asset":{"guid":"uuid://b98019cb-d51d-4a97-a231-107cba3cf6ca","site":"in-blr-ananta","name":"vav-49"}}</v>
      </c>
      <c r="S477" s="237" t="s">
        <v>2866</v>
      </c>
      <c r="T477" s="330"/>
      <c r="U477" s="330"/>
      <c r="V477" s="331"/>
      <c r="W477" s="344"/>
      <c r="X477" s="341"/>
      <c r="Y477" s="33" t="s">
        <v>2867</v>
      </c>
      <c r="Z477" s="258">
        <v>120049.0</v>
      </c>
      <c r="AA477" s="334">
        <v>11602.0</v>
      </c>
      <c r="AB477" s="341"/>
      <c r="AC477" s="341"/>
      <c r="AD477" s="343"/>
      <c r="AE477" s="331"/>
      <c r="AF477" s="348"/>
      <c r="AG477" s="337"/>
      <c r="AH477" s="341"/>
      <c r="AI477" s="341"/>
      <c r="AJ477" s="341"/>
      <c r="AK477" s="341"/>
      <c r="AL477" s="341"/>
      <c r="AM477" s="338"/>
      <c r="AN477" s="341"/>
      <c r="AO477" s="341"/>
      <c r="AP477" s="341"/>
      <c r="AQ477" s="341"/>
      <c r="AR477" s="341"/>
      <c r="AS477" s="341"/>
      <c r="AT477" s="341"/>
      <c r="AU477" s="343"/>
      <c r="AV477" s="341"/>
      <c r="AW477" s="269" t="s">
        <v>1952</v>
      </c>
      <c r="AX477" s="334" t="s">
        <v>2869</v>
      </c>
      <c r="AY477" s="270" t="s">
        <v>695</v>
      </c>
      <c r="AZ477" s="270" t="s">
        <v>2866</v>
      </c>
      <c r="BA477" s="265">
        <v>10.0</v>
      </c>
      <c r="BB477" s="174" t="s">
        <v>245</v>
      </c>
      <c r="BC477" s="341"/>
      <c r="BD477" s="308"/>
      <c r="BE477" s="347"/>
      <c r="BF477" s="274" t="str">
        <f>IFERROR(__xludf.DUMMYFUNCTION("LOWER(Regexreplace(to_text(E477),""[^A-Za-z0-9]"","""")&amp;""_""&amp;Regexreplace(to_text(F477),""[^A-Za-z0-9]"",""""))"),"neptronic_evcbseries")</f>
        <v>neptronic_evcbseries</v>
      </c>
      <c r="BG477" s="275" t="str">
        <f>IFERROR(__xludf.DUMMYFUNCTION("upper(Regexreplace(to_text(E477),""[^A-Za-z0-9]"","""")&amp;""-""&amp;Regexreplace(to_text(F477),""[^A-Za-z0-9]"",""""))"),"NEPTRONIC-EVCBSERIES")</f>
        <v>NEPTRONIC-EVCBSERIES</v>
      </c>
    </row>
    <row r="478" ht="30.0" customHeight="1">
      <c r="A478" s="258">
        <v>470.0</v>
      </c>
      <c r="B478" s="237" t="s">
        <v>670</v>
      </c>
      <c r="C478" s="257" t="s">
        <v>3012</v>
      </c>
      <c r="D478" s="173" t="s">
        <v>3012</v>
      </c>
      <c r="E478" s="174" t="s">
        <v>2861</v>
      </c>
      <c r="F478" s="173" t="s">
        <v>2862</v>
      </c>
      <c r="G478" s="328" t="s">
        <v>673</v>
      </c>
      <c r="H478" s="328" t="s">
        <v>2863</v>
      </c>
      <c r="I478" s="258" t="s">
        <v>2864</v>
      </c>
      <c r="J478" s="259" t="s">
        <v>739</v>
      </c>
      <c r="K478" s="260" t="s">
        <v>3013</v>
      </c>
      <c r="L478" s="328"/>
      <c r="M478" s="343"/>
      <c r="N478" s="173" t="s">
        <v>679</v>
      </c>
      <c r="O478" s="173" t="s">
        <v>225</v>
      </c>
      <c r="P478" s="262" t="str">
        <f t="shared" si="1"/>
        <v>IN-BLR-ANANTA-VAV-50_G</v>
      </c>
      <c r="Q478" s="173" t="s">
        <v>3014</v>
      </c>
      <c r="R478" s="328" t="str">
        <f>IFS(C478="","",C478="n/a","N/A",LEN(C478),Concatenate("{",char(34),"asset",char(34),":{",char(34),"guid",char(34),":",char(34),Q478,char(34),",",char(34),"site",char(34),":",char(34),LOWER('2-Building'!$B$4),char(34),",",char(34),"name",char(34),":",char(34),LOWER(C478),char(34),"}}"))</f>
        <v>{"asset":{"guid":"uuid://36f2237b-89f3-425a-9ccb-2b674ed04e0a","site":"in-blr-ananta","name":"vav-50"}}</v>
      </c>
      <c r="S478" s="237" t="s">
        <v>2866</v>
      </c>
      <c r="T478" s="330"/>
      <c r="U478" s="330"/>
      <c r="V478" s="331"/>
      <c r="W478" s="344"/>
      <c r="X478" s="341"/>
      <c r="Y478" s="33" t="s">
        <v>2867</v>
      </c>
      <c r="Z478" s="258">
        <v>120050.0</v>
      </c>
      <c r="AA478" s="334">
        <v>11602.0</v>
      </c>
      <c r="AB478" s="341"/>
      <c r="AC478" s="341"/>
      <c r="AD478" s="343"/>
      <c r="AE478" s="331"/>
      <c r="AF478" s="348"/>
      <c r="AG478" s="337"/>
      <c r="AH478" s="341"/>
      <c r="AI478" s="341"/>
      <c r="AJ478" s="341"/>
      <c r="AK478" s="341"/>
      <c r="AL478" s="341"/>
      <c r="AM478" s="338"/>
      <c r="AN478" s="341"/>
      <c r="AO478" s="341"/>
      <c r="AP478" s="341"/>
      <c r="AQ478" s="341"/>
      <c r="AR478" s="341"/>
      <c r="AS478" s="341"/>
      <c r="AT478" s="341"/>
      <c r="AU478" s="343"/>
      <c r="AV478" s="341"/>
      <c r="AW478" s="269" t="s">
        <v>1952</v>
      </c>
      <c r="AX478" s="334" t="s">
        <v>2869</v>
      </c>
      <c r="AY478" s="270" t="s">
        <v>695</v>
      </c>
      <c r="AZ478" s="270" t="s">
        <v>2866</v>
      </c>
      <c r="BA478" s="265">
        <v>10.0</v>
      </c>
      <c r="BB478" s="174" t="s">
        <v>245</v>
      </c>
      <c r="BC478" s="341"/>
      <c r="BD478" s="308"/>
      <c r="BE478" s="347"/>
      <c r="BF478" s="274" t="str">
        <f>IFERROR(__xludf.DUMMYFUNCTION("LOWER(Regexreplace(to_text(E478),""[^A-Za-z0-9]"","""")&amp;""_""&amp;Regexreplace(to_text(F478),""[^A-Za-z0-9]"",""""))"),"neptronic_evcbseries")</f>
        <v>neptronic_evcbseries</v>
      </c>
      <c r="BG478" s="275" t="str">
        <f>IFERROR(__xludf.DUMMYFUNCTION("upper(Regexreplace(to_text(E478),""[^A-Za-z0-9]"","""")&amp;""-""&amp;Regexreplace(to_text(F478),""[^A-Za-z0-9]"",""""))"),"NEPTRONIC-EVCBSERIES")</f>
        <v>NEPTRONIC-EVCBSERIES</v>
      </c>
    </row>
    <row r="479" ht="30.0" customHeight="1">
      <c r="A479" s="173">
        <v>471.0</v>
      </c>
      <c r="B479" s="237" t="s">
        <v>670</v>
      </c>
      <c r="C479" s="257" t="s">
        <v>3015</v>
      </c>
      <c r="D479" s="173" t="s">
        <v>3015</v>
      </c>
      <c r="E479" s="174" t="s">
        <v>2861</v>
      </c>
      <c r="F479" s="173" t="s">
        <v>2862</v>
      </c>
      <c r="G479" s="328" t="s">
        <v>673</v>
      </c>
      <c r="H479" s="328" t="s">
        <v>2863</v>
      </c>
      <c r="I479" s="258" t="s">
        <v>2864</v>
      </c>
      <c r="J479" s="259" t="s">
        <v>739</v>
      </c>
      <c r="K479" s="260" t="s">
        <v>3016</v>
      </c>
      <c r="L479" s="328"/>
      <c r="M479" s="343"/>
      <c r="N479" s="173" t="s">
        <v>679</v>
      </c>
      <c r="O479" s="173" t="s">
        <v>225</v>
      </c>
      <c r="P479" s="262" t="str">
        <f t="shared" si="1"/>
        <v>IN-BLR-ANANTA-VAV-51_G</v>
      </c>
      <c r="Q479" s="173" t="s">
        <v>3017</v>
      </c>
      <c r="R479" s="328" t="str">
        <f>IFS(C479="","",C479="n/a","N/A",LEN(C479),Concatenate("{",char(34),"asset",char(34),":{",char(34),"guid",char(34),":",char(34),Q479,char(34),",",char(34),"site",char(34),":",char(34),LOWER('2-Building'!$B$4),char(34),",",char(34),"name",char(34),":",char(34),LOWER(C479),char(34),"}}"))</f>
        <v>{"asset":{"guid":"uuid://d21b359a-70d2-4aa1-bc51-d6ce8368b05a","site":"in-blr-ananta","name":"vav-51"}}</v>
      </c>
      <c r="S479" s="237" t="s">
        <v>2866</v>
      </c>
      <c r="T479" s="330"/>
      <c r="U479" s="330"/>
      <c r="V479" s="331"/>
      <c r="W479" s="344"/>
      <c r="X479" s="341"/>
      <c r="Y479" s="33" t="s">
        <v>2867</v>
      </c>
      <c r="Z479" s="258">
        <v>120051.0</v>
      </c>
      <c r="AA479" s="334">
        <v>11602.0</v>
      </c>
      <c r="AB479" s="341"/>
      <c r="AC479" s="341"/>
      <c r="AD479" s="343"/>
      <c r="AE479" s="331"/>
      <c r="AF479" s="348"/>
      <c r="AG479" s="337"/>
      <c r="AH479" s="341"/>
      <c r="AI479" s="341"/>
      <c r="AJ479" s="341"/>
      <c r="AK479" s="341"/>
      <c r="AL479" s="341"/>
      <c r="AM479" s="338"/>
      <c r="AN479" s="341"/>
      <c r="AO479" s="341"/>
      <c r="AP479" s="341"/>
      <c r="AQ479" s="341"/>
      <c r="AR479" s="341"/>
      <c r="AS479" s="341"/>
      <c r="AT479" s="341"/>
      <c r="AU479" s="343"/>
      <c r="AV479" s="341"/>
      <c r="AW479" s="269" t="s">
        <v>1952</v>
      </c>
      <c r="AX479" s="334" t="s">
        <v>2869</v>
      </c>
      <c r="AY479" s="270" t="s">
        <v>695</v>
      </c>
      <c r="AZ479" s="270" t="s">
        <v>2866</v>
      </c>
      <c r="BA479" s="265">
        <v>10.0</v>
      </c>
      <c r="BB479" s="174" t="s">
        <v>245</v>
      </c>
      <c r="BC479" s="341"/>
      <c r="BD479" s="308"/>
      <c r="BE479" s="347"/>
      <c r="BF479" s="274" t="str">
        <f>IFERROR(__xludf.DUMMYFUNCTION("LOWER(Regexreplace(to_text(E479),""[^A-Za-z0-9]"","""")&amp;""_""&amp;Regexreplace(to_text(F479),""[^A-Za-z0-9]"",""""))"),"neptronic_evcbseries")</f>
        <v>neptronic_evcbseries</v>
      </c>
      <c r="BG479" s="275" t="str">
        <f>IFERROR(__xludf.DUMMYFUNCTION("upper(Regexreplace(to_text(E479),""[^A-Za-z0-9]"","""")&amp;""-""&amp;Regexreplace(to_text(F479),""[^A-Za-z0-9]"",""""))"),"NEPTRONIC-EVCBSERIES")</f>
        <v>NEPTRONIC-EVCBSERIES</v>
      </c>
    </row>
    <row r="480" ht="30.0" customHeight="1">
      <c r="A480" s="258">
        <v>472.0</v>
      </c>
      <c r="B480" s="237" t="s">
        <v>670</v>
      </c>
      <c r="C480" s="257" t="s">
        <v>3018</v>
      </c>
      <c r="D480" s="173" t="s">
        <v>3018</v>
      </c>
      <c r="E480" s="174" t="s">
        <v>2861</v>
      </c>
      <c r="F480" s="173" t="s">
        <v>2862</v>
      </c>
      <c r="G480" s="328" t="s">
        <v>673</v>
      </c>
      <c r="H480" s="328" t="s">
        <v>2863</v>
      </c>
      <c r="I480" s="258" t="s">
        <v>2864</v>
      </c>
      <c r="J480" s="259" t="s">
        <v>739</v>
      </c>
      <c r="K480" s="260" t="s">
        <v>3019</v>
      </c>
      <c r="L480" s="328"/>
      <c r="M480" s="343"/>
      <c r="N480" s="173" t="s">
        <v>679</v>
      </c>
      <c r="O480" s="173" t="s">
        <v>225</v>
      </c>
      <c r="P480" s="262" t="str">
        <f t="shared" si="1"/>
        <v>IN-BLR-ANANTA-VAV-52_G</v>
      </c>
      <c r="Q480" s="173" t="s">
        <v>3020</v>
      </c>
      <c r="R480" s="328" t="str">
        <f>IFS(C480="","",C480="n/a","N/A",LEN(C480),Concatenate("{",char(34),"asset",char(34),":{",char(34),"guid",char(34),":",char(34),Q480,char(34),",",char(34),"site",char(34),":",char(34),LOWER('2-Building'!$B$4),char(34),",",char(34),"name",char(34),":",char(34),LOWER(C480),char(34),"}}"))</f>
        <v>{"asset":{"guid":"uuid://3b700f32-6cc4-4a82-8b28-82dc361fef97","site":"in-blr-ananta","name":"vav-52"}}</v>
      </c>
      <c r="S480" s="237" t="s">
        <v>2866</v>
      </c>
      <c r="T480" s="330"/>
      <c r="U480" s="330"/>
      <c r="V480" s="331"/>
      <c r="W480" s="344"/>
      <c r="X480" s="341"/>
      <c r="Y480" s="33" t="s">
        <v>2867</v>
      </c>
      <c r="Z480" s="258">
        <v>120052.0</v>
      </c>
      <c r="AA480" s="334">
        <v>11602.0</v>
      </c>
      <c r="AB480" s="341"/>
      <c r="AC480" s="341"/>
      <c r="AD480" s="343"/>
      <c r="AE480" s="331"/>
      <c r="AF480" s="348"/>
      <c r="AG480" s="337"/>
      <c r="AH480" s="341"/>
      <c r="AI480" s="341"/>
      <c r="AJ480" s="341"/>
      <c r="AK480" s="341"/>
      <c r="AL480" s="341"/>
      <c r="AM480" s="338"/>
      <c r="AN480" s="341"/>
      <c r="AO480" s="341"/>
      <c r="AP480" s="341"/>
      <c r="AQ480" s="341"/>
      <c r="AR480" s="341"/>
      <c r="AS480" s="341"/>
      <c r="AT480" s="341"/>
      <c r="AU480" s="343"/>
      <c r="AV480" s="341"/>
      <c r="AW480" s="269" t="s">
        <v>1952</v>
      </c>
      <c r="AX480" s="334" t="s">
        <v>2869</v>
      </c>
      <c r="AY480" s="270" t="s">
        <v>695</v>
      </c>
      <c r="AZ480" s="270" t="s">
        <v>2866</v>
      </c>
      <c r="BA480" s="265">
        <v>10.0</v>
      </c>
      <c r="BB480" s="174" t="s">
        <v>245</v>
      </c>
      <c r="BC480" s="341"/>
      <c r="BD480" s="308"/>
      <c r="BE480" s="347"/>
      <c r="BF480" s="274" t="str">
        <f>IFERROR(__xludf.DUMMYFUNCTION("LOWER(Regexreplace(to_text(E480),""[^A-Za-z0-9]"","""")&amp;""_""&amp;Regexreplace(to_text(F480),""[^A-Za-z0-9]"",""""))"),"neptronic_evcbseries")</f>
        <v>neptronic_evcbseries</v>
      </c>
      <c r="BG480" s="275" t="str">
        <f>IFERROR(__xludf.DUMMYFUNCTION("upper(Regexreplace(to_text(E480),""[^A-Za-z0-9]"","""")&amp;""-""&amp;Regexreplace(to_text(F480),""[^A-Za-z0-9]"",""""))"),"NEPTRONIC-EVCBSERIES")</f>
        <v>NEPTRONIC-EVCBSERIES</v>
      </c>
    </row>
    <row r="481" ht="30.0" customHeight="1">
      <c r="A481" s="173">
        <v>473.0</v>
      </c>
      <c r="B481" s="237" t="s">
        <v>670</v>
      </c>
      <c r="C481" s="257" t="s">
        <v>3021</v>
      </c>
      <c r="D481" s="173" t="s">
        <v>3021</v>
      </c>
      <c r="E481" s="174" t="s">
        <v>2861</v>
      </c>
      <c r="F481" s="173" t="s">
        <v>2862</v>
      </c>
      <c r="G481" s="328" t="s">
        <v>673</v>
      </c>
      <c r="H481" s="328" t="s">
        <v>2863</v>
      </c>
      <c r="I481" s="258" t="s">
        <v>2864</v>
      </c>
      <c r="J481" s="259" t="s">
        <v>739</v>
      </c>
      <c r="K481" s="260" t="s">
        <v>3022</v>
      </c>
      <c r="L481" s="328"/>
      <c r="M481" s="343"/>
      <c r="N481" s="173" t="s">
        <v>679</v>
      </c>
      <c r="O481" s="173" t="s">
        <v>225</v>
      </c>
      <c r="P481" s="262" t="str">
        <f t="shared" si="1"/>
        <v>IN-BLR-ANANTA-VAV-53_G</v>
      </c>
      <c r="Q481" s="173" t="s">
        <v>3023</v>
      </c>
      <c r="R481" s="328" t="str">
        <f>IFS(C481="","",C481="n/a","N/A",LEN(C481),Concatenate("{",char(34),"asset",char(34),":{",char(34),"guid",char(34),":",char(34),Q481,char(34),",",char(34),"site",char(34),":",char(34),LOWER('2-Building'!$B$4),char(34),",",char(34),"name",char(34),":",char(34),LOWER(C481),char(34),"}}"))</f>
        <v>{"asset":{"guid":"uuid://6f6b1f98-5c2e-43ae-9074-44120a2d3ba2","site":"in-blr-ananta","name":"vav-53"}}</v>
      </c>
      <c r="S481" s="237" t="s">
        <v>2866</v>
      </c>
      <c r="T481" s="330"/>
      <c r="U481" s="330"/>
      <c r="V481" s="331"/>
      <c r="W481" s="344"/>
      <c r="X481" s="341"/>
      <c r="Y481" s="33" t="s">
        <v>2867</v>
      </c>
      <c r="Z481" s="258">
        <v>120053.0</v>
      </c>
      <c r="AA481" s="334">
        <v>11602.0</v>
      </c>
      <c r="AB481" s="341"/>
      <c r="AC481" s="341"/>
      <c r="AD481" s="343"/>
      <c r="AE481" s="331"/>
      <c r="AF481" s="348"/>
      <c r="AG481" s="337"/>
      <c r="AH481" s="341"/>
      <c r="AI481" s="341"/>
      <c r="AJ481" s="341"/>
      <c r="AK481" s="341"/>
      <c r="AL481" s="341"/>
      <c r="AM481" s="338"/>
      <c r="AN481" s="341"/>
      <c r="AO481" s="341"/>
      <c r="AP481" s="341"/>
      <c r="AQ481" s="341"/>
      <c r="AR481" s="341"/>
      <c r="AS481" s="341"/>
      <c r="AT481" s="341"/>
      <c r="AU481" s="343"/>
      <c r="AV481" s="341"/>
      <c r="AW481" s="269" t="s">
        <v>1952</v>
      </c>
      <c r="AX481" s="334" t="s">
        <v>2869</v>
      </c>
      <c r="AY481" s="270" t="s">
        <v>695</v>
      </c>
      <c r="AZ481" s="270" t="s">
        <v>2866</v>
      </c>
      <c r="BA481" s="265">
        <v>10.0</v>
      </c>
      <c r="BB481" s="174" t="s">
        <v>245</v>
      </c>
      <c r="BC481" s="341"/>
      <c r="BD481" s="308"/>
      <c r="BE481" s="347"/>
      <c r="BF481" s="274" t="str">
        <f>IFERROR(__xludf.DUMMYFUNCTION("LOWER(Regexreplace(to_text(E481),""[^A-Za-z0-9]"","""")&amp;""_""&amp;Regexreplace(to_text(F481),""[^A-Za-z0-9]"",""""))"),"neptronic_evcbseries")</f>
        <v>neptronic_evcbseries</v>
      </c>
      <c r="BG481" s="275" t="str">
        <f>IFERROR(__xludf.DUMMYFUNCTION("upper(Regexreplace(to_text(E481),""[^A-Za-z0-9]"","""")&amp;""-""&amp;Regexreplace(to_text(F481),""[^A-Za-z0-9]"",""""))"),"NEPTRONIC-EVCBSERIES")</f>
        <v>NEPTRONIC-EVCBSERIES</v>
      </c>
    </row>
    <row r="482" ht="30.0" customHeight="1">
      <c r="A482" s="258">
        <v>474.0</v>
      </c>
      <c r="B482" s="237" t="s">
        <v>670</v>
      </c>
      <c r="C482" s="257" t="s">
        <v>3024</v>
      </c>
      <c r="D482" s="173" t="s">
        <v>3024</v>
      </c>
      <c r="E482" s="174" t="s">
        <v>2861</v>
      </c>
      <c r="F482" s="173" t="s">
        <v>2862</v>
      </c>
      <c r="G482" s="328" t="s">
        <v>673</v>
      </c>
      <c r="H482" s="328" t="s">
        <v>2863</v>
      </c>
      <c r="I482" s="258" t="s">
        <v>2864</v>
      </c>
      <c r="J482" s="259" t="s">
        <v>739</v>
      </c>
      <c r="K482" s="260" t="s">
        <v>3025</v>
      </c>
      <c r="L482" s="328"/>
      <c r="M482" s="343"/>
      <c r="N482" s="173" t="s">
        <v>679</v>
      </c>
      <c r="O482" s="173" t="s">
        <v>225</v>
      </c>
      <c r="P482" s="262" t="str">
        <f t="shared" si="1"/>
        <v>IN-BLR-ANANTA-VAV-54_G</v>
      </c>
      <c r="Q482" s="173" t="s">
        <v>3026</v>
      </c>
      <c r="R482" s="328" t="str">
        <f>IFS(C482="","",C482="n/a","N/A",LEN(C482),Concatenate("{",char(34),"asset",char(34),":{",char(34),"guid",char(34),":",char(34),Q482,char(34),",",char(34),"site",char(34),":",char(34),LOWER('2-Building'!$B$4),char(34),",",char(34),"name",char(34),":",char(34),LOWER(C482),char(34),"}}"))</f>
        <v>{"asset":{"guid":"uuid://75101763-3f59-4faa-b075-ff067f8a0ce4","site":"in-blr-ananta","name":"vav-54"}}</v>
      </c>
      <c r="S482" s="237" t="s">
        <v>2866</v>
      </c>
      <c r="T482" s="330"/>
      <c r="U482" s="330"/>
      <c r="V482" s="331"/>
      <c r="W482" s="344"/>
      <c r="X482" s="341"/>
      <c r="Y482" s="33" t="s">
        <v>2867</v>
      </c>
      <c r="Z482" s="258">
        <v>120054.0</v>
      </c>
      <c r="AA482" s="334">
        <v>11602.0</v>
      </c>
      <c r="AB482" s="341"/>
      <c r="AC482" s="341"/>
      <c r="AD482" s="343"/>
      <c r="AE482" s="331"/>
      <c r="AF482" s="348"/>
      <c r="AG482" s="337"/>
      <c r="AH482" s="341"/>
      <c r="AI482" s="341"/>
      <c r="AJ482" s="341"/>
      <c r="AK482" s="341"/>
      <c r="AL482" s="341"/>
      <c r="AM482" s="338"/>
      <c r="AN482" s="341"/>
      <c r="AO482" s="341"/>
      <c r="AP482" s="341"/>
      <c r="AQ482" s="341"/>
      <c r="AR482" s="341"/>
      <c r="AS482" s="341"/>
      <c r="AT482" s="341"/>
      <c r="AU482" s="343"/>
      <c r="AV482" s="341"/>
      <c r="AW482" s="269" t="s">
        <v>1952</v>
      </c>
      <c r="AX482" s="334" t="s">
        <v>2869</v>
      </c>
      <c r="AY482" s="270" t="s">
        <v>695</v>
      </c>
      <c r="AZ482" s="270" t="s">
        <v>2866</v>
      </c>
      <c r="BA482" s="265">
        <v>10.0</v>
      </c>
      <c r="BB482" s="174" t="s">
        <v>245</v>
      </c>
      <c r="BC482" s="341"/>
      <c r="BD482" s="308"/>
      <c r="BE482" s="347"/>
      <c r="BF482" s="274" t="str">
        <f>IFERROR(__xludf.DUMMYFUNCTION("LOWER(Regexreplace(to_text(E482),""[^A-Za-z0-9]"","""")&amp;""_""&amp;Regexreplace(to_text(F482),""[^A-Za-z0-9]"",""""))"),"neptronic_evcbseries")</f>
        <v>neptronic_evcbseries</v>
      </c>
      <c r="BG482" s="275" t="str">
        <f>IFERROR(__xludf.DUMMYFUNCTION("upper(Regexreplace(to_text(E482),""[^A-Za-z0-9]"","""")&amp;""-""&amp;Regexreplace(to_text(F482),""[^A-Za-z0-9]"",""""))"),"NEPTRONIC-EVCBSERIES")</f>
        <v>NEPTRONIC-EVCBSERIES</v>
      </c>
    </row>
    <row r="483" ht="30.0" customHeight="1">
      <c r="A483" s="173">
        <v>475.0</v>
      </c>
      <c r="B483" s="237" t="s">
        <v>670</v>
      </c>
      <c r="C483" s="257" t="s">
        <v>3027</v>
      </c>
      <c r="D483" s="173" t="s">
        <v>3027</v>
      </c>
      <c r="E483" s="174" t="s">
        <v>2861</v>
      </c>
      <c r="F483" s="173" t="s">
        <v>2862</v>
      </c>
      <c r="G483" s="328" t="s">
        <v>673</v>
      </c>
      <c r="H483" s="328" t="s">
        <v>2863</v>
      </c>
      <c r="I483" s="258" t="s">
        <v>2864</v>
      </c>
      <c r="J483" s="259" t="s">
        <v>739</v>
      </c>
      <c r="K483" s="260" t="s">
        <v>3025</v>
      </c>
      <c r="L483" s="328"/>
      <c r="M483" s="343"/>
      <c r="N483" s="173" t="s">
        <v>679</v>
      </c>
      <c r="O483" s="173" t="s">
        <v>225</v>
      </c>
      <c r="P483" s="262" t="str">
        <f t="shared" si="1"/>
        <v>IN-BLR-ANANTA-VAV-55_G</v>
      </c>
      <c r="Q483" s="173" t="s">
        <v>3028</v>
      </c>
      <c r="R483" s="328" t="str">
        <f>IFS(C483="","",C483="n/a","N/A",LEN(C483),Concatenate("{",char(34),"asset",char(34),":{",char(34),"guid",char(34),":",char(34),Q483,char(34),",",char(34),"site",char(34),":",char(34),LOWER('2-Building'!$B$4),char(34),",",char(34),"name",char(34),":",char(34),LOWER(C483),char(34),"}}"))</f>
        <v>{"asset":{"guid":"uuid://55ca850f-cfc8-40cb-b57b-ea0f2deaaba9","site":"in-blr-ananta","name":"vav-55"}}</v>
      </c>
      <c r="S483" s="237" t="s">
        <v>2866</v>
      </c>
      <c r="T483" s="330"/>
      <c r="U483" s="330"/>
      <c r="V483" s="331"/>
      <c r="W483" s="344"/>
      <c r="X483" s="341"/>
      <c r="Y483" s="33" t="s">
        <v>2867</v>
      </c>
      <c r="Z483" s="258">
        <v>120055.0</v>
      </c>
      <c r="AA483" s="334">
        <v>11602.0</v>
      </c>
      <c r="AB483" s="341"/>
      <c r="AC483" s="341"/>
      <c r="AD483" s="343"/>
      <c r="AE483" s="331"/>
      <c r="AF483" s="348"/>
      <c r="AG483" s="337"/>
      <c r="AH483" s="341"/>
      <c r="AI483" s="341"/>
      <c r="AJ483" s="341"/>
      <c r="AK483" s="341"/>
      <c r="AL483" s="341"/>
      <c r="AM483" s="338"/>
      <c r="AN483" s="341"/>
      <c r="AO483" s="341"/>
      <c r="AP483" s="341"/>
      <c r="AQ483" s="341"/>
      <c r="AR483" s="341"/>
      <c r="AS483" s="341"/>
      <c r="AT483" s="341"/>
      <c r="AU483" s="343"/>
      <c r="AV483" s="341"/>
      <c r="AW483" s="269" t="s">
        <v>1952</v>
      </c>
      <c r="AX483" s="334" t="s">
        <v>2869</v>
      </c>
      <c r="AY483" s="270" t="s">
        <v>695</v>
      </c>
      <c r="AZ483" s="270" t="s">
        <v>2866</v>
      </c>
      <c r="BA483" s="265">
        <v>10.0</v>
      </c>
      <c r="BB483" s="174" t="s">
        <v>245</v>
      </c>
      <c r="BC483" s="341"/>
      <c r="BD483" s="308"/>
      <c r="BE483" s="347"/>
      <c r="BF483" s="274" t="str">
        <f>IFERROR(__xludf.DUMMYFUNCTION("LOWER(Regexreplace(to_text(E483),""[^A-Za-z0-9]"","""")&amp;""_""&amp;Regexreplace(to_text(F483),""[^A-Za-z0-9]"",""""))"),"neptronic_evcbseries")</f>
        <v>neptronic_evcbseries</v>
      </c>
      <c r="BG483" s="275" t="str">
        <f>IFERROR(__xludf.DUMMYFUNCTION("upper(Regexreplace(to_text(E483),""[^A-Za-z0-9]"","""")&amp;""-""&amp;Regexreplace(to_text(F483),""[^A-Za-z0-9]"",""""))"),"NEPTRONIC-EVCBSERIES")</f>
        <v>NEPTRONIC-EVCBSERIES</v>
      </c>
    </row>
    <row r="484" ht="30.0" customHeight="1">
      <c r="A484" s="258">
        <v>476.0</v>
      </c>
      <c r="B484" s="237" t="s">
        <v>670</v>
      </c>
      <c r="C484" s="257" t="s">
        <v>3029</v>
      </c>
      <c r="D484" s="173" t="s">
        <v>3029</v>
      </c>
      <c r="E484" s="174" t="s">
        <v>2861</v>
      </c>
      <c r="F484" s="173" t="s">
        <v>2862</v>
      </c>
      <c r="G484" s="328" t="s">
        <v>673</v>
      </c>
      <c r="H484" s="328" t="s">
        <v>2863</v>
      </c>
      <c r="I484" s="258" t="s">
        <v>2864</v>
      </c>
      <c r="J484" s="259" t="s">
        <v>739</v>
      </c>
      <c r="K484" s="260" t="s">
        <v>3030</v>
      </c>
      <c r="L484" s="328"/>
      <c r="M484" s="343"/>
      <c r="N484" s="173" t="s">
        <v>679</v>
      </c>
      <c r="O484" s="173" t="s">
        <v>225</v>
      </c>
      <c r="P484" s="262" t="str">
        <f t="shared" si="1"/>
        <v>IN-BLR-ANANTA-VAV-56_G</v>
      </c>
      <c r="Q484" s="173" t="s">
        <v>3031</v>
      </c>
      <c r="R484" s="328" t="str">
        <f>IFS(C484="","",C484="n/a","N/A",LEN(C484),Concatenate("{",char(34),"asset",char(34),":{",char(34),"guid",char(34),":",char(34),Q484,char(34),",",char(34),"site",char(34),":",char(34),LOWER('2-Building'!$B$4),char(34),",",char(34),"name",char(34),":",char(34),LOWER(C484),char(34),"}}"))</f>
        <v>{"asset":{"guid":"uuid://a45c2219-9f5d-43e5-9a94-30f49f5ab060","site":"in-blr-ananta","name":"vav-56"}}</v>
      </c>
      <c r="S484" s="237" t="s">
        <v>2866</v>
      </c>
      <c r="T484" s="330"/>
      <c r="U484" s="330"/>
      <c r="V484" s="331"/>
      <c r="W484" s="344"/>
      <c r="X484" s="341"/>
      <c r="Y484" s="33" t="s">
        <v>2867</v>
      </c>
      <c r="Z484" s="258">
        <v>120056.0</v>
      </c>
      <c r="AA484" s="334">
        <v>11602.0</v>
      </c>
      <c r="AB484" s="341"/>
      <c r="AC484" s="341"/>
      <c r="AD484" s="343"/>
      <c r="AE484" s="331"/>
      <c r="AF484" s="348"/>
      <c r="AG484" s="337"/>
      <c r="AH484" s="341"/>
      <c r="AI484" s="341"/>
      <c r="AJ484" s="341"/>
      <c r="AK484" s="341"/>
      <c r="AL484" s="341"/>
      <c r="AM484" s="338"/>
      <c r="AN484" s="341"/>
      <c r="AO484" s="341"/>
      <c r="AP484" s="341"/>
      <c r="AQ484" s="341"/>
      <c r="AR484" s="341"/>
      <c r="AS484" s="341"/>
      <c r="AT484" s="341"/>
      <c r="AU484" s="343"/>
      <c r="AV484" s="341"/>
      <c r="AW484" s="269" t="s">
        <v>1952</v>
      </c>
      <c r="AX484" s="334" t="s">
        <v>2869</v>
      </c>
      <c r="AY484" s="270" t="s">
        <v>695</v>
      </c>
      <c r="AZ484" s="270" t="s">
        <v>2866</v>
      </c>
      <c r="BA484" s="265">
        <v>10.0</v>
      </c>
      <c r="BB484" s="174" t="s">
        <v>245</v>
      </c>
      <c r="BC484" s="341"/>
      <c r="BD484" s="308"/>
      <c r="BE484" s="347"/>
      <c r="BF484" s="274" t="str">
        <f>IFERROR(__xludf.DUMMYFUNCTION("LOWER(Regexreplace(to_text(E484),""[^A-Za-z0-9]"","""")&amp;""_""&amp;Regexreplace(to_text(F484),""[^A-Za-z0-9]"",""""))"),"neptronic_evcbseries")</f>
        <v>neptronic_evcbseries</v>
      </c>
      <c r="BG484" s="275" t="str">
        <f>IFERROR(__xludf.DUMMYFUNCTION("upper(Regexreplace(to_text(E484),""[^A-Za-z0-9]"","""")&amp;""-""&amp;Regexreplace(to_text(F484),""[^A-Za-z0-9]"",""""))"),"NEPTRONIC-EVCBSERIES")</f>
        <v>NEPTRONIC-EVCBSERIES</v>
      </c>
    </row>
    <row r="485" ht="30.0" customHeight="1">
      <c r="A485" s="173">
        <v>477.0</v>
      </c>
      <c r="B485" s="237" t="s">
        <v>670</v>
      </c>
      <c r="C485" s="257" t="s">
        <v>3032</v>
      </c>
      <c r="D485" s="173" t="s">
        <v>3032</v>
      </c>
      <c r="E485" s="174" t="s">
        <v>2861</v>
      </c>
      <c r="F485" s="173" t="s">
        <v>2862</v>
      </c>
      <c r="G485" s="328" t="s">
        <v>673</v>
      </c>
      <c r="H485" s="328" t="s">
        <v>2863</v>
      </c>
      <c r="I485" s="258" t="s">
        <v>2864</v>
      </c>
      <c r="J485" s="259" t="s">
        <v>739</v>
      </c>
      <c r="K485" s="260" t="s">
        <v>3033</v>
      </c>
      <c r="L485" s="328"/>
      <c r="M485" s="343"/>
      <c r="N485" s="173" t="s">
        <v>679</v>
      </c>
      <c r="O485" s="173" t="s">
        <v>225</v>
      </c>
      <c r="P485" s="262" t="str">
        <f t="shared" si="1"/>
        <v>IN-BLR-ANANTA-VAV-57_G</v>
      </c>
      <c r="Q485" s="173" t="s">
        <v>3034</v>
      </c>
      <c r="R485" s="328" t="str">
        <f>IFS(C485="","",C485="n/a","N/A",LEN(C485),Concatenate("{",char(34),"asset",char(34),":{",char(34),"guid",char(34),":",char(34),Q485,char(34),",",char(34),"site",char(34),":",char(34),LOWER('2-Building'!$B$4),char(34),",",char(34),"name",char(34),":",char(34),LOWER(C485),char(34),"}}"))</f>
        <v>{"asset":{"guid":"uuid://46c25379-9ba6-406c-b4c4-e8cf986558d4","site":"in-blr-ananta","name":"vav-57"}}</v>
      </c>
      <c r="S485" s="237" t="s">
        <v>2866</v>
      </c>
      <c r="T485" s="330"/>
      <c r="U485" s="330"/>
      <c r="V485" s="331"/>
      <c r="W485" s="344"/>
      <c r="X485" s="341"/>
      <c r="Y485" s="33" t="s">
        <v>2867</v>
      </c>
      <c r="Z485" s="258">
        <v>120057.0</v>
      </c>
      <c r="AA485" s="334">
        <v>11602.0</v>
      </c>
      <c r="AB485" s="341"/>
      <c r="AC485" s="341"/>
      <c r="AD485" s="343"/>
      <c r="AE485" s="331"/>
      <c r="AF485" s="348"/>
      <c r="AG485" s="337"/>
      <c r="AH485" s="341"/>
      <c r="AI485" s="341"/>
      <c r="AJ485" s="341"/>
      <c r="AK485" s="341"/>
      <c r="AL485" s="341"/>
      <c r="AM485" s="338"/>
      <c r="AN485" s="341"/>
      <c r="AO485" s="341"/>
      <c r="AP485" s="341"/>
      <c r="AQ485" s="341"/>
      <c r="AR485" s="341"/>
      <c r="AS485" s="341"/>
      <c r="AT485" s="341"/>
      <c r="AU485" s="343"/>
      <c r="AV485" s="341"/>
      <c r="AW485" s="269" t="s">
        <v>1952</v>
      </c>
      <c r="AX485" s="334" t="s">
        <v>2869</v>
      </c>
      <c r="AY485" s="270" t="s">
        <v>695</v>
      </c>
      <c r="AZ485" s="270" t="s">
        <v>2866</v>
      </c>
      <c r="BA485" s="265">
        <v>10.0</v>
      </c>
      <c r="BB485" s="174" t="s">
        <v>245</v>
      </c>
      <c r="BC485" s="341"/>
      <c r="BD485" s="308"/>
      <c r="BE485" s="347"/>
      <c r="BF485" s="274" t="str">
        <f>IFERROR(__xludf.DUMMYFUNCTION("LOWER(Regexreplace(to_text(E485),""[^A-Za-z0-9]"","""")&amp;""_""&amp;Regexreplace(to_text(F485),""[^A-Za-z0-9]"",""""))"),"neptronic_evcbseries")</f>
        <v>neptronic_evcbseries</v>
      </c>
      <c r="BG485" s="275" t="str">
        <f>IFERROR(__xludf.DUMMYFUNCTION("upper(Regexreplace(to_text(E485),""[^A-Za-z0-9]"","""")&amp;""-""&amp;Regexreplace(to_text(F485),""[^A-Za-z0-9]"",""""))"),"NEPTRONIC-EVCBSERIES")</f>
        <v>NEPTRONIC-EVCBSERIES</v>
      </c>
    </row>
    <row r="486" ht="30.0" customHeight="1">
      <c r="A486" s="258">
        <v>478.0</v>
      </c>
      <c r="B486" s="237" t="s">
        <v>670</v>
      </c>
      <c r="C486" s="257" t="s">
        <v>3035</v>
      </c>
      <c r="D486" s="173" t="s">
        <v>3035</v>
      </c>
      <c r="E486" s="174" t="s">
        <v>2861</v>
      </c>
      <c r="F486" s="173" t="s">
        <v>2862</v>
      </c>
      <c r="G486" s="328" t="s">
        <v>673</v>
      </c>
      <c r="H486" s="328" t="s">
        <v>2863</v>
      </c>
      <c r="I486" s="258" t="s">
        <v>2864</v>
      </c>
      <c r="J486" s="259" t="s">
        <v>739</v>
      </c>
      <c r="K486" s="260" t="s">
        <v>3036</v>
      </c>
      <c r="L486" s="328"/>
      <c r="M486" s="343"/>
      <c r="N486" s="173" t="s">
        <v>679</v>
      </c>
      <c r="O486" s="173" t="s">
        <v>225</v>
      </c>
      <c r="P486" s="262" t="str">
        <f t="shared" si="1"/>
        <v>IN-BLR-ANANTA-VAV-58_G</v>
      </c>
      <c r="Q486" s="173" t="s">
        <v>3037</v>
      </c>
      <c r="R486" s="328" t="str">
        <f>IFS(C486="","",C486="n/a","N/A",LEN(C486),Concatenate("{",char(34),"asset",char(34),":{",char(34),"guid",char(34),":",char(34),Q486,char(34),",",char(34),"site",char(34),":",char(34),LOWER('2-Building'!$B$4),char(34),",",char(34),"name",char(34),":",char(34),LOWER(C486),char(34),"}}"))</f>
        <v>{"asset":{"guid":"uuid://abc0819b-5a7a-43d9-8c89-e3f797f05210","site":"in-blr-ananta","name":"vav-58"}}</v>
      </c>
      <c r="S486" s="237" t="s">
        <v>2866</v>
      </c>
      <c r="T486" s="330"/>
      <c r="U486" s="330"/>
      <c r="V486" s="331"/>
      <c r="W486" s="344"/>
      <c r="X486" s="341"/>
      <c r="Y486" s="33" t="s">
        <v>2867</v>
      </c>
      <c r="Z486" s="258">
        <v>120058.0</v>
      </c>
      <c r="AA486" s="334">
        <v>11602.0</v>
      </c>
      <c r="AB486" s="341"/>
      <c r="AC486" s="341"/>
      <c r="AD486" s="343"/>
      <c r="AE486" s="331"/>
      <c r="AF486" s="348"/>
      <c r="AG486" s="337"/>
      <c r="AH486" s="341"/>
      <c r="AI486" s="341"/>
      <c r="AJ486" s="341"/>
      <c r="AK486" s="341"/>
      <c r="AL486" s="341"/>
      <c r="AM486" s="338"/>
      <c r="AN486" s="341"/>
      <c r="AO486" s="341"/>
      <c r="AP486" s="341"/>
      <c r="AQ486" s="341"/>
      <c r="AR486" s="341"/>
      <c r="AS486" s="341"/>
      <c r="AT486" s="341"/>
      <c r="AU486" s="343"/>
      <c r="AV486" s="341"/>
      <c r="AW486" s="269" t="s">
        <v>1952</v>
      </c>
      <c r="AX486" s="334" t="s">
        <v>2869</v>
      </c>
      <c r="AY486" s="270" t="s">
        <v>695</v>
      </c>
      <c r="AZ486" s="270" t="s">
        <v>2866</v>
      </c>
      <c r="BA486" s="265">
        <v>10.0</v>
      </c>
      <c r="BB486" s="174" t="s">
        <v>245</v>
      </c>
      <c r="BC486" s="341"/>
      <c r="BD486" s="308"/>
      <c r="BE486" s="347"/>
      <c r="BF486" s="274" t="str">
        <f>IFERROR(__xludf.DUMMYFUNCTION("LOWER(Regexreplace(to_text(E486),""[^A-Za-z0-9]"","""")&amp;""_""&amp;Regexreplace(to_text(F486),""[^A-Za-z0-9]"",""""))"),"neptronic_evcbseries")</f>
        <v>neptronic_evcbseries</v>
      </c>
      <c r="BG486" s="275" t="str">
        <f>IFERROR(__xludf.DUMMYFUNCTION("upper(Regexreplace(to_text(E486),""[^A-Za-z0-9]"","""")&amp;""-""&amp;Regexreplace(to_text(F486),""[^A-Za-z0-9]"",""""))"),"NEPTRONIC-EVCBSERIES")</f>
        <v>NEPTRONIC-EVCBSERIES</v>
      </c>
    </row>
    <row r="487" ht="30.0" customHeight="1">
      <c r="A487" s="173">
        <v>479.0</v>
      </c>
      <c r="B487" s="237" t="s">
        <v>670</v>
      </c>
      <c r="C487" s="257" t="s">
        <v>3038</v>
      </c>
      <c r="D487" s="173" t="s">
        <v>3038</v>
      </c>
      <c r="E487" s="174" t="s">
        <v>2861</v>
      </c>
      <c r="F487" s="173" t="s">
        <v>2862</v>
      </c>
      <c r="G487" s="328" t="s">
        <v>673</v>
      </c>
      <c r="H487" s="328" t="s">
        <v>2863</v>
      </c>
      <c r="I487" s="258" t="s">
        <v>2864</v>
      </c>
      <c r="J487" s="259" t="s">
        <v>739</v>
      </c>
      <c r="K487" s="260" t="s">
        <v>3033</v>
      </c>
      <c r="L487" s="328"/>
      <c r="M487" s="343"/>
      <c r="N487" s="173" t="s">
        <v>679</v>
      </c>
      <c r="O487" s="173" t="s">
        <v>225</v>
      </c>
      <c r="P487" s="262" t="str">
        <f t="shared" si="1"/>
        <v>IN-BLR-ANANTA-VAV-59_G</v>
      </c>
      <c r="Q487" s="173" t="s">
        <v>3039</v>
      </c>
      <c r="R487" s="328" t="str">
        <f>IFS(C487="","",C487="n/a","N/A",LEN(C487),Concatenate("{",char(34),"asset",char(34),":{",char(34),"guid",char(34),":",char(34),Q487,char(34),",",char(34),"site",char(34),":",char(34),LOWER('2-Building'!$B$4),char(34),",",char(34),"name",char(34),":",char(34),LOWER(C487),char(34),"}}"))</f>
        <v>{"asset":{"guid":"uuid://40ad3560-50bf-4eeb-9972-00ca0bee3d6a","site":"in-blr-ananta","name":"vav-59"}}</v>
      </c>
      <c r="S487" s="237" t="s">
        <v>2866</v>
      </c>
      <c r="T487" s="330"/>
      <c r="U487" s="330"/>
      <c r="V487" s="331"/>
      <c r="W487" s="344"/>
      <c r="X487" s="341"/>
      <c r="Y487" s="33" t="s">
        <v>2867</v>
      </c>
      <c r="Z487" s="258">
        <v>120059.0</v>
      </c>
      <c r="AA487" s="334">
        <v>11602.0</v>
      </c>
      <c r="AB487" s="341"/>
      <c r="AC487" s="341"/>
      <c r="AD487" s="343"/>
      <c r="AE487" s="331"/>
      <c r="AF487" s="348"/>
      <c r="AG487" s="337"/>
      <c r="AH487" s="341"/>
      <c r="AI487" s="341"/>
      <c r="AJ487" s="341"/>
      <c r="AK487" s="341"/>
      <c r="AL487" s="341"/>
      <c r="AM487" s="338"/>
      <c r="AN487" s="341"/>
      <c r="AO487" s="341"/>
      <c r="AP487" s="341"/>
      <c r="AQ487" s="341"/>
      <c r="AR487" s="341"/>
      <c r="AS487" s="341"/>
      <c r="AT487" s="341"/>
      <c r="AU487" s="343"/>
      <c r="AV487" s="341"/>
      <c r="AW487" s="269" t="s">
        <v>1952</v>
      </c>
      <c r="AX487" s="334" t="s">
        <v>2869</v>
      </c>
      <c r="AY487" s="270" t="s">
        <v>695</v>
      </c>
      <c r="AZ487" s="270" t="s">
        <v>2866</v>
      </c>
      <c r="BA487" s="265">
        <v>10.0</v>
      </c>
      <c r="BB487" s="174" t="s">
        <v>245</v>
      </c>
      <c r="BC487" s="341"/>
      <c r="BD487" s="308"/>
      <c r="BE487" s="347"/>
      <c r="BF487" s="274" t="str">
        <f>IFERROR(__xludf.DUMMYFUNCTION("LOWER(Regexreplace(to_text(E487),""[^A-Za-z0-9]"","""")&amp;""_""&amp;Regexreplace(to_text(F487),""[^A-Za-z0-9]"",""""))"),"neptronic_evcbseries")</f>
        <v>neptronic_evcbseries</v>
      </c>
      <c r="BG487" s="275" t="str">
        <f>IFERROR(__xludf.DUMMYFUNCTION("upper(Regexreplace(to_text(E487),""[^A-Za-z0-9]"","""")&amp;""-""&amp;Regexreplace(to_text(F487),""[^A-Za-z0-9]"",""""))"),"NEPTRONIC-EVCBSERIES")</f>
        <v>NEPTRONIC-EVCBSERIES</v>
      </c>
    </row>
    <row r="488" ht="30.0" customHeight="1">
      <c r="A488" s="258">
        <v>480.0</v>
      </c>
      <c r="B488" s="237" t="s">
        <v>670</v>
      </c>
      <c r="C488" s="257" t="s">
        <v>3040</v>
      </c>
      <c r="D488" s="173" t="s">
        <v>3040</v>
      </c>
      <c r="E488" s="174" t="s">
        <v>2861</v>
      </c>
      <c r="F488" s="173" t="s">
        <v>2862</v>
      </c>
      <c r="G488" s="328" t="s">
        <v>673</v>
      </c>
      <c r="H488" s="328" t="s">
        <v>2863</v>
      </c>
      <c r="I488" s="258" t="s">
        <v>2864</v>
      </c>
      <c r="J488" s="259" t="s">
        <v>739</v>
      </c>
      <c r="K488" s="260" t="s">
        <v>3041</v>
      </c>
      <c r="L488" s="328"/>
      <c r="M488" s="343"/>
      <c r="N488" s="173" t="s">
        <v>679</v>
      </c>
      <c r="O488" s="173" t="s">
        <v>225</v>
      </c>
      <c r="P488" s="262" t="str">
        <f t="shared" si="1"/>
        <v>IN-BLR-ANANTA-VAV-60_G</v>
      </c>
      <c r="Q488" s="173" t="s">
        <v>3042</v>
      </c>
      <c r="R488" s="328" t="str">
        <f>IFS(C488="","",C488="n/a","N/A",LEN(C488),Concatenate("{",char(34),"asset",char(34),":{",char(34),"guid",char(34),":",char(34),Q488,char(34),",",char(34),"site",char(34),":",char(34),LOWER('2-Building'!$B$4),char(34),",",char(34),"name",char(34),":",char(34),LOWER(C488),char(34),"}}"))</f>
        <v>{"asset":{"guid":"uuid://b3c1917e-3a27-4bf9-bed2-a6cc7fc5fb0b","site":"in-blr-ananta","name":"vav-60"}}</v>
      </c>
      <c r="S488" s="237" t="s">
        <v>2866</v>
      </c>
      <c r="T488" s="330"/>
      <c r="U488" s="330"/>
      <c r="V488" s="331"/>
      <c r="W488" s="344"/>
      <c r="X488" s="341"/>
      <c r="Y488" s="33" t="s">
        <v>2867</v>
      </c>
      <c r="Z488" s="258">
        <v>120060.0</v>
      </c>
      <c r="AA488" s="334">
        <v>11602.0</v>
      </c>
      <c r="AB488" s="341"/>
      <c r="AC488" s="341"/>
      <c r="AD488" s="343"/>
      <c r="AE488" s="331"/>
      <c r="AF488" s="348"/>
      <c r="AG488" s="337"/>
      <c r="AH488" s="341"/>
      <c r="AI488" s="341"/>
      <c r="AJ488" s="341"/>
      <c r="AK488" s="341"/>
      <c r="AL488" s="341"/>
      <c r="AM488" s="338"/>
      <c r="AN488" s="341"/>
      <c r="AO488" s="341"/>
      <c r="AP488" s="341"/>
      <c r="AQ488" s="341"/>
      <c r="AR488" s="341"/>
      <c r="AS488" s="341"/>
      <c r="AT488" s="341"/>
      <c r="AU488" s="343"/>
      <c r="AV488" s="341"/>
      <c r="AW488" s="269" t="s">
        <v>1952</v>
      </c>
      <c r="AX488" s="334" t="s">
        <v>2869</v>
      </c>
      <c r="AY488" s="270" t="s">
        <v>695</v>
      </c>
      <c r="AZ488" s="270" t="s">
        <v>2866</v>
      </c>
      <c r="BA488" s="265">
        <v>10.0</v>
      </c>
      <c r="BB488" s="174" t="s">
        <v>245</v>
      </c>
      <c r="BC488" s="341"/>
      <c r="BD488" s="308"/>
      <c r="BE488" s="347"/>
      <c r="BF488" s="274" t="str">
        <f>IFERROR(__xludf.DUMMYFUNCTION("LOWER(Regexreplace(to_text(E488),""[^A-Za-z0-9]"","""")&amp;""_""&amp;Regexreplace(to_text(F488),""[^A-Za-z0-9]"",""""))"),"neptronic_evcbseries")</f>
        <v>neptronic_evcbseries</v>
      </c>
      <c r="BG488" s="275" t="str">
        <f>IFERROR(__xludf.DUMMYFUNCTION("upper(Regexreplace(to_text(E488),""[^A-Za-z0-9]"","""")&amp;""-""&amp;Regexreplace(to_text(F488),""[^A-Za-z0-9]"",""""))"),"NEPTRONIC-EVCBSERIES")</f>
        <v>NEPTRONIC-EVCBSERIES</v>
      </c>
    </row>
    <row r="489" ht="30.0" customHeight="1">
      <c r="A489" s="173">
        <v>481.0</v>
      </c>
      <c r="B489" s="237" t="s">
        <v>670</v>
      </c>
      <c r="C489" s="257" t="s">
        <v>3043</v>
      </c>
      <c r="D489" s="173" t="s">
        <v>3043</v>
      </c>
      <c r="E489" s="174" t="s">
        <v>2861</v>
      </c>
      <c r="F489" s="173" t="s">
        <v>2862</v>
      </c>
      <c r="G489" s="328" t="s">
        <v>673</v>
      </c>
      <c r="H489" s="328" t="s">
        <v>2863</v>
      </c>
      <c r="I489" s="258" t="s">
        <v>2864</v>
      </c>
      <c r="J489" s="259" t="s">
        <v>739</v>
      </c>
      <c r="K489" s="260" t="s">
        <v>3044</v>
      </c>
      <c r="L489" s="328"/>
      <c r="M489" s="343"/>
      <c r="N489" s="173" t="s">
        <v>679</v>
      </c>
      <c r="O489" s="173" t="s">
        <v>225</v>
      </c>
      <c r="P489" s="262" t="str">
        <f t="shared" si="1"/>
        <v>IN-BLR-ANANTA-VAV-61_G</v>
      </c>
      <c r="Q489" s="173" t="s">
        <v>3045</v>
      </c>
      <c r="R489" s="328" t="str">
        <f>IFS(C489="","",C489="n/a","N/A",LEN(C489),Concatenate("{",char(34),"asset",char(34),":{",char(34),"guid",char(34),":",char(34),Q489,char(34),",",char(34),"site",char(34),":",char(34),LOWER('2-Building'!$B$4),char(34),",",char(34),"name",char(34),":",char(34),LOWER(C489),char(34),"}}"))</f>
        <v>{"asset":{"guid":"uuid://f3ca8c6e-0084-44d4-9a6b-a9e2f7e17681","site":"in-blr-ananta","name":"vav-61"}}</v>
      </c>
      <c r="S489" s="237" t="s">
        <v>2866</v>
      </c>
      <c r="T489" s="330"/>
      <c r="U489" s="330"/>
      <c r="V489" s="331"/>
      <c r="W489" s="344"/>
      <c r="X489" s="341"/>
      <c r="Y489" s="33" t="s">
        <v>2867</v>
      </c>
      <c r="Z489" s="258">
        <v>120061.0</v>
      </c>
      <c r="AA489" s="334">
        <v>11602.0</v>
      </c>
      <c r="AB489" s="341"/>
      <c r="AC489" s="341"/>
      <c r="AD489" s="343"/>
      <c r="AE489" s="331"/>
      <c r="AF489" s="348"/>
      <c r="AG489" s="337"/>
      <c r="AH489" s="341"/>
      <c r="AI489" s="341"/>
      <c r="AJ489" s="341"/>
      <c r="AK489" s="341"/>
      <c r="AL489" s="341"/>
      <c r="AM489" s="338"/>
      <c r="AN489" s="341"/>
      <c r="AO489" s="341"/>
      <c r="AP489" s="341"/>
      <c r="AQ489" s="341"/>
      <c r="AR489" s="341"/>
      <c r="AS489" s="341"/>
      <c r="AT489" s="341"/>
      <c r="AU489" s="343"/>
      <c r="AV489" s="341"/>
      <c r="AW489" s="269" t="s">
        <v>1952</v>
      </c>
      <c r="AX489" s="334" t="s">
        <v>2869</v>
      </c>
      <c r="AY489" s="270" t="s">
        <v>695</v>
      </c>
      <c r="AZ489" s="270" t="s">
        <v>2866</v>
      </c>
      <c r="BA489" s="265">
        <v>10.0</v>
      </c>
      <c r="BB489" s="174" t="s">
        <v>245</v>
      </c>
      <c r="BC489" s="341"/>
      <c r="BD489" s="308"/>
      <c r="BE489" s="347"/>
      <c r="BF489" s="274" t="str">
        <f>IFERROR(__xludf.DUMMYFUNCTION("LOWER(Regexreplace(to_text(E489),""[^A-Za-z0-9]"","""")&amp;""_""&amp;Regexreplace(to_text(F489),""[^A-Za-z0-9]"",""""))"),"neptronic_evcbseries")</f>
        <v>neptronic_evcbseries</v>
      </c>
      <c r="BG489" s="275" t="str">
        <f>IFERROR(__xludf.DUMMYFUNCTION("upper(Regexreplace(to_text(E489),""[^A-Za-z0-9]"","""")&amp;""-""&amp;Regexreplace(to_text(F489),""[^A-Za-z0-9]"",""""))"),"NEPTRONIC-EVCBSERIES")</f>
        <v>NEPTRONIC-EVCBSERIES</v>
      </c>
    </row>
    <row r="490" ht="30.0" customHeight="1">
      <c r="A490" s="258">
        <v>482.0</v>
      </c>
      <c r="B490" s="237" t="s">
        <v>670</v>
      </c>
      <c r="C490" s="257" t="s">
        <v>3046</v>
      </c>
      <c r="D490" s="173" t="s">
        <v>3046</v>
      </c>
      <c r="E490" s="174" t="s">
        <v>2861</v>
      </c>
      <c r="F490" s="173" t="s">
        <v>2862</v>
      </c>
      <c r="G490" s="328" t="s">
        <v>673</v>
      </c>
      <c r="H490" s="328" t="s">
        <v>2863</v>
      </c>
      <c r="I490" s="258" t="s">
        <v>2864</v>
      </c>
      <c r="J490" s="259" t="s">
        <v>846</v>
      </c>
      <c r="K490" s="260" t="s">
        <v>1660</v>
      </c>
      <c r="L490" s="328"/>
      <c r="M490" s="343"/>
      <c r="N490" s="173" t="s">
        <v>679</v>
      </c>
      <c r="O490" s="173" t="s">
        <v>225</v>
      </c>
      <c r="P490" s="262" t="str">
        <f t="shared" si="1"/>
        <v>IN-BLR-ANANTA-VAV-62_1</v>
      </c>
      <c r="Q490" s="173" t="s">
        <v>3047</v>
      </c>
      <c r="R490" s="328" t="str">
        <f>IFS(C490="","",C490="n/a","N/A",LEN(C490),Concatenate("{",char(34),"asset",char(34),":{",char(34),"guid",char(34),":",char(34),Q490,char(34),",",char(34),"site",char(34),":",char(34),LOWER('2-Building'!$B$4),char(34),",",char(34),"name",char(34),":",char(34),LOWER(C490),char(34),"}}"))</f>
        <v>{"asset":{"guid":"uuid://a252dfc7-c57c-44fa-ad7c-837f979d7c42","site":"in-blr-ananta","name":"vav-62"}}</v>
      </c>
      <c r="S490" s="237" t="s">
        <v>2866</v>
      </c>
      <c r="T490" s="330"/>
      <c r="U490" s="330"/>
      <c r="V490" s="331"/>
      <c r="W490" s="344"/>
      <c r="X490" s="341"/>
      <c r="Y490" s="33" t="s">
        <v>2867</v>
      </c>
      <c r="Z490" s="258">
        <v>120062.0</v>
      </c>
      <c r="AA490" s="334">
        <v>11606.0</v>
      </c>
      <c r="AB490" s="341"/>
      <c r="AC490" s="341"/>
      <c r="AD490" s="343"/>
      <c r="AE490" s="331"/>
      <c r="AF490" s="348"/>
      <c r="AG490" s="337"/>
      <c r="AH490" s="341"/>
      <c r="AI490" s="341"/>
      <c r="AJ490" s="341"/>
      <c r="AK490" s="341"/>
      <c r="AL490" s="341"/>
      <c r="AM490" s="338"/>
      <c r="AN490" s="341"/>
      <c r="AO490" s="341"/>
      <c r="AP490" s="341"/>
      <c r="AQ490" s="341"/>
      <c r="AR490" s="341"/>
      <c r="AS490" s="341"/>
      <c r="AT490" s="341"/>
      <c r="AU490" s="343"/>
      <c r="AV490" s="341"/>
      <c r="AW490" s="269" t="s">
        <v>1962</v>
      </c>
      <c r="AX490" s="334" t="s">
        <v>2869</v>
      </c>
      <c r="AY490" s="270" t="s">
        <v>695</v>
      </c>
      <c r="AZ490" s="270" t="s">
        <v>2866</v>
      </c>
      <c r="BA490" s="265">
        <v>10.0</v>
      </c>
      <c r="BB490" s="174" t="s">
        <v>245</v>
      </c>
      <c r="BC490" s="341"/>
      <c r="BD490" s="308"/>
      <c r="BE490" s="347"/>
      <c r="BF490" s="274" t="str">
        <f>IFERROR(__xludf.DUMMYFUNCTION("LOWER(Regexreplace(to_text(E490),""[^A-Za-z0-9]"","""")&amp;""_""&amp;Regexreplace(to_text(F490),""[^A-Za-z0-9]"",""""))"),"neptronic_evcbseries")</f>
        <v>neptronic_evcbseries</v>
      </c>
      <c r="BG490" s="275" t="str">
        <f>IFERROR(__xludf.DUMMYFUNCTION("upper(Regexreplace(to_text(E490),""[^A-Za-z0-9]"","""")&amp;""-""&amp;Regexreplace(to_text(F490),""[^A-Za-z0-9]"",""""))"),"NEPTRONIC-EVCBSERIES")</f>
        <v>NEPTRONIC-EVCBSERIES</v>
      </c>
    </row>
    <row r="491" ht="30.0" customHeight="1">
      <c r="A491" s="173">
        <v>483.0</v>
      </c>
      <c r="B491" s="237" t="s">
        <v>670</v>
      </c>
      <c r="C491" s="257" t="s">
        <v>3048</v>
      </c>
      <c r="D491" s="173" t="s">
        <v>3048</v>
      </c>
      <c r="E491" s="174" t="s">
        <v>2861</v>
      </c>
      <c r="F491" s="173" t="s">
        <v>2862</v>
      </c>
      <c r="G491" s="328" t="s">
        <v>673</v>
      </c>
      <c r="H491" s="328" t="s">
        <v>2863</v>
      </c>
      <c r="I491" s="258" t="s">
        <v>2864</v>
      </c>
      <c r="J491" s="259" t="s">
        <v>846</v>
      </c>
      <c r="K491" s="260" t="s">
        <v>3049</v>
      </c>
      <c r="L491" s="328"/>
      <c r="M491" s="343"/>
      <c r="N491" s="173" t="s">
        <v>679</v>
      </c>
      <c r="O491" s="173" t="s">
        <v>225</v>
      </c>
      <c r="P491" s="262" t="str">
        <f t="shared" si="1"/>
        <v>IN-BLR-ANANTA-VAV-63_1</v>
      </c>
      <c r="Q491" s="173" t="s">
        <v>3050</v>
      </c>
      <c r="R491" s="328" t="str">
        <f>IFS(C491="","",C491="n/a","N/A",LEN(C491),Concatenate("{",char(34),"asset",char(34),":{",char(34),"guid",char(34),":",char(34),Q491,char(34),",",char(34),"site",char(34),":",char(34),LOWER('2-Building'!$B$4),char(34),",",char(34),"name",char(34),":",char(34),LOWER(C491),char(34),"}}"))</f>
        <v>{"asset":{"guid":"uuid://982b619e-676b-4f58-89cf-96cdda324814","site":"in-blr-ananta","name":"vav-63"}}</v>
      </c>
      <c r="S491" s="237" t="s">
        <v>2866</v>
      </c>
      <c r="T491" s="330"/>
      <c r="U491" s="330"/>
      <c r="V491" s="331"/>
      <c r="W491" s="344"/>
      <c r="X491" s="341"/>
      <c r="Y491" s="33" t="s">
        <v>2867</v>
      </c>
      <c r="Z491" s="258">
        <v>120063.0</v>
      </c>
      <c r="AA491" s="334">
        <v>11606.0</v>
      </c>
      <c r="AB491" s="341"/>
      <c r="AC491" s="341"/>
      <c r="AD491" s="343"/>
      <c r="AE491" s="331"/>
      <c r="AF491" s="348"/>
      <c r="AG491" s="337"/>
      <c r="AH491" s="341"/>
      <c r="AI491" s="341"/>
      <c r="AJ491" s="341"/>
      <c r="AK491" s="341"/>
      <c r="AL491" s="341"/>
      <c r="AM491" s="338"/>
      <c r="AN491" s="341"/>
      <c r="AO491" s="341"/>
      <c r="AP491" s="341"/>
      <c r="AQ491" s="341"/>
      <c r="AR491" s="341"/>
      <c r="AS491" s="341"/>
      <c r="AT491" s="341"/>
      <c r="AU491" s="343"/>
      <c r="AV491" s="341"/>
      <c r="AW491" s="269" t="s">
        <v>1962</v>
      </c>
      <c r="AX491" s="334" t="s">
        <v>2869</v>
      </c>
      <c r="AY491" s="270" t="s">
        <v>695</v>
      </c>
      <c r="AZ491" s="270" t="s">
        <v>2866</v>
      </c>
      <c r="BA491" s="265">
        <v>10.0</v>
      </c>
      <c r="BB491" s="174" t="s">
        <v>245</v>
      </c>
      <c r="BC491" s="341"/>
      <c r="BD491" s="308"/>
      <c r="BE491" s="347"/>
      <c r="BF491" s="274" t="str">
        <f>IFERROR(__xludf.DUMMYFUNCTION("LOWER(Regexreplace(to_text(E491),""[^A-Za-z0-9]"","""")&amp;""_""&amp;Regexreplace(to_text(F491),""[^A-Za-z0-9]"",""""))"),"neptronic_evcbseries")</f>
        <v>neptronic_evcbseries</v>
      </c>
      <c r="BG491" s="275" t="str">
        <f>IFERROR(__xludf.DUMMYFUNCTION("upper(Regexreplace(to_text(E491),""[^A-Za-z0-9]"","""")&amp;""-""&amp;Regexreplace(to_text(F491),""[^A-Za-z0-9]"",""""))"),"NEPTRONIC-EVCBSERIES")</f>
        <v>NEPTRONIC-EVCBSERIES</v>
      </c>
    </row>
    <row r="492" ht="30.0" customHeight="1">
      <c r="A492" s="258">
        <v>484.0</v>
      </c>
      <c r="B492" s="237" t="s">
        <v>670</v>
      </c>
      <c r="C492" s="257" t="s">
        <v>3051</v>
      </c>
      <c r="D492" s="173" t="s">
        <v>3051</v>
      </c>
      <c r="E492" s="174" t="s">
        <v>2861</v>
      </c>
      <c r="F492" s="173" t="s">
        <v>2862</v>
      </c>
      <c r="G492" s="328" t="s">
        <v>673</v>
      </c>
      <c r="H492" s="328" t="s">
        <v>2863</v>
      </c>
      <c r="I492" s="258" t="s">
        <v>2864</v>
      </c>
      <c r="J492" s="259" t="s">
        <v>846</v>
      </c>
      <c r="K492" s="260" t="s">
        <v>3052</v>
      </c>
      <c r="L492" s="328"/>
      <c r="M492" s="343"/>
      <c r="N492" s="173" t="s">
        <v>679</v>
      </c>
      <c r="O492" s="173" t="s">
        <v>225</v>
      </c>
      <c r="P492" s="262" t="str">
        <f t="shared" si="1"/>
        <v>IN-BLR-ANANTA-VAV-64_1</v>
      </c>
      <c r="Q492" s="173" t="s">
        <v>3053</v>
      </c>
      <c r="R492" s="328" t="str">
        <f>IFS(C492="","",C492="n/a","N/A",LEN(C492),Concatenate("{",char(34),"asset",char(34),":{",char(34),"guid",char(34),":",char(34),Q492,char(34),",",char(34),"site",char(34),":",char(34),LOWER('2-Building'!$B$4),char(34),",",char(34),"name",char(34),":",char(34),LOWER(C492),char(34),"}}"))</f>
        <v>{"asset":{"guid":"uuid://e91253d9-fab8-4b3c-85a0-4749f4b67eee","site":"in-blr-ananta","name":"vav-64"}}</v>
      </c>
      <c r="S492" s="237" t="s">
        <v>2866</v>
      </c>
      <c r="T492" s="330"/>
      <c r="U492" s="330"/>
      <c r="V492" s="331"/>
      <c r="W492" s="344"/>
      <c r="X492" s="341"/>
      <c r="Y492" s="33" t="s">
        <v>2867</v>
      </c>
      <c r="Z492" s="258">
        <v>120064.0</v>
      </c>
      <c r="AA492" s="334">
        <v>11606.0</v>
      </c>
      <c r="AB492" s="341"/>
      <c r="AC492" s="341"/>
      <c r="AD492" s="343"/>
      <c r="AE492" s="331"/>
      <c r="AF492" s="348"/>
      <c r="AG492" s="337"/>
      <c r="AH492" s="341"/>
      <c r="AI492" s="341"/>
      <c r="AJ492" s="341"/>
      <c r="AK492" s="341"/>
      <c r="AL492" s="341"/>
      <c r="AM492" s="338"/>
      <c r="AN492" s="341"/>
      <c r="AO492" s="341"/>
      <c r="AP492" s="341"/>
      <c r="AQ492" s="341"/>
      <c r="AR492" s="341"/>
      <c r="AS492" s="341"/>
      <c r="AT492" s="341"/>
      <c r="AU492" s="343"/>
      <c r="AV492" s="341"/>
      <c r="AW492" s="269" t="s">
        <v>1962</v>
      </c>
      <c r="AX492" s="334" t="s">
        <v>2869</v>
      </c>
      <c r="AY492" s="270" t="s">
        <v>695</v>
      </c>
      <c r="AZ492" s="270" t="s">
        <v>2866</v>
      </c>
      <c r="BA492" s="265">
        <v>10.0</v>
      </c>
      <c r="BB492" s="174" t="s">
        <v>245</v>
      </c>
      <c r="BC492" s="341"/>
      <c r="BD492" s="308"/>
      <c r="BE492" s="347"/>
      <c r="BF492" s="274" t="str">
        <f>IFERROR(__xludf.DUMMYFUNCTION("LOWER(Regexreplace(to_text(E492),""[^A-Za-z0-9]"","""")&amp;""_""&amp;Regexreplace(to_text(F492),""[^A-Za-z0-9]"",""""))"),"neptronic_evcbseries")</f>
        <v>neptronic_evcbseries</v>
      </c>
      <c r="BG492" s="275" t="str">
        <f>IFERROR(__xludf.DUMMYFUNCTION("upper(Regexreplace(to_text(E492),""[^A-Za-z0-9]"","""")&amp;""-""&amp;Regexreplace(to_text(F492),""[^A-Za-z0-9]"",""""))"),"NEPTRONIC-EVCBSERIES")</f>
        <v>NEPTRONIC-EVCBSERIES</v>
      </c>
    </row>
    <row r="493" ht="30.0" customHeight="1">
      <c r="A493" s="173">
        <v>485.0</v>
      </c>
      <c r="B493" s="237" t="s">
        <v>670</v>
      </c>
      <c r="C493" s="257" t="s">
        <v>3054</v>
      </c>
      <c r="D493" s="173" t="s">
        <v>3054</v>
      </c>
      <c r="E493" s="174" t="s">
        <v>2861</v>
      </c>
      <c r="F493" s="173" t="s">
        <v>2862</v>
      </c>
      <c r="G493" s="328" t="s">
        <v>673</v>
      </c>
      <c r="H493" s="328" t="s">
        <v>2863</v>
      </c>
      <c r="I493" s="258" t="s">
        <v>2864</v>
      </c>
      <c r="J493" s="259" t="s">
        <v>846</v>
      </c>
      <c r="K493" s="260" t="s">
        <v>3055</v>
      </c>
      <c r="L493" s="328"/>
      <c r="M493" s="343"/>
      <c r="N493" s="173" t="s">
        <v>679</v>
      </c>
      <c r="O493" s="173" t="s">
        <v>225</v>
      </c>
      <c r="P493" s="262" t="str">
        <f t="shared" si="1"/>
        <v>IN-BLR-ANANTA-VAV-65_1</v>
      </c>
      <c r="Q493" s="173" t="s">
        <v>3056</v>
      </c>
      <c r="R493" s="328" t="str">
        <f>IFS(C493="","",C493="n/a","N/A",LEN(C493),Concatenate("{",char(34),"asset",char(34),":{",char(34),"guid",char(34),":",char(34),Q493,char(34),",",char(34),"site",char(34),":",char(34),LOWER('2-Building'!$B$4),char(34),",",char(34),"name",char(34),":",char(34),LOWER(C493),char(34),"}}"))</f>
        <v>{"asset":{"guid":"uuid://aebcb1ec-15b0-4820-9ae9-0af07afac5d3","site":"in-blr-ananta","name":"vav-65"}}</v>
      </c>
      <c r="S493" s="237" t="s">
        <v>2866</v>
      </c>
      <c r="T493" s="330"/>
      <c r="U493" s="330"/>
      <c r="V493" s="331"/>
      <c r="W493" s="344"/>
      <c r="X493" s="341"/>
      <c r="Y493" s="33" t="s">
        <v>2867</v>
      </c>
      <c r="Z493" s="258">
        <v>120065.0</v>
      </c>
      <c r="AA493" s="334">
        <v>11606.0</v>
      </c>
      <c r="AB493" s="341"/>
      <c r="AC493" s="341"/>
      <c r="AD493" s="343"/>
      <c r="AE493" s="331"/>
      <c r="AF493" s="348"/>
      <c r="AG493" s="337"/>
      <c r="AH493" s="341"/>
      <c r="AI493" s="341"/>
      <c r="AJ493" s="341"/>
      <c r="AK493" s="341"/>
      <c r="AL493" s="341"/>
      <c r="AM493" s="338"/>
      <c r="AN493" s="341"/>
      <c r="AO493" s="341"/>
      <c r="AP493" s="341"/>
      <c r="AQ493" s="341"/>
      <c r="AR493" s="341"/>
      <c r="AS493" s="341"/>
      <c r="AT493" s="341"/>
      <c r="AU493" s="343"/>
      <c r="AV493" s="341"/>
      <c r="AW493" s="269" t="s">
        <v>1962</v>
      </c>
      <c r="AX493" s="334" t="s">
        <v>2869</v>
      </c>
      <c r="AY493" s="270" t="s">
        <v>695</v>
      </c>
      <c r="AZ493" s="270" t="s">
        <v>2866</v>
      </c>
      <c r="BA493" s="265">
        <v>10.0</v>
      </c>
      <c r="BB493" s="174" t="s">
        <v>245</v>
      </c>
      <c r="BC493" s="341"/>
      <c r="BD493" s="308"/>
      <c r="BE493" s="347"/>
      <c r="BF493" s="274" t="str">
        <f>IFERROR(__xludf.DUMMYFUNCTION("LOWER(Regexreplace(to_text(E493),""[^A-Za-z0-9]"","""")&amp;""_""&amp;Regexreplace(to_text(F493),""[^A-Za-z0-9]"",""""))"),"neptronic_evcbseries")</f>
        <v>neptronic_evcbseries</v>
      </c>
      <c r="BG493" s="275" t="str">
        <f>IFERROR(__xludf.DUMMYFUNCTION("upper(Regexreplace(to_text(E493),""[^A-Za-z0-9]"","""")&amp;""-""&amp;Regexreplace(to_text(F493),""[^A-Za-z0-9]"",""""))"),"NEPTRONIC-EVCBSERIES")</f>
        <v>NEPTRONIC-EVCBSERIES</v>
      </c>
    </row>
    <row r="494" ht="30.0" customHeight="1">
      <c r="A494" s="258">
        <v>486.0</v>
      </c>
      <c r="B494" s="237" t="s">
        <v>670</v>
      </c>
      <c r="C494" s="257" t="s">
        <v>3057</v>
      </c>
      <c r="D494" s="173" t="s">
        <v>3057</v>
      </c>
      <c r="E494" s="174" t="s">
        <v>2861</v>
      </c>
      <c r="F494" s="173" t="s">
        <v>2862</v>
      </c>
      <c r="G494" s="328" t="s">
        <v>673</v>
      </c>
      <c r="H494" s="328" t="s">
        <v>2863</v>
      </c>
      <c r="I494" s="258" t="s">
        <v>2864</v>
      </c>
      <c r="J494" s="259" t="s">
        <v>846</v>
      </c>
      <c r="K494" s="260" t="s">
        <v>3058</v>
      </c>
      <c r="L494" s="328"/>
      <c r="M494" s="343"/>
      <c r="N494" s="173" t="s">
        <v>679</v>
      </c>
      <c r="O494" s="173" t="s">
        <v>225</v>
      </c>
      <c r="P494" s="262" t="str">
        <f t="shared" si="1"/>
        <v>IN-BLR-ANANTA-VAV-66_1</v>
      </c>
      <c r="Q494" s="173" t="s">
        <v>3059</v>
      </c>
      <c r="R494" s="328" t="str">
        <f>IFS(C494="","",C494="n/a","N/A",LEN(C494),Concatenate("{",char(34),"asset",char(34),":{",char(34),"guid",char(34),":",char(34),Q494,char(34),",",char(34),"site",char(34),":",char(34),LOWER('2-Building'!$B$4),char(34),",",char(34),"name",char(34),":",char(34),LOWER(C494),char(34),"}}"))</f>
        <v>{"asset":{"guid":"uuid://3439694e-1d40-4802-ad30-017eb1edbdbb","site":"in-blr-ananta","name":"vav-66"}}</v>
      </c>
      <c r="S494" s="237" t="s">
        <v>2866</v>
      </c>
      <c r="T494" s="330"/>
      <c r="U494" s="330"/>
      <c r="V494" s="331"/>
      <c r="W494" s="344"/>
      <c r="X494" s="341"/>
      <c r="Y494" s="33" t="s">
        <v>2867</v>
      </c>
      <c r="Z494" s="258">
        <v>120066.0</v>
      </c>
      <c r="AA494" s="334">
        <v>11606.0</v>
      </c>
      <c r="AB494" s="341"/>
      <c r="AC494" s="341"/>
      <c r="AD494" s="343"/>
      <c r="AE494" s="331"/>
      <c r="AF494" s="348"/>
      <c r="AG494" s="337"/>
      <c r="AH494" s="341"/>
      <c r="AI494" s="341"/>
      <c r="AJ494" s="341"/>
      <c r="AK494" s="341"/>
      <c r="AL494" s="341"/>
      <c r="AM494" s="338"/>
      <c r="AN494" s="341"/>
      <c r="AO494" s="341"/>
      <c r="AP494" s="341"/>
      <c r="AQ494" s="341"/>
      <c r="AR494" s="341"/>
      <c r="AS494" s="341"/>
      <c r="AT494" s="341"/>
      <c r="AU494" s="343"/>
      <c r="AV494" s="341"/>
      <c r="AW494" s="269" t="s">
        <v>1962</v>
      </c>
      <c r="AX494" s="334" t="s">
        <v>2869</v>
      </c>
      <c r="AY494" s="270" t="s">
        <v>695</v>
      </c>
      <c r="AZ494" s="270" t="s">
        <v>2866</v>
      </c>
      <c r="BA494" s="265">
        <v>10.0</v>
      </c>
      <c r="BB494" s="174" t="s">
        <v>245</v>
      </c>
      <c r="BC494" s="341"/>
      <c r="BD494" s="308"/>
      <c r="BE494" s="347"/>
      <c r="BF494" s="274" t="str">
        <f>IFERROR(__xludf.DUMMYFUNCTION("LOWER(Regexreplace(to_text(E494),""[^A-Za-z0-9]"","""")&amp;""_""&amp;Regexreplace(to_text(F494),""[^A-Za-z0-9]"",""""))"),"neptronic_evcbseries")</f>
        <v>neptronic_evcbseries</v>
      </c>
      <c r="BG494" s="275" t="str">
        <f>IFERROR(__xludf.DUMMYFUNCTION("upper(Regexreplace(to_text(E494),""[^A-Za-z0-9]"","""")&amp;""-""&amp;Regexreplace(to_text(F494),""[^A-Za-z0-9]"",""""))"),"NEPTRONIC-EVCBSERIES")</f>
        <v>NEPTRONIC-EVCBSERIES</v>
      </c>
    </row>
    <row r="495" ht="30.0" customHeight="1">
      <c r="A495" s="173">
        <v>487.0</v>
      </c>
      <c r="B495" s="237" t="s">
        <v>670</v>
      </c>
      <c r="C495" s="257" t="s">
        <v>3060</v>
      </c>
      <c r="D495" s="173" t="s">
        <v>3060</v>
      </c>
      <c r="E495" s="174" t="s">
        <v>2861</v>
      </c>
      <c r="F495" s="173" t="s">
        <v>2862</v>
      </c>
      <c r="G495" s="328" t="s">
        <v>673</v>
      </c>
      <c r="H495" s="328" t="s">
        <v>2863</v>
      </c>
      <c r="I495" s="258" t="s">
        <v>2864</v>
      </c>
      <c r="J495" s="259" t="s">
        <v>846</v>
      </c>
      <c r="K495" s="260" t="s">
        <v>3061</v>
      </c>
      <c r="L495" s="328"/>
      <c r="M495" s="343"/>
      <c r="N495" s="173" t="s">
        <v>679</v>
      </c>
      <c r="O495" s="173" t="s">
        <v>225</v>
      </c>
      <c r="P495" s="262" t="str">
        <f t="shared" si="1"/>
        <v>IN-BLR-ANANTA-VAV-67_1</v>
      </c>
      <c r="Q495" s="173" t="s">
        <v>3062</v>
      </c>
      <c r="R495" s="328" t="str">
        <f>IFS(C495="","",C495="n/a","N/A",LEN(C495),Concatenate("{",char(34),"asset",char(34),":{",char(34),"guid",char(34),":",char(34),Q495,char(34),",",char(34),"site",char(34),":",char(34),LOWER('2-Building'!$B$4),char(34),",",char(34),"name",char(34),":",char(34),LOWER(C495),char(34),"}}"))</f>
        <v>{"asset":{"guid":"uuid://5c5e2237-5400-490d-bb70-500b341827c5","site":"in-blr-ananta","name":"vav-67"}}</v>
      </c>
      <c r="S495" s="237" t="s">
        <v>2866</v>
      </c>
      <c r="T495" s="330"/>
      <c r="U495" s="330"/>
      <c r="V495" s="331"/>
      <c r="W495" s="344"/>
      <c r="X495" s="341"/>
      <c r="Y495" s="33" t="s">
        <v>2867</v>
      </c>
      <c r="Z495" s="258">
        <v>120067.0</v>
      </c>
      <c r="AA495" s="334">
        <v>11606.0</v>
      </c>
      <c r="AB495" s="341"/>
      <c r="AC495" s="341"/>
      <c r="AD495" s="343"/>
      <c r="AE495" s="331"/>
      <c r="AF495" s="348"/>
      <c r="AG495" s="337"/>
      <c r="AH495" s="341"/>
      <c r="AI495" s="341"/>
      <c r="AJ495" s="341"/>
      <c r="AK495" s="341"/>
      <c r="AL495" s="341"/>
      <c r="AM495" s="338"/>
      <c r="AN495" s="341"/>
      <c r="AO495" s="341"/>
      <c r="AP495" s="341"/>
      <c r="AQ495" s="341"/>
      <c r="AR495" s="341"/>
      <c r="AS495" s="341"/>
      <c r="AT495" s="341"/>
      <c r="AU495" s="343"/>
      <c r="AV495" s="341"/>
      <c r="AW495" s="269" t="s">
        <v>1962</v>
      </c>
      <c r="AX495" s="334" t="s">
        <v>2869</v>
      </c>
      <c r="AY495" s="270" t="s">
        <v>695</v>
      </c>
      <c r="AZ495" s="270" t="s">
        <v>2866</v>
      </c>
      <c r="BA495" s="265">
        <v>10.0</v>
      </c>
      <c r="BB495" s="174" t="s">
        <v>245</v>
      </c>
      <c r="BC495" s="341"/>
      <c r="BD495" s="308"/>
      <c r="BE495" s="347"/>
      <c r="BF495" s="274" t="str">
        <f>IFERROR(__xludf.DUMMYFUNCTION("LOWER(Regexreplace(to_text(E495),""[^A-Za-z0-9]"","""")&amp;""_""&amp;Regexreplace(to_text(F495),""[^A-Za-z0-9]"",""""))"),"neptronic_evcbseries")</f>
        <v>neptronic_evcbseries</v>
      </c>
      <c r="BG495" s="275" t="str">
        <f>IFERROR(__xludf.DUMMYFUNCTION("upper(Regexreplace(to_text(E495),""[^A-Za-z0-9]"","""")&amp;""-""&amp;Regexreplace(to_text(F495),""[^A-Za-z0-9]"",""""))"),"NEPTRONIC-EVCBSERIES")</f>
        <v>NEPTRONIC-EVCBSERIES</v>
      </c>
    </row>
    <row r="496" ht="30.0" customHeight="1">
      <c r="A496" s="258">
        <v>488.0</v>
      </c>
      <c r="B496" s="237" t="s">
        <v>670</v>
      </c>
      <c r="C496" s="257" t="s">
        <v>3063</v>
      </c>
      <c r="D496" s="173" t="s">
        <v>3063</v>
      </c>
      <c r="E496" s="174" t="s">
        <v>2861</v>
      </c>
      <c r="F496" s="173" t="s">
        <v>2862</v>
      </c>
      <c r="G496" s="328" t="s">
        <v>673</v>
      </c>
      <c r="H496" s="328" t="s">
        <v>2863</v>
      </c>
      <c r="I496" s="258" t="s">
        <v>2864</v>
      </c>
      <c r="J496" s="259" t="s">
        <v>846</v>
      </c>
      <c r="K496" s="260" t="s">
        <v>3064</v>
      </c>
      <c r="L496" s="328"/>
      <c r="M496" s="343"/>
      <c r="N496" s="173" t="s">
        <v>679</v>
      </c>
      <c r="O496" s="173" t="s">
        <v>225</v>
      </c>
      <c r="P496" s="262" t="str">
        <f t="shared" si="1"/>
        <v>IN-BLR-ANANTA-VAV-68_1</v>
      </c>
      <c r="Q496" s="173" t="s">
        <v>3065</v>
      </c>
      <c r="R496" s="328" t="str">
        <f>IFS(C496="","",C496="n/a","N/A",LEN(C496),Concatenate("{",char(34),"asset",char(34),":{",char(34),"guid",char(34),":",char(34),Q496,char(34),",",char(34),"site",char(34),":",char(34),LOWER('2-Building'!$B$4),char(34),",",char(34),"name",char(34),":",char(34),LOWER(C496),char(34),"}}"))</f>
        <v>{"asset":{"guid":"uuid://980f56da-ec5b-4612-b14e-d979f392d0e3","site":"in-blr-ananta","name":"vav-68"}}</v>
      </c>
      <c r="S496" s="237" t="s">
        <v>2866</v>
      </c>
      <c r="T496" s="330"/>
      <c r="U496" s="330"/>
      <c r="V496" s="331"/>
      <c r="W496" s="344"/>
      <c r="X496" s="341"/>
      <c r="Y496" s="33" t="s">
        <v>2867</v>
      </c>
      <c r="Z496" s="258">
        <v>120068.0</v>
      </c>
      <c r="AA496" s="334">
        <v>11606.0</v>
      </c>
      <c r="AB496" s="341"/>
      <c r="AC496" s="341"/>
      <c r="AD496" s="343"/>
      <c r="AE496" s="331"/>
      <c r="AF496" s="348"/>
      <c r="AG496" s="337"/>
      <c r="AH496" s="341"/>
      <c r="AI496" s="341"/>
      <c r="AJ496" s="341"/>
      <c r="AK496" s="341"/>
      <c r="AL496" s="341"/>
      <c r="AM496" s="338"/>
      <c r="AN496" s="341"/>
      <c r="AO496" s="341"/>
      <c r="AP496" s="341"/>
      <c r="AQ496" s="341"/>
      <c r="AR496" s="341"/>
      <c r="AS496" s="341"/>
      <c r="AT496" s="341"/>
      <c r="AU496" s="343"/>
      <c r="AV496" s="341"/>
      <c r="AW496" s="269" t="s">
        <v>1962</v>
      </c>
      <c r="AX496" s="334" t="s">
        <v>2869</v>
      </c>
      <c r="AY496" s="270" t="s">
        <v>695</v>
      </c>
      <c r="AZ496" s="270" t="s">
        <v>2866</v>
      </c>
      <c r="BA496" s="265">
        <v>10.0</v>
      </c>
      <c r="BB496" s="174" t="s">
        <v>245</v>
      </c>
      <c r="BC496" s="341"/>
      <c r="BD496" s="308"/>
      <c r="BE496" s="347"/>
      <c r="BF496" s="274" t="str">
        <f>IFERROR(__xludf.DUMMYFUNCTION("LOWER(Regexreplace(to_text(E496),""[^A-Za-z0-9]"","""")&amp;""_""&amp;Regexreplace(to_text(F496),""[^A-Za-z0-9]"",""""))"),"neptronic_evcbseries")</f>
        <v>neptronic_evcbseries</v>
      </c>
      <c r="BG496" s="275" t="str">
        <f>IFERROR(__xludf.DUMMYFUNCTION("upper(Regexreplace(to_text(E496),""[^A-Za-z0-9]"","""")&amp;""-""&amp;Regexreplace(to_text(F496),""[^A-Za-z0-9]"",""""))"),"NEPTRONIC-EVCBSERIES")</f>
        <v>NEPTRONIC-EVCBSERIES</v>
      </c>
    </row>
    <row r="497" ht="30.0" customHeight="1">
      <c r="A497" s="173">
        <v>489.0</v>
      </c>
      <c r="B497" s="237" t="s">
        <v>670</v>
      </c>
      <c r="C497" s="257" t="s">
        <v>3066</v>
      </c>
      <c r="D497" s="173" t="s">
        <v>3066</v>
      </c>
      <c r="E497" s="174" t="s">
        <v>2861</v>
      </c>
      <c r="F497" s="173" t="s">
        <v>2862</v>
      </c>
      <c r="G497" s="328" t="s">
        <v>673</v>
      </c>
      <c r="H497" s="328" t="s">
        <v>2863</v>
      </c>
      <c r="I497" s="258" t="s">
        <v>2864</v>
      </c>
      <c r="J497" s="259" t="s">
        <v>846</v>
      </c>
      <c r="K497" s="260" t="s">
        <v>3067</v>
      </c>
      <c r="L497" s="328"/>
      <c r="M497" s="343"/>
      <c r="N497" s="173" t="s">
        <v>679</v>
      </c>
      <c r="O497" s="173" t="s">
        <v>225</v>
      </c>
      <c r="P497" s="262" t="str">
        <f t="shared" si="1"/>
        <v>IN-BLR-ANANTA-VAV-69_1</v>
      </c>
      <c r="Q497" s="173" t="s">
        <v>3068</v>
      </c>
      <c r="R497" s="328" t="str">
        <f>IFS(C497="","",C497="n/a","N/A",LEN(C497),Concatenate("{",char(34),"asset",char(34),":{",char(34),"guid",char(34),":",char(34),Q497,char(34),",",char(34),"site",char(34),":",char(34),LOWER('2-Building'!$B$4),char(34),",",char(34),"name",char(34),":",char(34),LOWER(C497),char(34),"}}"))</f>
        <v>{"asset":{"guid":"uuid://6a9a6609-24cf-4775-ac1a-33aa9e8cf971","site":"in-blr-ananta","name":"vav-69"}}</v>
      </c>
      <c r="S497" s="237" t="s">
        <v>2866</v>
      </c>
      <c r="T497" s="330"/>
      <c r="U497" s="330"/>
      <c r="V497" s="331"/>
      <c r="W497" s="344"/>
      <c r="X497" s="341"/>
      <c r="Y497" s="33" t="s">
        <v>2867</v>
      </c>
      <c r="Z497" s="258">
        <v>120069.0</v>
      </c>
      <c r="AA497" s="334">
        <v>11606.0</v>
      </c>
      <c r="AB497" s="341"/>
      <c r="AC497" s="341"/>
      <c r="AD497" s="343"/>
      <c r="AE497" s="331"/>
      <c r="AF497" s="348"/>
      <c r="AG497" s="337"/>
      <c r="AH497" s="341"/>
      <c r="AI497" s="341"/>
      <c r="AJ497" s="341"/>
      <c r="AK497" s="341"/>
      <c r="AL497" s="341"/>
      <c r="AM497" s="338"/>
      <c r="AN497" s="341"/>
      <c r="AO497" s="341"/>
      <c r="AP497" s="341"/>
      <c r="AQ497" s="341"/>
      <c r="AR497" s="341"/>
      <c r="AS497" s="341"/>
      <c r="AT497" s="341"/>
      <c r="AU497" s="343"/>
      <c r="AV497" s="341"/>
      <c r="AW497" s="269" t="s">
        <v>1962</v>
      </c>
      <c r="AX497" s="334" t="s">
        <v>2869</v>
      </c>
      <c r="AY497" s="270" t="s">
        <v>695</v>
      </c>
      <c r="AZ497" s="270" t="s">
        <v>2866</v>
      </c>
      <c r="BA497" s="265">
        <v>10.0</v>
      </c>
      <c r="BB497" s="174" t="s">
        <v>245</v>
      </c>
      <c r="BC497" s="341"/>
      <c r="BD497" s="308"/>
      <c r="BE497" s="347"/>
      <c r="BF497" s="274" t="str">
        <f>IFERROR(__xludf.DUMMYFUNCTION("LOWER(Regexreplace(to_text(E497),""[^A-Za-z0-9]"","""")&amp;""_""&amp;Regexreplace(to_text(F497),""[^A-Za-z0-9]"",""""))"),"neptronic_evcbseries")</f>
        <v>neptronic_evcbseries</v>
      </c>
      <c r="BG497" s="275" t="str">
        <f>IFERROR(__xludf.DUMMYFUNCTION("upper(Regexreplace(to_text(E497),""[^A-Za-z0-9]"","""")&amp;""-""&amp;Regexreplace(to_text(F497),""[^A-Za-z0-9]"",""""))"),"NEPTRONIC-EVCBSERIES")</f>
        <v>NEPTRONIC-EVCBSERIES</v>
      </c>
    </row>
    <row r="498" ht="30.0" customHeight="1">
      <c r="A498" s="258">
        <v>490.0</v>
      </c>
      <c r="B498" s="237" t="s">
        <v>670</v>
      </c>
      <c r="C498" s="257" t="s">
        <v>3069</v>
      </c>
      <c r="D498" s="173" t="s">
        <v>3069</v>
      </c>
      <c r="E498" s="174" t="s">
        <v>2861</v>
      </c>
      <c r="F498" s="173" t="s">
        <v>2862</v>
      </c>
      <c r="G498" s="328" t="s">
        <v>673</v>
      </c>
      <c r="H498" s="328" t="s">
        <v>2863</v>
      </c>
      <c r="I498" s="258" t="s">
        <v>2864</v>
      </c>
      <c r="J498" s="259" t="s">
        <v>846</v>
      </c>
      <c r="K498" s="260" t="s">
        <v>3070</v>
      </c>
      <c r="L498" s="328"/>
      <c r="M498" s="343"/>
      <c r="N498" s="173" t="s">
        <v>679</v>
      </c>
      <c r="O498" s="173" t="s">
        <v>225</v>
      </c>
      <c r="P498" s="262" t="str">
        <f t="shared" si="1"/>
        <v>IN-BLR-ANANTA-VAV-70_1</v>
      </c>
      <c r="Q498" s="173" t="s">
        <v>3071</v>
      </c>
      <c r="R498" s="328" t="str">
        <f>IFS(C498="","",C498="n/a","N/A",LEN(C498),Concatenate("{",char(34),"asset",char(34),":{",char(34),"guid",char(34),":",char(34),Q498,char(34),",",char(34),"site",char(34),":",char(34),LOWER('2-Building'!$B$4),char(34),",",char(34),"name",char(34),":",char(34),LOWER(C498),char(34),"}}"))</f>
        <v>{"asset":{"guid":"uuid://8e5c3159-1838-40a8-be49-6a9767ed1840","site":"in-blr-ananta","name":"vav-70"}}</v>
      </c>
      <c r="S498" s="237" t="s">
        <v>2866</v>
      </c>
      <c r="T498" s="330"/>
      <c r="U498" s="330"/>
      <c r="V498" s="331"/>
      <c r="W498" s="344"/>
      <c r="X498" s="341"/>
      <c r="Y498" s="33" t="s">
        <v>2867</v>
      </c>
      <c r="Z498" s="258">
        <v>120070.0</v>
      </c>
      <c r="AA498" s="334">
        <v>11606.0</v>
      </c>
      <c r="AB498" s="341"/>
      <c r="AC498" s="341"/>
      <c r="AD498" s="343"/>
      <c r="AE498" s="331"/>
      <c r="AF498" s="348"/>
      <c r="AG498" s="337"/>
      <c r="AH498" s="341"/>
      <c r="AI498" s="341"/>
      <c r="AJ498" s="341"/>
      <c r="AK498" s="341"/>
      <c r="AL498" s="341"/>
      <c r="AM498" s="338"/>
      <c r="AN498" s="341"/>
      <c r="AO498" s="341"/>
      <c r="AP498" s="341"/>
      <c r="AQ498" s="341"/>
      <c r="AR498" s="341"/>
      <c r="AS498" s="341"/>
      <c r="AT498" s="341"/>
      <c r="AU498" s="343"/>
      <c r="AV498" s="341"/>
      <c r="AW498" s="269" t="s">
        <v>1962</v>
      </c>
      <c r="AX498" s="334" t="s">
        <v>2869</v>
      </c>
      <c r="AY498" s="270" t="s">
        <v>695</v>
      </c>
      <c r="AZ498" s="270" t="s">
        <v>2866</v>
      </c>
      <c r="BA498" s="265">
        <v>10.0</v>
      </c>
      <c r="BB498" s="174" t="s">
        <v>245</v>
      </c>
      <c r="BC498" s="341"/>
      <c r="BD498" s="308"/>
      <c r="BE498" s="347"/>
      <c r="BF498" s="274" t="str">
        <f>IFERROR(__xludf.DUMMYFUNCTION("LOWER(Regexreplace(to_text(E498),""[^A-Za-z0-9]"","""")&amp;""_""&amp;Regexreplace(to_text(F498),""[^A-Za-z0-9]"",""""))"),"neptronic_evcbseries")</f>
        <v>neptronic_evcbseries</v>
      </c>
      <c r="BG498" s="275" t="str">
        <f>IFERROR(__xludf.DUMMYFUNCTION("upper(Regexreplace(to_text(E498),""[^A-Za-z0-9]"","""")&amp;""-""&amp;Regexreplace(to_text(F498),""[^A-Za-z0-9]"",""""))"),"NEPTRONIC-EVCBSERIES")</f>
        <v>NEPTRONIC-EVCBSERIES</v>
      </c>
    </row>
    <row r="499" ht="30.0" customHeight="1">
      <c r="A499" s="173">
        <v>491.0</v>
      </c>
      <c r="B499" s="237" t="s">
        <v>670</v>
      </c>
      <c r="C499" s="257" t="s">
        <v>3072</v>
      </c>
      <c r="D499" s="173" t="s">
        <v>3072</v>
      </c>
      <c r="E499" s="174" t="s">
        <v>2861</v>
      </c>
      <c r="F499" s="173" t="s">
        <v>2862</v>
      </c>
      <c r="G499" s="328" t="s">
        <v>673</v>
      </c>
      <c r="H499" s="328" t="s">
        <v>2863</v>
      </c>
      <c r="I499" s="258" t="s">
        <v>2864</v>
      </c>
      <c r="J499" s="259" t="s">
        <v>846</v>
      </c>
      <c r="K499" s="260" t="s">
        <v>3073</v>
      </c>
      <c r="L499" s="328"/>
      <c r="M499" s="343"/>
      <c r="N499" s="173" t="s">
        <v>679</v>
      </c>
      <c r="O499" s="173" t="s">
        <v>225</v>
      </c>
      <c r="P499" s="262" t="str">
        <f t="shared" si="1"/>
        <v>IN-BLR-ANANTA-VAV-71_1</v>
      </c>
      <c r="Q499" s="173" t="s">
        <v>3074</v>
      </c>
      <c r="R499" s="328" t="str">
        <f>IFS(C499="","",C499="n/a","N/A",LEN(C499),Concatenate("{",char(34),"asset",char(34),":{",char(34),"guid",char(34),":",char(34),Q499,char(34),",",char(34),"site",char(34),":",char(34),LOWER('2-Building'!$B$4),char(34),",",char(34),"name",char(34),":",char(34),LOWER(C499),char(34),"}}"))</f>
        <v>{"asset":{"guid":"uuid://4a2a6ece-91e5-44bd-8861-1415590c058e","site":"in-blr-ananta","name":"vav-71"}}</v>
      </c>
      <c r="S499" s="237" t="s">
        <v>2866</v>
      </c>
      <c r="T499" s="330"/>
      <c r="U499" s="330"/>
      <c r="V499" s="331"/>
      <c r="W499" s="344"/>
      <c r="X499" s="341"/>
      <c r="Y499" s="33" t="s">
        <v>2867</v>
      </c>
      <c r="Z499" s="258">
        <v>120071.0</v>
      </c>
      <c r="AA499" s="334">
        <v>11606.0</v>
      </c>
      <c r="AB499" s="341"/>
      <c r="AC499" s="341"/>
      <c r="AD499" s="343"/>
      <c r="AE499" s="331"/>
      <c r="AF499" s="348"/>
      <c r="AG499" s="337"/>
      <c r="AH499" s="341"/>
      <c r="AI499" s="341"/>
      <c r="AJ499" s="341"/>
      <c r="AK499" s="341"/>
      <c r="AL499" s="341"/>
      <c r="AM499" s="338"/>
      <c r="AN499" s="341"/>
      <c r="AO499" s="341"/>
      <c r="AP499" s="341"/>
      <c r="AQ499" s="341"/>
      <c r="AR499" s="341"/>
      <c r="AS499" s="341"/>
      <c r="AT499" s="341"/>
      <c r="AU499" s="343"/>
      <c r="AV499" s="341"/>
      <c r="AW499" s="269" t="s">
        <v>1962</v>
      </c>
      <c r="AX499" s="334" t="s">
        <v>2869</v>
      </c>
      <c r="AY499" s="270" t="s">
        <v>695</v>
      </c>
      <c r="AZ499" s="270" t="s">
        <v>2866</v>
      </c>
      <c r="BA499" s="265">
        <v>10.0</v>
      </c>
      <c r="BB499" s="174" t="s">
        <v>245</v>
      </c>
      <c r="BC499" s="341"/>
      <c r="BD499" s="308"/>
      <c r="BE499" s="347"/>
      <c r="BF499" s="274" t="str">
        <f>IFERROR(__xludf.DUMMYFUNCTION("LOWER(Regexreplace(to_text(E499),""[^A-Za-z0-9]"","""")&amp;""_""&amp;Regexreplace(to_text(F499),""[^A-Za-z0-9]"",""""))"),"neptronic_evcbseries")</f>
        <v>neptronic_evcbseries</v>
      </c>
      <c r="BG499" s="275" t="str">
        <f>IFERROR(__xludf.DUMMYFUNCTION("upper(Regexreplace(to_text(E499),""[^A-Za-z0-9]"","""")&amp;""-""&amp;Regexreplace(to_text(F499),""[^A-Za-z0-9]"",""""))"),"NEPTRONIC-EVCBSERIES")</f>
        <v>NEPTRONIC-EVCBSERIES</v>
      </c>
    </row>
    <row r="500" ht="30.0" customHeight="1">
      <c r="A500" s="258">
        <v>492.0</v>
      </c>
      <c r="B500" s="237" t="s">
        <v>670</v>
      </c>
      <c r="C500" s="257" t="s">
        <v>3075</v>
      </c>
      <c r="D500" s="173" t="s">
        <v>3075</v>
      </c>
      <c r="E500" s="174" t="s">
        <v>2861</v>
      </c>
      <c r="F500" s="173" t="s">
        <v>2862</v>
      </c>
      <c r="G500" s="328" t="s">
        <v>673</v>
      </c>
      <c r="H500" s="328" t="s">
        <v>2863</v>
      </c>
      <c r="I500" s="258" t="s">
        <v>2864</v>
      </c>
      <c r="J500" s="259" t="s">
        <v>846</v>
      </c>
      <c r="K500" s="260" t="s">
        <v>3076</v>
      </c>
      <c r="L500" s="328"/>
      <c r="M500" s="343"/>
      <c r="N500" s="173" t="s">
        <v>679</v>
      </c>
      <c r="O500" s="173" t="s">
        <v>225</v>
      </c>
      <c r="P500" s="262" t="str">
        <f t="shared" si="1"/>
        <v>IN-BLR-ANANTA-VAV-72_1</v>
      </c>
      <c r="Q500" s="173" t="s">
        <v>3077</v>
      </c>
      <c r="R500" s="328" t="str">
        <f>IFS(C500="","",C500="n/a","N/A",LEN(C500),Concatenate("{",char(34),"asset",char(34),":{",char(34),"guid",char(34),":",char(34),Q500,char(34),",",char(34),"site",char(34),":",char(34),LOWER('2-Building'!$B$4),char(34),",",char(34),"name",char(34),":",char(34),LOWER(C500),char(34),"}}"))</f>
        <v>{"asset":{"guid":"uuid://799cc41f-338e-4151-83f2-beb94884c453","site":"in-blr-ananta","name":"vav-72"}}</v>
      </c>
      <c r="S500" s="237" t="s">
        <v>2866</v>
      </c>
      <c r="T500" s="330"/>
      <c r="U500" s="330"/>
      <c r="V500" s="331"/>
      <c r="W500" s="344"/>
      <c r="X500" s="341"/>
      <c r="Y500" s="33" t="s">
        <v>2867</v>
      </c>
      <c r="Z500" s="258">
        <v>120072.0</v>
      </c>
      <c r="AA500" s="334">
        <v>11606.0</v>
      </c>
      <c r="AB500" s="341"/>
      <c r="AC500" s="341"/>
      <c r="AD500" s="343"/>
      <c r="AE500" s="331"/>
      <c r="AF500" s="348"/>
      <c r="AG500" s="337"/>
      <c r="AH500" s="341"/>
      <c r="AI500" s="341"/>
      <c r="AJ500" s="341"/>
      <c r="AK500" s="341"/>
      <c r="AL500" s="341"/>
      <c r="AM500" s="338"/>
      <c r="AN500" s="341"/>
      <c r="AO500" s="341"/>
      <c r="AP500" s="341"/>
      <c r="AQ500" s="341"/>
      <c r="AR500" s="341"/>
      <c r="AS500" s="341"/>
      <c r="AT500" s="341"/>
      <c r="AU500" s="343"/>
      <c r="AV500" s="341"/>
      <c r="AW500" s="269" t="s">
        <v>1962</v>
      </c>
      <c r="AX500" s="334" t="s">
        <v>2869</v>
      </c>
      <c r="AY500" s="270" t="s">
        <v>695</v>
      </c>
      <c r="AZ500" s="270" t="s">
        <v>2866</v>
      </c>
      <c r="BA500" s="265">
        <v>10.0</v>
      </c>
      <c r="BB500" s="174" t="s">
        <v>245</v>
      </c>
      <c r="BC500" s="341"/>
      <c r="BD500" s="308"/>
      <c r="BE500" s="347"/>
      <c r="BF500" s="274" t="str">
        <f>IFERROR(__xludf.DUMMYFUNCTION("LOWER(Regexreplace(to_text(E500),""[^A-Za-z0-9]"","""")&amp;""_""&amp;Regexreplace(to_text(F500),""[^A-Za-z0-9]"",""""))"),"neptronic_evcbseries")</f>
        <v>neptronic_evcbseries</v>
      </c>
      <c r="BG500" s="275" t="str">
        <f>IFERROR(__xludf.DUMMYFUNCTION("upper(Regexreplace(to_text(E500),""[^A-Za-z0-9]"","""")&amp;""-""&amp;Regexreplace(to_text(F500),""[^A-Za-z0-9]"",""""))"),"NEPTRONIC-EVCBSERIES")</f>
        <v>NEPTRONIC-EVCBSERIES</v>
      </c>
    </row>
    <row r="501" ht="30.0" customHeight="1">
      <c r="A501" s="173">
        <v>493.0</v>
      </c>
      <c r="B501" s="237" t="s">
        <v>670</v>
      </c>
      <c r="C501" s="257" t="s">
        <v>3078</v>
      </c>
      <c r="D501" s="173" t="s">
        <v>3078</v>
      </c>
      <c r="E501" s="174" t="s">
        <v>2861</v>
      </c>
      <c r="F501" s="173" t="s">
        <v>2862</v>
      </c>
      <c r="G501" s="328" t="s">
        <v>673</v>
      </c>
      <c r="H501" s="328" t="s">
        <v>2863</v>
      </c>
      <c r="I501" s="258" t="s">
        <v>2864</v>
      </c>
      <c r="J501" s="259" t="s">
        <v>846</v>
      </c>
      <c r="K501" s="260" t="s">
        <v>3079</v>
      </c>
      <c r="L501" s="328"/>
      <c r="M501" s="343"/>
      <c r="N501" s="173" t="s">
        <v>679</v>
      </c>
      <c r="O501" s="173" t="s">
        <v>225</v>
      </c>
      <c r="P501" s="262" t="str">
        <f t="shared" si="1"/>
        <v>IN-BLR-ANANTA-VAV-73_1</v>
      </c>
      <c r="Q501" s="173" t="s">
        <v>3080</v>
      </c>
      <c r="R501" s="328" t="str">
        <f>IFS(C501="","",C501="n/a","N/A",LEN(C501),Concatenate("{",char(34),"asset",char(34),":{",char(34),"guid",char(34),":",char(34),Q501,char(34),",",char(34),"site",char(34),":",char(34),LOWER('2-Building'!$B$4),char(34),",",char(34),"name",char(34),":",char(34),LOWER(C501),char(34),"}}"))</f>
        <v>{"asset":{"guid":"uuid://f4679ed5-c49b-4281-a45e-f3b19ae47921","site":"in-blr-ananta","name":"vav-73"}}</v>
      </c>
      <c r="S501" s="237" t="s">
        <v>2866</v>
      </c>
      <c r="T501" s="330"/>
      <c r="U501" s="330"/>
      <c r="V501" s="331"/>
      <c r="W501" s="344"/>
      <c r="X501" s="341"/>
      <c r="Y501" s="33" t="s">
        <v>2867</v>
      </c>
      <c r="Z501" s="258">
        <v>120073.0</v>
      </c>
      <c r="AA501" s="334">
        <v>11606.0</v>
      </c>
      <c r="AB501" s="341"/>
      <c r="AC501" s="341"/>
      <c r="AD501" s="343"/>
      <c r="AE501" s="331"/>
      <c r="AF501" s="348"/>
      <c r="AG501" s="337"/>
      <c r="AH501" s="341"/>
      <c r="AI501" s="341"/>
      <c r="AJ501" s="341"/>
      <c r="AK501" s="341"/>
      <c r="AL501" s="341"/>
      <c r="AM501" s="338"/>
      <c r="AN501" s="341"/>
      <c r="AO501" s="341"/>
      <c r="AP501" s="341"/>
      <c r="AQ501" s="341"/>
      <c r="AR501" s="341"/>
      <c r="AS501" s="341"/>
      <c r="AT501" s="341"/>
      <c r="AU501" s="343"/>
      <c r="AV501" s="341"/>
      <c r="AW501" s="269" t="s">
        <v>1962</v>
      </c>
      <c r="AX501" s="334" t="s">
        <v>2869</v>
      </c>
      <c r="AY501" s="270" t="s">
        <v>695</v>
      </c>
      <c r="AZ501" s="270" t="s">
        <v>2866</v>
      </c>
      <c r="BA501" s="265">
        <v>10.0</v>
      </c>
      <c r="BB501" s="174" t="s">
        <v>245</v>
      </c>
      <c r="BC501" s="341"/>
      <c r="BD501" s="308"/>
      <c r="BE501" s="347"/>
      <c r="BF501" s="274" t="str">
        <f>IFERROR(__xludf.DUMMYFUNCTION("LOWER(Regexreplace(to_text(E501),""[^A-Za-z0-9]"","""")&amp;""_""&amp;Regexreplace(to_text(F501),""[^A-Za-z0-9]"",""""))"),"neptronic_evcbseries")</f>
        <v>neptronic_evcbseries</v>
      </c>
      <c r="BG501" s="275" t="str">
        <f>IFERROR(__xludf.DUMMYFUNCTION("upper(Regexreplace(to_text(E501),""[^A-Za-z0-9]"","""")&amp;""-""&amp;Regexreplace(to_text(F501),""[^A-Za-z0-9]"",""""))"),"NEPTRONIC-EVCBSERIES")</f>
        <v>NEPTRONIC-EVCBSERIES</v>
      </c>
    </row>
    <row r="502" ht="30.0" customHeight="1">
      <c r="A502" s="258">
        <v>494.0</v>
      </c>
      <c r="B502" s="237" t="s">
        <v>670</v>
      </c>
      <c r="C502" s="257" t="s">
        <v>3081</v>
      </c>
      <c r="D502" s="173" t="s">
        <v>3081</v>
      </c>
      <c r="E502" s="174" t="s">
        <v>2861</v>
      </c>
      <c r="F502" s="173" t="s">
        <v>2862</v>
      </c>
      <c r="G502" s="328" t="s">
        <v>673</v>
      </c>
      <c r="H502" s="328" t="s">
        <v>2863</v>
      </c>
      <c r="I502" s="258" t="s">
        <v>2864</v>
      </c>
      <c r="J502" s="259" t="s">
        <v>846</v>
      </c>
      <c r="K502" s="260" t="s">
        <v>3082</v>
      </c>
      <c r="L502" s="328"/>
      <c r="M502" s="343"/>
      <c r="N502" s="173" t="s">
        <v>679</v>
      </c>
      <c r="O502" s="173" t="s">
        <v>225</v>
      </c>
      <c r="P502" s="262" t="str">
        <f t="shared" si="1"/>
        <v>IN-BLR-ANANTA-VAV-74_1</v>
      </c>
      <c r="Q502" s="173" t="s">
        <v>3083</v>
      </c>
      <c r="R502" s="328" t="str">
        <f>IFS(C502="","",C502="n/a","N/A",LEN(C502),Concatenate("{",char(34),"asset",char(34),":{",char(34),"guid",char(34),":",char(34),Q502,char(34),",",char(34),"site",char(34),":",char(34),LOWER('2-Building'!$B$4),char(34),",",char(34),"name",char(34),":",char(34),LOWER(C502),char(34),"}}"))</f>
        <v>{"asset":{"guid":"uuid://fc7a0ca1-c8bf-4850-94be-12008078fea5","site":"in-blr-ananta","name":"vav-74"}}</v>
      </c>
      <c r="S502" s="237" t="s">
        <v>2866</v>
      </c>
      <c r="T502" s="330"/>
      <c r="U502" s="330"/>
      <c r="V502" s="331"/>
      <c r="W502" s="344"/>
      <c r="X502" s="341"/>
      <c r="Y502" s="33" t="s">
        <v>2867</v>
      </c>
      <c r="Z502" s="258">
        <v>120074.0</v>
      </c>
      <c r="AA502" s="334">
        <v>11606.0</v>
      </c>
      <c r="AB502" s="341"/>
      <c r="AC502" s="341"/>
      <c r="AD502" s="343"/>
      <c r="AE502" s="331"/>
      <c r="AF502" s="348"/>
      <c r="AG502" s="337"/>
      <c r="AH502" s="341"/>
      <c r="AI502" s="341"/>
      <c r="AJ502" s="341"/>
      <c r="AK502" s="341"/>
      <c r="AL502" s="341"/>
      <c r="AM502" s="338"/>
      <c r="AN502" s="341"/>
      <c r="AO502" s="341"/>
      <c r="AP502" s="341"/>
      <c r="AQ502" s="341"/>
      <c r="AR502" s="341"/>
      <c r="AS502" s="341"/>
      <c r="AT502" s="341"/>
      <c r="AU502" s="343"/>
      <c r="AV502" s="341"/>
      <c r="AW502" s="269" t="s">
        <v>1962</v>
      </c>
      <c r="AX502" s="334" t="s">
        <v>2869</v>
      </c>
      <c r="AY502" s="270" t="s">
        <v>695</v>
      </c>
      <c r="AZ502" s="270" t="s">
        <v>2866</v>
      </c>
      <c r="BA502" s="265">
        <v>10.0</v>
      </c>
      <c r="BB502" s="174" t="s">
        <v>245</v>
      </c>
      <c r="BC502" s="341"/>
      <c r="BD502" s="308"/>
      <c r="BE502" s="347"/>
      <c r="BF502" s="274" t="str">
        <f>IFERROR(__xludf.DUMMYFUNCTION("LOWER(Regexreplace(to_text(E502),""[^A-Za-z0-9]"","""")&amp;""_""&amp;Regexreplace(to_text(F502),""[^A-Za-z0-9]"",""""))"),"neptronic_evcbseries")</f>
        <v>neptronic_evcbseries</v>
      </c>
      <c r="BG502" s="275" t="str">
        <f>IFERROR(__xludf.DUMMYFUNCTION("upper(Regexreplace(to_text(E502),""[^A-Za-z0-9]"","""")&amp;""-""&amp;Regexreplace(to_text(F502),""[^A-Za-z0-9]"",""""))"),"NEPTRONIC-EVCBSERIES")</f>
        <v>NEPTRONIC-EVCBSERIES</v>
      </c>
    </row>
    <row r="503" ht="30.0" customHeight="1">
      <c r="A503" s="173">
        <v>495.0</v>
      </c>
      <c r="B503" s="237" t="s">
        <v>670</v>
      </c>
      <c r="C503" s="257" t="s">
        <v>3084</v>
      </c>
      <c r="D503" s="173" t="s">
        <v>3084</v>
      </c>
      <c r="E503" s="174" t="s">
        <v>2861</v>
      </c>
      <c r="F503" s="173" t="s">
        <v>2862</v>
      </c>
      <c r="G503" s="328" t="s">
        <v>673</v>
      </c>
      <c r="H503" s="328" t="s">
        <v>2863</v>
      </c>
      <c r="I503" s="258" t="s">
        <v>2864</v>
      </c>
      <c r="J503" s="259" t="s">
        <v>846</v>
      </c>
      <c r="K503" s="260" t="s">
        <v>3085</v>
      </c>
      <c r="L503" s="328"/>
      <c r="M503" s="343"/>
      <c r="N503" s="173" t="s">
        <v>679</v>
      </c>
      <c r="O503" s="173" t="s">
        <v>225</v>
      </c>
      <c r="P503" s="262" t="str">
        <f t="shared" si="1"/>
        <v>IN-BLR-ANANTA-VAV-75_1</v>
      </c>
      <c r="Q503" s="173" t="s">
        <v>3086</v>
      </c>
      <c r="R503" s="328" t="str">
        <f>IFS(C503="","",C503="n/a","N/A",LEN(C503),Concatenate("{",char(34),"asset",char(34),":{",char(34),"guid",char(34),":",char(34),Q503,char(34),",",char(34),"site",char(34),":",char(34),LOWER('2-Building'!$B$4),char(34),",",char(34),"name",char(34),":",char(34),LOWER(C503),char(34),"}}"))</f>
        <v>{"asset":{"guid":"uuid://1df1ce51-c030-4ef3-a364-5148167fc101","site":"in-blr-ananta","name":"vav-75"}}</v>
      </c>
      <c r="S503" s="237" t="s">
        <v>2866</v>
      </c>
      <c r="T503" s="330"/>
      <c r="U503" s="330"/>
      <c r="V503" s="331"/>
      <c r="W503" s="344"/>
      <c r="X503" s="341"/>
      <c r="Y503" s="33" t="s">
        <v>2867</v>
      </c>
      <c r="Z503" s="258">
        <v>120075.0</v>
      </c>
      <c r="AA503" s="334">
        <v>11606.0</v>
      </c>
      <c r="AB503" s="341"/>
      <c r="AC503" s="341"/>
      <c r="AD503" s="343"/>
      <c r="AE503" s="331"/>
      <c r="AF503" s="348"/>
      <c r="AG503" s="337"/>
      <c r="AH503" s="341"/>
      <c r="AI503" s="341"/>
      <c r="AJ503" s="341"/>
      <c r="AK503" s="341"/>
      <c r="AL503" s="341"/>
      <c r="AM503" s="338"/>
      <c r="AN503" s="341"/>
      <c r="AO503" s="341"/>
      <c r="AP503" s="341"/>
      <c r="AQ503" s="341"/>
      <c r="AR503" s="341"/>
      <c r="AS503" s="341"/>
      <c r="AT503" s="341"/>
      <c r="AU503" s="343"/>
      <c r="AV503" s="341"/>
      <c r="AW503" s="269" t="s">
        <v>1962</v>
      </c>
      <c r="AX503" s="334" t="s">
        <v>2869</v>
      </c>
      <c r="AY503" s="270" t="s">
        <v>695</v>
      </c>
      <c r="AZ503" s="270" t="s">
        <v>2866</v>
      </c>
      <c r="BA503" s="265">
        <v>10.0</v>
      </c>
      <c r="BB503" s="174" t="s">
        <v>245</v>
      </c>
      <c r="BC503" s="341"/>
      <c r="BD503" s="308"/>
      <c r="BE503" s="347"/>
      <c r="BF503" s="274" t="str">
        <f>IFERROR(__xludf.DUMMYFUNCTION("LOWER(Regexreplace(to_text(E503),""[^A-Za-z0-9]"","""")&amp;""_""&amp;Regexreplace(to_text(F503),""[^A-Za-z0-9]"",""""))"),"neptronic_evcbseries")</f>
        <v>neptronic_evcbseries</v>
      </c>
      <c r="BG503" s="275" t="str">
        <f>IFERROR(__xludf.DUMMYFUNCTION("upper(Regexreplace(to_text(E503),""[^A-Za-z0-9]"","""")&amp;""-""&amp;Regexreplace(to_text(F503),""[^A-Za-z0-9]"",""""))"),"NEPTRONIC-EVCBSERIES")</f>
        <v>NEPTRONIC-EVCBSERIES</v>
      </c>
    </row>
    <row r="504" ht="30.0" customHeight="1">
      <c r="A504" s="258">
        <v>496.0</v>
      </c>
      <c r="B504" s="237" t="s">
        <v>670</v>
      </c>
      <c r="C504" s="257" t="s">
        <v>3087</v>
      </c>
      <c r="D504" s="173" t="s">
        <v>3087</v>
      </c>
      <c r="E504" s="174" t="s">
        <v>2861</v>
      </c>
      <c r="F504" s="173" t="s">
        <v>2862</v>
      </c>
      <c r="G504" s="328" t="s">
        <v>673</v>
      </c>
      <c r="H504" s="328" t="s">
        <v>2863</v>
      </c>
      <c r="I504" s="258" t="s">
        <v>2864</v>
      </c>
      <c r="J504" s="259" t="s">
        <v>846</v>
      </c>
      <c r="K504" s="260" t="s">
        <v>3088</v>
      </c>
      <c r="L504" s="328"/>
      <c r="M504" s="343"/>
      <c r="N504" s="173" t="s">
        <v>679</v>
      </c>
      <c r="O504" s="173" t="s">
        <v>225</v>
      </c>
      <c r="P504" s="262" t="str">
        <f t="shared" si="1"/>
        <v>IN-BLR-ANANTA-VAV-76_1</v>
      </c>
      <c r="Q504" s="173" t="s">
        <v>3089</v>
      </c>
      <c r="R504" s="328" t="str">
        <f>IFS(C504="","",C504="n/a","N/A",LEN(C504),Concatenate("{",char(34),"asset",char(34),":{",char(34),"guid",char(34),":",char(34),Q504,char(34),",",char(34),"site",char(34),":",char(34),LOWER('2-Building'!$B$4),char(34),",",char(34),"name",char(34),":",char(34),LOWER(C504),char(34),"}}"))</f>
        <v>{"asset":{"guid":"uuid://9f907e66-544c-4f37-bc51-fff9785c7031","site":"in-blr-ananta","name":"vav-76"}}</v>
      </c>
      <c r="S504" s="237" t="s">
        <v>2866</v>
      </c>
      <c r="T504" s="330"/>
      <c r="U504" s="330"/>
      <c r="V504" s="331"/>
      <c r="W504" s="344"/>
      <c r="X504" s="341"/>
      <c r="Y504" s="33" t="s">
        <v>2867</v>
      </c>
      <c r="Z504" s="258">
        <v>120076.0</v>
      </c>
      <c r="AA504" s="334">
        <v>11606.0</v>
      </c>
      <c r="AB504" s="341"/>
      <c r="AC504" s="341"/>
      <c r="AD504" s="343"/>
      <c r="AE504" s="331"/>
      <c r="AF504" s="348"/>
      <c r="AG504" s="337"/>
      <c r="AH504" s="341"/>
      <c r="AI504" s="341"/>
      <c r="AJ504" s="341"/>
      <c r="AK504" s="341"/>
      <c r="AL504" s="341"/>
      <c r="AM504" s="338"/>
      <c r="AN504" s="341"/>
      <c r="AO504" s="341"/>
      <c r="AP504" s="341"/>
      <c r="AQ504" s="341"/>
      <c r="AR504" s="341"/>
      <c r="AS504" s="341"/>
      <c r="AT504" s="341"/>
      <c r="AU504" s="343"/>
      <c r="AV504" s="341"/>
      <c r="AW504" s="269" t="s">
        <v>1962</v>
      </c>
      <c r="AX504" s="334" t="s">
        <v>2869</v>
      </c>
      <c r="AY504" s="270" t="s">
        <v>695</v>
      </c>
      <c r="AZ504" s="270" t="s">
        <v>2866</v>
      </c>
      <c r="BA504" s="265">
        <v>10.0</v>
      </c>
      <c r="BB504" s="174" t="s">
        <v>245</v>
      </c>
      <c r="BC504" s="341"/>
      <c r="BD504" s="308"/>
      <c r="BE504" s="347"/>
      <c r="BF504" s="274" t="str">
        <f>IFERROR(__xludf.DUMMYFUNCTION("LOWER(Regexreplace(to_text(E504),""[^A-Za-z0-9]"","""")&amp;""_""&amp;Regexreplace(to_text(F504),""[^A-Za-z0-9]"",""""))"),"neptronic_evcbseries")</f>
        <v>neptronic_evcbseries</v>
      </c>
      <c r="BG504" s="275" t="str">
        <f>IFERROR(__xludf.DUMMYFUNCTION("upper(Regexreplace(to_text(E504),""[^A-Za-z0-9]"","""")&amp;""-""&amp;Regexreplace(to_text(F504),""[^A-Za-z0-9]"",""""))"),"NEPTRONIC-EVCBSERIES")</f>
        <v>NEPTRONIC-EVCBSERIES</v>
      </c>
    </row>
    <row r="505" ht="30.0" customHeight="1">
      <c r="A505" s="173">
        <v>497.0</v>
      </c>
      <c r="B505" s="237" t="s">
        <v>670</v>
      </c>
      <c r="C505" s="257" t="s">
        <v>3090</v>
      </c>
      <c r="D505" s="173" t="s">
        <v>3090</v>
      </c>
      <c r="E505" s="174" t="s">
        <v>2861</v>
      </c>
      <c r="F505" s="173" t="s">
        <v>2862</v>
      </c>
      <c r="G505" s="328" t="s">
        <v>673</v>
      </c>
      <c r="H505" s="328" t="s">
        <v>2863</v>
      </c>
      <c r="I505" s="258" t="s">
        <v>2864</v>
      </c>
      <c r="J505" s="259" t="s">
        <v>846</v>
      </c>
      <c r="K505" s="260" t="s">
        <v>3091</v>
      </c>
      <c r="L505" s="328"/>
      <c r="M505" s="343"/>
      <c r="N505" s="173" t="s">
        <v>679</v>
      </c>
      <c r="O505" s="173" t="s">
        <v>225</v>
      </c>
      <c r="P505" s="262" t="str">
        <f t="shared" si="1"/>
        <v>IN-BLR-ANANTA-VAV-77_1</v>
      </c>
      <c r="Q505" s="173" t="s">
        <v>3092</v>
      </c>
      <c r="R505" s="328" t="str">
        <f>IFS(C505="","",C505="n/a","N/A",LEN(C505),Concatenate("{",char(34),"asset",char(34),":{",char(34),"guid",char(34),":",char(34),Q505,char(34),",",char(34),"site",char(34),":",char(34),LOWER('2-Building'!$B$4),char(34),",",char(34),"name",char(34),":",char(34),LOWER(C505),char(34),"}}"))</f>
        <v>{"asset":{"guid":"uuid://88ee97ad-4523-4cb5-ba7d-9d92c123750e","site":"in-blr-ananta","name":"vav-77"}}</v>
      </c>
      <c r="S505" s="237" t="s">
        <v>2866</v>
      </c>
      <c r="T505" s="330"/>
      <c r="U505" s="330"/>
      <c r="V505" s="331"/>
      <c r="W505" s="344"/>
      <c r="X505" s="341"/>
      <c r="Y505" s="33" t="s">
        <v>2867</v>
      </c>
      <c r="Z505" s="258">
        <v>120077.0</v>
      </c>
      <c r="AA505" s="334">
        <v>11606.0</v>
      </c>
      <c r="AB505" s="341"/>
      <c r="AC505" s="341"/>
      <c r="AD505" s="343"/>
      <c r="AE505" s="331"/>
      <c r="AF505" s="348"/>
      <c r="AG505" s="337"/>
      <c r="AH505" s="341"/>
      <c r="AI505" s="341"/>
      <c r="AJ505" s="341"/>
      <c r="AK505" s="341"/>
      <c r="AL505" s="341"/>
      <c r="AM505" s="338"/>
      <c r="AN505" s="341"/>
      <c r="AO505" s="341"/>
      <c r="AP505" s="341"/>
      <c r="AQ505" s="341"/>
      <c r="AR505" s="341"/>
      <c r="AS505" s="341"/>
      <c r="AT505" s="341"/>
      <c r="AU505" s="343"/>
      <c r="AV505" s="341"/>
      <c r="AW505" s="269" t="s">
        <v>1962</v>
      </c>
      <c r="AX505" s="334" t="s">
        <v>2869</v>
      </c>
      <c r="AY505" s="270" t="s">
        <v>695</v>
      </c>
      <c r="AZ505" s="270" t="s">
        <v>2866</v>
      </c>
      <c r="BA505" s="265">
        <v>10.0</v>
      </c>
      <c r="BB505" s="174" t="s">
        <v>245</v>
      </c>
      <c r="BC505" s="341"/>
      <c r="BD505" s="308"/>
      <c r="BE505" s="347"/>
      <c r="BF505" s="274" t="str">
        <f>IFERROR(__xludf.DUMMYFUNCTION("LOWER(Regexreplace(to_text(E505),""[^A-Za-z0-9]"","""")&amp;""_""&amp;Regexreplace(to_text(F505),""[^A-Za-z0-9]"",""""))"),"neptronic_evcbseries")</f>
        <v>neptronic_evcbseries</v>
      </c>
      <c r="BG505" s="275" t="str">
        <f>IFERROR(__xludf.DUMMYFUNCTION("upper(Regexreplace(to_text(E505),""[^A-Za-z0-9]"","""")&amp;""-""&amp;Regexreplace(to_text(F505),""[^A-Za-z0-9]"",""""))"),"NEPTRONIC-EVCBSERIES")</f>
        <v>NEPTRONIC-EVCBSERIES</v>
      </c>
    </row>
    <row r="506" ht="30.0" customHeight="1">
      <c r="A506" s="258">
        <v>498.0</v>
      </c>
      <c r="B506" s="237" t="s">
        <v>670</v>
      </c>
      <c r="C506" s="257" t="s">
        <v>3093</v>
      </c>
      <c r="D506" s="173" t="s">
        <v>3093</v>
      </c>
      <c r="E506" s="174" t="s">
        <v>2861</v>
      </c>
      <c r="F506" s="173" t="s">
        <v>2862</v>
      </c>
      <c r="G506" s="328" t="s">
        <v>673</v>
      </c>
      <c r="H506" s="328" t="s">
        <v>2863</v>
      </c>
      <c r="I506" s="258" t="s">
        <v>2864</v>
      </c>
      <c r="J506" s="259" t="s">
        <v>846</v>
      </c>
      <c r="K506" s="260" t="s">
        <v>3094</v>
      </c>
      <c r="L506" s="328"/>
      <c r="M506" s="343"/>
      <c r="N506" s="173" t="s">
        <v>679</v>
      </c>
      <c r="O506" s="173" t="s">
        <v>225</v>
      </c>
      <c r="P506" s="262" t="str">
        <f t="shared" si="1"/>
        <v>IN-BLR-ANANTA-VAV-78_1</v>
      </c>
      <c r="Q506" s="173" t="s">
        <v>3095</v>
      </c>
      <c r="R506" s="328" t="str">
        <f>IFS(C506="","",C506="n/a","N/A",LEN(C506),Concatenate("{",char(34),"asset",char(34),":{",char(34),"guid",char(34),":",char(34),Q506,char(34),",",char(34),"site",char(34),":",char(34),LOWER('2-Building'!$B$4),char(34),",",char(34),"name",char(34),":",char(34),LOWER(C506),char(34),"}}"))</f>
        <v>{"asset":{"guid":"uuid://9ad65991-114e-4581-9cc6-be96c57c9230","site":"in-blr-ananta","name":"vav-78"}}</v>
      </c>
      <c r="S506" s="237" t="s">
        <v>2866</v>
      </c>
      <c r="T506" s="330"/>
      <c r="U506" s="330"/>
      <c r="V506" s="331"/>
      <c r="W506" s="344"/>
      <c r="X506" s="341"/>
      <c r="Y506" s="33" t="s">
        <v>2867</v>
      </c>
      <c r="Z506" s="258">
        <v>120078.0</v>
      </c>
      <c r="AA506" s="334">
        <v>11606.0</v>
      </c>
      <c r="AB506" s="341"/>
      <c r="AC506" s="341"/>
      <c r="AD506" s="343"/>
      <c r="AE506" s="331"/>
      <c r="AF506" s="348"/>
      <c r="AG506" s="337"/>
      <c r="AH506" s="341"/>
      <c r="AI506" s="341"/>
      <c r="AJ506" s="341"/>
      <c r="AK506" s="341"/>
      <c r="AL506" s="341"/>
      <c r="AM506" s="338"/>
      <c r="AN506" s="341"/>
      <c r="AO506" s="341"/>
      <c r="AP506" s="341"/>
      <c r="AQ506" s="341"/>
      <c r="AR506" s="341"/>
      <c r="AS506" s="341"/>
      <c r="AT506" s="341"/>
      <c r="AU506" s="343"/>
      <c r="AV506" s="341"/>
      <c r="AW506" s="269" t="s">
        <v>1962</v>
      </c>
      <c r="AX506" s="334" t="s">
        <v>2869</v>
      </c>
      <c r="AY506" s="270" t="s">
        <v>695</v>
      </c>
      <c r="AZ506" s="270" t="s">
        <v>2866</v>
      </c>
      <c r="BA506" s="265">
        <v>10.0</v>
      </c>
      <c r="BB506" s="174" t="s">
        <v>245</v>
      </c>
      <c r="BC506" s="341"/>
      <c r="BD506" s="308"/>
      <c r="BE506" s="347"/>
      <c r="BF506" s="274" t="str">
        <f>IFERROR(__xludf.DUMMYFUNCTION("LOWER(Regexreplace(to_text(E506),""[^A-Za-z0-9]"","""")&amp;""_""&amp;Regexreplace(to_text(F506),""[^A-Za-z0-9]"",""""))"),"neptronic_evcbseries")</f>
        <v>neptronic_evcbseries</v>
      </c>
      <c r="BG506" s="275" t="str">
        <f>IFERROR(__xludf.DUMMYFUNCTION("upper(Regexreplace(to_text(E506),""[^A-Za-z0-9]"","""")&amp;""-""&amp;Regexreplace(to_text(F506),""[^A-Za-z0-9]"",""""))"),"NEPTRONIC-EVCBSERIES")</f>
        <v>NEPTRONIC-EVCBSERIES</v>
      </c>
    </row>
    <row r="507" ht="30.0" customHeight="1">
      <c r="A507" s="173">
        <v>499.0</v>
      </c>
      <c r="B507" s="237" t="s">
        <v>670</v>
      </c>
      <c r="C507" s="257" t="s">
        <v>3096</v>
      </c>
      <c r="D507" s="173" t="s">
        <v>3096</v>
      </c>
      <c r="E507" s="174" t="s">
        <v>2861</v>
      </c>
      <c r="F507" s="173" t="s">
        <v>2862</v>
      </c>
      <c r="G507" s="328" t="s">
        <v>673</v>
      </c>
      <c r="H507" s="328" t="s">
        <v>2863</v>
      </c>
      <c r="I507" s="258" t="s">
        <v>2864</v>
      </c>
      <c r="J507" s="259" t="s">
        <v>846</v>
      </c>
      <c r="K507" s="260" t="s">
        <v>3097</v>
      </c>
      <c r="L507" s="328"/>
      <c r="M507" s="343"/>
      <c r="N507" s="173" t="s">
        <v>679</v>
      </c>
      <c r="O507" s="173" t="s">
        <v>225</v>
      </c>
      <c r="P507" s="262" t="str">
        <f t="shared" si="1"/>
        <v>IN-BLR-ANANTA-VAV-79_1</v>
      </c>
      <c r="Q507" s="173" t="s">
        <v>3098</v>
      </c>
      <c r="R507" s="328" t="str">
        <f>IFS(C507="","",C507="n/a","N/A",LEN(C507),Concatenate("{",char(34),"asset",char(34),":{",char(34),"guid",char(34),":",char(34),Q507,char(34),",",char(34),"site",char(34),":",char(34),LOWER('2-Building'!$B$4),char(34),",",char(34),"name",char(34),":",char(34),LOWER(C507),char(34),"}}"))</f>
        <v>{"asset":{"guid":"uuid://1bb28c5b-f210-47b9-85cf-41564c3c6b70","site":"in-blr-ananta","name":"vav-79"}}</v>
      </c>
      <c r="S507" s="237" t="s">
        <v>2866</v>
      </c>
      <c r="T507" s="330"/>
      <c r="U507" s="330"/>
      <c r="V507" s="331"/>
      <c r="W507" s="344"/>
      <c r="X507" s="341"/>
      <c r="Y507" s="33" t="s">
        <v>2867</v>
      </c>
      <c r="Z507" s="258">
        <v>120079.0</v>
      </c>
      <c r="AA507" s="334">
        <v>11606.0</v>
      </c>
      <c r="AB507" s="341"/>
      <c r="AC507" s="341"/>
      <c r="AD507" s="343"/>
      <c r="AE507" s="331"/>
      <c r="AF507" s="348"/>
      <c r="AG507" s="337"/>
      <c r="AH507" s="341"/>
      <c r="AI507" s="341"/>
      <c r="AJ507" s="341"/>
      <c r="AK507" s="341"/>
      <c r="AL507" s="341"/>
      <c r="AM507" s="338"/>
      <c r="AN507" s="341"/>
      <c r="AO507" s="341"/>
      <c r="AP507" s="341"/>
      <c r="AQ507" s="341"/>
      <c r="AR507" s="341"/>
      <c r="AS507" s="341"/>
      <c r="AT507" s="341"/>
      <c r="AU507" s="343"/>
      <c r="AV507" s="341"/>
      <c r="AW507" s="269" t="s">
        <v>1962</v>
      </c>
      <c r="AX507" s="334" t="s">
        <v>2869</v>
      </c>
      <c r="AY507" s="270" t="s">
        <v>695</v>
      </c>
      <c r="AZ507" s="270" t="s">
        <v>2866</v>
      </c>
      <c r="BA507" s="265">
        <v>10.0</v>
      </c>
      <c r="BB507" s="174" t="s">
        <v>245</v>
      </c>
      <c r="BC507" s="341"/>
      <c r="BD507" s="308"/>
      <c r="BE507" s="347"/>
      <c r="BF507" s="274" t="str">
        <f>IFERROR(__xludf.DUMMYFUNCTION("LOWER(Regexreplace(to_text(E507),""[^A-Za-z0-9]"","""")&amp;""_""&amp;Regexreplace(to_text(F507),""[^A-Za-z0-9]"",""""))"),"neptronic_evcbseries")</f>
        <v>neptronic_evcbseries</v>
      </c>
      <c r="BG507" s="275" t="str">
        <f>IFERROR(__xludf.DUMMYFUNCTION("upper(Regexreplace(to_text(E507),""[^A-Za-z0-9]"","""")&amp;""-""&amp;Regexreplace(to_text(F507),""[^A-Za-z0-9]"",""""))"),"NEPTRONIC-EVCBSERIES")</f>
        <v>NEPTRONIC-EVCBSERIES</v>
      </c>
    </row>
    <row r="508" ht="30.0" customHeight="1">
      <c r="A508" s="258">
        <v>500.0</v>
      </c>
      <c r="B508" s="237" t="s">
        <v>670</v>
      </c>
      <c r="C508" s="257" t="s">
        <v>3099</v>
      </c>
      <c r="D508" s="173" t="s">
        <v>3099</v>
      </c>
      <c r="E508" s="174" t="s">
        <v>2861</v>
      </c>
      <c r="F508" s="173" t="s">
        <v>2862</v>
      </c>
      <c r="G508" s="328" t="s">
        <v>673</v>
      </c>
      <c r="H508" s="328" t="s">
        <v>2863</v>
      </c>
      <c r="I508" s="258" t="s">
        <v>2864</v>
      </c>
      <c r="J508" s="259" t="s">
        <v>846</v>
      </c>
      <c r="K508" s="260" t="s">
        <v>3100</v>
      </c>
      <c r="L508" s="328"/>
      <c r="M508" s="343"/>
      <c r="N508" s="173" t="s">
        <v>679</v>
      </c>
      <c r="O508" s="173" t="s">
        <v>225</v>
      </c>
      <c r="P508" s="262" t="str">
        <f t="shared" si="1"/>
        <v>IN-BLR-ANANTA-VAV-80_1</v>
      </c>
      <c r="Q508" s="173" t="s">
        <v>3101</v>
      </c>
      <c r="R508" s="328" t="str">
        <f>IFS(C508="","",C508="n/a","N/A",LEN(C508),Concatenate("{",char(34),"asset",char(34),":{",char(34),"guid",char(34),":",char(34),Q508,char(34),",",char(34),"site",char(34),":",char(34),LOWER('2-Building'!$B$4),char(34),",",char(34),"name",char(34),":",char(34),LOWER(C508),char(34),"}}"))</f>
        <v>{"asset":{"guid":"uuid://c3f229d0-864c-407b-b305-929505699399","site":"in-blr-ananta","name":"vav-80"}}</v>
      </c>
      <c r="S508" s="237" t="s">
        <v>2866</v>
      </c>
      <c r="T508" s="330"/>
      <c r="U508" s="330"/>
      <c r="V508" s="331"/>
      <c r="W508" s="344"/>
      <c r="X508" s="341"/>
      <c r="Y508" s="33" t="s">
        <v>2867</v>
      </c>
      <c r="Z508" s="258">
        <v>120080.0</v>
      </c>
      <c r="AA508" s="334">
        <v>11607.0</v>
      </c>
      <c r="AB508" s="341"/>
      <c r="AC508" s="341"/>
      <c r="AD508" s="343"/>
      <c r="AE508" s="331"/>
      <c r="AF508" s="348"/>
      <c r="AG508" s="337"/>
      <c r="AH508" s="341"/>
      <c r="AI508" s="341"/>
      <c r="AJ508" s="341"/>
      <c r="AK508" s="341"/>
      <c r="AL508" s="341"/>
      <c r="AM508" s="338"/>
      <c r="AN508" s="341"/>
      <c r="AO508" s="341"/>
      <c r="AP508" s="341"/>
      <c r="AQ508" s="341"/>
      <c r="AR508" s="341"/>
      <c r="AS508" s="341"/>
      <c r="AT508" s="341"/>
      <c r="AU508" s="343"/>
      <c r="AV508" s="341"/>
      <c r="AW508" s="269" t="s">
        <v>1962</v>
      </c>
      <c r="AX508" s="334" t="s">
        <v>2869</v>
      </c>
      <c r="AY508" s="270" t="s">
        <v>695</v>
      </c>
      <c r="AZ508" s="270" t="s">
        <v>2866</v>
      </c>
      <c r="BA508" s="265">
        <v>10.0</v>
      </c>
      <c r="BB508" s="174" t="s">
        <v>245</v>
      </c>
      <c r="BC508" s="341"/>
      <c r="BD508" s="308"/>
      <c r="BE508" s="347"/>
      <c r="BF508" s="274" t="str">
        <f>IFERROR(__xludf.DUMMYFUNCTION("LOWER(Regexreplace(to_text(E508),""[^A-Za-z0-9]"","""")&amp;""_""&amp;Regexreplace(to_text(F508),""[^A-Za-z0-9]"",""""))"),"neptronic_evcbseries")</f>
        <v>neptronic_evcbseries</v>
      </c>
      <c r="BG508" s="275" t="str">
        <f>IFERROR(__xludf.DUMMYFUNCTION("upper(Regexreplace(to_text(E508),""[^A-Za-z0-9]"","""")&amp;""-""&amp;Regexreplace(to_text(F508),""[^A-Za-z0-9]"",""""))"),"NEPTRONIC-EVCBSERIES")</f>
        <v>NEPTRONIC-EVCBSERIES</v>
      </c>
    </row>
    <row r="509" ht="30.0" customHeight="1">
      <c r="A509" s="173">
        <v>501.0</v>
      </c>
      <c r="B509" s="237" t="s">
        <v>670</v>
      </c>
      <c r="C509" s="257" t="s">
        <v>3102</v>
      </c>
      <c r="D509" s="173" t="s">
        <v>3102</v>
      </c>
      <c r="E509" s="174" t="s">
        <v>2861</v>
      </c>
      <c r="F509" s="173" t="s">
        <v>2862</v>
      </c>
      <c r="G509" s="328" t="s">
        <v>673</v>
      </c>
      <c r="H509" s="328" t="s">
        <v>2863</v>
      </c>
      <c r="I509" s="258" t="s">
        <v>2864</v>
      </c>
      <c r="J509" s="259" t="s">
        <v>846</v>
      </c>
      <c r="K509" s="260" t="s">
        <v>3103</v>
      </c>
      <c r="L509" s="328"/>
      <c r="M509" s="343"/>
      <c r="N509" s="173" t="s">
        <v>679</v>
      </c>
      <c r="O509" s="173" t="s">
        <v>225</v>
      </c>
      <c r="P509" s="262" t="str">
        <f t="shared" si="1"/>
        <v>IN-BLR-ANANTA-VAV-81_1</v>
      </c>
      <c r="Q509" s="173" t="s">
        <v>3104</v>
      </c>
      <c r="R509" s="328" t="str">
        <f>IFS(C509="","",C509="n/a","N/A",LEN(C509),Concatenate("{",char(34),"asset",char(34),":{",char(34),"guid",char(34),":",char(34),Q509,char(34),",",char(34),"site",char(34),":",char(34),LOWER('2-Building'!$B$4),char(34),",",char(34),"name",char(34),":",char(34),LOWER(C509),char(34),"}}"))</f>
        <v>{"asset":{"guid":"uuid://7ee00099-bfd7-4fee-afcb-301f0f9e1c65","site":"in-blr-ananta","name":"vav-81"}}</v>
      </c>
      <c r="S509" s="237" t="s">
        <v>2866</v>
      </c>
      <c r="T509" s="330"/>
      <c r="U509" s="330"/>
      <c r="V509" s="331"/>
      <c r="W509" s="344"/>
      <c r="X509" s="341"/>
      <c r="Y509" s="33" t="s">
        <v>2867</v>
      </c>
      <c r="Z509" s="258">
        <v>120081.0</v>
      </c>
      <c r="AA509" s="334">
        <v>11607.0</v>
      </c>
      <c r="AB509" s="341"/>
      <c r="AC509" s="341"/>
      <c r="AD509" s="343"/>
      <c r="AE509" s="331"/>
      <c r="AF509" s="348"/>
      <c r="AG509" s="337"/>
      <c r="AH509" s="341"/>
      <c r="AI509" s="341"/>
      <c r="AJ509" s="341"/>
      <c r="AK509" s="341"/>
      <c r="AL509" s="341"/>
      <c r="AM509" s="338"/>
      <c r="AN509" s="341"/>
      <c r="AO509" s="341"/>
      <c r="AP509" s="341"/>
      <c r="AQ509" s="341"/>
      <c r="AR509" s="341"/>
      <c r="AS509" s="341"/>
      <c r="AT509" s="341"/>
      <c r="AU509" s="343"/>
      <c r="AV509" s="341"/>
      <c r="AW509" s="269" t="s">
        <v>1962</v>
      </c>
      <c r="AX509" s="334" t="s">
        <v>2869</v>
      </c>
      <c r="AY509" s="270" t="s">
        <v>695</v>
      </c>
      <c r="AZ509" s="270" t="s">
        <v>2866</v>
      </c>
      <c r="BA509" s="265">
        <v>10.0</v>
      </c>
      <c r="BB509" s="174" t="s">
        <v>245</v>
      </c>
      <c r="BC509" s="341"/>
      <c r="BD509" s="308"/>
      <c r="BE509" s="347"/>
      <c r="BF509" s="274" t="str">
        <f>IFERROR(__xludf.DUMMYFUNCTION("LOWER(Regexreplace(to_text(E509),""[^A-Za-z0-9]"","""")&amp;""_""&amp;Regexreplace(to_text(F509),""[^A-Za-z0-9]"",""""))"),"neptronic_evcbseries")</f>
        <v>neptronic_evcbseries</v>
      </c>
      <c r="BG509" s="275" t="str">
        <f>IFERROR(__xludf.DUMMYFUNCTION("upper(Regexreplace(to_text(E509),""[^A-Za-z0-9]"","""")&amp;""-""&amp;Regexreplace(to_text(F509),""[^A-Za-z0-9]"",""""))"),"NEPTRONIC-EVCBSERIES")</f>
        <v>NEPTRONIC-EVCBSERIES</v>
      </c>
    </row>
    <row r="510" ht="30.0" customHeight="1">
      <c r="A510" s="258">
        <v>502.0</v>
      </c>
      <c r="B510" s="237" t="s">
        <v>670</v>
      </c>
      <c r="C510" s="257" t="s">
        <v>3105</v>
      </c>
      <c r="D510" s="173" t="s">
        <v>3105</v>
      </c>
      <c r="E510" s="174" t="s">
        <v>2861</v>
      </c>
      <c r="F510" s="173" t="s">
        <v>2862</v>
      </c>
      <c r="G510" s="328" t="s">
        <v>673</v>
      </c>
      <c r="H510" s="328" t="s">
        <v>2863</v>
      </c>
      <c r="I510" s="258" t="s">
        <v>2864</v>
      </c>
      <c r="J510" s="259" t="s">
        <v>846</v>
      </c>
      <c r="K510" s="260" t="s">
        <v>3106</v>
      </c>
      <c r="L510" s="328"/>
      <c r="M510" s="343"/>
      <c r="N510" s="173" t="s">
        <v>679</v>
      </c>
      <c r="O510" s="173" t="s">
        <v>225</v>
      </c>
      <c r="P510" s="262" t="str">
        <f t="shared" si="1"/>
        <v>IN-BLR-ANANTA-VAV-82_1</v>
      </c>
      <c r="Q510" s="173" t="s">
        <v>3107</v>
      </c>
      <c r="R510" s="328" t="str">
        <f>IFS(C510="","",C510="n/a","N/A",LEN(C510),Concatenate("{",char(34),"asset",char(34),":{",char(34),"guid",char(34),":",char(34),Q510,char(34),",",char(34),"site",char(34),":",char(34),LOWER('2-Building'!$B$4),char(34),",",char(34),"name",char(34),":",char(34),LOWER(C510),char(34),"}}"))</f>
        <v>{"asset":{"guid":"uuid://e15be3ee-75e3-4601-9c60-d6493383b45c","site":"in-blr-ananta","name":"vav-82"}}</v>
      </c>
      <c r="S510" s="237" t="s">
        <v>2866</v>
      </c>
      <c r="T510" s="330"/>
      <c r="U510" s="330"/>
      <c r="V510" s="331"/>
      <c r="W510" s="344"/>
      <c r="X510" s="341"/>
      <c r="Y510" s="33" t="s">
        <v>2867</v>
      </c>
      <c r="Z510" s="258">
        <v>120082.0</v>
      </c>
      <c r="AA510" s="334">
        <v>11607.0</v>
      </c>
      <c r="AB510" s="341"/>
      <c r="AC510" s="341"/>
      <c r="AD510" s="343"/>
      <c r="AE510" s="331"/>
      <c r="AF510" s="348"/>
      <c r="AG510" s="337"/>
      <c r="AH510" s="341"/>
      <c r="AI510" s="341"/>
      <c r="AJ510" s="341"/>
      <c r="AK510" s="341"/>
      <c r="AL510" s="341"/>
      <c r="AM510" s="338"/>
      <c r="AN510" s="341"/>
      <c r="AO510" s="341"/>
      <c r="AP510" s="341"/>
      <c r="AQ510" s="341"/>
      <c r="AR510" s="341"/>
      <c r="AS510" s="341"/>
      <c r="AT510" s="341"/>
      <c r="AU510" s="343"/>
      <c r="AV510" s="341"/>
      <c r="AW510" s="269" t="s">
        <v>1962</v>
      </c>
      <c r="AX510" s="334" t="s">
        <v>2869</v>
      </c>
      <c r="AY510" s="270" t="s">
        <v>695</v>
      </c>
      <c r="AZ510" s="270" t="s">
        <v>2866</v>
      </c>
      <c r="BA510" s="265">
        <v>10.0</v>
      </c>
      <c r="BB510" s="174" t="s">
        <v>245</v>
      </c>
      <c r="BC510" s="341"/>
      <c r="BD510" s="308"/>
      <c r="BE510" s="347"/>
      <c r="BF510" s="274" t="str">
        <f>IFERROR(__xludf.DUMMYFUNCTION("LOWER(Regexreplace(to_text(E510),""[^A-Za-z0-9]"","""")&amp;""_""&amp;Regexreplace(to_text(F510),""[^A-Za-z0-9]"",""""))"),"neptronic_evcbseries")</f>
        <v>neptronic_evcbseries</v>
      </c>
      <c r="BG510" s="275" t="str">
        <f>IFERROR(__xludf.DUMMYFUNCTION("upper(Regexreplace(to_text(E510),""[^A-Za-z0-9]"","""")&amp;""-""&amp;Regexreplace(to_text(F510),""[^A-Za-z0-9]"",""""))"),"NEPTRONIC-EVCBSERIES")</f>
        <v>NEPTRONIC-EVCBSERIES</v>
      </c>
    </row>
    <row r="511" ht="30.0" customHeight="1">
      <c r="A511" s="173">
        <v>503.0</v>
      </c>
      <c r="B511" s="237" t="s">
        <v>670</v>
      </c>
      <c r="C511" s="257" t="s">
        <v>3108</v>
      </c>
      <c r="D511" s="173" t="s">
        <v>3108</v>
      </c>
      <c r="E511" s="174" t="s">
        <v>2861</v>
      </c>
      <c r="F511" s="173" t="s">
        <v>2862</v>
      </c>
      <c r="G511" s="328" t="s">
        <v>673</v>
      </c>
      <c r="H511" s="328" t="s">
        <v>2863</v>
      </c>
      <c r="I511" s="258" t="s">
        <v>2864</v>
      </c>
      <c r="J511" s="259" t="s">
        <v>846</v>
      </c>
      <c r="K511" s="260" t="s">
        <v>3109</v>
      </c>
      <c r="L511" s="328"/>
      <c r="M511" s="343"/>
      <c r="N511" s="173" t="s">
        <v>679</v>
      </c>
      <c r="O511" s="173" t="s">
        <v>225</v>
      </c>
      <c r="P511" s="262" t="str">
        <f t="shared" si="1"/>
        <v>IN-BLR-ANANTA-VAV-83_1</v>
      </c>
      <c r="Q511" s="173" t="s">
        <v>3110</v>
      </c>
      <c r="R511" s="328" t="str">
        <f>IFS(C511="","",C511="n/a","N/A",LEN(C511),Concatenate("{",char(34),"asset",char(34),":{",char(34),"guid",char(34),":",char(34),Q511,char(34),",",char(34),"site",char(34),":",char(34),LOWER('2-Building'!$B$4),char(34),",",char(34),"name",char(34),":",char(34),LOWER(C511),char(34),"}}"))</f>
        <v>{"asset":{"guid":"uuid://c74b0412-50d4-40bc-b679-62d4f5a77b59","site":"in-blr-ananta","name":"vav-83"}}</v>
      </c>
      <c r="S511" s="237" t="s">
        <v>2866</v>
      </c>
      <c r="T511" s="330"/>
      <c r="U511" s="330"/>
      <c r="V511" s="331"/>
      <c r="W511" s="344"/>
      <c r="X511" s="341"/>
      <c r="Y511" s="33" t="s">
        <v>2867</v>
      </c>
      <c r="Z511" s="258">
        <v>120083.0</v>
      </c>
      <c r="AA511" s="334">
        <v>11607.0</v>
      </c>
      <c r="AB511" s="341"/>
      <c r="AC511" s="341"/>
      <c r="AD511" s="343"/>
      <c r="AE511" s="331"/>
      <c r="AF511" s="348"/>
      <c r="AG511" s="337"/>
      <c r="AH511" s="341"/>
      <c r="AI511" s="341"/>
      <c r="AJ511" s="341"/>
      <c r="AK511" s="341"/>
      <c r="AL511" s="341"/>
      <c r="AM511" s="338"/>
      <c r="AN511" s="341"/>
      <c r="AO511" s="341"/>
      <c r="AP511" s="341"/>
      <c r="AQ511" s="341"/>
      <c r="AR511" s="341"/>
      <c r="AS511" s="341"/>
      <c r="AT511" s="341"/>
      <c r="AU511" s="343"/>
      <c r="AV511" s="341"/>
      <c r="AW511" s="269" t="s">
        <v>1962</v>
      </c>
      <c r="AX511" s="334" t="s">
        <v>2869</v>
      </c>
      <c r="AY511" s="270" t="s">
        <v>695</v>
      </c>
      <c r="AZ511" s="270" t="s">
        <v>2866</v>
      </c>
      <c r="BA511" s="265">
        <v>10.0</v>
      </c>
      <c r="BB511" s="174" t="s">
        <v>245</v>
      </c>
      <c r="BC511" s="341"/>
      <c r="BD511" s="308"/>
      <c r="BE511" s="347"/>
      <c r="BF511" s="274" t="str">
        <f>IFERROR(__xludf.DUMMYFUNCTION("LOWER(Regexreplace(to_text(E511),""[^A-Za-z0-9]"","""")&amp;""_""&amp;Regexreplace(to_text(F511),""[^A-Za-z0-9]"",""""))"),"neptronic_evcbseries")</f>
        <v>neptronic_evcbseries</v>
      </c>
      <c r="BG511" s="275" t="str">
        <f>IFERROR(__xludf.DUMMYFUNCTION("upper(Regexreplace(to_text(E511),""[^A-Za-z0-9]"","""")&amp;""-""&amp;Regexreplace(to_text(F511),""[^A-Za-z0-9]"",""""))"),"NEPTRONIC-EVCBSERIES")</f>
        <v>NEPTRONIC-EVCBSERIES</v>
      </c>
    </row>
    <row r="512" ht="30.0" customHeight="1">
      <c r="A512" s="258">
        <v>504.0</v>
      </c>
      <c r="B512" s="237" t="s">
        <v>670</v>
      </c>
      <c r="C512" s="257" t="s">
        <v>3111</v>
      </c>
      <c r="D512" s="173" t="s">
        <v>3111</v>
      </c>
      <c r="E512" s="174" t="s">
        <v>2861</v>
      </c>
      <c r="F512" s="173" t="s">
        <v>2862</v>
      </c>
      <c r="G512" s="328" t="s">
        <v>673</v>
      </c>
      <c r="H512" s="328" t="s">
        <v>2863</v>
      </c>
      <c r="I512" s="258" t="s">
        <v>2864</v>
      </c>
      <c r="J512" s="259" t="s">
        <v>846</v>
      </c>
      <c r="K512" s="260" t="s">
        <v>3109</v>
      </c>
      <c r="L512" s="328"/>
      <c r="M512" s="343"/>
      <c r="N512" s="173" t="s">
        <v>679</v>
      </c>
      <c r="O512" s="173" t="s">
        <v>225</v>
      </c>
      <c r="P512" s="262" t="str">
        <f t="shared" si="1"/>
        <v>IN-BLR-ANANTA-VAV-84_1</v>
      </c>
      <c r="Q512" s="173" t="s">
        <v>3112</v>
      </c>
      <c r="R512" s="328" t="str">
        <f>IFS(C512="","",C512="n/a","N/A",LEN(C512),Concatenate("{",char(34),"asset",char(34),":{",char(34),"guid",char(34),":",char(34),Q512,char(34),",",char(34),"site",char(34),":",char(34),LOWER('2-Building'!$B$4),char(34),",",char(34),"name",char(34),":",char(34),LOWER(C512),char(34),"}}"))</f>
        <v>{"asset":{"guid":"uuid://658ed822-0297-4624-8fa2-9787d3590928","site":"in-blr-ananta","name":"vav-84"}}</v>
      </c>
      <c r="S512" s="237" t="s">
        <v>2866</v>
      </c>
      <c r="T512" s="330"/>
      <c r="U512" s="330"/>
      <c r="V512" s="331"/>
      <c r="W512" s="344"/>
      <c r="X512" s="341"/>
      <c r="Y512" s="33" t="s">
        <v>2867</v>
      </c>
      <c r="Z512" s="258">
        <v>120084.0</v>
      </c>
      <c r="AA512" s="334">
        <v>11607.0</v>
      </c>
      <c r="AB512" s="341"/>
      <c r="AC512" s="341"/>
      <c r="AD512" s="343"/>
      <c r="AE512" s="331"/>
      <c r="AF512" s="348"/>
      <c r="AG512" s="337"/>
      <c r="AH512" s="341"/>
      <c r="AI512" s="341"/>
      <c r="AJ512" s="341"/>
      <c r="AK512" s="341"/>
      <c r="AL512" s="341"/>
      <c r="AM512" s="338"/>
      <c r="AN512" s="341"/>
      <c r="AO512" s="341"/>
      <c r="AP512" s="341"/>
      <c r="AQ512" s="341"/>
      <c r="AR512" s="341"/>
      <c r="AS512" s="341"/>
      <c r="AT512" s="341"/>
      <c r="AU512" s="343"/>
      <c r="AV512" s="341"/>
      <c r="AW512" s="269" t="s">
        <v>1962</v>
      </c>
      <c r="AX512" s="334" t="s">
        <v>2869</v>
      </c>
      <c r="AY512" s="270" t="s">
        <v>695</v>
      </c>
      <c r="AZ512" s="270" t="s">
        <v>2866</v>
      </c>
      <c r="BA512" s="265">
        <v>10.0</v>
      </c>
      <c r="BB512" s="174" t="s">
        <v>245</v>
      </c>
      <c r="BC512" s="341"/>
      <c r="BD512" s="308"/>
      <c r="BE512" s="347"/>
      <c r="BF512" s="274" t="str">
        <f>IFERROR(__xludf.DUMMYFUNCTION("LOWER(Regexreplace(to_text(E512),""[^A-Za-z0-9]"","""")&amp;""_""&amp;Regexreplace(to_text(F512),""[^A-Za-z0-9]"",""""))"),"neptronic_evcbseries")</f>
        <v>neptronic_evcbseries</v>
      </c>
      <c r="BG512" s="275" t="str">
        <f>IFERROR(__xludf.DUMMYFUNCTION("upper(Regexreplace(to_text(E512),""[^A-Za-z0-9]"","""")&amp;""-""&amp;Regexreplace(to_text(F512),""[^A-Za-z0-9]"",""""))"),"NEPTRONIC-EVCBSERIES")</f>
        <v>NEPTRONIC-EVCBSERIES</v>
      </c>
    </row>
    <row r="513" ht="30.0" customHeight="1">
      <c r="A513" s="173">
        <v>505.0</v>
      </c>
      <c r="B513" s="237" t="s">
        <v>670</v>
      </c>
      <c r="C513" s="257" t="s">
        <v>3113</v>
      </c>
      <c r="D513" s="173" t="s">
        <v>3113</v>
      </c>
      <c r="E513" s="174" t="s">
        <v>2861</v>
      </c>
      <c r="F513" s="173" t="s">
        <v>2862</v>
      </c>
      <c r="G513" s="328" t="s">
        <v>673</v>
      </c>
      <c r="H513" s="328" t="s">
        <v>2863</v>
      </c>
      <c r="I513" s="258" t="s">
        <v>2864</v>
      </c>
      <c r="J513" s="259" t="s">
        <v>846</v>
      </c>
      <c r="K513" s="260" t="s">
        <v>3114</v>
      </c>
      <c r="L513" s="328"/>
      <c r="M513" s="343"/>
      <c r="N513" s="173" t="s">
        <v>679</v>
      </c>
      <c r="O513" s="173" t="s">
        <v>225</v>
      </c>
      <c r="P513" s="262" t="str">
        <f t="shared" si="1"/>
        <v>IN-BLR-ANANTA-VAV-85_1</v>
      </c>
      <c r="Q513" s="173" t="s">
        <v>3115</v>
      </c>
      <c r="R513" s="328" t="str">
        <f>IFS(C513="","",C513="n/a","N/A",LEN(C513),Concatenate("{",char(34),"asset",char(34),":{",char(34),"guid",char(34),":",char(34),Q513,char(34),",",char(34),"site",char(34),":",char(34),LOWER('2-Building'!$B$4),char(34),",",char(34),"name",char(34),":",char(34),LOWER(C513),char(34),"}}"))</f>
        <v>{"asset":{"guid":"uuid://f3e5c44e-1ac7-46c8-8522-4613c24f8c55","site":"in-blr-ananta","name":"vav-85"}}</v>
      </c>
      <c r="S513" s="237" t="s">
        <v>2866</v>
      </c>
      <c r="T513" s="330"/>
      <c r="U513" s="330"/>
      <c r="V513" s="331"/>
      <c r="W513" s="344"/>
      <c r="X513" s="341"/>
      <c r="Y513" s="33" t="s">
        <v>2867</v>
      </c>
      <c r="Z513" s="258">
        <v>120085.0</v>
      </c>
      <c r="AA513" s="334">
        <v>11607.0</v>
      </c>
      <c r="AB513" s="341"/>
      <c r="AC513" s="341"/>
      <c r="AD513" s="343"/>
      <c r="AE513" s="331"/>
      <c r="AF513" s="348"/>
      <c r="AG513" s="337"/>
      <c r="AH513" s="341"/>
      <c r="AI513" s="341"/>
      <c r="AJ513" s="341"/>
      <c r="AK513" s="341"/>
      <c r="AL513" s="341"/>
      <c r="AM513" s="338"/>
      <c r="AN513" s="341"/>
      <c r="AO513" s="341"/>
      <c r="AP513" s="341"/>
      <c r="AQ513" s="341"/>
      <c r="AR513" s="341"/>
      <c r="AS513" s="341"/>
      <c r="AT513" s="341"/>
      <c r="AU513" s="343"/>
      <c r="AV513" s="341"/>
      <c r="AW513" s="269" t="s">
        <v>1962</v>
      </c>
      <c r="AX513" s="334" t="s">
        <v>2869</v>
      </c>
      <c r="AY513" s="270" t="s">
        <v>695</v>
      </c>
      <c r="AZ513" s="270" t="s">
        <v>2866</v>
      </c>
      <c r="BA513" s="265">
        <v>10.0</v>
      </c>
      <c r="BB513" s="174" t="s">
        <v>245</v>
      </c>
      <c r="BC513" s="341"/>
      <c r="BD513" s="308"/>
      <c r="BE513" s="347"/>
      <c r="BF513" s="274" t="str">
        <f>IFERROR(__xludf.DUMMYFUNCTION("LOWER(Regexreplace(to_text(E513),""[^A-Za-z0-9]"","""")&amp;""_""&amp;Regexreplace(to_text(F513),""[^A-Za-z0-9]"",""""))"),"neptronic_evcbseries")</f>
        <v>neptronic_evcbseries</v>
      </c>
      <c r="BG513" s="275" t="str">
        <f>IFERROR(__xludf.DUMMYFUNCTION("upper(Regexreplace(to_text(E513),""[^A-Za-z0-9]"","""")&amp;""-""&amp;Regexreplace(to_text(F513),""[^A-Za-z0-9]"",""""))"),"NEPTRONIC-EVCBSERIES")</f>
        <v>NEPTRONIC-EVCBSERIES</v>
      </c>
    </row>
    <row r="514" ht="30.0" customHeight="1">
      <c r="A514" s="258">
        <v>506.0</v>
      </c>
      <c r="B514" s="237" t="s">
        <v>670</v>
      </c>
      <c r="C514" s="257" t="s">
        <v>3116</v>
      </c>
      <c r="D514" s="173" t="s">
        <v>3116</v>
      </c>
      <c r="E514" s="174" t="s">
        <v>2861</v>
      </c>
      <c r="F514" s="173" t="s">
        <v>2862</v>
      </c>
      <c r="G514" s="328" t="s">
        <v>673</v>
      </c>
      <c r="H514" s="328" t="s">
        <v>2863</v>
      </c>
      <c r="I514" s="258" t="s">
        <v>2864</v>
      </c>
      <c r="J514" s="259" t="s">
        <v>846</v>
      </c>
      <c r="K514" s="260" t="s">
        <v>3117</v>
      </c>
      <c r="L514" s="328"/>
      <c r="M514" s="343"/>
      <c r="N514" s="173" t="s">
        <v>679</v>
      </c>
      <c r="O514" s="173" t="s">
        <v>225</v>
      </c>
      <c r="P514" s="262" t="str">
        <f t="shared" si="1"/>
        <v>IN-BLR-ANANTA-VAV-86_1</v>
      </c>
      <c r="Q514" s="173" t="s">
        <v>3118</v>
      </c>
      <c r="R514" s="328" t="str">
        <f>IFS(C514="","",C514="n/a","N/A",LEN(C514),Concatenate("{",char(34),"asset",char(34),":{",char(34),"guid",char(34),":",char(34),Q514,char(34),",",char(34),"site",char(34),":",char(34),LOWER('2-Building'!$B$4),char(34),",",char(34),"name",char(34),":",char(34),LOWER(C514),char(34),"}}"))</f>
        <v>{"asset":{"guid":"uuid://4728fa26-2f67-410c-a7e6-638ffeb7a95b","site":"in-blr-ananta","name":"vav-86"}}</v>
      </c>
      <c r="S514" s="237" t="s">
        <v>2866</v>
      </c>
      <c r="T514" s="330"/>
      <c r="U514" s="330"/>
      <c r="V514" s="331"/>
      <c r="W514" s="344"/>
      <c r="X514" s="341"/>
      <c r="Y514" s="33" t="s">
        <v>2867</v>
      </c>
      <c r="Z514" s="258">
        <v>120086.0</v>
      </c>
      <c r="AA514" s="334">
        <v>11607.0</v>
      </c>
      <c r="AB514" s="341"/>
      <c r="AC514" s="341"/>
      <c r="AD514" s="343"/>
      <c r="AE514" s="331"/>
      <c r="AF514" s="348"/>
      <c r="AG514" s="337"/>
      <c r="AH514" s="341"/>
      <c r="AI514" s="341"/>
      <c r="AJ514" s="341"/>
      <c r="AK514" s="341"/>
      <c r="AL514" s="341"/>
      <c r="AM514" s="338"/>
      <c r="AN514" s="341"/>
      <c r="AO514" s="341"/>
      <c r="AP514" s="341"/>
      <c r="AQ514" s="341"/>
      <c r="AR514" s="341"/>
      <c r="AS514" s="341"/>
      <c r="AT514" s="341"/>
      <c r="AU514" s="343"/>
      <c r="AV514" s="341"/>
      <c r="AW514" s="269" t="s">
        <v>1962</v>
      </c>
      <c r="AX514" s="334" t="s">
        <v>2869</v>
      </c>
      <c r="AY514" s="270" t="s">
        <v>695</v>
      </c>
      <c r="AZ514" s="270" t="s">
        <v>2866</v>
      </c>
      <c r="BA514" s="265">
        <v>10.0</v>
      </c>
      <c r="BB514" s="174" t="s">
        <v>245</v>
      </c>
      <c r="BC514" s="341"/>
      <c r="BD514" s="308"/>
      <c r="BE514" s="347"/>
      <c r="BF514" s="274" t="str">
        <f>IFERROR(__xludf.DUMMYFUNCTION("LOWER(Regexreplace(to_text(E514),""[^A-Za-z0-9]"","""")&amp;""_""&amp;Regexreplace(to_text(F514),""[^A-Za-z0-9]"",""""))"),"neptronic_evcbseries")</f>
        <v>neptronic_evcbseries</v>
      </c>
      <c r="BG514" s="275" t="str">
        <f>IFERROR(__xludf.DUMMYFUNCTION("upper(Regexreplace(to_text(E514),""[^A-Za-z0-9]"","""")&amp;""-""&amp;Regexreplace(to_text(F514),""[^A-Za-z0-9]"",""""))"),"NEPTRONIC-EVCBSERIES")</f>
        <v>NEPTRONIC-EVCBSERIES</v>
      </c>
    </row>
    <row r="515" ht="30.0" customHeight="1">
      <c r="A515" s="173">
        <v>507.0</v>
      </c>
      <c r="B515" s="237" t="s">
        <v>670</v>
      </c>
      <c r="C515" s="257" t="s">
        <v>3119</v>
      </c>
      <c r="D515" s="173" t="s">
        <v>3119</v>
      </c>
      <c r="E515" s="174" t="s">
        <v>2861</v>
      </c>
      <c r="F515" s="173" t="s">
        <v>2862</v>
      </c>
      <c r="G515" s="328" t="s">
        <v>673</v>
      </c>
      <c r="H515" s="328" t="s">
        <v>2863</v>
      </c>
      <c r="I515" s="258" t="s">
        <v>2864</v>
      </c>
      <c r="J515" s="259" t="s">
        <v>846</v>
      </c>
      <c r="K515" s="260" t="s">
        <v>3120</v>
      </c>
      <c r="L515" s="328"/>
      <c r="M515" s="343"/>
      <c r="N515" s="173" t="s">
        <v>679</v>
      </c>
      <c r="O515" s="173" t="s">
        <v>225</v>
      </c>
      <c r="P515" s="262" t="str">
        <f t="shared" si="1"/>
        <v>IN-BLR-ANANTA-VAV-87_1</v>
      </c>
      <c r="Q515" s="173" t="s">
        <v>3121</v>
      </c>
      <c r="R515" s="328" t="str">
        <f>IFS(C515="","",C515="n/a","N/A",LEN(C515),Concatenate("{",char(34),"asset",char(34),":{",char(34),"guid",char(34),":",char(34),Q515,char(34),",",char(34),"site",char(34),":",char(34),LOWER('2-Building'!$B$4),char(34),",",char(34),"name",char(34),":",char(34),LOWER(C515),char(34),"}}"))</f>
        <v>{"asset":{"guid":"uuid://463a4750-8682-4190-ba31-d033cb098a3b","site":"in-blr-ananta","name":"vav-87"}}</v>
      </c>
      <c r="S515" s="237" t="s">
        <v>2866</v>
      </c>
      <c r="T515" s="330"/>
      <c r="U515" s="330"/>
      <c r="V515" s="331"/>
      <c r="W515" s="344"/>
      <c r="X515" s="341"/>
      <c r="Y515" s="33" t="s">
        <v>2867</v>
      </c>
      <c r="Z515" s="258">
        <v>120087.0</v>
      </c>
      <c r="AA515" s="334">
        <v>11607.0</v>
      </c>
      <c r="AB515" s="341"/>
      <c r="AC515" s="341"/>
      <c r="AD515" s="343"/>
      <c r="AE515" s="331"/>
      <c r="AF515" s="348"/>
      <c r="AG515" s="337"/>
      <c r="AH515" s="341"/>
      <c r="AI515" s="341"/>
      <c r="AJ515" s="341"/>
      <c r="AK515" s="341"/>
      <c r="AL515" s="341"/>
      <c r="AM515" s="338"/>
      <c r="AN515" s="341"/>
      <c r="AO515" s="341"/>
      <c r="AP515" s="341"/>
      <c r="AQ515" s="341"/>
      <c r="AR515" s="341"/>
      <c r="AS515" s="341"/>
      <c r="AT515" s="341"/>
      <c r="AU515" s="343"/>
      <c r="AV515" s="341"/>
      <c r="AW515" s="269" t="s">
        <v>1962</v>
      </c>
      <c r="AX515" s="334" t="s">
        <v>2869</v>
      </c>
      <c r="AY515" s="270" t="s">
        <v>695</v>
      </c>
      <c r="AZ515" s="270" t="s">
        <v>2866</v>
      </c>
      <c r="BA515" s="265">
        <v>10.0</v>
      </c>
      <c r="BB515" s="174" t="s">
        <v>245</v>
      </c>
      <c r="BC515" s="341"/>
      <c r="BD515" s="308"/>
      <c r="BE515" s="347"/>
      <c r="BF515" s="274" t="str">
        <f>IFERROR(__xludf.DUMMYFUNCTION("LOWER(Regexreplace(to_text(E515),""[^A-Za-z0-9]"","""")&amp;""_""&amp;Regexreplace(to_text(F515),""[^A-Za-z0-9]"",""""))"),"neptronic_evcbseries")</f>
        <v>neptronic_evcbseries</v>
      </c>
      <c r="BG515" s="275" t="str">
        <f>IFERROR(__xludf.DUMMYFUNCTION("upper(Regexreplace(to_text(E515),""[^A-Za-z0-9]"","""")&amp;""-""&amp;Regexreplace(to_text(F515),""[^A-Za-z0-9]"",""""))"),"NEPTRONIC-EVCBSERIES")</f>
        <v>NEPTRONIC-EVCBSERIES</v>
      </c>
    </row>
    <row r="516" ht="30.0" customHeight="1">
      <c r="A516" s="258">
        <v>508.0</v>
      </c>
      <c r="B516" s="237" t="s">
        <v>670</v>
      </c>
      <c r="C516" s="257" t="s">
        <v>3122</v>
      </c>
      <c r="D516" s="173" t="s">
        <v>3122</v>
      </c>
      <c r="E516" s="174" t="s">
        <v>2861</v>
      </c>
      <c r="F516" s="173" t="s">
        <v>2862</v>
      </c>
      <c r="G516" s="328" t="s">
        <v>673</v>
      </c>
      <c r="H516" s="328" t="s">
        <v>2863</v>
      </c>
      <c r="I516" s="258" t="s">
        <v>2864</v>
      </c>
      <c r="J516" s="259" t="s">
        <v>846</v>
      </c>
      <c r="K516" s="260" t="s">
        <v>3123</v>
      </c>
      <c r="L516" s="328"/>
      <c r="M516" s="343"/>
      <c r="N516" s="173" t="s">
        <v>679</v>
      </c>
      <c r="O516" s="173" t="s">
        <v>225</v>
      </c>
      <c r="P516" s="262" t="str">
        <f t="shared" si="1"/>
        <v>IN-BLR-ANANTA-VAV-88_1</v>
      </c>
      <c r="Q516" s="173" t="s">
        <v>3124</v>
      </c>
      <c r="R516" s="328" t="str">
        <f>IFS(C516="","",C516="n/a","N/A",LEN(C516),Concatenate("{",char(34),"asset",char(34),":{",char(34),"guid",char(34),":",char(34),Q516,char(34),",",char(34),"site",char(34),":",char(34),LOWER('2-Building'!$B$4),char(34),",",char(34),"name",char(34),":",char(34),LOWER(C516),char(34),"}}"))</f>
        <v>{"asset":{"guid":"uuid://da02b55f-f38a-4526-9655-e687eff93e4c","site":"in-blr-ananta","name":"vav-88"}}</v>
      </c>
      <c r="S516" s="237" t="s">
        <v>2866</v>
      </c>
      <c r="T516" s="330"/>
      <c r="U516" s="330"/>
      <c r="V516" s="331"/>
      <c r="W516" s="344"/>
      <c r="X516" s="341"/>
      <c r="Y516" s="33" t="s">
        <v>2867</v>
      </c>
      <c r="Z516" s="258">
        <v>120088.0</v>
      </c>
      <c r="AA516" s="334">
        <v>11607.0</v>
      </c>
      <c r="AB516" s="341"/>
      <c r="AC516" s="341"/>
      <c r="AD516" s="343"/>
      <c r="AE516" s="331"/>
      <c r="AF516" s="348"/>
      <c r="AG516" s="337"/>
      <c r="AH516" s="341"/>
      <c r="AI516" s="341"/>
      <c r="AJ516" s="341"/>
      <c r="AK516" s="341"/>
      <c r="AL516" s="341"/>
      <c r="AM516" s="338"/>
      <c r="AN516" s="341"/>
      <c r="AO516" s="341"/>
      <c r="AP516" s="341"/>
      <c r="AQ516" s="341"/>
      <c r="AR516" s="341"/>
      <c r="AS516" s="341"/>
      <c r="AT516" s="341"/>
      <c r="AU516" s="343"/>
      <c r="AV516" s="341"/>
      <c r="AW516" s="269" t="s">
        <v>1962</v>
      </c>
      <c r="AX516" s="334" t="s">
        <v>2869</v>
      </c>
      <c r="AY516" s="270" t="s">
        <v>695</v>
      </c>
      <c r="AZ516" s="270" t="s">
        <v>2866</v>
      </c>
      <c r="BA516" s="265">
        <v>10.0</v>
      </c>
      <c r="BB516" s="174" t="s">
        <v>245</v>
      </c>
      <c r="BC516" s="341"/>
      <c r="BD516" s="308"/>
      <c r="BE516" s="347"/>
      <c r="BF516" s="274" t="str">
        <f>IFERROR(__xludf.DUMMYFUNCTION("LOWER(Regexreplace(to_text(E516),""[^A-Za-z0-9]"","""")&amp;""_""&amp;Regexreplace(to_text(F516),""[^A-Za-z0-9]"",""""))"),"neptronic_evcbseries")</f>
        <v>neptronic_evcbseries</v>
      </c>
      <c r="BG516" s="275" t="str">
        <f>IFERROR(__xludf.DUMMYFUNCTION("upper(Regexreplace(to_text(E516),""[^A-Za-z0-9]"","""")&amp;""-""&amp;Regexreplace(to_text(F516),""[^A-Za-z0-9]"",""""))"),"NEPTRONIC-EVCBSERIES")</f>
        <v>NEPTRONIC-EVCBSERIES</v>
      </c>
    </row>
    <row r="517" ht="30.0" customHeight="1">
      <c r="A517" s="173">
        <v>509.0</v>
      </c>
      <c r="B517" s="237" t="s">
        <v>670</v>
      </c>
      <c r="C517" s="257" t="s">
        <v>3125</v>
      </c>
      <c r="D517" s="173" t="s">
        <v>3125</v>
      </c>
      <c r="E517" s="174" t="s">
        <v>2861</v>
      </c>
      <c r="F517" s="173" t="s">
        <v>2862</v>
      </c>
      <c r="G517" s="328" t="s">
        <v>673</v>
      </c>
      <c r="H517" s="328" t="s">
        <v>2863</v>
      </c>
      <c r="I517" s="258" t="s">
        <v>2864</v>
      </c>
      <c r="J517" s="259" t="s">
        <v>846</v>
      </c>
      <c r="K517" s="260" t="s">
        <v>3126</v>
      </c>
      <c r="L517" s="328"/>
      <c r="M517" s="343"/>
      <c r="N517" s="173" t="s">
        <v>679</v>
      </c>
      <c r="O517" s="173" t="s">
        <v>225</v>
      </c>
      <c r="P517" s="262" t="str">
        <f t="shared" si="1"/>
        <v>IN-BLR-ANANTA-VAV-89_1</v>
      </c>
      <c r="Q517" s="173" t="s">
        <v>3127</v>
      </c>
      <c r="R517" s="328" t="str">
        <f>IFS(C517="","",C517="n/a","N/A",LEN(C517),Concatenate("{",char(34),"asset",char(34),":{",char(34),"guid",char(34),":",char(34),Q517,char(34),",",char(34),"site",char(34),":",char(34),LOWER('2-Building'!$B$4),char(34),",",char(34),"name",char(34),":",char(34),LOWER(C517),char(34),"}}"))</f>
        <v>{"asset":{"guid":"uuid://cdf5f61b-2583-47fa-959e-e8eb5df37774","site":"in-blr-ananta","name":"vav-89"}}</v>
      </c>
      <c r="S517" s="237" t="s">
        <v>2866</v>
      </c>
      <c r="T517" s="330"/>
      <c r="U517" s="330"/>
      <c r="V517" s="331"/>
      <c r="W517" s="344"/>
      <c r="X517" s="341"/>
      <c r="Y517" s="33" t="s">
        <v>2867</v>
      </c>
      <c r="Z517" s="258">
        <v>120089.0</v>
      </c>
      <c r="AA517" s="334">
        <v>11607.0</v>
      </c>
      <c r="AB517" s="341"/>
      <c r="AC517" s="341"/>
      <c r="AD517" s="343"/>
      <c r="AE517" s="331"/>
      <c r="AF517" s="348"/>
      <c r="AG517" s="337"/>
      <c r="AH517" s="341"/>
      <c r="AI517" s="341"/>
      <c r="AJ517" s="341"/>
      <c r="AK517" s="341"/>
      <c r="AL517" s="341"/>
      <c r="AM517" s="338"/>
      <c r="AN517" s="341"/>
      <c r="AO517" s="341"/>
      <c r="AP517" s="341"/>
      <c r="AQ517" s="341"/>
      <c r="AR517" s="341"/>
      <c r="AS517" s="341"/>
      <c r="AT517" s="341"/>
      <c r="AU517" s="343"/>
      <c r="AV517" s="341"/>
      <c r="AW517" s="269" t="s">
        <v>1962</v>
      </c>
      <c r="AX517" s="334" t="s">
        <v>2869</v>
      </c>
      <c r="AY517" s="270" t="s">
        <v>695</v>
      </c>
      <c r="AZ517" s="270" t="s">
        <v>2866</v>
      </c>
      <c r="BA517" s="265">
        <v>10.0</v>
      </c>
      <c r="BB517" s="174" t="s">
        <v>245</v>
      </c>
      <c r="BC517" s="341"/>
      <c r="BD517" s="308"/>
      <c r="BE517" s="347"/>
      <c r="BF517" s="274" t="str">
        <f>IFERROR(__xludf.DUMMYFUNCTION("LOWER(Regexreplace(to_text(E517),""[^A-Za-z0-9]"","""")&amp;""_""&amp;Regexreplace(to_text(F517),""[^A-Za-z0-9]"",""""))"),"neptronic_evcbseries")</f>
        <v>neptronic_evcbseries</v>
      </c>
      <c r="BG517" s="275" t="str">
        <f>IFERROR(__xludf.DUMMYFUNCTION("upper(Regexreplace(to_text(E517),""[^A-Za-z0-9]"","""")&amp;""-""&amp;Regexreplace(to_text(F517),""[^A-Za-z0-9]"",""""))"),"NEPTRONIC-EVCBSERIES")</f>
        <v>NEPTRONIC-EVCBSERIES</v>
      </c>
    </row>
    <row r="518" ht="30.0" customHeight="1">
      <c r="A518" s="258">
        <v>510.0</v>
      </c>
      <c r="B518" s="237" t="s">
        <v>670</v>
      </c>
      <c r="C518" s="257" t="s">
        <v>3128</v>
      </c>
      <c r="D518" s="173" t="s">
        <v>3128</v>
      </c>
      <c r="E518" s="174" t="s">
        <v>2861</v>
      </c>
      <c r="F518" s="173" t="s">
        <v>2862</v>
      </c>
      <c r="G518" s="328" t="s">
        <v>673</v>
      </c>
      <c r="H518" s="328" t="s">
        <v>2863</v>
      </c>
      <c r="I518" s="258" t="s">
        <v>2864</v>
      </c>
      <c r="J518" s="259" t="s">
        <v>846</v>
      </c>
      <c r="K518" s="260" t="s">
        <v>3129</v>
      </c>
      <c r="L518" s="328"/>
      <c r="M518" s="343"/>
      <c r="N518" s="173" t="s">
        <v>679</v>
      </c>
      <c r="O518" s="173" t="s">
        <v>225</v>
      </c>
      <c r="P518" s="262" t="str">
        <f t="shared" si="1"/>
        <v>IN-BLR-ANANTA-VAV-90_1</v>
      </c>
      <c r="Q518" s="173" t="s">
        <v>3130</v>
      </c>
      <c r="R518" s="328" t="str">
        <f>IFS(C518="","",C518="n/a","N/A",LEN(C518),Concatenate("{",char(34),"asset",char(34),":{",char(34),"guid",char(34),":",char(34),Q518,char(34),",",char(34),"site",char(34),":",char(34),LOWER('2-Building'!$B$4),char(34),",",char(34),"name",char(34),":",char(34),LOWER(C518),char(34),"}}"))</f>
        <v>{"asset":{"guid":"uuid://d61eb7ed-2ea0-4ef4-a72b-892f56ac3ec1","site":"in-blr-ananta","name":"vav-90"}}</v>
      </c>
      <c r="S518" s="237" t="s">
        <v>2866</v>
      </c>
      <c r="T518" s="330"/>
      <c r="U518" s="330"/>
      <c r="V518" s="331"/>
      <c r="W518" s="344"/>
      <c r="X518" s="341"/>
      <c r="Y518" s="33" t="s">
        <v>2867</v>
      </c>
      <c r="Z518" s="258">
        <v>120090.0</v>
      </c>
      <c r="AA518" s="334">
        <v>11607.0</v>
      </c>
      <c r="AB518" s="341"/>
      <c r="AC518" s="341"/>
      <c r="AD518" s="343"/>
      <c r="AE518" s="331"/>
      <c r="AF518" s="348"/>
      <c r="AG518" s="337"/>
      <c r="AH518" s="341"/>
      <c r="AI518" s="341"/>
      <c r="AJ518" s="341"/>
      <c r="AK518" s="341"/>
      <c r="AL518" s="341"/>
      <c r="AM518" s="338"/>
      <c r="AN518" s="341"/>
      <c r="AO518" s="341"/>
      <c r="AP518" s="341"/>
      <c r="AQ518" s="341"/>
      <c r="AR518" s="341"/>
      <c r="AS518" s="341"/>
      <c r="AT518" s="341"/>
      <c r="AU518" s="343"/>
      <c r="AV518" s="341"/>
      <c r="AW518" s="269" t="s">
        <v>1962</v>
      </c>
      <c r="AX518" s="334" t="s">
        <v>2869</v>
      </c>
      <c r="AY518" s="270" t="s">
        <v>695</v>
      </c>
      <c r="AZ518" s="270" t="s">
        <v>2866</v>
      </c>
      <c r="BA518" s="265">
        <v>10.0</v>
      </c>
      <c r="BB518" s="174" t="s">
        <v>245</v>
      </c>
      <c r="BC518" s="341"/>
      <c r="BD518" s="308"/>
      <c r="BE518" s="347"/>
      <c r="BF518" s="274" t="str">
        <f>IFERROR(__xludf.DUMMYFUNCTION("LOWER(Regexreplace(to_text(E518),""[^A-Za-z0-9]"","""")&amp;""_""&amp;Regexreplace(to_text(F518),""[^A-Za-z0-9]"",""""))"),"neptronic_evcbseries")</f>
        <v>neptronic_evcbseries</v>
      </c>
      <c r="BG518" s="275" t="str">
        <f>IFERROR(__xludf.DUMMYFUNCTION("upper(Regexreplace(to_text(E518),""[^A-Za-z0-9]"","""")&amp;""-""&amp;Regexreplace(to_text(F518),""[^A-Za-z0-9]"",""""))"),"NEPTRONIC-EVCBSERIES")</f>
        <v>NEPTRONIC-EVCBSERIES</v>
      </c>
    </row>
    <row r="519" ht="30.0" customHeight="1">
      <c r="A519" s="173">
        <v>511.0</v>
      </c>
      <c r="B519" s="237" t="s">
        <v>670</v>
      </c>
      <c r="C519" s="257" t="s">
        <v>3131</v>
      </c>
      <c r="D519" s="173" t="s">
        <v>3131</v>
      </c>
      <c r="E519" s="174" t="s">
        <v>2861</v>
      </c>
      <c r="F519" s="173" t="s">
        <v>2862</v>
      </c>
      <c r="G519" s="328" t="s">
        <v>673</v>
      </c>
      <c r="H519" s="328" t="s">
        <v>2863</v>
      </c>
      <c r="I519" s="258" t="s">
        <v>2864</v>
      </c>
      <c r="J519" s="259" t="s">
        <v>846</v>
      </c>
      <c r="K519" s="260" t="s">
        <v>3132</v>
      </c>
      <c r="L519" s="328"/>
      <c r="M519" s="343"/>
      <c r="N519" s="173" t="s">
        <v>679</v>
      </c>
      <c r="O519" s="173" t="s">
        <v>225</v>
      </c>
      <c r="P519" s="262" t="str">
        <f t="shared" si="1"/>
        <v>IN-BLR-ANANTA-VAV-91_1</v>
      </c>
      <c r="Q519" s="173" t="s">
        <v>3133</v>
      </c>
      <c r="R519" s="328" t="str">
        <f>IFS(C519="","",C519="n/a","N/A",LEN(C519),Concatenate("{",char(34),"asset",char(34),":{",char(34),"guid",char(34),":",char(34),Q519,char(34),",",char(34),"site",char(34),":",char(34),LOWER('2-Building'!$B$4),char(34),",",char(34),"name",char(34),":",char(34),LOWER(C519),char(34),"}}"))</f>
        <v>{"asset":{"guid":"uuid://9f0d5959-85ac-42f8-bf23-1350c591480e","site":"in-blr-ananta","name":"vav-91"}}</v>
      </c>
      <c r="S519" s="237" t="s">
        <v>2866</v>
      </c>
      <c r="T519" s="330"/>
      <c r="U519" s="330"/>
      <c r="V519" s="331"/>
      <c r="W519" s="344"/>
      <c r="X519" s="341"/>
      <c r="Y519" s="33" t="s">
        <v>2867</v>
      </c>
      <c r="Z519" s="258">
        <v>120091.0</v>
      </c>
      <c r="AA519" s="334">
        <v>11607.0</v>
      </c>
      <c r="AB519" s="341"/>
      <c r="AC519" s="341"/>
      <c r="AD519" s="343"/>
      <c r="AE519" s="331"/>
      <c r="AF519" s="348"/>
      <c r="AG519" s="337"/>
      <c r="AH519" s="341"/>
      <c r="AI519" s="341"/>
      <c r="AJ519" s="341"/>
      <c r="AK519" s="341"/>
      <c r="AL519" s="341"/>
      <c r="AM519" s="338"/>
      <c r="AN519" s="341"/>
      <c r="AO519" s="341"/>
      <c r="AP519" s="341"/>
      <c r="AQ519" s="341"/>
      <c r="AR519" s="341"/>
      <c r="AS519" s="341"/>
      <c r="AT519" s="341"/>
      <c r="AU519" s="343"/>
      <c r="AV519" s="341"/>
      <c r="AW519" s="269" t="s">
        <v>1962</v>
      </c>
      <c r="AX519" s="334" t="s">
        <v>2869</v>
      </c>
      <c r="AY519" s="270" t="s">
        <v>695</v>
      </c>
      <c r="AZ519" s="270" t="s">
        <v>2866</v>
      </c>
      <c r="BA519" s="265">
        <v>10.0</v>
      </c>
      <c r="BB519" s="174" t="s">
        <v>245</v>
      </c>
      <c r="BC519" s="341"/>
      <c r="BD519" s="308"/>
      <c r="BE519" s="347"/>
      <c r="BF519" s="274" t="str">
        <f>IFERROR(__xludf.DUMMYFUNCTION("LOWER(Regexreplace(to_text(E519),""[^A-Za-z0-9]"","""")&amp;""_""&amp;Regexreplace(to_text(F519),""[^A-Za-z0-9]"",""""))"),"neptronic_evcbseries")</f>
        <v>neptronic_evcbseries</v>
      </c>
      <c r="BG519" s="275" t="str">
        <f>IFERROR(__xludf.DUMMYFUNCTION("upper(Regexreplace(to_text(E519),""[^A-Za-z0-9]"","""")&amp;""-""&amp;Regexreplace(to_text(F519),""[^A-Za-z0-9]"",""""))"),"NEPTRONIC-EVCBSERIES")</f>
        <v>NEPTRONIC-EVCBSERIES</v>
      </c>
    </row>
    <row r="520" ht="30.0" customHeight="1">
      <c r="A520" s="258">
        <v>512.0</v>
      </c>
      <c r="B520" s="237" t="s">
        <v>670</v>
      </c>
      <c r="C520" s="257" t="s">
        <v>3134</v>
      </c>
      <c r="D520" s="173" t="s">
        <v>3134</v>
      </c>
      <c r="E520" s="174" t="s">
        <v>2861</v>
      </c>
      <c r="F520" s="173" t="s">
        <v>2862</v>
      </c>
      <c r="G520" s="328" t="s">
        <v>673</v>
      </c>
      <c r="H520" s="328" t="s">
        <v>2863</v>
      </c>
      <c r="I520" s="258" t="s">
        <v>2864</v>
      </c>
      <c r="J520" s="259" t="s">
        <v>846</v>
      </c>
      <c r="K520" s="260" t="s">
        <v>3135</v>
      </c>
      <c r="L520" s="328"/>
      <c r="M520" s="343"/>
      <c r="N520" s="173" t="s">
        <v>679</v>
      </c>
      <c r="O520" s="173" t="s">
        <v>225</v>
      </c>
      <c r="P520" s="262" t="str">
        <f t="shared" si="1"/>
        <v>IN-BLR-ANANTA-VAV-92_1</v>
      </c>
      <c r="Q520" s="173" t="s">
        <v>3136</v>
      </c>
      <c r="R520" s="328" t="str">
        <f>IFS(C520="","",C520="n/a","N/A",LEN(C520),Concatenate("{",char(34),"asset",char(34),":{",char(34),"guid",char(34),":",char(34),Q520,char(34),",",char(34),"site",char(34),":",char(34),LOWER('2-Building'!$B$4),char(34),",",char(34),"name",char(34),":",char(34),LOWER(C520),char(34),"}}"))</f>
        <v>{"asset":{"guid":"uuid://890c4e4c-c2be-4de1-acba-01ea156e5d40","site":"in-blr-ananta","name":"vav-92"}}</v>
      </c>
      <c r="S520" s="237" t="s">
        <v>2866</v>
      </c>
      <c r="T520" s="330"/>
      <c r="U520" s="330"/>
      <c r="V520" s="331"/>
      <c r="W520" s="344"/>
      <c r="X520" s="341"/>
      <c r="Y520" s="33" t="s">
        <v>2867</v>
      </c>
      <c r="Z520" s="258">
        <v>120092.0</v>
      </c>
      <c r="AA520" s="334">
        <v>11607.0</v>
      </c>
      <c r="AB520" s="341"/>
      <c r="AC520" s="341"/>
      <c r="AD520" s="343"/>
      <c r="AE520" s="331"/>
      <c r="AF520" s="348"/>
      <c r="AG520" s="337"/>
      <c r="AH520" s="341"/>
      <c r="AI520" s="341"/>
      <c r="AJ520" s="341"/>
      <c r="AK520" s="341"/>
      <c r="AL520" s="341"/>
      <c r="AM520" s="338"/>
      <c r="AN520" s="341"/>
      <c r="AO520" s="341"/>
      <c r="AP520" s="341"/>
      <c r="AQ520" s="341"/>
      <c r="AR520" s="341"/>
      <c r="AS520" s="341"/>
      <c r="AT520" s="341"/>
      <c r="AU520" s="343"/>
      <c r="AV520" s="341"/>
      <c r="AW520" s="269" t="s">
        <v>1962</v>
      </c>
      <c r="AX520" s="334" t="s">
        <v>2869</v>
      </c>
      <c r="AY520" s="270" t="s">
        <v>695</v>
      </c>
      <c r="AZ520" s="270" t="s">
        <v>2866</v>
      </c>
      <c r="BA520" s="265">
        <v>10.0</v>
      </c>
      <c r="BB520" s="174" t="s">
        <v>245</v>
      </c>
      <c r="BC520" s="341"/>
      <c r="BD520" s="308"/>
      <c r="BE520" s="347"/>
      <c r="BF520" s="274" t="str">
        <f>IFERROR(__xludf.DUMMYFUNCTION("LOWER(Regexreplace(to_text(E520),""[^A-Za-z0-9]"","""")&amp;""_""&amp;Regexreplace(to_text(F520),""[^A-Za-z0-9]"",""""))"),"neptronic_evcbseries")</f>
        <v>neptronic_evcbseries</v>
      </c>
      <c r="BG520" s="275" t="str">
        <f>IFERROR(__xludf.DUMMYFUNCTION("upper(Regexreplace(to_text(E520),""[^A-Za-z0-9]"","""")&amp;""-""&amp;Regexreplace(to_text(F520),""[^A-Za-z0-9]"",""""))"),"NEPTRONIC-EVCBSERIES")</f>
        <v>NEPTRONIC-EVCBSERIES</v>
      </c>
    </row>
    <row r="521" ht="30.0" customHeight="1">
      <c r="A521" s="173">
        <v>513.0</v>
      </c>
      <c r="B521" s="237" t="s">
        <v>670</v>
      </c>
      <c r="C521" s="257" t="s">
        <v>3137</v>
      </c>
      <c r="D521" s="173" t="s">
        <v>3137</v>
      </c>
      <c r="E521" s="174" t="s">
        <v>2861</v>
      </c>
      <c r="F521" s="173" t="s">
        <v>2862</v>
      </c>
      <c r="G521" s="328" t="s">
        <v>673</v>
      </c>
      <c r="H521" s="328" t="s">
        <v>2863</v>
      </c>
      <c r="I521" s="258" t="s">
        <v>2864</v>
      </c>
      <c r="J521" s="259" t="s">
        <v>846</v>
      </c>
      <c r="K521" s="260" t="s">
        <v>3138</v>
      </c>
      <c r="L521" s="328"/>
      <c r="M521" s="343"/>
      <c r="N521" s="173" t="s">
        <v>679</v>
      </c>
      <c r="O521" s="173" t="s">
        <v>225</v>
      </c>
      <c r="P521" s="262" t="str">
        <f t="shared" si="1"/>
        <v>IN-BLR-ANANTA-VAV-93_1</v>
      </c>
      <c r="Q521" s="173" t="s">
        <v>3139</v>
      </c>
      <c r="R521" s="328" t="str">
        <f>IFS(C521="","",C521="n/a","N/A",LEN(C521),Concatenate("{",char(34),"asset",char(34),":{",char(34),"guid",char(34),":",char(34),Q521,char(34),",",char(34),"site",char(34),":",char(34),LOWER('2-Building'!$B$4),char(34),",",char(34),"name",char(34),":",char(34),LOWER(C521),char(34),"}}"))</f>
        <v>{"asset":{"guid":"uuid://51a15e56-7e4c-4bd6-98a2-d0c6e3e91176","site":"in-blr-ananta","name":"vav-93"}}</v>
      </c>
      <c r="S521" s="237" t="s">
        <v>2866</v>
      </c>
      <c r="T521" s="330"/>
      <c r="U521" s="330"/>
      <c r="V521" s="331"/>
      <c r="W521" s="344"/>
      <c r="X521" s="341"/>
      <c r="Y521" s="33" t="s">
        <v>2867</v>
      </c>
      <c r="Z521" s="258">
        <v>120093.0</v>
      </c>
      <c r="AA521" s="334">
        <v>11608.0</v>
      </c>
      <c r="AB521" s="341"/>
      <c r="AC521" s="341"/>
      <c r="AD521" s="343"/>
      <c r="AE521" s="331"/>
      <c r="AF521" s="348"/>
      <c r="AG521" s="337"/>
      <c r="AH521" s="341"/>
      <c r="AI521" s="341"/>
      <c r="AJ521" s="341"/>
      <c r="AK521" s="341"/>
      <c r="AL521" s="341"/>
      <c r="AM521" s="338"/>
      <c r="AN521" s="341"/>
      <c r="AO521" s="341"/>
      <c r="AP521" s="341"/>
      <c r="AQ521" s="341"/>
      <c r="AR521" s="341"/>
      <c r="AS521" s="341"/>
      <c r="AT521" s="341"/>
      <c r="AU521" s="343"/>
      <c r="AV521" s="341"/>
      <c r="AW521" s="269" t="s">
        <v>1972</v>
      </c>
      <c r="AX521" s="334" t="s">
        <v>2869</v>
      </c>
      <c r="AY521" s="270" t="s">
        <v>695</v>
      </c>
      <c r="AZ521" s="270" t="s">
        <v>2866</v>
      </c>
      <c r="BA521" s="265">
        <v>10.0</v>
      </c>
      <c r="BB521" s="174" t="s">
        <v>245</v>
      </c>
      <c r="BC521" s="341"/>
      <c r="BD521" s="308"/>
      <c r="BE521" s="347"/>
      <c r="BF521" s="274" t="str">
        <f>IFERROR(__xludf.DUMMYFUNCTION("LOWER(Regexreplace(to_text(E521),""[^A-Za-z0-9]"","""")&amp;""_""&amp;Regexreplace(to_text(F521),""[^A-Za-z0-9]"",""""))"),"neptronic_evcbseries")</f>
        <v>neptronic_evcbseries</v>
      </c>
      <c r="BG521" s="275" t="str">
        <f>IFERROR(__xludf.DUMMYFUNCTION("upper(Regexreplace(to_text(E521),""[^A-Za-z0-9]"","""")&amp;""-""&amp;Regexreplace(to_text(F521),""[^A-Za-z0-9]"",""""))"),"NEPTRONIC-EVCBSERIES")</f>
        <v>NEPTRONIC-EVCBSERIES</v>
      </c>
    </row>
    <row r="522" ht="30.0" customHeight="1">
      <c r="A522" s="258">
        <v>514.0</v>
      </c>
      <c r="B522" s="237" t="s">
        <v>670</v>
      </c>
      <c r="C522" s="257" t="s">
        <v>3140</v>
      </c>
      <c r="D522" s="173" t="s">
        <v>3140</v>
      </c>
      <c r="E522" s="174" t="s">
        <v>2861</v>
      </c>
      <c r="F522" s="173" t="s">
        <v>2862</v>
      </c>
      <c r="G522" s="328" t="s">
        <v>673</v>
      </c>
      <c r="H522" s="328" t="s">
        <v>2863</v>
      </c>
      <c r="I522" s="258" t="s">
        <v>2864</v>
      </c>
      <c r="J522" s="259" t="s">
        <v>846</v>
      </c>
      <c r="K522" s="260" t="s">
        <v>3141</v>
      </c>
      <c r="L522" s="328"/>
      <c r="M522" s="343"/>
      <c r="N522" s="173" t="s">
        <v>679</v>
      </c>
      <c r="O522" s="173" t="s">
        <v>225</v>
      </c>
      <c r="P522" s="262" t="str">
        <f t="shared" si="1"/>
        <v>IN-BLR-ANANTA-VAV-94_1</v>
      </c>
      <c r="Q522" s="173" t="s">
        <v>3142</v>
      </c>
      <c r="R522" s="328" t="str">
        <f>IFS(C522="","",C522="n/a","N/A",LEN(C522),Concatenate("{",char(34),"asset",char(34),":{",char(34),"guid",char(34),":",char(34),Q522,char(34),",",char(34),"site",char(34),":",char(34),LOWER('2-Building'!$B$4),char(34),",",char(34),"name",char(34),":",char(34),LOWER(C522),char(34),"}}"))</f>
        <v>{"asset":{"guid":"uuid://1f8521a1-f0fc-48de-8e19-c342c05f8745","site":"in-blr-ananta","name":"vav-94"}}</v>
      </c>
      <c r="S522" s="237" t="s">
        <v>2866</v>
      </c>
      <c r="T522" s="330"/>
      <c r="U522" s="330"/>
      <c r="V522" s="331"/>
      <c r="W522" s="344"/>
      <c r="X522" s="341"/>
      <c r="Y522" s="33" t="s">
        <v>2867</v>
      </c>
      <c r="Z522" s="258">
        <v>120094.0</v>
      </c>
      <c r="AA522" s="334">
        <v>11608.0</v>
      </c>
      <c r="AB522" s="341"/>
      <c r="AC522" s="341"/>
      <c r="AD522" s="343"/>
      <c r="AE522" s="331"/>
      <c r="AF522" s="348"/>
      <c r="AG522" s="337"/>
      <c r="AH522" s="341"/>
      <c r="AI522" s="341"/>
      <c r="AJ522" s="341"/>
      <c r="AK522" s="341"/>
      <c r="AL522" s="341"/>
      <c r="AM522" s="338"/>
      <c r="AN522" s="341"/>
      <c r="AO522" s="341"/>
      <c r="AP522" s="341"/>
      <c r="AQ522" s="341"/>
      <c r="AR522" s="341"/>
      <c r="AS522" s="341"/>
      <c r="AT522" s="341"/>
      <c r="AU522" s="343"/>
      <c r="AV522" s="341"/>
      <c r="AW522" s="269" t="s">
        <v>1972</v>
      </c>
      <c r="AX522" s="334" t="s">
        <v>2869</v>
      </c>
      <c r="AY522" s="270" t="s">
        <v>695</v>
      </c>
      <c r="AZ522" s="270" t="s">
        <v>2866</v>
      </c>
      <c r="BA522" s="265">
        <v>10.0</v>
      </c>
      <c r="BB522" s="174" t="s">
        <v>245</v>
      </c>
      <c r="BC522" s="341"/>
      <c r="BD522" s="308"/>
      <c r="BE522" s="347"/>
      <c r="BF522" s="274" t="str">
        <f>IFERROR(__xludf.DUMMYFUNCTION("LOWER(Regexreplace(to_text(E522),""[^A-Za-z0-9]"","""")&amp;""_""&amp;Regexreplace(to_text(F522),""[^A-Za-z0-9]"",""""))"),"neptronic_evcbseries")</f>
        <v>neptronic_evcbseries</v>
      </c>
      <c r="BG522" s="275" t="str">
        <f>IFERROR(__xludf.DUMMYFUNCTION("upper(Regexreplace(to_text(E522),""[^A-Za-z0-9]"","""")&amp;""-""&amp;Regexreplace(to_text(F522),""[^A-Za-z0-9]"",""""))"),"NEPTRONIC-EVCBSERIES")</f>
        <v>NEPTRONIC-EVCBSERIES</v>
      </c>
    </row>
    <row r="523" ht="30.0" customHeight="1">
      <c r="A523" s="173">
        <v>515.0</v>
      </c>
      <c r="B523" s="237" t="s">
        <v>670</v>
      </c>
      <c r="C523" s="257" t="s">
        <v>3143</v>
      </c>
      <c r="D523" s="173" t="s">
        <v>3143</v>
      </c>
      <c r="E523" s="174" t="s">
        <v>2861</v>
      </c>
      <c r="F523" s="173" t="s">
        <v>2862</v>
      </c>
      <c r="G523" s="328" t="s">
        <v>673</v>
      </c>
      <c r="H523" s="328" t="s">
        <v>2863</v>
      </c>
      <c r="I523" s="258" t="s">
        <v>2864</v>
      </c>
      <c r="J523" s="259" t="s">
        <v>846</v>
      </c>
      <c r="K523" s="260" t="s">
        <v>3144</v>
      </c>
      <c r="L523" s="328"/>
      <c r="M523" s="343"/>
      <c r="N523" s="173" t="s">
        <v>679</v>
      </c>
      <c r="O523" s="173" t="s">
        <v>225</v>
      </c>
      <c r="P523" s="262" t="str">
        <f t="shared" si="1"/>
        <v>IN-BLR-ANANTA-VAV-95_1</v>
      </c>
      <c r="Q523" s="173" t="s">
        <v>3145</v>
      </c>
      <c r="R523" s="328" t="str">
        <f>IFS(C523="","",C523="n/a","N/A",LEN(C523),Concatenate("{",char(34),"asset",char(34),":{",char(34),"guid",char(34),":",char(34),Q523,char(34),",",char(34),"site",char(34),":",char(34),LOWER('2-Building'!$B$4),char(34),",",char(34),"name",char(34),":",char(34),LOWER(C523),char(34),"}}"))</f>
        <v>{"asset":{"guid":"uuid://36e8cb8e-b99a-41c2-9d83-8a416018139a","site":"in-blr-ananta","name":"vav-95"}}</v>
      </c>
      <c r="S523" s="237" t="s">
        <v>2866</v>
      </c>
      <c r="T523" s="330"/>
      <c r="U523" s="330"/>
      <c r="V523" s="331"/>
      <c r="W523" s="344"/>
      <c r="X523" s="341"/>
      <c r="Y523" s="33" t="s">
        <v>2867</v>
      </c>
      <c r="Z523" s="258">
        <v>120095.0</v>
      </c>
      <c r="AA523" s="334">
        <v>11608.0</v>
      </c>
      <c r="AB523" s="341"/>
      <c r="AC523" s="341"/>
      <c r="AD523" s="343"/>
      <c r="AE523" s="331"/>
      <c r="AF523" s="348"/>
      <c r="AG523" s="337"/>
      <c r="AH523" s="341"/>
      <c r="AI523" s="341"/>
      <c r="AJ523" s="341"/>
      <c r="AK523" s="341"/>
      <c r="AL523" s="341"/>
      <c r="AM523" s="338"/>
      <c r="AN523" s="341"/>
      <c r="AO523" s="341"/>
      <c r="AP523" s="341"/>
      <c r="AQ523" s="341"/>
      <c r="AR523" s="341"/>
      <c r="AS523" s="341"/>
      <c r="AT523" s="341"/>
      <c r="AU523" s="343"/>
      <c r="AV523" s="341"/>
      <c r="AW523" s="269" t="s">
        <v>1972</v>
      </c>
      <c r="AX523" s="334" t="s">
        <v>2869</v>
      </c>
      <c r="AY523" s="270" t="s">
        <v>695</v>
      </c>
      <c r="AZ523" s="270" t="s">
        <v>2866</v>
      </c>
      <c r="BA523" s="265">
        <v>10.0</v>
      </c>
      <c r="BB523" s="174" t="s">
        <v>245</v>
      </c>
      <c r="BC523" s="341"/>
      <c r="BD523" s="308"/>
      <c r="BE523" s="347"/>
      <c r="BF523" s="274" t="str">
        <f>IFERROR(__xludf.DUMMYFUNCTION("LOWER(Regexreplace(to_text(E523),""[^A-Za-z0-9]"","""")&amp;""_""&amp;Regexreplace(to_text(F523),""[^A-Za-z0-9]"",""""))"),"neptronic_evcbseries")</f>
        <v>neptronic_evcbseries</v>
      </c>
      <c r="BG523" s="275" t="str">
        <f>IFERROR(__xludf.DUMMYFUNCTION("upper(Regexreplace(to_text(E523),""[^A-Za-z0-9]"","""")&amp;""-""&amp;Regexreplace(to_text(F523),""[^A-Za-z0-9]"",""""))"),"NEPTRONIC-EVCBSERIES")</f>
        <v>NEPTRONIC-EVCBSERIES</v>
      </c>
    </row>
    <row r="524" ht="30.0" customHeight="1">
      <c r="A524" s="258">
        <v>516.0</v>
      </c>
      <c r="B524" s="237" t="s">
        <v>670</v>
      </c>
      <c r="C524" s="257" t="s">
        <v>3146</v>
      </c>
      <c r="D524" s="173" t="s">
        <v>3146</v>
      </c>
      <c r="E524" s="174" t="s">
        <v>2861</v>
      </c>
      <c r="F524" s="173" t="s">
        <v>2862</v>
      </c>
      <c r="G524" s="328" t="s">
        <v>673</v>
      </c>
      <c r="H524" s="328" t="s">
        <v>2863</v>
      </c>
      <c r="I524" s="258" t="s">
        <v>2864</v>
      </c>
      <c r="J524" s="259" t="s">
        <v>846</v>
      </c>
      <c r="K524" s="260" t="s">
        <v>3147</v>
      </c>
      <c r="L524" s="328"/>
      <c r="M524" s="343"/>
      <c r="N524" s="173" t="s">
        <v>679</v>
      </c>
      <c r="O524" s="173" t="s">
        <v>225</v>
      </c>
      <c r="P524" s="262" t="str">
        <f t="shared" si="1"/>
        <v>IN-BLR-ANANTA-VAV-96_1</v>
      </c>
      <c r="Q524" s="173" t="s">
        <v>3148</v>
      </c>
      <c r="R524" s="328" t="str">
        <f>IFS(C524="","",C524="n/a","N/A",LEN(C524),Concatenate("{",char(34),"asset",char(34),":{",char(34),"guid",char(34),":",char(34),Q524,char(34),",",char(34),"site",char(34),":",char(34),LOWER('2-Building'!$B$4),char(34),",",char(34),"name",char(34),":",char(34),LOWER(C524),char(34),"}}"))</f>
        <v>{"asset":{"guid":"uuid://c15f4e1e-cb25-48b2-a8bd-4b5d716a323e","site":"in-blr-ananta","name":"vav-96"}}</v>
      </c>
      <c r="S524" s="237" t="s">
        <v>2866</v>
      </c>
      <c r="T524" s="330"/>
      <c r="U524" s="330"/>
      <c r="V524" s="331"/>
      <c r="W524" s="344"/>
      <c r="X524" s="341"/>
      <c r="Y524" s="33" t="s">
        <v>2867</v>
      </c>
      <c r="Z524" s="258">
        <v>120096.0</v>
      </c>
      <c r="AA524" s="334">
        <v>11608.0</v>
      </c>
      <c r="AB524" s="341"/>
      <c r="AC524" s="341"/>
      <c r="AD524" s="343"/>
      <c r="AE524" s="331"/>
      <c r="AF524" s="348"/>
      <c r="AG524" s="337"/>
      <c r="AH524" s="341"/>
      <c r="AI524" s="341"/>
      <c r="AJ524" s="341"/>
      <c r="AK524" s="341"/>
      <c r="AL524" s="341"/>
      <c r="AM524" s="338"/>
      <c r="AN524" s="341"/>
      <c r="AO524" s="341"/>
      <c r="AP524" s="341"/>
      <c r="AQ524" s="341"/>
      <c r="AR524" s="341"/>
      <c r="AS524" s="341"/>
      <c r="AT524" s="341"/>
      <c r="AU524" s="343"/>
      <c r="AV524" s="341"/>
      <c r="AW524" s="269" t="s">
        <v>1972</v>
      </c>
      <c r="AX524" s="334" t="s">
        <v>2869</v>
      </c>
      <c r="AY524" s="270" t="s">
        <v>695</v>
      </c>
      <c r="AZ524" s="270" t="s">
        <v>2866</v>
      </c>
      <c r="BA524" s="265">
        <v>10.0</v>
      </c>
      <c r="BB524" s="174" t="s">
        <v>245</v>
      </c>
      <c r="BC524" s="341"/>
      <c r="BD524" s="308"/>
      <c r="BE524" s="347"/>
      <c r="BF524" s="274" t="str">
        <f>IFERROR(__xludf.DUMMYFUNCTION("LOWER(Regexreplace(to_text(E524),""[^A-Za-z0-9]"","""")&amp;""_""&amp;Regexreplace(to_text(F524),""[^A-Za-z0-9]"",""""))"),"neptronic_evcbseries")</f>
        <v>neptronic_evcbseries</v>
      </c>
      <c r="BG524" s="275" t="str">
        <f>IFERROR(__xludf.DUMMYFUNCTION("upper(Regexreplace(to_text(E524),""[^A-Za-z0-9]"","""")&amp;""-""&amp;Regexreplace(to_text(F524),""[^A-Za-z0-9]"",""""))"),"NEPTRONIC-EVCBSERIES")</f>
        <v>NEPTRONIC-EVCBSERIES</v>
      </c>
    </row>
    <row r="525" ht="30.0" customHeight="1">
      <c r="A525" s="173">
        <v>517.0</v>
      </c>
      <c r="B525" s="237" t="s">
        <v>670</v>
      </c>
      <c r="C525" s="257" t="s">
        <v>3149</v>
      </c>
      <c r="D525" s="173" t="s">
        <v>3149</v>
      </c>
      <c r="E525" s="174" t="s">
        <v>2861</v>
      </c>
      <c r="F525" s="173" t="s">
        <v>2862</v>
      </c>
      <c r="G525" s="328" t="s">
        <v>673</v>
      </c>
      <c r="H525" s="328" t="s">
        <v>2863</v>
      </c>
      <c r="I525" s="258" t="s">
        <v>2864</v>
      </c>
      <c r="J525" s="259" t="s">
        <v>846</v>
      </c>
      <c r="K525" s="260" t="s">
        <v>3150</v>
      </c>
      <c r="L525" s="328"/>
      <c r="M525" s="343"/>
      <c r="N525" s="173" t="s">
        <v>679</v>
      </c>
      <c r="O525" s="173" t="s">
        <v>225</v>
      </c>
      <c r="P525" s="262" t="str">
        <f t="shared" si="1"/>
        <v>IN-BLR-ANANTA-VAV-97_1</v>
      </c>
      <c r="Q525" s="173" t="s">
        <v>3151</v>
      </c>
      <c r="R525" s="328" t="str">
        <f>IFS(C525="","",C525="n/a","N/A",LEN(C525),Concatenate("{",char(34),"asset",char(34),":{",char(34),"guid",char(34),":",char(34),Q525,char(34),",",char(34),"site",char(34),":",char(34),LOWER('2-Building'!$B$4),char(34),",",char(34),"name",char(34),":",char(34),LOWER(C525),char(34),"}}"))</f>
        <v>{"asset":{"guid":"uuid://79c15786-e079-40fd-87e5-4f3073b28de8","site":"in-blr-ananta","name":"vav-97"}}</v>
      </c>
      <c r="S525" s="237" t="s">
        <v>2866</v>
      </c>
      <c r="T525" s="330"/>
      <c r="U525" s="330"/>
      <c r="V525" s="331"/>
      <c r="W525" s="344"/>
      <c r="X525" s="341"/>
      <c r="Y525" s="33" t="s">
        <v>2867</v>
      </c>
      <c r="Z525" s="258">
        <v>120097.0</v>
      </c>
      <c r="AA525" s="334">
        <v>11608.0</v>
      </c>
      <c r="AB525" s="341"/>
      <c r="AC525" s="341"/>
      <c r="AD525" s="343"/>
      <c r="AE525" s="331"/>
      <c r="AF525" s="348"/>
      <c r="AG525" s="337"/>
      <c r="AH525" s="341"/>
      <c r="AI525" s="341"/>
      <c r="AJ525" s="341"/>
      <c r="AK525" s="341"/>
      <c r="AL525" s="341"/>
      <c r="AM525" s="338"/>
      <c r="AN525" s="341"/>
      <c r="AO525" s="341"/>
      <c r="AP525" s="341"/>
      <c r="AQ525" s="341"/>
      <c r="AR525" s="341"/>
      <c r="AS525" s="341"/>
      <c r="AT525" s="341"/>
      <c r="AU525" s="343"/>
      <c r="AV525" s="341"/>
      <c r="AW525" s="269" t="s">
        <v>1972</v>
      </c>
      <c r="AX525" s="334" t="s">
        <v>2869</v>
      </c>
      <c r="AY525" s="270" t="s">
        <v>695</v>
      </c>
      <c r="AZ525" s="270" t="s">
        <v>2866</v>
      </c>
      <c r="BA525" s="265">
        <v>10.0</v>
      </c>
      <c r="BB525" s="174" t="s">
        <v>245</v>
      </c>
      <c r="BC525" s="341"/>
      <c r="BD525" s="308"/>
      <c r="BE525" s="347"/>
      <c r="BF525" s="274" t="str">
        <f>IFERROR(__xludf.DUMMYFUNCTION("LOWER(Regexreplace(to_text(E525),""[^A-Za-z0-9]"","""")&amp;""_""&amp;Regexreplace(to_text(F525),""[^A-Za-z0-9]"",""""))"),"neptronic_evcbseries")</f>
        <v>neptronic_evcbseries</v>
      </c>
      <c r="BG525" s="275" t="str">
        <f>IFERROR(__xludf.DUMMYFUNCTION("upper(Regexreplace(to_text(E525),""[^A-Za-z0-9]"","""")&amp;""-""&amp;Regexreplace(to_text(F525),""[^A-Za-z0-9]"",""""))"),"NEPTRONIC-EVCBSERIES")</f>
        <v>NEPTRONIC-EVCBSERIES</v>
      </c>
    </row>
    <row r="526" ht="30.0" customHeight="1">
      <c r="A526" s="258">
        <v>518.0</v>
      </c>
      <c r="B526" s="237" t="s">
        <v>670</v>
      </c>
      <c r="C526" s="257" t="s">
        <v>3152</v>
      </c>
      <c r="D526" s="173" t="s">
        <v>3152</v>
      </c>
      <c r="E526" s="174" t="s">
        <v>2861</v>
      </c>
      <c r="F526" s="173" t="s">
        <v>2862</v>
      </c>
      <c r="G526" s="328" t="s">
        <v>673</v>
      </c>
      <c r="H526" s="328" t="s">
        <v>2863</v>
      </c>
      <c r="I526" s="258" t="s">
        <v>2864</v>
      </c>
      <c r="J526" s="259" t="s">
        <v>846</v>
      </c>
      <c r="K526" s="260" t="s">
        <v>3153</v>
      </c>
      <c r="L526" s="328"/>
      <c r="M526" s="343"/>
      <c r="N526" s="173" t="s">
        <v>679</v>
      </c>
      <c r="O526" s="173" t="s">
        <v>225</v>
      </c>
      <c r="P526" s="262" t="str">
        <f t="shared" si="1"/>
        <v>IN-BLR-ANANTA-VAV-98_1</v>
      </c>
      <c r="Q526" s="173" t="s">
        <v>3154</v>
      </c>
      <c r="R526" s="328" t="str">
        <f>IFS(C526="","",C526="n/a","N/A",LEN(C526),Concatenate("{",char(34),"asset",char(34),":{",char(34),"guid",char(34),":",char(34),Q526,char(34),",",char(34),"site",char(34),":",char(34),LOWER('2-Building'!$B$4),char(34),",",char(34),"name",char(34),":",char(34),LOWER(C526),char(34),"}}"))</f>
        <v>{"asset":{"guid":"uuid://e9c6dba2-1a91-460e-ac7f-a8b69b68e217","site":"in-blr-ananta","name":"vav-98"}}</v>
      </c>
      <c r="S526" s="237" t="s">
        <v>2866</v>
      </c>
      <c r="T526" s="330"/>
      <c r="U526" s="330"/>
      <c r="V526" s="331"/>
      <c r="W526" s="344"/>
      <c r="X526" s="341"/>
      <c r="Y526" s="33" t="s">
        <v>2867</v>
      </c>
      <c r="Z526" s="258">
        <v>120098.0</v>
      </c>
      <c r="AA526" s="334">
        <v>11608.0</v>
      </c>
      <c r="AB526" s="341"/>
      <c r="AC526" s="341"/>
      <c r="AD526" s="343"/>
      <c r="AE526" s="331"/>
      <c r="AF526" s="348"/>
      <c r="AG526" s="337"/>
      <c r="AH526" s="341"/>
      <c r="AI526" s="341"/>
      <c r="AJ526" s="341"/>
      <c r="AK526" s="341"/>
      <c r="AL526" s="341"/>
      <c r="AM526" s="338"/>
      <c r="AN526" s="341"/>
      <c r="AO526" s="341"/>
      <c r="AP526" s="341"/>
      <c r="AQ526" s="341"/>
      <c r="AR526" s="341"/>
      <c r="AS526" s="341"/>
      <c r="AT526" s="341"/>
      <c r="AU526" s="343"/>
      <c r="AV526" s="341"/>
      <c r="AW526" s="269" t="s">
        <v>1972</v>
      </c>
      <c r="AX526" s="334" t="s">
        <v>2869</v>
      </c>
      <c r="AY526" s="270" t="s">
        <v>695</v>
      </c>
      <c r="AZ526" s="270" t="s">
        <v>2866</v>
      </c>
      <c r="BA526" s="265">
        <v>10.0</v>
      </c>
      <c r="BB526" s="174" t="s">
        <v>245</v>
      </c>
      <c r="BC526" s="341"/>
      <c r="BD526" s="308"/>
      <c r="BE526" s="347"/>
      <c r="BF526" s="274" t="str">
        <f>IFERROR(__xludf.DUMMYFUNCTION("LOWER(Regexreplace(to_text(E526),""[^A-Za-z0-9]"","""")&amp;""_""&amp;Regexreplace(to_text(F526),""[^A-Za-z0-9]"",""""))"),"neptronic_evcbseries")</f>
        <v>neptronic_evcbseries</v>
      </c>
      <c r="BG526" s="275" t="str">
        <f>IFERROR(__xludf.DUMMYFUNCTION("upper(Regexreplace(to_text(E526),""[^A-Za-z0-9]"","""")&amp;""-""&amp;Regexreplace(to_text(F526),""[^A-Za-z0-9]"",""""))"),"NEPTRONIC-EVCBSERIES")</f>
        <v>NEPTRONIC-EVCBSERIES</v>
      </c>
    </row>
    <row r="527" ht="30.0" customHeight="1">
      <c r="A527" s="173">
        <v>519.0</v>
      </c>
      <c r="B527" s="237" t="s">
        <v>670</v>
      </c>
      <c r="C527" s="257" t="s">
        <v>3155</v>
      </c>
      <c r="D527" s="173" t="s">
        <v>3155</v>
      </c>
      <c r="E527" s="174" t="s">
        <v>2861</v>
      </c>
      <c r="F527" s="173" t="s">
        <v>2862</v>
      </c>
      <c r="G527" s="328" t="s">
        <v>673</v>
      </c>
      <c r="H527" s="328" t="s">
        <v>2863</v>
      </c>
      <c r="I527" s="258" t="s">
        <v>2864</v>
      </c>
      <c r="J527" s="259" t="s">
        <v>846</v>
      </c>
      <c r="K527" s="260" t="s">
        <v>3156</v>
      </c>
      <c r="L527" s="328"/>
      <c r="M527" s="343"/>
      <c r="N527" s="173" t="s">
        <v>679</v>
      </c>
      <c r="O527" s="173" t="s">
        <v>225</v>
      </c>
      <c r="P527" s="262" t="str">
        <f t="shared" si="1"/>
        <v>IN-BLR-ANANTA-VAV-99_1</v>
      </c>
      <c r="Q527" s="173" t="s">
        <v>3157</v>
      </c>
      <c r="R527" s="328" t="str">
        <f>IFS(C527="","",C527="n/a","N/A",LEN(C527),Concatenate("{",char(34),"asset",char(34),":{",char(34),"guid",char(34),":",char(34),Q527,char(34),",",char(34),"site",char(34),":",char(34),LOWER('2-Building'!$B$4),char(34),",",char(34),"name",char(34),":",char(34),LOWER(C527),char(34),"}}"))</f>
        <v>{"asset":{"guid":"uuid://0f881498-80d9-46f1-b522-66e91508def8","site":"in-blr-ananta","name":"vav-99"}}</v>
      </c>
      <c r="S527" s="237" t="s">
        <v>2866</v>
      </c>
      <c r="T527" s="330"/>
      <c r="U527" s="330"/>
      <c r="V527" s="331"/>
      <c r="W527" s="344"/>
      <c r="X527" s="341"/>
      <c r="Y527" s="33" t="s">
        <v>2867</v>
      </c>
      <c r="Z527" s="258">
        <v>120099.0</v>
      </c>
      <c r="AA527" s="334">
        <v>11608.0</v>
      </c>
      <c r="AB527" s="341"/>
      <c r="AC527" s="341"/>
      <c r="AD527" s="343"/>
      <c r="AE527" s="331"/>
      <c r="AF527" s="348"/>
      <c r="AG527" s="337"/>
      <c r="AH527" s="341"/>
      <c r="AI527" s="341"/>
      <c r="AJ527" s="341"/>
      <c r="AK527" s="341"/>
      <c r="AL527" s="341"/>
      <c r="AM527" s="338"/>
      <c r="AN527" s="341"/>
      <c r="AO527" s="341"/>
      <c r="AP527" s="341"/>
      <c r="AQ527" s="341"/>
      <c r="AR527" s="341"/>
      <c r="AS527" s="341"/>
      <c r="AT527" s="341"/>
      <c r="AU527" s="343"/>
      <c r="AV527" s="341"/>
      <c r="AW527" s="269" t="s">
        <v>1972</v>
      </c>
      <c r="AX527" s="334" t="s">
        <v>2869</v>
      </c>
      <c r="AY527" s="270" t="s">
        <v>695</v>
      </c>
      <c r="AZ527" s="270" t="s">
        <v>2866</v>
      </c>
      <c r="BA527" s="265">
        <v>10.0</v>
      </c>
      <c r="BB527" s="174" t="s">
        <v>245</v>
      </c>
      <c r="BC527" s="341"/>
      <c r="BD527" s="308"/>
      <c r="BE527" s="347"/>
      <c r="BF527" s="274" t="str">
        <f>IFERROR(__xludf.DUMMYFUNCTION("LOWER(Regexreplace(to_text(E527),""[^A-Za-z0-9]"","""")&amp;""_""&amp;Regexreplace(to_text(F527),""[^A-Za-z0-9]"",""""))"),"neptronic_evcbseries")</f>
        <v>neptronic_evcbseries</v>
      </c>
      <c r="BG527" s="275" t="str">
        <f>IFERROR(__xludf.DUMMYFUNCTION("upper(Regexreplace(to_text(E527),""[^A-Za-z0-9]"","""")&amp;""-""&amp;Regexreplace(to_text(F527),""[^A-Za-z0-9]"",""""))"),"NEPTRONIC-EVCBSERIES")</f>
        <v>NEPTRONIC-EVCBSERIES</v>
      </c>
    </row>
    <row r="528" ht="30.0" customHeight="1">
      <c r="A528" s="258">
        <v>520.0</v>
      </c>
      <c r="B528" s="237" t="s">
        <v>670</v>
      </c>
      <c r="C528" s="257" t="s">
        <v>3158</v>
      </c>
      <c r="D528" s="173" t="s">
        <v>3158</v>
      </c>
      <c r="E528" s="174" t="s">
        <v>2861</v>
      </c>
      <c r="F528" s="173" t="s">
        <v>2862</v>
      </c>
      <c r="G528" s="328" t="s">
        <v>673</v>
      </c>
      <c r="H528" s="328" t="s">
        <v>2863</v>
      </c>
      <c r="I528" s="258" t="s">
        <v>2864</v>
      </c>
      <c r="J528" s="259" t="s">
        <v>846</v>
      </c>
      <c r="K528" s="260" t="s">
        <v>3159</v>
      </c>
      <c r="L528" s="328"/>
      <c r="M528" s="343"/>
      <c r="N528" s="173" t="s">
        <v>679</v>
      </c>
      <c r="O528" s="173" t="s">
        <v>225</v>
      </c>
      <c r="P528" s="262" t="str">
        <f t="shared" si="1"/>
        <v>IN-BLR-ANANTA-VAV-100_1</v>
      </c>
      <c r="Q528" s="173" t="s">
        <v>3160</v>
      </c>
      <c r="R528" s="328" t="str">
        <f>IFS(C528="","",C528="n/a","N/A",LEN(C528),Concatenate("{",char(34),"asset",char(34),":{",char(34),"guid",char(34),":",char(34),Q528,char(34),",",char(34),"site",char(34),":",char(34),LOWER('2-Building'!$B$4),char(34),",",char(34),"name",char(34),":",char(34),LOWER(C528),char(34),"}}"))</f>
        <v>{"asset":{"guid":"uuid://0fac7a20-2730-4538-9db2-926163388aff","site":"in-blr-ananta","name":"vav-100"}}</v>
      </c>
      <c r="S528" s="237" t="s">
        <v>2866</v>
      </c>
      <c r="T528" s="330"/>
      <c r="U528" s="330"/>
      <c r="V528" s="331"/>
      <c r="W528" s="344"/>
      <c r="X528" s="341"/>
      <c r="Y528" s="33" t="s">
        <v>2867</v>
      </c>
      <c r="Z528" s="258">
        <v>120100.0</v>
      </c>
      <c r="AA528" s="334">
        <v>11608.0</v>
      </c>
      <c r="AB528" s="341"/>
      <c r="AC528" s="341"/>
      <c r="AD528" s="343"/>
      <c r="AE528" s="331"/>
      <c r="AF528" s="348"/>
      <c r="AG528" s="337"/>
      <c r="AH528" s="341"/>
      <c r="AI528" s="341"/>
      <c r="AJ528" s="341"/>
      <c r="AK528" s="341"/>
      <c r="AL528" s="341"/>
      <c r="AM528" s="338"/>
      <c r="AN528" s="341"/>
      <c r="AO528" s="341"/>
      <c r="AP528" s="341"/>
      <c r="AQ528" s="341"/>
      <c r="AR528" s="341"/>
      <c r="AS528" s="341"/>
      <c r="AT528" s="341"/>
      <c r="AU528" s="343"/>
      <c r="AV528" s="341"/>
      <c r="AW528" s="269" t="s">
        <v>1972</v>
      </c>
      <c r="AX528" s="334" t="s">
        <v>2869</v>
      </c>
      <c r="AY528" s="270" t="s">
        <v>695</v>
      </c>
      <c r="AZ528" s="270" t="s">
        <v>2866</v>
      </c>
      <c r="BA528" s="265">
        <v>10.0</v>
      </c>
      <c r="BB528" s="174" t="s">
        <v>245</v>
      </c>
      <c r="BC528" s="341"/>
      <c r="BD528" s="308"/>
      <c r="BE528" s="347"/>
      <c r="BF528" s="274" t="str">
        <f>IFERROR(__xludf.DUMMYFUNCTION("LOWER(Regexreplace(to_text(E528),""[^A-Za-z0-9]"","""")&amp;""_""&amp;Regexreplace(to_text(F528),""[^A-Za-z0-9]"",""""))"),"neptronic_evcbseries")</f>
        <v>neptronic_evcbseries</v>
      </c>
      <c r="BG528" s="275" t="str">
        <f>IFERROR(__xludf.DUMMYFUNCTION("upper(Regexreplace(to_text(E528),""[^A-Za-z0-9]"","""")&amp;""-""&amp;Regexreplace(to_text(F528),""[^A-Za-z0-9]"",""""))"),"NEPTRONIC-EVCBSERIES")</f>
        <v>NEPTRONIC-EVCBSERIES</v>
      </c>
    </row>
    <row r="529" ht="30.0" customHeight="1">
      <c r="A529" s="173">
        <v>521.0</v>
      </c>
      <c r="B529" s="237" t="s">
        <v>670</v>
      </c>
      <c r="C529" s="257" t="s">
        <v>3161</v>
      </c>
      <c r="D529" s="173" t="s">
        <v>3161</v>
      </c>
      <c r="E529" s="174" t="s">
        <v>2861</v>
      </c>
      <c r="F529" s="173" t="s">
        <v>2862</v>
      </c>
      <c r="G529" s="328" t="s">
        <v>673</v>
      </c>
      <c r="H529" s="328" t="s">
        <v>2863</v>
      </c>
      <c r="I529" s="258" t="s">
        <v>2864</v>
      </c>
      <c r="J529" s="259" t="s">
        <v>846</v>
      </c>
      <c r="K529" s="260" t="s">
        <v>3162</v>
      </c>
      <c r="L529" s="328"/>
      <c r="M529" s="343"/>
      <c r="N529" s="173" t="s">
        <v>679</v>
      </c>
      <c r="O529" s="173" t="s">
        <v>225</v>
      </c>
      <c r="P529" s="262" t="str">
        <f t="shared" si="1"/>
        <v>IN-BLR-ANANTA-VAV-101_1</v>
      </c>
      <c r="Q529" s="173" t="s">
        <v>3163</v>
      </c>
      <c r="R529" s="328" t="str">
        <f>IFS(C529="","",C529="n/a","N/A",LEN(C529),Concatenate("{",char(34),"asset",char(34),":{",char(34),"guid",char(34),":",char(34),Q529,char(34),",",char(34),"site",char(34),":",char(34),LOWER('2-Building'!$B$4),char(34),",",char(34),"name",char(34),":",char(34),LOWER(C529),char(34),"}}"))</f>
        <v>{"asset":{"guid":"uuid://54a38aae-b51b-4153-9246-9c3598e3c8b4","site":"in-blr-ananta","name":"vav-101"}}</v>
      </c>
      <c r="S529" s="237" t="s">
        <v>2866</v>
      </c>
      <c r="T529" s="330"/>
      <c r="U529" s="330"/>
      <c r="V529" s="331"/>
      <c r="W529" s="344"/>
      <c r="X529" s="341"/>
      <c r="Y529" s="33" t="s">
        <v>2867</v>
      </c>
      <c r="Z529" s="258">
        <v>120101.0</v>
      </c>
      <c r="AA529" s="334">
        <v>11608.0</v>
      </c>
      <c r="AB529" s="341"/>
      <c r="AC529" s="341"/>
      <c r="AD529" s="343"/>
      <c r="AE529" s="331"/>
      <c r="AF529" s="348"/>
      <c r="AG529" s="337"/>
      <c r="AH529" s="341"/>
      <c r="AI529" s="341"/>
      <c r="AJ529" s="341"/>
      <c r="AK529" s="341"/>
      <c r="AL529" s="341"/>
      <c r="AM529" s="338"/>
      <c r="AN529" s="341"/>
      <c r="AO529" s="341"/>
      <c r="AP529" s="341"/>
      <c r="AQ529" s="341"/>
      <c r="AR529" s="341"/>
      <c r="AS529" s="341"/>
      <c r="AT529" s="341"/>
      <c r="AU529" s="343"/>
      <c r="AV529" s="341"/>
      <c r="AW529" s="269" t="s">
        <v>1972</v>
      </c>
      <c r="AX529" s="334" t="s">
        <v>2869</v>
      </c>
      <c r="AY529" s="270" t="s">
        <v>695</v>
      </c>
      <c r="AZ529" s="270" t="s">
        <v>2866</v>
      </c>
      <c r="BA529" s="265">
        <v>10.0</v>
      </c>
      <c r="BB529" s="174" t="s">
        <v>245</v>
      </c>
      <c r="BC529" s="341"/>
      <c r="BD529" s="308"/>
      <c r="BE529" s="347"/>
      <c r="BF529" s="274" t="str">
        <f>IFERROR(__xludf.DUMMYFUNCTION("LOWER(Regexreplace(to_text(E529),""[^A-Za-z0-9]"","""")&amp;""_""&amp;Regexreplace(to_text(F529),""[^A-Za-z0-9]"",""""))"),"neptronic_evcbseries")</f>
        <v>neptronic_evcbseries</v>
      </c>
      <c r="BG529" s="275" t="str">
        <f>IFERROR(__xludf.DUMMYFUNCTION("upper(Regexreplace(to_text(E529),""[^A-Za-z0-9]"","""")&amp;""-""&amp;Regexreplace(to_text(F529),""[^A-Za-z0-9]"",""""))"),"NEPTRONIC-EVCBSERIES")</f>
        <v>NEPTRONIC-EVCBSERIES</v>
      </c>
    </row>
    <row r="530" ht="30.0" customHeight="1">
      <c r="A530" s="258">
        <v>522.0</v>
      </c>
      <c r="B530" s="237" t="s">
        <v>670</v>
      </c>
      <c r="C530" s="257" t="s">
        <v>3164</v>
      </c>
      <c r="D530" s="173" t="s">
        <v>3164</v>
      </c>
      <c r="E530" s="174" t="s">
        <v>2861</v>
      </c>
      <c r="F530" s="173" t="s">
        <v>2862</v>
      </c>
      <c r="G530" s="328" t="s">
        <v>673</v>
      </c>
      <c r="H530" s="328" t="s">
        <v>2863</v>
      </c>
      <c r="I530" s="258" t="s">
        <v>2864</v>
      </c>
      <c r="J530" s="259" t="s">
        <v>846</v>
      </c>
      <c r="K530" s="260" t="s">
        <v>3165</v>
      </c>
      <c r="L530" s="328"/>
      <c r="M530" s="343"/>
      <c r="N530" s="173" t="s">
        <v>679</v>
      </c>
      <c r="O530" s="173" t="s">
        <v>225</v>
      </c>
      <c r="P530" s="262" t="str">
        <f t="shared" si="1"/>
        <v>IN-BLR-ANANTA-VAV-102_1</v>
      </c>
      <c r="Q530" s="173" t="s">
        <v>3166</v>
      </c>
      <c r="R530" s="328" t="str">
        <f>IFS(C530="","",C530="n/a","N/A",LEN(C530),Concatenate("{",char(34),"asset",char(34),":{",char(34),"guid",char(34),":",char(34),Q530,char(34),",",char(34),"site",char(34),":",char(34),LOWER('2-Building'!$B$4),char(34),",",char(34),"name",char(34),":",char(34),LOWER(C530),char(34),"}}"))</f>
        <v>{"asset":{"guid":"uuid://79a5e6f8-e65c-4ee9-aa10-af52ce3ca25b","site":"in-blr-ananta","name":"vav-102"}}</v>
      </c>
      <c r="S530" s="237" t="s">
        <v>2866</v>
      </c>
      <c r="T530" s="330"/>
      <c r="U530" s="330"/>
      <c r="V530" s="331"/>
      <c r="W530" s="344"/>
      <c r="X530" s="341"/>
      <c r="Y530" s="33" t="s">
        <v>2867</v>
      </c>
      <c r="Z530" s="258">
        <v>120102.0</v>
      </c>
      <c r="AA530" s="334">
        <v>11608.0</v>
      </c>
      <c r="AB530" s="341"/>
      <c r="AC530" s="341"/>
      <c r="AD530" s="343"/>
      <c r="AE530" s="331"/>
      <c r="AF530" s="348"/>
      <c r="AG530" s="337"/>
      <c r="AH530" s="341"/>
      <c r="AI530" s="341"/>
      <c r="AJ530" s="341"/>
      <c r="AK530" s="341"/>
      <c r="AL530" s="341"/>
      <c r="AM530" s="338"/>
      <c r="AN530" s="341"/>
      <c r="AO530" s="341"/>
      <c r="AP530" s="341"/>
      <c r="AQ530" s="341"/>
      <c r="AR530" s="341"/>
      <c r="AS530" s="341"/>
      <c r="AT530" s="341"/>
      <c r="AU530" s="343"/>
      <c r="AV530" s="341"/>
      <c r="AW530" s="269" t="s">
        <v>1972</v>
      </c>
      <c r="AX530" s="334" t="s">
        <v>2869</v>
      </c>
      <c r="AY530" s="270" t="s">
        <v>695</v>
      </c>
      <c r="AZ530" s="270" t="s">
        <v>2866</v>
      </c>
      <c r="BA530" s="265">
        <v>10.0</v>
      </c>
      <c r="BB530" s="174" t="s">
        <v>245</v>
      </c>
      <c r="BC530" s="341"/>
      <c r="BD530" s="308"/>
      <c r="BE530" s="347"/>
      <c r="BF530" s="274" t="str">
        <f>IFERROR(__xludf.DUMMYFUNCTION("LOWER(Regexreplace(to_text(E530),""[^A-Za-z0-9]"","""")&amp;""_""&amp;Regexreplace(to_text(F530),""[^A-Za-z0-9]"",""""))"),"neptronic_evcbseries")</f>
        <v>neptronic_evcbseries</v>
      </c>
      <c r="BG530" s="275" t="str">
        <f>IFERROR(__xludf.DUMMYFUNCTION("upper(Regexreplace(to_text(E530),""[^A-Za-z0-9]"","""")&amp;""-""&amp;Regexreplace(to_text(F530),""[^A-Za-z0-9]"",""""))"),"NEPTRONIC-EVCBSERIES")</f>
        <v>NEPTRONIC-EVCBSERIES</v>
      </c>
    </row>
    <row r="531" ht="30.0" customHeight="1">
      <c r="A531" s="173">
        <v>523.0</v>
      </c>
      <c r="B531" s="237" t="s">
        <v>670</v>
      </c>
      <c r="C531" s="257" t="s">
        <v>3167</v>
      </c>
      <c r="D531" s="173" t="s">
        <v>3167</v>
      </c>
      <c r="E531" s="174" t="s">
        <v>2861</v>
      </c>
      <c r="F531" s="173" t="s">
        <v>2862</v>
      </c>
      <c r="G531" s="328" t="s">
        <v>673</v>
      </c>
      <c r="H531" s="328" t="s">
        <v>2863</v>
      </c>
      <c r="I531" s="258" t="s">
        <v>2864</v>
      </c>
      <c r="J531" s="259" t="s">
        <v>846</v>
      </c>
      <c r="K531" s="260" t="s">
        <v>3168</v>
      </c>
      <c r="L531" s="328"/>
      <c r="M531" s="343"/>
      <c r="N531" s="173" t="s">
        <v>679</v>
      </c>
      <c r="O531" s="173" t="s">
        <v>225</v>
      </c>
      <c r="P531" s="262" t="str">
        <f t="shared" si="1"/>
        <v>IN-BLR-ANANTA-VAV-103_1</v>
      </c>
      <c r="Q531" s="173" t="s">
        <v>3169</v>
      </c>
      <c r="R531" s="328" t="str">
        <f>IFS(C531="","",C531="n/a","N/A",LEN(C531),Concatenate("{",char(34),"asset",char(34),":{",char(34),"guid",char(34),":",char(34),Q531,char(34),",",char(34),"site",char(34),":",char(34),LOWER('2-Building'!$B$4),char(34),",",char(34),"name",char(34),":",char(34),LOWER(C531),char(34),"}}"))</f>
        <v>{"asset":{"guid":"uuid://c7c93dd6-31cb-45d2-9a6e-6a6dc21714fb","site":"in-blr-ananta","name":"vav-103"}}</v>
      </c>
      <c r="S531" s="237" t="s">
        <v>2866</v>
      </c>
      <c r="T531" s="330"/>
      <c r="U531" s="330"/>
      <c r="V531" s="331"/>
      <c r="W531" s="344"/>
      <c r="X531" s="341"/>
      <c r="Y531" s="33" t="s">
        <v>2867</v>
      </c>
      <c r="Z531" s="258">
        <v>120103.0</v>
      </c>
      <c r="AA531" s="334">
        <v>11608.0</v>
      </c>
      <c r="AB531" s="341"/>
      <c r="AC531" s="341"/>
      <c r="AD531" s="343"/>
      <c r="AE531" s="331"/>
      <c r="AF531" s="348"/>
      <c r="AG531" s="337"/>
      <c r="AH531" s="341"/>
      <c r="AI531" s="341"/>
      <c r="AJ531" s="341"/>
      <c r="AK531" s="341"/>
      <c r="AL531" s="341"/>
      <c r="AM531" s="338"/>
      <c r="AN531" s="341"/>
      <c r="AO531" s="341"/>
      <c r="AP531" s="341"/>
      <c r="AQ531" s="341"/>
      <c r="AR531" s="341"/>
      <c r="AS531" s="341"/>
      <c r="AT531" s="341"/>
      <c r="AU531" s="343"/>
      <c r="AV531" s="341"/>
      <c r="AW531" s="269" t="s">
        <v>1972</v>
      </c>
      <c r="AX531" s="334" t="s">
        <v>2869</v>
      </c>
      <c r="AY531" s="270" t="s">
        <v>695</v>
      </c>
      <c r="AZ531" s="270" t="s">
        <v>2866</v>
      </c>
      <c r="BA531" s="265">
        <v>10.0</v>
      </c>
      <c r="BB531" s="174" t="s">
        <v>245</v>
      </c>
      <c r="BC531" s="341"/>
      <c r="BD531" s="308"/>
      <c r="BE531" s="347"/>
      <c r="BF531" s="274" t="str">
        <f>IFERROR(__xludf.DUMMYFUNCTION("LOWER(Regexreplace(to_text(E531),""[^A-Za-z0-9]"","""")&amp;""_""&amp;Regexreplace(to_text(F531),""[^A-Za-z0-9]"",""""))"),"neptronic_evcbseries")</f>
        <v>neptronic_evcbseries</v>
      </c>
      <c r="BG531" s="275" t="str">
        <f>IFERROR(__xludf.DUMMYFUNCTION("upper(Regexreplace(to_text(E531),""[^A-Za-z0-9]"","""")&amp;""-""&amp;Regexreplace(to_text(F531),""[^A-Za-z0-9]"",""""))"),"NEPTRONIC-EVCBSERIES")</f>
        <v>NEPTRONIC-EVCBSERIES</v>
      </c>
    </row>
    <row r="532" ht="30.0" customHeight="1">
      <c r="A532" s="258">
        <v>524.0</v>
      </c>
      <c r="B532" s="237" t="s">
        <v>670</v>
      </c>
      <c r="C532" s="257" t="s">
        <v>3170</v>
      </c>
      <c r="D532" s="173" t="s">
        <v>3170</v>
      </c>
      <c r="E532" s="174" t="s">
        <v>2861</v>
      </c>
      <c r="F532" s="173" t="s">
        <v>2862</v>
      </c>
      <c r="G532" s="328" t="s">
        <v>673</v>
      </c>
      <c r="H532" s="328" t="s">
        <v>2863</v>
      </c>
      <c r="I532" s="258" t="s">
        <v>2864</v>
      </c>
      <c r="J532" s="259" t="s">
        <v>846</v>
      </c>
      <c r="K532" s="260" t="s">
        <v>3171</v>
      </c>
      <c r="L532" s="328"/>
      <c r="M532" s="343"/>
      <c r="N532" s="173" t="s">
        <v>679</v>
      </c>
      <c r="O532" s="173" t="s">
        <v>225</v>
      </c>
      <c r="P532" s="262" t="str">
        <f t="shared" si="1"/>
        <v>IN-BLR-ANANTA-VAV-104_1</v>
      </c>
      <c r="Q532" s="173" t="s">
        <v>3172</v>
      </c>
      <c r="R532" s="328" t="str">
        <f>IFS(C532="","",C532="n/a","N/A",LEN(C532),Concatenate("{",char(34),"asset",char(34),":{",char(34),"guid",char(34),":",char(34),Q532,char(34),",",char(34),"site",char(34),":",char(34),LOWER('2-Building'!$B$4),char(34),",",char(34),"name",char(34),":",char(34),LOWER(C532),char(34),"}}"))</f>
        <v>{"asset":{"guid":"uuid://a3f8a2e0-4ed5-4f1e-99cf-42ecbca47688","site":"in-blr-ananta","name":"vav-104"}}</v>
      </c>
      <c r="S532" s="237" t="s">
        <v>2866</v>
      </c>
      <c r="T532" s="330"/>
      <c r="U532" s="330"/>
      <c r="V532" s="331"/>
      <c r="W532" s="344"/>
      <c r="X532" s="341"/>
      <c r="Y532" s="33" t="s">
        <v>2867</v>
      </c>
      <c r="Z532" s="258">
        <v>120104.0</v>
      </c>
      <c r="AA532" s="334">
        <v>11608.0</v>
      </c>
      <c r="AB532" s="341"/>
      <c r="AC532" s="341"/>
      <c r="AD532" s="343"/>
      <c r="AE532" s="331"/>
      <c r="AF532" s="348"/>
      <c r="AG532" s="337"/>
      <c r="AH532" s="341"/>
      <c r="AI532" s="341"/>
      <c r="AJ532" s="341"/>
      <c r="AK532" s="341"/>
      <c r="AL532" s="341"/>
      <c r="AM532" s="338"/>
      <c r="AN532" s="341"/>
      <c r="AO532" s="341"/>
      <c r="AP532" s="341"/>
      <c r="AQ532" s="341"/>
      <c r="AR532" s="341"/>
      <c r="AS532" s="341"/>
      <c r="AT532" s="341"/>
      <c r="AU532" s="343"/>
      <c r="AV532" s="341"/>
      <c r="AW532" s="269" t="s">
        <v>1972</v>
      </c>
      <c r="AX532" s="334" t="s">
        <v>2869</v>
      </c>
      <c r="AY532" s="270" t="s">
        <v>695</v>
      </c>
      <c r="AZ532" s="270" t="s">
        <v>2866</v>
      </c>
      <c r="BA532" s="265">
        <v>10.0</v>
      </c>
      <c r="BB532" s="174" t="s">
        <v>245</v>
      </c>
      <c r="BC532" s="341"/>
      <c r="BD532" s="308"/>
      <c r="BE532" s="347"/>
      <c r="BF532" s="274" t="str">
        <f>IFERROR(__xludf.DUMMYFUNCTION("LOWER(Regexreplace(to_text(E532),""[^A-Za-z0-9]"","""")&amp;""_""&amp;Regexreplace(to_text(F532),""[^A-Za-z0-9]"",""""))"),"neptronic_evcbseries")</f>
        <v>neptronic_evcbseries</v>
      </c>
      <c r="BG532" s="275" t="str">
        <f>IFERROR(__xludf.DUMMYFUNCTION("upper(Regexreplace(to_text(E532),""[^A-Za-z0-9]"","""")&amp;""-""&amp;Regexreplace(to_text(F532),""[^A-Za-z0-9]"",""""))"),"NEPTRONIC-EVCBSERIES")</f>
        <v>NEPTRONIC-EVCBSERIES</v>
      </c>
    </row>
    <row r="533" ht="30.0" customHeight="1">
      <c r="A533" s="173">
        <v>525.0</v>
      </c>
      <c r="B533" s="237" t="s">
        <v>670</v>
      </c>
      <c r="C533" s="257" t="s">
        <v>3173</v>
      </c>
      <c r="D533" s="173" t="s">
        <v>3173</v>
      </c>
      <c r="E533" s="174" t="s">
        <v>2861</v>
      </c>
      <c r="F533" s="173" t="s">
        <v>2862</v>
      </c>
      <c r="G533" s="328" t="s">
        <v>673</v>
      </c>
      <c r="H533" s="328" t="s">
        <v>2863</v>
      </c>
      <c r="I533" s="258" t="s">
        <v>2864</v>
      </c>
      <c r="J533" s="259" t="s">
        <v>846</v>
      </c>
      <c r="K533" s="260" t="s">
        <v>3174</v>
      </c>
      <c r="L533" s="328"/>
      <c r="M533" s="343"/>
      <c r="N533" s="173" t="s">
        <v>679</v>
      </c>
      <c r="O533" s="173" t="s">
        <v>225</v>
      </c>
      <c r="P533" s="262" t="str">
        <f t="shared" si="1"/>
        <v>IN-BLR-ANANTA-VAV-105_1</v>
      </c>
      <c r="Q533" s="173" t="s">
        <v>3175</v>
      </c>
      <c r="R533" s="328" t="str">
        <f>IFS(C533="","",C533="n/a","N/A",LEN(C533),Concatenate("{",char(34),"asset",char(34),":{",char(34),"guid",char(34),":",char(34),Q533,char(34),",",char(34),"site",char(34),":",char(34),LOWER('2-Building'!$B$4),char(34),",",char(34),"name",char(34),":",char(34),LOWER(C533),char(34),"}}"))</f>
        <v>{"asset":{"guid":"uuid://554de1d1-7af7-4490-9268-c8e8d385123f","site":"in-blr-ananta","name":"vav-105"}}</v>
      </c>
      <c r="S533" s="237" t="s">
        <v>2866</v>
      </c>
      <c r="T533" s="330"/>
      <c r="U533" s="330"/>
      <c r="V533" s="331"/>
      <c r="W533" s="344"/>
      <c r="X533" s="341"/>
      <c r="Y533" s="33" t="s">
        <v>2867</v>
      </c>
      <c r="Z533" s="258">
        <v>120105.0</v>
      </c>
      <c r="AA533" s="334">
        <v>11608.0</v>
      </c>
      <c r="AB533" s="341"/>
      <c r="AC533" s="341"/>
      <c r="AD533" s="343"/>
      <c r="AE533" s="331"/>
      <c r="AF533" s="348"/>
      <c r="AG533" s="337"/>
      <c r="AH533" s="341"/>
      <c r="AI533" s="341"/>
      <c r="AJ533" s="341"/>
      <c r="AK533" s="341"/>
      <c r="AL533" s="341"/>
      <c r="AM533" s="338"/>
      <c r="AN533" s="341"/>
      <c r="AO533" s="341"/>
      <c r="AP533" s="341"/>
      <c r="AQ533" s="341"/>
      <c r="AR533" s="341"/>
      <c r="AS533" s="341"/>
      <c r="AT533" s="341"/>
      <c r="AU533" s="343"/>
      <c r="AV533" s="341"/>
      <c r="AW533" s="269" t="s">
        <v>1972</v>
      </c>
      <c r="AX533" s="334" t="s">
        <v>2869</v>
      </c>
      <c r="AY533" s="270" t="s">
        <v>695</v>
      </c>
      <c r="AZ533" s="270" t="s">
        <v>2866</v>
      </c>
      <c r="BA533" s="265">
        <v>10.0</v>
      </c>
      <c r="BB533" s="174" t="s">
        <v>245</v>
      </c>
      <c r="BC533" s="341"/>
      <c r="BD533" s="308"/>
      <c r="BE533" s="347"/>
      <c r="BF533" s="274" t="str">
        <f>IFERROR(__xludf.DUMMYFUNCTION("LOWER(Regexreplace(to_text(E533),""[^A-Za-z0-9]"","""")&amp;""_""&amp;Regexreplace(to_text(F533),""[^A-Za-z0-9]"",""""))"),"neptronic_evcbseries")</f>
        <v>neptronic_evcbseries</v>
      </c>
      <c r="BG533" s="275" t="str">
        <f>IFERROR(__xludf.DUMMYFUNCTION("upper(Regexreplace(to_text(E533),""[^A-Za-z0-9]"","""")&amp;""-""&amp;Regexreplace(to_text(F533),""[^A-Za-z0-9]"",""""))"),"NEPTRONIC-EVCBSERIES")</f>
        <v>NEPTRONIC-EVCBSERIES</v>
      </c>
    </row>
    <row r="534" ht="30.0" customHeight="1">
      <c r="A534" s="258">
        <v>526.0</v>
      </c>
      <c r="B534" s="237" t="s">
        <v>670</v>
      </c>
      <c r="C534" s="257" t="s">
        <v>3176</v>
      </c>
      <c r="D534" s="173" t="s">
        <v>3176</v>
      </c>
      <c r="E534" s="174" t="s">
        <v>2861</v>
      </c>
      <c r="F534" s="173" t="s">
        <v>2862</v>
      </c>
      <c r="G534" s="328" t="s">
        <v>673</v>
      </c>
      <c r="H534" s="328" t="s">
        <v>2863</v>
      </c>
      <c r="I534" s="258" t="s">
        <v>2864</v>
      </c>
      <c r="J534" s="259" t="s">
        <v>846</v>
      </c>
      <c r="K534" s="260" t="s">
        <v>3177</v>
      </c>
      <c r="L534" s="328"/>
      <c r="M534" s="343"/>
      <c r="N534" s="173" t="s">
        <v>679</v>
      </c>
      <c r="O534" s="173" t="s">
        <v>225</v>
      </c>
      <c r="P534" s="262" t="str">
        <f t="shared" si="1"/>
        <v>IN-BLR-ANANTA-VAV-106_1</v>
      </c>
      <c r="Q534" s="173" t="s">
        <v>3178</v>
      </c>
      <c r="R534" s="328" t="str">
        <f>IFS(C534="","",C534="n/a","N/A",LEN(C534),Concatenate("{",char(34),"asset",char(34),":{",char(34),"guid",char(34),":",char(34),Q534,char(34),",",char(34),"site",char(34),":",char(34),LOWER('2-Building'!$B$4),char(34),",",char(34),"name",char(34),":",char(34),LOWER(C534),char(34),"}}"))</f>
        <v>{"asset":{"guid":"uuid://fca4988e-769c-4d9e-8b3f-51fdd6a55215","site":"in-blr-ananta","name":"vav-106"}}</v>
      </c>
      <c r="S534" s="237" t="s">
        <v>2866</v>
      </c>
      <c r="T534" s="330"/>
      <c r="U534" s="330"/>
      <c r="V534" s="331"/>
      <c r="W534" s="344"/>
      <c r="X534" s="341"/>
      <c r="Y534" s="33" t="s">
        <v>2867</v>
      </c>
      <c r="Z534" s="258">
        <v>120106.0</v>
      </c>
      <c r="AA534" s="334">
        <v>11608.0</v>
      </c>
      <c r="AB534" s="341"/>
      <c r="AC534" s="341"/>
      <c r="AD534" s="343"/>
      <c r="AE534" s="331"/>
      <c r="AF534" s="348"/>
      <c r="AG534" s="337"/>
      <c r="AH534" s="341"/>
      <c r="AI534" s="341"/>
      <c r="AJ534" s="341"/>
      <c r="AK534" s="341"/>
      <c r="AL534" s="341"/>
      <c r="AM534" s="338"/>
      <c r="AN534" s="341"/>
      <c r="AO534" s="341"/>
      <c r="AP534" s="341"/>
      <c r="AQ534" s="341"/>
      <c r="AR534" s="341"/>
      <c r="AS534" s="341"/>
      <c r="AT534" s="341"/>
      <c r="AU534" s="343"/>
      <c r="AV534" s="341"/>
      <c r="AW534" s="269" t="s">
        <v>1972</v>
      </c>
      <c r="AX534" s="334" t="s">
        <v>2869</v>
      </c>
      <c r="AY534" s="270" t="s">
        <v>695</v>
      </c>
      <c r="AZ534" s="270" t="s">
        <v>2866</v>
      </c>
      <c r="BA534" s="265">
        <v>10.0</v>
      </c>
      <c r="BB534" s="174" t="s">
        <v>245</v>
      </c>
      <c r="BC534" s="341"/>
      <c r="BD534" s="308"/>
      <c r="BE534" s="347"/>
      <c r="BF534" s="274" t="str">
        <f>IFERROR(__xludf.DUMMYFUNCTION("LOWER(Regexreplace(to_text(E534),""[^A-Za-z0-9]"","""")&amp;""_""&amp;Regexreplace(to_text(F534),""[^A-Za-z0-9]"",""""))"),"neptronic_evcbseries")</f>
        <v>neptronic_evcbseries</v>
      </c>
      <c r="BG534" s="275" t="str">
        <f>IFERROR(__xludf.DUMMYFUNCTION("upper(Regexreplace(to_text(E534),""[^A-Za-z0-9]"","""")&amp;""-""&amp;Regexreplace(to_text(F534),""[^A-Za-z0-9]"",""""))"),"NEPTRONIC-EVCBSERIES")</f>
        <v>NEPTRONIC-EVCBSERIES</v>
      </c>
    </row>
    <row r="535" ht="30.0" customHeight="1">
      <c r="A535" s="173">
        <v>527.0</v>
      </c>
      <c r="B535" s="237" t="s">
        <v>670</v>
      </c>
      <c r="C535" s="257" t="s">
        <v>3179</v>
      </c>
      <c r="D535" s="173" t="s">
        <v>3179</v>
      </c>
      <c r="E535" s="174" t="s">
        <v>2861</v>
      </c>
      <c r="F535" s="173" t="s">
        <v>2862</v>
      </c>
      <c r="G535" s="328" t="s">
        <v>673</v>
      </c>
      <c r="H535" s="328" t="s">
        <v>2863</v>
      </c>
      <c r="I535" s="258" t="s">
        <v>2864</v>
      </c>
      <c r="J535" s="259" t="s">
        <v>846</v>
      </c>
      <c r="K535" s="260" t="s">
        <v>3180</v>
      </c>
      <c r="L535" s="328"/>
      <c r="M535" s="343"/>
      <c r="N535" s="173" t="s">
        <v>679</v>
      </c>
      <c r="O535" s="173" t="s">
        <v>225</v>
      </c>
      <c r="P535" s="262" t="str">
        <f t="shared" si="1"/>
        <v>IN-BLR-ANANTA-VAV-107_1</v>
      </c>
      <c r="Q535" s="173" t="s">
        <v>3181</v>
      </c>
      <c r="R535" s="328" t="str">
        <f>IFS(C535="","",C535="n/a","N/A",LEN(C535),Concatenate("{",char(34),"asset",char(34),":{",char(34),"guid",char(34),":",char(34),Q535,char(34),",",char(34),"site",char(34),":",char(34),LOWER('2-Building'!$B$4),char(34),",",char(34),"name",char(34),":",char(34),LOWER(C535),char(34),"}}"))</f>
        <v>{"asset":{"guid":"uuid://5e8ddf5d-75fd-4ae7-9535-3975e5144104","site":"in-blr-ananta","name":"vav-107"}}</v>
      </c>
      <c r="S535" s="237" t="s">
        <v>2866</v>
      </c>
      <c r="T535" s="330"/>
      <c r="U535" s="330"/>
      <c r="V535" s="331"/>
      <c r="W535" s="344"/>
      <c r="X535" s="341"/>
      <c r="Y535" s="33" t="s">
        <v>2867</v>
      </c>
      <c r="Z535" s="258">
        <v>120107.0</v>
      </c>
      <c r="AA535" s="334">
        <v>11609.0</v>
      </c>
      <c r="AB535" s="341"/>
      <c r="AC535" s="341"/>
      <c r="AD535" s="343"/>
      <c r="AE535" s="331"/>
      <c r="AF535" s="348"/>
      <c r="AG535" s="337"/>
      <c r="AH535" s="341"/>
      <c r="AI535" s="341"/>
      <c r="AJ535" s="341"/>
      <c r="AK535" s="341"/>
      <c r="AL535" s="341"/>
      <c r="AM535" s="338"/>
      <c r="AN535" s="341"/>
      <c r="AO535" s="341"/>
      <c r="AP535" s="341"/>
      <c r="AQ535" s="341"/>
      <c r="AR535" s="341"/>
      <c r="AS535" s="341"/>
      <c r="AT535" s="341"/>
      <c r="AU535" s="343"/>
      <c r="AV535" s="341"/>
      <c r="AW535" s="269" t="s">
        <v>872</v>
      </c>
      <c r="AX535" s="334" t="s">
        <v>2869</v>
      </c>
      <c r="AY535" s="270" t="s">
        <v>695</v>
      </c>
      <c r="AZ535" s="270" t="s">
        <v>2866</v>
      </c>
      <c r="BA535" s="265">
        <v>10.0</v>
      </c>
      <c r="BB535" s="174" t="s">
        <v>245</v>
      </c>
      <c r="BC535" s="341"/>
      <c r="BD535" s="308"/>
      <c r="BE535" s="347"/>
      <c r="BF535" s="274" t="str">
        <f>IFERROR(__xludf.DUMMYFUNCTION("LOWER(Regexreplace(to_text(E535),""[^A-Za-z0-9]"","""")&amp;""_""&amp;Regexreplace(to_text(F535),""[^A-Za-z0-9]"",""""))"),"neptronic_evcbseries")</f>
        <v>neptronic_evcbseries</v>
      </c>
      <c r="BG535" s="275" t="str">
        <f>IFERROR(__xludf.DUMMYFUNCTION("upper(Regexreplace(to_text(E535),""[^A-Za-z0-9]"","""")&amp;""-""&amp;Regexreplace(to_text(F535),""[^A-Za-z0-9]"",""""))"),"NEPTRONIC-EVCBSERIES")</f>
        <v>NEPTRONIC-EVCBSERIES</v>
      </c>
    </row>
    <row r="536" ht="30.0" customHeight="1">
      <c r="A536" s="258">
        <v>528.0</v>
      </c>
      <c r="B536" s="237" t="s">
        <v>670</v>
      </c>
      <c r="C536" s="257" t="s">
        <v>3182</v>
      </c>
      <c r="D536" s="173" t="s">
        <v>3182</v>
      </c>
      <c r="E536" s="174" t="s">
        <v>2861</v>
      </c>
      <c r="F536" s="173" t="s">
        <v>2862</v>
      </c>
      <c r="G536" s="328" t="s">
        <v>673</v>
      </c>
      <c r="H536" s="328" t="s">
        <v>2863</v>
      </c>
      <c r="I536" s="258" t="s">
        <v>2864</v>
      </c>
      <c r="J536" s="259" t="s">
        <v>846</v>
      </c>
      <c r="K536" s="260" t="s">
        <v>3183</v>
      </c>
      <c r="L536" s="328"/>
      <c r="M536" s="343"/>
      <c r="N536" s="173" t="s">
        <v>679</v>
      </c>
      <c r="O536" s="173" t="s">
        <v>225</v>
      </c>
      <c r="P536" s="262" t="str">
        <f t="shared" si="1"/>
        <v>IN-BLR-ANANTA-VAV-108_1</v>
      </c>
      <c r="Q536" s="173" t="s">
        <v>3184</v>
      </c>
      <c r="R536" s="328" t="str">
        <f>IFS(C536="","",C536="n/a","N/A",LEN(C536),Concatenate("{",char(34),"asset",char(34),":{",char(34),"guid",char(34),":",char(34),Q536,char(34),",",char(34),"site",char(34),":",char(34),LOWER('2-Building'!$B$4),char(34),",",char(34),"name",char(34),":",char(34),LOWER(C536),char(34),"}}"))</f>
        <v>{"asset":{"guid":"uuid://d8d4fb31-51b4-41d1-b446-e21e4d5373ce","site":"in-blr-ananta","name":"vav-108"}}</v>
      </c>
      <c r="S536" s="237" t="s">
        <v>2866</v>
      </c>
      <c r="T536" s="330"/>
      <c r="U536" s="330"/>
      <c r="V536" s="331"/>
      <c r="W536" s="344"/>
      <c r="X536" s="341"/>
      <c r="Y536" s="33" t="s">
        <v>2867</v>
      </c>
      <c r="Z536" s="258">
        <v>120108.0</v>
      </c>
      <c r="AA536" s="334">
        <v>11609.0</v>
      </c>
      <c r="AB536" s="341"/>
      <c r="AC536" s="341"/>
      <c r="AD536" s="343"/>
      <c r="AE536" s="331"/>
      <c r="AF536" s="348"/>
      <c r="AG536" s="337"/>
      <c r="AH536" s="341"/>
      <c r="AI536" s="341"/>
      <c r="AJ536" s="341"/>
      <c r="AK536" s="341"/>
      <c r="AL536" s="341"/>
      <c r="AM536" s="338"/>
      <c r="AN536" s="341"/>
      <c r="AO536" s="341"/>
      <c r="AP536" s="341"/>
      <c r="AQ536" s="341"/>
      <c r="AR536" s="341"/>
      <c r="AS536" s="341"/>
      <c r="AT536" s="341"/>
      <c r="AU536" s="343"/>
      <c r="AV536" s="341"/>
      <c r="AW536" s="269" t="s">
        <v>872</v>
      </c>
      <c r="AX536" s="334" t="s">
        <v>2869</v>
      </c>
      <c r="AY536" s="270" t="s">
        <v>695</v>
      </c>
      <c r="AZ536" s="270" t="s">
        <v>2866</v>
      </c>
      <c r="BA536" s="265">
        <v>10.0</v>
      </c>
      <c r="BB536" s="174" t="s">
        <v>245</v>
      </c>
      <c r="BC536" s="341"/>
      <c r="BD536" s="308"/>
      <c r="BE536" s="347"/>
      <c r="BF536" s="274" t="str">
        <f>IFERROR(__xludf.DUMMYFUNCTION("LOWER(Regexreplace(to_text(E536),""[^A-Za-z0-9]"","""")&amp;""_""&amp;Regexreplace(to_text(F536),""[^A-Za-z0-9]"",""""))"),"neptronic_evcbseries")</f>
        <v>neptronic_evcbseries</v>
      </c>
      <c r="BG536" s="275" t="str">
        <f>IFERROR(__xludf.DUMMYFUNCTION("upper(Regexreplace(to_text(E536),""[^A-Za-z0-9]"","""")&amp;""-""&amp;Regexreplace(to_text(F536),""[^A-Za-z0-9]"",""""))"),"NEPTRONIC-EVCBSERIES")</f>
        <v>NEPTRONIC-EVCBSERIES</v>
      </c>
    </row>
    <row r="537" ht="30.0" customHeight="1">
      <c r="A537" s="173">
        <v>529.0</v>
      </c>
      <c r="B537" s="237" t="s">
        <v>670</v>
      </c>
      <c r="C537" s="257" t="s">
        <v>3185</v>
      </c>
      <c r="D537" s="173" t="s">
        <v>3185</v>
      </c>
      <c r="E537" s="174" t="s">
        <v>2861</v>
      </c>
      <c r="F537" s="173" t="s">
        <v>2862</v>
      </c>
      <c r="G537" s="328" t="s">
        <v>673</v>
      </c>
      <c r="H537" s="328" t="s">
        <v>2863</v>
      </c>
      <c r="I537" s="258" t="s">
        <v>2864</v>
      </c>
      <c r="J537" s="259" t="s">
        <v>846</v>
      </c>
      <c r="K537" s="260" t="s">
        <v>3186</v>
      </c>
      <c r="L537" s="328"/>
      <c r="M537" s="343"/>
      <c r="N537" s="173" t="s">
        <v>679</v>
      </c>
      <c r="O537" s="173" t="s">
        <v>225</v>
      </c>
      <c r="P537" s="262" t="str">
        <f t="shared" si="1"/>
        <v>IN-BLR-ANANTA-VAV-109_1</v>
      </c>
      <c r="Q537" s="173" t="s">
        <v>3187</v>
      </c>
      <c r="R537" s="328" t="str">
        <f>IFS(C537="","",C537="n/a","N/A",LEN(C537),Concatenate("{",char(34),"asset",char(34),":{",char(34),"guid",char(34),":",char(34),Q537,char(34),",",char(34),"site",char(34),":",char(34),LOWER('2-Building'!$B$4),char(34),",",char(34),"name",char(34),":",char(34),LOWER(C537),char(34),"}}"))</f>
        <v>{"asset":{"guid":"uuid://b879f911-e60c-4a5b-b7a6-05a7273c9c04","site":"in-blr-ananta","name":"vav-109"}}</v>
      </c>
      <c r="S537" s="237" t="s">
        <v>2866</v>
      </c>
      <c r="T537" s="330"/>
      <c r="U537" s="330"/>
      <c r="V537" s="331"/>
      <c r="W537" s="344"/>
      <c r="X537" s="341"/>
      <c r="Y537" s="33" t="s">
        <v>2867</v>
      </c>
      <c r="Z537" s="258">
        <v>120109.0</v>
      </c>
      <c r="AA537" s="334">
        <v>11609.0</v>
      </c>
      <c r="AB537" s="341"/>
      <c r="AC537" s="341"/>
      <c r="AD537" s="343"/>
      <c r="AE537" s="331"/>
      <c r="AF537" s="348"/>
      <c r="AG537" s="337"/>
      <c r="AH537" s="341"/>
      <c r="AI537" s="341"/>
      <c r="AJ537" s="341"/>
      <c r="AK537" s="341"/>
      <c r="AL537" s="341"/>
      <c r="AM537" s="338"/>
      <c r="AN537" s="341"/>
      <c r="AO537" s="341"/>
      <c r="AP537" s="341"/>
      <c r="AQ537" s="341"/>
      <c r="AR537" s="341"/>
      <c r="AS537" s="341"/>
      <c r="AT537" s="341"/>
      <c r="AU537" s="343"/>
      <c r="AV537" s="341"/>
      <c r="AW537" s="269" t="s">
        <v>872</v>
      </c>
      <c r="AX537" s="334" t="s">
        <v>2869</v>
      </c>
      <c r="AY537" s="270" t="s">
        <v>695</v>
      </c>
      <c r="AZ537" s="270" t="s">
        <v>2866</v>
      </c>
      <c r="BA537" s="265">
        <v>10.0</v>
      </c>
      <c r="BB537" s="174" t="s">
        <v>245</v>
      </c>
      <c r="BC537" s="341"/>
      <c r="BD537" s="308"/>
      <c r="BE537" s="347"/>
      <c r="BF537" s="274" t="str">
        <f>IFERROR(__xludf.DUMMYFUNCTION("LOWER(Regexreplace(to_text(E537),""[^A-Za-z0-9]"","""")&amp;""_""&amp;Regexreplace(to_text(F537),""[^A-Za-z0-9]"",""""))"),"neptronic_evcbseries")</f>
        <v>neptronic_evcbseries</v>
      </c>
      <c r="BG537" s="275" t="str">
        <f>IFERROR(__xludf.DUMMYFUNCTION("upper(Regexreplace(to_text(E537),""[^A-Za-z0-9]"","""")&amp;""-""&amp;Regexreplace(to_text(F537),""[^A-Za-z0-9]"",""""))"),"NEPTRONIC-EVCBSERIES")</f>
        <v>NEPTRONIC-EVCBSERIES</v>
      </c>
    </row>
    <row r="538" ht="30.0" customHeight="1">
      <c r="A538" s="258">
        <v>530.0</v>
      </c>
      <c r="B538" s="237" t="s">
        <v>670</v>
      </c>
      <c r="C538" s="257" t="s">
        <v>3188</v>
      </c>
      <c r="D538" s="173" t="s">
        <v>3188</v>
      </c>
      <c r="E538" s="174" t="s">
        <v>2861</v>
      </c>
      <c r="F538" s="173" t="s">
        <v>2862</v>
      </c>
      <c r="G538" s="328" t="s">
        <v>673</v>
      </c>
      <c r="H538" s="328" t="s">
        <v>2863</v>
      </c>
      <c r="I538" s="258" t="s">
        <v>2864</v>
      </c>
      <c r="J538" s="259" t="s">
        <v>846</v>
      </c>
      <c r="K538" s="260" t="s">
        <v>3189</v>
      </c>
      <c r="L538" s="328"/>
      <c r="M538" s="343"/>
      <c r="N538" s="173" t="s">
        <v>679</v>
      </c>
      <c r="O538" s="173" t="s">
        <v>225</v>
      </c>
      <c r="P538" s="262" t="str">
        <f t="shared" si="1"/>
        <v>IN-BLR-ANANTA-VAV-110_1</v>
      </c>
      <c r="Q538" s="173" t="s">
        <v>3190</v>
      </c>
      <c r="R538" s="328" t="str">
        <f>IFS(C538="","",C538="n/a","N/A",LEN(C538),Concatenate("{",char(34),"asset",char(34),":{",char(34),"guid",char(34),":",char(34),Q538,char(34),",",char(34),"site",char(34),":",char(34),LOWER('2-Building'!$B$4),char(34),",",char(34),"name",char(34),":",char(34),LOWER(C538),char(34),"}}"))</f>
        <v>{"asset":{"guid":"uuid://54550d70-0172-4bb7-ac1b-d7ad94e184ed","site":"in-blr-ananta","name":"vav-110"}}</v>
      </c>
      <c r="S538" s="237" t="s">
        <v>2866</v>
      </c>
      <c r="T538" s="330"/>
      <c r="U538" s="330"/>
      <c r="V538" s="331"/>
      <c r="W538" s="344"/>
      <c r="X538" s="341"/>
      <c r="Y538" s="33" t="s">
        <v>2867</v>
      </c>
      <c r="Z538" s="258">
        <v>120110.0</v>
      </c>
      <c r="AA538" s="334">
        <v>11609.0</v>
      </c>
      <c r="AB538" s="341"/>
      <c r="AC538" s="341"/>
      <c r="AD538" s="343"/>
      <c r="AE538" s="331"/>
      <c r="AF538" s="348"/>
      <c r="AG538" s="337"/>
      <c r="AH538" s="341"/>
      <c r="AI538" s="341"/>
      <c r="AJ538" s="341"/>
      <c r="AK538" s="341"/>
      <c r="AL538" s="341"/>
      <c r="AM538" s="338"/>
      <c r="AN538" s="341"/>
      <c r="AO538" s="341"/>
      <c r="AP538" s="341"/>
      <c r="AQ538" s="341"/>
      <c r="AR538" s="341"/>
      <c r="AS538" s="341"/>
      <c r="AT538" s="341"/>
      <c r="AU538" s="343"/>
      <c r="AV538" s="341"/>
      <c r="AW538" s="269" t="s">
        <v>872</v>
      </c>
      <c r="AX538" s="334" t="s">
        <v>2869</v>
      </c>
      <c r="AY538" s="270" t="s">
        <v>695</v>
      </c>
      <c r="AZ538" s="270" t="s">
        <v>2866</v>
      </c>
      <c r="BA538" s="265">
        <v>10.0</v>
      </c>
      <c r="BB538" s="174" t="s">
        <v>245</v>
      </c>
      <c r="BC538" s="341"/>
      <c r="BD538" s="308"/>
      <c r="BE538" s="347"/>
      <c r="BF538" s="274" t="str">
        <f>IFERROR(__xludf.DUMMYFUNCTION("LOWER(Regexreplace(to_text(E538),""[^A-Za-z0-9]"","""")&amp;""_""&amp;Regexreplace(to_text(F538),""[^A-Za-z0-9]"",""""))"),"neptronic_evcbseries")</f>
        <v>neptronic_evcbseries</v>
      </c>
      <c r="BG538" s="275" t="str">
        <f>IFERROR(__xludf.DUMMYFUNCTION("upper(Regexreplace(to_text(E538),""[^A-Za-z0-9]"","""")&amp;""-""&amp;Regexreplace(to_text(F538),""[^A-Za-z0-9]"",""""))"),"NEPTRONIC-EVCBSERIES")</f>
        <v>NEPTRONIC-EVCBSERIES</v>
      </c>
    </row>
    <row r="539" ht="30.0" customHeight="1">
      <c r="A539" s="173">
        <v>531.0</v>
      </c>
      <c r="B539" s="237" t="s">
        <v>670</v>
      </c>
      <c r="C539" s="257" t="s">
        <v>3191</v>
      </c>
      <c r="D539" s="173" t="s">
        <v>3191</v>
      </c>
      <c r="E539" s="174" t="s">
        <v>2861</v>
      </c>
      <c r="F539" s="173" t="s">
        <v>2862</v>
      </c>
      <c r="G539" s="328" t="s">
        <v>673</v>
      </c>
      <c r="H539" s="328" t="s">
        <v>2863</v>
      </c>
      <c r="I539" s="258" t="s">
        <v>2864</v>
      </c>
      <c r="J539" s="259" t="s">
        <v>846</v>
      </c>
      <c r="K539" s="260" t="s">
        <v>3192</v>
      </c>
      <c r="L539" s="328"/>
      <c r="M539" s="343"/>
      <c r="N539" s="173" t="s">
        <v>679</v>
      </c>
      <c r="O539" s="173" t="s">
        <v>225</v>
      </c>
      <c r="P539" s="262" t="str">
        <f t="shared" si="1"/>
        <v>IN-BLR-ANANTA-VAV-111_1</v>
      </c>
      <c r="Q539" s="173" t="s">
        <v>3193</v>
      </c>
      <c r="R539" s="328" t="str">
        <f>IFS(C539="","",C539="n/a","N/A",LEN(C539),Concatenate("{",char(34),"asset",char(34),":{",char(34),"guid",char(34),":",char(34),Q539,char(34),",",char(34),"site",char(34),":",char(34),LOWER('2-Building'!$B$4),char(34),",",char(34),"name",char(34),":",char(34),LOWER(C539),char(34),"}}"))</f>
        <v>{"asset":{"guid":"uuid://eb9545c6-8abf-42ca-9ef7-8a21b63829a7","site":"in-blr-ananta","name":"vav-111"}}</v>
      </c>
      <c r="S539" s="237" t="s">
        <v>2866</v>
      </c>
      <c r="T539" s="330"/>
      <c r="U539" s="330"/>
      <c r="V539" s="331"/>
      <c r="W539" s="344"/>
      <c r="X539" s="341"/>
      <c r="Y539" s="33" t="s">
        <v>2867</v>
      </c>
      <c r="Z539" s="258">
        <v>120111.0</v>
      </c>
      <c r="AA539" s="334">
        <v>11609.0</v>
      </c>
      <c r="AB539" s="341"/>
      <c r="AC539" s="341"/>
      <c r="AD539" s="343"/>
      <c r="AE539" s="331"/>
      <c r="AF539" s="348"/>
      <c r="AG539" s="337"/>
      <c r="AH539" s="341"/>
      <c r="AI539" s="341"/>
      <c r="AJ539" s="341"/>
      <c r="AK539" s="341"/>
      <c r="AL539" s="341"/>
      <c r="AM539" s="338"/>
      <c r="AN539" s="341"/>
      <c r="AO539" s="341"/>
      <c r="AP539" s="341"/>
      <c r="AQ539" s="341"/>
      <c r="AR539" s="341"/>
      <c r="AS539" s="341"/>
      <c r="AT539" s="341"/>
      <c r="AU539" s="343"/>
      <c r="AV539" s="341"/>
      <c r="AW539" s="269" t="s">
        <v>872</v>
      </c>
      <c r="AX539" s="334" t="s">
        <v>2869</v>
      </c>
      <c r="AY539" s="270" t="s">
        <v>695</v>
      </c>
      <c r="AZ539" s="270" t="s">
        <v>2866</v>
      </c>
      <c r="BA539" s="265">
        <v>10.0</v>
      </c>
      <c r="BB539" s="174" t="s">
        <v>245</v>
      </c>
      <c r="BC539" s="341"/>
      <c r="BD539" s="308"/>
      <c r="BE539" s="347"/>
      <c r="BF539" s="274" t="str">
        <f>IFERROR(__xludf.DUMMYFUNCTION("LOWER(Regexreplace(to_text(E539),""[^A-Za-z0-9]"","""")&amp;""_""&amp;Regexreplace(to_text(F539),""[^A-Za-z0-9]"",""""))"),"neptronic_evcbseries")</f>
        <v>neptronic_evcbseries</v>
      </c>
      <c r="BG539" s="275" t="str">
        <f>IFERROR(__xludf.DUMMYFUNCTION("upper(Regexreplace(to_text(E539),""[^A-Za-z0-9]"","""")&amp;""-""&amp;Regexreplace(to_text(F539),""[^A-Za-z0-9]"",""""))"),"NEPTRONIC-EVCBSERIES")</f>
        <v>NEPTRONIC-EVCBSERIES</v>
      </c>
    </row>
    <row r="540" ht="30.0" customHeight="1">
      <c r="A540" s="258">
        <v>532.0</v>
      </c>
      <c r="B540" s="237" t="s">
        <v>670</v>
      </c>
      <c r="C540" s="257" t="s">
        <v>3194</v>
      </c>
      <c r="D540" s="173" t="s">
        <v>3194</v>
      </c>
      <c r="E540" s="174" t="s">
        <v>2861</v>
      </c>
      <c r="F540" s="173" t="s">
        <v>2862</v>
      </c>
      <c r="G540" s="328" t="s">
        <v>673</v>
      </c>
      <c r="H540" s="328" t="s">
        <v>2863</v>
      </c>
      <c r="I540" s="258" t="s">
        <v>2864</v>
      </c>
      <c r="J540" s="259" t="s">
        <v>846</v>
      </c>
      <c r="K540" s="260" t="s">
        <v>3192</v>
      </c>
      <c r="L540" s="328"/>
      <c r="M540" s="343"/>
      <c r="N540" s="173" t="s">
        <v>679</v>
      </c>
      <c r="O540" s="173" t="s">
        <v>225</v>
      </c>
      <c r="P540" s="262" t="str">
        <f t="shared" si="1"/>
        <v>IN-BLR-ANANTA-VAV-112_1</v>
      </c>
      <c r="Q540" s="173" t="s">
        <v>3195</v>
      </c>
      <c r="R540" s="328" t="str">
        <f>IFS(C540="","",C540="n/a","N/A",LEN(C540),Concatenate("{",char(34),"asset",char(34),":{",char(34),"guid",char(34),":",char(34),Q540,char(34),",",char(34),"site",char(34),":",char(34),LOWER('2-Building'!$B$4),char(34),",",char(34),"name",char(34),":",char(34),LOWER(C540),char(34),"}}"))</f>
        <v>{"asset":{"guid":"uuid://9164bd77-bf29-43fd-ad6a-ec9035245820","site":"in-blr-ananta","name":"vav-112"}}</v>
      </c>
      <c r="S540" s="237" t="s">
        <v>2866</v>
      </c>
      <c r="T540" s="330"/>
      <c r="U540" s="330"/>
      <c r="V540" s="331"/>
      <c r="W540" s="344"/>
      <c r="X540" s="341"/>
      <c r="Y540" s="33" t="s">
        <v>2867</v>
      </c>
      <c r="Z540" s="258">
        <v>120112.0</v>
      </c>
      <c r="AA540" s="334">
        <v>11609.0</v>
      </c>
      <c r="AB540" s="341"/>
      <c r="AC540" s="341"/>
      <c r="AD540" s="343"/>
      <c r="AE540" s="331"/>
      <c r="AF540" s="348"/>
      <c r="AG540" s="337"/>
      <c r="AH540" s="341"/>
      <c r="AI540" s="341"/>
      <c r="AJ540" s="341"/>
      <c r="AK540" s="341"/>
      <c r="AL540" s="341"/>
      <c r="AM540" s="338"/>
      <c r="AN540" s="341"/>
      <c r="AO540" s="341"/>
      <c r="AP540" s="341"/>
      <c r="AQ540" s="341"/>
      <c r="AR540" s="341"/>
      <c r="AS540" s="341"/>
      <c r="AT540" s="341"/>
      <c r="AU540" s="343"/>
      <c r="AV540" s="341"/>
      <c r="AW540" s="269" t="s">
        <v>872</v>
      </c>
      <c r="AX540" s="334" t="s">
        <v>2869</v>
      </c>
      <c r="AY540" s="270" t="s">
        <v>695</v>
      </c>
      <c r="AZ540" s="270" t="s">
        <v>2866</v>
      </c>
      <c r="BA540" s="265">
        <v>10.0</v>
      </c>
      <c r="BB540" s="174" t="s">
        <v>245</v>
      </c>
      <c r="BC540" s="341"/>
      <c r="BD540" s="308"/>
      <c r="BE540" s="347"/>
      <c r="BF540" s="274" t="str">
        <f>IFERROR(__xludf.DUMMYFUNCTION("LOWER(Regexreplace(to_text(E540),""[^A-Za-z0-9]"","""")&amp;""_""&amp;Regexreplace(to_text(F540),""[^A-Za-z0-9]"",""""))"),"neptronic_evcbseries")</f>
        <v>neptronic_evcbseries</v>
      </c>
      <c r="BG540" s="275" t="str">
        <f>IFERROR(__xludf.DUMMYFUNCTION("upper(Regexreplace(to_text(E540),""[^A-Za-z0-9]"","""")&amp;""-""&amp;Regexreplace(to_text(F540),""[^A-Za-z0-9]"",""""))"),"NEPTRONIC-EVCBSERIES")</f>
        <v>NEPTRONIC-EVCBSERIES</v>
      </c>
    </row>
    <row r="541" ht="30.0" customHeight="1">
      <c r="A541" s="173">
        <v>533.0</v>
      </c>
      <c r="B541" s="237" t="s">
        <v>670</v>
      </c>
      <c r="C541" s="257" t="s">
        <v>3196</v>
      </c>
      <c r="D541" s="173" t="s">
        <v>3196</v>
      </c>
      <c r="E541" s="174" t="s">
        <v>2861</v>
      </c>
      <c r="F541" s="173" t="s">
        <v>2862</v>
      </c>
      <c r="G541" s="328" t="s">
        <v>673</v>
      </c>
      <c r="H541" s="328" t="s">
        <v>2863</v>
      </c>
      <c r="I541" s="258" t="s">
        <v>2864</v>
      </c>
      <c r="J541" s="259" t="s">
        <v>846</v>
      </c>
      <c r="K541" s="260" t="s">
        <v>3197</v>
      </c>
      <c r="L541" s="328"/>
      <c r="M541" s="343"/>
      <c r="N541" s="173" t="s">
        <v>679</v>
      </c>
      <c r="O541" s="173" t="s">
        <v>225</v>
      </c>
      <c r="P541" s="262" t="str">
        <f t="shared" si="1"/>
        <v>IN-BLR-ANANTA-VAV-113_1</v>
      </c>
      <c r="Q541" s="173" t="s">
        <v>3198</v>
      </c>
      <c r="R541" s="328" t="str">
        <f>IFS(C541="","",C541="n/a","N/A",LEN(C541),Concatenate("{",char(34),"asset",char(34),":{",char(34),"guid",char(34),":",char(34),Q541,char(34),",",char(34),"site",char(34),":",char(34),LOWER('2-Building'!$B$4),char(34),",",char(34),"name",char(34),":",char(34),LOWER(C541),char(34),"}}"))</f>
        <v>{"asset":{"guid":"uuid://df4ccd0d-3717-429a-99d3-70cfeba7e4fc","site":"in-blr-ananta","name":"vav-113"}}</v>
      </c>
      <c r="S541" s="237" t="s">
        <v>2866</v>
      </c>
      <c r="T541" s="330"/>
      <c r="U541" s="330"/>
      <c r="V541" s="331"/>
      <c r="W541" s="344"/>
      <c r="X541" s="341"/>
      <c r="Y541" s="33" t="s">
        <v>2867</v>
      </c>
      <c r="Z541" s="258">
        <v>120113.0</v>
      </c>
      <c r="AA541" s="334">
        <v>11609.0</v>
      </c>
      <c r="AB541" s="341"/>
      <c r="AC541" s="341"/>
      <c r="AD541" s="343"/>
      <c r="AE541" s="331"/>
      <c r="AF541" s="348"/>
      <c r="AG541" s="337"/>
      <c r="AH541" s="341"/>
      <c r="AI541" s="341"/>
      <c r="AJ541" s="341"/>
      <c r="AK541" s="341"/>
      <c r="AL541" s="341"/>
      <c r="AM541" s="338"/>
      <c r="AN541" s="341"/>
      <c r="AO541" s="341"/>
      <c r="AP541" s="341"/>
      <c r="AQ541" s="341"/>
      <c r="AR541" s="341"/>
      <c r="AS541" s="341"/>
      <c r="AT541" s="341"/>
      <c r="AU541" s="343"/>
      <c r="AV541" s="341"/>
      <c r="AW541" s="269" t="s">
        <v>872</v>
      </c>
      <c r="AX541" s="334" t="s">
        <v>2869</v>
      </c>
      <c r="AY541" s="270" t="s">
        <v>695</v>
      </c>
      <c r="AZ541" s="270" t="s">
        <v>2866</v>
      </c>
      <c r="BA541" s="265">
        <v>10.0</v>
      </c>
      <c r="BB541" s="174" t="s">
        <v>245</v>
      </c>
      <c r="BC541" s="341"/>
      <c r="BD541" s="308"/>
      <c r="BE541" s="347"/>
      <c r="BF541" s="274" t="str">
        <f>IFERROR(__xludf.DUMMYFUNCTION("LOWER(Regexreplace(to_text(E541),""[^A-Za-z0-9]"","""")&amp;""_""&amp;Regexreplace(to_text(F541),""[^A-Za-z0-9]"",""""))"),"neptronic_evcbseries")</f>
        <v>neptronic_evcbseries</v>
      </c>
      <c r="BG541" s="275" t="str">
        <f>IFERROR(__xludf.DUMMYFUNCTION("upper(Regexreplace(to_text(E541),""[^A-Za-z0-9]"","""")&amp;""-""&amp;Regexreplace(to_text(F541),""[^A-Za-z0-9]"",""""))"),"NEPTRONIC-EVCBSERIES")</f>
        <v>NEPTRONIC-EVCBSERIES</v>
      </c>
    </row>
    <row r="542" ht="30.0" customHeight="1">
      <c r="A542" s="258">
        <v>534.0</v>
      </c>
      <c r="B542" s="237" t="s">
        <v>670</v>
      </c>
      <c r="C542" s="257" t="s">
        <v>3199</v>
      </c>
      <c r="D542" s="173" t="s">
        <v>3199</v>
      </c>
      <c r="E542" s="174" t="s">
        <v>2861</v>
      </c>
      <c r="F542" s="173" t="s">
        <v>2862</v>
      </c>
      <c r="G542" s="328" t="s">
        <v>673</v>
      </c>
      <c r="H542" s="328" t="s">
        <v>2863</v>
      </c>
      <c r="I542" s="258" t="s">
        <v>2864</v>
      </c>
      <c r="J542" s="259" t="s">
        <v>846</v>
      </c>
      <c r="K542" s="260" t="s">
        <v>3200</v>
      </c>
      <c r="L542" s="328"/>
      <c r="M542" s="343"/>
      <c r="N542" s="173" t="s">
        <v>679</v>
      </c>
      <c r="O542" s="173" t="s">
        <v>225</v>
      </c>
      <c r="P542" s="262" t="str">
        <f t="shared" si="1"/>
        <v>IN-BLR-ANANTA-VAV-114_1</v>
      </c>
      <c r="Q542" s="173" t="s">
        <v>3201</v>
      </c>
      <c r="R542" s="328" t="str">
        <f>IFS(C542="","",C542="n/a","N/A",LEN(C542),Concatenate("{",char(34),"asset",char(34),":{",char(34),"guid",char(34),":",char(34),Q542,char(34),",",char(34),"site",char(34),":",char(34),LOWER('2-Building'!$B$4),char(34),",",char(34),"name",char(34),":",char(34),LOWER(C542),char(34),"}}"))</f>
        <v>{"asset":{"guid":"uuid://cdbd5464-fdbc-41e0-b380-848c80bef426","site":"in-blr-ananta","name":"vav-114"}}</v>
      </c>
      <c r="S542" s="237" t="s">
        <v>2866</v>
      </c>
      <c r="T542" s="330"/>
      <c r="U542" s="330"/>
      <c r="V542" s="331"/>
      <c r="W542" s="344"/>
      <c r="X542" s="341"/>
      <c r="Y542" s="33" t="s">
        <v>2867</v>
      </c>
      <c r="Z542" s="258">
        <v>120114.0</v>
      </c>
      <c r="AA542" s="334">
        <v>11609.0</v>
      </c>
      <c r="AB542" s="341"/>
      <c r="AC542" s="341"/>
      <c r="AD542" s="343"/>
      <c r="AE542" s="331"/>
      <c r="AF542" s="348"/>
      <c r="AG542" s="337"/>
      <c r="AH542" s="341"/>
      <c r="AI542" s="341"/>
      <c r="AJ542" s="341"/>
      <c r="AK542" s="341"/>
      <c r="AL542" s="341"/>
      <c r="AM542" s="338"/>
      <c r="AN542" s="341"/>
      <c r="AO542" s="341"/>
      <c r="AP542" s="341"/>
      <c r="AQ542" s="341"/>
      <c r="AR542" s="341"/>
      <c r="AS542" s="341"/>
      <c r="AT542" s="341"/>
      <c r="AU542" s="343"/>
      <c r="AV542" s="341"/>
      <c r="AW542" s="269" t="s">
        <v>872</v>
      </c>
      <c r="AX542" s="334" t="s">
        <v>2869</v>
      </c>
      <c r="AY542" s="270" t="s">
        <v>695</v>
      </c>
      <c r="AZ542" s="270" t="s">
        <v>2866</v>
      </c>
      <c r="BA542" s="265">
        <v>10.0</v>
      </c>
      <c r="BB542" s="174" t="s">
        <v>245</v>
      </c>
      <c r="BC542" s="341"/>
      <c r="BD542" s="308"/>
      <c r="BE542" s="347"/>
      <c r="BF542" s="274" t="str">
        <f>IFERROR(__xludf.DUMMYFUNCTION("LOWER(Regexreplace(to_text(E542),""[^A-Za-z0-9]"","""")&amp;""_""&amp;Regexreplace(to_text(F542),""[^A-Za-z0-9]"",""""))"),"neptronic_evcbseries")</f>
        <v>neptronic_evcbseries</v>
      </c>
      <c r="BG542" s="275" t="str">
        <f>IFERROR(__xludf.DUMMYFUNCTION("upper(Regexreplace(to_text(E542),""[^A-Za-z0-9]"","""")&amp;""-""&amp;Regexreplace(to_text(F542),""[^A-Za-z0-9]"",""""))"),"NEPTRONIC-EVCBSERIES")</f>
        <v>NEPTRONIC-EVCBSERIES</v>
      </c>
    </row>
    <row r="543" ht="30.0" customHeight="1">
      <c r="A543" s="173">
        <v>535.0</v>
      </c>
      <c r="B543" s="237" t="s">
        <v>670</v>
      </c>
      <c r="C543" s="257" t="s">
        <v>3202</v>
      </c>
      <c r="D543" s="173" t="s">
        <v>3202</v>
      </c>
      <c r="E543" s="174" t="s">
        <v>2861</v>
      </c>
      <c r="F543" s="173" t="s">
        <v>2862</v>
      </c>
      <c r="G543" s="328" t="s">
        <v>673</v>
      </c>
      <c r="H543" s="328" t="s">
        <v>2863</v>
      </c>
      <c r="I543" s="258" t="s">
        <v>2864</v>
      </c>
      <c r="J543" s="259" t="s">
        <v>846</v>
      </c>
      <c r="K543" s="260" t="s">
        <v>3203</v>
      </c>
      <c r="L543" s="328"/>
      <c r="M543" s="343"/>
      <c r="N543" s="173" t="s">
        <v>679</v>
      </c>
      <c r="O543" s="173" t="s">
        <v>225</v>
      </c>
      <c r="P543" s="262" t="str">
        <f t="shared" si="1"/>
        <v>IN-BLR-ANANTA-VAV-115_1</v>
      </c>
      <c r="Q543" s="173" t="s">
        <v>3204</v>
      </c>
      <c r="R543" s="328" t="str">
        <f>IFS(C543="","",C543="n/a","N/A",LEN(C543),Concatenate("{",char(34),"asset",char(34),":{",char(34),"guid",char(34),":",char(34),Q543,char(34),",",char(34),"site",char(34),":",char(34),LOWER('2-Building'!$B$4),char(34),",",char(34),"name",char(34),":",char(34),LOWER(C543),char(34),"}}"))</f>
        <v>{"asset":{"guid":"uuid://ec570e83-c181-4ff7-8e4c-75dcd5b1c599","site":"in-blr-ananta","name":"vav-115"}}</v>
      </c>
      <c r="S543" s="237" t="s">
        <v>2866</v>
      </c>
      <c r="T543" s="330"/>
      <c r="U543" s="330"/>
      <c r="V543" s="331"/>
      <c r="W543" s="344"/>
      <c r="X543" s="341"/>
      <c r="Y543" s="33" t="s">
        <v>2867</v>
      </c>
      <c r="Z543" s="258">
        <v>120115.0</v>
      </c>
      <c r="AA543" s="334">
        <v>11609.0</v>
      </c>
      <c r="AB543" s="341"/>
      <c r="AC543" s="341"/>
      <c r="AD543" s="343"/>
      <c r="AE543" s="331"/>
      <c r="AF543" s="348"/>
      <c r="AG543" s="337"/>
      <c r="AH543" s="341"/>
      <c r="AI543" s="341"/>
      <c r="AJ543" s="341"/>
      <c r="AK543" s="341"/>
      <c r="AL543" s="341"/>
      <c r="AM543" s="338"/>
      <c r="AN543" s="341"/>
      <c r="AO543" s="341"/>
      <c r="AP543" s="341"/>
      <c r="AQ543" s="341"/>
      <c r="AR543" s="341"/>
      <c r="AS543" s="341"/>
      <c r="AT543" s="341"/>
      <c r="AU543" s="343"/>
      <c r="AV543" s="341"/>
      <c r="AW543" s="269" t="s">
        <v>872</v>
      </c>
      <c r="AX543" s="334" t="s">
        <v>2869</v>
      </c>
      <c r="AY543" s="270" t="s">
        <v>695</v>
      </c>
      <c r="AZ543" s="270" t="s">
        <v>2866</v>
      </c>
      <c r="BA543" s="265">
        <v>10.0</v>
      </c>
      <c r="BB543" s="174" t="s">
        <v>245</v>
      </c>
      <c r="BC543" s="341"/>
      <c r="BD543" s="308"/>
      <c r="BE543" s="347"/>
      <c r="BF543" s="274" t="str">
        <f>IFERROR(__xludf.DUMMYFUNCTION("LOWER(Regexreplace(to_text(E543),""[^A-Za-z0-9]"","""")&amp;""_""&amp;Regexreplace(to_text(F543),""[^A-Za-z0-9]"",""""))"),"neptronic_evcbseries")</f>
        <v>neptronic_evcbseries</v>
      </c>
      <c r="BG543" s="275" t="str">
        <f>IFERROR(__xludf.DUMMYFUNCTION("upper(Regexreplace(to_text(E543),""[^A-Za-z0-9]"","""")&amp;""-""&amp;Regexreplace(to_text(F543),""[^A-Za-z0-9]"",""""))"),"NEPTRONIC-EVCBSERIES")</f>
        <v>NEPTRONIC-EVCBSERIES</v>
      </c>
    </row>
    <row r="544" ht="30.0" customHeight="1">
      <c r="A544" s="258">
        <v>536.0</v>
      </c>
      <c r="B544" s="237" t="s">
        <v>670</v>
      </c>
      <c r="C544" s="257" t="s">
        <v>3205</v>
      </c>
      <c r="D544" s="173" t="s">
        <v>3205</v>
      </c>
      <c r="E544" s="174" t="s">
        <v>2861</v>
      </c>
      <c r="F544" s="173" t="s">
        <v>2862</v>
      </c>
      <c r="G544" s="328" t="s">
        <v>673</v>
      </c>
      <c r="H544" s="328" t="s">
        <v>2863</v>
      </c>
      <c r="I544" s="258" t="s">
        <v>2864</v>
      </c>
      <c r="J544" s="259" t="s">
        <v>846</v>
      </c>
      <c r="K544" s="260" t="s">
        <v>3206</v>
      </c>
      <c r="L544" s="328"/>
      <c r="M544" s="343"/>
      <c r="N544" s="173" t="s">
        <v>679</v>
      </c>
      <c r="O544" s="173" t="s">
        <v>225</v>
      </c>
      <c r="P544" s="262" t="str">
        <f t="shared" si="1"/>
        <v>IN-BLR-ANANTA-VAV-116_1</v>
      </c>
      <c r="Q544" s="173" t="s">
        <v>3207</v>
      </c>
      <c r="R544" s="328" t="str">
        <f>IFS(C544="","",C544="n/a","N/A",LEN(C544),Concatenate("{",char(34),"asset",char(34),":{",char(34),"guid",char(34),":",char(34),Q544,char(34),",",char(34),"site",char(34),":",char(34),LOWER('2-Building'!$B$4),char(34),",",char(34),"name",char(34),":",char(34),LOWER(C544),char(34),"}}"))</f>
        <v>{"asset":{"guid":"uuid://a7fea2ef-b582-4b19-9378-90366f9e15d4","site":"in-blr-ananta","name":"vav-116"}}</v>
      </c>
      <c r="S544" s="237" t="s">
        <v>2866</v>
      </c>
      <c r="T544" s="330"/>
      <c r="U544" s="330"/>
      <c r="V544" s="331"/>
      <c r="W544" s="344"/>
      <c r="X544" s="341"/>
      <c r="Y544" s="33" t="s">
        <v>2867</v>
      </c>
      <c r="Z544" s="258">
        <v>120116.0</v>
      </c>
      <c r="AA544" s="334">
        <v>11609.0</v>
      </c>
      <c r="AB544" s="341"/>
      <c r="AC544" s="341"/>
      <c r="AD544" s="343"/>
      <c r="AE544" s="331"/>
      <c r="AF544" s="348"/>
      <c r="AG544" s="337"/>
      <c r="AH544" s="341"/>
      <c r="AI544" s="341"/>
      <c r="AJ544" s="341"/>
      <c r="AK544" s="341"/>
      <c r="AL544" s="341"/>
      <c r="AM544" s="338"/>
      <c r="AN544" s="341"/>
      <c r="AO544" s="341"/>
      <c r="AP544" s="341"/>
      <c r="AQ544" s="341"/>
      <c r="AR544" s="341"/>
      <c r="AS544" s="341"/>
      <c r="AT544" s="341"/>
      <c r="AU544" s="343"/>
      <c r="AV544" s="341"/>
      <c r="AW544" s="269" t="s">
        <v>872</v>
      </c>
      <c r="AX544" s="334" t="s">
        <v>2869</v>
      </c>
      <c r="AY544" s="270" t="s">
        <v>695</v>
      </c>
      <c r="AZ544" s="270" t="s">
        <v>2866</v>
      </c>
      <c r="BA544" s="265">
        <v>10.0</v>
      </c>
      <c r="BB544" s="174" t="s">
        <v>245</v>
      </c>
      <c r="BC544" s="341"/>
      <c r="BD544" s="308"/>
      <c r="BE544" s="347"/>
      <c r="BF544" s="274" t="str">
        <f>IFERROR(__xludf.DUMMYFUNCTION("LOWER(Regexreplace(to_text(E544),""[^A-Za-z0-9]"","""")&amp;""_""&amp;Regexreplace(to_text(F544),""[^A-Za-z0-9]"",""""))"),"neptronic_evcbseries")</f>
        <v>neptronic_evcbseries</v>
      </c>
      <c r="BG544" s="275" t="str">
        <f>IFERROR(__xludf.DUMMYFUNCTION("upper(Regexreplace(to_text(E544),""[^A-Za-z0-9]"","""")&amp;""-""&amp;Regexreplace(to_text(F544),""[^A-Za-z0-9]"",""""))"),"NEPTRONIC-EVCBSERIES")</f>
        <v>NEPTRONIC-EVCBSERIES</v>
      </c>
    </row>
    <row r="545" ht="30.0" customHeight="1">
      <c r="A545" s="173">
        <v>537.0</v>
      </c>
      <c r="B545" s="349" t="s">
        <v>670</v>
      </c>
      <c r="C545" s="257" t="s">
        <v>3208</v>
      </c>
      <c r="D545" s="173" t="s">
        <v>3208</v>
      </c>
      <c r="E545" s="174" t="s">
        <v>2861</v>
      </c>
      <c r="F545" s="173" t="s">
        <v>2862</v>
      </c>
      <c r="G545" s="350" t="s">
        <v>673</v>
      </c>
      <c r="H545" s="350" t="s">
        <v>2863</v>
      </c>
      <c r="I545" s="258" t="s">
        <v>2864</v>
      </c>
      <c r="J545" s="259" t="s">
        <v>846</v>
      </c>
      <c r="K545" s="260" t="s">
        <v>3209</v>
      </c>
      <c r="L545" s="328"/>
      <c r="M545" s="351"/>
      <c r="N545" s="173" t="s">
        <v>679</v>
      </c>
      <c r="O545" s="173" t="s">
        <v>225</v>
      </c>
      <c r="P545" s="262" t="str">
        <f t="shared" si="1"/>
        <v>IN-BLR-ANANTA-VAV-117_1</v>
      </c>
      <c r="Q545" s="173" t="s">
        <v>3210</v>
      </c>
      <c r="R545" s="350" t="str">
        <f>IFS(C545="","",C545="n/a","N/A",LEN(C545),Concatenate("{",char(34),"asset",char(34),":{",char(34),"guid",char(34),":",char(34),Q545,char(34),",",char(34),"site",char(34),":",char(34),LOWER('2-Building'!$B$4),char(34),",",char(34),"name",char(34),":",char(34),LOWER(C545),char(34),"}}"))</f>
        <v>{"asset":{"guid":"uuid://f00f9aec-bce8-4930-8f15-2e5d377735c4","site":"in-blr-ananta","name":"vav-117"}}</v>
      </c>
      <c r="S545" s="237" t="s">
        <v>2866</v>
      </c>
      <c r="T545" s="352"/>
      <c r="U545" s="352"/>
      <c r="V545" s="353"/>
      <c r="W545" s="354"/>
      <c r="X545" s="355"/>
      <c r="Y545" s="33" t="s">
        <v>2867</v>
      </c>
      <c r="Z545" s="258">
        <v>120117.0</v>
      </c>
      <c r="AA545" s="334">
        <v>11609.0</v>
      </c>
      <c r="AB545" s="355"/>
      <c r="AC545" s="355"/>
      <c r="AD545" s="351"/>
      <c r="AE545" s="353"/>
      <c r="AF545" s="356"/>
      <c r="AG545" s="357"/>
      <c r="AH545" s="355"/>
      <c r="AI545" s="355"/>
      <c r="AJ545" s="355"/>
      <c r="AK545" s="355"/>
      <c r="AL545" s="355"/>
      <c r="AM545" s="357"/>
      <c r="AN545" s="355"/>
      <c r="AO545" s="355"/>
      <c r="AP545" s="355"/>
      <c r="AQ545" s="355"/>
      <c r="AR545" s="355"/>
      <c r="AS545" s="355"/>
      <c r="AT545" s="355"/>
      <c r="AU545" s="351"/>
      <c r="AV545" s="355"/>
      <c r="AW545" s="269" t="s">
        <v>872</v>
      </c>
      <c r="AX545" s="334" t="s">
        <v>2869</v>
      </c>
      <c r="AY545" s="270" t="s">
        <v>695</v>
      </c>
      <c r="AZ545" s="270" t="s">
        <v>2866</v>
      </c>
      <c r="BA545" s="265">
        <v>10.0</v>
      </c>
      <c r="BB545" s="174" t="s">
        <v>245</v>
      </c>
      <c r="BC545" s="355"/>
      <c r="BD545" s="308"/>
      <c r="BE545" s="358"/>
      <c r="BF545" s="274" t="str">
        <f>IFERROR(__xludf.DUMMYFUNCTION("LOWER(Regexreplace(to_text(E545),""[^A-Za-z0-9]"","""")&amp;""_""&amp;Regexreplace(to_text(F545),""[^A-Za-z0-9]"",""""))"),"neptronic_evcbseries")</f>
        <v>neptronic_evcbseries</v>
      </c>
      <c r="BG545" s="275" t="str">
        <f>IFERROR(__xludf.DUMMYFUNCTION("upper(Regexreplace(to_text(E545),""[^A-Za-z0-9]"","""")&amp;""-""&amp;Regexreplace(to_text(F545),""[^A-Za-z0-9]"",""""))"),"NEPTRONIC-EVCBSERIES")</f>
        <v>NEPTRONIC-EVCBSERIES</v>
      </c>
    </row>
    <row r="546" ht="30.0" customHeight="1">
      <c r="A546" s="258">
        <v>538.0</v>
      </c>
      <c r="B546" s="349" t="s">
        <v>670</v>
      </c>
      <c r="C546" s="257" t="s">
        <v>3211</v>
      </c>
      <c r="D546" s="173" t="s">
        <v>3211</v>
      </c>
      <c r="E546" s="174" t="s">
        <v>2861</v>
      </c>
      <c r="F546" s="173" t="s">
        <v>2862</v>
      </c>
      <c r="G546" s="350" t="s">
        <v>673</v>
      </c>
      <c r="H546" s="350" t="s">
        <v>2863</v>
      </c>
      <c r="I546" s="258" t="s">
        <v>2864</v>
      </c>
      <c r="J546" s="259" t="s">
        <v>846</v>
      </c>
      <c r="K546" s="260" t="s">
        <v>3209</v>
      </c>
      <c r="L546" s="328"/>
      <c r="M546" s="351"/>
      <c r="N546" s="173" t="s">
        <v>679</v>
      </c>
      <c r="O546" s="173" t="s">
        <v>225</v>
      </c>
      <c r="P546" s="262" t="str">
        <f t="shared" si="1"/>
        <v>IN-BLR-ANANTA-VAV-118_1</v>
      </c>
      <c r="Q546" s="173" t="s">
        <v>3212</v>
      </c>
      <c r="R546" s="350" t="str">
        <f>IFS(C546="","",C546="n/a","N/A",LEN(C546),Concatenate("{",char(34),"asset",char(34),":{",char(34),"guid",char(34),":",char(34),Q546,char(34),",",char(34),"site",char(34),":",char(34),LOWER('2-Building'!$B$4),char(34),",",char(34),"name",char(34),":",char(34),LOWER(C546),char(34),"}}"))</f>
        <v>{"asset":{"guid":"uuid://4f611879-268a-450d-8b1a-bf563e8aab9d","site":"in-blr-ananta","name":"vav-118"}}</v>
      </c>
      <c r="S546" s="237" t="s">
        <v>2866</v>
      </c>
      <c r="T546" s="352"/>
      <c r="U546" s="352"/>
      <c r="V546" s="353"/>
      <c r="W546" s="354"/>
      <c r="X546" s="355"/>
      <c r="Y546" s="33" t="s">
        <v>2867</v>
      </c>
      <c r="Z546" s="258">
        <v>120118.0</v>
      </c>
      <c r="AA546" s="334">
        <v>11609.0</v>
      </c>
      <c r="AB546" s="355"/>
      <c r="AC546" s="355"/>
      <c r="AD546" s="351"/>
      <c r="AE546" s="353"/>
      <c r="AF546" s="356"/>
      <c r="AG546" s="357"/>
      <c r="AH546" s="355"/>
      <c r="AI546" s="355"/>
      <c r="AJ546" s="355"/>
      <c r="AK546" s="355"/>
      <c r="AL546" s="355"/>
      <c r="AM546" s="357"/>
      <c r="AN546" s="355"/>
      <c r="AO546" s="355"/>
      <c r="AP546" s="355"/>
      <c r="AQ546" s="355"/>
      <c r="AR546" s="355"/>
      <c r="AS546" s="355"/>
      <c r="AT546" s="355"/>
      <c r="AU546" s="351"/>
      <c r="AV546" s="355"/>
      <c r="AW546" s="269" t="s">
        <v>872</v>
      </c>
      <c r="AX546" s="334" t="s">
        <v>2869</v>
      </c>
      <c r="AY546" s="270" t="s">
        <v>695</v>
      </c>
      <c r="AZ546" s="270" t="s">
        <v>2866</v>
      </c>
      <c r="BA546" s="265">
        <v>10.0</v>
      </c>
      <c r="BB546" s="174" t="s">
        <v>245</v>
      </c>
      <c r="BC546" s="355"/>
      <c r="BD546" s="308"/>
      <c r="BE546" s="358"/>
      <c r="BF546" s="274" t="str">
        <f>IFERROR(__xludf.DUMMYFUNCTION("LOWER(Regexreplace(to_text(E546),""[^A-Za-z0-9]"","""")&amp;""_""&amp;Regexreplace(to_text(F546),""[^A-Za-z0-9]"",""""))"),"neptronic_evcbseries")</f>
        <v>neptronic_evcbseries</v>
      </c>
      <c r="BG546" s="275" t="str">
        <f>IFERROR(__xludf.DUMMYFUNCTION("upper(Regexreplace(to_text(E546),""[^A-Za-z0-9]"","""")&amp;""-""&amp;Regexreplace(to_text(F546),""[^A-Za-z0-9]"",""""))"),"NEPTRONIC-EVCBSERIES")</f>
        <v>NEPTRONIC-EVCBSERIES</v>
      </c>
    </row>
    <row r="547" ht="30.0" customHeight="1">
      <c r="A547" s="173">
        <v>539.0</v>
      </c>
      <c r="B547" s="349" t="s">
        <v>670</v>
      </c>
      <c r="C547" s="257" t="s">
        <v>3213</v>
      </c>
      <c r="D547" s="173" t="s">
        <v>3213</v>
      </c>
      <c r="E547" s="174" t="s">
        <v>2861</v>
      </c>
      <c r="F547" s="173" t="s">
        <v>2862</v>
      </c>
      <c r="G547" s="350" t="s">
        <v>673</v>
      </c>
      <c r="H547" s="350" t="s">
        <v>2863</v>
      </c>
      <c r="I547" s="258" t="s">
        <v>2864</v>
      </c>
      <c r="J547" s="259" t="s">
        <v>846</v>
      </c>
      <c r="K547" s="260" t="s">
        <v>3209</v>
      </c>
      <c r="L547" s="328"/>
      <c r="M547" s="351"/>
      <c r="N547" s="173" t="s">
        <v>679</v>
      </c>
      <c r="O547" s="173" t="s">
        <v>225</v>
      </c>
      <c r="P547" s="262" t="str">
        <f t="shared" si="1"/>
        <v>IN-BLR-ANANTA-VAV-119_1</v>
      </c>
      <c r="Q547" s="173" t="s">
        <v>3214</v>
      </c>
      <c r="R547" s="350" t="str">
        <f>IFS(C547="","",C547="n/a","N/A",LEN(C547),Concatenate("{",char(34),"asset",char(34),":{",char(34),"guid",char(34),":",char(34),Q547,char(34),",",char(34),"site",char(34),":",char(34),LOWER('2-Building'!$B$4),char(34),",",char(34),"name",char(34),":",char(34),LOWER(C547),char(34),"}}"))</f>
        <v>{"asset":{"guid":"uuid://acc4ecb6-3eaa-4402-9a2b-305805d921e1","site":"in-blr-ananta","name":"vav-119"}}</v>
      </c>
      <c r="S547" s="237" t="s">
        <v>2866</v>
      </c>
      <c r="T547" s="352"/>
      <c r="U547" s="352"/>
      <c r="V547" s="353"/>
      <c r="W547" s="354"/>
      <c r="X547" s="355"/>
      <c r="Y547" s="33" t="s">
        <v>2867</v>
      </c>
      <c r="Z547" s="258">
        <v>120119.0</v>
      </c>
      <c r="AA547" s="334">
        <v>11609.0</v>
      </c>
      <c r="AB547" s="355"/>
      <c r="AC547" s="355"/>
      <c r="AD547" s="351"/>
      <c r="AE547" s="353"/>
      <c r="AF547" s="356"/>
      <c r="AG547" s="357"/>
      <c r="AH547" s="355"/>
      <c r="AI547" s="355"/>
      <c r="AJ547" s="355"/>
      <c r="AK547" s="355"/>
      <c r="AL547" s="355"/>
      <c r="AM547" s="357"/>
      <c r="AN547" s="355"/>
      <c r="AO547" s="355"/>
      <c r="AP547" s="355"/>
      <c r="AQ547" s="355"/>
      <c r="AR547" s="355"/>
      <c r="AS547" s="355"/>
      <c r="AT547" s="355"/>
      <c r="AU547" s="351"/>
      <c r="AV547" s="355"/>
      <c r="AW547" s="269" t="s">
        <v>872</v>
      </c>
      <c r="AX547" s="334" t="s">
        <v>2869</v>
      </c>
      <c r="AY547" s="270" t="s">
        <v>695</v>
      </c>
      <c r="AZ547" s="270" t="s">
        <v>2866</v>
      </c>
      <c r="BA547" s="265">
        <v>10.0</v>
      </c>
      <c r="BB547" s="174" t="s">
        <v>245</v>
      </c>
      <c r="BC547" s="355"/>
      <c r="BD547" s="308"/>
      <c r="BE547" s="358"/>
      <c r="BF547" s="274" t="str">
        <f>IFERROR(__xludf.DUMMYFUNCTION("LOWER(Regexreplace(to_text(E547),""[^A-Za-z0-9]"","""")&amp;""_""&amp;Regexreplace(to_text(F547),""[^A-Za-z0-9]"",""""))"),"neptronic_evcbseries")</f>
        <v>neptronic_evcbseries</v>
      </c>
      <c r="BG547" s="275" t="str">
        <f>IFERROR(__xludf.DUMMYFUNCTION("upper(Regexreplace(to_text(E547),""[^A-Za-z0-9]"","""")&amp;""-""&amp;Regexreplace(to_text(F547),""[^A-Za-z0-9]"",""""))"),"NEPTRONIC-EVCBSERIES")</f>
        <v>NEPTRONIC-EVCBSERIES</v>
      </c>
    </row>
    <row r="548" ht="30.0" customHeight="1">
      <c r="A548" s="258">
        <v>540.0</v>
      </c>
      <c r="B548" s="237" t="s">
        <v>670</v>
      </c>
      <c r="C548" s="257" t="s">
        <v>3215</v>
      </c>
      <c r="D548" s="173" t="s">
        <v>3215</v>
      </c>
      <c r="E548" s="174" t="s">
        <v>2861</v>
      </c>
      <c r="F548" s="173" t="s">
        <v>2862</v>
      </c>
      <c r="G548" s="328" t="s">
        <v>673</v>
      </c>
      <c r="H548" s="328" t="s">
        <v>2863</v>
      </c>
      <c r="I548" s="258" t="s">
        <v>2864</v>
      </c>
      <c r="J548" s="259" t="s">
        <v>846</v>
      </c>
      <c r="K548" s="260" t="s">
        <v>3216</v>
      </c>
      <c r="L548" s="328"/>
      <c r="M548" s="343"/>
      <c r="N548" s="173" t="s">
        <v>679</v>
      </c>
      <c r="O548" s="173" t="s">
        <v>225</v>
      </c>
      <c r="P548" s="262" t="str">
        <f t="shared" si="1"/>
        <v>IN-BLR-ANANTA-VAV-120_1</v>
      </c>
      <c r="Q548" s="173" t="s">
        <v>3217</v>
      </c>
      <c r="R548" s="328" t="str">
        <f>IFS(C548="","",C548="n/a","N/A",LEN(C548),Concatenate("{",char(34),"asset",char(34),":{",char(34),"guid",char(34),":",char(34),Q548,char(34),",",char(34),"site",char(34),":",char(34),LOWER('2-Building'!$B$4),char(34),",",char(34),"name",char(34),":",char(34),LOWER(C548),char(34),"}}"))</f>
        <v>{"asset":{"guid":"uuid://d2eb4f82-f28e-4791-b029-12c0588e399a","site":"in-blr-ananta","name":"vav-120"}}</v>
      </c>
      <c r="S548" s="237" t="s">
        <v>2866</v>
      </c>
      <c r="T548" s="330"/>
      <c r="U548" s="330"/>
      <c r="V548" s="331"/>
      <c r="W548" s="344"/>
      <c r="X548" s="341"/>
      <c r="Y548" s="33" t="s">
        <v>2867</v>
      </c>
      <c r="Z548" s="258">
        <v>120120.0</v>
      </c>
      <c r="AA548" s="334">
        <v>11525.0</v>
      </c>
      <c r="AB548" s="341"/>
      <c r="AC548" s="341"/>
      <c r="AD548" s="343"/>
      <c r="AE548" s="331"/>
      <c r="AF548" s="348"/>
      <c r="AG548" s="337"/>
      <c r="AH548" s="341"/>
      <c r="AI548" s="341"/>
      <c r="AJ548" s="341"/>
      <c r="AK548" s="341"/>
      <c r="AL548" s="341"/>
      <c r="AM548" s="338"/>
      <c r="AN548" s="341"/>
      <c r="AO548" s="341"/>
      <c r="AP548" s="341"/>
      <c r="AQ548" s="341"/>
      <c r="AR548" s="341"/>
      <c r="AS548" s="341"/>
      <c r="AT548" s="341"/>
      <c r="AU548" s="343"/>
      <c r="AV548" s="341"/>
      <c r="AW548" s="269" t="s">
        <v>2013</v>
      </c>
      <c r="AX548" s="334" t="s">
        <v>2869</v>
      </c>
      <c r="AY548" s="270" t="s">
        <v>695</v>
      </c>
      <c r="AZ548" s="270" t="s">
        <v>2866</v>
      </c>
      <c r="BA548" s="265">
        <v>10.0</v>
      </c>
      <c r="BB548" s="174" t="s">
        <v>245</v>
      </c>
      <c r="BC548" s="341"/>
      <c r="BD548" s="308"/>
      <c r="BE548" s="347"/>
      <c r="BF548" s="274" t="str">
        <f>IFERROR(__xludf.DUMMYFUNCTION("LOWER(Regexreplace(to_text(E548),""[^A-Za-z0-9]"","""")&amp;""_""&amp;Regexreplace(to_text(F548),""[^A-Za-z0-9]"",""""))"),"neptronic_evcbseries")</f>
        <v>neptronic_evcbseries</v>
      </c>
      <c r="BG548" s="275" t="str">
        <f>IFERROR(__xludf.DUMMYFUNCTION("upper(Regexreplace(to_text(E548),""[^A-Za-z0-9]"","""")&amp;""-""&amp;Regexreplace(to_text(F548),""[^A-Za-z0-9]"",""""))"),"NEPTRONIC-EVCBSERIES")</f>
        <v>NEPTRONIC-EVCBSERIES</v>
      </c>
    </row>
    <row r="549" ht="30.0" customHeight="1">
      <c r="A549" s="173">
        <v>541.0</v>
      </c>
      <c r="B549" s="237" t="s">
        <v>670</v>
      </c>
      <c r="C549" s="257" t="s">
        <v>3218</v>
      </c>
      <c r="D549" s="173" t="s">
        <v>3218</v>
      </c>
      <c r="E549" s="174" t="s">
        <v>2861</v>
      </c>
      <c r="F549" s="173" t="s">
        <v>2862</v>
      </c>
      <c r="G549" s="328" t="s">
        <v>673</v>
      </c>
      <c r="H549" s="328" t="s">
        <v>2863</v>
      </c>
      <c r="I549" s="258" t="s">
        <v>2864</v>
      </c>
      <c r="J549" s="259" t="s">
        <v>846</v>
      </c>
      <c r="K549" s="260" t="s">
        <v>3219</v>
      </c>
      <c r="L549" s="328"/>
      <c r="M549" s="343"/>
      <c r="N549" s="173" t="s">
        <v>679</v>
      </c>
      <c r="O549" s="173" t="s">
        <v>225</v>
      </c>
      <c r="P549" s="262" t="str">
        <f t="shared" si="1"/>
        <v>IN-BLR-ANANTA-VAV-121_1</v>
      </c>
      <c r="Q549" s="173" t="s">
        <v>3220</v>
      </c>
      <c r="R549" s="328" t="str">
        <f>IFS(C549="","",C549="n/a","N/A",LEN(C549),Concatenate("{",char(34),"asset",char(34),":{",char(34),"guid",char(34),":",char(34),Q549,char(34),",",char(34),"site",char(34),":",char(34),LOWER('2-Building'!$B$4),char(34),",",char(34),"name",char(34),":",char(34),LOWER(C549),char(34),"}}"))</f>
        <v>{"asset":{"guid":"uuid://431e6be7-a0c1-4b03-b90e-26a10958c8fc","site":"in-blr-ananta","name":"vav-121"}}</v>
      </c>
      <c r="S549" s="237" t="s">
        <v>2866</v>
      </c>
      <c r="T549" s="330"/>
      <c r="U549" s="330"/>
      <c r="V549" s="331"/>
      <c r="W549" s="344"/>
      <c r="X549" s="341"/>
      <c r="Y549" s="33" t="s">
        <v>2867</v>
      </c>
      <c r="Z549" s="258">
        <v>120121.0</v>
      </c>
      <c r="AA549" s="334">
        <v>11525.0</v>
      </c>
      <c r="AB549" s="341"/>
      <c r="AC549" s="341"/>
      <c r="AD549" s="343"/>
      <c r="AE549" s="331"/>
      <c r="AF549" s="348"/>
      <c r="AG549" s="337"/>
      <c r="AH549" s="341"/>
      <c r="AI549" s="341"/>
      <c r="AJ549" s="341"/>
      <c r="AK549" s="341"/>
      <c r="AL549" s="341"/>
      <c r="AM549" s="338"/>
      <c r="AN549" s="341"/>
      <c r="AO549" s="341"/>
      <c r="AP549" s="341"/>
      <c r="AQ549" s="341"/>
      <c r="AR549" s="341"/>
      <c r="AS549" s="341"/>
      <c r="AT549" s="341"/>
      <c r="AU549" s="343"/>
      <c r="AV549" s="341"/>
      <c r="AW549" s="269" t="s">
        <v>2013</v>
      </c>
      <c r="AX549" s="334" t="s">
        <v>2869</v>
      </c>
      <c r="AY549" s="270" t="s">
        <v>695</v>
      </c>
      <c r="AZ549" s="270" t="s">
        <v>2866</v>
      </c>
      <c r="BA549" s="265">
        <v>10.0</v>
      </c>
      <c r="BB549" s="174" t="s">
        <v>245</v>
      </c>
      <c r="BC549" s="341"/>
      <c r="BD549" s="308"/>
      <c r="BE549" s="347"/>
      <c r="BF549" s="274" t="str">
        <f>IFERROR(__xludf.DUMMYFUNCTION("LOWER(Regexreplace(to_text(E549),""[^A-Za-z0-9]"","""")&amp;""_""&amp;Regexreplace(to_text(F549),""[^A-Za-z0-9]"",""""))"),"neptronic_evcbseries")</f>
        <v>neptronic_evcbseries</v>
      </c>
      <c r="BG549" s="275" t="str">
        <f>IFERROR(__xludf.DUMMYFUNCTION("upper(Regexreplace(to_text(E549),""[^A-Za-z0-9]"","""")&amp;""-""&amp;Regexreplace(to_text(F549),""[^A-Za-z0-9]"",""""))"),"NEPTRONIC-EVCBSERIES")</f>
        <v>NEPTRONIC-EVCBSERIES</v>
      </c>
    </row>
    <row r="550" ht="30.0" customHeight="1">
      <c r="A550" s="258">
        <v>542.0</v>
      </c>
      <c r="B550" s="237" t="s">
        <v>670</v>
      </c>
      <c r="C550" s="257" t="s">
        <v>3221</v>
      </c>
      <c r="D550" s="173" t="s">
        <v>3221</v>
      </c>
      <c r="E550" s="174" t="s">
        <v>2861</v>
      </c>
      <c r="F550" s="173" t="s">
        <v>2862</v>
      </c>
      <c r="G550" s="328" t="s">
        <v>673</v>
      </c>
      <c r="H550" s="328" t="s">
        <v>2863</v>
      </c>
      <c r="I550" s="258" t="s">
        <v>2864</v>
      </c>
      <c r="J550" s="259" t="s">
        <v>846</v>
      </c>
      <c r="K550" s="260" t="s">
        <v>3222</v>
      </c>
      <c r="L550" s="328"/>
      <c r="M550" s="343"/>
      <c r="N550" s="173" t="s">
        <v>679</v>
      </c>
      <c r="O550" s="173" t="s">
        <v>225</v>
      </c>
      <c r="P550" s="262" t="str">
        <f t="shared" si="1"/>
        <v>IN-BLR-ANANTA-VAV-122_1</v>
      </c>
      <c r="Q550" s="173" t="s">
        <v>3223</v>
      </c>
      <c r="R550" s="328" t="str">
        <f>IFS(C550="","",C550="n/a","N/A",LEN(C550),Concatenate("{",char(34),"asset",char(34),":{",char(34),"guid",char(34),":",char(34),Q550,char(34),",",char(34),"site",char(34),":",char(34),LOWER('2-Building'!$B$4),char(34),",",char(34),"name",char(34),":",char(34),LOWER(C550),char(34),"}}"))</f>
        <v>{"asset":{"guid":"uuid://cc584d60-626a-450b-8b01-fe2b8d395aa8","site":"in-blr-ananta","name":"vav-122"}}</v>
      </c>
      <c r="S550" s="237" t="s">
        <v>2866</v>
      </c>
      <c r="T550" s="330"/>
      <c r="U550" s="330"/>
      <c r="V550" s="331"/>
      <c r="W550" s="344"/>
      <c r="X550" s="341"/>
      <c r="Y550" s="33" t="s">
        <v>2867</v>
      </c>
      <c r="Z550" s="258">
        <v>120122.0</v>
      </c>
      <c r="AA550" s="334">
        <v>11525.0</v>
      </c>
      <c r="AB550" s="341"/>
      <c r="AC550" s="341"/>
      <c r="AD550" s="343"/>
      <c r="AE550" s="331"/>
      <c r="AF550" s="348"/>
      <c r="AG550" s="337"/>
      <c r="AH550" s="341"/>
      <c r="AI550" s="341"/>
      <c r="AJ550" s="341"/>
      <c r="AK550" s="341"/>
      <c r="AL550" s="341"/>
      <c r="AM550" s="338"/>
      <c r="AN550" s="341"/>
      <c r="AO550" s="341"/>
      <c r="AP550" s="341"/>
      <c r="AQ550" s="341"/>
      <c r="AR550" s="341"/>
      <c r="AS550" s="341"/>
      <c r="AT550" s="341"/>
      <c r="AU550" s="343"/>
      <c r="AV550" s="341"/>
      <c r="AW550" s="269" t="s">
        <v>2013</v>
      </c>
      <c r="AX550" s="334" t="s">
        <v>2869</v>
      </c>
      <c r="AY550" s="270" t="s">
        <v>695</v>
      </c>
      <c r="AZ550" s="270" t="s">
        <v>2866</v>
      </c>
      <c r="BA550" s="265">
        <v>10.0</v>
      </c>
      <c r="BB550" s="174" t="s">
        <v>245</v>
      </c>
      <c r="BC550" s="341"/>
      <c r="BD550" s="308"/>
      <c r="BE550" s="347"/>
      <c r="BF550" s="274" t="str">
        <f>IFERROR(__xludf.DUMMYFUNCTION("LOWER(Regexreplace(to_text(E550),""[^A-Za-z0-9]"","""")&amp;""_""&amp;Regexreplace(to_text(F550),""[^A-Za-z0-9]"",""""))"),"neptronic_evcbseries")</f>
        <v>neptronic_evcbseries</v>
      </c>
      <c r="BG550" s="275" t="str">
        <f>IFERROR(__xludf.DUMMYFUNCTION("upper(Regexreplace(to_text(E550),""[^A-Za-z0-9]"","""")&amp;""-""&amp;Regexreplace(to_text(F550),""[^A-Za-z0-9]"",""""))"),"NEPTRONIC-EVCBSERIES")</f>
        <v>NEPTRONIC-EVCBSERIES</v>
      </c>
    </row>
    <row r="551" ht="30.0" customHeight="1">
      <c r="A551" s="173">
        <v>543.0</v>
      </c>
      <c r="B551" s="237" t="s">
        <v>670</v>
      </c>
      <c r="C551" s="257" t="s">
        <v>3224</v>
      </c>
      <c r="D551" s="173" t="s">
        <v>3224</v>
      </c>
      <c r="E551" s="174" t="s">
        <v>2861</v>
      </c>
      <c r="F551" s="173" t="s">
        <v>2862</v>
      </c>
      <c r="G551" s="328" t="s">
        <v>673</v>
      </c>
      <c r="H551" s="328" t="s">
        <v>2863</v>
      </c>
      <c r="I551" s="258" t="s">
        <v>2864</v>
      </c>
      <c r="J551" s="259" t="s">
        <v>846</v>
      </c>
      <c r="K551" s="260" t="s">
        <v>3225</v>
      </c>
      <c r="L551" s="328"/>
      <c r="M551" s="343"/>
      <c r="N551" s="173" t="s">
        <v>679</v>
      </c>
      <c r="O551" s="173" t="s">
        <v>225</v>
      </c>
      <c r="P551" s="262" t="str">
        <f t="shared" si="1"/>
        <v>IN-BLR-ANANTA-VAV-123_1</v>
      </c>
      <c r="Q551" s="173" t="s">
        <v>3226</v>
      </c>
      <c r="R551" s="328" t="str">
        <f>IFS(C551="","",C551="n/a","N/A",LEN(C551),Concatenate("{",char(34),"asset",char(34),":{",char(34),"guid",char(34),":",char(34),Q551,char(34),",",char(34),"site",char(34),":",char(34),LOWER('2-Building'!$B$4),char(34),",",char(34),"name",char(34),":",char(34),LOWER(C551),char(34),"}}"))</f>
        <v>{"asset":{"guid":"uuid://a46e6566-ba7b-4588-b040-c235eed835c0","site":"in-blr-ananta","name":"vav-123"}}</v>
      </c>
      <c r="S551" s="237" t="s">
        <v>2866</v>
      </c>
      <c r="T551" s="330"/>
      <c r="U551" s="330"/>
      <c r="V551" s="331"/>
      <c r="W551" s="344"/>
      <c r="X551" s="341"/>
      <c r="Y551" s="33" t="s">
        <v>2867</v>
      </c>
      <c r="Z551" s="258">
        <v>120123.0</v>
      </c>
      <c r="AA551" s="334">
        <v>11525.0</v>
      </c>
      <c r="AB551" s="341"/>
      <c r="AC551" s="341"/>
      <c r="AD551" s="343"/>
      <c r="AE551" s="331"/>
      <c r="AF551" s="348"/>
      <c r="AG551" s="337"/>
      <c r="AH551" s="341"/>
      <c r="AI551" s="341"/>
      <c r="AJ551" s="341"/>
      <c r="AK551" s="341"/>
      <c r="AL551" s="341"/>
      <c r="AM551" s="338"/>
      <c r="AN551" s="341"/>
      <c r="AO551" s="341"/>
      <c r="AP551" s="341"/>
      <c r="AQ551" s="341"/>
      <c r="AR551" s="341"/>
      <c r="AS551" s="341"/>
      <c r="AT551" s="341"/>
      <c r="AU551" s="343"/>
      <c r="AV551" s="341"/>
      <c r="AW551" s="269" t="s">
        <v>2013</v>
      </c>
      <c r="AX551" s="334" t="s">
        <v>2869</v>
      </c>
      <c r="AY551" s="270" t="s">
        <v>695</v>
      </c>
      <c r="AZ551" s="270" t="s">
        <v>2866</v>
      </c>
      <c r="BA551" s="265">
        <v>10.0</v>
      </c>
      <c r="BB551" s="174" t="s">
        <v>245</v>
      </c>
      <c r="BC551" s="341"/>
      <c r="BD551" s="308"/>
      <c r="BE551" s="347"/>
      <c r="BF551" s="274" t="str">
        <f>IFERROR(__xludf.DUMMYFUNCTION("LOWER(Regexreplace(to_text(E551),""[^A-Za-z0-9]"","""")&amp;""_""&amp;Regexreplace(to_text(F551),""[^A-Za-z0-9]"",""""))"),"neptronic_evcbseries")</f>
        <v>neptronic_evcbseries</v>
      </c>
      <c r="BG551" s="275" t="str">
        <f>IFERROR(__xludf.DUMMYFUNCTION("upper(Regexreplace(to_text(E551),""[^A-Za-z0-9]"","""")&amp;""-""&amp;Regexreplace(to_text(F551),""[^A-Za-z0-9]"",""""))"),"NEPTRONIC-EVCBSERIES")</f>
        <v>NEPTRONIC-EVCBSERIES</v>
      </c>
    </row>
    <row r="552" ht="30.0" customHeight="1">
      <c r="A552" s="258">
        <v>544.0</v>
      </c>
      <c r="B552" s="237" t="s">
        <v>670</v>
      </c>
      <c r="C552" s="257" t="s">
        <v>3227</v>
      </c>
      <c r="D552" s="173" t="s">
        <v>3227</v>
      </c>
      <c r="E552" s="174" t="s">
        <v>2861</v>
      </c>
      <c r="F552" s="173" t="s">
        <v>2862</v>
      </c>
      <c r="G552" s="328" t="s">
        <v>673</v>
      </c>
      <c r="H552" s="328" t="s">
        <v>2863</v>
      </c>
      <c r="I552" s="258" t="s">
        <v>2864</v>
      </c>
      <c r="J552" s="259" t="s">
        <v>846</v>
      </c>
      <c r="K552" s="260" t="s">
        <v>3228</v>
      </c>
      <c r="L552" s="328"/>
      <c r="M552" s="343"/>
      <c r="N552" s="173" t="s">
        <v>679</v>
      </c>
      <c r="O552" s="173" t="s">
        <v>225</v>
      </c>
      <c r="P552" s="262" t="str">
        <f t="shared" si="1"/>
        <v>IN-BLR-ANANTA-VAV-124_1</v>
      </c>
      <c r="Q552" s="173" t="s">
        <v>3229</v>
      </c>
      <c r="R552" s="328" t="str">
        <f>IFS(C552="","",C552="n/a","N/A",LEN(C552),Concatenate("{",char(34),"asset",char(34),":{",char(34),"guid",char(34),":",char(34),Q552,char(34),",",char(34),"site",char(34),":",char(34),LOWER('2-Building'!$B$4),char(34),",",char(34),"name",char(34),":",char(34),LOWER(C552),char(34),"}}"))</f>
        <v>{"asset":{"guid":"uuid://a4d134c1-c1e4-4328-8466-774fd6426744","site":"in-blr-ananta","name":"vav-124"}}</v>
      </c>
      <c r="S552" s="237" t="s">
        <v>2866</v>
      </c>
      <c r="T552" s="330"/>
      <c r="U552" s="330"/>
      <c r="V552" s="331"/>
      <c r="W552" s="344"/>
      <c r="X552" s="341"/>
      <c r="Y552" s="33" t="s">
        <v>2867</v>
      </c>
      <c r="Z552" s="258">
        <v>120124.0</v>
      </c>
      <c r="AA552" s="334">
        <v>11525.0</v>
      </c>
      <c r="AB552" s="341"/>
      <c r="AC552" s="341"/>
      <c r="AD552" s="343"/>
      <c r="AE552" s="331"/>
      <c r="AF552" s="348"/>
      <c r="AG552" s="337"/>
      <c r="AH552" s="341"/>
      <c r="AI552" s="341"/>
      <c r="AJ552" s="341"/>
      <c r="AK552" s="341"/>
      <c r="AL552" s="341"/>
      <c r="AM552" s="338"/>
      <c r="AN552" s="341"/>
      <c r="AO552" s="341"/>
      <c r="AP552" s="341"/>
      <c r="AQ552" s="341"/>
      <c r="AR552" s="341"/>
      <c r="AS552" s="341"/>
      <c r="AT552" s="341"/>
      <c r="AU552" s="343"/>
      <c r="AV552" s="341"/>
      <c r="AW552" s="269" t="s">
        <v>2013</v>
      </c>
      <c r="AX552" s="334" t="s">
        <v>2869</v>
      </c>
      <c r="AY552" s="270" t="s">
        <v>695</v>
      </c>
      <c r="AZ552" s="270" t="s">
        <v>2866</v>
      </c>
      <c r="BA552" s="265">
        <v>10.0</v>
      </c>
      <c r="BB552" s="174" t="s">
        <v>245</v>
      </c>
      <c r="BC552" s="341"/>
      <c r="BD552" s="308"/>
      <c r="BE552" s="347"/>
      <c r="BF552" s="274" t="str">
        <f>IFERROR(__xludf.DUMMYFUNCTION("LOWER(Regexreplace(to_text(E552),""[^A-Za-z0-9]"","""")&amp;""_""&amp;Regexreplace(to_text(F552),""[^A-Za-z0-9]"",""""))"),"neptronic_evcbseries")</f>
        <v>neptronic_evcbseries</v>
      </c>
      <c r="BG552" s="275" t="str">
        <f>IFERROR(__xludf.DUMMYFUNCTION("upper(Regexreplace(to_text(E552),""[^A-Za-z0-9]"","""")&amp;""-""&amp;Regexreplace(to_text(F552),""[^A-Za-z0-9]"",""""))"),"NEPTRONIC-EVCBSERIES")</f>
        <v>NEPTRONIC-EVCBSERIES</v>
      </c>
    </row>
    <row r="553" ht="30.0" customHeight="1">
      <c r="A553" s="173">
        <v>545.0</v>
      </c>
      <c r="B553" s="237" t="s">
        <v>670</v>
      </c>
      <c r="C553" s="257" t="s">
        <v>3230</v>
      </c>
      <c r="D553" s="173" t="s">
        <v>3230</v>
      </c>
      <c r="E553" s="174" t="s">
        <v>2861</v>
      </c>
      <c r="F553" s="173" t="s">
        <v>2862</v>
      </c>
      <c r="G553" s="328" t="s">
        <v>673</v>
      </c>
      <c r="H553" s="328" t="s">
        <v>2863</v>
      </c>
      <c r="I553" s="258" t="s">
        <v>2864</v>
      </c>
      <c r="J553" s="259" t="s">
        <v>846</v>
      </c>
      <c r="K553" s="260" t="s">
        <v>3231</v>
      </c>
      <c r="L553" s="328"/>
      <c r="M553" s="343"/>
      <c r="N553" s="173" t="s">
        <v>679</v>
      </c>
      <c r="O553" s="173" t="s">
        <v>225</v>
      </c>
      <c r="P553" s="262" t="str">
        <f t="shared" si="1"/>
        <v>IN-BLR-ANANTA-VAV-125_1</v>
      </c>
      <c r="Q553" s="173" t="s">
        <v>3232</v>
      </c>
      <c r="R553" s="328" t="str">
        <f>IFS(C553="","",C553="n/a","N/A",LEN(C553),Concatenate("{",char(34),"asset",char(34),":{",char(34),"guid",char(34),":",char(34),Q553,char(34),",",char(34),"site",char(34),":",char(34),LOWER('2-Building'!$B$4),char(34),",",char(34),"name",char(34),":",char(34),LOWER(C553),char(34),"}}"))</f>
        <v>{"asset":{"guid":"uuid://3a0160aa-7b80-4dae-8246-aed9b87eb395","site":"in-blr-ananta","name":"vav-125"}}</v>
      </c>
      <c r="S553" s="237" t="s">
        <v>2866</v>
      </c>
      <c r="T553" s="330"/>
      <c r="U553" s="330"/>
      <c r="V553" s="331"/>
      <c r="W553" s="344"/>
      <c r="X553" s="341"/>
      <c r="Y553" s="33" t="s">
        <v>2867</v>
      </c>
      <c r="Z553" s="258">
        <v>120125.0</v>
      </c>
      <c r="AA553" s="334">
        <v>11525.0</v>
      </c>
      <c r="AB553" s="341"/>
      <c r="AC553" s="341"/>
      <c r="AD553" s="343"/>
      <c r="AE553" s="331"/>
      <c r="AF553" s="348"/>
      <c r="AG553" s="337"/>
      <c r="AH553" s="341"/>
      <c r="AI553" s="341"/>
      <c r="AJ553" s="341"/>
      <c r="AK553" s="341"/>
      <c r="AL553" s="341"/>
      <c r="AM553" s="338"/>
      <c r="AN553" s="341"/>
      <c r="AO553" s="341"/>
      <c r="AP553" s="341"/>
      <c r="AQ553" s="341"/>
      <c r="AR553" s="341"/>
      <c r="AS553" s="341"/>
      <c r="AT553" s="341"/>
      <c r="AU553" s="343"/>
      <c r="AV553" s="341"/>
      <c r="AW553" s="269" t="s">
        <v>2013</v>
      </c>
      <c r="AX553" s="334" t="s">
        <v>2869</v>
      </c>
      <c r="AY553" s="270" t="s">
        <v>695</v>
      </c>
      <c r="AZ553" s="270" t="s">
        <v>2866</v>
      </c>
      <c r="BA553" s="265">
        <v>10.0</v>
      </c>
      <c r="BB553" s="174" t="s">
        <v>245</v>
      </c>
      <c r="BC553" s="341"/>
      <c r="BD553" s="308"/>
      <c r="BE553" s="347"/>
      <c r="BF553" s="274" t="str">
        <f>IFERROR(__xludf.DUMMYFUNCTION("LOWER(Regexreplace(to_text(E553),""[^A-Za-z0-9]"","""")&amp;""_""&amp;Regexreplace(to_text(F553),""[^A-Za-z0-9]"",""""))"),"neptronic_evcbseries")</f>
        <v>neptronic_evcbseries</v>
      </c>
      <c r="BG553" s="275" t="str">
        <f>IFERROR(__xludf.DUMMYFUNCTION("upper(Regexreplace(to_text(E553),""[^A-Za-z0-9]"","""")&amp;""-""&amp;Regexreplace(to_text(F553),""[^A-Za-z0-9]"",""""))"),"NEPTRONIC-EVCBSERIES")</f>
        <v>NEPTRONIC-EVCBSERIES</v>
      </c>
    </row>
    <row r="554" ht="30.0" customHeight="1">
      <c r="A554" s="258">
        <v>546.0</v>
      </c>
      <c r="B554" s="237" t="s">
        <v>670</v>
      </c>
      <c r="C554" s="257" t="s">
        <v>3233</v>
      </c>
      <c r="D554" s="173" t="s">
        <v>3233</v>
      </c>
      <c r="E554" s="174" t="s">
        <v>2861</v>
      </c>
      <c r="F554" s="173" t="s">
        <v>2862</v>
      </c>
      <c r="G554" s="328" t="s">
        <v>673</v>
      </c>
      <c r="H554" s="328" t="s">
        <v>2863</v>
      </c>
      <c r="I554" s="258" t="s">
        <v>2864</v>
      </c>
      <c r="J554" s="259" t="s">
        <v>846</v>
      </c>
      <c r="K554" s="260" t="s">
        <v>3234</v>
      </c>
      <c r="L554" s="328"/>
      <c r="M554" s="343"/>
      <c r="N554" s="173" t="s">
        <v>679</v>
      </c>
      <c r="O554" s="173" t="s">
        <v>225</v>
      </c>
      <c r="P554" s="262" t="str">
        <f t="shared" si="1"/>
        <v>IN-BLR-ANANTA-VAV-126_1</v>
      </c>
      <c r="Q554" s="173" t="s">
        <v>3235</v>
      </c>
      <c r="R554" s="328" t="str">
        <f>IFS(C554="","",C554="n/a","N/A",LEN(C554),Concatenate("{",char(34),"asset",char(34),":{",char(34),"guid",char(34),":",char(34),Q554,char(34),",",char(34),"site",char(34),":",char(34),LOWER('2-Building'!$B$4),char(34),",",char(34),"name",char(34),":",char(34),LOWER(C554),char(34),"}}"))</f>
        <v>{"asset":{"guid":"uuid://c9c34094-1481-4998-9e2b-708872dd006e","site":"in-blr-ananta","name":"vav-126"}}</v>
      </c>
      <c r="S554" s="237" t="s">
        <v>2866</v>
      </c>
      <c r="T554" s="330"/>
      <c r="U554" s="330"/>
      <c r="V554" s="331"/>
      <c r="W554" s="344"/>
      <c r="X554" s="341"/>
      <c r="Y554" s="33" t="s">
        <v>2867</v>
      </c>
      <c r="Z554" s="258">
        <v>120126.0</v>
      </c>
      <c r="AA554" s="334">
        <v>11525.0</v>
      </c>
      <c r="AB554" s="341"/>
      <c r="AC554" s="341"/>
      <c r="AD554" s="343"/>
      <c r="AE554" s="331"/>
      <c r="AF554" s="348"/>
      <c r="AG554" s="337"/>
      <c r="AH554" s="341"/>
      <c r="AI554" s="341"/>
      <c r="AJ554" s="341"/>
      <c r="AK554" s="341"/>
      <c r="AL554" s="341"/>
      <c r="AM554" s="338"/>
      <c r="AN554" s="341"/>
      <c r="AO554" s="341"/>
      <c r="AP554" s="341"/>
      <c r="AQ554" s="341"/>
      <c r="AR554" s="341"/>
      <c r="AS554" s="341"/>
      <c r="AT554" s="341"/>
      <c r="AU554" s="343"/>
      <c r="AV554" s="341"/>
      <c r="AW554" s="269" t="s">
        <v>2013</v>
      </c>
      <c r="AX554" s="334" t="s">
        <v>2869</v>
      </c>
      <c r="AY554" s="270" t="s">
        <v>695</v>
      </c>
      <c r="AZ554" s="270" t="s">
        <v>2866</v>
      </c>
      <c r="BA554" s="265">
        <v>10.0</v>
      </c>
      <c r="BB554" s="174" t="s">
        <v>245</v>
      </c>
      <c r="BC554" s="341"/>
      <c r="BD554" s="308"/>
      <c r="BE554" s="347"/>
      <c r="BF554" s="274" t="str">
        <f>IFERROR(__xludf.DUMMYFUNCTION("LOWER(Regexreplace(to_text(E554),""[^A-Za-z0-9]"","""")&amp;""_""&amp;Regexreplace(to_text(F554),""[^A-Za-z0-9]"",""""))"),"neptronic_evcbseries")</f>
        <v>neptronic_evcbseries</v>
      </c>
      <c r="BG554" s="275" t="str">
        <f>IFERROR(__xludf.DUMMYFUNCTION("upper(Regexreplace(to_text(E554),""[^A-Za-z0-9]"","""")&amp;""-""&amp;Regexreplace(to_text(F554),""[^A-Za-z0-9]"",""""))"),"NEPTRONIC-EVCBSERIES")</f>
        <v>NEPTRONIC-EVCBSERIES</v>
      </c>
    </row>
    <row r="555" ht="30.0" customHeight="1">
      <c r="A555" s="173">
        <v>547.0</v>
      </c>
      <c r="B555" s="237" t="s">
        <v>670</v>
      </c>
      <c r="C555" s="257" t="s">
        <v>3236</v>
      </c>
      <c r="D555" s="173" t="s">
        <v>3236</v>
      </c>
      <c r="E555" s="174" t="s">
        <v>2861</v>
      </c>
      <c r="F555" s="173" t="s">
        <v>2862</v>
      </c>
      <c r="G555" s="328" t="s">
        <v>673</v>
      </c>
      <c r="H555" s="328" t="s">
        <v>2863</v>
      </c>
      <c r="I555" s="258" t="s">
        <v>2864</v>
      </c>
      <c r="J555" s="259" t="s">
        <v>846</v>
      </c>
      <c r="K555" s="260" t="s">
        <v>3237</v>
      </c>
      <c r="L555" s="328"/>
      <c r="M555" s="343"/>
      <c r="N555" s="173" t="s">
        <v>679</v>
      </c>
      <c r="O555" s="173" t="s">
        <v>225</v>
      </c>
      <c r="P555" s="262" t="str">
        <f t="shared" si="1"/>
        <v>IN-BLR-ANANTA-VAV-127_1</v>
      </c>
      <c r="Q555" s="173" t="s">
        <v>3238</v>
      </c>
      <c r="R555" s="328" t="str">
        <f>IFS(C555="","",C555="n/a","N/A",LEN(C555),Concatenate("{",char(34),"asset",char(34),":{",char(34),"guid",char(34),":",char(34),Q555,char(34),",",char(34),"site",char(34),":",char(34),LOWER('2-Building'!$B$4),char(34),",",char(34),"name",char(34),":",char(34),LOWER(C555),char(34),"}}"))</f>
        <v>{"asset":{"guid":"uuid://01856a8d-2f93-46a5-bf59-e9d0365b4553","site":"in-blr-ananta","name":"vav-127"}}</v>
      </c>
      <c r="S555" s="237" t="s">
        <v>2866</v>
      </c>
      <c r="T555" s="330"/>
      <c r="U555" s="330"/>
      <c r="V555" s="331"/>
      <c r="W555" s="344"/>
      <c r="X555" s="341"/>
      <c r="Y555" s="33" t="s">
        <v>2867</v>
      </c>
      <c r="Z555" s="258">
        <v>120127.0</v>
      </c>
      <c r="AA555" s="334">
        <v>11525.0</v>
      </c>
      <c r="AB555" s="341"/>
      <c r="AC555" s="341"/>
      <c r="AD555" s="343"/>
      <c r="AE555" s="331"/>
      <c r="AF555" s="348"/>
      <c r="AG555" s="337"/>
      <c r="AH555" s="341"/>
      <c r="AI555" s="341"/>
      <c r="AJ555" s="341"/>
      <c r="AK555" s="341"/>
      <c r="AL555" s="341"/>
      <c r="AM555" s="338"/>
      <c r="AN555" s="341"/>
      <c r="AO555" s="341"/>
      <c r="AP555" s="341"/>
      <c r="AQ555" s="341"/>
      <c r="AR555" s="341"/>
      <c r="AS555" s="341"/>
      <c r="AT555" s="341"/>
      <c r="AU555" s="343"/>
      <c r="AV555" s="341"/>
      <c r="AW555" s="269" t="s">
        <v>2013</v>
      </c>
      <c r="AX555" s="334" t="s">
        <v>2869</v>
      </c>
      <c r="AY555" s="270" t="s">
        <v>695</v>
      </c>
      <c r="AZ555" s="270" t="s">
        <v>2866</v>
      </c>
      <c r="BA555" s="265">
        <v>10.0</v>
      </c>
      <c r="BB555" s="174" t="s">
        <v>245</v>
      </c>
      <c r="BC555" s="341"/>
      <c r="BD555" s="308"/>
      <c r="BE555" s="347"/>
      <c r="BF555" s="274" t="str">
        <f>IFERROR(__xludf.DUMMYFUNCTION("LOWER(Regexreplace(to_text(E555),""[^A-Za-z0-9]"","""")&amp;""_""&amp;Regexreplace(to_text(F555),""[^A-Za-z0-9]"",""""))"),"neptronic_evcbseries")</f>
        <v>neptronic_evcbseries</v>
      </c>
      <c r="BG555" s="275" t="str">
        <f>IFERROR(__xludf.DUMMYFUNCTION("upper(Regexreplace(to_text(E555),""[^A-Za-z0-9]"","""")&amp;""-""&amp;Regexreplace(to_text(F555),""[^A-Za-z0-9]"",""""))"),"NEPTRONIC-EVCBSERIES")</f>
        <v>NEPTRONIC-EVCBSERIES</v>
      </c>
    </row>
    <row r="556" ht="30.0" customHeight="1">
      <c r="A556" s="258">
        <v>548.0</v>
      </c>
      <c r="B556" s="237" t="s">
        <v>670</v>
      </c>
      <c r="C556" s="257" t="s">
        <v>3239</v>
      </c>
      <c r="D556" s="173" t="s">
        <v>3239</v>
      </c>
      <c r="E556" s="174" t="s">
        <v>2861</v>
      </c>
      <c r="F556" s="173" t="s">
        <v>2862</v>
      </c>
      <c r="G556" s="328" t="s">
        <v>673</v>
      </c>
      <c r="H556" s="328" t="s">
        <v>2863</v>
      </c>
      <c r="I556" s="258" t="s">
        <v>2864</v>
      </c>
      <c r="J556" s="259" t="s">
        <v>846</v>
      </c>
      <c r="K556" s="260" t="s">
        <v>3240</v>
      </c>
      <c r="L556" s="328"/>
      <c r="M556" s="343"/>
      <c r="N556" s="173" t="s">
        <v>679</v>
      </c>
      <c r="O556" s="173" t="s">
        <v>225</v>
      </c>
      <c r="P556" s="262" t="str">
        <f t="shared" si="1"/>
        <v>IN-BLR-ANANTA-VAV-128_1</v>
      </c>
      <c r="Q556" s="173" t="s">
        <v>3241</v>
      </c>
      <c r="R556" s="328" t="str">
        <f>IFS(C556="","",C556="n/a","N/A",LEN(C556),Concatenate("{",char(34),"asset",char(34),":{",char(34),"guid",char(34),":",char(34),Q556,char(34),",",char(34),"site",char(34),":",char(34),LOWER('2-Building'!$B$4),char(34),",",char(34),"name",char(34),":",char(34),LOWER(C556),char(34),"}}"))</f>
        <v>{"asset":{"guid":"uuid://608e187e-3706-499c-9686-9bd208e833f7","site":"in-blr-ananta","name":"vav-128"}}</v>
      </c>
      <c r="S556" s="237" t="s">
        <v>2866</v>
      </c>
      <c r="T556" s="330"/>
      <c r="U556" s="330"/>
      <c r="V556" s="331"/>
      <c r="W556" s="344"/>
      <c r="X556" s="341"/>
      <c r="Y556" s="33" t="s">
        <v>2867</v>
      </c>
      <c r="Z556" s="258">
        <v>120128.0</v>
      </c>
      <c r="AA556" s="334">
        <v>11525.0</v>
      </c>
      <c r="AB556" s="341"/>
      <c r="AC556" s="341"/>
      <c r="AD556" s="343"/>
      <c r="AE556" s="331"/>
      <c r="AF556" s="348"/>
      <c r="AG556" s="337"/>
      <c r="AH556" s="341"/>
      <c r="AI556" s="341"/>
      <c r="AJ556" s="341"/>
      <c r="AK556" s="341"/>
      <c r="AL556" s="341"/>
      <c r="AM556" s="338"/>
      <c r="AN556" s="341"/>
      <c r="AO556" s="341"/>
      <c r="AP556" s="341"/>
      <c r="AQ556" s="341"/>
      <c r="AR556" s="341"/>
      <c r="AS556" s="341"/>
      <c r="AT556" s="341"/>
      <c r="AU556" s="343"/>
      <c r="AV556" s="341"/>
      <c r="AW556" s="269" t="s">
        <v>2013</v>
      </c>
      <c r="AX556" s="334" t="s">
        <v>2869</v>
      </c>
      <c r="AY556" s="270" t="s">
        <v>695</v>
      </c>
      <c r="AZ556" s="270" t="s">
        <v>2866</v>
      </c>
      <c r="BA556" s="265">
        <v>10.0</v>
      </c>
      <c r="BB556" s="174" t="s">
        <v>245</v>
      </c>
      <c r="BC556" s="341"/>
      <c r="BD556" s="308"/>
      <c r="BE556" s="347"/>
      <c r="BF556" s="274" t="str">
        <f>IFERROR(__xludf.DUMMYFUNCTION("LOWER(Regexreplace(to_text(E556),""[^A-Za-z0-9]"","""")&amp;""_""&amp;Regexreplace(to_text(F556),""[^A-Za-z0-9]"",""""))"),"neptronic_evcbseries")</f>
        <v>neptronic_evcbseries</v>
      </c>
      <c r="BG556" s="275" t="str">
        <f>IFERROR(__xludf.DUMMYFUNCTION("upper(Regexreplace(to_text(E556),""[^A-Za-z0-9]"","""")&amp;""-""&amp;Regexreplace(to_text(F556),""[^A-Za-z0-9]"",""""))"),"NEPTRONIC-EVCBSERIES")</f>
        <v>NEPTRONIC-EVCBSERIES</v>
      </c>
    </row>
    <row r="557" ht="30.0" customHeight="1">
      <c r="A557" s="173">
        <v>549.0</v>
      </c>
      <c r="B557" s="237" t="s">
        <v>670</v>
      </c>
      <c r="C557" s="257" t="s">
        <v>3242</v>
      </c>
      <c r="D557" s="173" t="s">
        <v>3242</v>
      </c>
      <c r="E557" s="174" t="s">
        <v>2861</v>
      </c>
      <c r="F557" s="173" t="s">
        <v>2862</v>
      </c>
      <c r="G557" s="328" t="s">
        <v>673</v>
      </c>
      <c r="H557" s="328" t="s">
        <v>2863</v>
      </c>
      <c r="I557" s="258" t="s">
        <v>2864</v>
      </c>
      <c r="J557" s="259" t="s">
        <v>846</v>
      </c>
      <c r="K557" s="260" t="s">
        <v>3243</v>
      </c>
      <c r="L557" s="328"/>
      <c r="M557" s="343"/>
      <c r="N557" s="173" t="s">
        <v>679</v>
      </c>
      <c r="O557" s="173" t="s">
        <v>225</v>
      </c>
      <c r="P557" s="262" t="str">
        <f t="shared" si="1"/>
        <v>IN-BLR-ANANTA-VAV-129_1</v>
      </c>
      <c r="Q557" s="173" t="s">
        <v>3244</v>
      </c>
      <c r="R557" s="328" t="str">
        <f>IFS(C557="","",C557="n/a","N/A",LEN(C557),Concatenate("{",char(34),"asset",char(34),":{",char(34),"guid",char(34),":",char(34),Q557,char(34),",",char(34),"site",char(34),":",char(34),LOWER('2-Building'!$B$4),char(34),",",char(34),"name",char(34),":",char(34),LOWER(C557),char(34),"}}"))</f>
        <v>{"asset":{"guid":"uuid://06a92d30-c939-438c-b6ea-f26cbd06e5e2","site":"in-blr-ananta","name":"vav-129"}}</v>
      </c>
      <c r="S557" s="237" t="s">
        <v>2866</v>
      </c>
      <c r="T557" s="330"/>
      <c r="U557" s="330"/>
      <c r="V557" s="331"/>
      <c r="W557" s="344"/>
      <c r="X557" s="341"/>
      <c r="Y557" s="33" t="s">
        <v>2867</v>
      </c>
      <c r="Z557" s="258">
        <v>120129.0</v>
      </c>
      <c r="AA557" s="334">
        <v>11525.0</v>
      </c>
      <c r="AB557" s="341"/>
      <c r="AC557" s="341"/>
      <c r="AD557" s="343"/>
      <c r="AE557" s="331"/>
      <c r="AF557" s="348"/>
      <c r="AG557" s="337"/>
      <c r="AH557" s="341"/>
      <c r="AI557" s="341"/>
      <c r="AJ557" s="341"/>
      <c r="AK557" s="341"/>
      <c r="AL557" s="341"/>
      <c r="AM557" s="338"/>
      <c r="AN557" s="341"/>
      <c r="AO557" s="341"/>
      <c r="AP557" s="341"/>
      <c r="AQ557" s="341"/>
      <c r="AR557" s="341"/>
      <c r="AS557" s="341"/>
      <c r="AT557" s="341"/>
      <c r="AU557" s="343"/>
      <c r="AV557" s="341"/>
      <c r="AW557" s="269" t="s">
        <v>2013</v>
      </c>
      <c r="AX557" s="334" t="s">
        <v>2869</v>
      </c>
      <c r="AY557" s="270" t="s">
        <v>695</v>
      </c>
      <c r="AZ557" s="270" t="s">
        <v>2866</v>
      </c>
      <c r="BA557" s="265">
        <v>10.0</v>
      </c>
      <c r="BB557" s="174" t="s">
        <v>245</v>
      </c>
      <c r="BC557" s="341"/>
      <c r="BD557" s="308"/>
      <c r="BE557" s="347"/>
      <c r="BF557" s="274" t="str">
        <f>IFERROR(__xludf.DUMMYFUNCTION("LOWER(Regexreplace(to_text(E557),""[^A-Za-z0-9]"","""")&amp;""_""&amp;Regexreplace(to_text(F557),""[^A-Za-z0-9]"",""""))"),"neptronic_evcbseries")</f>
        <v>neptronic_evcbseries</v>
      </c>
      <c r="BG557" s="275" t="str">
        <f>IFERROR(__xludf.DUMMYFUNCTION("upper(Regexreplace(to_text(E557),""[^A-Za-z0-9]"","""")&amp;""-""&amp;Regexreplace(to_text(F557),""[^A-Za-z0-9]"",""""))"),"NEPTRONIC-EVCBSERIES")</f>
        <v>NEPTRONIC-EVCBSERIES</v>
      </c>
    </row>
    <row r="558" ht="30.0" customHeight="1">
      <c r="A558" s="258">
        <v>550.0</v>
      </c>
      <c r="B558" s="237" t="s">
        <v>670</v>
      </c>
      <c r="C558" s="257" t="s">
        <v>3245</v>
      </c>
      <c r="D558" s="173" t="s">
        <v>3245</v>
      </c>
      <c r="E558" s="174" t="s">
        <v>2861</v>
      </c>
      <c r="F558" s="173" t="s">
        <v>2862</v>
      </c>
      <c r="G558" s="328" t="s">
        <v>673</v>
      </c>
      <c r="H558" s="328" t="s">
        <v>2863</v>
      </c>
      <c r="I558" s="258" t="s">
        <v>2864</v>
      </c>
      <c r="J558" s="259" t="s">
        <v>846</v>
      </c>
      <c r="K558" s="260" t="s">
        <v>3246</v>
      </c>
      <c r="L558" s="328"/>
      <c r="M558" s="343"/>
      <c r="N558" s="173" t="s">
        <v>679</v>
      </c>
      <c r="O558" s="173" t="s">
        <v>225</v>
      </c>
      <c r="P558" s="262" t="str">
        <f t="shared" si="1"/>
        <v>IN-BLR-ANANTA-VAV-130_1</v>
      </c>
      <c r="Q558" s="173" t="s">
        <v>3247</v>
      </c>
      <c r="R558" s="328" t="str">
        <f>IFS(C558="","",C558="n/a","N/A",LEN(C558),Concatenate("{",char(34),"asset",char(34),":{",char(34),"guid",char(34),":",char(34),Q558,char(34),",",char(34),"site",char(34),":",char(34),LOWER('2-Building'!$B$4),char(34),",",char(34),"name",char(34),":",char(34),LOWER(C558),char(34),"}}"))</f>
        <v>{"asset":{"guid":"uuid://cbfa92fa-8074-4be6-9fe4-f6c36ef2ee4f","site":"in-blr-ananta","name":"vav-130"}}</v>
      </c>
      <c r="S558" s="237" t="s">
        <v>2866</v>
      </c>
      <c r="T558" s="330"/>
      <c r="U558" s="330"/>
      <c r="V558" s="331"/>
      <c r="W558" s="344"/>
      <c r="X558" s="341"/>
      <c r="Y558" s="33" t="s">
        <v>2867</v>
      </c>
      <c r="Z558" s="258">
        <v>120130.0</v>
      </c>
      <c r="AA558" s="334">
        <v>11525.0</v>
      </c>
      <c r="AB558" s="341"/>
      <c r="AC558" s="341"/>
      <c r="AD558" s="343"/>
      <c r="AE558" s="331"/>
      <c r="AF558" s="348"/>
      <c r="AG558" s="337"/>
      <c r="AH558" s="341"/>
      <c r="AI558" s="341"/>
      <c r="AJ558" s="341"/>
      <c r="AK558" s="341"/>
      <c r="AL558" s="341"/>
      <c r="AM558" s="338"/>
      <c r="AN558" s="341"/>
      <c r="AO558" s="341"/>
      <c r="AP558" s="341"/>
      <c r="AQ558" s="341"/>
      <c r="AR558" s="341"/>
      <c r="AS558" s="341"/>
      <c r="AT558" s="341"/>
      <c r="AU558" s="343"/>
      <c r="AV558" s="341"/>
      <c r="AW558" s="269" t="s">
        <v>2013</v>
      </c>
      <c r="AX558" s="334" t="s">
        <v>2869</v>
      </c>
      <c r="AY558" s="270" t="s">
        <v>695</v>
      </c>
      <c r="AZ558" s="270" t="s">
        <v>2866</v>
      </c>
      <c r="BA558" s="265">
        <v>10.0</v>
      </c>
      <c r="BB558" s="174" t="s">
        <v>245</v>
      </c>
      <c r="BC558" s="341"/>
      <c r="BD558" s="308"/>
      <c r="BE558" s="347"/>
      <c r="BF558" s="274" t="str">
        <f>IFERROR(__xludf.DUMMYFUNCTION("LOWER(Regexreplace(to_text(E558),""[^A-Za-z0-9]"","""")&amp;""_""&amp;Regexreplace(to_text(F558),""[^A-Za-z0-9]"",""""))"),"neptronic_evcbseries")</f>
        <v>neptronic_evcbseries</v>
      </c>
      <c r="BG558" s="275" t="str">
        <f>IFERROR(__xludf.DUMMYFUNCTION("upper(Regexreplace(to_text(E558),""[^A-Za-z0-9]"","""")&amp;""-""&amp;Regexreplace(to_text(F558),""[^A-Za-z0-9]"",""""))"),"NEPTRONIC-EVCBSERIES")</f>
        <v>NEPTRONIC-EVCBSERIES</v>
      </c>
    </row>
    <row r="559" ht="30.0" customHeight="1">
      <c r="A559" s="173">
        <v>551.0</v>
      </c>
      <c r="B559" s="237" t="s">
        <v>670</v>
      </c>
      <c r="C559" s="257" t="s">
        <v>3248</v>
      </c>
      <c r="D559" s="173" t="s">
        <v>3248</v>
      </c>
      <c r="E559" s="174" t="s">
        <v>2861</v>
      </c>
      <c r="F559" s="173" t="s">
        <v>2862</v>
      </c>
      <c r="G559" s="328" t="s">
        <v>673</v>
      </c>
      <c r="H559" s="328" t="s">
        <v>2863</v>
      </c>
      <c r="I559" s="258" t="s">
        <v>2864</v>
      </c>
      <c r="J559" s="259" t="s">
        <v>846</v>
      </c>
      <c r="K559" s="260" t="s">
        <v>3249</v>
      </c>
      <c r="L559" s="328"/>
      <c r="M559" s="343"/>
      <c r="N559" s="173" t="s">
        <v>679</v>
      </c>
      <c r="O559" s="173" t="s">
        <v>225</v>
      </c>
      <c r="P559" s="262" t="str">
        <f t="shared" si="1"/>
        <v>IN-BLR-ANANTA-VAV-131_1</v>
      </c>
      <c r="Q559" s="173" t="s">
        <v>3250</v>
      </c>
      <c r="R559" s="328" t="str">
        <f>IFS(C559="","",C559="n/a","N/A",LEN(C559),Concatenate("{",char(34),"asset",char(34),":{",char(34),"guid",char(34),":",char(34),Q559,char(34),",",char(34),"site",char(34),":",char(34),LOWER('2-Building'!$B$4),char(34),",",char(34),"name",char(34),":",char(34),LOWER(C559),char(34),"}}"))</f>
        <v>{"asset":{"guid":"uuid://e5e25f6b-ad25-4d37-a8b0-7e5663affaf9","site":"in-blr-ananta","name":"vav-131"}}</v>
      </c>
      <c r="S559" s="237" t="s">
        <v>2866</v>
      </c>
      <c r="T559" s="330"/>
      <c r="U559" s="330"/>
      <c r="V559" s="331"/>
      <c r="W559" s="344"/>
      <c r="X559" s="341"/>
      <c r="Y559" s="33" t="s">
        <v>2867</v>
      </c>
      <c r="Z559" s="258">
        <v>120131.0</v>
      </c>
      <c r="AA559" s="334">
        <v>11611.0</v>
      </c>
      <c r="AB559" s="341"/>
      <c r="AC559" s="341"/>
      <c r="AD559" s="343"/>
      <c r="AE559" s="331"/>
      <c r="AF559" s="348"/>
      <c r="AG559" s="337"/>
      <c r="AH559" s="341"/>
      <c r="AI559" s="341"/>
      <c r="AJ559" s="341"/>
      <c r="AK559" s="341"/>
      <c r="AL559" s="341"/>
      <c r="AM559" s="338"/>
      <c r="AN559" s="341"/>
      <c r="AO559" s="341"/>
      <c r="AP559" s="341"/>
      <c r="AQ559" s="341"/>
      <c r="AR559" s="341"/>
      <c r="AS559" s="341"/>
      <c r="AT559" s="341"/>
      <c r="AU559" s="343"/>
      <c r="AV559" s="341"/>
      <c r="AW559" s="269" t="s">
        <v>1992</v>
      </c>
      <c r="AX559" s="334" t="s">
        <v>2869</v>
      </c>
      <c r="AY559" s="270" t="s">
        <v>695</v>
      </c>
      <c r="AZ559" s="270" t="s">
        <v>2866</v>
      </c>
      <c r="BA559" s="265">
        <v>10.0</v>
      </c>
      <c r="BB559" s="174" t="s">
        <v>245</v>
      </c>
      <c r="BC559" s="341"/>
      <c r="BD559" s="308"/>
      <c r="BE559" s="347"/>
      <c r="BF559" s="274" t="str">
        <f>IFERROR(__xludf.DUMMYFUNCTION("LOWER(Regexreplace(to_text(E559),""[^A-Za-z0-9]"","""")&amp;""_""&amp;Regexreplace(to_text(F559),""[^A-Za-z0-9]"",""""))"),"neptronic_evcbseries")</f>
        <v>neptronic_evcbseries</v>
      </c>
      <c r="BG559" s="275" t="str">
        <f>IFERROR(__xludf.DUMMYFUNCTION("upper(Regexreplace(to_text(E559),""[^A-Za-z0-9]"","""")&amp;""-""&amp;Regexreplace(to_text(F559),""[^A-Za-z0-9]"",""""))"),"NEPTRONIC-EVCBSERIES")</f>
        <v>NEPTRONIC-EVCBSERIES</v>
      </c>
    </row>
    <row r="560" ht="30.0" customHeight="1">
      <c r="A560" s="258">
        <v>552.0</v>
      </c>
      <c r="B560" s="237" t="s">
        <v>670</v>
      </c>
      <c r="C560" s="257" t="s">
        <v>3251</v>
      </c>
      <c r="D560" s="173" t="s">
        <v>3251</v>
      </c>
      <c r="E560" s="174" t="s">
        <v>2861</v>
      </c>
      <c r="F560" s="173" t="s">
        <v>2862</v>
      </c>
      <c r="G560" s="328" t="s">
        <v>673</v>
      </c>
      <c r="H560" s="328" t="s">
        <v>2863</v>
      </c>
      <c r="I560" s="258" t="s">
        <v>2864</v>
      </c>
      <c r="J560" s="259" t="s">
        <v>846</v>
      </c>
      <c r="K560" s="260" t="s">
        <v>3252</v>
      </c>
      <c r="L560" s="328"/>
      <c r="M560" s="343"/>
      <c r="N560" s="173" t="s">
        <v>679</v>
      </c>
      <c r="O560" s="173" t="s">
        <v>225</v>
      </c>
      <c r="P560" s="262" t="str">
        <f t="shared" si="1"/>
        <v>IN-BLR-ANANTA-VAV-132_1</v>
      </c>
      <c r="Q560" s="173" t="s">
        <v>3253</v>
      </c>
      <c r="R560" s="328" t="str">
        <f>IFS(C560="","",C560="n/a","N/A",LEN(C560),Concatenate("{",char(34),"asset",char(34),":{",char(34),"guid",char(34),":",char(34),Q560,char(34),",",char(34),"site",char(34),":",char(34),LOWER('2-Building'!$B$4),char(34),",",char(34),"name",char(34),":",char(34),LOWER(C560),char(34),"}}"))</f>
        <v>{"asset":{"guid":"uuid://54e7aaeb-9213-4def-880d-58b035e2100e","site":"in-blr-ananta","name":"vav-132"}}</v>
      </c>
      <c r="S560" s="237" t="s">
        <v>2866</v>
      </c>
      <c r="T560" s="330"/>
      <c r="U560" s="330"/>
      <c r="V560" s="331"/>
      <c r="W560" s="344"/>
      <c r="X560" s="341"/>
      <c r="Y560" s="33" t="s">
        <v>2867</v>
      </c>
      <c r="Z560" s="258">
        <v>120132.0</v>
      </c>
      <c r="AA560" s="334">
        <v>11611.0</v>
      </c>
      <c r="AB560" s="341"/>
      <c r="AC560" s="341"/>
      <c r="AD560" s="343"/>
      <c r="AE560" s="331"/>
      <c r="AF560" s="348"/>
      <c r="AG560" s="337"/>
      <c r="AH560" s="341"/>
      <c r="AI560" s="341"/>
      <c r="AJ560" s="341"/>
      <c r="AK560" s="341"/>
      <c r="AL560" s="341"/>
      <c r="AM560" s="338"/>
      <c r="AN560" s="341"/>
      <c r="AO560" s="341"/>
      <c r="AP560" s="341"/>
      <c r="AQ560" s="341"/>
      <c r="AR560" s="341"/>
      <c r="AS560" s="341"/>
      <c r="AT560" s="341"/>
      <c r="AU560" s="343"/>
      <c r="AV560" s="341"/>
      <c r="AW560" s="269" t="s">
        <v>1992</v>
      </c>
      <c r="AX560" s="334" t="s">
        <v>2869</v>
      </c>
      <c r="AY560" s="270" t="s">
        <v>695</v>
      </c>
      <c r="AZ560" s="270" t="s">
        <v>2866</v>
      </c>
      <c r="BA560" s="265">
        <v>10.0</v>
      </c>
      <c r="BB560" s="174" t="s">
        <v>245</v>
      </c>
      <c r="BC560" s="341"/>
      <c r="BD560" s="308"/>
      <c r="BE560" s="347"/>
      <c r="BF560" s="274" t="str">
        <f>IFERROR(__xludf.DUMMYFUNCTION("LOWER(Regexreplace(to_text(E560),""[^A-Za-z0-9]"","""")&amp;""_""&amp;Regexreplace(to_text(F560),""[^A-Za-z0-9]"",""""))"),"neptronic_evcbseries")</f>
        <v>neptronic_evcbseries</v>
      </c>
      <c r="BG560" s="275" t="str">
        <f>IFERROR(__xludf.DUMMYFUNCTION("upper(Regexreplace(to_text(E560),""[^A-Za-z0-9]"","""")&amp;""-""&amp;Regexreplace(to_text(F560),""[^A-Za-z0-9]"",""""))"),"NEPTRONIC-EVCBSERIES")</f>
        <v>NEPTRONIC-EVCBSERIES</v>
      </c>
    </row>
    <row r="561" ht="30.0" customHeight="1">
      <c r="A561" s="173">
        <v>553.0</v>
      </c>
      <c r="B561" s="237" t="s">
        <v>670</v>
      </c>
      <c r="C561" s="257" t="s">
        <v>3254</v>
      </c>
      <c r="D561" s="173" t="s">
        <v>3254</v>
      </c>
      <c r="E561" s="174" t="s">
        <v>2861</v>
      </c>
      <c r="F561" s="173" t="s">
        <v>2862</v>
      </c>
      <c r="G561" s="328" t="s">
        <v>673</v>
      </c>
      <c r="H561" s="328" t="s">
        <v>2863</v>
      </c>
      <c r="I561" s="258" t="s">
        <v>2864</v>
      </c>
      <c r="J561" s="259" t="s">
        <v>846</v>
      </c>
      <c r="K561" s="260" t="s">
        <v>3255</v>
      </c>
      <c r="L561" s="328"/>
      <c r="M561" s="343"/>
      <c r="N561" s="173" t="s">
        <v>679</v>
      </c>
      <c r="O561" s="173" t="s">
        <v>225</v>
      </c>
      <c r="P561" s="262" t="str">
        <f t="shared" si="1"/>
        <v>IN-BLR-ANANTA-VAV-133_1</v>
      </c>
      <c r="Q561" s="173" t="s">
        <v>3256</v>
      </c>
      <c r="R561" s="328" t="str">
        <f>IFS(C561="","",C561="n/a","N/A",LEN(C561),Concatenate("{",char(34),"asset",char(34),":{",char(34),"guid",char(34),":",char(34),Q561,char(34),",",char(34),"site",char(34),":",char(34),LOWER('2-Building'!$B$4),char(34),",",char(34),"name",char(34),":",char(34),LOWER(C561),char(34),"}}"))</f>
        <v>{"asset":{"guid":"uuid://9927d086-22e6-43d0-b9f7-72e18f28f3f2","site":"in-blr-ananta","name":"vav-133"}}</v>
      </c>
      <c r="S561" s="237" t="s">
        <v>2866</v>
      </c>
      <c r="T561" s="330"/>
      <c r="U561" s="330"/>
      <c r="V561" s="331"/>
      <c r="W561" s="344"/>
      <c r="X561" s="341"/>
      <c r="Y561" s="33" t="s">
        <v>2867</v>
      </c>
      <c r="Z561" s="258">
        <v>120133.0</v>
      </c>
      <c r="AA561" s="334">
        <v>11611.0</v>
      </c>
      <c r="AB561" s="341"/>
      <c r="AC561" s="341"/>
      <c r="AD561" s="343"/>
      <c r="AE561" s="331"/>
      <c r="AF561" s="348"/>
      <c r="AG561" s="337"/>
      <c r="AH561" s="341"/>
      <c r="AI561" s="341"/>
      <c r="AJ561" s="341"/>
      <c r="AK561" s="341"/>
      <c r="AL561" s="341"/>
      <c r="AM561" s="338"/>
      <c r="AN561" s="341"/>
      <c r="AO561" s="341"/>
      <c r="AP561" s="341"/>
      <c r="AQ561" s="341"/>
      <c r="AR561" s="341"/>
      <c r="AS561" s="341"/>
      <c r="AT561" s="341"/>
      <c r="AU561" s="343"/>
      <c r="AV561" s="341"/>
      <c r="AW561" s="269" t="s">
        <v>1992</v>
      </c>
      <c r="AX561" s="334" t="s">
        <v>2869</v>
      </c>
      <c r="AY561" s="270" t="s">
        <v>695</v>
      </c>
      <c r="AZ561" s="270" t="s">
        <v>2866</v>
      </c>
      <c r="BA561" s="265">
        <v>10.0</v>
      </c>
      <c r="BB561" s="174" t="s">
        <v>245</v>
      </c>
      <c r="BC561" s="341"/>
      <c r="BD561" s="308"/>
      <c r="BE561" s="347"/>
      <c r="BF561" s="274" t="str">
        <f>IFERROR(__xludf.DUMMYFUNCTION("LOWER(Regexreplace(to_text(E561),""[^A-Za-z0-9]"","""")&amp;""_""&amp;Regexreplace(to_text(F561),""[^A-Za-z0-9]"",""""))"),"neptronic_evcbseries")</f>
        <v>neptronic_evcbseries</v>
      </c>
      <c r="BG561" s="275" t="str">
        <f>IFERROR(__xludf.DUMMYFUNCTION("upper(Regexreplace(to_text(E561),""[^A-Za-z0-9]"","""")&amp;""-""&amp;Regexreplace(to_text(F561),""[^A-Za-z0-9]"",""""))"),"NEPTRONIC-EVCBSERIES")</f>
        <v>NEPTRONIC-EVCBSERIES</v>
      </c>
    </row>
    <row r="562" ht="30.0" customHeight="1">
      <c r="A562" s="258">
        <v>554.0</v>
      </c>
      <c r="B562" s="237" t="s">
        <v>670</v>
      </c>
      <c r="C562" s="257" t="s">
        <v>3257</v>
      </c>
      <c r="D562" s="173" t="s">
        <v>3257</v>
      </c>
      <c r="E562" s="174" t="s">
        <v>2861</v>
      </c>
      <c r="F562" s="173" t="s">
        <v>2862</v>
      </c>
      <c r="G562" s="328" t="s">
        <v>673</v>
      </c>
      <c r="H562" s="328" t="s">
        <v>2863</v>
      </c>
      <c r="I562" s="258" t="s">
        <v>2864</v>
      </c>
      <c r="J562" s="259" t="s">
        <v>846</v>
      </c>
      <c r="K562" s="260" t="s">
        <v>3258</v>
      </c>
      <c r="L562" s="328"/>
      <c r="M562" s="343"/>
      <c r="N562" s="173" t="s">
        <v>679</v>
      </c>
      <c r="O562" s="173" t="s">
        <v>225</v>
      </c>
      <c r="P562" s="262" t="str">
        <f t="shared" si="1"/>
        <v>IN-BLR-ANANTA-VAV-134_1</v>
      </c>
      <c r="Q562" s="173" t="s">
        <v>3259</v>
      </c>
      <c r="R562" s="328" t="str">
        <f>IFS(C562="","",C562="n/a","N/A",LEN(C562),Concatenate("{",char(34),"asset",char(34),":{",char(34),"guid",char(34),":",char(34),Q562,char(34),",",char(34),"site",char(34),":",char(34),LOWER('2-Building'!$B$4),char(34),",",char(34),"name",char(34),":",char(34),LOWER(C562),char(34),"}}"))</f>
        <v>{"asset":{"guid":"uuid://034e31f7-386f-42e2-aa07-c22b8b5a0061","site":"in-blr-ananta","name":"vav-134"}}</v>
      </c>
      <c r="S562" s="237" t="s">
        <v>2866</v>
      </c>
      <c r="T562" s="330"/>
      <c r="U562" s="330"/>
      <c r="V562" s="331"/>
      <c r="W562" s="344"/>
      <c r="X562" s="341"/>
      <c r="Y562" s="33" t="s">
        <v>2867</v>
      </c>
      <c r="Z562" s="258">
        <v>120134.0</v>
      </c>
      <c r="AA562" s="334">
        <v>11611.0</v>
      </c>
      <c r="AB562" s="341"/>
      <c r="AC562" s="341"/>
      <c r="AD562" s="343"/>
      <c r="AE562" s="331"/>
      <c r="AF562" s="348"/>
      <c r="AG562" s="337"/>
      <c r="AH562" s="341"/>
      <c r="AI562" s="341"/>
      <c r="AJ562" s="341"/>
      <c r="AK562" s="341"/>
      <c r="AL562" s="341"/>
      <c r="AM562" s="338"/>
      <c r="AN562" s="341"/>
      <c r="AO562" s="341"/>
      <c r="AP562" s="341"/>
      <c r="AQ562" s="341"/>
      <c r="AR562" s="341"/>
      <c r="AS562" s="341"/>
      <c r="AT562" s="341"/>
      <c r="AU562" s="343"/>
      <c r="AV562" s="341"/>
      <c r="AW562" s="269" t="s">
        <v>1992</v>
      </c>
      <c r="AX562" s="334" t="s">
        <v>2869</v>
      </c>
      <c r="AY562" s="270" t="s">
        <v>695</v>
      </c>
      <c r="AZ562" s="270" t="s">
        <v>2866</v>
      </c>
      <c r="BA562" s="265">
        <v>10.0</v>
      </c>
      <c r="BB562" s="174" t="s">
        <v>245</v>
      </c>
      <c r="BC562" s="341"/>
      <c r="BD562" s="308"/>
      <c r="BE562" s="347"/>
      <c r="BF562" s="274" t="str">
        <f>IFERROR(__xludf.DUMMYFUNCTION("LOWER(Regexreplace(to_text(E562),""[^A-Za-z0-9]"","""")&amp;""_""&amp;Regexreplace(to_text(F562),""[^A-Za-z0-9]"",""""))"),"neptronic_evcbseries")</f>
        <v>neptronic_evcbseries</v>
      </c>
      <c r="BG562" s="275" t="str">
        <f>IFERROR(__xludf.DUMMYFUNCTION("upper(Regexreplace(to_text(E562),""[^A-Za-z0-9]"","""")&amp;""-""&amp;Regexreplace(to_text(F562),""[^A-Za-z0-9]"",""""))"),"NEPTRONIC-EVCBSERIES")</f>
        <v>NEPTRONIC-EVCBSERIES</v>
      </c>
    </row>
    <row r="563" ht="30.0" customHeight="1">
      <c r="A563" s="173">
        <v>555.0</v>
      </c>
      <c r="B563" s="237" t="s">
        <v>670</v>
      </c>
      <c r="C563" s="257" t="s">
        <v>3260</v>
      </c>
      <c r="D563" s="173" t="s">
        <v>3260</v>
      </c>
      <c r="E563" s="174" t="s">
        <v>2861</v>
      </c>
      <c r="F563" s="173" t="s">
        <v>2862</v>
      </c>
      <c r="G563" s="328" t="s">
        <v>673</v>
      </c>
      <c r="H563" s="328" t="s">
        <v>2863</v>
      </c>
      <c r="I563" s="258" t="s">
        <v>2864</v>
      </c>
      <c r="J563" s="259" t="s">
        <v>846</v>
      </c>
      <c r="K563" s="260" t="s">
        <v>3261</v>
      </c>
      <c r="L563" s="328"/>
      <c r="M563" s="343"/>
      <c r="N563" s="173" t="s">
        <v>679</v>
      </c>
      <c r="O563" s="173" t="s">
        <v>225</v>
      </c>
      <c r="P563" s="262" t="str">
        <f t="shared" si="1"/>
        <v>IN-BLR-ANANTA-VAV-135_1</v>
      </c>
      <c r="Q563" s="173" t="s">
        <v>3262</v>
      </c>
      <c r="R563" s="328" t="str">
        <f>IFS(C563="","",C563="n/a","N/A",LEN(C563),Concatenate("{",char(34),"asset",char(34),":{",char(34),"guid",char(34),":",char(34),Q563,char(34),",",char(34),"site",char(34),":",char(34),LOWER('2-Building'!$B$4),char(34),",",char(34),"name",char(34),":",char(34),LOWER(C563),char(34),"}}"))</f>
        <v>{"asset":{"guid":"uuid://ed442d6e-7a66-4824-8d2a-feaba4ce0b08","site":"in-blr-ananta","name":"vav-135"}}</v>
      </c>
      <c r="S563" s="237" t="s">
        <v>2866</v>
      </c>
      <c r="T563" s="330"/>
      <c r="U563" s="330"/>
      <c r="V563" s="331"/>
      <c r="W563" s="344"/>
      <c r="X563" s="341"/>
      <c r="Y563" s="33" t="s">
        <v>2867</v>
      </c>
      <c r="Z563" s="258">
        <v>120135.0</v>
      </c>
      <c r="AA563" s="334">
        <v>11611.0</v>
      </c>
      <c r="AB563" s="341"/>
      <c r="AC563" s="341"/>
      <c r="AD563" s="343"/>
      <c r="AE563" s="331"/>
      <c r="AF563" s="348"/>
      <c r="AG563" s="337"/>
      <c r="AH563" s="341"/>
      <c r="AI563" s="341"/>
      <c r="AJ563" s="341"/>
      <c r="AK563" s="341"/>
      <c r="AL563" s="341"/>
      <c r="AM563" s="338"/>
      <c r="AN563" s="341"/>
      <c r="AO563" s="341"/>
      <c r="AP563" s="341"/>
      <c r="AQ563" s="341"/>
      <c r="AR563" s="341"/>
      <c r="AS563" s="341"/>
      <c r="AT563" s="341"/>
      <c r="AU563" s="343"/>
      <c r="AV563" s="341"/>
      <c r="AW563" s="269" t="s">
        <v>1992</v>
      </c>
      <c r="AX563" s="334" t="s">
        <v>2869</v>
      </c>
      <c r="AY563" s="270" t="s">
        <v>695</v>
      </c>
      <c r="AZ563" s="270" t="s">
        <v>2866</v>
      </c>
      <c r="BA563" s="265">
        <v>10.0</v>
      </c>
      <c r="BB563" s="174" t="s">
        <v>245</v>
      </c>
      <c r="BC563" s="341"/>
      <c r="BD563" s="308"/>
      <c r="BE563" s="347"/>
      <c r="BF563" s="274" t="str">
        <f>IFERROR(__xludf.DUMMYFUNCTION("LOWER(Regexreplace(to_text(E563),""[^A-Za-z0-9]"","""")&amp;""_""&amp;Regexreplace(to_text(F563),""[^A-Za-z0-9]"",""""))"),"neptronic_evcbseries")</f>
        <v>neptronic_evcbseries</v>
      </c>
      <c r="BG563" s="275" t="str">
        <f>IFERROR(__xludf.DUMMYFUNCTION("upper(Regexreplace(to_text(E563),""[^A-Za-z0-9]"","""")&amp;""-""&amp;Regexreplace(to_text(F563),""[^A-Za-z0-9]"",""""))"),"NEPTRONIC-EVCBSERIES")</f>
        <v>NEPTRONIC-EVCBSERIES</v>
      </c>
    </row>
    <row r="564" ht="30.0" customHeight="1">
      <c r="A564" s="258">
        <v>556.0</v>
      </c>
      <c r="B564" s="237" t="s">
        <v>670</v>
      </c>
      <c r="C564" s="257" t="s">
        <v>3263</v>
      </c>
      <c r="D564" s="173" t="s">
        <v>3263</v>
      </c>
      <c r="E564" s="174" t="s">
        <v>2861</v>
      </c>
      <c r="F564" s="173" t="s">
        <v>2862</v>
      </c>
      <c r="G564" s="328" t="s">
        <v>673</v>
      </c>
      <c r="H564" s="328" t="s">
        <v>2863</v>
      </c>
      <c r="I564" s="258" t="s">
        <v>2864</v>
      </c>
      <c r="J564" s="259" t="s">
        <v>846</v>
      </c>
      <c r="K564" s="260" t="s">
        <v>3264</v>
      </c>
      <c r="L564" s="328"/>
      <c r="M564" s="343"/>
      <c r="N564" s="173" t="s">
        <v>679</v>
      </c>
      <c r="O564" s="173" t="s">
        <v>225</v>
      </c>
      <c r="P564" s="262" t="str">
        <f t="shared" si="1"/>
        <v>IN-BLR-ANANTA-VAV-136_1</v>
      </c>
      <c r="Q564" s="173" t="s">
        <v>3265</v>
      </c>
      <c r="R564" s="328" t="str">
        <f>IFS(C564="","",C564="n/a","N/A",LEN(C564),Concatenate("{",char(34),"asset",char(34),":{",char(34),"guid",char(34),":",char(34),Q564,char(34),",",char(34),"site",char(34),":",char(34),LOWER('2-Building'!$B$4),char(34),",",char(34),"name",char(34),":",char(34),LOWER(C564),char(34),"}}"))</f>
        <v>{"asset":{"guid":"uuid://e056edc8-9824-458b-a635-7238e2cdca6f","site":"in-blr-ananta","name":"vav-136"}}</v>
      </c>
      <c r="S564" s="237" t="s">
        <v>2866</v>
      </c>
      <c r="T564" s="330"/>
      <c r="U564" s="330"/>
      <c r="V564" s="331"/>
      <c r="W564" s="344"/>
      <c r="X564" s="341"/>
      <c r="Y564" s="33" t="s">
        <v>2867</v>
      </c>
      <c r="Z564" s="258">
        <v>120136.0</v>
      </c>
      <c r="AA564" s="334">
        <v>11611.0</v>
      </c>
      <c r="AB564" s="341"/>
      <c r="AC564" s="341"/>
      <c r="AD564" s="343"/>
      <c r="AE564" s="331"/>
      <c r="AF564" s="348"/>
      <c r="AG564" s="337"/>
      <c r="AH564" s="341"/>
      <c r="AI564" s="341"/>
      <c r="AJ564" s="341"/>
      <c r="AK564" s="341"/>
      <c r="AL564" s="341"/>
      <c r="AM564" s="338"/>
      <c r="AN564" s="341"/>
      <c r="AO564" s="341"/>
      <c r="AP564" s="341"/>
      <c r="AQ564" s="341"/>
      <c r="AR564" s="341"/>
      <c r="AS564" s="341"/>
      <c r="AT564" s="341"/>
      <c r="AU564" s="343"/>
      <c r="AV564" s="341"/>
      <c r="AW564" s="269" t="s">
        <v>1992</v>
      </c>
      <c r="AX564" s="334" t="s">
        <v>2869</v>
      </c>
      <c r="AY564" s="270" t="s">
        <v>695</v>
      </c>
      <c r="AZ564" s="270" t="s">
        <v>2866</v>
      </c>
      <c r="BA564" s="265">
        <v>10.0</v>
      </c>
      <c r="BB564" s="174" t="s">
        <v>245</v>
      </c>
      <c r="BC564" s="341"/>
      <c r="BD564" s="308"/>
      <c r="BE564" s="347"/>
      <c r="BF564" s="274" t="str">
        <f>IFERROR(__xludf.DUMMYFUNCTION("LOWER(Regexreplace(to_text(E564),""[^A-Za-z0-9]"","""")&amp;""_""&amp;Regexreplace(to_text(F564),""[^A-Za-z0-9]"",""""))"),"neptronic_evcbseries")</f>
        <v>neptronic_evcbseries</v>
      </c>
      <c r="BG564" s="275" t="str">
        <f>IFERROR(__xludf.DUMMYFUNCTION("upper(Regexreplace(to_text(E564),""[^A-Za-z0-9]"","""")&amp;""-""&amp;Regexreplace(to_text(F564),""[^A-Za-z0-9]"",""""))"),"NEPTRONIC-EVCBSERIES")</f>
        <v>NEPTRONIC-EVCBSERIES</v>
      </c>
    </row>
    <row r="565" ht="30.0" customHeight="1">
      <c r="A565" s="173">
        <v>557.0</v>
      </c>
      <c r="B565" s="237" t="s">
        <v>670</v>
      </c>
      <c r="C565" s="257" t="s">
        <v>3266</v>
      </c>
      <c r="D565" s="173" t="s">
        <v>3266</v>
      </c>
      <c r="E565" s="174" t="s">
        <v>2861</v>
      </c>
      <c r="F565" s="173" t="s">
        <v>2862</v>
      </c>
      <c r="G565" s="328" t="s">
        <v>673</v>
      </c>
      <c r="H565" s="328" t="s">
        <v>2863</v>
      </c>
      <c r="I565" s="258" t="s">
        <v>2864</v>
      </c>
      <c r="J565" s="259" t="s">
        <v>846</v>
      </c>
      <c r="K565" s="260" t="s">
        <v>3267</v>
      </c>
      <c r="L565" s="328"/>
      <c r="M565" s="343"/>
      <c r="N565" s="173" t="s">
        <v>679</v>
      </c>
      <c r="O565" s="173" t="s">
        <v>225</v>
      </c>
      <c r="P565" s="262" t="str">
        <f t="shared" si="1"/>
        <v>IN-BLR-ANANTA-VAV-137_1</v>
      </c>
      <c r="Q565" s="173" t="s">
        <v>3268</v>
      </c>
      <c r="R565" s="328" t="str">
        <f>IFS(C565="","",C565="n/a","N/A",LEN(C565),Concatenate("{",char(34),"asset",char(34),":{",char(34),"guid",char(34),":",char(34),Q565,char(34),",",char(34),"site",char(34),":",char(34),LOWER('2-Building'!$B$4),char(34),",",char(34),"name",char(34),":",char(34),LOWER(C565),char(34),"}}"))</f>
        <v>{"asset":{"guid":"uuid://0270931e-b1c9-4aa5-a0c5-67f323d9d92c","site":"in-blr-ananta","name":"vav-137"}}</v>
      </c>
      <c r="S565" s="237" t="s">
        <v>2866</v>
      </c>
      <c r="T565" s="330"/>
      <c r="U565" s="330"/>
      <c r="V565" s="331"/>
      <c r="W565" s="344"/>
      <c r="X565" s="341"/>
      <c r="Y565" s="33" t="s">
        <v>2867</v>
      </c>
      <c r="Z565" s="258">
        <v>120137.0</v>
      </c>
      <c r="AA565" s="334">
        <v>11611.0</v>
      </c>
      <c r="AB565" s="341"/>
      <c r="AC565" s="341"/>
      <c r="AD565" s="343"/>
      <c r="AE565" s="331"/>
      <c r="AF565" s="348"/>
      <c r="AG565" s="337"/>
      <c r="AH565" s="341"/>
      <c r="AI565" s="341"/>
      <c r="AJ565" s="341"/>
      <c r="AK565" s="341"/>
      <c r="AL565" s="341"/>
      <c r="AM565" s="338"/>
      <c r="AN565" s="341"/>
      <c r="AO565" s="341"/>
      <c r="AP565" s="341"/>
      <c r="AQ565" s="341"/>
      <c r="AR565" s="341"/>
      <c r="AS565" s="341"/>
      <c r="AT565" s="341"/>
      <c r="AU565" s="343"/>
      <c r="AV565" s="341"/>
      <c r="AW565" s="269" t="s">
        <v>1992</v>
      </c>
      <c r="AX565" s="334" t="s">
        <v>2869</v>
      </c>
      <c r="AY565" s="270" t="s">
        <v>695</v>
      </c>
      <c r="AZ565" s="270" t="s">
        <v>2866</v>
      </c>
      <c r="BA565" s="265">
        <v>10.0</v>
      </c>
      <c r="BB565" s="174" t="s">
        <v>245</v>
      </c>
      <c r="BC565" s="341"/>
      <c r="BD565" s="308"/>
      <c r="BE565" s="347"/>
      <c r="BF565" s="274" t="str">
        <f>IFERROR(__xludf.DUMMYFUNCTION("LOWER(Regexreplace(to_text(E565),""[^A-Za-z0-9]"","""")&amp;""_""&amp;Regexreplace(to_text(F565),""[^A-Za-z0-9]"",""""))"),"neptronic_evcbseries")</f>
        <v>neptronic_evcbseries</v>
      </c>
      <c r="BG565" s="275" t="str">
        <f>IFERROR(__xludf.DUMMYFUNCTION("upper(Regexreplace(to_text(E565),""[^A-Za-z0-9]"","""")&amp;""-""&amp;Regexreplace(to_text(F565),""[^A-Za-z0-9]"",""""))"),"NEPTRONIC-EVCBSERIES")</f>
        <v>NEPTRONIC-EVCBSERIES</v>
      </c>
    </row>
    <row r="566" ht="30.0" customHeight="1">
      <c r="A566" s="258">
        <v>558.0</v>
      </c>
      <c r="B566" s="237" t="s">
        <v>670</v>
      </c>
      <c r="C566" s="257" t="s">
        <v>3269</v>
      </c>
      <c r="D566" s="173" t="s">
        <v>3269</v>
      </c>
      <c r="E566" s="174" t="s">
        <v>2861</v>
      </c>
      <c r="F566" s="173" t="s">
        <v>2862</v>
      </c>
      <c r="G566" s="328" t="s">
        <v>673</v>
      </c>
      <c r="H566" s="328" t="s">
        <v>2863</v>
      </c>
      <c r="I566" s="258" t="s">
        <v>2864</v>
      </c>
      <c r="J566" s="259" t="s">
        <v>846</v>
      </c>
      <c r="K566" s="260" t="s">
        <v>3270</v>
      </c>
      <c r="L566" s="328"/>
      <c r="M566" s="343"/>
      <c r="N566" s="173" t="s">
        <v>679</v>
      </c>
      <c r="O566" s="173" t="s">
        <v>225</v>
      </c>
      <c r="P566" s="262" t="str">
        <f t="shared" si="1"/>
        <v>IN-BLR-ANANTA-VAV-138_1</v>
      </c>
      <c r="Q566" s="173" t="s">
        <v>3271</v>
      </c>
      <c r="R566" s="328" t="str">
        <f>IFS(C566="","",C566="n/a","N/A",LEN(C566),Concatenate("{",char(34),"asset",char(34),":{",char(34),"guid",char(34),":",char(34),Q566,char(34),",",char(34),"site",char(34),":",char(34),LOWER('2-Building'!$B$4),char(34),",",char(34),"name",char(34),":",char(34),LOWER(C566),char(34),"}}"))</f>
        <v>{"asset":{"guid":"uuid://1a39beb0-77dc-41f5-84a5-3d0d6cd8ff9c","site":"in-blr-ananta","name":"vav-138"}}</v>
      </c>
      <c r="S566" s="237" t="s">
        <v>2866</v>
      </c>
      <c r="T566" s="330"/>
      <c r="U566" s="330"/>
      <c r="V566" s="331"/>
      <c r="W566" s="344"/>
      <c r="X566" s="341"/>
      <c r="Y566" s="33" t="s">
        <v>2867</v>
      </c>
      <c r="Z566" s="258">
        <v>120138.0</v>
      </c>
      <c r="AA566" s="334">
        <v>11611.0</v>
      </c>
      <c r="AB566" s="341"/>
      <c r="AC566" s="341"/>
      <c r="AD566" s="343"/>
      <c r="AE566" s="331"/>
      <c r="AF566" s="348"/>
      <c r="AG566" s="337"/>
      <c r="AH566" s="341"/>
      <c r="AI566" s="341"/>
      <c r="AJ566" s="341"/>
      <c r="AK566" s="341"/>
      <c r="AL566" s="341"/>
      <c r="AM566" s="338"/>
      <c r="AN566" s="341"/>
      <c r="AO566" s="341"/>
      <c r="AP566" s="341"/>
      <c r="AQ566" s="341"/>
      <c r="AR566" s="341"/>
      <c r="AS566" s="341"/>
      <c r="AT566" s="341"/>
      <c r="AU566" s="343"/>
      <c r="AV566" s="341"/>
      <c r="AW566" s="269" t="s">
        <v>1992</v>
      </c>
      <c r="AX566" s="334" t="s">
        <v>2869</v>
      </c>
      <c r="AY566" s="270" t="s">
        <v>695</v>
      </c>
      <c r="AZ566" s="270" t="s">
        <v>2866</v>
      </c>
      <c r="BA566" s="265">
        <v>10.0</v>
      </c>
      <c r="BB566" s="174" t="s">
        <v>245</v>
      </c>
      <c r="BC566" s="341"/>
      <c r="BD566" s="308"/>
      <c r="BE566" s="347"/>
      <c r="BF566" s="274" t="str">
        <f>IFERROR(__xludf.DUMMYFUNCTION("LOWER(Regexreplace(to_text(E566),""[^A-Za-z0-9]"","""")&amp;""_""&amp;Regexreplace(to_text(F566),""[^A-Za-z0-9]"",""""))"),"neptronic_evcbseries")</f>
        <v>neptronic_evcbseries</v>
      </c>
      <c r="BG566" s="275" t="str">
        <f>IFERROR(__xludf.DUMMYFUNCTION("upper(Regexreplace(to_text(E566),""[^A-Za-z0-9]"","""")&amp;""-""&amp;Regexreplace(to_text(F566),""[^A-Za-z0-9]"",""""))"),"NEPTRONIC-EVCBSERIES")</f>
        <v>NEPTRONIC-EVCBSERIES</v>
      </c>
    </row>
    <row r="567" ht="30.0" customHeight="1">
      <c r="A567" s="173">
        <v>559.0</v>
      </c>
      <c r="B567" s="237" t="s">
        <v>670</v>
      </c>
      <c r="C567" s="257" t="s">
        <v>3272</v>
      </c>
      <c r="D567" s="173" t="s">
        <v>3272</v>
      </c>
      <c r="E567" s="174" t="s">
        <v>2861</v>
      </c>
      <c r="F567" s="173" t="s">
        <v>2862</v>
      </c>
      <c r="G567" s="328" t="s">
        <v>673</v>
      </c>
      <c r="H567" s="328" t="s">
        <v>2863</v>
      </c>
      <c r="I567" s="258" t="s">
        <v>2864</v>
      </c>
      <c r="J567" s="259" t="s">
        <v>846</v>
      </c>
      <c r="K567" s="260" t="s">
        <v>3273</v>
      </c>
      <c r="L567" s="328"/>
      <c r="M567" s="343"/>
      <c r="N567" s="173" t="s">
        <v>679</v>
      </c>
      <c r="O567" s="173" t="s">
        <v>225</v>
      </c>
      <c r="P567" s="262" t="str">
        <f t="shared" si="1"/>
        <v>IN-BLR-ANANTA-VAV-139_1</v>
      </c>
      <c r="Q567" s="173" t="s">
        <v>3274</v>
      </c>
      <c r="R567" s="328" t="str">
        <f>IFS(C567="","",C567="n/a","N/A",LEN(C567),Concatenate("{",char(34),"asset",char(34),":{",char(34),"guid",char(34),":",char(34),Q567,char(34),",",char(34),"site",char(34),":",char(34),LOWER('2-Building'!$B$4),char(34),",",char(34),"name",char(34),":",char(34),LOWER(C567),char(34),"}}"))</f>
        <v>{"asset":{"guid":"uuid://f57a97ca-64a7-486f-94b4-6e7a4ac2851a","site":"in-blr-ananta","name":"vav-139"}}</v>
      </c>
      <c r="S567" s="237" t="s">
        <v>2866</v>
      </c>
      <c r="T567" s="330"/>
      <c r="U567" s="330"/>
      <c r="V567" s="331"/>
      <c r="W567" s="344"/>
      <c r="X567" s="341"/>
      <c r="Y567" s="33" t="s">
        <v>2867</v>
      </c>
      <c r="Z567" s="258">
        <v>120139.0</v>
      </c>
      <c r="AA567" s="334">
        <v>11611.0</v>
      </c>
      <c r="AB567" s="341"/>
      <c r="AC567" s="341"/>
      <c r="AD567" s="343"/>
      <c r="AE567" s="331"/>
      <c r="AF567" s="348"/>
      <c r="AG567" s="337"/>
      <c r="AH567" s="341"/>
      <c r="AI567" s="341"/>
      <c r="AJ567" s="341"/>
      <c r="AK567" s="341"/>
      <c r="AL567" s="341"/>
      <c r="AM567" s="338"/>
      <c r="AN567" s="341"/>
      <c r="AO567" s="341"/>
      <c r="AP567" s="341"/>
      <c r="AQ567" s="341"/>
      <c r="AR567" s="341"/>
      <c r="AS567" s="341"/>
      <c r="AT567" s="341"/>
      <c r="AU567" s="343"/>
      <c r="AV567" s="341"/>
      <c r="AW567" s="269" t="s">
        <v>1992</v>
      </c>
      <c r="AX567" s="334" t="s">
        <v>2869</v>
      </c>
      <c r="AY567" s="270" t="s">
        <v>695</v>
      </c>
      <c r="AZ567" s="270" t="s">
        <v>2866</v>
      </c>
      <c r="BA567" s="265">
        <v>10.0</v>
      </c>
      <c r="BB567" s="174" t="s">
        <v>245</v>
      </c>
      <c r="BC567" s="341"/>
      <c r="BD567" s="308"/>
      <c r="BE567" s="347"/>
      <c r="BF567" s="274" t="str">
        <f>IFERROR(__xludf.DUMMYFUNCTION("LOWER(Regexreplace(to_text(E567),""[^A-Za-z0-9]"","""")&amp;""_""&amp;Regexreplace(to_text(F567),""[^A-Za-z0-9]"",""""))"),"neptronic_evcbseries")</f>
        <v>neptronic_evcbseries</v>
      </c>
      <c r="BG567" s="275" t="str">
        <f>IFERROR(__xludf.DUMMYFUNCTION("upper(Regexreplace(to_text(E567),""[^A-Za-z0-9]"","""")&amp;""-""&amp;Regexreplace(to_text(F567),""[^A-Za-z0-9]"",""""))"),"NEPTRONIC-EVCBSERIES")</f>
        <v>NEPTRONIC-EVCBSERIES</v>
      </c>
    </row>
    <row r="568" ht="30.0" customHeight="1">
      <c r="A568" s="258">
        <v>560.0</v>
      </c>
      <c r="B568" s="237" t="s">
        <v>670</v>
      </c>
      <c r="C568" s="257" t="s">
        <v>3275</v>
      </c>
      <c r="D568" s="173" t="s">
        <v>3275</v>
      </c>
      <c r="E568" s="174" t="s">
        <v>2861</v>
      </c>
      <c r="F568" s="173" t="s">
        <v>2862</v>
      </c>
      <c r="G568" s="328" t="s">
        <v>673</v>
      </c>
      <c r="H568" s="328" t="s">
        <v>2863</v>
      </c>
      <c r="I568" s="258" t="s">
        <v>2864</v>
      </c>
      <c r="J568" s="259" t="s">
        <v>846</v>
      </c>
      <c r="K568" s="260" t="s">
        <v>3276</v>
      </c>
      <c r="L568" s="328"/>
      <c r="M568" s="343"/>
      <c r="N568" s="173" t="s">
        <v>679</v>
      </c>
      <c r="O568" s="173" t="s">
        <v>225</v>
      </c>
      <c r="P568" s="262" t="str">
        <f t="shared" si="1"/>
        <v>IN-BLR-ANANTA-VAV-140_1</v>
      </c>
      <c r="Q568" s="173" t="s">
        <v>3277</v>
      </c>
      <c r="R568" s="328" t="str">
        <f>IFS(C568="","",C568="n/a","N/A",LEN(C568),Concatenate("{",char(34),"asset",char(34),":{",char(34),"guid",char(34),":",char(34),Q568,char(34),",",char(34),"site",char(34),":",char(34),LOWER('2-Building'!$B$4),char(34),",",char(34),"name",char(34),":",char(34),LOWER(C568),char(34),"}}"))</f>
        <v>{"asset":{"guid":"uuid://a22511ad-300f-423b-827f-cc7061186b44","site":"in-blr-ananta","name":"vav-140"}}</v>
      </c>
      <c r="S568" s="237" t="s">
        <v>2866</v>
      </c>
      <c r="T568" s="330"/>
      <c r="U568" s="330"/>
      <c r="V568" s="331"/>
      <c r="W568" s="344"/>
      <c r="X568" s="341"/>
      <c r="Y568" s="33" t="s">
        <v>2867</v>
      </c>
      <c r="Z568" s="258">
        <v>120140.0</v>
      </c>
      <c r="AA568" s="334">
        <v>11611.0</v>
      </c>
      <c r="AB568" s="341"/>
      <c r="AC568" s="341"/>
      <c r="AD568" s="343"/>
      <c r="AE568" s="331"/>
      <c r="AF568" s="348"/>
      <c r="AG568" s="337"/>
      <c r="AH568" s="341"/>
      <c r="AI568" s="341"/>
      <c r="AJ568" s="341"/>
      <c r="AK568" s="341"/>
      <c r="AL568" s="341"/>
      <c r="AM568" s="338"/>
      <c r="AN568" s="341"/>
      <c r="AO568" s="341"/>
      <c r="AP568" s="341"/>
      <c r="AQ568" s="341"/>
      <c r="AR568" s="341"/>
      <c r="AS568" s="341"/>
      <c r="AT568" s="341"/>
      <c r="AU568" s="343"/>
      <c r="AV568" s="341"/>
      <c r="AW568" s="269" t="s">
        <v>1992</v>
      </c>
      <c r="AX568" s="334" t="s">
        <v>2869</v>
      </c>
      <c r="AY568" s="270" t="s">
        <v>695</v>
      </c>
      <c r="AZ568" s="270" t="s">
        <v>2866</v>
      </c>
      <c r="BA568" s="265">
        <v>10.0</v>
      </c>
      <c r="BB568" s="174" t="s">
        <v>245</v>
      </c>
      <c r="BC568" s="341"/>
      <c r="BD568" s="308"/>
      <c r="BE568" s="347"/>
      <c r="BF568" s="274" t="str">
        <f>IFERROR(__xludf.DUMMYFUNCTION("LOWER(Regexreplace(to_text(E568),""[^A-Za-z0-9]"","""")&amp;""_""&amp;Regexreplace(to_text(F568),""[^A-Za-z0-9]"",""""))"),"neptronic_evcbseries")</f>
        <v>neptronic_evcbseries</v>
      </c>
      <c r="BG568" s="275" t="str">
        <f>IFERROR(__xludf.DUMMYFUNCTION("upper(Regexreplace(to_text(E568),""[^A-Za-z0-9]"","""")&amp;""-""&amp;Regexreplace(to_text(F568),""[^A-Za-z0-9]"",""""))"),"NEPTRONIC-EVCBSERIES")</f>
        <v>NEPTRONIC-EVCBSERIES</v>
      </c>
    </row>
    <row r="569" ht="30.0" customHeight="1">
      <c r="A569" s="173">
        <v>561.0</v>
      </c>
      <c r="B569" s="237" t="s">
        <v>670</v>
      </c>
      <c r="C569" s="257" t="s">
        <v>3278</v>
      </c>
      <c r="D569" s="173" t="s">
        <v>3278</v>
      </c>
      <c r="E569" s="174" t="s">
        <v>2861</v>
      </c>
      <c r="F569" s="173" t="s">
        <v>2862</v>
      </c>
      <c r="G569" s="328" t="s">
        <v>673</v>
      </c>
      <c r="H569" s="328" t="s">
        <v>2863</v>
      </c>
      <c r="I569" s="258" t="s">
        <v>2864</v>
      </c>
      <c r="J569" s="259" t="s">
        <v>846</v>
      </c>
      <c r="K569" s="260" t="s">
        <v>3279</v>
      </c>
      <c r="L569" s="328"/>
      <c r="M569" s="343"/>
      <c r="N569" s="173" t="s">
        <v>679</v>
      </c>
      <c r="O569" s="173" t="s">
        <v>225</v>
      </c>
      <c r="P569" s="262" t="str">
        <f t="shared" si="1"/>
        <v>IN-BLR-ANANTA-VAV-141_1</v>
      </c>
      <c r="Q569" s="173" t="s">
        <v>3280</v>
      </c>
      <c r="R569" s="328" t="str">
        <f>IFS(C569="","",C569="n/a","N/A",LEN(C569),Concatenate("{",char(34),"asset",char(34),":{",char(34),"guid",char(34),":",char(34),Q569,char(34),",",char(34),"site",char(34),":",char(34),LOWER('2-Building'!$B$4),char(34),",",char(34),"name",char(34),":",char(34),LOWER(C569),char(34),"}}"))</f>
        <v>{"asset":{"guid":"uuid://c253ca97-24ef-4419-b911-752dac1a1f51","site":"in-blr-ananta","name":"vav-141"}}</v>
      </c>
      <c r="S569" s="237" t="s">
        <v>2866</v>
      </c>
      <c r="T569" s="330"/>
      <c r="U569" s="330"/>
      <c r="V569" s="331"/>
      <c r="W569" s="344"/>
      <c r="X569" s="341"/>
      <c r="Y569" s="33" t="s">
        <v>2867</v>
      </c>
      <c r="Z569" s="258">
        <v>120141.0</v>
      </c>
      <c r="AA569" s="334">
        <v>11611.0</v>
      </c>
      <c r="AB569" s="341"/>
      <c r="AC569" s="341"/>
      <c r="AD569" s="343"/>
      <c r="AE569" s="331"/>
      <c r="AF569" s="348"/>
      <c r="AG569" s="337"/>
      <c r="AH569" s="341"/>
      <c r="AI569" s="341"/>
      <c r="AJ569" s="341"/>
      <c r="AK569" s="341"/>
      <c r="AL569" s="341"/>
      <c r="AM569" s="338"/>
      <c r="AN569" s="341"/>
      <c r="AO569" s="341"/>
      <c r="AP569" s="341"/>
      <c r="AQ569" s="341"/>
      <c r="AR569" s="341"/>
      <c r="AS569" s="341"/>
      <c r="AT569" s="341"/>
      <c r="AU569" s="343"/>
      <c r="AV569" s="341"/>
      <c r="AW569" s="269" t="s">
        <v>1992</v>
      </c>
      <c r="AX569" s="334" t="s">
        <v>2869</v>
      </c>
      <c r="AY569" s="270" t="s">
        <v>695</v>
      </c>
      <c r="AZ569" s="270" t="s">
        <v>2866</v>
      </c>
      <c r="BA569" s="265">
        <v>10.0</v>
      </c>
      <c r="BB569" s="174" t="s">
        <v>245</v>
      </c>
      <c r="BC569" s="341"/>
      <c r="BD569" s="308"/>
      <c r="BE569" s="347"/>
      <c r="BF569" s="274" t="str">
        <f>IFERROR(__xludf.DUMMYFUNCTION("LOWER(Regexreplace(to_text(E569),""[^A-Za-z0-9]"","""")&amp;""_""&amp;Regexreplace(to_text(F569),""[^A-Za-z0-9]"",""""))"),"neptronic_evcbseries")</f>
        <v>neptronic_evcbseries</v>
      </c>
      <c r="BG569" s="275" t="str">
        <f>IFERROR(__xludf.DUMMYFUNCTION("upper(Regexreplace(to_text(E569),""[^A-Za-z0-9]"","""")&amp;""-""&amp;Regexreplace(to_text(F569),""[^A-Za-z0-9]"",""""))"),"NEPTRONIC-EVCBSERIES")</f>
        <v>NEPTRONIC-EVCBSERIES</v>
      </c>
    </row>
    <row r="570" ht="30.0" customHeight="1">
      <c r="A570" s="258">
        <v>562.0</v>
      </c>
      <c r="B570" s="237" t="s">
        <v>670</v>
      </c>
      <c r="C570" s="257" t="s">
        <v>3281</v>
      </c>
      <c r="D570" s="173" t="s">
        <v>3281</v>
      </c>
      <c r="E570" s="174" t="s">
        <v>2861</v>
      </c>
      <c r="F570" s="173" t="s">
        <v>2862</v>
      </c>
      <c r="G570" s="328" t="s">
        <v>673</v>
      </c>
      <c r="H570" s="328" t="s">
        <v>2863</v>
      </c>
      <c r="I570" s="258" t="s">
        <v>2864</v>
      </c>
      <c r="J570" s="259" t="s">
        <v>846</v>
      </c>
      <c r="K570" s="260" t="s">
        <v>3282</v>
      </c>
      <c r="L570" s="328"/>
      <c r="M570" s="343"/>
      <c r="N570" s="173" t="s">
        <v>679</v>
      </c>
      <c r="O570" s="173" t="s">
        <v>225</v>
      </c>
      <c r="P570" s="262" t="str">
        <f t="shared" si="1"/>
        <v>IN-BLR-ANANTA-VAV-142_1</v>
      </c>
      <c r="Q570" s="173" t="s">
        <v>3283</v>
      </c>
      <c r="R570" s="328" t="str">
        <f>IFS(C570="","",C570="n/a","N/A",LEN(C570),Concatenate("{",char(34),"asset",char(34),":{",char(34),"guid",char(34),":",char(34),Q570,char(34),",",char(34),"site",char(34),":",char(34),LOWER('2-Building'!$B$4),char(34),",",char(34),"name",char(34),":",char(34),LOWER(C570),char(34),"}}"))</f>
        <v>{"asset":{"guid":"uuid://07e338ae-79bd-49c8-a420-051d6ccb23b0","site":"in-blr-ananta","name":"vav-142"}}</v>
      </c>
      <c r="S570" s="237" t="s">
        <v>2866</v>
      </c>
      <c r="T570" s="330"/>
      <c r="U570" s="330"/>
      <c r="V570" s="331"/>
      <c r="W570" s="344"/>
      <c r="X570" s="341"/>
      <c r="Y570" s="33" t="s">
        <v>2867</v>
      </c>
      <c r="Z570" s="258">
        <v>120142.0</v>
      </c>
      <c r="AA570" s="334">
        <v>11611.0</v>
      </c>
      <c r="AB570" s="341"/>
      <c r="AC570" s="341"/>
      <c r="AD570" s="343"/>
      <c r="AE570" s="331"/>
      <c r="AF570" s="348"/>
      <c r="AG570" s="337"/>
      <c r="AH570" s="341"/>
      <c r="AI570" s="341"/>
      <c r="AJ570" s="341"/>
      <c r="AK570" s="341"/>
      <c r="AL570" s="341"/>
      <c r="AM570" s="338"/>
      <c r="AN570" s="341"/>
      <c r="AO570" s="341"/>
      <c r="AP570" s="341"/>
      <c r="AQ570" s="341"/>
      <c r="AR570" s="341"/>
      <c r="AS570" s="341"/>
      <c r="AT570" s="341"/>
      <c r="AU570" s="343"/>
      <c r="AV570" s="341"/>
      <c r="AW570" s="269" t="s">
        <v>1992</v>
      </c>
      <c r="AX570" s="334" t="s">
        <v>2869</v>
      </c>
      <c r="AY570" s="270" t="s">
        <v>695</v>
      </c>
      <c r="AZ570" s="270" t="s">
        <v>2866</v>
      </c>
      <c r="BA570" s="265">
        <v>10.0</v>
      </c>
      <c r="BB570" s="174" t="s">
        <v>245</v>
      </c>
      <c r="BC570" s="341"/>
      <c r="BD570" s="308"/>
      <c r="BE570" s="347"/>
      <c r="BF570" s="274" t="str">
        <f>IFERROR(__xludf.DUMMYFUNCTION("LOWER(Regexreplace(to_text(E570),""[^A-Za-z0-9]"","""")&amp;""_""&amp;Regexreplace(to_text(F570),""[^A-Za-z0-9]"",""""))"),"neptronic_evcbseries")</f>
        <v>neptronic_evcbseries</v>
      </c>
      <c r="BG570" s="275" t="str">
        <f>IFERROR(__xludf.DUMMYFUNCTION("upper(Regexreplace(to_text(E570),""[^A-Za-z0-9]"","""")&amp;""-""&amp;Regexreplace(to_text(F570),""[^A-Za-z0-9]"",""""))"),"NEPTRONIC-EVCBSERIES")</f>
        <v>NEPTRONIC-EVCBSERIES</v>
      </c>
    </row>
    <row r="571" ht="30.0" customHeight="1">
      <c r="A571" s="173">
        <v>563.0</v>
      </c>
      <c r="B571" s="237" t="s">
        <v>670</v>
      </c>
      <c r="C571" s="257" t="s">
        <v>3284</v>
      </c>
      <c r="D571" s="173" t="s">
        <v>3284</v>
      </c>
      <c r="E571" s="174" t="s">
        <v>2861</v>
      </c>
      <c r="F571" s="173" t="s">
        <v>2862</v>
      </c>
      <c r="G571" s="328" t="s">
        <v>673</v>
      </c>
      <c r="H571" s="328" t="s">
        <v>2863</v>
      </c>
      <c r="I571" s="258" t="s">
        <v>2864</v>
      </c>
      <c r="J571" s="259" t="s">
        <v>846</v>
      </c>
      <c r="K571" s="260" t="s">
        <v>3285</v>
      </c>
      <c r="L571" s="328"/>
      <c r="M571" s="343"/>
      <c r="N571" s="173" t="s">
        <v>679</v>
      </c>
      <c r="O571" s="173" t="s">
        <v>225</v>
      </c>
      <c r="P571" s="262" t="str">
        <f t="shared" si="1"/>
        <v>IN-BLR-ANANTA-VAV-143_1</v>
      </c>
      <c r="Q571" s="173" t="s">
        <v>3286</v>
      </c>
      <c r="R571" s="328" t="str">
        <f>IFS(C571="","",C571="n/a","N/A",LEN(C571),Concatenate("{",char(34),"asset",char(34),":{",char(34),"guid",char(34),":",char(34),Q571,char(34),",",char(34),"site",char(34),":",char(34),LOWER('2-Building'!$B$4),char(34),",",char(34),"name",char(34),":",char(34),LOWER(C571),char(34),"}}"))</f>
        <v>{"asset":{"guid":"uuid://21fd2a74-abc1-4811-8028-6087baebeae9","site":"in-blr-ananta","name":"vav-143"}}</v>
      </c>
      <c r="S571" s="237" t="s">
        <v>2866</v>
      </c>
      <c r="T571" s="330"/>
      <c r="U571" s="330"/>
      <c r="V571" s="331"/>
      <c r="W571" s="344"/>
      <c r="X571" s="341"/>
      <c r="Y571" s="33" t="s">
        <v>2867</v>
      </c>
      <c r="Z571" s="258">
        <v>120143.0</v>
      </c>
      <c r="AA571" s="334">
        <v>11611.0</v>
      </c>
      <c r="AB571" s="341"/>
      <c r="AC571" s="341"/>
      <c r="AD571" s="343"/>
      <c r="AE571" s="331"/>
      <c r="AF571" s="348"/>
      <c r="AG571" s="337"/>
      <c r="AH571" s="341"/>
      <c r="AI571" s="341"/>
      <c r="AJ571" s="341"/>
      <c r="AK571" s="341"/>
      <c r="AL571" s="341"/>
      <c r="AM571" s="338"/>
      <c r="AN571" s="341"/>
      <c r="AO571" s="341"/>
      <c r="AP571" s="341"/>
      <c r="AQ571" s="341"/>
      <c r="AR571" s="341"/>
      <c r="AS571" s="341"/>
      <c r="AT571" s="341"/>
      <c r="AU571" s="343"/>
      <c r="AV571" s="341"/>
      <c r="AW571" s="269" t="s">
        <v>1992</v>
      </c>
      <c r="AX571" s="334" t="s">
        <v>2869</v>
      </c>
      <c r="AY571" s="270" t="s">
        <v>695</v>
      </c>
      <c r="AZ571" s="270" t="s">
        <v>2866</v>
      </c>
      <c r="BA571" s="265">
        <v>10.0</v>
      </c>
      <c r="BB571" s="174" t="s">
        <v>245</v>
      </c>
      <c r="BC571" s="341"/>
      <c r="BD571" s="308"/>
      <c r="BE571" s="347"/>
      <c r="BF571" s="274" t="str">
        <f>IFERROR(__xludf.DUMMYFUNCTION("LOWER(Regexreplace(to_text(E571),""[^A-Za-z0-9]"","""")&amp;""_""&amp;Regexreplace(to_text(F571),""[^A-Za-z0-9]"",""""))"),"neptronic_evcbseries")</f>
        <v>neptronic_evcbseries</v>
      </c>
      <c r="BG571" s="275" t="str">
        <f>IFERROR(__xludf.DUMMYFUNCTION("upper(Regexreplace(to_text(E571),""[^A-Za-z0-9]"","""")&amp;""-""&amp;Regexreplace(to_text(F571),""[^A-Za-z0-9]"",""""))"),"NEPTRONIC-EVCBSERIES")</f>
        <v>NEPTRONIC-EVCBSERIES</v>
      </c>
    </row>
    <row r="572" ht="30.0" customHeight="1">
      <c r="A572" s="258">
        <v>564.0</v>
      </c>
      <c r="B572" s="237" t="s">
        <v>670</v>
      </c>
      <c r="C572" s="257" t="s">
        <v>3287</v>
      </c>
      <c r="D572" s="173" t="s">
        <v>3287</v>
      </c>
      <c r="E572" s="174" t="s">
        <v>2861</v>
      </c>
      <c r="F572" s="173" t="s">
        <v>2862</v>
      </c>
      <c r="G572" s="328" t="s">
        <v>673</v>
      </c>
      <c r="H572" s="328" t="s">
        <v>2863</v>
      </c>
      <c r="I572" s="258" t="s">
        <v>2864</v>
      </c>
      <c r="J572" s="259" t="s">
        <v>846</v>
      </c>
      <c r="K572" s="260" t="s">
        <v>3288</v>
      </c>
      <c r="L572" s="328"/>
      <c r="M572" s="343"/>
      <c r="N572" s="173" t="s">
        <v>679</v>
      </c>
      <c r="O572" s="173" t="s">
        <v>225</v>
      </c>
      <c r="P572" s="262" t="str">
        <f t="shared" si="1"/>
        <v>IN-BLR-ANANTA-VAV-144_1</v>
      </c>
      <c r="Q572" s="173" t="s">
        <v>3289</v>
      </c>
      <c r="R572" s="328" t="str">
        <f>IFS(C572="","",C572="n/a","N/A",LEN(C572),Concatenate("{",char(34),"asset",char(34),":{",char(34),"guid",char(34),":",char(34),Q572,char(34),",",char(34),"site",char(34),":",char(34),LOWER('2-Building'!$B$4),char(34),",",char(34),"name",char(34),":",char(34),LOWER(C572),char(34),"}}"))</f>
        <v>{"asset":{"guid":"uuid://d3a878da-8367-443e-80dd-548048f98c58","site":"in-blr-ananta","name":"vav-144"}}</v>
      </c>
      <c r="S572" s="237" t="s">
        <v>2866</v>
      </c>
      <c r="T572" s="330"/>
      <c r="U572" s="330"/>
      <c r="V572" s="331"/>
      <c r="W572" s="344"/>
      <c r="X572" s="341"/>
      <c r="Y572" s="33" t="s">
        <v>2867</v>
      </c>
      <c r="Z572" s="258">
        <v>120144.0</v>
      </c>
      <c r="AA572" s="334">
        <v>11611.0</v>
      </c>
      <c r="AB572" s="341"/>
      <c r="AC572" s="341"/>
      <c r="AD572" s="343"/>
      <c r="AE572" s="331"/>
      <c r="AF572" s="348"/>
      <c r="AG572" s="337"/>
      <c r="AH572" s="341"/>
      <c r="AI572" s="341"/>
      <c r="AJ572" s="341"/>
      <c r="AK572" s="341"/>
      <c r="AL572" s="341"/>
      <c r="AM572" s="338"/>
      <c r="AN572" s="341"/>
      <c r="AO572" s="341"/>
      <c r="AP572" s="341"/>
      <c r="AQ572" s="341"/>
      <c r="AR572" s="341"/>
      <c r="AS572" s="341"/>
      <c r="AT572" s="341"/>
      <c r="AU572" s="343"/>
      <c r="AV572" s="341"/>
      <c r="AW572" s="269" t="s">
        <v>1992</v>
      </c>
      <c r="AX572" s="334" t="s">
        <v>2869</v>
      </c>
      <c r="AY572" s="270" t="s">
        <v>695</v>
      </c>
      <c r="AZ572" s="270" t="s">
        <v>2866</v>
      </c>
      <c r="BA572" s="265">
        <v>10.0</v>
      </c>
      <c r="BB572" s="174" t="s">
        <v>245</v>
      </c>
      <c r="BC572" s="341"/>
      <c r="BD572" s="308"/>
      <c r="BE572" s="347"/>
      <c r="BF572" s="274" t="str">
        <f>IFERROR(__xludf.DUMMYFUNCTION("LOWER(Regexreplace(to_text(E572),""[^A-Za-z0-9]"","""")&amp;""_""&amp;Regexreplace(to_text(F572),""[^A-Za-z0-9]"",""""))"),"neptronic_evcbseries")</f>
        <v>neptronic_evcbseries</v>
      </c>
      <c r="BG572" s="275" t="str">
        <f>IFERROR(__xludf.DUMMYFUNCTION("upper(Regexreplace(to_text(E572),""[^A-Za-z0-9]"","""")&amp;""-""&amp;Regexreplace(to_text(F572),""[^A-Za-z0-9]"",""""))"),"NEPTRONIC-EVCBSERIES")</f>
        <v>NEPTRONIC-EVCBSERIES</v>
      </c>
    </row>
    <row r="573" ht="30.0" customHeight="1">
      <c r="A573" s="173">
        <v>565.0</v>
      </c>
      <c r="B573" s="237" t="s">
        <v>670</v>
      </c>
      <c r="C573" s="257" t="s">
        <v>3290</v>
      </c>
      <c r="D573" s="173" t="s">
        <v>3290</v>
      </c>
      <c r="E573" s="174" t="s">
        <v>2861</v>
      </c>
      <c r="F573" s="173" t="s">
        <v>2862</v>
      </c>
      <c r="G573" s="328" t="s">
        <v>673</v>
      </c>
      <c r="H573" s="328" t="s">
        <v>2863</v>
      </c>
      <c r="I573" s="258" t="s">
        <v>2864</v>
      </c>
      <c r="J573" s="259" t="s">
        <v>846</v>
      </c>
      <c r="K573" s="260" t="s">
        <v>3291</v>
      </c>
      <c r="L573" s="328"/>
      <c r="M573" s="343"/>
      <c r="N573" s="173" t="s">
        <v>679</v>
      </c>
      <c r="O573" s="173" t="s">
        <v>225</v>
      </c>
      <c r="P573" s="262" t="str">
        <f t="shared" si="1"/>
        <v>IN-BLR-ANANTA-VAV-145_1</v>
      </c>
      <c r="Q573" s="173" t="s">
        <v>3292</v>
      </c>
      <c r="R573" s="328" t="str">
        <f>IFS(C573="","",C573="n/a","N/A",LEN(C573),Concatenate("{",char(34),"asset",char(34),":{",char(34),"guid",char(34),":",char(34),Q573,char(34),",",char(34),"site",char(34),":",char(34),LOWER('2-Building'!$B$4),char(34),",",char(34),"name",char(34),":",char(34),LOWER(C573),char(34),"}}"))</f>
        <v>{"asset":{"guid":"uuid://338e85e0-3177-40b8-a1ea-6628030e6d22","site":"in-blr-ananta","name":"vav-145"}}</v>
      </c>
      <c r="S573" s="237" t="s">
        <v>2866</v>
      </c>
      <c r="T573" s="330"/>
      <c r="U573" s="330"/>
      <c r="V573" s="331"/>
      <c r="W573" s="344"/>
      <c r="X573" s="341"/>
      <c r="Y573" s="33" t="s">
        <v>2867</v>
      </c>
      <c r="Z573" s="258">
        <v>120145.0</v>
      </c>
      <c r="AA573" s="334">
        <v>11611.0</v>
      </c>
      <c r="AB573" s="341"/>
      <c r="AC573" s="341"/>
      <c r="AD573" s="343"/>
      <c r="AE573" s="331"/>
      <c r="AF573" s="348"/>
      <c r="AG573" s="337"/>
      <c r="AH573" s="341"/>
      <c r="AI573" s="341"/>
      <c r="AJ573" s="341"/>
      <c r="AK573" s="341"/>
      <c r="AL573" s="341"/>
      <c r="AM573" s="338"/>
      <c r="AN573" s="341"/>
      <c r="AO573" s="341"/>
      <c r="AP573" s="341"/>
      <c r="AQ573" s="341"/>
      <c r="AR573" s="341"/>
      <c r="AS573" s="341"/>
      <c r="AT573" s="341"/>
      <c r="AU573" s="343"/>
      <c r="AV573" s="341"/>
      <c r="AW573" s="269" t="s">
        <v>1992</v>
      </c>
      <c r="AX573" s="334" t="s">
        <v>2869</v>
      </c>
      <c r="AY573" s="270" t="s">
        <v>695</v>
      </c>
      <c r="AZ573" s="270" t="s">
        <v>2866</v>
      </c>
      <c r="BA573" s="265">
        <v>10.0</v>
      </c>
      <c r="BB573" s="174" t="s">
        <v>245</v>
      </c>
      <c r="BC573" s="341"/>
      <c r="BD573" s="308"/>
      <c r="BE573" s="347"/>
      <c r="BF573" s="274" t="str">
        <f>IFERROR(__xludf.DUMMYFUNCTION("LOWER(Regexreplace(to_text(E573),""[^A-Za-z0-9]"","""")&amp;""_""&amp;Regexreplace(to_text(F573),""[^A-Za-z0-9]"",""""))"),"neptronic_evcbseries")</f>
        <v>neptronic_evcbseries</v>
      </c>
      <c r="BG573" s="275" t="str">
        <f>IFERROR(__xludf.DUMMYFUNCTION("upper(Regexreplace(to_text(E573),""[^A-Za-z0-9]"","""")&amp;""-""&amp;Regexreplace(to_text(F573),""[^A-Za-z0-9]"",""""))"),"NEPTRONIC-EVCBSERIES")</f>
        <v>NEPTRONIC-EVCBSERIES</v>
      </c>
    </row>
    <row r="574" ht="30.0" customHeight="1">
      <c r="A574" s="258">
        <v>566.0</v>
      </c>
      <c r="B574" s="237" t="s">
        <v>670</v>
      </c>
      <c r="C574" s="257" t="s">
        <v>3293</v>
      </c>
      <c r="D574" s="173" t="s">
        <v>3293</v>
      </c>
      <c r="E574" s="174" t="s">
        <v>2861</v>
      </c>
      <c r="F574" s="173" t="s">
        <v>2862</v>
      </c>
      <c r="G574" s="328" t="s">
        <v>673</v>
      </c>
      <c r="H574" s="328" t="s">
        <v>2863</v>
      </c>
      <c r="I574" s="258" t="s">
        <v>2864</v>
      </c>
      <c r="J574" s="259" t="s">
        <v>846</v>
      </c>
      <c r="K574" s="260" t="s">
        <v>1665</v>
      </c>
      <c r="L574" s="328"/>
      <c r="M574" s="343"/>
      <c r="N574" s="173" t="s">
        <v>679</v>
      </c>
      <c r="O574" s="173" t="s">
        <v>225</v>
      </c>
      <c r="P574" s="262" t="str">
        <f t="shared" si="1"/>
        <v>IN-BLR-ANANTA-VAV-146_1</v>
      </c>
      <c r="Q574" s="173" t="s">
        <v>3294</v>
      </c>
      <c r="R574" s="328" t="str">
        <f>IFS(C574="","",C574="n/a","N/A",LEN(C574),Concatenate("{",char(34),"asset",char(34),":{",char(34),"guid",char(34),":",char(34),Q574,char(34),",",char(34),"site",char(34),":",char(34),LOWER('2-Building'!$B$4),char(34),",",char(34),"name",char(34),":",char(34),LOWER(C574),char(34),"}}"))</f>
        <v>{"asset":{"guid":"uuid://c3a2e929-0cd3-4c9e-9014-6db4f43b14d0","site":"in-blr-ananta","name":"vav-146"}}</v>
      </c>
      <c r="S574" s="237" t="s">
        <v>2866</v>
      </c>
      <c r="T574" s="330"/>
      <c r="U574" s="330"/>
      <c r="V574" s="331"/>
      <c r="W574" s="344"/>
      <c r="X574" s="341"/>
      <c r="Y574" s="33" t="s">
        <v>2867</v>
      </c>
      <c r="Z574" s="258">
        <v>120146.0</v>
      </c>
      <c r="AA574" s="334">
        <v>11610.0</v>
      </c>
      <c r="AB574" s="341"/>
      <c r="AC574" s="341"/>
      <c r="AD574" s="343"/>
      <c r="AE574" s="331"/>
      <c r="AF574" s="348"/>
      <c r="AG574" s="337"/>
      <c r="AH574" s="341"/>
      <c r="AI574" s="341"/>
      <c r="AJ574" s="341"/>
      <c r="AK574" s="341"/>
      <c r="AL574" s="341"/>
      <c r="AM574" s="338"/>
      <c r="AN574" s="341"/>
      <c r="AO574" s="341"/>
      <c r="AP574" s="341"/>
      <c r="AQ574" s="341"/>
      <c r="AR574" s="341"/>
      <c r="AS574" s="341"/>
      <c r="AT574" s="341"/>
      <c r="AU574" s="343"/>
      <c r="AV574" s="341"/>
      <c r="AW574" s="269" t="s">
        <v>1992</v>
      </c>
      <c r="AX574" s="334" t="s">
        <v>2869</v>
      </c>
      <c r="AY574" s="270" t="s">
        <v>695</v>
      </c>
      <c r="AZ574" s="270" t="s">
        <v>2866</v>
      </c>
      <c r="BA574" s="265">
        <v>10.0</v>
      </c>
      <c r="BB574" s="174" t="s">
        <v>245</v>
      </c>
      <c r="BC574" s="341"/>
      <c r="BD574" s="308"/>
      <c r="BE574" s="347"/>
      <c r="BF574" s="274" t="str">
        <f>IFERROR(__xludf.DUMMYFUNCTION("LOWER(Regexreplace(to_text(E574),""[^A-Za-z0-9]"","""")&amp;""_""&amp;Regexreplace(to_text(F574),""[^A-Za-z0-9]"",""""))"),"neptronic_evcbseries")</f>
        <v>neptronic_evcbseries</v>
      </c>
      <c r="BG574" s="275" t="str">
        <f>IFERROR(__xludf.DUMMYFUNCTION("upper(Regexreplace(to_text(E574),""[^A-Za-z0-9]"","""")&amp;""-""&amp;Regexreplace(to_text(F574),""[^A-Za-z0-9]"",""""))"),"NEPTRONIC-EVCBSERIES")</f>
        <v>NEPTRONIC-EVCBSERIES</v>
      </c>
    </row>
    <row r="575" ht="30.0" customHeight="1">
      <c r="A575" s="173">
        <v>567.0</v>
      </c>
      <c r="B575" s="237" t="s">
        <v>670</v>
      </c>
      <c r="C575" s="257" t="s">
        <v>3295</v>
      </c>
      <c r="D575" s="173" t="s">
        <v>3295</v>
      </c>
      <c r="E575" s="174" t="s">
        <v>2861</v>
      </c>
      <c r="F575" s="173" t="s">
        <v>2862</v>
      </c>
      <c r="G575" s="328" t="s">
        <v>673</v>
      </c>
      <c r="H575" s="328" t="s">
        <v>2863</v>
      </c>
      <c r="I575" s="258" t="s">
        <v>2864</v>
      </c>
      <c r="J575" s="259" t="s">
        <v>846</v>
      </c>
      <c r="K575" s="260" t="s">
        <v>3296</v>
      </c>
      <c r="L575" s="328"/>
      <c r="M575" s="343"/>
      <c r="N575" s="173" t="s">
        <v>679</v>
      </c>
      <c r="O575" s="173" t="s">
        <v>225</v>
      </c>
      <c r="P575" s="262" t="str">
        <f t="shared" si="1"/>
        <v>IN-BLR-ANANTA-VAV-147_1</v>
      </c>
      <c r="Q575" s="173" t="s">
        <v>3297</v>
      </c>
      <c r="R575" s="328" t="str">
        <f>IFS(C575="","",C575="n/a","N/A",LEN(C575),Concatenate("{",char(34),"asset",char(34),":{",char(34),"guid",char(34),":",char(34),Q575,char(34),",",char(34),"site",char(34),":",char(34),LOWER('2-Building'!$B$4),char(34),",",char(34),"name",char(34),":",char(34),LOWER(C575),char(34),"}}"))</f>
        <v>{"asset":{"guid":"uuid://eae18daf-408b-40e5-88b1-d5eda93df4c3","site":"in-blr-ananta","name":"vav-147"}}</v>
      </c>
      <c r="S575" s="237" t="s">
        <v>2866</v>
      </c>
      <c r="T575" s="330"/>
      <c r="U575" s="330"/>
      <c r="V575" s="331"/>
      <c r="W575" s="344"/>
      <c r="X575" s="341"/>
      <c r="Y575" s="33" t="s">
        <v>2867</v>
      </c>
      <c r="Z575" s="258">
        <v>120147.0</v>
      </c>
      <c r="AA575" s="334">
        <v>11610.0</v>
      </c>
      <c r="AB575" s="341"/>
      <c r="AC575" s="341"/>
      <c r="AD575" s="343"/>
      <c r="AE575" s="331"/>
      <c r="AF575" s="348"/>
      <c r="AG575" s="337"/>
      <c r="AH575" s="341"/>
      <c r="AI575" s="341"/>
      <c r="AJ575" s="341"/>
      <c r="AK575" s="341"/>
      <c r="AL575" s="341"/>
      <c r="AM575" s="338"/>
      <c r="AN575" s="341"/>
      <c r="AO575" s="341"/>
      <c r="AP575" s="341"/>
      <c r="AQ575" s="341"/>
      <c r="AR575" s="341"/>
      <c r="AS575" s="341"/>
      <c r="AT575" s="341"/>
      <c r="AU575" s="343"/>
      <c r="AV575" s="341"/>
      <c r="AW575" s="269" t="s">
        <v>1992</v>
      </c>
      <c r="AX575" s="334" t="s">
        <v>2869</v>
      </c>
      <c r="AY575" s="270" t="s">
        <v>695</v>
      </c>
      <c r="AZ575" s="270" t="s">
        <v>2866</v>
      </c>
      <c r="BA575" s="265">
        <v>10.0</v>
      </c>
      <c r="BB575" s="174" t="s">
        <v>245</v>
      </c>
      <c r="BC575" s="341"/>
      <c r="BD575" s="308"/>
      <c r="BE575" s="347"/>
      <c r="BF575" s="274" t="str">
        <f>IFERROR(__xludf.DUMMYFUNCTION("LOWER(Regexreplace(to_text(E575),""[^A-Za-z0-9]"","""")&amp;""_""&amp;Regexreplace(to_text(F575),""[^A-Za-z0-9]"",""""))"),"neptronic_evcbseries")</f>
        <v>neptronic_evcbseries</v>
      </c>
      <c r="BG575" s="275" t="str">
        <f>IFERROR(__xludf.DUMMYFUNCTION("upper(Regexreplace(to_text(E575),""[^A-Za-z0-9]"","""")&amp;""-""&amp;Regexreplace(to_text(F575),""[^A-Za-z0-9]"",""""))"),"NEPTRONIC-EVCBSERIES")</f>
        <v>NEPTRONIC-EVCBSERIES</v>
      </c>
    </row>
    <row r="576" ht="30.0" customHeight="1">
      <c r="A576" s="258">
        <v>568.0</v>
      </c>
      <c r="B576" s="237" t="s">
        <v>670</v>
      </c>
      <c r="C576" s="257" t="s">
        <v>3298</v>
      </c>
      <c r="D576" s="173" t="s">
        <v>3298</v>
      </c>
      <c r="E576" s="174" t="s">
        <v>2861</v>
      </c>
      <c r="F576" s="173" t="s">
        <v>2862</v>
      </c>
      <c r="G576" s="328" t="s">
        <v>673</v>
      </c>
      <c r="H576" s="328" t="s">
        <v>2863</v>
      </c>
      <c r="I576" s="258" t="s">
        <v>2864</v>
      </c>
      <c r="J576" s="259" t="s">
        <v>846</v>
      </c>
      <c r="K576" s="260" t="s">
        <v>3299</v>
      </c>
      <c r="L576" s="328"/>
      <c r="M576" s="343"/>
      <c r="N576" s="173" t="s">
        <v>679</v>
      </c>
      <c r="O576" s="173" t="s">
        <v>225</v>
      </c>
      <c r="P576" s="262" t="str">
        <f t="shared" si="1"/>
        <v>IN-BLR-ANANTA-VAV-148_1</v>
      </c>
      <c r="Q576" s="173" t="s">
        <v>3300</v>
      </c>
      <c r="R576" s="328" t="str">
        <f>IFS(C576="","",C576="n/a","N/A",LEN(C576),Concatenate("{",char(34),"asset",char(34),":{",char(34),"guid",char(34),":",char(34),Q576,char(34),",",char(34),"site",char(34),":",char(34),LOWER('2-Building'!$B$4),char(34),",",char(34),"name",char(34),":",char(34),LOWER(C576),char(34),"}}"))</f>
        <v>{"asset":{"guid":"uuid://346c6ca8-3945-4e2c-8718-10db1ebf13cc","site":"in-blr-ananta","name":"vav-148"}}</v>
      </c>
      <c r="S576" s="237" t="s">
        <v>2866</v>
      </c>
      <c r="T576" s="330"/>
      <c r="U576" s="330"/>
      <c r="V576" s="331"/>
      <c r="W576" s="344"/>
      <c r="X576" s="341"/>
      <c r="Y576" s="33" t="s">
        <v>2867</v>
      </c>
      <c r="Z576" s="258">
        <v>120148.0</v>
      </c>
      <c r="AA576" s="334">
        <v>11610.0</v>
      </c>
      <c r="AB576" s="341"/>
      <c r="AC576" s="341"/>
      <c r="AD576" s="343"/>
      <c r="AE576" s="331"/>
      <c r="AF576" s="348"/>
      <c r="AG576" s="337"/>
      <c r="AH576" s="341"/>
      <c r="AI576" s="341"/>
      <c r="AJ576" s="341"/>
      <c r="AK576" s="341"/>
      <c r="AL576" s="341"/>
      <c r="AM576" s="338"/>
      <c r="AN576" s="341"/>
      <c r="AO576" s="341"/>
      <c r="AP576" s="341"/>
      <c r="AQ576" s="341"/>
      <c r="AR576" s="341"/>
      <c r="AS576" s="341"/>
      <c r="AT576" s="341"/>
      <c r="AU576" s="343"/>
      <c r="AV576" s="341"/>
      <c r="AW576" s="269" t="s">
        <v>1992</v>
      </c>
      <c r="AX576" s="334" t="s">
        <v>2869</v>
      </c>
      <c r="AY576" s="270" t="s">
        <v>695</v>
      </c>
      <c r="AZ576" s="270" t="s">
        <v>2866</v>
      </c>
      <c r="BA576" s="265">
        <v>10.0</v>
      </c>
      <c r="BB576" s="174" t="s">
        <v>245</v>
      </c>
      <c r="BC576" s="341"/>
      <c r="BD576" s="308"/>
      <c r="BE576" s="347"/>
      <c r="BF576" s="274" t="str">
        <f>IFERROR(__xludf.DUMMYFUNCTION("LOWER(Regexreplace(to_text(E576),""[^A-Za-z0-9]"","""")&amp;""_""&amp;Regexreplace(to_text(F576),""[^A-Za-z0-9]"",""""))"),"neptronic_evcbseries")</f>
        <v>neptronic_evcbseries</v>
      </c>
      <c r="BG576" s="275" t="str">
        <f>IFERROR(__xludf.DUMMYFUNCTION("upper(Regexreplace(to_text(E576),""[^A-Za-z0-9]"","""")&amp;""-""&amp;Regexreplace(to_text(F576),""[^A-Za-z0-9]"",""""))"),"NEPTRONIC-EVCBSERIES")</f>
        <v>NEPTRONIC-EVCBSERIES</v>
      </c>
    </row>
    <row r="577" ht="30.0" customHeight="1">
      <c r="A577" s="173">
        <v>569.0</v>
      </c>
      <c r="B577" s="237" t="s">
        <v>670</v>
      </c>
      <c r="C577" s="257" t="s">
        <v>3301</v>
      </c>
      <c r="D577" s="173" t="s">
        <v>3301</v>
      </c>
      <c r="E577" s="174" t="s">
        <v>2861</v>
      </c>
      <c r="F577" s="173" t="s">
        <v>2862</v>
      </c>
      <c r="G577" s="328" t="s">
        <v>673</v>
      </c>
      <c r="H577" s="328" t="s">
        <v>2863</v>
      </c>
      <c r="I577" s="258" t="s">
        <v>2864</v>
      </c>
      <c r="J577" s="259" t="s">
        <v>846</v>
      </c>
      <c r="K577" s="260" t="s">
        <v>3302</v>
      </c>
      <c r="L577" s="328"/>
      <c r="M577" s="343"/>
      <c r="N577" s="173" t="s">
        <v>679</v>
      </c>
      <c r="O577" s="173" t="s">
        <v>225</v>
      </c>
      <c r="P577" s="262" t="str">
        <f t="shared" si="1"/>
        <v>IN-BLR-ANANTA-VAV-149_1</v>
      </c>
      <c r="Q577" s="173" t="s">
        <v>3303</v>
      </c>
      <c r="R577" s="328" t="str">
        <f>IFS(C577="","",C577="n/a","N/A",LEN(C577),Concatenate("{",char(34),"asset",char(34),":{",char(34),"guid",char(34),":",char(34),Q577,char(34),",",char(34),"site",char(34),":",char(34),LOWER('2-Building'!$B$4),char(34),",",char(34),"name",char(34),":",char(34),LOWER(C577),char(34),"}}"))</f>
        <v>{"asset":{"guid":"uuid://a04086d6-04e1-45ad-9dd0-b84fb2c97bd9","site":"in-blr-ananta","name":"vav-149"}}</v>
      </c>
      <c r="S577" s="237" t="s">
        <v>2866</v>
      </c>
      <c r="T577" s="330"/>
      <c r="U577" s="330"/>
      <c r="V577" s="331"/>
      <c r="W577" s="344"/>
      <c r="X577" s="341"/>
      <c r="Y577" s="33" t="s">
        <v>2867</v>
      </c>
      <c r="Z577" s="258">
        <v>120149.0</v>
      </c>
      <c r="AA577" s="334">
        <v>11610.0</v>
      </c>
      <c r="AB577" s="341"/>
      <c r="AC577" s="341"/>
      <c r="AD577" s="343"/>
      <c r="AE577" s="331"/>
      <c r="AF577" s="348"/>
      <c r="AG577" s="337"/>
      <c r="AH577" s="341"/>
      <c r="AI577" s="341"/>
      <c r="AJ577" s="341"/>
      <c r="AK577" s="341"/>
      <c r="AL577" s="341"/>
      <c r="AM577" s="338"/>
      <c r="AN577" s="341"/>
      <c r="AO577" s="341"/>
      <c r="AP577" s="341"/>
      <c r="AQ577" s="341"/>
      <c r="AR577" s="341"/>
      <c r="AS577" s="341"/>
      <c r="AT577" s="341"/>
      <c r="AU577" s="343"/>
      <c r="AV577" s="341"/>
      <c r="AW577" s="269" t="s">
        <v>1992</v>
      </c>
      <c r="AX577" s="334" t="s">
        <v>2869</v>
      </c>
      <c r="AY577" s="270" t="s">
        <v>695</v>
      </c>
      <c r="AZ577" s="270" t="s">
        <v>2866</v>
      </c>
      <c r="BA577" s="265">
        <v>10.0</v>
      </c>
      <c r="BB577" s="174" t="s">
        <v>245</v>
      </c>
      <c r="BC577" s="341"/>
      <c r="BD577" s="308"/>
      <c r="BE577" s="347"/>
      <c r="BF577" s="274" t="str">
        <f>IFERROR(__xludf.DUMMYFUNCTION("LOWER(Regexreplace(to_text(E577),""[^A-Za-z0-9]"","""")&amp;""_""&amp;Regexreplace(to_text(F577),""[^A-Za-z0-9]"",""""))"),"neptronic_evcbseries")</f>
        <v>neptronic_evcbseries</v>
      </c>
      <c r="BG577" s="275" t="str">
        <f>IFERROR(__xludf.DUMMYFUNCTION("upper(Regexreplace(to_text(E577),""[^A-Za-z0-9]"","""")&amp;""-""&amp;Regexreplace(to_text(F577),""[^A-Za-z0-9]"",""""))"),"NEPTRONIC-EVCBSERIES")</f>
        <v>NEPTRONIC-EVCBSERIES</v>
      </c>
    </row>
    <row r="578" ht="30.0" customHeight="1">
      <c r="A578" s="258">
        <v>570.0</v>
      </c>
      <c r="B578" s="237" t="s">
        <v>670</v>
      </c>
      <c r="C578" s="257" t="s">
        <v>3304</v>
      </c>
      <c r="D578" s="173" t="s">
        <v>3304</v>
      </c>
      <c r="E578" s="174" t="s">
        <v>2861</v>
      </c>
      <c r="F578" s="173" t="s">
        <v>2862</v>
      </c>
      <c r="G578" s="328" t="s">
        <v>673</v>
      </c>
      <c r="H578" s="328" t="s">
        <v>2863</v>
      </c>
      <c r="I578" s="258" t="s">
        <v>2864</v>
      </c>
      <c r="J578" s="259" t="s">
        <v>846</v>
      </c>
      <c r="K578" s="260" t="s">
        <v>3305</v>
      </c>
      <c r="L578" s="328"/>
      <c r="M578" s="343"/>
      <c r="N578" s="173" t="s">
        <v>679</v>
      </c>
      <c r="O578" s="173" t="s">
        <v>225</v>
      </c>
      <c r="P578" s="262" t="str">
        <f t="shared" si="1"/>
        <v>IN-BLR-ANANTA-VAV-150_1</v>
      </c>
      <c r="Q578" s="173" t="s">
        <v>3306</v>
      </c>
      <c r="R578" s="328" t="str">
        <f>IFS(C578="","",C578="n/a","N/A",LEN(C578),Concatenate("{",char(34),"asset",char(34),":{",char(34),"guid",char(34),":",char(34),Q578,char(34),",",char(34),"site",char(34),":",char(34),LOWER('2-Building'!$B$4),char(34),",",char(34),"name",char(34),":",char(34),LOWER(C578),char(34),"}}"))</f>
        <v>{"asset":{"guid":"uuid://d4f407d6-b779-4daf-8b3f-578e455ed5de","site":"in-blr-ananta","name":"vav-150"}}</v>
      </c>
      <c r="S578" s="237" t="s">
        <v>2866</v>
      </c>
      <c r="T578" s="330"/>
      <c r="U578" s="330"/>
      <c r="V578" s="331"/>
      <c r="W578" s="344"/>
      <c r="X578" s="341"/>
      <c r="Y578" s="33" t="s">
        <v>2867</v>
      </c>
      <c r="Z578" s="258">
        <v>120150.0</v>
      </c>
      <c r="AA578" s="334">
        <v>11610.0</v>
      </c>
      <c r="AB578" s="341"/>
      <c r="AC578" s="341"/>
      <c r="AD578" s="343"/>
      <c r="AE578" s="331"/>
      <c r="AF578" s="348"/>
      <c r="AG578" s="337"/>
      <c r="AH578" s="341"/>
      <c r="AI578" s="341"/>
      <c r="AJ578" s="341"/>
      <c r="AK578" s="341"/>
      <c r="AL578" s="341"/>
      <c r="AM578" s="338"/>
      <c r="AN578" s="341"/>
      <c r="AO578" s="341"/>
      <c r="AP578" s="341"/>
      <c r="AQ578" s="341"/>
      <c r="AR578" s="341"/>
      <c r="AS578" s="341"/>
      <c r="AT578" s="341"/>
      <c r="AU578" s="343"/>
      <c r="AV578" s="341"/>
      <c r="AW578" s="269" t="s">
        <v>1992</v>
      </c>
      <c r="AX578" s="334" t="s">
        <v>2869</v>
      </c>
      <c r="AY578" s="270" t="s">
        <v>695</v>
      </c>
      <c r="AZ578" s="270" t="s">
        <v>2866</v>
      </c>
      <c r="BA578" s="265">
        <v>10.0</v>
      </c>
      <c r="BB578" s="174" t="s">
        <v>245</v>
      </c>
      <c r="BC578" s="341"/>
      <c r="BD578" s="308"/>
      <c r="BE578" s="347"/>
      <c r="BF578" s="274" t="str">
        <f>IFERROR(__xludf.DUMMYFUNCTION("LOWER(Regexreplace(to_text(E578),""[^A-Za-z0-9]"","""")&amp;""_""&amp;Regexreplace(to_text(F578),""[^A-Za-z0-9]"",""""))"),"neptronic_evcbseries")</f>
        <v>neptronic_evcbseries</v>
      </c>
      <c r="BG578" s="275" t="str">
        <f>IFERROR(__xludf.DUMMYFUNCTION("upper(Regexreplace(to_text(E578),""[^A-Za-z0-9]"","""")&amp;""-""&amp;Regexreplace(to_text(F578),""[^A-Za-z0-9]"",""""))"),"NEPTRONIC-EVCBSERIES")</f>
        <v>NEPTRONIC-EVCBSERIES</v>
      </c>
    </row>
    <row r="579" ht="30.0" customHeight="1">
      <c r="A579" s="173">
        <v>571.0</v>
      </c>
      <c r="B579" s="237" t="s">
        <v>670</v>
      </c>
      <c r="C579" s="257" t="s">
        <v>3307</v>
      </c>
      <c r="D579" s="173" t="s">
        <v>3307</v>
      </c>
      <c r="E579" s="174" t="s">
        <v>2861</v>
      </c>
      <c r="F579" s="173" t="s">
        <v>2862</v>
      </c>
      <c r="G579" s="328" t="s">
        <v>673</v>
      </c>
      <c r="H579" s="328" t="s">
        <v>2863</v>
      </c>
      <c r="I579" s="258" t="s">
        <v>2864</v>
      </c>
      <c r="J579" s="259" t="s">
        <v>846</v>
      </c>
      <c r="K579" s="260" t="s">
        <v>3308</v>
      </c>
      <c r="L579" s="328"/>
      <c r="M579" s="343"/>
      <c r="N579" s="173" t="s">
        <v>679</v>
      </c>
      <c r="O579" s="173" t="s">
        <v>225</v>
      </c>
      <c r="P579" s="262" t="str">
        <f t="shared" si="1"/>
        <v>IN-BLR-ANANTA-VAV-151_1</v>
      </c>
      <c r="Q579" s="173" t="s">
        <v>3309</v>
      </c>
      <c r="R579" s="328" t="str">
        <f>IFS(C579="","",C579="n/a","N/A",LEN(C579),Concatenate("{",char(34),"asset",char(34),":{",char(34),"guid",char(34),":",char(34),Q579,char(34),",",char(34),"site",char(34),":",char(34),LOWER('2-Building'!$B$4),char(34),",",char(34),"name",char(34),":",char(34),LOWER(C579),char(34),"}}"))</f>
        <v>{"asset":{"guid":"uuid://1877b1dd-2ecd-4be7-a765-ad068a40d66f","site":"in-blr-ananta","name":"vav-151"}}</v>
      </c>
      <c r="S579" s="237" t="s">
        <v>2866</v>
      </c>
      <c r="T579" s="330"/>
      <c r="U579" s="330"/>
      <c r="V579" s="331"/>
      <c r="W579" s="344"/>
      <c r="X579" s="341"/>
      <c r="Y579" s="33" t="s">
        <v>2867</v>
      </c>
      <c r="Z579" s="258">
        <v>120151.0</v>
      </c>
      <c r="AA579" s="334">
        <v>11610.0</v>
      </c>
      <c r="AB579" s="341"/>
      <c r="AC579" s="341"/>
      <c r="AD579" s="343"/>
      <c r="AE579" s="331"/>
      <c r="AF579" s="348"/>
      <c r="AG579" s="337"/>
      <c r="AH579" s="341"/>
      <c r="AI579" s="341"/>
      <c r="AJ579" s="341"/>
      <c r="AK579" s="341"/>
      <c r="AL579" s="341"/>
      <c r="AM579" s="338"/>
      <c r="AN579" s="341"/>
      <c r="AO579" s="341"/>
      <c r="AP579" s="341"/>
      <c r="AQ579" s="341"/>
      <c r="AR579" s="341"/>
      <c r="AS579" s="341"/>
      <c r="AT579" s="341"/>
      <c r="AU579" s="343"/>
      <c r="AV579" s="341"/>
      <c r="AW579" s="269" t="s">
        <v>1992</v>
      </c>
      <c r="AX579" s="334" t="s">
        <v>2869</v>
      </c>
      <c r="AY579" s="270" t="s">
        <v>695</v>
      </c>
      <c r="AZ579" s="270" t="s">
        <v>2866</v>
      </c>
      <c r="BA579" s="265">
        <v>10.0</v>
      </c>
      <c r="BB579" s="174" t="s">
        <v>245</v>
      </c>
      <c r="BC579" s="341"/>
      <c r="BD579" s="308"/>
      <c r="BE579" s="347"/>
      <c r="BF579" s="274" t="str">
        <f>IFERROR(__xludf.DUMMYFUNCTION("LOWER(Regexreplace(to_text(E579),""[^A-Za-z0-9]"","""")&amp;""_""&amp;Regexreplace(to_text(F579),""[^A-Za-z0-9]"",""""))"),"neptronic_evcbseries")</f>
        <v>neptronic_evcbseries</v>
      </c>
      <c r="BG579" s="275" t="str">
        <f>IFERROR(__xludf.DUMMYFUNCTION("upper(Regexreplace(to_text(E579),""[^A-Za-z0-9]"","""")&amp;""-""&amp;Regexreplace(to_text(F579),""[^A-Za-z0-9]"",""""))"),"NEPTRONIC-EVCBSERIES")</f>
        <v>NEPTRONIC-EVCBSERIES</v>
      </c>
    </row>
    <row r="580" ht="30.0" customHeight="1">
      <c r="A580" s="258">
        <v>572.0</v>
      </c>
      <c r="B580" s="237" t="s">
        <v>670</v>
      </c>
      <c r="C580" s="257" t="s">
        <v>3310</v>
      </c>
      <c r="D580" s="173" t="s">
        <v>3310</v>
      </c>
      <c r="E580" s="174" t="s">
        <v>2861</v>
      </c>
      <c r="F580" s="173" t="s">
        <v>2862</v>
      </c>
      <c r="G580" s="328" t="s">
        <v>673</v>
      </c>
      <c r="H580" s="328" t="s">
        <v>2863</v>
      </c>
      <c r="I580" s="258" t="s">
        <v>2864</v>
      </c>
      <c r="J580" s="259" t="s">
        <v>846</v>
      </c>
      <c r="K580" s="260" t="s">
        <v>3311</v>
      </c>
      <c r="L580" s="328"/>
      <c r="M580" s="343"/>
      <c r="N580" s="173" t="s">
        <v>679</v>
      </c>
      <c r="O580" s="173" t="s">
        <v>225</v>
      </c>
      <c r="P580" s="262" t="str">
        <f t="shared" si="1"/>
        <v>IN-BLR-ANANTA-VAV-152_1</v>
      </c>
      <c r="Q580" s="173" t="s">
        <v>3312</v>
      </c>
      <c r="R580" s="328" t="str">
        <f>IFS(C580="","",C580="n/a","N/A",LEN(C580),Concatenate("{",char(34),"asset",char(34),":{",char(34),"guid",char(34),":",char(34),Q580,char(34),",",char(34),"site",char(34),":",char(34),LOWER('2-Building'!$B$4),char(34),",",char(34),"name",char(34),":",char(34),LOWER(C580),char(34),"}}"))</f>
        <v>{"asset":{"guid":"uuid://d8faa8f3-c908-4ed6-8eb9-58c9548b8166","site":"in-blr-ananta","name":"vav-152"}}</v>
      </c>
      <c r="S580" s="237" t="s">
        <v>2866</v>
      </c>
      <c r="T580" s="330"/>
      <c r="U580" s="330"/>
      <c r="V580" s="331"/>
      <c r="W580" s="344"/>
      <c r="X580" s="341"/>
      <c r="Y580" s="33" t="s">
        <v>2867</v>
      </c>
      <c r="Z580" s="258">
        <v>120152.0</v>
      </c>
      <c r="AA580" s="334">
        <v>11610.0</v>
      </c>
      <c r="AB580" s="341"/>
      <c r="AC580" s="341"/>
      <c r="AD580" s="343"/>
      <c r="AE580" s="331"/>
      <c r="AF580" s="348"/>
      <c r="AG580" s="337"/>
      <c r="AH580" s="341"/>
      <c r="AI580" s="341"/>
      <c r="AJ580" s="341"/>
      <c r="AK580" s="341"/>
      <c r="AL580" s="341"/>
      <c r="AM580" s="338"/>
      <c r="AN580" s="341"/>
      <c r="AO580" s="341"/>
      <c r="AP580" s="341"/>
      <c r="AQ580" s="341"/>
      <c r="AR580" s="341"/>
      <c r="AS580" s="341"/>
      <c r="AT580" s="341"/>
      <c r="AU580" s="343"/>
      <c r="AV580" s="341"/>
      <c r="AW580" s="269" t="s">
        <v>1992</v>
      </c>
      <c r="AX580" s="334" t="s">
        <v>2869</v>
      </c>
      <c r="AY580" s="270" t="s">
        <v>695</v>
      </c>
      <c r="AZ580" s="270" t="s">
        <v>2866</v>
      </c>
      <c r="BA580" s="265">
        <v>10.0</v>
      </c>
      <c r="BB580" s="174" t="s">
        <v>245</v>
      </c>
      <c r="BC580" s="341"/>
      <c r="BD580" s="308"/>
      <c r="BE580" s="347"/>
      <c r="BF580" s="274" t="str">
        <f>IFERROR(__xludf.DUMMYFUNCTION("LOWER(Regexreplace(to_text(E580),""[^A-Za-z0-9]"","""")&amp;""_""&amp;Regexreplace(to_text(F580),""[^A-Za-z0-9]"",""""))"),"neptronic_evcbseries")</f>
        <v>neptronic_evcbseries</v>
      </c>
      <c r="BG580" s="275" t="str">
        <f>IFERROR(__xludf.DUMMYFUNCTION("upper(Regexreplace(to_text(E580),""[^A-Za-z0-9]"","""")&amp;""-""&amp;Regexreplace(to_text(F580),""[^A-Za-z0-9]"",""""))"),"NEPTRONIC-EVCBSERIES")</f>
        <v>NEPTRONIC-EVCBSERIES</v>
      </c>
    </row>
    <row r="581" ht="30.0" customHeight="1">
      <c r="A581" s="173">
        <v>573.0</v>
      </c>
      <c r="B581" s="237" t="s">
        <v>670</v>
      </c>
      <c r="C581" s="257" t="s">
        <v>3313</v>
      </c>
      <c r="D581" s="173" t="s">
        <v>3313</v>
      </c>
      <c r="E581" s="174" t="s">
        <v>2861</v>
      </c>
      <c r="F581" s="173" t="s">
        <v>2862</v>
      </c>
      <c r="G581" s="328" t="s">
        <v>673</v>
      </c>
      <c r="H581" s="328" t="s">
        <v>2863</v>
      </c>
      <c r="I581" s="258" t="s">
        <v>2864</v>
      </c>
      <c r="J581" s="259" t="s">
        <v>846</v>
      </c>
      <c r="K581" s="260" t="s">
        <v>3314</v>
      </c>
      <c r="L581" s="328"/>
      <c r="M581" s="343"/>
      <c r="N581" s="173" t="s">
        <v>679</v>
      </c>
      <c r="O581" s="173" t="s">
        <v>225</v>
      </c>
      <c r="P581" s="262" t="str">
        <f t="shared" si="1"/>
        <v>IN-BLR-ANANTA-VAV-153_1</v>
      </c>
      <c r="Q581" s="173" t="s">
        <v>3315</v>
      </c>
      <c r="R581" s="328" t="str">
        <f>IFS(C581="","",C581="n/a","N/A",LEN(C581),Concatenate("{",char(34),"asset",char(34),":{",char(34),"guid",char(34),":",char(34),Q581,char(34),",",char(34),"site",char(34),":",char(34),LOWER('2-Building'!$B$4),char(34),",",char(34),"name",char(34),":",char(34),LOWER(C581),char(34),"}}"))</f>
        <v>{"asset":{"guid":"uuid://012e5762-4305-446e-adfb-8758395ecb9b","site":"in-blr-ananta","name":"vav-153"}}</v>
      </c>
      <c r="S581" s="237" t="s">
        <v>2866</v>
      </c>
      <c r="T581" s="330"/>
      <c r="U581" s="330"/>
      <c r="V581" s="331"/>
      <c r="W581" s="344"/>
      <c r="X581" s="341"/>
      <c r="Y581" s="33" t="s">
        <v>2867</v>
      </c>
      <c r="Z581" s="258">
        <v>120153.0</v>
      </c>
      <c r="AA581" s="334">
        <v>11610.0</v>
      </c>
      <c r="AB581" s="341"/>
      <c r="AC581" s="341"/>
      <c r="AD581" s="343"/>
      <c r="AE581" s="331"/>
      <c r="AF581" s="348"/>
      <c r="AG581" s="337"/>
      <c r="AH581" s="341"/>
      <c r="AI581" s="341"/>
      <c r="AJ581" s="341"/>
      <c r="AK581" s="341"/>
      <c r="AL581" s="341"/>
      <c r="AM581" s="338"/>
      <c r="AN581" s="341"/>
      <c r="AO581" s="341"/>
      <c r="AP581" s="341"/>
      <c r="AQ581" s="341"/>
      <c r="AR581" s="341"/>
      <c r="AS581" s="341"/>
      <c r="AT581" s="341"/>
      <c r="AU581" s="343"/>
      <c r="AV581" s="341"/>
      <c r="AW581" s="269" t="s">
        <v>1992</v>
      </c>
      <c r="AX581" s="334" t="s">
        <v>2869</v>
      </c>
      <c r="AY581" s="270" t="s">
        <v>695</v>
      </c>
      <c r="AZ581" s="270" t="s">
        <v>2866</v>
      </c>
      <c r="BA581" s="265">
        <v>10.0</v>
      </c>
      <c r="BB581" s="174" t="s">
        <v>245</v>
      </c>
      <c r="BC581" s="341"/>
      <c r="BD581" s="308"/>
      <c r="BE581" s="347"/>
      <c r="BF581" s="274" t="str">
        <f>IFERROR(__xludf.DUMMYFUNCTION("LOWER(Regexreplace(to_text(E581),""[^A-Za-z0-9]"","""")&amp;""_""&amp;Regexreplace(to_text(F581),""[^A-Za-z0-9]"",""""))"),"neptronic_evcbseries")</f>
        <v>neptronic_evcbseries</v>
      </c>
      <c r="BG581" s="275" t="str">
        <f>IFERROR(__xludf.DUMMYFUNCTION("upper(Regexreplace(to_text(E581),""[^A-Za-z0-9]"","""")&amp;""-""&amp;Regexreplace(to_text(F581),""[^A-Za-z0-9]"",""""))"),"NEPTRONIC-EVCBSERIES")</f>
        <v>NEPTRONIC-EVCBSERIES</v>
      </c>
    </row>
    <row r="582" ht="30.0" customHeight="1">
      <c r="A582" s="258">
        <v>574.0</v>
      </c>
      <c r="B582" s="237" t="s">
        <v>670</v>
      </c>
      <c r="C582" s="257" t="s">
        <v>3316</v>
      </c>
      <c r="D582" s="173" t="s">
        <v>3316</v>
      </c>
      <c r="E582" s="174" t="s">
        <v>2861</v>
      </c>
      <c r="F582" s="173" t="s">
        <v>2862</v>
      </c>
      <c r="G582" s="328" t="s">
        <v>673</v>
      </c>
      <c r="H582" s="328" t="s">
        <v>2863</v>
      </c>
      <c r="I582" s="258" t="s">
        <v>2864</v>
      </c>
      <c r="J582" s="259" t="s">
        <v>846</v>
      </c>
      <c r="K582" s="260" t="s">
        <v>3317</v>
      </c>
      <c r="L582" s="328"/>
      <c r="M582" s="343"/>
      <c r="N582" s="173" t="s">
        <v>679</v>
      </c>
      <c r="O582" s="173" t="s">
        <v>225</v>
      </c>
      <c r="P582" s="262" t="str">
        <f t="shared" si="1"/>
        <v>IN-BLR-ANANTA-VAV-154_1</v>
      </c>
      <c r="Q582" s="173" t="s">
        <v>3318</v>
      </c>
      <c r="R582" s="328" t="str">
        <f>IFS(C582="","",C582="n/a","N/A",LEN(C582),Concatenate("{",char(34),"asset",char(34),":{",char(34),"guid",char(34),":",char(34),Q582,char(34),",",char(34),"site",char(34),":",char(34),LOWER('2-Building'!$B$4),char(34),",",char(34),"name",char(34),":",char(34),LOWER(C582),char(34),"}}"))</f>
        <v>{"asset":{"guid":"uuid://f7697f4e-0fbe-46c9-a39d-b09469597b1d","site":"in-blr-ananta","name":"vav-154"}}</v>
      </c>
      <c r="S582" s="237" t="s">
        <v>2866</v>
      </c>
      <c r="T582" s="330"/>
      <c r="U582" s="330"/>
      <c r="V582" s="331"/>
      <c r="W582" s="344"/>
      <c r="X582" s="341"/>
      <c r="Y582" s="33" t="s">
        <v>2867</v>
      </c>
      <c r="Z582" s="258">
        <v>120154.0</v>
      </c>
      <c r="AA582" s="334">
        <v>11610.0</v>
      </c>
      <c r="AB582" s="341"/>
      <c r="AC582" s="341"/>
      <c r="AD582" s="343"/>
      <c r="AE582" s="331"/>
      <c r="AF582" s="348"/>
      <c r="AG582" s="337"/>
      <c r="AH582" s="341"/>
      <c r="AI582" s="341"/>
      <c r="AJ582" s="341"/>
      <c r="AK582" s="341"/>
      <c r="AL582" s="341"/>
      <c r="AM582" s="338"/>
      <c r="AN582" s="341"/>
      <c r="AO582" s="341"/>
      <c r="AP582" s="341"/>
      <c r="AQ582" s="341"/>
      <c r="AR582" s="341"/>
      <c r="AS582" s="341"/>
      <c r="AT582" s="341"/>
      <c r="AU582" s="343"/>
      <c r="AV582" s="341"/>
      <c r="AW582" s="269" t="s">
        <v>1992</v>
      </c>
      <c r="AX582" s="334" t="s">
        <v>2869</v>
      </c>
      <c r="AY582" s="270" t="s">
        <v>695</v>
      </c>
      <c r="AZ582" s="270" t="s">
        <v>2866</v>
      </c>
      <c r="BA582" s="265">
        <v>10.0</v>
      </c>
      <c r="BB582" s="174" t="s">
        <v>245</v>
      </c>
      <c r="BC582" s="341"/>
      <c r="BD582" s="308"/>
      <c r="BE582" s="347"/>
      <c r="BF582" s="274" t="str">
        <f>IFERROR(__xludf.DUMMYFUNCTION("LOWER(Regexreplace(to_text(E582),""[^A-Za-z0-9]"","""")&amp;""_""&amp;Regexreplace(to_text(F582),""[^A-Za-z0-9]"",""""))"),"neptronic_evcbseries")</f>
        <v>neptronic_evcbseries</v>
      </c>
      <c r="BG582" s="275" t="str">
        <f>IFERROR(__xludf.DUMMYFUNCTION("upper(Regexreplace(to_text(E582),""[^A-Za-z0-9]"","""")&amp;""-""&amp;Regexreplace(to_text(F582),""[^A-Za-z0-9]"",""""))"),"NEPTRONIC-EVCBSERIES")</f>
        <v>NEPTRONIC-EVCBSERIES</v>
      </c>
    </row>
    <row r="583" ht="30.0" customHeight="1">
      <c r="A583" s="173">
        <v>575.0</v>
      </c>
      <c r="B583" s="237" t="s">
        <v>670</v>
      </c>
      <c r="C583" s="257" t="s">
        <v>3319</v>
      </c>
      <c r="D583" s="173" t="s">
        <v>3319</v>
      </c>
      <c r="E583" s="174" t="s">
        <v>2861</v>
      </c>
      <c r="F583" s="173" t="s">
        <v>2862</v>
      </c>
      <c r="G583" s="328" t="s">
        <v>673</v>
      </c>
      <c r="H583" s="328" t="s">
        <v>2863</v>
      </c>
      <c r="I583" s="258" t="s">
        <v>2864</v>
      </c>
      <c r="J583" s="259" t="s">
        <v>846</v>
      </c>
      <c r="K583" s="260" t="s">
        <v>3320</v>
      </c>
      <c r="L583" s="328"/>
      <c r="M583" s="343"/>
      <c r="N583" s="173" t="s">
        <v>679</v>
      </c>
      <c r="O583" s="173" t="s">
        <v>225</v>
      </c>
      <c r="P583" s="262" t="str">
        <f t="shared" si="1"/>
        <v>IN-BLR-ANANTA-VAV-155_1</v>
      </c>
      <c r="Q583" s="173" t="s">
        <v>3321</v>
      </c>
      <c r="R583" s="328" t="str">
        <f>IFS(C583="","",C583="n/a","N/A",LEN(C583),Concatenate("{",char(34),"asset",char(34),":{",char(34),"guid",char(34),":",char(34),Q583,char(34),",",char(34),"site",char(34),":",char(34),LOWER('2-Building'!$B$4),char(34),",",char(34),"name",char(34),":",char(34),LOWER(C583),char(34),"}}"))</f>
        <v>{"asset":{"guid":"uuid://41b3922b-99ce-4b47-bb09-5a2ef5afb494","site":"in-blr-ananta","name":"vav-155"}}</v>
      </c>
      <c r="S583" s="237" t="s">
        <v>2866</v>
      </c>
      <c r="T583" s="330"/>
      <c r="U583" s="330"/>
      <c r="V583" s="331"/>
      <c r="W583" s="344"/>
      <c r="X583" s="341"/>
      <c r="Y583" s="33" t="s">
        <v>2867</v>
      </c>
      <c r="Z583" s="258">
        <v>120155.0</v>
      </c>
      <c r="AA583" s="334">
        <v>11610.0</v>
      </c>
      <c r="AB583" s="341"/>
      <c r="AC583" s="341"/>
      <c r="AD583" s="343"/>
      <c r="AE583" s="331"/>
      <c r="AF583" s="348"/>
      <c r="AG583" s="337"/>
      <c r="AH583" s="341"/>
      <c r="AI583" s="341"/>
      <c r="AJ583" s="341"/>
      <c r="AK583" s="341"/>
      <c r="AL583" s="341"/>
      <c r="AM583" s="338"/>
      <c r="AN583" s="341"/>
      <c r="AO583" s="341"/>
      <c r="AP583" s="341"/>
      <c r="AQ583" s="341"/>
      <c r="AR583" s="341"/>
      <c r="AS583" s="341"/>
      <c r="AT583" s="341"/>
      <c r="AU583" s="343"/>
      <c r="AV583" s="341"/>
      <c r="AW583" s="269" t="s">
        <v>1992</v>
      </c>
      <c r="AX583" s="334" t="s">
        <v>2869</v>
      </c>
      <c r="AY583" s="270" t="s">
        <v>695</v>
      </c>
      <c r="AZ583" s="270" t="s">
        <v>2866</v>
      </c>
      <c r="BA583" s="265">
        <v>10.0</v>
      </c>
      <c r="BB583" s="174" t="s">
        <v>245</v>
      </c>
      <c r="BC583" s="341"/>
      <c r="BD583" s="308"/>
      <c r="BE583" s="347"/>
      <c r="BF583" s="274" t="str">
        <f>IFERROR(__xludf.DUMMYFUNCTION("LOWER(Regexreplace(to_text(E583),""[^A-Za-z0-9]"","""")&amp;""_""&amp;Regexreplace(to_text(F583),""[^A-Za-z0-9]"",""""))"),"neptronic_evcbseries")</f>
        <v>neptronic_evcbseries</v>
      </c>
      <c r="BG583" s="275" t="str">
        <f>IFERROR(__xludf.DUMMYFUNCTION("upper(Regexreplace(to_text(E583),""[^A-Za-z0-9]"","""")&amp;""-""&amp;Regexreplace(to_text(F583),""[^A-Za-z0-9]"",""""))"),"NEPTRONIC-EVCBSERIES")</f>
        <v>NEPTRONIC-EVCBSERIES</v>
      </c>
    </row>
    <row r="584" ht="30.0" customHeight="1">
      <c r="A584" s="258">
        <v>576.0</v>
      </c>
      <c r="B584" s="237" t="s">
        <v>670</v>
      </c>
      <c r="C584" s="257" t="s">
        <v>3322</v>
      </c>
      <c r="D584" s="173" t="s">
        <v>3322</v>
      </c>
      <c r="E584" s="174" t="s">
        <v>2861</v>
      </c>
      <c r="F584" s="173" t="s">
        <v>2862</v>
      </c>
      <c r="G584" s="328" t="s">
        <v>673</v>
      </c>
      <c r="H584" s="328" t="s">
        <v>2863</v>
      </c>
      <c r="I584" s="258" t="s">
        <v>2864</v>
      </c>
      <c r="J584" s="259" t="s">
        <v>846</v>
      </c>
      <c r="K584" s="260" t="s">
        <v>3323</v>
      </c>
      <c r="L584" s="328"/>
      <c r="M584" s="343"/>
      <c r="N584" s="173" t="s">
        <v>679</v>
      </c>
      <c r="O584" s="173" t="s">
        <v>225</v>
      </c>
      <c r="P584" s="262" t="str">
        <f t="shared" si="1"/>
        <v>IN-BLR-ANANTA-VAV-156_1</v>
      </c>
      <c r="Q584" s="173" t="s">
        <v>3324</v>
      </c>
      <c r="R584" s="328" t="str">
        <f>IFS(C584="","",C584="n/a","N/A",LEN(C584),Concatenate("{",char(34),"asset",char(34),":{",char(34),"guid",char(34),":",char(34),Q584,char(34),",",char(34),"site",char(34),":",char(34),LOWER('2-Building'!$B$4),char(34),",",char(34),"name",char(34),":",char(34),LOWER(C584),char(34),"}}"))</f>
        <v>{"asset":{"guid":"uuid://b7efe57c-9962-4d24-8895-5ffe5417dbd7","site":"in-blr-ananta","name":"vav-156"}}</v>
      </c>
      <c r="S584" s="237" t="s">
        <v>2866</v>
      </c>
      <c r="T584" s="330"/>
      <c r="U584" s="330"/>
      <c r="V584" s="331"/>
      <c r="W584" s="344"/>
      <c r="X584" s="341"/>
      <c r="Y584" s="33" t="s">
        <v>2867</v>
      </c>
      <c r="Z584" s="258">
        <v>120156.0</v>
      </c>
      <c r="AA584" s="334">
        <v>11610.0</v>
      </c>
      <c r="AB584" s="341"/>
      <c r="AC584" s="341"/>
      <c r="AD584" s="343"/>
      <c r="AE584" s="331"/>
      <c r="AF584" s="348"/>
      <c r="AG584" s="337"/>
      <c r="AH584" s="341"/>
      <c r="AI584" s="341"/>
      <c r="AJ584" s="341"/>
      <c r="AK584" s="341"/>
      <c r="AL584" s="341"/>
      <c r="AM584" s="338"/>
      <c r="AN584" s="341"/>
      <c r="AO584" s="341"/>
      <c r="AP584" s="341"/>
      <c r="AQ584" s="341"/>
      <c r="AR584" s="341"/>
      <c r="AS584" s="341"/>
      <c r="AT584" s="341"/>
      <c r="AU584" s="343"/>
      <c r="AV584" s="341"/>
      <c r="AW584" s="269" t="s">
        <v>1992</v>
      </c>
      <c r="AX584" s="334" t="s">
        <v>2869</v>
      </c>
      <c r="AY584" s="270" t="s">
        <v>695</v>
      </c>
      <c r="AZ584" s="270" t="s">
        <v>2866</v>
      </c>
      <c r="BA584" s="265">
        <v>10.0</v>
      </c>
      <c r="BB584" s="174" t="s">
        <v>245</v>
      </c>
      <c r="BC584" s="341"/>
      <c r="BD584" s="308"/>
      <c r="BE584" s="347"/>
      <c r="BF584" s="274" t="str">
        <f>IFERROR(__xludf.DUMMYFUNCTION("LOWER(Regexreplace(to_text(E584),""[^A-Za-z0-9]"","""")&amp;""_""&amp;Regexreplace(to_text(F584),""[^A-Za-z0-9]"",""""))"),"neptronic_evcbseries")</f>
        <v>neptronic_evcbseries</v>
      </c>
      <c r="BG584" s="275" t="str">
        <f>IFERROR(__xludf.DUMMYFUNCTION("upper(Regexreplace(to_text(E584),""[^A-Za-z0-9]"","""")&amp;""-""&amp;Regexreplace(to_text(F584),""[^A-Za-z0-9]"",""""))"),"NEPTRONIC-EVCBSERIES")</f>
        <v>NEPTRONIC-EVCBSERIES</v>
      </c>
    </row>
    <row r="585" ht="30.0" customHeight="1">
      <c r="A585" s="173">
        <v>577.0</v>
      </c>
      <c r="B585" s="237" t="s">
        <v>670</v>
      </c>
      <c r="C585" s="257" t="s">
        <v>3325</v>
      </c>
      <c r="D585" s="173" t="s">
        <v>3325</v>
      </c>
      <c r="E585" s="174" t="s">
        <v>2861</v>
      </c>
      <c r="F585" s="173" t="s">
        <v>2862</v>
      </c>
      <c r="G585" s="328" t="s">
        <v>673</v>
      </c>
      <c r="H585" s="328" t="s">
        <v>2863</v>
      </c>
      <c r="I585" s="258" t="s">
        <v>2864</v>
      </c>
      <c r="J585" s="259" t="s">
        <v>846</v>
      </c>
      <c r="K585" s="260" t="s">
        <v>3320</v>
      </c>
      <c r="L585" s="328"/>
      <c r="M585" s="343"/>
      <c r="N585" s="173" t="s">
        <v>679</v>
      </c>
      <c r="O585" s="173" t="s">
        <v>225</v>
      </c>
      <c r="P585" s="262" t="str">
        <f t="shared" si="1"/>
        <v>IN-BLR-ANANTA-VAV-157_1</v>
      </c>
      <c r="Q585" s="173" t="s">
        <v>3326</v>
      </c>
      <c r="R585" s="328" t="str">
        <f>IFS(C585="","",C585="n/a","N/A",LEN(C585),Concatenate("{",char(34),"asset",char(34),":{",char(34),"guid",char(34),":",char(34),Q585,char(34),",",char(34),"site",char(34),":",char(34),LOWER('2-Building'!$B$4),char(34),",",char(34),"name",char(34),":",char(34),LOWER(C585),char(34),"}}"))</f>
        <v>{"asset":{"guid":"uuid://708ab11d-4c8f-46a4-a99f-ca1d3439826c","site":"in-blr-ananta","name":"vav-157"}}</v>
      </c>
      <c r="S585" s="237" t="s">
        <v>2866</v>
      </c>
      <c r="T585" s="330"/>
      <c r="U585" s="330"/>
      <c r="V585" s="331"/>
      <c r="W585" s="344"/>
      <c r="X585" s="341"/>
      <c r="Y585" s="33" t="s">
        <v>2867</v>
      </c>
      <c r="Z585" s="258">
        <v>120157.0</v>
      </c>
      <c r="AA585" s="334">
        <v>11610.0</v>
      </c>
      <c r="AB585" s="341"/>
      <c r="AC585" s="341"/>
      <c r="AD585" s="343"/>
      <c r="AE585" s="331"/>
      <c r="AF585" s="348"/>
      <c r="AG585" s="337"/>
      <c r="AH585" s="341"/>
      <c r="AI585" s="341"/>
      <c r="AJ585" s="341"/>
      <c r="AK585" s="341"/>
      <c r="AL585" s="341"/>
      <c r="AM585" s="338"/>
      <c r="AN585" s="341"/>
      <c r="AO585" s="341"/>
      <c r="AP585" s="341"/>
      <c r="AQ585" s="341"/>
      <c r="AR585" s="341"/>
      <c r="AS585" s="341"/>
      <c r="AT585" s="341"/>
      <c r="AU585" s="343"/>
      <c r="AV585" s="341"/>
      <c r="AW585" s="269" t="s">
        <v>1992</v>
      </c>
      <c r="AX585" s="334" t="s">
        <v>2869</v>
      </c>
      <c r="AY585" s="270" t="s">
        <v>695</v>
      </c>
      <c r="AZ585" s="270" t="s">
        <v>2866</v>
      </c>
      <c r="BA585" s="265">
        <v>10.0</v>
      </c>
      <c r="BB585" s="174" t="s">
        <v>245</v>
      </c>
      <c r="BC585" s="341"/>
      <c r="BD585" s="308"/>
      <c r="BE585" s="347"/>
      <c r="BF585" s="274" t="str">
        <f>IFERROR(__xludf.DUMMYFUNCTION("LOWER(Regexreplace(to_text(E585),""[^A-Za-z0-9]"","""")&amp;""_""&amp;Regexreplace(to_text(F585),""[^A-Za-z0-9]"",""""))"),"neptronic_evcbseries")</f>
        <v>neptronic_evcbseries</v>
      </c>
      <c r="BG585" s="275" t="str">
        <f>IFERROR(__xludf.DUMMYFUNCTION("upper(Regexreplace(to_text(E585),""[^A-Za-z0-9]"","""")&amp;""-""&amp;Regexreplace(to_text(F585),""[^A-Za-z0-9]"",""""))"),"NEPTRONIC-EVCBSERIES")</f>
        <v>NEPTRONIC-EVCBSERIES</v>
      </c>
    </row>
    <row r="586" ht="30.0" customHeight="1">
      <c r="A586" s="258">
        <v>578.0</v>
      </c>
      <c r="B586" s="237" t="s">
        <v>670</v>
      </c>
      <c r="C586" s="257" t="s">
        <v>3327</v>
      </c>
      <c r="D586" s="173" t="s">
        <v>3327</v>
      </c>
      <c r="E586" s="174" t="s">
        <v>2861</v>
      </c>
      <c r="F586" s="173" t="s">
        <v>2862</v>
      </c>
      <c r="G586" s="328" t="s">
        <v>673</v>
      </c>
      <c r="H586" s="328" t="s">
        <v>2863</v>
      </c>
      <c r="I586" s="258" t="s">
        <v>2864</v>
      </c>
      <c r="J586" s="259" t="s">
        <v>846</v>
      </c>
      <c r="K586" s="260" t="s">
        <v>3328</v>
      </c>
      <c r="L586" s="328"/>
      <c r="M586" s="343"/>
      <c r="N586" s="173" t="s">
        <v>679</v>
      </c>
      <c r="O586" s="173" t="s">
        <v>225</v>
      </c>
      <c r="P586" s="262" t="str">
        <f t="shared" si="1"/>
        <v>IN-BLR-ANANTA-VAV-158_1</v>
      </c>
      <c r="Q586" s="173" t="s">
        <v>3329</v>
      </c>
      <c r="R586" s="328" t="str">
        <f>IFS(C586="","",C586="n/a","N/A",LEN(C586),Concatenate("{",char(34),"asset",char(34),":{",char(34),"guid",char(34),":",char(34),Q586,char(34),",",char(34),"site",char(34),":",char(34),LOWER('2-Building'!$B$4),char(34),",",char(34),"name",char(34),":",char(34),LOWER(C586),char(34),"}}"))</f>
        <v>{"asset":{"guid":"uuid://fc256dd7-13a5-4853-b0e3-693a9c01a01e","site":"in-blr-ananta","name":"vav-158"}}</v>
      </c>
      <c r="S586" s="237" t="s">
        <v>2866</v>
      </c>
      <c r="T586" s="330"/>
      <c r="U586" s="330"/>
      <c r="V586" s="331"/>
      <c r="W586" s="344"/>
      <c r="X586" s="341"/>
      <c r="Y586" s="33" t="s">
        <v>2867</v>
      </c>
      <c r="Z586" s="258">
        <v>120158.0</v>
      </c>
      <c r="AA586" s="334">
        <v>11610.0</v>
      </c>
      <c r="AB586" s="341"/>
      <c r="AC586" s="341"/>
      <c r="AD586" s="343"/>
      <c r="AE586" s="331"/>
      <c r="AF586" s="348"/>
      <c r="AG586" s="337"/>
      <c r="AH586" s="341"/>
      <c r="AI586" s="341"/>
      <c r="AJ586" s="341"/>
      <c r="AK586" s="341"/>
      <c r="AL586" s="341"/>
      <c r="AM586" s="338"/>
      <c r="AN586" s="341"/>
      <c r="AO586" s="341"/>
      <c r="AP586" s="341"/>
      <c r="AQ586" s="341"/>
      <c r="AR586" s="341"/>
      <c r="AS586" s="341"/>
      <c r="AT586" s="341"/>
      <c r="AU586" s="343"/>
      <c r="AV586" s="341"/>
      <c r="AW586" s="269" t="s">
        <v>1992</v>
      </c>
      <c r="AX586" s="334" t="s">
        <v>2869</v>
      </c>
      <c r="AY586" s="270" t="s">
        <v>695</v>
      </c>
      <c r="AZ586" s="270" t="s">
        <v>2866</v>
      </c>
      <c r="BA586" s="265">
        <v>10.0</v>
      </c>
      <c r="BB586" s="174" t="s">
        <v>245</v>
      </c>
      <c r="BC586" s="341"/>
      <c r="BD586" s="308"/>
      <c r="BE586" s="347"/>
      <c r="BF586" s="274" t="str">
        <f>IFERROR(__xludf.DUMMYFUNCTION("LOWER(Regexreplace(to_text(E586),""[^A-Za-z0-9]"","""")&amp;""_""&amp;Regexreplace(to_text(F586),""[^A-Za-z0-9]"",""""))"),"neptronic_evcbseries")</f>
        <v>neptronic_evcbseries</v>
      </c>
      <c r="BG586" s="275" t="str">
        <f>IFERROR(__xludf.DUMMYFUNCTION("upper(Regexreplace(to_text(E586),""[^A-Za-z0-9]"","""")&amp;""-""&amp;Regexreplace(to_text(F586),""[^A-Za-z0-9]"",""""))"),"NEPTRONIC-EVCBSERIES")</f>
        <v>NEPTRONIC-EVCBSERIES</v>
      </c>
    </row>
    <row r="587" ht="30.0" customHeight="1">
      <c r="A587" s="173">
        <v>579.0</v>
      </c>
      <c r="B587" s="237" t="s">
        <v>670</v>
      </c>
      <c r="C587" s="257" t="s">
        <v>3330</v>
      </c>
      <c r="D587" s="173" t="s">
        <v>3330</v>
      </c>
      <c r="E587" s="174" t="s">
        <v>2861</v>
      </c>
      <c r="F587" s="173" t="s">
        <v>2862</v>
      </c>
      <c r="G587" s="328" t="s">
        <v>673</v>
      </c>
      <c r="H587" s="328" t="s">
        <v>2863</v>
      </c>
      <c r="I587" s="258" t="s">
        <v>2864</v>
      </c>
      <c r="J587" s="259" t="s">
        <v>846</v>
      </c>
      <c r="K587" s="260" t="s">
        <v>3331</v>
      </c>
      <c r="L587" s="328"/>
      <c r="M587" s="343"/>
      <c r="N587" s="173" t="s">
        <v>679</v>
      </c>
      <c r="O587" s="173" t="s">
        <v>225</v>
      </c>
      <c r="P587" s="262" t="str">
        <f t="shared" si="1"/>
        <v>IN-BLR-ANANTA-VAV-159_1</v>
      </c>
      <c r="Q587" s="173" t="s">
        <v>3332</v>
      </c>
      <c r="R587" s="328" t="str">
        <f>IFS(C587="","",C587="n/a","N/A",LEN(C587),Concatenate("{",char(34),"asset",char(34),":{",char(34),"guid",char(34),":",char(34),Q587,char(34),",",char(34),"site",char(34),":",char(34),LOWER('2-Building'!$B$4),char(34),",",char(34),"name",char(34),":",char(34),LOWER(C587),char(34),"}}"))</f>
        <v>{"asset":{"guid":"uuid://499f1f00-43d6-40ee-8c6b-c46053a43ccd","site":"in-blr-ananta","name":"vav-159"}}</v>
      </c>
      <c r="S587" s="237" t="s">
        <v>2866</v>
      </c>
      <c r="T587" s="330"/>
      <c r="U587" s="330"/>
      <c r="V587" s="331"/>
      <c r="W587" s="344"/>
      <c r="X587" s="341"/>
      <c r="Y587" s="33" t="s">
        <v>2867</v>
      </c>
      <c r="Z587" s="258">
        <v>120159.0</v>
      </c>
      <c r="AA587" s="334">
        <v>11610.0</v>
      </c>
      <c r="AB587" s="341"/>
      <c r="AC587" s="341"/>
      <c r="AD587" s="343"/>
      <c r="AE587" s="331"/>
      <c r="AF587" s="348"/>
      <c r="AG587" s="337"/>
      <c r="AH587" s="341"/>
      <c r="AI587" s="341"/>
      <c r="AJ587" s="341"/>
      <c r="AK587" s="341"/>
      <c r="AL587" s="341"/>
      <c r="AM587" s="338"/>
      <c r="AN587" s="341"/>
      <c r="AO587" s="341"/>
      <c r="AP587" s="341"/>
      <c r="AQ587" s="341"/>
      <c r="AR587" s="341"/>
      <c r="AS587" s="341"/>
      <c r="AT587" s="341"/>
      <c r="AU587" s="343"/>
      <c r="AV587" s="341"/>
      <c r="AW587" s="269" t="s">
        <v>1992</v>
      </c>
      <c r="AX587" s="334" t="s">
        <v>2869</v>
      </c>
      <c r="AY587" s="270" t="s">
        <v>695</v>
      </c>
      <c r="AZ587" s="270" t="s">
        <v>2866</v>
      </c>
      <c r="BA587" s="265">
        <v>10.0</v>
      </c>
      <c r="BB587" s="174" t="s">
        <v>245</v>
      </c>
      <c r="BC587" s="341"/>
      <c r="BD587" s="308"/>
      <c r="BE587" s="347"/>
      <c r="BF587" s="274" t="str">
        <f>IFERROR(__xludf.DUMMYFUNCTION("LOWER(Regexreplace(to_text(E587),""[^A-Za-z0-9]"","""")&amp;""_""&amp;Regexreplace(to_text(F587),""[^A-Za-z0-9]"",""""))"),"neptronic_evcbseries")</f>
        <v>neptronic_evcbseries</v>
      </c>
      <c r="BG587" s="275" t="str">
        <f>IFERROR(__xludf.DUMMYFUNCTION("upper(Regexreplace(to_text(E587),""[^A-Za-z0-9]"","""")&amp;""-""&amp;Regexreplace(to_text(F587),""[^A-Za-z0-9]"",""""))"),"NEPTRONIC-EVCBSERIES")</f>
        <v>NEPTRONIC-EVCBSERIES</v>
      </c>
    </row>
    <row r="588" ht="30.0" customHeight="1">
      <c r="A588" s="258">
        <v>580.0</v>
      </c>
      <c r="B588" s="237" t="s">
        <v>670</v>
      </c>
      <c r="C588" s="257" t="s">
        <v>3333</v>
      </c>
      <c r="D588" s="173" t="s">
        <v>3333</v>
      </c>
      <c r="E588" s="174" t="s">
        <v>2861</v>
      </c>
      <c r="F588" s="173" t="s">
        <v>2862</v>
      </c>
      <c r="G588" s="328" t="s">
        <v>673</v>
      </c>
      <c r="H588" s="328" t="s">
        <v>2863</v>
      </c>
      <c r="I588" s="258" t="s">
        <v>2864</v>
      </c>
      <c r="J588" s="259" t="s">
        <v>846</v>
      </c>
      <c r="K588" s="260" t="s">
        <v>3334</v>
      </c>
      <c r="L588" s="328"/>
      <c r="M588" s="343"/>
      <c r="N588" s="173" t="s">
        <v>679</v>
      </c>
      <c r="O588" s="173" t="s">
        <v>225</v>
      </c>
      <c r="P588" s="262" t="str">
        <f t="shared" si="1"/>
        <v>IN-BLR-ANANTA-VAV-160_1</v>
      </c>
      <c r="Q588" s="173" t="s">
        <v>3335</v>
      </c>
      <c r="R588" s="328" t="str">
        <f>IFS(C588="","",C588="n/a","N/A",LEN(C588),Concatenate("{",char(34),"asset",char(34),":{",char(34),"guid",char(34),":",char(34),Q588,char(34),",",char(34),"site",char(34),":",char(34),LOWER('2-Building'!$B$4),char(34),",",char(34),"name",char(34),":",char(34),LOWER(C588),char(34),"}}"))</f>
        <v>{"asset":{"guid":"uuid://26266fdc-6be5-47f5-a1a0-4e389cce00bf","site":"in-blr-ananta","name":"vav-160"}}</v>
      </c>
      <c r="S588" s="237" t="s">
        <v>2866</v>
      </c>
      <c r="T588" s="330"/>
      <c r="U588" s="330"/>
      <c r="V588" s="331"/>
      <c r="W588" s="344"/>
      <c r="X588" s="341"/>
      <c r="Y588" s="33" t="s">
        <v>2867</v>
      </c>
      <c r="Z588" s="258">
        <v>120160.0</v>
      </c>
      <c r="AA588" s="334">
        <v>11610.0</v>
      </c>
      <c r="AB588" s="341"/>
      <c r="AC588" s="341"/>
      <c r="AD588" s="343"/>
      <c r="AE588" s="331"/>
      <c r="AF588" s="348"/>
      <c r="AG588" s="337"/>
      <c r="AH588" s="341"/>
      <c r="AI588" s="341"/>
      <c r="AJ588" s="341"/>
      <c r="AK588" s="341"/>
      <c r="AL588" s="341"/>
      <c r="AM588" s="338"/>
      <c r="AN588" s="341"/>
      <c r="AO588" s="341"/>
      <c r="AP588" s="341"/>
      <c r="AQ588" s="341"/>
      <c r="AR588" s="341"/>
      <c r="AS588" s="341"/>
      <c r="AT588" s="341"/>
      <c r="AU588" s="343"/>
      <c r="AV588" s="341"/>
      <c r="AW588" s="269" t="s">
        <v>1992</v>
      </c>
      <c r="AX588" s="334" t="s">
        <v>2869</v>
      </c>
      <c r="AY588" s="270" t="s">
        <v>695</v>
      </c>
      <c r="AZ588" s="270" t="s">
        <v>2866</v>
      </c>
      <c r="BA588" s="265">
        <v>10.0</v>
      </c>
      <c r="BB588" s="174" t="s">
        <v>245</v>
      </c>
      <c r="BC588" s="341"/>
      <c r="BD588" s="308"/>
      <c r="BE588" s="347"/>
      <c r="BF588" s="274" t="str">
        <f>IFERROR(__xludf.DUMMYFUNCTION("LOWER(Regexreplace(to_text(E588),""[^A-Za-z0-9]"","""")&amp;""_""&amp;Regexreplace(to_text(F588),""[^A-Za-z0-9]"",""""))"),"neptronic_evcbseries")</f>
        <v>neptronic_evcbseries</v>
      </c>
      <c r="BG588" s="275" t="str">
        <f>IFERROR(__xludf.DUMMYFUNCTION("upper(Regexreplace(to_text(E588),""[^A-Za-z0-9]"","""")&amp;""-""&amp;Regexreplace(to_text(F588),""[^A-Za-z0-9]"",""""))"),"NEPTRONIC-EVCBSERIES")</f>
        <v>NEPTRONIC-EVCBSERIES</v>
      </c>
    </row>
    <row r="589" ht="30.0" customHeight="1">
      <c r="A589" s="173">
        <v>581.0</v>
      </c>
      <c r="B589" s="237" t="s">
        <v>670</v>
      </c>
      <c r="C589" s="257" t="s">
        <v>3336</v>
      </c>
      <c r="D589" s="173" t="s">
        <v>3336</v>
      </c>
      <c r="E589" s="174" t="s">
        <v>2861</v>
      </c>
      <c r="F589" s="173" t="s">
        <v>2862</v>
      </c>
      <c r="G589" s="328" t="s">
        <v>673</v>
      </c>
      <c r="H589" s="328" t="s">
        <v>2863</v>
      </c>
      <c r="I589" s="258" t="s">
        <v>2864</v>
      </c>
      <c r="J589" s="259" t="s">
        <v>846</v>
      </c>
      <c r="K589" s="260" t="s">
        <v>3337</v>
      </c>
      <c r="L589" s="328"/>
      <c r="M589" s="343"/>
      <c r="N589" s="173" t="s">
        <v>679</v>
      </c>
      <c r="O589" s="173" t="s">
        <v>225</v>
      </c>
      <c r="P589" s="262" t="str">
        <f t="shared" si="1"/>
        <v>IN-BLR-ANANTA-VAV-161_1</v>
      </c>
      <c r="Q589" s="173" t="s">
        <v>3338</v>
      </c>
      <c r="R589" s="328" t="str">
        <f>IFS(C589="","",C589="n/a","N/A",LEN(C589),Concatenate("{",char(34),"asset",char(34),":{",char(34),"guid",char(34),":",char(34),Q589,char(34),",",char(34),"site",char(34),":",char(34),LOWER('2-Building'!$B$4),char(34),",",char(34),"name",char(34),":",char(34),LOWER(C589),char(34),"}}"))</f>
        <v>{"asset":{"guid":"uuid://a7933a2f-6b90-4639-81ea-f9a6b8ffa2fd","site":"in-blr-ananta","name":"vav-161"}}</v>
      </c>
      <c r="S589" s="237" t="s">
        <v>2866</v>
      </c>
      <c r="T589" s="330"/>
      <c r="U589" s="330"/>
      <c r="V589" s="331"/>
      <c r="W589" s="344"/>
      <c r="X589" s="341"/>
      <c r="Y589" s="33" t="s">
        <v>2867</v>
      </c>
      <c r="Z589" s="258">
        <v>120161.0</v>
      </c>
      <c r="AA589" s="334">
        <v>11610.0</v>
      </c>
      <c r="AB589" s="341"/>
      <c r="AC589" s="341"/>
      <c r="AD589" s="343"/>
      <c r="AE589" s="331"/>
      <c r="AF589" s="348"/>
      <c r="AG589" s="337"/>
      <c r="AH589" s="341"/>
      <c r="AI589" s="341"/>
      <c r="AJ589" s="341"/>
      <c r="AK589" s="341"/>
      <c r="AL589" s="341"/>
      <c r="AM589" s="338"/>
      <c r="AN589" s="341"/>
      <c r="AO589" s="341"/>
      <c r="AP589" s="341"/>
      <c r="AQ589" s="341"/>
      <c r="AR589" s="341"/>
      <c r="AS589" s="341"/>
      <c r="AT589" s="341"/>
      <c r="AU589" s="343"/>
      <c r="AV589" s="341"/>
      <c r="AW589" s="269" t="s">
        <v>1992</v>
      </c>
      <c r="AX589" s="334" t="s">
        <v>2869</v>
      </c>
      <c r="AY589" s="270" t="s">
        <v>695</v>
      </c>
      <c r="AZ589" s="270" t="s">
        <v>2866</v>
      </c>
      <c r="BA589" s="265">
        <v>10.0</v>
      </c>
      <c r="BB589" s="174" t="s">
        <v>245</v>
      </c>
      <c r="BC589" s="341"/>
      <c r="BD589" s="308"/>
      <c r="BE589" s="347"/>
      <c r="BF589" s="274" t="str">
        <f>IFERROR(__xludf.DUMMYFUNCTION("LOWER(Regexreplace(to_text(E589),""[^A-Za-z0-9]"","""")&amp;""_""&amp;Regexreplace(to_text(F589),""[^A-Za-z0-9]"",""""))"),"neptronic_evcbseries")</f>
        <v>neptronic_evcbseries</v>
      </c>
      <c r="BG589" s="275" t="str">
        <f>IFERROR(__xludf.DUMMYFUNCTION("upper(Regexreplace(to_text(E589),""[^A-Za-z0-9]"","""")&amp;""-""&amp;Regexreplace(to_text(F589),""[^A-Za-z0-9]"",""""))"),"NEPTRONIC-EVCBSERIES")</f>
        <v>NEPTRONIC-EVCBSERIES</v>
      </c>
    </row>
    <row r="590" ht="30.0" customHeight="1">
      <c r="A590" s="258">
        <v>582.0</v>
      </c>
      <c r="B590" s="237" t="s">
        <v>670</v>
      </c>
      <c r="C590" s="257" t="s">
        <v>3339</v>
      </c>
      <c r="D590" s="173" t="s">
        <v>3339</v>
      </c>
      <c r="E590" s="174" t="s">
        <v>2861</v>
      </c>
      <c r="F590" s="173" t="s">
        <v>2862</v>
      </c>
      <c r="G590" s="328" t="s">
        <v>673</v>
      </c>
      <c r="H590" s="328" t="s">
        <v>2863</v>
      </c>
      <c r="I590" s="258" t="s">
        <v>2864</v>
      </c>
      <c r="J590" s="259" t="s">
        <v>846</v>
      </c>
      <c r="K590" s="260" t="s">
        <v>3340</v>
      </c>
      <c r="L590" s="328"/>
      <c r="M590" s="343"/>
      <c r="N590" s="173" t="s">
        <v>679</v>
      </c>
      <c r="O590" s="173" t="s">
        <v>225</v>
      </c>
      <c r="P590" s="262" t="str">
        <f t="shared" si="1"/>
        <v>IN-BLR-ANANTA-VAV-162_1</v>
      </c>
      <c r="Q590" s="173" t="s">
        <v>3341</v>
      </c>
      <c r="R590" s="328" t="str">
        <f>IFS(C590="","",C590="n/a","N/A",LEN(C590),Concatenate("{",char(34),"asset",char(34),":{",char(34),"guid",char(34),":",char(34),Q590,char(34),",",char(34),"site",char(34),":",char(34),LOWER('2-Building'!$B$4),char(34),",",char(34),"name",char(34),":",char(34),LOWER(C590),char(34),"}}"))</f>
        <v>{"asset":{"guid":"uuid://f61a6bf6-981f-46b9-b49d-f13dc16625f6","site":"in-blr-ananta","name":"vav-162"}}</v>
      </c>
      <c r="S590" s="237" t="s">
        <v>2866</v>
      </c>
      <c r="T590" s="330"/>
      <c r="U590" s="330"/>
      <c r="V590" s="331"/>
      <c r="W590" s="344"/>
      <c r="X590" s="341"/>
      <c r="Y590" s="33" t="s">
        <v>2867</v>
      </c>
      <c r="Z590" s="258">
        <v>120162.0</v>
      </c>
      <c r="AA590" s="334">
        <v>11612.0</v>
      </c>
      <c r="AB590" s="341"/>
      <c r="AC590" s="341"/>
      <c r="AD590" s="343"/>
      <c r="AE590" s="331"/>
      <c r="AF590" s="348"/>
      <c r="AG590" s="337"/>
      <c r="AH590" s="341"/>
      <c r="AI590" s="341"/>
      <c r="AJ590" s="341"/>
      <c r="AK590" s="341"/>
      <c r="AL590" s="341"/>
      <c r="AM590" s="338"/>
      <c r="AN590" s="341"/>
      <c r="AO590" s="341"/>
      <c r="AP590" s="341"/>
      <c r="AQ590" s="341"/>
      <c r="AR590" s="341"/>
      <c r="AS590" s="341"/>
      <c r="AT590" s="341"/>
      <c r="AU590" s="343"/>
      <c r="AV590" s="341"/>
      <c r="AW590" s="269" t="s">
        <v>1982</v>
      </c>
      <c r="AX590" s="334" t="s">
        <v>2869</v>
      </c>
      <c r="AY590" s="270" t="s">
        <v>695</v>
      </c>
      <c r="AZ590" s="270" t="s">
        <v>2866</v>
      </c>
      <c r="BA590" s="265">
        <v>10.0</v>
      </c>
      <c r="BB590" s="174" t="s">
        <v>245</v>
      </c>
      <c r="BC590" s="341"/>
      <c r="BD590" s="308"/>
      <c r="BE590" s="347"/>
      <c r="BF590" s="274" t="str">
        <f>IFERROR(__xludf.DUMMYFUNCTION("LOWER(Regexreplace(to_text(E590),""[^A-Za-z0-9]"","""")&amp;""_""&amp;Regexreplace(to_text(F590),""[^A-Za-z0-9]"",""""))"),"neptronic_evcbseries")</f>
        <v>neptronic_evcbseries</v>
      </c>
      <c r="BG590" s="275" t="str">
        <f>IFERROR(__xludf.DUMMYFUNCTION("upper(Regexreplace(to_text(E590),""[^A-Za-z0-9]"","""")&amp;""-""&amp;Regexreplace(to_text(F590),""[^A-Za-z0-9]"",""""))"),"NEPTRONIC-EVCBSERIES")</f>
        <v>NEPTRONIC-EVCBSERIES</v>
      </c>
    </row>
    <row r="591" ht="30.0" customHeight="1">
      <c r="A591" s="173">
        <v>583.0</v>
      </c>
      <c r="B591" s="237" t="s">
        <v>670</v>
      </c>
      <c r="C591" s="257" t="s">
        <v>3342</v>
      </c>
      <c r="D591" s="173" t="s">
        <v>3342</v>
      </c>
      <c r="E591" s="174" t="s">
        <v>2861</v>
      </c>
      <c r="F591" s="173" t="s">
        <v>2862</v>
      </c>
      <c r="G591" s="328" t="s">
        <v>673</v>
      </c>
      <c r="H591" s="328" t="s">
        <v>2863</v>
      </c>
      <c r="I591" s="258" t="s">
        <v>2864</v>
      </c>
      <c r="J591" s="259" t="s">
        <v>846</v>
      </c>
      <c r="K591" s="260" t="s">
        <v>3343</v>
      </c>
      <c r="L591" s="328"/>
      <c r="M591" s="343"/>
      <c r="N591" s="173" t="s">
        <v>679</v>
      </c>
      <c r="O591" s="173" t="s">
        <v>225</v>
      </c>
      <c r="P591" s="262" t="str">
        <f t="shared" si="1"/>
        <v>IN-BLR-ANANTA-VAV-163_1</v>
      </c>
      <c r="Q591" s="173" t="s">
        <v>3344</v>
      </c>
      <c r="R591" s="328" t="str">
        <f>IFS(C591="","",C591="n/a","N/A",LEN(C591),Concatenate("{",char(34),"asset",char(34),":{",char(34),"guid",char(34),":",char(34),Q591,char(34),",",char(34),"site",char(34),":",char(34),LOWER('2-Building'!$B$4),char(34),",",char(34),"name",char(34),":",char(34),LOWER(C591),char(34),"}}"))</f>
        <v>{"asset":{"guid":"uuid://0a4c3a05-4438-4b3f-a3ad-678de8e9fb6d","site":"in-blr-ananta","name":"vav-163"}}</v>
      </c>
      <c r="S591" s="237" t="s">
        <v>2866</v>
      </c>
      <c r="T591" s="330"/>
      <c r="U591" s="330"/>
      <c r="V591" s="331"/>
      <c r="W591" s="344"/>
      <c r="X591" s="341"/>
      <c r="Y591" s="33" t="s">
        <v>2867</v>
      </c>
      <c r="Z591" s="258">
        <v>120163.0</v>
      </c>
      <c r="AA591" s="334">
        <v>11612.0</v>
      </c>
      <c r="AB591" s="341"/>
      <c r="AC591" s="341"/>
      <c r="AD591" s="343"/>
      <c r="AE591" s="331"/>
      <c r="AF591" s="348"/>
      <c r="AG591" s="337"/>
      <c r="AH591" s="341"/>
      <c r="AI591" s="341"/>
      <c r="AJ591" s="341"/>
      <c r="AK591" s="341"/>
      <c r="AL591" s="341"/>
      <c r="AM591" s="338"/>
      <c r="AN591" s="341"/>
      <c r="AO591" s="341"/>
      <c r="AP591" s="341"/>
      <c r="AQ591" s="341"/>
      <c r="AR591" s="341"/>
      <c r="AS591" s="341"/>
      <c r="AT591" s="341"/>
      <c r="AU591" s="343"/>
      <c r="AV591" s="341"/>
      <c r="AW591" s="269" t="s">
        <v>1982</v>
      </c>
      <c r="AX591" s="334" t="s">
        <v>2869</v>
      </c>
      <c r="AY591" s="270" t="s">
        <v>695</v>
      </c>
      <c r="AZ591" s="270" t="s">
        <v>2866</v>
      </c>
      <c r="BA591" s="265">
        <v>10.0</v>
      </c>
      <c r="BB591" s="174" t="s">
        <v>245</v>
      </c>
      <c r="BC591" s="341"/>
      <c r="BD591" s="308"/>
      <c r="BE591" s="347"/>
      <c r="BF591" s="274" t="str">
        <f>IFERROR(__xludf.DUMMYFUNCTION("LOWER(Regexreplace(to_text(E591),""[^A-Za-z0-9]"","""")&amp;""_""&amp;Regexreplace(to_text(F591),""[^A-Za-z0-9]"",""""))"),"neptronic_evcbseries")</f>
        <v>neptronic_evcbseries</v>
      </c>
      <c r="BG591" s="275" t="str">
        <f>IFERROR(__xludf.DUMMYFUNCTION("upper(Regexreplace(to_text(E591),""[^A-Za-z0-9]"","""")&amp;""-""&amp;Regexreplace(to_text(F591),""[^A-Za-z0-9]"",""""))"),"NEPTRONIC-EVCBSERIES")</f>
        <v>NEPTRONIC-EVCBSERIES</v>
      </c>
    </row>
    <row r="592" ht="30.0" customHeight="1">
      <c r="A592" s="258">
        <v>584.0</v>
      </c>
      <c r="B592" s="237" t="s">
        <v>670</v>
      </c>
      <c r="C592" s="257" t="s">
        <v>3345</v>
      </c>
      <c r="D592" s="173" t="s">
        <v>3345</v>
      </c>
      <c r="E592" s="174" t="s">
        <v>2861</v>
      </c>
      <c r="F592" s="173" t="s">
        <v>2862</v>
      </c>
      <c r="G592" s="328" t="s">
        <v>673</v>
      </c>
      <c r="H592" s="328" t="s">
        <v>2863</v>
      </c>
      <c r="I592" s="258" t="s">
        <v>2864</v>
      </c>
      <c r="J592" s="259" t="s">
        <v>846</v>
      </c>
      <c r="K592" s="260" t="s">
        <v>3346</v>
      </c>
      <c r="L592" s="328"/>
      <c r="M592" s="343"/>
      <c r="N592" s="173" t="s">
        <v>679</v>
      </c>
      <c r="O592" s="173" t="s">
        <v>225</v>
      </c>
      <c r="P592" s="262" t="str">
        <f t="shared" si="1"/>
        <v>IN-BLR-ANANTA-VAV-164_1</v>
      </c>
      <c r="Q592" s="173" t="s">
        <v>3347</v>
      </c>
      <c r="R592" s="328" t="str">
        <f>IFS(C592="","",C592="n/a","N/A",LEN(C592),Concatenate("{",char(34),"asset",char(34),":{",char(34),"guid",char(34),":",char(34),Q592,char(34),",",char(34),"site",char(34),":",char(34),LOWER('2-Building'!$B$4),char(34),",",char(34),"name",char(34),":",char(34),LOWER(C592),char(34),"}}"))</f>
        <v>{"asset":{"guid":"uuid://b6e5e194-8b88-4872-9319-e7a421197b01","site":"in-blr-ananta","name":"vav-164"}}</v>
      </c>
      <c r="S592" s="237" t="s">
        <v>2866</v>
      </c>
      <c r="T592" s="330"/>
      <c r="U592" s="330"/>
      <c r="V592" s="331"/>
      <c r="W592" s="344"/>
      <c r="X592" s="341"/>
      <c r="Y592" s="33" t="s">
        <v>2867</v>
      </c>
      <c r="Z592" s="258">
        <v>120164.0</v>
      </c>
      <c r="AA592" s="334">
        <v>11612.0</v>
      </c>
      <c r="AB592" s="341"/>
      <c r="AC592" s="341"/>
      <c r="AD592" s="343"/>
      <c r="AE592" s="331"/>
      <c r="AF592" s="348"/>
      <c r="AG592" s="337"/>
      <c r="AH592" s="341"/>
      <c r="AI592" s="341"/>
      <c r="AJ592" s="341"/>
      <c r="AK592" s="341"/>
      <c r="AL592" s="341"/>
      <c r="AM592" s="338"/>
      <c r="AN592" s="341"/>
      <c r="AO592" s="341"/>
      <c r="AP592" s="341"/>
      <c r="AQ592" s="341"/>
      <c r="AR592" s="341"/>
      <c r="AS592" s="341"/>
      <c r="AT592" s="341"/>
      <c r="AU592" s="343"/>
      <c r="AV592" s="341"/>
      <c r="AW592" s="269" t="s">
        <v>1982</v>
      </c>
      <c r="AX592" s="334" t="s">
        <v>2869</v>
      </c>
      <c r="AY592" s="270" t="s">
        <v>695</v>
      </c>
      <c r="AZ592" s="270" t="s">
        <v>2866</v>
      </c>
      <c r="BA592" s="265">
        <v>10.0</v>
      </c>
      <c r="BB592" s="174" t="s">
        <v>245</v>
      </c>
      <c r="BC592" s="341"/>
      <c r="BD592" s="308"/>
      <c r="BE592" s="347"/>
      <c r="BF592" s="274" t="str">
        <f>IFERROR(__xludf.DUMMYFUNCTION("LOWER(Regexreplace(to_text(E592),""[^A-Za-z0-9]"","""")&amp;""_""&amp;Regexreplace(to_text(F592),""[^A-Za-z0-9]"",""""))"),"neptronic_evcbseries")</f>
        <v>neptronic_evcbseries</v>
      </c>
      <c r="BG592" s="275" t="str">
        <f>IFERROR(__xludf.DUMMYFUNCTION("upper(Regexreplace(to_text(E592),""[^A-Za-z0-9]"","""")&amp;""-""&amp;Regexreplace(to_text(F592),""[^A-Za-z0-9]"",""""))"),"NEPTRONIC-EVCBSERIES")</f>
        <v>NEPTRONIC-EVCBSERIES</v>
      </c>
    </row>
    <row r="593" ht="30.0" customHeight="1">
      <c r="A593" s="173">
        <v>585.0</v>
      </c>
      <c r="B593" s="237" t="s">
        <v>670</v>
      </c>
      <c r="C593" s="257" t="s">
        <v>3348</v>
      </c>
      <c r="D593" s="173" t="s">
        <v>3348</v>
      </c>
      <c r="E593" s="174" t="s">
        <v>2861</v>
      </c>
      <c r="F593" s="173" t="s">
        <v>2862</v>
      </c>
      <c r="G593" s="328" t="s">
        <v>673</v>
      </c>
      <c r="H593" s="328" t="s">
        <v>2863</v>
      </c>
      <c r="I593" s="258" t="s">
        <v>2864</v>
      </c>
      <c r="J593" s="259" t="s">
        <v>846</v>
      </c>
      <c r="K593" s="260" t="s">
        <v>3349</v>
      </c>
      <c r="L593" s="328"/>
      <c r="M593" s="343"/>
      <c r="N593" s="173" t="s">
        <v>679</v>
      </c>
      <c r="O593" s="173" t="s">
        <v>225</v>
      </c>
      <c r="P593" s="262" t="str">
        <f t="shared" si="1"/>
        <v>IN-BLR-ANANTA-VAV-165_1</v>
      </c>
      <c r="Q593" s="173" t="s">
        <v>3350</v>
      </c>
      <c r="R593" s="328" t="str">
        <f>IFS(C593="","",C593="n/a","N/A",LEN(C593),Concatenate("{",char(34),"asset",char(34),":{",char(34),"guid",char(34),":",char(34),Q593,char(34),",",char(34),"site",char(34),":",char(34),LOWER('2-Building'!$B$4),char(34),",",char(34),"name",char(34),":",char(34),LOWER(C593),char(34),"}}"))</f>
        <v>{"asset":{"guid":"uuid://53239bb4-5617-4649-b220-f959b76a76ba","site":"in-blr-ananta","name":"vav-165"}}</v>
      </c>
      <c r="S593" s="237" t="s">
        <v>2866</v>
      </c>
      <c r="T593" s="330"/>
      <c r="U593" s="330"/>
      <c r="V593" s="331"/>
      <c r="W593" s="344"/>
      <c r="X593" s="341"/>
      <c r="Y593" s="33" t="s">
        <v>2867</v>
      </c>
      <c r="Z593" s="258">
        <v>120165.0</v>
      </c>
      <c r="AA593" s="334">
        <v>11612.0</v>
      </c>
      <c r="AB593" s="341"/>
      <c r="AC593" s="341"/>
      <c r="AD593" s="343"/>
      <c r="AE593" s="331"/>
      <c r="AF593" s="348"/>
      <c r="AG593" s="337"/>
      <c r="AH593" s="341"/>
      <c r="AI593" s="341"/>
      <c r="AJ593" s="341"/>
      <c r="AK593" s="341"/>
      <c r="AL593" s="341"/>
      <c r="AM593" s="338"/>
      <c r="AN593" s="341"/>
      <c r="AO593" s="341"/>
      <c r="AP593" s="341"/>
      <c r="AQ593" s="341"/>
      <c r="AR593" s="341"/>
      <c r="AS593" s="341"/>
      <c r="AT593" s="341"/>
      <c r="AU593" s="343"/>
      <c r="AV593" s="341"/>
      <c r="AW593" s="269" t="s">
        <v>1982</v>
      </c>
      <c r="AX593" s="334" t="s">
        <v>2869</v>
      </c>
      <c r="AY593" s="270" t="s">
        <v>695</v>
      </c>
      <c r="AZ593" s="270" t="s">
        <v>2866</v>
      </c>
      <c r="BA593" s="265">
        <v>10.0</v>
      </c>
      <c r="BB593" s="174" t="s">
        <v>245</v>
      </c>
      <c r="BC593" s="341"/>
      <c r="BD593" s="308"/>
      <c r="BE593" s="347"/>
      <c r="BF593" s="274" t="str">
        <f>IFERROR(__xludf.DUMMYFUNCTION("LOWER(Regexreplace(to_text(E593),""[^A-Za-z0-9]"","""")&amp;""_""&amp;Regexreplace(to_text(F593),""[^A-Za-z0-9]"",""""))"),"neptronic_evcbseries")</f>
        <v>neptronic_evcbseries</v>
      </c>
      <c r="BG593" s="275" t="str">
        <f>IFERROR(__xludf.DUMMYFUNCTION("upper(Regexreplace(to_text(E593),""[^A-Za-z0-9]"","""")&amp;""-""&amp;Regexreplace(to_text(F593),""[^A-Za-z0-9]"",""""))"),"NEPTRONIC-EVCBSERIES")</f>
        <v>NEPTRONIC-EVCBSERIES</v>
      </c>
    </row>
    <row r="594" ht="30.0" customHeight="1">
      <c r="A594" s="258">
        <v>586.0</v>
      </c>
      <c r="B594" s="237" t="s">
        <v>670</v>
      </c>
      <c r="C594" s="257" t="s">
        <v>3351</v>
      </c>
      <c r="D594" s="173" t="s">
        <v>3351</v>
      </c>
      <c r="E594" s="174" t="s">
        <v>2861</v>
      </c>
      <c r="F594" s="173" t="s">
        <v>2862</v>
      </c>
      <c r="G594" s="328" t="s">
        <v>673</v>
      </c>
      <c r="H594" s="328" t="s">
        <v>2863</v>
      </c>
      <c r="I594" s="258" t="s">
        <v>2864</v>
      </c>
      <c r="J594" s="259" t="s">
        <v>846</v>
      </c>
      <c r="K594" s="260" t="s">
        <v>3352</v>
      </c>
      <c r="L594" s="328"/>
      <c r="M594" s="343"/>
      <c r="N594" s="173" t="s">
        <v>679</v>
      </c>
      <c r="O594" s="173" t="s">
        <v>225</v>
      </c>
      <c r="P594" s="262" t="str">
        <f t="shared" si="1"/>
        <v>IN-BLR-ANANTA-VAV-166_1</v>
      </c>
      <c r="Q594" s="173" t="s">
        <v>3353</v>
      </c>
      <c r="R594" s="328" t="str">
        <f>IFS(C594="","",C594="n/a","N/A",LEN(C594),Concatenate("{",char(34),"asset",char(34),":{",char(34),"guid",char(34),":",char(34),Q594,char(34),",",char(34),"site",char(34),":",char(34),LOWER('2-Building'!$B$4),char(34),",",char(34),"name",char(34),":",char(34),LOWER(C594),char(34),"}}"))</f>
        <v>{"asset":{"guid":"uuid://0d701348-4017-47c8-af86-2b7a463ab86f","site":"in-blr-ananta","name":"vav-166"}}</v>
      </c>
      <c r="S594" s="237" t="s">
        <v>2866</v>
      </c>
      <c r="T594" s="330"/>
      <c r="U594" s="330"/>
      <c r="V594" s="331"/>
      <c r="W594" s="344"/>
      <c r="X594" s="341"/>
      <c r="Y594" s="33" t="s">
        <v>2867</v>
      </c>
      <c r="Z594" s="258">
        <v>120166.0</v>
      </c>
      <c r="AA594" s="334">
        <v>11612.0</v>
      </c>
      <c r="AB594" s="341"/>
      <c r="AC594" s="341"/>
      <c r="AD594" s="343"/>
      <c r="AE594" s="331"/>
      <c r="AF594" s="348"/>
      <c r="AG594" s="337"/>
      <c r="AH594" s="341"/>
      <c r="AI594" s="341"/>
      <c r="AJ594" s="341"/>
      <c r="AK594" s="341"/>
      <c r="AL594" s="341"/>
      <c r="AM594" s="338"/>
      <c r="AN594" s="341"/>
      <c r="AO594" s="341"/>
      <c r="AP594" s="341"/>
      <c r="AQ594" s="341"/>
      <c r="AR594" s="341"/>
      <c r="AS594" s="341"/>
      <c r="AT594" s="341"/>
      <c r="AU594" s="343"/>
      <c r="AV594" s="341"/>
      <c r="AW594" s="269" t="s">
        <v>1982</v>
      </c>
      <c r="AX594" s="334" t="s">
        <v>2869</v>
      </c>
      <c r="AY594" s="270" t="s">
        <v>695</v>
      </c>
      <c r="AZ594" s="270" t="s">
        <v>2866</v>
      </c>
      <c r="BA594" s="265">
        <v>10.0</v>
      </c>
      <c r="BB594" s="174" t="s">
        <v>245</v>
      </c>
      <c r="BC594" s="341"/>
      <c r="BD594" s="308"/>
      <c r="BE594" s="347"/>
      <c r="BF594" s="274" t="str">
        <f>IFERROR(__xludf.DUMMYFUNCTION("LOWER(Regexreplace(to_text(E594),""[^A-Za-z0-9]"","""")&amp;""_""&amp;Regexreplace(to_text(F594),""[^A-Za-z0-9]"",""""))"),"neptronic_evcbseries")</f>
        <v>neptronic_evcbseries</v>
      </c>
      <c r="BG594" s="275" t="str">
        <f>IFERROR(__xludf.DUMMYFUNCTION("upper(Regexreplace(to_text(E594),""[^A-Za-z0-9]"","""")&amp;""-""&amp;Regexreplace(to_text(F594),""[^A-Za-z0-9]"",""""))"),"NEPTRONIC-EVCBSERIES")</f>
        <v>NEPTRONIC-EVCBSERIES</v>
      </c>
    </row>
    <row r="595" ht="30.0" customHeight="1">
      <c r="A595" s="173">
        <v>587.0</v>
      </c>
      <c r="B595" s="237" t="s">
        <v>670</v>
      </c>
      <c r="C595" s="257" t="s">
        <v>3354</v>
      </c>
      <c r="D595" s="173" t="s">
        <v>3354</v>
      </c>
      <c r="E595" s="174" t="s">
        <v>2861</v>
      </c>
      <c r="F595" s="173" t="s">
        <v>2862</v>
      </c>
      <c r="G595" s="328" t="s">
        <v>673</v>
      </c>
      <c r="H595" s="328" t="s">
        <v>2863</v>
      </c>
      <c r="I595" s="258" t="s">
        <v>2864</v>
      </c>
      <c r="J595" s="259" t="s">
        <v>846</v>
      </c>
      <c r="K595" s="260" t="s">
        <v>3355</v>
      </c>
      <c r="L595" s="328"/>
      <c r="M595" s="343"/>
      <c r="N595" s="173" t="s">
        <v>679</v>
      </c>
      <c r="O595" s="173" t="s">
        <v>225</v>
      </c>
      <c r="P595" s="262" t="str">
        <f t="shared" si="1"/>
        <v>IN-BLR-ANANTA-VAV-167_1</v>
      </c>
      <c r="Q595" s="173" t="s">
        <v>3356</v>
      </c>
      <c r="R595" s="328" t="str">
        <f>IFS(C595="","",C595="n/a","N/A",LEN(C595),Concatenate("{",char(34),"asset",char(34),":{",char(34),"guid",char(34),":",char(34),Q595,char(34),",",char(34),"site",char(34),":",char(34),LOWER('2-Building'!$B$4),char(34),",",char(34),"name",char(34),":",char(34),LOWER(C595),char(34),"}}"))</f>
        <v>{"asset":{"guid":"uuid://633a0af2-9e65-459e-bc89-6558840866b1","site":"in-blr-ananta","name":"vav-167"}}</v>
      </c>
      <c r="S595" s="237" t="s">
        <v>2866</v>
      </c>
      <c r="T595" s="330"/>
      <c r="U595" s="330"/>
      <c r="V595" s="331"/>
      <c r="W595" s="344"/>
      <c r="X595" s="341"/>
      <c r="Y595" s="33" t="s">
        <v>2867</v>
      </c>
      <c r="Z595" s="258">
        <v>120167.0</v>
      </c>
      <c r="AA595" s="334">
        <v>11612.0</v>
      </c>
      <c r="AB595" s="341"/>
      <c r="AC595" s="341"/>
      <c r="AD595" s="343"/>
      <c r="AE595" s="331"/>
      <c r="AF595" s="348"/>
      <c r="AG595" s="337"/>
      <c r="AH595" s="341"/>
      <c r="AI595" s="341"/>
      <c r="AJ595" s="341"/>
      <c r="AK595" s="341"/>
      <c r="AL595" s="341"/>
      <c r="AM595" s="338"/>
      <c r="AN595" s="341"/>
      <c r="AO595" s="341"/>
      <c r="AP595" s="341"/>
      <c r="AQ595" s="341"/>
      <c r="AR595" s="341"/>
      <c r="AS595" s="341"/>
      <c r="AT595" s="341"/>
      <c r="AU595" s="343"/>
      <c r="AV595" s="341"/>
      <c r="AW595" s="269" t="s">
        <v>1982</v>
      </c>
      <c r="AX595" s="334" t="s">
        <v>2869</v>
      </c>
      <c r="AY595" s="270" t="s">
        <v>695</v>
      </c>
      <c r="AZ595" s="270" t="s">
        <v>2866</v>
      </c>
      <c r="BA595" s="265">
        <v>10.0</v>
      </c>
      <c r="BB595" s="174" t="s">
        <v>245</v>
      </c>
      <c r="BC595" s="341"/>
      <c r="BD595" s="308"/>
      <c r="BE595" s="347"/>
      <c r="BF595" s="274" t="str">
        <f>IFERROR(__xludf.DUMMYFUNCTION("LOWER(Regexreplace(to_text(E595),""[^A-Za-z0-9]"","""")&amp;""_""&amp;Regexreplace(to_text(F595),""[^A-Za-z0-9]"",""""))"),"neptronic_evcbseries")</f>
        <v>neptronic_evcbseries</v>
      </c>
      <c r="BG595" s="275" t="str">
        <f>IFERROR(__xludf.DUMMYFUNCTION("upper(Regexreplace(to_text(E595),""[^A-Za-z0-9]"","""")&amp;""-""&amp;Regexreplace(to_text(F595),""[^A-Za-z0-9]"",""""))"),"NEPTRONIC-EVCBSERIES")</f>
        <v>NEPTRONIC-EVCBSERIES</v>
      </c>
    </row>
    <row r="596" ht="30.0" customHeight="1">
      <c r="A596" s="258">
        <v>588.0</v>
      </c>
      <c r="B596" s="237" t="s">
        <v>670</v>
      </c>
      <c r="C596" s="257" t="s">
        <v>3357</v>
      </c>
      <c r="D596" s="173" t="s">
        <v>3357</v>
      </c>
      <c r="E596" s="174" t="s">
        <v>2861</v>
      </c>
      <c r="F596" s="173" t="s">
        <v>2862</v>
      </c>
      <c r="G596" s="328" t="s">
        <v>673</v>
      </c>
      <c r="H596" s="328" t="s">
        <v>2863</v>
      </c>
      <c r="I596" s="258" t="s">
        <v>2864</v>
      </c>
      <c r="J596" s="259" t="s">
        <v>846</v>
      </c>
      <c r="K596" s="260" t="s">
        <v>3358</v>
      </c>
      <c r="L596" s="328"/>
      <c r="M596" s="343"/>
      <c r="N596" s="173" t="s">
        <v>679</v>
      </c>
      <c r="O596" s="173" t="s">
        <v>225</v>
      </c>
      <c r="P596" s="262" t="str">
        <f t="shared" si="1"/>
        <v>IN-BLR-ANANTA-VAV-168_1</v>
      </c>
      <c r="Q596" s="173" t="s">
        <v>3359</v>
      </c>
      <c r="R596" s="328" t="str">
        <f>IFS(C596="","",C596="n/a","N/A",LEN(C596),Concatenate("{",char(34),"asset",char(34),":{",char(34),"guid",char(34),":",char(34),Q596,char(34),",",char(34),"site",char(34),":",char(34),LOWER('2-Building'!$B$4),char(34),",",char(34),"name",char(34),":",char(34),LOWER(C596),char(34),"}}"))</f>
        <v>{"asset":{"guid":"uuid://6c493413-0a09-43bb-9393-1275d5cd5791","site":"in-blr-ananta","name":"vav-168"}}</v>
      </c>
      <c r="S596" s="237" t="s">
        <v>2866</v>
      </c>
      <c r="T596" s="330"/>
      <c r="U596" s="330"/>
      <c r="V596" s="331"/>
      <c r="W596" s="344"/>
      <c r="X596" s="341"/>
      <c r="Y596" s="33" t="s">
        <v>2867</v>
      </c>
      <c r="Z596" s="258">
        <v>120168.0</v>
      </c>
      <c r="AA596" s="334">
        <v>11612.0</v>
      </c>
      <c r="AB596" s="341"/>
      <c r="AC596" s="341"/>
      <c r="AD596" s="343"/>
      <c r="AE596" s="331"/>
      <c r="AF596" s="348"/>
      <c r="AG596" s="337"/>
      <c r="AH596" s="341"/>
      <c r="AI596" s="341"/>
      <c r="AJ596" s="341"/>
      <c r="AK596" s="341"/>
      <c r="AL596" s="341"/>
      <c r="AM596" s="338"/>
      <c r="AN596" s="341"/>
      <c r="AO596" s="341"/>
      <c r="AP596" s="341"/>
      <c r="AQ596" s="341"/>
      <c r="AR596" s="341"/>
      <c r="AS596" s="341"/>
      <c r="AT596" s="341"/>
      <c r="AU596" s="343"/>
      <c r="AV596" s="341"/>
      <c r="AW596" s="269" t="s">
        <v>1982</v>
      </c>
      <c r="AX596" s="334" t="s">
        <v>2869</v>
      </c>
      <c r="AY596" s="270" t="s">
        <v>695</v>
      </c>
      <c r="AZ596" s="270" t="s">
        <v>2866</v>
      </c>
      <c r="BA596" s="265">
        <v>10.0</v>
      </c>
      <c r="BB596" s="174" t="s">
        <v>245</v>
      </c>
      <c r="BC596" s="341"/>
      <c r="BD596" s="308"/>
      <c r="BE596" s="347"/>
      <c r="BF596" s="274" t="str">
        <f>IFERROR(__xludf.DUMMYFUNCTION("LOWER(Regexreplace(to_text(E596),""[^A-Za-z0-9]"","""")&amp;""_""&amp;Regexreplace(to_text(F596),""[^A-Za-z0-9]"",""""))"),"neptronic_evcbseries")</f>
        <v>neptronic_evcbseries</v>
      </c>
      <c r="BG596" s="275" t="str">
        <f>IFERROR(__xludf.DUMMYFUNCTION("upper(Regexreplace(to_text(E596),""[^A-Za-z0-9]"","""")&amp;""-""&amp;Regexreplace(to_text(F596),""[^A-Za-z0-9]"",""""))"),"NEPTRONIC-EVCBSERIES")</f>
        <v>NEPTRONIC-EVCBSERIES</v>
      </c>
    </row>
    <row r="597" ht="30.0" customHeight="1">
      <c r="A597" s="173">
        <v>589.0</v>
      </c>
      <c r="B597" s="237" t="s">
        <v>670</v>
      </c>
      <c r="C597" s="257" t="s">
        <v>3360</v>
      </c>
      <c r="D597" s="173" t="s">
        <v>3360</v>
      </c>
      <c r="E597" s="174" t="s">
        <v>2861</v>
      </c>
      <c r="F597" s="173" t="s">
        <v>2862</v>
      </c>
      <c r="G597" s="328" t="s">
        <v>673</v>
      </c>
      <c r="H597" s="328" t="s">
        <v>2863</v>
      </c>
      <c r="I597" s="258" t="s">
        <v>2864</v>
      </c>
      <c r="J597" s="259" t="s">
        <v>846</v>
      </c>
      <c r="K597" s="260" t="s">
        <v>3361</v>
      </c>
      <c r="L597" s="328"/>
      <c r="M597" s="343"/>
      <c r="N597" s="173" t="s">
        <v>679</v>
      </c>
      <c r="O597" s="173" t="s">
        <v>225</v>
      </c>
      <c r="P597" s="262" t="str">
        <f t="shared" si="1"/>
        <v>IN-BLR-ANANTA-VAV-169_1</v>
      </c>
      <c r="Q597" s="173" t="s">
        <v>3362</v>
      </c>
      <c r="R597" s="328" t="str">
        <f>IFS(C597="","",C597="n/a","N/A",LEN(C597),Concatenate("{",char(34),"asset",char(34),":{",char(34),"guid",char(34),":",char(34),Q597,char(34),",",char(34),"site",char(34),":",char(34),LOWER('2-Building'!$B$4),char(34),",",char(34),"name",char(34),":",char(34),LOWER(C597),char(34),"}}"))</f>
        <v>{"asset":{"guid":"uuid://82dcbcec-0fff-4a9d-a7cf-f8a1d98f06e0","site":"in-blr-ananta","name":"vav-169"}}</v>
      </c>
      <c r="S597" s="237" t="s">
        <v>2866</v>
      </c>
      <c r="T597" s="330"/>
      <c r="U597" s="330"/>
      <c r="V597" s="331"/>
      <c r="W597" s="344"/>
      <c r="X597" s="341"/>
      <c r="Y597" s="33" t="s">
        <v>2867</v>
      </c>
      <c r="Z597" s="258">
        <v>120169.0</v>
      </c>
      <c r="AA597" s="334">
        <v>11612.0</v>
      </c>
      <c r="AB597" s="341"/>
      <c r="AC597" s="341"/>
      <c r="AD597" s="343"/>
      <c r="AE597" s="331"/>
      <c r="AF597" s="348"/>
      <c r="AG597" s="337"/>
      <c r="AH597" s="341"/>
      <c r="AI597" s="341"/>
      <c r="AJ597" s="341"/>
      <c r="AK597" s="341"/>
      <c r="AL597" s="341"/>
      <c r="AM597" s="338"/>
      <c r="AN597" s="341"/>
      <c r="AO597" s="341"/>
      <c r="AP597" s="341"/>
      <c r="AQ597" s="341"/>
      <c r="AR597" s="341"/>
      <c r="AS597" s="341"/>
      <c r="AT597" s="341"/>
      <c r="AU597" s="343"/>
      <c r="AV597" s="341"/>
      <c r="AW597" s="269" t="s">
        <v>1982</v>
      </c>
      <c r="AX597" s="334" t="s">
        <v>2869</v>
      </c>
      <c r="AY597" s="270" t="s">
        <v>695</v>
      </c>
      <c r="AZ597" s="270" t="s">
        <v>2866</v>
      </c>
      <c r="BA597" s="265">
        <v>10.0</v>
      </c>
      <c r="BB597" s="174" t="s">
        <v>245</v>
      </c>
      <c r="BC597" s="341"/>
      <c r="BD597" s="308"/>
      <c r="BE597" s="347"/>
      <c r="BF597" s="274" t="str">
        <f>IFERROR(__xludf.DUMMYFUNCTION("LOWER(Regexreplace(to_text(E597),""[^A-Za-z0-9]"","""")&amp;""_""&amp;Regexreplace(to_text(F597),""[^A-Za-z0-9]"",""""))"),"neptronic_evcbseries")</f>
        <v>neptronic_evcbseries</v>
      </c>
      <c r="BG597" s="275" t="str">
        <f>IFERROR(__xludf.DUMMYFUNCTION("upper(Regexreplace(to_text(E597),""[^A-Za-z0-9]"","""")&amp;""-""&amp;Regexreplace(to_text(F597),""[^A-Za-z0-9]"",""""))"),"NEPTRONIC-EVCBSERIES")</f>
        <v>NEPTRONIC-EVCBSERIES</v>
      </c>
    </row>
    <row r="598" ht="30.0" customHeight="1">
      <c r="A598" s="258">
        <v>590.0</v>
      </c>
      <c r="B598" s="237" t="s">
        <v>670</v>
      </c>
      <c r="C598" s="257" t="s">
        <v>3363</v>
      </c>
      <c r="D598" s="173" t="s">
        <v>3363</v>
      </c>
      <c r="E598" s="174" t="s">
        <v>2861</v>
      </c>
      <c r="F598" s="173" t="s">
        <v>2862</v>
      </c>
      <c r="G598" s="328" t="s">
        <v>673</v>
      </c>
      <c r="H598" s="328" t="s">
        <v>2863</v>
      </c>
      <c r="I598" s="258" t="s">
        <v>2864</v>
      </c>
      <c r="J598" s="259" t="s">
        <v>846</v>
      </c>
      <c r="K598" s="260" t="s">
        <v>3364</v>
      </c>
      <c r="L598" s="328"/>
      <c r="M598" s="343"/>
      <c r="N598" s="173" t="s">
        <v>679</v>
      </c>
      <c r="O598" s="173" t="s">
        <v>225</v>
      </c>
      <c r="P598" s="262" t="str">
        <f t="shared" si="1"/>
        <v>IN-BLR-ANANTA-VAV-170_1</v>
      </c>
      <c r="Q598" s="173" t="s">
        <v>3365</v>
      </c>
      <c r="R598" s="328" t="str">
        <f>IFS(C598="","",C598="n/a","N/A",LEN(C598),Concatenate("{",char(34),"asset",char(34),":{",char(34),"guid",char(34),":",char(34),Q598,char(34),",",char(34),"site",char(34),":",char(34),LOWER('2-Building'!$B$4),char(34),",",char(34),"name",char(34),":",char(34),LOWER(C598),char(34),"}}"))</f>
        <v>{"asset":{"guid":"uuid://1afc2e13-5823-489d-adea-1dfc90e384b4","site":"in-blr-ananta","name":"vav-170"}}</v>
      </c>
      <c r="S598" s="237" t="s">
        <v>2866</v>
      </c>
      <c r="T598" s="330"/>
      <c r="U598" s="330"/>
      <c r="V598" s="331"/>
      <c r="W598" s="344"/>
      <c r="X598" s="341"/>
      <c r="Y598" s="33" t="s">
        <v>2867</v>
      </c>
      <c r="Z598" s="258">
        <v>120170.0</v>
      </c>
      <c r="AA598" s="334">
        <v>11612.0</v>
      </c>
      <c r="AB598" s="341"/>
      <c r="AC598" s="341"/>
      <c r="AD598" s="343"/>
      <c r="AE598" s="331"/>
      <c r="AF598" s="348"/>
      <c r="AG598" s="337"/>
      <c r="AH598" s="341"/>
      <c r="AI598" s="341"/>
      <c r="AJ598" s="341"/>
      <c r="AK598" s="341"/>
      <c r="AL598" s="341"/>
      <c r="AM598" s="338"/>
      <c r="AN598" s="341"/>
      <c r="AO598" s="341"/>
      <c r="AP598" s="341"/>
      <c r="AQ598" s="341"/>
      <c r="AR598" s="341"/>
      <c r="AS598" s="341"/>
      <c r="AT598" s="341"/>
      <c r="AU598" s="343"/>
      <c r="AV598" s="341"/>
      <c r="AW598" s="269" t="s">
        <v>1982</v>
      </c>
      <c r="AX598" s="334" t="s">
        <v>2869</v>
      </c>
      <c r="AY598" s="270" t="s">
        <v>695</v>
      </c>
      <c r="AZ598" s="270" t="s">
        <v>2866</v>
      </c>
      <c r="BA598" s="265">
        <v>10.0</v>
      </c>
      <c r="BB598" s="174" t="s">
        <v>245</v>
      </c>
      <c r="BC598" s="341"/>
      <c r="BD598" s="308"/>
      <c r="BE598" s="347"/>
      <c r="BF598" s="274" t="str">
        <f>IFERROR(__xludf.DUMMYFUNCTION("LOWER(Regexreplace(to_text(E598),""[^A-Za-z0-9]"","""")&amp;""_""&amp;Regexreplace(to_text(F598),""[^A-Za-z0-9]"",""""))"),"neptronic_evcbseries")</f>
        <v>neptronic_evcbseries</v>
      </c>
      <c r="BG598" s="275" t="str">
        <f>IFERROR(__xludf.DUMMYFUNCTION("upper(Regexreplace(to_text(E598),""[^A-Za-z0-9]"","""")&amp;""-""&amp;Regexreplace(to_text(F598),""[^A-Za-z0-9]"",""""))"),"NEPTRONIC-EVCBSERIES")</f>
        <v>NEPTRONIC-EVCBSERIES</v>
      </c>
    </row>
    <row r="599" ht="30.0" customHeight="1">
      <c r="A599" s="173">
        <v>591.0</v>
      </c>
      <c r="B599" s="237" t="s">
        <v>670</v>
      </c>
      <c r="C599" s="257" t="s">
        <v>3366</v>
      </c>
      <c r="D599" s="173" t="s">
        <v>3366</v>
      </c>
      <c r="E599" s="174" t="s">
        <v>2861</v>
      </c>
      <c r="F599" s="173" t="s">
        <v>2862</v>
      </c>
      <c r="G599" s="328" t="s">
        <v>673</v>
      </c>
      <c r="H599" s="328" t="s">
        <v>2863</v>
      </c>
      <c r="I599" s="258" t="s">
        <v>2864</v>
      </c>
      <c r="J599" s="259" t="s">
        <v>846</v>
      </c>
      <c r="K599" s="260" t="s">
        <v>3367</v>
      </c>
      <c r="L599" s="328"/>
      <c r="M599" s="343"/>
      <c r="N599" s="173" t="s">
        <v>679</v>
      </c>
      <c r="O599" s="173" t="s">
        <v>225</v>
      </c>
      <c r="P599" s="262" t="str">
        <f t="shared" si="1"/>
        <v>IN-BLR-ANANTA-VAV-171_1</v>
      </c>
      <c r="Q599" s="173" t="s">
        <v>3368</v>
      </c>
      <c r="R599" s="328" t="str">
        <f>IFS(C599="","",C599="n/a","N/A",LEN(C599),Concatenate("{",char(34),"asset",char(34),":{",char(34),"guid",char(34),":",char(34),Q599,char(34),",",char(34),"site",char(34),":",char(34),LOWER('2-Building'!$B$4),char(34),",",char(34),"name",char(34),":",char(34),LOWER(C599),char(34),"}}"))</f>
        <v>{"asset":{"guid":"uuid://a03fb1a7-77d3-4cab-961a-50fd85f7c9d2","site":"in-blr-ananta","name":"vav-171"}}</v>
      </c>
      <c r="S599" s="237" t="s">
        <v>2866</v>
      </c>
      <c r="T599" s="330"/>
      <c r="U599" s="330"/>
      <c r="V599" s="331"/>
      <c r="W599" s="344"/>
      <c r="X599" s="341"/>
      <c r="Y599" s="33" t="s">
        <v>2867</v>
      </c>
      <c r="Z599" s="258">
        <v>120171.0</v>
      </c>
      <c r="AA599" s="334">
        <v>11612.0</v>
      </c>
      <c r="AB599" s="341"/>
      <c r="AC599" s="341"/>
      <c r="AD599" s="343"/>
      <c r="AE599" s="331"/>
      <c r="AF599" s="348"/>
      <c r="AG599" s="337"/>
      <c r="AH599" s="341"/>
      <c r="AI599" s="341"/>
      <c r="AJ599" s="341"/>
      <c r="AK599" s="341"/>
      <c r="AL599" s="341"/>
      <c r="AM599" s="338"/>
      <c r="AN599" s="341"/>
      <c r="AO599" s="341"/>
      <c r="AP599" s="341"/>
      <c r="AQ599" s="341"/>
      <c r="AR599" s="341"/>
      <c r="AS599" s="341"/>
      <c r="AT599" s="341"/>
      <c r="AU599" s="343"/>
      <c r="AV599" s="341"/>
      <c r="AW599" s="269" t="s">
        <v>1982</v>
      </c>
      <c r="AX599" s="334" t="s">
        <v>2869</v>
      </c>
      <c r="AY599" s="270" t="s">
        <v>695</v>
      </c>
      <c r="AZ599" s="270" t="s">
        <v>2866</v>
      </c>
      <c r="BA599" s="265">
        <v>10.0</v>
      </c>
      <c r="BB599" s="174" t="s">
        <v>245</v>
      </c>
      <c r="BC599" s="341"/>
      <c r="BD599" s="308"/>
      <c r="BE599" s="347"/>
      <c r="BF599" s="274" t="str">
        <f>IFERROR(__xludf.DUMMYFUNCTION("LOWER(Regexreplace(to_text(E599),""[^A-Za-z0-9]"","""")&amp;""_""&amp;Regexreplace(to_text(F599),""[^A-Za-z0-9]"",""""))"),"neptronic_evcbseries")</f>
        <v>neptronic_evcbseries</v>
      </c>
      <c r="BG599" s="275" t="str">
        <f>IFERROR(__xludf.DUMMYFUNCTION("upper(Regexreplace(to_text(E599),""[^A-Za-z0-9]"","""")&amp;""-""&amp;Regexreplace(to_text(F599),""[^A-Za-z0-9]"",""""))"),"NEPTRONIC-EVCBSERIES")</f>
        <v>NEPTRONIC-EVCBSERIES</v>
      </c>
    </row>
    <row r="600" ht="30.0" customHeight="1">
      <c r="A600" s="258">
        <v>592.0</v>
      </c>
      <c r="B600" s="237" t="s">
        <v>670</v>
      </c>
      <c r="C600" s="257" t="s">
        <v>3369</v>
      </c>
      <c r="D600" s="173" t="s">
        <v>3369</v>
      </c>
      <c r="E600" s="174" t="s">
        <v>2861</v>
      </c>
      <c r="F600" s="173" t="s">
        <v>2862</v>
      </c>
      <c r="G600" s="328" t="s">
        <v>673</v>
      </c>
      <c r="H600" s="328" t="s">
        <v>2863</v>
      </c>
      <c r="I600" s="258" t="s">
        <v>2864</v>
      </c>
      <c r="J600" s="259" t="s">
        <v>846</v>
      </c>
      <c r="K600" s="260" t="s">
        <v>3370</v>
      </c>
      <c r="L600" s="328"/>
      <c r="M600" s="343"/>
      <c r="N600" s="173" t="s">
        <v>679</v>
      </c>
      <c r="O600" s="173" t="s">
        <v>225</v>
      </c>
      <c r="P600" s="262" t="str">
        <f t="shared" si="1"/>
        <v>IN-BLR-ANANTA-VAV-172_1</v>
      </c>
      <c r="Q600" s="173" t="s">
        <v>3371</v>
      </c>
      <c r="R600" s="328" t="str">
        <f>IFS(C600="","",C600="n/a","N/A",LEN(C600),Concatenate("{",char(34),"asset",char(34),":{",char(34),"guid",char(34),":",char(34),Q600,char(34),",",char(34),"site",char(34),":",char(34),LOWER('2-Building'!$B$4),char(34),",",char(34),"name",char(34),":",char(34),LOWER(C600),char(34),"}}"))</f>
        <v>{"asset":{"guid":"uuid://63f2da09-d5df-40f8-a75f-16d5bf30332e","site":"in-blr-ananta","name":"vav-172"}}</v>
      </c>
      <c r="S600" s="237" t="s">
        <v>2866</v>
      </c>
      <c r="T600" s="330"/>
      <c r="U600" s="330"/>
      <c r="V600" s="331"/>
      <c r="W600" s="344"/>
      <c r="X600" s="341"/>
      <c r="Y600" s="33" t="s">
        <v>2867</v>
      </c>
      <c r="Z600" s="258">
        <v>120172.0</v>
      </c>
      <c r="AA600" s="334">
        <v>11612.0</v>
      </c>
      <c r="AB600" s="341"/>
      <c r="AC600" s="341"/>
      <c r="AD600" s="343"/>
      <c r="AE600" s="331"/>
      <c r="AF600" s="348"/>
      <c r="AG600" s="337"/>
      <c r="AH600" s="341"/>
      <c r="AI600" s="341"/>
      <c r="AJ600" s="341"/>
      <c r="AK600" s="341"/>
      <c r="AL600" s="341"/>
      <c r="AM600" s="338"/>
      <c r="AN600" s="341"/>
      <c r="AO600" s="341"/>
      <c r="AP600" s="341"/>
      <c r="AQ600" s="341"/>
      <c r="AR600" s="341"/>
      <c r="AS600" s="341"/>
      <c r="AT600" s="341"/>
      <c r="AU600" s="343"/>
      <c r="AV600" s="341"/>
      <c r="AW600" s="269" t="s">
        <v>1982</v>
      </c>
      <c r="AX600" s="334" t="s">
        <v>2869</v>
      </c>
      <c r="AY600" s="270" t="s">
        <v>695</v>
      </c>
      <c r="AZ600" s="270" t="s">
        <v>2866</v>
      </c>
      <c r="BA600" s="265">
        <v>10.0</v>
      </c>
      <c r="BB600" s="174" t="s">
        <v>245</v>
      </c>
      <c r="BC600" s="341"/>
      <c r="BD600" s="308"/>
      <c r="BE600" s="347"/>
      <c r="BF600" s="274" t="str">
        <f>IFERROR(__xludf.DUMMYFUNCTION("LOWER(Regexreplace(to_text(E600),""[^A-Za-z0-9]"","""")&amp;""_""&amp;Regexreplace(to_text(F600),""[^A-Za-z0-9]"",""""))"),"neptronic_evcbseries")</f>
        <v>neptronic_evcbseries</v>
      </c>
      <c r="BG600" s="275" t="str">
        <f>IFERROR(__xludf.DUMMYFUNCTION("upper(Regexreplace(to_text(E600),""[^A-Za-z0-9]"","""")&amp;""-""&amp;Regexreplace(to_text(F600),""[^A-Za-z0-9]"",""""))"),"NEPTRONIC-EVCBSERIES")</f>
        <v>NEPTRONIC-EVCBSERIES</v>
      </c>
    </row>
    <row r="601" ht="30.0" customHeight="1">
      <c r="A601" s="173">
        <v>593.0</v>
      </c>
      <c r="B601" s="237" t="s">
        <v>670</v>
      </c>
      <c r="C601" s="257" t="s">
        <v>3372</v>
      </c>
      <c r="D601" s="173" t="s">
        <v>3372</v>
      </c>
      <c r="E601" s="174" t="s">
        <v>2861</v>
      </c>
      <c r="F601" s="173" t="s">
        <v>2862</v>
      </c>
      <c r="G601" s="328" t="s">
        <v>673</v>
      </c>
      <c r="H601" s="328" t="s">
        <v>2863</v>
      </c>
      <c r="I601" s="258" t="s">
        <v>2864</v>
      </c>
      <c r="J601" s="259" t="s">
        <v>846</v>
      </c>
      <c r="K601" s="260" t="s">
        <v>3373</v>
      </c>
      <c r="L601" s="328"/>
      <c r="M601" s="343"/>
      <c r="N601" s="173" t="s">
        <v>679</v>
      </c>
      <c r="O601" s="173" t="s">
        <v>225</v>
      </c>
      <c r="P601" s="262" t="str">
        <f t="shared" si="1"/>
        <v>IN-BLR-ANANTA-VAV-173_1</v>
      </c>
      <c r="Q601" s="173" t="s">
        <v>3374</v>
      </c>
      <c r="R601" s="328" t="str">
        <f>IFS(C601="","",C601="n/a","N/A",LEN(C601),Concatenate("{",char(34),"asset",char(34),":{",char(34),"guid",char(34),":",char(34),Q601,char(34),",",char(34),"site",char(34),":",char(34),LOWER('2-Building'!$B$4),char(34),",",char(34),"name",char(34),":",char(34),LOWER(C601),char(34),"}}"))</f>
        <v>{"asset":{"guid":"uuid://a52555f4-01bb-43cc-93aa-34c918845e21","site":"in-blr-ananta","name":"vav-173"}}</v>
      </c>
      <c r="S601" s="237" t="s">
        <v>2866</v>
      </c>
      <c r="T601" s="330"/>
      <c r="U601" s="330"/>
      <c r="V601" s="331"/>
      <c r="W601" s="344"/>
      <c r="X601" s="341"/>
      <c r="Y601" s="33" t="s">
        <v>2867</v>
      </c>
      <c r="Z601" s="258">
        <v>120173.0</v>
      </c>
      <c r="AA601" s="334">
        <v>11612.0</v>
      </c>
      <c r="AB601" s="341"/>
      <c r="AC601" s="341"/>
      <c r="AD601" s="343"/>
      <c r="AE601" s="331"/>
      <c r="AF601" s="348"/>
      <c r="AG601" s="337"/>
      <c r="AH601" s="341"/>
      <c r="AI601" s="341"/>
      <c r="AJ601" s="341"/>
      <c r="AK601" s="341"/>
      <c r="AL601" s="341"/>
      <c r="AM601" s="338"/>
      <c r="AN601" s="341"/>
      <c r="AO601" s="341"/>
      <c r="AP601" s="341"/>
      <c r="AQ601" s="341"/>
      <c r="AR601" s="341"/>
      <c r="AS601" s="341"/>
      <c r="AT601" s="341"/>
      <c r="AU601" s="343"/>
      <c r="AV601" s="341"/>
      <c r="AW601" s="269" t="s">
        <v>1982</v>
      </c>
      <c r="AX601" s="334" t="s">
        <v>2869</v>
      </c>
      <c r="AY601" s="270" t="s">
        <v>695</v>
      </c>
      <c r="AZ601" s="270" t="s">
        <v>2866</v>
      </c>
      <c r="BA601" s="265">
        <v>10.0</v>
      </c>
      <c r="BB601" s="174" t="s">
        <v>245</v>
      </c>
      <c r="BC601" s="341"/>
      <c r="BD601" s="308"/>
      <c r="BE601" s="347"/>
      <c r="BF601" s="274" t="str">
        <f>IFERROR(__xludf.DUMMYFUNCTION("LOWER(Regexreplace(to_text(E601),""[^A-Za-z0-9]"","""")&amp;""_""&amp;Regexreplace(to_text(F601),""[^A-Za-z0-9]"",""""))"),"neptronic_evcbseries")</f>
        <v>neptronic_evcbseries</v>
      </c>
      <c r="BG601" s="275" t="str">
        <f>IFERROR(__xludf.DUMMYFUNCTION("upper(Regexreplace(to_text(E601),""[^A-Za-z0-9]"","""")&amp;""-""&amp;Regexreplace(to_text(F601),""[^A-Za-z0-9]"",""""))"),"NEPTRONIC-EVCBSERIES")</f>
        <v>NEPTRONIC-EVCBSERIES</v>
      </c>
    </row>
    <row r="602" ht="30.0" customHeight="1">
      <c r="A602" s="258">
        <v>594.0</v>
      </c>
      <c r="B602" s="237" t="s">
        <v>670</v>
      </c>
      <c r="C602" s="257" t="s">
        <v>3375</v>
      </c>
      <c r="D602" s="173" t="s">
        <v>3375</v>
      </c>
      <c r="E602" s="174" t="s">
        <v>2861</v>
      </c>
      <c r="F602" s="173" t="s">
        <v>2862</v>
      </c>
      <c r="G602" s="328" t="s">
        <v>673</v>
      </c>
      <c r="H602" s="328" t="s">
        <v>2863</v>
      </c>
      <c r="I602" s="258" t="s">
        <v>2864</v>
      </c>
      <c r="J602" s="259" t="s">
        <v>846</v>
      </c>
      <c r="K602" s="260" t="s">
        <v>3376</v>
      </c>
      <c r="L602" s="328"/>
      <c r="M602" s="343"/>
      <c r="N602" s="173" t="s">
        <v>679</v>
      </c>
      <c r="O602" s="173" t="s">
        <v>225</v>
      </c>
      <c r="P602" s="262" t="str">
        <f t="shared" si="1"/>
        <v>IN-BLR-ANANTA-VAV-174_1</v>
      </c>
      <c r="Q602" s="173" t="s">
        <v>3377</v>
      </c>
      <c r="R602" s="328" t="str">
        <f>IFS(C602="","",C602="n/a","N/A",LEN(C602),Concatenate("{",char(34),"asset",char(34),":{",char(34),"guid",char(34),":",char(34),Q602,char(34),",",char(34),"site",char(34),":",char(34),LOWER('2-Building'!$B$4),char(34),",",char(34),"name",char(34),":",char(34),LOWER(C602),char(34),"}}"))</f>
        <v>{"asset":{"guid":"uuid://6a595678-e760-4b18-9bb8-f3df5c46753c","site":"in-blr-ananta","name":"vav-174"}}</v>
      </c>
      <c r="S602" s="237" t="s">
        <v>2866</v>
      </c>
      <c r="T602" s="330"/>
      <c r="U602" s="330"/>
      <c r="V602" s="331"/>
      <c r="W602" s="344"/>
      <c r="X602" s="341"/>
      <c r="Y602" s="33" t="s">
        <v>2867</v>
      </c>
      <c r="Z602" s="258">
        <v>120174.0</v>
      </c>
      <c r="AA602" s="334">
        <v>11612.0</v>
      </c>
      <c r="AB602" s="341"/>
      <c r="AC602" s="341"/>
      <c r="AD602" s="343"/>
      <c r="AE602" s="331"/>
      <c r="AF602" s="348"/>
      <c r="AG602" s="337"/>
      <c r="AH602" s="341"/>
      <c r="AI602" s="341"/>
      <c r="AJ602" s="341"/>
      <c r="AK602" s="341"/>
      <c r="AL602" s="341"/>
      <c r="AM602" s="338"/>
      <c r="AN602" s="341"/>
      <c r="AO602" s="341"/>
      <c r="AP602" s="341"/>
      <c r="AQ602" s="341"/>
      <c r="AR602" s="341"/>
      <c r="AS602" s="341"/>
      <c r="AT602" s="341"/>
      <c r="AU602" s="343"/>
      <c r="AV602" s="341"/>
      <c r="AW602" s="269" t="s">
        <v>1982</v>
      </c>
      <c r="AX602" s="334" t="s">
        <v>2869</v>
      </c>
      <c r="AY602" s="270" t="s">
        <v>695</v>
      </c>
      <c r="AZ602" s="270" t="s">
        <v>2866</v>
      </c>
      <c r="BA602" s="265">
        <v>10.0</v>
      </c>
      <c r="BB602" s="174" t="s">
        <v>245</v>
      </c>
      <c r="BC602" s="341"/>
      <c r="BD602" s="308"/>
      <c r="BE602" s="347"/>
      <c r="BF602" s="274" t="str">
        <f>IFERROR(__xludf.DUMMYFUNCTION("LOWER(Regexreplace(to_text(E602),""[^A-Za-z0-9]"","""")&amp;""_""&amp;Regexreplace(to_text(F602),""[^A-Za-z0-9]"",""""))"),"neptronic_evcbseries")</f>
        <v>neptronic_evcbseries</v>
      </c>
      <c r="BG602" s="275" t="str">
        <f>IFERROR(__xludf.DUMMYFUNCTION("upper(Regexreplace(to_text(E602),""[^A-Za-z0-9]"","""")&amp;""-""&amp;Regexreplace(to_text(F602),""[^A-Za-z0-9]"",""""))"),"NEPTRONIC-EVCBSERIES")</f>
        <v>NEPTRONIC-EVCBSERIES</v>
      </c>
    </row>
    <row r="603" ht="30.0" customHeight="1">
      <c r="A603" s="173">
        <v>595.0</v>
      </c>
      <c r="B603" s="237" t="s">
        <v>670</v>
      </c>
      <c r="C603" s="257" t="s">
        <v>3378</v>
      </c>
      <c r="D603" s="173" t="s">
        <v>3378</v>
      </c>
      <c r="E603" s="174" t="s">
        <v>2861</v>
      </c>
      <c r="F603" s="173" t="s">
        <v>2862</v>
      </c>
      <c r="G603" s="328" t="s">
        <v>673</v>
      </c>
      <c r="H603" s="328" t="s">
        <v>2863</v>
      </c>
      <c r="I603" s="258" t="s">
        <v>2864</v>
      </c>
      <c r="J603" s="259" t="s">
        <v>846</v>
      </c>
      <c r="K603" s="260" t="s">
        <v>3379</v>
      </c>
      <c r="L603" s="328"/>
      <c r="M603" s="343"/>
      <c r="N603" s="173" t="s">
        <v>679</v>
      </c>
      <c r="O603" s="173" t="s">
        <v>225</v>
      </c>
      <c r="P603" s="262" t="str">
        <f t="shared" si="1"/>
        <v>IN-BLR-ANANTA-VAV-175_1</v>
      </c>
      <c r="Q603" s="173" t="s">
        <v>3380</v>
      </c>
      <c r="R603" s="328" t="str">
        <f>IFS(C603="","",C603="n/a","N/A",LEN(C603),Concatenate("{",char(34),"asset",char(34),":{",char(34),"guid",char(34),":",char(34),Q603,char(34),",",char(34),"site",char(34),":",char(34),LOWER('2-Building'!$B$4),char(34),",",char(34),"name",char(34),":",char(34),LOWER(C603),char(34),"}}"))</f>
        <v>{"asset":{"guid":"uuid://e7e58f3c-da83-4690-9339-7826df2e5e1a","site":"in-blr-ananta","name":"vav-175"}}</v>
      </c>
      <c r="S603" s="237" t="s">
        <v>2866</v>
      </c>
      <c r="T603" s="330"/>
      <c r="U603" s="330"/>
      <c r="V603" s="331"/>
      <c r="W603" s="344"/>
      <c r="X603" s="341"/>
      <c r="Y603" s="33" t="s">
        <v>2867</v>
      </c>
      <c r="Z603" s="258">
        <v>120175.0</v>
      </c>
      <c r="AA603" s="334">
        <v>11612.0</v>
      </c>
      <c r="AB603" s="341"/>
      <c r="AC603" s="341"/>
      <c r="AD603" s="343"/>
      <c r="AE603" s="331"/>
      <c r="AF603" s="348"/>
      <c r="AG603" s="337"/>
      <c r="AH603" s="341"/>
      <c r="AI603" s="341"/>
      <c r="AJ603" s="341"/>
      <c r="AK603" s="341"/>
      <c r="AL603" s="341"/>
      <c r="AM603" s="338"/>
      <c r="AN603" s="341"/>
      <c r="AO603" s="341"/>
      <c r="AP603" s="341"/>
      <c r="AQ603" s="341"/>
      <c r="AR603" s="341"/>
      <c r="AS603" s="341"/>
      <c r="AT603" s="341"/>
      <c r="AU603" s="343"/>
      <c r="AV603" s="341"/>
      <c r="AW603" s="269" t="s">
        <v>1982</v>
      </c>
      <c r="AX603" s="334" t="s">
        <v>2869</v>
      </c>
      <c r="AY603" s="270" t="s">
        <v>695</v>
      </c>
      <c r="AZ603" s="270" t="s">
        <v>2866</v>
      </c>
      <c r="BA603" s="265">
        <v>10.0</v>
      </c>
      <c r="BB603" s="174" t="s">
        <v>245</v>
      </c>
      <c r="BC603" s="341"/>
      <c r="BD603" s="308"/>
      <c r="BE603" s="347"/>
      <c r="BF603" s="274" t="str">
        <f>IFERROR(__xludf.DUMMYFUNCTION("LOWER(Regexreplace(to_text(E603),""[^A-Za-z0-9]"","""")&amp;""_""&amp;Regexreplace(to_text(F603),""[^A-Za-z0-9]"",""""))"),"neptronic_evcbseries")</f>
        <v>neptronic_evcbseries</v>
      </c>
      <c r="BG603" s="275" t="str">
        <f>IFERROR(__xludf.DUMMYFUNCTION("upper(Regexreplace(to_text(E603),""[^A-Za-z0-9]"","""")&amp;""-""&amp;Regexreplace(to_text(F603),""[^A-Za-z0-9]"",""""))"),"NEPTRONIC-EVCBSERIES")</f>
        <v>NEPTRONIC-EVCBSERIES</v>
      </c>
    </row>
    <row r="604" ht="30.0" customHeight="1">
      <c r="A604" s="258">
        <v>596.0</v>
      </c>
      <c r="B604" s="237" t="s">
        <v>670</v>
      </c>
      <c r="C604" s="257" t="s">
        <v>3381</v>
      </c>
      <c r="D604" s="173" t="s">
        <v>3381</v>
      </c>
      <c r="E604" s="174" t="s">
        <v>2861</v>
      </c>
      <c r="F604" s="173" t="s">
        <v>2862</v>
      </c>
      <c r="G604" s="328" t="s">
        <v>673</v>
      </c>
      <c r="H604" s="328" t="s">
        <v>2863</v>
      </c>
      <c r="I604" s="258" t="s">
        <v>2864</v>
      </c>
      <c r="J604" s="259" t="s">
        <v>846</v>
      </c>
      <c r="K604" s="260" t="s">
        <v>3382</v>
      </c>
      <c r="L604" s="328"/>
      <c r="M604" s="343"/>
      <c r="N604" s="173" t="s">
        <v>679</v>
      </c>
      <c r="O604" s="173" t="s">
        <v>225</v>
      </c>
      <c r="P604" s="262" t="str">
        <f t="shared" si="1"/>
        <v>IN-BLR-ANANTA-VAV-176_1</v>
      </c>
      <c r="Q604" s="173" t="s">
        <v>3383</v>
      </c>
      <c r="R604" s="328" t="str">
        <f>IFS(C604="","",C604="n/a","N/A",LEN(C604),Concatenate("{",char(34),"asset",char(34),":{",char(34),"guid",char(34),":",char(34),Q604,char(34),",",char(34),"site",char(34),":",char(34),LOWER('2-Building'!$B$4),char(34),",",char(34),"name",char(34),":",char(34),LOWER(C604),char(34),"}}"))</f>
        <v>{"asset":{"guid":"uuid://31d1dd72-b9b8-46ac-ac40-1431de72e002","site":"in-blr-ananta","name":"vav-176"}}</v>
      </c>
      <c r="S604" s="237" t="s">
        <v>2866</v>
      </c>
      <c r="T604" s="330"/>
      <c r="U604" s="330"/>
      <c r="V604" s="331"/>
      <c r="W604" s="344"/>
      <c r="X604" s="341"/>
      <c r="Y604" s="33" t="s">
        <v>2867</v>
      </c>
      <c r="Z604" s="258">
        <v>120176.0</v>
      </c>
      <c r="AA604" s="334">
        <v>11612.0</v>
      </c>
      <c r="AB604" s="341"/>
      <c r="AC604" s="341"/>
      <c r="AD604" s="343"/>
      <c r="AE604" s="331"/>
      <c r="AF604" s="348"/>
      <c r="AG604" s="337"/>
      <c r="AH604" s="341"/>
      <c r="AI604" s="341"/>
      <c r="AJ604" s="341"/>
      <c r="AK604" s="341"/>
      <c r="AL604" s="341"/>
      <c r="AM604" s="338"/>
      <c r="AN604" s="341"/>
      <c r="AO604" s="341"/>
      <c r="AP604" s="341"/>
      <c r="AQ604" s="341"/>
      <c r="AR604" s="341"/>
      <c r="AS604" s="341"/>
      <c r="AT604" s="341"/>
      <c r="AU604" s="343"/>
      <c r="AV604" s="341"/>
      <c r="AW604" s="269" t="s">
        <v>1982</v>
      </c>
      <c r="AX604" s="334" t="s">
        <v>2869</v>
      </c>
      <c r="AY604" s="270" t="s">
        <v>695</v>
      </c>
      <c r="AZ604" s="270" t="s">
        <v>2866</v>
      </c>
      <c r="BA604" s="265">
        <v>10.0</v>
      </c>
      <c r="BB604" s="174" t="s">
        <v>245</v>
      </c>
      <c r="BC604" s="341"/>
      <c r="BD604" s="308"/>
      <c r="BE604" s="347"/>
      <c r="BF604" s="274" t="str">
        <f>IFERROR(__xludf.DUMMYFUNCTION("LOWER(Regexreplace(to_text(E604),""[^A-Za-z0-9]"","""")&amp;""_""&amp;Regexreplace(to_text(F604),""[^A-Za-z0-9]"",""""))"),"neptronic_evcbseries")</f>
        <v>neptronic_evcbseries</v>
      </c>
      <c r="BG604" s="275" t="str">
        <f>IFERROR(__xludf.DUMMYFUNCTION("upper(Regexreplace(to_text(E604),""[^A-Za-z0-9]"","""")&amp;""-""&amp;Regexreplace(to_text(F604),""[^A-Za-z0-9]"",""""))"),"NEPTRONIC-EVCBSERIES")</f>
        <v>NEPTRONIC-EVCBSERIES</v>
      </c>
    </row>
    <row r="605" ht="30.0" customHeight="1">
      <c r="A605" s="173">
        <v>597.0</v>
      </c>
      <c r="B605" s="237" t="s">
        <v>670</v>
      </c>
      <c r="C605" s="257" t="s">
        <v>3384</v>
      </c>
      <c r="D605" s="173" t="s">
        <v>3384</v>
      </c>
      <c r="E605" s="174" t="s">
        <v>2861</v>
      </c>
      <c r="F605" s="173" t="s">
        <v>2862</v>
      </c>
      <c r="G605" s="328" t="s">
        <v>673</v>
      </c>
      <c r="H605" s="328" t="s">
        <v>2863</v>
      </c>
      <c r="I605" s="258" t="s">
        <v>2864</v>
      </c>
      <c r="J605" s="259" t="s">
        <v>846</v>
      </c>
      <c r="K605" s="260" t="s">
        <v>3385</v>
      </c>
      <c r="L605" s="328"/>
      <c r="M605" s="343"/>
      <c r="N605" s="173" t="s">
        <v>679</v>
      </c>
      <c r="O605" s="173" t="s">
        <v>225</v>
      </c>
      <c r="P605" s="262" t="str">
        <f t="shared" si="1"/>
        <v>IN-BLR-ANANTA-VAV-177_1</v>
      </c>
      <c r="Q605" s="173" t="s">
        <v>3386</v>
      </c>
      <c r="R605" s="328" t="str">
        <f>IFS(C605="","",C605="n/a","N/A",LEN(C605),Concatenate("{",char(34),"asset",char(34),":{",char(34),"guid",char(34),":",char(34),Q605,char(34),",",char(34),"site",char(34),":",char(34),LOWER('2-Building'!$B$4),char(34),",",char(34),"name",char(34),":",char(34),LOWER(C605),char(34),"}}"))</f>
        <v>{"asset":{"guid":"uuid://420daf78-3150-449f-8a40-014f814fbf13","site":"in-blr-ananta","name":"vav-177"}}</v>
      </c>
      <c r="S605" s="237" t="s">
        <v>2866</v>
      </c>
      <c r="T605" s="330"/>
      <c r="U605" s="330"/>
      <c r="V605" s="331"/>
      <c r="W605" s="344"/>
      <c r="X605" s="341"/>
      <c r="Y605" s="33" t="s">
        <v>2867</v>
      </c>
      <c r="Z605" s="258">
        <v>120177.0</v>
      </c>
      <c r="AA605" s="334">
        <v>11612.0</v>
      </c>
      <c r="AB605" s="341"/>
      <c r="AC605" s="341"/>
      <c r="AD605" s="343"/>
      <c r="AE605" s="331"/>
      <c r="AF605" s="348"/>
      <c r="AG605" s="337"/>
      <c r="AH605" s="341"/>
      <c r="AI605" s="341"/>
      <c r="AJ605" s="341"/>
      <c r="AK605" s="341"/>
      <c r="AL605" s="341"/>
      <c r="AM605" s="338"/>
      <c r="AN605" s="341"/>
      <c r="AO605" s="341"/>
      <c r="AP605" s="341"/>
      <c r="AQ605" s="341"/>
      <c r="AR605" s="341"/>
      <c r="AS605" s="341"/>
      <c r="AT605" s="341"/>
      <c r="AU605" s="343"/>
      <c r="AV605" s="341"/>
      <c r="AW605" s="269" t="s">
        <v>1982</v>
      </c>
      <c r="AX605" s="334" t="s">
        <v>2869</v>
      </c>
      <c r="AY605" s="270" t="s">
        <v>695</v>
      </c>
      <c r="AZ605" s="270" t="s">
        <v>2866</v>
      </c>
      <c r="BA605" s="265">
        <v>10.0</v>
      </c>
      <c r="BB605" s="174" t="s">
        <v>245</v>
      </c>
      <c r="BC605" s="341"/>
      <c r="BD605" s="308"/>
      <c r="BE605" s="347"/>
      <c r="BF605" s="274" t="str">
        <f>IFERROR(__xludf.DUMMYFUNCTION("LOWER(Regexreplace(to_text(E605),""[^A-Za-z0-9]"","""")&amp;""_""&amp;Regexreplace(to_text(F605),""[^A-Za-z0-9]"",""""))"),"neptronic_evcbseries")</f>
        <v>neptronic_evcbseries</v>
      </c>
      <c r="BG605" s="275" t="str">
        <f>IFERROR(__xludf.DUMMYFUNCTION("upper(Regexreplace(to_text(E605),""[^A-Za-z0-9]"","""")&amp;""-""&amp;Regexreplace(to_text(F605),""[^A-Za-z0-9]"",""""))"),"NEPTRONIC-EVCBSERIES")</f>
        <v>NEPTRONIC-EVCBSERIES</v>
      </c>
    </row>
    <row r="606" ht="30.0" customHeight="1">
      <c r="A606" s="258">
        <v>598.0</v>
      </c>
      <c r="B606" s="237" t="s">
        <v>670</v>
      </c>
      <c r="C606" s="257" t="s">
        <v>3387</v>
      </c>
      <c r="D606" s="173" t="s">
        <v>3387</v>
      </c>
      <c r="E606" s="174" t="s">
        <v>2861</v>
      </c>
      <c r="F606" s="173" t="s">
        <v>2862</v>
      </c>
      <c r="G606" s="328" t="s">
        <v>673</v>
      </c>
      <c r="H606" s="328" t="s">
        <v>2863</v>
      </c>
      <c r="I606" s="258" t="s">
        <v>2864</v>
      </c>
      <c r="J606" s="259" t="s">
        <v>846</v>
      </c>
      <c r="K606" s="260" t="s">
        <v>3388</v>
      </c>
      <c r="L606" s="328"/>
      <c r="M606" s="343"/>
      <c r="N606" s="173" t="s">
        <v>679</v>
      </c>
      <c r="O606" s="173" t="s">
        <v>225</v>
      </c>
      <c r="P606" s="262" t="str">
        <f t="shared" si="1"/>
        <v>IN-BLR-ANANTA-VAV-178_1</v>
      </c>
      <c r="Q606" s="173" t="s">
        <v>3389</v>
      </c>
      <c r="R606" s="328" t="str">
        <f>IFS(C606="","",C606="n/a","N/A",LEN(C606),Concatenate("{",char(34),"asset",char(34),":{",char(34),"guid",char(34),":",char(34),Q606,char(34),",",char(34),"site",char(34),":",char(34),LOWER('2-Building'!$B$4),char(34),",",char(34),"name",char(34),":",char(34),LOWER(C606),char(34),"}}"))</f>
        <v>{"asset":{"guid":"uuid://80f14865-dc60-404b-aab3-f8dba853feeb","site":"in-blr-ananta","name":"vav-178"}}</v>
      </c>
      <c r="S606" s="237" t="s">
        <v>2866</v>
      </c>
      <c r="T606" s="330"/>
      <c r="U606" s="330"/>
      <c r="V606" s="331"/>
      <c r="W606" s="344"/>
      <c r="X606" s="341"/>
      <c r="Y606" s="33" t="s">
        <v>2867</v>
      </c>
      <c r="Z606" s="258">
        <v>120178.0</v>
      </c>
      <c r="AA606" s="334">
        <v>11612.0</v>
      </c>
      <c r="AB606" s="341"/>
      <c r="AC606" s="341"/>
      <c r="AD606" s="343"/>
      <c r="AE606" s="331"/>
      <c r="AF606" s="348"/>
      <c r="AG606" s="337"/>
      <c r="AH606" s="341"/>
      <c r="AI606" s="341"/>
      <c r="AJ606" s="341"/>
      <c r="AK606" s="341"/>
      <c r="AL606" s="341"/>
      <c r="AM606" s="338"/>
      <c r="AN606" s="341"/>
      <c r="AO606" s="341"/>
      <c r="AP606" s="341"/>
      <c r="AQ606" s="341"/>
      <c r="AR606" s="341"/>
      <c r="AS606" s="341"/>
      <c r="AT606" s="341"/>
      <c r="AU606" s="343"/>
      <c r="AV606" s="341"/>
      <c r="AW606" s="269" t="s">
        <v>1982</v>
      </c>
      <c r="AX606" s="334" t="s">
        <v>2869</v>
      </c>
      <c r="AY606" s="270" t="s">
        <v>695</v>
      </c>
      <c r="AZ606" s="270" t="s">
        <v>2866</v>
      </c>
      <c r="BA606" s="265">
        <v>10.0</v>
      </c>
      <c r="BB606" s="174" t="s">
        <v>245</v>
      </c>
      <c r="BC606" s="341"/>
      <c r="BD606" s="308"/>
      <c r="BE606" s="347"/>
      <c r="BF606" s="274" t="str">
        <f>IFERROR(__xludf.DUMMYFUNCTION("LOWER(Regexreplace(to_text(E606),""[^A-Za-z0-9]"","""")&amp;""_""&amp;Regexreplace(to_text(F606),""[^A-Za-z0-9]"",""""))"),"neptronic_evcbseries")</f>
        <v>neptronic_evcbseries</v>
      </c>
      <c r="BG606" s="275" t="str">
        <f>IFERROR(__xludf.DUMMYFUNCTION("upper(Regexreplace(to_text(E606),""[^A-Za-z0-9]"","""")&amp;""-""&amp;Regexreplace(to_text(F606),""[^A-Za-z0-9]"",""""))"),"NEPTRONIC-EVCBSERIES")</f>
        <v>NEPTRONIC-EVCBSERIES</v>
      </c>
    </row>
    <row r="607" ht="30.0" customHeight="1">
      <c r="A607" s="173">
        <v>599.0</v>
      </c>
      <c r="B607" s="237" t="s">
        <v>670</v>
      </c>
      <c r="C607" s="257" t="s">
        <v>3390</v>
      </c>
      <c r="D607" s="173" t="s">
        <v>3390</v>
      </c>
      <c r="E607" s="174" t="s">
        <v>2861</v>
      </c>
      <c r="F607" s="173" t="s">
        <v>2862</v>
      </c>
      <c r="G607" s="328" t="s">
        <v>673</v>
      </c>
      <c r="H607" s="328" t="s">
        <v>2863</v>
      </c>
      <c r="I607" s="258" t="s">
        <v>2864</v>
      </c>
      <c r="J607" s="259" t="s">
        <v>846</v>
      </c>
      <c r="K607" s="260" t="s">
        <v>3391</v>
      </c>
      <c r="L607" s="328"/>
      <c r="M607" s="343"/>
      <c r="N607" s="173" t="s">
        <v>679</v>
      </c>
      <c r="O607" s="173" t="s">
        <v>225</v>
      </c>
      <c r="P607" s="262" t="str">
        <f t="shared" si="1"/>
        <v>IN-BLR-ANANTA-VAV-179_1</v>
      </c>
      <c r="Q607" s="173" t="s">
        <v>3392</v>
      </c>
      <c r="R607" s="328" t="str">
        <f>IFS(C607="","",C607="n/a","N/A",LEN(C607),Concatenate("{",char(34),"asset",char(34),":{",char(34),"guid",char(34),":",char(34),Q607,char(34),",",char(34),"site",char(34),":",char(34),LOWER('2-Building'!$B$4),char(34),",",char(34),"name",char(34),":",char(34),LOWER(C607),char(34),"}}"))</f>
        <v>{"asset":{"guid":"uuid://97ecf8a4-f288-4a1f-930f-582abc59cb8b","site":"in-blr-ananta","name":"vav-179"}}</v>
      </c>
      <c r="S607" s="237" t="s">
        <v>2866</v>
      </c>
      <c r="T607" s="330"/>
      <c r="U607" s="330"/>
      <c r="V607" s="331"/>
      <c r="W607" s="344"/>
      <c r="X607" s="341"/>
      <c r="Y607" s="33" t="s">
        <v>2867</v>
      </c>
      <c r="Z607" s="258">
        <v>120179.0</v>
      </c>
      <c r="AA607" s="334">
        <v>11612.0</v>
      </c>
      <c r="AB607" s="341"/>
      <c r="AC607" s="341"/>
      <c r="AD607" s="343"/>
      <c r="AE607" s="331"/>
      <c r="AF607" s="348"/>
      <c r="AG607" s="337"/>
      <c r="AH607" s="341"/>
      <c r="AI607" s="341"/>
      <c r="AJ607" s="341"/>
      <c r="AK607" s="341"/>
      <c r="AL607" s="341"/>
      <c r="AM607" s="338"/>
      <c r="AN607" s="341"/>
      <c r="AO607" s="341"/>
      <c r="AP607" s="341"/>
      <c r="AQ607" s="341"/>
      <c r="AR607" s="341"/>
      <c r="AS607" s="341"/>
      <c r="AT607" s="341"/>
      <c r="AU607" s="343"/>
      <c r="AV607" s="341"/>
      <c r="AW607" s="269" t="s">
        <v>1982</v>
      </c>
      <c r="AX607" s="334" t="s">
        <v>2869</v>
      </c>
      <c r="AY607" s="270" t="s">
        <v>695</v>
      </c>
      <c r="AZ607" s="270" t="s">
        <v>2866</v>
      </c>
      <c r="BA607" s="265">
        <v>10.0</v>
      </c>
      <c r="BB607" s="174" t="s">
        <v>245</v>
      </c>
      <c r="BC607" s="341"/>
      <c r="BD607" s="308"/>
      <c r="BE607" s="347"/>
      <c r="BF607" s="274" t="str">
        <f>IFERROR(__xludf.DUMMYFUNCTION("LOWER(Regexreplace(to_text(E607),""[^A-Za-z0-9]"","""")&amp;""_""&amp;Regexreplace(to_text(F607),""[^A-Za-z0-9]"",""""))"),"neptronic_evcbseries")</f>
        <v>neptronic_evcbseries</v>
      </c>
      <c r="BG607" s="275" t="str">
        <f>IFERROR(__xludf.DUMMYFUNCTION("upper(Regexreplace(to_text(E607),""[^A-Za-z0-9]"","""")&amp;""-""&amp;Regexreplace(to_text(F607),""[^A-Za-z0-9]"",""""))"),"NEPTRONIC-EVCBSERIES")</f>
        <v>NEPTRONIC-EVCBSERIES</v>
      </c>
    </row>
    <row r="608" ht="30.0" customHeight="1">
      <c r="A608" s="258">
        <v>600.0</v>
      </c>
      <c r="B608" s="237" t="s">
        <v>670</v>
      </c>
      <c r="C608" s="257" t="s">
        <v>3393</v>
      </c>
      <c r="D608" s="173" t="s">
        <v>3393</v>
      </c>
      <c r="E608" s="174" t="s">
        <v>2861</v>
      </c>
      <c r="F608" s="173" t="s">
        <v>2862</v>
      </c>
      <c r="G608" s="328" t="s">
        <v>673</v>
      </c>
      <c r="H608" s="328" t="s">
        <v>2863</v>
      </c>
      <c r="I608" s="258" t="s">
        <v>2864</v>
      </c>
      <c r="J608" s="259" t="s">
        <v>846</v>
      </c>
      <c r="K608" s="260" t="s">
        <v>3394</v>
      </c>
      <c r="L608" s="328"/>
      <c r="M608" s="343"/>
      <c r="N608" s="173" t="s">
        <v>679</v>
      </c>
      <c r="O608" s="173" t="s">
        <v>225</v>
      </c>
      <c r="P608" s="262" t="str">
        <f t="shared" si="1"/>
        <v>IN-BLR-ANANTA-VAV-180_1</v>
      </c>
      <c r="Q608" s="173" t="s">
        <v>3395</v>
      </c>
      <c r="R608" s="328" t="str">
        <f>IFS(C608="","",C608="n/a","N/A",LEN(C608),Concatenate("{",char(34),"asset",char(34),":{",char(34),"guid",char(34),":",char(34),Q608,char(34),",",char(34),"site",char(34),":",char(34),LOWER('2-Building'!$B$4),char(34),",",char(34),"name",char(34),":",char(34),LOWER(C608),char(34),"}}"))</f>
        <v>{"asset":{"guid":"uuid://c5f8acc1-0fb9-4c02-b9c1-bf574eeb315f","site":"in-blr-ananta","name":"vav-180"}}</v>
      </c>
      <c r="S608" s="237" t="s">
        <v>2866</v>
      </c>
      <c r="T608" s="330"/>
      <c r="U608" s="330"/>
      <c r="V608" s="331"/>
      <c r="W608" s="344"/>
      <c r="X608" s="341"/>
      <c r="Y608" s="33" t="s">
        <v>2867</v>
      </c>
      <c r="Z608" s="258">
        <v>120180.0</v>
      </c>
      <c r="AA608" s="334">
        <v>11614.0</v>
      </c>
      <c r="AB608" s="341"/>
      <c r="AC608" s="341"/>
      <c r="AD608" s="343"/>
      <c r="AE608" s="331"/>
      <c r="AF608" s="348"/>
      <c r="AG608" s="337"/>
      <c r="AH608" s="341"/>
      <c r="AI608" s="341"/>
      <c r="AJ608" s="341"/>
      <c r="AK608" s="341"/>
      <c r="AL608" s="341"/>
      <c r="AM608" s="338"/>
      <c r="AN608" s="341"/>
      <c r="AO608" s="341"/>
      <c r="AP608" s="341"/>
      <c r="AQ608" s="341"/>
      <c r="AR608" s="341"/>
      <c r="AS608" s="341"/>
      <c r="AT608" s="341"/>
      <c r="AU608" s="343"/>
      <c r="AV608" s="341"/>
      <c r="AW608" s="269" t="s">
        <v>1982</v>
      </c>
      <c r="AX608" s="334" t="s">
        <v>2869</v>
      </c>
      <c r="AY608" s="270" t="s">
        <v>695</v>
      </c>
      <c r="AZ608" s="270" t="s">
        <v>2866</v>
      </c>
      <c r="BA608" s="265">
        <v>10.0</v>
      </c>
      <c r="BB608" s="174" t="s">
        <v>245</v>
      </c>
      <c r="BC608" s="341"/>
      <c r="BD608" s="308"/>
      <c r="BE608" s="347"/>
      <c r="BF608" s="274" t="str">
        <f>IFERROR(__xludf.DUMMYFUNCTION("LOWER(Regexreplace(to_text(E608),""[^A-Za-z0-9]"","""")&amp;""_""&amp;Regexreplace(to_text(F608),""[^A-Za-z0-9]"",""""))"),"neptronic_evcbseries")</f>
        <v>neptronic_evcbseries</v>
      </c>
      <c r="BG608" s="275" t="str">
        <f>IFERROR(__xludf.DUMMYFUNCTION("upper(Regexreplace(to_text(E608),""[^A-Za-z0-9]"","""")&amp;""-""&amp;Regexreplace(to_text(F608),""[^A-Za-z0-9]"",""""))"),"NEPTRONIC-EVCBSERIES")</f>
        <v>NEPTRONIC-EVCBSERIES</v>
      </c>
    </row>
    <row r="609" ht="30.0" customHeight="1">
      <c r="A609" s="173">
        <v>601.0</v>
      </c>
      <c r="B609" s="237" t="s">
        <v>670</v>
      </c>
      <c r="C609" s="257" t="s">
        <v>3396</v>
      </c>
      <c r="D609" s="173" t="s">
        <v>3396</v>
      </c>
      <c r="E609" s="174" t="s">
        <v>2861</v>
      </c>
      <c r="F609" s="173" t="s">
        <v>2862</v>
      </c>
      <c r="G609" s="328" t="s">
        <v>673</v>
      </c>
      <c r="H609" s="328" t="s">
        <v>2863</v>
      </c>
      <c r="I609" s="258" t="s">
        <v>2864</v>
      </c>
      <c r="J609" s="259" t="s">
        <v>846</v>
      </c>
      <c r="K609" s="260" t="s">
        <v>3397</v>
      </c>
      <c r="L609" s="328"/>
      <c r="M609" s="343"/>
      <c r="N609" s="173" t="s">
        <v>679</v>
      </c>
      <c r="O609" s="173" t="s">
        <v>225</v>
      </c>
      <c r="P609" s="262" t="str">
        <f t="shared" si="1"/>
        <v>IN-BLR-ANANTA-VAV-181_1</v>
      </c>
      <c r="Q609" s="173" t="s">
        <v>3398</v>
      </c>
      <c r="R609" s="328" t="str">
        <f>IFS(C609="","",C609="n/a","N/A",LEN(C609),Concatenate("{",char(34),"asset",char(34),":{",char(34),"guid",char(34),":",char(34),Q609,char(34),",",char(34),"site",char(34),":",char(34),LOWER('2-Building'!$B$4),char(34),",",char(34),"name",char(34),":",char(34),LOWER(C609),char(34),"}}"))</f>
        <v>{"asset":{"guid":"uuid://dd9f8188-d5dc-40a4-b6d7-fbba1248504d","site":"in-blr-ananta","name":"vav-181"}}</v>
      </c>
      <c r="S609" s="237" t="s">
        <v>2866</v>
      </c>
      <c r="T609" s="330"/>
      <c r="U609" s="330"/>
      <c r="V609" s="331"/>
      <c r="W609" s="344"/>
      <c r="X609" s="341"/>
      <c r="Y609" s="33" t="s">
        <v>2867</v>
      </c>
      <c r="Z609" s="258">
        <v>120181.0</v>
      </c>
      <c r="AA609" s="334">
        <v>11614.0</v>
      </c>
      <c r="AB609" s="341"/>
      <c r="AC609" s="341"/>
      <c r="AD609" s="343"/>
      <c r="AE609" s="331"/>
      <c r="AF609" s="348"/>
      <c r="AG609" s="337"/>
      <c r="AH609" s="341"/>
      <c r="AI609" s="341"/>
      <c r="AJ609" s="341"/>
      <c r="AK609" s="341"/>
      <c r="AL609" s="341"/>
      <c r="AM609" s="338"/>
      <c r="AN609" s="341"/>
      <c r="AO609" s="341"/>
      <c r="AP609" s="341"/>
      <c r="AQ609" s="341"/>
      <c r="AR609" s="341"/>
      <c r="AS609" s="341"/>
      <c r="AT609" s="341"/>
      <c r="AU609" s="343"/>
      <c r="AV609" s="341"/>
      <c r="AW609" s="269" t="s">
        <v>1982</v>
      </c>
      <c r="AX609" s="334" t="s">
        <v>2869</v>
      </c>
      <c r="AY609" s="270" t="s">
        <v>695</v>
      </c>
      <c r="AZ609" s="270" t="s">
        <v>2866</v>
      </c>
      <c r="BA609" s="265">
        <v>10.0</v>
      </c>
      <c r="BB609" s="174" t="s">
        <v>245</v>
      </c>
      <c r="BC609" s="341"/>
      <c r="BD609" s="308"/>
      <c r="BE609" s="347"/>
      <c r="BF609" s="274" t="str">
        <f>IFERROR(__xludf.DUMMYFUNCTION("LOWER(Regexreplace(to_text(E609),""[^A-Za-z0-9]"","""")&amp;""_""&amp;Regexreplace(to_text(F609),""[^A-Za-z0-9]"",""""))"),"neptronic_evcbseries")</f>
        <v>neptronic_evcbseries</v>
      </c>
      <c r="BG609" s="275" t="str">
        <f>IFERROR(__xludf.DUMMYFUNCTION("upper(Regexreplace(to_text(E609),""[^A-Za-z0-9]"","""")&amp;""-""&amp;Regexreplace(to_text(F609),""[^A-Za-z0-9]"",""""))"),"NEPTRONIC-EVCBSERIES")</f>
        <v>NEPTRONIC-EVCBSERIES</v>
      </c>
    </row>
    <row r="610" ht="30.0" customHeight="1">
      <c r="A610" s="258">
        <v>602.0</v>
      </c>
      <c r="B610" s="237" t="s">
        <v>670</v>
      </c>
      <c r="C610" s="257" t="s">
        <v>3399</v>
      </c>
      <c r="D610" s="173" t="s">
        <v>3399</v>
      </c>
      <c r="E610" s="174" t="s">
        <v>2861</v>
      </c>
      <c r="F610" s="173" t="s">
        <v>2862</v>
      </c>
      <c r="G610" s="328" t="s">
        <v>673</v>
      </c>
      <c r="H610" s="328" t="s">
        <v>2863</v>
      </c>
      <c r="I610" s="258" t="s">
        <v>2864</v>
      </c>
      <c r="J610" s="259" t="s">
        <v>846</v>
      </c>
      <c r="K610" s="260" t="s">
        <v>3400</v>
      </c>
      <c r="L610" s="328"/>
      <c r="M610" s="343"/>
      <c r="N610" s="173" t="s">
        <v>679</v>
      </c>
      <c r="O610" s="173" t="s">
        <v>225</v>
      </c>
      <c r="P610" s="262" t="str">
        <f t="shared" si="1"/>
        <v>IN-BLR-ANANTA-VAV-182_1</v>
      </c>
      <c r="Q610" s="173" t="s">
        <v>3401</v>
      </c>
      <c r="R610" s="328" t="str">
        <f>IFS(C610="","",C610="n/a","N/A",LEN(C610),Concatenate("{",char(34),"asset",char(34),":{",char(34),"guid",char(34),":",char(34),Q610,char(34),",",char(34),"site",char(34),":",char(34),LOWER('2-Building'!$B$4),char(34),",",char(34),"name",char(34),":",char(34),LOWER(C610),char(34),"}}"))</f>
        <v>{"asset":{"guid":"uuid://7836a5a7-e299-48e5-8dbd-267c604936df","site":"in-blr-ananta","name":"vav-182"}}</v>
      </c>
      <c r="S610" s="237" t="s">
        <v>2866</v>
      </c>
      <c r="T610" s="330"/>
      <c r="U610" s="330"/>
      <c r="V610" s="331"/>
      <c r="W610" s="344"/>
      <c r="X610" s="341"/>
      <c r="Y610" s="33" t="s">
        <v>2867</v>
      </c>
      <c r="Z610" s="258">
        <v>120182.0</v>
      </c>
      <c r="AA610" s="334">
        <v>11614.0</v>
      </c>
      <c r="AB610" s="341"/>
      <c r="AC610" s="341"/>
      <c r="AD610" s="343"/>
      <c r="AE610" s="331"/>
      <c r="AF610" s="348"/>
      <c r="AG610" s="337"/>
      <c r="AH610" s="341"/>
      <c r="AI610" s="341"/>
      <c r="AJ610" s="341"/>
      <c r="AK610" s="341"/>
      <c r="AL610" s="341"/>
      <c r="AM610" s="338"/>
      <c r="AN610" s="341"/>
      <c r="AO610" s="341"/>
      <c r="AP610" s="341"/>
      <c r="AQ610" s="341"/>
      <c r="AR610" s="341"/>
      <c r="AS610" s="341"/>
      <c r="AT610" s="341"/>
      <c r="AU610" s="343"/>
      <c r="AV610" s="341"/>
      <c r="AW610" s="269" t="s">
        <v>1982</v>
      </c>
      <c r="AX610" s="334" t="s">
        <v>2869</v>
      </c>
      <c r="AY610" s="270" t="s">
        <v>695</v>
      </c>
      <c r="AZ610" s="270" t="s">
        <v>2866</v>
      </c>
      <c r="BA610" s="265">
        <v>10.0</v>
      </c>
      <c r="BB610" s="174" t="s">
        <v>245</v>
      </c>
      <c r="BC610" s="341"/>
      <c r="BD610" s="308"/>
      <c r="BE610" s="347"/>
      <c r="BF610" s="274" t="str">
        <f>IFERROR(__xludf.DUMMYFUNCTION("LOWER(Regexreplace(to_text(E610),""[^A-Za-z0-9]"","""")&amp;""_""&amp;Regexreplace(to_text(F610),""[^A-Za-z0-9]"",""""))"),"neptronic_evcbseries")</f>
        <v>neptronic_evcbseries</v>
      </c>
      <c r="BG610" s="275" t="str">
        <f>IFERROR(__xludf.DUMMYFUNCTION("upper(Regexreplace(to_text(E610),""[^A-Za-z0-9]"","""")&amp;""-""&amp;Regexreplace(to_text(F610),""[^A-Za-z0-9]"",""""))"),"NEPTRONIC-EVCBSERIES")</f>
        <v>NEPTRONIC-EVCBSERIES</v>
      </c>
    </row>
    <row r="611" ht="30.0" customHeight="1">
      <c r="A611" s="173">
        <v>603.0</v>
      </c>
      <c r="B611" s="237" t="s">
        <v>670</v>
      </c>
      <c r="C611" s="257" t="s">
        <v>3402</v>
      </c>
      <c r="D611" s="173" t="s">
        <v>3402</v>
      </c>
      <c r="E611" s="174" t="s">
        <v>2861</v>
      </c>
      <c r="F611" s="173" t="s">
        <v>2862</v>
      </c>
      <c r="G611" s="328" t="s">
        <v>673</v>
      </c>
      <c r="H611" s="328" t="s">
        <v>2863</v>
      </c>
      <c r="I611" s="258" t="s">
        <v>2864</v>
      </c>
      <c r="J611" s="259" t="s">
        <v>846</v>
      </c>
      <c r="K611" s="260" t="s">
        <v>3403</v>
      </c>
      <c r="L611" s="328"/>
      <c r="M611" s="343"/>
      <c r="N611" s="173" t="s">
        <v>679</v>
      </c>
      <c r="O611" s="173" t="s">
        <v>225</v>
      </c>
      <c r="P611" s="262" t="str">
        <f t="shared" si="1"/>
        <v>IN-BLR-ANANTA-VAV-183_1</v>
      </c>
      <c r="Q611" s="173" t="s">
        <v>3404</v>
      </c>
      <c r="R611" s="328" t="str">
        <f>IFS(C611="","",C611="n/a","N/A",LEN(C611),Concatenate("{",char(34),"asset",char(34),":{",char(34),"guid",char(34),":",char(34),Q611,char(34),",",char(34),"site",char(34),":",char(34),LOWER('2-Building'!$B$4),char(34),",",char(34),"name",char(34),":",char(34),LOWER(C611),char(34),"}}"))</f>
        <v>{"asset":{"guid":"uuid://de75aa53-8ce1-4d8e-869a-7592b85c5534","site":"in-blr-ananta","name":"vav-183"}}</v>
      </c>
      <c r="S611" s="237" t="s">
        <v>2866</v>
      </c>
      <c r="T611" s="330"/>
      <c r="U611" s="330"/>
      <c r="V611" s="331"/>
      <c r="W611" s="344"/>
      <c r="X611" s="341"/>
      <c r="Y611" s="33" t="s">
        <v>2867</v>
      </c>
      <c r="Z611" s="258">
        <v>120183.0</v>
      </c>
      <c r="AA611" s="334">
        <v>11614.0</v>
      </c>
      <c r="AB611" s="341"/>
      <c r="AC611" s="341"/>
      <c r="AD611" s="343"/>
      <c r="AE611" s="331"/>
      <c r="AF611" s="348"/>
      <c r="AG611" s="337"/>
      <c r="AH611" s="341"/>
      <c r="AI611" s="341"/>
      <c r="AJ611" s="341"/>
      <c r="AK611" s="341"/>
      <c r="AL611" s="341"/>
      <c r="AM611" s="338"/>
      <c r="AN611" s="341"/>
      <c r="AO611" s="341"/>
      <c r="AP611" s="341"/>
      <c r="AQ611" s="341"/>
      <c r="AR611" s="341"/>
      <c r="AS611" s="341"/>
      <c r="AT611" s="341"/>
      <c r="AU611" s="343"/>
      <c r="AV611" s="341"/>
      <c r="AW611" s="269" t="s">
        <v>1982</v>
      </c>
      <c r="AX611" s="334" t="s">
        <v>2869</v>
      </c>
      <c r="AY611" s="270" t="s">
        <v>695</v>
      </c>
      <c r="AZ611" s="270" t="s">
        <v>2866</v>
      </c>
      <c r="BA611" s="265">
        <v>10.0</v>
      </c>
      <c r="BB611" s="174" t="s">
        <v>245</v>
      </c>
      <c r="BC611" s="341"/>
      <c r="BD611" s="308"/>
      <c r="BE611" s="347"/>
      <c r="BF611" s="274" t="str">
        <f>IFERROR(__xludf.DUMMYFUNCTION("LOWER(Regexreplace(to_text(E611),""[^A-Za-z0-9]"","""")&amp;""_""&amp;Regexreplace(to_text(F611),""[^A-Za-z0-9]"",""""))"),"neptronic_evcbseries")</f>
        <v>neptronic_evcbseries</v>
      </c>
      <c r="BG611" s="275" t="str">
        <f>IFERROR(__xludf.DUMMYFUNCTION("upper(Regexreplace(to_text(E611),""[^A-Za-z0-9]"","""")&amp;""-""&amp;Regexreplace(to_text(F611),""[^A-Za-z0-9]"",""""))"),"NEPTRONIC-EVCBSERIES")</f>
        <v>NEPTRONIC-EVCBSERIES</v>
      </c>
    </row>
    <row r="612" ht="30.0" customHeight="1">
      <c r="A612" s="258">
        <v>604.0</v>
      </c>
      <c r="B612" s="237" t="s">
        <v>670</v>
      </c>
      <c r="C612" s="257" t="s">
        <v>3405</v>
      </c>
      <c r="D612" s="173" t="s">
        <v>3405</v>
      </c>
      <c r="E612" s="174" t="s">
        <v>2861</v>
      </c>
      <c r="F612" s="173" t="s">
        <v>2862</v>
      </c>
      <c r="G612" s="328" t="s">
        <v>673</v>
      </c>
      <c r="H612" s="328" t="s">
        <v>2863</v>
      </c>
      <c r="I612" s="258" t="s">
        <v>2864</v>
      </c>
      <c r="J612" s="259" t="s">
        <v>846</v>
      </c>
      <c r="K612" s="260" t="s">
        <v>3406</v>
      </c>
      <c r="L612" s="328"/>
      <c r="M612" s="343"/>
      <c r="N612" s="173" t="s">
        <v>679</v>
      </c>
      <c r="O612" s="173" t="s">
        <v>225</v>
      </c>
      <c r="P612" s="262" t="str">
        <f t="shared" si="1"/>
        <v>IN-BLR-ANANTA-VAV-184_1</v>
      </c>
      <c r="Q612" s="173" t="s">
        <v>3407</v>
      </c>
      <c r="R612" s="328" t="str">
        <f>IFS(C612="","",C612="n/a","N/A",LEN(C612),Concatenate("{",char(34),"asset",char(34),":{",char(34),"guid",char(34),":",char(34),Q612,char(34),",",char(34),"site",char(34),":",char(34),LOWER('2-Building'!$B$4),char(34),",",char(34),"name",char(34),":",char(34),LOWER(C612),char(34),"}}"))</f>
        <v>{"asset":{"guid":"uuid://eb7f0d4c-df65-414a-a7a3-66fd4c13d894","site":"in-blr-ananta","name":"vav-184"}}</v>
      </c>
      <c r="S612" s="237" t="s">
        <v>2866</v>
      </c>
      <c r="T612" s="330"/>
      <c r="U612" s="330"/>
      <c r="V612" s="331"/>
      <c r="W612" s="344"/>
      <c r="X612" s="341"/>
      <c r="Y612" s="33" t="s">
        <v>2867</v>
      </c>
      <c r="Z612" s="258">
        <v>120184.0</v>
      </c>
      <c r="AA612" s="334">
        <v>11614.0</v>
      </c>
      <c r="AB612" s="341"/>
      <c r="AC612" s="341"/>
      <c r="AD612" s="343"/>
      <c r="AE612" s="331"/>
      <c r="AF612" s="348"/>
      <c r="AG612" s="337"/>
      <c r="AH612" s="341"/>
      <c r="AI612" s="341"/>
      <c r="AJ612" s="341"/>
      <c r="AK612" s="341"/>
      <c r="AL612" s="341"/>
      <c r="AM612" s="338"/>
      <c r="AN612" s="341"/>
      <c r="AO612" s="341"/>
      <c r="AP612" s="341"/>
      <c r="AQ612" s="341"/>
      <c r="AR612" s="341"/>
      <c r="AS612" s="341"/>
      <c r="AT612" s="341"/>
      <c r="AU612" s="343"/>
      <c r="AV612" s="341"/>
      <c r="AW612" s="269" t="s">
        <v>1982</v>
      </c>
      <c r="AX612" s="334" t="s">
        <v>2869</v>
      </c>
      <c r="AY612" s="270" t="s">
        <v>695</v>
      </c>
      <c r="AZ612" s="270" t="s">
        <v>2866</v>
      </c>
      <c r="BA612" s="265">
        <v>10.0</v>
      </c>
      <c r="BB612" s="174" t="s">
        <v>245</v>
      </c>
      <c r="BC612" s="341"/>
      <c r="BD612" s="308"/>
      <c r="BE612" s="347"/>
      <c r="BF612" s="274" t="str">
        <f>IFERROR(__xludf.DUMMYFUNCTION("LOWER(Regexreplace(to_text(E612),""[^A-Za-z0-9]"","""")&amp;""_""&amp;Regexreplace(to_text(F612),""[^A-Za-z0-9]"",""""))"),"neptronic_evcbseries")</f>
        <v>neptronic_evcbseries</v>
      </c>
      <c r="BG612" s="275" t="str">
        <f>IFERROR(__xludf.DUMMYFUNCTION("upper(Regexreplace(to_text(E612),""[^A-Za-z0-9]"","""")&amp;""-""&amp;Regexreplace(to_text(F612),""[^A-Za-z0-9]"",""""))"),"NEPTRONIC-EVCBSERIES")</f>
        <v>NEPTRONIC-EVCBSERIES</v>
      </c>
    </row>
    <row r="613" ht="30.0" customHeight="1">
      <c r="A613" s="173">
        <v>605.0</v>
      </c>
      <c r="B613" s="237" t="s">
        <v>670</v>
      </c>
      <c r="C613" s="257" t="s">
        <v>3408</v>
      </c>
      <c r="D613" s="173" t="s">
        <v>3408</v>
      </c>
      <c r="E613" s="174" t="s">
        <v>2861</v>
      </c>
      <c r="F613" s="173" t="s">
        <v>2862</v>
      </c>
      <c r="G613" s="328" t="s">
        <v>673</v>
      </c>
      <c r="H613" s="328" t="s">
        <v>2863</v>
      </c>
      <c r="I613" s="258" t="s">
        <v>2864</v>
      </c>
      <c r="J613" s="259" t="s">
        <v>846</v>
      </c>
      <c r="K613" s="260" t="s">
        <v>3409</v>
      </c>
      <c r="L613" s="328"/>
      <c r="M613" s="343"/>
      <c r="N613" s="173" t="s">
        <v>679</v>
      </c>
      <c r="O613" s="173" t="s">
        <v>225</v>
      </c>
      <c r="P613" s="262" t="str">
        <f t="shared" si="1"/>
        <v>IN-BLR-ANANTA-VAV-185_1</v>
      </c>
      <c r="Q613" s="173" t="s">
        <v>3410</v>
      </c>
      <c r="R613" s="328" t="str">
        <f>IFS(C613="","",C613="n/a","N/A",LEN(C613),Concatenate("{",char(34),"asset",char(34),":{",char(34),"guid",char(34),":",char(34),Q613,char(34),",",char(34),"site",char(34),":",char(34),LOWER('2-Building'!$B$4),char(34),",",char(34),"name",char(34),":",char(34),LOWER(C613),char(34),"}}"))</f>
        <v>{"asset":{"guid":"uuid://13f5ceb0-0060-4904-b60b-e9de4460aba6","site":"in-blr-ananta","name":"vav-185"}}</v>
      </c>
      <c r="S613" s="237" t="s">
        <v>2866</v>
      </c>
      <c r="T613" s="330"/>
      <c r="U613" s="330"/>
      <c r="V613" s="331"/>
      <c r="W613" s="344"/>
      <c r="X613" s="341"/>
      <c r="Y613" s="33" t="s">
        <v>2867</v>
      </c>
      <c r="Z613" s="258">
        <v>120185.0</v>
      </c>
      <c r="AA613" s="334">
        <v>11614.0</v>
      </c>
      <c r="AB613" s="341"/>
      <c r="AC613" s="341"/>
      <c r="AD613" s="343"/>
      <c r="AE613" s="331"/>
      <c r="AF613" s="348"/>
      <c r="AG613" s="337"/>
      <c r="AH613" s="341"/>
      <c r="AI613" s="341"/>
      <c r="AJ613" s="341"/>
      <c r="AK613" s="341"/>
      <c r="AL613" s="341"/>
      <c r="AM613" s="338"/>
      <c r="AN613" s="341"/>
      <c r="AO613" s="341"/>
      <c r="AP613" s="341"/>
      <c r="AQ613" s="341"/>
      <c r="AR613" s="341"/>
      <c r="AS613" s="341"/>
      <c r="AT613" s="341"/>
      <c r="AU613" s="343"/>
      <c r="AV613" s="341"/>
      <c r="AW613" s="269" t="s">
        <v>1982</v>
      </c>
      <c r="AX613" s="334" t="s">
        <v>2869</v>
      </c>
      <c r="AY613" s="270" t="s">
        <v>695</v>
      </c>
      <c r="AZ613" s="270" t="s">
        <v>2866</v>
      </c>
      <c r="BA613" s="265">
        <v>10.0</v>
      </c>
      <c r="BB613" s="174" t="s">
        <v>245</v>
      </c>
      <c r="BC613" s="341"/>
      <c r="BD613" s="308"/>
      <c r="BE613" s="347"/>
      <c r="BF613" s="274" t="str">
        <f>IFERROR(__xludf.DUMMYFUNCTION("LOWER(Regexreplace(to_text(E613),""[^A-Za-z0-9]"","""")&amp;""_""&amp;Regexreplace(to_text(F613),""[^A-Za-z0-9]"",""""))"),"neptronic_evcbseries")</f>
        <v>neptronic_evcbseries</v>
      </c>
      <c r="BG613" s="275" t="str">
        <f>IFERROR(__xludf.DUMMYFUNCTION("upper(Regexreplace(to_text(E613),""[^A-Za-z0-9]"","""")&amp;""-""&amp;Regexreplace(to_text(F613),""[^A-Za-z0-9]"",""""))"),"NEPTRONIC-EVCBSERIES")</f>
        <v>NEPTRONIC-EVCBSERIES</v>
      </c>
    </row>
    <row r="614" ht="30.0" customHeight="1">
      <c r="A614" s="258">
        <v>606.0</v>
      </c>
      <c r="B614" s="237" t="s">
        <v>670</v>
      </c>
      <c r="C614" s="257" t="s">
        <v>3411</v>
      </c>
      <c r="D614" s="173" t="s">
        <v>3411</v>
      </c>
      <c r="E614" s="174" t="s">
        <v>2861</v>
      </c>
      <c r="F614" s="173" t="s">
        <v>2862</v>
      </c>
      <c r="G614" s="328" t="s">
        <v>673</v>
      </c>
      <c r="H614" s="328" t="s">
        <v>2863</v>
      </c>
      <c r="I614" s="258" t="s">
        <v>2864</v>
      </c>
      <c r="J614" s="259" t="s">
        <v>846</v>
      </c>
      <c r="K614" s="260" t="s">
        <v>3412</v>
      </c>
      <c r="L614" s="328"/>
      <c r="M614" s="343"/>
      <c r="N614" s="173" t="s">
        <v>679</v>
      </c>
      <c r="O614" s="173" t="s">
        <v>225</v>
      </c>
      <c r="P614" s="262" t="str">
        <f t="shared" si="1"/>
        <v>IN-BLR-ANANTA-VAV-186_1</v>
      </c>
      <c r="Q614" s="173" t="s">
        <v>3413</v>
      </c>
      <c r="R614" s="328" t="str">
        <f>IFS(C614="","",C614="n/a","N/A",LEN(C614),Concatenate("{",char(34),"asset",char(34),":{",char(34),"guid",char(34),":",char(34),Q614,char(34),",",char(34),"site",char(34),":",char(34),LOWER('2-Building'!$B$4),char(34),",",char(34),"name",char(34),":",char(34),LOWER(C614),char(34),"}}"))</f>
        <v>{"asset":{"guid":"uuid://2d5fb0d4-205d-4648-bb4d-8c09ef93e143","site":"in-blr-ananta","name":"vav-186"}}</v>
      </c>
      <c r="S614" s="237" t="s">
        <v>2866</v>
      </c>
      <c r="T614" s="330"/>
      <c r="U614" s="330"/>
      <c r="V614" s="331"/>
      <c r="W614" s="344"/>
      <c r="X614" s="341"/>
      <c r="Y614" s="33" t="s">
        <v>2867</v>
      </c>
      <c r="Z614" s="258">
        <v>120186.0</v>
      </c>
      <c r="AA614" s="334">
        <v>11614.0</v>
      </c>
      <c r="AB614" s="341"/>
      <c r="AC614" s="341"/>
      <c r="AD614" s="343"/>
      <c r="AE614" s="331"/>
      <c r="AF614" s="348"/>
      <c r="AG614" s="337"/>
      <c r="AH614" s="341"/>
      <c r="AI614" s="341"/>
      <c r="AJ614" s="341"/>
      <c r="AK614" s="341"/>
      <c r="AL614" s="341"/>
      <c r="AM614" s="338"/>
      <c r="AN614" s="341"/>
      <c r="AO614" s="341"/>
      <c r="AP614" s="341"/>
      <c r="AQ614" s="341"/>
      <c r="AR614" s="341"/>
      <c r="AS614" s="341"/>
      <c r="AT614" s="341"/>
      <c r="AU614" s="343"/>
      <c r="AV614" s="341"/>
      <c r="AW614" s="269" t="s">
        <v>1982</v>
      </c>
      <c r="AX614" s="334" t="s">
        <v>2869</v>
      </c>
      <c r="AY614" s="270" t="s">
        <v>695</v>
      </c>
      <c r="AZ614" s="270" t="s">
        <v>2866</v>
      </c>
      <c r="BA614" s="265">
        <v>10.0</v>
      </c>
      <c r="BB614" s="174" t="s">
        <v>245</v>
      </c>
      <c r="BC614" s="341"/>
      <c r="BD614" s="308"/>
      <c r="BE614" s="347"/>
      <c r="BF614" s="274" t="str">
        <f>IFERROR(__xludf.DUMMYFUNCTION("LOWER(Regexreplace(to_text(E614),""[^A-Za-z0-9]"","""")&amp;""_""&amp;Regexreplace(to_text(F614),""[^A-Za-z0-9]"",""""))"),"neptronic_evcbseries")</f>
        <v>neptronic_evcbseries</v>
      </c>
      <c r="BG614" s="275" t="str">
        <f>IFERROR(__xludf.DUMMYFUNCTION("upper(Regexreplace(to_text(E614),""[^A-Za-z0-9]"","""")&amp;""-""&amp;Regexreplace(to_text(F614),""[^A-Za-z0-9]"",""""))"),"NEPTRONIC-EVCBSERIES")</f>
        <v>NEPTRONIC-EVCBSERIES</v>
      </c>
    </row>
    <row r="615" ht="30.0" customHeight="1">
      <c r="A615" s="173">
        <v>607.0</v>
      </c>
      <c r="B615" s="237" t="s">
        <v>670</v>
      </c>
      <c r="C615" s="257" t="s">
        <v>3414</v>
      </c>
      <c r="D615" s="173" t="s">
        <v>3414</v>
      </c>
      <c r="E615" s="174" t="s">
        <v>2861</v>
      </c>
      <c r="F615" s="173" t="s">
        <v>2862</v>
      </c>
      <c r="G615" s="328" t="s">
        <v>673</v>
      </c>
      <c r="H615" s="328" t="s">
        <v>2863</v>
      </c>
      <c r="I615" s="258" t="s">
        <v>2864</v>
      </c>
      <c r="J615" s="259" t="s">
        <v>846</v>
      </c>
      <c r="K615" s="260" t="s">
        <v>3415</v>
      </c>
      <c r="L615" s="328"/>
      <c r="M615" s="343"/>
      <c r="N615" s="173" t="s">
        <v>679</v>
      </c>
      <c r="O615" s="173" t="s">
        <v>225</v>
      </c>
      <c r="P615" s="262" t="str">
        <f t="shared" si="1"/>
        <v>IN-BLR-ANANTA-VAV-187_1</v>
      </c>
      <c r="Q615" s="173" t="s">
        <v>3416</v>
      </c>
      <c r="R615" s="328" t="str">
        <f>IFS(C615="","",C615="n/a","N/A",LEN(C615),Concatenate("{",char(34),"asset",char(34),":{",char(34),"guid",char(34),":",char(34),Q615,char(34),",",char(34),"site",char(34),":",char(34),LOWER('2-Building'!$B$4),char(34),",",char(34),"name",char(34),":",char(34),LOWER(C615),char(34),"}}"))</f>
        <v>{"asset":{"guid":"uuid://8b3660e0-ec79-482e-8dac-f2f4a43f8b89","site":"in-blr-ananta","name":"vav-187"}}</v>
      </c>
      <c r="S615" s="237" t="s">
        <v>2866</v>
      </c>
      <c r="T615" s="330"/>
      <c r="U615" s="330"/>
      <c r="V615" s="331"/>
      <c r="W615" s="344"/>
      <c r="X615" s="341"/>
      <c r="Y615" s="33" t="s">
        <v>2867</v>
      </c>
      <c r="Z615" s="258">
        <v>120187.0</v>
      </c>
      <c r="AA615" s="334">
        <v>11614.0</v>
      </c>
      <c r="AB615" s="341"/>
      <c r="AC615" s="341"/>
      <c r="AD615" s="343"/>
      <c r="AE615" s="331"/>
      <c r="AF615" s="348"/>
      <c r="AG615" s="337"/>
      <c r="AH615" s="341"/>
      <c r="AI615" s="341"/>
      <c r="AJ615" s="341"/>
      <c r="AK615" s="341"/>
      <c r="AL615" s="341"/>
      <c r="AM615" s="338"/>
      <c r="AN615" s="341"/>
      <c r="AO615" s="341"/>
      <c r="AP615" s="341"/>
      <c r="AQ615" s="341"/>
      <c r="AR615" s="341"/>
      <c r="AS615" s="341"/>
      <c r="AT615" s="341"/>
      <c r="AU615" s="343"/>
      <c r="AV615" s="341"/>
      <c r="AW615" s="269" t="s">
        <v>1982</v>
      </c>
      <c r="AX615" s="334" t="s">
        <v>2869</v>
      </c>
      <c r="AY615" s="270" t="s">
        <v>695</v>
      </c>
      <c r="AZ615" s="270" t="s">
        <v>2866</v>
      </c>
      <c r="BA615" s="265">
        <v>10.0</v>
      </c>
      <c r="BB615" s="174" t="s">
        <v>245</v>
      </c>
      <c r="BC615" s="341"/>
      <c r="BD615" s="308"/>
      <c r="BE615" s="347"/>
      <c r="BF615" s="274" t="str">
        <f>IFERROR(__xludf.DUMMYFUNCTION("LOWER(Regexreplace(to_text(E615),""[^A-Za-z0-9]"","""")&amp;""_""&amp;Regexreplace(to_text(F615),""[^A-Za-z0-9]"",""""))"),"neptronic_evcbseries")</f>
        <v>neptronic_evcbseries</v>
      </c>
      <c r="BG615" s="275" t="str">
        <f>IFERROR(__xludf.DUMMYFUNCTION("upper(Regexreplace(to_text(E615),""[^A-Za-z0-9]"","""")&amp;""-""&amp;Regexreplace(to_text(F615),""[^A-Za-z0-9]"",""""))"),"NEPTRONIC-EVCBSERIES")</f>
        <v>NEPTRONIC-EVCBSERIES</v>
      </c>
    </row>
    <row r="616" ht="30.0" customHeight="1">
      <c r="A616" s="258">
        <v>608.0</v>
      </c>
      <c r="B616" s="237" t="s">
        <v>670</v>
      </c>
      <c r="C616" s="257" t="s">
        <v>3417</v>
      </c>
      <c r="D616" s="173" t="s">
        <v>3417</v>
      </c>
      <c r="E616" s="174" t="s">
        <v>2861</v>
      </c>
      <c r="F616" s="173" t="s">
        <v>2862</v>
      </c>
      <c r="G616" s="328" t="s">
        <v>673</v>
      </c>
      <c r="H616" s="328" t="s">
        <v>2863</v>
      </c>
      <c r="I616" s="258" t="s">
        <v>2864</v>
      </c>
      <c r="J616" s="259" t="s">
        <v>846</v>
      </c>
      <c r="K616" s="260" t="s">
        <v>3358</v>
      </c>
      <c r="L616" s="328"/>
      <c r="M616" s="343"/>
      <c r="N616" s="173" t="s">
        <v>679</v>
      </c>
      <c r="O616" s="173" t="s">
        <v>225</v>
      </c>
      <c r="P616" s="262" t="str">
        <f t="shared" si="1"/>
        <v>IN-BLR-ANANTA-VAV-188_1</v>
      </c>
      <c r="Q616" s="173" t="s">
        <v>3418</v>
      </c>
      <c r="R616" s="328" t="str">
        <f>IFS(C616="","",C616="n/a","N/A",LEN(C616),Concatenate("{",char(34),"asset",char(34),":{",char(34),"guid",char(34),":",char(34),Q616,char(34),",",char(34),"site",char(34),":",char(34),LOWER('2-Building'!$B$4),char(34),",",char(34),"name",char(34),":",char(34),LOWER(C616),char(34),"}}"))</f>
        <v>{"asset":{"guid":"uuid://4974a912-031b-4698-b7a2-1585d9b0eeb1","site":"in-blr-ananta","name":"vav-188"}}</v>
      </c>
      <c r="S616" s="237" t="s">
        <v>2866</v>
      </c>
      <c r="T616" s="330"/>
      <c r="U616" s="330"/>
      <c r="V616" s="331"/>
      <c r="W616" s="344"/>
      <c r="X616" s="341"/>
      <c r="Y616" s="33" t="s">
        <v>2867</v>
      </c>
      <c r="Z616" s="258">
        <v>120188.0</v>
      </c>
      <c r="AA616" s="334">
        <v>11614.0</v>
      </c>
      <c r="AB616" s="341"/>
      <c r="AC616" s="341"/>
      <c r="AD616" s="343"/>
      <c r="AE616" s="331"/>
      <c r="AF616" s="348"/>
      <c r="AG616" s="337"/>
      <c r="AH616" s="341"/>
      <c r="AI616" s="341"/>
      <c r="AJ616" s="341"/>
      <c r="AK616" s="341"/>
      <c r="AL616" s="341"/>
      <c r="AM616" s="338"/>
      <c r="AN616" s="341"/>
      <c r="AO616" s="341"/>
      <c r="AP616" s="341"/>
      <c r="AQ616" s="341"/>
      <c r="AR616" s="341"/>
      <c r="AS616" s="341"/>
      <c r="AT616" s="341"/>
      <c r="AU616" s="343"/>
      <c r="AV616" s="341"/>
      <c r="AW616" s="269" t="s">
        <v>1982</v>
      </c>
      <c r="AX616" s="334" t="s">
        <v>2869</v>
      </c>
      <c r="AY616" s="270" t="s">
        <v>695</v>
      </c>
      <c r="AZ616" s="270" t="s">
        <v>2866</v>
      </c>
      <c r="BA616" s="265">
        <v>10.0</v>
      </c>
      <c r="BB616" s="174" t="s">
        <v>245</v>
      </c>
      <c r="BC616" s="341"/>
      <c r="BD616" s="308"/>
      <c r="BE616" s="347"/>
      <c r="BF616" s="274" t="str">
        <f>IFERROR(__xludf.DUMMYFUNCTION("LOWER(Regexreplace(to_text(E616),""[^A-Za-z0-9]"","""")&amp;""_""&amp;Regexreplace(to_text(F616),""[^A-Za-z0-9]"",""""))"),"neptronic_evcbseries")</f>
        <v>neptronic_evcbseries</v>
      </c>
      <c r="BG616" s="275" t="str">
        <f>IFERROR(__xludf.DUMMYFUNCTION("upper(Regexreplace(to_text(E616),""[^A-Za-z0-9]"","""")&amp;""-""&amp;Regexreplace(to_text(F616),""[^A-Za-z0-9]"",""""))"),"NEPTRONIC-EVCBSERIES")</f>
        <v>NEPTRONIC-EVCBSERIES</v>
      </c>
    </row>
    <row r="617" ht="30.0" customHeight="1">
      <c r="A617" s="173">
        <v>609.0</v>
      </c>
      <c r="B617" s="237" t="s">
        <v>670</v>
      </c>
      <c r="C617" s="257" t="s">
        <v>3419</v>
      </c>
      <c r="D617" s="173" t="s">
        <v>3419</v>
      </c>
      <c r="E617" s="174" t="s">
        <v>2861</v>
      </c>
      <c r="F617" s="173" t="s">
        <v>2862</v>
      </c>
      <c r="G617" s="328" t="s">
        <v>673</v>
      </c>
      <c r="H617" s="328" t="s">
        <v>2863</v>
      </c>
      <c r="I617" s="258" t="s">
        <v>2864</v>
      </c>
      <c r="J617" s="259" t="s">
        <v>846</v>
      </c>
      <c r="K617" s="260" t="s">
        <v>3420</v>
      </c>
      <c r="L617" s="328"/>
      <c r="M617" s="343"/>
      <c r="N617" s="173" t="s">
        <v>679</v>
      </c>
      <c r="O617" s="173" t="s">
        <v>225</v>
      </c>
      <c r="P617" s="262" t="str">
        <f t="shared" si="1"/>
        <v>IN-BLR-ANANTA-VAV-189_1</v>
      </c>
      <c r="Q617" s="173" t="s">
        <v>3421</v>
      </c>
      <c r="R617" s="328" t="str">
        <f>IFS(C617="","",C617="n/a","N/A",LEN(C617),Concatenate("{",char(34),"asset",char(34),":{",char(34),"guid",char(34),":",char(34),Q617,char(34),",",char(34),"site",char(34),":",char(34),LOWER('2-Building'!$B$4),char(34),",",char(34),"name",char(34),":",char(34),LOWER(C617),char(34),"}}"))</f>
        <v>{"asset":{"guid":"uuid://5f88c334-25ee-4b67-befe-520d28fb204c","site":"in-blr-ananta","name":"vav-189"}}</v>
      </c>
      <c r="S617" s="237" t="s">
        <v>2866</v>
      </c>
      <c r="T617" s="330"/>
      <c r="U617" s="330"/>
      <c r="V617" s="331"/>
      <c r="W617" s="344"/>
      <c r="X617" s="341"/>
      <c r="Y617" s="33" t="s">
        <v>2867</v>
      </c>
      <c r="Z617" s="258">
        <v>120189.0</v>
      </c>
      <c r="AA617" s="334">
        <v>11614.0</v>
      </c>
      <c r="AB617" s="341"/>
      <c r="AC617" s="341"/>
      <c r="AD617" s="343"/>
      <c r="AE617" s="331"/>
      <c r="AF617" s="348"/>
      <c r="AG617" s="337"/>
      <c r="AH617" s="341"/>
      <c r="AI617" s="341"/>
      <c r="AJ617" s="341"/>
      <c r="AK617" s="341"/>
      <c r="AL617" s="341"/>
      <c r="AM617" s="338"/>
      <c r="AN617" s="341"/>
      <c r="AO617" s="341"/>
      <c r="AP617" s="341"/>
      <c r="AQ617" s="341"/>
      <c r="AR617" s="341"/>
      <c r="AS617" s="341"/>
      <c r="AT617" s="341"/>
      <c r="AU617" s="343"/>
      <c r="AV617" s="341"/>
      <c r="AW617" s="269" t="s">
        <v>1982</v>
      </c>
      <c r="AX617" s="334" t="s">
        <v>2869</v>
      </c>
      <c r="AY617" s="270" t="s">
        <v>695</v>
      </c>
      <c r="AZ617" s="270" t="s">
        <v>2866</v>
      </c>
      <c r="BA617" s="265">
        <v>10.0</v>
      </c>
      <c r="BB617" s="174" t="s">
        <v>245</v>
      </c>
      <c r="BC617" s="341"/>
      <c r="BD617" s="308"/>
      <c r="BE617" s="347"/>
      <c r="BF617" s="274" t="str">
        <f>IFERROR(__xludf.DUMMYFUNCTION("LOWER(Regexreplace(to_text(E617),""[^A-Za-z0-9]"","""")&amp;""_""&amp;Regexreplace(to_text(F617),""[^A-Za-z0-9]"",""""))"),"neptronic_evcbseries")</f>
        <v>neptronic_evcbseries</v>
      </c>
      <c r="BG617" s="275" t="str">
        <f>IFERROR(__xludf.DUMMYFUNCTION("upper(Regexreplace(to_text(E617),""[^A-Za-z0-9]"","""")&amp;""-""&amp;Regexreplace(to_text(F617),""[^A-Za-z0-9]"",""""))"),"NEPTRONIC-EVCBSERIES")</f>
        <v>NEPTRONIC-EVCBSERIES</v>
      </c>
    </row>
    <row r="618" ht="30.0" customHeight="1">
      <c r="A618" s="258">
        <v>610.0</v>
      </c>
      <c r="B618" s="349" t="s">
        <v>670</v>
      </c>
      <c r="C618" s="257" t="s">
        <v>3422</v>
      </c>
      <c r="D618" s="173" t="s">
        <v>3422</v>
      </c>
      <c r="E618" s="174" t="s">
        <v>2861</v>
      </c>
      <c r="F618" s="173" t="s">
        <v>2862</v>
      </c>
      <c r="G618" s="350" t="s">
        <v>673</v>
      </c>
      <c r="H618" s="350" t="s">
        <v>2863</v>
      </c>
      <c r="I618" s="258" t="s">
        <v>2864</v>
      </c>
      <c r="J618" s="259" t="s">
        <v>846</v>
      </c>
      <c r="K618" s="260" t="s">
        <v>3209</v>
      </c>
      <c r="L618" s="328"/>
      <c r="M618" s="351"/>
      <c r="N618" s="173" t="s">
        <v>679</v>
      </c>
      <c r="O618" s="173" t="s">
        <v>225</v>
      </c>
      <c r="P618" s="262" t="str">
        <f t="shared" si="1"/>
        <v>IN-BLR-ANANTA-VAV-190_1</v>
      </c>
      <c r="Q618" s="173" t="s">
        <v>3423</v>
      </c>
      <c r="R618" s="350" t="str">
        <f>IFS(C618="","",C618="n/a","N/A",LEN(C618),Concatenate("{",char(34),"asset",char(34),":{",char(34),"guid",char(34),":",char(34),Q618,char(34),",",char(34),"site",char(34),":",char(34),LOWER('2-Building'!$B$4),char(34),",",char(34),"name",char(34),":",char(34),LOWER(C618),char(34),"}}"))</f>
        <v>{"asset":{"guid":"uuid://4f62ae0a-c1c1-44d1-af4d-648ab678c200","site":"in-blr-ananta","name":"vav-190"}}</v>
      </c>
      <c r="S618" s="237" t="s">
        <v>2866</v>
      </c>
      <c r="T618" s="352"/>
      <c r="U618" s="352"/>
      <c r="V618" s="353"/>
      <c r="W618" s="354"/>
      <c r="X618" s="355"/>
      <c r="Y618" s="33" t="s">
        <v>2867</v>
      </c>
      <c r="Z618" s="258">
        <v>120190.0</v>
      </c>
      <c r="AA618" s="334">
        <v>11614.0</v>
      </c>
      <c r="AB618" s="355"/>
      <c r="AC618" s="355"/>
      <c r="AD618" s="351"/>
      <c r="AE618" s="353"/>
      <c r="AF618" s="356"/>
      <c r="AG618" s="357"/>
      <c r="AH618" s="355"/>
      <c r="AI618" s="355"/>
      <c r="AJ618" s="355"/>
      <c r="AK618" s="355"/>
      <c r="AL618" s="355"/>
      <c r="AM618" s="357"/>
      <c r="AN618" s="355"/>
      <c r="AO618" s="355"/>
      <c r="AP618" s="355"/>
      <c r="AQ618" s="355"/>
      <c r="AR618" s="355"/>
      <c r="AS618" s="355"/>
      <c r="AT618" s="355"/>
      <c r="AU618" s="351"/>
      <c r="AV618" s="355"/>
      <c r="AW618" s="269" t="s">
        <v>1982</v>
      </c>
      <c r="AX618" s="334" t="s">
        <v>2869</v>
      </c>
      <c r="AY618" s="270" t="s">
        <v>695</v>
      </c>
      <c r="AZ618" s="270" t="s">
        <v>2866</v>
      </c>
      <c r="BA618" s="265">
        <v>10.0</v>
      </c>
      <c r="BB618" s="174" t="s">
        <v>245</v>
      </c>
      <c r="BC618" s="355"/>
      <c r="BD618" s="308"/>
      <c r="BE618" s="358"/>
      <c r="BF618" s="274" t="str">
        <f>IFERROR(__xludf.DUMMYFUNCTION("LOWER(Regexreplace(to_text(E618),""[^A-Za-z0-9]"","""")&amp;""_""&amp;Regexreplace(to_text(F618),""[^A-Za-z0-9]"",""""))"),"neptronic_evcbseries")</f>
        <v>neptronic_evcbseries</v>
      </c>
      <c r="BG618" s="275" t="str">
        <f>IFERROR(__xludf.DUMMYFUNCTION("upper(Regexreplace(to_text(E618),""[^A-Za-z0-9]"","""")&amp;""-""&amp;Regexreplace(to_text(F618),""[^A-Za-z0-9]"",""""))"),"NEPTRONIC-EVCBSERIES")</f>
        <v>NEPTRONIC-EVCBSERIES</v>
      </c>
    </row>
    <row r="619" ht="30.0" customHeight="1">
      <c r="A619" s="173">
        <v>611.0</v>
      </c>
      <c r="B619" s="349" t="s">
        <v>670</v>
      </c>
      <c r="C619" s="257" t="s">
        <v>3424</v>
      </c>
      <c r="D619" s="173" t="s">
        <v>3424</v>
      </c>
      <c r="E619" s="174" t="s">
        <v>2861</v>
      </c>
      <c r="F619" s="173" t="s">
        <v>2862</v>
      </c>
      <c r="G619" s="350" t="s">
        <v>673</v>
      </c>
      <c r="H619" s="350" t="s">
        <v>2863</v>
      </c>
      <c r="I619" s="258" t="s">
        <v>2864</v>
      </c>
      <c r="J619" s="259" t="s">
        <v>846</v>
      </c>
      <c r="K619" s="260" t="s">
        <v>3209</v>
      </c>
      <c r="L619" s="328"/>
      <c r="M619" s="351"/>
      <c r="N619" s="173" t="s">
        <v>679</v>
      </c>
      <c r="O619" s="173" t="s">
        <v>225</v>
      </c>
      <c r="P619" s="262" t="str">
        <f t="shared" si="1"/>
        <v>IN-BLR-ANANTA-VAV-191_1</v>
      </c>
      <c r="Q619" s="173" t="s">
        <v>3425</v>
      </c>
      <c r="R619" s="350" t="str">
        <f>IFS(C619="","",C619="n/a","N/A",LEN(C619),Concatenate("{",char(34),"asset",char(34),":{",char(34),"guid",char(34),":",char(34),Q619,char(34),",",char(34),"site",char(34),":",char(34),LOWER('2-Building'!$B$4),char(34),",",char(34),"name",char(34),":",char(34),LOWER(C619),char(34),"}}"))</f>
        <v>{"asset":{"guid":"uuid://f292b628-80ab-40a7-924a-4227c243fbe5","site":"in-blr-ananta","name":"vav-191"}}</v>
      </c>
      <c r="S619" s="237" t="s">
        <v>2866</v>
      </c>
      <c r="T619" s="352"/>
      <c r="U619" s="352"/>
      <c r="V619" s="353"/>
      <c r="W619" s="354"/>
      <c r="X619" s="355"/>
      <c r="Y619" s="33" t="s">
        <v>2867</v>
      </c>
      <c r="Z619" s="258">
        <v>120191.0</v>
      </c>
      <c r="AA619" s="334">
        <v>11614.0</v>
      </c>
      <c r="AB619" s="355"/>
      <c r="AC619" s="355"/>
      <c r="AD619" s="351"/>
      <c r="AE619" s="353"/>
      <c r="AF619" s="356"/>
      <c r="AG619" s="357"/>
      <c r="AH619" s="355"/>
      <c r="AI619" s="355"/>
      <c r="AJ619" s="355"/>
      <c r="AK619" s="355"/>
      <c r="AL619" s="355"/>
      <c r="AM619" s="357"/>
      <c r="AN619" s="355"/>
      <c r="AO619" s="355"/>
      <c r="AP619" s="355"/>
      <c r="AQ619" s="355"/>
      <c r="AR619" s="355"/>
      <c r="AS619" s="355"/>
      <c r="AT619" s="355"/>
      <c r="AU619" s="351"/>
      <c r="AV619" s="355"/>
      <c r="AW619" s="269" t="s">
        <v>1982</v>
      </c>
      <c r="AX619" s="334" t="s">
        <v>2869</v>
      </c>
      <c r="AY619" s="270" t="s">
        <v>695</v>
      </c>
      <c r="AZ619" s="270" t="s">
        <v>2866</v>
      </c>
      <c r="BA619" s="265">
        <v>10.0</v>
      </c>
      <c r="BB619" s="174" t="s">
        <v>245</v>
      </c>
      <c r="BC619" s="355"/>
      <c r="BD619" s="308"/>
      <c r="BE619" s="358"/>
      <c r="BF619" s="274" t="str">
        <f>IFERROR(__xludf.DUMMYFUNCTION("LOWER(Regexreplace(to_text(E619),""[^A-Za-z0-9]"","""")&amp;""_""&amp;Regexreplace(to_text(F619),""[^A-Za-z0-9]"",""""))"),"neptronic_evcbseries")</f>
        <v>neptronic_evcbseries</v>
      </c>
      <c r="BG619" s="275" t="str">
        <f>IFERROR(__xludf.DUMMYFUNCTION("upper(Regexreplace(to_text(E619),""[^A-Za-z0-9]"","""")&amp;""-""&amp;Regexreplace(to_text(F619),""[^A-Za-z0-9]"",""""))"),"NEPTRONIC-EVCBSERIES")</f>
        <v>NEPTRONIC-EVCBSERIES</v>
      </c>
    </row>
    <row r="620" ht="30.0" customHeight="1">
      <c r="A620" s="258">
        <v>612.0</v>
      </c>
      <c r="B620" s="349" t="s">
        <v>670</v>
      </c>
      <c r="C620" s="257" t="s">
        <v>3426</v>
      </c>
      <c r="D620" s="173" t="s">
        <v>3426</v>
      </c>
      <c r="E620" s="174" t="s">
        <v>2861</v>
      </c>
      <c r="F620" s="173" t="s">
        <v>2862</v>
      </c>
      <c r="G620" s="350" t="s">
        <v>673</v>
      </c>
      <c r="H620" s="350" t="s">
        <v>2863</v>
      </c>
      <c r="I620" s="258" t="s">
        <v>2864</v>
      </c>
      <c r="J620" s="259" t="s">
        <v>846</v>
      </c>
      <c r="K620" s="260" t="s">
        <v>3209</v>
      </c>
      <c r="L620" s="328"/>
      <c r="M620" s="351"/>
      <c r="N620" s="173" t="s">
        <v>679</v>
      </c>
      <c r="O620" s="173" t="s">
        <v>225</v>
      </c>
      <c r="P620" s="262" t="str">
        <f t="shared" si="1"/>
        <v>IN-BLR-ANANTA-VAV-192_1</v>
      </c>
      <c r="Q620" s="173" t="s">
        <v>3427</v>
      </c>
      <c r="R620" s="350" t="str">
        <f>IFS(C620="","",C620="n/a","N/A",LEN(C620),Concatenate("{",char(34),"asset",char(34),":{",char(34),"guid",char(34),":",char(34),Q620,char(34),",",char(34),"site",char(34),":",char(34),LOWER('2-Building'!$B$4),char(34),",",char(34),"name",char(34),":",char(34),LOWER(C620),char(34),"}}"))</f>
        <v>{"asset":{"guid":"uuid://382897f6-debe-46ca-a8bc-8ad7b9c9ed8e","site":"in-blr-ananta","name":"vav-192"}}</v>
      </c>
      <c r="S620" s="237" t="s">
        <v>2866</v>
      </c>
      <c r="T620" s="352"/>
      <c r="U620" s="352"/>
      <c r="V620" s="353"/>
      <c r="W620" s="354"/>
      <c r="X620" s="355"/>
      <c r="Y620" s="33" t="s">
        <v>2867</v>
      </c>
      <c r="Z620" s="258">
        <v>120192.0</v>
      </c>
      <c r="AA620" s="334">
        <v>11614.0</v>
      </c>
      <c r="AB620" s="355"/>
      <c r="AC620" s="355"/>
      <c r="AD620" s="351"/>
      <c r="AE620" s="353"/>
      <c r="AF620" s="356"/>
      <c r="AG620" s="357"/>
      <c r="AH620" s="355"/>
      <c r="AI620" s="355"/>
      <c r="AJ620" s="355"/>
      <c r="AK620" s="355"/>
      <c r="AL620" s="355"/>
      <c r="AM620" s="357"/>
      <c r="AN620" s="355"/>
      <c r="AO620" s="355"/>
      <c r="AP620" s="355"/>
      <c r="AQ620" s="355"/>
      <c r="AR620" s="355"/>
      <c r="AS620" s="355"/>
      <c r="AT620" s="355"/>
      <c r="AU620" s="351"/>
      <c r="AV620" s="355"/>
      <c r="AW620" s="269" t="s">
        <v>1982</v>
      </c>
      <c r="AX620" s="334" t="s">
        <v>2869</v>
      </c>
      <c r="AY620" s="270" t="s">
        <v>695</v>
      </c>
      <c r="AZ620" s="270" t="s">
        <v>2866</v>
      </c>
      <c r="BA620" s="265">
        <v>10.0</v>
      </c>
      <c r="BB620" s="174" t="s">
        <v>245</v>
      </c>
      <c r="BC620" s="355"/>
      <c r="BD620" s="308"/>
      <c r="BE620" s="358"/>
      <c r="BF620" s="274" t="str">
        <f>IFERROR(__xludf.DUMMYFUNCTION("LOWER(Regexreplace(to_text(E620),""[^A-Za-z0-9]"","""")&amp;""_""&amp;Regexreplace(to_text(F620),""[^A-Za-z0-9]"",""""))"),"neptronic_evcbseries")</f>
        <v>neptronic_evcbseries</v>
      </c>
      <c r="BG620" s="275" t="str">
        <f>IFERROR(__xludf.DUMMYFUNCTION("upper(Regexreplace(to_text(E620),""[^A-Za-z0-9]"","""")&amp;""-""&amp;Regexreplace(to_text(F620),""[^A-Za-z0-9]"",""""))"),"NEPTRONIC-EVCBSERIES")</f>
        <v>NEPTRONIC-EVCBSERIES</v>
      </c>
    </row>
    <row r="621" ht="30.0" customHeight="1">
      <c r="A621" s="173">
        <v>613.0</v>
      </c>
      <c r="B621" s="237" t="s">
        <v>670</v>
      </c>
      <c r="C621" s="257" t="s">
        <v>3428</v>
      </c>
      <c r="D621" s="173" t="s">
        <v>3428</v>
      </c>
      <c r="E621" s="174" t="s">
        <v>2861</v>
      </c>
      <c r="F621" s="173" t="s">
        <v>2862</v>
      </c>
      <c r="G621" s="328" t="s">
        <v>673</v>
      </c>
      <c r="H621" s="328" t="s">
        <v>2863</v>
      </c>
      <c r="I621" s="258" t="s">
        <v>2864</v>
      </c>
      <c r="J621" s="259" t="s">
        <v>846</v>
      </c>
      <c r="K621" s="260" t="s">
        <v>3429</v>
      </c>
      <c r="L621" s="328"/>
      <c r="M621" s="343"/>
      <c r="N621" s="173" t="s">
        <v>679</v>
      </c>
      <c r="O621" s="173" t="s">
        <v>225</v>
      </c>
      <c r="P621" s="262" t="str">
        <f t="shared" si="1"/>
        <v>IN-BLR-ANANTA-VAV-193_1</v>
      </c>
      <c r="Q621" s="173" t="s">
        <v>3430</v>
      </c>
      <c r="R621" s="328" t="str">
        <f>IFS(C621="","",C621="n/a","N/A",LEN(C621),Concatenate("{",char(34),"asset",char(34),":{",char(34),"guid",char(34),":",char(34),Q621,char(34),",",char(34),"site",char(34),":",char(34),LOWER('2-Building'!$B$4),char(34),",",char(34),"name",char(34),":",char(34),LOWER(C621),char(34),"}}"))</f>
        <v>{"asset":{"guid":"uuid://889c9ddf-6e89-4e7a-b150-d74d7c0d8076","site":"in-blr-ananta","name":"vav-193"}}</v>
      </c>
      <c r="S621" s="237" t="s">
        <v>2866</v>
      </c>
      <c r="T621" s="330"/>
      <c r="U621" s="330"/>
      <c r="V621" s="331"/>
      <c r="W621" s="344"/>
      <c r="X621" s="341"/>
      <c r="Y621" s="33" t="s">
        <v>2867</v>
      </c>
      <c r="Z621" s="258">
        <v>120193.0</v>
      </c>
      <c r="AA621" s="334">
        <v>11614.0</v>
      </c>
      <c r="AB621" s="341"/>
      <c r="AC621" s="341"/>
      <c r="AD621" s="343"/>
      <c r="AE621" s="331"/>
      <c r="AF621" s="348"/>
      <c r="AG621" s="337"/>
      <c r="AH621" s="341"/>
      <c r="AI621" s="341"/>
      <c r="AJ621" s="341"/>
      <c r="AK621" s="341"/>
      <c r="AL621" s="341"/>
      <c r="AM621" s="338"/>
      <c r="AN621" s="341"/>
      <c r="AO621" s="341"/>
      <c r="AP621" s="341"/>
      <c r="AQ621" s="341"/>
      <c r="AR621" s="341"/>
      <c r="AS621" s="341"/>
      <c r="AT621" s="341"/>
      <c r="AU621" s="343"/>
      <c r="AV621" s="341"/>
      <c r="AW621" s="269" t="s">
        <v>1982</v>
      </c>
      <c r="AX621" s="334" t="s">
        <v>2869</v>
      </c>
      <c r="AY621" s="270" t="s">
        <v>695</v>
      </c>
      <c r="AZ621" s="270" t="s">
        <v>2866</v>
      </c>
      <c r="BA621" s="265">
        <v>10.0</v>
      </c>
      <c r="BB621" s="174" t="s">
        <v>245</v>
      </c>
      <c r="BC621" s="341"/>
      <c r="BD621" s="308"/>
      <c r="BE621" s="347"/>
      <c r="BF621" s="274" t="str">
        <f>IFERROR(__xludf.DUMMYFUNCTION("LOWER(Regexreplace(to_text(E621),""[^A-Za-z0-9]"","""")&amp;""_""&amp;Regexreplace(to_text(F621),""[^A-Za-z0-9]"",""""))"),"neptronic_evcbseries")</f>
        <v>neptronic_evcbseries</v>
      </c>
      <c r="BG621" s="275" t="str">
        <f>IFERROR(__xludf.DUMMYFUNCTION("upper(Regexreplace(to_text(E621),""[^A-Za-z0-9]"","""")&amp;""-""&amp;Regexreplace(to_text(F621),""[^A-Za-z0-9]"",""""))"),"NEPTRONIC-EVCBSERIES")</f>
        <v>NEPTRONIC-EVCBSERIES</v>
      </c>
    </row>
    <row r="622" ht="30.0" customHeight="1">
      <c r="A622" s="258">
        <v>614.0</v>
      </c>
      <c r="B622" s="237" t="s">
        <v>670</v>
      </c>
      <c r="C622" s="257" t="s">
        <v>3431</v>
      </c>
      <c r="D622" s="173" t="s">
        <v>3431</v>
      </c>
      <c r="E622" s="174" t="s">
        <v>2861</v>
      </c>
      <c r="F622" s="173" t="s">
        <v>2862</v>
      </c>
      <c r="G622" s="328" t="s">
        <v>673</v>
      </c>
      <c r="H622" s="328" t="s">
        <v>2863</v>
      </c>
      <c r="I622" s="258" t="s">
        <v>2864</v>
      </c>
      <c r="J622" s="259" t="s">
        <v>846</v>
      </c>
      <c r="K622" s="260" t="s">
        <v>3432</v>
      </c>
      <c r="L622" s="328"/>
      <c r="M622" s="343"/>
      <c r="N622" s="173" t="s">
        <v>679</v>
      </c>
      <c r="O622" s="173" t="s">
        <v>225</v>
      </c>
      <c r="P622" s="262" t="str">
        <f t="shared" si="1"/>
        <v>IN-BLR-ANANTA-VAV-194_1</v>
      </c>
      <c r="Q622" s="173" t="s">
        <v>3433</v>
      </c>
      <c r="R622" s="328" t="str">
        <f>IFS(C622="","",C622="n/a","N/A",LEN(C622),Concatenate("{",char(34),"asset",char(34),":{",char(34),"guid",char(34),":",char(34),Q622,char(34),",",char(34),"site",char(34),":",char(34),LOWER('2-Building'!$B$4),char(34),",",char(34),"name",char(34),":",char(34),LOWER(C622),char(34),"}}"))</f>
        <v>{"asset":{"guid":"uuid://f59a60ff-b883-4cfc-ba0d-8675489acf79","site":"in-blr-ananta","name":"vav-194"}}</v>
      </c>
      <c r="S622" s="237" t="s">
        <v>2866</v>
      </c>
      <c r="T622" s="330"/>
      <c r="U622" s="330"/>
      <c r="V622" s="331"/>
      <c r="W622" s="344"/>
      <c r="X622" s="341"/>
      <c r="Y622" s="33" t="s">
        <v>2867</v>
      </c>
      <c r="Z622" s="258">
        <v>120194.0</v>
      </c>
      <c r="AA622" s="334">
        <v>11614.0</v>
      </c>
      <c r="AB622" s="341"/>
      <c r="AC622" s="341"/>
      <c r="AD622" s="343"/>
      <c r="AE622" s="331"/>
      <c r="AF622" s="348"/>
      <c r="AG622" s="337"/>
      <c r="AH622" s="341"/>
      <c r="AI622" s="341"/>
      <c r="AJ622" s="341"/>
      <c r="AK622" s="341"/>
      <c r="AL622" s="341"/>
      <c r="AM622" s="338"/>
      <c r="AN622" s="341"/>
      <c r="AO622" s="341"/>
      <c r="AP622" s="341"/>
      <c r="AQ622" s="341"/>
      <c r="AR622" s="341"/>
      <c r="AS622" s="341"/>
      <c r="AT622" s="341"/>
      <c r="AU622" s="343"/>
      <c r="AV622" s="341"/>
      <c r="AW622" s="269" t="s">
        <v>1982</v>
      </c>
      <c r="AX622" s="334" t="s">
        <v>2869</v>
      </c>
      <c r="AY622" s="270" t="s">
        <v>695</v>
      </c>
      <c r="AZ622" s="270" t="s">
        <v>2866</v>
      </c>
      <c r="BA622" s="265">
        <v>10.0</v>
      </c>
      <c r="BB622" s="174" t="s">
        <v>245</v>
      </c>
      <c r="BC622" s="341"/>
      <c r="BD622" s="308"/>
      <c r="BE622" s="347"/>
      <c r="BF622" s="274" t="str">
        <f>IFERROR(__xludf.DUMMYFUNCTION("LOWER(Regexreplace(to_text(E622),""[^A-Za-z0-9]"","""")&amp;""_""&amp;Regexreplace(to_text(F622),""[^A-Za-z0-9]"",""""))"),"neptronic_evcbseries")</f>
        <v>neptronic_evcbseries</v>
      </c>
      <c r="BG622" s="275" t="str">
        <f>IFERROR(__xludf.DUMMYFUNCTION("upper(Regexreplace(to_text(E622),""[^A-Za-z0-9]"","""")&amp;""-""&amp;Regexreplace(to_text(F622),""[^A-Za-z0-9]"",""""))"),"NEPTRONIC-EVCBSERIES")</f>
        <v>NEPTRONIC-EVCBSERIES</v>
      </c>
    </row>
    <row r="623" ht="30.0" customHeight="1">
      <c r="A623" s="173">
        <v>615.0</v>
      </c>
      <c r="B623" s="237" t="s">
        <v>670</v>
      </c>
      <c r="C623" s="257" t="s">
        <v>3434</v>
      </c>
      <c r="D623" s="173" t="s">
        <v>3434</v>
      </c>
      <c r="E623" s="174" t="s">
        <v>2861</v>
      </c>
      <c r="F623" s="173" t="s">
        <v>2862</v>
      </c>
      <c r="G623" s="328" t="s">
        <v>673</v>
      </c>
      <c r="H623" s="328" t="s">
        <v>2863</v>
      </c>
      <c r="I623" s="258" t="s">
        <v>2864</v>
      </c>
      <c r="J623" s="259" t="s">
        <v>846</v>
      </c>
      <c r="K623" s="260" t="s">
        <v>3435</v>
      </c>
      <c r="L623" s="328"/>
      <c r="M623" s="343"/>
      <c r="N623" s="173" t="s">
        <v>679</v>
      </c>
      <c r="O623" s="173" t="s">
        <v>225</v>
      </c>
      <c r="P623" s="262" t="str">
        <f t="shared" si="1"/>
        <v>IN-BLR-ANANTA-VAV-195_1</v>
      </c>
      <c r="Q623" s="173" t="s">
        <v>3436</v>
      </c>
      <c r="R623" s="328" t="str">
        <f>IFS(C623="","",C623="n/a","N/A",LEN(C623),Concatenate("{",char(34),"asset",char(34),":{",char(34),"guid",char(34),":",char(34),Q623,char(34),",",char(34),"site",char(34),":",char(34),LOWER('2-Building'!$B$4),char(34),",",char(34),"name",char(34),":",char(34),LOWER(C623),char(34),"}}"))</f>
        <v>{"asset":{"guid":"uuid://75280b33-7547-46ac-a650-fa9064411e6a","site":"in-blr-ananta","name":"vav-195"}}</v>
      </c>
      <c r="S623" s="237" t="s">
        <v>2866</v>
      </c>
      <c r="T623" s="330"/>
      <c r="U623" s="330"/>
      <c r="V623" s="331"/>
      <c r="W623" s="344"/>
      <c r="X623" s="341"/>
      <c r="Y623" s="33" t="s">
        <v>2867</v>
      </c>
      <c r="Z623" s="258">
        <v>120195.0</v>
      </c>
      <c r="AA623" s="334">
        <v>11614.0</v>
      </c>
      <c r="AB623" s="341"/>
      <c r="AC623" s="341"/>
      <c r="AD623" s="343"/>
      <c r="AE623" s="331"/>
      <c r="AF623" s="348"/>
      <c r="AG623" s="337"/>
      <c r="AH623" s="341"/>
      <c r="AI623" s="341"/>
      <c r="AJ623" s="341"/>
      <c r="AK623" s="341"/>
      <c r="AL623" s="341"/>
      <c r="AM623" s="338"/>
      <c r="AN623" s="341"/>
      <c r="AO623" s="341"/>
      <c r="AP623" s="341"/>
      <c r="AQ623" s="341"/>
      <c r="AR623" s="341"/>
      <c r="AS623" s="341"/>
      <c r="AT623" s="341"/>
      <c r="AU623" s="343"/>
      <c r="AV623" s="341"/>
      <c r="AW623" s="269" t="s">
        <v>1982</v>
      </c>
      <c r="AX623" s="334" t="s">
        <v>2869</v>
      </c>
      <c r="AY623" s="270" t="s">
        <v>695</v>
      </c>
      <c r="AZ623" s="270" t="s">
        <v>2866</v>
      </c>
      <c r="BA623" s="265">
        <v>10.0</v>
      </c>
      <c r="BB623" s="174" t="s">
        <v>245</v>
      </c>
      <c r="BC623" s="341"/>
      <c r="BD623" s="308"/>
      <c r="BE623" s="347"/>
      <c r="BF623" s="274" t="str">
        <f>IFERROR(__xludf.DUMMYFUNCTION("LOWER(Regexreplace(to_text(E623),""[^A-Za-z0-9]"","""")&amp;""_""&amp;Regexreplace(to_text(F623),""[^A-Za-z0-9]"",""""))"),"neptronic_evcbseries")</f>
        <v>neptronic_evcbseries</v>
      </c>
      <c r="BG623" s="275" t="str">
        <f>IFERROR(__xludf.DUMMYFUNCTION("upper(Regexreplace(to_text(E623),""[^A-Za-z0-9]"","""")&amp;""-""&amp;Regexreplace(to_text(F623),""[^A-Za-z0-9]"",""""))"),"NEPTRONIC-EVCBSERIES")</f>
        <v>NEPTRONIC-EVCBSERIES</v>
      </c>
    </row>
    <row r="624" ht="30.0" customHeight="1">
      <c r="A624" s="258">
        <v>616.0</v>
      </c>
      <c r="B624" s="237" t="s">
        <v>670</v>
      </c>
      <c r="C624" s="257" t="s">
        <v>3437</v>
      </c>
      <c r="D624" s="173" t="s">
        <v>3437</v>
      </c>
      <c r="E624" s="174" t="s">
        <v>2861</v>
      </c>
      <c r="F624" s="173" t="s">
        <v>2862</v>
      </c>
      <c r="G624" s="328" t="s">
        <v>673</v>
      </c>
      <c r="H624" s="328" t="s">
        <v>2863</v>
      </c>
      <c r="I624" s="258" t="s">
        <v>2864</v>
      </c>
      <c r="J624" s="259" t="s">
        <v>846</v>
      </c>
      <c r="K624" s="260" t="s">
        <v>3438</v>
      </c>
      <c r="L624" s="328"/>
      <c r="M624" s="343"/>
      <c r="N624" s="173" t="s">
        <v>679</v>
      </c>
      <c r="O624" s="173" t="s">
        <v>225</v>
      </c>
      <c r="P624" s="262" t="str">
        <f t="shared" si="1"/>
        <v>IN-BLR-ANANTA-VAV-196_1</v>
      </c>
      <c r="Q624" s="173" t="s">
        <v>3439</v>
      </c>
      <c r="R624" s="328" t="str">
        <f>IFS(C624="","",C624="n/a","N/A",LEN(C624),Concatenate("{",char(34),"asset",char(34),":{",char(34),"guid",char(34),":",char(34),Q624,char(34),",",char(34),"site",char(34),":",char(34),LOWER('2-Building'!$B$4),char(34),",",char(34),"name",char(34),":",char(34),LOWER(C624),char(34),"}}"))</f>
        <v>{"asset":{"guid":"uuid://e2e47c75-d5a3-444e-9813-e3cd137012be","site":"in-blr-ananta","name":"vav-196"}}</v>
      </c>
      <c r="S624" s="237" t="s">
        <v>2866</v>
      </c>
      <c r="T624" s="330"/>
      <c r="U624" s="330"/>
      <c r="V624" s="331"/>
      <c r="W624" s="344"/>
      <c r="X624" s="341"/>
      <c r="Y624" s="33" t="s">
        <v>2867</v>
      </c>
      <c r="Z624" s="258">
        <v>120196.0</v>
      </c>
      <c r="AA624" s="334">
        <v>11614.0</v>
      </c>
      <c r="AB624" s="341"/>
      <c r="AC624" s="341"/>
      <c r="AD624" s="343"/>
      <c r="AE624" s="331"/>
      <c r="AF624" s="348"/>
      <c r="AG624" s="337"/>
      <c r="AH624" s="341"/>
      <c r="AI624" s="341"/>
      <c r="AJ624" s="341"/>
      <c r="AK624" s="341"/>
      <c r="AL624" s="341"/>
      <c r="AM624" s="338"/>
      <c r="AN624" s="341"/>
      <c r="AO624" s="341"/>
      <c r="AP624" s="341"/>
      <c r="AQ624" s="341"/>
      <c r="AR624" s="341"/>
      <c r="AS624" s="341"/>
      <c r="AT624" s="341"/>
      <c r="AU624" s="343"/>
      <c r="AV624" s="341"/>
      <c r="AW624" s="269" t="s">
        <v>1982</v>
      </c>
      <c r="AX624" s="334" t="s">
        <v>2869</v>
      </c>
      <c r="AY624" s="270" t="s">
        <v>695</v>
      </c>
      <c r="AZ624" s="270" t="s">
        <v>2866</v>
      </c>
      <c r="BA624" s="265">
        <v>10.0</v>
      </c>
      <c r="BB624" s="174" t="s">
        <v>245</v>
      </c>
      <c r="BC624" s="341"/>
      <c r="BD624" s="308"/>
      <c r="BE624" s="347"/>
      <c r="BF624" s="274" t="str">
        <f>IFERROR(__xludf.DUMMYFUNCTION("LOWER(Regexreplace(to_text(E624),""[^A-Za-z0-9]"","""")&amp;""_""&amp;Regexreplace(to_text(F624),""[^A-Za-z0-9]"",""""))"),"neptronic_evcbseries")</f>
        <v>neptronic_evcbseries</v>
      </c>
      <c r="BG624" s="275" t="str">
        <f>IFERROR(__xludf.DUMMYFUNCTION("upper(Regexreplace(to_text(E624),""[^A-Za-z0-9]"","""")&amp;""-""&amp;Regexreplace(to_text(F624),""[^A-Za-z0-9]"",""""))"),"NEPTRONIC-EVCBSERIES")</f>
        <v>NEPTRONIC-EVCBSERIES</v>
      </c>
    </row>
    <row r="625" ht="30.0" customHeight="1">
      <c r="A625" s="173">
        <v>617.0</v>
      </c>
      <c r="B625" s="237" t="s">
        <v>670</v>
      </c>
      <c r="C625" s="257" t="s">
        <v>3440</v>
      </c>
      <c r="D625" s="173" t="s">
        <v>3440</v>
      </c>
      <c r="E625" s="174" t="s">
        <v>2861</v>
      </c>
      <c r="F625" s="173" t="s">
        <v>2862</v>
      </c>
      <c r="G625" s="328" t="s">
        <v>673</v>
      </c>
      <c r="H625" s="328" t="s">
        <v>2863</v>
      </c>
      <c r="I625" s="258" t="s">
        <v>2864</v>
      </c>
      <c r="J625" s="259" t="s">
        <v>846</v>
      </c>
      <c r="K625" s="260" t="s">
        <v>3441</v>
      </c>
      <c r="L625" s="328"/>
      <c r="M625" s="343"/>
      <c r="N625" s="173" t="s">
        <v>679</v>
      </c>
      <c r="O625" s="173" t="s">
        <v>225</v>
      </c>
      <c r="P625" s="262" t="str">
        <f t="shared" si="1"/>
        <v>IN-BLR-ANANTA-VAV-197_1</v>
      </c>
      <c r="Q625" s="173" t="s">
        <v>3442</v>
      </c>
      <c r="R625" s="328" t="str">
        <f>IFS(C625="","",C625="n/a","N/A",LEN(C625),Concatenate("{",char(34),"asset",char(34),":{",char(34),"guid",char(34),":",char(34),Q625,char(34),",",char(34),"site",char(34),":",char(34),LOWER('2-Building'!$B$4),char(34),",",char(34),"name",char(34),":",char(34),LOWER(C625),char(34),"}}"))</f>
        <v>{"asset":{"guid":"uuid://79af4388-5107-4af8-b423-cabca2bdd171","site":"in-blr-ananta","name":"vav-197"}}</v>
      </c>
      <c r="S625" s="237" t="s">
        <v>2866</v>
      </c>
      <c r="T625" s="330"/>
      <c r="U625" s="330"/>
      <c r="V625" s="331"/>
      <c r="W625" s="344"/>
      <c r="X625" s="341"/>
      <c r="Y625" s="33" t="s">
        <v>2867</v>
      </c>
      <c r="Z625" s="258">
        <v>120197.0</v>
      </c>
      <c r="AA625" s="334">
        <v>11614.0</v>
      </c>
      <c r="AB625" s="341"/>
      <c r="AC625" s="341"/>
      <c r="AD625" s="343"/>
      <c r="AE625" s="331"/>
      <c r="AF625" s="348"/>
      <c r="AG625" s="337"/>
      <c r="AH625" s="341"/>
      <c r="AI625" s="341"/>
      <c r="AJ625" s="341"/>
      <c r="AK625" s="341"/>
      <c r="AL625" s="341"/>
      <c r="AM625" s="338"/>
      <c r="AN625" s="341"/>
      <c r="AO625" s="341"/>
      <c r="AP625" s="341"/>
      <c r="AQ625" s="341"/>
      <c r="AR625" s="341"/>
      <c r="AS625" s="341"/>
      <c r="AT625" s="341"/>
      <c r="AU625" s="343"/>
      <c r="AV625" s="341"/>
      <c r="AW625" s="269" t="s">
        <v>1982</v>
      </c>
      <c r="AX625" s="334" t="s">
        <v>2869</v>
      </c>
      <c r="AY625" s="270" t="s">
        <v>695</v>
      </c>
      <c r="AZ625" s="270" t="s">
        <v>2866</v>
      </c>
      <c r="BA625" s="265">
        <v>10.0</v>
      </c>
      <c r="BB625" s="174" t="s">
        <v>245</v>
      </c>
      <c r="BC625" s="341"/>
      <c r="BD625" s="308"/>
      <c r="BE625" s="347"/>
      <c r="BF625" s="274" t="str">
        <f>IFERROR(__xludf.DUMMYFUNCTION("LOWER(Regexreplace(to_text(E625),""[^A-Za-z0-9]"","""")&amp;""_""&amp;Regexreplace(to_text(F625),""[^A-Za-z0-9]"",""""))"),"neptronic_evcbseries")</f>
        <v>neptronic_evcbseries</v>
      </c>
      <c r="BG625" s="275" t="str">
        <f>IFERROR(__xludf.DUMMYFUNCTION("upper(Regexreplace(to_text(E625),""[^A-Za-z0-9]"","""")&amp;""-""&amp;Regexreplace(to_text(F625),""[^A-Za-z0-9]"",""""))"),"NEPTRONIC-EVCBSERIES")</f>
        <v>NEPTRONIC-EVCBSERIES</v>
      </c>
    </row>
    <row r="626" ht="30.0" customHeight="1">
      <c r="A626" s="258">
        <v>618.0</v>
      </c>
      <c r="B626" s="237" t="s">
        <v>670</v>
      </c>
      <c r="C626" s="257" t="s">
        <v>3443</v>
      </c>
      <c r="D626" s="173" t="s">
        <v>3443</v>
      </c>
      <c r="E626" s="174" t="s">
        <v>2861</v>
      </c>
      <c r="F626" s="173" t="s">
        <v>2862</v>
      </c>
      <c r="G626" s="328" t="s">
        <v>673</v>
      </c>
      <c r="H626" s="328" t="s">
        <v>2863</v>
      </c>
      <c r="I626" s="258" t="s">
        <v>2864</v>
      </c>
      <c r="J626" s="259" t="s">
        <v>846</v>
      </c>
      <c r="K626" s="260" t="s">
        <v>3444</v>
      </c>
      <c r="L626" s="328"/>
      <c r="M626" s="343"/>
      <c r="N626" s="173" t="s">
        <v>679</v>
      </c>
      <c r="O626" s="173" t="s">
        <v>225</v>
      </c>
      <c r="P626" s="262" t="str">
        <f t="shared" si="1"/>
        <v>IN-BLR-ANANTA-VAV-198_1</v>
      </c>
      <c r="Q626" s="173" t="s">
        <v>3445</v>
      </c>
      <c r="R626" s="328" t="str">
        <f>IFS(C626="","",C626="n/a","N/A",LEN(C626),Concatenate("{",char(34),"asset",char(34),":{",char(34),"guid",char(34),":",char(34),Q626,char(34),",",char(34),"site",char(34),":",char(34),LOWER('2-Building'!$B$4),char(34),",",char(34),"name",char(34),":",char(34),LOWER(C626),char(34),"}}"))</f>
        <v>{"asset":{"guid":"uuid://14d70fe0-3288-4469-a274-4a4ee900d4b1","site":"in-blr-ananta","name":"vav-198"}}</v>
      </c>
      <c r="S626" s="237" t="s">
        <v>2866</v>
      </c>
      <c r="T626" s="330"/>
      <c r="U626" s="330"/>
      <c r="V626" s="331"/>
      <c r="W626" s="344"/>
      <c r="X626" s="341"/>
      <c r="Y626" s="33" t="s">
        <v>2867</v>
      </c>
      <c r="Z626" s="258">
        <v>120198.0</v>
      </c>
      <c r="AA626" s="334">
        <v>11614.0</v>
      </c>
      <c r="AB626" s="341"/>
      <c r="AC626" s="341"/>
      <c r="AD626" s="343"/>
      <c r="AE626" s="331"/>
      <c r="AF626" s="348"/>
      <c r="AG626" s="337"/>
      <c r="AH626" s="341"/>
      <c r="AI626" s="341"/>
      <c r="AJ626" s="341"/>
      <c r="AK626" s="341"/>
      <c r="AL626" s="341"/>
      <c r="AM626" s="338"/>
      <c r="AN626" s="341"/>
      <c r="AO626" s="341"/>
      <c r="AP626" s="341"/>
      <c r="AQ626" s="341"/>
      <c r="AR626" s="341"/>
      <c r="AS626" s="341"/>
      <c r="AT626" s="341"/>
      <c r="AU626" s="343"/>
      <c r="AV626" s="341"/>
      <c r="AW626" s="269" t="s">
        <v>1982</v>
      </c>
      <c r="AX626" s="334" t="s">
        <v>2869</v>
      </c>
      <c r="AY626" s="270" t="s">
        <v>695</v>
      </c>
      <c r="AZ626" s="270" t="s">
        <v>2866</v>
      </c>
      <c r="BA626" s="265">
        <v>10.0</v>
      </c>
      <c r="BB626" s="174" t="s">
        <v>245</v>
      </c>
      <c r="BC626" s="341"/>
      <c r="BD626" s="308"/>
      <c r="BE626" s="347"/>
      <c r="BF626" s="274" t="str">
        <f>IFERROR(__xludf.DUMMYFUNCTION("LOWER(Regexreplace(to_text(E626),""[^A-Za-z0-9]"","""")&amp;""_""&amp;Regexreplace(to_text(F626),""[^A-Za-z0-9]"",""""))"),"neptronic_evcbseries")</f>
        <v>neptronic_evcbseries</v>
      </c>
      <c r="BG626" s="275" t="str">
        <f>IFERROR(__xludf.DUMMYFUNCTION("upper(Regexreplace(to_text(E626),""[^A-Za-z0-9]"","""")&amp;""-""&amp;Regexreplace(to_text(F626),""[^A-Za-z0-9]"",""""))"),"NEPTRONIC-EVCBSERIES")</f>
        <v>NEPTRONIC-EVCBSERIES</v>
      </c>
    </row>
    <row r="627" ht="30.0" customHeight="1">
      <c r="A627" s="173">
        <v>619.0</v>
      </c>
      <c r="B627" s="237" t="s">
        <v>670</v>
      </c>
      <c r="C627" s="257" t="s">
        <v>3446</v>
      </c>
      <c r="D627" s="173" t="s">
        <v>3446</v>
      </c>
      <c r="E627" s="174" t="s">
        <v>2861</v>
      </c>
      <c r="F627" s="173" t="s">
        <v>2862</v>
      </c>
      <c r="G627" s="328" t="s">
        <v>673</v>
      </c>
      <c r="H627" s="328" t="s">
        <v>2863</v>
      </c>
      <c r="I627" s="258" t="s">
        <v>2864</v>
      </c>
      <c r="J627" s="259" t="s">
        <v>846</v>
      </c>
      <c r="K627" s="260" t="s">
        <v>3447</v>
      </c>
      <c r="L627" s="328"/>
      <c r="M627" s="343"/>
      <c r="N627" s="173" t="s">
        <v>679</v>
      </c>
      <c r="O627" s="173" t="s">
        <v>225</v>
      </c>
      <c r="P627" s="262" t="str">
        <f t="shared" si="1"/>
        <v>IN-BLR-ANANTA-VAV-199_1</v>
      </c>
      <c r="Q627" s="173" t="s">
        <v>3448</v>
      </c>
      <c r="R627" s="328" t="str">
        <f>IFS(C627="","",C627="n/a","N/A",LEN(C627),Concatenate("{",char(34),"asset",char(34),":{",char(34),"guid",char(34),":",char(34),Q627,char(34),",",char(34),"site",char(34),":",char(34),LOWER('2-Building'!$B$4),char(34),",",char(34),"name",char(34),":",char(34),LOWER(C627),char(34),"}}"))</f>
        <v>{"asset":{"guid":"uuid://b5cab621-520e-43d3-bb8b-4c0fc0ef6d1c","site":"in-blr-ananta","name":"vav-199"}}</v>
      </c>
      <c r="S627" s="237" t="s">
        <v>2866</v>
      </c>
      <c r="T627" s="330"/>
      <c r="U627" s="330"/>
      <c r="V627" s="331"/>
      <c r="W627" s="344"/>
      <c r="X627" s="341"/>
      <c r="Y627" s="33" t="s">
        <v>2867</v>
      </c>
      <c r="Z627" s="258">
        <v>120199.0</v>
      </c>
      <c r="AA627" s="334">
        <v>11613.0</v>
      </c>
      <c r="AB627" s="341"/>
      <c r="AC627" s="341"/>
      <c r="AD627" s="343"/>
      <c r="AE627" s="331"/>
      <c r="AF627" s="348"/>
      <c r="AG627" s="337"/>
      <c r="AH627" s="341"/>
      <c r="AI627" s="341"/>
      <c r="AJ627" s="341"/>
      <c r="AK627" s="341"/>
      <c r="AL627" s="341"/>
      <c r="AM627" s="338"/>
      <c r="AN627" s="341"/>
      <c r="AO627" s="341"/>
      <c r="AP627" s="341"/>
      <c r="AQ627" s="341"/>
      <c r="AR627" s="341"/>
      <c r="AS627" s="341"/>
      <c r="AT627" s="341"/>
      <c r="AU627" s="343"/>
      <c r="AV627" s="341"/>
      <c r="AW627" s="269" t="s">
        <v>2003</v>
      </c>
      <c r="AX627" s="334" t="s">
        <v>2869</v>
      </c>
      <c r="AY627" s="270" t="s">
        <v>695</v>
      </c>
      <c r="AZ627" s="270" t="s">
        <v>2866</v>
      </c>
      <c r="BA627" s="265">
        <v>10.0</v>
      </c>
      <c r="BB627" s="174" t="s">
        <v>245</v>
      </c>
      <c r="BC627" s="341"/>
      <c r="BD627" s="308"/>
      <c r="BE627" s="347"/>
      <c r="BF627" s="274" t="str">
        <f>IFERROR(__xludf.DUMMYFUNCTION("LOWER(Regexreplace(to_text(E627),""[^A-Za-z0-9]"","""")&amp;""_""&amp;Regexreplace(to_text(F627),""[^A-Za-z0-9]"",""""))"),"neptronic_evcbseries")</f>
        <v>neptronic_evcbseries</v>
      </c>
      <c r="BG627" s="275" t="str">
        <f>IFERROR(__xludf.DUMMYFUNCTION("upper(Regexreplace(to_text(E627),""[^A-Za-z0-9]"","""")&amp;""-""&amp;Regexreplace(to_text(F627),""[^A-Za-z0-9]"",""""))"),"NEPTRONIC-EVCBSERIES")</f>
        <v>NEPTRONIC-EVCBSERIES</v>
      </c>
    </row>
    <row r="628" ht="30.0" customHeight="1">
      <c r="A628" s="258">
        <v>620.0</v>
      </c>
      <c r="B628" s="237" t="s">
        <v>670</v>
      </c>
      <c r="C628" s="257" t="s">
        <v>3449</v>
      </c>
      <c r="D628" s="173" t="s">
        <v>3449</v>
      </c>
      <c r="E628" s="174" t="s">
        <v>2861</v>
      </c>
      <c r="F628" s="173" t="s">
        <v>2862</v>
      </c>
      <c r="G628" s="328" t="s">
        <v>673</v>
      </c>
      <c r="H628" s="328" t="s">
        <v>2863</v>
      </c>
      <c r="I628" s="258" t="s">
        <v>2864</v>
      </c>
      <c r="J628" s="259" t="s">
        <v>846</v>
      </c>
      <c r="K628" s="260" t="s">
        <v>3450</v>
      </c>
      <c r="L628" s="328"/>
      <c r="M628" s="343"/>
      <c r="N628" s="173" t="s">
        <v>679</v>
      </c>
      <c r="O628" s="173" t="s">
        <v>225</v>
      </c>
      <c r="P628" s="262" t="str">
        <f t="shared" si="1"/>
        <v>IN-BLR-ANANTA-VAV-200_1</v>
      </c>
      <c r="Q628" s="173" t="s">
        <v>3451</v>
      </c>
      <c r="R628" s="328" t="str">
        <f>IFS(C628="","",C628="n/a","N/A",LEN(C628),Concatenate("{",char(34),"asset",char(34),":{",char(34),"guid",char(34),":",char(34),Q628,char(34),",",char(34),"site",char(34),":",char(34),LOWER('2-Building'!$B$4),char(34),",",char(34),"name",char(34),":",char(34),LOWER(C628),char(34),"}}"))</f>
        <v>{"asset":{"guid":"uuid://570d9eb5-8654-45b5-87e3-df0b868ceb64","site":"in-blr-ananta","name":"vav-200"}}</v>
      </c>
      <c r="S628" s="237" t="s">
        <v>2866</v>
      </c>
      <c r="T628" s="330"/>
      <c r="U628" s="330"/>
      <c r="V628" s="331"/>
      <c r="W628" s="344"/>
      <c r="X628" s="341"/>
      <c r="Y628" s="33" t="s">
        <v>2867</v>
      </c>
      <c r="Z628" s="258">
        <v>120200.0</v>
      </c>
      <c r="AA628" s="334">
        <v>11613.0</v>
      </c>
      <c r="AB628" s="341"/>
      <c r="AC628" s="341"/>
      <c r="AD628" s="343"/>
      <c r="AE628" s="331"/>
      <c r="AF628" s="348"/>
      <c r="AG628" s="337"/>
      <c r="AH628" s="341"/>
      <c r="AI628" s="341"/>
      <c r="AJ628" s="341"/>
      <c r="AK628" s="341"/>
      <c r="AL628" s="341"/>
      <c r="AM628" s="338"/>
      <c r="AN628" s="341"/>
      <c r="AO628" s="341"/>
      <c r="AP628" s="341"/>
      <c r="AQ628" s="341"/>
      <c r="AR628" s="341"/>
      <c r="AS628" s="341"/>
      <c r="AT628" s="341"/>
      <c r="AU628" s="343"/>
      <c r="AV628" s="341"/>
      <c r="AW628" s="269" t="s">
        <v>2003</v>
      </c>
      <c r="AX628" s="334" t="s">
        <v>2869</v>
      </c>
      <c r="AY628" s="270" t="s">
        <v>695</v>
      </c>
      <c r="AZ628" s="270" t="s">
        <v>2866</v>
      </c>
      <c r="BA628" s="265">
        <v>10.0</v>
      </c>
      <c r="BB628" s="174" t="s">
        <v>245</v>
      </c>
      <c r="BC628" s="341"/>
      <c r="BD628" s="308"/>
      <c r="BE628" s="347"/>
      <c r="BF628" s="274" t="str">
        <f>IFERROR(__xludf.DUMMYFUNCTION("LOWER(Regexreplace(to_text(E628),""[^A-Za-z0-9]"","""")&amp;""_""&amp;Regexreplace(to_text(F628),""[^A-Za-z0-9]"",""""))"),"neptronic_evcbseries")</f>
        <v>neptronic_evcbseries</v>
      </c>
      <c r="BG628" s="275" t="str">
        <f>IFERROR(__xludf.DUMMYFUNCTION("upper(Regexreplace(to_text(E628),""[^A-Za-z0-9]"","""")&amp;""-""&amp;Regexreplace(to_text(F628),""[^A-Za-z0-9]"",""""))"),"NEPTRONIC-EVCBSERIES")</f>
        <v>NEPTRONIC-EVCBSERIES</v>
      </c>
    </row>
    <row r="629" ht="30.0" customHeight="1">
      <c r="A629" s="173">
        <v>621.0</v>
      </c>
      <c r="B629" s="237" t="s">
        <v>670</v>
      </c>
      <c r="C629" s="257" t="s">
        <v>3452</v>
      </c>
      <c r="D629" s="173" t="s">
        <v>3452</v>
      </c>
      <c r="E629" s="174" t="s">
        <v>2861</v>
      </c>
      <c r="F629" s="173" t="s">
        <v>2862</v>
      </c>
      <c r="G629" s="328" t="s">
        <v>673</v>
      </c>
      <c r="H629" s="328" t="s">
        <v>2863</v>
      </c>
      <c r="I629" s="258" t="s">
        <v>2864</v>
      </c>
      <c r="J629" s="259" t="s">
        <v>846</v>
      </c>
      <c r="K629" s="260" t="s">
        <v>3453</v>
      </c>
      <c r="L629" s="328"/>
      <c r="M629" s="343"/>
      <c r="N629" s="173" t="s">
        <v>679</v>
      </c>
      <c r="O629" s="173" t="s">
        <v>225</v>
      </c>
      <c r="P629" s="262" t="str">
        <f t="shared" si="1"/>
        <v>IN-BLR-ANANTA-VAV-201_1</v>
      </c>
      <c r="Q629" s="173" t="s">
        <v>3454</v>
      </c>
      <c r="R629" s="328" t="str">
        <f>IFS(C629="","",C629="n/a","N/A",LEN(C629),Concatenate("{",char(34),"asset",char(34),":{",char(34),"guid",char(34),":",char(34),Q629,char(34),",",char(34),"site",char(34),":",char(34),LOWER('2-Building'!$B$4),char(34),",",char(34),"name",char(34),":",char(34),LOWER(C629),char(34),"}}"))</f>
        <v>{"asset":{"guid":"uuid://a75752f2-f064-4e5a-8cca-70607dd4af15","site":"in-blr-ananta","name":"vav-201"}}</v>
      </c>
      <c r="S629" s="237" t="s">
        <v>2866</v>
      </c>
      <c r="T629" s="330"/>
      <c r="U629" s="330"/>
      <c r="V629" s="331"/>
      <c r="W629" s="344"/>
      <c r="X629" s="341"/>
      <c r="Y629" s="33" t="s">
        <v>2867</v>
      </c>
      <c r="Z629" s="258">
        <v>120201.0</v>
      </c>
      <c r="AA629" s="334">
        <v>11613.0</v>
      </c>
      <c r="AB629" s="341"/>
      <c r="AC629" s="341"/>
      <c r="AD629" s="343"/>
      <c r="AE629" s="331"/>
      <c r="AF629" s="348"/>
      <c r="AG629" s="337"/>
      <c r="AH629" s="341"/>
      <c r="AI629" s="341"/>
      <c r="AJ629" s="341"/>
      <c r="AK629" s="341"/>
      <c r="AL629" s="341"/>
      <c r="AM629" s="338"/>
      <c r="AN629" s="341"/>
      <c r="AO629" s="341"/>
      <c r="AP629" s="341"/>
      <c r="AQ629" s="341"/>
      <c r="AR629" s="341"/>
      <c r="AS629" s="341"/>
      <c r="AT629" s="341"/>
      <c r="AU629" s="343"/>
      <c r="AV629" s="341"/>
      <c r="AW629" s="269" t="s">
        <v>2003</v>
      </c>
      <c r="AX629" s="334" t="s">
        <v>2869</v>
      </c>
      <c r="AY629" s="270" t="s">
        <v>695</v>
      </c>
      <c r="AZ629" s="270" t="s">
        <v>2866</v>
      </c>
      <c r="BA629" s="265">
        <v>10.0</v>
      </c>
      <c r="BB629" s="174" t="s">
        <v>245</v>
      </c>
      <c r="BC629" s="341"/>
      <c r="BD629" s="308"/>
      <c r="BE629" s="347"/>
      <c r="BF629" s="274" t="str">
        <f>IFERROR(__xludf.DUMMYFUNCTION("LOWER(Regexreplace(to_text(E629),""[^A-Za-z0-9]"","""")&amp;""_""&amp;Regexreplace(to_text(F629),""[^A-Za-z0-9]"",""""))"),"neptronic_evcbseries")</f>
        <v>neptronic_evcbseries</v>
      </c>
      <c r="BG629" s="275" t="str">
        <f>IFERROR(__xludf.DUMMYFUNCTION("upper(Regexreplace(to_text(E629),""[^A-Za-z0-9]"","""")&amp;""-""&amp;Regexreplace(to_text(F629),""[^A-Za-z0-9]"",""""))"),"NEPTRONIC-EVCBSERIES")</f>
        <v>NEPTRONIC-EVCBSERIES</v>
      </c>
    </row>
    <row r="630" ht="30.0" customHeight="1">
      <c r="A630" s="258">
        <v>622.0</v>
      </c>
      <c r="B630" s="237" t="s">
        <v>670</v>
      </c>
      <c r="C630" s="257" t="s">
        <v>3455</v>
      </c>
      <c r="D630" s="173" t="s">
        <v>3455</v>
      </c>
      <c r="E630" s="174" t="s">
        <v>2861</v>
      </c>
      <c r="F630" s="173" t="s">
        <v>2862</v>
      </c>
      <c r="G630" s="328" t="s">
        <v>673</v>
      </c>
      <c r="H630" s="328" t="s">
        <v>2863</v>
      </c>
      <c r="I630" s="258" t="s">
        <v>2864</v>
      </c>
      <c r="J630" s="259" t="s">
        <v>846</v>
      </c>
      <c r="K630" s="260" t="s">
        <v>3456</v>
      </c>
      <c r="L630" s="328"/>
      <c r="M630" s="343"/>
      <c r="N630" s="173" t="s">
        <v>679</v>
      </c>
      <c r="O630" s="173" t="s">
        <v>225</v>
      </c>
      <c r="P630" s="262" t="str">
        <f t="shared" si="1"/>
        <v>IN-BLR-ANANTA-VAV-202_1</v>
      </c>
      <c r="Q630" s="173" t="s">
        <v>3457</v>
      </c>
      <c r="R630" s="328" t="str">
        <f>IFS(C630="","",C630="n/a","N/A",LEN(C630),Concatenate("{",char(34),"asset",char(34),":{",char(34),"guid",char(34),":",char(34),Q630,char(34),",",char(34),"site",char(34),":",char(34),LOWER('2-Building'!$B$4),char(34),",",char(34),"name",char(34),":",char(34),LOWER(C630),char(34),"}}"))</f>
        <v>{"asset":{"guid":"uuid://78e6b886-ad78-48be-b6cd-e103a88193b2","site":"in-blr-ananta","name":"vav-202"}}</v>
      </c>
      <c r="S630" s="237" t="s">
        <v>2866</v>
      </c>
      <c r="T630" s="330"/>
      <c r="U630" s="330"/>
      <c r="V630" s="331"/>
      <c r="W630" s="344"/>
      <c r="X630" s="341"/>
      <c r="Y630" s="33" t="s">
        <v>2867</v>
      </c>
      <c r="Z630" s="258">
        <v>120202.0</v>
      </c>
      <c r="AA630" s="334">
        <v>11613.0</v>
      </c>
      <c r="AB630" s="341"/>
      <c r="AC630" s="341"/>
      <c r="AD630" s="343"/>
      <c r="AE630" s="331"/>
      <c r="AF630" s="348"/>
      <c r="AG630" s="337"/>
      <c r="AH630" s="341"/>
      <c r="AI630" s="341"/>
      <c r="AJ630" s="341"/>
      <c r="AK630" s="341"/>
      <c r="AL630" s="341"/>
      <c r="AM630" s="338"/>
      <c r="AN630" s="341"/>
      <c r="AO630" s="341"/>
      <c r="AP630" s="341"/>
      <c r="AQ630" s="341"/>
      <c r="AR630" s="341"/>
      <c r="AS630" s="341"/>
      <c r="AT630" s="341"/>
      <c r="AU630" s="343"/>
      <c r="AV630" s="341"/>
      <c r="AW630" s="269" t="s">
        <v>2003</v>
      </c>
      <c r="AX630" s="334" t="s">
        <v>2869</v>
      </c>
      <c r="AY630" s="270" t="s">
        <v>695</v>
      </c>
      <c r="AZ630" s="270" t="s">
        <v>2866</v>
      </c>
      <c r="BA630" s="265">
        <v>10.0</v>
      </c>
      <c r="BB630" s="174" t="s">
        <v>245</v>
      </c>
      <c r="BC630" s="341"/>
      <c r="BD630" s="308"/>
      <c r="BE630" s="347"/>
      <c r="BF630" s="274" t="str">
        <f>IFERROR(__xludf.DUMMYFUNCTION("LOWER(Regexreplace(to_text(E630),""[^A-Za-z0-9]"","""")&amp;""_""&amp;Regexreplace(to_text(F630),""[^A-Za-z0-9]"",""""))"),"neptronic_evcbseries")</f>
        <v>neptronic_evcbseries</v>
      </c>
      <c r="BG630" s="275" t="str">
        <f>IFERROR(__xludf.DUMMYFUNCTION("upper(Regexreplace(to_text(E630),""[^A-Za-z0-9]"","""")&amp;""-""&amp;Regexreplace(to_text(F630),""[^A-Za-z0-9]"",""""))"),"NEPTRONIC-EVCBSERIES")</f>
        <v>NEPTRONIC-EVCBSERIES</v>
      </c>
    </row>
    <row r="631" ht="30.0" customHeight="1">
      <c r="A631" s="173">
        <v>623.0</v>
      </c>
      <c r="B631" s="237" t="s">
        <v>670</v>
      </c>
      <c r="C631" s="257" t="s">
        <v>3458</v>
      </c>
      <c r="D631" s="173" t="s">
        <v>3458</v>
      </c>
      <c r="E631" s="174" t="s">
        <v>2861</v>
      </c>
      <c r="F631" s="173" t="s">
        <v>2862</v>
      </c>
      <c r="G631" s="328" t="s">
        <v>673</v>
      </c>
      <c r="H631" s="328" t="s">
        <v>2863</v>
      </c>
      <c r="I631" s="258" t="s">
        <v>2864</v>
      </c>
      <c r="J631" s="259" t="s">
        <v>846</v>
      </c>
      <c r="K631" s="260" t="s">
        <v>3459</v>
      </c>
      <c r="L631" s="328"/>
      <c r="M631" s="343"/>
      <c r="N631" s="173" t="s">
        <v>679</v>
      </c>
      <c r="O631" s="173" t="s">
        <v>225</v>
      </c>
      <c r="P631" s="262" t="str">
        <f t="shared" si="1"/>
        <v>IN-BLR-ANANTA-VAV-203_1</v>
      </c>
      <c r="Q631" s="173" t="s">
        <v>3460</v>
      </c>
      <c r="R631" s="328" t="str">
        <f>IFS(C631="","",C631="n/a","N/A",LEN(C631),Concatenate("{",char(34),"asset",char(34),":{",char(34),"guid",char(34),":",char(34),Q631,char(34),",",char(34),"site",char(34),":",char(34),LOWER('2-Building'!$B$4),char(34),",",char(34),"name",char(34),":",char(34),LOWER(C631),char(34),"}}"))</f>
        <v>{"asset":{"guid":"uuid://fe9e423a-9402-4fd1-8089-35413889e41c","site":"in-blr-ananta","name":"vav-203"}}</v>
      </c>
      <c r="S631" s="237" t="s">
        <v>2866</v>
      </c>
      <c r="T631" s="330"/>
      <c r="U631" s="330"/>
      <c r="V631" s="331"/>
      <c r="W631" s="344"/>
      <c r="X631" s="341"/>
      <c r="Y631" s="33" t="s">
        <v>2867</v>
      </c>
      <c r="Z631" s="258">
        <v>120203.0</v>
      </c>
      <c r="AA631" s="334">
        <v>11613.0</v>
      </c>
      <c r="AB631" s="341"/>
      <c r="AC631" s="341"/>
      <c r="AD631" s="343"/>
      <c r="AE631" s="331"/>
      <c r="AF631" s="348"/>
      <c r="AG631" s="337"/>
      <c r="AH631" s="341"/>
      <c r="AI631" s="341"/>
      <c r="AJ631" s="341"/>
      <c r="AK631" s="341"/>
      <c r="AL631" s="341"/>
      <c r="AM631" s="338"/>
      <c r="AN631" s="341"/>
      <c r="AO631" s="341"/>
      <c r="AP631" s="341"/>
      <c r="AQ631" s="341"/>
      <c r="AR631" s="341"/>
      <c r="AS631" s="341"/>
      <c r="AT631" s="341"/>
      <c r="AU631" s="343"/>
      <c r="AV631" s="341"/>
      <c r="AW631" s="269" t="s">
        <v>2003</v>
      </c>
      <c r="AX631" s="334" t="s">
        <v>2869</v>
      </c>
      <c r="AY631" s="270" t="s">
        <v>695</v>
      </c>
      <c r="AZ631" s="270" t="s">
        <v>2866</v>
      </c>
      <c r="BA631" s="265">
        <v>10.0</v>
      </c>
      <c r="BB631" s="174" t="s">
        <v>245</v>
      </c>
      <c r="BC631" s="341"/>
      <c r="BD631" s="308"/>
      <c r="BE631" s="347"/>
      <c r="BF631" s="274" t="str">
        <f>IFERROR(__xludf.DUMMYFUNCTION("LOWER(Regexreplace(to_text(E631),""[^A-Za-z0-9]"","""")&amp;""_""&amp;Regexreplace(to_text(F631),""[^A-Za-z0-9]"",""""))"),"neptronic_evcbseries")</f>
        <v>neptronic_evcbseries</v>
      </c>
      <c r="BG631" s="275" t="str">
        <f>IFERROR(__xludf.DUMMYFUNCTION("upper(Regexreplace(to_text(E631),""[^A-Za-z0-9]"","""")&amp;""-""&amp;Regexreplace(to_text(F631),""[^A-Za-z0-9]"",""""))"),"NEPTRONIC-EVCBSERIES")</f>
        <v>NEPTRONIC-EVCBSERIES</v>
      </c>
    </row>
    <row r="632" ht="30.0" customHeight="1">
      <c r="A632" s="258">
        <v>624.0</v>
      </c>
      <c r="B632" s="237" t="s">
        <v>670</v>
      </c>
      <c r="C632" s="257" t="s">
        <v>3461</v>
      </c>
      <c r="D632" s="173" t="s">
        <v>3461</v>
      </c>
      <c r="E632" s="174" t="s">
        <v>2861</v>
      </c>
      <c r="F632" s="173" t="s">
        <v>2862</v>
      </c>
      <c r="G632" s="328" t="s">
        <v>673</v>
      </c>
      <c r="H632" s="328" t="s">
        <v>2863</v>
      </c>
      <c r="I632" s="258" t="s">
        <v>2864</v>
      </c>
      <c r="J632" s="259" t="s">
        <v>846</v>
      </c>
      <c r="K632" s="260" t="s">
        <v>3462</v>
      </c>
      <c r="L632" s="328"/>
      <c r="M632" s="343"/>
      <c r="N632" s="173" t="s">
        <v>679</v>
      </c>
      <c r="O632" s="173" t="s">
        <v>225</v>
      </c>
      <c r="P632" s="262" t="str">
        <f t="shared" si="1"/>
        <v>IN-BLR-ANANTA-VAV-204_1</v>
      </c>
      <c r="Q632" s="173" t="s">
        <v>3463</v>
      </c>
      <c r="R632" s="328" t="str">
        <f>IFS(C632="","",C632="n/a","N/A",LEN(C632),Concatenate("{",char(34),"asset",char(34),":{",char(34),"guid",char(34),":",char(34),Q632,char(34),",",char(34),"site",char(34),":",char(34),LOWER('2-Building'!$B$4),char(34),",",char(34),"name",char(34),":",char(34),LOWER(C632),char(34),"}}"))</f>
        <v>{"asset":{"guid":"uuid://7865a920-bc93-45cd-9d20-1ed8d38c636a","site":"in-blr-ananta","name":"vav-204"}}</v>
      </c>
      <c r="S632" s="237" t="s">
        <v>2866</v>
      </c>
      <c r="T632" s="330"/>
      <c r="U632" s="330"/>
      <c r="V632" s="331"/>
      <c r="W632" s="344"/>
      <c r="X632" s="341"/>
      <c r="Y632" s="33" t="s">
        <v>2867</v>
      </c>
      <c r="Z632" s="258">
        <v>120204.0</v>
      </c>
      <c r="AA632" s="334">
        <v>11613.0</v>
      </c>
      <c r="AB632" s="341"/>
      <c r="AC632" s="341"/>
      <c r="AD632" s="343"/>
      <c r="AE632" s="331"/>
      <c r="AF632" s="348"/>
      <c r="AG632" s="337"/>
      <c r="AH632" s="341"/>
      <c r="AI632" s="341"/>
      <c r="AJ632" s="341"/>
      <c r="AK632" s="341"/>
      <c r="AL632" s="341"/>
      <c r="AM632" s="338"/>
      <c r="AN632" s="341"/>
      <c r="AO632" s="341"/>
      <c r="AP632" s="341"/>
      <c r="AQ632" s="341"/>
      <c r="AR632" s="341"/>
      <c r="AS632" s="341"/>
      <c r="AT632" s="341"/>
      <c r="AU632" s="343"/>
      <c r="AV632" s="341"/>
      <c r="AW632" s="269" t="s">
        <v>2003</v>
      </c>
      <c r="AX632" s="334" t="s">
        <v>2869</v>
      </c>
      <c r="AY632" s="270" t="s">
        <v>695</v>
      </c>
      <c r="AZ632" s="270" t="s">
        <v>2866</v>
      </c>
      <c r="BA632" s="265">
        <v>10.0</v>
      </c>
      <c r="BB632" s="174" t="s">
        <v>245</v>
      </c>
      <c r="BC632" s="341"/>
      <c r="BD632" s="308"/>
      <c r="BE632" s="347"/>
      <c r="BF632" s="274" t="str">
        <f>IFERROR(__xludf.DUMMYFUNCTION("LOWER(Regexreplace(to_text(E632),""[^A-Za-z0-9]"","""")&amp;""_""&amp;Regexreplace(to_text(F632),""[^A-Za-z0-9]"",""""))"),"neptronic_evcbseries")</f>
        <v>neptronic_evcbseries</v>
      </c>
      <c r="BG632" s="275" t="str">
        <f>IFERROR(__xludf.DUMMYFUNCTION("upper(Regexreplace(to_text(E632),""[^A-Za-z0-9]"","""")&amp;""-""&amp;Regexreplace(to_text(F632),""[^A-Za-z0-9]"",""""))"),"NEPTRONIC-EVCBSERIES")</f>
        <v>NEPTRONIC-EVCBSERIES</v>
      </c>
    </row>
    <row r="633" ht="30.0" customHeight="1">
      <c r="A633" s="173">
        <v>625.0</v>
      </c>
      <c r="B633" s="237" t="s">
        <v>670</v>
      </c>
      <c r="C633" s="257" t="s">
        <v>3464</v>
      </c>
      <c r="D633" s="173" t="s">
        <v>3464</v>
      </c>
      <c r="E633" s="174" t="s">
        <v>2861</v>
      </c>
      <c r="F633" s="173" t="s">
        <v>2862</v>
      </c>
      <c r="G633" s="328" t="s">
        <v>673</v>
      </c>
      <c r="H633" s="328" t="s">
        <v>2863</v>
      </c>
      <c r="I633" s="258" t="s">
        <v>2864</v>
      </c>
      <c r="J633" s="259" t="s">
        <v>846</v>
      </c>
      <c r="K633" s="260" t="s">
        <v>3465</v>
      </c>
      <c r="L633" s="328"/>
      <c r="M633" s="343"/>
      <c r="N633" s="173" t="s">
        <v>679</v>
      </c>
      <c r="O633" s="173" t="s">
        <v>225</v>
      </c>
      <c r="P633" s="262" t="str">
        <f t="shared" si="1"/>
        <v>IN-BLR-ANANTA-VAV-205_1</v>
      </c>
      <c r="Q633" s="173" t="s">
        <v>3466</v>
      </c>
      <c r="R633" s="328" t="str">
        <f>IFS(C633="","",C633="n/a","N/A",LEN(C633),Concatenate("{",char(34),"asset",char(34),":{",char(34),"guid",char(34),":",char(34),Q633,char(34),",",char(34),"site",char(34),":",char(34),LOWER('2-Building'!$B$4),char(34),",",char(34),"name",char(34),":",char(34),LOWER(C633),char(34),"}}"))</f>
        <v>{"asset":{"guid":"uuid://3913df51-9836-4d28-bd3e-41c850b1550c","site":"in-blr-ananta","name":"vav-205"}}</v>
      </c>
      <c r="S633" s="237" t="s">
        <v>2866</v>
      </c>
      <c r="T633" s="330"/>
      <c r="U633" s="330"/>
      <c r="V633" s="331"/>
      <c r="W633" s="344"/>
      <c r="X633" s="341"/>
      <c r="Y633" s="33" t="s">
        <v>2867</v>
      </c>
      <c r="Z633" s="258">
        <v>120205.0</v>
      </c>
      <c r="AA633" s="334">
        <v>11613.0</v>
      </c>
      <c r="AB633" s="341"/>
      <c r="AC633" s="341"/>
      <c r="AD633" s="343"/>
      <c r="AE633" s="331"/>
      <c r="AF633" s="348"/>
      <c r="AG633" s="337"/>
      <c r="AH633" s="341"/>
      <c r="AI633" s="341"/>
      <c r="AJ633" s="341"/>
      <c r="AK633" s="341"/>
      <c r="AL633" s="341"/>
      <c r="AM633" s="338"/>
      <c r="AN633" s="341"/>
      <c r="AO633" s="341"/>
      <c r="AP633" s="341"/>
      <c r="AQ633" s="341"/>
      <c r="AR633" s="341"/>
      <c r="AS633" s="341"/>
      <c r="AT633" s="341"/>
      <c r="AU633" s="343"/>
      <c r="AV633" s="341"/>
      <c r="AW633" s="269" t="s">
        <v>2003</v>
      </c>
      <c r="AX633" s="334" t="s">
        <v>2869</v>
      </c>
      <c r="AY633" s="270" t="s">
        <v>695</v>
      </c>
      <c r="AZ633" s="270" t="s">
        <v>2866</v>
      </c>
      <c r="BA633" s="265">
        <v>10.0</v>
      </c>
      <c r="BB633" s="174" t="s">
        <v>245</v>
      </c>
      <c r="BC633" s="341"/>
      <c r="BD633" s="308"/>
      <c r="BE633" s="347"/>
      <c r="BF633" s="274" t="str">
        <f>IFERROR(__xludf.DUMMYFUNCTION("LOWER(Regexreplace(to_text(E633),""[^A-Za-z0-9]"","""")&amp;""_""&amp;Regexreplace(to_text(F633),""[^A-Za-z0-9]"",""""))"),"neptronic_evcbseries")</f>
        <v>neptronic_evcbseries</v>
      </c>
      <c r="BG633" s="275" t="str">
        <f>IFERROR(__xludf.DUMMYFUNCTION("upper(Regexreplace(to_text(E633),""[^A-Za-z0-9]"","""")&amp;""-""&amp;Regexreplace(to_text(F633),""[^A-Za-z0-9]"",""""))"),"NEPTRONIC-EVCBSERIES")</f>
        <v>NEPTRONIC-EVCBSERIES</v>
      </c>
    </row>
    <row r="634" ht="30.0" customHeight="1">
      <c r="A634" s="258">
        <v>626.0</v>
      </c>
      <c r="B634" s="237" t="s">
        <v>670</v>
      </c>
      <c r="C634" s="257" t="s">
        <v>3467</v>
      </c>
      <c r="D634" s="173" t="s">
        <v>3467</v>
      </c>
      <c r="E634" s="174" t="s">
        <v>2861</v>
      </c>
      <c r="F634" s="173" t="s">
        <v>2862</v>
      </c>
      <c r="G634" s="328" t="s">
        <v>673</v>
      </c>
      <c r="H634" s="328" t="s">
        <v>2863</v>
      </c>
      <c r="I634" s="258" t="s">
        <v>2864</v>
      </c>
      <c r="J634" s="259" t="s">
        <v>846</v>
      </c>
      <c r="K634" s="260" t="s">
        <v>3468</v>
      </c>
      <c r="L634" s="328"/>
      <c r="M634" s="343"/>
      <c r="N634" s="173" t="s">
        <v>679</v>
      </c>
      <c r="O634" s="173" t="s">
        <v>225</v>
      </c>
      <c r="P634" s="262" t="str">
        <f t="shared" si="1"/>
        <v>IN-BLR-ANANTA-VAV-206_1</v>
      </c>
      <c r="Q634" s="173" t="s">
        <v>3469</v>
      </c>
      <c r="R634" s="328" t="str">
        <f>IFS(C634="","",C634="n/a","N/A",LEN(C634),Concatenate("{",char(34),"asset",char(34),":{",char(34),"guid",char(34),":",char(34),Q634,char(34),",",char(34),"site",char(34),":",char(34),LOWER('2-Building'!$B$4),char(34),",",char(34),"name",char(34),":",char(34),LOWER(C634),char(34),"}}"))</f>
        <v>{"asset":{"guid":"uuid://d66de565-8a51-49f9-bd78-d623fee3594e","site":"in-blr-ananta","name":"vav-206"}}</v>
      </c>
      <c r="S634" s="237" t="s">
        <v>2866</v>
      </c>
      <c r="T634" s="330"/>
      <c r="U634" s="330"/>
      <c r="V634" s="331"/>
      <c r="W634" s="344"/>
      <c r="X634" s="341"/>
      <c r="Y634" s="33" t="s">
        <v>2867</v>
      </c>
      <c r="Z634" s="258">
        <v>120206.0</v>
      </c>
      <c r="AA634" s="334">
        <v>11613.0</v>
      </c>
      <c r="AB634" s="341"/>
      <c r="AC634" s="341"/>
      <c r="AD634" s="343"/>
      <c r="AE634" s="331"/>
      <c r="AF634" s="348"/>
      <c r="AG634" s="337"/>
      <c r="AH634" s="341"/>
      <c r="AI634" s="341"/>
      <c r="AJ634" s="341"/>
      <c r="AK634" s="341"/>
      <c r="AL634" s="341"/>
      <c r="AM634" s="338"/>
      <c r="AN634" s="341"/>
      <c r="AO634" s="341"/>
      <c r="AP634" s="341"/>
      <c r="AQ634" s="341"/>
      <c r="AR634" s="341"/>
      <c r="AS634" s="341"/>
      <c r="AT634" s="341"/>
      <c r="AU634" s="343"/>
      <c r="AV634" s="341"/>
      <c r="AW634" s="269" t="s">
        <v>2003</v>
      </c>
      <c r="AX634" s="334" t="s">
        <v>2869</v>
      </c>
      <c r="AY634" s="270" t="s">
        <v>695</v>
      </c>
      <c r="AZ634" s="270" t="s">
        <v>2866</v>
      </c>
      <c r="BA634" s="265">
        <v>10.0</v>
      </c>
      <c r="BB634" s="174" t="s">
        <v>245</v>
      </c>
      <c r="BC634" s="341"/>
      <c r="BD634" s="308"/>
      <c r="BE634" s="347"/>
      <c r="BF634" s="274" t="str">
        <f>IFERROR(__xludf.DUMMYFUNCTION("LOWER(Regexreplace(to_text(E634),""[^A-Za-z0-9]"","""")&amp;""_""&amp;Regexreplace(to_text(F634),""[^A-Za-z0-9]"",""""))"),"neptronic_evcbseries")</f>
        <v>neptronic_evcbseries</v>
      </c>
      <c r="BG634" s="275" t="str">
        <f>IFERROR(__xludf.DUMMYFUNCTION("upper(Regexreplace(to_text(E634),""[^A-Za-z0-9]"","""")&amp;""-""&amp;Regexreplace(to_text(F634),""[^A-Za-z0-9]"",""""))"),"NEPTRONIC-EVCBSERIES")</f>
        <v>NEPTRONIC-EVCBSERIES</v>
      </c>
    </row>
    <row r="635" ht="30.0" customHeight="1">
      <c r="A635" s="173">
        <v>627.0</v>
      </c>
      <c r="B635" s="237" t="s">
        <v>670</v>
      </c>
      <c r="C635" s="257" t="s">
        <v>3470</v>
      </c>
      <c r="D635" s="173" t="s">
        <v>3470</v>
      </c>
      <c r="E635" s="174" t="s">
        <v>2861</v>
      </c>
      <c r="F635" s="173" t="s">
        <v>2862</v>
      </c>
      <c r="G635" s="328" t="s">
        <v>673</v>
      </c>
      <c r="H635" s="328" t="s">
        <v>2863</v>
      </c>
      <c r="I635" s="258" t="s">
        <v>2864</v>
      </c>
      <c r="J635" s="259" t="s">
        <v>846</v>
      </c>
      <c r="K635" s="260" t="s">
        <v>3471</v>
      </c>
      <c r="L635" s="328"/>
      <c r="M635" s="343"/>
      <c r="N635" s="173" t="s">
        <v>679</v>
      </c>
      <c r="O635" s="173" t="s">
        <v>225</v>
      </c>
      <c r="P635" s="262" t="str">
        <f t="shared" si="1"/>
        <v>IN-BLR-ANANTA-VAV-207_1</v>
      </c>
      <c r="Q635" s="173" t="s">
        <v>3472</v>
      </c>
      <c r="R635" s="328" t="str">
        <f>IFS(C635="","",C635="n/a","N/A",LEN(C635),Concatenate("{",char(34),"asset",char(34),":{",char(34),"guid",char(34),":",char(34),Q635,char(34),",",char(34),"site",char(34),":",char(34),LOWER('2-Building'!$B$4),char(34),",",char(34),"name",char(34),":",char(34),LOWER(C635),char(34),"}}"))</f>
        <v>{"asset":{"guid":"uuid://4277cec2-f13e-4a69-9ad1-eb9bdbce9e20","site":"in-blr-ananta","name":"vav-207"}}</v>
      </c>
      <c r="S635" s="237" t="s">
        <v>2866</v>
      </c>
      <c r="T635" s="330"/>
      <c r="U635" s="330"/>
      <c r="V635" s="331"/>
      <c r="W635" s="344"/>
      <c r="X635" s="341"/>
      <c r="Y635" s="33" t="s">
        <v>2867</v>
      </c>
      <c r="Z635" s="258">
        <v>120207.0</v>
      </c>
      <c r="AA635" s="334">
        <v>11613.0</v>
      </c>
      <c r="AB635" s="341"/>
      <c r="AC635" s="341"/>
      <c r="AD635" s="343"/>
      <c r="AE635" s="331"/>
      <c r="AF635" s="348"/>
      <c r="AG635" s="337"/>
      <c r="AH635" s="341"/>
      <c r="AI635" s="341"/>
      <c r="AJ635" s="341"/>
      <c r="AK635" s="341"/>
      <c r="AL635" s="341"/>
      <c r="AM635" s="338"/>
      <c r="AN635" s="341"/>
      <c r="AO635" s="341"/>
      <c r="AP635" s="341"/>
      <c r="AQ635" s="341"/>
      <c r="AR635" s="341"/>
      <c r="AS635" s="341"/>
      <c r="AT635" s="341"/>
      <c r="AU635" s="343"/>
      <c r="AV635" s="341"/>
      <c r="AW635" s="269" t="s">
        <v>2003</v>
      </c>
      <c r="AX635" s="334" t="s">
        <v>2869</v>
      </c>
      <c r="AY635" s="270" t="s">
        <v>695</v>
      </c>
      <c r="AZ635" s="270" t="s">
        <v>2866</v>
      </c>
      <c r="BA635" s="265">
        <v>10.0</v>
      </c>
      <c r="BB635" s="174" t="s">
        <v>245</v>
      </c>
      <c r="BC635" s="341"/>
      <c r="BD635" s="308"/>
      <c r="BE635" s="347"/>
      <c r="BF635" s="274" t="str">
        <f>IFERROR(__xludf.DUMMYFUNCTION("LOWER(Regexreplace(to_text(E635),""[^A-Za-z0-9]"","""")&amp;""_""&amp;Regexreplace(to_text(F635),""[^A-Za-z0-9]"",""""))"),"neptronic_evcbseries")</f>
        <v>neptronic_evcbseries</v>
      </c>
      <c r="BG635" s="275" t="str">
        <f>IFERROR(__xludf.DUMMYFUNCTION("upper(Regexreplace(to_text(E635),""[^A-Za-z0-9]"","""")&amp;""-""&amp;Regexreplace(to_text(F635),""[^A-Za-z0-9]"",""""))"),"NEPTRONIC-EVCBSERIES")</f>
        <v>NEPTRONIC-EVCBSERIES</v>
      </c>
    </row>
    <row r="636" ht="30.0" customHeight="1">
      <c r="A636" s="258">
        <v>628.0</v>
      </c>
      <c r="B636" s="237" t="s">
        <v>670</v>
      </c>
      <c r="C636" s="257" t="s">
        <v>3473</v>
      </c>
      <c r="D636" s="173" t="s">
        <v>3473</v>
      </c>
      <c r="E636" s="174" t="s">
        <v>2861</v>
      </c>
      <c r="F636" s="173" t="s">
        <v>2862</v>
      </c>
      <c r="G636" s="328" t="s">
        <v>673</v>
      </c>
      <c r="H636" s="328" t="s">
        <v>2863</v>
      </c>
      <c r="I636" s="258" t="s">
        <v>2864</v>
      </c>
      <c r="J636" s="259" t="s">
        <v>846</v>
      </c>
      <c r="K636" s="260" t="s">
        <v>3474</v>
      </c>
      <c r="L636" s="328"/>
      <c r="M636" s="343"/>
      <c r="N636" s="173" t="s">
        <v>679</v>
      </c>
      <c r="O636" s="173" t="s">
        <v>225</v>
      </c>
      <c r="P636" s="262" t="str">
        <f t="shared" si="1"/>
        <v>IN-BLR-ANANTA-VAV-208_1</v>
      </c>
      <c r="Q636" s="173" t="s">
        <v>3475</v>
      </c>
      <c r="R636" s="328" t="str">
        <f>IFS(C636="","",C636="n/a","N/A",LEN(C636),Concatenate("{",char(34),"asset",char(34),":{",char(34),"guid",char(34),":",char(34),Q636,char(34),",",char(34),"site",char(34),":",char(34),LOWER('2-Building'!$B$4),char(34),",",char(34),"name",char(34),":",char(34),LOWER(C636),char(34),"}}"))</f>
        <v>{"asset":{"guid":"uuid://7016bb99-afba-499c-b40f-8c633f907569","site":"in-blr-ananta","name":"vav-208"}}</v>
      </c>
      <c r="S636" s="237" t="s">
        <v>2866</v>
      </c>
      <c r="T636" s="330"/>
      <c r="U636" s="330"/>
      <c r="V636" s="331"/>
      <c r="W636" s="344"/>
      <c r="X636" s="341"/>
      <c r="Y636" s="33" t="s">
        <v>2867</v>
      </c>
      <c r="Z636" s="258">
        <v>120208.0</v>
      </c>
      <c r="AA636" s="334">
        <v>11613.0</v>
      </c>
      <c r="AB636" s="341"/>
      <c r="AC636" s="341"/>
      <c r="AD636" s="343"/>
      <c r="AE636" s="331"/>
      <c r="AF636" s="348"/>
      <c r="AG636" s="337"/>
      <c r="AH636" s="341"/>
      <c r="AI636" s="341"/>
      <c r="AJ636" s="341"/>
      <c r="AK636" s="341"/>
      <c r="AL636" s="341"/>
      <c r="AM636" s="338"/>
      <c r="AN636" s="341"/>
      <c r="AO636" s="341"/>
      <c r="AP636" s="341"/>
      <c r="AQ636" s="341"/>
      <c r="AR636" s="341"/>
      <c r="AS636" s="341"/>
      <c r="AT636" s="341"/>
      <c r="AU636" s="343"/>
      <c r="AV636" s="341"/>
      <c r="AW636" s="269" t="s">
        <v>2003</v>
      </c>
      <c r="AX636" s="334" t="s">
        <v>2869</v>
      </c>
      <c r="AY636" s="270" t="s">
        <v>695</v>
      </c>
      <c r="AZ636" s="270" t="s">
        <v>2866</v>
      </c>
      <c r="BA636" s="265">
        <v>10.0</v>
      </c>
      <c r="BB636" s="174" t="s">
        <v>245</v>
      </c>
      <c r="BC636" s="341"/>
      <c r="BD636" s="308"/>
      <c r="BE636" s="347"/>
      <c r="BF636" s="274" t="str">
        <f>IFERROR(__xludf.DUMMYFUNCTION("LOWER(Regexreplace(to_text(E636),""[^A-Za-z0-9]"","""")&amp;""_""&amp;Regexreplace(to_text(F636),""[^A-Za-z0-9]"",""""))"),"neptronic_evcbseries")</f>
        <v>neptronic_evcbseries</v>
      </c>
      <c r="BG636" s="275" t="str">
        <f>IFERROR(__xludf.DUMMYFUNCTION("upper(Regexreplace(to_text(E636),""[^A-Za-z0-9]"","""")&amp;""-""&amp;Regexreplace(to_text(F636),""[^A-Za-z0-9]"",""""))"),"NEPTRONIC-EVCBSERIES")</f>
        <v>NEPTRONIC-EVCBSERIES</v>
      </c>
    </row>
    <row r="637" ht="30.0" customHeight="1">
      <c r="A637" s="173">
        <v>629.0</v>
      </c>
      <c r="B637" s="237" t="s">
        <v>670</v>
      </c>
      <c r="C637" s="257" t="s">
        <v>3476</v>
      </c>
      <c r="D637" s="173" t="s">
        <v>3476</v>
      </c>
      <c r="E637" s="174" t="s">
        <v>2861</v>
      </c>
      <c r="F637" s="173" t="s">
        <v>2862</v>
      </c>
      <c r="G637" s="328" t="s">
        <v>673</v>
      </c>
      <c r="H637" s="328" t="s">
        <v>2863</v>
      </c>
      <c r="I637" s="258" t="s">
        <v>2864</v>
      </c>
      <c r="J637" s="259" t="s">
        <v>846</v>
      </c>
      <c r="K637" s="260" t="s">
        <v>3477</v>
      </c>
      <c r="L637" s="328"/>
      <c r="M637" s="343"/>
      <c r="N637" s="173" t="s">
        <v>679</v>
      </c>
      <c r="O637" s="173" t="s">
        <v>225</v>
      </c>
      <c r="P637" s="262" t="str">
        <f t="shared" si="1"/>
        <v>IN-BLR-ANANTA-VAV-209_1</v>
      </c>
      <c r="Q637" s="173" t="s">
        <v>3478</v>
      </c>
      <c r="R637" s="328" t="str">
        <f>IFS(C637="","",C637="n/a","N/A",LEN(C637),Concatenate("{",char(34),"asset",char(34),":{",char(34),"guid",char(34),":",char(34),Q637,char(34),",",char(34),"site",char(34),":",char(34),LOWER('2-Building'!$B$4),char(34),",",char(34),"name",char(34),":",char(34),LOWER(C637),char(34),"}}"))</f>
        <v>{"asset":{"guid":"uuid://5dc75054-bf85-4682-9d35-1b0e37fcb9b3","site":"in-blr-ananta","name":"vav-209"}}</v>
      </c>
      <c r="S637" s="237" t="s">
        <v>2866</v>
      </c>
      <c r="T637" s="330"/>
      <c r="U637" s="330"/>
      <c r="V637" s="331"/>
      <c r="W637" s="344"/>
      <c r="X637" s="341"/>
      <c r="Y637" s="33" t="s">
        <v>2867</v>
      </c>
      <c r="Z637" s="258">
        <v>120209.0</v>
      </c>
      <c r="AA637" s="334">
        <v>11613.0</v>
      </c>
      <c r="AB637" s="341"/>
      <c r="AC637" s="341"/>
      <c r="AD637" s="343"/>
      <c r="AE637" s="331"/>
      <c r="AF637" s="348"/>
      <c r="AG637" s="337"/>
      <c r="AH637" s="341"/>
      <c r="AI637" s="341"/>
      <c r="AJ637" s="341"/>
      <c r="AK637" s="341"/>
      <c r="AL637" s="341"/>
      <c r="AM637" s="338"/>
      <c r="AN637" s="341"/>
      <c r="AO637" s="341"/>
      <c r="AP637" s="341"/>
      <c r="AQ637" s="341"/>
      <c r="AR637" s="341"/>
      <c r="AS637" s="341"/>
      <c r="AT637" s="341"/>
      <c r="AU637" s="343"/>
      <c r="AV637" s="341"/>
      <c r="AW637" s="269" t="s">
        <v>2003</v>
      </c>
      <c r="AX637" s="334" t="s">
        <v>2869</v>
      </c>
      <c r="AY637" s="270" t="s">
        <v>695</v>
      </c>
      <c r="AZ637" s="270" t="s">
        <v>2866</v>
      </c>
      <c r="BA637" s="265">
        <v>10.0</v>
      </c>
      <c r="BB637" s="174" t="s">
        <v>245</v>
      </c>
      <c r="BC637" s="341"/>
      <c r="BD637" s="308"/>
      <c r="BE637" s="347"/>
      <c r="BF637" s="274" t="str">
        <f>IFERROR(__xludf.DUMMYFUNCTION("LOWER(Regexreplace(to_text(E637),""[^A-Za-z0-9]"","""")&amp;""_""&amp;Regexreplace(to_text(F637),""[^A-Za-z0-9]"",""""))"),"neptronic_evcbseries")</f>
        <v>neptronic_evcbseries</v>
      </c>
      <c r="BG637" s="275" t="str">
        <f>IFERROR(__xludf.DUMMYFUNCTION("upper(Regexreplace(to_text(E637),""[^A-Za-z0-9]"","""")&amp;""-""&amp;Regexreplace(to_text(F637),""[^A-Za-z0-9]"",""""))"),"NEPTRONIC-EVCBSERIES")</f>
        <v>NEPTRONIC-EVCBSERIES</v>
      </c>
    </row>
    <row r="638" ht="30.0" customHeight="1">
      <c r="A638" s="258">
        <v>630.0</v>
      </c>
      <c r="B638" s="237" t="s">
        <v>670</v>
      </c>
      <c r="C638" s="257" t="s">
        <v>3479</v>
      </c>
      <c r="D638" s="173" t="s">
        <v>3479</v>
      </c>
      <c r="E638" s="174" t="s">
        <v>2861</v>
      </c>
      <c r="F638" s="173" t="s">
        <v>2862</v>
      </c>
      <c r="G638" s="328" t="s">
        <v>673</v>
      </c>
      <c r="H638" s="328" t="s">
        <v>2863</v>
      </c>
      <c r="I638" s="258" t="s">
        <v>2864</v>
      </c>
      <c r="J638" s="259" t="s">
        <v>846</v>
      </c>
      <c r="K638" s="260" t="s">
        <v>3480</v>
      </c>
      <c r="L638" s="328"/>
      <c r="M638" s="343"/>
      <c r="N638" s="173" t="s">
        <v>679</v>
      </c>
      <c r="O638" s="173" t="s">
        <v>225</v>
      </c>
      <c r="P638" s="262" t="str">
        <f t="shared" si="1"/>
        <v>IN-BLR-ANANTA-VAV-210_1</v>
      </c>
      <c r="Q638" s="173" t="s">
        <v>3481</v>
      </c>
      <c r="R638" s="328" t="str">
        <f>IFS(C638="","",C638="n/a","N/A",LEN(C638),Concatenate("{",char(34),"asset",char(34),":{",char(34),"guid",char(34),":",char(34),Q638,char(34),",",char(34),"site",char(34),":",char(34),LOWER('2-Building'!$B$4),char(34),",",char(34),"name",char(34),":",char(34),LOWER(C638),char(34),"}}"))</f>
        <v>{"asset":{"guid":"uuid://9b13c6a9-db2d-4f33-804a-ac7a259b972c","site":"in-blr-ananta","name":"vav-210"}}</v>
      </c>
      <c r="S638" s="237" t="s">
        <v>2866</v>
      </c>
      <c r="T638" s="330"/>
      <c r="U638" s="330"/>
      <c r="V638" s="331"/>
      <c r="W638" s="344"/>
      <c r="X638" s="341"/>
      <c r="Y638" s="33" t="s">
        <v>2867</v>
      </c>
      <c r="Z638" s="258">
        <v>120210.0</v>
      </c>
      <c r="AA638" s="334">
        <v>11613.0</v>
      </c>
      <c r="AB638" s="341"/>
      <c r="AC638" s="341"/>
      <c r="AD638" s="343"/>
      <c r="AE638" s="331"/>
      <c r="AF638" s="348"/>
      <c r="AG638" s="337"/>
      <c r="AH638" s="341"/>
      <c r="AI638" s="341"/>
      <c r="AJ638" s="341"/>
      <c r="AK638" s="341"/>
      <c r="AL638" s="341"/>
      <c r="AM638" s="338"/>
      <c r="AN638" s="341"/>
      <c r="AO638" s="341"/>
      <c r="AP638" s="341"/>
      <c r="AQ638" s="341"/>
      <c r="AR638" s="341"/>
      <c r="AS638" s="341"/>
      <c r="AT638" s="341"/>
      <c r="AU638" s="343"/>
      <c r="AV638" s="341"/>
      <c r="AW638" s="269" t="s">
        <v>2003</v>
      </c>
      <c r="AX638" s="334" t="s">
        <v>2869</v>
      </c>
      <c r="AY638" s="270" t="s">
        <v>695</v>
      </c>
      <c r="AZ638" s="270" t="s">
        <v>2866</v>
      </c>
      <c r="BA638" s="265">
        <v>10.0</v>
      </c>
      <c r="BB638" s="174" t="s">
        <v>245</v>
      </c>
      <c r="BC638" s="341"/>
      <c r="BD638" s="308"/>
      <c r="BE638" s="347"/>
      <c r="BF638" s="274" t="str">
        <f>IFERROR(__xludf.DUMMYFUNCTION("LOWER(Regexreplace(to_text(E638),""[^A-Za-z0-9]"","""")&amp;""_""&amp;Regexreplace(to_text(F638),""[^A-Za-z0-9]"",""""))"),"neptronic_evcbseries")</f>
        <v>neptronic_evcbseries</v>
      </c>
      <c r="BG638" s="275" t="str">
        <f>IFERROR(__xludf.DUMMYFUNCTION("upper(Regexreplace(to_text(E638),""[^A-Za-z0-9]"","""")&amp;""-""&amp;Regexreplace(to_text(F638),""[^A-Za-z0-9]"",""""))"),"NEPTRONIC-EVCBSERIES")</f>
        <v>NEPTRONIC-EVCBSERIES</v>
      </c>
    </row>
    <row r="639" ht="30.0" customHeight="1">
      <c r="A639" s="173">
        <v>631.0</v>
      </c>
      <c r="B639" s="237" t="s">
        <v>670</v>
      </c>
      <c r="C639" s="257" t="s">
        <v>3482</v>
      </c>
      <c r="D639" s="173" t="s">
        <v>3482</v>
      </c>
      <c r="E639" s="174" t="s">
        <v>2861</v>
      </c>
      <c r="F639" s="173" t="s">
        <v>2862</v>
      </c>
      <c r="G639" s="328" t="s">
        <v>673</v>
      </c>
      <c r="H639" s="328" t="s">
        <v>2863</v>
      </c>
      <c r="I639" s="258" t="s">
        <v>2864</v>
      </c>
      <c r="J639" s="259" t="s">
        <v>846</v>
      </c>
      <c r="K639" s="260" t="s">
        <v>3483</v>
      </c>
      <c r="L639" s="328"/>
      <c r="M639" s="343"/>
      <c r="N639" s="173" t="s">
        <v>679</v>
      </c>
      <c r="O639" s="173" t="s">
        <v>225</v>
      </c>
      <c r="P639" s="262" t="str">
        <f t="shared" si="1"/>
        <v>IN-BLR-ANANTA-VAV-211_1</v>
      </c>
      <c r="Q639" s="173" t="s">
        <v>3484</v>
      </c>
      <c r="R639" s="328" t="str">
        <f>IFS(C639="","",C639="n/a","N/A",LEN(C639),Concatenate("{",char(34),"asset",char(34),":{",char(34),"guid",char(34),":",char(34),Q639,char(34),",",char(34),"site",char(34),":",char(34),LOWER('2-Building'!$B$4),char(34),",",char(34),"name",char(34),":",char(34),LOWER(C639),char(34),"}}"))</f>
        <v>{"asset":{"guid":"uuid://8fd0ff2e-29e8-4dd0-8db7-5e9d0c49ffc0","site":"in-blr-ananta","name":"vav-211"}}</v>
      </c>
      <c r="S639" s="237" t="s">
        <v>2866</v>
      </c>
      <c r="T639" s="330"/>
      <c r="U639" s="330"/>
      <c r="V639" s="331"/>
      <c r="W639" s="344"/>
      <c r="X639" s="341"/>
      <c r="Y639" s="33" t="s">
        <v>2867</v>
      </c>
      <c r="Z639" s="258">
        <v>120211.0</v>
      </c>
      <c r="AA639" s="334">
        <v>11613.0</v>
      </c>
      <c r="AB639" s="341"/>
      <c r="AC639" s="341"/>
      <c r="AD639" s="343"/>
      <c r="AE639" s="331"/>
      <c r="AF639" s="348"/>
      <c r="AG639" s="337"/>
      <c r="AH639" s="341"/>
      <c r="AI639" s="341"/>
      <c r="AJ639" s="341"/>
      <c r="AK639" s="341"/>
      <c r="AL639" s="341"/>
      <c r="AM639" s="338"/>
      <c r="AN639" s="341"/>
      <c r="AO639" s="341"/>
      <c r="AP639" s="341"/>
      <c r="AQ639" s="341"/>
      <c r="AR639" s="341"/>
      <c r="AS639" s="341"/>
      <c r="AT639" s="341"/>
      <c r="AU639" s="343"/>
      <c r="AV639" s="341"/>
      <c r="AW639" s="269" t="s">
        <v>2003</v>
      </c>
      <c r="AX639" s="334" t="s">
        <v>2869</v>
      </c>
      <c r="AY639" s="270" t="s">
        <v>695</v>
      </c>
      <c r="AZ639" s="270" t="s">
        <v>2866</v>
      </c>
      <c r="BA639" s="265">
        <v>10.0</v>
      </c>
      <c r="BB639" s="174" t="s">
        <v>245</v>
      </c>
      <c r="BC639" s="341"/>
      <c r="BD639" s="308"/>
      <c r="BE639" s="347"/>
      <c r="BF639" s="274" t="str">
        <f>IFERROR(__xludf.DUMMYFUNCTION("LOWER(Regexreplace(to_text(E639),""[^A-Za-z0-9]"","""")&amp;""_""&amp;Regexreplace(to_text(F639),""[^A-Za-z0-9]"",""""))"),"neptronic_evcbseries")</f>
        <v>neptronic_evcbseries</v>
      </c>
      <c r="BG639" s="275" t="str">
        <f>IFERROR(__xludf.DUMMYFUNCTION("upper(Regexreplace(to_text(E639),""[^A-Za-z0-9]"","""")&amp;""-""&amp;Regexreplace(to_text(F639),""[^A-Za-z0-9]"",""""))"),"NEPTRONIC-EVCBSERIES")</f>
        <v>NEPTRONIC-EVCBSERIES</v>
      </c>
    </row>
    <row r="640" ht="30.0" customHeight="1">
      <c r="A640" s="258">
        <v>632.0</v>
      </c>
      <c r="B640" s="237" t="s">
        <v>670</v>
      </c>
      <c r="C640" s="257" t="s">
        <v>3485</v>
      </c>
      <c r="D640" s="173" t="s">
        <v>3485</v>
      </c>
      <c r="E640" s="174" t="s">
        <v>2861</v>
      </c>
      <c r="F640" s="173" t="s">
        <v>2862</v>
      </c>
      <c r="G640" s="328" t="s">
        <v>673</v>
      </c>
      <c r="H640" s="328" t="s">
        <v>2863</v>
      </c>
      <c r="I640" s="258" t="s">
        <v>2864</v>
      </c>
      <c r="J640" s="259" t="s">
        <v>846</v>
      </c>
      <c r="K640" s="260" t="s">
        <v>3486</v>
      </c>
      <c r="L640" s="328"/>
      <c r="M640" s="343"/>
      <c r="N640" s="173" t="s">
        <v>679</v>
      </c>
      <c r="O640" s="173" t="s">
        <v>225</v>
      </c>
      <c r="P640" s="262" t="str">
        <f t="shared" si="1"/>
        <v>IN-BLR-ANANTA-VAV-212_1</v>
      </c>
      <c r="Q640" s="173" t="s">
        <v>3487</v>
      </c>
      <c r="R640" s="328" t="str">
        <f>IFS(C640="","",C640="n/a","N/A",LEN(C640),Concatenate("{",char(34),"asset",char(34),":{",char(34),"guid",char(34),":",char(34),Q640,char(34),",",char(34),"site",char(34),":",char(34),LOWER('2-Building'!$B$4),char(34),",",char(34),"name",char(34),":",char(34),LOWER(C640),char(34),"}}"))</f>
        <v>{"asset":{"guid":"uuid://fdb3efd1-8092-4297-a7ed-c57d82b98403","site":"in-blr-ananta","name":"vav-212"}}</v>
      </c>
      <c r="S640" s="237" t="s">
        <v>2866</v>
      </c>
      <c r="T640" s="330"/>
      <c r="U640" s="330"/>
      <c r="V640" s="331"/>
      <c r="W640" s="344"/>
      <c r="X640" s="341"/>
      <c r="Y640" s="33" t="s">
        <v>2867</v>
      </c>
      <c r="Z640" s="258">
        <v>120212.0</v>
      </c>
      <c r="AA640" s="334">
        <v>11613.0</v>
      </c>
      <c r="AB640" s="341"/>
      <c r="AC640" s="341"/>
      <c r="AD640" s="343"/>
      <c r="AE640" s="331"/>
      <c r="AF640" s="348"/>
      <c r="AG640" s="337"/>
      <c r="AH640" s="341"/>
      <c r="AI640" s="341"/>
      <c r="AJ640" s="341"/>
      <c r="AK640" s="341"/>
      <c r="AL640" s="341"/>
      <c r="AM640" s="338"/>
      <c r="AN640" s="341"/>
      <c r="AO640" s="341"/>
      <c r="AP640" s="341"/>
      <c r="AQ640" s="341"/>
      <c r="AR640" s="341"/>
      <c r="AS640" s="341"/>
      <c r="AT640" s="341"/>
      <c r="AU640" s="343"/>
      <c r="AV640" s="341"/>
      <c r="AW640" s="269" t="s">
        <v>2003</v>
      </c>
      <c r="AX640" s="334" t="s">
        <v>2869</v>
      </c>
      <c r="AY640" s="270" t="s">
        <v>695</v>
      </c>
      <c r="AZ640" s="270" t="s">
        <v>2866</v>
      </c>
      <c r="BA640" s="265">
        <v>10.0</v>
      </c>
      <c r="BB640" s="174" t="s">
        <v>245</v>
      </c>
      <c r="BC640" s="341"/>
      <c r="BD640" s="308"/>
      <c r="BE640" s="347"/>
      <c r="BF640" s="274" t="str">
        <f>IFERROR(__xludf.DUMMYFUNCTION("LOWER(Regexreplace(to_text(E640),""[^A-Za-z0-9]"","""")&amp;""_""&amp;Regexreplace(to_text(F640),""[^A-Za-z0-9]"",""""))"),"neptronic_evcbseries")</f>
        <v>neptronic_evcbseries</v>
      </c>
      <c r="BG640" s="275" t="str">
        <f>IFERROR(__xludf.DUMMYFUNCTION("upper(Regexreplace(to_text(E640),""[^A-Za-z0-9]"","""")&amp;""-""&amp;Regexreplace(to_text(F640),""[^A-Za-z0-9]"",""""))"),"NEPTRONIC-EVCBSERIES")</f>
        <v>NEPTRONIC-EVCBSERIES</v>
      </c>
    </row>
    <row r="641" ht="30.0" customHeight="1">
      <c r="A641" s="173">
        <v>633.0</v>
      </c>
      <c r="B641" s="237" t="s">
        <v>670</v>
      </c>
      <c r="C641" s="257" t="s">
        <v>3488</v>
      </c>
      <c r="D641" s="173" t="s">
        <v>3488</v>
      </c>
      <c r="E641" s="174" t="s">
        <v>2861</v>
      </c>
      <c r="F641" s="173" t="s">
        <v>2862</v>
      </c>
      <c r="G641" s="328" t="s">
        <v>673</v>
      </c>
      <c r="H641" s="328" t="s">
        <v>2863</v>
      </c>
      <c r="I641" s="258" t="s">
        <v>2864</v>
      </c>
      <c r="J641" s="259" t="s">
        <v>846</v>
      </c>
      <c r="K641" s="260" t="s">
        <v>3489</v>
      </c>
      <c r="L641" s="328"/>
      <c r="M641" s="343"/>
      <c r="N641" s="173" t="s">
        <v>679</v>
      </c>
      <c r="O641" s="173" t="s">
        <v>225</v>
      </c>
      <c r="P641" s="262" t="str">
        <f t="shared" si="1"/>
        <v>IN-BLR-ANANTA-VAV-213_1</v>
      </c>
      <c r="Q641" s="173" t="s">
        <v>3490</v>
      </c>
      <c r="R641" s="328" t="str">
        <f>IFS(C641="","",C641="n/a","N/A",LEN(C641),Concatenate("{",char(34),"asset",char(34),":{",char(34),"guid",char(34),":",char(34),Q641,char(34),",",char(34),"site",char(34),":",char(34),LOWER('2-Building'!$B$4),char(34),",",char(34),"name",char(34),":",char(34),LOWER(C641),char(34),"}}"))</f>
        <v>{"asset":{"guid":"uuid://7eb4054d-70ff-412d-82cb-04fb5d6f762a","site":"in-blr-ananta","name":"vav-213"}}</v>
      </c>
      <c r="S641" s="237" t="s">
        <v>2866</v>
      </c>
      <c r="T641" s="330"/>
      <c r="U641" s="330"/>
      <c r="V641" s="331"/>
      <c r="W641" s="344"/>
      <c r="X641" s="341"/>
      <c r="Y641" s="33" t="s">
        <v>2867</v>
      </c>
      <c r="Z641" s="258">
        <v>120213.0</v>
      </c>
      <c r="AA641" s="334">
        <v>11613.0</v>
      </c>
      <c r="AB641" s="341"/>
      <c r="AC641" s="341"/>
      <c r="AD641" s="343"/>
      <c r="AE641" s="331"/>
      <c r="AF641" s="348"/>
      <c r="AG641" s="337"/>
      <c r="AH641" s="341"/>
      <c r="AI641" s="341"/>
      <c r="AJ641" s="341"/>
      <c r="AK641" s="341"/>
      <c r="AL641" s="341"/>
      <c r="AM641" s="338"/>
      <c r="AN641" s="341"/>
      <c r="AO641" s="341"/>
      <c r="AP641" s="341"/>
      <c r="AQ641" s="341"/>
      <c r="AR641" s="341"/>
      <c r="AS641" s="341"/>
      <c r="AT641" s="341"/>
      <c r="AU641" s="343"/>
      <c r="AV641" s="341"/>
      <c r="AW641" s="269" t="s">
        <v>2003</v>
      </c>
      <c r="AX641" s="334" t="s">
        <v>2869</v>
      </c>
      <c r="AY641" s="270" t="s">
        <v>695</v>
      </c>
      <c r="AZ641" s="270" t="s">
        <v>2866</v>
      </c>
      <c r="BA641" s="265">
        <v>10.0</v>
      </c>
      <c r="BB641" s="174" t="s">
        <v>245</v>
      </c>
      <c r="BC641" s="341"/>
      <c r="BD641" s="308"/>
      <c r="BE641" s="347"/>
      <c r="BF641" s="274" t="str">
        <f>IFERROR(__xludf.DUMMYFUNCTION("LOWER(Regexreplace(to_text(E641),""[^A-Za-z0-9]"","""")&amp;""_""&amp;Regexreplace(to_text(F641),""[^A-Za-z0-9]"",""""))"),"neptronic_evcbseries")</f>
        <v>neptronic_evcbseries</v>
      </c>
      <c r="BG641" s="275" t="str">
        <f>IFERROR(__xludf.DUMMYFUNCTION("upper(Regexreplace(to_text(E641),""[^A-Za-z0-9]"","""")&amp;""-""&amp;Regexreplace(to_text(F641),""[^A-Za-z0-9]"",""""))"),"NEPTRONIC-EVCBSERIES")</f>
        <v>NEPTRONIC-EVCBSERIES</v>
      </c>
    </row>
    <row r="642" ht="30.0" customHeight="1">
      <c r="A642" s="258">
        <v>634.0</v>
      </c>
      <c r="B642" s="237" t="s">
        <v>670</v>
      </c>
      <c r="C642" s="257" t="s">
        <v>3491</v>
      </c>
      <c r="D642" s="173" t="s">
        <v>3491</v>
      </c>
      <c r="E642" s="174" t="s">
        <v>2861</v>
      </c>
      <c r="F642" s="173" t="s">
        <v>2862</v>
      </c>
      <c r="G642" s="328" t="s">
        <v>673</v>
      </c>
      <c r="H642" s="328" t="s">
        <v>2863</v>
      </c>
      <c r="I642" s="258" t="s">
        <v>2864</v>
      </c>
      <c r="J642" s="259" t="s">
        <v>846</v>
      </c>
      <c r="K642" s="260" t="s">
        <v>3492</v>
      </c>
      <c r="L642" s="328"/>
      <c r="M642" s="343"/>
      <c r="N642" s="173" t="s">
        <v>679</v>
      </c>
      <c r="O642" s="173" t="s">
        <v>225</v>
      </c>
      <c r="P642" s="262" t="str">
        <f t="shared" si="1"/>
        <v>IN-BLR-ANANTA-VAV-214_1</v>
      </c>
      <c r="Q642" s="173" t="s">
        <v>3493</v>
      </c>
      <c r="R642" s="328" t="str">
        <f>IFS(C642="","",C642="n/a","N/A",LEN(C642),Concatenate("{",char(34),"asset",char(34),":{",char(34),"guid",char(34),":",char(34),Q642,char(34),",",char(34),"site",char(34),":",char(34),LOWER('2-Building'!$B$4),char(34),",",char(34),"name",char(34),":",char(34),LOWER(C642),char(34),"}}"))</f>
        <v>{"asset":{"guid":"uuid://8e010289-6f7b-4564-ae9e-e06dba90ae9c","site":"in-blr-ananta","name":"vav-214"}}</v>
      </c>
      <c r="S642" s="237" t="s">
        <v>2866</v>
      </c>
      <c r="T642" s="330"/>
      <c r="U642" s="330"/>
      <c r="V642" s="331"/>
      <c r="W642" s="344"/>
      <c r="X642" s="341"/>
      <c r="Y642" s="33" t="s">
        <v>2867</v>
      </c>
      <c r="Z642" s="258">
        <v>120214.0</v>
      </c>
      <c r="AA642" s="334">
        <v>11613.0</v>
      </c>
      <c r="AB642" s="341"/>
      <c r="AC642" s="341"/>
      <c r="AD642" s="343"/>
      <c r="AE642" s="331"/>
      <c r="AF642" s="348"/>
      <c r="AG642" s="337"/>
      <c r="AH642" s="341"/>
      <c r="AI642" s="341"/>
      <c r="AJ642" s="341"/>
      <c r="AK642" s="341"/>
      <c r="AL642" s="341"/>
      <c r="AM642" s="338"/>
      <c r="AN642" s="341"/>
      <c r="AO642" s="341"/>
      <c r="AP642" s="341"/>
      <c r="AQ642" s="341"/>
      <c r="AR642" s="341"/>
      <c r="AS642" s="341"/>
      <c r="AT642" s="341"/>
      <c r="AU642" s="343"/>
      <c r="AV642" s="341"/>
      <c r="AW642" s="269" t="s">
        <v>2003</v>
      </c>
      <c r="AX642" s="334" t="s">
        <v>2869</v>
      </c>
      <c r="AY642" s="270" t="s">
        <v>695</v>
      </c>
      <c r="AZ642" s="270" t="s">
        <v>2866</v>
      </c>
      <c r="BA642" s="265">
        <v>10.0</v>
      </c>
      <c r="BB642" s="174" t="s">
        <v>245</v>
      </c>
      <c r="BC642" s="341"/>
      <c r="BD642" s="308"/>
      <c r="BE642" s="347"/>
      <c r="BF642" s="274" t="str">
        <f>IFERROR(__xludf.DUMMYFUNCTION("LOWER(Regexreplace(to_text(E642),""[^A-Za-z0-9]"","""")&amp;""_""&amp;Regexreplace(to_text(F642),""[^A-Za-z0-9]"",""""))"),"neptronic_evcbseries")</f>
        <v>neptronic_evcbseries</v>
      </c>
      <c r="BG642" s="275" t="str">
        <f>IFERROR(__xludf.DUMMYFUNCTION("upper(Regexreplace(to_text(E642),""[^A-Za-z0-9]"","""")&amp;""-""&amp;Regexreplace(to_text(F642),""[^A-Za-z0-9]"",""""))"),"NEPTRONIC-EVCBSERIES")</f>
        <v>NEPTRONIC-EVCBSERIES</v>
      </c>
    </row>
    <row r="643" ht="30.0" customHeight="1">
      <c r="A643" s="173">
        <v>635.0</v>
      </c>
      <c r="B643" s="237" t="s">
        <v>670</v>
      </c>
      <c r="C643" s="257" t="s">
        <v>3494</v>
      </c>
      <c r="D643" s="173" t="s">
        <v>3494</v>
      </c>
      <c r="E643" s="174" t="s">
        <v>2861</v>
      </c>
      <c r="F643" s="173" t="s">
        <v>2862</v>
      </c>
      <c r="G643" s="328" t="s">
        <v>673</v>
      </c>
      <c r="H643" s="328" t="s">
        <v>2863</v>
      </c>
      <c r="I643" s="258" t="s">
        <v>2864</v>
      </c>
      <c r="J643" s="259" t="s">
        <v>846</v>
      </c>
      <c r="K643" s="260" t="s">
        <v>3492</v>
      </c>
      <c r="L643" s="328"/>
      <c r="M643" s="343"/>
      <c r="N643" s="173" t="s">
        <v>679</v>
      </c>
      <c r="O643" s="173" t="s">
        <v>225</v>
      </c>
      <c r="P643" s="262" t="str">
        <f t="shared" si="1"/>
        <v>IN-BLR-ANANTA-VAV-215_1</v>
      </c>
      <c r="Q643" s="173" t="s">
        <v>3495</v>
      </c>
      <c r="R643" s="328" t="str">
        <f>IFS(C643="","",C643="n/a","N/A",LEN(C643),Concatenate("{",char(34),"asset",char(34),":{",char(34),"guid",char(34),":",char(34),Q643,char(34),",",char(34),"site",char(34),":",char(34),LOWER('2-Building'!$B$4),char(34),",",char(34),"name",char(34),":",char(34),LOWER(C643),char(34),"}}"))</f>
        <v>{"asset":{"guid":"uuid://7a579fd4-173c-45c0-a977-ecd65e891d3e","site":"in-blr-ananta","name":"vav-215"}}</v>
      </c>
      <c r="S643" s="237" t="s">
        <v>2866</v>
      </c>
      <c r="T643" s="330"/>
      <c r="U643" s="330"/>
      <c r="V643" s="331"/>
      <c r="W643" s="344"/>
      <c r="X643" s="341"/>
      <c r="Y643" s="33" t="s">
        <v>2867</v>
      </c>
      <c r="Z643" s="258">
        <v>120215.0</v>
      </c>
      <c r="AA643" s="334">
        <v>11613.0</v>
      </c>
      <c r="AB643" s="341"/>
      <c r="AC643" s="341"/>
      <c r="AD643" s="343"/>
      <c r="AE643" s="331"/>
      <c r="AF643" s="348"/>
      <c r="AG643" s="337"/>
      <c r="AH643" s="341"/>
      <c r="AI643" s="341"/>
      <c r="AJ643" s="341"/>
      <c r="AK643" s="341"/>
      <c r="AL643" s="341"/>
      <c r="AM643" s="338"/>
      <c r="AN643" s="341"/>
      <c r="AO643" s="341"/>
      <c r="AP643" s="341"/>
      <c r="AQ643" s="341"/>
      <c r="AR643" s="341"/>
      <c r="AS643" s="341"/>
      <c r="AT643" s="341"/>
      <c r="AU643" s="343"/>
      <c r="AV643" s="341"/>
      <c r="AW643" s="269" t="s">
        <v>2003</v>
      </c>
      <c r="AX643" s="334" t="s">
        <v>2869</v>
      </c>
      <c r="AY643" s="270" t="s">
        <v>695</v>
      </c>
      <c r="AZ643" s="270" t="s">
        <v>2866</v>
      </c>
      <c r="BA643" s="265">
        <v>10.0</v>
      </c>
      <c r="BB643" s="174" t="s">
        <v>245</v>
      </c>
      <c r="BC643" s="341"/>
      <c r="BD643" s="308"/>
      <c r="BE643" s="347"/>
      <c r="BF643" s="274" t="str">
        <f>IFERROR(__xludf.DUMMYFUNCTION("LOWER(Regexreplace(to_text(E643),""[^A-Za-z0-9]"","""")&amp;""_""&amp;Regexreplace(to_text(F643),""[^A-Za-z0-9]"",""""))"),"neptronic_evcbseries")</f>
        <v>neptronic_evcbseries</v>
      </c>
      <c r="BG643" s="275" t="str">
        <f>IFERROR(__xludf.DUMMYFUNCTION("upper(Regexreplace(to_text(E643),""[^A-Za-z0-9]"","""")&amp;""-""&amp;Regexreplace(to_text(F643),""[^A-Za-z0-9]"",""""))"),"NEPTRONIC-EVCBSERIES")</f>
        <v>NEPTRONIC-EVCBSERIES</v>
      </c>
    </row>
    <row r="644" ht="30.0" customHeight="1">
      <c r="A644" s="258">
        <v>636.0</v>
      </c>
      <c r="B644" s="237" t="s">
        <v>670</v>
      </c>
      <c r="C644" s="257" t="s">
        <v>3496</v>
      </c>
      <c r="D644" s="173" t="s">
        <v>3496</v>
      </c>
      <c r="E644" s="174" t="s">
        <v>2861</v>
      </c>
      <c r="F644" s="173" t="s">
        <v>2862</v>
      </c>
      <c r="G644" s="328" t="s">
        <v>673</v>
      </c>
      <c r="H644" s="328" t="s">
        <v>2863</v>
      </c>
      <c r="I644" s="258" t="s">
        <v>2864</v>
      </c>
      <c r="J644" s="259" t="s">
        <v>902</v>
      </c>
      <c r="K644" s="260" t="s">
        <v>3497</v>
      </c>
      <c r="L644" s="328"/>
      <c r="M644" s="343"/>
      <c r="N644" s="173" t="s">
        <v>679</v>
      </c>
      <c r="O644" s="173" t="s">
        <v>225</v>
      </c>
      <c r="P644" s="262" t="str">
        <f t="shared" si="1"/>
        <v>IN-BLR-ANANTA-VAV-216_2</v>
      </c>
      <c r="Q644" s="173" t="s">
        <v>3498</v>
      </c>
      <c r="R644" s="328" t="str">
        <f>IFS(C644="","",C644="n/a","N/A",LEN(C644),Concatenate("{",char(34),"asset",char(34),":{",char(34),"guid",char(34),":",char(34),Q644,char(34),",",char(34),"site",char(34),":",char(34),LOWER('2-Building'!$B$4),char(34),",",char(34),"name",char(34),":",char(34),LOWER(C644),char(34),"}}"))</f>
        <v>{"asset":{"guid":"uuid://2911438e-c64e-4067-9cb6-93c516833dbd","site":"in-blr-ananta","name":"vav-216"}}</v>
      </c>
      <c r="S644" s="237" t="s">
        <v>2866</v>
      </c>
      <c r="T644" s="330"/>
      <c r="U644" s="330"/>
      <c r="V644" s="331"/>
      <c r="W644" s="344"/>
      <c r="X644" s="341"/>
      <c r="Y644" s="33" t="s">
        <v>2867</v>
      </c>
      <c r="Z644" s="258">
        <v>120216.0</v>
      </c>
      <c r="AA644" s="334">
        <v>11526.0</v>
      </c>
      <c r="AB644" s="341"/>
      <c r="AC644" s="341"/>
      <c r="AD644" s="343"/>
      <c r="AE644" s="331"/>
      <c r="AF644" s="348"/>
      <c r="AG644" s="337"/>
      <c r="AH644" s="341"/>
      <c r="AI644" s="341"/>
      <c r="AJ644" s="341"/>
      <c r="AK644" s="341"/>
      <c r="AL644" s="341"/>
      <c r="AM644" s="338"/>
      <c r="AN644" s="341"/>
      <c r="AO644" s="341"/>
      <c r="AP644" s="341"/>
      <c r="AQ644" s="341"/>
      <c r="AR644" s="341"/>
      <c r="AS644" s="341"/>
      <c r="AT644" s="341"/>
      <c r="AU644" s="343"/>
      <c r="AV644" s="341"/>
      <c r="AW644" s="269" t="s">
        <v>2023</v>
      </c>
      <c r="AX644" s="334" t="s">
        <v>2869</v>
      </c>
      <c r="AY644" s="270" t="s">
        <v>695</v>
      </c>
      <c r="AZ644" s="270" t="s">
        <v>2866</v>
      </c>
      <c r="BA644" s="265">
        <v>10.0</v>
      </c>
      <c r="BB644" s="174" t="s">
        <v>245</v>
      </c>
      <c r="BC644" s="341"/>
      <c r="BD644" s="308"/>
      <c r="BE644" s="347"/>
      <c r="BF644" s="274" t="str">
        <f>IFERROR(__xludf.DUMMYFUNCTION("LOWER(Regexreplace(to_text(E644),""[^A-Za-z0-9]"","""")&amp;""_""&amp;Regexreplace(to_text(F644),""[^A-Za-z0-9]"",""""))"),"neptronic_evcbseries")</f>
        <v>neptronic_evcbseries</v>
      </c>
      <c r="BG644" s="275" t="str">
        <f>IFERROR(__xludf.DUMMYFUNCTION("upper(Regexreplace(to_text(E644),""[^A-Za-z0-9]"","""")&amp;""-""&amp;Regexreplace(to_text(F644),""[^A-Za-z0-9]"",""""))"),"NEPTRONIC-EVCBSERIES")</f>
        <v>NEPTRONIC-EVCBSERIES</v>
      </c>
    </row>
    <row r="645" ht="30.0" customHeight="1">
      <c r="A645" s="173">
        <v>637.0</v>
      </c>
      <c r="B645" s="237" t="s">
        <v>670</v>
      </c>
      <c r="C645" s="257" t="s">
        <v>3499</v>
      </c>
      <c r="D645" s="173" t="s">
        <v>3499</v>
      </c>
      <c r="E645" s="174" t="s">
        <v>2861</v>
      </c>
      <c r="F645" s="173" t="s">
        <v>2862</v>
      </c>
      <c r="G645" s="328" t="s">
        <v>673</v>
      </c>
      <c r="H645" s="328" t="s">
        <v>2863</v>
      </c>
      <c r="I645" s="258" t="s">
        <v>2864</v>
      </c>
      <c r="J645" s="259" t="s">
        <v>902</v>
      </c>
      <c r="K645" s="260" t="s">
        <v>3500</v>
      </c>
      <c r="L645" s="328"/>
      <c r="M645" s="343"/>
      <c r="N645" s="173" t="s">
        <v>679</v>
      </c>
      <c r="O645" s="173" t="s">
        <v>225</v>
      </c>
      <c r="P645" s="262" t="str">
        <f t="shared" si="1"/>
        <v>IN-BLR-ANANTA-VAV-217_2</v>
      </c>
      <c r="Q645" s="173" t="s">
        <v>3501</v>
      </c>
      <c r="R645" s="328" t="str">
        <f>IFS(C645="","",C645="n/a","N/A",LEN(C645),Concatenate("{",char(34),"asset",char(34),":{",char(34),"guid",char(34),":",char(34),Q645,char(34),",",char(34),"site",char(34),":",char(34),LOWER('2-Building'!$B$4),char(34),",",char(34),"name",char(34),":",char(34),LOWER(C645),char(34),"}}"))</f>
        <v>{"asset":{"guid":"uuid://f411b978-a5ef-4cf2-9edd-b18ec7c278d1","site":"in-blr-ananta","name":"vav-217"}}</v>
      </c>
      <c r="S645" s="237" t="s">
        <v>2866</v>
      </c>
      <c r="T645" s="330"/>
      <c r="U645" s="330"/>
      <c r="V645" s="331"/>
      <c r="W645" s="344"/>
      <c r="X645" s="341"/>
      <c r="Y645" s="33" t="s">
        <v>2867</v>
      </c>
      <c r="Z645" s="258">
        <v>120217.0</v>
      </c>
      <c r="AA645" s="334">
        <v>11526.0</v>
      </c>
      <c r="AB645" s="341"/>
      <c r="AC645" s="341"/>
      <c r="AD645" s="343"/>
      <c r="AE645" s="331"/>
      <c r="AF645" s="348"/>
      <c r="AG645" s="337"/>
      <c r="AH645" s="341"/>
      <c r="AI645" s="341"/>
      <c r="AJ645" s="341"/>
      <c r="AK645" s="341"/>
      <c r="AL645" s="341"/>
      <c r="AM645" s="338"/>
      <c r="AN645" s="341"/>
      <c r="AO645" s="341"/>
      <c r="AP645" s="341"/>
      <c r="AQ645" s="341"/>
      <c r="AR645" s="341"/>
      <c r="AS645" s="341"/>
      <c r="AT645" s="341"/>
      <c r="AU645" s="343"/>
      <c r="AV645" s="341"/>
      <c r="AW645" s="269" t="s">
        <v>2023</v>
      </c>
      <c r="AX645" s="334" t="s">
        <v>2869</v>
      </c>
      <c r="AY645" s="270" t="s">
        <v>695</v>
      </c>
      <c r="AZ645" s="270" t="s">
        <v>2866</v>
      </c>
      <c r="BA645" s="265">
        <v>10.0</v>
      </c>
      <c r="BB645" s="174" t="s">
        <v>245</v>
      </c>
      <c r="BC645" s="341"/>
      <c r="BD645" s="308"/>
      <c r="BE645" s="347"/>
      <c r="BF645" s="274" t="str">
        <f>IFERROR(__xludf.DUMMYFUNCTION("LOWER(Regexreplace(to_text(E645),""[^A-Za-z0-9]"","""")&amp;""_""&amp;Regexreplace(to_text(F645),""[^A-Za-z0-9]"",""""))"),"neptronic_evcbseries")</f>
        <v>neptronic_evcbseries</v>
      </c>
      <c r="BG645" s="275" t="str">
        <f>IFERROR(__xludf.DUMMYFUNCTION("upper(Regexreplace(to_text(E645),""[^A-Za-z0-9]"","""")&amp;""-""&amp;Regexreplace(to_text(F645),""[^A-Za-z0-9]"",""""))"),"NEPTRONIC-EVCBSERIES")</f>
        <v>NEPTRONIC-EVCBSERIES</v>
      </c>
    </row>
    <row r="646" ht="30.0" customHeight="1">
      <c r="A646" s="258">
        <v>638.0</v>
      </c>
      <c r="B646" s="237" t="s">
        <v>670</v>
      </c>
      <c r="C646" s="257" t="s">
        <v>3502</v>
      </c>
      <c r="D646" s="173" t="s">
        <v>3502</v>
      </c>
      <c r="E646" s="174" t="s">
        <v>2861</v>
      </c>
      <c r="F646" s="173" t="s">
        <v>2862</v>
      </c>
      <c r="G646" s="328" t="s">
        <v>673</v>
      </c>
      <c r="H646" s="328" t="s">
        <v>2863</v>
      </c>
      <c r="I646" s="258" t="s">
        <v>2864</v>
      </c>
      <c r="J646" s="259" t="s">
        <v>902</v>
      </c>
      <c r="K646" s="260" t="s">
        <v>3503</v>
      </c>
      <c r="L646" s="328"/>
      <c r="M646" s="343"/>
      <c r="N646" s="173" t="s">
        <v>679</v>
      </c>
      <c r="O646" s="173" t="s">
        <v>225</v>
      </c>
      <c r="P646" s="262" t="str">
        <f t="shared" si="1"/>
        <v>IN-BLR-ANANTA-VAV-218_2</v>
      </c>
      <c r="Q646" s="173" t="s">
        <v>3504</v>
      </c>
      <c r="R646" s="328" t="str">
        <f>IFS(C646="","",C646="n/a","N/A",LEN(C646),Concatenate("{",char(34),"asset",char(34),":{",char(34),"guid",char(34),":",char(34),Q646,char(34),",",char(34),"site",char(34),":",char(34),LOWER('2-Building'!$B$4),char(34),",",char(34),"name",char(34),":",char(34),LOWER(C646),char(34),"}}"))</f>
        <v>{"asset":{"guid":"uuid://780b8c8e-8896-47d0-97e2-a07fad4e68e2","site":"in-blr-ananta","name":"vav-218"}}</v>
      </c>
      <c r="S646" s="237" t="s">
        <v>2866</v>
      </c>
      <c r="T646" s="330"/>
      <c r="U646" s="330"/>
      <c r="V646" s="331"/>
      <c r="W646" s="344"/>
      <c r="X646" s="341"/>
      <c r="Y646" s="33" t="s">
        <v>2867</v>
      </c>
      <c r="Z646" s="258">
        <v>120218.0</v>
      </c>
      <c r="AA646" s="334">
        <v>11544.0</v>
      </c>
      <c r="AB646" s="341"/>
      <c r="AC646" s="341"/>
      <c r="AD646" s="343"/>
      <c r="AE646" s="331"/>
      <c r="AF646" s="348"/>
      <c r="AG646" s="337"/>
      <c r="AH646" s="341"/>
      <c r="AI646" s="341"/>
      <c r="AJ646" s="341"/>
      <c r="AK646" s="341"/>
      <c r="AL646" s="341"/>
      <c r="AM646" s="338"/>
      <c r="AN646" s="341"/>
      <c r="AO646" s="341"/>
      <c r="AP646" s="341"/>
      <c r="AQ646" s="341"/>
      <c r="AR646" s="341"/>
      <c r="AS646" s="341"/>
      <c r="AT646" s="341"/>
      <c r="AU646" s="343"/>
      <c r="AV646" s="341"/>
      <c r="AW646" s="269" t="s">
        <v>907</v>
      </c>
      <c r="AX646" s="334" t="s">
        <v>2869</v>
      </c>
      <c r="AY646" s="270" t="s">
        <v>695</v>
      </c>
      <c r="AZ646" s="270" t="s">
        <v>2866</v>
      </c>
      <c r="BA646" s="265">
        <v>10.0</v>
      </c>
      <c r="BB646" s="174" t="s">
        <v>245</v>
      </c>
      <c r="BC646" s="341"/>
      <c r="BD646" s="308"/>
      <c r="BE646" s="347"/>
      <c r="BF646" s="274" t="str">
        <f>IFERROR(__xludf.DUMMYFUNCTION("LOWER(Regexreplace(to_text(E646),""[^A-Za-z0-9]"","""")&amp;""_""&amp;Regexreplace(to_text(F646),""[^A-Za-z0-9]"",""""))"),"neptronic_evcbseries")</f>
        <v>neptronic_evcbseries</v>
      </c>
      <c r="BG646" s="275" t="str">
        <f>IFERROR(__xludf.DUMMYFUNCTION("upper(Regexreplace(to_text(E646),""[^A-Za-z0-9]"","""")&amp;""-""&amp;Regexreplace(to_text(F646),""[^A-Za-z0-9]"",""""))"),"NEPTRONIC-EVCBSERIES")</f>
        <v>NEPTRONIC-EVCBSERIES</v>
      </c>
    </row>
    <row r="647" ht="30.0" customHeight="1">
      <c r="A647" s="173">
        <v>639.0</v>
      </c>
      <c r="B647" s="237" t="s">
        <v>670</v>
      </c>
      <c r="C647" s="257" t="s">
        <v>3505</v>
      </c>
      <c r="D647" s="173" t="s">
        <v>3505</v>
      </c>
      <c r="E647" s="174" t="s">
        <v>2861</v>
      </c>
      <c r="F647" s="173" t="s">
        <v>2862</v>
      </c>
      <c r="G647" s="328" t="s">
        <v>673</v>
      </c>
      <c r="H647" s="328" t="s">
        <v>2863</v>
      </c>
      <c r="I647" s="258" t="s">
        <v>2864</v>
      </c>
      <c r="J647" s="259" t="s">
        <v>902</v>
      </c>
      <c r="K647" s="260" t="s">
        <v>3506</v>
      </c>
      <c r="L647" s="328"/>
      <c r="M647" s="343"/>
      <c r="N647" s="173" t="s">
        <v>679</v>
      </c>
      <c r="O647" s="173" t="s">
        <v>225</v>
      </c>
      <c r="P647" s="262" t="str">
        <f t="shared" si="1"/>
        <v>IN-BLR-ANANTA-VAV-219_2</v>
      </c>
      <c r="Q647" s="173" t="s">
        <v>3507</v>
      </c>
      <c r="R647" s="328" t="str">
        <f>IFS(C647="","",C647="n/a","N/A",LEN(C647),Concatenate("{",char(34),"asset",char(34),":{",char(34),"guid",char(34),":",char(34),Q647,char(34),",",char(34),"site",char(34),":",char(34),LOWER('2-Building'!$B$4),char(34),",",char(34),"name",char(34),":",char(34),LOWER(C647),char(34),"}}"))</f>
        <v>{"asset":{"guid":"uuid://e52deead-29dc-4b50-9270-4dea050bbfc1","site":"in-blr-ananta","name":"vav-219"}}</v>
      </c>
      <c r="S647" s="237" t="s">
        <v>2866</v>
      </c>
      <c r="T647" s="330"/>
      <c r="U647" s="330"/>
      <c r="V647" s="331"/>
      <c r="W647" s="344"/>
      <c r="X647" s="341"/>
      <c r="Y647" s="33" t="s">
        <v>2867</v>
      </c>
      <c r="Z647" s="258">
        <v>120219.0</v>
      </c>
      <c r="AA647" s="334">
        <v>11544.0</v>
      </c>
      <c r="AB647" s="341"/>
      <c r="AC647" s="341"/>
      <c r="AD647" s="343"/>
      <c r="AE647" s="331"/>
      <c r="AF647" s="348"/>
      <c r="AG647" s="337"/>
      <c r="AH647" s="341"/>
      <c r="AI647" s="341"/>
      <c r="AJ647" s="341"/>
      <c r="AK647" s="341"/>
      <c r="AL647" s="341"/>
      <c r="AM647" s="338"/>
      <c r="AN647" s="341"/>
      <c r="AO647" s="341"/>
      <c r="AP647" s="341"/>
      <c r="AQ647" s="341"/>
      <c r="AR647" s="341"/>
      <c r="AS647" s="341"/>
      <c r="AT647" s="341"/>
      <c r="AU647" s="343"/>
      <c r="AV647" s="341"/>
      <c r="AW647" s="269" t="s">
        <v>907</v>
      </c>
      <c r="AX647" s="334" t="s">
        <v>2869</v>
      </c>
      <c r="AY647" s="270" t="s">
        <v>695</v>
      </c>
      <c r="AZ647" s="270" t="s">
        <v>2866</v>
      </c>
      <c r="BA647" s="265">
        <v>10.0</v>
      </c>
      <c r="BB647" s="174" t="s">
        <v>245</v>
      </c>
      <c r="BC647" s="341"/>
      <c r="BD647" s="308"/>
      <c r="BE647" s="347"/>
      <c r="BF647" s="274" t="str">
        <f>IFERROR(__xludf.DUMMYFUNCTION("LOWER(Regexreplace(to_text(E647),""[^A-Za-z0-9]"","""")&amp;""_""&amp;Regexreplace(to_text(F647),""[^A-Za-z0-9]"",""""))"),"neptronic_evcbseries")</f>
        <v>neptronic_evcbseries</v>
      </c>
      <c r="BG647" s="275" t="str">
        <f>IFERROR(__xludf.DUMMYFUNCTION("upper(Regexreplace(to_text(E647),""[^A-Za-z0-9]"","""")&amp;""-""&amp;Regexreplace(to_text(F647),""[^A-Za-z0-9]"",""""))"),"NEPTRONIC-EVCBSERIES")</f>
        <v>NEPTRONIC-EVCBSERIES</v>
      </c>
    </row>
    <row r="648" ht="30.0" customHeight="1">
      <c r="A648" s="258">
        <v>640.0</v>
      </c>
      <c r="B648" s="237" t="s">
        <v>670</v>
      </c>
      <c r="C648" s="257" t="s">
        <v>3508</v>
      </c>
      <c r="D648" s="173" t="s">
        <v>3508</v>
      </c>
      <c r="E648" s="174" t="s">
        <v>2861</v>
      </c>
      <c r="F648" s="173" t="s">
        <v>2862</v>
      </c>
      <c r="G648" s="328" t="s">
        <v>673</v>
      </c>
      <c r="H648" s="328" t="s">
        <v>2863</v>
      </c>
      <c r="I648" s="258" t="s">
        <v>2864</v>
      </c>
      <c r="J648" s="259" t="s">
        <v>902</v>
      </c>
      <c r="K648" s="260" t="s">
        <v>3509</v>
      </c>
      <c r="L648" s="328"/>
      <c r="M648" s="343"/>
      <c r="N648" s="173" t="s">
        <v>679</v>
      </c>
      <c r="O648" s="173" t="s">
        <v>225</v>
      </c>
      <c r="P648" s="262" t="str">
        <f t="shared" si="1"/>
        <v>IN-BLR-ANANTA-VAV-220_2</v>
      </c>
      <c r="Q648" s="173" t="s">
        <v>3510</v>
      </c>
      <c r="R648" s="328" t="str">
        <f>IFS(C648="","",C648="n/a","N/A",LEN(C648),Concatenate("{",char(34),"asset",char(34),":{",char(34),"guid",char(34),":",char(34),Q648,char(34),",",char(34),"site",char(34),":",char(34),LOWER('2-Building'!$B$4),char(34),",",char(34),"name",char(34),":",char(34),LOWER(C648),char(34),"}}"))</f>
        <v>{"asset":{"guid":"uuid://05aaf8d7-9ad2-4e34-b25b-a7cbc80d9f30","site":"in-blr-ananta","name":"vav-220"}}</v>
      </c>
      <c r="S648" s="237" t="s">
        <v>2866</v>
      </c>
      <c r="T648" s="330"/>
      <c r="U648" s="330"/>
      <c r="V648" s="331"/>
      <c r="W648" s="344"/>
      <c r="X648" s="341"/>
      <c r="Y648" s="33" t="s">
        <v>2867</v>
      </c>
      <c r="Z648" s="258">
        <v>120220.0</v>
      </c>
      <c r="AA648" s="334">
        <v>11526.0</v>
      </c>
      <c r="AB648" s="341"/>
      <c r="AC648" s="341"/>
      <c r="AD648" s="343"/>
      <c r="AE648" s="331"/>
      <c r="AF648" s="348"/>
      <c r="AG648" s="337"/>
      <c r="AH648" s="341"/>
      <c r="AI648" s="341"/>
      <c r="AJ648" s="341"/>
      <c r="AK648" s="341"/>
      <c r="AL648" s="341"/>
      <c r="AM648" s="338"/>
      <c r="AN648" s="341"/>
      <c r="AO648" s="341"/>
      <c r="AP648" s="341"/>
      <c r="AQ648" s="341"/>
      <c r="AR648" s="341"/>
      <c r="AS648" s="341"/>
      <c r="AT648" s="341"/>
      <c r="AU648" s="343"/>
      <c r="AV648" s="341"/>
      <c r="AW648" s="269" t="s">
        <v>2023</v>
      </c>
      <c r="AX648" s="334" t="s">
        <v>2869</v>
      </c>
      <c r="AY648" s="270" t="s">
        <v>695</v>
      </c>
      <c r="AZ648" s="270" t="s">
        <v>2866</v>
      </c>
      <c r="BA648" s="265">
        <v>10.0</v>
      </c>
      <c r="BB648" s="174" t="s">
        <v>245</v>
      </c>
      <c r="BC648" s="341"/>
      <c r="BD648" s="308"/>
      <c r="BE648" s="347"/>
      <c r="BF648" s="274" t="str">
        <f>IFERROR(__xludf.DUMMYFUNCTION("LOWER(Regexreplace(to_text(E648),""[^A-Za-z0-9]"","""")&amp;""_""&amp;Regexreplace(to_text(F648),""[^A-Za-z0-9]"",""""))"),"neptronic_evcbseries")</f>
        <v>neptronic_evcbseries</v>
      </c>
      <c r="BG648" s="275" t="str">
        <f>IFERROR(__xludf.DUMMYFUNCTION("upper(Regexreplace(to_text(E648),""[^A-Za-z0-9]"","""")&amp;""-""&amp;Regexreplace(to_text(F648),""[^A-Za-z0-9]"",""""))"),"NEPTRONIC-EVCBSERIES")</f>
        <v>NEPTRONIC-EVCBSERIES</v>
      </c>
    </row>
    <row r="649" ht="30.0" customHeight="1">
      <c r="A649" s="173">
        <v>641.0</v>
      </c>
      <c r="B649" s="237" t="s">
        <v>670</v>
      </c>
      <c r="C649" s="257" t="s">
        <v>3511</v>
      </c>
      <c r="D649" s="173" t="s">
        <v>3511</v>
      </c>
      <c r="E649" s="174" t="s">
        <v>2861</v>
      </c>
      <c r="F649" s="173" t="s">
        <v>2862</v>
      </c>
      <c r="G649" s="328" t="s">
        <v>673</v>
      </c>
      <c r="H649" s="328" t="s">
        <v>2863</v>
      </c>
      <c r="I649" s="258" t="s">
        <v>2864</v>
      </c>
      <c r="J649" s="259" t="s">
        <v>902</v>
      </c>
      <c r="K649" s="260" t="s">
        <v>3512</v>
      </c>
      <c r="L649" s="328"/>
      <c r="M649" s="343"/>
      <c r="N649" s="173" t="s">
        <v>679</v>
      </c>
      <c r="O649" s="173" t="s">
        <v>225</v>
      </c>
      <c r="P649" s="262" t="str">
        <f t="shared" si="1"/>
        <v>IN-BLR-ANANTA-VAV-221_2</v>
      </c>
      <c r="Q649" s="173" t="s">
        <v>3513</v>
      </c>
      <c r="R649" s="328" t="str">
        <f>IFS(C649="","",C649="n/a","N/A",LEN(C649),Concatenate("{",char(34),"asset",char(34),":{",char(34),"guid",char(34),":",char(34),Q649,char(34),",",char(34),"site",char(34),":",char(34),LOWER('2-Building'!$B$4),char(34),",",char(34),"name",char(34),":",char(34),LOWER(C649),char(34),"}}"))</f>
        <v>{"asset":{"guid":"uuid://295aae2e-da2a-4360-9eb2-9aac6e39d2d2","site":"in-blr-ananta","name":"vav-221"}}</v>
      </c>
      <c r="S649" s="237" t="s">
        <v>2866</v>
      </c>
      <c r="T649" s="330"/>
      <c r="U649" s="330"/>
      <c r="V649" s="331"/>
      <c r="W649" s="344"/>
      <c r="X649" s="341"/>
      <c r="Y649" s="33" t="s">
        <v>2867</v>
      </c>
      <c r="Z649" s="258">
        <v>120221.0</v>
      </c>
      <c r="AA649" s="334">
        <v>11526.0</v>
      </c>
      <c r="AB649" s="341"/>
      <c r="AC649" s="341"/>
      <c r="AD649" s="343"/>
      <c r="AE649" s="331"/>
      <c r="AF649" s="348"/>
      <c r="AG649" s="337"/>
      <c r="AH649" s="341"/>
      <c r="AI649" s="341"/>
      <c r="AJ649" s="341"/>
      <c r="AK649" s="341"/>
      <c r="AL649" s="341"/>
      <c r="AM649" s="338"/>
      <c r="AN649" s="341"/>
      <c r="AO649" s="341"/>
      <c r="AP649" s="341"/>
      <c r="AQ649" s="341"/>
      <c r="AR649" s="341"/>
      <c r="AS649" s="341"/>
      <c r="AT649" s="341"/>
      <c r="AU649" s="343"/>
      <c r="AV649" s="341"/>
      <c r="AW649" s="269" t="s">
        <v>2023</v>
      </c>
      <c r="AX649" s="334" t="s">
        <v>2869</v>
      </c>
      <c r="AY649" s="270" t="s">
        <v>695</v>
      </c>
      <c r="AZ649" s="270" t="s">
        <v>2866</v>
      </c>
      <c r="BA649" s="265">
        <v>10.0</v>
      </c>
      <c r="BB649" s="174" t="s">
        <v>245</v>
      </c>
      <c r="BC649" s="341"/>
      <c r="BD649" s="308"/>
      <c r="BE649" s="347"/>
      <c r="BF649" s="274" t="str">
        <f>IFERROR(__xludf.DUMMYFUNCTION("LOWER(Regexreplace(to_text(E649),""[^A-Za-z0-9]"","""")&amp;""_""&amp;Regexreplace(to_text(F649),""[^A-Za-z0-9]"",""""))"),"neptronic_evcbseries")</f>
        <v>neptronic_evcbseries</v>
      </c>
      <c r="BG649" s="275" t="str">
        <f>IFERROR(__xludf.DUMMYFUNCTION("upper(Regexreplace(to_text(E649),""[^A-Za-z0-9]"","""")&amp;""-""&amp;Regexreplace(to_text(F649),""[^A-Za-z0-9]"",""""))"),"NEPTRONIC-EVCBSERIES")</f>
        <v>NEPTRONIC-EVCBSERIES</v>
      </c>
    </row>
    <row r="650" ht="30.0" customHeight="1">
      <c r="A650" s="258">
        <v>642.0</v>
      </c>
      <c r="B650" s="237" t="s">
        <v>670</v>
      </c>
      <c r="C650" s="257" t="s">
        <v>3514</v>
      </c>
      <c r="D650" s="173" t="s">
        <v>3514</v>
      </c>
      <c r="E650" s="174" t="s">
        <v>2861</v>
      </c>
      <c r="F650" s="173" t="s">
        <v>2862</v>
      </c>
      <c r="G650" s="328" t="s">
        <v>673</v>
      </c>
      <c r="H650" s="328" t="s">
        <v>2863</v>
      </c>
      <c r="I650" s="258" t="s">
        <v>2864</v>
      </c>
      <c r="J650" s="259" t="s">
        <v>902</v>
      </c>
      <c r="K650" s="260" t="s">
        <v>3515</v>
      </c>
      <c r="L650" s="328"/>
      <c r="M650" s="343"/>
      <c r="N650" s="173" t="s">
        <v>679</v>
      </c>
      <c r="O650" s="173" t="s">
        <v>225</v>
      </c>
      <c r="P650" s="262" t="str">
        <f t="shared" si="1"/>
        <v>IN-BLR-ANANTA-VAV-222_2</v>
      </c>
      <c r="Q650" s="173" t="s">
        <v>3516</v>
      </c>
      <c r="R650" s="328" t="str">
        <f>IFS(C650="","",C650="n/a","N/A",LEN(C650),Concatenate("{",char(34),"asset",char(34),":{",char(34),"guid",char(34),":",char(34),Q650,char(34),",",char(34),"site",char(34),":",char(34),LOWER('2-Building'!$B$4),char(34),",",char(34),"name",char(34),":",char(34),LOWER(C650),char(34),"}}"))</f>
        <v>{"asset":{"guid":"uuid://fb45d3d7-a017-4eec-9977-d8c4638085ac","site":"in-blr-ananta","name":"vav-222"}}</v>
      </c>
      <c r="S650" s="237" t="s">
        <v>2866</v>
      </c>
      <c r="T650" s="330"/>
      <c r="U650" s="330"/>
      <c r="V650" s="331"/>
      <c r="W650" s="344"/>
      <c r="X650" s="341"/>
      <c r="Y650" s="33" t="s">
        <v>2867</v>
      </c>
      <c r="Z650" s="258">
        <v>120222.0</v>
      </c>
      <c r="AA650" s="334">
        <v>11526.0</v>
      </c>
      <c r="AB650" s="341"/>
      <c r="AC650" s="341"/>
      <c r="AD650" s="343"/>
      <c r="AE650" s="331"/>
      <c r="AF650" s="348"/>
      <c r="AG650" s="337"/>
      <c r="AH650" s="341"/>
      <c r="AI650" s="341"/>
      <c r="AJ650" s="341"/>
      <c r="AK650" s="341"/>
      <c r="AL650" s="341"/>
      <c r="AM650" s="338"/>
      <c r="AN650" s="341"/>
      <c r="AO650" s="341"/>
      <c r="AP650" s="341"/>
      <c r="AQ650" s="341"/>
      <c r="AR650" s="341"/>
      <c r="AS650" s="341"/>
      <c r="AT650" s="341"/>
      <c r="AU650" s="343"/>
      <c r="AV650" s="341"/>
      <c r="AW650" s="269" t="s">
        <v>2023</v>
      </c>
      <c r="AX650" s="334" t="s">
        <v>2869</v>
      </c>
      <c r="AY650" s="270" t="s">
        <v>695</v>
      </c>
      <c r="AZ650" s="270" t="s">
        <v>2866</v>
      </c>
      <c r="BA650" s="265">
        <v>10.0</v>
      </c>
      <c r="BB650" s="174" t="s">
        <v>245</v>
      </c>
      <c r="BC650" s="341"/>
      <c r="BD650" s="308"/>
      <c r="BE650" s="347"/>
      <c r="BF650" s="274" t="str">
        <f>IFERROR(__xludf.DUMMYFUNCTION("LOWER(Regexreplace(to_text(E650),""[^A-Za-z0-9]"","""")&amp;""_""&amp;Regexreplace(to_text(F650),""[^A-Za-z0-9]"",""""))"),"neptronic_evcbseries")</f>
        <v>neptronic_evcbseries</v>
      </c>
      <c r="BG650" s="275" t="str">
        <f>IFERROR(__xludf.DUMMYFUNCTION("upper(Regexreplace(to_text(E650),""[^A-Za-z0-9]"","""")&amp;""-""&amp;Regexreplace(to_text(F650),""[^A-Za-z0-9]"",""""))"),"NEPTRONIC-EVCBSERIES")</f>
        <v>NEPTRONIC-EVCBSERIES</v>
      </c>
    </row>
    <row r="651" ht="30.0" customHeight="1">
      <c r="A651" s="173">
        <v>643.0</v>
      </c>
      <c r="B651" s="237" t="s">
        <v>670</v>
      </c>
      <c r="C651" s="257" t="s">
        <v>3517</v>
      </c>
      <c r="D651" s="173" t="s">
        <v>3517</v>
      </c>
      <c r="E651" s="174" t="s">
        <v>2861</v>
      </c>
      <c r="F651" s="173" t="s">
        <v>2862</v>
      </c>
      <c r="G651" s="328" t="s">
        <v>673</v>
      </c>
      <c r="H651" s="328" t="s">
        <v>2863</v>
      </c>
      <c r="I651" s="258" t="s">
        <v>2864</v>
      </c>
      <c r="J651" s="259" t="s">
        <v>902</v>
      </c>
      <c r="K651" s="260" t="s">
        <v>3518</v>
      </c>
      <c r="L651" s="328"/>
      <c r="M651" s="343"/>
      <c r="N651" s="173" t="s">
        <v>679</v>
      </c>
      <c r="O651" s="173" t="s">
        <v>225</v>
      </c>
      <c r="P651" s="262" t="str">
        <f t="shared" si="1"/>
        <v>IN-BLR-ANANTA-VAV-223_2</v>
      </c>
      <c r="Q651" s="173" t="s">
        <v>3519</v>
      </c>
      <c r="R651" s="328" t="str">
        <f>IFS(C651="","",C651="n/a","N/A",LEN(C651),Concatenate("{",char(34),"asset",char(34),":{",char(34),"guid",char(34),":",char(34),Q651,char(34),",",char(34),"site",char(34),":",char(34),LOWER('2-Building'!$B$4),char(34),",",char(34),"name",char(34),":",char(34),LOWER(C651),char(34),"}}"))</f>
        <v>{"asset":{"guid":"uuid://63909227-03a2-4522-8f78-07c8727a2cc0","site":"in-blr-ananta","name":"vav-223"}}</v>
      </c>
      <c r="S651" s="237" t="s">
        <v>2866</v>
      </c>
      <c r="T651" s="330"/>
      <c r="U651" s="330"/>
      <c r="V651" s="331"/>
      <c r="W651" s="344"/>
      <c r="X651" s="341"/>
      <c r="Y651" s="33" t="s">
        <v>2867</v>
      </c>
      <c r="Z651" s="258">
        <v>120223.0</v>
      </c>
      <c r="AA651" s="334">
        <v>11526.0</v>
      </c>
      <c r="AB651" s="341"/>
      <c r="AC651" s="341"/>
      <c r="AD651" s="343"/>
      <c r="AE651" s="331"/>
      <c r="AF651" s="348"/>
      <c r="AG651" s="337"/>
      <c r="AH651" s="341"/>
      <c r="AI651" s="341"/>
      <c r="AJ651" s="341"/>
      <c r="AK651" s="341"/>
      <c r="AL651" s="341"/>
      <c r="AM651" s="338"/>
      <c r="AN651" s="341"/>
      <c r="AO651" s="341"/>
      <c r="AP651" s="341"/>
      <c r="AQ651" s="341"/>
      <c r="AR651" s="341"/>
      <c r="AS651" s="341"/>
      <c r="AT651" s="341"/>
      <c r="AU651" s="343"/>
      <c r="AV651" s="341"/>
      <c r="AW651" s="269" t="s">
        <v>2023</v>
      </c>
      <c r="AX651" s="334" t="s">
        <v>2869</v>
      </c>
      <c r="AY651" s="270" t="s">
        <v>695</v>
      </c>
      <c r="AZ651" s="270" t="s">
        <v>2866</v>
      </c>
      <c r="BA651" s="265">
        <v>10.0</v>
      </c>
      <c r="BB651" s="174" t="s">
        <v>245</v>
      </c>
      <c r="BC651" s="341"/>
      <c r="BD651" s="308"/>
      <c r="BE651" s="347"/>
      <c r="BF651" s="274" t="str">
        <f>IFERROR(__xludf.DUMMYFUNCTION("LOWER(Regexreplace(to_text(E651),""[^A-Za-z0-9]"","""")&amp;""_""&amp;Regexreplace(to_text(F651),""[^A-Za-z0-9]"",""""))"),"neptronic_evcbseries")</f>
        <v>neptronic_evcbseries</v>
      </c>
      <c r="BG651" s="275" t="str">
        <f>IFERROR(__xludf.DUMMYFUNCTION("upper(Regexreplace(to_text(E651),""[^A-Za-z0-9]"","""")&amp;""-""&amp;Regexreplace(to_text(F651),""[^A-Za-z0-9]"",""""))"),"NEPTRONIC-EVCBSERIES")</f>
        <v>NEPTRONIC-EVCBSERIES</v>
      </c>
    </row>
    <row r="652" ht="30.0" customHeight="1">
      <c r="A652" s="258">
        <v>644.0</v>
      </c>
      <c r="B652" s="237" t="s">
        <v>670</v>
      </c>
      <c r="C652" s="257" t="s">
        <v>3520</v>
      </c>
      <c r="D652" s="173" t="s">
        <v>3520</v>
      </c>
      <c r="E652" s="174" t="s">
        <v>2861</v>
      </c>
      <c r="F652" s="173" t="s">
        <v>2862</v>
      </c>
      <c r="G652" s="328" t="s">
        <v>673</v>
      </c>
      <c r="H652" s="328" t="s">
        <v>2863</v>
      </c>
      <c r="I652" s="258" t="s">
        <v>2864</v>
      </c>
      <c r="J652" s="259" t="s">
        <v>902</v>
      </c>
      <c r="K652" s="260" t="s">
        <v>3521</v>
      </c>
      <c r="L652" s="328"/>
      <c r="M652" s="343"/>
      <c r="N652" s="173" t="s">
        <v>679</v>
      </c>
      <c r="O652" s="173" t="s">
        <v>225</v>
      </c>
      <c r="P652" s="262" t="str">
        <f t="shared" si="1"/>
        <v>IN-BLR-ANANTA-VAV-224_2</v>
      </c>
      <c r="Q652" s="173" t="s">
        <v>3522</v>
      </c>
      <c r="R652" s="328" t="str">
        <f>IFS(C652="","",C652="n/a","N/A",LEN(C652),Concatenate("{",char(34),"asset",char(34),":{",char(34),"guid",char(34),":",char(34),Q652,char(34),",",char(34),"site",char(34),":",char(34),LOWER('2-Building'!$B$4),char(34),",",char(34),"name",char(34),":",char(34),LOWER(C652),char(34),"}}"))</f>
        <v>{"asset":{"guid":"uuid://7cdd86ae-6e88-4d6a-aec8-ccc5abf452fd","site":"in-blr-ananta","name":"vav-224"}}</v>
      </c>
      <c r="S652" s="237" t="s">
        <v>2866</v>
      </c>
      <c r="T652" s="330"/>
      <c r="U652" s="330"/>
      <c r="V652" s="331"/>
      <c r="W652" s="344"/>
      <c r="X652" s="341"/>
      <c r="Y652" s="33" t="s">
        <v>2867</v>
      </c>
      <c r="Z652" s="258">
        <v>120224.0</v>
      </c>
      <c r="AA652" s="334">
        <v>11526.0</v>
      </c>
      <c r="AB652" s="341"/>
      <c r="AC652" s="341"/>
      <c r="AD652" s="343"/>
      <c r="AE652" s="331"/>
      <c r="AF652" s="348"/>
      <c r="AG652" s="337"/>
      <c r="AH652" s="341"/>
      <c r="AI652" s="341"/>
      <c r="AJ652" s="341"/>
      <c r="AK652" s="341"/>
      <c r="AL652" s="341"/>
      <c r="AM652" s="338"/>
      <c r="AN652" s="341"/>
      <c r="AO652" s="341"/>
      <c r="AP652" s="341"/>
      <c r="AQ652" s="341"/>
      <c r="AR652" s="341"/>
      <c r="AS652" s="341"/>
      <c r="AT652" s="341"/>
      <c r="AU652" s="343"/>
      <c r="AV652" s="341"/>
      <c r="AW652" s="269" t="s">
        <v>2023</v>
      </c>
      <c r="AX652" s="334" t="s">
        <v>2869</v>
      </c>
      <c r="AY652" s="270" t="s">
        <v>695</v>
      </c>
      <c r="AZ652" s="270" t="s">
        <v>2866</v>
      </c>
      <c r="BA652" s="265">
        <v>10.0</v>
      </c>
      <c r="BB652" s="174" t="s">
        <v>245</v>
      </c>
      <c r="BC652" s="341"/>
      <c r="BD652" s="308"/>
      <c r="BE652" s="347"/>
      <c r="BF652" s="274" t="str">
        <f>IFERROR(__xludf.DUMMYFUNCTION("LOWER(Regexreplace(to_text(E652),""[^A-Za-z0-9]"","""")&amp;""_""&amp;Regexreplace(to_text(F652),""[^A-Za-z0-9]"",""""))"),"neptronic_evcbseries")</f>
        <v>neptronic_evcbseries</v>
      </c>
      <c r="BG652" s="275" t="str">
        <f>IFERROR(__xludf.DUMMYFUNCTION("upper(Regexreplace(to_text(E652),""[^A-Za-z0-9]"","""")&amp;""-""&amp;Regexreplace(to_text(F652),""[^A-Za-z0-9]"",""""))"),"NEPTRONIC-EVCBSERIES")</f>
        <v>NEPTRONIC-EVCBSERIES</v>
      </c>
    </row>
    <row r="653" ht="30.0" customHeight="1">
      <c r="A653" s="173">
        <v>645.0</v>
      </c>
      <c r="B653" s="237" t="s">
        <v>670</v>
      </c>
      <c r="C653" s="257" t="s">
        <v>3523</v>
      </c>
      <c r="D653" s="173" t="s">
        <v>3523</v>
      </c>
      <c r="E653" s="174" t="s">
        <v>2861</v>
      </c>
      <c r="F653" s="173" t="s">
        <v>2862</v>
      </c>
      <c r="G653" s="328" t="s">
        <v>673</v>
      </c>
      <c r="H653" s="328" t="s">
        <v>2863</v>
      </c>
      <c r="I653" s="258" t="s">
        <v>2864</v>
      </c>
      <c r="J653" s="259" t="s">
        <v>902</v>
      </c>
      <c r="K653" s="260" t="s">
        <v>3524</v>
      </c>
      <c r="L653" s="328"/>
      <c r="M653" s="343"/>
      <c r="N653" s="173" t="s">
        <v>679</v>
      </c>
      <c r="O653" s="173" t="s">
        <v>225</v>
      </c>
      <c r="P653" s="262" t="str">
        <f t="shared" si="1"/>
        <v>IN-BLR-ANANTA-VAV-225_2</v>
      </c>
      <c r="Q653" s="173" t="s">
        <v>3525</v>
      </c>
      <c r="R653" s="328" t="str">
        <f>IFS(C653="","",C653="n/a","N/A",LEN(C653),Concatenate("{",char(34),"asset",char(34),":{",char(34),"guid",char(34),":",char(34),Q653,char(34),",",char(34),"site",char(34),":",char(34),LOWER('2-Building'!$B$4),char(34),",",char(34),"name",char(34),":",char(34),LOWER(C653),char(34),"}}"))</f>
        <v>{"asset":{"guid":"uuid://3b62f20e-89b7-4249-97a3-0086c93d43e8","site":"in-blr-ananta","name":"vav-225"}}</v>
      </c>
      <c r="S653" s="237" t="s">
        <v>2866</v>
      </c>
      <c r="T653" s="330"/>
      <c r="U653" s="330"/>
      <c r="V653" s="331"/>
      <c r="W653" s="344"/>
      <c r="X653" s="341"/>
      <c r="Y653" s="33" t="s">
        <v>2867</v>
      </c>
      <c r="Z653" s="258">
        <v>120225.0</v>
      </c>
      <c r="AA653" s="334">
        <v>11526.0</v>
      </c>
      <c r="AB653" s="341"/>
      <c r="AC653" s="341"/>
      <c r="AD653" s="343"/>
      <c r="AE653" s="331"/>
      <c r="AF653" s="348"/>
      <c r="AG653" s="337"/>
      <c r="AH653" s="341"/>
      <c r="AI653" s="341"/>
      <c r="AJ653" s="341"/>
      <c r="AK653" s="341"/>
      <c r="AL653" s="341"/>
      <c r="AM653" s="338"/>
      <c r="AN653" s="341"/>
      <c r="AO653" s="341"/>
      <c r="AP653" s="341"/>
      <c r="AQ653" s="341"/>
      <c r="AR653" s="341"/>
      <c r="AS653" s="341"/>
      <c r="AT653" s="341"/>
      <c r="AU653" s="343"/>
      <c r="AV653" s="341"/>
      <c r="AW653" s="269" t="s">
        <v>2023</v>
      </c>
      <c r="AX653" s="334" t="s">
        <v>2869</v>
      </c>
      <c r="AY653" s="270" t="s">
        <v>695</v>
      </c>
      <c r="AZ653" s="270" t="s">
        <v>2866</v>
      </c>
      <c r="BA653" s="265">
        <v>10.0</v>
      </c>
      <c r="BB653" s="174" t="s">
        <v>245</v>
      </c>
      <c r="BC653" s="341"/>
      <c r="BD653" s="308"/>
      <c r="BE653" s="347"/>
      <c r="BF653" s="274" t="str">
        <f>IFERROR(__xludf.DUMMYFUNCTION("LOWER(Regexreplace(to_text(E653),""[^A-Za-z0-9]"","""")&amp;""_""&amp;Regexreplace(to_text(F653),""[^A-Za-z0-9]"",""""))"),"neptronic_evcbseries")</f>
        <v>neptronic_evcbseries</v>
      </c>
      <c r="BG653" s="275" t="str">
        <f>IFERROR(__xludf.DUMMYFUNCTION("upper(Regexreplace(to_text(E653),""[^A-Za-z0-9]"","""")&amp;""-""&amp;Regexreplace(to_text(F653),""[^A-Za-z0-9]"",""""))"),"NEPTRONIC-EVCBSERIES")</f>
        <v>NEPTRONIC-EVCBSERIES</v>
      </c>
    </row>
    <row r="654" ht="30.0" customHeight="1">
      <c r="A654" s="258">
        <v>646.0</v>
      </c>
      <c r="B654" s="237" t="s">
        <v>670</v>
      </c>
      <c r="C654" s="257" t="s">
        <v>3526</v>
      </c>
      <c r="D654" s="173" t="s">
        <v>3526</v>
      </c>
      <c r="E654" s="174" t="s">
        <v>2861</v>
      </c>
      <c r="F654" s="173" t="s">
        <v>2862</v>
      </c>
      <c r="G654" s="328" t="s">
        <v>673</v>
      </c>
      <c r="H654" s="328" t="s">
        <v>2863</v>
      </c>
      <c r="I654" s="258" t="s">
        <v>2864</v>
      </c>
      <c r="J654" s="259" t="s">
        <v>902</v>
      </c>
      <c r="K654" s="260" t="s">
        <v>3527</v>
      </c>
      <c r="L654" s="328"/>
      <c r="M654" s="343"/>
      <c r="N654" s="173" t="s">
        <v>679</v>
      </c>
      <c r="O654" s="173" t="s">
        <v>225</v>
      </c>
      <c r="P654" s="262" t="str">
        <f t="shared" si="1"/>
        <v>IN-BLR-ANANTA-VAV-226_2</v>
      </c>
      <c r="Q654" s="173" t="s">
        <v>3528</v>
      </c>
      <c r="R654" s="328" t="str">
        <f>IFS(C654="","",C654="n/a","N/A",LEN(C654),Concatenate("{",char(34),"asset",char(34),":{",char(34),"guid",char(34),":",char(34),Q654,char(34),",",char(34),"site",char(34),":",char(34),LOWER('2-Building'!$B$4),char(34),",",char(34),"name",char(34),":",char(34),LOWER(C654),char(34),"}}"))</f>
        <v>{"asset":{"guid":"uuid://9cfa172c-a628-4db5-a271-1fc89dea5082","site":"in-blr-ananta","name":"vav-226"}}</v>
      </c>
      <c r="S654" s="237" t="s">
        <v>2866</v>
      </c>
      <c r="T654" s="330"/>
      <c r="U654" s="330"/>
      <c r="V654" s="331"/>
      <c r="W654" s="344"/>
      <c r="X654" s="341"/>
      <c r="Y654" s="33" t="s">
        <v>2867</v>
      </c>
      <c r="Z654" s="258">
        <v>120226.0</v>
      </c>
      <c r="AA654" s="334">
        <v>11526.0</v>
      </c>
      <c r="AB654" s="341"/>
      <c r="AC654" s="341"/>
      <c r="AD654" s="343"/>
      <c r="AE654" s="331"/>
      <c r="AF654" s="348"/>
      <c r="AG654" s="337"/>
      <c r="AH654" s="341"/>
      <c r="AI654" s="341"/>
      <c r="AJ654" s="341"/>
      <c r="AK654" s="341"/>
      <c r="AL654" s="341"/>
      <c r="AM654" s="338"/>
      <c r="AN654" s="341"/>
      <c r="AO654" s="341"/>
      <c r="AP654" s="341"/>
      <c r="AQ654" s="341"/>
      <c r="AR654" s="341"/>
      <c r="AS654" s="341"/>
      <c r="AT654" s="341"/>
      <c r="AU654" s="343"/>
      <c r="AV654" s="341"/>
      <c r="AW654" s="269" t="s">
        <v>2023</v>
      </c>
      <c r="AX654" s="334" t="s">
        <v>2869</v>
      </c>
      <c r="AY654" s="270" t="s">
        <v>695</v>
      </c>
      <c r="AZ654" s="270" t="s">
        <v>2866</v>
      </c>
      <c r="BA654" s="265">
        <v>10.0</v>
      </c>
      <c r="BB654" s="174" t="s">
        <v>245</v>
      </c>
      <c r="BC654" s="341"/>
      <c r="BD654" s="308"/>
      <c r="BE654" s="347"/>
      <c r="BF654" s="274" t="str">
        <f>IFERROR(__xludf.DUMMYFUNCTION("LOWER(Regexreplace(to_text(E654),""[^A-Za-z0-9]"","""")&amp;""_""&amp;Regexreplace(to_text(F654),""[^A-Za-z0-9]"",""""))"),"neptronic_evcbseries")</f>
        <v>neptronic_evcbseries</v>
      </c>
      <c r="BG654" s="275" t="str">
        <f>IFERROR(__xludf.DUMMYFUNCTION("upper(Regexreplace(to_text(E654),""[^A-Za-z0-9]"","""")&amp;""-""&amp;Regexreplace(to_text(F654),""[^A-Za-z0-9]"",""""))"),"NEPTRONIC-EVCBSERIES")</f>
        <v>NEPTRONIC-EVCBSERIES</v>
      </c>
    </row>
    <row r="655" ht="30.0" customHeight="1">
      <c r="A655" s="173">
        <v>647.0</v>
      </c>
      <c r="B655" s="237" t="s">
        <v>670</v>
      </c>
      <c r="C655" s="257" t="s">
        <v>3529</v>
      </c>
      <c r="D655" s="173" t="s">
        <v>3529</v>
      </c>
      <c r="E655" s="174" t="s">
        <v>2861</v>
      </c>
      <c r="F655" s="173" t="s">
        <v>2862</v>
      </c>
      <c r="G655" s="328" t="s">
        <v>673</v>
      </c>
      <c r="H655" s="328" t="s">
        <v>2863</v>
      </c>
      <c r="I655" s="258" t="s">
        <v>2864</v>
      </c>
      <c r="J655" s="259" t="s">
        <v>902</v>
      </c>
      <c r="K655" s="260" t="s">
        <v>3530</v>
      </c>
      <c r="L655" s="328"/>
      <c r="M655" s="343"/>
      <c r="N655" s="173" t="s">
        <v>679</v>
      </c>
      <c r="O655" s="173" t="s">
        <v>225</v>
      </c>
      <c r="P655" s="262" t="str">
        <f t="shared" si="1"/>
        <v>IN-BLR-ANANTA-VAV-227_2</v>
      </c>
      <c r="Q655" s="173" t="s">
        <v>3531</v>
      </c>
      <c r="R655" s="328" t="str">
        <f>IFS(C655="","",C655="n/a","N/A",LEN(C655),Concatenate("{",char(34),"asset",char(34),":{",char(34),"guid",char(34),":",char(34),Q655,char(34),",",char(34),"site",char(34),":",char(34),LOWER('2-Building'!$B$4),char(34),",",char(34),"name",char(34),":",char(34),LOWER(C655),char(34),"}}"))</f>
        <v>{"asset":{"guid":"uuid://4046a8b1-4f4d-403e-8c66-73fe3e029b3f","site":"in-blr-ananta","name":"vav-227"}}</v>
      </c>
      <c r="S655" s="237" t="s">
        <v>2866</v>
      </c>
      <c r="T655" s="330"/>
      <c r="U655" s="330"/>
      <c r="V655" s="331"/>
      <c r="W655" s="344"/>
      <c r="X655" s="341"/>
      <c r="Y655" s="33" t="s">
        <v>2867</v>
      </c>
      <c r="Z655" s="258">
        <v>120227.0</v>
      </c>
      <c r="AA655" s="334">
        <v>11526.0</v>
      </c>
      <c r="AB655" s="341"/>
      <c r="AC655" s="341"/>
      <c r="AD655" s="343"/>
      <c r="AE655" s="331"/>
      <c r="AF655" s="348"/>
      <c r="AG655" s="337"/>
      <c r="AH655" s="341"/>
      <c r="AI655" s="341"/>
      <c r="AJ655" s="341"/>
      <c r="AK655" s="341"/>
      <c r="AL655" s="341"/>
      <c r="AM655" s="338"/>
      <c r="AN655" s="341"/>
      <c r="AO655" s="341"/>
      <c r="AP655" s="341"/>
      <c r="AQ655" s="341"/>
      <c r="AR655" s="341"/>
      <c r="AS655" s="341"/>
      <c r="AT655" s="341"/>
      <c r="AU655" s="343"/>
      <c r="AV655" s="341"/>
      <c r="AW655" s="269" t="s">
        <v>2023</v>
      </c>
      <c r="AX655" s="334" t="s">
        <v>2869</v>
      </c>
      <c r="AY655" s="270" t="s">
        <v>695</v>
      </c>
      <c r="AZ655" s="270" t="s">
        <v>2866</v>
      </c>
      <c r="BA655" s="265">
        <v>10.0</v>
      </c>
      <c r="BB655" s="174" t="s">
        <v>245</v>
      </c>
      <c r="BC655" s="341"/>
      <c r="BD655" s="308"/>
      <c r="BE655" s="347"/>
      <c r="BF655" s="274" t="str">
        <f>IFERROR(__xludf.DUMMYFUNCTION("LOWER(Regexreplace(to_text(E655),""[^A-Za-z0-9]"","""")&amp;""_""&amp;Regexreplace(to_text(F655),""[^A-Za-z0-9]"",""""))"),"neptronic_evcbseries")</f>
        <v>neptronic_evcbseries</v>
      </c>
      <c r="BG655" s="275" t="str">
        <f>IFERROR(__xludf.DUMMYFUNCTION("upper(Regexreplace(to_text(E655),""[^A-Za-z0-9]"","""")&amp;""-""&amp;Regexreplace(to_text(F655),""[^A-Za-z0-9]"",""""))"),"NEPTRONIC-EVCBSERIES")</f>
        <v>NEPTRONIC-EVCBSERIES</v>
      </c>
    </row>
    <row r="656" ht="30.0" customHeight="1">
      <c r="A656" s="258">
        <v>648.0</v>
      </c>
      <c r="B656" s="237" t="s">
        <v>670</v>
      </c>
      <c r="C656" s="257" t="s">
        <v>3532</v>
      </c>
      <c r="D656" s="173" t="s">
        <v>3532</v>
      </c>
      <c r="E656" s="174" t="s">
        <v>2861</v>
      </c>
      <c r="F656" s="173" t="s">
        <v>2862</v>
      </c>
      <c r="G656" s="328" t="s">
        <v>673</v>
      </c>
      <c r="H656" s="328" t="s">
        <v>2863</v>
      </c>
      <c r="I656" s="258" t="s">
        <v>2864</v>
      </c>
      <c r="J656" s="259" t="s">
        <v>902</v>
      </c>
      <c r="K656" s="260" t="s">
        <v>3533</v>
      </c>
      <c r="L656" s="328"/>
      <c r="M656" s="343"/>
      <c r="N656" s="173" t="s">
        <v>679</v>
      </c>
      <c r="O656" s="173" t="s">
        <v>225</v>
      </c>
      <c r="P656" s="262" t="str">
        <f t="shared" si="1"/>
        <v>IN-BLR-ANANTA-VAV-228_2</v>
      </c>
      <c r="Q656" s="173" t="s">
        <v>3534</v>
      </c>
      <c r="R656" s="328" t="str">
        <f>IFS(C656="","",C656="n/a","N/A",LEN(C656),Concatenate("{",char(34),"asset",char(34),":{",char(34),"guid",char(34),":",char(34),Q656,char(34),",",char(34),"site",char(34),":",char(34),LOWER('2-Building'!$B$4),char(34),",",char(34),"name",char(34),":",char(34),LOWER(C656),char(34),"}}"))</f>
        <v>{"asset":{"guid":"uuid://e6ab5a7e-2b07-4e35-97c4-36af035233a9","site":"in-blr-ananta","name":"vav-228"}}</v>
      </c>
      <c r="S656" s="237" t="s">
        <v>2866</v>
      </c>
      <c r="T656" s="330"/>
      <c r="U656" s="330"/>
      <c r="V656" s="331"/>
      <c r="W656" s="344"/>
      <c r="X656" s="341"/>
      <c r="Y656" s="33" t="s">
        <v>2867</v>
      </c>
      <c r="Z656" s="258">
        <v>120228.0</v>
      </c>
      <c r="AA656" s="334">
        <v>11526.0</v>
      </c>
      <c r="AB656" s="341"/>
      <c r="AC656" s="341"/>
      <c r="AD656" s="343"/>
      <c r="AE656" s="331"/>
      <c r="AF656" s="348"/>
      <c r="AG656" s="337"/>
      <c r="AH656" s="341"/>
      <c r="AI656" s="341"/>
      <c r="AJ656" s="341"/>
      <c r="AK656" s="341"/>
      <c r="AL656" s="341"/>
      <c r="AM656" s="338"/>
      <c r="AN656" s="341"/>
      <c r="AO656" s="341"/>
      <c r="AP656" s="341"/>
      <c r="AQ656" s="341"/>
      <c r="AR656" s="341"/>
      <c r="AS656" s="341"/>
      <c r="AT656" s="341"/>
      <c r="AU656" s="343"/>
      <c r="AV656" s="341"/>
      <c r="AW656" s="269" t="s">
        <v>2023</v>
      </c>
      <c r="AX656" s="334" t="s">
        <v>2869</v>
      </c>
      <c r="AY656" s="270" t="s">
        <v>695</v>
      </c>
      <c r="AZ656" s="270" t="s">
        <v>2866</v>
      </c>
      <c r="BA656" s="265">
        <v>10.0</v>
      </c>
      <c r="BB656" s="174" t="s">
        <v>245</v>
      </c>
      <c r="BC656" s="341"/>
      <c r="BD656" s="308"/>
      <c r="BE656" s="347"/>
      <c r="BF656" s="274" t="str">
        <f>IFERROR(__xludf.DUMMYFUNCTION("LOWER(Regexreplace(to_text(E656),""[^A-Za-z0-9]"","""")&amp;""_""&amp;Regexreplace(to_text(F656),""[^A-Za-z0-9]"",""""))"),"neptronic_evcbseries")</f>
        <v>neptronic_evcbseries</v>
      </c>
      <c r="BG656" s="275" t="str">
        <f>IFERROR(__xludf.DUMMYFUNCTION("upper(Regexreplace(to_text(E656),""[^A-Za-z0-9]"","""")&amp;""-""&amp;Regexreplace(to_text(F656),""[^A-Za-z0-9]"",""""))"),"NEPTRONIC-EVCBSERIES")</f>
        <v>NEPTRONIC-EVCBSERIES</v>
      </c>
    </row>
    <row r="657" ht="30.0" customHeight="1">
      <c r="A657" s="173">
        <v>649.0</v>
      </c>
      <c r="B657" s="237" t="s">
        <v>670</v>
      </c>
      <c r="C657" s="257" t="s">
        <v>3535</v>
      </c>
      <c r="D657" s="173" t="s">
        <v>3535</v>
      </c>
      <c r="E657" s="174" t="s">
        <v>2861</v>
      </c>
      <c r="F657" s="173" t="s">
        <v>2862</v>
      </c>
      <c r="G657" s="328" t="s">
        <v>673</v>
      </c>
      <c r="H657" s="328" t="s">
        <v>2863</v>
      </c>
      <c r="I657" s="258" t="s">
        <v>2864</v>
      </c>
      <c r="J657" s="259" t="s">
        <v>902</v>
      </c>
      <c r="K657" s="260" t="s">
        <v>3536</v>
      </c>
      <c r="L657" s="328"/>
      <c r="M657" s="343"/>
      <c r="N657" s="173" t="s">
        <v>679</v>
      </c>
      <c r="O657" s="173" t="s">
        <v>225</v>
      </c>
      <c r="P657" s="262" t="str">
        <f t="shared" si="1"/>
        <v>IN-BLR-ANANTA-VAV-229_2</v>
      </c>
      <c r="Q657" s="173" t="s">
        <v>3537</v>
      </c>
      <c r="R657" s="328" t="str">
        <f>IFS(C657="","",C657="n/a","N/A",LEN(C657),Concatenate("{",char(34),"asset",char(34),":{",char(34),"guid",char(34),":",char(34),Q657,char(34),",",char(34),"site",char(34),":",char(34),LOWER('2-Building'!$B$4),char(34),",",char(34),"name",char(34),":",char(34),LOWER(C657),char(34),"}}"))</f>
        <v>{"asset":{"guid":"uuid://58b2b27c-c658-4bfb-b52e-3f1dae3a42c3","site":"in-blr-ananta","name":"vav-229"}}</v>
      </c>
      <c r="S657" s="237" t="s">
        <v>2866</v>
      </c>
      <c r="T657" s="330"/>
      <c r="U657" s="330"/>
      <c r="V657" s="331"/>
      <c r="W657" s="344"/>
      <c r="X657" s="341"/>
      <c r="Y657" s="33" t="s">
        <v>2867</v>
      </c>
      <c r="Z657" s="258">
        <v>120229.0</v>
      </c>
      <c r="AA657" s="334">
        <v>11526.0</v>
      </c>
      <c r="AB657" s="341"/>
      <c r="AC657" s="341"/>
      <c r="AD657" s="343"/>
      <c r="AE657" s="331"/>
      <c r="AF657" s="348"/>
      <c r="AG657" s="337"/>
      <c r="AH657" s="341"/>
      <c r="AI657" s="341"/>
      <c r="AJ657" s="341"/>
      <c r="AK657" s="341"/>
      <c r="AL657" s="341"/>
      <c r="AM657" s="338"/>
      <c r="AN657" s="341"/>
      <c r="AO657" s="341"/>
      <c r="AP657" s="341"/>
      <c r="AQ657" s="341"/>
      <c r="AR657" s="341"/>
      <c r="AS657" s="341"/>
      <c r="AT657" s="341"/>
      <c r="AU657" s="343"/>
      <c r="AV657" s="341"/>
      <c r="AW657" s="269" t="s">
        <v>2023</v>
      </c>
      <c r="AX657" s="334" t="s">
        <v>2869</v>
      </c>
      <c r="AY657" s="270" t="s">
        <v>695</v>
      </c>
      <c r="AZ657" s="270" t="s">
        <v>2866</v>
      </c>
      <c r="BA657" s="265">
        <v>10.0</v>
      </c>
      <c r="BB657" s="174" t="s">
        <v>245</v>
      </c>
      <c r="BC657" s="341"/>
      <c r="BD657" s="308"/>
      <c r="BE657" s="347"/>
      <c r="BF657" s="274" t="str">
        <f>IFERROR(__xludf.DUMMYFUNCTION("LOWER(Regexreplace(to_text(E657),""[^A-Za-z0-9]"","""")&amp;""_""&amp;Regexreplace(to_text(F657),""[^A-Za-z0-9]"",""""))"),"neptronic_evcbseries")</f>
        <v>neptronic_evcbseries</v>
      </c>
      <c r="BG657" s="275" t="str">
        <f>IFERROR(__xludf.DUMMYFUNCTION("upper(Regexreplace(to_text(E657),""[^A-Za-z0-9]"","""")&amp;""-""&amp;Regexreplace(to_text(F657),""[^A-Za-z0-9]"",""""))"),"NEPTRONIC-EVCBSERIES")</f>
        <v>NEPTRONIC-EVCBSERIES</v>
      </c>
    </row>
    <row r="658" ht="30.0" customHeight="1">
      <c r="A658" s="258">
        <v>650.0</v>
      </c>
      <c r="B658" s="237" t="s">
        <v>670</v>
      </c>
      <c r="C658" s="257" t="s">
        <v>3538</v>
      </c>
      <c r="D658" s="173" t="s">
        <v>3538</v>
      </c>
      <c r="E658" s="174" t="s">
        <v>2861</v>
      </c>
      <c r="F658" s="173" t="s">
        <v>2862</v>
      </c>
      <c r="G658" s="328" t="s">
        <v>673</v>
      </c>
      <c r="H658" s="328" t="s">
        <v>2863</v>
      </c>
      <c r="I658" s="258" t="s">
        <v>2864</v>
      </c>
      <c r="J658" s="259" t="s">
        <v>902</v>
      </c>
      <c r="K658" s="260" t="s">
        <v>3539</v>
      </c>
      <c r="L658" s="328"/>
      <c r="M658" s="343"/>
      <c r="N658" s="173" t="s">
        <v>679</v>
      </c>
      <c r="O658" s="173" t="s">
        <v>225</v>
      </c>
      <c r="P658" s="262" t="str">
        <f t="shared" si="1"/>
        <v>IN-BLR-ANANTA-VAV-230_2</v>
      </c>
      <c r="Q658" s="173" t="s">
        <v>3540</v>
      </c>
      <c r="R658" s="328" t="str">
        <f>IFS(C658="","",C658="n/a","N/A",LEN(C658),Concatenate("{",char(34),"asset",char(34),":{",char(34),"guid",char(34),":",char(34),Q658,char(34),",",char(34),"site",char(34),":",char(34),LOWER('2-Building'!$B$4),char(34),",",char(34),"name",char(34),":",char(34),LOWER(C658),char(34),"}}"))</f>
        <v>{"asset":{"guid":"uuid://8b3067ec-bbe6-4d4d-a1b5-8dc5b2597e39","site":"in-blr-ananta","name":"vav-230"}}</v>
      </c>
      <c r="S658" s="237" t="s">
        <v>2866</v>
      </c>
      <c r="T658" s="330"/>
      <c r="U658" s="330"/>
      <c r="V658" s="331"/>
      <c r="W658" s="344"/>
      <c r="X658" s="341"/>
      <c r="Y658" s="33" t="s">
        <v>2867</v>
      </c>
      <c r="Z658" s="258">
        <v>120230.0</v>
      </c>
      <c r="AA658" s="334">
        <v>11526.0</v>
      </c>
      <c r="AB658" s="341"/>
      <c r="AC658" s="341"/>
      <c r="AD658" s="343"/>
      <c r="AE658" s="331"/>
      <c r="AF658" s="348"/>
      <c r="AG658" s="337"/>
      <c r="AH658" s="341"/>
      <c r="AI658" s="341"/>
      <c r="AJ658" s="341"/>
      <c r="AK658" s="341"/>
      <c r="AL658" s="341"/>
      <c r="AM658" s="338"/>
      <c r="AN658" s="341"/>
      <c r="AO658" s="341"/>
      <c r="AP658" s="341"/>
      <c r="AQ658" s="341"/>
      <c r="AR658" s="341"/>
      <c r="AS658" s="341"/>
      <c r="AT658" s="341"/>
      <c r="AU658" s="343"/>
      <c r="AV658" s="341"/>
      <c r="AW658" s="269" t="s">
        <v>2023</v>
      </c>
      <c r="AX658" s="334" t="s">
        <v>2869</v>
      </c>
      <c r="AY658" s="270" t="s">
        <v>695</v>
      </c>
      <c r="AZ658" s="270" t="s">
        <v>2866</v>
      </c>
      <c r="BA658" s="265">
        <v>10.0</v>
      </c>
      <c r="BB658" s="174" t="s">
        <v>245</v>
      </c>
      <c r="BC658" s="341"/>
      <c r="BD658" s="308"/>
      <c r="BE658" s="347"/>
      <c r="BF658" s="274" t="str">
        <f>IFERROR(__xludf.DUMMYFUNCTION("LOWER(Regexreplace(to_text(E658),""[^A-Za-z0-9]"","""")&amp;""_""&amp;Regexreplace(to_text(F658),""[^A-Za-z0-9]"",""""))"),"neptronic_evcbseries")</f>
        <v>neptronic_evcbseries</v>
      </c>
      <c r="BG658" s="275" t="str">
        <f>IFERROR(__xludf.DUMMYFUNCTION("upper(Regexreplace(to_text(E658),""[^A-Za-z0-9]"","""")&amp;""-""&amp;Regexreplace(to_text(F658),""[^A-Za-z0-9]"",""""))"),"NEPTRONIC-EVCBSERIES")</f>
        <v>NEPTRONIC-EVCBSERIES</v>
      </c>
    </row>
    <row r="659" ht="30.0" customHeight="1">
      <c r="A659" s="173">
        <v>651.0</v>
      </c>
      <c r="B659" s="237" t="s">
        <v>670</v>
      </c>
      <c r="C659" s="257" t="s">
        <v>3541</v>
      </c>
      <c r="D659" s="173" t="s">
        <v>3541</v>
      </c>
      <c r="E659" s="174" t="s">
        <v>2861</v>
      </c>
      <c r="F659" s="173" t="s">
        <v>2862</v>
      </c>
      <c r="G659" s="328" t="s">
        <v>673</v>
      </c>
      <c r="H659" s="328" t="s">
        <v>2863</v>
      </c>
      <c r="I659" s="258" t="s">
        <v>2864</v>
      </c>
      <c r="J659" s="259" t="s">
        <v>902</v>
      </c>
      <c r="K659" s="260" t="s">
        <v>3542</v>
      </c>
      <c r="L659" s="328"/>
      <c r="M659" s="343"/>
      <c r="N659" s="173" t="s">
        <v>679</v>
      </c>
      <c r="O659" s="173" t="s">
        <v>225</v>
      </c>
      <c r="P659" s="262" t="str">
        <f t="shared" si="1"/>
        <v>IN-BLR-ANANTA-VAV-231_2</v>
      </c>
      <c r="Q659" s="173" t="s">
        <v>3543</v>
      </c>
      <c r="R659" s="328" t="str">
        <f>IFS(C659="","",C659="n/a","N/A",LEN(C659),Concatenate("{",char(34),"asset",char(34),":{",char(34),"guid",char(34),":",char(34),Q659,char(34),",",char(34),"site",char(34),":",char(34),LOWER('2-Building'!$B$4),char(34),",",char(34),"name",char(34),":",char(34),LOWER(C659),char(34),"}}"))</f>
        <v>{"asset":{"guid":"uuid://0a091120-cc7f-4689-801c-fe4230acfd8a","site":"in-blr-ananta","name":"vav-231"}}</v>
      </c>
      <c r="S659" s="237" t="s">
        <v>2866</v>
      </c>
      <c r="T659" s="330"/>
      <c r="U659" s="330"/>
      <c r="V659" s="331"/>
      <c r="W659" s="344"/>
      <c r="X659" s="341"/>
      <c r="Y659" s="33" t="s">
        <v>2867</v>
      </c>
      <c r="Z659" s="258">
        <v>120231.0</v>
      </c>
      <c r="AA659" s="334">
        <v>11526.0</v>
      </c>
      <c r="AB659" s="341"/>
      <c r="AC659" s="341"/>
      <c r="AD659" s="343"/>
      <c r="AE659" s="331"/>
      <c r="AF659" s="348"/>
      <c r="AG659" s="337"/>
      <c r="AH659" s="341"/>
      <c r="AI659" s="341"/>
      <c r="AJ659" s="341"/>
      <c r="AK659" s="341"/>
      <c r="AL659" s="341"/>
      <c r="AM659" s="338"/>
      <c r="AN659" s="341"/>
      <c r="AO659" s="341"/>
      <c r="AP659" s="341"/>
      <c r="AQ659" s="341"/>
      <c r="AR659" s="341"/>
      <c r="AS659" s="341"/>
      <c r="AT659" s="341"/>
      <c r="AU659" s="343"/>
      <c r="AV659" s="341"/>
      <c r="AW659" s="269" t="s">
        <v>2023</v>
      </c>
      <c r="AX659" s="334" t="s">
        <v>2869</v>
      </c>
      <c r="AY659" s="270" t="s">
        <v>695</v>
      </c>
      <c r="AZ659" s="270" t="s">
        <v>2866</v>
      </c>
      <c r="BA659" s="265">
        <v>10.0</v>
      </c>
      <c r="BB659" s="174" t="s">
        <v>245</v>
      </c>
      <c r="BC659" s="341"/>
      <c r="BD659" s="308"/>
      <c r="BE659" s="347"/>
      <c r="BF659" s="274" t="str">
        <f>IFERROR(__xludf.DUMMYFUNCTION("LOWER(Regexreplace(to_text(E659),""[^A-Za-z0-9]"","""")&amp;""_""&amp;Regexreplace(to_text(F659),""[^A-Za-z0-9]"",""""))"),"neptronic_evcbseries")</f>
        <v>neptronic_evcbseries</v>
      </c>
      <c r="BG659" s="275" t="str">
        <f>IFERROR(__xludf.DUMMYFUNCTION("upper(Regexreplace(to_text(E659),""[^A-Za-z0-9]"","""")&amp;""-""&amp;Regexreplace(to_text(F659),""[^A-Za-z0-9]"",""""))"),"NEPTRONIC-EVCBSERIES")</f>
        <v>NEPTRONIC-EVCBSERIES</v>
      </c>
    </row>
    <row r="660" ht="30.0" customHeight="1">
      <c r="A660" s="258">
        <v>652.0</v>
      </c>
      <c r="B660" s="237" t="s">
        <v>670</v>
      </c>
      <c r="C660" s="257" t="s">
        <v>3544</v>
      </c>
      <c r="D660" s="173" t="s">
        <v>3544</v>
      </c>
      <c r="E660" s="174" t="s">
        <v>2861</v>
      </c>
      <c r="F660" s="173" t="s">
        <v>2862</v>
      </c>
      <c r="G660" s="328" t="s">
        <v>673</v>
      </c>
      <c r="H660" s="328" t="s">
        <v>2863</v>
      </c>
      <c r="I660" s="258" t="s">
        <v>2864</v>
      </c>
      <c r="J660" s="259" t="s">
        <v>902</v>
      </c>
      <c r="K660" s="260" t="s">
        <v>3545</v>
      </c>
      <c r="L660" s="328"/>
      <c r="M660" s="343"/>
      <c r="N660" s="173" t="s">
        <v>679</v>
      </c>
      <c r="O660" s="173" t="s">
        <v>225</v>
      </c>
      <c r="P660" s="262" t="str">
        <f t="shared" si="1"/>
        <v>IN-BLR-ANANTA-VAV-232_2</v>
      </c>
      <c r="Q660" s="173" t="s">
        <v>3546</v>
      </c>
      <c r="R660" s="328" t="str">
        <f>IFS(C660="","",C660="n/a","N/A",LEN(C660),Concatenate("{",char(34),"asset",char(34),":{",char(34),"guid",char(34),":",char(34),Q660,char(34),",",char(34),"site",char(34),":",char(34),LOWER('2-Building'!$B$4),char(34),",",char(34),"name",char(34),":",char(34),LOWER(C660),char(34),"}}"))</f>
        <v>{"asset":{"guid":"uuid://a6a3a487-55b6-4330-b174-e74c300f4420","site":"in-blr-ananta","name":"vav-232"}}</v>
      </c>
      <c r="S660" s="237" t="s">
        <v>2866</v>
      </c>
      <c r="T660" s="330"/>
      <c r="U660" s="330"/>
      <c r="V660" s="331"/>
      <c r="W660" s="344"/>
      <c r="X660" s="341"/>
      <c r="Y660" s="33" t="s">
        <v>2867</v>
      </c>
      <c r="Z660" s="258">
        <v>120232.0</v>
      </c>
      <c r="AA660" s="334">
        <v>11526.0</v>
      </c>
      <c r="AB660" s="341"/>
      <c r="AC660" s="341"/>
      <c r="AD660" s="343"/>
      <c r="AE660" s="331"/>
      <c r="AF660" s="348"/>
      <c r="AG660" s="337"/>
      <c r="AH660" s="341"/>
      <c r="AI660" s="341"/>
      <c r="AJ660" s="341"/>
      <c r="AK660" s="341"/>
      <c r="AL660" s="341"/>
      <c r="AM660" s="338"/>
      <c r="AN660" s="341"/>
      <c r="AO660" s="341"/>
      <c r="AP660" s="341"/>
      <c r="AQ660" s="341"/>
      <c r="AR660" s="341"/>
      <c r="AS660" s="341"/>
      <c r="AT660" s="341"/>
      <c r="AU660" s="343"/>
      <c r="AV660" s="341"/>
      <c r="AW660" s="269" t="s">
        <v>2023</v>
      </c>
      <c r="AX660" s="334" t="s">
        <v>2869</v>
      </c>
      <c r="AY660" s="270" t="s">
        <v>695</v>
      </c>
      <c r="AZ660" s="270" t="s">
        <v>2866</v>
      </c>
      <c r="BA660" s="265">
        <v>10.0</v>
      </c>
      <c r="BB660" s="174" t="s">
        <v>245</v>
      </c>
      <c r="BC660" s="341"/>
      <c r="BD660" s="308"/>
      <c r="BE660" s="347"/>
      <c r="BF660" s="274" t="str">
        <f>IFERROR(__xludf.DUMMYFUNCTION("LOWER(Regexreplace(to_text(E660),""[^A-Za-z0-9]"","""")&amp;""_""&amp;Regexreplace(to_text(F660),""[^A-Za-z0-9]"",""""))"),"neptronic_evcbseries")</f>
        <v>neptronic_evcbseries</v>
      </c>
      <c r="BG660" s="275" t="str">
        <f>IFERROR(__xludf.DUMMYFUNCTION("upper(Regexreplace(to_text(E660),""[^A-Za-z0-9]"","""")&amp;""-""&amp;Regexreplace(to_text(F660),""[^A-Za-z0-9]"",""""))"),"NEPTRONIC-EVCBSERIES")</f>
        <v>NEPTRONIC-EVCBSERIES</v>
      </c>
    </row>
    <row r="661" ht="30.0" customHeight="1">
      <c r="A661" s="173">
        <v>653.0</v>
      </c>
      <c r="B661" s="237" t="s">
        <v>670</v>
      </c>
      <c r="C661" s="257" t="s">
        <v>3547</v>
      </c>
      <c r="D661" s="173" t="s">
        <v>3547</v>
      </c>
      <c r="E661" s="174" t="s">
        <v>2861</v>
      </c>
      <c r="F661" s="173" t="s">
        <v>2862</v>
      </c>
      <c r="G661" s="328" t="s">
        <v>673</v>
      </c>
      <c r="H661" s="328" t="s">
        <v>2863</v>
      </c>
      <c r="I661" s="258" t="s">
        <v>2864</v>
      </c>
      <c r="J661" s="259" t="s">
        <v>902</v>
      </c>
      <c r="K661" s="260" t="s">
        <v>3548</v>
      </c>
      <c r="L661" s="328"/>
      <c r="M661" s="343"/>
      <c r="N661" s="173" t="s">
        <v>679</v>
      </c>
      <c r="O661" s="173" t="s">
        <v>225</v>
      </c>
      <c r="P661" s="262" t="str">
        <f t="shared" si="1"/>
        <v>IN-BLR-ANANTA-VAV-233_2</v>
      </c>
      <c r="Q661" s="173" t="s">
        <v>3549</v>
      </c>
      <c r="R661" s="328" t="str">
        <f>IFS(C661="","",C661="n/a","N/A",LEN(C661),Concatenate("{",char(34),"asset",char(34),":{",char(34),"guid",char(34),":",char(34),Q661,char(34),",",char(34),"site",char(34),":",char(34),LOWER('2-Building'!$B$4),char(34),",",char(34),"name",char(34),":",char(34),LOWER(C661),char(34),"}}"))</f>
        <v>{"asset":{"guid":"uuid://d85f58b7-b412-4e7c-9cd9-a477687e1f4b","site":"in-blr-ananta","name":"vav-233"}}</v>
      </c>
      <c r="S661" s="237" t="s">
        <v>2866</v>
      </c>
      <c r="T661" s="330"/>
      <c r="U661" s="330"/>
      <c r="V661" s="331"/>
      <c r="W661" s="344"/>
      <c r="X661" s="341"/>
      <c r="Y661" s="33" t="s">
        <v>2867</v>
      </c>
      <c r="Z661" s="258">
        <v>120233.0</v>
      </c>
      <c r="AA661" s="334">
        <v>11526.0</v>
      </c>
      <c r="AB661" s="341"/>
      <c r="AC661" s="341"/>
      <c r="AD661" s="343"/>
      <c r="AE661" s="331"/>
      <c r="AF661" s="348"/>
      <c r="AG661" s="337"/>
      <c r="AH661" s="341"/>
      <c r="AI661" s="341"/>
      <c r="AJ661" s="341"/>
      <c r="AK661" s="341"/>
      <c r="AL661" s="341"/>
      <c r="AM661" s="338"/>
      <c r="AN661" s="341"/>
      <c r="AO661" s="341"/>
      <c r="AP661" s="341"/>
      <c r="AQ661" s="341"/>
      <c r="AR661" s="341"/>
      <c r="AS661" s="341"/>
      <c r="AT661" s="341"/>
      <c r="AU661" s="343"/>
      <c r="AV661" s="341"/>
      <c r="AW661" s="269" t="s">
        <v>2023</v>
      </c>
      <c r="AX661" s="334" t="s">
        <v>2869</v>
      </c>
      <c r="AY661" s="270" t="s">
        <v>695</v>
      </c>
      <c r="AZ661" s="270" t="s">
        <v>2866</v>
      </c>
      <c r="BA661" s="265">
        <v>10.0</v>
      </c>
      <c r="BB661" s="174" t="s">
        <v>245</v>
      </c>
      <c r="BC661" s="341"/>
      <c r="BD661" s="308"/>
      <c r="BE661" s="347"/>
      <c r="BF661" s="274" t="str">
        <f>IFERROR(__xludf.DUMMYFUNCTION("LOWER(Regexreplace(to_text(E661),""[^A-Za-z0-9]"","""")&amp;""_""&amp;Regexreplace(to_text(F661),""[^A-Za-z0-9]"",""""))"),"neptronic_evcbseries")</f>
        <v>neptronic_evcbseries</v>
      </c>
      <c r="BG661" s="275" t="str">
        <f>IFERROR(__xludf.DUMMYFUNCTION("upper(Regexreplace(to_text(E661),""[^A-Za-z0-9]"","""")&amp;""-""&amp;Regexreplace(to_text(F661),""[^A-Za-z0-9]"",""""))"),"NEPTRONIC-EVCBSERIES")</f>
        <v>NEPTRONIC-EVCBSERIES</v>
      </c>
    </row>
    <row r="662" ht="30.0" customHeight="1">
      <c r="A662" s="258">
        <v>654.0</v>
      </c>
      <c r="B662" s="237" t="s">
        <v>670</v>
      </c>
      <c r="C662" s="257" t="s">
        <v>3550</v>
      </c>
      <c r="D662" s="173" t="s">
        <v>3550</v>
      </c>
      <c r="E662" s="174" t="s">
        <v>2861</v>
      </c>
      <c r="F662" s="173" t="s">
        <v>2862</v>
      </c>
      <c r="G662" s="328" t="s">
        <v>673</v>
      </c>
      <c r="H662" s="328" t="s">
        <v>2863</v>
      </c>
      <c r="I662" s="258" t="s">
        <v>2864</v>
      </c>
      <c r="J662" s="259" t="s">
        <v>902</v>
      </c>
      <c r="K662" s="260" t="s">
        <v>3551</v>
      </c>
      <c r="L662" s="328"/>
      <c r="M662" s="343"/>
      <c r="N662" s="173" t="s">
        <v>679</v>
      </c>
      <c r="O662" s="173" t="s">
        <v>225</v>
      </c>
      <c r="P662" s="262" t="str">
        <f t="shared" si="1"/>
        <v>IN-BLR-ANANTA-VAV-234_2</v>
      </c>
      <c r="Q662" s="173" t="s">
        <v>3552</v>
      </c>
      <c r="R662" s="328" t="str">
        <f>IFS(C662="","",C662="n/a","N/A",LEN(C662),Concatenate("{",char(34),"asset",char(34),":{",char(34),"guid",char(34),":",char(34),Q662,char(34),",",char(34),"site",char(34),":",char(34),LOWER('2-Building'!$B$4),char(34),",",char(34),"name",char(34),":",char(34),LOWER(C662),char(34),"}}"))</f>
        <v>{"asset":{"guid":"uuid://5b4eff37-9f3d-4138-8575-b0f23b741d7f","site":"in-blr-ananta","name":"vav-234"}}</v>
      </c>
      <c r="S662" s="237" t="s">
        <v>2866</v>
      </c>
      <c r="T662" s="330"/>
      <c r="U662" s="330"/>
      <c r="V662" s="331"/>
      <c r="W662" s="344"/>
      <c r="X662" s="341"/>
      <c r="Y662" s="33" t="s">
        <v>2867</v>
      </c>
      <c r="Z662" s="258">
        <v>120234.0</v>
      </c>
      <c r="AA662" s="334">
        <v>11544.0</v>
      </c>
      <c r="AB662" s="341"/>
      <c r="AC662" s="341"/>
      <c r="AD662" s="343"/>
      <c r="AE662" s="331"/>
      <c r="AF662" s="348"/>
      <c r="AG662" s="337"/>
      <c r="AH662" s="341"/>
      <c r="AI662" s="341"/>
      <c r="AJ662" s="341"/>
      <c r="AK662" s="341"/>
      <c r="AL662" s="341"/>
      <c r="AM662" s="338"/>
      <c r="AN662" s="341"/>
      <c r="AO662" s="341"/>
      <c r="AP662" s="341"/>
      <c r="AQ662" s="341"/>
      <c r="AR662" s="341"/>
      <c r="AS662" s="341"/>
      <c r="AT662" s="341"/>
      <c r="AU662" s="343"/>
      <c r="AV662" s="341"/>
      <c r="AW662" s="269" t="s">
        <v>907</v>
      </c>
      <c r="AX662" s="334" t="s">
        <v>2869</v>
      </c>
      <c r="AY662" s="270" t="s">
        <v>695</v>
      </c>
      <c r="AZ662" s="270" t="s">
        <v>2866</v>
      </c>
      <c r="BA662" s="265">
        <v>10.0</v>
      </c>
      <c r="BB662" s="174" t="s">
        <v>245</v>
      </c>
      <c r="BC662" s="341"/>
      <c r="BD662" s="308"/>
      <c r="BE662" s="347"/>
      <c r="BF662" s="274" t="str">
        <f>IFERROR(__xludf.DUMMYFUNCTION("LOWER(Regexreplace(to_text(E662),""[^A-Za-z0-9]"","""")&amp;""_""&amp;Regexreplace(to_text(F662),""[^A-Za-z0-9]"",""""))"),"neptronic_evcbseries")</f>
        <v>neptronic_evcbseries</v>
      </c>
      <c r="BG662" s="275" t="str">
        <f>IFERROR(__xludf.DUMMYFUNCTION("upper(Regexreplace(to_text(E662),""[^A-Za-z0-9]"","""")&amp;""-""&amp;Regexreplace(to_text(F662),""[^A-Za-z0-9]"",""""))"),"NEPTRONIC-EVCBSERIES")</f>
        <v>NEPTRONIC-EVCBSERIES</v>
      </c>
    </row>
    <row r="663" ht="30.0" customHeight="1">
      <c r="A663" s="173">
        <v>655.0</v>
      </c>
      <c r="B663" s="237" t="s">
        <v>670</v>
      </c>
      <c r="C663" s="257" t="s">
        <v>3553</v>
      </c>
      <c r="D663" s="173" t="s">
        <v>3553</v>
      </c>
      <c r="E663" s="174" t="s">
        <v>2861</v>
      </c>
      <c r="F663" s="173" t="s">
        <v>2862</v>
      </c>
      <c r="G663" s="328" t="s">
        <v>673</v>
      </c>
      <c r="H663" s="328" t="s">
        <v>2863</v>
      </c>
      <c r="I663" s="258" t="s">
        <v>2864</v>
      </c>
      <c r="J663" s="259" t="s">
        <v>902</v>
      </c>
      <c r="K663" s="260" t="s">
        <v>3554</v>
      </c>
      <c r="L663" s="328"/>
      <c r="M663" s="343"/>
      <c r="N663" s="173" t="s">
        <v>679</v>
      </c>
      <c r="O663" s="173" t="s">
        <v>225</v>
      </c>
      <c r="P663" s="262" t="str">
        <f t="shared" si="1"/>
        <v>IN-BLR-ANANTA-VAV-235_2</v>
      </c>
      <c r="Q663" s="173" t="s">
        <v>3555</v>
      </c>
      <c r="R663" s="328" t="str">
        <f>IFS(C663="","",C663="n/a","N/A",LEN(C663),Concatenate("{",char(34),"asset",char(34),":{",char(34),"guid",char(34),":",char(34),Q663,char(34),",",char(34),"site",char(34),":",char(34),LOWER('2-Building'!$B$4),char(34),",",char(34),"name",char(34),":",char(34),LOWER(C663),char(34),"}}"))</f>
        <v>{"asset":{"guid":"uuid://a1589db8-2c88-417c-8c3d-48c5ebbc01be","site":"in-blr-ananta","name":"vav-235"}}</v>
      </c>
      <c r="S663" s="237" t="s">
        <v>2866</v>
      </c>
      <c r="T663" s="330"/>
      <c r="U663" s="330"/>
      <c r="V663" s="331"/>
      <c r="W663" s="344"/>
      <c r="X663" s="341"/>
      <c r="Y663" s="33" t="s">
        <v>2867</v>
      </c>
      <c r="Z663" s="258">
        <v>120235.0</v>
      </c>
      <c r="AA663" s="334">
        <v>11544.0</v>
      </c>
      <c r="AB663" s="341"/>
      <c r="AC663" s="341"/>
      <c r="AD663" s="343"/>
      <c r="AE663" s="331"/>
      <c r="AF663" s="348"/>
      <c r="AG663" s="337"/>
      <c r="AH663" s="341"/>
      <c r="AI663" s="341"/>
      <c r="AJ663" s="341"/>
      <c r="AK663" s="341"/>
      <c r="AL663" s="341"/>
      <c r="AM663" s="338"/>
      <c r="AN663" s="341"/>
      <c r="AO663" s="341"/>
      <c r="AP663" s="341"/>
      <c r="AQ663" s="341"/>
      <c r="AR663" s="341"/>
      <c r="AS663" s="341"/>
      <c r="AT663" s="341"/>
      <c r="AU663" s="343"/>
      <c r="AV663" s="341"/>
      <c r="AW663" s="269" t="s">
        <v>907</v>
      </c>
      <c r="AX663" s="334" t="s">
        <v>2869</v>
      </c>
      <c r="AY663" s="270" t="s">
        <v>695</v>
      </c>
      <c r="AZ663" s="270" t="s">
        <v>2866</v>
      </c>
      <c r="BA663" s="265">
        <v>10.0</v>
      </c>
      <c r="BB663" s="174" t="s">
        <v>245</v>
      </c>
      <c r="BC663" s="341"/>
      <c r="BD663" s="308"/>
      <c r="BE663" s="347"/>
      <c r="BF663" s="274" t="str">
        <f>IFERROR(__xludf.DUMMYFUNCTION("LOWER(Regexreplace(to_text(E663),""[^A-Za-z0-9]"","""")&amp;""_""&amp;Regexreplace(to_text(F663),""[^A-Za-z0-9]"",""""))"),"neptronic_evcbseries")</f>
        <v>neptronic_evcbseries</v>
      </c>
      <c r="BG663" s="275" t="str">
        <f>IFERROR(__xludf.DUMMYFUNCTION("upper(Regexreplace(to_text(E663),""[^A-Za-z0-9]"","""")&amp;""-""&amp;Regexreplace(to_text(F663),""[^A-Za-z0-9]"",""""))"),"NEPTRONIC-EVCBSERIES")</f>
        <v>NEPTRONIC-EVCBSERIES</v>
      </c>
    </row>
    <row r="664" ht="30.0" customHeight="1">
      <c r="A664" s="258">
        <v>656.0</v>
      </c>
      <c r="B664" s="237" t="s">
        <v>670</v>
      </c>
      <c r="C664" s="257" t="s">
        <v>3556</v>
      </c>
      <c r="D664" s="173" t="s">
        <v>3556</v>
      </c>
      <c r="E664" s="174" t="s">
        <v>2861</v>
      </c>
      <c r="F664" s="173" t="s">
        <v>2862</v>
      </c>
      <c r="G664" s="328" t="s">
        <v>673</v>
      </c>
      <c r="H664" s="328" t="s">
        <v>2863</v>
      </c>
      <c r="I664" s="258" t="s">
        <v>2864</v>
      </c>
      <c r="J664" s="259" t="s">
        <v>902</v>
      </c>
      <c r="K664" s="260" t="s">
        <v>3557</v>
      </c>
      <c r="L664" s="328"/>
      <c r="M664" s="343"/>
      <c r="N664" s="173" t="s">
        <v>679</v>
      </c>
      <c r="O664" s="173" t="s">
        <v>225</v>
      </c>
      <c r="P664" s="262" t="str">
        <f t="shared" si="1"/>
        <v>IN-BLR-ANANTA-VAV-236_2</v>
      </c>
      <c r="Q664" s="173" t="s">
        <v>3558</v>
      </c>
      <c r="R664" s="328" t="str">
        <f>IFS(C664="","",C664="n/a","N/A",LEN(C664),Concatenate("{",char(34),"asset",char(34),":{",char(34),"guid",char(34),":",char(34),Q664,char(34),",",char(34),"site",char(34),":",char(34),LOWER('2-Building'!$B$4),char(34),",",char(34),"name",char(34),":",char(34),LOWER(C664),char(34),"}}"))</f>
        <v>{"asset":{"guid":"uuid://1b830620-5788-435d-aad0-7850747196dd","site":"in-blr-ananta","name":"vav-236"}}</v>
      </c>
      <c r="S664" s="237" t="s">
        <v>2866</v>
      </c>
      <c r="T664" s="330"/>
      <c r="U664" s="330"/>
      <c r="V664" s="331"/>
      <c r="W664" s="344"/>
      <c r="X664" s="341"/>
      <c r="Y664" s="33" t="s">
        <v>2867</v>
      </c>
      <c r="Z664" s="258">
        <v>120236.0</v>
      </c>
      <c r="AA664" s="334">
        <v>11544.0</v>
      </c>
      <c r="AB664" s="341"/>
      <c r="AC664" s="341"/>
      <c r="AD664" s="343"/>
      <c r="AE664" s="331"/>
      <c r="AF664" s="348"/>
      <c r="AG664" s="337"/>
      <c r="AH664" s="341"/>
      <c r="AI664" s="341"/>
      <c r="AJ664" s="341"/>
      <c r="AK664" s="341"/>
      <c r="AL664" s="341"/>
      <c r="AM664" s="338"/>
      <c r="AN664" s="341"/>
      <c r="AO664" s="341"/>
      <c r="AP664" s="341"/>
      <c r="AQ664" s="341"/>
      <c r="AR664" s="341"/>
      <c r="AS664" s="341"/>
      <c r="AT664" s="341"/>
      <c r="AU664" s="343"/>
      <c r="AV664" s="341"/>
      <c r="AW664" s="269" t="s">
        <v>907</v>
      </c>
      <c r="AX664" s="334" t="s">
        <v>2869</v>
      </c>
      <c r="AY664" s="270" t="s">
        <v>695</v>
      </c>
      <c r="AZ664" s="270" t="s">
        <v>2866</v>
      </c>
      <c r="BA664" s="265">
        <v>10.0</v>
      </c>
      <c r="BB664" s="174" t="s">
        <v>245</v>
      </c>
      <c r="BC664" s="341"/>
      <c r="BD664" s="308"/>
      <c r="BE664" s="347"/>
      <c r="BF664" s="274" t="str">
        <f>IFERROR(__xludf.DUMMYFUNCTION("LOWER(Regexreplace(to_text(E664),""[^A-Za-z0-9]"","""")&amp;""_""&amp;Regexreplace(to_text(F664),""[^A-Za-z0-9]"",""""))"),"neptronic_evcbseries")</f>
        <v>neptronic_evcbseries</v>
      </c>
      <c r="BG664" s="275" t="str">
        <f>IFERROR(__xludf.DUMMYFUNCTION("upper(Regexreplace(to_text(E664),""[^A-Za-z0-9]"","""")&amp;""-""&amp;Regexreplace(to_text(F664),""[^A-Za-z0-9]"",""""))"),"NEPTRONIC-EVCBSERIES")</f>
        <v>NEPTRONIC-EVCBSERIES</v>
      </c>
    </row>
    <row r="665" ht="30.0" customHeight="1">
      <c r="A665" s="173">
        <v>657.0</v>
      </c>
      <c r="B665" s="237" t="s">
        <v>670</v>
      </c>
      <c r="C665" s="257" t="s">
        <v>3559</v>
      </c>
      <c r="D665" s="173" t="s">
        <v>3559</v>
      </c>
      <c r="E665" s="174" t="s">
        <v>2861</v>
      </c>
      <c r="F665" s="173" t="s">
        <v>2862</v>
      </c>
      <c r="G665" s="328" t="s">
        <v>673</v>
      </c>
      <c r="H665" s="328" t="s">
        <v>2863</v>
      </c>
      <c r="I665" s="258" t="s">
        <v>2864</v>
      </c>
      <c r="J665" s="259" t="s">
        <v>902</v>
      </c>
      <c r="K665" s="260" t="s">
        <v>3560</v>
      </c>
      <c r="L665" s="328"/>
      <c r="M665" s="343"/>
      <c r="N665" s="173" t="s">
        <v>679</v>
      </c>
      <c r="O665" s="173" t="s">
        <v>225</v>
      </c>
      <c r="P665" s="262" t="str">
        <f t="shared" si="1"/>
        <v>IN-BLR-ANANTA-VAV-237_2</v>
      </c>
      <c r="Q665" s="173" t="s">
        <v>3561</v>
      </c>
      <c r="R665" s="328" t="str">
        <f>IFS(C665="","",C665="n/a","N/A",LEN(C665),Concatenate("{",char(34),"asset",char(34),":{",char(34),"guid",char(34),":",char(34),Q665,char(34),",",char(34),"site",char(34),":",char(34),LOWER('2-Building'!$B$4),char(34),",",char(34),"name",char(34),":",char(34),LOWER(C665),char(34),"}}"))</f>
        <v>{"asset":{"guid":"uuid://877fbc9a-19e2-472d-8c1a-fd36248e63b6","site":"in-blr-ananta","name":"vav-237"}}</v>
      </c>
      <c r="S665" s="237" t="s">
        <v>2866</v>
      </c>
      <c r="T665" s="330"/>
      <c r="U665" s="330"/>
      <c r="V665" s="331"/>
      <c r="W665" s="344"/>
      <c r="X665" s="341"/>
      <c r="Y665" s="33" t="s">
        <v>2867</v>
      </c>
      <c r="Z665" s="258">
        <v>120237.0</v>
      </c>
      <c r="AA665" s="334">
        <v>11544.0</v>
      </c>
      <c r="AB665" s="341"/>
      <c r="AC665" s="341"/>
      <c r="AD665" s="343"/>
      <c r="AE665" s="331"/>
      <c r="AF665" s="348"/>
      <c r="AG665" s="337"/>
      <c r="AH665" s="341"/>
      <c r="AI665" s="341"/>
      <c r="AJ665" s="341"/>
      <c r="AK665" s="341"/>
      <c r="AL665" s="341"/>
      <c r="AM665" s="338"/>
      <c r="AN665" s="341"/>
      <c r="AO665" s="341"/>
      <c r="AP665" s="341"/>
      <c r="AQ665" s="341"/>
      <c r="AR665" s="341"/>
      <c r="AS665" s="341"/>
      <c r="AT665" s="341"/>
      <c r="AU665" s="343"/>
      <c r="AV665" s="341"/>
      <c r="AW665" s="269" t="s">
        <v>907</v>
      </c>
      <c r="AX665" s="334" t="s">
        <v>2869</v>
      </c>
      <c r="AY665" s="270" t="s">
        <v>695</v>
      </c>
      <c r="AZ665" s="270" t="s">
        <v>2866</v>
      </c>
      <c r="BA665" s="265">
        <v>10.0</v>
      </c>
      <c r="BB665" s="174" t="s">
        <v>245</v>
      </c>
      <c r="BC665" s="341"/>
      <c r="BD665" s="308"/>
      <c r="BE665" s="347"/>
      <c r="BF665" s="274" t="str">
        <f>IFERROR(__xludf.DUMMYFUNCTION("LOWER(Regexreplace(to_text(E665),""[^A-Za-z0-9]"","""")&amp;""_""&amp;Regexreplace(to_text(F665),""[^A-Za-z0-9]"",""""))"),"neptronic_evcbseries")</f>
        <v>neptronic_evcbseries</v>
      </c>
      <c r="BG665" s="275" t="str">
        <f>IFERROR(__xludf.DUMMYFUNCTION("upper(Regexreplace(to_text(E665),""[^A-Za-z0-9]"","""")&amp;""-""&amp;Regexreplace(to_text(F665),""[^A-Za-z0-9]"",""""))"),"NEPTRONIC-EVCBSERIES")</f>
        <v>NEPTRONIC-EVCBSERIES</v>
      </c>
    </row>
    <row r="666" ht="30.0" customHeight="1">
      <c r="A666" s="258">
        <v>658.0</v>
      </c>
      <c r="B666" s="237" t="s">
        <v>670</v>
      </c>
      <c r="C666" s="257" t="s">
        <v>3562</v>
      </c>
      <c r="D666" s="173" t="s">
        <v>3562</v>
      </c>
      <c r="E666" s="174" t="s">
        <v>2861</v>
      </c>
      <c r="F666" s="173" t="s">
        <v>2862</v>
      </c>
      <c r="G666" s="328" t="s">
        <v>673</v>
      </c>
      <c r="H666" s="328" t="s">
        <v>2863</v>
      </c>
      <c r="I666" s="258" t="s">
        <v>2864</v>
      </c>
      <c r="J666" s="259" t="s">
        <v>902</v>
      </c>
      <c r="K666" s="260" t="s">
        <v>3563</v>
      </c>
      <c r="L666" s="328"/>
      <c r="M666" s="343"/>
      <c r="N666" s="173" t="s">
        <v>679</v>
      </c>
      <c r="O666" s="173" t="s">
        <v>225</v>
      </c>
      <c r="P666" s="262" t="str">
        <f t="shared" si="1"/>
        <v>IN-BLR-ANANTA-VAV-238_2</v>
      </c>
      <c r="Q666" s="173" t="s">
        <v>3564</v>
      </c>
      <c r="R666" s="328" t="str">
        <f>IFS(C666="","",C666="n/a","N/A",LEN(C666),Concatenate("{",char(34),"asset",char(34),":{",char(34),"guid",char(34),":",char(34),Q666,char(34),",",char(34),"site",char(34),":",char(34),LOWER('2-Building'!$B$4),char(34),",",char(34),"name",char(34),":",char(34),LOWER(C666),char(34),"}}"))</f>
        <v>{"asset":{"guid":"uuid://2bc911e1-83f8-4fe3-bc72-3931ba5f1fdd","site":"in-blr-ananta","name":"vav-238"}}</v>
      </c>
      <c r="S666" s="237" t="s">
        <v>2866</v>
      </c>
      <c r="T666" s="330"/>
      <c r="U666" s="330"/>
      <c r="V666" s="331"/>
      <c r="W666" s="344"/>
      <c r="X666" s="341"/>
      <c r="Y666" s="33" t="s">
        <v>2867</v>
      </c>
      <c r="Z666" s="258">
        <v>120238.0</v>
      </c>
      <c r="AA666" s="334">
        <v>11544.0</v>
      </c>
      <c r="AB666" s="341"/>
      <c r="AC666" s="341"/>
      <c r="AD666" s="343"/>
      <c r="AE666" s="331"/>
      <c r="AF666" s="348"/>
      <c r="AG666" s="337"/>
      <c r="AH666" s="341"/>
      <c r="AI666" s="341"/>
      <c r="AJ666" s="341"/>
      <c r="AK666" s="341"/>
      <c r="AL666" s="341"/>
      <c r="AM666" s="338"/>
      <c r="AN666" s="341"/>
      <c r="AO666" s="341"/>
      <c r="AP666" s="341"/>
      <c r="AQ666" s="341"/>
      <c r="AR666" s="341"/>
      <c r="AS666" s="341"/>
      <c r="AT666" s="341"/>
      <c r="AU666" s="343"/>
      <c r="AV666" s="341"/>
      <c r="AW666" s="269" t="s">
        <v>907</v>
      </c>
      <c r="AX666" s="334" t="s">
        <v>2869</v>
      </c>
      <c r="AY666" s="270" t="s">
        <v>695</v>
      </c>
      <c r="AZ666" s="270" t="s">
        <v>2866</v>
      </c>
      <c r="BA666" s="265">
        <v>10.0</v>
      </c>
      <c r="BB666" s="174" t="s">
        <v>245</v>
      </c>
      <c r="BC666" s="341"/>
      <c r="BD666" s="308"/>
      <c r="BE666" s="347"/>
      <c r="BF666" s="274" t="str">
        <f>IFERROR(__xludf.DUMMYFUNCTION("LOWER(Regexreplace(to_text(E666),""[^A-Za-z0-9]"","""")&amp;""_""&amp;Regexreplace(to_text(F666),""[^A-Za-z0-9]"",""""))"),"neptronic_evcbseries")</f>
        <v>neptronic_evcbseries</v>
      </c>
      <c r="BG666" s="275" t="str">
        <f>IFERROR(__xludf.DUMMYFUNCTION("upper(Regexreplace(to_text(E666),""[^A-Za-z0-9]"","""")&amp;""-""&amp;Regexreplace(to_text(F666),""[^A-Za-z0-9]"",""""))"),"NEPTRONIC-EVCBSERIES")</f>
        <v>NEPTRONIC-EVCBSERIES</v>
      </c>
    </row>
    <row r="667" ht="30.0" customHeight="1">
      <c r="A667" s="173">
        <v>659.0</v>
      </c>
      <c r="B667" s="237" t="s">
        <v>670</v>
      </c>
      <c r="C667" s="257" t="s">
        <v>3565</v>
      </c>
      <c r="D667" s="173" t="s">
        <v>3565</v>
      </c>
      <c r="E667" s="174" t="s">
        <v>2861</v>
      </c>
      <c r="F667" s="173" t="s">
        <v>2862</v>
      </c>
      <c r="G667" s="328" t="s">
        <v>673</v>
      </c>
      <c r="H667" s="328" t="s">
        <v>2863</v>
      </c>
      <c r="I667" s="258" t="s">
        <v>2864</v>
      </c>
      <c r="J667" s="259" t="s">
        <v>902</v>
      </c>
      <c r="K667" s="260" t="s">
        <v>3566</v>
      </c>
      <c r="L667" s="328"/>
      <c r="M667" s="343"/>
      <c r="N667" s="173" t="s">
        <v>679</v>
      </c>
      <c r="O667" s="173" t="s">
        <v>225</v>
      </c>
      <c r="P667" s="262" t="str">
        <f t="shared" si="1"/>
        <v>IN-BLR-ANANTA-VAV-239_2</v>
      </c>
      <c r="Q667" s="173" t="s">
        <v>3567</v>
      </c>
      <c r="R667" s="328" t="str">
        <f>IFS(C667="","",C667="n/a","N/A",LEN(C667),Concatenate("{",char(34),"asset",char(34),":{",char(34),"guid",char(34),":",char(34),Q667,char(34),",",char(34),"site",char(34),":",char(34),LOWER('2-Building'!$B$4),char(34),",",char(34),"name",char(34),":",char(34),LOWER(C667),char(34),"}}"))</f>
        <v>{"asset":{"guid":"uuid://d0848f41-d902-447f-a100-cf1da19de898","site":"in-blr-ananta","name":"vav-239"}}</v>
      </c>
      <c r="S667" s="237" t="s">
        <v>2866</v>
      </c>
      <c r="T667" s="330"/>
      <c r="U667" s="330"/>
      <c r="V667" s="331"/>
      <c r="W667" s="344"/>
      <c r="X667" s="341"/>
      <c r="Y667" s="33" t="s">
        <v>2867</v>
      </c>
      <c r="Z667" s="258">
        <v>120239.0</v>
      </c>
      <c r="AA667" s="334">
        <v>11544.0</v>
      </c>
      <c r="AB667" s="341"/>
      <c r="AC667" s="341"/>
      <c r="AD667" s="343"/>
      <c r="AE667" s="331"/>
      <c r="AF667" s="348"/>
      <c r="AG667" s="337"/>
      <c r="AH667" s="341"/>
      <c r="AI667" s="341"/>
      <c r="AJ667" s="341"/>
      <c r="AK667" s="341"/>
      <c r="AL667" s="341"/>
      <c r="AM667" s="338"/>
      <c r="AN667" s="341"/>
      <c r="AO667" s="341"/>
      <c r="AP667" s="341"/>
      <c r="AQ667" s="341"/>
      <c r="AR667" s="341"/>
      <c r="AS667" s="341"/>
      <c r="AT667" s="341"/>
      <c r="AU667" s="343"/>
      <c r="AV667" s="341"/>
      <c r="AW667" s="269" t="s">
        <v>907</v>
      </c>
      <c r="AX667" s="334" t="s">
        <v>2869</v>
      </c>
      <c r="AY667" s="270" t="s">
        <v>695</v>
      </c>
      <c r="AZ667" s="270" t="s">
        <v>2866</v>
      </c>
      <c r="BA667" s="265">
        <v>10.0</v>
      </c>
      <c r="BB667" s="174" t="s">
        <v>245</v>
      </c>
      <c r="BC667" s="341"/>
      <c r="BD667" s="308"/>
      <c r="BE667" s="347"/>
      <c r="BF667" s="274" t="str">
        <f>IFERROR(__xludf.DUMMYFUNCTION("LOWER(Regexreplace(to_text(E667),""[^A-Za-z0-9]"","""")&amp;""_""&amp;Regexreplace(to_text(F667),""[^A-Za-z0-9]"",""""))"),"neptronic_evcbseries")</f>
        <v>neptronic_evcbseries</v>
      </c>
      <c r="BG667" s="275" t="str">
        <f>IFERROR(__xludf.DUMMYFUNCTION("upper(Regexreplace(to_text(E667),""[^A-Za-z0-9]"","""")&amp;""-""&amp;Regexreplace(to_text(F667),""[^A-Za-z0-9]"",""""))"),"NEPTRONIC-EVCBSERIES")</f>
        <v>NEPTRONIC-EVCBSERIES</v>
      </c>
    </row>
    <row r="668" ht="30.0" customHeight="1">
      <c r="A668" s="258">
        <v>660.0</v>
      </c>
      <c r="B668" s="237" t="s">
        <v>670</v>
      </c>
      <c r="C668" s="257" t="s">
        <v>3568</v>
      </c>
      <c r="D668" s="173" t="s">
        <v>3568</v>
      </c>
      <c r="E668" s="174" t="s">
        <v>2861</v>
      </c>
      <c r="F668" s="173" t="s">
        <v>2862</v>
      </c>
      <c r="G668" s="328" t="s">
        <v>673</v>
      </c>
      <c r="H668" s="328" t="s">
        <v>2863</v>
      </c>
      <c r="I668" s="258" t="s">
        <v>2864</v>
      </c>
      <c r="J668" s="259" t="s">
        <v>902</v>
      </c>
      <c r="K668" s="260" t="s">
        <v>3569</v>
      </c>
      <c r="L668" s="328"/>
      <c r="M668" s="343"/>
      <c r="N668" s="173" t="s">
        <v>679</v>
      </c>
      <c r="O668" s="173" t="s">
        <v>225</v>
      </c>
      <c r="P668" s="262" t="str">
        <f t="shared" si="1"/>
        <v>IN-BLR-ANANTA-VAV-240_2</v>
      </c>
      <c r="Q668" s="173" t="s">
        <v>3570</v>
      </c>
      <c r="R668" s="328" t="str">
        <f>IFS(C668="","",C668="n/a","N/A",LEN(C668),Concatenate("{",char(34),"asset",char(34),":{",char(34),"guid",char(34),":",char(34),Q668,char(34),",",char(34),"site",char(34),":",char(34),LOWER('2-Building'!$B$4),char(34),",",char(34),"name",char(34),":",char(34),LOWER(C668),char(34),"}}"))</f>
        <v>{"asset":{"guid":"uuid://2d2cae35-83d6-4df8-8601-5f40f757bc75","site":"in-blr-ananta","name":"vav-240"}}</v>
      </c>
      <c r="S668" s="237" t="s">
        <v>2866</v>
      </c>
      <c r="T668" s="330"/>
      <c r="U668" s="330"/>
      <c r="V668" s="331"/>
      <c r="W668" s="344"/>
      <c r="X668" s="341"/>
      <c r="Y668" s="33" t="s">
        <v>2867</v>
      </c>
      <c r="Z668" s="258">
        <v>120240.0</v>
      </c>
      <c r="AA668" s="334">
        <v>11544.0</v>
      </c>
      <c r="AB668" s="341"/>
      <c r="AC668" s="341"/>
      <c r="AD668" s="343"/>
      <c r="AE668" s="331"/>
      <c r="AF668" s="348"/>
      <c r="AG668" s="337"/>
      <c r="AH668" s="341"/>
      <c r="AI668" s="341"/>
      <c r="AJ668" s="341"/>
      <c r="AK668" s="341"/>
      <c r="AL668" s="341"/>
      <c r="AM668" s="338"/>
      <c r="AN668" s="341"/>
      <c r="AO668" s="341"/>
      <c r="AP668" s="341"/>
      <c r="AQ668" s="341"/>
      <c r="AR668" s="341"/>
      <c r="AS668" s="341"/>
      <c r="AT668" s="341"/>
      <c r="AU668" s="343"/>
      <c r="AV668" s="341"/>
      <c r="AW668" s="269" t="s">
        <v>907</v>
      </c>
      <c r="AX668" s="334" t="s">
        <v>2869</v>
      </c>
      <c r="AY668" s="270" t="s">
        <v>695</v>
      </c>
      <c r="AZ668" s="270" t="s">
        <v>2866</v>
      </c>
      <c r="BA668" s="265">
        <v>10.0</v>
      </c>
      <c r="BB668" s="174" t="s">
        <v>245</v>
      </c>
      <c r="BC668" s="341"/>
      <c r="BD668" s="308"/>
      <c r="BE668" s="347"/>
      <c r="BF668" s="274" t="str">
        <f>IFERROR(__xludf.DUMMYFUNCTION("LOWER(Regexreplace(to_text(E668),""[^A-Za-z0-9]"","""")&amp;""_""&amp;Regexreplace(to_text(F668),""[^A-Za-z0-9]"",""""))"),"neptronic_evcbseries")</f>
        <v>neptronic_evcbseries</v>
      </c>
      <c r="BG668" s="275" t="str">
        <f>IFERROR(__xludf.DUMMYFUNCTION("upper(Regexreplace(to_text(E668),""[^A-Za-z0-9]"","""")&amp;""-""&amp;Regexreplace(to_text(F668),""[^A-Za-z0-9]"",""""))"),"NEPTRONIC-EVCBSERIES")</f>
        <v>NEPTRONIC-EVCBSERIES</v>
      </c>
    </row>
    <row r="669" ht="30.0" customHeight="1">
      <c r="A669" s="173">
        <v>661.0</v>
      </c>
      <c r="B669" s="237" t="s">
        <v>670</v>
      </c>
      <c r="C669" s="257" t="s">
        <v>3571</v>
      </c>
      <c r="D669" s="173" t="s">
        <v>3571</v>
      </c>
      <c r="E669" s="174" t="s">
        <v>2861</v>
      </c>
      <c r="F669" s="173" t="s">
        <v>2862</v>
      </c>
      <c r="G669" s="328" t="s">
        <v>673</v>
      </c>
      <c r="H669" s="328" t="s">
        <v>2863</v>
      </c>
      <c r="I669" s="258" t="s">
        <v>2864</v>
      </c>
      <c r="J669" s="259" t="s">
        <v>902</v>
      </c>
      <c r="K669" s="260" t="s">
        <v>3572</v>
      </c>
      <c r="L669" s="328"/>
      <c r="M669" s="343"/>
      <c r="N669" s="173" t="s">
        <v>679</v>
      </c>
      <c r="O669" s="173" t="s">
        <v>225</v>
      </c>
      <c r="P669" s="262" t="str">
        <f t="shared" si="1"/>
        <v>IN-BLR-ANANTA-VAV-241_2</v>
      </c>
      <c r="Q669" s="173" t="s">
        <v>3573</v>
      </c>
      <c r="R669" s="328" t="str">
        <f>IFS(C669="","",C669="n/a","N/A",LEN(C669),Concatenate("{",char(34),"asset",char(34),":{",char(34),"guid",char(34),":",char(34),Q669,char(34),",",char(34),"site",char(34),":",char(34),LOWER('2-Building'!$B$4),char(34),",",char(34),"name",char(34),":",char(34),LOWER(C669),char(34),"}}"))</f>
        <v>{"asset":{"guid":"uuid://ba41c116-21ce-4031-aa61-f8339dcd40c8","site":"in-blr-ananta","name":"vav-241"}}</v>
      </c>
      <c r="S669" s="237" t="s">
        <v>2866</v>
      </c>
      <c r="T669" s="330"/>
      <c r="U669" s="330"/>
      <c r="V669" s="331"/>
      <c r="W669" s="344"/>
      <c r="X669" s="341"/>
      <c r="Y669" s="33" t="s">
        <v>2867</v>
      </c>
      <c r="Z669" s="258">
        <v>120241.0</v>
      </c>
      <c r="AA669" s="334">
        <v>11544.0</v>
      </c>
      <c r="AB669" s="341"/>
      <c r="AC669" s="341"/>
      <c r="AD669" s="343"/>
      <c r="AE669" s="331"/>
      <c r="AF669" s="348"/>
      <c r="AG669" s="337"/>
      <c r="AH669" s="341"/>
      <c r="AI669" s="341"/>
      <c r="AJ669" s="341"/>
      <c r="AK669" s="341"/>
      <c r="AL669" s="341"/>
      <c r="AM669" s="338"/>
      <c r="AN669" s="341"/>
      <c r="AO669" s="341"/>
      <c r="AP669" s="341"/>
      <c r="AQ669" s="341"/>
      <c r="AR669" s="341"/>
      <c r="AS669" s="341"/>
      <c r="AT669" s="341"/>
      <c r="AU669" s="343"/>
      <c r="AV669" s="341"/>
      <c r="AW669" s="269" t="s">
        <v>907</v>
      </c>
      <c r="AX669" s="334" t="s">
        <v>2869</v>
      </c>
      <c r="AY669" s="270" t="s">
        <v>695</v>
      </c>
      <c r="AZ669" s="270" t="s">
        <v>2866</v>
      </c>
      <c r="BA669" s="265">
        <v>10.0</v>
      </c>
      <c r="BB669" s="174" t="s">
        <v>245</v>
      </c>
      <c r="BC669" s="341"/>
      <c r="BD669" s="308"/>
      <c r="BE669" s="347"/>
      <c r="BF669" s="274" t="str">
        <f>IFERROR(__xludf.DUMMYFUNCTION("LOWER(Regexreplace(to_text(E669),""[^A-Za-z0-9]"","""")&amp;""_""&amp;Regexreplace(to_text(F669),""[^A-Za-z0-9]"",""""))"),"neptronic_evcbseries")</f>
        <v>neptronic_evcbseries</v>
      </c>
      <c r="BG669" s="275" t="str">
        <f>IFERROR(__xludf.DUMMYFUNCTION("upper(Regexreplace(to_text(E669),""[^A-Za-z0-9]"","""")&amp;""-""&amp;Regexreplace(to_text(F669),""[^A-Za-z0-9]"",""""))"),"NEPTRONIC-EVCBSERIES")</f>
        <v>NEPTRONIC-EVCBSERIES</v>
      </c>
    </row>
    <row r="670" ht="30.0" customHeight="1">
      <c r="A670" s="258">
        <v>662.0</v>
      </c>
      <c r="B670" s="237" t="s">
        <v>670</v>
      </c>
      <c r="C670" s="257" t="s">
        <v>3574</v>
      </c>
      <c r="D670" s="173" t="s">
        <v>3574</v>
      </c>
      <c r="E670" s="174" t="s">
        <v>2861</v>
      </c>
      <c r="F670" s="173" t="s">
        <v>2862</v>
      </c>
      <c r="G670" s="328" t="s">
        <v>673</v>
      </c>
      <c r="H670" s="328" t="s">
        <v>2863</v>
      </c>
      <c r="I670" s="258" t="s">
        <v>2864</v>
      </c>
      <c r="J670" s="259" t="s">
        <v>902</v>
      </c>
      <c r="K670" s="260" t="s">
        <v>3575</v>
      </c>
      <c r="L670" s="328"/>
      <c r="M670" s="343"/>
      <c r="N670" s="173" t="s">
        <v>679</v>
      </c>
      <c r="O670" s="173" t="s">
        <v>225</v>
      </c>
      <c r="P670" s="262" t="str">
        <f t="shared" si="1"/>
        <v>IN-BLR-ANANTA-VAV-242_2</v>
      </c>
      <c r="Q670" s="173" t="s">
        <v>3576</v>
      </c>
      <c r="R670" s="328" t="str">
        <f>IFS(C670="","",C670="n/a","N/A",LEN(C670),Concatenate("{",char(34),"asset",char(34),":{",char(34),"guid",char(34),":",char(34),Q670,char(34),",",char(34),"site",char(34),":",char(34),LOWER('2-Building'!$B$4),char(34),",",char(34),"name",char(34),":",char(34),LOWER(C670),char(34),"}}"))</f>
        <v>{"asset":{"guid":"uuid://c22124ab-85a1-42c7-beeb-13c15681583c","site":"in-blr-ananta","name":"vav-242"}}</v>
      </c>
      <c r="S670" s="237" t="s">
        <v>2866</v>
      </c>
      <c r="T670" s="330"/>
      <c r="U670" s="330"/>
      <c r="V670" s="331"/>
      <c r="W670" s="344"/>
      <c r="X670" s="341"/>
      <c r="Y670" s="33" t="s">
        <v>2867</v>
      </c>
      <c r="Z670" s="258">
        <v>120242.0</v>
      </c>
      <c r="AA670" s="334">
        <v>11544.0</v>
      </c>
      <c r="AB670" s="341"/>
      <c r="AC670" s="341"/>
      <c r="AD670" s="343"/>
      <c r="AE670" s="331"/>
      <c r="AF670" s="348"/>
      <c r="AG670" s="337"/>
      <c r="AH670" s="341"/>
      <c r="AI670" s="341"/>
      <c r="AJ670" s="341"/>
      <c r="AK670" s="341"/>
      <c r="AL670" s="341"/>
      <c r="AM670" s="338"/>
      <c r="AN670" s="341"/>
      <c r="AO670" s="341"/>
      <c r="AP670" s="341"/>
      <c r="AQ670" s="341"/>
      <c r="AR670" s="341"/>
      <c r="AS670" s="341"/>
      <c r="AT670" s="341"/>
      <c r="AU670" s="343"/>
      <c r="AV670" s="341"/>
      <c r="AW670" s="269" t="s">
        <v>907</v>
      </c>
      <c r="AX670" s="334" t="s">
        <v>2869</v>
      </c>
      <c r="AY670" s="270" t="s">
        <v>695</v>
      </c>
      <c r="AZ670" s="270" t="s">
        <v>2866</v>
      </c>
      <c r="BA670" s="265">
        <v>10.0</v>
      </c>
      <c r="BB670" s="174" t="s">
        <v>245</v>
      </c>
      <c r="BC670" s="341"/>
      <c r="BD670" s="308"/>
      <c r="BE670" s="347"/>
      <c r="BF670" s="274" t="str">
        <f>IFERROR(__xludf.DUMMYFUNCTION("LOWER(Regexreplace(to_text(E670),""[^A-Za-z0-9]"","""")&amp;""_""&amp;Regexreplace(to_text(F670),""[^A-Za-z0-9]"",""""))"),"neptronic_evcbseries")</f>
        <v>neptronic_evcbseries</v>
      </c>
      <c r="BG670" s="275" t="str">
        <f>IFERROR(__xludf.DUMMYFUNCTION("upper(Regexreplace(to_text(E670),""[^A-Za-z0-9]"","""")&amp;""-""&amp;Regexreplace(to_text(F670),""[^A-Za-z0-9]"",""""))"),"NEPTRONIC-EVCBSERIES")</f>
        <v>NEPTRONIC-EVCBSERIES</v>
      </c>
    </row>
    <row r="671" ht="30.0" customHeight="1">
      <c r="A671" s="173">
        <v>663.0</v>
      </c>
      <c r="B671" s="237" t="s">
        <v>670</v>
      </c>
      <c r="C671" s="257" t="s">
        <v>3577</v>
      </c>
      <c r="D671" s="173" t="s">
        <v>3577</v>
      </c>
      <c r="E671" s="174" t="s">
        <v>2861</v>
      </c>
      <c r="F671" s="173" t="s">
        <v>2862</v>
      </c>
      <c r="G671" s="328" t="s">
        <v>673</v>
      </c>
      <c r="H671" s="328" t="s">
        <v>2863</v>
      </c>
      <c r="I671" s="258" t="s">
        <v>2864</v>
      </c>
      <c r="J671" s="259" t="s">
        <v>902</v>
      </c>
      <c r="K671" s="260" t="s">
        <v>3578</v>
      </c>
      <c r="L671" s="328"/>
      <c r="M671" s="343"/>
      <c r="N671" s="173" t="s">
        <v>679</v>
      </c>
      <c r="O671" s="173" t="s">
        <v>225</v>
      </c>
      <c r="P671" s="262" t="str">
        <f t="shared" si="1"/>
        <v>IN-BLR-ANANTA-VAV-243_2</v>
      </c>
      <c r="Q671" s="173" t="s">
        <v>3579</v>
      </c>
      <c r="R671" s="328" t="str">
        <f>IFS(C671="","",C671="n/a","N/A",LEN(C671),Concatenate("{",char(34),"asset",char(34),":{",char(34),"guid",char(34),":",char(34),Q671,char(34),",",char(34),"site",char(34),":",char(34),LOWER('2-Building'!$B$4),char(34),",",char(34),"name",char(34),":",char(34),LOWER(C671),char(34),"}}"))</f>
        <v>{"asset":{"guid":"uuid://b78d4210-c34c-42fe-890c-871163e5e5bd","site":"in-blr-ananta","name":"vav-243"}}</v>
      </c>
      <c r="S671" s="237" t="s">
        <v>2866</v>
      </c>
      <c r="T671" s="330"/>
      <c r="U671" s="330"/>
      <c r="V671" s="331"/>
      <c r="W671" s="344"/>
      <c r="X671" s="341"/>
      <c r="Y671" s="33" t="s">
        <v>2867</v>
      </c>
      <c r="Z671" s="258">
        <v>120243.0</v>
      </c>
      <c r="AA671" s="334">
        <v>11544.0</v>
      </c>
      <c r="AB671" s="341"/>
      <c r="AC671" s="341"/>
      <c r="AD671" s="343"/>
      <c r="AE671" s="331"/>
      <c r="AF671" s="348"/>
      <c r="AG671" s="337"/>
      <c r="AH671" s="341"/>
      <c r="AI671" s="341"/>
      <c r="AJ671" s="341"/>
      <c r="AK671" s="341"/>
      <c r="AL671" s="341"/>
      <c r="AM671" s="338"/>
      <c r="AN671" s="341"/>
      <c r="AO671" s="341"/>
      <c r="AP671" s="341"/>
      <c r="AQ671" s="341"/>
      <c r="AR671" s="341"/>
      <c r="AS671" s="341"/>
      <c r="AT671" s="341"/>
      <c r="AU671" s="343"/>
      <c r="AV671" s="341"/>
      <c r="AW671" s="269" t="s">
        <v>907</v>
      </c>
      <c r="AX671" s="334" t="s">
        <v>2869</v>
      </c>
      <c r="AY671" s="270" t="s">
        <v>695</v>
      </c>
      <c r="AZ671" s="270" t="s">
        <v>2866</v>
      </c>
      <c r="BA671" s="265">
        <v>10.0</v>
      </c>
      <c r="BB671" s="174" t="s">
        <v>245</v>
      </c>
      <c r="BC671" s="341"/>
      <c r="BD671" s="308"/>
      <c r="BE671" s="347"/>
      <c r="BF671" s="274" t="str">
        <f>IFERROR(__xludf.DUMMYFUNCTION("LOWER(Regexreplace(to_text(E671),""[^A-Za-z0-9]"","""")&amp;""_""&amp;Regexreplace(to_text(F671),""[^A-Za-z0-9]"",""""))"),"neptronic_evcbseries")</f>
        <v>neptronic_evcbseries</v>
      </c>
      <c r="BG671" s="275" t="str">
        <f>IFERROR(__xludf.DUMMYFUNCTION("upper(Regexreplace(to_text(E671),""[^A-Za-z0-9]"","""")&amp;""-""&amp;Regexreplace(to_text(F671),""[^A-Za-z0-9]"",""""))"),"NEPTRONIC-EVCBSERIES")</f>
        <v>NEPTRONIC-EVCBSERIES</v>
      </c>
    </row>
    <row r="672" ht="30.0" customHeight="1">
      <c r="A672" s="258">
        <v>664.0</v>
      </c>
      <c r="B672" s="237" t="s">
        <v>670</v>
      </c>
      <c r="C672" s="257" t="s">
        <v>3580</v>
      </c>
      <c r="D672" s="173" t="s">
        <v>3580</v>
      </c>
      <c r="E672" s="174" t="s">
        <v>2861</v>
      </c>
      <c r="F672" s="173" t="s">
        <v>2862</v>
      </c>
      <c r="G672" s="328" t="s">
        <v>673</v>
      </c>
      <c r="H672" s="328" t="s">
        <v>2863</v>
      </c>
      <c r="I672" s="258" t="s">
        <v>2864</v>
      </c>
      <c r="J672" s="259" t="s">
        <v>902</v>
      </c>
      <c r="K672" s="260" t="s">
        <v>3581</v>
      </c>
      <c r="L672" s="328"/>
      <c r="M672" s="343"/>
      <c r="N672" s="173" t="s">
        <v>679</v>
      </c>
      <c r="O672" s="173" t="s">
        <v>225</v>
      </c>
      <c r="P672" s="262" t="str">
        <f t="shared" si="1"/>
        <v>IN-BLR-ANANTA-VAV-244_2</v>
      </c>
      <c r="Q672" s="173" t="s">
        <v>3582</v>
      </c>
      <c r="R672" s="328" t="str">
        <f>IFS(C672="","",C672="n/a","N/A",LEN(C672),Concatenate("{",char(34),"asset",char(34),":{",char(34),"guid",char(34),":",char(34),Q672,char(34),",",char(34),"site",char(34),":",char(34),LOWER('2-Building'!$B$4),char(34),",",char(34),"name",char(34),":",char(34),LOWER(C672),char(34),"}}"))</f>
        <v>{"asset":{"guid":"uuid://994a33d2-59ed-4532-96bf-736b68bcfa76","site":"in-blr-ananta","name":"vav-244"}}</v>
      </c>
      <c r="S672" s="237" t="s">
        <v>2866</v>
      </c>
      <c r="T672" s="330"/>
      <c r="U672" s="330"/>
      <c r="V672" s="331"/>
      <c r="W672" s="344"/>
      <c r="X672" s="341"/>
      <c r="Y672" s="33" t="s">
        <v>2867</v>
      </c>
      <c r="Z672" s="258">
        <v>120244.0</v>
      </c>
      <c r="AA672" s="334">
        <v>11544.0</v>
      </c>
      <c r="AB672" s="341"/>
      <c r="AC672" s="341"/>
      <c r="AD672" s="343"/>
      <c r="AE672" s="331"/>
      <c r="AF672" s="348"/>
      <c r="AG672" s="337"/>
      <c r="AH672" s="341"/>
      <c r="AI672" s="341"/>
      <c r="AJ672" s="341"/>
      <c r="AK672" s="341"/>
      <c r="AL672" s="341"/>
      <c r="AM672" s="338"/>
      <c r="AN672" s="341"/>
      <c r="AO672" s="341"/>
      <c r="AP672" s="341"/>
      <c r="AQ672" s="341"/>
      <c r="AR672" s="341"/>
      <c r="AS672" s="341"/>
      <c r="AT672" s="341"/>
      <c r="AU672" s="343"/>
      <c r="AV672" s="341"/>
      <c r="AW672" s="269" t="s">
        <v>907</v>
      </c>
      <c r="AX672" s="334" t="s">
        <v>2869</v>
      </c>
      <c r="AY672" s="270" t="s">
        <v>695</v>
      </c>
      <c r="AZ672" s="270" t="s">
        <v>2866</v>
      </c>
      <c r="BA672" s="265">
        <v>10.0</v>
      </c>
      <c r="BB672" s="174" t="s">
        <v>245</v>
      </c>
      <c r="BC672" s="341"/>
      <c r="BD672" s="308"/>
      <c r="BE672" s="347"/>
      <c r="BF672" s="274" t="str">
        <f>IFERROR(__xludf.DUMMYFUNCTION("LOWER(Regexreplace(to_text(E672),""[^A-Za-z0-9]"","""")&amp;""_""&amp;Regexreplace(to_text(F672),""[^A-Za-z0-9]"",""""))"),"neptronic_evcbseries")</f>
        <v>neptronic_evcbseries</v>
      </c>
      <c r="BG672" s="275" t="str">
        <f>IFERROR(__xludf.DUMMYFUNCTION("upper(Regexreplace(to_text(E672),""[^A-Za-z0-9]"","""")&amp;""-""&amp;Regexreplace(to_text(F672),""[^A-Za-z0-9]"",""""))"),"NEPTRONIC-EVCBSERIES")</f>
        <v>NEPTRONIC-EVCBSERIES</v>
      </c>
    </row>
    <row r="673" ht="30.0" customHeight="1">
      <c r="A673" s="173">
        <v>665.0</v>
      </c>
      <c r="B673" s="237" t="s">
        <v>670</v>
      </c>
      <c r="C673" s="257" t="s">
        <v>3583</v>
      </c>
      <c r="D673" s="173" t="s">
        <v>3583</v>
      </c>
      <c r="E673" s="174" t="s">
        <v>2861</v>
      </c>
      <c r="F673" s="173" t="s">
        <v>2862</v>
      </c>
      <c r="G673" s="328" t="s">
        <v>673</v>
      </c>
      <c r="H673" s="328" t="s">
        <v>2863</v>
      </c>
      <c r="I673" s="258" t="s">
        <v>2864</v>
      </c>
      <c r="J673" s="259" t="s">
        <v>902</v>
      </c>
      <c r="K673" s="260" t="s">
        <v>3584</v>
      </c>
      <c r="L673" s="328"/>
      <c r="M673" s="343"/>
      <c r="N673" s="173" t="s">
        <v>679</v>
      </c>
      <c r="O673" s="173" t="s">
        <v>225</v>
      </c>
      <c r="P673" s="262" t="str">
        <f t="shared" si="1"/>
        <v>IN-BLR-ANANTA-VAV-245_2</v>
      </c>
      <c r="Q673" s="173" t="s">
        <v>3585</v>
      </c>
      <c r="R673" s="328" t="str">
        <f>IFS(C673="","",C673="n/a","N/A",LEN(C673),Concatenate("{",char(34),"asset",char(34),":{",char(34),"guid",char(34),":",char(34),Q673,char(34),",",char(34),"site",char(34),":",char(34),LOWER('2-Building'!$B$4),char(34),",",char(34),"name",char(34),":",char(34),LOWER(C673),char(34),"}}"))</f>
        <v>{"asset":{"guid":"uuid://bd246068-e2fa-4fc8-9114-dcb7bce25502","site":"in-blr-ananta","name":"vav-245"}}</v>
      </c>
      <c r="S673" s="237" t="s">
        <v>2866</v>
      </c>
      <c r="T673" s="330"/>
      <c r="U673" s="330"/>
      <c r="V673" s="331"/>
      <c r="W673" s="344"/>
      <c r="X673" s="341"/>
      <c r="Y673" s="33" t="s">
        <v>2867</v>
      </c>
      <c r="Z673" s="258">
        <v>120245.0</v>
      </c>
      <c r="AA673" s="334">
        <v>11544.0</v>
      </c>
      <c r="AB673" s="341"/>
      <c r="AC673" s="341"/>
      <c r="AD673" s="343"/>
      <c r="AE673" s="331"/>
      <c r="AF673" s="348"/>
      <c r="AG673" s="337"/>
      <c r="AH673" s="341"/>
      <c r="AI673" s="341"/>
      <c r="AJ673" s="341"/>
      <c r="AK673" s="341"/>
      <c r="AL673" s="341"/>
      <c r="AM673" s="338"/>
      <c r="AN673" s="341"/>
      <c r="AO673" s="341"/>
      <c r="AP673" s="341"/>
      <c r="AQ673" s="341"/>
      <c r="AR673" s="341"/>
      <c r="AS673" s="341"/>
      <c r="AT673" s="341"/>
      <c r="AU673" s="343"/>
      <c r="AV673" s="341"/>
      <c r="AW673" s="269" t="s">
        <v>907</v>
      </c>
      <c r="AX673" s="334" t="s">
        <v>2869</v>
      </c>
      <c r="AY673" s="270" t="s">
        <v>695</v>
      </c>
      <c r="AZ673" s="270" t="s">
        <v>2866</v>
      </c>
      <c r="BA673" s="265">
        <v>10.0</v>
      </c>
      <c r="BB673" s="174" t="s">
        <v>245</v>
      </c>
      <c r="BC673" s="341"/>
      <c r="BD673" s="308"/>
      <c r="BE673" s="347"/>
      <c r="BF673" s="274" t="str">
        <f>IFERROR(__xludf.DUMMYFUNCTION("LOWER(Regexreplace(to_text(E673),""[^A-Za-z0-9]"","""")&amp;""_""&amp;Regexreplace(to_text(F673),""[^A-Za-z0-9]"",""""))"),"neptronic_evcbseries")</f>
        <v>neptronic_evcbseries</v>
      </c>
      <c r="BG673" s="275" t="str">
        <f>IFERROR(__xludf.DUMMYFUNCTION("upper(Regexreplace(to_text(E673),""[^A-Za-z0-9]"","""")&amp;""-""&amp;Regexreplace(to_text(F673),""[^A-Za-z0-9]"",""""))"),"NEPTRONIC-EVCBSERIES")</f>
        <v>NEPTRONIC-EVCBSERIES</v>
      </c>
    </row>
    <row r="674" ht="30.0" customHeight="1">
      <c r="A674" s="258">
        <v>666.0</v>
      </c>
      <c r="B674" s="237" t="s">
        <v>670</v>
      </c>
      <c r="C674" s="257" t="s">
        <v>3586</v>
      </c>
      <c r="D674" s="173" t="s">
        <v>3586</v>
      </c>
      <c r="E674" s="174" t="s">
        <v>2861</v>
      </c>
      <c r="F674" s="173" t="s">
        <v>2862</v>
      </c>
      <c r="G674" s="328" t="s">
        <v>673</v>
      </c>
      <c r="H674" s="328" t="s">
        <v>2863</v>
      </c>
      <c r="I674" s="258" t="s">
        <v>2864</v>
      </c>
      <c r="J674" s="259" t="s">
        <v>902</v>
      </c>
      <c r="K674" s="260" t="s">
        <v>3587</v>
      </c>
      <c r="L674" s="328"/>
      <c r="M674" s="343"/>
      <c r="N674" s="173" t="s">
        <v>679</v>
      </c>
      <c r="O674" s="173" t="s">
        <v>225</v>
      </c>
      <c r="P674" s="262" t="str">
        <f t="shared" si="1"/>
        <v>IN-BLR-ANANTA-VAV-246_2</v>
      </c>
      <c r="Q674" s="173" t="s">
        <v>3588</v>
      </c>
      <c r="R674" s="328" t="str">
        <f>IFS(C674="","",C674="n/a","N/A",LEN(C674),Concatenate("{",char(34),"asset",char(34),":{",char(34),"guid",char(34),":",char(34),Q674,char(34),",",char(34),"site",char(34),":",char(34),LOWER('2-Building'!$B$4),char(34),",",char(34),"name",char(34),":",char(34),LOWER(C674),char(34),"}}"))</f>
        <v>{"asset":{"guid":"uuid://b6b81e84-b8d5-46d8-ac64-f8850b6d4710","site":"in-blr-ananta","name":"vav-246"}}</v>
      </c>
      <c r="S674" s="237" t="s">
        <v>2866</v>
      </c>
      <c r="T674" s="330"/>
      <c r="U674" s="330"/>
      <c r="V674" s="331"/>
      <c r="W674" s="344"/>
      <c r="X674" s="341"/>
      <c r="Y674" s="33" t="s">
        <v>2867</v>
      </c>
      <c r="Z674" s="258">
        <v>120246.0</v>
      </c>
      <c r="AA674" s="334">
        <v>11544.0</v>
      </c>
      <c r="AB674" s="341"/>
      <c r="AC674" s="341"/>
      <c r="AD674" s="343"/>
      <c r="AE674" s="331"/>
      <c r="AF674" s="348"/>
      <c r="AG674" s="337"/>
      <c r="AH674" s="341"/>
      <c r="AI674" s="341"/>
      <c r="AJ674" s="341"/>
      <c r="AK674" s="341"/>
      <c r="AL674" s="341"/>
      <c r="AM674" s="338"/>
      <c r="AN674" s="341"/>
      <c r="AO674" s="341"/>
      <c r="AP674" s="341"/>
      <c r="AQ674" s="341"/>
      <c r="AR674" s="341"/>
      <c r="AS674" s="341"/>
      <c r="AT674" s="341"/>
      <c r="AU674" s="343"/>
      <c r="AV674" s="341"/>
      <c r="AW674" s="269" t="s">
        <v>907</v>
      </c>
      <c r="AX674" s="334" t="s">
        <v>2869</v>
      </c>
      <c r="AY674" s="270" t="s">
        <v>695</v>
      </c>
      <c r="AZ674" s="270" t="s">
        <v>2866</v>
      </c>
      <c r="BA674" s="265">
        <v>10.0</v>
      </c>
      <c r="BB674" s="174" t="s">
        <v>245</v>
      </c>
      <c r="BC674" s="341"/>
      <c r="BD674" s="308"/>
      <c r="BE674" s="347"/>
      <c r="BF674" s="274" t="str">
        <f>IFERROR(__xludf.DUMMYFUNCTION("LOWER(Regexreplace(to_text(E674),""[^A-Za-z0-9]"","""")&amp;""_""&amp;Regexreplace(to_text(F674),""[^A-Za-z0-9]"",""""))"),"neptronic_evcbseries")</f>
        <v>neptronic_evcbseries</v>
      </c>
      <c r="BG674" s="275" t="str">
        <f>IFERROR(__xludf.DUMMYFUNCTION("upper(Regexreplace(to_text(E674),""[^A-Za-z0-9]"","""")&amp;""-""&amp;Regexreplace(to_text(F674),""[^A-Za-z0-9]"",""""))"),"NEPTRONIC-EVCBSERIES")</f>
        <v>NEPTRONIC-EVCBSERIES</v>
      </c>
    </row>
    <row r="675" ht="30.0" customHeight="1">
      <c r="A675" s="173">
        <v>667.0</v>
      </c>
      <c r="B675" s="237" t="s">
        <v>670</v>
      </c>
      <c r="C675" s="257" t="s">
        <v>3589</v>
      </c>
      <c r="D675" s="173" t="s">
        <v>3589</v>
      </c>
      <c r="E675" s="174" t="s">
        <v>2861</v>
      </c>
      <c r="F675" s="173" t="s">
        <v>2862</v>
      </c>
      <c r="G675" s="328" t="s">
        <v>673</v>
      </c>
      <c r="H675" s="328" t="s">
        <v>2863</v>
      </c>
      <c r="I675" s="258" t="s">
        <v>2864</v>
      </c>
      <c r="J675" s="259" t="s">
        <v>902</v>
      </c>
      <c r="K675" s="260" t="s">
        <v>3590</v>
      </c>
      <c r="L675" s="328"/>
      <c r="M675" s="343"/>
      <c r="N675" s="173" t="s">
        <v>679</v>
      </c>
      <c r="O675" s="173" t="s">
        <v>225</v>
      </c>
      <c r="P675" s="262" t="str">
        <f t="shared" si="1"/>
        <v>IN-BLR-ANANTA-VAV-247_2</v>
      </c>
      <c r="Q675" s="173" t="s">
        <v>3591</v>
      </c>
      <c r="R675" s="328" t="str">
        <f>IFS(C675="","",C675="n/a","N/A",LEN(C675),Concatenate("{",char(34),"asset",char(34),":{",char(34),"guid",char(34),":",char(34),Q675,char(34),",",char(34),"site",char(34),":",char(34),LOWER('2-Building'!$B$4),char(34),",",char(34),"name",char(34),":",char(34),LOWER(C675),char(34),"}}"))</f>
        <v>{"asset":{"guid":"uuid://236bb7ba-63cc-4407-bb35-35fb0c69cafe","site":"in-blr-ananta","name":"vav-247"}}</v>
      </c>
      <c r="S675" s="237" t="s">
        <v>2866</v>
      </c>
      <c r="T675" s="330"/>
      <c r="U675" s="330"/>
      <c r="V675" s="331"/>
      <c r="W675" s="344"/>
      <c r="X675" s="341"/>
      <c r="Y675" s="33" t="s">
        <v>2867</v>
      </c>
      <c r="Z675" s="258">
        <v>120247.0</v>
      </c>
      <c r="AA675" s="334">
        <v>11544.0</v>
      </c>
      <c r="AB675" s="341"/>
      <c r="AC675" s="341"/>
      <c r="AD675" s="343"/>
      <c r="AE675" s="331"/>
      <c r="AF675" s="348"/>
      <c r="AG675" s="337"/>
      <c r="AH675" s="341"/>
      <c r="AI675" s="341"/>
      <c r="AJ675" s="341"/>
      <c r="AK675" s="341"/>
      <c r="AL675" s="341"/>
      <c r="AM675" s="338"/>
      <c r="AN675" s="341"/>
      <c r="AO675" s="341"/>
      <c r="AP675" s="341"/>
      <c r="AQ675" s="341"/>
      <c r="AR675" s="341"/>
      <c r="AS675" s="341"/>
      <c r="AT675" s="341"/>
      <c r="AU675" s="343"/>
      <c r="AV675" s="341"/>
      <c r="AW675" s="269" t="s">
        <v>907</v>
      </c>
      <c r="AX675" s="334" t="s">
        <v>2869</v>
      </c>
      <c r="AY675" s="270" t="s">
        <v>695</v>
      </c>
      <c r="AZ675" s="270" t="s">
        <v>2866</v>
      </c>
      <c r="BA675" s="265">
        <v>10.0</v>
      </c>
      <c r="BB675" s="174" t="s">
        <v>245</v>
      </c>
      <c r="BC675" s="341"/>
      <c r="BD675" s="308"/>
      <c r="BE675" s="347"/>
      <c r="BF675" s="274" t="str">
        <f>IFERROR(__xludf.DUMMYFUNCTION("LOWER(Regexreplace(to_text(E675),""[^A-Za-z0-9]"","""")&amp;""_""&amp;Regexreplace(to_text(F675),""[^A-Za-z0-9]"",""""))"),"neptronic_evcbseries")</f>
        <v>neptronic_evcbseries</v>
      </c>
      <c r="BG675" s="275" t="str">
        <f>IFERROR(__xludf.DUMMYFUNCTION("upper(Regexreplace(to_text(E675),""[^A-Za-z0-9]"","""")&amp;""-""&amp;Regexreplace(to_text(F675),""[^A-Za-z0-9]"",""""))"),"NEPTRONIC-EVCBSERIES")</f>
        <v>NEPTRONIC-EVCBSERIES</v>
      </c>
    </row>
    <row r="676" ht="30.0" customHeight="1">
      <c r="A676" s="258">
        <v>668.0</v>
      </c>
      <c r="B676" s="237" t="s">
        <v>670</v>
      </c>
      <c r="C676" s="257" t="s">
        <v>3592</v>
      </c>
      <c r="D676" s="173" t="s">
        <v>3592</v>
      </c>
      <c r="E676" s="174" t="s">
        <v>2861</v>
      </c>
      <c r="F676" s="173" t="s">
        <v>2862</v>
      </c>
      <c r="G676" s="328" t="s">
        <v>673</v>
      </c>
      <c r="H676" s="328" t="s">
        <v>2863</v>
      </c>
      <c r="I676" s="258" t="s">
        <v>2864</v>
      </c>
      <c r="J676" s="259" t="s">
        <v>902</v>
      </c>
      <c r="K676" s="260" t="s">
        <v>3593</v>
      </c>
      <c r="L676" s="328"/>
      <c r="M676" s="343"/>
      <c r="N676" s="173" t="s">
        <v>679</v>
      </c>
      <c r="O676" s="173" t="s">
        <v>225</v>
      </c>
      <c r="P676" s="262" t="str">
        <f t="shared" si="1"/>
        <v>IN-BLR-ANANTA-VAV-248_2</v>
      </c>
      <c r="Q676" s="173" t="s">
        <v>3594</v>
      </c>
      <c r="R676" s="328" t="str">
        <f>IFS(C676="","",C676="n/a","N/A",LEN(C676),Concatenate("{",char(34),"asset",char(34),":{",char(34),"guid",char(34),":",char(34),Q676,char(34),",",char(34),"site",char(34),":",char(34),LOWER('2-Building'!$B$4),char(34),",",char(34),"name",char(34),":",char(34),LOWER(C676),char(34),"}}"))</f>
        <v>{"asset":{"guid":"uuid://41339396-b91b-4258-bcc8-46348b6e9e40","site":"in-blr-ananta","name":"vav-248"}}</v>
      </c>
      <c r="S676" s="237" t="s">
        <v>2866</v>
      </c>
      <c r="T676" s="330"/>
      <c r="U676" s="330"/>
      <c r="V676" s="331"/>
      <c r="W676" s="344"/>
      <c r="X676" s="341"/>
      <c r="Y676" s="33" t="s">
        <v>2867</v>
      </c>
      <c r="Z676" s="258">
        <v>120248.0</v>
      </c>
      <c r="AA676" s="334">
        <v>11544.0</v>
      </c>
      <c r="AB676" s="341"/>
      <c r="AC676" s="341"/>
      <c r="AD676" s="343"/>
      <c r="AE676" s="331"/>
      <c r="AF676" s="348"/>
      <c r="AG676" s="337"/>
      <c r="AH676" s="341"/>
      <c r="AI676" s="341"/>
      <c r="AJ676" s="341"/>
      <c r="AK676" s="341"/>
      <c r="AL676" s="341"/>
      <c r="AM676" s="338"/>
      <c r="AN676" s="341"/>
      <c r="AO676" s="341"/>
      <c r="AP676" s="341"/>
      <c r="AQ676" s="341"/>
      <c r="AR676" s="341"/>
      <c r="AS676" s="341"/>
      <c r="AT676" s="341"/>
      <c r="AU676" s="343"/>
      <c r="AV676" s="341"/>
      <c r="AW676" s="269" t="s">
        <v>907</v>
      </c>
      <c r="AX676" s="334" t="s">
        <v>2869</v>
      </c>
      <c r="AY676" s="270" t="s">
        <v>695</v>
      </c>
      <c r="AZ676" s="270" t="s">
        <v>2866</v>
      </c>
      <c r="BA676" s="265">
        <v>10.0</v>
      </c>
      <c r="BB676" s="174" t="s">
        <v>245</v>
      </c>
      <c r="BC676" s="341"/>
      <c r="BD676" s="308"/>
      <c r="BE676" s="347"/>
      <c r="BF676" s="274" t="str">
        <f>IFERROR(__xludf.DUMMYFUNCTION("LOWER(Regexreplace(to_text(E676),""[^A-Za-z0-9]"","""")&amp;""_""&amp;Regexreplace(to_text(F676),""[^A-Za-z0-9]"",""""))"),"neptronic_evcbseries")</f>
        <v>neptronic_evcbseries</v>
      </c>
      <c r="BG676" s="275" t="str">
        <f>IFERROR(__xludf.DUMMYFUNCTION("upper(Regexreplace(to_text(E676),""[^A-Za-z0-9]"","""")&amp;""-""&amp;Regexreplace(to_text(F676),""[^A-Za-z0-9]"",""""))"),"NEPTRONIC-EVCBSERIES")</f>
        <v>NEPTRONIC-EVCBSERIES</v>
      </c>
    </row>
    <row r="677" ht="30.0" customHeight="1">
      <c r="A677" s="173">
        <v>669.0</v>
      </c>
      <c r="B677" s="237" t="s">
        <v>670</v>
      </c>
      <c r="C677" s="257" t="s">
        <v>3595</v>
      </c>
      <c r="D677" s="173" t="s">
        <v>3595</v>
      </c>
      <c r="E677" s="174" t="s">
        <v>2861</v>
      </c>
      <c r="F677" s="173" t="s">
        <v>2862</v>
      </c>
      <c r="G677" s="328" t="s">
        <v>673</v>
      </c>
      <c r="H677" s="328" t="s">
        <v>2863</v>
      </c>
      <c r="I677" s="258" t="s">
        <v>2864</v>
      </c>
      <c r="J677" s="259" t="s">
        <v>902</v>
      </c>
      <c r="K677" s="260" t="s">
        <v>3596</v>
      </c>
      <c r="L677" s="328"/>
      <c r="M677" s="343"/>
      <c r="N677" s="173" t="s">
        <v>679</v>
      </c>
      <c r="O677" s="173" t="s">
        <v>225</v>
      </c>
      <c r="P677" s="262" t="str">
        <f t="shared" si="1"/>
        <v>IN-BLR-ANANTA-VAV-249_2</v>
      </c>
      <c r="Q677" s="173" t="s">
        <v>3597</v>
      </c>
      <c r="R677" s="328" t="str">
        <f>IFS(C677="","",C677="n/a","N/A",LEN(C677),Concatenate("{",char(34),"asset",char(34),":{",char(34),"guid",char(34),":",char(34),Q677,char(34),",",char(34),"site",char(34),":",char(34),LOWER('2-Building'!$B$4),char(34),",",char(34),"name",char(34),":",char(34),LOWER(C677),char(34),"}}"))</f>
        <v>{"asset":{"guid":"uuid://04a4da25-9d4d-4780-87a8-7048e828656d","site":"in-blr-ananta","name":"vav-249"}}</v>
      </c>
      <c r="S677" s="237" t="s">
        <v>2866</v>
      </c>
      <c r="T677" s="330"/>
      <c r="U677" s="330"/>
      <c r="V677" s="331"/>
      <c r="W677" s="344"/>
      <c r="X677" s="341"/>
      <c r="Y677" s="33" t="s">
        <v>2867</v>
      </c>
      <c r="Z677" s="258">
        <v>120249.0</v>
      </c>
      <c r="AA677" s="334">
        <v>11544.0</v>
      </c>
      <c r="AB677" s="341"/>
      <c r="AC677" s="341"/>
      <c r="AD677" s="343"/>
      <c r="AE677" s="331"/>
      <c r="AF677" s="348"/>
      <c r="AG677" s="337"/>
      <c r="AH677" s="341"/>
      <c r="AI677" s="341"/>
      <c r="AJ677" s="341"/>
      <c r="AK677" s="341"/>
      <c r="AL677" s="341"/>
      <c r="AM677" s="338"/>
      <c r="AN677" s="341"/>
      <c r="AO677" s="341"/>
      <c r="AP677" s="341"/>
      <c r="AQ677" s="341"/>
      <c r="AR677" s="341"/>
      <c r="AS677" s="341"/>
      <c r="AT677" s="341"/>
      <c r="AU677" s="343"/>
      <c r="AV677" s="341"/>
      <c r="AW677" s="269" t="s">
        <v>907</v>
      </c>
      <c r="AX677" s="334" t="s">
        <v>2869</v>
      </c>
      <c r="AY677" s="270" t="s">
        <v>695</v>
      </c>
      <c r="AZ677" s="270" t="s">
        <v>2866</v>
      </c>
      <c r="BA677" s="265">
        <v>10.0</v>
      </c>
      <c r="BB677" s="174" t="s">
        <v>245</v>
      </c>
      <c r="BC677" s="341"/>
      <c r="BD677" s="308"/>
      <c r="BE677" s="347"/>
      <c r="BF677" s="274" t="str">
        <f>IFERROR(__xludf.DUMMYFUNCTION("LOWER(Regexreplace(to_text(E677),""[^A-Za-z0-9]"","""")&amp;""_""&amp;Regexreplace(to_text(F677),""[^A-Za-z0-9]"",""""))"),"neptronic_evcbseries")</f>
        <v>neptronic_evcbseries</v>
      </c>
      <c r="BG677" s="275" t="str">
        <f>IFERROR(__xludf.DUMMYFUNCTION("upper(Regexreplace(to_text(E677),""[^A-Za-z0-9]"","""")&amp;""-""&amp;Regexreplace(to_text(F677),""[^A-Za-z0-9]"",""""))"),"NEPTRONIC-EVCBSERIES")</f>
        <v>NEPTRONIC-EVCBSERIES</v>
      </c>
    </row>
    <row r="678" ht="30.0" customHeight="1">
      <c r="A678" s="258">
        <v>670.0</v>
      </c>
      <c r="B678" s="237" t="s">
        <v>670</v>
      </c>
      <c r="C678" s="257" t="s">
        <v>3598</v>
      </c>
      <c r="D678" s="173" t="s">
        <v>3598</v>
      </c>
      <c r="E678" s="174" t="s">
        <v>2861</v>
      </c>
      <c r="F678" s="173" t="s">
        <v>2862</v>
      </c>
      <c r="G678" s="328" t="s">
        <v>673</v>
      </c>
      <c r="H678" s="328" t="s">
        <v>2863</v>
      </c>
      <c r="I678" s="258" t="s">
        <v>2864</v>
      </c>
      <c r="J678" s="259" t="s">
        <v>902</v>
      </c>
      <c r="K678" s="260" t="s">
        <v>3599</v>
      </c>
      <c r="L678" s="328"/>
      <c r="M678" s="343"/>
      <c r="N678" s="173" t="s">
        <v>679</v>
      </c>
      <c r="O678" s="173" t="s">
        <v>225</v>
      </c>
      <c r="P678" s="262" t="str">
        <f t="shared" si="1"/>
        <v>IN-BLR-ANANTA-VAV-250_2</v>
      </c>
      <c r="Q678" s="173" t="s">
        <v>3600</v>
      </c>
      <c r="R678" s="328" t="str">
        <f>IFS(C678="","",C678="n/a","N/A",LEN(C678),Concatenate("{",char(34),"asset",char(34),":{",char(34),"guid",char(34),":",char(34),Q678,char(34),",",char(34),"site",char(34),":",char(34),LOWER('2-Building'!$B$4),char(34),",",char(34),"name",char(34),":",char(34),LOWER(C678),char(34),"}}"))</f>
        <v>{"asset":{"guid":"uuid://6bb1e8c7-5fb8-4e92-88eb-816b8b51bbda","site":"in-blr-ananta","name":"vav-250"}}</v>
      </c>
      <c r="S678" s="237" t="s">
        <v>2866</v>
      </c>
      <c r="T678" s="330"/>
      <c r="U678" s="330"/>
      <c r="V678" s="331"/>
      <c r="W678" s="344"/>
      <c r="X678" s="341"/>
      <c r="Y678" s="33" t="s">
        <v>2867</v>
      </c>
      <c r="Z678" s="258">
        <v>120250.0</v>
      </c>
      <c r="AA678" s="334">
        <v>11544.0</v>
      </c>
      <c r="AB678" s="341"/>
      <c r="AC678" s="341"/>
      <c r="AD678" s="343"/>
      <c r="AE678" s="331"/>
      <c r="AF678" s="348"/>
      <c r="AG678" s="337"/>
      <c r="AH678" s="341"/>
      <c r="AI678" s="341"/>
      <c r="AJ678" s="341"/>
      <c r="AK678" s="341"/>
      <c r="AL678" s="341"/>
      <c r="AM678" s="338"/>
      <c r="AN678" s="341"/>
      <c r="AO678" s="341"/>
      <c r="AP678" s="341"/>
      <c r="AQ678" s="341"/>
      <c r="AR678" s="341"/>
      <c r="AS678" s="341"/>
      <c r="AT678" s="341"/>
      <c r="AU678" s="343"/>
      <c r="AV678" s="341"/>
      <c r="AW678" s="269" t="s">
        <v>907</v>
      </c>
      <c r="AX678" s="334" t="s">
        <v>2869</v>
      </c>
      <c r="AY678" s="270" t="s">
        <v>695</v>
      </c>
      <c r="AZ678" s="270" t="s">
        <v>2866</v>
      </c>
      <c r="BA678" s="265">
        <v>10.0</v>
      </c>
      <c r="BB678" s="174" t="s">
        <v>245</v>
      </c>
      <c r="BC678" s="341"/>
      <c r="BD678" s="308"/>
      <c r="BE678" s="347"/>
      <c r="BF678" s="274" t="str">
        <f>IFERROR(__xludf.DUMMYFUNCTION("LOWER(Regexreplace(to_text(E678),""[^A-Za-z0-9]"","""")&amp;""_""&amp;Regexreplace(to_text(F678),""[^A-Za-z0-9]"",""""))"),"neptronic_evcbseries")</f>
        <v>neptronic_evcbseries</v>
      </c>
      <c r="BG678" s="275" t="str">
        <f>IFERROR(__xludf.DUMMYFUNCTION("upper(Regexreplace(to_text(E678),""[^A-Za-z0-9]"","""")&amp;""-""&amp;Regexreplace(to_text(F678),""[^A-Za-z0-9]"",""""))"),"NEPTRONIC-EVCBSERIES")</f>
        <v>NEPTRONIC-EVCBSERIES</v>
      </c>
    </row>
    <row r="679" ht="30.0" customHeight="1">
      <c r="A679" s="173">
        <v>671.0</v>
      </c>
      <c r="B679" s="237" t="s">
        <v>670</v>
      </c>
      <c r="C679" s="257" t="s">
        <v>3601</v>
      </c>
      <c r="D679" s="173" t="s">
        <v>3601</v>
      </c>
      <c r="E679" s="174" t="s">
        <v>2861</v>
      </c>
      <c r="F679" s="173" t="s">
        <v>2862</v>
      </c>
      <c r="G679" s="328" t="s">
        <v>673</v>
      </c>
      <c r="H679" s="328" t="s">
        <v>2863</v>
      </c>
      <c r="I679" s="258" t="s">
        <v>2864</v>
      </c>
      <c r="J679" s="259" t="s">
        <v>902</v>
      </c>
      <c r="K679" s="260" t="s">
        <v>3602</v>
      </c>
      <c r="L679" s="328"/>
      <c r="M679" s="343"/>
      <c r="N679" s="173" t="s">
        <v>679</v>
      </c>
      <c r="O679" s="173" t="s">
        <v>225</v>
      </c>
      <c r="P679" s="262" t="str">
        <f t="shared" si="1"/>
        <v>IN-BLR-ANANTA-VAV-251_2</v>
      </c>
      <c r="Q679" s="173" t="s">
        <v>3603</v>
      </c>
      <c r="R679" s="328" t="str">
        <f>IFS(C679="","",C679="n/a","N/A",LEN(C679),Concatenate("{",char(34),"asset",char(34),":{",char(34),"guid",char(34),":",char(34),Q679,char(34),",",char(34),"site",char(34),":",char(34),LOWER('2-Building'!$B$4),char(34),",",char(34),"name",char(34),":",char(34),LOWER(C679),char(34),"}}"))</f>
        <v>{"asset":{"guid":"uuid://d71ea298-5728-42a8-88cf-04255c79d683","site":"in-blr-ananta","name":"vav-251"}}</v>
      </c>
      <c r="S679" s="237" t="s">
        <v>2866</v>
      </c>
      <c r="T679" s="330"/>
      <c r="U679" s="330"/>
      <c r="V679" s="331"/>
      <c r="W679" s="344"/>
      <c r="X679" s="341"/>
      <c r="Y679" s="33" t="s">
        <v>2867</v>
      </c>
      <c r="Z679" s="258">
        <v>120251.0</v>
      </c>
      <c r="AA679" s="334">
        <v>11544.0</v>
      </c>
      <c r="AB679" s="341"/>
      <c r="AC679" s="341"/>
      <c r="AD679" s="343"/>
      <c r="AE679" s="331"/>
      <c r="AF679" s="348"/>
      <c r="AG679" s="337"/>
      <c r="AH679" s="341"/>
      <c r="AI679" s="341"/>
      <c r="AJ679" s="341"/>
      <c r="AK679" s="341"/>
      <c r="AL679" s="341"/>
      <c r="AM679" s="338"/>
      <c r="AN679" s="341"/>
      <c r="AO679" s="341"/>
      <c r="AP679" s="341"/>
      <c r="AQ679" s="341"/>
      <c r="AR679" s="341"/>
      <c r="AS679" s="341"/>
      <c r="AT679" s="341"/>
      <c r="AU679" s="343"/>
      <c r="AV679" s="341"/>
      <c r="AW679" s="269" t="s">
        <v>907</v>
      </c>
      <c r="AX679" s="334" t="s">
        <v>2869</v>
      </c>
      <c r="AY679" s="270" t="s">
        <v>695</v>
      </c>
      <c r="AZ679" s="270" t="s">
        <v>2866</v>
      </c>
      <c r="BA679" s="265">
        <v>10.0</v>
      </c>
      <c r="BB679" s="174" t="s">
        <v>245</v>
      </c>
      <c r="BC679" s="341"/>
      <c r="BD679" s="308"/>
      <c r="BE679" s="347"/>
      <c r="BF679" s="274" t="str">
        <f>IFERROR(__xludf.DUMMYFUNCTION("LOWER(Regexreplace(to_text(E679),""[^A-Za-z0-9]"","""")&amp;""_""&amp;Regexreplace(to_text(F679),""[^A-Za-z0-9]"",""""))"),"neptronic_evcbseries")</f>
        <v>neptronic_evcbseries</v>
      </c>
      <c r="BG679" s="275" t="str">
        <f>IFERROR(__xludf.DUMMYFUNCTION("upper(Regexreplace(to_text(E679),""[^A-Za-z0-9]"","""")&amp;""-""&amp;Regexreplace(to_text(F679),""[^A-Za-z0-9]"",""""))"),"NEPTRONIC-EVCBSERIES")</f>
        <v>NEPTRONIC-EVCBSERIES</v>
      </c>
    </row>
    <row r="680" ht="30.0" customHeight="1">
      <c r="A680" s="258">
        <v>672.0</v>
      </c>
      <c r="B680" s="237" t="s">
        <v>670</v>
      </c>
      <c r="C680" s="257" t="s">
        <v>3604</v>
      </c>
      <c r="D680" s="173" t="s">
        <v>3604</v>
      </c>
      <c r="E680" s="174" t="s">
        <v>2861</v>
      </c>
      <c r="F680" s="173" t="s">
        <v>2862</v>
      </c>
      <c r="G680" s="328" t="s">
        <v>673</v>
      </c>
      <c r="H680" s="328" t="s">
        <v>2863</v>
      </c>
      <c r="I680" s="258" t="s">
        <v>2864</v>
      </c>
      <c r="J680" s="259" t="s">
        <v>902</v>
      </c>
      <c r="K680" s="260" t="s">
        <v>3605</v>
      </c>
      <c r="L680" s="328"/>
      <c r="M680" s="343"/>
      <c r="N680" s="173" t="s">
        <v>679</v>
      </c>
      <c r="O680" s="173" t="s">
        <v>225</v>
      </c>
      <c r="P680" s="262" t="str">
        <f t="shared" si="1"/>
        <v>IN-BLR-ANANTA-VAV-252_2</v>
      </c>
      <c r="Q680" s="173" t="s">
        <v>3606</v>
      </c>
      <c r="R680" s="328" t="str">
        <f>IFS(C680="","",C680="n/a","N/A",LEN(C680),Concatenate("{",char(34),"asset",char(34),":{",char(34),"guid",char(34),":",char(34),Q680,char(34),",",char(34),"site",char(34),":",char(34),LOWER('2-Building'!$B$4),char(34),",",char(34),"name",char(34),":",char(34),LOWER(C680),char(34),"}}"))</f>
        <v>{"asset":{"guid":"uuid://ada5158f-473c-4878-ac6e-2ad66cf4567d","site":"in-blr-ananta","name":"vav-252"}}</v>
      </c>
      <c r="S680" s="237" t="s">
        <v>2866</v>
      </c>
      <c r="T680" s="330"/>
      <c r="U680" s="330"/>
      <c r="V680" s="331"/>
      <c r="W680" s="344"/>
      <c r="X680" s="341"/>
      <c r="Y680" s="33" t="s">
        <v>2867</v>
      </c>
      <c r="Z680" s="258">
        <v>120252.0</v>
      </c>
      <c r="AA680" s="334">
        <v>11537.0</v>
      </c>
      <c r="AB680" s="341"/>
      <c r="AC680" s="341"/>
      <c r="AD680" s="343"/>
      <c r="AE680" s="331"/>
      <c r="AF680" s="348"/>
      <c r="AG680" s="337"/>
      <c r="AH680" s="341"/>
      <c r="AI680" s="341"/>
      <c r="AJ680" s="341"/>
      <c r="AK680" s="341"/>
      <c r="AL680" s="341"/>
      <c r="AM680" s="338"/>
      <c r="AN680" s="341"/>
      <c r="AO680" s="341"/>
      <c r="AP680" s="341"/>
      <c r="AQ680" s="341"/>
      <c r="AR680" s="341"/>
      <c r="AS680" s="341"/>
      <c r="AT680" s="341"/>
      <c r="AU680" s="343"/>
      <c r="AV680" s="341"/>
      <c r="AW680" s="269" t="s">
        <v>2033</v>
      </c>
      <c r="AX680" s="334" t="s">
        <v>2869</v>
      </c>
      <c r="AY680" s="270" t="s">
        <v>695</v>
      </c>
      <c r="AZ680" s="270" t="s">
        <v>2866</v>
      </c>
      <c r="BA680" s="265">
        <v>10.0</v>
      </c>
      <c r="BB680" s="174" t="s">
        <v>245</v>
      </c>
      <c r="BC680" s="341"/>
      <c r="BD680" s="308"/>
      <c r="BE680" s="347"/>
      <c r="BF680" s="274" t="str">
        <f>IFERROR(__xludf.DUMMYFUNCTION("LOWER(Regexreplace(to_text(E680),""[^A-Za-z0-9]"","""")&amp;""_""&amp;Regexreplace(to_text(F680),""[^A-Za-z0-9]"",""""))"),"neptronic_evcbseries")</f>
        <v>neptronic_evcbseries</v>
      </c>
      <c r="BG680" s="275" t="str">
        <f>IFERROR(__xludf.DUMMYFUNCTION("upper(Regexreplace(to_text(E680),""[^A-Za-z0-9]"","""")&amp;""-""&amp;Regexreplace(to_text(F680),""[^A-Za-z0-9]"",""""))"),"NEPTRONIC-EVCBSERIES")</f>
        <v>NEPTRONIC-EVCBSERIES</v>
      </c>
    </row>
    <row r="681" ht="30.0" customHeight="1">
      <c r="A681" s="173">
        <v>673.0</v>
      </c>
      <c r="B681" s="237" t="s">
        <v>670</v>
      </c>
      <c r="C681" s="257" t="s">
        <v>3607</v>
      </c>
      <c r="D681" s="173" t="s">
        <v>3607</v>
      </c>
      <c r="E681" s="174" t="s">
        <v>2861</v>
      </c>
      <c r="F681" s="173" t="s">
        <v>2862</v>
      </c>
      <c r="G681" s="328" t="s">
        <v>673</v>
      </c>
      <c r="H681" s="328" t="s">
        <v>2863</v>
      </c>
      <c r="I681" s="258" t="s">
        <v>2864</v>
      </c>
      <c r="J681" s="259" t="s">
        <v>902</v>
      </c>
      <c r="K681" s="260" t="s">
        <v>3608</v>
      </c>
      <c r="L681" s="328"/>
      <c r="M681" s="343"/>
      <c r="N681" s="173" t="s">
        <v>679</v>
      </c>
      <c r="O681" s="173" t="s">
        <v>225</v>
      </c>
      <c r="P681" s="262" t="str">
        <f t="shared" si="1"/>
        <v>IN-BLR-ANANTA-VAV-253_2</v>
      </c>
      <c r="Q681" s="173" t="s">
        <v>3609</v>
      </c>
      <c r="R681" s="328" t="str">
        <f>IFS(C681="","",C681="n/a","N/A",LEN(C681),Concatenate("{",char(34),"asset",char(34),":{",char(34),"guid",char(34),":",char(34),Q681,char(34),",",char(34),"site",char(34),":",char(34),LOWER('2-Building'!$B$4),char(34),",",char(34),"name",char(34),":",char(34),LOWER(C681),char(34),"}}"))</f>
        <v>{"asset":{"guid":"uuid://2d1fe1ee-eb36-4929-9734-e2f7f92e3d87","site":"in-blr-ananta","name":"vav-253"}}</v>
      </c>
      <c r="S681" s="237" t="s">
        <v>2866</v>
      </c>
      <c r="T681" s="330"/>
      <c r="U681" s="330"/>
      <c r="V681" s="331"/>
      <c r="W681" s="344"/>
      <c r="X681" s="341"/>
      <c r="Y681" s="33" t="s">
        <v>2867</v>
      </c>
      <c r="Z681" s="258">
        <v>120253.0</v>
      </c>
      <c r="AA681" s="334">
        <v>11537.0</v>
      </c>
      <c r="AB681" s="341"/>
      <c r="AC681" s="341"/>
      <c r="AD681" s="343"/>
      <c r="AE681" s="331"/>
      <c r="AF681" s="348"/>
      <c r="AG681" s="337"/>
      <c r="AH681" s="341"/>
      <c r="AI681" s="341"/>
      <c r="AJ681" s="341"/>
      <c r="AK681" s="341"/>
      <c r="AL681" s="341"/>
      <c r="AM681" s="338"/>
      <c r="AN681" s="341"/>
      <c r="AO681" s="341"/>
      <c r="AP681" s="341"/>
      <c r="AQ681" s="341"/>
      <c r="AR681" s="341"/>
      <c r="AS681" s="341"/>
      <c r="AT681" s="341"/>
      <c r="AU681" s="343"/>
      <c r="AV681" s="341"/>
      <c r="AW681" s="269" t="s">
        <v>2033</v>
      </c>
      <c r="AX681" s="334" t="s">
        <v>2869</v>
      </c>
      <c r="AY681" s="270" t="s">
        <v>695</v>
      </c>
      <c r="AZ681" s="270" t="s">
        <v>2866</v>
      </c>
      <c r="BA681" s="265">
        <v>10.0</v>
      </c>
      <c r="BB681" s="174" t="s">
        <v>245</v>
      </c>
      <c r="BC681" s="341"/>
      <c r="BD681" s="308"/>
      <c r="BE681" s="347"/>
      <c r="BF681" s="274" t="str">
        <f>IFERROR(__xludf.DUMMYFUNCTION("LOWER(Regexreplace(to_text(E681),""[^A-Za-z0-9]"","""")&amp;""_""&amp;Regexreplace(to_text(F681),""[^A-Za-z0-9]"",""""))"),"neptronic_evcbseries")</f>
        <v>neptronic_evcbseries</v>
      </c>
      <c r="BG681" s="275" t="str">
        <f>IFERROR(__xludf.DUMMYFUNCTION("upper(Regexreplace(to_text(E681),""[^A-Za-z0-9]"","""")&amp;""-""&amp;Regexreplace(to_text(F681),""[^A-Za-z0-9]"",""""))"),"NEPTRONIC-EVCBSERIES")</f>
        <v>NEPTRONIC-EVCBSERIES</v>
      </c>
    </row>
    <row r="682" ht="30.0" customHeight="1">
      <c r="A682" s="258">
        <v>674.0</v>
      </c>
      <c r="B682" s="237" t="s">
        <v>670</v>
      </c>
      <c r="C682" s="257" t="s">
        <v>3610</v>
      </c>
      <c r="D682" s="173" t="s">
        <v>3610</v>
      </c>
      <c r="E682" s="174" t="s">
        <v>2861</v>
      </c>
      <c r="F682" s="173" t="s">
        <v>2862</v>
      </c>
      <c r="G682" s="328" t="s">
        <v>673</v>
      </c>
      <c r="H682" s="328" t="s">
        <v>2863</v>
      </c>
      <c r="I682" s="258" t="s">
        <v>2864</v>
      </c>
      <c r="J682" s="259" t="s">
        <v>902</v>
      </c>
      <c r="K682" s="260" t="s">
        <v>3611</v>
      </c>
      <c r="L682" s="328"/>
      <c r="M682" s="343"/>
      <c r="N682" s="173" t="s">
        <v>679</v>
      </c>
      <c r="O682" s="173" t="s">
        <v>225</v>
      </c>
      <c r="P682" s="262" t="str">
        <f t="shared" si="1"/>
        <v>IN-BLR-ANANTA-VAV-254_2</v>
      </c>
      <c r="Q682" s="173" t="s">
        <v>3612</v>
      </c>
      <c r="R682" s="328" t="str">
        <f>IFS(C682="","",C682="n/a","N/A",LEN(C682),Concatenate("{",char(34),"asset",char(34),":{",char(34),"guid",char(34),":",char(34),Q682,char(34),",",char(34),"site",char(34),":",char(34),LOWER('2-Building'!$B$4),char(34),",",char(34),"name",char(34),":",char(34),LOWER(C682),char(34),"}}"))</f>
        <v>{"asset":{"guid":"uuid://be112a8f-0d13-4642-9ec4-f5a97c0690e6","site":"in-blr-ananta","name":"vav-254"}}</v>
      </c>
      <c r="S682" s="237" t="s">
        <v>2866</v>
      </c>
      <c r="T682" s="330"/>
      <c r="U682" s="330"/>
      <c r="V682" s="331"/>
      <c r="W682" s="344"/>
      <c r="X682" s="341"/>
      <c r="Y682" s="33" t="s">
        <v>2867</v>
      </c>
      <c r="Z682" s="258">
        <v>120254.0</v>
      </c>
      <c r="AA682" s="334">
        <v>11537.0</v>
      </c>
      <c r="AB682" s="341"/>
      <c r="AC682" s="341"/>
      <c r="AD682" s="343"/>
      <c r="AE682" s="331"/>
      <c r="AF682" s="348"/>
      <c r="AG682" s="337"/>
      <c r="AH682" s="341"/>
      <c r="AI682" s="341"/>
      <c r="AJ682" s="341"/>
      <c r="AK682" s="341"/>
      <c r="AL682" s="341"/>
      <c r="AM682" s="338"/>
      <c r="AN682" s="341"/>
      <c r="AO682" s="341"/>
      <c r="AP682" s="341"/>
      <c r="AQ682" s="341"/>
      <c r="AR682" s="341"/>
      <c r="AS682" s="341"/>
      <c r="AT682" s="341"/>
      <c r="AU682" s="343"/>
      <c r="AV682" s="341"/>
      <c r="AW682" s="269" t="s">
        <v>2033</v>
      </c>
      <c r="AX682" s="334" t="s">
        <v>2869</v>
      </c>
      <c r="AY682" s="270" t="s">
        <v>695</v>
      </c>
      <c r="AZ682" s="270" t="s">
        <v>2866</v>
      </c>
      <c r="BA682" s="265">
        <v>10.0</v>
      </c>
      <c r="BB682" s="174" t="s">
        <v>245</v>
      </c>
      <c r="BC682" s="341"/>
      <c r="BD682" s="308"/>
      <c r="BE682" s="347"/>
      <c r="BF682" s="274" t="str">
        <f>IFERROR(__xludf.DUMMYFUNCTION("LOWER(Regexreplace(to_text(E682),""[^A-Za-z0-9]"","""")&amp;""_""&amp;Regexreplace(to_text(F682),""[^A-Za-z0-9]"",""""))"),"neptronic_evcbseries")</f>
        <v>neptronic_evcbseries</v>
      </c>
      <c r="BG682" s="275" t="str">
        <f>IFERROR(__xludf.DUMMYFUNCTION("upper(Regexreplace(to_text(E682),""[^A-Za-z0-9]"","""")&amp;""-""&amp;Regexreplace(to_text(F682),""[^A-Za-z0-9]"",""""))"),"NEPTRONIC-EVCBSERIES")</f>
        <v>NEPTRONIC-EVCBSERIES</v>
      </c>
    </row>
    <row r="683" ht="30.0" customHeight="1">
      <c r="A683" s="173">
        <v>675.0</v>
      </c>
      <c r="B683" s="237" t="s">
        <v>670</v>
      </c>
      <c r="C683" s="257" t="s">
        <v>3613</v>
      </c>
      <c r="D683" s="173" t="s">
        <v>3613</v>
      </c>
      <c r="E683" s="174" t="s">
        <v>2861</v>
      </c>
      <c r="F683" s="173" t="s">
        <v>2862</v>
      </c>
      <c r="G683" s="328" t="s">
        <v>673</v>
      </c>
      <c r="H683" s="328" t="s">
        <v>2863</v>
      </c>
      <c r="I683" s="258" t="s">
        <v>2864</v>
      </c>
      <c r="J683" s="259" t="s">
        <v>902</v>
      </c>
      <c r="K683" s="260" t="s">
        <v>3614</v>
      </c>
      <c r="L683" s="328"/>
      <c r="M683" s="343"/>
      <c r="N683" s="173" t="s">
        <v>679</v>
      </c>
      <c r="O683" s="173" t="s">
        <v>225</v>
      </c>
      <c r="P683" s="262" t="str">
        <f t="shared" si="1"/>
        <v>IN-BLR-ANANTA-VAV-255_2</v>
      </c>
      <c r="Q683" s="173" t="s">
        <v>3615</v>
      </c>
      <c r="R683" s="328" t="str">
        <f>IFS(C683="","",C683="n/a","N/A",LEN(C683),Concatenate("{",char(34),"asset",char(34),":{",char(34),"guid",char(34),":",char(34),Q683,char(34),",",char(34),"site",char(34),":",char(34),LOWER('2-Building'!$B$4),char(34),",",char(34),"name",char(34),":",char(34),LOWER(C683),char(34),"}}"))</f>
        <v>{"asset":{"guid":"uuid://78f6574a-4cde-468d-aa71-092a9cbaef65","site":"in-blr-ananta","name":"vav-255"}}</v>
      </c>
      <c r="S683" s="237" t="s">
        <v>2866</v>
      </c>
      <c r="T683" s="330"/>
      <c r="U683" s="330"/>
      <c r="V683" s="331"/>
      <c r="W683" s="344"/>
      <c r="X683" s="341"/>
      <c r="Y683" s="33" t="s">
        <v>2867</v>
      </c>
      <c r="Z683" s="258">
        <v>120255.0</v>
      </c>
      <c r="AA683" s="334">
        <v>11537.0</v>
      </c>
      <c r="AB683" s="341"/>
      <c r="AC683" s="341"/>
      <c r="AD683" s="343"/>
      <c r="AE683" s="331"/>
      <c r="AF683" s="348"/>
      <c r="AG683" s="337"/>
      <c r="AH683" s="341"/>
      <c r="AI683" s="341"/>
      <c r="AJ683" s="341"/>
      <c r="AK683" s="341"/>
      <c r="AL683" s="341"/>
      <c r="AM683" s="338"/>
      <c r="AN683" s="341"/>
      <c r="AO683" s="341"/>
      <c r="AP683" s="341"/>
      <c r="AQ683" s="341"/>
      <c r="AR683" s="341"/>
      <c r="AS683" s="341"/>
      <c r="AT683" s="341"/>
      <c r="AU683" s="343"/>
      <c r="AV683" s="341"/>
      <c r="AW683" s="269" t="s">
        <v>2033</v>
      </c>
      <c r="AX683" s="334" t="s">
        <v>2869</v>
      </c>
      <c r="AY683" s="270" t="s">
        <v>695</v>
      </c>
      <c r="AZ683" s="270" t="s">
        <v>2866</v>
      </c>
      <c r="BA683" s="265">
        <v>10.0</v>
      </c>
      <c r="BB683" s="174" t="s">
        <v>245</v>
      </c>
      <c r="BC683" s="341"/>
      <c r="BD683" s="308"/>
      <c r="BE683" s="347"/>
      <c r="BF683" s="274" t="str">
        <f>IFERROR(__xludf.DUMMYFUNCTION("LOWER(Regexreplace(to_text(E683),""[^A-Za-z0-9]"","""")&amp;""_""&amp;Regexreplace(to_text(F683),""[^A-Za-z0-9]"",""""))"),"neptronic_evcbseries")</f>
        <v>neptronic_evcbseries</v>
      </c>
      <c r="BG683" s="275" t="str">
        <f>IFERROR(__xludf.DUMMYFUNCTION("upper(Regexreplace(to_text(E683),""[^A-Za-z0-9]"","""")&amp;""-""&amp;Regexreplace(to_text(F683),""[^A-Za-z0-9]"",""""))"),"NEPTRONIC-EVCBSERIES")</f>
        <v>NEPTRONIC-EVCBSERIES</v>
      </c>
    </row>
    <row r="684" ht="30.0" customHeight="1">
      <c r="A684" s="258">
        <v>676.0</v>
      </c>
      <c r="B684" s="237" t="s">
        <v>670</v>
      </c>
      <c r="C684" s="257" t="s">
        <v>3616</v>
      </c>
      <c r="D684" s="173" t="s">
        <v>3616</v>
      </c>
      <c r="E684" s="174" t="s">
        <v>2861</v>
      </c>
      <c r="F684" s="173" t="s">
        <v>2862</v>
      </c>
      <c r="G684" s="328" t="s">
        <v>673</v>
      </c>
      <c r="H684" s="328" t="s">
        <v>2863</v>
      </c>
      <c r="I684" s="258" t="s">
        <v>2864</v>
      </c>
      <c r="J684" s="259" t="s">
        <v>902</v>
      </c>
      <c r="K684" s="260" t="s">
        <v>3617</v>
      </c>
      <c r="L684" s="328"/>
      <c r="M684" s="343"/>
      <c r="N684" s="173" t="s">
        <v>679</v>
      </c>
      <c r="O684" s="173" t="s">
        <v>225</v>
      </c>
      <c r="P684" s="262" t="str">
        <f t="shared" si="1"/>
        <v>IN-BLR-ANANTA-VAV-256_2</v>
      </c>
      <c r="Q684" s="173" t="s">
        <v>3618</v>
      </c>
      <c r="R684" s="328" t="str">
        <f>IFS(C684="","",C684="n/a","N/A",LEN(C684),Concatenate("{",char(34),"asset",char(34),":{",char(34),"guid",char(34),":",char(34),Q684,char(34),",",char(34),"site",char(34),":",char(34),LOWER('2-Building'!$B$4),char(34),",",char(34),"name",char(34),":",char(34),LOWER(C684),char(34),"}}"))</f>
        <v>{"asset":{"guid":"uuid://84a3057c-3c4a-4ec7-a184-f38384bee59e","site":"in-blr-ananta","name":"vav-256"}}</v>
      </c>
      <c r="S684" s="237" t="s">
        <v>2866</v>
      </c>
      <c r="T684" s="330"/>
      <c r="U684" s="330"/>
      <c r="V684" s="331"/>
      <c r="W684" s="344"/>
      <c r="X684" s="341"/>
      <c r="Y684" s="33" t="s">
        <v>2867</v>
      </c>
      <c r="Z684" s="258">
        <v>120256.0</v>
      </c>
      <c r="AA684" s="334">
        <v>11537.0</v>
      </c>
      <c r="AB684" s="341"/>
      <c r="AC684" s="341"/>
      <c r="AD684" s="343"/>
      <c r="AE684" s="331"/>
      <c r="AF684" s="348"/>
      <c r="AG684" s="337"/>
      <c r="AH684" s="341"/>
      <c r="AI684" s="341"/>
      <c r="AJ684" s="341"/>
      <c r="AK684" s="341"/>
      <c r="AL684" s="341"/>
      <c r="AM684" s="338"/>
      <c r="AN684" s="341"/>
      <c r="AO684" s="341"/>
      <c r="AP684" s="341"/>
      <c r="AQ684" s="341"/>
      <c r="AR684" s="341"/>
      <c r="AS684" s="341"/>
      <c r="AT684" s="341"/>
      <c r="AU684" s="343"/>
      <c r="AV684" s="341"/>
      <c r="AW684" s="269" t="s">
        <v>2033</v>
      </c>
      <c r="AX684" s="334" t="s">
        <v>2869</v>
      </c>
      <c r="AY684" s="270" t="s">
        <v>695</v>
      </c>
      <c r="AZ684" s="270" t="s">
        <v>2866</v>
      </c>
      <c r="BA684" s="265">
        <v>10.0</v>
      </c>
      <c r="BB684" s="174" t="s">
        <v>245</v>
      </c>
      <c r="BC684" s="341"/>
      <c r="BD684" s="308"/>
      <c r="BE684" s="347"/>
      <c r="BF684" s="274" t="str">
        <f>IFERROR(__xludf.DUMMYFUNCTION("LOWER(Regexreplace(to_text(E684),""[^A-Za-z0-9]"","""")&amp;""_""&amp;Regexreplace(to_text(F684),""[^A-Za-z0-9]"",""""))"),"neptronic_evcbseries")</f>
        <v>neptronic_evcbseries</v>
      </c>
      <c r="BG684" s="275" t="str">
        <f>IFERROR(__xludf.DUMMYFUNCTION("upper(Regexreplace(to_text(E684),""[^A-Za-z0-9]"","""")&amp;""-""&amp;Regexreplace(to_text(F684),""[^A-Za-z0-9]"",""""))"),"NEPTRONIC-EVCBSERIES")</f>
        <v>NEPTRONIC-EVCBSERIES</v>
      </c>
    </row>
    <row r="685" ht="30.0" customHeight="1">
      <c r="A685" s="173">
        <v>677.0</v>
      </c>
      <c r="B685" s="237" t="s">
        <v>670</v>
      </c>
      <c r="C685" s="257" t="s">
        <v>3619</v>
      </c>
      <c r="D685" s="173" t="s">
        <v>3619</v>
      </c>
      <c r="E685" s="174" t="s">
        <v>2861</v>
      </c>
      <c r="F685" s="173" t="s">
        <v>2862</v>
      </c>
      <c r="G685" s="328" t="s">
        <v>673</v>
      </c>
      <c r="H685" s="328" t="s">
        <v>2863</v>
      </c>
      <c r="I685" s="258" t="s">
        <v>2864</v>
      </c>
      <c r="J685" s="259" t="s">
        <v>902</v>
      </c>
      <c r="K685" s="260" t="s">
        <v>3620</v>
      </c>
      <c r="L685" s="328"/>
      <c r="M685" s="343"/>
      <c r="N685" s="173" t="s">
        <v>679</v>
      </c>
      <c r="O685" s="173" t="s">
        <v>225</v>
      </c>
      <c r="P685" s="262" t="str">
        <f t="shared" si="1"/>
        <v>IN-BLR-ANANTA-VAV-257_2</v>
      </c>
      <c r="Q685" s="173" t="s">
        <v>3621</v>
      </c>
      <c r="R685" s="328" t="str">
        <f>IFS(C685="","",C685="n/a","N/A",LEN(C685),Concatenate("{",char(34),"asset",char(34),":{",char(34),"guid",char(34),":",char(34),Q685,char(34),",",char(34),"site",char(34),":",char(34),LOWER('2-Building'!$B$4),char(34),",",char(34),"name",char(34),":",char(34),LOWER(C685),char(34),"}}"))</f>
        <v>{"asset":{"guid":"uuid://29742bf7-ef6b-4e7b-a5ca-621b91b01177","site":"in-blr-ananta","name":"vav-257"}}</v>
      </c>
      <c r="S685" s="237" t="s">
        <v>2866</v>
      </c>
      <c r="T685" s="330"/>
      <c r="U685" s="330"/>
      <c r="V685" s="331"/>
      <c r="W685" s="344"/>
      <c r="X685" s="341"/>
      <c r="Y685" s="33" t="s">
        <v>2867</v>
      </c>
      <c r="Z685" s="258">
        <v>120257.0</v>
      </c>
      <c r="AA685" s="334">
        <v>11537.0</v>
      </c>
      <c r="AB685" s="341"/>
      <c r="AC685" s="341"/>
      <c r="AD685" s="343"/>
      <c r="AE685" s="331"/>
      <c r="AF685" s="348"/>
      <c r="AG685" s="337"/>
      <c r="AH685" s="341"/>
      <c r="AI685" s="341"/>
      <c r="AJ685" s="341"/>
      <c r="AK685" s="341"/>
      <c r="AL685" s="341"/>
      <c r="AM685" s="338"/>
      <c r="AN685" s="341"/>
      <c r="AO685" s="341"/>
      <c r="AP685" s="341"/>
      <c r="AQ685" s="341"/>
      <c r="AR685" s="341"/>
      <c r="AS685" s="341"/>
      <c r="AT685" s="341"/>
      <c r="AU685" s="343"/>
      <c r="AV685" s="341"/>
      <c r="AW685" s="269" t="s">
        <v>2033</v>
      </c>
      <c r="AX685" s="334" t="s">
        <v>2869</v>
      </c>
      <c r="AY685" s="270" t="s">
        <v>695</v>
      </c>
      <c r="AZ685" s="270" t="s">
        <v>2866</v>
      </c>
      <c r="BA685" s="265">
        <v>10.0</v>
      </c>
      <c r="BB685" s="174" t="s">
        <v>245</v>
      </c>
      <c r="BC685" s="341"/>
      <c r="BD685" s="308"/>
      <c r="BE685" s="347"/>
      <c r="BF685" s="274" t="str">
        <f>IFERROR(__xludf.DUMMYFUNCTION("LOWER(Regexreplace(to_text(E685),""[^A-Za-z0-9]"","""")&amp;""_""&amp;Regexreplace(to_text(F685),""[^A-Za-z0-9]"",""""))"),"neptronic_evcbseries")</f>
        <v>neptronic_evcbseries</v>
      </c>
      <c r="BG685" s="275" t="str">
        <f>IFERROR(__xludf.DUMMYFUNCTION("upper(Regexreplace(to_text(E685),""[^A-Za-z0-9]"","""")&amp;""-""&amp;Regexreplace(to_text(F685),""[^A-Za-z0-9]"",""""))"),"NEPTRONIC-EVCBSERIES")</f>
        <v>NEPTRONIC-EVCBSERIES</v>
      </c>
    </row>
    <row r="686" ht="30.0" customHeight="1">
      <c r="A686" s="258">
        <v>678.0</v>
      </c>
      <c r="B686" s="237" t="s">
        <v>670</v>
      </c>
      <c r="C686" s="257" t="s">
        <v>3622</v>
      </c>
      <c r="D686" s="173" t="s">
        <v>3622</v>
      </c>
      <c r="E686" s="174" t="s">
        <v>2861</v>
      </c>
      <c r="F686" s="173" t="s">
        <v>2862</v>
      </c>
      <c r="G686" s="328" t="s">
        <v>673</v>
      </c>
      <c r="H686" s="328" t="s">
        <v>2863</v>
      </c>
      <c r="I686" s="258" t="s">
        <v>2864</v>
      </c>
      <c r="J686" s="259" t="s">
        <v>902</v>
      </c>
      <c r="K686" s="260" t="s">
        <v>3623</v>
      </c>
      <c r="L686" s="328"/>
      <c r="M686" s="343"/>
      <c r="N686" s="173" t="s">
        <v>679</v>
      </c>
      <c r="O686" s="173" t="s">
        <v>225</v>
      </c>
      <c r="P686" s="262" t="str">
        <f t="shared" si="1"/>
        <v>IN-BLR-ANANTA-VAV-258_2</v>
      </c>
      <c r="Q686" s="173" t="s">
        <v>3624</v>
      </c>
      <c r="R686" s="328" t="str">
        <f>IFS(C686="","",C686="n/a","N/A",LEN(C686),Concatenate("{",char(34),"asset",char(34),":{",char(34),"guid",char(34),":",char(34),Q686,char(34),",",char(34),"site",char(34),":",char(34),LOWER('2-Building'!$B$4),char(34),",",char(34),"name",char(34),":",char(34),LOWER(C686),char(34),"}}"))</f>
        <v>{"asset":{"guid":"uuid://c1b82f58-de9f-43f3-a61b-b9b67491c79f","site":"in-blr-ananta","name":"vav-258"}}</v>
      </c>
      <c r="S686" s="237" t="s">
        <v>2866</v>
      </c>
      <c r="T686" s="330"/>
      <c r="U686" s="330"/>
      <c r="V686" s="331"/>
      <c r="W686" s="344"/>
      <c r="X686" s="341"/>
      <c r="Y686" s="33" t="s">
        <v>2867</v>
      </c>
      <c r="Z686" s="258">
        <v>120258.0</v>
      </c>
      <c r="AA686" s="334">
        <v>11537.0</v>
      </c>
      <c r="AB686" s="341"/>
      <c r="AC686" s="341"/>
      <c r="AD686" s="343"/>
      <c r="AE686" s="331"/>
      <c r="AF686" s="348"/>
      <c r="AG686" s="337"/>
      <c r="AH686" s="341"/>
      <c r="AI686" s="341"/>
      <c r="AJ686" s="341"/>
      <c r="AK686" s="341"/>
      <c r="AL686" s="341"/>
      <c r="AM686" s="338"/>
      <c r="AN686" s="341"/>
      <c r="AO686" s="341"/>
      <c r="AP686" s="341"/>
      <c r="AQ686" s="341"/>
      <c r="AR686" s="341"/>
      <c r="AS686" s="341"/>
      <c r="AT686" s="341"/>
      <c r="AU686" s="343"/>
      <c r="AV686" s="341"/>
      <c r="AW686" s="269" t="s">
        <v>2033</v>
      </c>
      <c r="AX686" s="334" t="s">
        <v>2869</v>
      </c>
      <c r="AY686" s="270" t="s">
        <v>695</v>
      </c>
      <c r="AZ686" s="270" t="s">
        <v>2866</v>
      </c>
      <c r="BA686" s="265">
        <v>10.0</v>
      </c>
      <c r="BB686" s="174" t="s">
        <v>245</v>
      </c>
      <c r="BC686" s="341"/>
      <c r="BD686" s="308"/>
      <c r="BE686" s="347"/>
      <c r="BF686" s="274" t="str">
        <f>IFERROR(__xludf.DUMMYFUNCTION("LOWER(Regexreplace(to_text(E686),""[^A-Za-z0-9]"","""")&amp;""_""&amp;Regexreplace(to_text(F686),""[^A-Za-z0-9]"",""""))"),"neptronic_evcbseries")</f>
        <v>neptronic_evcbseries</v>
      </c>
      <c r="BG686" s="275" t="str">
        <f>IFERROR(__xludf.DUMMYFUNCTION("upper(Regexreplace(to_text(E686),""[^A-Za-z0-9]"","""")&amp;""-""&amp;Regexreplace(to_text(F686),""[^A-Za-z0-9]"",""""))"),"NEPTRONIC-EVCBSERIES")</f>
        <v>NEPTRONIC-EVCBSERIES</v>
      </c>
    </row>
    <row r="687" ht="30.0" customHeight="1">
      <c r="A687" s="173">
        <v>679.0</v>
      </c>
      <c r="B687" s="237" t="s">
        <v>670</v>
      </c>
      <c r="C687" s="257" t="s">
        <v>3625</v>
      </c>
      <c r="D687" s="173" t="s">
        <v>3625</v>
      </c>
      <c r="E687" s="174" t="s">
        <v>2861</v>
      </c>
      <c r="F687" s="173" t="s">
        <v>2862</v>
      </c>
      <c r="G687" s="328" t="s">
        <v>673</v>
      </c>
      <c r="H687" s="328" t="s">
        <v>2863</v>
      </c>
      <c r="I687" s="258" t="s">
        <v>2864</v>
      </c>
      <c r="J687" s="259" t="s">
        <v>902</v>
      </c>
      <c r="K687" s="260" t="s">
        <v>3626</v>
      </c>
      <c r="L687" s="328"/>
      <c r="M687" s="343"/>
      <c r="N687" s="173" t="s">
        <v>679</v>
      </c>
      <c r="O687" s="173" t="s">
        <v>225</v>
      </c>
      <c r="P687" s="262" t="str">
        <f t="shared" si="1"/>
        <v>IN-BLR-ANANTA-VAV-259_2</v>
      </c>
      <c r="Q687" s="173" t="s">
        <v>3627</v>
      </c>
      <c r="R687" s="328" t="str">
        <f>IFS(C687="","",C687="n/a","N/A",LEN(C687),Concatenate("{",char(34),"asset",char(34),":{",char(34),"guid",char(34),":",char(34),Q687,char(34),",",char(34),"site",char(34),":",char(34),LOWER('2-Building'!$B$4),char(34),",",char(34),"name",char(34),":",char(34),LOWER(C687),char(34),"}}"))</f>
        <v>{"asset":{"guid":"uuid://8ea15f49-8d55-459c-8237-50b7fda18048","site":"in-blr-ananta","name":"vav-259"}}</v>
      </c>
      <c r="S687" s="237" t="s">
        <v>2866</v>
      </c>
      <c r="T687" s="330"/>
      <c r="U687" s="330"/>
      <c r="V687" s="331"/>
      <c r="W687" s="344"/>
      <c r="X687" s="341"/>
      <c r="Y687" s="33" t="s">
        <v>2867</v>
      </c>
      <c r="Z687" s="258">
        <v>120259.0</v>
      </c>
      <c r="AA687" s="334">
        <v>11537.0</v>
      </c>
      <c r="AB687" s="341"/>
      <c r="AC687" s="341"/>
      <c r="AD687" s="343"/>
      <c r="AE687" s="331"/>
      <c r="AF687" s="348"/>
      <c r="AG687" s="337"/>
      <c r="AH687" s="341"/>
      <c r="AI687" s="341"/>
      <c r="AJ687" s="341"/>
      <c r="AK687" s="341"/>
      <c r="AL687" s="341"/>
      <c r="AM687" s="338"/>
      <c r="AN687" s="341"/>
      <c r="AO687" s="341"/>
      <c r="AP687" s="341"/>
      <c r="AQ687" s="341"/>
      <c r="AR687" s="341"/>
      <c r="AS687" s="341"/>
      <c r="AT687" s="341"/>
      <c r="AU687" s="343"/>
      <c r="AV687" s="341"/>
      <c r="AW687" s="269" t="s">
        <v>2033</v>
      </c>
      <c r="AX687" s="334" t="s">
        <v>2869</v>
      </c>
      <c r="AY687" s="270" t="s">
        <v>695</v>
      </c>
      <c r="AZ687" s="270" t="s">
        <v>2866</v>
      </c>
      <c r="BA687" s="265">
        <v>10.0</v>
      </c>
      <c r="BB687" s="174" t="s">
        <v>245</v>
      </c>
      <c r="BC687" s="341"/>
      <c r="BD687" s="308"/>
      <c r="BE687" s="347"/>
      <c r="BF687" s="274" t="str">
        <f>IFERROR(__xludf.DUMMYFUNCTION("LOWER(Regexreplace(to_text(E687),""[^A-Za-z0-9]"","""")&amp;""_""&amp;Regexreplace(to_text(F687),""[^A-Za-z0-9]"",""""))"),"neptronic_evcbseries")</f>
        <v>neptronic_evcbseries</v>
      </c>
      <c r="BG687" s="275" t="str">
        <f>IFERROR(__xludf.DUMMYFUNCTION("upper(Regexreplace(to_text(E687),""[^A-Za-z0-9]"","""")&amp;""-""&amp;Regexreplace(to_text(F687),""[^A-Za-z0-9]"",""""))"),"NEPTRONIC-EVCBSERIES")</f>
        <v>NEPTRONIC-EVCBSERIES</v>
      </c>
    </row>
    <row r="688" ht="30.0" customHeight="1">
      <c r="A688" s="258">
        <v>680.0</v>
      </c>
      <c r="B688" s="237" t="s">
        <v>670</v>
      </c>
      <c r="C688" s="257" t="s">
        <v>3628</v>
      </c>
      <c r="D688" s="173" t="s">
        <v>3628</v>
      </c>
      <c r="E688" s="174" t="s">
        <v>2861</v>
      </c>
      <c r="F688" s="173" t="s">
        <v>2862</v>
      </c>
      <c r="G688" s="328" t="s">
        <v>673</v>
      </c>
      <c r="H688" s="328" t="s">
        <v>2863</v>
      </c>
      <c r="I688" s="258" t="s">
        <v>2864</v>
      </c>
      <c r="J688" s="259" t="s">
        <v>902</v>
      </c>
      <c r="K688" s="260" t="s">
        <v>3629</v>
      </c>
      <c r="L688" s="328"/>
      <c r="M688" s="343"/>
      <c r="N688" s="173" t="s">
        <v>679</v>
      </c>
      <c r="O688" s="173" t="s">
        <v>225</v>
      </c>
      <c r="P688" s="262" t="str">
        <f t="shared" si="1"/>
        <v>IN-BLR-ANANTA-VAV-260_2</v>
      </c>
      <c r="Q688" s="173" t="s">
        <v>3630</v>
      </c>
      <c r="R688" s="328" t="str">
        <f>IFS(C688="","",C688="n/a","N/A",LEN(C688),Concatenate("{",char(34),"asset",char(34),":{",char(34),"guid",char(34),":",char(34),Q688,char(34),",",char(34),"site",char(34),":",char(34),LOWER('2-Building'!$B$4),char(34),",",char(34),"name",char(34),":",char(34),LOWER(C688),char(34),"}}"))</f>
        <v>{"asset":{"guid":"uuid://aa48691f-1c29-4377-80ef-0ac707dd9aaa","site":"in-blr-ananta","name":"vav-260"}}</v>
      </c>
      <c r="S688" s="237" t="s">
        <v>2866</v>
      </c>
      <c r="T688" s="330"/>
      <c r="U688" s="330"/>
      <c r="V688" s="331"/>
      <c r="W688" s="344"/>
      <c r="X688" s="341"/>
      <c r="Y688" s="33" t="s">
        <v>2867</v>
      </c>
      <c r="Z688" s="258">
        <v>120260.0</v>
      </c>
      <c r="AA688" s="334">
        <v>11537.0</v>
      </c>
      <c r="AB688" s="341"/>
      <c r="AC688" s="341"/>
      <c r="AD688" s="343"/>
      <c r="AE688" s="331"/>
      <c r="AF688" s="348"/>
      <c r="AG688" s="337"/>
      <c r="AH688" s="341"/>
      <c r="AI688" s="341"/>
      <c r="AJ688" s="341"/>
      <c r="AK688" s="341"/>
      <c r="AL688" s="341"/>
      <c r="AM688" s="338"/>
      <c r="AN688" s="341"/>
      <c r="AO688" s="341"/>
      <c r="AP688" s="341"/>
      <c r="AQ688" s="341"/>
      <c r="AR688" s="341"/>
      <c r="AS688" s="341"/>
      <c r="AT688" s="341"/>
      <c r="AU688" s="343"/>
      <c r="AV688" s="341"/>
      <c r="AW688" s="269" t="s">
        <v>2033</v>
      </c>
      <c r="AX688" s="334" t="s">
        <v>2869</v>
      </c>
      <c r="AY688" s="270" t="s">
        <v>695</v>
      </c>
      <c r="AZ688" s="270" t="s">
        <v>2866</v>
      </c>
      <c r="BA688" s="265">
        <v>10.0</v>
      </c>
      <c r="BB688" s="174" t="s">
        <v>245</v>
      </c>
      <c r="BC688" s="341"/>
      <c r="BD688" s="308"/>
      <c r="BE688" s="347"/>
      <c r="BF688" s="274" t="str">
        <f>IFERROR(__xludf.DUMMYFUNCTION("LOWER(Regexreplace(to_text(E688),""[^A-Za-z0-9]"","""")&amp;""_""&amp;Regexreplace(to_text(F688),""[^A-Za-z0-9]"",""""))"),"neptronic_evcbseries")</f>
        <v>neptronic_evcbseries</v>
      </c>
      <c r="BG688" s="275" t="str">
        <f>IFERROR(__xludf.DUMMYFUNCTION("upper(Regexreplace(to_text(E688),""[^A-Za-z0-9]"","""")&amp;""-""&amp;Regexreplace(to_text(F688),""[^A-Za-z0-9]"",""""))"),"NEPTRONIC-EVCBSERIES")</f>
        <v>NEPTRONIC-EVCBSERIES</v>
      </c>
    </row>
    <row r="689" ht="30.0" customHeight="1">
      <c r="A689" s="173">
        <v>681.0</v>
      </c>
      <c r="B689" s="237" t="s">
        <v>670</v>
      </c>
      <c r="C689" s="257" t="s">
        <v>3631</v>
      </c>
      <c r="D689" s="173" t="s">
        <v>3631</v>
      </c>
      <c r="E689" s="174" t="s">
        <v>2861</v>
      </c>
      <c r="F689" s="173" t="s">
        <v>2862</v>
      </c>
      <c r="G689" s="328" t="s">
        <v>673</v>
      </c>
      <c r="H689" s="328" t="s">
        <v>2863</v>
      </c>
      <c r="I689" s="258" t="s">
        <v>2864</v>
      </c>
      <c r="J689" s="259" t="s">
        <v>902</v>
      </c>
      <c r="K689" s="260" t="s">
        <v>3632</v>
      </c>
      <c r="L689" s="328"/>
      <c r="M689" s="343"/>
      <c r="N689" s="173" t="s">
        <v>679</v>
      </c>
      <c r="O689" s="173" t="s">
        <v>225</v>
      </c>
      <c r="P689" s="262" t="str">
        <f t="shared" si="1"/>
        <v>IN-BLR-ANANTA-VAV-261_2</v>
      </c>
      <c r="Q689" s="173" t="s">
        <v>3633</v>
      </c>
      <c r="R689" s="328" t="str">
        <f>IFS(C689="","",C689="n/a","N/A",LEN(C689),Concatenate("{",char(34),"asset",char(34),":{",char(34),"guid",char(34),":",char(34),Q689,char(34),",",char(34),"site",char(34),":",char(34),LOWER('2-Building'!$B$4),char(34),",",char(34),"name",char(34),":",char(34),LOWER(C689),char(34),"}}"))</f>
        <v>{"asset":{"guid":"uuid://80d913dd-11d1-482c-9b20-5e017c2ee819","site":"in-blr-ananta","name":"vav-261"}}</v>
      </c>
      <c r="S689" s="237" t="s">
        <v>2866</v>
      </c>
      <c r="T689" s="330"/>
      <c r="U689" s="330"/>
      <c r="V689" s="331"/>
      <c r="W689" s="344"/>
      <c r="X689" s="341"/>
      <c r="Y689" s="33" t="s">
        <v>2867</v>
      </c>
      <c r="Z689" s="258">
        <v>120261.0</v>
      </c>
      <c r="AA689" s="334">
        <v>11537.0</v>
      </c>
      <c r="AB689" s="341"/>
      <c r="AC689" s="341"/>
      <c r="AD689" s="343"/>
      <c r="AE689" s="331"/>
      <c r="AF689" s="348"/>
      <c r="AG689" s="337"/>
      <c r="AH689" s="341"/>
      <c r="AI689" s="341"/>
      <c r="AJ689" s="341"/>
      <c r="AK689" s="341"/>
      <c r="AL689" s="341"/>
      <c r="AM689" s="338"/>
      <c r="AN689" s="341"/>
      <c r="AO689" s="341"/>
      <c r="AP689" s="341"/>
      <c r="AQ689" s="341"/>
      <c r="AR689" s="341"/>
      <c r="AS689" s="341"/>
      <c r="AT689" s="341"/>
      <c r="AU689" s="343"/>
      <c r="AV689" s="341"/>
      <c r="AW689" s="269" t="s">
        <v>2033</v>
      </c>
      <c r="AX689" s="334" t="s">
        <v>2869</v>
      </c>
      <c r="AY689" s="270" t="s">
        <v>695</v>
      </c>
      <c r="AZ689" s="270" t="s">
        <v>2866</v>
      </c>
      <c r="BA689" s="265">
        <v>10.0</v>
      </c>
      <c r="BB689" s="174" t="s">
        <v>245</v>
      </c>
      <c r="BC689" s="341"/>
      <c r="BD689" s="308"/>
      <c r="BE689" s="347"/>
      <c r="BF689" s="274" t="str">
        <f>IFERROR(__xludf.DUMMYFUNCTION("LOWER(Regexreplace(to_text(E689),""[^A-Za-z0-9]"","""")&amp;""_""&amp;Regexreplace(to_text(F689),""[^A-Za-z0-9]"",""""))"),"neptronic_evcbseries")</f>
        <v>neptronic_evcbseries</v>
      </c>
      <c r="BG689" s="275" t="str">
        <f>IFERROR(__xludf.DUMMYFUNCTION("upper(Regexreplace(to_text(E689),""[^A-Za-z0-9]"","""")&amp;""-""&amp;Regexreplace(to_text(F689),""[^A-Za-z0-9]"",""""))"),"NEPTRONIC-EVCBSERIES")</f>
        <v>NEPTRONIC-EVCBSERIES</v>
      </c>
    </row>
    <row r="690" ht="30.0" customHeight="1">
      <c r="A690" s="258">
        <v>682.0</v>
      </c>
      <c r="B690" s="237" t="s">
        <v>670</v>
      </c>
      <c r="C690" s="257" t="s">
        <v>3634</v>
      </c>
      <c r="D690" s="173" t="s">
        <v>3634</v>
      </c>
      <c r="E690" s="174" t="s">
        <v>2861</v>
      </c>
      <c r="F690" s="173" t="s">
        <v>2862</v>
      </c>
      <c r="G690" s="328" t="s">
        <v>673</v>
      </c>
      <c r="H690" s="328" t="s">
        <v>2863</v>
      </c>
      <c r="I690" s="258" t="s">
        <v>2864</v>
      </c>
      <c r="J690" s="259" t="s">
        <v>902</v>
      </c>
      <c r="K690" s="260" t="s">
        <v>3635</v>
      </c>
      <c r="L690" s="328"/>
      <c r="M690" s="343"/>
      <c r="N690" s="173" t="s">
        <v>679</v>
      </c>
      <c r="O690" s="173" t="s">
        <v>225</v>
      </c>
      <c r="P690" s="262" t="str">
        <f t="shared" si="1"/>
        <v>IN-BLR-ANANTA-VAV-262_2</v>
      </c>
      <c r="Q690" s="173" t="s">
        <v>3636</v>
      </c>
      <c r="R690" s="328" t="str">
        <f>IFS(C690="","",C690="n/a","N/A",LEN(C690),Concatenate("{",char(34),"asset",char(34),":{",char(34),"guid",char(34),":",char(34),Q690,char(34),",",char(34),"site",char(34),":",char(34),LOWER('2-Building'!$B$4),char(34),",",char(34),"name",char(34),":",char(34),LOWER(C690),char(34),"}}"))</f>
        <v>{"asset":{"guid":"uuid://7fb96250-31f8-4a7e-bf29-cafbfb04d951","site":"in-blr-ananta","name":"vav-262"}}</v>
      </c>
      <c r="S690" s="237" t="s">
        <v>2866</v>
      </c>
      <c r="T690" s="330"/>
      <c r="U690" s="330"/>
      <c r="V690" s="331"/>
      <c r="W690" s="344"/>
      <c r="X690" s="341"/>
      <c r="Y690" s="33" t="s">
        <v>2867</v>
      </c>
      <c r="Z690" s="258">
        <v>120262.0</v>
      </c>
      <c r="AA690" s="334">
        <v>11537.0</v>
      </c>
      <c r="AB690" s="341"/>
      <c r="AC690" s="341"/>
      <c r="AD690" s="343"/>
      <c r="AE690" s="331"/>
      <c r="AF690" s="348"/>
      <c r="AG690" s="337"/>
      <c r="AH690" s="341"/>
      <c r="AI690" s="341"/>
      <c r="AJ690" s="341"/>
      <c r="AK690" s="341"/>
      <c r="AL690" s="341"/>
      <c r="AM690" s="338"/>
      <c r="AN690" s="341"/>
      <c r="AO690" s="341"/>
      <c r="AP690" s="341"/>
      <c r="AQ690" s="341"/>
      <c r="AR690" s="341"/>
      <c r="AS690" s="341"/>
      <c r="AT690" s="341"/>
      <c r="AU690" s="343"/>
      <c r="AV690" s="341"/>
      <c r="AW690" s="269" t="s">
        <v>2033</v>
      </c>
      <c r="AX690" s="334" t="s">
        <v>2869</v>
      </c>
      <c r="AY690" s="270" t="s">
        <v>695</v>
      </c>
      <c r="AZ690" s="270" t="s">
        <v>2866</v>
      </c>
      <c r="BA690" s="265">
        <v>10.0</v>
      </c>
      <c r="BB690" s="174" t="s">
        <v>245</v>
      </c>
      <c r="BC690" s="341"/>
      <c r="BD690" s="308"/>
      <c r="BE690" s="347"/>
      <c r="BF690" s="274" t="str">
        <f>IFERROR(__xludf.DUMMYFUNCTION("LOWER(Regexreplace(to_text(E690),""[^A-Za-z0-9]"","""")&amp;""_""&amp;Regexreplace(to_text(F690),""[^A-Za-z0-9]"",""""))"),"neptronic_evcbseries")</f>
        <v>neptronic_evcbseries</v>
      </c>
      <c r="BG690" s="275" t="str">
        <f>IFERROR(__xludf.DUMMYFUNCTION("upper(Regexreplace(to_text(E690),""[^A-Za-z0-9]"","""")&amp;""-""&amp;Regexreplace(to_text(F690),""[^A-Za-z0-9]"",""""))"),"NEPTRONIC-EVCBSERIES")</f>
        <v>NEPTRONIC-EVCBSERIES</v>
      </c>
    </row>
    <row r="691" ht="30.0" customHeight="1">
      <c r="A691" s="173">
        <v>683.0</v>
      </c>
      <c r="B691" s="237" t="s">
        <v>670</v>
      </c>
      <c r="C691" s="257" t="s">
        <v>3637</v>
      </c>
      <c r="D691" s="173" t="s">
        <v>3637</v>
      </c>
      <c r="E691" s="174" t="s">
        <v>2861</v>
      </c>
      <c r="F691" s="173" t="s">
        <v>2862</v>
      </c>
      <c r="G691" s="328" t="s">
        <v>673</v>
      </c>
      <c r="H691" s="328" t="s">
        <v>2863</v>
      </c>
      <c r="I691" s="258" t="s">
        <v>2864</v>
      </c>
      <c r="J691" s="259" t="s">
        <v>902</v>
      </c>
      <c r="K691" s="260" t="s">
        <v>3629</v>
      </c>
      <c r="L691" s="328"/>
      <c r="M691" s="343"/>
      <c r="N691" s="173" t="s">
        <v>679</v>
      </c>
      <c r="O691" s="173" t="s">
        <v>225</v>
      </c>
      <c r="P691" s="262" t="str">
        <f t="shared" si="1"/>
        <v>IN-BLR-ANANTA-VAV-263_2</v>
      </c>
      <c r="Q691" s="173" t="s">
        <v>3638</v>
      </c>
      <c r="R691" s="328" t="str">
        <f>IFS(C691="","",C691="n/a","N/A",LEN(C691),Concatenate("{",char(34),"asset",char(34),":{",char(34),"guid",char(34),":",char(34),Q691,char(34),",",char(34),"site",char(34),":",char(34),LOWER('2-Building'!$B$4),char(34),",",char(34),"name",char(34),":",char(34),LOWER(C691),char(34),"}}"))</f>
        <v>{"asset":{"guid":"uuid://6f977508-2947-4a6d-97b0-f61b07ac879f","site":"in-blr-ananta","name":"vav-263"}}</v>
      </c>
      <c r="S691" s="237" t="s">
        <v>2866</v>
      </c>
      <c r="T691" s="330"/>
      <c r="U691" s="330"/>
      <c r="V691" s="331"/>
      <c r="W691" s="344"/>
      <c r="X691" s="341"/>
      <c r="Y691" s="33" t="s">
        <v>2867</v>
      </c>
      <c r="Z691" s="258">
        <v>120263.0</v>
      </c>
      <c r="AA691" s="334">
        <v>11537.0</v>
      </c>
      <c r="AB691" s="341"/>
      <c r="AC691" s="341"/>
      <c r="AD691" s="343"/>
      <c r="AE691" s="331"/>
      <c r="AF691" s="348"/>
      <c r="AG691" s="337"/>
      <c r="AH691" s="341"/>
      <c r="AI691" s="341"/>
      <c r="AJ691" s="341"/>
      <c r="AK691" s="341"/>
      <c r="AL691" s="341"/>
      <c r="AM691" s="338"/>
      <c r="AN691" s="341"/>
      <c r="AO691" s="341"/>
      <c r="AP691" s="341"/>
      <c r="AQ691" s="341"/>
      <c r="AR691" s="341"/>
      <c r="AS691" s="341"/>
      <c r="AT691" s="341"/>
      <c r="AU691" s="343"/>
      <c r="AV691" s="341"/>
      <c r="AW691" s="269" t="s">
        <v>2033</v>
      </c>
      <c r="AX691" s="334" t="s">
        <v>2869</v>
      </c>
      <c r="AY691" s="270" t="s">
        <v>695</v>
      </c>
      <c r="AZ691" s="270" t="s">
        <v>2866</v>
      </c>
      <c r="BA691" s="265">
        <v>10.0</v>
      </c>
      <c r="BB691" s="174" t="s">
        <v>245</v>
      </c>
      <c r="BC691" s="341"/>
      <c r="BD691" s="308"/>
      <c r="BE691" s="347"/>
      <c r="BF691" s="274" t="str">
        <f>IFERROR(__xludf.DUMMYFUNCTION("LOWER(Regexreplace(to_text(E691),""[^A-Za-z0-9]"","""")&amp;""_""&amp;Regexreplace(to_text(F691),""[^A-Za-z0-9]"",""""))"),"neptronic_evcbseries")</f>
        <v>neptronic_evcbseries</v>
      </c>
      <c r="BG691" s="275" t="str">
        <f>IFERROR(__xludf.DUMMYFUNCTION("upper(Regexreplace(to_text(E691),""[^A-Za-z0-9]"","""")&amp;""-""&amp;Regexreplace(to_text(F691),""[^A-Za-z0-9]"",""""))"),"NEPTRONIC-EVCBSERIES")</f>
        <v>NEPTRONIC-EVCBSERIES</v>
      </c>
    </row>
    <row r="692" ht="30.0" customHeight="1">
      <c r="A692" s="258">
        <v>684.0</v>
      </c>
      <c r="B692" s="237" t="s">
        <v>670</v>
      </c>
      <c r="C692" s="257" t="s">
        <v>3639</v>
      </c>
      <c r="D692" s="173" t="s">
        <v>3639</v>
      </c>
      <c r="E692" s="174" t="s">
        <v>2861</v>
      </c>
      <c r="F692" s="173" t="s">
        <v>2862</v>
      </c>
      <c r="G692" s="328" t="s">
        <v>673</v>
      </c>
      <c r="H692" s="328" t="s">
        <v>2863</v>
      </c>
      <c r="I692" s="258" t="s">
        <v>2864</v>
      </c>
      <c r="J692" s="259" t="s">
        <v>902</v>
      </c>
      <c r="K692" s="260" t="s">
        <v>3640</v>
      </c>
      <c r="L692" s="328"/>
      <c r="M692" s="343"/>
      <c r="N692" s="173" t="s">
        <v>679</v>
      </c>
      <c r="O692" s="173" t="s">
        <v>225</v>
      </c>
      <c r="P692" s="262" t="str">
        <f t="shared" si="1"/>
        <v>IN-BLR-ANANTA-VAV-264_2</v>
      </c>
      <c r="Q692" s="173" t="s">
        <v>3641</v>
      </c>
      <c r="R692" s="328" t="str">
        <f>IFS(C692="","",C692="n/a","N/A",LEN(C692),Concatenate("{",char(34),"asset",char(34),":{",char(34),"guid",char(34),":",char(34),Q692,char(34),",",char(34),"site",char(34),":",char(34),LOWER('2-Building'!$B$4),char(34),",",char(34),"name",char(34),":",char(34),LOWER(C692),char(34),"}}"))</f>
        <v>{"asset":{"guid":"uuid://39d5757e-2606-4141-ab6b-f892a2209858","site":"in-blr-ananta","name":"vav-264"}}</v>
      </c>
      <c r="S692" s="237" t="s">
        <v>2866</v>
      </c>
      <c r="T692" s="330"/>
      <c r="U692" s="330"/>
      <c r="V692" s="331"/>
      <c r="W692" s="344"/>
      <c r="X692" s="341"/>
      <c r="Y692" s="33" t="s">
        <v>2867</v>
      </c>
      <c r="Z692" s="258">
        <v>120264.0</v>
      </c>
      <c r="AA692" s="334">
        <v>11537.0</v>
      </c>
      <c r="AB692" s="341"/>
      <c r="AC692" s="341"/>
      <c r="AD692" s="343"/>
      <c r="AE692" s="331"/>
      <c r="AF692" s="348"/>
      <c r="AG692" s="337"/>
      <c r="AH692" s="341"/>
      <c r="AI692" s="341"/>
      <c r="AJ692" s="341"/>
      <c r="AK692" s="341"/>
      <c r="AL692" s="341"/>
      <c r="AM692" s="338"/>
      <c r="AN692" s="341"/>
      <c r="AO692" s="341"/>
      <c r="AP692" s="341"/>
      <c r="AQ692" s="341"/>
      <c r="AR692" s="341"/>
      <c r="AS692" s="341"/>
      <c r="AT692" s="341"/>
      <c r="AU692" s="343"/>
      <c r="AV692" s="341"/>
      <c r="AW692" s="269" t="s">
        <v>2033</v>
      </c>
      <c r="AX692" s="334" t="s">
        <v>2869</v>
      </c>
      <c r="AY692" s="270" t="s">
        <v>695</v>
      </c>
      <c r="AZ692" s="270" t="s">
        <v>2866</v>
      </c>
      <c r="BA692" s="265">
        <v>10.0</v>
      </c>
      <c r="BB692" s="174" t="s">
        <v>245</v>
      </c>
      <c r="BC692" s="341"/>
      <c r="BD692" s="308"/>
      <c r="BE692" s="347"/>
      <c r="BF692" s="274" t="str">
        <f>IFERROR(__xludf.DUMMYFUNCTION("LOWER(Regexreplace(to_text(E692),""[^A-Za-z0-9]"","""")&amp;""_""&amp;Regexreplace(to_text(F692),""[^A-Za-z0-9]"",""""))"),"neptronic_evcbseries")</f>
        <v>neptronic_evcbseries</v>
      </c>
      <c r="BG692" s="275" t="str">
        <f>IFERROR(__xludf.DUMMYFUNCTION("upper(Regexreplace(to_text(E692),""[^A-Za-z0-9]"","""")&amp;""-""&amp;Regexreplace(to_text(F692),""[^A-Za-z0-9]"",""""))"),"NEPTRONIC-EVCBSERIES")</f>
        <v>NEPTRONIC-EVCBSERIES</v>
      </c>
    </row>
    <row r="693" ht="30.0" customHeight="1">
      <c r="A693" s="173">
        <v>685.0</v>
      </c>
      <c r="B693" s="237" t="s">
        <v>670</v>
      </c>
      <c r="C693" s="257" t="s">
        <v>3642</v>
      </c>
      <c r="D693" s="173" t="s">
        <v>3642</v>
      </c>
      <c r="E693" s="174" t="s">
        <v>2861</v>
      </c>
      <c r="F693" s="173" t="s">
        <v>2862</v>
      </c>
      <c r="G693" s="328" t="s">
        <v>673</v>
      </c>
      <c r="H693" s="328" t="s">
        <v>2863</v>
      </c>
      <c r="I693" s="258" t="s">
        <v>2864</v>
      </c>
      <c r="J693" s="259" t="s">
        <v>902</v>
      </c>
      <c r="K693" s="260" t="s">
        <v>3643</v>
      </c>
      <c r="L693" s="328"/>
      <c r="M693" s="343"/>
      <c r="N693" s="173" t="s">
        <v>679</v>
      </c>
      <c r="O693" s="173" t="s">
        <v>225</v>
      </c>
      <c r="P693" s="262" t="str">
        <f t="shared" si="1"/>
        <v>IN-BLR-ANANTA-VAV-265_2</v>
      </c>
      <c r="Q693" s="173" t="s">
        <v>3644</v>
      </c>
      <c r="R693" s="328" t="str">
        <f>IFS(C693="","",C693="n/a","N/A",LEN(C693),Concatenate("{",char(34),"asset",char(34),":{",char(34),"guid",char(34),":",char(34),Q693,char(34),",",char(34),"site",char(34),":",char(34),LOWER('2-Building'!$B$4),char(34),",",char(34),"name",char(34),":",char(34),LOWER(C693),char(34),"}}"))</f>
        <v>{"asset":{"guid":"uuid://0b2ea9b7-fccd-41d0-8292-50bd7c29020a","site":"in-blr-ananta","name":"vav-265"}}</v>
      </c>
      <c r="S693" s="237" t="s">
        <v>2866</v>
      </c>
      <c r="T693" s="330"/>
      <c r="U693" s="330"/>
      <c r="V693" s="331"/>
      <c r="W693" s="344"/>
      <c r="X693" s="341"/>
      <c r="Y693" s="33" t="s">
        <v>2867</v>
      </c>
      <c r="Z693" s="258">
        <v>120265.0</v>
      </c>
      <c r="AA693" s="334">
        <v>11536.0</v>
      </c>
      <c r="AB693" s="341"/>
      <c r="AC693" s="341"/>
      <c r="AD693" s="343"/>
      <c r="AE693" s="331"/>
      <c r="AF693" s="348"/>
      <c r="AG693" s="337"/>
      <c r="AH693" s="341"/>
      <c r="AI693" s="341"/>
      <c r="AJ693" s="341"/>
      <c r="AK693" s="341"/>
      <c r="AL693" s="341"/>
      <c r="AM693" s="338"/>
      <c r="AN693" s="341"/>
      <c r="AO693" s="341"/>
      <c r="AP693" s="341"/>
      <c r="AQ693" s="341"/>
      <c r="AR693" s="341"/>
      <c r="AS693" s="341"/>
      <c r="AT693" s="341"/>
      <c r="AU693" s="343"/>
      <c r="AV693" s="341"/>
      <c r="AW693" s="269" t="s">
        <v>2033</v>
      </c>
      <c r="AX693" s="334" t="s">
        <v>2869</v>
      </c>
      <c r="AY693" s="270" t="s">
        <v>695</v>
      </c>
      <c r="AZ693" s="270" t="s">
        <v>2866</v>
      </c>
      <c r="BA693" s="265">
        <v>10.0</v>
      </c>
      <c r="BB693" s="174" t="s">
        <v>245</v>
      </c>
      <c r="BC693" s="341"/>
      <c r="BD693" s="308"/>
      <c r="BE693" s="347"/>
      <c r="BF693" s="274" t="str">
        <f>IFERROR(__xludf.DUMMYFUNCTION("LOWER(Regexreplace(to_text(E693),""[^A-Za-z0-9]"","""")&amp;""_""&amp;Regexreplace(to_text(F693),""[^A-Za-z0-9]"",""""))"),"neptronic_evcbseries")</f>
        <v>neptronic_evcbseries</v>
      </c>
      <c r="BG693" s="275" t="str">
        <f>IFERROR(__xludf.DUMMYFUNCTION("upper(Regexreplace(to_text(E693),""[^A-Za-z0-9]"","""")&amp;""-""&amp;Regexreplace(to_text(F693),""[^A-Za-z0-9]"",""""))"),"NEPTRONIC-EVCBSERIES")</f>
        <v>NEPTRONIC-EVCBSERIES</v>
      </c>
    </row>
    <row r="694" ht="30.0" customHeight="1">
      <c r="A694" s="258">
        <v>686.0</v>
      </c>
      <c r="B694" s="237" t="s">
        <v>670</v>
      </c>
      <c r="C694" s="257" t="s">
        <v>3645</v>
      </c>
      <c r="D694" s="173" t="s">
        <v>3645</v>
      </c>
      <c r="E694" s="174" t="s">
        <v>2861</v>
      </c>
      <c r="F694" s="173" t="s">
        <v>2862</v>
      </c>
      <c r="G694" s="328" t="s">
        <v>673</v>
      </c>
      <c r="H694" s="328" t="s">
        <v>2863</v>
      </c>
      <c r="I694" s="258" t="s">
        <v>2864</v>
      </c>
      <c r="J694" s="259" t="s">
        <v>902</v>
      </c>
      <c r="K694" s="260" t="s">
        <v>3646</v>
      </c>
      <c r="L694" s="328"/>
      <c r="M694" s="343"/>
      <c r="N694" s="173" t="s">
        <v>679</v>
      </c>
      <c r="O694" s="173" t="s">
        <v>225</v>
      </c>
      <c r="P694" s="262" t="str">
        <f t="shared" si="1"/>
        <v>IN-BLR-ANANTA-VAV-266_2</v>
      </c>
      <c r="Q694" s="173" t="s">
        <v>3647</v>
      </c>
      <c r="R694" s="328" t="str">
        <f>IFS(C694="","",C694="n/a","N/A",LEN(C694),Concatenate("{",char(34),"asset",char(34),":{",char(34),"guid",char(34),":",char(34),Q694,char(34),",",char(34),"site",char(34),":",char(34),LOWER('2-Building'!$B$4),char(34),",",char(34),"name",char(34),":",char(34),LOWER(C694),char(34),"}}"))</f>
        <v>{"asset":{"guid":"uuid://c3ac231e-14cb-430f-9021-8b81bbf74fcd","site":"in-blr-ananta","name":"vav-266"}}</v>
      </c>
      <c r="S694" s="237" t="s">
        <v>2866</v>
      </c>
      <c r="T694" s="330"/>
      <c r="U694" s="330"/>
      <c r="V694" s="331"/>
      <c r="W694" s="344"/>
      <c r="X694" s="341"/>
      <c r="Y694" s="33" t="s">
        <v>2867</v>
      </c>
      <c r="Z694" s="258">
        <v>120266.0</v>
      </c>
      <c r="AA694" s="334">
        <v>11536.0</v>
      </c>
      <c r="AB694" s="341"/>
      <c r="AC694" s="341"/>
      <c r="AD694" s="343"/>
      <c r="AE694" s="331"/>
      <c r="AF694" s="348"/>
      <c r="AG694" s="337"/>
      <c r="AH694" s="341"/>
      <c r="AI694" s="341"/>
      <c r="AJ694" s="341"/>
      <c r="AK694" s="341"/>
      <c r="AL694" s="341"/>
      <c r="AM694" s="338"/>
      <c r="AN694" s="341"/>
      <c r="AO694" s="341"/>
      <c r="AP694" s="341"/>
      <c r="AQ694" s="341"/>
      <c r="AR694" s="341"/>
      <c r="AS694" s="341"/>
      <c r="AT694" s="341"/>
      <c r="AU694" s="343"/>
      <c r="AV694" s="341"/>
      <c r="AW694" s="269" t="s">
        <v>2033</v>
      </c>
      <c r="AX694" s="334" t="s">
        <v>2869</v>
      </c>
      <c r="AY694" s="270" t="s">
        <v>695</v>
      </c>
      <c r="AZ694" s="270" t="s">
        <v>2866</v>
      </c>
      <c r="BA694" s="265">
        <v>10.0</v>
      </c>
      <c r="BB694" s="174" t="s">
        <v>245</v>
      </c>
      <c r="BC694" s="341"/>
      <c r="BD694" s="308"/>
      <c r="BE694" s="347"/>
      <c r="BF694" s="274" t="str">
        <f>IFERROR(__xludf.DUMMYFUNCTION("LOWER(Regexreplace(to_text(E694),""[^A-Za-z0-9]"","""")&amp;""_""&amp;Regexreplace(to_text(F694),""[^A-Za-z0-9]"",""""))"),"neptronic_evcbseries")</f>
        <v>neptronic_evcbseries</v>
      </c>
      <c r="BG694" s="275" t="str">
        <f>IFERROR(__xludf.DUMMYFUNCTION("upper(Regexreplace(to_text(E694),""[^A-Za-z0-9]"","""")&amp;""-""&amp;Regexreplace(to_text(F694),""[^A-Za-z0-9]"",""""))"),"NEPTRONIC-EVCBSERIES")</f>
        <v>NEPTRONIC-EVCBSERIES</v>
      </c>
    </row>
    <row r="695" ht="30.0" customHeight="1">
      <c r="A695" s="173">
        <v>687.0</v>
      </c>
      <c r="B695" s="237" t="s">
        <v>670</v>
      </c>
      <c r="C695" s="257" t="s">
        <v>3648</v>
      </c>
      <c r="D695" s="173" t="s">
        <v>3648</v>
      </c>
      <c r="E695" s="174" t="s">
        <v>2861</v>
      </c>
      <c r="F695" s="173" t="s">
        <v>2862</v>
      </c>
      <c r="G695" s="328" t="s">
        <v>673</v>
      </c>
      <c r="H695" s="328" t="s">
        <v>2863</v>
      </c>
      <c r="I695" s="258" t="s">
        <v>2864</v>
      </c>
      <c r="J695" s="259" t="s">
        <v>902</v>
      </c>
      <c r="K695" s="260" t="s">
        <v>3649</v>
      </c>
      <c r="L695" s="328"/>
      <c r="M695" s="343"/>
      <c r="N695" s="173" t="s">
        <v>679</v>
      </c>
      <c r="O695" s="173" t="s">
        <v>225</v>
      </c>
      <c r="P695" s="262" t="str">
        <f t="shared" si="1"/>
        <v>IN-BLR-ANANTA-VAV-267_2</v>
      </c>
      <c r="Q695" s="173" t="s">
        <v>3650</v>
      </c>
      <c r="R695" s="328" t="str">
        <f>IFS(C695="","",C695="n/a","N/A",LEN(C695),Concatenate("{",char(34),"asset",char(34),":{",char(34),"guid",char(34),":",char(34),Q695,char(34),",",char(34),"site",char(34),":",char(34),LOWER('2-Building'!$B$4),char(34),",",char(34),"name",char(34),":",char(34),LOWER(C695),char(34),"}}"))</f>
        <v>{"asset":{"guid":"uuid://91a33e6b-b437-47cc-89a8-4cde822e6225","site":"in-blr-ananta","name":"vav-267"}}</v>
      </c>
      <c r="S695" s="237" t="s">
        <v>2866</v>
      </c>
      <c r="T695" s="330"/>
      <c r="U695" s="330"/>
      <c r="V695" s="331"/>
      <c r="W695" s="344"/>
      <c r="X695" s="341"/>
      <c r="Y695" s="33" t="s">
        <v>2867</v>
      </c>
      <c r="Z695" s="258">
        <v>120267.0</v>
      </c>
      <c r="AA695" s="334">
        <v>11536.0</v>
      </c>
      <c r="AB695" s="341"/>
      <c r="AC695" s="341"/>
      <c r="AD695" s="343"/>
      <c r="AE695" s="331"/>
      <c r="AF695" s="348"/>
      <c r="AG695" s="337"/>
      <c r="AH695" s="341"/>
      <c r="AI695" s="341"/>
      <c r="AJ695" s="341"/>
      <c r="AK695" s="341"/>
      <c r="AL695" s="341"/>
      <c r="AM695" s="338"/>
      <c r="AN695" s="341"/>
      <c r="AO695" s="341"/>
      <c r="AP695" s="341"/>
      <c r="AQ695" s="341"/>
      <c r="AR695" s="341"/>
      <c r="AS695" s="341"/>
      <c r="AT695" s="341"/>
      <c r="AU695" s="343"/>
      <c r="AV695" s="341"/>
      <c r="AW695" s="269" t="s">
        <v>2033</v>
      </c>
      <c r="AX695" s="334" t="s">
        <v>2869</v>
      </c>
      <c r="AY695" s="270" t="s">
        <v>695</v>
      </c>
      <c r="AZ695" s="270" t="s">
        <v>2866</v>
      </c>
      <c r="BA695" s="265">
        <v>10.0</v>
      </c>
      <c r="BB695" s="174" t="s">
        <v>245</v>
      </c>
      <c r="BC695" s="341"/>
      <c r="BD695" s="308"/>
      <c r="BE695" s="347"/>
      <c r="BF695" s="274" t="str">
        <f>IFERROR(__xludf.DUMMYFUNCTION("LOWER(Regexreplace(to_text(E695),""[^A-Za-z0-9]"","""")&amp;""_""&amp;Regexreplace(to_text(F695),""[^A-Za-z0-9]"",""""))"),"neptronic_evcbseries")</f>
        <v>neptronic_evcbseries</v>
      </c>
      <c r="BG695" s="275" t="str">
        <f>IFERROR(__xludf.DUMMYFUNCTION("upper(Regexreplace(to_text(E695),""[^A-Za-z0-9]"","""")&amp;""-""&amp;Regexreplace(to_text(F695),""[^A-Za-z0-9]"",""""))"),"NEPTRONIC-EVCBSERIES")</f>
        <v>NEPTRONIC-EVCBSERIES</v>
      </c>
    </row>
    <row r="696" ht="30.0" customHeight="1">
      <c r="A696" s="258">
        <v>688.0</v>
      </c>
      <c r="B696" s="237" t="s">
        <v>670</v>
      </c>
      <c r="C696" s="257" t="s">
        <v>3651</v>
      </c>
      <c r="D696" s="173" t="s">
        <v>3651</v>
      </c>
      <c r="E696" s="174" t="s">
        <v>2861</v>
      </c>
      <c r="F696" s="173" t="s">
        <v>2862</v>
      </c>
      <c r="G696" s="328" t="s">
        <v>673</v>
      </c>
      <c r="H696" s="328" t="s">
        <v>2863</v>
      </c>
      <c r="I696" s="258" t="s">
        <v>2864</v>
      </c>
      <c r="J696" s="259" t="s">
        <v>902</v>
      </c>
      <c r="K696" s="260" t="s">
        <v>3652</v>
      </c>
      <c r="L696" s="328"/>
      <c r="M696" s="343"/>
      <c r="N696" s="173" t="s">
        <v>679</v>
      </c>
      <c r="O696" s="173" t="s">
        <v>225</v>
      </c>
      <c r="P696" s="262" t="str">
        <f t="shared" si="1"/>
        <v>IN-BLR-ANANTA-VAV-268_2</v>
      </c>
      <c r="Q696" s="173" t="s">
        <v>3653</v>
      </c>
      <c r="R696" s="328" t="str">
        <f>IFS(C696="","",C696="n/a","N/A",LEN(C696),Concatenate("{",char(34),"asset",char(34),":{",char(34),"guid",char(34),":",char(34),Q696,char(34),",",char(34),"site",char(34),":",char(34),LOWER('2-Building'!$B$4),char(34),",",char(34),"name",char(34),":",char(34),LOWER(C696),char(34),"}}"))</f>
        <v>{"asset":{"guid":"uuid://739b6060-2b29-431e-bb97-ae95c564deb7","site":"in-blr-ananta","name":"vav-268"}}</v>
      </c>
      <c r="S696" s="237" t="s">
        <v>2866</v>
      </c>
      <c r="T696" s="330"/>
      <c r="U696" s="330"/>
      <c r="V696" s="331"/>
      <c r="W696" s="344"/>
      <c r="X696" s="341"/>
      <c r="Y696" s="33" t="s">
        <v>2867</v>
      </c>
      <c r="Z696" s="258">
        <v>120268.0</v>
      </c>
      <c r="AA696" s="334">
        <v>11536.0</v>
      </c>
      <c r="AB696" s="341"/>
      <c r="AC696" s="341"/>
      <c r="AD696" s="343"/>
      <c r="AE696" s="331"/>
      <c r="AF696" s="348"/>
      <c r="AG696" s="337"/>
      <c r="AH696" s="341"/>
      <c r="AI696" s="341"/>
      <c r="AJ696" s="341"/>
      <c r="AK696" s="341"/>
      <c r="AL696" s="341"/>
      <c r="AM696" s="338"/>
      <c r="AN696" s="341"/>
      <c r="AO696" s="341"/>
      <c r="AP696" s="341"/>
      <c r="AQ696" s="341"/>
      <c r="AR696" s="341"/>
      <c r="AS696" s="341"/>
      <c r="AT696" s="341"/>
      <c r="AU696" s="343"/>
      <c r="AV696" s="341"/>
      <c r="AW696" s="269" t="s">
        <v>2033</v>
      </c>
      <c r="AX696" s="334" t="s">
        <v>2869</v>
      </c>
      <c r="AY696" s="270" t="s">
        <v>695</v>
      </c>
      <c r="AZ696" s="270" t="s">
        <v>2866</v>
      </c>
      <c r="BA696" s="265">
        <v>10.0</v>
      </c>
      <c r="BB696" s="174" t="s">
        <v>245</v>
      </c>
      <c r="BC696" s="341"/>
      <c r="BD696" s="308"/>
      <c r="BE696" s="347"/>
      <c r="BF696" s="274" t="str">
        <f>IFERROR(__xludf.DUMMYFUNCTION("LOWER(Regexreplace(to_text(E696),""[^A-Za-z0-9]"","""")&amp;""_""&amp;Regexreplace(to_text(F696),""[^A-Za-z0-9]"",""""))"),"neptronic_evcbseries")</f>
        <v>neptronic_evcbseries</v>
      </c>
      <c r="BG696" s="275" t="str">
        <f>IFERROR(__xludf.DUMMYFUNCTION("upper(Regexreplace(to_text(E696),""[^A-Za-z0-9]"","""")&amp;""-""&amp;Regexreplace(to_text(F696),""[^A-Za-z0-9]"",""""))"),"NEPTRONIC-EVCBSERIES")</f>
        <v>NEPTRONIC-EVCBSERIES</v>
      </c>
    </row>
    <row r="697" ht="30.0" customHeight="1">
      <c r="A697" s="173">
        <v>689.0</v>
      </c>
      <c r="B697" s="237" t="s">
        <v>670</v>
      </c>
      <c r="C697" s="257" t="s">
        <v>3654</v>
      </c>
      <c r="D697" s="173" t="s">
        <v>3654</v>
      </c>
      <c r="E697" s="174" t="s">
        <v>2861</v>
      </c>
      <c r="F697" s="173" t="s">
        <v>2862</v>
      </c>
      <c r="G697" s="328" t="s">
        <v>673</v>
      </c>
      <c r="H697" s="328" t="s">
        <v>2863</v>
      </c>
      <c r="I697" s="258" t="s">
        <v>2864</v>
      </c>
      <c r="J697" s="259" t="s">
        <v>902</v>
      </c>
      <c r="K697" s="260" t="s">
        <v>3655</v>
      </c>
      <c r="L697" s="328"/>
      <c r="M697" s="343"/>
      <c r="N697" s="173" t="s">
        <v>679</v>
      </c>
      <c r="O697" s="173" t="s">
        <v>225</v>
      </c>
      <c r="P697" s="262" t="str">
        <f t="shared" si="1"/>
        <v>IN-BLR-ANANTA-VAV-269_2</v>
      </c>
      <c r="Q697" s="173" t="s">
        <v>3656</v>
      </c>
      <c r="R697" s="328" t="str">
        <f>IFS(C697="","",C697="n/a","N/A",LEN(C697),Concatenate("{",char(34),"asset",char(34),":{",char(34),"guid",char(34),":",char(34),Q697,char(34),",",char(34),"site",char(34),":",char(34),LOWER('2-Building'!$B$4),char(34),",",char(34),"name",char(34),":",char(34),LOWER(C697),char(34),"}}"))</f>
        <v>{"asset":{"guid":"uuid://6546625a-4771-4ae9-a62e-99b68ff9947f","site":"in-blr-ananta","name":"vav-269"}}</v>
      </c>
      <c r="S697" s="237" t="s">
        <v>2866</v>
      </c>
      <c r="T697" s="330"/>
      <c r="U697" s="330"/>
      <c r="V697" s="331"/>
      <c r="W697" s="344"/>
      <c r="X697" s="341"/>
      <c r="Y697" s="33" t="s">
        <v>2867</v>
      </c>
      <c r="Z697" s="258">
        <v>120269.0</v>
      </c>
      <c r="AA697" s="334">
        <v>11536.0</v>
      </c>
      <c r="AB697" s="341"/>
      <c r="AC697" s="341"/>
      <c r="AD697" s="343"/>
      <c r="AE697" s="331"/>
      <c r="AF697" s="348"/>
      <c r="AG697" s="337"/>
      <c r="AH697" s="341"/>
      <c r="AI697" s="341"/>
      <c r="AJ697" s="341"/>
      <c r="AK697" s="341"/>
      <c r="AL697" s="341"/>
      <c r="AM697" s="338"/>
      <c r="AN697" s="341"/>
      <c r="AO697" s="341"/>
      <c r="AP697" s="341"/>
      <c r="AQ697" s="341"/>
      <c r="AR697" s="341"/>
      <c r="AS697" s="341"/>
      <c r="AT697" s="341"/>
      <c r="AU697" s="343"/>
      <c r="AV697" s="341"/>
      <c r="AW697" s="269" t="s">
        <v>2033</v>
      </c>
      <c r="AX697" s="334" t="s">
        <v>2869</v>
      </c>
      <c r="AY697" s="270" t="s">
        <v>695</v>
      </c>
      <c r="AZ697" s="270" t="s">
        <v>2866</v>
      </c>
      <c r="BA697" s="265">
        <v>10.0</v>
      </c>
      <c r="BB697" s="174" t="s">
        <v>245</v>
      </c>
      <c r="BC697" s="341"/>
      <c r="BD697" s="308"/>
      <c r="BE697" s="347"/>
      <c r="BF697" s="274" t="str">
        <f>IFERROR(__xludf.DUMMYFUNCTION("LOWER(Regexreplace(to_text(E697),""[^A-Za-z0-9]"","""")&amp;""_""&amp;Regexreplace(to_text(F697),""[^A-Za-z0-9]"",""""))"),"neptronic_evcbseries")</f>
        <v>neptronic_evcbseries</v>
      </c>
      <c r="BG697" s="275" t="str">
        <f>IFERROR(__xludf.DUMMYFUNCTION("upper(Regexreplace(to_text(E697),""[^A-Za-z0-9]"","""")&amp;""-""&amp;Regexreplace(to_text(F697),""[^A-Za-z0-9]"",""""))"),"NEPTRONIC-EVCBSERIES")</f>
        <v>NEPTRONIC-EVCBSERIES</v>
      </c>
    </row>
    <row r="698" ht="30.0" customHeight="1">
      <c r="A698" s="258">
        <v>690.0</v>
      </c>
      <c r="B698" s="237" t="s">
        <v>670</v>
      </c>
      <c r="C698" s="257" t="s">
        <v>3657</v>
      </c>
      <c r="D698" s="173" t="s">
        <v>3657</v>
      </c>
      <c r="E698" s="174" t="s">
        <v>2861</v>
      </c>
      <c r="F698" s="173" t="s">
        <v>2862</v>
      </c>
      <c r="G698" s="328" t="s">
        <v>673</v>
      </c>
      <c r="H698" s="328" t="s">
        <v>2863</v>
      </c>
      <c r="I698" s="258" t="s">
        <v>2864</v>
      </c>
      <c r="J698" s="259" t="s">
        <v>902</v>
      </c>
      <c r="K698" s="260" t="s">
        <v>3658</v>
      </c>
      <c r="L698" s="328"/>
      <c r="M698" s="343"/>
      <c r="N698" s="173" t="s">
        <v>679</v>
      </c>
      <c r="O698" s="173" t="s">
        <v>225</v>
      </c>
      <c r="P698" s="262" t="str">
        <f t="shared" si="1"/>
        <v>IN-BLR-ANANTA-VAV-270_2</v>
      </c>
      <c r="Q698" s="173" t="s">
        <v>3659</v>
      </c>
      <c r="R698" s="328" t="str">
        <f>IFS(C698="","",C698="n/a","N/A",LEN(C698),Concatenate("{",char(34),"asset",char(34),":{",char(34),"guid",char(34),":",char(34),Q698,char(34),",",char(34),"site",char(34),":",char(34),LOWER('2-Building'!$B$4),char(34),",",char(34),"name",char(34),":",char(34),LOWER(C698),char(34),"}}"))</f>
        <v>{"asset":{"guid":"uuid://31574193-4551-4d72-80c2-71d0c7e31986","site":"in-blr-ananta","name":"vav-270"}}</v>
      </c>
      <c r="S698" s="237" t="s">
        <v>2866</v>
      </c>
      <c r="T698" s="330"/>
      <c r="U698" s="330"/>
      <c r="V698" s="331"/>
      <c r="W698" s="344"/>
      <c r="X698" s="341"/>
      <c r="Y698" s="33" t="s">
        <v>2867</v>
      </c>
      <c r="Z698" s="258">
        <v>120270.0</v>
      </c>
      <c r="AA698" s="334">
        <v>11536.0</v>
      </c>
      <c r="AB698" s="341"/>
      <c r="AC698" s="341"/>
      <c r="AD698" s="343"/>
      <c r="AE698" s="331"/>
      <c r="AF698" s="348"/>
      <c r="AG698" s="337"/>
      <c r="AH698" s="341"/>
      <c r="AI698" s="341"/>
      <c r="AJ698" s="341"/>
      <c r="AK698" s="341"/>
      <c r="AL698" s="341"/>
      <c r="AM698" s="338"/>
      <c r="AN698" s="341"/>
      <c r="AO698" s="341"/>
      <c r="AP698" s="341"/>
      <c r="AQ698" s="341"/>
      <c r="AR698" s="341"/>
      <c r="AS698" s="341"/>
      <c r="AT698" s="341"/>
      <c r="AU698" s="343"/>
      <c r="AV698" s="341"/>
      <c r="AW698" s="269" t="s">
        <v>2033</v>
      </c>
      <c r="AX698" s="334" t="s">
        <v>2869</v>
      </c>
      <c r="AY698" s="270" t="s">
        <v>695</v>
      </c>
      <c r="AZ698" s="270" t="s">
        <v>2866</v>
      </c>
      <c r="BA698" s="265">
        <v>10.0</v>
      </c>
      <c r="BB698" s="174" t="s">
        <v>245</v>
      </c>
      <c r="BC698" s="341"/>
      <c r="BD698" s="308"/>
      <c r="BE698" s="347"/>
      <c r="BF698" s="274" t="str">
        <f>IFERROR(__xludf.DUMMYFUNCTION("LOWER(Regexreplace(to_text(E698),""[^A-Za-z0-9]"","""")&amp;""_""&amp;Regexreplace(to_text(F698),""[^A-Za-z0-9]"",""""))"),"neptronic_evcbseries")</f>
        <v>neptronic_evcbseries</v>
      </c>
      <c r="BG698" s="275" t="str">
        <f>IFERROR(__xludf.DUMMYFUNCTION("upper(Regexreplace(to_text(E698),""[^A-Za-z0-9]"","""")&amp;""-""&amp;Regexreplace(to_text(F698),""[^A-Za-z0-9]"",""""))"),"NEPTRONIC-EVCBSERIES")</f>
        <v>NEPTRONIC-EVCBSERIES</v>
      </c>
    </row>
    <row r="699" ht="30.0" customHeight="1">
      <c r="A699" s="173">
        <v>691.0</v>
      </c>
      <c r="B699" s="237" t="s">
        <v>670</v>
      </c>
      <c r="C699" s="257" t="s">
        <v>3660</v>
      </c>
      <c r="D699" s="173" t="s">
        <v>3660</v>
      </c>
      <c r="E699" s="174" t="s">
        <v>2861</v>
      </c>
      <c r="F699" s="173" t="s">
        <v>2862</v>
      </c>
      <c r="G699" s="328" t="s">
        <v>673</v>
      </c>
      <c r="H699" s="328" t="s">
        <v>2863</v>
      </c>
      <c r="I699" s="258" t="s">
        <v>2864</v>
      </c>
      <c r="J699" s="259" t="s">
        <v>902</v>
      </c>
      <c r="K699" s="260" t="s">
        <v>3661</v>
      </c>
      <c r="L699" s="328"/>
      <c r="M699" s="343"/>
      <c r="N699" s="173" t="s">
        <v>679</v>
      </c>
      <c r="O699" s="173" t="s">
        <v>225</v>
      </c>
      <c r="P699" s="262" t="str">
        <f t="shared" si="1"/>
        <v>IN-BLR-ANANTA-VAV-271_2</v>
      </c>
      <c r="Q699" s="173" t="s">
        <v>3662</v>
      </c>
      <c r="R699" s="328" t="str">
        <f>IFS(C699="","",C699="n/a","N/A",LEN(C699),Concatenate("{",char(34),"asset",char(34),":{",char(34),"guid",char(34),":",char(34),Q699,char(34),",",char(34),"site",char(34),":",char(34),LOWER('2-Building'!$B$4),char(34),",",char(34),"name",char(34),":",char(34),LOWER(C699),char(34),"}}"))</f>
        <v>{"asset":{"guid":"uuid://eedde031-906d-4300-a8e6-51adaee580f3","site":"in-blr-ananta","name":"vav-271"}}</v>
      </c>
      <c r="S699" s="237" t="s">
        <v>2866</v>
      </c>
      <c r="T699" s="330"/>
      <c r="U699" s="330"/>
      <c r="V699" s="331"/>
      <c r="W699" s="344"/>
      <c r="X699" s="341"/>
      <c r="Y699" s="33" t="s">
        <v>2867</v>
      </c>
      <c r="Z699" s="258">
        <v>120271.0</v>
      </c>
      <c r="AA699" s="334">
        <v>11536.0</v>
      </c>
      <c r="AB699" s="341"/>
      <c r="AC699" s="341"/>
      <c r="AD699" s="343"/>
      <c r="AE699" s="331"/>
      <c r="AF699" s="348"/>
      <c r="AG699" s="337"/>
      <c r="AH699" s="341"/>
      <c r="AI699" s="341"/>
      <c r="AJ699" s="341"/>
      <c r="AK699" s="341"/>
      <c r="AL699" s="341"/>
      <c r="AM699" s="338"/>
      <c r="AN699" s="341"/>
      <c r="AO699" s="341"/>
      <c r="AP699" s="341"/>
      <c r="AQ699" s="341"/>
      <c r="AR699" s="341"/>
      <c r="AS699" s="341"/>
      <c r="AT699" s="341"/>
      <c r="AU699" s="343"/>
      <c r="AV699" s="341"/>
      <c r="AW699" s="269" t="s">
        <v>2033</v>
      </c>
      <c r="AX699" s="334" t="s">
        <v>2869</v>
      </c>
      <c r="AY699" s="270" t="s">
        <v>695</v>
      </c>
      <c r="AZ699" s="270" t="s">
        <v>2866</v>
      </c>
      <c r="BA699" s="265">
        <v>10.0</v>
      </c>
      <c r="BB699" s="174" t="s">
        <v>245</v>
      </c>
      <c r="BC699" s="341"/>
      <c r="BD699" s="308"/>
      <c r="BE699" s="347"/>
      <c r="BF699" s="274" t="str">
        <f>IFERROR(__xludf.DUMMYFUNCTION("LOWER(Regexreplace(to_text(E699),""[^A-Za-z0-9]"","""")&amp;""_""&amp;Regexreplace(to_text(F699),""[^A-Za-z0-9]"",""""))"),"neptronic_evcbseries")</f>
        <v>neptronic_evcbseries</v>
      </c>
      <c r="BG699" s="275" t="str">
        <f>IFERROR(__xludf.DUMMYFUNCTION("upper(Regexreplace(to_text(E699),""[^A-Za-z0-9]"","""")&amp;""-""&amp;Regexreplace(to_text(F699),""[^A-Za-z0-9]"",""""))"),"NEPTRONIC-EVCBSERIES")</f>
        <v>NEPTRONIC-EVCBSERIES</v>
      </c>
    </row>
    <row r="700" ht="30.0" customHeight="1">
      <c r="A700" s="258">
        <v>692.0</v>
      </c>
      <c r="B700" s="237" t="s">
        <v>670</v>
      </c>
      <c r="C700" s="257" t="s">
        <v>3663</v>
      </c>
      <c r="D700" s="173" t="s">
        <v>3663</v>
      </c>
      <c r="E700" s="174" t="s">
        <v>2861</v>
      </c>
      <c r="F700" s="173" t="s">
        <v>2862</v>
      </c>
      <c r="G700" s="328" t="s">
        <v>673</v>
      </c>
      <c r="H700" s="328" t="s">
        <v>2863</v>
      </c>
      <c r="I700" s="258" t="s">
        <v>2864</v>
      </c>
      <c r="J700" s="259" t="s">
        <v>902</v>
      </c>
      <c r="K700" s="260" t="s">
        <v>3664</v>
      </c>
      <c r="L700" s="328"/>
      <c r="M700" s="343"/>
      <c r="N700" s="173" t="s">
        <v>679</v>
      </c>
      <c r="O700" s="173" t="s">
        <v>225</v>
      </c>
      <c r="P700" s="262" t="str">
        <f t="shared" si="1"/>
        <v>IN-BLR-ANANTA-VAV-272_2</v>
      </c>
      <c r="Q700" s="173" t="s">
        <v>3665</v>
      </c>
      <c r="R700" s="328" t="str">
        <f>IFS(C700="","",C700="n/a","N/A",LEN(C700),Concatenate("{",char(34),"asset",char(34),":{",char(34),"guid",char(34),":",char(34),Q700,char(34),",",char(34),"site",char(34),":",char(34),LOWER('2-Building'!$B$4),char(34),",",char(34),"name",char(34),":",char(34),LOWER(C700),char(34),"}}"))</f>
        <v>{"asset":{"guid":"uuid://405bd479-e59b-4582-978c-be527260fa57","site":"in-blr-ananta","name":"vav-272"}}</v>
      </c>
      <c r="S700" s="237" t="s">
        <v>2866</v>
      </c>
      <c r="T700" s="330"/>
      <c r="U700" s="330"/>
      <c r="V700" s="331"/>
      <c r="W700" s="344"/>
      <c r="X700" s="341"/>
      <c r="Y700" s="33" t="s">
        <v>2867</v>
      </c>
      <c r="Z700" s="258">
        <v>120272.0</v>
      </c>
      <c r="AA700" s="334">
        <v>11536.0</v>
      </c>
      <c r="AB700" s="341"/>
      <c r="AC700" s="341"/>
      <c r="AD700" s="343"/>
      <c r="AE700" s="331"/>
      <c r="AF700" s="348"/>
      <c r="AG700" s="337"/>
      <c r="AH700" s="341"/>
      <c r="AI700" s="341"/>
      <c r="AJ700" s="341"/>
      <c r="AK700" s="341"/>
      <c r="AL700" s="341"/>
      <c r="AM700" s="338"/>
      <c r="AN700" s="341"/>
      <c r="AO700" s="341"/>
      <c r="AP700" s="341"/>
      <c r="AQ700" s="341"/>
      <c r="AR700" s="341"/>
      <c r="AS700" s="341"/>
      <c r="AT700" s="341"/>
      <c r="AU700" s="343"/>
      <c r="AV700" s="341"/>
      <c r="AW700" s="269" t="s">
        <v>2033</v>
      </c>
      <c r="AX700" s="334" t="s">
        <v>2869</v>
      </c>
      <c r="AY700" s="270" t="s">
        <v>695</v>
      </c>
      <c r="AZ700" s="270" t="s">
        <v>2866</v>
      </c>
      <c r="BA700" s="265">
        <v>10.0</v>
      </c>
      <c r="BB700" s="174" t="s">
        <v>245</v>
      </c>
      <c r="BC700" s="341"/>
      <c r="BD700" s="308"/>
      <c r="BE700" s="347"/>
      <c r="BF700" s="274" t="str">
        <f>IFERROR(__xludf.DUMMYFUNCTION("LOWER(Regexreplace(to_text(E700),""[^A-Za-z0-9]"","""")&amp;""_""&amp;Regexreplace(to_text(F700),""[^A-Za-z0-9]"",""""))"),"neptronic_evcbseries")</f>
        <v>neptronic_evcbseries</v>
      </c>
      <c r="BG700" s="275" t="str">
        <f>IFERROR(__xludf.DUMMYFUNCTION("upper(Regexreplace(to_text(E700),""[^A-Za-z0-9]"","""")&amp;""-""&amp;Regexreplace(to_text(F700),""[^A-Za-z0-9]"",""""))"),"NEPTRONIC-EVCBSERIES")</f>
        <v>NEPTRONIC-EVCBSERIES</v>
      </c>
    </row>
    <row r="701" ht="30.0" customHeight="1">
      <c r="A701" s="173">
        <v>693.0</v>
      </c>
      <c r="B701" s="237" t="s">
        <v>670</v>
      </c>
      <c r="C701" s="257" t="s">
        <v>3666</v>
      </c>
      <c r="D701" s="173" t="s">
        <v>3666</v>
      </c>
      <c r="E701" s="174" t="s">
        <v>2861</v>
      </c>
      <c r="F701" s="173" t="s">
        <v>2862</v>
      </c>
      <c r="G701" s="328" t="s">
        <v>673</v>
      </c>
      <c r="H701" s="328" t="s">
        <v>2863</v>
      </c>
      <c r="I701" s="258" t="s">
        <v>2864</v>
      </c>
      <c r="J701" s="259" t="s">
        <v>902</v>
      </c>
      <c r="K701" s="260" t="s">
        <v>3667</v>
      </c>
      <c r="L701" s="328"/>
      <c r="M701" s="343"/>
      <c r="N701" s="173" t="s">
        <v>679</v>
      </c>
      <c r="O701" s="173" t="s">
        <v>225</v>
      </c>
      <c r="P701" s="262" t="str">
        <f t="shared" si="1"/>
        <v>IN-BLR-ANANTA-VAV-273_2</v>
      </c>
      <c r="Q701" s="173" t="s">
        <v>3668</v>
      </c>
      <c r="R701" s="328" t="str">
        <f>IFS(C701="","",C701="n/a","N/A",LEN(C701),Concatenate("{",char(34),"asset",char(34),":{",char(34),"guid",char(34),":",char(34),Q701,char(34),",",char(34),"site",char(34),":",char(34),LOWER('2-Building'!$B$4),char(34),",",char(34),"name",char(34),":",char(34),LOWER(C701),char(34),"}}"))</f>
        <v>{"asset":{"guid":"uuid://308e7cb9-b8ca-4946-bd41-db87faedcabf","site":"in-blr-ananta","name":"vav-273"}}</v>
      </c>
      <c r="S701" s="237" t="s">
        <v>2866</v>
      </c>
      <c r="T701" s="330"/>
      <c r="U701" s="330"/>
      <c r="V701" s="331"/>
      <c r="W701" s="344"/>
      <c r="X701" s="341"/>
      <c r="Y701" s="33" t="s">
        <v>2867</v>
      </c>
      <c r="Z701" s="258">
        <v>120273.0</v>
      </c>
      <c r="AA701" s="334">
        <v>11536.0</v>
      </c>
      <c r="AB701" s="341"/>
      <c r="AC701" s="341"/>
      <c r="AD701" s="343"/>
      <c r="AE701" s="331"/>
      <c r="AF701" s="348"/>
      <c r="AG701" s="337"/>
      <c r="AH701" s="341"/>
      <c r="AI701" s="341"/>
      <c r="AJ701" s="341"/>
      <c r="AK701" s="341"/>
      <c r="AL701" s="341"/>
      <c r="AM701" s="338"/>
      <c r="AN701" s="341"/>
      <c r="AO701" s="341"/>
      <c r="AP701" s="341"/>
      <c r="AQ701" s="341"/>
      <c r="AR701" s="341"/>
      <c r="AS701" s="341"/>
      <c r="AT701" s="341"/>
      <c r="AU701" s="343"/>
      <c r="AV701" s="341"/>
      <c r="AW701" s="269" t="s">
        <v>2033</v>
      </c>
      <c r="AX701" s="334" t="s">
        <v>2869</v>
      </c>
      <c r="AY701" s="270" t="s">
        <v>695</v>
      </c>
      <c r="AZ701" s="270" t="s">
        <v>2866</v>
      </c>
      <c r="BA701" s="265">
        <v>10.0</v>
      </c>
      <c r="BB701" s="174" t="s">
        <v>245</v>
      </c>
      <c r="BC701" s="341"/>
      <c r="BD701" s="308"/>
      <c r="BE701" s="347"/>
      <c r="BF701" s="274" t="str">
        <f>IFERROR(__xludf.DUMMYFUNCTION("LOWER(Regexreplace(to_text(E701),""[^A-Za-z0-9]"","""")&amp;""_""&amp;Regexreplace(to_text(F701),""[^A-Za-z0-9]"",""""))"),"neptronic_evcbseries")</f>
        <v>neptronic_evcbseries</v>
      </c>
      <c r="BG701" s="275" t="str">
        <f>IFERROR(__xludf.DUMMYFUNCTION("upper(Regexreplace(to_text(E701),""[^A-Za-z0-9]"","""")&amp;""-""&amp;Regexreplace(to_text(F701),""[^A-Za-z0-9]"",""""))"),"NEPTRONIC-EVCBSERIES")</f>
        <v>NEPTRONIC-EVCBSERIES</v>
      </c>
    </row>
    <row r="702" ht="30.0" customHeight="1">
      <c r="A702" s="258">
        <v>694.0</v>
      </c>
      <c r="B702" s="237" t="s">
        <v>670</v>
      </c>
      <c r="C702" s="257" t="s">
        <v>3669</v>
      </c>
      <c r="D702" s="173" t="s">
        <v>3669</v>
      </c>
      <c r="E702" s="174" t="s">
        <v>2861</v>
      </c>
      <c r="F702" s="173" t="s">
        <v>2862</v>
      </c>
      <c r="G702" s="328" t="s">
        <v>673</v>
      </c>
      <c r="H702" s="328" t="s">
        <v>2863</v>
      </c>
      <c r="I702" s="258" t="s">
        <v>2864</v>
      </c>
      <c r="J702" s="259" t="s">
        <v>902</v>
      </c>
      <c r="K702" s="260" t="s">
        <v>3670</v>
      </c>
      <c r="L702" s="328"/>
      <c r="M702" s="343"/>
      <c r="N702" s="173" t="s">
        <v>679</v>
      </c>
      <c r="O702" s="173" t="s">
        <v>225</v>
      </c>
      <c r="P702" s="262" t="str">
        <f t="shared" si="1"/>
        <v>IN-BLR-ANANTA-VAV-274_2</v>
      </c>
      <c r="Q702" s="173" t="s">
        <v>3671</v>
      </c>
      <c r="R702" s="328" t="str">
        <f>IFS(C702="","",C702="n/a","N/A",LEN(C702),Concatenate("{",char(34),"asset",char(34),":{",char(34),"guid",char(34),":",char(34),Q702,char(34),",",char(34),"site",char(34),":",char(34),LOWER('2-Building'!$B$4),char(34),",",char(34),"name",char(34),":",char(34),LOWER(C702),char(34),"}}"))</f>
        <v>{"asset":{"guid":"uuid://bf1a72c2-2248-454e-b089-2161f03c6956","site":"in-blr-ananta","name":"vav-274"}}</v>
      </c>
      <c r="S702" s="237" t="s">
        <v>2866</v>
      </c>
      <c r="T702" s="330"/>
      <c r="U702" s="330"/>
      <c r="V702" s="331"/>
      <c r="W702" s="344"/>
      <c r="X702" s="341"/>
      <c r="Y702" s="33" t="s">
        <v>2867</v>
      </c>
      <c r="Z702" s="258">
        <v>120274.0</v>
      </c>
      <c r="AA702" s="334">
        <v>11536.0</v>
      </c>
      <c r="AB702" s="341"/>
      <c r="AC702" s="341"/>
      <c r="AD702" s="343"/>
      <c r="AE702" s="331"/>
      <c r="AF702" s="348"/>
      <c r="AG702" s="337"/>
      <c r="AH702" s="341"/>
      <c r="AI702" s="341"/>
      <c r="AJ702" s="341"/>
      <c r="AK702" s="341"/>
      <c r="AL702" s="341"/>
      <c r="AM702" s="338"/>
      <c r="AN702" s="341"/>
      <c r="AO702" s="341"/>
      <c r="AP702" s="341"/>
      <c r="AQ702" s="341"/>
      <c r="AR702" s="341"/>
      <c r="AS702" s="341"/>
      <c r="AT702" s="341"/>
      <c r="AU702" s="343"/>
      <c r="AV702" s="341"/>
      <c r="AW702" s="269" t="s">
        <v>2033</v>
      </c>
      <c r="AX702" s="334" t="s">
        <v>2869</v>
      </c>
      <c r="AY702" s="270" t="s">
        <v>695</v>
      </c>
      <c r="AZ702" s="270" t="s">
        <v>2866</v>
      </c>
      <c r="BA702" s="265">
        <v>10.0</v>
      </c>
      <c r="BB702" s="174" t="s">
        <v>245</v>
      </c>
      <c r="BC702" s="341"/>
      <c r="BD702" s="308"/>
      <c r="BE702" s="347"/>
      <c r="BF702" s="274" t="str">
        <f>IFERROR(__xludf.DUMMYFUNCTION("LOWER(Regexreplace(to_text(E702),""[^A-Za-z0-9]"","""")&amp;""_""&amp;Regexreplace(to_text(F702),""[^A-Za-z0-9]"",""""))"),"neptronic_evcbseries")</f>
        <v>neptronic_evcbseries</v>
      </c>
      <c r="BG702" s="275" t="str">
        <f>IFERROR(__xludf.DUMMYFUNCTION("upper(Regexreplace(to_text(E702),""[^A-Za-z0-9]"","""")&amp;""-""&amp;Regexreplace(to_text(F702),""[^A-Za-z0-9]"",""""))"),"NEPTRONIC-EVCBSERIES")</f>
        <v>NEPTRONIC-EVCBSERIES</v>
      </c>
    </row>
    <row r="703" ht="30.0" customHeight="1">
      <c r="A703" s="173">
        <v>695.0</v>
      </c>
      <c r="B703" s="237" t="s">
        <v>670</v>
      </c>
      <c r="C703" s="257" t="s">
        <v>3672</v>
      </c>
      <c r="D703" s="173" t="s">
        <v>3672</v>
      </c>
      <c r="E703" s="174" t="s">
        <v>2861</v>
      </c>
      <c r="F703" s="173" t="s">
        <v>2862</v>
      </c>
      <c r="G703" s="328" t="s">
        <v>673</v>
      </c>
      <c r="H703" s="328" t="s">
        <v>2863</v>
      </c>
      <c r="I703" s="258" t="s">
        <v>2864</v>
      </c>
      <c r="J703" s="259" t="s">
        <v>902</v>
      </c>
      <c r="K703" s="260" t="s">
        <v>3673</v>
      </c>
      <c r="L703" s="328"/>
      <c r="M703" s="343"/>
      <c r="N703" s="173" t="s">
        <v>679</v>
      </c>
      <c r="O703" s="173" t="s">
        <v>225</v>
      </c>
      <c r="P703" s="262" t="str">
        <f t="shared" si="1"/>
        <v>IN-BLR-ANANTA-VAV-275_2</v>
      </c>
      <c r="Q703" s="173" t="s">
        <v>3674</v>
      </c>
      <c r="R703" s="328" t="str">
        <f>IFS(C703="","",C703="n/a","N/A",LEN(C703),Concatenate("{",char(34),"asset",char(34),":{",char(34),"guid",char(34),":",char(34),Q703,char(34),",",char(34),"site",char(34),":",char(34),LOWER('2-Building'!$B$4),char(34),",",char(34),"name",char(34),":",char(34),LOWER(C703),char(34),"}}"))</f>
        <v>{"asset":{"guid":"uuid://73464e0f-afd6-447d-b406-45309190c6f8","site":"in-blr-ananta","name":"vav-275"}}</v>
      </c>
      <c r="S703" s="237" t="s">
        <v>2866</v>
      </c>
      <c r="T703" s="330"/>
      <c r="U703" s="330"/>
      <c r="V703" s="331"/>
      <c r="W703" s="344"/>
      <c r="X703" s="341"/>
      <c r="Y703" s="33" t="s">
        <v>2867</v>
      </c>
      <c r="Z703" s="258">
        <v>120275.0</v>
      </c>
      <c r="AA703" s="334">
        <v>11536.0</v>
      </c>
      <c r="AB703" s="341"/>
      <c r="AC703" s="341"/>
      <c r="AD703" s="343"/>
      <c r="AE703" s="331"/>
      <c r="AF703" s="348"/>
      <c r="AG703" s="337"/>
      <c r="AH703" s="341"/>
      <c r="AI703" s="341"/>
      <c r="AJ703" s="341"/>
      <c r="AK703" s="341"/>
      <c r="AL703" s="341"/>
      <c r="AM703" s="338"/>
      <c r="AN703" s="341"/>
      <c r="AO703" s="341"/>
      <c r="AP703" s="341"/>
      <c r="AQ703" s="341"/>
      <c r="AR703" s="341"/>
      <c r="AS703" s="341"/>
      <c r="AT703" s="341"/>
      <c r="AU703" s="343"/>
      <c r="AV703" s="341"/>
      <c r="AW703" s="269" t="s">
        <v>2033</v>
      </c>
      <c r="AX703" s="334" t="s">
        <v>2869</v>
      </c>
      <c r="AY703" s="270" t="s">
        <v>695</v>
      </c>
      <c r="AZ703" s="270" t="s">
        <v>2866</v>
      </c>
      <c r="BA703" s="265">
        <v>10.0</v>
      </c>
      <c r="BB703" s="174" t="s">
        <v>245</v>
      </c>
      <c r="BC703" s="341"/>
      <c r="BD703" s="308"/>
      <c r="BE703" s="347"/>
      <c r="BF703" s="274" t="str">
        <f>IFERROR(__xludf.DUMMYFUNCTION("LOWER(Regexreplace(to_text(E703),""[^A-Za-z0-9]"","""")&amp;""_""&amp;Regexreplace(to_text(F703),""[^A-Za-z0-9]"",""""))"),"neptronic_evcbseries")</f>
        <v>neptronic_evcbseries</v>
      </c>
      <c r="BG703" s="275" t="str">
        <f>IFERROR(__xludf.DUMMYFUNCTION("upper(Regexreplace(to_text(E703),""[^A-Za-z0-9]"","""")&amp;""-""&amp;Regexreplace(to_text(F703),""[^A-Za-z0-9]"",""""))"),"NEPTRONIC-EVCBSERIES")</f>
        <v>NEPTRONIC-EVCBSERIES</v>
      </c>
    </row>
    <row r="704" ht="30.0" customHeight="1">
      <c r="A704" s="258">
        <v>696.0</v>
      </c>
      <c r="B704" s="237" t="s">
        <v>670</v>
      </c>
      <c r="C704" s="257" t="s">
        <v>3675</v>
      </c>
      <c r="D704" s="173" t="s">
        <v>3675</v>
      </c>
      <c r="E704" s="174" t="s">
        <v>2861</v>
      </c>
      <c r="F704" s="173" t="s">
        <v>2862</v>
      </c>
      <c r="G704" s="328" t="s">
        <v>673</v>
      </c>
      <c r="H704" s="328" t="s">
        <v>2863</v>
      </c>
      <c r="I704" s="258" t="s">
        <v>2864</v>
      </c>
      <c r="J704" s="259" t="s">
        <v>902</v>
      </c>
      <c r="K704" s="260" t="s">
        <v>3676</v>
      </c>
      <c r="L704" s="328"/>
      <c r="M704" s="343"/>
      <c r="N704" s="173" t="s">
        <v>679</v>
      </c>
      <c r="O704" s="173" t="s">
        <v>225</v>
      </c>
      <c r="P704" s="262" t="str">
        <f t="shared" si="1"/>
        <v>IN-BLR-ANANTA-VAV-276_2</v>
      </c>
      <c r="Q704" s="173" t="s">
        <v>3677</v>
      </c>
      <c r="R704" s="328" t="str">
        <f>IFS(C704="","",C704="n/a","N/A",LEN(C704),Concatenate("{",char(34),"asset",char(34),":{",char(34),"guid",char(34),":",char(34),Q704,char(34),",",char(34),"site",char(34),":",char(34),LOWER('2-Building'!$B$4),char(34),",",char(34),"name",char(34),":",char(34),LOWER(C704),char(34),"}}"))</f>
        <v>{"asset":{"guid":"uuid://22eae7a4-a32c-491a-8ac1-5dbbf63db7d8","site":"in-blr-ananta","name":"vav-276"}}</v>
      </c>
      <c r="S704" s="237" t="s">
        <v>2866</v>
      </c>
      <c r="T704" s="330"/>
      <c r="U704" s="330"/>
      <c r="V704" s="331"/>
      <c r="W704" s="344"/>
      <c r="X704" s="341"/>
      <c r="Y704" s="33" t="s">
        <v>2867</v>
      </c>
      <c r="Z704" s="258">
        <v>120276.0</v>
      </c>
      <c r="AA704" s="334">
        <v>11536.0</v>
      </c>
      <c r="AB704" s="341"/>
      <c r="AC704" s="341"/>
      <c r="AD704" s="343"/>
      <c r="AE704" s="331"/>
      <c r="AF704" s="348"/>
      <c r="AG704" s="337"/>
      <c r="AH704" s="341"/>
      <c r="AI704" s="341"/>
      <c r="AJ704" s="341"/>
      <c r="AK704" s="341"/>
      <c r="AL704" s="341"/>
      <c r="AM704" s="338"/>
      <c r="AN704" s="341"/>
      <c r="AO704" s="341"/>
      <c r="AP704" s="341"/>
      <c r="AQ704" s="341"/>
      <c r="AR704" s="341"/>
      <c r="AS704" s="341"/>
      <c r="AT704" s="341"/>
      <c r="AU704" s="343"/>
      <c r="AV704" s="341"/>
      <c r="AW704" s="269" t="s">
        <v>2033</v>
      </c>
      <c r="AX704" s="334" t="s">
        <v>2869</v>
      </c>
      <c r="AY704" s="270" t="s">
        <v>695</v>
      </c>
      <c r="AZ704" s="270" t="s">
        <v>2866</v>
      </c>
      <c r="BA704" s="265">
        <v>10.0</v>
      </c>
      <c r="BB704" s="174" t="s">
        <v>245</v>
      </c>
      <c r="BC704" s="341"/>
      <c r="BD704" s="308"/>
      <c r="BE704" s="347"/>
      <c r="BF704" s="274" t="str">
        <f>IFERROR(__xludf.DUMMYFUNCTION("LOWER(Regexreplace(to_text(E704),""[^A-Za-z0-9]"","""")&amp;""_""&amp;Regexreplace(to_text(F704),""[^A-Za-z0-9]"",""""))"),"neptronic_evcbseries")</f>
        <v>neptronic_evcbseries</v>
      </c>
      <c r="BG704" s="275" t="str">
        <f>IFERROR(__xludf.DUMMYFUNCTION("upper(Regexreplace(to_text(E704),""[^A-Za-z0-9]"","""")&amp;""-""&amp;Regexreplace(to_text(F704),""[^A-Za-z0-9]"",""""))"),"NEPTRONIC-EVCBSERIES")</f>
        <v>NEPTRONIC-EVCBSERIES</v>
      </c>
    </row>
    <row r="705" ht="30.0" customHeight="1">
      <c r="A705" s="173">
        <v>697.0</v>
      </c>
      <c r="B705" s="237" t="s">
        <v>670</v>
      </c>
      <c r="C705" s="257" t="s">
        <v>3678</v>
      </c>
      <c r="D705" s="173" t="s">
        <v>3678</v>
      </c>
      <c r="E705" s="174" t="s">
        <v>2861</v>
      </c>
      <c r="F705" s="173" t="s">
        <v>2862</v>
      </c>
      <c r="G705" s="328" t="s">
        <v>673</v>
      </c>
      <c r="H705" s="328" t="s">
        <v>2863</v>
      </c>
      <c r="I705" s="258" t="s">
        <v>2864</v>
      </c>
      <c r="J705" s="259" t="s">
        <v>902</v>
      </c>
      <c r="K705" s="260" t="s">
        <v>3679</v>
      </c>
      <c r="L705" s="328"/>
      <c r="M705" s="343"/>
      <c r="N705" s="173" t="s">
        <v>679</v>
      </c>
      <c r="O705" s="173" t="s">
        <v>225</v>
      </c>
      <c r="P705" s="262" t="str">
        <f t="shared" si="1"/>
        <v>IN-BLR-ANANTA-VAV-277_2</v>
      </c>
      <c r="Q705" s="173" t="s">
        <v>3680</v>
      </c>
      <c r="R705" s="328" t="str">
        <f>IFS(C705="","",C705="n/a","N/A",LEN(C705),Concatenate("{",char(34),"asset",char(34),":{",char(34),"guid",char(34),":",char(34),Q705,char(34),",",char(34),"site",char(34),":",char(34),LOWER('2-Building'!$B$4),char(34),",",char(34),"name",char(34),":",char(34),LOWER(C705),char(34),"}}"))</f>
        <v>{"asset":{"guid":"uuid://68214546-61ee-4fb1-bda5-73d3a944e5a7","site":"in-blr-ananta","name":"vav-277"}}</v>
      </c>
      <c r="S705" s="237" t="s">
        <v>2866</v>
      </c>
      <c r="T705" s="330"/>
      <c r="U705" s="330"/>
      <c r="V705" s="331"/>
      <c r="W705" s="344"/>
      <c r="X705" s="341"/>
      <c r="Y705" s="33" t="s">
        <v>2867</v>
      </c>
      <c r="Z705" s="258">
        <v>120277.0</v>
      </c>
      <c r="AA705" s="334">
        <v>11543.0</v>
      </c>
      <c r="AB705" s="341"/>
      <c r="AC705" s="341"/>
      <c r="AD705" s="343"/>
      <c r="AE705" s="331"/>
      <c r="AF705" s="348"/>
      <c r="AG705" s="337"/>
      <c r="AH705" s="341"/>
      <c r="AI705" s="341"/>
      <c r="AJ705" s="341"/>
      <c r="AK705" s="341"/>
      <c r="AL705" s="341"/>
      <c r="AM705" s="338"/>
      <c r="AN705" s="341"/>
      <c r="AO705" s="341"/>
      <c r="AP705" s="341"/>
      <c r="AQ705" s="341"/>
      <c r="AR705" s="341"/>
      <c r="AS705" s="341"/>
      <c r="AT705" s="341"/>
      <c r="AU705" s="343"/>
      <c r="AV705" s="341"/>
      <c r="AW705" s="269" t="s">
        <v>2073</v>
      </c>
      <c r="AX705" s="334" t="s">
        <v>2869</v>
      </c>
      <c r="AY705" s="270" t="s">
        <v>695</v>
      </c>
      <c r="AZ705" s="270" t="s">
        <v>2866</v>
      </c>
      <c r="BA705" s="265">
        <v>10.0</v>
      </c>
      <c r="BB705" s="174" t="s">
        <v>245</v>
      </c>
      <c r="BC705" s="341"/>
      <c r="BD705" s="308"/>
      <c r="BE705" s="347"/>
      <c r="BF705" s="274" t="str">
        <f>IFERROR(__xludf.DUMMYFUNCTION("LOWER(Regexreplace(to_text(E705),""[^A-Za-z0-9]"","""")&amp;""_""&amp;Regexreplace(to_text(F705),""[^A-Za-z0-9]"",""""))"),"neptronic_evcbseries")</f>
        <v>neptronic_evcbseries</v>
      </c>
      <c r="BG705" s="275" t="str">
        <f>IFERROR(__xludf.DUMMYFUNCTION("upper(Regexreplace(to_text(E705),""[^A-Za-z0-9]"","""")&amp;""-""&amp;Regexreplace(to_text(F705),""[^A-Za-z0-9]"",""""))"),"NEPTRONIC-EVCBSERIES")</f>
        <v>NEPTRONIC-EVCBSERIES</v>
      </c>
    </row>
    <row r="706" ht="30.0" customHeight="1">
      <c r="A706" s="258">
        <v>698.0</v>
      </c>
      <c r="B706" s="237" t="s">
        <v>670</v>
      </c>
      <c r="C706" s="257" t="s">
        <v>3681</v>
      </c>
      <c r="D706" s="173" t="s">
        <v>3681</v>
      </c>
      <c r="E706" s="174" t="s">
        <v>2861</v>
      </c>
      <c r="F706" s="173" t="s">
        <v>2862</v>
      </c>
      <c r="G706" s="328" t="s">
        <v>673</v>
      </c>
      <c r="H706" s="328" t="s">
        <v>2863</v>
      </c>
      <c r="I706" s="258" t="s">
        <v>2864</v>
      </c>
      <c r="J706" s="259" t="s">
        <v>902</v>
      </c>
      <c r="K706" s="260" t="s">
        <v>3682</v>
      </c>
      <c r="L706" s="328"/>
      <c r="M706" s="343"/>
      <c r="N706" s="173" t="s">
        <v>679</v>
      </c>
      <c r="O706" s="173" t="s">
        <v>225</v>
      </c>
      <c r="P706" s="262" t="str">
        <f t="shared" si="1"/>
        <v>IN-BLR-ANANTA-VAV-278_2</v>
      </c>
      <c r="Q706" s="173" t="s">
        <v>3683</v>
      </c>
      <c r="R706" s="328" t="str">
        <f>IFS(C706="","",C706="n/a","N/A",LEN(C706),Concatenate("{",char(34),"asset",char(34),":{",char(34),"guid",char(34),":",char(34),Q706,char(34),",",char(34),"site",char(34),":",char(34),LOWER('2-Building'!$B$4),char(34),",",char(34),"name",char(34),":",char(34),LOWER(C706),char(34),"}}"))</f>
        <v>{"asset":{"guid":"uuid://f787a0fc-0572-4ab5-a524-8fb45c36569f","site":"in-blr-ananta","name":"vav-278"}}</v>
      </c>
      <c r="S706" s="237" t="s">
        <v>2866</v>
      </c>
      <c r="T706" s="330"/>
      <c r="U706" s="330"/>
      <c r="V706" s="331"/>
      <c r="W706" s="344"/>
      <c r="X706" s="341"/>
      <c r="Y706" s="33" t="s">
        <v>2867</v>
      </c>
      <c r="Z706" s="258">
        <v>120278.0</v>
      </c>
      <c r="AA706" s="334">
        <v>11543.0</v>
      </c>
      <c r="AB706" s="341"/>
      <c r="AC706" s="341"/>
      <c r="AD706" s="343"/>
      <c r="AE706" s="331"/>
      <c r="AF706" s="348"/>
      <c r="AG706" s="337"/>
      <c r="AH706" s="341"/>
      <c r="AI706" s="341"/>
      <c r="AJ706" s="341"/>
      <c r="AK706" s="341"/>
      <c r="AL706" s="341"/>
      <c r="AM706" s="338"/>
      <c r="AN706" s="341"/>
      <c r="AO706" s="341"/>
      <c r="AP706" s="341"/>
      <c r="AQ706" s="341"/>
      <c r="AR706" s="341"/>
      <c r="AS706" s="341"/>
      <c r="AT706" s="341"/>
      <c r="AU706" s="343"/>
      <c r="AV706" s="341"/>
      <c r="AW706" s="269" t="s">
        <v>2073</v>
      </c>
      <c r="AX706" s="334" t="s">
        <v>2869</v>
      </c>
      <c r="AY706" s="270" t="s">
        <v>695</v>
      </c>
      <c r="AZ706" s="270" t="s">
        <v>2866</v>
      </c>
      <c r="BA706" s="265">
        <v>10.0</v>
      </c>
      <c r="BB706" s="174" t="s">
        <v>245</v>
      </c>
      <c r="BC706" s="341"/>
      <c r="BD706" s="308"/>
      <c r="BE706" s="347"/>
      <c r="BF706" s="274" t="str">
        <f>IFERROR(__xludf.DUMMYFUNCTION("LOWER(Regexreplace(to_text(E706),""[^A-Za-z0-9]"","""")&amp;""_""&amp;Regexreplace(to_text(F706),""[^A-Za-z0-9]"",""""))"),"neptronic_evcbseries")</f>
        <v>neptronic_evcbseries</v>
      </c>
      <c r="BG706" s="275" t="str">
        <f>IFERROR(__xludf.DUMMYFUNCTION("upper(Regexreplace(to_text(E706),""[^A-Za-z0-9]"","""")&amp;""-""&amp;Regexreplace(to_text(F706),""[^A-Za-z0-9]"",""""))"),"NEPTRONIC-EVCBSERIES")</f>
        <v>NEPTRONIC-EVCBSERIES</v>
      </c>
    </row>
    <row r="707" ht="30.0" customHeight="1">
      <c r="A707" s="173">
        <v>699.0</v>
      </c>
      <c r="B707" s="237" t="s">
        <v>670</v>
      </c>
      <c r="C707" s="257" t="s">
        <v>3684</v>
      </c>
      <c r="D707" s="173" t="s">
        <v>3684</v>
      </c>
      <c r="E707" s="174" t="s">
        <v>2861</v>
      </c>
      <c r="F707" s="173" t="s">
        <v>2862</v>
      </c>
      <c r="G707" s="328" t="s">
        <v>673</v>
      </c>
      <c r="H707" s="328" t="s">
        <v>2863</v>
      </c>
      <c r="I707" s="258" t="s">
        <v>2864</v>
      </c>
      <c r="J707" s="259" t="s">
        <v>902</v>
      </c>
      <c r="K707" s="260" t="s">
        <v>3685</v>
      </c>
      <c r="L707" s="328"/>
      <c r="M707" s="343"/>
      <c r="N707" s="173" t="s">
        <v>679</v>
      </c>
      <c r="O707" s="173" t="s">
        <v>225</v>
      </c>
      <c r="P707" s="262" t="str">
        <f t="shared" si="1"/>
        <v>IN-BLR-ANANTA-VAV-279_2</v>
      </c>
      <c r="Q707" s="173" t="s">
        <v>3686</v>
      </c>
      <c r="R707" s="328" t="str">
        <f>IFS(C707="","",C707="n/a","N/A",LEN(C707),Concatenate("{",char(34),"asset",char(34),":{",char(34),"guid",char(34),":",char(34),Q707,char(34),",",char(34),"site",char(34),":",char(34),LOWER('2-Building'!$B$4),char(34),",",char(34),"name",char(34),":",char(34),LOWER(C707),char(34),"}}"))</f>
        <v>{"asset":{"guid":"uuid://62300e63-8351-45eb-9670-362047dd0b0d","site":"in-blr-ananta","name":"vav-279"}}</v>
      </c>
      <c r="S707" s="237" t="s">
        <v>2866</v>
      </c>
      <c r="T707" s="330"/>
      <c r="U707" s="330"/>
      <c r="V707" s="331"/>
      <c r="W707" s="344"/>
      <c r="X707" s="341"/>
      <c r="Y707" s="33" t="s">
        <v>2867</v>
      </c>
      <c r="Z707" s="258">
        <v>120279.0</v>
      </c>
      <c r="AA707" s="334">
        <v>11543.0</v>
      </c>
      <c r="AB707" s="341"/>
      <c r="AC707" s="341"/>
      <c r="AD707" s="343"/>
      <c r="AE707" s="331"/>
      <c r="AF707" s="348"/>
      <c r="AG707" s="337"/>
      <c r="AH707" s="341"/>
      <c r="AI707" s="341"/>
      <c r="AJ707" s="341"/>
      <c r="AK707" s="341"/>
      <c r="AL707" s="341"/>
      <c r="AM707" s="338"/>
      <c r="AN707" s="341"/>
      <c r="AO707" s="341"/>
      <c r="AP707" s="341"/>
      <c r="AQ707" s="341"/>
      <c r="AR707" s="341"/>
      <c r="AS707" s="341"/>
      <c r="AT707" s="341"/>
      <c r="AU707" s="343"/>
      <c r="AV707" s="341"/>
      <c r="AW707" s="269" t="s">
        <v>2073</v>
      </c>
      <c r="AX707" s="334" t="s">
        <v>2869</v>
      </c>
      <c r="AY707" s="270" t="s">
        <v>695</v>
      </c>
      <c r="AZ707" s="270" t="s">
        <v>2866</v>
      </c>
      <c r="BA707" s="265">
        <v>10.0</v>
      </c>
      <c r="BB707" s="174" t="s">
        <v>245</v>
      </c>
      <c r="BC707" s="341"/>
      <c r="BD707" s="308"/>
      <c r="BE707" s="347"/>
      <c r="BF707" s="274" t="str">
        <f>IFERROR(__xludf.DUMMYFUNCTION("LOWER(Regexreplace(to_text(E707),""[^A-Za-z0-9]"","""")&amp;""_""&amp;Regexreplace(to_text(F707),""[^A-Za-z0-9]"",""""))"),"neptronic_evcbseries")</f>
        <v>neptronic_evcbseries</v>
      </c>
      <c r="BG707" s="275" t="str">
        <f>IFERROR(__xludf.DUMMYFUNCTION("upper(Regexreplace(to_text(E707),""[^A-Za-z0-9]"","""")&amp;""-""&amp;Regexreplace(to_text(F707),""[^A-Za-z0-9]"",""""))"),"NEPTRONIC-EVCBSERIES")</f>
        <v>NEPTRONIC-EVCBSERIES</v>
      </c>
    </row>
    <row r="708" ht="30.0" customHeight="1">
      <c r="A708" s="258">
        <v>700.0</v>
      </c>
      <c r="B708" s="237" t="s">
        <v>670</v>
      </c>
      <c r="C708" s="257" t="s">
        <v>3687</v>
      </c>
      <c r="D708" s="173" t="s">
        <v>3687</v>
      </c>
      <c r="E708" s="174" t="s">
        <v>2861</v>
      </c>
      <c r="F708" s="173" t="s">
        <v>2862</v>
      </c>
      <c r="G708" s="328" t="s">
        <v>673</v>
      </c>
      <c r="H708" s="328" t="s">
        <v>2863</v>
      </c>
      <c r="I708" s="258" t="s">
        <v>2864</v>
      </c>
      <c r="J708" s="259" t="s">
        <v>902</v>
      </c>
      <c r="K708" s="260" t="s">
        <v>3688</v>
      </c>
      <c r="L708" s="328"/>
      <c r="M708" s="343"/>
      <c r="N708" s="173" t="s">
        <v>679</v>
      </c>
      <c r="O708" s="173" t="s">
        <v>225</v>
      </c>
      <c r="P708" s="262" t="str">
        <f t="shared" si="1"/>
        <v>IN-BLR-ANANTA-VAV-280_2</v>
      </c>
      <c r="Q708" s="173" t="s">
        <v>3689</v>
      </c>
      <c r="R708" s="328" t="str">
        <f>IFS(C708="","",C708="n/a","N/A",LEN(C708),Concatenate("{",char(34),"asset",char(34),":{",char(34),"guid",char(34),":",char(34),Q708,char(34),",",char(34),"site",char(34),":",char(34),LOWER('2-Building'!$B$4),char(34),",",char(34),"name",char(34),":",char(34),LOWER(C708),char(34),"}}"))</f>
        <v>{"asset":{"guid":"uuid://1b2191fb-8844-4a7f-9283-0f65157ca2bd","site":"in-blr-ananta","name":"vav-280"}}</v>
      </c>
      <c r="S708" s="237" t="s">
        <v>2866</v>
      </c>
      <c r="T708" s="330"/>
      <c r="U708" s="330"/>
      <c r="V708" s="331"/>
      <c r="W708" s="344"/>
      <c r="X708" s="341"/>
      <c r="Y708" s="33" t="s">
        <v>2867</v>
      </c>
      <c r="Z708" s="258">
        <v>120280.0</v>
      </c>
      <c r="AA708" s="334">
        <v>11543.0</v>
      </c>
      <c r="AB708" s="341"/>
      <c r="AC708" s="341"/>
      <c r="AD708" s="343"/>
      <c r="AE708" s="331"/>
      <c r="AF708" s="348"/>
      <c r="AG708" s="337"/>
      <c r="AH708" s="341"/>
      <c r="AI708" s="341"/>
      <c r="AJ708" s="341"/>
      <c r="AK708" s="341"/>
      <c r="AL708" s="341"/>
      <c r="AM708" s="338"/>
      <c r="AN708" s="341"/>
      <c r="AO708" s="341"/>
      <c r="AP708" s="341"/>
      <c r="AQ708" s="341"/>
      <c r="AR708" s="341"/>
      <c r="AS708" s="341"/>
      <c r="AT708" s="341"/>
      <c r="AU708" s="343"/>
      <c r="AV708" s="341"/>
      <c r="AW708" s="269" t="s">
        <v>2073</v>
      </c>
      <c r="AX708" s="334" t="s">
        <v>2869</v>
      </c>
      <c r="AY708" s="270" t="s">
        <v>695</v>
      </c>
      <c r="AZ708" s="270" t="s">
        <v>2866</v>
      </c>
      <c r="BA708" s="265">
        <v>10.0</v>
      </c>
      <c r="BB708" s="174" t="s">
        <v>245</v>
      </c>
      <c r="BC708" s="341"/>
      <c r="BD708" s="308"/>
      <c r="BE708" s="347"/>
      <c r="BF708" s="274" t="str">
        <f>IFERROR(__xludf.DUMMYFUNCTION("LOWER(Regexreplace(to_text(E708),""[^A-Za-z0-9]"","""")&amp;""_""&amp;Regexreplace(to_text(F708),""[^A-Za-z0-9]"",""""))"),"neptronic_evcbseries")</f>
        <v>neptronic_evcbseries</v>
      </c>
      <c r="BG708" s="275" t="str">
        <f>IFERROR(__xludf.DUMMYFUNCTION("upper(Regexreplace(to_text(E708),""[^A-Za-z0-9]"","""")&amp;""-""&amp;Regexreplace(to_text(F708),""[^A-Za-z0-9]"",""""))"),"NEPTRONIC-EVCBSERIES")</f>
        <v>NEPTRONIC-EVCBSERIES</v>
      </c>
    </row>
    <row r="709" ht="30.0" customHeight="1">
      <c r="A709" s="173">
        <v>701.0</v>
      </c>
      <c r="B709" s="237" t="s">
        <v>670</v>
      </c>
      <c r="C709" s="257" t="s">
        <v>3690</v>
      </c>
      <c r="D709" s="173" t="s">
        <v>3690</v>
      </c>
      <c r="E709" s="174" t="s">
        <v>2861</v>
      </c>
      <c r="F709" s="173" t="s">
        <v>2862</v>
      </c>
      <c r="G709" s="328" t="s">
        <v>673</v>
      </c>
      <c r="H709" s="328" t="s">
        <v>2863</v>
      </c>
      <c r="I709" s="258" t="s">
        <v>2864</v>
      </c>
      <c r="J709" s="259" t="s">
        <v>902</v>
      </c>
      <c r="K709" s="260" t="s">
        <v>3691</v>
      </c>
      <c r="L709" s="328"/>
      <c r="M709" s="343"/>
      <c r="N709" s="173" t="s">
        <v>679</v>
      </c>
      <c r="O709" s="173" t="s">
        <v>225</v>
      </c>
      <c r="P709" s="262" t="str">
        <f t="shared" si="1"/>
        <v>IN-BLR-ANANTA-VAV-281_2</v>
      </c>
      <c r="Q709" s="173" t="s">
        <v>3692</v>
      </c>
      <c r="R709" s="328" t="str">
        <f>IFS(C709="","",C709="n/a","N/A",LEN(C709),Concatenate("{",char(34),"asset",char(34),":{",char(34),"guid",char(34),":",char(34),Q709,char(34),",",char(34),"site",char(34),":",char(34),LOWER('2-Building'!$B$4),char(34),",",char(34),"name",char(34),":",char(34),LOWER(C709),char(34),"}}"))</f>
        <v>{"asset":{"guid":"uuid://1524c982-1f76-4b64-ab21-d2dd9913aaaf","site":"in-blr-ananta","name":"vav-281"}}</v>
      </c>
      <c r="S709" s="237" t="s">
        <v>2866</v>
      </c>
      <c r="T709" s="330"/>
      <c r="U709" s="330"/>
      <c r="V709" s="331"/>
      <c r="W709" s="344"/>
      <c r="X709" s="341"/>
      <c r="Y709" s="33" t="s">
        <v>2867</v>
      </c>
      <c r="Z709" s="258">
        <v>120281.0</v>
      </c>
      <c r="AA709" s="334">
        <v>11543.0</v>
      </c>
      <c r="AB709" s="341"/>
      <c r="AC709" s="341"/>
      <c r="AD709" s="343"/>
      <c r="AE709" s="331"/>
      <c r="AF709" s="348"/>
      <c r="AG709" s="337"/>
      <c r="AH709" s="341"/>
      <c r="AI709" s="341"/>
      <c r="AJ709" s="341"/>
      <c r="AK709" s="341"/>
      <c r="AL709" s="341"/>
      <c r="AM709" s="338"/>
      <c r="AN709" s="341"/>
      <c r="AO709" s="341"/>
      <c r="AP709" s="341"/>
      <c r="AQ709" s="341"/>
      <c r="AR709" s="341"/>
      <c r="AS709" s="341"/>
      <c r="AT709" s="341"/>
      <c r="AU709" s="343"/>
      <c r="AV709" s="341"/>
      <c r="AW709" s="269" t="s">
        <v>2073</v>
      </c>
      <c r="AX709" s="334" t="s">
        <v>2869</v>
      </c>
      <c r="AY709" s="270" t="s">
        <v>695</v>
      </c>
      <c r="AZ709" s="270" t="s">
        <v>2866</v>
      </c>
      <c r="BA709" s="265">
        <v>10.0</v>
      </c>
      <c r="BB709" s="174" t="s">
        <v>245</v>
      </c>
      <c r="BC709" s="341"/>
      <c r="BD709" s="308"/>
      <c r="BE709" s="347"/>
      <c r="BF709" s="274" t="str">
        <f>IFERROR(__xludf.DUMMYFUNCTION("LOWER(Regexreplace(to_text(E709),""[^A-Za-z0-9]"","""")&amp;""_""&amp;Regexreplace(to_text(F709),""[^A-Za-z0-9]"",""""))"),"neptronic_evcbseries")</f>
        <v>neptronic_evcbseries</v>
      </c>
      <c r="BG709" s="275" t="str">
        <f>IFERROR(__xludf.DUMMYFUNCTION("upper(Regexreplace(to_text(E709),""[^A-Za-z0-9]"","""")&amp;""-""&amp;Regexreplace(to_text(F709),""[^A-Za-z0-9]"",""""))"),"NEPTRONIC-EVCBSERIES")</f>
        <v>NEPTRONIC-EVCBSERIES</v>
      </c>
    </row>
    <row r="710" ht="30.0" customHeight="1">
      <c r="A710" s="258">
        <v>702.0</v>
      </c>
      <c r="B710" s="237" t="s">
        <v>670</v>
      </c>
      <c r="C710" s="257" t="s">
        <v>3693</v>
      </c>
      <c r="D710" s="173" t="s">
        <v>3693</v>
      </c>
      <c r="E710" s="174" t="s">
        <v>2861</v>
      </c>
      <c r="F710" s="173" t="s">
        <v>2862</v>
      </c>
      <c r="G710" s="328" t="s">
        <v>673</v>
      </c>
      <c r="H710" s="328" t="s">
        <v>2863</v>
      </c>
      <c r="I710" s="258" t="s">
        <v>2864</v>
      </c>
      <c r="J710" s="259" t="s">
        <v>902</v>
      </c>
      <c r="K710" s="260" t="s">
        <v>3694</v>
      </c>
      <c r="L710" s="328"/>
      <c r="M710" s="343"/>
      <c r="N710" s="173" t="s">
        <v>679</v>
      </c>
      <c r="O710" s="173" t="s">
        <v>225</v>
      </c>
      <c r="P710" s="262" t="str">
        <f t="shared" si="1"/>
        <v>IN-BLR-ANANTA-VAV-282_2</v>
      </c>
      <c r="Q710" s="173" t="s">
        <v>3695</v>
      </c>
      <c r="R710" s="328" t="str">
        <f>IFS(C710="","",C710="n/a","N/A",LEN(C710),Concatenate("{",char(34),"asset",char(34),":{",char(34),"guid",char(34),":",char(34),Q710,char(34),",",char(34),"site",char(34),":",char(34),LOWER('2-Building'!$B$4),char(34),",",char(34),"name",char(34),":",char(34),LOWER(C710),char(34),"}}"))</f>
        <v>{"asset":{"guid":"uuid://de648035-79f3-4c66-a615-5e4c6e5b0d14","site":"in-blr-ananta","name":"vav-282"}}</v>
      </c>
      <c r="S710" s="237" t="s">
        <v>2866</v>
      </c>
      <c r="T710" s="330"/>
      <c r="U710" s="330"/>
      <c r="V710" s="331"/>
      <c r="W710" s="344"/>
      <c r="X710" s="341"/>
      <c r="Y710" s="33" t="s">
        <v>2867</v>
      </c>
      <c r="Z710" s="258">
        <v>120282.0</v>
      </c>
      <c r="AA710" s="334">
        <v>11543.0</v>
      </c>
      <c r="AB710" s="341"/>
      <c r="AC710" s="341"/>
      <c r="AD710" s="343"/>
      <c r="AE710" s="331"/>
      <c r="AF710" s="348"/>
      <c r="AG710" s="337"/>
      <c r="AH710" s="341"/>
      <c r="AI710" s="341"/>
      <c r="AJ710" s="341"/>
      <c r="AK710" s="341"/>
      <c r="AL710" s="341"/>
      <c r="AM710" s="338"/>
      <c r="AN710" s="341"/>
      <c r="AO710" s="341"/>
      <c r="AP710" s="341"/>
      <c r="AQ710" s="341"/>
      <c r="AR710" s="341"/>
      <c r="AS710" s="341"/>
      <c r="AT710" s="341"/>
      <c r="AU710" s="343"/>
      <c r="AV710" s="341"/>
      <c r="AW710" s="269" t="s">
        <v>2073</v>
      </c>
      <c r="AX710" s="334" t="s">
        <v>2869</v>
      </c>
      <c r="AY710" s="270" t="s">
        <v>695</v>
      </c>
      <c r="AZ710" s="270" t="s">
        <v>2866</v>
      </c>
      <c r="BA710" s="265">
        <v>10.0</v>
      </c>
      <c r="BB710" s="174" t="s">
        <v>245</v>
      </c>
      <c r="BC710" s="341"/>
      <c r="BD710" s="308"/>
      <c r="BE710" s="347"/>
      <c r="BF710" s="274" t="str">
        <f>IFERROR(__xludf.DUMMYFUNCTION("LOWER(Regexreplace(to_text(E710),""[^A-Za-z0-9]"","""")&amp;""_""&amp;Regexreplace(to_text(F710),""[^A-Za-z0-9]"",""""))"),"neptronic_evcbseries")</f>
        <v>neptronic_evcbseries</v>
      </c>
      <c r="BG710" s="275" t="str">
        <f>IFERROR(__xludf.DUMMYFUNCTION("upper(Regexreplace(to_text(E710),""[^A-Za-z0-9]"","""")&amp;""-""&amp;Regexreplace(to_text(F710),""[^A-Za-z0-9]"",""""))"),"NEPTRONIC-EVCBSERIES")</f>
        <v>NEPTRONIC-EVCBSERIES</v>
      </c>
    </row>
    <row r="711" ht="30.0" customHeight="1">
      <c r="A711" s="173">
        <v>703.0</v>
      </c>
      <c r="B711" s="237" t="s">
        <v>670</v>
      </c>
      <c r="C711" s="257" t="s">
        <v>3696</v>
      </c>
      <c r="D711" s="173" t="s">
        <v>3696</v>
      </c>
      <c r="E711" s="174" t="s">
        <v>2861</v>
      </c>
      <c r="F711" s="173" t="s">
        <v>2862</v>
      </c>
      <c r="G711" s="328" t="s">
        <v>673</v>
      </c>
      <c r="H711" s="328" t="s">
        <v>2863</v>
      </c>
      <c r="I711" s="258" t="s">
        <v>2864</v>
      </c>
      <c r="J711" s="259" t="s">
        <v>902</v>
      </c>
      <c r="K711" s="260" t="s">
        <v>3697</v>
      </c>
      <c r="L711" s="328"/>
      <c r="M711" s="343"/>
      <c r="N711" s="173" t="s">
        <v>679</v>
      </c>
      <c r="O711" s="173" t="s">
        <v>225</v>
      </c>
      <c r="P711" s="262" t="str">
        <f t="shared" si="1"/>
        <v>IN-BLR-ANANTA-VAV-283_2</v>
      </c>
      <c r="Q711" s="173" t="s">
        <v>3698</v>
      </c>
      <c r="R711" s="328" t="str">
        <f>IFS(C711="","",C711="n/a","N/A",LEN(C711),Concatenate("{",char(34),"asset",char(34),":{",char(34),"guid",char(34),":",char(34),Q711,char(34),",",char(34),"site",char(34),":",char(34),LOWER('2-Building'!$B$4),char(34),",",char(34),"name",char(34),":",char(34),LOWER(C711),char(34),"}}"))</f>
        <v>{"asset":{"guid":"uuid://21e33e12-ab5e-411f-8647-b618ee82cf41","site":"in-blr-ananta","name":"vav-283"}}</v>
      </c>
      <c r="S711" s="237" t="s">
        <v>2866</v>
      </c>
      <c r="T711" s="330"/>
      <c r="U711" s="330"/>
      <c r="V711" s="331"/>
      <c r="W711" s="344"/>
      <c r="X711" s="341"/>
      <c r="Y711" s="33" t="s">
        <v>2867</v>
      </c>
      <c r="Z711" s="258">
        <v>120283.0</v>
      </c>
      <c r="AA711" s="334">
        <v>11543.0</v>
      </c>
      <c r="AB711" s="341"/>
      <c r="AC711" s="341"/>
      <c r="AD711" s="343"/>
      <c r="AE711" s="331"/>
      <c r="AF711" s="348"/>
      <c r="AG711" s="337"/>
      <c r="AH711" s="341"/>
      <c r="AI711" s="341"/>
      <c r="AJ711" s="341"/>
      <c r="AK711" s="341"/>
      <c r="AL711" s="341"/>
      <c r="AM711" s="338"/>
      <c r="AN711" s="341"/>
      <c r="AO711" s="341"/>
      <c r="AP711" s="341"/>
      <c r="AQ711" s="341"/>
      <c r="AR711" s="341"/>
      <c r="AS711" s="341"/>
      <c r="AT711" s="341"/>
      <c r="AU711" s="343"/>
      <c r="AV711" s="341"/>
      <c r="AW711" s="269" t="s">
        <v>2073</v>
      </c>
      <c r="AX711" s="334" t="s">
        <v>2869</v>
      </c>
      <c r="AY711" s="270" t="s">
        <v>695</v>
      </c>
      <c r="AZ711" s="270" t="s">
        <v>2866</v>
      </c>
      <c r="BA711" s="265">
        <v>10.0</v>
      </c>
      <c r="BB711" s="174" t="s">
        <v>245</v>
      </c>
      <c r="BC711" s="341"/>
      <c r="BD711" s="308"/>
      <c r="BE711" s="347"/>
      <c r="BF711" s="274" t="str">
        <f>IFERROR(__xludf.DUMMYFUNCTION("LOWER(Regexreplace(to_text(E711),""[^A-Za-z0-9]"","""")&amp;""_""&amp;Regexreplace(to_text(F711),""[^A-Za-z0-9]"",""""))"),"neptronic_evcbseries")</f>
        <v>neptronic_evcbseries</v>
      </c>
      <c r="BG711" s="275" t="str">
        <f>IFERROR(__xludf.DUMMYFUNCTION("upper(Regexreplace(to_text(E711),""[^A-Za-z0-9]"","""")&amp;""-""&amp;Regexreplace(to_text(F711),""[^A-Za-z0-9]"",""""))"),"NEPTRONIC-EVCBSERIES")</f>
        <v>NEPTRONIC-EVCBSERIES</v>
      </c>
    </row>
    <row r="712" ht="30.0" customHeight="1">
      <c r="A712" s="258">
        <v>704.0</v>
      </c>
      <c r="B712" s="237" t="s">
        <v>670</v>
      </c>
      <c r="C712" s="257" t="s">
        <v>3699</v>
      </c>
      <c r="D712" s="173" t="s">
        <v>3699</v>
      </c>
      <c r="E712" s="174" t="s">
        <v>2861</v>
      </c>
      <c r="F712" s="173" t="s">
        <v>2862</v>
      </c>
      <c r="G712" s="328" t="s">
        <v>673</v>
      </c>
      <c r="H712" s="328" t="s">
        <v>2863</v>
      </c>
      <c r="I712" s="258" t="s">
        <v>2864</v>
      </c>
      <c r="J712" s="259" t="s">
        <v>902</v>
      </c>
      <c r="K712" s="260" t="s">
        <v>3700</v>
      </c>
      <c r="L712" s="328"/>
      <c r="M712" s="343"/>
      <c r="N712" s="173" t="s">
        <v>679</v>
      </c>
      <c r="O712" s="173" t="s">
        <v>225</v>
      </c>
      <c r="P712" s="262" t="str">
        <f t="shared" si="1"/>
        <v>IN-BLR-ANANTA-VAV-284_2</v>
      </c>
      <c r="Q712" s="173" t="s">
        <v>3701</v>
      </c>
      <c r="R712" s="328" t="str">
        <f>IFS(C712="","",C712="n/a","N/A",LEN(C712),Concatenate("{",char(34),"asset",char(34),":{",char(34),"guid",char(34),":",char(34),Q712,char(34),",",char(34),"site",char(34),":",char(34),LOWER('2-Building'!$B$4),char(34),",",char(34),"name",char(34),":",char(34),LOWER(C712),char(34),"}}"))</f>
        <v>{"asset":{"guid":"uuid://436f18a2-3ccb-4fe7-a039-57fb3300f347","site":"in-blr-ananta","name":"vav-284"}}</v>
      </c>
      <c r="S712" s="237" t="s">
        <v>2866</v>
      </c>
      <c r="T712" s="330"/>
      <c r="U712" s="330"/>
      <c r="V712" s="331"/>
      <c r="W712" s="344"/>
      <c r="X712" s="341"/>
      <c r="Y712" s="33" t="s">
        <v>2867</v>
      </c>
      <c r="Z712" s="258">
        <v>120284.0</v>
      </c>
      <c r="AA712" s="334">
        <v>11543.0</v>
      </c>
      <c r="AB712" s="341"/>
      <c r="AC712" s="341"/>
      <c r="AD712" s="343"/>
      <c r="AE712" s="331"/>
      <c r="AF712" s="348"/>
      <c r="AG712" s="337"/>
      <c r="AH712" s="341"/>
      <c r="AI712" s="341"/>
      <c r="AJ712" s="341"/>
      <c r="AK712" s="341"/>
      <c r="AL712" s="341"/>
      <c r="AM712" s="338"/>
      <c r="AN712" s="341"/>
      <c r="AO712" s="341"/>
      <c r="AP712" s="341"/>
      <c r="AQ712" s="341"/>
      <c r="AR712" s="341"/>
      <c r="AS712" s="341"/>
      <c r="AT712" s="341"/>
      <c r="AU712" s="343"/>
      <c r="AV712" s="341"/>
      <c r="AW712" s="269" t="s">
        <v>2073</v>
      </c>
      <c r="AX712" s="334" t="s">
        <v>2869</v>
      </c>
      <c r="AY712" s="270" t="s">
        <v>695</v>
      </c>
      <c r="AZ712" s="270" t="s">
        <v>2866</v>
      </c>
      <c r="BA712" s="265">
        <v>10.0</v>
      </c>
      <c r="BB712" s="174" t="s">
        <v>245</v>
      </c>
      <c r="BC712" s="341"/>
      <c r="BD712" s="308"/>
      <c r="BE712" s="347"/>
      <c r="BF712" s="274" t="str">
        <f>IFERROR(__xludf.DUMMYFUNCTION("LOWER(Regexreplace(to_text(E712),""[^A-Za-z0-9]"","""")&amp;""_""&amp;Regexreplace(to_text(F712),""[^A-Za-z0-9]"",""""))"),"neptronic_evcbseries")</f>
        <v>neptronic_evcbseries</v>
      </c>
      <c r="BG712" s="275" t="str">
        <f>IFERROR(__xludf.DUMMYFUNCTION("upper(Regexreplace(to_text(E712),""[^A-Za-z0-9]"","""")&amp;""-""&amp;Regexreplace(to_text(F712),""[^A-Za-z0-9]"",""""))"),"NEPTRONIC-EVCBSERIES")</f>
        <v>NEPTRONIC-EVCBSERIES</v>
      </c>
    </row>
    <row r="713" ht="30.0" customHeight="1">
      <c r="A713" s="173">
        <v>705.0</v>
      </c>
      <c r="B713" s="237" t="s">
        <v>670</v>
      </c>
      <c r="C713" s="257" t="s">
        <v>3702</v>
      </c>
      <c r="D713" s="173" t="s">
        <v>3702</v>
      </c>
      <c r="E713" s="174" t="s">
        <v>2861</v>
      </c>
      <c r="F713" s="173" t="s">
        <v>2862</v>
      </c>
      <c r="G713" s="328" t="s">
        <v>673</v>
      </c>
      <c r="H713" s="328" t="s">
        <v>2863</v>
      </c>
      <c r="I713" s="258" t="s">
        <v>2864</v>
      </c>
      <c r="J713" s="259" t="s">
        <v>902</v>
      </c>
      <c r="K713" s="260" t="s">
        <v>3703</v>
      </c>
      <c r="L713" s="328"/>
      <c r="M713" s="343"/>
      <c r="N713" s="173" t="s">
        <v>679</v>
      </c>
      <c r="O713" s="173" t="s">
        <v>225</v>
      </c>
      <c r="P713" s="262" t="str">
        <f t="shared" si="1"/>
        <v>IN-BLR-ANANTA-VAV-285_2</v>
      </c>
      <c r="Q713" s="173" t="s">
        <v>3704</v>
      </c>
      <c r="R713" s="328" t="str">
        <f>IFS(C713="","",C713="n/a","N/A",LEN(C713),Concatenate("{",char(34),"asset",char(34),":{",char(34),"guid",char(34),":",char(34),Q713,char(34),",",char(34),"site",char(34),":",char(34),LOWER('2-Building'!$B$4),char(34),",",char(34),"name",char(34),":",char(34),LOWER(C713),char(34),"}}"))</f>
        <v>{"asset":{"guid":"uuid://52d0eeaa-760b-4d83-bbf8-eb96fa8b3390","site":"in-blr-ananta","name":"vav-285"}}</v>
      </c>
      <c r="S713" s="237" t="s">
        <v>2866</v>
      </c>
      <c r="T713" s="330"/>
      <c r="U713" s="330"/>
      <c r="V713" s="331"/>
      <c r="W713" s="344"/>
      <c r="X713" s="341"/>
      <c r="Y713" s="33" t="s">
        <v>2867</v>
      </c>
      <c r="Z713" s="258">
        <v>120285.0</v>
      </c>
      <c r="AA713" s="334">
        <v>11543.0</v>
      </c>
      <c r="AB713" s="341"/>
      <c r="AC713" s="341"/>
      <c r="AD713" s="343"/>
      <c r="AE713" s="331"/>
      <c r="AF713" s="348"/>
      <c r="AG713" s="337"/>
      <c r="AH713" s="341"/>
      <c r="AI713" s="341"/>
      <c r="AJ713" s="341"/>
      <c r="AK713" s="341"/>
      <c r="AL713" s="341"/>
      <c r="AM713" s="338"/>
      <c r="AN713" s="341"/>
      <c r="AO713" s="341"/>
      <c r="AP713" s="341"/>
      <c r="AQ713" s="341"/>
      <c r="AR713" s="341"/>
      <c r="AS713" s="341"/>
      <c r="AT713" s="341"/>
      <c r="AU713" s="343"/>
      <c r="AV713" s="341"/>
      <c r="AW713" s="269" t="s">
        <v>2073</v>
      </c>
      <c r="AX713" s="334" t="s">
        <v>2869</v>
      </c>
      <c r="AY713" s="270" t="s">
        <v>695</v>
      </c>
      <c r="AZ713" s="270" t="s">
        <v>2866</v>
      </c>
      <c r="BA713" s="265">
        <v>10.0</v>
      </c>
      <c r="BB713" s="174" t="s">
        <v>245</v>
      </c>
      <c r="BC713" s="341"/>
      <c r="BD713" s="308"/>
      <c r="BE713" s="347"/>
      <c r="BF713" s="274" t="str">
        <f>IFERROR(__xludf.DUMMYFUNCTION("LOWER(Regexreplace(to_text(E713),""[^A-Za-z0-9]"","""")&amp;""_""&amp;Regexreplace(to_text(F713),""[^A-Za-z0-9]"",""""))"),"neptronic_evcbseries")</f>
        <v>neptronic_evcbseries</v>
      </c>
      <c r="BG713" s="275" t="str">
        <f>IFERROR(__xludf.DUMMYFUNCTION("upper(Regexreplace(to_text(E713),""[^A-Za-z0-9]"","""")&amp;""-""&amp;Regexreplace(to_text(F713),""[^A-Za-z0-9]"",""""))"),"NEPTRONIC-EVCBSERIES")</f>
        <v>NEPTRONIC-EVCBSERIES</v>
      </c>
    </row>
    <row r="714" ht="30.0" customHeight="1">
      <c r="A714" s="258">
        <v>706.0</v>
      </c>
      <c r="B714" s="237" t="s">
        <v>670</v>
      </c>
      <c r="C714" s="257" t="s">
        <v>3705</v>
      </c>
      <c r="D714" s="173" t="s">
        <v>3705</v>
      </c>
      <c r="E714" s="174" t="s">
        <v>2861</v>
      </c>
      <c r="F714" s="173" t="s">
        <v>2862</v>
      </c>
      <c r="G714" s="328" t="s">
        <v>673</v>
      </c>
      <c r="H714" s="328" t="s">
        <v>2863</v>
      </c>
      <c r="I714" s="258" t="s">
        <v>2864</v>
      </c>
      <c r="J714" s="259" t="s">
        <v>902</v>
      </c>
      <c r="K714" s="260" t="s">
        <v>3706</v>
      </c>
      <c r="L714" s="328"/>
      <c r="M714" s="343"/>
      <c r="N714" s="173" t="s">
        <v>679</v>
      </c>
      <c r="O714" s="173" t="s">
        <v>225</v>
      </c>
      <c r="P714" s="262" t="str">
        <f t="shared" si="1"/>
        <v>IN-BLR-ANANTA-VAV-286_2</v>
      </c>
      <c r="Q714" s="173" t="s">
        <v>3707</v>
      </c>
      <c r="R714" s="328" t="str">
        <f>IFS(C714="","",C714="n/a","N/A",LEN(C714),Concatenate("{",char(34),"asset",char(34),":{",char(34),"guid",char(34),":",char(34),Q714,char(34),",",char(34),"site",char(34),":",char(34),LOWER('2-Building'!$B$4),char(34),",",char(34),"name",char(34),":",char(34),LOWER(C714),char(34),"}}"))</f>
        <v>{"asset":{"guid":"uuid://19937bfe-bf22-4bf2-a975-8cec4afe0b61","site":"in-blr-ananta","name":"vav-286"}}</v>
      </c>
      <c r="S714" s="237" t="s">
        <v>2866</v>
      </c>
      <c r="T714" s="330"/>
      <c r="U714" s="330"/>
      <c r="V714" s="331"/>
      <c r="W714" s="344"/>
      <c r="X714" s="341"/>
      <c r="Y714" s="33" t="s">
        <v>2867</v>
      </c>
      <c r="Z714" s="258">
        <v>120286.0</v>
      </c>
      <c r="AA714" s="334">
        <v>11543.0</v>
      </c>
      <c r="AB714" s="341"/>
      <c r="AC714" s="341"/>
      <c r="AD714" s="343"/>
      <c r="AE714" s="331"/>
      <c r="AF714" s="348"/>
      <c r="AG714" s="337"/>
      <c r="AH714" s="341"/>
      <c r="AI714" s="341"/>
      <c r="AJ714" s="341"/>
      <c r="AK714" s="341"/>
      <c r="AL714" s="341"/>
      <c r="AM714" s="338"/>
      <c r="AN714" s="341"/>
      <c r="AO714" s="341"/>
      <c r="AP714" s="341"/>
      <c r="AQ714" s="341"/>
      <c r="AR714" s="341"/>
      <c r="AS714" s="341"/>
      <c r="AT714" s="341"/>
      <c r="AU714" s="343"/>
      <c r="AV714" s="341"/>
      <c r="AW714" s="269" t="s">
        <v>2073</v>
      </c>
      <c r="AX714" s="334" t="s">
        <v>2869</v>
      </c>
      <c r="AY714" s="270" t="s">
        <v>695</v>
      </c>
      <c r="AZ714" s="270" t="s">
        <v>2866</v>
      </c>
      <c r="BA714" s="265">
        <v>10.0</v>
      </c>
      <c r="BB714" s="174" t="s">
        <v>245</v>
      </c>
      <c r="BC714" s="341"/>
      <c r="BD714" s="308"/>
      <c r="BE714" s="347"/>
      <c r="BF714" s="274" t="str">
        <f>IFERROR(__xludf.DUMMYFUNCTION("LOWER(Regexreplace(to_text(E714),""[^A-Za-z0-9]"","""")&amp;""_""&amp;Regexreplace(to_text(F714),""[^A-Za-z0-9]"",""""))"),"neptronic_evcbseries")</f>
        <v>neptronic_evcbseries</v>
      </c>
      <c r="BG714" s="275" t="str">
        <f>IFERROR(__xludf.DUMMYFUNCTION("upper(Regexreplace(to_text(E714),""[^A-Za-z0-9]"","""")&amp;""-""&amp;Regexreplace(to_text(F714),""[^A-Za-z0-9]"",""""))"),"NEPTRONIC-EVCBSERIES")</f>
        <v>NEPTRONIC-EVCBSERIES</v>
      </c>
    </row>
    <row r="715" ht="30.0" customHeight="1">
      <c r="A715" s="173">
        <v>707.0</v>
      </c>
      <c r="B715" s="237" t="s">
        <v>670</v>
      </c>
      <c r="C715" s="257" t="s">
        <v>3708</v>
      </c>
      <c r="D715" s="173" t="s">
        <v>3708</v>
      </c>
      <c r="E715" s="174" t="s">
        <v>2861</v>
      </c>
      <c r="F715" s="173" t="s">
        <v>2862</v>
      </c>
      <c r="G715" s="328" t="s">
        <v>673</v>
      </c>
      <c r="H715" s="328" t="s">
        <v>2863</v>
      </c>
      <c r="I715" s="258" t="s">
        <v>2864</v>
      </c>
      <c r="J715" s="259" t="s">
        <v>902</v>
      </c>
      <c r="K715" s="260" t="s">
        <v>889</v>
      </c>
      <c r="L715" s="328"/>
      <c r="M715" s="343"/>
      <c r="N715" s="173" t="s">
        <v>679</v>
      </c>
      <c r="O715" s="173" t="s">
        <v>225</v>
      </c>
      <c r="P715" s="262" t="str">
        <f t="shared" si="1"/>
        <v>IN-BLR-ANANTA-VAV-287_2</v>
      </c>
      <c r="Q715" s="173" t="s">
        <v>3709</v>
      </c>
      <c r="R715" s="328" t="str">
        <f>IFS(C715="","",C715="n/a","N/A",LEN(C715),Concatenate("{",char(34),"asset",char(34),":{",char(34),"guid",char(34),":",char(34),Q715,char(34),",",char(34),"site",char(34),":",char(34),LOWER('2-Building'!$B$4),char(34),",",char(34),"name",char(34),":",char(34),LOWER(C715),char(34),"}}"))</f>
        <v>{"asset":{"guid":"uuid://bf6a6c75-6392-41df-807e-6f22a1ff25bf","site":"in-blr-ananta","name":"vav-287"}}</v>
      </c>
      <c r="S715" s="237" t="s">
        <v>2866</v>
      </c>
      <c r="T715" s="330"/>
      <c r="U715" s="330"/>
      <c r="V715" s="331"/>
      <c r="W715" s="344"/>
      <c r="X715" s="341"/>
      <c r="Y715" s="33" t="s">
        <v>2867</v>
      </c>
      <c r="Z715" s="258">
        <v>120287.0</v>
      </c>
      <c r="AA715" s="334">
        <v>11542.0</v>
      </c>
      <c r="AB715" s="341"/>
      <c r="AC715" s="341"/>
      <c r="AD715" s="343"/>
      <c r="AE715" s="331"/>
      <c r="AF715" s="348"/>
      <c r="AG715" s="337"/>
      <c r="AH715" s="341"/>
      <c r="AI715" s="341"/>
      <c r="AJ715" s="341"/>
      <c r="AK715" s="341"/>
      <c r="AL715" s="341"/>
      <c r="AM715" s="338"/>
      <c r="AN715" s="341"/>
      <c r="AO715" s="341"/>
      <c r="AP715" s="341"/>
      <c r="AQ715" s="341"/>
      <c r="AR715" s="341"/>
      <c r="AS715" s="341"/>
      <c r="AT715" s="341"/>
      <c r="AU715" s="343"/>
      <c r="AV715" s="341"/>
      <c r="AW715" s="269" t="s">
        <v>2073</v>
      </c>
      <c r="AX715" s="334" t="s">
        <v>2869</v>
      </c>
      <c r="AY715" s="270" t="s">
        <v>695</v>
      </c>
      <c r="AZ715" s="270" t="s">
        <v>2866</v>
      </c>
      <c r="BA715" s="265">
        <v>10.0</v>
      </c>
      <c r="BB715" s="174" t="s">
        <v>245</v>
      </c>
      <c r="BC715" s="341"/>
      <c r="BD715" s="308"/>
      <c r="BE715" s="347"/>
      <c r="BF715" s="274" t="str">
        <f>IFERROR(__xludf.DUMMYFUNCTION("LOWER(Regexreplace(to_text(E715),""[^A-Za-z0-9]"","""")&amp;""_""&amp;Regexreplace(to_text(F715),""[^A-Za-z0-9]"",""""))"),"neptronic_evcbseries")</f>
        <v>neptronic_evcbseries</v>
      </c>
      <c r="BG715" s="275" t="str">
        <f>IFERROR(__xludf.DUMMYFUNCTION("upper(Regexreplace(to_text(E715),""[^A-Za-z0-9]"","""")&amp;""-""&amp;Regexreplace(to_text(F715),""[^A-Za-z0-9]"",""""))"),"NEPTRONIC-EVCBSERIES")</f>
        <v>NEPTRONIC-EVCBSERIES</v>
      </c>
    </row>
    <row r="716" ht="30.0" customHeight="1">
      <c r="A716" s="258">
        <v>708.0</v>
      </c>
      <c r="B716" s="237" t="s">
        <v>670</v>
      </c>
      <c r="C716" s="257" t="s">
        <v>3710</v>
      </c>
      <c r="D716" s="173" t="s">
        <v>3710</v>
      </c>
      <c r="E716" s="174" t="s">
        <v>2861</v>
      </c>
      <c r="F716" s="173" t="s">
        <v>2862</v>
      </c>
      <c r="G716" s="328" t="s">
        <v>673</v>
      </c>
      <c r="H716" s="328" t="s">
        <v>2863</v>
      </c>
      <c r="I716" s="258" t="s">
        <v>2864</v>
      </c>
      <c r="J716" s="259" t="s">
        <v>902</v>
      </c>
      <c r="K716" s="260" t="s">
        <v>3711</v>
      </c>
      <c r="L716" s="328"/>
      <c r="M716" s="343"/>
      <c r="N716" s="173" t="s">
        <v>679</v>
      </c>
      <c r="O716" s="173" t="s">
        <v>225</v>
      </c>
      <c r="P716" s="262" t="str">
        <f t="shared" si="1"/>
        <v>IN-BLR-ANANTA-VAV-288_2</v>
      </c>
      <c r="Q716" s="173" t="s">
        <v>3712</v>
      </c>
      <c r="R716" s="328" t="str">
        <f>IFS(C716="","",C716="n/a","N/A",LEN(C716),Concatenate("{",char(34),"asset",char(34),":{",char(34),"guid",char(34),":",char(34),Q716,char(34),",",char(34),"site",char(34),":",char(34),LOWER('2-Building'!$B$4),char(34),",",char(34),"name",char(34),":",char(34),LOWER(C716),char(34),"}}"))</f>
        <v>{"asset":{"guid":"uuid://29ab865d-159d-4fe5-b347-2fcf61618889","site":"in-blr-ananta","name":"vav-288"}}</v>
      </c>
      <c r="S716" s="237" t="s">
        <v>2866</v>
      </c>
      <c r="T716" s="330"/>
      <c r="U716" s="330"/>
      <c r="V716" s="331"/>
      <c r="W716" s="344"/>
      <c r="X716" s="341"/>
      <c r="Y716" s="33" t="s">
        <v>2867</v>
      </c>
      <c r="Z716" s="258">
        <v>120288.0</v>
      </c>
      <c r="AA716" s="334">
        <v>11542.0</v>
      </c>
      <c r="AB716" s="341"/>
      <c r="AC716" s="341"/>
      <c r="AD716" s="343"/>
      <c r="AE716" s="331"/>
      <c r="AF716" s="348"/>
      <c r="AG716" s="337"/>
      <c r="AH716" s="341"/>
      <c r="AI716" s="341"/>
      <c r="AJ716" s="341"/>
      <c r="AK716" s="341"/>
      <c r="AL716" s="341"/>
      <c r="AM716" s="338"/>
      <c r="AN716" s="341"/>
      <c r="AO716" s="341"/>
      <c r="AP716" s="341"/>
      <c r="AQ716" s="341"/>
      <c r="AR716" s="341"/>
      <c r="AS716" s="341"/>
      <c r="AT716" s="341"/>
      <c r="AU716" s="343"/>
      <c r="AV716" s="341"/>
      <c r="AW716" s="269" t="s">
        <v>2073</v>
      </c>
      <c r="AX716" s="334" t="s">
        <v>2869</v>
      </c>
      <c r="AY716" s="270" t="s">
        <v>695</v>
      </c>
      <c r="AZ716" s="270" t="s">
        <v>2866</v>
      </c>
      <c r="BA716" s="265">
        <v>10.0</v>
      </c>
      <c r="BB716" s="174" t="s">
        <v>245</v>
      </c>
      <c r="BC716" s="341"/>
      <c r="BD716" s="308"/>
      <c r="BE716" s="347"/>
      <c r="BF716" s="274" t="str">
        <f>IFERROR(__xludf.DUMMYFUNCTION("LOWER(Regexreplace(to_text(E716),""[^A-Za-z0-9]"","""")&amp;""_""&amp;Regexreplace(to_text(F716),""[^A-Za-z0-9]"",""""))"),"neptronic_evcbseries")</f>
        <v>neptronic_evcbseries</v>
      </c>
      <c r="BG716" s="275" t="str">
        <f>IFERROR(__xludf.DUMMYFUNCTION("upper(Regexreplace(to_text(E716),""[^A-Za-z0-9]"","""")&amp;""-""&amp;Regexreplace(to_text(F716),""[^A-Za-z0-9]"",""""))"),"NEPTRONIC-EVCBSERIES")</f>
        <v>NEPTRONIC-EVCBSERIES</v>
      </c>
    </row>
    <row r="717" ht="30.0" customHeight="1">
      <c r="A717" s="173">
        <v>709.0</v>
      </c>
      <c r="B717" s="237" t="s">
        <v>670</v>
      </c>
      <c r="C717" s="257" t="s">
        <v>3713</v>
      </c>
      <c r="D717" s="173" t="s">
        <v>3713</v>
      </c>
      <c r="E717" s="174" t="s">
        <v>2861</v>
      </c>
      <c r="F717" s="173" t="s">
        <v>2862</v>
      </c>
      <c r="G717" s="328" t="s">
        <v>673</v>
      </c>
      <c r="H717" s="328" t="s">
        <v>2863</v>
      </c>
      <c r="I717" s="258" t="s">
        <v>2864</v>
      </c>
      <c r="J717" s="259" t="s">
        <v>902</v>
      </c>
      <c r="K717" s="260" t="s">
        <v>3629</v>
      </c>
      <c r="L717" s="328"/>
      <c r="M717" s="343"/>
      <c r="N717" s="173" t="s">
        <v>679</v>
      </c>
      <c r="O717" s="173" t="s">
        <v>225</v>
      </c>
      <c r="P717" s="262" t="str">
        <f t="shared" si="1"/>
        <v>IN-BLR-ANANTA-VAV-289_2</v>
      </c>
      <c r="Q717" s="173" t="s">
        <v>3714</v>
      </c>
      <c r="R717" s="328" t="str">
        <f>IFS(C717="","",C717="n/a","N/A",LEN(C717),Concatenate("{",char(34),"asset",char(34),":{",char(34),"guid",char(34),":",char(34),Q717,char(34),",",char(34),"site",char(34),":",char(34),LOWER('2-Building'!$B$4),char(34),",",char(34),"name",char(34),":",char(34),LOWER(C717),char(34),"}}"))</f>
        <v>{"asset":{"guid":"uuid://028b4acb-c1d8-414f-b501-b1a32b9ce591","site":"in-blr-ananta","name":"vav-289"}}</v>
      </c>
      <c r="S717" s="237" t="s">
        <v>2866</v>
      </c>
      <c r="T717" s="330"/>
      <c r="U717" s="330"/>
      <c r="V717" s="331"/>
      <c r="W717" s="344"/>
      <c r="X717" s="341"/>
      <c r="Y717" s="33" t="s">
        <v>2867</v>
      </c>
      <c r="Z717" s="258">
        <v>120289.0</v>
      </c>
      <c r="AA717" s="334">
        <v>11542.0</v>
      </c>
      <c r="AB717" s="341"/>
      <c r="AC717" s="341"/>
      <c r="AD717" s="343"/>
      <c r="AE717" s="331"/>
      <c r="AF717" s="348"/>
      <c r="AG717" s="337"/>
      <c r="AH717" s="341"/>
      <c r="AI717" s="341"/>
      <c r="AJ717" s="341"/>
      <c r="AK717" s="341"/>
      <c r="AL717" s="341"/>
      <c r="AM717" s="338"/>
      <c r="AN717" s="341"/>
      <c r="AO717" s="341"/>
      <c r="AP717" s="341"/>
      <c r="AQ717" s="341"/>
      <c r="AR717" s="341"/>
      <c r="AS717" s="341"/>
      <c r="AT717" s="341"/>
      <c r="AU717" s="343"/>
      <c r="AV717" s="341"/>
      <c r="AW717" s="269" t="s">
        <v>2073</v>
      </c>
      <c r="AX717" s="334" t="s">
        <v>2869</v>
      </c>
      <c r="AY717" s="270" t="s">
        <v>695</v>
      </c>
      <c r="AZ717" s="270" t="s">
        <v>2866</v>
      </c>
      <c r="BA717" s="265">
        <v>10.0</v>
      </c>
      <c r="BB717" s="174" t="s">
        <v>245</v>
      </c>
      <c r="BC717" s="341"/>
      <c r="BD717" s="308"/>
      <c r="BE717" s="347"/>
      <c r="BF717" s="274" t="str">
        <f>IFERROR(__xludf.DUMMYFUNCTION("LOWER(Regexreplace(to_text(E717),""[^A-Za-z0-9]"","""")&amp;""_""&amp;Regexreplace(to_text(F717),""[^A-Za-z0-9]"",""""))"),"neptronic_evcbseries")</f>
        <v>neptronic_evcbseries</v>
      </c>
      <c r="BG717" s="275" t="str">
        <f>IFERROR(__xludf.DUMMYFUNCTION("upper(Regexreplace(to_text(E717),""[^A-Za-z0-9]"","""")&amp;""-""&amp;Regexreplace(to_text(F717),""[^A-Za-z0-9]"",""""))"),"NEPTRONIC-EVCBSERIES")</f>
        <v>NEPTRONIC-EVCBSERIES</v>
      </c>
    </row>
    <row r="718" ht="30.0" customHeight="1">
      <c r="A718" s="258">
        <v>710.0</v>
      </c>
      <c r="B718" s="237" t="s">
        <v>670</v>
      </c>
      <c r="C718" s="257" t="s">
        <v>3715</v>
      </c>
      <c r="D718" s="173" t="s">
        <v>3715</v>
      </c>
      <c r="E718" s="174" t="s">
        <v>2861</v>
      </c>
      <c r="F718" s="173" t="s">
        <v>2862</v>
      </c>
      <c r="G718" s="328" t="s">
        <v>673</v>
      </c>
      <c r="H718" s="328" t="s">
        <v>2863</v>
      </c>
      <c r="I718" s="258" t="s">
        <v>2864</v>
      </c>
      <c r="J718" s="259" t="s">
        <v>902</v>
      </c>
      <c r="K718" s="260" t="s">
        <v>3716</v>
      </c>
      <c r="L718" s="328"/>
      <c r="M718" s="343"/>
      <c r="N718" s="173" t="s">
        <v>679</v>
      </c>
      <c r="O718" s="173" t="s">
        <v>225</v>
      </c>
      <c r="P718" s="262" t="str">
        <f t="shared" si="1"/>
        <v>IN-BLR-ANANTA-VAV-290_2</v>
      </c>
      <c r="Q718" s="173" t="s">
        <v>3717</v>
      </c>
      <c r="R718" s="328" t="str">
        <f>IFS(C718="","",C718="n/a","N/A",LEN(C718),Concatenate("{",char(34),"asset",char(34),":{",char(34),"guid",char(34),":",char(34),Q718,char(34),",",char(34),"site",char(34),":",char(34),LOWER('2-Building'!$B$4),char(34),",",char(34),"name",char(34),":",char(34),LOWER(C718),char(34),"}}"))</f>
        <v>{"asset":{"guid":"uuid://779f7251-b3c4-4fec-aa6a-2c6a76a3257e","site":"in-blr-ananta","name":"vav-290"}}</v>
      </c>
      <c r="S718" s="237" t="s">
        <v>2866</v>
      </c>
      <c r="T718" s="330"/>
      <c r="U718" s="330"/>
      <c r="V718" s="331"/>
      <c r="W718" s="344"/>
      <c r="X718" s="341"/>
      <c r="Y718" s="33" t="s">
        <v>2867</v>
      </c>
      <c r="Z718" s="258">
        <v>120290.0</v>
      </c>
      <c r="AA718" s="334">
        <v>11542.0</v>
      </c>
      <c r="AB718" s="341"/>
      <c r="AC718" s="341"/>
      <c r="AD718" s="343"/>
      <c r="AE718" s="331"/>
      <c r="AF718" s="348"/>
      <c r="AG718" s="337"/>
      <c r="AH718" s="341"/>
      <c r="AI718" s="341"/>
      <c r="AJ718" s="341"/>
      <c r="AK718" s="341"/>
      <c r="AL718" s="341"/>
      <c r="AM718" s="338"/>
      <c r="AN718" s="341"/>
      <c r="AO718" s="341"/>
      <c r="AP718" s="341"/>
      <c r="AQ718" s="341"/>
      <c r="AR718" s="341"/>
      <c r="AS718" s="341"/>
      <c r="AT718" s="341"/>
      <c r="AU718" s="343"/>
      <c r="AV718" s="341"/>
      <c r="AW718" s="269" t="s">
        <v>2073</v>
      </c>
      <c r="AX718" s="334" t="s">
        <v>2869</v>
      </c>
      <c r="AY718" s="270" t="s">
        <v>695</v>
      </c>
      <c r="AZ718" s="270" t="s">
        <v>2866</v>
      </c>
      <c r="BA718" s="265">
        <v>10.0</v>
      </c>
      <c r="BB718" s="174" t="s">
        <v>245</v>
      </c>
      <c r="BC718" s="341"/>
      <c r="BD718" s="308"/>
      <c r="BE718" s="347"/>
      <c r="BF718" s="274" t="str">
        <f>IFERROR(__xludf.DUMMYFUNCTION("LOWER(Regexreplace(to_text(E718),""[^A-Za-z0-9]"","""")&amp;""_""&amp;Regexreplace(to_text(F718),""[^A-Za-z0-9]"",""""))"),"neptronic_evcbseries")</f>
        <v>neptronic_evcbseries</v>
      </c>
      <c r="BG718" s="275" t="str">
        <f>IFERROR(__xludf.DUMMYFUNCTION("upper(Regexreplace(to_text(E718),""[^A-Za-z0-9]"","""")&amp;""-""&amp;Regexreplace(to_text(F718),""[^A-Za-z0-9]"",""""))"),"NEPTRONIC-EVCBSERIES")</f>
        <v>NEPTRONIC-EVCBSERIES</v>
      </c>
    </row>
    <row r="719" ht="30.0" customHeight="1">
      <c r="A719" s="173">
        <v>711.0</v>
      </c>
      <c r="B719" s="237" t="s">
        <v>670</v>
      </c>
      <c r="C719" s="257" t="s">
        <v>3718</v>
      </c>
      <c r="D719" s="173" t="s">
        <v>3718</v>
      </c>
      <c r="E719" s="174" t="s">
        <v>2861</v>
      </c>
      <c r="F719" s="173" t="s">
        <v>2862</v>
      </c>
      <c r="G719" s="328" t="s">
        <v>673</v>
      </c>
      <c r="H719" s="328" t="s">
        <v>2863</v>
      </c>
      <c r="I719" s="258" t="s">
        <v>2864</v>
      </c>
      <c r="J719" s="259" t="s">
        <v>902</v>
      </c>
      <c r="K719" s="260" t="s">
        <v>3719</v>
      </c>
      <c r="L719" s="328"/>
      <c r="M719" s="343"/>
      <c r="N719" s="173" t="s">
        <v>679</v>
      </c>
      <c r="O719" s="173" t="s">
        <v>225</v>
      </c>
      <c r="P719" s="262" t="str">
        <f t="shared" si="1"/>
        <v>IN-BLR-ANANTA-VAV-291_2</v>
      </c>
      <c r="Q719" s="173" t="s">
        <v>3720</v>
      </c>
      <c r="R719" s="328" t="str">
        <f>IFS(C719="","",C719="n/a","N/A",LEN(C719),Concatenate("{",char(34),"asset",char(34),":{",char(34),"guid",char(34),":",char(34),Q719,char(34),",",char(34),"site",char(34),":",char(34),LOWER('2-Building'!$B$4),char(34),",",char(34),"name",char(34),":",char(34),LOWER(C719),char(34),"}}"))</f>
        <v>{"asset":{"guid":"uuid://1754b177-a8c3-4a2a-ba16-882557584b57","site":"in-blr-ananta","name":"vav-291"}}</v>
      </c>
      <c r="S719" s="237" t="s">
        <v>2866</v>
      </c>
      <c r="T719" s="330"/>
      <c r="U719" s="330"/>
      <c r="V719" s="331"/>
      <c r="W719" s="344"/>
      <c r="X719" s="341"/>
      <c r="Y719" s="33" t="s">
        <v>2867</v>
      </c>
      <c r="Z719" s="258">
        <v>120291.0</v>
      </c>
      <c r="AA719" s="334">
        <v>11542.0</v>
      </c>
      <c r="AB719" s="341"/>
      <c r="AC719" s="341"/>
      <c r="AD719" s="343"/>
      <c r="AE719" s="331"/>
      <c r="AF719" s="348"/>
      <c r="AG719" s="337"/>
      <c r="AH719" s="341"/>
      <c r="AI719" s="341"/>
      <c r="AJ719" s="341"/>
      <c r="AK719" s="341"/>
      <c r="AL719" s="341"/>
      <c r="AM719" s="338"/>
      <c r="AN719" s="341"/>
      <c r="AO719" s="341"/>
      <c r="AP719" s="341"/>
      <c r="AQ719" s="341"/>
      <c r="AR719" s="341"/>
      <c r="AS719" s="341"/>
      <c r="AT719" s="341"/>
      <c r="AU719" s="343"/>
      <c r="AV719" s="341"/>
      <c r="AW719" s="269" t="s">
        <v>2073</v>
      </c>
      <c r="AX719" s="334" t="s">
        <v>2869</v>
      </c>
      <c r="AY719" s="270" t="s">
        <v>695</v>
      </c>
      <c r="AZ719" s="270" t="s">
        <v>2866</v>
      </c>
      <c r="BA719" s="265">
        <v>10.0</v>
      </c>
      <c r="BB719" s="174" t="s">
        <v>245</v>
      </c>
      <c r="BC719" s="341"/>
      <c r="BD719" s="308"/>
      <c r="BE719" s="347"/>
      <c r="BF719" s="274" t="str">
        <f>IFERROR(__xludf.DUMMYFUNCTION("LOWER(Regexreplace(to_text(E719),""[^A-Za-z0-9]"","""")&amp;""_""&amp;Regexreplace(to_text(F719),""[^A-Za-z0-9]"",""""))"),"neptronic_evcbseries")</f>
        <v>neptronic_evcbseries</v>
      </c>
      <c r="BG719" s="275" t="str">
        <f>IFERROR(__xludf.DUMMYFUNCTION("upper(Regexreplace(to_text(E719),""[^A-Za-z0-9]"","""")&amp;""-""&amp;Regexreplace(to_text(F719),""[^A-Za-z0-9]"",""""))"),"NEPTRONIC-EVCBSERIES")</f>
        <v>NEPTRONIC-EVCBSERIES</v>
      </c>
    </row>
    <row r="720" ht="30.0" customHeight="1">
      <c r="A720" s="258">
        <v>712.0</v>
      </c>
      <c r="B720" s="237" t="s">
        <v>670</v>
      </c>
      <c r="C720" s="257" t="s">
        <v>3721</v>
      </c>
      <c r="D720" s="173" t="s">
        <v>3721</v>
      </c>
      <c r="E720" s="174" t="s">
        <v>2861</v>
      </c>
      <c r="F720" s="173" t="s">
        <v>2862</v>
      </c>
      <c r="G720" s="328" t="s">
        <v>673</v>
      </c>
      <c r="H720" s="328" t="s">
        <v>2863</v>
      </c>
      <c r="I720" s="258" t="s">
        <v>2864</v>
      </c>
      <c r="J720" s="259" t="s">
        <v>902</v>
      </c>
      <c r="K720" s="260" t="s">
        <v>3722</v>
      </c>
      <c r="L720" s="328"/>
      <c r="M720" s="343"/>
      <c r="N720" s="173" t="s">
        <v>679</v>
      </c>
      <c r="O720" s="173" t="s">
        <v>225</v>
      </c>
      <c r="P720" s="262" t="str">
        <f t="shared" si="1"/>
        <v>IN-BLR-ANANTA-VAV-292_2</v>
      </c>
      <c r="Q720" s="173" t="s">
        <v>3723</v>
      </c>
      <c r="R720" s="328" t="str">
        <f>IFS(C720="","",C720="n/a","N/A",LEN(C720),Concatenate("{",char(34),"asset",char(34),":{",char(34),"guid",char(34),":",char(34),Q720,char(34),",",char(34),"site",char(34),":",char(34),LOWER('2-Building'!$B$4),char(34),",",char(34),"name",char(34),":",char(34),LOWER(C720),char(34),"}}"))</f>
        <v>{"asset":{"guid":"uuid://e8128aba-ad1b-42e2-af91-76196f7be09a","site":"in-blr-ananta","name":"vav-292"}}</v>
      </c>
      <c r="S720" s="237" t="s">
        <v>2866</v>
      </c>
      <c r="T720" s="330"/>
      <c r="U720" s="330"/>
      <c r="V720" s="331"/>
      <c r="W720" s="344"/>
      <c r="X720" s="341"/>
      <c r="Y720" s="33" t="s">
        <v>2867</v>
      </c>
      <c r="Z720" s="258">
        <v>120292.0</v>
      </c>
      <c r="AA720" s="334">
        <v>11542.0</v>
      </c>
      <c r="AB720" s="341"/>
      <c r="AC720" s="341"/>
      <c r="AD720" s="343"/>
      <c r="AE720" s="331"/>
      <c r="AF720" s="348"/>
      <c r="AG720" s="337"/>
      <c r="AH720" s="341"/>
      <c r="AI720" s="341"/>
      <c r="AJ720" s="341"/>
      <c r="AK720" s="341"/>
      <c r="AL720" s="341"/>
      <c r="AM720" s="338"/>
      <c r="AN720" s="341"/>
      <c r="AO720" s="341"/>
      <c r="AP720" s="341"/>
      <c r="AQ720" s="341"/>
      <c r="AR720" s="341"/>
      <c r="AS720" s="341"/>
      <c r="AT720" s="341"/>
      <c r="AU720" s="343"/>
      <c r="AV720" s="341"/>
      <c r="AW720" s="269" t="s">
        <v>2073</v>
      </c>
      <c r="AX720" s="334" t="s">
        <v>2869</v>
      </c>
      <c r="AY720" s="270" t="s">
        <v>695</v>
      </c>
      <c r="AZ720" s="270" t="s">
        <v>2866</v>
      </c>
      <c r="BA720" s="265">
        <v>10.0</v>
      </c>
      <c r="BB720" s="174" t="s">
        <v>245</v>
      </c>
      <c r="BC720" s="341"/>
      <c r="BD720" s="308"/>
      <c r="BE720" s="347"/>
      <c r="BF720" s="274" t="str">
        <f>IFERROR(__xludf.DUMMYFUNCTION("LOWER(Regexreplace(to_text(E720),""[^A-Za-z0-9]"","""")&amp;""_""&amp;Regexreplace(to_text(F720),""[^A-Za-z0-9]"",""""))"),"neptronic_evcbseries")</f>
        <v>neptronic_evcbseries</v>
      </c>
      <c r="BG720" s="275" t="str">
        <f>IFERROR(__xludf.DUMMYFUNCTION("upper(Regexreplace(to_text(E720),""[^A-Za-z0-9]"","""")&amp;""-""&amp;Regexreplace(to_text(F720),""[^A-Za-z0-9]"",""""))"),"NEPTRONIC-EVCBSERIES")</f>
        <v>NEPTRONIC-EVCBSERIES</v>
      </c>
    </row>
    <row r="721" ht="30.0" customHeight="1">
      <c r="A721" s="173">
        <v>713.0</v>
      </c>
      <c r="B721" s="237" t="s">
        <v>670</v>
      </c>
      <c r="C721" s="257" t="s">
        <v>3724</v>
      </c>
      <c r="D721" s="173" t="s">
        <v>3724</v>
      </c>
      <c r="E721" s="174" t="s">
        <v>2861</v>
      </c>
      <c r="F721" s="173" t="s">
        <v>2862</v>
      </c>
      <c r="G721" s="328" t="s">
        <v>673</v>
      </c>
      <c r="H721" s="328" t="s">
        <v>2863</v>
      </c>
      <c r="I721" s="258" t="s">
        <v>2864</v>
      </c>
      <c r="J721" s="259" t="s">
        <v>902</v>
      </c>
      <c r="K721" s="260" t="s">
        <v>3725</v>
      </c>
      <c r="L721" s="328"/>
      <c r="M721" s="343"/>
      <c r="N721" s="173" t="s">
        <v>679</v>
      </c>
      <c r="O721" s="173" t="s">
        <v>225</v>
      </c>
      <c r="P721" s="262" t="str">
        <f t="shared" si="1"/>
        <v>IN-BLR-ANANTA-VAV-293_2</v>
      </c>
      <c r="Q721" s="173" t="s">
        <v>3726</v>
      </c>
      <c r="R721" s="328" t="str">
        <f>IFS(C721="","",C721="n/a","N/A",LEN(C721),Concatenate("{",char(34),"asset",char(34),":{",char(34),"guid",char(34),":",char(34),Q721,char(34),",",char(34),"site",char(34),":",char(34),LOWER('2-Building'!$B$4),char(34),",",char(34),"name",char(34),":",char(34),LOWER(C721),char(34),"}}"))</f>
        <v>{"asset":{"guid":"uuid://1226562a-23c0-4df0-bca0-f46d5edc7187","site":"in-blr-ananta","name":"vav-293"}}</v>
      </c>
      <c r="S721" s="237" t="s">
        <v>2866</v>
      </c>
      <c r="T721" s="330"/>
      <c r="U721" s="330"/>
      <c r="V721" s="331"/>
      <c r="W721" s="344"/>
      <c r="X721" s="341"/>
      <c r="Y721" s="33" t="s">
        <v>2867</v>
      </c>
      <c r="Z721" s="258">
        <v>120293.0</v>
      </c>
      <c r="AA721" s="334">
        <v>11542.0</v>
      </c>
      <c r="AB721" s="341"/>
      <c r="AC721" s="341"/>
      <c r="AD721" s="343"/>
      <c r="AE721" s="331"/>
      <c r="AF721" s="348"/>
      <c r="AG721" s="337"/>
      <c r="AH721" s="341"/>
      <c r="AI721" s="341"/>
      <c r="AJ721" s="341"/>
      <c r="AK721" s="341"/>
      <c r="AL721" s="341"/>
      <c r="AM721" s="338"/>
      <c r="AN721" s="341"/>
      <c r="AO721" s="341"/>
      <c r="AP721" s="341"/>
      <c r="AQ721" s="341"/>
      <c r="AR721" s="341"/>
      <c r="AS721" s="341"/>
      <c r="AT721" s="341"/>
      <c r="AU721" s="343"/>
      <c r="AV721" s="341"/>
      <c r="AW721" s="269" t="s">
        <v>2073</v>
      </c>
      <c r="AX721" s="334" t="s">
        <v>2869</v>
      </c>
      <c r="AY721" s="270" t="s">
        <v>695</v>
      </c>
      <c r="AZ721" s="270" t="s">
        <v>2866</v>
      </c>
      <c r="BA721" s="265">
        <v>10.0</v>
      </c>
      <c r="BB721" s="174" t="s">
        <v>245</v>
      </c>
      <c r="BC721" s="341"/>
      <c r="BD721" s="308"/>
      <c r="BE721" s="347"/>
      <c r="BF721" s="274" t="str">
        <f>IFERROR(__xludf.DUMMYFUNCTION("LOWER(Regexreplace(to_text(E721),""[^A-Za-z0-9]"","""")&amp;""_""&amp;Regexreplace(to_text(F721),""[^A-Za-z0-9]"",""""))"),"neptronic_evcbseries")</f>
        <v>neptronic_evcbseries</v>
      </c>
      <c r="BG721" s="275" t="str">
        <f>IFERROR(__xludf.DUMMYFUNCTION("upper(Regexreplace(to_text(E721),""[^A-Za-z0-9]"","""")&amp;""-""&amp;Regexreplace(to_text(F721),""[^A-Za-z0-9]"",""""))"),"NEPTRONIC-EVCBSERIES")</f>
        <v>NEPTRONIC-EVCBSERIES</v>
      </c>
    </row>
    <row r="722" ht="30.0" customHeight="1">
      <c r="A722" s="258">
        <v>714.0</v>
      </c>
      <c r="B722" s="237" t="s">
        <v>670</v>
      </c>
      <c r="C722" s="257" t="s">
        <v>3727</v>
      </c>
      <c r="D722" s="173" t="s">
        <v>3727</v>
      </c>
      <c r="E722" s="174" t="s">
        <v>2861</v>
      </c>
      <c r="F722" s="173" t="s">
        <v>2862</v>
      </c>
      <c r="G722" s="328" t="s">
        <v>673</v>
      </c>
      <c r="H722" s="328" t="s">
        <v>2863</v>
      </c>
      <c r="I722" s="258" t="s">
        <v>2864</v>
      </c>
      <c r="J722" s="259" t="s">
        <v>902</v>
      </c>
      <c r="K722" s="260" t="s">
        <v>3728</v>
      </c>
      <c r="L722" s="328"/>
      <c r="M722" s="343"/>
      <c r="N722" s="173" t="s">
        <v>679</v>
      </c>
      <c r="O722" s="173" t="s">
        <v>225</v>
      </c>
      <c r="P722" s="262" t="str">
        <f t="shared" si="1"/>
        <v>IN-BLR-ANANTA-VAV-294_2</v>
      </c>
      <c r="Q722" s="173" t="s">
        <v>3729</v>
      </c>
      <c r="R722" s="328" t="str">
        <f>IFS(C722="","",C722="n/a","N/A",LEN(C722),Concatenate("{",char(34),"asset",char(34),":{",char(34),"guid",char(34),":",char(34),Q722,char(34),",",char(34),"site",char(34),":",char(34),LOWER('2-Building'!$B$4),char(34),",",char(34),"name",char(34),":",char(34),LOWER(C722),char(34),"}}"))</f>
        <v>{"asset":{"guid":"uuid://ff0f0277-5a84-40d6-baf4-052bd732e85c","site":"in-blr-ananta","name":"vav-294"}}</v>
      </c>
      <c r="S722" s="237" t="s">
        <v>2866</v>
      </c>
      <c r="T722" s="330"/>
      <c r="U722" s="330"/>
      <c r="V722" s="331"/>
      <c r="W722" s="344"/>
      <c r="X722" s="341"/>
      <c r="Y722" s="33" t="s">
        <v>2867</v>
      </c>
      <c r="Z722" s="258">
        <v>120294.0</v>
      </c>
      <c r="AA722" s="334">
        <v>11542.0</v>
      </c>
      <c r="AB722" s="341"/>
      <c r="AC722" s="341"/>
      <c r="AD722" s="343"/>
      <c r="AE722" s="331"/>
      <c r="AF722" s="348"/>
      <c r="AG722" s="337"/>
      <c r="AH722" s="341"/>
      <c r="AI722" s="341"/>
      <c r="AJ722" s="341"/>
      <c r="AK722" s="341"/>
      <c r="AL722" s="341"/>
      <c r="AM722" s="338"/>
      <c r="AN722" s="341"/>
      <c r="AO722" s="341"/>
      <c r="AP722" s="341"/>
      <c r="AQ722" s="341"/>
      <c r="AR722" s="341"/>
      <c r="AS722" s="341"/>
      <c r="AT722" s="341"/>
      <c r="AU722" s="343"/>
      <c r="AV722" s="341"/>
      <c r="AW722" s="269" t="s">
        <v>2073</v>
      </c>
      <c r="AX722" s="334" t="s">
        <v>2869</v>
      </c>
      <c r="AY722" s="270" t="s">
        <v>695</v>
      </c>
      <c r="AZ722" s="270" t="s">
        <v>2866</v>
      </c>
      <c r="BA722" s="265">
        <v>10.0</v>
      </c>
      <c r="BB722" s="174" t="s">
        <v>245</v>
      </c>
      <c r="BC722" s="341"/>
      <c r="BD722" s="308"/>
      <c r="BE722" s="347"/>
      <c r="BF722" s="274" t="str">
        <f>IFERROR(__xludf.DUMMYFUNCTION("LOWER(Regexreplace(to_text(E722),""[^A-Za-z0-9]"","""")&amp;""_""&amp;Regexreplace(to_text(F722),""[^A-Za-z0-9]"",""""))"),"neptronic_evcbseries")</f>
        <v>neptronic_evcbseries</v>
      </c>
      <c r="BG722" s="275" t="str">
        <f>IFERROR(__xludf.DUMMYFUNCTION("upper(Regexreplace(to_text(E722),""[^A-Za-z0-9]"","""")&amp;""-""&amp;Regexreplace(to_text(F722),""[^A-Za-z0-9]"",""""))"),"NEPTRONIC-EVCBSERIES")</f>
        <v>NEPTRONIC-EVCBSERIES</v>
      </c>
    </row>
    <row r="723" ht="30.0" customHeight="1">
      <c r="A723" s="173">
        <v>715.0</v>
      </c>
      <c r="B723" s="237" t="s">
        <v>670</v>
      </c>
      <c r="C723" s="257" t="s">
        <v>3730</v>
      </c>
      <c r="D723" s="173" t="s">
        <v>3730</v>
      </c>
      <c r="E723" s="174" t="s">
        <v>2861</v>
      </c>
      <c r="F723" s="173" t="s">
        <v>2862</v>
      </c>
      <c r="G723" s="328" t="s">
        <v>673</v>
      </c>
      <c r="H723" s="328" t="s">
        <v>2863</v>
      </c>
      <c r="I723" s="258" t="s">
        <v>2864</v>
      </c>
      <c r="J723" s="259" t="s">
        <v>902</v>
      </c>
      <c r="K723" s="260" t="s">
        <v>3731</v>
      </c>
      <c r="L723" s="328"/>
      <c r="M723" s="343"/>
      <c r="N723" s="173" t="s">
        <v>679</v>
      </c>
      <c r="O723" s="173" t="s">
        <v>225</v>
      </c>
      <c r="P723" s="262" t="str">
        <f t="shared" si="1"/>
        <v>IN-BLR-ANANTA-VAV-295_2</v>
      </c>
      <c r="Q723" s="173" t="s">
        <v>3732</v>
      </c>
      <c r="R723" s="328" t="str">
        <f>IFS(C723="","",C723="n/a","N/A",LEN(C723),Concatenate("{",char(34),"asset",char(34),":{",char(34),"guid",char(34),":",char(34),Q723,char(34),",",char(34),"site",char(34),":",char(34),LOWER('2-Building'!$B$4),char(34),",",char(34),"name",char(34),":",char(34),LOWER(C723),char(34),"}}"))</f>
        <v>{"asset":{"guid":"uuid://90e3f4a4-944e-4a93-96d6-09e9f69221ff","site":"in-blr-ananta","name":"vav-295"}}</v>
      </c>
      <c r="S723" s="237" t="s">
        <v>2866</v>
      </c>
      <c r="T723" s="330"/>
      <c r="U723" s="330"/>
      <c r="V723" s="331"/>
      <c r="W723" s="344"/>
      <c r="X723" s="341"/>
      <c r="Y723" s="33" t="s">
        <v>2867</v>
      </c>
      <c r="Z723" s="258">
        <v>120295.0</v>
      </c>
      <c r="AA723" s="334">
        <v>11542.0</v>
      </c>
      <c r="AB723" s="341"/>
      <c r="AC723" s="341"/>
      <c r="AD723" s="343"/>
      <c r="AE723" s="331"/>
      <c r="AF723" s="348"/>
      <c r="AG723" s="337"/>
      <c r="AH723" s="341"/>
      <c r="AI723" s="341"/>
      <c r="AJ723" s="341"/>
      <c r="AK723" s="341"/>
      <c r="AL723" s="341"/>
      <c r="AM723" s="338"/>
      <c r="AN723" s="341"/>
      <c r="AO723" s="341"/>
      <c r="AP723" s="341"/>
      <c r="AQ723" s="341"/>
      <c r="AR723" s="341"/>
      <c r="AS723" s="341"/>
      <c r="AT723" s="341"/>
      <c r="AU723" s="343"/>
      <c r="AV723" s="341"/>
      <c r="AW723" s="269" t="s">
        <v>2073</v>
      </c>
      <c r="AX723" s="334" t="s">
        <v>2869</v>
      </c>
      <c r="AY723" s="270" t="s">
        <v>695</v>
      </c>
      <c r="AZ723" s="270" t="s">
        <v>2866</v>
      </c>
      <c r="BA723" s="265">
        <v>10.0</v>
      </c>
      <c r="BB723" s="174" t="s">
        <v>245</v>
      </c>
      <c r="BC723" s="341"/>
      <c r="BD723" s="308"/>
      <c r="BE723" s="347"/>
      <c r="BF723" s="274" t="str">
        <f>IFERROR(__xludf.DUMMYFUNCTION("LOWER(Regexreplace(to_text(E723),""[^A-Za-z0-9]"","""")&amp;""_""&amp;Regexreplace(to_text(F723),""[^A-Za-z0-9]"",""""))"),"neptronic_evcbseries")</f>
        <v>neptronic_evcbseries</v>
      </c>
      <c r="BG723" s="275" t="str">
        <f>IFERROR(__xludf.DUMMYFUNCTION("upper(Regexreplace(to_text(E723),""[^A-Za-z0-9]"","""")&amp;""-""&amp;Regexreplace(to_text(F723),""[^A-Za-z0-9]"",""""))"),"NEPTRONIC-EVCBSERIES")</f>
        <v>NEPTRONIC-EVCBSERIES</v>
      </c>
    </row>
    <row r="724" ht="30.0" customHeight="1">
      <c r="A724" s="258">
        <v>716.0</v>
      </c>
      <c r="B724" s="237" t="s">
        <v>670</v>
      </c>
      <c r="C724" s="257" t="s">
        <v>3733</v>
      </c>
      <c r="D724" s="173" t="s">
        <v>3733</v>
      </c>
      <c r="E724" s="174" t="s">
        <v>2861</v>
      </c>
      <c r="F724" s="173" t="s">
        <v>2862</v>
      </c>
      <c r="G724" s="328" t="s">
        <v>673</v>
      </c>
      <c r="H724" s="328" t="s">
        <v>2863</v>
      </c>
      <c r="I724" s="258" t="s">
        <v>2864</v>
      </c>
      <c r="J724" s="259" t="s">
        <v>902</v>
      </c>
      <c r="K724" s="260" t="s">
        <v>3734</v>
      </c>
      <c r="L724" s="328"/>
      <c r="M724" s="343"/>
      <c r="N724" s="173" t="s">
        <v>679</v>
      </c>
      <c r="O724" s="173" t="s">
        <v>225</v>
      </c>
      <c r="P724" s="262" t="str">
        <f t="shared" si="1"/>
        <v>IN-BLR-ANANTA-VAV-296_2</v>
      </c>
      <c r="Q724" s="173" t="s">
        <v>3735</v>
      </c>
      <c r="R724" s="328" t="str">
        <f>IFS(C724="","",C724="n/a","N/A",LEN(C724),Concatenate("{",char(34),"asset",char(34),":{",char(34),"guid",char(34),":",char(34),Q724,char(34),",",char(34),"site",char(34),":",char(34),LOWER('2-Building'!$B$4),char(34),",",char(34),"name",char(34),":",char(34),LOWER(C724),char(34),"}}"))</f>
        <v>{"asset":{"guid":"uuid://b1b2bd79-8183-4124-a795-6b4f95b051c6","site":"in-blr-ananta","name":"vav-296"}}</v>
      </c>
      <c r="S724" s="237" t="s">
        <v>2866</v>
      </c>
      <c r="T724" s="330"/>
      <c r="U724" s="330"/>
      <c r="V724" s="331"/>
      <c r="W724" s="344"/>
      <c r="X724" s="341"/>
      <c r="Y724" s="33" t="s">
        <v>2867</v>
      </c>
      <c r="Z724" s="258">
        <v>120296.0</v>
      </c>
      <c r="AA724" s="334">
        <v>11542.0</v>
      </c>
      <c r="AB724" s="341"/>
      <c r="AC724" s="341"/>
      <c r="AD724" s="343"/>
      <c r="AE724" s="331"/>
      <c r="AF724" s="348"/>
      <c r="AG724" s="337"/>
      <c r="AH724" s="341"/>
      <c r="AI724" s="341"/>
      <c r="AJ724" s="341"/>
      <c r="AK724" s="341"/>
      <c r="AL724" s="341"/>
      <c r="AM724" s="338"/>
      <c r="AN724" s="341"/>
      <c r="AO724" s="341"/>
      <c r="AP724" s="341"/>
      <c r="AQ724" s="341"/>
      <c r="AR724" s="341"/>
      <c r="AS724" s="341"/>
      <c r="AT724" s="341"/>
      <c r="AU724" s="343"/>
      <c r="AV724" s="341"/>
      <c r="AW724" s="269" t="s">
        <v>2073</v>
      </c>
      <c r="AX724" s="334" t="s">
        <v>2869</v>
      </c>
      <c r="AY724" s="270" t="s">
        <v>695</v>
      </c>
      <c r="AZ724" s="270" t="s">
        <v>2866</v>
      </c>
      <c r="BA724" s="265">
        <v>10.0</v>
      </c>
      <c r="BB724" s="174" t="s">
        <v>245</v>
      </c>
      <c r="BC724" s="341"/>
      <c r="BD724" s="308"/>
      <c r="BE724" s="347"/>
      <c r="BF724" s="274" t="str">
        <f>IFERROR(__xludf.DUMMYFUNCTION("LOWER(Regexreplace(to_text(E724),""[^A-Za-z0-9]"","""")&amp;""_""&amp;Regexreplace(to_text(F724),""[^A-Za-z0-9]"",""""))"),"neptronic_evcbseries")</f>
        <v>neptronic_evcbseries</v>
      </c>
      <c r="BG724" s="275" t="str">
        <f>IFERROR(__xludf.DUMMYFUNCTION("upper(Regexreplace(to_text(E724),""[^A-Za-z0-9]"","""")&amp;""-""&amp;Regexreplace(to_text(F724),""[^A-Za-z0-9]"",""""))"),"NEPTRONIC-EVCBSERIES")</f>
        <v>NEPTRONIC-EVCBSERIES</v>
      </c>
    </row>
    <row r="725" ht="30.0" customHeight="1">
      <c r="A725" s="173">
        <v>717.0</v>
      </c>
      <c r="B725" s="237" t="s">
        <v>670</v>
      </c>
      <c r="C725" s="257" t="s">
        <v>3736</v>
      </c>
      <c r="D725" s="173" t="s">
        <v>3736</v>
      </c>
      <c r="E725" s="174" t="s">
        <v>2861</v>
      </c>
      <c r="F725" s="173" t="s">
        <v>2862</v>
      </c>
      <c r="G725" s="328" t="s">
        <v>673</v>
      </c>
      <c r="H725" s="328" t="s">
        <v>2863</v>
      </c>
      <c r="I725" s="258" t="s">
        <v>2864</v>
      </c>
      <c r="J725" s="259" t="s">
        <v>902</v>
      </c>
      <c r="K725" s="260" t="s">
        <v>3737</v>
      </c>
      <c r="L725" s="328"/>
      <c r="M725" s="343"/>
      <c r="N725" s="173" t="s">
        <v>679</v>
      </c>
      <c r="O725" s="173" t="s">
        <v>225</v>
      </c>
      <c r="P725" s="262" t="str">
        <f t="shared" si="1"/>
        <v>IN-BLR-ANANTA-VAV-297_2</v>
      </c>
      <c r="Q725" s="173" t="s">
        <v>3738</v>
      </c>
      <c r="R725" s="328" t="str">
        <f>IFS(C725="","",C725="n/a","N/A",LEN(C725),Concatenate("{",char(34),"asset",char(34),":{",char(34),"guid",char(34),":",char(34),Q725,char(34),",",char(34),"site",char(34),":",char(34),LOWER('2-Building'!$B$4),char(34),",",char(34),"name",char(34),":",char(34),LOWER(C725),char(34),"}}"))</f>
        <v>{"asset":{"guid":"uuid://f50d0184-d0ee-465f-9e41-772982ccf9e2","site":"in-blr-ananta","name":"vav-297"}}</v>
      </c>
      <c r="S725" s="237" t="s">
        <v>2866</v>
      </c>
      <c r="T725" s="330"/>
      <c r="U725" s="330"/>
      <c r="V725" s="331"/>
      <c r="W725" s="344"/>
      <c r="X725" s="341"/>
      <c r="Y725" s="33" t="s">
        <v>2867</v>
      </c>
      <c r="Z725" s="258">
        <v>120297.0</v>
      </c>
      <c r="AA725" s="334">
        <v>11524.0</v>
      </c>
      <c r="AB725" s="341"/>
      <c r="AC725" s="341"/>
      <c r="AD725" s="343"/>
      <c r="AE725" s="331"/>
      <c r="AF725" s="348"/>
      <c r="AG725" s="337"/>
      <c r="AH725" s="341"/>
      <c r="AI725" s="341"/>
      <c r="AJ725" s="341"/>
      <c r="AK725" s="341"/>
      <c r="AL725" s="341"/>
      <c r="AM725" s="338"/>
      <c r="AN725" s="341"/>
      <c r="AO725" s="341"/>
      <c r="AP725" s="341"/>
      <c r="AQ725" s="341"/>
      <c r="AR725" s="341"/>
      <c r="AS725" s="341"/>
      <c r="AT725" s="341"/>
      <c r="AU725" s="343"/>
      <c r="AV725" s="341"/>
      <c r="AW725" s="269" t="s">
        <v>2053</v>
      </c>
      <c r="AX725" s="334" t="s">
        <v>2869</v>
      </c>
      <c r="AY725" s="270" t="s">
        <v>695</v>
      </c>
      <c r="AZ725" s="270" t="s">
        <v>2866</v>
      </c>
      <c r="BA725" s="265">
        <v>10.0</v>
      </c>
      <c r="BB725" s="174" t="s">
        <v>245</v>
      </c>
      <c r="BC725" s="341"/>
      <c r="BD725" s="308"/>
      <c r="BE725" s="347"/>
      <c r="BF725" s="274" t="str">
        <f>IFERROR(__xludf.DUMMYFUNCTION("LOWER(Regexreplace(to_text(E725),""[^A-Za-z0-9]"","""")&amp;""_""&amp;Regexreplace(to_text(F725),""[^A-Za-z0-9]"",""""))"),"neptronic_evcbseries")</f>
        <v>neptronic_evcbseries</v>
      </c>
      <c r="BG725" s="275" t="str">
        <f>IFERROR(__xludf.DUMMYFUNCTION("upper(Regexreplace(to_text(E725),""[^A-Za-z0-9]"","""")&amp;""-""&amp;Regexreplace(to_text(F725),""[^A-Za-z0-9]"",""""))"),"NEPTRONIC-EVCBSERIES")</f>
        <v>NEPTRONIC-EVCBSERIES</v>
      </c>
    </row>
    <row r="726" ht="30.0" customHeight="1">
      <c r="A726" s="258">
        <v>718.0</v>
      </c>
      <c r="B726" s="237" t="s">
        <v>670</v>
      </c>
      <c r="C726" s="257" t="s">
        <v>3739</v>
      </c>
      <c r="D726" s="173" t="s">
        <v>3739</v>
      </c>
      <c r="E726" s="174" t="s">
        <v>2861</v>
      </c>
      <c r="F726" s="173" t="s">
        <v>2862</v>
      </c>
      <c r="G726" s="328" t="s">
        <v>673</v>
      </c>
      <c r="H726" s="328" t="s">
        <v>2863</v>
      </c>
      <c r="I726" s="258" t="s">
        <v>2864</v>
      </c>
      <c r="J726" s="259" t="s">
        <v>902</v>
      </c>
      <c r="K726" s="260" t="s">
        <v>3740</v>
      </c>
      <c r="L726" s="328"/>
      <c r="M726" s="343"/>
      <c r="N726" s="173" t="s">
        <v>679</v>
      </c>
      <c r="O726" s="173" t="s">
        <v>225</v>
      </c>
      <c r="P726" s="262" t="str">
        <f t="shared" si="1"/>
        <v>IN-BLR-ANANTA-VAV-298_2</v>
      </c>
      <c r="Q726" s="173" t="s">
        <v>3741</v>
      </c>
      <c r="R726" s="328" t="str">
        <f>IFS(C726="","",C726="n/a","N/A",LEN(C726),Concatenate("{",char(34),"asset",char(34),":{",char(34),"guid",char(34),":",char(34),Q726,char(34),",",char(34),"site",char(34),":",char(34),LOWER('2-Building'!$B$4),char(34),",",char(34),"name",char(34),":",char(34),LOWER(C726),char(34),"}}"))</f>
        <v>{"asset":{"guid":"uuid://39d6ca32-697d-4bb8-b2c7-37e677c185a5","site":"in-blr-ananta","name":"vav-298"}}</v>
      </c>
      <c r="S726" s="237" t="s">
        <v>2866</v>
      </c>
      <c r="T726" s="330"/>
      <c r="U726" s="330"/>
      <c r="V726" s="331"/>
      <c r="W726" s="344"/>
      <c r="X726" s="341"/>
      <c r="Y726" s="33" t="s">
        <v>2867</v>
      </c>
      <c r="Z726" s="258">
        <v>120298.0</v>
      </c>
      <c r="AA726" s="334">
        <v>11524.0</v>
      </c>
      <c r="AB726" s="341"/>
      <c r="AC726" s="341"/>
      <c r="AD726" s="343"/>
      <c r="AE726" s="331"/>
      <c r="AF726" s="348"/>
      <c r="AG726" s="337"/>
      <c r="AH726" s="341"/>
      <c r="AI726" s="341"/>
      <c r="AJ726" s="341"/>
      <c r="AK726" s="341"/>
      <c r="AL726" s="341"/>
      <c r="AM726" s="338"/>
      <c r="AN726" s="341"/>
      <c r="AO726" s="341"/>
      <c r="AP726" s="341"/>
      <c r="AQ726" s="341"/>
      <c r="AR726" s="341"/>
      <c r="AS726" s="341"/>
      <c r="AT726" s="341"/>
      <c r="AU726" s="343"/>
      <c r="AV726" s="341"/>
      <c r="AW726" s="269" t="s">
        <v>2053</v>
      </c>
      <c r="AX726" s="334" t="s">
        <v>2869</v>
      </c>
      <c r="AY726" s="270" t="s">
        <v>695</v>
      </c>
      <c r="AZ726" s="270" t="s">
        <v>2866</v>
      </c>
      <c r="BA726" s="265">
        <v>10.0</v>
      </c>
      <c r="BB726" s="174" t="s">
        <v>245</v>
      </c>
      <c r="BC726" s="341"/>
      <c r="BD726" s="308"/>
      <c r="BE726" s="347"/>
      <c r="BF726" s="274" t="str">
        <f>IFERROR(__xludf.DUMMYFUNCTION("LOWER(Regexreplace(to_text(E726),""[^A-Za-z0-9]"","""")&amp;""_""&amp;Regexreplace(to_text(F726),""[^A-Za-z0-9]"",""""))"),"neptronic_evcbseries")</f>
        <v>neptronic_evcbseries</v>
      </c>
      <c r="BG726" s="275" t="str">
        <f>IFERROR(__xludf.DUMMYFUNCTION("upper(Regexreplace(to_text(E726),""[^A-Za-z0-9]"","""")&amp;""-""&amp;Regexreplace(to_text(F726),""[^A-Za-z0-9]"",""""))"),"NEPTRONIC-EVCBSERIES")</f>
        <v>NEPTRONIC-EVCBSERIES</v>
      </c>
    </row>
    <row r="727" ht="30.0" customHeight="1">
      <c r="A727" s="173">
        <v>719.0</v>
      </c>
      <c r="B727" s="237" t="s">
        <v>670</v>
      </c>
      <c r="C727" s="257" t="s">
        <v>3742</v>
      </c>
      <c r="D727" s="173" t="s">
        <v>3742</v>
      </c>
      <c r="E727" s="174" t="s">
        <v>2861</v>
      </c>
      <c r="F727" s="173" t="s">
        <v>2862</v>
      </c>
      <c r="G727" s="328" t="s">
        <v>673</v>
      </c>
      <c r="H727" s="328" t="s">
        <v>2863</v>
      </c>
      <c r="I727" s="258" t="s">
        <v>2864</v>
      </c>
      <c r="J727" s="259" t="s">
        <v>902</v>
      </c>
      <c r="K727" s="260" t="s">
        <v>3743</v>
      </c>
      <c r="L727" s="328"/>
      <c r="M727" s="343"/>
      <c r="N727" s="173" t="s">
        <v>679</v>
      </c>
      <c r="O727" s="173" t="s">
        <v>225</v>
      </c>
      <c r="P727" s="262" t="str">
        <f t="shared" si="1"/>
        <v>IN-BLR-ANANTA-VAV-299_2</v>
      </c>
      <c r="Q727" s="173" t="s">
        <v>3744</v>
      </c>
      <c r="R727" s="328" t="str">
        <f>IFS(C727="","",C727="n/a","N/A",LEN(C727),Concatenate("{",char(34),"asset",char(34),":{",char(34),"guid",char(34),":",char(34),Q727,char(34),",",char(34),"site",char(34),":",char(34),LOWER('2-Building'!$B$4),char(34),",",char(34),"name",char(34),":",char(34),LOWER(C727),char(34),"}}"))</f>
        <v>{"asset":{"guid":"uuid://ff46309e-709d-45e6-bb2a-163ae93cd87d","site":"in-blr-ananta","name":"vav-299"}}</v>
      </c>
      <c r="S727" s="237" t="s">
        <v>2866</v>
      </c>
      <c r="T727" s="330"/>
      <c r="U727" s="330"/>
      <c r="V727" s="331"/>
      <c r="W727" s="344"/>
      <c r="X727" s="341"/>
      <c r="Y727" s="33" t="s">
        <v>2867</v>
      </c>
      <c r="Z727" s="258">
        <v>120299.0</v>
      </c>
      <c r="AA727" s="334">
        <v>11524.0</v>
      </c>
      <c r="AB727" s="341"/>
      <c r="AC727" s="341"/>
      <c r="AD727" s="343"/>
      <c r="AE727" s="331"/>
      <c r="AF727" s="348"/>
      <c r="AG727" s="337"/>
      <c r="AH727" s="341"/>
      <c r="AI727" s="341"/>
      <c r="AJ727" s="341"/>
      <c r="AK727" s="341"/>
      <c r="AL727" s="341"/>
      <c r="AM727" s="338"/>
      <c r="AN727" s="341"/>
      <c r="AO727" s="341"/>
      <c r="AP727" s="341"/>
      <c r="AQ727" s="341"/>
      <c r="AR727" s="341"/>
      <c r="AS727" s="341"/>
      <c r="AT727" s="341"/>
      <c r="AU727" s="343"/>
      <c r="AV727" s="341"/>
      <c r="AW727" s="269" t="s">
        <v>2053</v>
      </c>
      <c r="AX727" s="334" t="s">
        <v>2869</v>
      </c>
      <c r="AY727" s="270" t="s">
        <v>695</v>
      </c>
      <c r="AZ727" s="270" t="s">
        <v>2866</v>
      </c>
      <c r="BA727" s="265">
        <v>10.0</v>
      </c>
      <c r="BB727" s="174" t="s">
        <v>245</v>
      </c>
      <c r="BC727" s="341"/>
      <c r="BD727" s="308"/>
      <c r="BE727" s="347"/>
      <c r="BF727" s="274" t="str">
        <f>IFERROR(__xludf.DUMMYFUNCTION("LOWER(Regexreplace(to_text(E727),""[^A-Za-z0-9]"","""")&amp;""_""&amp;Regexreplace(to_text(F727),""[^A-Za-z0-9]"",""""))"),"neptronic_evcbseries")</f>
        <v>neptronic_evcbseries</v>
      </c>
      <c r="BG727" s="275" t="str">
        <f>IFERROR(__xludf.DUMMYFUNCTION("upper(Regexreplace(to_text(E727),""[^A-Za-z0-9]"","""")&amp;""-""&amp;Regexreplace(to_text(F727),""[^A-Za-z0-9]"",""""))"),"NEPTRONIC-EVCBSERIES")</f>
        <v>NEPTRONIC-EVCBSERIES</v>
      </c>
    </row>
    <row r="728" ht="30.0" customHeight="1">
      <c r="A728" s="258">
        <v>720.0</v>
      </c>
      <c r="B728" s="237" t="s">
        <v>670</v>
      </c>
      <c r="C728" s="257" t="s">
        <v>3745</v>
      </c>
      <c r="D728" s="173" t="s">
        <v>3745</v>
      </c>
      <c r="E728" s="174" t="s">
        <v>2861</v>
      </c>
      <c r="F728" s="173" t="s">
        <v>2862</v>
      </c>
      <c r="G728" s="328" t="s">
        <v>673</v>
      </c>
      <c r="H728" s="328" t="s">
        <v>2863</v>
      </c>
      <c r="I728" s="258" t="s">
        <v>2864</v>
      </c>
      <c r="J728" s="259" t="s">
        <v>902</v>
      </c>
      <c r="K728" s="260" t="s">
        <v>3746</v>
      </c>
      <c r="L728" s="328"/>
      <c r="M728" s="343"/>
      <c r="N728" s="173" t="s">
        <v>679</v>
      </c>
      <c r="O728" s="173" t="s">
        <v>225</v>
      </c>
      <c r="P728" s="262" t="str">
        <f t="shared" si="1"/>
        <v>IN-BLR-ANANTA-VAV-300_2</v>
      </c>
      <c r="Q728" s="173" t="s">
        <v>3747</v>
      </c>
      <c r="R728" s="328" t="str">
        <f>IFS(C728="","",C728="n/a","N/A",LEN(C728),Concatenate("{",char(34),"asset",char(34),":{",char(34),"guid",char(34),":",char(34),Q728,char(34),",",char(34),"site",char(34),":",char(34),LOWER('2-Building'!$B$4),char(34),",",char(34),"name",char(34),":",char(34),LOWER(C728),char(34),"}}"))</f>
        <v>{"asset":{"guid":"uuid://d5e78361-e59d-4413-b703-7cedb47cd67e","site":"in-blr-ananta","name":"vav-300"}}</v>
      </c>
      <c r="S728" s="237" t="s">
        <v>2866</v>
      </c>
      <c r="T728" s="330"/>
      <c r="U728" s="330"/>
      <c r="V728" s="331"/>
      <c r="W728" s="344"/>
      <c r="X728" s="341"/>
      <c r="Y728" s="33" t="s">
        <v>2867</v>
      </c>
      <c r="Z728" s="258">
        <v>120300.0</v>
      </c>
      <c r="AA728" s="334">
        <v>11524.0</v>
      </c>
      <c r="AB728" s="341"/>
      <c r="AC728" s="341"/>
      <c r="AD728" s="343"/>
      <c r="AE728" s="331"/>
      <c r="AF728" s="348"/>
      <c r="AG728" s="337"/>
      <c r="AH728" s="341"/>
      <c r="AI728" s="341"/>
      <c r="AJ728" s="341"/>
      <c r="AK728" s="341"/>
      <c r="AL728" s="341"/>
      <c r="AM728" s="338"/>
      <c r="AN728" s="341"/>
      <c r="AO728" s="341"/>
      <c r="AP728" s="341"/>
      <c r="AQ728" s="341"/>
      <c r="AR728" s="341"/>
      <c r="AS728" s="341"/>
      <c r="AT728" s="341"/>
      <c r="AU728" s="343"/>
      <c r="AV728" s="341"/>
      <c r="AW728" s="269" t="s">
        <v>2053</v>
      </c>
      <c r="AX728" s="334" t="s">
        <v>2869</v>
      </c>
      <c r="AY728" s="270" t="s">
        <v>695</v>
      </c>
      <c r="AZ728" s="270" t="s">
        <v>2866</v>
      </c>
      <c r="BA728" s="265">
        <v>10.0</v>
      </c>
      <c r="BB728" s="174" t="s">
        <v>245</v>
      </c>
      <c r="BC728" s="341"/>
      <c r="BD728" s="308"/>
      <c r="BE728" s="347"/>
      <c r="BF728" s="274" t="str">
        <f>IFERROR(__xludf.DUMMYFUNCTION("LOWER(Regexreplace(to_text(E728),""[^A-Za-z0-9]"","""")&amp;""_""&amp;Regexreplace(to_text(F728),""[^A-Za-z0-9]"",""""))"),"neptronic_evcbseries")</f>
        <v>neptronic_evcbseries</v>
      </c>
      <c r="BG728" s="275" t="str">
        <f>IFERROR(__xludf.DUMMYFUNCTION("upper(Regexreplace(to_text(E728),""[^A-Za-z0-9]"","""")&amp;""-""&amp;Regexreplace(to_text(F728),""[^A-Za-z0-9]"",""""))"),"NEPTRONIC-EVCBSERIES")</f>
        <v>NEPTRONIC-EVCBSERIES</v>
      </c>
    </row>
    <row r="729" ht="30.0" customHeight="1">
      <c r="A729" s="173">
        <v>721.0</v>
      </c>
      <c r="B729" s="237" t="s">
        <v>670</v>
      </c>
      <c r="C729" s="257" t="s">
        <v>3748</v>
      </c>
      <c r="D729" s="173" t="s">
        <v>3748</v>
      </c>
      <c r="E729" s="174" t="s">
        <v>2861</v>
      </c>
      <c r="F729" s="173" t="s">
        <v>2862</v>
      </c>
      <c r="G729" s="328" t="s">
        <v>673</v>
      </c>
      <c r="H729" s="328" t="s">
        <v>2863</v>
      </c>
      <c r="I729" s="258" t="s">
        <v>2864</v>
      </c>
      <c r="J729" s="259" t="s">
        <v>902</v>
      </c>
      <c r="K729" s="260" t="s">
        <v>3749</v>
      </c>
      <c r="L729" s="328"/>
      <c r="M729" s="343"/>
      <c r="N729" s="173" t="s">
        <v>679</v>
      </c>
      <c r="O729" s="173" t="s">
        <v>225</v>
      </c>
      <c r="P729" s="262" t="str">
        <f t="shared" si="1"/>
        <v>IN-BLR-ANANTA-VAV-301_2</v>
      </c>
      <c r="Q729" s="173" t="s">
        <v>3750</v>
      </c>
      <c r="R729" s="328" t="str">
        <f>IFS(C729="","",C729="n/a","N/A",LEN(C729),Concatenate("{",char(34),"asset",char(34),":{",char(34),"guid",char(34),":",char(34),Q729,char(34),",",char(34),"site",char(34),":",char(34),LOWER('2-Building'!$B$4),char(34),",",char(34),"name",char(34),":",char(34),LOWER(C729),char(34),"}}"))</f>
        <v>{"asset":{"guid":"uuid://6799fba2-2c47-4578-8553-e466e80a05f9","site":"in-blr-ananta","name":"vav-301"}}</v>
      </c>
      <c r="S729" s="237" t="s">
        <v>2866</v>
      </c>
      <c r="T729" s="330"/>
      <c r="U729" s="330"/>
      <c r="V729" s="331"/>
      <c r="W729" s="344"/>
      <c r="X729" s="341"/>
      <c r="Y729" s="33" t="s">
        <v>2867</v>
      </c>
      <c r="Z729" s="258">
        <v>120301.0</v>
      </c>
      <c r="AA729" s="334">
        <v>11524.0</v>
      </c>
      <c r="AB729" s="341"/>
      <c r="AC729" s="341"/>
      <c r="AD729" s="343"/>
      <c r="AE729" s="331"/>
      <c r="AF729" s="348"/>
      <c r="AG729" s="337"/>
      <c r="AH729" s="341"/>
      <c r="AI729" s="341"/>
      <c r="AJ729" s="341"/>
      <c r="AK729" s="341"/>
      <c r="AL729" s="341"/>
      <c r="AM729" s="338"/>
      <c r="AN729" s="341"/>
      <c r="AO729" s="341"/>
      <c r="AP729" s="341"/>
      <c r="AQ729" s="341"/>
      <c r="AR729" s="341"/>
      <c r="AS729" s="341"/>
      <c r="AT729" s="341"/>
      <c r="AU729" s="343"/>
      <c r="AV729" s="341"/>
      <c r="AW729" s="269" t="s">
        <v>2053</v>
      </c>
      <c r="AX729" s="334" t="s">
        <v>2869</v>
      </c>
      <c r="AY729" s="270" t="s">
        <v>695</v>
      </c>
      <c r="AZ729" s="270" t="s">
        <v>2866</v>
      </c>
      <c r="BA729" s="265">
        <v>10.0</v>
      </c>
      <c r="BB729" s="174" t="s">
        <v>245</v>
      </c>
      <c r="BC729" s="341"/>
      <c r="BD729" s="308"/>
      <c r="BE729" s="347"/>
      <c r="BF729" s="274" t="str">
        <f>IFERROR(__xludf.DUMMYFUNCTION("LOWER(Regexreplace(to_text(E729),""[^A-Za-z0-9]"","""")&amp;""_""&amp;Regexreplace(to_text(F729),""[^A-Za-z0-9]"",""""))"),"neptronic_evcbseries")</f>
        <v>neptronic_evcbseries</v>
      </c>
      <c r="BG729" s="275" t="str">
        <f>IFERROR(__xludf.DUMMYFUNCTION("upper(Regexreplace(to_text(E729),""[^A-Za-z0-9]"","""")&amp;""-""&amp;Regexreplace(to_text(F729),""[^A-Za-z0-9]"",""""))"),"NEPTRONIC-EVCBSERIES")</f>
        <v>NEPTRONIC-EVCBSERIES</v>
      </c>
    </row>
    <row r="730" ht="30.0" customHeight="1">
      <c r="A730" s="258">
        <v>722.0</v>
      </c>
      <c r="B730" s="237" t="s">
        <v>670</v>
      </c>
      <c r="C730" s="257" t="s">
        <v>3751</v>
      </c>
      <c r="D730" s="173" t="s">
        <v>3751</v>
      </c>
      <c r="E730" s="174" t="s">
        <v>2861</v>
      </c>
      <c r="F730" s="173" t="s">
        <v>2862</v>
      </c>
      <c r="G730" s="328" t="s">
        <v>673</v>
      </c>
      <c r="H730" s="328" t="s">
        <v>2863</v>
      </c>
      <c r="I730" s="258" t="s">
        <v>2864</v>
      </c>
      <c r="J730" s="259" t="s">
        <v>902</v>
      </c>
      <c r="K730" s="260" t="s">
        <v>3752</v>
      </c>
      <c r="L730" s="328"/>
      <c r="M730" s="343"/>
      <c r="N730" s="173" t="s">
        <v>679</v>
      </c>
      <c r="O730" s="173" t="s">
        <v>225</v>
      </c>
      <c r="P730" s="262" t="str">
        <f t="shared" si="1"/>
        <v>IN-BLR-ANANTA-VAV-302_2</v>
      </c>
      <c r="Q730" s="173" t="s">
        <v>3753</v>
      </c>
      <c r="R730" s="328" t="str">
        <f>IFS(C730="","",C730="n/a","N/A",LEN(C730),Concatenate("{",char(34),"asset",char(34),":{",char(34),"guid",char(34),":",char(34),Q730,char(34),",",char(34),"site",char(34),":",char(34),LOWER('2-Building'!$B$4),char(34),",",char(34),"name",char(34),":",char(34),LOWER(C730),char(34),"}}"))</f>
        <v>{"asset":{"guid":"uuid://4f31d898-5ab8-4b8a-ba85-d996812008cb","site":"in-blr-ananta","name":"vav-302"}}</v>
      </c>
      <c r="S730" s="237" t="s">
        <v>2866</v>
      </c>
      <c r="T730" s="330"/>
      <c r="U730" s="330"/>
      <c r="V730" s="331"/>
      <c r="W730" s="344"/>
      <c r="X730" s="341"/>
      <c r="Y730" s="33" t="s">
        <v>2867</v>
      </c>
      <c r="Z730" s="258">
        <v>120302.0</v>
      </c>
      <c r="AA730" s="334">
        <v>11524.0</v>
      </c>
      <c r="AB730" s="341"/>
      <c r="AC730" s="341"/>
      <c r="AD730" s="343"/>
      <c r="AE730" s="331"/>
      <c r="AF730" s="348"/>
      <c r="AG730" s="337"/>
      <c r="AH730" s="341"/>
      <c r="AI730" s="341"/>
      <c r="AJ730" s="341"/>
      <c r="AK730" s="341"/>
      <c r="AL730" s="341"/>
      <c r="AM730" s="338"/>
      <c r="AN730" s="341"/>
      <c r="AO730" s="341"/>
      <c r="AP730" s="341"/>
      <c r="AQ730" s="341"/>
      <c r="AR730" s="341"/>
      <c r="AS730" s="341"/>
      <c r="AT730" s="341"/>
      <c r="AU730" s="343"/>
      <c r="AV730" s="341"/>
      <c r="AW730" s="269" t="s">
        <v>2053</v>
      </c>
      <c r="AX730" s="334" t="s">
        <v>2869</v>
      </c>
      <c r="AY730" s="270" t="s">
        <v>695</v>
      </c>
      <c r="AZ730" s="270" t="s">
        <v>2866</v>
      </c>
      <c r="BA730" s="265">
        <v>10.0</v>
      </c>
      <c r="BB730" s="174" t="s">
        <v>245</v>
      </c>
      <c r="BC730" s="341"/>
      <c r="BD730" s="308"/>
      <c r="BE730" s="347"/>
      <c r="BF730" s="274" t="str">
        <f>IFERROR(__xludf.DUMMYFUNCTION("LOWER(Regexreplace(to_text(E730),""[^A-Za-z0-9]"","""")&amp;""_""&amp;Regexreplace(to_text(F730),""[^A-Za-z0-9]"",""""))"),"neptronic_evcbseries")</f>
        <v>neptronic_evcbseries</v>
      </c>
      <c r="BG730" s="275" t="str">
        <f>IFERROR(__xludf.DUMMYFUNCTION("upper(Regexreplace(to_text(E730),""[^A-Za-z0-9]"","""")&amp;""-""&amp;Regexreplace(to_text(F730),""[^A-Za-z0-9]"",""""))"),"NEPTRONIC-EVCBSERIES")</f>
        <v>NEPTRONIC-EVCBSERIES</v>
      </c>
    </row>
    <row r="731" ht="30.0" customHeight="1">
      <c r="A731" s="173">
        <v>723.0</v>
      </c>
      <c r="B731" s="237" t="s">
        <v>670</v>
      </c>
      <c r="C731" s="257" t="s">
        <v>3754</v>
      </c>
      <c r="D731" s="173" t="s">
        <v>3754</v>
      </c>
      <c r="E731" s="174" t="s">
        <v>2861</v>
      </c>
      <c r="F731" s="173" t="s">
        <v>2862</v>
      </c>
      <c r="G731" s="328" t="s">
        <v>673</v>
      </c>
      <c r="H731" s="328" t="s">
        <v>2863</v>
      </c>
      <c r="I731" s="258" t="s">
        <v>2864</v>
      </c>
      <c r="J731" s="259" t="s">
        <v>902</v>
      </c>
      <c r="K731" s="260" t="s">
        <v>3755</v>
      </c>
      <c r="L731" s="328"/>
      <c r="M731" s="343"/>
      <c r="N731" s="173" t="s">
        <v>679</v>
      </c>
      <c r="O731" s="173" t="s">
        <v>225</v>
      </c>
      <c r="P731" s="262" t="str">
        <f t="shared" si="1"/>
        <v>IN-BLR-ANANTA-VAV-303_2</v>
      </c>
      <c r="Q731" s="173" t="s">
        <v>3756</v>
      </c>
      <c r="R731" s="328" t="str">
        <f>IFS(C731="","",C731="n/a","N/A",LEN(C731),Concatenate("{",char(34),"asset",char(34),":{",char(34),"guid",char(34),":",char(34),Q731,char(34),",",char(34),"site",char(34),":",char(34),LOWER('2-Building'!$B$4),char(34),",",char(34),"name",char(34),":",char(34),LOWER(C731),char(34),"}}"))</f>
        <v>{"asset":{"guid":"uuid://a4feb30d-5ce8-4b22-9369-ea202e633f04","site":"in-blr-ananta","name":"vav-303"}}</v>
      </c>
      <c r="S731" s="237" t="s">
        <v>2866</v>
      </c>
      <c r="T731" s="330"/>
      <c r="U731" s="330"/>
      <c r="V731" s="331"/>
      <c r="W731" s="344"/>
      <c r="X731" s="341"/>
      <c r="Y731" s="33" t="s">
        <v>2867</v>
      </c>
      <c r="Z731" s="258">
        <v>120303.0</v>
      </c>
      <c r="AA731" s="334">
        <v>11524.0</v>
      </c>
      <c r="AB731" s="341"/>
      <c r="AC731" s="341"/>
      <c r="AD731" s="343"/>
      <c r="AE731" s="331"/>
      <c r="AF731" s="348"/>
      <c r="AG731" s="337"/>
      <c r="AH731" s="341"/>
      <c r="AI731" s="341"/>
      <c r="AJ731" s="341"/>
      <c r="AK731" s="341"/>
      <c r="AL731" s="341"/>
      <c r="AM731" s="338"/>
      <c r="AN731" s="341"/>
      <c r="AO731" s="341"/>
      <c r="AP731" s="341"/>
      <c r="AQ731" s="341"/>
      <c r="AR731" s="341"/>
      <c r="AS731" s="341"/>
      <c r="AT731" s="341"/>
      <c r="AU731" s="343"/>
      <c r="AV731" s="341"/>
      <c r="AW731" s="269" t="s">
        <v>2053</v>
      </c>
      <c r="AX731" s="334" t="s">
        <v>2869</v>
      </c>
      <c r="AY731" s="270" t="s">
        <v>695</v>
      </c>
      <c r="AZ731" s="270" t="s">
        <v>2866</v>
      </c>
      <c r="BA731" s="265">
        <v>10.0</v>
      </c>
      <c r="BB731" s="174" t="s">
        <v>245</v>
      </c>
      <c r="BC731" s="341"/>
      <c r="BD731" s="308"/>
      <c r="BE731" s="347"/>
      <c r="BF731" s="274" t="str">
        <f>IFERROR(__xludf.DUMMYFUNCTION("LOWER(Regexreplace(to_text(E731),""[^A-Za-z0-9]"","""")&amp;""_""&amp;Regexreplace(to_text(F731),""[^A-Za-z0-9]"",""""))"),"neptronic_evcbseries")</f>
        <v>neptronic_evcbseries</v>
      </c>
      <c r="BG731" s="275" t="str">
        <f>IFERROR(__xludf.DUMMYFUNCTION("upper(Regexreplace(to_text(E731),""[^A-Za-z0-9]"","""")&amp;""-""&amp;Regexreplace(to_text(F731),""[^A-Za-z0-9]"",""""))"),"NEPTRONIC-EVCBSERIES")</f>
        <v>NEPTRONIC-EVCBSERIES</v>
      </c>
    </row>
    <row r="732" ht="30.0" customHeight="1">
      <c r="A732" s="258">
        <v>724.0</v>
      </c>
      <c r="B732" s="237" t="s">
        <v>670</v>
      </c>
      <c r="C732" s="257" t="s">
        <v>3757</v>
      </c>
      <c r="D732" s="173" t="s">
        <v>3757</v>
      </c>
      <c r="E732" s="174" t="s">
        <v>2861</v>
      </c>
      <c r="F732" s="173" t="s">
        <v>2862</v>
      </c>
      <c r="G732" s="328" t="s">
        <v>673</v>
      </c>
      <c r="H732" s="328" t="s">
        <v>2863</v>
      </c>
      <c r="I732" s="258" t="s">
        <v>2864</v>
      </c>
      <c r="J732" s="259" t="s">
        <v>902</v>
      </c>
      <c r="K732" s="260" t="s">
        <v>3758</v>
      </c>
      <c r="L732" s="328"/>
      <c r="M732" s="343"/>
      <c r="N732" s="173" t="s">
        <v>679</v>
      </c>
      <c r="O732" s="173" t="s">
        <v>225</v>
      </c>
      <c r="P732" s="262" t="str">
        <f t="shared" si="1"/>
        <v>IN-BLR-ANANTA-VAV-304_2</v>
      </c>
      <c r="Q732" s="173" t="s">
        <v>3759</v>
      </c>
      <c r="R732" s="328" t="str">
        <f>IFS(C732="","",C732="n/a","N/A",LEN(C732),Concatenate("{",char(34),"asset",char(34),":{",char(34),"guid",char(34),":",char(34),Q732,char(34),",",char(34),"site",char(34),":",char(34),LOWER('2-Building'!$B$4),char(34),",",char(34),"name",char(34),":",char(34),LOWER(C732),char(34),"}}"))</f>
        <v>{"asset":{"guid":"uuid://2f681d40-e633-4b2e-b385-5cb761a01b03","site":"in-blr-ananta","name":"vav-304"}}</v>
      </c>
      <c r="S732" s="237" t="s">
        <v>2866</v>
      </c>
      <c r="T732" s="330"/>
      <c r="U732" s="330"/>
      <c r="V732" s="331"/>
      <c r="W732" s="344"/>
      <c r="X732" s="341"/>
      <c r="Y732" s="33" t="s">
        <v>2867</v>
      </c>
      <c r="Z732" s="258">
        <v>120304.0</v>
      </c>
      <c r="AA732" s="334">
        <v>11524.0</v>
      </c>
      <c r="AB732" s="341"/>
      <c r="AC732" s="341"/>
      <c r="AD732" s="343"/>
      <c r="AE732" s="331"/>
      <c r="AF732" s="348"/>
      <c r="AG732" s="337"/>
      <c r="AH732" s="341"/>
      <c r="AI732" s="341"/>
      <c r="AJ732" s="341"/>
      <c r="AK732" s="341"/>
      <c r="AL732" s="341"/>
      <c r="AM732" s="338"/>
      <c r="AN732" s="341"/>
      <c r="AO732" s="341"/>
      <c r="AP732" s="341"/>
      <c r="AQ732" s="341"/>
      <c r="AR732" s="341"/>
      <c r="AS732" s="341"/>
      <c r="AT732" s="341"/>
      <c r="AU732" s="343"/>
      <c r="AV732" s="341"/>
      <c r="AW732" s="269" t="s">
        <v>2053</v>
      </c>
      <c r="AX732" s="334" t="s">
        <v>2869</v>
      </c>
      <c r="AY732" s="270" t="s">
        <v>695</v>
      </c>
      <c r="AZ732" s="270" t="s">
        <v>2866</v>
      </c>
      <c r="BA732" s="265">
        <v>10.0</v>
      </c>
      <c r="BB732" s="174" t="s">
        <v>245</v>
      </c>
      <c r="BC732" s="341"/>
      <c r="BD732" s="308"/>
      <c r="BE732" s="347"/>
      <c r="BF732" s="274" t="str">
        <f>IFERROR(__xludf.DUMMYFUNCTION("LOWER(Regexreplace(to_text(E732),""[^A-Za-z0-9]"","""")&amp;""_""&amp;Regexreplace(to_text(F732),""[^A-Za-z0-9]"",""""))"),"neptronic_evcbseries")</f>
        <v>neptronic_evcbseries</v>
      </c>
      <c r="BG732" s="275" t="str">
        <f>IFERROR(__xludf.DUMMYFUNCTION("upper(Regexreplace(to_text(E732),""[^A-Za-z0-9]"","""")&amp;""-""&amp;Regexreplace(to_text(F732),""[^A-Za-z0-9]"",""""))"),"NEPTRONIC-EVCBSERIES")</f>
        <v>NEPTRONIC-EVCBSERIES</v>
      </c>
    </row>
    <row r="733" ht="30.0" customHeight="1">
      <c r="A733" s="173">
        <v>725.0</v>
      </c>
      <c r="B733" s="237" t="s">
        <v>670</v>
      </c>
      <c r="C733" s="257" t="s">
        <v>3760</v>
      </c>
      <c r="D733" s="173" t="s">
        <v>3760</v>
      </c>
      <c r="E733" s="174" t="s">
        <v>2861</v>
      </c>
      <c r="F733" s="173" t="s">
        <v>2862</v>
      </c>
      <c r="G733" s="328" t="s">
        <v>673</v>
      </c>
      <c r="H733" s="328" t="s">
        <v>2863</v>
      </c>
      <c r="I733" s="258" t="s">
        <v>2864</v>
      </c>
      <c r="J733" s="259" t="s">
        <v>902</v>
      </c>
      <c r="K733" s="260" t="s">
        <v>3761</v>
      </c>
      <c r="L733" s="328"/>
      <c r="M733" s="343"/>
      <c r="N733" s="173" t="s">
        <v>679</v>
      </c>
      <c r="O733" s="173" t="s">
        <v>225</v>
      </c>
      <c r="P733" s="262" t="str">
        <f t="shared" si="1"/>
        <v>IN-BLR-ANANTA-VAV-305_2</v>
      </c>
      <c r="Q733" s="173" t="s">
        <v>3762</v>
      </c>
      <c r="R733" s="328" t="str">
        <f>IFS(C733="","",C733="n/a","N/A",LEN(C733),Concatenate("{",char(34),"asset",char(34),":{",char(34),"guid",char(34),":",char(34),Q733,char(34),",",char(34),"site",char(34),":",char(34),LOWER('2-Building'!$B$4),char(34),",",char(34),"name",char(34),":",char(34),LOWER(C733),char(34),"}}"))</f>
        <v>{"asset":{"guid":"uuid://bdbecacb-640c-416a-90a6-a8bc5ee5124a","site":"in-blr-ananta","name":"vav-305"}}</v>
      </c>
      <c r="S733" s="237" t="s">
        <v>2866</v>
      </c>
      <c r="T733" s="330"/>
      <c r="U733" s="330"/>
      <c r="V733" s="331"/>
      <c r="W733" s="344"/>
      <c r="X733" s="341"/>
      <c r="Y733" s="33" t="s">
        <v>2867</v>
      </c>
      <c r="Z733" s="258">
        <v>120305.0</v>
      </c>
      <c r="AA733" s="334">
        <v>11524.0</v>
      </c>
      <c r="AB733" s="341"/>
      <c r="AC733" s="341"/>
      <c r="AD733" s="343"/>
      <c r="AE733" s="331"/>
      <c r="AF733" s="348"/>
      <c r="AG733" s="337"/>
      <c r="AH733" s="341"/>
      <c r="AI733" s="341"/>
      <c r="AJ733" s="341"/>
      <c r="AK733" s="341"/>
      <c r="AL733" s="341"/>
      <c r="AM733" s="338"/>
      <c r="AN733" s="341"/>
      <c r="AO733" s="341"/>
      <c r="AP733" s="341"/>
      <c r="AQ733" s="341"/>
      <c r="AR733" s="341"/>
      <c r="AS733" s="341"/>
      <c r="AT733" s="341"/>
      <c r="AU733" s="343"/>
      <c r="AV733" s="341"/>
      <c r="AW733" s="269" t="s">
        <v>2053</v>
      </c>
      <c r="AX733" s="334" t="s">
        <v>2869</v>
      </c>
      <c r="AY733" s="270" t="s">
        <v>695</v>
      </c>
      <c r="AZ733" s="270" t="s">
        <v>2866</v>
      </c>
      <c r="BA733" s="265">
        <v>10.0</v>
      </c>
      <c r="BB733" s="174" t="s">
        <v>245</v>
      </c>
      <c r="BC733" s="341"/>
      <c r="BD733" s="308"/>
      <c r="BE733" s="347"/>
      <c r="BF733" s="274" t="str">
        <f>IFERROR(__xludf.DUMMYFUNCTION("LOWER(Regexreplace(to_text(E733),""[^A-Za-z0-9]"","""")&amp;""_""&amp;Regexreplace(to_text(F733),""[^A-Za-z0-9]"",""""))"),"neptronic_evcbseries")</f>
        <v>neptronic_evcbseries</v>
      </c>
      <c r="BG733" s="275" t="str">
        <f>IFERROR(__xludf.DUMMYFUNCTION("upper(Regexreplace(to_text(E733),""[^A-Za-z0-9]"","""")&amp;""-""&amp;Regexreplace(to_text(F733),""[^A-Za-z0-9]"",""""))"),"NEPTRONIC-EVCBSERIES")</f>
        <v>NEPTRONIC-EVCBSERIES</v>
      </c>
    </row>
    <row r="734" ht="30.0" customHeight="1">
      <c r="A734" s="258">
        <v>726.0</v>
      </c>
      <c r="B734" s="237" t="s">
        <v>670</v>
      </c>
      <c r="C734" s="257" t="s">
        <v>3763</v>
      </c>
      <c r="D734" s="173" t="s">
        <v>3763</v>
      </c>
      <c r="E734" s="174" t="s">
        <v>2861</v>
      </c>
      <c r="F734" s="173" t="s">
        <v>2862</v>
      </c>
      <c r="G734" s="328" t="s">
        <v>673</v>
      </c>
      <c r="H734" s="328" t="s">
        <v>2863</v>
      </c>
      <c r="I734" s="258" t="s">
        <v>2864</v>
      </c>
      <c r="J734" s="259" t="s">
        <v>902</v>
      </c>
      <c r="K734" s="260" t="s">
        <v>3764</v>
      </c>
      <c r="L734" s="328"/>
      <c r="M734" s="343"/>
      <c r="N734" s="173" t="s">
        <v>679</v>
      </c>
      <c r="O734" s="173" t="s">
        <v>225</v>
      </c>
      <c r="P734" s="262" t="str">
        <f t="shared" si="1"/>
        <v>IN-BLR-ANANTA-VAV-306_2</v>
      </c>
      <c r="Q734" s="173" t="s">
        <v>3765</v>
      </c>
      <c r="R734" s="328" t="str">
        <f>IFS(C734="","",C734="n/a","N/A",LEN(C734),Concatenate("{",char(34),"asset",char(34),":{",char(34),"guid",char(34),":",char(34),Q734,char(34),",",char(34),"site",char(34),":",char(34),LOWER('2-Building'!$B$4),char(34),",",char(34),"name",char(34),":",char(34),LOWER(C734),char(34),"}}"))</f>
        <v>{"asset":{"guid":"uuid://c23ea40b-470a-4dcc-839c-13e29f9aaaea","site":"in-blr-ananta","name":"vav-306"}}</v>
      </c>
      <c r="S734" s="237" t="s">
        <v>2866</v>
      </c>
      <c r="T734" s="330"/>
      <c r="U734" s="330"/>
      <c r="V734" s="331"/>
      <c r="W734" s="344"/>
      <c r="X734" s="341"/>
      <c r="Y734" s="33" t="s">
        <v>2867</v>
      </c>
      <c r="Z734" s="258"/>
      <c r="AA734" s="334">
        <v>11500.0</v>
      </c>
      <c r="AB734" s="341"/>
      <c r="AC734" s="341"/>
      <c r="AD734" s="343"/>
      <c r="AE734" s="331"/>
      <c r="AF734" s="348"/>
      <c r="AG734" s="337"/>
      <c r="AH734" s="341"/>
      <c r="AI734" s="341"/>
      <c r="AJ734" s="341"/>
      <c r="AK734" s="341"/>
      <c r="AL734" s="341"/>
      <c r="AM734" s="338"/>
      <c r="AN734" s="341"/>
      <c r="AO734" s="341"/>
      <c r="AP734" s="341"/>
      <c r="AQ734" s="341"/>
      <c r="AR734" s="341"/>
      <c r="AS734" s="341"/>
      <c r="AT734" s="341"/>
      <c r="AU734" s="343"/>
      <c r="AV734" s="341"/>
      <c r="AW734" s="269" t="s">
        <v>2053</v>
      </c>
      <c r="AX734" s="334" t="s">
        <v>2869</v>
      </c>
      <c r="AY734" s="270" t="s">
        <v>695</v>
      </c>
      <c r="AZ734" s="270" t="s">
        <v>2866</v>
      </c>
      <c r="BA734" s="265">
        <v>10.0</v>
      </c>
      <c r="BB734" s="174" t="s">
        <v>245</v>
      </c>
      <c r="BC734" s="341"/>
      <c r="BD734" s="308"/>
      <c r="BE734" s="347"/>
      <c r="BF734" s="274" t="str">
        <f>IFERROR(__xludf.DUMMYFUNCTION("LOWER(Regexreplace(to_text(E734),""[^A-Za-z0-9]"","""")&amp;""_""&amp;Regexreplace(to_text(F734),""[^A-Za-z0-9]"",""""))"),"neptronic_evcbseries")</f>
        <v>neptronic_evcbseries</v>
      </c>
      <c r="BG734" s="275" t="str">
        <f>IFERROR(__xludf.DUMMYFUNCTION("upper(Regexreplace(to_text(E734),""[^A-Za-z0-9]"","""")&amp;""-""&amp;Regexreplace(to_text(F734),""[^A-Za-z0-9]"",""""))"),"NEPTRONIC-EVCBSERIES")</f>
        <v>NEPTRONIC-EVCBSERIES</v>
      </c>
    </row>
    <row r="735" ht="30.0" customHeight="1">
      <c r="A735" s="173">
        <v>727.0</v>
      </c>
      <c r="B735" s="237" t="s">
        <v>670</v>
      </c>
      <c r="C735" s="257" t="s">
        <v>3766</v>
      </c>
      <c r="D735" s="173" t="s">
        <v>3766</v>
      </c>
      <c r="E735" s="174" t="s">
        <v>2861</v>
      </c>
      <c r="F735" s="173" t="s">
        <v>2862</v>
      </c>
      <c r="G735" s="328" t="s">
        <v>673</v>
      </c>
      <c r="H735" s="328" t="s">
        <v>2863</v>
      </c>
      <c r="I735" s="258" t="s">
        <v>2864</v>
      </c>
      <c r="J735" s="259" t="s">
        <v>902</v>
      </c>
      <c r="K735" s="260" t="s">
        <v>3767</v>
      </c>
      <c r="L735" s="328"/>
      <c r="M735" s="343"/>
      <c r="N735" s="173" t="s">
        <v>679</v>
      </c>
      <c r="O735" s="173" t="s">
        <v>225</v>
      </c>
      <c r="P735" s="262" t="str">
        <f t="shared" si="1"/>
        <v>IN-BLR-ANANTA-VAV-307_2</v>
      </c>
      <c r="Q735" s="173" t="s">
        <v>3768</v>
      </c>
      <c r="R735" s="328" t="str">
        <f>IFS(C735="","",C735="n/a","N/A",LEN(C735),Concatenate("{",char(34),"asset",char(34),":{",char(34),"guid",char(34),":",char(34),Q735,char(34),",",char(34),"site",char(34),":",char(34),LOWER('2-Building'!$B$4),char(34),",",char(34),"name",char(34),":",char(34),LOWER(C735),char(34),"}}"))</f>
        <v>{"asset":{"guid":"uuid://3657414b-e6ea-443a-ae18-4ccf1189ba57","site":"in-blr-ananta","name":"vav-307"}}</v>
      </c>
      <c r="S735" s="237" t="s">
        <v>2866</v>
      </c>
      <c r="T735" s="330"/>
      <c r="U735" s="330"/>
      <c r="V735" s="331"/>
      <c r="W735" s="344"/>
      <c r="X735" s="341"/>
      <c r="Y735" s="33" t="s">
        <v>2867</v>
      </c>
      <c r="Z735" s="258">
        <v>120307.0</v>
      </c>
      <c r="AA735" s="334">
        <v>11524.0</v>
      </c>
      <c r="AB735" s="341"/>
      <c r="AC735" s="341"/>
      <c r="AD735" s="343"/>
      <c r="AE735" s="331"/>
      <c r="AF735" s="348"/>
      <c r="AG735" s="337"/>
      <c r="AH735" s="341"/>
      <c r="AI735" s="341"/>
      <c r="AJ735" s="341"/>
      <c r="AK735" s="341"/>
      <c r="AL735" s="341"/>
      <c r="AM735" s="338"/>
      <c r="AN735" s="341"/>
      <c r="AO735" s="341"/>
      <c r="AP735" s="341"/>
      <c r="AQ735" s="341"/>
      <c r="AR735" s="341"/>
      <c r="AS735" s="341"/>
      <c r="AT735" s="341"/>
      <c r="AU735" s="343"/>
      <c r="AV735" s="341"/>
      <c r="AW735" s="269" t="s">
        <v>2053</v>
      </c>
      <c r="AX735" s="334" t="s">
        <v>2869</v>
      </c>
      <c r="AY735" s="270" t="s">
        <v>695</v>
      </c>
      <c r="AZ735" s="270" t="s">
        <v>2866</v>
      </c>
      <c r="BA735" s="265">
        <v>10.0</v>
      </c>
      <c r="BB735" s="174" t="s">
        <v>245</v>
      </c>
      <c r="BC735" s="341"/>
      <c r="BD735" s="308"/>
      <c r="BE735" s="347"/>
      <c r="BF735" s="274" t="str">
        <f>IFERROR(__xludf.DUMMYFUNCTION("LOWER(Regexreplace(to_text(E735),""[^A-Za-z0-9]"","""")&amp;""_""&amp;Regexreplace(to_text(F735),""[^A-Za-z0-9]"",""""))"),"neptronic_evcbseries")</f>
        <v>neptronic_evcbseries</v>
      </c>
      <c r="BG735" s="275" t="str">
        <f>IFERROR(__xludf.DUMMYFUNCTION("upper(Regexreplace(to_text(E735),""[^A-Za-z0-9]"","""")&amp;""-""&amp;Regexreplace(to_text(F735),""[^A-Za-z0-9]"",""""))"),"NEPTRONIC-EVCBSERIES")</f>
        <v>NEPTRONIC-EVCBSERIES</v>
      </c>
    </row>
    <row r="736" ht="30.0" customHeight="1">
      <c r="A736" s="258">
        <v>728.0</v>
      </c>
      <c r="B736" s="237" t="s">
        <v>670</v>
      </c>
      <c r="C736" s="257" t="s">
        <v>3769</v>
      </c>
      <c r="D736" s="173" t="s">
        <v>3769</v>
      </c>
      <c r="E736" s="174" t="s">
        <v>2861</v>
      </c>
      <c r="F736" s="173" t="s">
        <v>2862</v>
      </c>
      <c r="G736" s="328" t="s">
        <v>673</v>
      </c>
      <c r="H736" s="328" t="s">
        <v>2863</v>
      </c>
      <c r="I736" s="258" t="s">
        <v>2864</v>
      </c>
      <c r="J736" s="259" t="s">
        <v>902</v>
      </c>
      <c r="K736" s="260" t="s">
        <v>3770</v>
      </c>
      <c r="L736" s="328"/>
      <c r="M736" s="343"/>
      <c r="N736" s="173" t="s">
        <v>679</v>
      </c>
      <c r="O736" s="173" t="s">
        <v>225</v>
      </c>
      <c r="P736" s="262" t="str">
        <f t="shared" si="1"/>
        <v>IN-BLR-ANANTA-VAV-308_2</v>
      </c>
      <c r="Q736" s="173" t="s">
        <v>3771</v>
      </c>
      <c r="R736" s="328" t="str">
        <f>IFS(C736="","",C736="n/a","N/A",LEN(C736),Concatenate("{",char(34),"asset",char(34),":{",char(34),"guid",char(34),":",char(34),Q736,char(34),",",char(34),"site",char(34),":",char(34),LOWER('2-Building'!$B$4),char(34),",",char(34),"name",char(34),":",char(34),LOWER(C736),char(34),"}}"))</f>
        <v>{"asset":{"guid":"uuid://ea3ea115-e090-4b5b-9de6-4bb5804fa4a8","site":"in-blr-ananta","name":"vav-308"}}</v>
      </c>
      <c r="S736" s="237" t="s">
        <v>2866</v>
      </c>
      <c r="T736" s="330"/>
      <c r="U736" s="330"/>
      <c r="V736" s="331"/>
      <c r="W736" s="344"/>
      <c r="X736" s="341"/>
      <c r="Y736" s="33" t="s">
        <v>2867</v>
      </c>
      <c r="Z736" s="258">
        <v>120308.0</v>
      </c>
      <c r="AA736" s="334">
        <v>11524.0</v>
      </c>
      <c r="AB736" s="341"/>
      <c r="AC736" s="341"/>
      <c r="AD736" s="343"/>
      <c r="AE736" s="331"/>
      <c r="AF736" s="348"/>
      <c r="AG736" s="337"/>
      <c r="AH736" s="341"/>
      <c r="AI736" s="341"/>
      <c r="AJ736" s="341"/>
      <c r="AK736" s="341"/>
      <c r="AL736" s="341"/>
      <c r="AM736" s="338"/>
      <c r="AN736" s="341"/>
      <c r="AO736" s="341"/>
      <c r="AP736" s="341"/>
      <c r="AQ736" s="341"/>
      <c r="AR736" s="341"/>
      <c r="AS736" s="341"/>
      <c r="AT736" s="341"/>
      <c r="AU736" s="343"/>
      <c r="AV736" s="341"/>
      <c r="AW736" s="269" t="s">
        <v>2053</v>
      </c>
      <c r="AX736" s="334" t="s">
        <v>2869</v>
      </c>
      <c r="AY736" s="270" t="s">
        <v>695</v>
      </c>
      <c r="AZ736" s="270" t="s">
        <v>2866</v>
      </c>
      <c r="BA736" s="265">
        <v>10.0</v>
      </c>
      <c r="BB736" s="174" t="s">
        <v>245</v>
      </c>
      <c r="BC736" s="341"/>
      <c r="BD736" s="308"/>
      <c r="BE736" s="347"/>
      <c r="BF736" s="274" t="str">
        <f>IFERROR(__xludf.DUMMYFUNCTION("LOWER(Regexreplace(to_text(E736),""[^A-Za-z0-9]"","""")&amp;""_""&amp;Regexreplace(to_text(F736),""[^A-Za-z0-9]"",""""))"),"neptronic_evcbseries")</f>
        <v>neptronic_evcbseries</v>
      </c>
      <c r="BG736" s="275" t="str">
        <f>IFERROR(__xludf.DUMMYFUNCTION("upper(Regexreplace(to_text(E736),""[^A-Za-z0-9]"","""")&amp;""-""&amp;Regexreplace(to_text(F736),""[^A-Za-z0-9]"",""""))"),"NEPTRONIC-EVCBSERIES")</f>
        <v>NEPTRONIC-EVCBSERIES</v>
      </c>
    </row>
    <row r="737" ht="30.0" customHeight="1">
      <c r="A737" s="173">
        <v>729.0</v>
      </c>
      <c r="B737" s="237" t="s">
        <v>670</v>
      </c>
      <c r="C737" s="257" t="s">
        <v>3772</v>
      </c>
      <c r="D737" s="173" t="s">
        <v>3772</v>
      </c>
      <c r="E737" s="174" t="s">
        <v>2861</v>
      </c>
      <c r="F737" s="173" t="s">
        <v>2862</v>
      </c>
      <c r="G737" s="328" t="s">
        <v>673</v>
      </c>
      <c r="H737" s="328" t="s">
        <v>2863</v>
      </c>
      <c r="I737" s="258" t="s">
        <v>2864</v>
      </c>
      <c r="J737" s="259" t="s">
        <v>902</v>
      </c>
      <c r="K737" s="260" t="s">
        <v>3773</v>
      </c>
      <c r="L737" s="328"/>
      <c r="M737" s="343"/>
      <c r="N737" s="173" t="s">
        <v>679</v>
      </c>
      <c r="O737" s="173" t="s">
        <v>225</v>
      </c>
      <c r="P737" s="262" t="str">
        <f t="shared" si="1"/>
        <v>IN-BLR-ANANTA-VAV-309_2</v>
      </c>
      <c r="Q737" s="173" t="s">
        <v>3774</v>
      </c>
      <c r="R737" s="328" t="str">
        <f>IFS(C737="","",C737="n/a","N/A",LEN(C737),Concatenate("{",char(34),"asset",char(34),":{",char(34),"guid",char(34),":",char(34),Q737,char(34),",",char(34),"site",char(34),":",char(34),LOWER('2-Building'!$B$4),char(34),",",char(34),"name",char(34),":",char(34),LOWER(C737),char(34),"}}"))</f>
        <v>{"asset":{"guid":"uuid://a1325977-5164-46d2-89d7-ae648bbe6042","site":"in-blr-ananta","name":"vav-309"}}</v>
      </c>
      <c r="S737" s="237" t="s">
        <v>2866</v>
      </c>
      <c r="T737" s="330"/>
      <c r="U737" s="330"/>
      <c r="V737" s="331"/>
      <c r="W737" s="344"/>
      <c r="X737" s="341"/>
      <c r="Y737" s="33" t="s">
        <v>2867</v>
      </c>
      <c r="Z737" s="258">
        <v>120309.0</v>
      </c>
      <c r="AA737" s="334">
        <v>11524.0</v>
      </c>
      <c r="AB737" s="341"/>
      <c r="AC737" s="341"/>
      <c r="AD737" s="343"/>
      <c r="AE737" s="331"/>
      <c r="AF737" s="348"/>
      <c r="AG737" s="337"/>
      <c r="AH737" s="341"/>
      <c r="AI737" s="341"/>
      <c r="AJ737" s="341"/>
      <c r="AK737" s="341"/>
      <c r="AL737" s="341"/>
      <c r="AM737" s="338"/>
      <c r="AN737" s="341"/>
      <c r="AO737" s="341"/>
      <c r="AP737" s="341"/>
      <c r="AQ737" s="341"/>
      <c r="AR737" s="341"/>
      <c r="AS737" s="341"/>
      <c r="AT737" s="341"/>
      <c r="AU737" s="343"/>
      <c r="AV737" s="341"/>
      <c r="AW737" s="269" t="s">
        <v>2053</v>
      </c>
      <c r="AX737" s="334" t="s">
        <v>2869</v>
      </c>
      <c r="AY737" s="270" t="s">
        <v>695</v>
      </c>
      <c r="AZ737" s="270" t="s">
        <v>2866</v>
      </c>
      <c r="BA737" s="265">
        <v>10.0</v>
      </c>
      <c r="BB737" s="174" t="s">
        <v>245</v>
      </c>
      <c r="BC737" s="341"/>
      <c r="BD737" s="308"/>
      <c r="BE737" s="347"/>
      <c r="BF737" s="274" t="str">
        <f>IFERROR(__xludf.DUMMYFUNCTION("LOWER(Regexreplace(to_text(E737),""[^A-Za-z0-9]"","""")&amp;""_""&amp;Regexreplace(to_text(F737),""[^A-Za-z0-9]"",""""))"),"neptronic_evcbseries")</f>
        <v>neptronic_evcbseries</v>
      </c>
      <c r="BG737" s="275" t="str">
        <f>IFERROR(__xludf.DUMMYFUNCTION("upper(Regexreplace(to_text(E737),""[^A-Za-z0-9]"","""")&amp;""-""&amp;Regexreplace(to_text(F737),""[^A-Za-z0-9]"",""""))"),"NEPTRONIC-EVCBSERIES")</f>
        <v>NEPTRONIC-EVCBSERIES</v>
      </c>
    </row>
    <row r="738" ht="30.0" customHeight="1">
      <c r="A738" s="258">
        <v>730.0</v>
      </c>
      <c r="B738" s="237" t="s">
        <v>670</v>
      </c>
      <c r="C738" s="257" t="s">
        <v>3775</v>
      </c>
      <c r="D738" s="173" t="s">
        <v>3775</v>
      </c>
      <c r="E738" s="174" t="s">
        <v>2861</v>
      </c>
      <c r="F738" s="173" t="s">
        <v>2862</v>
      </c>
      <c r="G738" s="328" t="s">
        <v>673</v>
      </c>
      <c r="H738" s="328" t="s">
        <v>2863</v>
      </c>
      <c r="I738" s="258" t="s">
        <v>2864</v>
      </c>
      <c r="J738" s="259" t="s">
        <v>902</v>
      </c>
      <c r="K738" s="260" t="s">
        <v>3776</v>
      </c>
      <c r="L738" s="328"/>
      <c r="M738" s="343"/>
      <c r="N738" s="173" t="s">
        <v>679</v>
      </c>
      <c r="O738" s="173" t="s">
        <v>225</v>
      </c>
      <c r="P738" s="262" t="str">
        <f t="shared" si="1"/>
        <v>IN-BLR-ANANTA-VAV-310_2</v>
      </c>
      <c r="Q738" s="173" t="s">
        <v>3777</v>
      </c>
      <c r="R738" s="328" t="str">
        <f>IFS(C738="","",C738="n/a","N/A",LEN(C738),Concatenate("{",char(34),"asset",char(34),":{",char(34),"guid",char(34),":",char(34),Q738,char(34),",",char(34),"site",char(34),":",char(34),LOWER('2-Building'!$B$4),char(34),",",char(34),"name",char(34),":",char(34),LOWER(C738),char(34),"}}"))</f>
        <v>{"asset":{"guid":"uuid://6a392ba1-535b-4d0e-b133-50d20147d153","site":"in-blr-ananta","name":"vav-310"}}</v>
      </c>
      <c r="S738" s="237" t="s">
        <v>2866</v>
      </c>
      <c r="T738" s="330"/>
      <c r="U738" s="330"/>
      <c r="V738" s="331"/>
      <c r="W738" s="344"/>
      <c r="X738" s="341"/>
      <c r="Y738" s="33" t="s">
        <v>2867</v>
      </c>
      <c r="Z738" s="258">
        <v>120310.0</v>
      </c>
      <c r="AA738" s="334">
        <v>11524.0</v>
      </c>
      <c r="AB738" s="341"/>
      <c r="AC738" s="341"/>
      <c r="AD738" s="343"/>
      <c r="AE738" s="331"/>
      <c r="AF738" s="348"/>
      <c r="AG738" s="337"/>
      <c r="AH738" s="341"/>
      <c r="AI738" s="341"/>
      <c r="AJ738" s="341"/>
      <c r="AK738" s="341"/>
      <c r="AL738" s="341"/>
      <c r="AM738" s="338"/>
      <c r="AN738" s="341"/>
      <c r="AO738" s="341"/>
      <c r="AP738" s="341"/>
      <c r="AQ738" s="341"/>
      <c r="AR738" s="341"/>
      <c r="AS738" s="341"/>
      <c r="AT738" s="341"/>
      <c r="AU738" s="343"/>
      <c r="AV738" s="341"/>
      <c r="AW738" s="269" t="s">
        <v>2053</v>
      </c>
      <c r="AX738" s="334" t="s">
        <v>2869</v>
      </c>
      <c r="AY738" s="270" t="s">
        <v>695</v>
      </c>
      <c r="AZ738" s="270" t="s">
        <v>2866</v>
      </c>
      <c r="BA738" s="265">
        <v>10.0</v>
      </c>
      <c r="BB738" s="174" t="s">
        <v>245</v>
      </c>
      <c r="BC738" s="341"/>
      <c r="BD738" s="308"/>
      <c r="BE738" s="347"/>
      <c r="BF738" s="274" t="str">
        <f>IFERROR(__xludf.DUMMYFUNCTION("LOWER(Regexreplace(to_text(E738),""[^A-Za-z0-9]"","""")&amp;""_""&amp;Regexreplace(to_text(F738),""[^A-Za-z0-9]"",""""))"),"neptronic_evcbseries")</f>
        <v>neptronic_evcbseries</v>
      </c>
      <c r="BG738" s="275" t="str">
        <f>IFERROR(__xludf.DUMMYFUNCTION("upper(Regexreplace(to_text(E738),""[^A-Za-z0-9]"","""")&amp;""-""&amp;Regexreplace(to_text(F738),""[^A-Za-z0-9]"",""""))"),"NEPTRONIC-EVCBSERIES")</f>
        <v>NEPTRONIC-EVCBSERIES</v>
      </c>
    </row>
    <row r="739" ht="30.0" customHeight="1">
      <c r="A739" s="173">
        <v>731.0</v>
      </c>
      <c r="B739" s="237" t="s">
        <v>670</v>
      </c>
      <c r="C739" s="257" t="s">
        <v>3778</v>
      </c>
      <c r="D739" s="173" t="s">
        <v>3778</v>
      </c>
      <c r="E739" s="174" t="s">
        <v>2861</v>
      </c>
      <c r="F739" s="173" t="s">
        <v>2862</v>
      </c>
      <c r="G739" s="328" t="s">
        <v>673</v>
      </c>
      <c r="H739" s="328" t="s">
        <v>2863</v>
      </c>
      <c r="I739" s="258" t="s">
        <v>2864</v>
      </c>
      <c r="J739" s="259" t="s">
        <v>902</v>
      </c>
      <c r="K739" s="260" t="s">
        <v>3779</v>
      </c>
      <c r="L739" s="328"/>
      <c r="M739" s="343"/>
      <c r="N739" s="173" t="s">
        <v>679</v>
      </c>
      <c r="O739" s="173" t="s">
        <v>225</v>
      </c>
      <c r="P739" s="262" t="str">
        <f t="shared" si="1"/>
        <v>IN-BLR-ANANTA-VAV-311_2</v>
      </c>
      <c r="Q739" s="173" t="s">
        <v>3780</v>
      </c>
      <c r="R739" s="328" t="str">
        <f>IFS(C739="","",C739="n/a","N/A",LEN(C739),Concatenate("{",char(34),"asset",char(34),":{",char(34),"guid",char(34),":",char(34),Q739,char(34),",",char(34),"site",char(34),":",char(34),LOWER('2-Building'!$B$4),char(34),",",char(34),"name",char(34),":",char(34),LOWER(C739),char(34),"}}"))</f>
        <v>{"asset":{"guid":"uuid://3bc36d96-bd0c-46ce-a959-e6348907fd5f","site":"in-blr-ananta","name":"vav-311"}}</v>
      </c>
      <c r="S739" s="237" t="s">
        <v>2866</v>
      </c>
      <c r="T739" s="330"/>
      <c r="U739" s="330"/>
      <c r="V739" s="331"/>
      <c r="W739" s="344"/>
      <c r="X739" s="341"/>
      <c r="Y739" s="33" t="s">
        <v>2867</v>
      </c>
      <c r="Z739" s="258">
        <v>120311.0</v>
      </c>
      <c r="AA739" s="334">
        <v>11524.0</v>
      </c>
      <c r="AB739" s="341"/>
      <c r="AC739" s="341"/>
      <c r="AD739" s="343"/>
      <c r="AE739" s="331"/>
      <c r="AF739" s="348"/>
      <c r="AG739" s="337"/>
      <c r="AH739" s="341"/>
      <c r="AI739" s="341"/>
      <c r="AJ739" s="341"/>
      <c r="AK739" s="341"/>
      <c r="AL739" s="341"/>
      <c r="AM739" s="338"/>
      <c r="AN739" s="341"/>
      <c r="AO739" s="341"/>
      <c r="AP739" s="341"/>
      <c r="AQ739" s="341"/>
      <c r="AR739" s="341"/>
      <c r="AS739" s="341"/>
      <c r="AT739" s="341"/>
      <c r="AU739" s="343"/>
      <c r="AV739" s="341"/>
      <c r="AW739" s="269" t="s">
        <v>2053</v>
      </c>
      <c r="AX739" s="334" t="s">
        <v>2869</v>
      </c>
      <c r="AY739" s="270" t="s">
        <v>695</v>
      </c>
      <c r="AZ739" s="270" t="s">
        <v>2866</v>
      </c>
      <c r="BA739" s="265">
        <v>10.0</v>
      </c>
      <c r="BB739" s="174" t="s">
        <v>245</v>
      </c>
      <c r="BC739" s="341"/>
      <c r="BD739" s="308"/>
      <c r="BE739" s="347"/>
      <c r="BF739" s="274" t="str">
        <f>IFERROR(__xludf.DUMMYFUNCTION("LOWER(Regexreplace(to_text(E739),""[^A-Za-z0-9]"","""")&amp;""_""&amp;Regexreplace(to_text(F739),""[^A-Za-z0-9]"",""""))"),"neptronic_evcbseries")</f>
        <v>neptronic_evcbseries</v>
      </c>
      <c r="BG739" s="275" t="str">
        <f>IFERROR(__xludf.DUMMYFUNCTION("upper(Regexreplace(to_text(E739),""[^A-Za-z0-9]"","""")&amp;""-""&amp;Regexreplace(to_text(F739),""[^A-Za-z0-9]"",""""))"),"NEPTRONIC-EVCBSERIES")</f>
        <v>NEPTRONIC-EVCBSERIES</v>
      </c>
    </row>
    <row r="740" ht="30.0" customHeight="1">
      <c r="A740" s="258">
        <v>732.0</v>
      </c>
      <c r="B740" s="237" t="s">
        <v>670</v>
      </c>
      <c r="C740" s="257" t="s">
        <v>3781</v>
      </c>
      <c r="D740" s="173" t="s">
        <v>3781</v>
      </c>
      <c r="E740" s="174" t="s">
        <v>2861</v>
      </c>
      <c r="F740" s="173" t="s">
        <v>2862</v>
      </c>
      <c r="G740" s="328" t="s">
        <v>673</v>
      </c>
      <c r="H740" s="328" t="s">
        <v>2863</v>
      </c>
      <c r="I740" s="258" t="s">
        <v>2864</v>
      </c>
      <c r="J740" s="259" t="s">
        <v>902</v>
      </c>
      <c r="K740" s="260" t="s">
        <v>3782</v>
      </c>
      <c r="L740" s="328"/>
      <c r="M740" s="343"/>
      <c r="N740" s="173" t="s">
        <v>679</v>
      </c>
      <c r="O740" s="173" t="s">
        <v>225</v>
      </c>
      <c r="P740" s="262" t="str">
        <f t="shared" si="1"/>
        <v>IN-BLR-ANANTA-VAV-312_2</v>
      </c>
      <c r="Q740" s="173" t="s">
        <v>3783</v>
      </c>
      <c r="R740" s="328" t="str">
        <f>IFS(C740="","",C740="n/a","N/A",LEN(C740),Concatenate("{",char(34),"asset",char(34),":{",char(34),"guid",char(34),":",char(34),Q740,char(34),",",char(34),"site",char(34),":",char(34),LOWER('2-Building'!$B$4),char(34),",",char(34),"name",char(34),":",char(34),LOWER(C740),char(34),"}}"))</f>
        <v>{"asset":{"guid":"uuid://63bd2f0f-d1ee-49e1-b286-941cea517971","site":"in-blr-ananta","name":"vav-312"}}</v>
      </c>
      <c r="S740" s="237" t="s">
        <v>2866</v>
      </c>
      <c r="T740" s="330"/>
      <c r="U740" s="330"/>
      <c r="V740" s="331"/>
      <c r="W740" s="344"/>
      <c r="X740" s="341"/>
      <c r="Y740" s="33" t="s">
        <v>2867</v>
      </c>
      <c r="Z740" s="258">
        <v>120312.0</v>
      </c>
      <c r="AA740" s="334">
        <v>11524.0</v>
      </c>
      <c r="AB740" s="341"/>
      <c r="AC740" s="341"/>
      <c r="AD740" s="343"/>
      <c r="AE740" s="331"/>
      <c r="AF740" s="348"/>
      <c r="AG740" s="337"/>
      <c r="AH740" s="341"/>
      <c r="AI740" s="341"/>
      <c r="AJ740" s="341"/>
      <c r="AK740" s="341"/>
      <c r="AL740" s="341"/>
      <c r="AM740" s="338"/>
      <c r="AN740" s="341"/>
      <c r="AO740" s="341"/>
      <c r="AP740" s="341"/>
      <c r="AQ740" s="341"/>
      <c r="AR740" s="341"/>
      <c r="AS740" s="341"/>
      <c r="AT740" s="341"/>
      <c r="AU740" s="343"/>
      <c r="AV740" s="341"/>
      <c r="AW740" s="269" t="s">
        <v>2053</v>
      </c>
      <c r="AX740" s="334" t="s">
        <v>2869</v>
      </c>
      <c r="AY740" s="270" t="s">
        <v>695</v>
      </c>
      <c r="AZ740" s="270" t="s">
        <v>2866</v>
      </c>
      <c r="BA740" s="265">
        <v>10.0</v>
      </c>
      <c r="BB740" s="174" t="s">
        <v>245</v>
      </c>
      <c r="BC740" s="341"/>
      <c r="BD740" s="308"/>
      <c r="BE740" s="347"/>
      <c r="BF740" s="274" t="str">
        <f>IFERROR(__xludf.DUMMYFUNCTION("LOWER(Regexreplace(to_text(E740),""[^A-Za-z0-9]"","""")&amp;""_""&amp;Regexreplace(to_text(F740),""[^A-Za-z0-9]"",""""))"),"neptronic_evcbseries")</f>
        <v>neptronic_evcbseries</v>
      </c>
      <c r="BG740" s="275" t="str">
        <f>IFERROR(__xludf.DUMMYFUNCTION("upper(Regexreplace(to_text(E740),""[^A-Za-z0-9]"","""")&amp;""-""&amp;Regexreplace(to_text(F740),""[^A-Za-z0-9]"",""""))"),"NEPTRONIC-EVCBSERIES")</f>
        <v>NEPTRONIC-EVCBSERIES</v>
      </c>
    </row>
    <row r="741" ht="30.0" customHeight="1">
      <c r="A741" s="173">
        <v>733.0</v>
      </c>
      <c r="B741" s="237" t="s">
        <v>670</v>
      </c>
      <c r="C741" s="257" t="s">
        <v>3784</v>
      </c>
      <c r="D741" s="173" t="s">
        <v>3784</v>
      </c>
      <c r="E741" s="174" t="s">
        <v>2861</v>
      </c>
      <c r="F741" s="173" t="s">
        <v>2862</v>
      </c>
      <c r="G741" s="328" t="s">
        <v>673</v>
      </c>
      <c r="H741" s="328" t="s">
        <v>2863</v>
      </c>
      <c r="I741" s="258" t="s">
        <v>2864</v>
      </c>
      <c r="J741" s="259" t="s">
        <v>902</v>
      </c>
      <c r="K741" s="260" t="s">
        <v>3785</v>
      </c>
      <c r="L741" s="328"/>
      <c r="M741" s="343"/>
      <c r="N741" s="173" t="s">
        <v>679</v>
      </c>
      <c r="O741" s="173" t="s">
        <v>225</v>
      </c>
      <c r="P741" s="262" t="str">
        <f t="shared" si="1"/>
        <v>IN-BLR-ANANTA-VAV-313_2</v>
      </c>
      <c r="Q741" s="173" t="s">
        <v>3786</v>
      </c>
      <c r="R741" s="328" t="str">
        <f>IFS(C741="","",C741="n/a","N/A",LEN(C741),Concatenate("{",char(34),"asset",char(34),":{",char(34),"guid",char(34),":",char(34),Q741,char(34),",",char(34),"site",char(34),":",char(34),LOWER('2-Building'!$B$4),char(34),",",char(34),"name",char(34),":",char(34),LOWER(C741),char(34),"}}"))</f>
        <v>{"asset":{"guid":"uuid://379f414f-437e-4e5f-a68b-e924f808414e","site":"in-blr-ananta","name":"vav-313"}}</v>
      </c>
      <c r="S741" s="237" t="s">
        <v>2866</v>
      </c>
      <c r="T741" s="330"/>
      <c r="U741" s="330"/>
      <c r="V741" s="331"/>
      <c r="W741" s="344"/>
      <c r="X741" s="341"/>
      <c r="Y741" s="33" t="s">
        <v>2867</v>
      </c>
      <c r="Z741" s="258">
        <v>120313.0</v>
      </c>
      <c r="AA741" s="334">
        <v>11524.0</v>
      </c>
      <c r="AB741" s="341"/>
      <c r="AC741" s="341"/>
      <c r="AD741" s="343"/>
      <c r="AE741" s="331"/>
      <c r="AF741" s="348"/>
      <c r="AG741" s="337"/>
      <c r="AH741" s="341"/>
      <c r="AI741" s="341"/>
      <c r="AJ741" s="341"/>
      <c r="AK741" s="341"/>
      <c r="AL741" s="341"/>
      <c r="AM741" s="338"/>
      <c r="AN741" s="341"/>
      <c r="AO741" s="341"/>
      <c r="AP741" s="341"/>
      <c r="AQ741" s="341"/>
      <c r="AR741" s="341"/>
      <c r="AS741" s="341"/>
      <c r="AT741" s="341"/>
      <c r="AU741" s="343"/>
      <c r="AV741" s="341"/>
      <c r="AW741" s="269" t="s">
        <v>2053</v>
      </c>
      <c r="AX741" s="334" t="s">
        <v>2869</v>
      </c>
      <c r="AY741" s="270" t="s">
        <v>695</v>
      </c>
      <c r="AZ741" s="270" t="s">
        <v>2866</v>
      </c>
      <c r="BA741" s="265">
        <v>10.0</v>
      </c>
      <c r="BB741" s="174" t="s">
        <v>245</v>
      </c>
      <c r="BC741" s="341"/>
      <c r="BD741" s="308"/>
      <c r="BE741" s="347"/>
      <c r="BF741" s="274" t="str">
        <f>IFERROR(__xludf.DUMMYFUNCTION("LOWER(Regexreplace(to_text(E741),""[^A-Za-z0-9]"","""")&amp;""_""&amp;Regexreplace(to_text(F741),""[^A-Za-z0-9]"",""""))"),"neptronic_evcbseries")</f>
        <v>neptronic_evcbseries</v>
      </c>
      <c r="BG741" s="275" t="str">
        <f>IFERROR(__xludf.DUMMYFUNCTION("upper(Regexreplace(to_text(E741),""[^A-Za-z0-9]"","""")&amp;""-""&amp;Regexreplace(to_text(F741),""[^A-Za-z0-9]"",""""))"),"NEPTRONIC-EVCBSERIES")</f>
        <v>NEPTRONIC-EVCBSERIES</v>
      </c>
    </row>
    <row r="742" ht="30.0" customHeight="1">
      <c r="A742" s="258">
        <v>734.0</v>
      </c>
      <c r="B742" s="237" t="s">
        <v>670</v>
      </c>
      <c r="C742" s="257" t="s">
        <v>3787</v>
      </c>
      <c r="D742" s="173" t="s">
        <v>3787</v>
      </c>
      <c r="E742" s="174" t="s">
        <v>2861</v>
      </c>
      <c r="F742" s="173" t="s">
        <v>2862</v>
      </c>
      <c r="G742" s="328" t="s">
        <v>673</v>
      </c>
      <c r="H742" s="328" t="s">
        <v>2863</v>
      </c>
      <c r="I742" s="258" t="s">
        <v>2864</v>
      </c>
      <c r="J742" s="259" t="s">
        <v>902</v>
      </c>
      <c r="K742" s="260" t="s">
        <v>3788</v>
      </c>
      <c r="L742" s="328"/>
      <c r="M742" s="343"/>
      <c r="N742" s="173" t="s">
        <v>679</v>
      </c>
      <c r="O742" s="173" t="s">
        <v>225</v>
      </c>
      <c r="P742" s="262" t="str">
        <f t="shared" si="1"/>
        <v>IN-BLR-ANANTA-VAV-314_2</v>
      </c>
      <c r="Q742" s="173" t="s">
        <v>3789</v>
      </c>
      <c r="R742" s="328" t="str">
        <f>IFS(C742="","",C742="n/a","N/A",LEN(C742),Concatenate("{",char(34),"asset",char(34),":{",char(34),"guid",char(34),":",char(34),Q742,char(34),",",char(34),"site",char(34),":",char(34),LOWER('2-Building'!$B$4),char(34),",",char(34),"name",char(34),":",char(34),LOWER(C742),char(34),"}}"))</f>
        <v>{"asset":{"guid":"uuid://6ba15eec-24bc-4c5d-9882-d70e0bf38d2e","site":"in-blr-ananta","name":"vav-314"}}</v>
      </c>
      <c r="S742" s="237" t="s">
        <v>2866</v>
      </c>
      <c r="T742" s="330"/>
      <c r="U742" s="330"/>
      <c r="V742" s="331"/>
      <c r="W742" s="344"/>
      <c r="X742" s="341"/>
      <c r="Y742" s="33" t="s">
        <v>2867</v>
      </c>
      <c r="Z742" s="258">
        <v>120314.0</v>
      </c>
      <c r="AA742" s="334">
        <v>11524.0</v>
      </c>
      <c r="AB742" s="341"/>
      <c r="AC742" s="341"/>
      <c r="AD742" s="343"/>
      <c r="AE742" s="331"/>
      <c r="AF742" s="348"/>
      <c r="AG742" s="337"/>
      <c r="AH742" s="341"/>
      <c r="AI742" s="341"/>
      <c r="AJ742" s="341"/>
      <c r="AK742" s="341"/>
      <c r="AL742" s="341"/>
      <c r="AM742" s="338"/>
      <c r="AN742" s="341"/>
      <c r="AO742" s="341"/>
      <c r="AP742" s="341"/>
      <c r="AQ742" s="341"/>
      <c r="AR742" s="341"/>
      <c r="AS742" s="341"/>
      <c r="AT742" s="341"/>
      <c r="AU742" s="343"/>
      <c r="AV742" s="341"/>
      <c r="AW742" s="269" t="s">
        <v>2053</v>
      </c>
      <c r="AX742" s="334" t="s">
        <v>2869</v>
      </c>
      <c r="AY742" s="270" t="s">
        <v>695</v>
      </c>
      <c r="AZ742" s="270" t="s">
        <v>2866</v>
      </c>
      <c r="BA742" s="265">
        <v>10.0</v>
      </c>
      <c r="BB742" s="174" t="s">
        <v>245</v>
      </c>
      <c r="BC742" s="341"/>
      <c r="BD742" s="308"/>
      <c r="BE742" s="347"/>
      <c r="BF742" s="274" t="str">
        <f>IFERROR(__xludf.DUMMYFUNCTION("LOWER(Regexreplace(to_text(E742),""[^A-Za-z0-9]"","""")&amp;""_""&amp;Regexreplace(to_text(F742),""[^A-Za-z0-9]"",""""))"),"neptronic_evcbseries")</f>
        <v>neptronic_evcbseries</v>
      </c>
      <c r="BG742" s="275" t="str">
        <f>IFERROR(__xludf.DUMMYFUNCTION("upper(Regexreplace(to_text(E742),""[^A-Za-z0-9]"","""")&amp;""-""&amp;Regexreplace(to_text(F742),""[^A-Za-z0-9]"",""""))"),"NEPTRONIC-EVCBSERIES")</f>
        <v>NEPTRONIC-EVCBSERIES</v>
      </c>
    </row>
    <row r="743" ht="30.0" customHeight="1">
      <c r="A743" s="173">
        <v>735.0</v>
      </c>
      <c r="B743" s="237" t="s">
        <v>670</v>
      </c>
      <c r="C743" s="257" t="s">
        <v>3790</v>
      </c>
      <c r="D743" s="173" t="s">
        <v>3790</v>
      </c>
      <c r="E743" s="174" t="s">
        <v>2861</v>
      </c>
      <c r="F743" s="173" t="s">
        <v>2862</v>
      </c>
      <c r="G743" s="328" t="s">
        <v>673</v>
      </c>
      <c r="H743" s="328" t="s">
        <v>2863</v>
      </c>
      <c r="I743" s="258" t="s">
        <v>2864</v>
      </c>
      <c r="J743" s="259" t="s">
        <v>902</v>
      </c>
      <c r="K743" s="260" t="s">
        <v>3791</v>
      </c>
      <c r="L743" s="328"/>
      <c r="M743" s="343"/>
      <c r="N743" s="173" t="s">
        <v>679</v>
      </c>
      <c r="O743" s="173" t="s">
        <v>225</v>
      </c>
      <c r="P743" s="262" t="str">
        <f t="shared" si="1"/>
        <v>IN-BLR-ANANTA-VAV-315_2</v>
      </c>
      <c r="Q743" s="173" t="s">
        <v>3792</v>
      </c>
      <c r="R743" s="328" t="str">
        <f>IFS(C743="","",C743="n/a","N/A",LEN(C743),Concatenate("{",char(34),"asset",char(34),":{",char(34),"guid",char(34),":",char(34),Q743,char(34),",",char(34),"site",char(34),":",char(34),LOWER('2-Building'!$B$4),char(34),",",char(34),"name",char(34),":",char(34),LOWER(C743),char(34),"}}"))</f>
        <v>{"asset":{"guid":"uuid://14e44f68-8a66-4a14-a93d-619ac6d76af7","site":"in-blr-ananta","name":"vav-315"}}</v>
      </c>
      <c r="S743" s="237" t="s">
        <v>2866</v>
      </c>
      <c r="T743" s="330"/>
      <c r="U743" s="330"/>
      <c r="V743" s="331"/>
      <c r="W743" s="344"/>
      <c r="X743" s="341"/>
      <c r="Y743" s="33" t="s">
        <v>2867</v>
      </c>
      <c r="Z743" s="258">
        <v>120315.0</v>
      </c>
      <c r="AA743" s="334">
        <v>11524.0</v>
      </c>
      <c r="AB743" s="341"/>
      <c r="AC743" s="341"/>
      <c r="AD743" s="343"/>
      <c r="AE743" s="331"/>
      <c r="AF743" s="348"/>
      <c r="AG743" s="337"/>
      <c r="AH743" s="341"/>
      <c r="AI743" s="341"/>
      <c r="AJ743" s="341"/>
      <c r="AK743" s="341"/>
      <c r="AL743" s="341"/>
      <c r="AM743" s="338"/>
      <c r="AN743" s="341"/>
      <c r="AO743" s="341"/>
      <c r="AP743" s="341"/>
      <c r="AQ743" s="341"/>
      <c r="AR743" s="341"/>
      <c r="AS743" s="341"/>
      <c r="AT743" s="341"/>
      <c r="AU743" s="343"/>
      <c r="AV743" s="341"/>
      <c r="AW743" s="269" t="s">
        <v>2053</v>
      </c>
      <c r="AX743" s="334" t="s">
        <v>2869</v>
      </c>
      <c r="AY743" s="270" t="s">
        <v>695</v>
      </c>
      <c r="AZ743" s="270" t="s">
        <v>2866</v>
      </c>
      <c r="BA743" s="265">
        <v>10.0</v>
      </c>
      <c r="BB743" s="174" t="s">
        <v>245</v>
      </c>
      <c r="BC743" s="341"/>
      <c r="BD743" s="308"/>
      <c r="BE743" s="347"/>
      <c r="BF743" s="274" t="str">
        <f>IFERROR(__xludf.DUMMYFUNCTION("LOWER(Regexreplace(to_text(E743),""[^A-Za-z0-9]"","""")&amp;""_""&amp;Regexreplace(to_text(F743),""[^A-Za-z0-9]"",""""))"),"neptronic_evcbseries")</f>
        <v>neptronic_evcbseries</v>
      </c>
      <c r="BG743" s="275" t="str">
        <f>IFERROR(__xludf.DUMMYFUNCTION("upper(Regexreplace(to_text(E743),""[^A-Za-z0-9]"","""")&amp;""-""&amp;Regexreplace(to_text(F743),""[^A-Za-z0-9]"",""""))"),"NEPTRONIC-EVCBSERIES")</f>
        <v>NEPTRONIC-EVCBSERIES</v>
      </c>
    </row>
    <row r="744" ht="30.0" customHeight="1">
      <c r="A744" s="258">
        <v>736.0</v>
      </c>
      <c r="B744" s="237" t="s">
        <v>670</v>
      </c>
      <c r="C744" s="257" t="s">
        <v>3793</v>
      </c>
      <c r="D744" s="173" t="s">
        <v>3793</v>
      </c>
      <c r="E744" s="174" t="s">
        <v>2861</v>
      </c>
      <c r="F744" s="173" t="s">
        <v>2862</v>
      </c>
      <c r="G744" s="328" t="s">
        <v>673</v>
      </c>
      <c r="H744" s="328" t="s">
        <v>2863</v>
      </c>
      <c r="I744" s="258" t="s">
        <v>2864</v>
      </c>
      <c r="J744" s="259" t="s">
        <v>902</v>
      </c>
      <c r="K744" s="260" t="s">
        <v>3794</v>
      </c>
      <c r="L744" s="328"/>
      <c r="M744" s="343"/>
      <c r="N744" s="173" t="s">
        <v>679</v>
      </c>
      <c r="O744" s="173" t="s">
        <v>225</v>
      </c>
      <c r="P744" s="262" t="str">
        <f t="shared" si="1"/>
        <v>IN-BLR-ANANTA-VAV-316_2</v>
      </c>
      <c r="Q744" s="173" t="s">
        <v>3795</v>
      </c>
      <c r="R744" s="328" t="str">
        <f>IFS(C744="","",C744="n/a","N/A",LEN(C744),Concatenate("{",char(34),"asset",char(34),":{",char(34),"guid",char(34),":",char(34),Q744,char(34),",",char(34),"site",char(34),":",char(34),LOWER('2-Building'!$B$4),char(34),",",char(34),"name",char(34),":",char(34),LOWER(C744),char(34),"}}"))</f>
        <v>{"asset":{"guid":"uuid://a4c6288a-5247-42bd-a3fc-2548623ecfc9","site":"in-blr-ananta","name":"vav-316"}}</v>
      </c>
      <c r="S744" s="237" t="s">
        <v>2866</v>
      </c>
      <c r="T744" s="330"/>
      <c r="U744" s="330"/>
      <c r="V744" s="331"/>
      <c r="W744" s="344"/>
      <c r="X744" s="341"/>
      <c r="Y744" s="33" t="s">
        <v>2867</v>
      </c>
      <c r="Z744" s="258">
        <v>120316.0</v>
      </c>
      <c r="AA744" s="334">
        <v>11500.0</v>
      </c>
      <c r="AB744" s="341"/>
      <c r="AC744" s="341"/>
      <c r="AD744" s="343"/>
      <c r="AE744" s="331"/>
      <c r="AF744" s="348"/>
      <c r="AG744" s="337"/>
      <c r="AH744" s="341"/>
      <c r="AI744" s="341"/>
      <c r="AJ744" s="341"/>
      <c r="AK744" s="341"/>
      <c r="AL744" s="341"/>
      <c r="AM744" s="338"/>
      <c r="AN744" s="341"/>
      <c r="AO744" s="341"/>
      <c r="AP744" s="341"/>
      <c r="AQ744" s="341"/>
      <c r="AR744" s="341"/>
      <c r="AS744" s="341"/>
      <c r="AT744" s="341"/>
      <c r="AU744" s="343"/>
      <c r="AV744" s="341"/>
      <c r="AW744" s="269" t="s">
        <v>2053</v>
      </c>
      <c r="AX744" s="334" t="s">
        <v>2869</v>
      </c>
      <c r="AY744" s="270" t="s">
        <v>695</v>
      </c>
      <c r="AZ744" s="270" t="s">
        <v>2866</v>
      </c>
      <c r="BA744" s="265">
        <v>10.0</v>
      </c>
      <c r="BB744" s="174" t="s">
        <v>245</v>
      </c>
      <c r="BC744" s="341"/>
      <c r="BD744" s="308"/>
      <c r="BE744" s="347"/>
      <c r="BF744" s="274" t="str">
        <f>IFERROR(__xludf.DUMMYFUNCTION("LOWER(Regexreplace(to_text(E744),""[^A-Za-z0-9]"","""")&amp;""_""&amp;Regexreplace(to_text(F744),""[^A-Za-z0-9]"",""""))"),"neptronic_evcbseries")</f>
        <v>neptronic_evcbseries</v>
      </c>
      <c r="BG744" s="275" t="str">
        <f>IFERROR(__xludf.DUMMYFUNCTION("upper(Regexreplace(to_text(E744),""[^A-Za-z0-9]"","""")&amp;""-""&amp;Regexreplace(to_text(F744),""[^A-Za-z0-9]"",""""))"),"NEPTRONIC-EVCBSERIES")</f>
        <v>NEPTRONIC-EVCBSERIES</v>
      </c>
    </row>
    <row r="745" ht="30.0" customHeight="1">
      <c r="A745" s="173">
        <v>737.0</v>
      </c>
      <c r="B745" s="237" t="s">
        <v>670</v>
      </c>
      <c r="C745" s="257" t="s">
        <v>3796</v>
      </c>
      <c r="D745" s="173" t="s">
        <v>3796</v>
      </c>
      <c r="E745" s="174" t="s">
        <v>2861</v>
      </c>
      <c r="F745" s="173" t="s">
        <v>2862</v>
      </c>
      <c r="G745" s="328" t="s">
        <v>673</v>
      </c>
      <c r="H745" s="328" t="s">
        <v>2863</v>
      </c>
      <c r="I745" s="258" t="s">
        <v>2864</v>
      </c>
      <c r="J745" s="259" t="s">
        <v>902</v>
      </c>
      <c r="K745" s="260" t="s">
        <v>3797</v>
      </c>
      <c r="L745" s="328"/>
      <c r="M745" s="343"/>
      <c r="N745" s="173" t="s">
        <v>679</v>
      </c>
      <c r="O745" s="173" t="s">
        <v>225</v>
      </c>
      <c r="P745" s="262" t="str">
        <f t="shared" si="1"/>
        <v>IN-BLR-ANANTA-VAV-317_2</v>
      </c>
      <c r="Q745" s="173" t="s">
        <v>3798</v>
      </c>
      <c r="R745" s="328" t="str">
        <f>IFS(C745="","",C745="n/a","N/A",LEN(C745),Concatenate("{",char(34),"asset",char(34),":{",char(34),"guid",char(34),":",char(34),Q745,char(34),",",char(34),"site",char(34),":",char(34),LOWER('2-Building'!$B$4),char(34),",",char(34),"name",char(34),":",char(34),LOWER(C745),char(34),"}}"))</f>
        <v>{"asset":{"guid":"uuid://db05e8bb-ab45-42da-bbd5-cde1ec833ccd","site":"in-blr-ananta","name":"vav-317"}}</v>
      </c>
      <c r="S745" s="237" t="s">
        <v>2866</v>
      </c>
      <c r="T745" s="330"/>
      <c r="U745" s="330"/>
      <c r="V745" s="331"/>
      <c r="W745" s="344"/>
      <c r="X745" s="341"/>
      <c r="Y745" s="33" t="s">
        <v>2867</v>
      </c>
      <c r="Z745" s="258">
        <v>120317.0</v>
      </c>
      <c r="AA745" s="334">
        <v>11500.0</v>
      </c>
      <c r="AB745" s="341"/>
      <c r="AC745" s="341"/>
      <c r="AD745" s="343"/>
      <c r="AE745" s="331"/>
      <c r="AF745" s="348"/>
      <c r="AG745" s="337"/>
      <c r="AH745" s="341"/>
      <c r="AI745" s="341"/>
      <c r="AJ745" s="341"/>
      <c r="AK745" s="341"/>
      <c r="AL745" s="341"/>
      <c r="AM745" s="338"/>
      <c r="AN745" s="341"/>
      <c r="AO745" s="341"/>
      <c r="AP745" s="341"/>
      <c r="AQ745" s="341"/>
      <c r="AR745" s="341"/>
      <c r="AS745" s="341"/>
      <c r="AT745" s="341"/>
      <c r="AU745" s="343"/>
      <c r="AV745" s="341"/>
      <c r="AW745" s="269" t="s">
        <v>2053</v>
      </c>
      <c r="AX745" s="334" t="s">
        <v>2869</v>
      </c>
      <c r="AY745" s="270" t="s">
        <v>695</v>
      </c>
      <c r="AZ745" s="270" t="s">
        <v>2866</v>
      </c>
      <c r="BA745" s="265">
        <v>10.0</v>
      </c>
      <c r="BB745" s="174" t="s">
        <v>245</v>
      </c>
      <c r="BC745" s="341"/>
      <c r="BD745" s="308"/>
      <c r="BE745" s="347"/>
      <c r="BF745" s="274" t="str">
        <f>IFERROR(__xludf.DUMMYFUNCTION("LOWER(Regexreplace(to_text(E745),""[^A-Za-z0-9]"","""")&amp;""_""&amp;Regexreplace(to_text(F745),""[^A-Za-z0-9]"",""""))"),"neptronic_evcbseries")</f>
        <v>neptronic_evcbseries</v>
      </c>
      <c r="BG745" s="275" t="str">
        <f>IFERROR(__xludf.DUMMYFUNCTION("upper(Regexreplace(to_text(E745),""[^A-Za-z0-9]"","""")&amp;""-""&amp;Regexreplace(to_text(F745),""[^A-Za-z0-9]"",""""))"),"NEPTRONIC-EVCBSERIES")</f>
        <v>NEPTRONIC-EVCBSERIES</v>
      </c>
    </row>
    <row r="746" ht="30.0" customHeight="1">
      <c r="A746" s="258">
        <v>738.0</v>
      </c>
      <c r="B746" s="237" t="s">
        <v>670</v>
      </c>
      <c r="C746" s="257" t="s">
        <v>3799</v>
      </c>
      <c r="D746" s="173" t="s">
        <v>3799</v>
      </c>
      <c r="E746" s="174" t="s">
        <v>2861</v>
      </c>
      <c r="F746" s="173" t="s">
        <v>2862</v>
      </c>
      <c r="G746" s="328" t="s">
        <v>673</v>
      </c>
      <c r="H746" s="328" t="s">
        <v>2863</v>
      </c>
      <c r="I746" s="258" t="s">
        <v>2864</v>
      </c>
      <c r="J746" s="259" t="s">
        <v>902</v>
      </c>
      <c r="K746" s="260" t="s">
        <v>3800</v>
      </c>
      <c r="L746" s="328"/>
      <c r="M746" s="343"/>
      <c r="N746" s="173" t="s">
        <v>679</v>
      </c>
      <c r="O746" s="173" t="s">
        <v>225</v>
      </c>
      <c r="P746" s="262" t="str">
        <f t="shared" si="1"/>
        <v>IN-BLR-ANANTA-VAV-318_2</v>
      </c>
      <c r="Q746" s="173" t="s">
        <v>3801</v>
      </c>
      <c r="R746" s="328" t="str">
        <f>IFS(C746="","",C746="n/a","N/A",LEN(C746),Concatenate("{",char(34),"asset",char(34),":{",char(34),"guid",char(34),":",char(34),Q746,char(34),",",char(34),"site",char(34),":",char(34),LOWER('2-Building'!$B$4),char(34),",",char(34),"name",char(34),":",char(34),LOWER(C746),char(34),"}}"))</f>
        <v>{"asset":{"guid":"uuid://b94b3f95-c464-4b15-ab98-7948882c6a3b","site":"in-blr-ananta","name":"vav-318"}}</v>
      </c>
      <c r="S746" s="237" t="s">
        <v>2866</v>
      </c>
      <c r="T746" s="330"/>
      <c r="U746" s="330"/>
      <c r="V746" s="331"/>
      <c r="W746" s="344"/>
      <c r="X746" s="341"/>
      <c r="Y746" s="33" t="s">
        <v>2867</v>
      </c>
      <c r="Z746" s="258">
        <v>120318.0</v>
      </c>
      <c r="AA746" s="334">
        <v>11500.0</v>
      </c>
      <c r="AB746" s="341"/>
      <c r="AC746" s="341"/>
      <c r="AD746" s="343"/>
      <c r="AE746" s="331"/>
      <c r="AF746" s="348"/>
      <c r="AG746" s="337"/>
      <c r="AH746" s="341"/>
      <c r="AI746" s="341"/>
      <c r="AJ746" s="341"/>
      <c r="AK746" s="341"/>
      <c r="AL746" s="341"/>
      <c r="AM746" s="338"/>
      <c r="AN746" s="341"/>
      <c r="AO746" s="341"/>
      <c r="AP746" s="341"/>
      <c r="AQ746" s="341"/>
      <c r="AR746" s="341"/>
      <c r="AS746" s="341"/>
      <c r="AT746" s="341"/>
      <c r="AU746" s="343"/>
      <c r="AV746" s="341"/>
      <c r="AW746" s="269" t="s">
        <v>2053</v>
      </c>
      <c r="AX746" s="334" t="s">
        <v>2869</v>
      </c>
      <c r="AY746" s="270" t="s">
        <v>695</v>
      </c>
      <c r="AZ746" s="270" t="s">
        <v>2866</v>
      </c>
      <c r="BA746" s="265">
        <v>10.0</v>
      </c>
      <c r="BB746" s="174" t="s">
        <v>245</v>
      </c>
      <c r="BC746" s="341"/>
      <c r="BD746" s="308"/>
      <c r="BE746" s="347"/>
      <c r="BF746" s="274" t="str">
        <f>IFERROR(__xludf.DUMMYFUNCTION("LOWER(Regexreplace(to_text(E746),""[^A-Za-z0-9]"","""")&amp;""_""&amp;Regexreplace(to_text(F746),""[^A-Za-z0-9]"",""""))"),"neptronic_evcbseries")</f>
        <v>neptronic_evcbseries</v>
      </c>
      <c r="BG746" s="275" t="str">
        <f>IFERROR(__xludf.DUMMYFUNCTION("upper(Regexreplace(to_text(E746),""[^A-Za-z0-9]"","""")&amp;""-""&amp;Regexreplace(to_text(F746),""[^A-Za-z0-9]"",""""))"),"NEPTRONIC-EVCBSERIES")</f>
        <v>NEPTRONIC-EVCBSERIES</v>
      </c>
    </row>
    <row r="747" ht="30.0" customHeight="1">
      <c r="A747" s="173">
        <v>739.0</v>
      </c>
      <c r="B747" s="237" t="s">
        <v>670</v>
      </c>
      <c r="C747" s="257" t="s">
        <v>3802</v>
      </c>
      <c r="D747" s="173" t="s">
        <v>3802</v>
      </c>
      <c r="E747" s="174" t="s">
        <v>2861</v>
      </c>
      <c r="F747" s="173" t="s">
        <v>2862</v>
      </c>
      <c r="G747" s="328" t="s">
        <v>673</v>
      </c>
      <c r="H747" s="328" t="s">
        <v>2863</v>
      </c>
      <c r="I747" s="258" t="s">
        <v>2864</v>
      </c>
      <c r="J747" s="259" t="s">
        <v>902</v>
      </c>
      <c r="K747" s="260" t="s">
        <v>3803</v>
      </c>
      <c r="L747" s="328"/>
      <c r="M747" s="343"/>
      <c r="N747" s="173" t="s">
        <v>679</v>
      </c>
      <c r="O747" s="173" t="s">
        <v>225</v>
      </c>
      <c r="P747" s="262" t="str">
        <f t="shared" si="1"/>
        <v>IN-BLR-ANANTA-VAV-319_2</v>
      </c>
      <c r="Q747" s="173" t="s">
        <v>3804</v>
      </c>
      <c r="R747" s="328" t="str">
        <f>IFS(C747="","",C747="n/a","N/A",LEN(C747),Concatenate("{",char(34),"asset",char(34),":{",char(34),"guid",char(34),":",char(34),Q747,char(34),",",char(34),"site",char(34),":",char(34),LOWER('2-Building'!$B$4),char(34),",",char(34),"name",char(34),":",char(34),LOWER(C747),char(34),"}}"))</f>
        <v>{"asset":{"guid":"uuid://32637550-2f97-4ac8-9d50-2ec6fa571a9e","site":"in-blr-ananta","name":"vav-319"}}</v>
      </c>
      <c r="S747" s="237" t="s">
        <v>2866</v>
      </c>
      <c r="T747" s="330"/>
      <c r="U747" s="330"/>
      <c r="V747" s="331"/>
      <c r="W747" s="344"/>
      <c r="X747" s="341"/>
      <c r="Y747" s="33" t="s">
        <v>2867</v>
      </c>
      <c r="Z747" s="258">
        <v>120319.0</v>
      </c>
      <c r="AA747" s="334">
        <v>11500.0</v>
      </c>
      <c r="AB747" s="341"/>
      <c r="AC747" s="341"/>
      <c r="AD747" s="343"/>
      <c r="AE747" s="331"/>
      <c r="AF747" s="348"/>
      <c r="AG747" s="337"/>
      <c r="AH747" s="341"/>
      <c r="AI747" s="341"/>
      <c r="AJ747" s="341"/>
      <c r="AK747" s="341"/>
      <c r="AL747" s="341"/>
      <c r="AM747" s="338"/>
      <c r="AN747" s="341"/>
      <c r="AO747" s="341"/>
      <c r="AP747" s="341"/>
      <c r="AQ747" s="341"/>
      <c r="AR747" s="341"/>
      <c r="AS747" s="341"/>
      <c r="AT747" s="341"/>
      <c r="AU747" s="343"/>
      <c r="AV747" s="341"/>
      <c r="AW747" s="269" t="s">
        <v>2053</v>
      </c>
      <c r="AX747" s="334" t="s">
        <v>2869</v>
      </c>
      <c r="AY747" s="270" t="s">
        <v>695</v>
      </c>
      <c r="AZ747" s="270" t="s">
        <v>2866</v>
      </c>
      <c r="BA747" s="265">
        <v>10.0</v>
      </c>
      <c r="BB747" s="174" t="s">
        <v>245</v>
      </c>
      <c r="BC747" s="341"/>
      <c r="BD747" s="308"/>
      <c r="BE747" s="347"/>
      <c r="BF747" s="274" t="str">
        <f>IFERROR(__xludf.DUMMYFUNCTION("LOWER(Regexreplace(to_text(E747),""[^A-Za-z0-9]"","""")&amp;""_""&amp;Regexreplace(to_text(F747),""[^A-Za-z0-9]"",""""))"),"neptronic_evcbseries")</f>
        <v>neptronic_evcbseries</v>
      </c>
      <c r="BG747" s="275" t="str">
        <f>IFERROR(__xludf.DUMMYFUNCTION("upper(Regexreplace(to_text(E747),""[^A-Za-z0-9]"","""")&amp;""-""&amp;Regexreplace(to_text(F747),""[^A-Za-z0-9]"",""""))"),"NEPTRONIC-EVCBSERIES")</f>
        <v>NEPTRONIC-EVCBSERIES</v>
      </c>
    </row>
    <row r="748" ht="30.0" customHeight="1">
      <c r="A748" s="258">
        <v>740.0</v>
      </c>
      <c r="B748" s="237" t="s">
        <v>670</v>
      </c>
      <c r="C748" s="257" t="s">
        <v>3805</v>
      </c>
      <c r="D748" s="173" t="s">
        <v>3805</v>
      </c>
      <c r="E748" s="174" t="s">
        <v>2861</v>
      </c>
      <c r="F748" s="173" t="s">
        <v>2862</v>
      </c>
      <c r="G748" s="328" t="s">
        <v>673</v>
      </c>
      <c r="H748" s="328" t="s">
        <v>2863</v>
      </c>
      <c r="I748" s="258" t="s">
        <v>2864</v>
      </c>
      <c r="J748" s="259" t="s">
        <v>902</v>
      </c>
      <c r="K748" s="260" t="s">
        <v>3806</v>
      </c>
      <c r="L748" s="328"/>
      <c r="M748" s="343"/>
      <c r="N748" s="173" t="s">
        <v>679</v>
      </c>
      <c r="O748" s="173" t="s">
        <v>225</v>
      </c>
      <c r="P748" s="262" t="str">
        <f t="shared" si="1"/>
        <v>IN-BLR-ANANTA-VAV-320_2</v>
      </c>
      <c r="Q748" s="173" t="s">
        <v>3807</v>
      </c>
      <c r="R748" s="328" t="str">
        <f>IFS(C748="","",C748="n/a","N/A",LEN(C748),Concatenate("{",char(34),"asset",char(34),":{",char(34),"guid",char(34),":",char(34),Q748,char(34),",",char(34),"site",char(34),":",char(34),LOWER('2-Building'!$B$4),char(34),",",char(34),"name",char(34),":",char(34),LOWER(C748),char(34),"}}"))</f>
        <v>{"asset":{"guid":"uuid://07735349-2920-4a54-86a2-d6f5886ded4a","site":"in-blr-ananta","name":"vav-320"}}</v>
      </c>
      <c r="S748" s="237" t="s">
        <v>2866</v>
      </c>
      <c r="T748" s="330"/>
      <c r="U748" s="330"/>
      <c r="V748" s="331"/>
      <c r="W748" s="344"/>
      <c r="X748" s="341"/>
      <c r="Y748" s="33" t="s">
        <v>2867</v>
      </c>
      <c r="Z748" s="258">
        <v>120320.0</v>
      </c>
      <c r="AA748" s="334">
        <v>11500.0</v>
      </c>
      <c r="AB748" s="341"/>
      <c r="AC748" s="341"/>
      <c r="AD748" s="343"/>
      <c r="AE748" s="331"/>
      <c r="AF748" s="348"/>
      <c r="AG748" s="337"/>
      <c r="AH748" s="341"/>
      <c r="AI748" s="341"/>
      <c r="AJ748" s="341"/>
      <c r="AK748" s="341"/>
      <c r="AL748" s="341"/>
      <c r="AM748" s="338"/>
      <c r="AN748" s="341"/>
      <c r="AO748" s="341"/>
      <c r="AP748" s="341"/>
      <c r="AQ748" s="341"/>
      <c r="AR748" s="341"/>
      <c r="AS748" s="341"/>
      <c r="AT748" s="341"/>
      <c r="AU748" s="343"/>
      <c r="AV748" s="341"/>
      <c r="AW748" s="269" t="s">
        <v>2053</v>
      </c>
      <c r="AX748" s="334" t="s">
        <v>2869</v>
      </c>
      <c r="AY748" s="270" t="s">
        <v>695</v>
      </c>
      <c r="AZ748" s="270" t="s">
        <v>2866</v>
      </c>
      <c r="BA748" s="265">
        <v>10.0</v>
      </c>
      <c r="BB748" s="174" t="s">
        <v>245</v>
      </c>
      <c r="BC748" s="341"/>
      <c r="BD748" s="308"/>
      <c r="BE748" s="347"/>
      <c r="BF748" s="274" t="str">
        <f>IFERROR(__xludf.DUMMYFUNCTION("LOWER(Regexreplace(to_text(E748),""[^A-Za-z0-9]"","""")&amp;""_""&amp;Regexreplace(to_text(F748),""[^A-Za-z0-9]"",""""))"),"neptronic_evcbseries")</f>
        <v>neptronic_evcbseries</v>
      </c>
      <c r="BG748" s="275" t="str">
        <f>IFERROR(__xludf.DUMMYFUNCTION("upper(Regexreplace(to_text(E748),""[^A-Za-z0-9]"","""")&amp;""-""&amp;Regexreplace(to_text(F748),""[^A-Za-z0-9]"",""""))"),"NEPTRONIC-EVCBSERIES")</f>
        <v>NEPTRONIC-EVCBSERIES</v>
      </c>
    </row>
    <row r="749" ht="30.0" customHeight="1">
      <c r="A749" s="173">
        <v>741.0</v>
      </c>
      <c r="B749" s="237" t="s">
        <v>670</v>
      </c>
      <c r="C749" s="257" t="s">
        <v>3808</v>
      </c>
      <c r="D749" s="173" t="s">
        <v>3808</v>
      </c>
      <c r="E749" s="174" t="s">
        <v>2861</v>
      </c>
      <c r="F749" s="173" t="s">
        <v>2862</v>
      </c>
      <c r="G749" s="328" t="s">
        <v>673</v>
      </c>
      <c r="H749" s="328" t="s">
        <v>2863</v>
      </c>
      <c r="I749" s="258" t="s">
        <v>2864</v>
      </c>
      <c r="J749" s="259" t="s">
        <v>902</v>
      </c>
      <c r="K749" s="260" t="s">
        <v>3809</v>
      </c>
      <c r="L749" s="328"/>
      <c r="M749" s="343"/>
      <c r="N749" s="173" t="s">
        <v>679</v>
      </c>
      <c r="O749" s="173" t="s">
        <v>225</v>
      </c>
      <c r="P749" s="262" t="str">
        <f t="shared" si="1"/>
        <v>IN-BLR-ANANTA-VAV-321_2</v>
      </c>
      <c r="Q749" s="173" t="s">
        <v>3810</v>
      </c>
      <c r="R749" s="328" t="str">
        <f>IFS(C749="","",C749="n/a","N/A",LEN(C749),Concatenate("{",char(34),"asset",char(34),":{",char(34),"guid",char(34),":",char(34),Q749,char(34),",",char(34),"site",char(34),":",char(34),LOWER('2-Building'!$B$4),char(34),",",char(34),"name",char(34),":",char(34),LOWER(C749),char(34),"}}"))</f>
        <v>{"asset":{"guid":"uuid://3d5d77d5-43a7-4883-9700-431cb20365be","site":"in-blr-ananta","name":"vav-321"}}</v>
      </c>
      <c r="S749" s="237" t="s">
        <v>2866</v>
      </c>
      <c r="T749" s="330"/>
      <c r="U749" s="330"/>
      <c r="V749" s="331"/>
      <c r="W749" s="344"/>
      <c r="X749" s="341"/>
      <c r="Y749" s="33" t="s">
        <v>2867</v>
      </c>
      <c r="Z749" s="258">
        <v>120321.0</v>
      </c>
      <c r="AA749" s="334">
        <v>11500.0</v>
      </c>
      <c r="AB749" s="341"/>
      <c r="AC749" s="341"/>
      <c r="AD749" s="343"/>
      <c r="AE749" s="331"/>
      <c r="AF749" s="348"/>
      <c r="AG749" s="337"/>
      <c r="AH749" s="341"/>
      <c r="AI749" s="341"/>
      <c r="AJ749" s="341"/>
      <c r="AK749" s="341"/>
      <c r="AL749" s="341"/>
      <c r="AM749" s="338"/>
      <c r="AN749" s="341"/>
      <c r="AO749" s="341"/>
      <c r="AP749" s="341"/>
      <c r="AQ749" s="341"/>
      <c r="AR749" s="341"/>
      <c r="AS749" s="341"/>
      <c r="AT749" s="341"/>
      <c r="AU749" s="343"/>
      <c r="AV749" s="341"/>
      <c r="AW749" s="269" t="s">
        <v>2053</v>
      </c>
      <c r="AX749" s="334" t="s">
        <v>2869</v>
      </c>
      <c r="AY749" s="270" t="s">
        <v>695</v>
      </c>
      <c r="AZ749" s="270" t="s">
        <v>2866</v>
      </c>
      <c r="BA749" s="265">
        <v>10.0</v>
      </c>
      <c r="BB749" s="174" t="s">
        <v>245</v>
      </c>
      <c r="BC749" s="341"/>
      <c r="BD749" s="308"/>
      <c r="BE749" s="347"/>
      <c r="BF749" s="274" t="str">
        <f>IFERROR(__xludf.DUMMYFUNCTION("LOWER(Regexreplace(to_text(E749),""[^A-Za-z0-9]"","""")&amp;""_""&amp;Regexreplace(to_text(F749),""[^A-Za-z0-9]"",""""))"),"neptronic_evcbseries")</f>
        <v>neptronic_evcbseries</v>
      </c>
      <c r="BG749" s="275" t="str">
        <f>IFERROR(__xludf.DUMMYFUNCTION("upper(Regexreplace(to_text(E749),""[^A-Za-z0-9]"","""")&amp;""-""&amp;Regexreplace(to_text(F749),""[^A-Za-z0-9]"",""""))"),"NEPTRONIC-EVCBSERIES")</f>
        <v>NEPTRONIC-EVCBSERIES</v>
      </c>
    </row>
    <row r="750" ht="30.0" customHeight="1">
      <c r="A750" s="258">
        <v>742.0</v>
      </c>
      <c r="B750" s="237" t="s">
        <v>670</v>
      </c>
      <c r="C750" s="257" t="s">
        <v>3811</v>
      </c>
      <c r="D750" s="173" t="s">
        <v>3811</v>
      </c>
      <c r="E750" s="174" t="s">
        <v>2861</v>
      </c>
      <c r="F750" s="173" t="s">
        <v>2862</v>
      </c>
      <c r="G750" s="328" t="s">
        <v>673</v>
      </c>
      <c r="H750" s="328" t="s">
        <v>2863</v>
      </c>
      <c r="I750" s="258" t="s">
        <v>2864</v>
      </c>
      <c r="J750" s="259" t="s">
        <v>902</v>
      </c>
      <c r="K750" s="260" t="s">
        <v>3812</v>
      </c>
      <c r="L750" s="328"/>
      <c r="M750" s="343"/>
      <c r="N750" s="173" t="s">
        <v>679</v>
      </c>
      <c r="O750" s="173" t="s">
        <v>225</v>
      </c>
      <c r="P750" s="262" t="str">
        <f t="shared" si="1"/>
        <v>IN-BLR-ANANTA-VAV-322_2</v>
      </c>
      <c r="Q750" s="173" t="s">
        <v>3813</v>
      </c>
      <c r="R750" s="328" t="str">
        <f>IFS(C750="","",C750="n/a","N/A",LEN(C750),Concatenate("{",char(34),"asset",char(34),":{",char(34),"guid",char(34),":",char(34),Q750,char(34),",",char(34),"site",char(34),":",char(34),LOWER('2-Building'!$B$4),char(34),",",char(34),"name",char(34),":",char(34),LOWER(C750),char(34),"}}"))</f>
        <v>{"asset":{"guid":"uuid://67b80dea-3b49-40b3-b426-8b75db036fc1","site":"in-blr-ananta","name":"vav-322"}}</v>
      </c>
      <c r="S750" s="237" t="s">
        <v>2866</v>
      </c>
      <c r="T750" s="330"/>
      <c r="U750" s="330"/>
      <c r="V750" s="331"/>
      <c r="W750" s="344"/>
      <c r="X750" s="341"/>
      <c r="Y750" s="33" t="s">
        <v>2867</v>
      </c>
      <c r="Z750" s="258">
        <v>120322.0</v>
      </c>
      <c r="AA750" s="334">
        <v>11500.0</v>
      </c>
      <c r="AB750" s="341"/>
      <c r="AC750" s="341"/>
      <c r="AD750" s="343"/>
      <c r="AE750" s="331"/>
      <c r="AF750" s="348"/>
      <c r="AG750" s="337"/>
      <c r="AH750" s="341"/>
      <c r="AI750" s="341"/>
      <c r="AJ750" s="341"/>
      <c r="AK750" s="341"/>
      <c r="AL750" s="341"/>
      <c r="AM750" s="338"/>
      <c r="AN750" s="341"/>
      <c r="AO750" s="341"/>
      <c r="AP750" s="341"/>
      <c r="AQ750" s="341"/>
      <c r="AR750" s="341"/>
      <c r="AS750" s="341"/>
      <c r="AT750" s="341"/>
      <c r="AU750" s="343"/>
      <c r="AV750" s="341"/>
      <c r="AW750" s="269" t="s">
        <v>2053</v>
      </c>
      <c r="AX750" s="334" t="s">
        <v>2869</v>
      </c>
      <c r="AY750" s="270" t="s">
        <v>695</v>
      </c>
      <c r="AZ750" s="173" t="s">
        <v>2866</v>
      </c>
      <c r="BA750" s="265">
        <v>10.0</v>
      </c>
      <c r="BB750" s="174" t="s">
        <v>245</v>
      </c>
      <c r="BC750" s="341"/>
      <c r="BD750" s="308"/>
      <c r="BE750" s="347"/>
      <c r="BF750" s="274" t="str">
        <f>IFERROR(__xludf.DUMMYFUNCTION("LOWER(Regexreplace(to_text(E750),""[^A-Za-z0-9]"","""")&amp;""_""&amp;Regexreplace(to_text(F750),""[^A-Za-z0-9]"",""""))"),"neptronic_evcbseries")</f>
        <v>neptronic_evcbseries</v>
      </c>
      <c r="BG750" s="275" t="str">
        <f>IFERROR(__xludf.DUMMYFUNCTION("upper(Regexreplace(to_text(E750),""[^A-Za-z0-9]"","""")&amp;""-""&amp;Regexreplace(to_text(F750),""[^A-Za-z0-9]"",""""))"),"NEPTRONIC-EVCBSERIES")</f>
        <v>NEPTRONIC-EVCBSERIES</v>
      </c>
    </row>
    <row r="751" ht="30.0" customHeight="1">
      <c r="A751" s="173">
        <v>743.0</v>
      </c>
      <c r="B751" s="237" t="s">
        <v>670</v>
      </c>
      <c r="C751" s="257" t="s">
        <v>3814</v>
      </c>
      <c r="D751" s="173" t="s">
        <v>3814</v>
      </c>
      <c r="E751" s="174" t="s">
        <v>2861</v>
      </c>
      <c r="F751" s="173" t="s">
        <v>2862</v>
      </c>
      <c r="G751" s="328" t="s">
        <v>673</v>
      </c>
      <c r="H751" s="328" t="s">
        <v>2863</v>
      </c>
      <c r="I751" s="258" t="s">
        <v>2864</v>
      </c>
      <c r="J751" s="259" t="s">
        <v>902</v>
      </c>
      <c r="K751" s="260" t="s">
        <v>3815</v>
      </c>
      <c r="L751" s="328"/>
      <c r="M751" s="343"/>
      <c r="N751" s="173" t="s">
        <v>679</v>
      </c>
      <c r="O751" s="173" t="s">
        <v>225</v>
      </c>
      <c r="P751" s="262" t="str">
        <f t="shared" si="1"/>
        <v>IN-BLR-ANANTA-VAV-323_2</v>
      </c>
      <c r="Q751" s="173" t="s">
        <v>3816</v>
      </c>
      <c r="R751" s="328" t="str">
        <f>IFS(C751="","",C751="n/a","N/A",LEN(C751),Concatenate("{",char(34),"asset",char(34),":{",char(34),"guid",char(34),":",char(34),Q751,char(34),",",char(34),"site",char(34),":",char(34),LOWER('2-Building'!$B$4),char(34),",",char(34),"name",char(34),":",char(34),LOWER(C751),char(34),"}}"))</f>
        <v>{"asset":{"guid":"uuid://12828c53-274a-4fde-b719-33597e82d0bb","site":"in-blr-ananta","name":"vav-323"}}</v>
      </c>
      <c r="S751" s="237" t="s">
        <v>2866</v>
      </c>
      <c r="T751" s="330"/>
      <c r="U751" s="330"/>
      <c r="V751" s="331"/>
      <c r="W751" s="344"/>
      <c r="X751" s="341"/>
      <c r="Y751" s="33" t="s">
        <v>2867</v>
      </c>
      <c r="Z751" s="258">
        <v>120323.0</v>
      </c>
      <c r="AA751" s="334">
        <v>11500.0</v>
      </c>
      <c r="AB751" s="341"/>
      <c r="AC751" s="341"/>
      <c r="AD751" s="343"/>
      <c r="AE751" s="331"/>
      <c r="AF751" s="348"/>
      <c r="AG751" s="337"/>
      <c r="AH751" s="341"/>
      <c r="AI751" s="341"/>
      <c r="AJ751" s="341"/>
      <c r="AK751" s="341"/>
      <c r="AL751" s="341"/>
      <c r="AM751" s="338"/>
      <c r="AN751" s="341"/>
      <c r="AO751" s="341"/>
      <c r="AP751" s="341"/>
      <c r="AQ751" s="341"/>
      <c r="AR751" s="341"/>
      <c r="AS751" s="341"/>
      <c r="AT751" s="341"/>
      <c r="AU751" s="343"/>
      <c r="AV751" s="341"/>
      <c r="AW751" s="269" t="s">
        <v>2053</v>
      </c>
      <c r="AX751" s="334" t="s">
        <v>2869</v>
      </c>
      <c r="AY751" s="270" t="s">
        <v>695</v>
      </c>
      <c r="AZ751" s="173" t="s">
        <v>2866</v>
      </c>
      <c r="BA751" s="265">
        <v>10.0</v>
      </c>
      <c r="BB751" s="174" t="s">
        <v>245</v>
      </c>
      <c r="BC751" s="341"/>
      <c r="BD751" s="308"/>
      <c r="BE751" s="347"/>
      <c r="BF751" s="274" t="str">
        <f>IFERROR(__xludf.DUMMYFUNCTION("LOWER(Regexreplace(to_text(E751),""[^A-Za-z0-9]"","""")&amp;""_""&amp;Regexreplace(to_text(F751),""[^A-Za-z0-9]"",""""))"),"neptronic_evcbseries")</f>
        <v>neptronic_evcbseries</v>
      </c>
      <c r="BG751" s="275" t="str">
        <f>IFERROR(__xludf.DUMMYFUNCTION("upper(Regexreplace(to_text(E751),""[^A-Za-z0-9]"","""")&amp;""-""&amp;Regexreplace(to_text(F751),""[^A-Za-z0-9]"",""""))"),"NEPTRONIC-EVCBSERIES")</f>
        <v>NEPTRONIC-EVCBSERIES</v>
      </c>
    </row>
    <row r="752" ht="30.0" customHeight="1">
      <c r="A752" s="258">
        <v>744.0</v>
      </c>
      <c r="B752" s="237" t="s">
        <v>670</v>
      </c>
      <c r="C752" s="257" t="s">
        <v>3817</v>
      </c>
      <c r="D752" s="173" t="s">
        <v>3817</v>
      </c>
      <c r="E752" s="174" t="s">
        <v>2861</v>
      </c>
      <c r="F752" s="173" t="s">
        <v>2862</v>
      </c>
      <c r="G752" s="328" t="s">
        <v>673</v>
      </c>
      <c r="H752" s="328" t="s">
        <v>2863</v>
      </c>
      <c r="I752" s="258" t="s">
        <v>2864</v>
      </c>
      <c r="J752" s="259" t="s">
        <v>902</v>
      </c>
      <c r="K752" s="260" t="s">
        <v>3818</v>
      </c>
      <c r="L752" s="328"/>
      <c r="M752" s="343"/>
      <c r="N752" s="173" t="s">
        <v>679</v>
      </c>
      <c r="O752" s="173" t="s">
        <v>225</v>
      </c>
      <c r="P752" s="262" t="str">
        <f t="shared" si="1"/>
        <v>IN-BLR-ANANTA-VAV-324_2</v>
      </c>
      <c r="Q752" s="173" t="s">
        <v>3819</v>
      </c>
      <c r="R752" s="328" t="str">
        <f>IFS(C752="","",C752="n/a","N/A",LEN(C752),Concatenate("{",char(34),"asset",char(34),":{",char(34),"guid",char(34),":",char(34),Q752,char(34),",",char(34),"site",char(34),":",char(34),LOWER('2-Building'!$B$4),char(34),",",char(34),"name",char(34),":",char(34),LOWER(C752),char(34),"}}"))</f>
        <v>{"asset":{"guid":"uuid://97bd83fa-1d6c-4c69-8bae-54d3d75381b4","site":"in-blr-ananta","name":"vav-324"}}</v>
      </c>
      <c r="S752" s="237" t="s">
        <v>2866</v>
      </c>
      <c r="T752" s="330"/>
      <c r="U752" s="330"/>
      <c r="V752" s="331"/>
      <c r="W752" s="344"/>
      <c r="X752" s="341"/>
      <c r="Y752" s="33" t="s">
        <v>2867</v>
      </c>
      <c r="Z752" s="258">
        <v>120324.0</v>
      </c>
      <c r="AA752" s="334">
        <v>11500.0</v>
      </c>
      <c r="AB752" s="341"/>
      <c r="AC752" s="341"/>
      <c r="AD752" s="343"/>
      <c r="AE752" s="331"/>
      <c r="AF752" s="348"/>
      <c r="AG752" s="337"/>
      <c r="AH752" s="341"/>
      <c r="AI752" s="341"/>
      <c r="AJ752" s="341"/>
      <c r="AK752" s="341"/>
      <c r="AL752" s="341"/>
      <c r="AM752" s="338"/>
      <c r="AN752" s="341"/>
      <c r="AO752" s="341"/>
      <c r="AP752" s="341"/>
      <c r="AQ752" s="341"/>
      <c r="AR752" s="341"/>
      <c r="AS752" s="341"/>
      <c r="AT752" s="341"/>
      <c r="AU752" s="343"/>
      <c r="AV752" s="341"/>
      <c r="AW752" s="269" t="s">
        <v>2053</v>
      </c>
      <c r="AX752" s="334" t="s">
        <v>2869</v>
      </c>
      <c r="AY752" s="270" t="s">
        <v>695</v>
      </c>
      <c r="AZ752" s="173" t="s">
        <v>2866</v>
      </c>
      <c r="BA752" s="265">
        <v>10.0</v>
      </c>
      <c r="BB752" s="174" t="s">
        <v>245</v>
      </c>
      <c r="BC752" s="341"/>
      <c r="BD752" s="308"/>
      <c r="BE752" s="347"/>
      <c r="BF752" s="274" t="str">
        <f>IFERROR(__xludf.DUMMYFUNCTION("LOWER(Regexreplace(to_text(E752),""[^A-Za-z0-9]"","""")&amp;""_""&amp;Regexreplace(to_text(F752),""[^A-Za-z0-9]"",""""))"),"neptronic_evcbseries")</f>
        <v>neptronic_evcbseries</v>
      </c>
      <c r="BG752" s="275" t="str">
        <f>IFERROR(__xludf.DUMMYFUNCTION("upper(Regexreplace(to_text(E752),""[^A-Za-z0-9]"","""")&amp;""-""&amp;Regexreplace(to_text(F752),""[^A-Za-z0-9]"",""""))"),"NEPTRONIC-EVCBSERIES")</f>
        <v>NEPTRONIC-EVCBSERIES</v>
      </c>
    </row>
    <row r="753" ht="30.0" customHeight="1">
      <c r="A753" s="173">
        <v>745.0</v>
      </c>
      <c r="B753" s="237" t="s">
        <v>670</v>
      </c>
      <c r="C753" s="257" t="s">
        <v>3820</v>
      </c>
      <c r="D753" s="173" t="s">
        <v>3820</v>
      </c>
      <c r="E753" s="174" t="s">
        <v>2861</v>
      </c>
      <c r="F753" s="173" t="s">
        <v>2862</v>
      </c>
      <c r="G753" s="328" t="s">
        <v>673</v>
      </c>
      <c r="H753" s="328" t="s">
        <v>2863</v>
      </c>
      <c r="I753" s="258" t="s">
        <v>2864</v>
      </c>
      <c r="J753" s="259" t="s">
        <v>902</v>
      </c>
      <c r="K753" s="260" t="s">
        <v>3821</v>
      </c>
      <c r="L753" s="328"/>
      <c r="M753" s="343"/>
      <c r="N753" s="173" t="s">
        <v>679</v>
      </c>
      <c r="O753" s="173" t="s">
        <v>225</v>
      </c>
      <c r="P753" s="262" t="str">
        <f t="shared" si="1"/>
        <v>IN-BLR-ANANTA-VAV-325_2</v>
      </c>
      <c r="Q753" s="173" t="s">
        <v>3822</v>
      </c>
      <c r="R753" s="328" t="str">
        <f>IFS(C753="","",C753="n/a","N/A",LEN(C753),Concatenate("{",char(34),"asset",char(34),":{",char(34),"guid",char(34),":",char(34),Q753,char(34),",",char(34),"site",char(34),":",char(34),LOWER('2-Building'!$B$4),char(34),",",char(34),"name",char(34),":",char(34),LOWER(C753),char(34),"}}"))</f>
        <v>{"asset":{"guid":"uuid://338972f1-d19c-4da2-8890-6e32a441e3eb","site":"in-blr-ananta","name":"vav-325"}}</v>
      </c>
      <c r="S753" s="237" t="s">
        <v>2866</v>
      </c>
      <c r="T753" s="330"/>
      <c r="U753" s="330"/>
      <c r="V753" s="331"/>
      <c r="W753" s="344"/>
      <c r="X753" s="341"/>
      <c r="Y753" s="33" t="s">
        <v>2867</v>
      </c>
      <c r="Z753" s="258">
        <v>120325.0</v>
      </c>
      <c r="AA753" s="334">
        <v>11500.0</v>
      </c>
      <c r="AB753" s="341"/>
      <c r="AC753" s="341"/>
      <c r="AD753" s="343"/>
      <c r="AE753" s="331"/>
      <c r="AF753" s="348"/>
      <c r="AG753" s="337"/>
      <c r="AH753" s="341"/>
      <c r="AI753" s="341"/>
      <c r="AJ753" s="341"/>
      <c r="AK753" s="341"/>
      <c r="AL753" s="341"/>
      <c r="AM753" s="338"/>
      <c r="AN753" s="341"/>
      <c r="AO753" s="341"/>
      <c r="AP753" s="341"/>
      <c r="AQ753" s="341"/>
      <c r="AR753" s="341"/>
      <c r="AS753" s="341"/>
      <c r="AT753" s="341"/>
      <c r="AU753" s="343"/>
      <c r="AV753" s="341"/>
      <c r="AW753" s="269" t="s">
        <v>2053</v>
      </c>
      <c r="AX753" s="334" t="s">
        <v>2869</v>
      </c>
      <c r="AY753" s="270" t="s">
        <v>695</v>
      </c>
      <c r="AZ753" s="173" t="s">
        <v>2866</v>
      </c>
      <c r="BA753" s="265">
        <v>10.0</v>
      </c>
      <c r="BB753" s="174" t="s">
        <v>245</v>
      </c>
      <c r="BC753" s="341"/>
      <c r="BD753" s="308"/>
      <c r="BE753" s="347"/>
      <c r="BF753" s="274" t="str">
        <f>IFERROR(__xludf.DUMMYFUNCTION("LOWER(Regexreplace(to_text(E753),""[^A-Za-z0-9]"","""")&amp;""_""&amp;Regexreplace(to_text(F753),""[^A-Za-z0-9]"",""""))"),"neptronic_evcbseries")</f>
        <v>neptronic_evcbseries</v>
      </c>
      <c r="BG753" s="275" t="str">
        <f>IFERROR(__xludf.DUMMYFUNCTION("upper(Regexreplace(to_text(E753),""[^A-Za-z0-9]"","""")&amp;""-""&amp;Regexreplace(to_text(F753),""[^A-Za-z0-9]"",""""))"),"NEPTRONIC-EVCBSERIES")</f>
        <v>NEPTRONIC-EVCBSERIES</v>
      </c>
    </row>
    <row r="754" ht="30.0" customHeight="1">
      <c r="A754" s="258">
        <v>746.0</v>
      </c>
      <c r="B754" s="237" t="s">
        <v>670</v>
      </c>
      <c r="C754" s="257" t="s">
        <v>3823</v>
      </c>
      <c r="D754" s="173" t="s">
        <v>3823</v>
      </c>
      <c r="E754" s="174" t="s">
        <v>2861</v>
      </c>
      <c r="F754" s="173" t="s">
        <v>2862</v>
      </c>
      <c r="G754" s="328" t="s">
        <v>673</v>
      </c>
      <c r="H754" s="328" t="s">
        <v>2863</v>
      </c>
      <c r="I754" s="258" t="s">
        <v>2864</v>
      </c>
      <c r="J754" s="259" t="s">
        <v>902</v>
      </c>
      <c r="K754" s="260" t="s">
        <v>3824</v>
      </c>
      <c r="L754" s="328"/>
      <c r="M754" s="343"/>
      <c r="N754" s="173" t="s">
        <v>679</v>
      </c>
      <c r="O754" s="173" t="s">
        <v>225</v>
      </c>
      <c r="P754" s="262" t="str">
        <f t="shared" si="1"/>
        <v>IN-BLR-ANANTA-VAV-326_2</v>
      </c>
      <c r="Q754" s="173" t="s">
        <v>3825</v>
      </c>
      <c r="R754" s="328" t="str">
        <f>IFS(C754="","",C754="n/a","N/A",LEN(C754),Concatenate("{",char(34),"asset",char(34),":{",char(34),"guid",char(34),":",char(34),Q754,char(34),",",char(34),"site",char(34),":",char(34),LOWER('2-Building'!$B$4),char(34),",",char(34),"name",char(34),":",char(34),LOWER(C754),char(34),"}}"))</f>
        <v>{"asset":{"guid":"uuid://4c4b384b-6b64-46c3-8e18-d7c7444a412b","site":"in-blr-ananta","name":"vav-326"}}</v>
      </c>
      <c r="S754" s="237" t="s">
        <v>2866</v>
      </c>
      <c r="T754" s="330"/>
      <c r="U754" s="330"/>
      <c r="V754" s="331"/>
      <c r="W754" s="344"/>
      <c r="X754" s="341"/>
      <c r="Y754" s="33" t="s">
        <v>2867</v>
      </c>
      <c r="Z754" s="258">
        <v>120326.0</v>
      </c>
      <c r="AA754" s="334">
        <v>11500.0</v>
      </c>
      <c r="AB754" s="341"/>
      <c r="AC754" s="341"/>
      <c r="AD754" s="343"/>
      <c r="AE754" s="331"/>
      <c r="AF754" s="348"/>
      <c r="AG754" s="337"/>
      <c r="AH754" s="341"/>
      <c r="AI754" s="341"/>
      <c r="AJ754" s="341"/>
      <c r="AK754" s="341"/>
      <c r="AL754" s="341"/>
      <c r="AM754" s="338"/>
      <c r="AN754" s="341"/>
      <c r="AO754" s="341"/>
      <c r="AP754" s="341"/>
      <c r="AQ754" s="341"/>
      <c r="AR754" s="341"/>
      <c r="AS754" s="341"/>
      <c r="AT754" s="341"/>
      <c r="AU754" s="343"/>
      <c r="AV754" s="341"/>
      <c r="AW754" s="269" t="s">
        <v>2053</v>
      </c>
      <c r="AX754" s="334" t="s">
        <v>2869</v>
      </c>
      <c r="AY754" s="270" t="s">
        <v>695</v>
      </c>
      <c r="AZ754" s="173" t="s">
        <v>2866</v>
      </c>
      <c r="BA754" s="265">
        <v>10.0</v>
      </c>
      <c r="BB754" s="174" t="s">
        <v>245</v>
      </c>
      <c r="BC754" s="341"/>
      <c r="BD754" s="308"/>
      <c r="BE754" s="347"/>
      <c r="BF754" s="274" t="str">
        <f>IFERROR(__xludf.DUMMYFUNCTION("LOWER(Regexreplace(to_text(E754),""[^A-Za-z0-9]"","""")&amp;""_""&amp;Regexreplace(to_text(F754),""[^A-Za-z0-9]"",""""))"),"neptronic_evcbseries")</f>
        <v>neptronic_evcbseries</v>
      </c>
      <c r="BG754" s="275" t="str">
        <f>IFERROR(__xludf.DUMMYFUNCTION("upper(Regexreplace(to_text(E754),""[^A-Za-z0-9]"","""")&amp;""-""&amp;Regexreplace(to_text(F754),""[^A-Za-z0-9]"",""""))"),"NEPTRONIC-EVCBSERIES")</f>
        <v>NEPTRONIC-EVCBSERIES</v>
      </c>
    </row>
    <row r="755" ht="30.0" customHeight="1">
      <c r="A755" s="173">
        <v>747.0</v>
      </c>
      <c r="B755" s="237" t="s">
        <v>670</v>
      </c>
      <c r="C755" s="257" t="s">
        <v>3826</v>
      </c>
      <c r="D755" s="173" t="s">
        <v>3826</v>
      </c>
      <c r="E755" s="174" t="s">
        <v>2861</v>
      </c>
      <c r="F755" s="173" t="s">
        <v>2862</v>
      </c>
      <c r="G755" s="328" t="s">
        <v>673</v>
      </c>
      <c r="H755" s="328" t="s">
        <v>2863</v>
      </c>
      <c r="I755" s="258" t="s">
        <v>2864</v>
      </c>
      <c r="J755" s="259" t="s">
        <v>902</v>
      </c>
      <c r="K755" s="260" t="s">
        <v>3827</v>
      </c>
      <c r="L755" s="328"/>
      <c r="M755" s="343"/>
      <c r="N755" s="173" t="s">
        <v>679</v>
      </c>
      <c r="O755" s="173" t="s">
        <v>225</v>
      </c>
      <c r="P755" s="262" t="str">
        <f t="shared" si="1"/>
        <v>IN-BLR-ANANTA-VAV-327_2</v>
      </c>
      <c r="Q755" s="173" t="s">
        <v>3828</v>
      </c>
      <c r="R755" s="328" t="str">
        <f>IFS(C755="","",C755="n/a","N/A",LEN(C755),Concatenate("{",char(34),"asset",char(34),":{",char(34),"guid",char(34),":",char(34),Q755,char(34),",",char(34),"site",char(34),":",char(34),LOWER('2-Building'!$B$4),char(34),",",char(34),"name",char(34),":",char(34),LOWER(C755),char(34),"}}"))</f>
        <v>{"asset":{"guid":"uuid://3875be90-cf96-46b4-b7b6-38142ff22676","site":"in-blr-ananta","name":"vav-327"}}</v>
      </c>
      <c r="S755" s="237" t="s">
        <v>2866</v>
      </c>
      <c r="T755" s="330"/>
      <c r="U755" s="330"/>
      <c r="V755" s="331"/>
      <c r="W755" s="344"/>
      <c r="X755" s="341"/>
      <c r="Y755" s="33" t="s">
        <v>2867</v>
      </c>
      <c r="Z755" s="258">
        <v>120327.0</v>
      </c>
      <c r="AA755" s="334">
        <v>11500.0</v>
      </c>
      <c r="AB755" s="341"/>
      <c r="AC755" s="341"/>
      <c r="AD755" s="343"/>
      <c r="AE755" s="331"/>
      <c r="AF755" s="348"/>
      <c r="AG755" s="337"/>
      <c r="AH755" s="341"/>
      <c r="AI755" s="341"/>
      <c r="AJ755" s="341"/>
      <c r="AK755" s="341"/>
      <c r="AL755" s="341"/>
      <c r="AM755" s="338"/>
      <c r="AN755" s="341"/>
      <c r="AO755" s="341"/>
      <c r="AP755" s="341"/>
      <c r="AQ755" s="341"/>
      <c r="AR755" s="341"/>
      <c r="AS755" s="341"/>
      <c r="AT755" s="341"/>
      <c r="AU755" s="343"/>
      <c r="AV755" s="341"/>
      <c r="AW755" s="269" t="s">
        <v>2053</v>
      </c>
      <c r="AX755" s="334" t="s">
        <v>2869</v>
      </c>
      <c r="AY755" s="270" t="s">
        <v>695</v>
      </c>
      <c r="AZ755" s="173" t="s">
        <v>2866</v>
      </c>
      <c r="BA755" s="265">
        <v>10.0</v>
      </c>
      <c r="BB755" s="174" t="s">
        <v>245</v>
      </c>
      <c r="BC755" s="341"/>
      <c r="BD755" s="308"/>
      <c r="BE755" s="347"/>
      <c r="BF755" s="274" t="str">
        <f>IFERROR(__xludf.DUMMYFUNCTION("LOWER(Regexreplace(to_text(E755),""[^A-Za-z0-9]"","""")&amp;""_""&amp;Regexreplace(to_text(F755),""[^A-Za-z0-9]"",""""))"),"neptronic_evcbseries")</f>
        <v>neptronic_evcbseries</v>
      </c>
      <c r="BG755" s="275" t="str">
        <f>IFERROR(__xludf.DUMMYFUNCTION("upper(Regexreplace(to_text(E755),""[^A-Za-z0-9]"","""")&amp;""-""&amp;Regexreplace(to_text(F755),""[^A-Za-z0-9]"",""""))"),"NEPTRONIC-EVCBSERIES")</f>
        <v>NEPTRONIC-EVCBSERIES</v>
      </c>
    </row>
    <row r="756" ht="30.0" customHeight="1">
      <c r="A756" s="258">
        <v>748.0</v>
      </c>
      <c r="B756" s="237" t="s">
        <v>670</v>
      </c>
      <c r="C756" s="257" t="s">
        <v>3829</v>
      </c>
      <c r="D756" s="173" t="s">
        <v>3829</v>
      </c>
      <c r="E756" s="174" t="s">
        <v>2861</v>
      </c>
      <c r="F756" s="173" t="s">
        <v>2862</v>
      </c>
      <c r="G756" s="328" t="s">
        <v>673</v>
      </c>
      <c r="H756" s="328" t="s">
        <v>2863</v>
      </c>
      <c r="I756" s="258" t="s">
        <v>2864</v>
      </c>
      <c r="J756" s="259" t="s">
        <v>902</v>
      </c>
      <c r="K756" s="260" t="s">
        <v>3830</v>
      </c>
      <c r="L756" s="328"/>
      <c r="M756" s="343"/>
      <c r="N756" s="173" t="s">
        <v>679</v>
      </c>
      <c r="O756" s="173" t="s">
        <v>225</v>
      </c>
      <c r="P756" s="262" t="str">
        <f t="shared" si="1"/>
        <v>IN-BLR-ANANTA-VAV-328_2</v>
      </c>
      <c r="Q756" s="173" t="s">
        <v>3831</v>
      </c>
      <c r="R756" s="328" t="str">
        <f>IFS(C756="","",C756="n/a","N/A",LEN(C756),Concatenate("{",char(34),"asset",char(34),":{",char(34),"guid",char(34),":",char(34),Q756,char(34),",",char(34),"site",char(34),":",char(34),LOWER('2-Building'!$B$4),char(34),",",char(34),"name",char(34),":",char(34),LOWER(C756),char(34),"}}"))</f>
        <v>{"asset":{"guid":"uuid://ba97a804-0764-4ecb-8186-477a0610ab5e","site":"in-blr-ananta","name":"vav-328"}}</v>
      </c>
      <c r="S756" s="237" t="s">
        <v>2866</v>
      </c>
      <c r="T756" s="330"/>
      <c r="U756" s="330"/>
      <c r="V756" s="331"/>
      <c r="W756" s="344"/>
      <c r="X756" s="341"/>
      <c r="Y756" s="33" t="s">
        <v>2867</v>
      </c>
      <c r="Z756" s="258">
        <v>120328.0</v>
      </c>
      <c r="AA756" s="334">
        <v>11500.0</v>
      </c>
      <c r="AB756" s="341"/>
      <c r="AC756" s="341"/>
      <c r="AD756" s="343"/>
      <c r="AE756" s="331"/>
      <c r="AF756" s="348"/>
      <c r="AG756" s="337"/>
      <c r="AH756" s="341"/>
      <c r="AI756" s="341"/>
      <c r="AJ756" s="341"/>
      <c r="AK756" s="341"/>
      <c r="AL756" s="341"/>
      <c r="AM756" s="338"/>
      <c r="AN756" s="341"/>
      <c r="AO756" s="341"/>
      <c r="AP756" s="341"/>
      <c r="AQ756" s="341"/>
      <c r="AR756" s="341"/>
      <c r="AS756" s="341"/>
      <c r="AT756" s="341"/>
      <c r="AU756" s="343"/>
      <c r="AV756" s="341"/>
      <c r="AW756" s="269" t="s">
        <v>2053</v>
      </c>
      <c r="AX756" s="334" t="s">
        <v>2869</v>
      </c>
      <c r="AY756" s="270" t="s">
        <v>695</v>
      </c>
      <c r="AZ756" s="173" t="s">
        <v>2866</v>
      </c>
      <c r="BA756" s="265">
        <v>10.0</v>
      </c>
      <c r="BB756" s="174" t="s">
        <v>245</v>
      </c>
      <c r="BC756" s="341"/>
      <c r="BD756" s="308"/>
      <c r="BE756" s="347"/>
      <c r="BF756" s="274" t="str">
        <f>IFERROR(__xludf.DUMMYFUNCTION("LOWER(Regexreplace(to_text(E756),""[^A-Za-z0-9]"","""")&amp;""_""&amp;Regexreplace(to_text(F756),""[^A-Za-z0-9]"",""""))"),"neptronic_evcbseries")</f>
        <v>neptronic_evcbseries</v>
      </c>
      <c r="BG756" s="275" t="str">
        <f>IFERROR(__xludf.DUMMYFUNCTION("upper(Regexreplace(to_text(E756),""[^A-Za-z0-9]"","""")&amp;""-""&amp;Regexreplace(to_text(F756),""[^A-Za-z0-9]"",""""))"),"NEPTRONIC-EVCBSERIES")</f>
        <v>NEPTRONIC-EVCBSERIES</v>
      </c>
    </row>
    <row r="757" ht="30.0" customHeight="1">
      <c r="A757" s="173">
        <v>749.0</v>
      </c>
      <c r="B757" s="237" t="s">
        <v>670</v>
      </c>
      <c r="C757" s="257" t="s">
        <v>3832</v>
      </c>
      <c r="D757" s="173" t="s">
        <v>3832</v>
      </c>
      <c r="E757" s="174" t="s">
        <v>2861</v>
      </c>
      <c r="F757" s="173" t="s">
        <v>2862</v>
      </c>
      <c r="G757" s="328" t="s">
        <v>673</v>
      </c>
      <c r="H757" s="328" t="s">
        <v>2863</v>
      </c>
      <c r="I757" s="258" t="s">
        <v>2864</v>
      </c>
      <c r="J757" s="259" t="s">
        <v>902</v>
      </c>
      <c r="K757" s="260" t="s">
        <v>3833</v>
      </c>
      <c r="L757" s="328"/>
      <c r="M757" s="343"/>
      <c r="N757" s="173" t="s">
        <v>679</v>
      </c>
      <c r="O757" s="173" t="s">
        <v>225</v>
      </c>
      <c r="P757" s="262" t="str">
        <f t="shared" si="1"/>
        <v>IN-BLR-ANANTA-VAV-329_2</v>
      </c>
      <c r="Q757" s="173" t="s">
        <v>3834</v>
      </c>
      <c r="R757" s="328" t="str">
        <f>IFS(C757="","",C757="n/a","N/A",LEN(C757),Concatenate("{",char(34),"asset",char(34),":{",char(34),"guid",char(34),":",char(34),Q757,char(34),",",char(34),"site",char(34),":",char(34),LOWER('2-Building'!$B$4),char(34),",",char(34),"name",char(34),":",char(34),LOWER(C757),char(34),"}}"))</f>
        <v>{"asset":{"guid":"uuid://8c60d48f-9659-4d2f-84b9-cf1a7edd1c77","site":"in-blr-ananta","name":"vav-329"}}</v>
      </c>
      <c r="S757" s="237" t="s">
        <v>2866</v>
      </c>
      <c r="T757" s="330"/>
      <c r="U757" s="330"/>
      <c r="V757" s="331"/>
      <c r="W757" s="344"/>
      <c r="X757" s="341"/>
      <c r="Y757" s="33" t="s">
        <v>2867</v>
      </c>
      <c r="Z757" s="258">
        <v>120329.0</v>
      </c>
      <c r="AA757" s="334">
        <v>11500.0</v>
      </c>
      <c r="AB757" s="341"/>
      <c r="AC757" s="341"/>
      <c r="AD757" s="343"/>
      <c r="AE757" s="331"/>
      <c r="AF757" s="348"/>
      <c r="AG757" s="337"/>
      <c r="AH757" s="341"/>
      <c r="AI757" s="341"/>
      <c r="AJ757" s="341"/>
      <c r="AK757" s="341"/>
      <c r="AL757" s="341"/>
      <c r="AM757" s="338"/>
      <c r="AN757" s="341"/>
      <c r="AO757" s="341"/>
      <c r="AP757" s="341"/>
      <c r="AQ757" s="341"/>
      <c r="AR757" s="341"/>
      <c r="AS757" s="341"/>
      <c r="AT757" s="341"/>
      <c r="AU757" s="343"/>
      <c r="AV757" s="341"/>
      <c r="AW757" s="269" t="s">
        <v>2053</v>
      </c>
      <c r="AX757" s="334" t="s">
        <v>2869</v>
      </c>
      <c r="AY757" s="270" t="s">
        <v>695</v>
      </c>
      <c r="AZ757" s="173" t="s">
        <v>2866</v>
      </c>
      <c r="BA757" s="265">
        <v>10.0</v>
      </c>
      <c r="BB757" s="174" t="s">
        <v>245</v>
      </c>
      <c r="BC757" s="341"/>
      <c r="BD757" s="308"/>
      <c r="BE757" s="347"/>
      <c r="BF757" s="274" t="str">
        <f>IFERROR(__xludf.DUMMYFUNCTION("LOWER(Regexreplace(to_text(E757),""[^A-Za-z0-9]"","""")&amp;""_""&amp;Regexreplace(to_text(F757),""[^A-Za-z0-9]"",""""))"),"neptronic_evcbseries")</f>
        <v>neptronic_evcbseries</v>
      </c>
      <c r="BG757" s="275" t="str">
        <f>IFERROR(__xludf.DUMMYFUNCTION("upper(Regexreplace(to_text(E757),""[^A-Za-z0-9]"","""")&amp;""-""&amp;Regexreplace(to_text(F757),""[^A-Za-z0-9]"",""""))"),"NEPTRONIC-EVCBSERIES")</f>
        <v>NEPTRONIC-EVCBSERIES</v>
      </c>
    </row>
    <row r="758" ht="30.0" customHeight="1">
      <c r="A758" s="258">
        <v>750.0</v>
      </c>
      <c r="B758" s="237" t="s">
        <v>670</v>
      </c>
      <c r="C758" s="257" t="s">
        <v>3835</v>
      </c>
      <c r="D758" s="173" t="s">
        <v>3835</v>
      </c>
      <c r="E758" s="174" t="s">
        <v>2861</v>
      </c>
      <c r="F758" s="173" t="s">
        <v>2862</v>
      </c>
      <c r="G758" s="328" t="s">
        <v>673</v>
      </c>
      <c r="H758" s="328" t="s">
        <v>2863</v>
      </c>
      <c r="I758" s="258" t="s">
        <v>2864</v>
      </c>
      <c r="J758" s="259" t="s">
        <v>902</v>
      </c>
      <c r="K758" s="260" t="s">
        <v>3836</v>
      </c>
      <c r="L758" s="328"/>
      <c r="M758" s="343"/>
      <c r="N758" s="173" t="s">
        <v>679</v>
      </c>
      <c r="O758" s="173" t="s">
        <v>225</v>
      </c>
      <c r="P758" s="262" t="str">
        <f t="shared" si="1"/>
        <v>IN-BLR-ANANTA-VAV-330_2</v>
      </c>
      <c r="Q758" s="173" t="s">
        <v>3837</v>
      </c>
      <c r="R758" s="328" t="str">
        <f>IFS(C758="","",C758="n/a","N/A",LEN(C758),Concatenate("{",char(34),"asset",char(34),":{",char(34),"guid",char(34),":",char(34),Q758,char(34),",",char(34),"site",char(34),":",char(34),LOWER('2-Building'!$B$4),char(34),",",char(34),"name",char(34),":",char(34),LOWER(C758),char(34),"}}"))</f>
        <v>{"asset":{"guid":"uuid://ae6e29ed-fa84-4375-b904-eeb851b9942f","site":"in-blr-ananta","name":"vav-330"}}</v>
      </c>
      <c r="S758" s="237" t="s">
        <v>2866</v>
      </c>
      <c r="T758" s="330"/>
      <c r="U758" s="330"/>
      <c r="V758" s="331"/>
      <c r="W758" s="344"/>
      <c r="X758" s="341"/>
      <c r="Y758" s="33" t="s">
        <v>2867</v>
      </c>
      <c r="Z758" s="258">
        <v>120330.0</v>
      </c>
      <c r="AA758" s="334">
        <v>11500.0</v>
      </c>
      <c r="AB758" s="341"/>
      <c r="AC758" s="341"/>
      <c r="AD758" s="343"/>
      <c r="AE758" s="331"/>
      <c r="AF758" s="348"/>
      <c r="AG758" s="337"/>
      <c r="AH758" s="341"/>
      <c r="AI758" s="341"/>
      <c r="AJ758" s="341"/>
      <c r="AK758" s="341"/>
      <c r="AL758" s="341"/>
      <c r="AM758" s="338"/>
      <c r="AN758" s="341"/>
      <c r="AO758" s="341"/>
      <c r="AP758" s="341"/>
      <c r="AQ758" s="341"/>
      <c r="AR758" s="341"/>
      <c r="AS758" s="341"/>
      <c r="AT758" s="341"/>
      <c r="AU758" s="343"/>
      <c r="AV758" s="341"/>
      <c r="AW758" s="269" t="s">
        <v>2053</v>
      </c>
      <c r="AX758" s="334" t="s">
        <v>2869</v>
      </c>
      <c r="AY758" s="270" t="s">
        <v>695</v>
      </c>
      <c r="AZ758" s="173" t="s">
        <v>2866</v>
      </c>
      <c r="BA758" s="265">
        <v>10.0</v>
      </c>
      <c r="BB758" s="174" t="s">
        <v>245</v>
      </c>
      <c r="BC758" s="341"/>
      <c r="BD758" s="308"/>
      <c r="BE758" s="347"/>
      <c r="BF758" s="274" t="str">
        <f>IFERROR(__xludf.DUMMYFUNCTION("LOWER(Regexreplace(to_text(E758),""[^A-Za-z0-9]"","""")&amp;""_""&amp;Regexreplace(to_text(F758),""[^A-Za-z0-9]"",""""))"),"neptronic_evcbseries")</f>
        <v>neptronic_evcbseries</v>
      </c>
      <c r="BG758" s="275" t="str">
        <f>IFERROR(__xludf.DUMMYFUNCTION("upper(Regexreplace(to_text(E758),""[^A-Za-z0-9]"","""")&amp;""-""&amp;Regexreplace(to_text(F758),""[^A-Za-z0-9]"",""""))"),"NEPTRONIC-EVCBSERIES")</f>
        <v>NEPTRONIC-EVCBSERIES</v>
      </c>
    </row>
    <row r="759" ht="30.0" customHeight="1">
      <c r="A759" s="173">
        <v>751.0</v>
      </c>
      <c r="B759" s="237" t="s">
        <v>670</v>
      </c>
      <c r="C759" s="257" t="s">
        <v>3838</v>
      </c>
      <c r="D759" s="173" t="s">
        <v>3838</v>
      </c>
      <c r="E759" s="174" t="s">
        <v>2861</v>
      </c>
      <c r="F759" s="173" t="s">
        <v>2862</v>
      </c>
      <c r="G759" s="328" t="s">
        <v>673</v>
      </c>
      <c r="H759" s="328" t="s">
        <v>2863</v>
      </c>
      <c r="I759" s="258" t="s">
        <v>2864</v>
      </c>
      <c r="J759" s="259" t="s">
        <v>902</v>
      </c>
      <c r="K759" s="260" t="s">
        <v>3839</v>
      </c>
      <c r="L759" s="328"/>
      <c r="M759" s="343"/>
      <c r="N759" s="173" t="s">
        <v>679</v>
      </c>
      <c r="O759" s="173" t="s">
        <v>225</v>
      </c>
      <c r="P759" s="262" t="str">
        <f t="shared" si="1"/>
        <v>IN-BLR-ANANTA-VAV-331_2</v>
      </c>
      <c r="Q759" s="173" t="s">
        <v>3840</v>
      </c>
      <c r="R759" s="328" t="str">
        <f>IFS(C759="","",C759="n/a","N/A",LEN(C759),Concatenate("{",char(34),"asset",char(34),":{",char(34),"guid",char(34),":",char(34),Q759,char(34),",",char(34),"site",char(34),":",char(34),LOWER('2-Building'!$B$4),char(34),",",char(34),"name",char(34),":",char(34),LOWER(C759),char(34),"}}"))</f>
        <v>{"asset":{"guid":"uuid://571eb1db-29b6-4747-b0ab-fced30f5fa12","site":"in-blr-ananta","name":"vav-331"}}</v>
      </c>
      <c r="S759" s="237" t="s">
        <v>2866</v>
      </c>
      <c r="T759" s="330"/>
      <c r="U759" s="330"/>
      <c r="V759" s="331"/>
      <c r="W759" s="344"/>
      <c r="X759" s="341"/>
      <c r="Y759" s="33" t="s">
        <v>2867</v>
      </c>
      <c r="Z759" s="258">
        <v>120331.0</v>
      </c>
      <c r="AA759" s="334">
        <v>11500.0</v>
      </c>
      <c r="AB759" s="341"/>
      <c r="AC759" s="341"/>
      <c r="AD759" s="343"/>
      <c r="AE759" s="331"/>
      <c r="AF759" s="348"/>
      <c r="AG759" s="337"/>
      <c r="AH759" s="341"/>
      <c r="AI759" s="341"/>
      <c r="AJ759" s="341"/>
      <c r="AK759" s="341"/>
      <c r="AL759" s="341"/>
      <c r="AM759" s="338"/>
      <c r="AN759" s="341"/>
      <c r="AO759" s="341"/>
      <c r="AP759" s="341"/>
      <c r="AQ759" s="341"/>
      <c r="AR759" s="341"/>
      <c r="AS759" s="341"/>
      <c r="AT759" s="341"/>
      <c r="AU759" s="343"/>
      <c r="AV759" s="341"/>
      <c r="AW759" s="269" t="s">
        <v>2053</v>
      </c>
      <c r="AX759" s="334" t="s">
        <v>2869</v>
      </c>
      <c r="AY759" s="270" t="s">
        <v>695</v>
      </c>
      <c r="AZ759" s="173" t="s">
        <v>2866</v>
      </c>
      <c r="BA759" s="265">
        <v>10.0</v>
      </c>
      <c r="BB759" s="174" t="s">
        <v>245</v>
      </c>
      <c r="BC759" s="341"/>
      <c r="BD759" s="308"/>
      <c r="BE759" s="347"/>
      <c r="BF759" s="274" t="str">
        <f>IFERROR(__xludf.DUMMYFUNCTION("LOWER(Regexreplace(to_text(E759),""[^A-Za-z0-9]"","""")&amp;""_""&amp;Regexreplace(to_text(F759),""[^A-Za-z0-9]"",""""))"),"neptronic_evcbseries")</f>
        <v>neptronic_evcbseries</v>
      </c>
      <c r="BG759" s="275" t="str">
        <f>IFERROR(__xludf.DUMMYFUNCTION("upper(Regexreplace(to_text(E759),""[^A-Za-z0-9]"","""")&amp;""-""&amp;Regexreplace(to_text(F759),""[^A-Za-z0-9]"",""""))"),"NEPTRONIC-EVCBSERIES")</f>
        <v>NEPTRONIC-EVCBSERIES</v>
      </c>
    </row>
    <row r="760" ht="30.0" customHeight="1">
      <c r="A760" s="258">
        <v>752.0</v>
      </c>
      <c r="B760" s="237" t="s">
        <v>670</v>
      </c>
      <c r="C760" s="257" t="s">
        <v>3841</v>
      </c>
      <c r="D760" s="173" t="s">
        <v>3841</v>
      </c>
      <c r="E760" s="174" t="s">
        <v>2861</v>
      </c>
      <c r="F760" s="173" t="s">
        <v>2862</v>
      </c>
      <c r="G760" s="328" t="s">
        <v>673</v>
      </c>
      <c r="H760" s="328" t="s">
        <v>2863</v>
      </c>
      <c r="I760" s="258" t="s">
        <v>2864</v>
      </c>
      <c r="J760" s="259" t="s">
        <v>902</v>
      </c>
      <c r="K760" s="260" t="s">
        <v>3842</v>
      </c>
      <c r="L760" s="328"/>
      <c r="M760" s="343"/>
      <c r="N760" s="173" t="s">
        <v>679</v>
      </c>
      <c r="O760" s="173" t="s">
        <v>225</v>
      </c>
      <c r="P760" s="262" t="str">
        <f t="shared" si="1"/>
        <v>IN-BLR-ANANTA-VAV-332_2</v>
      </c>
      <c r="Q760" s="173" t="s">
        <v>3843</v>
      </c>
      <c r="R760" s="328" t="str">
        <f>IFS(C760="","",C760="n/a","N/A",LEN(C760),Concatenate("{",char(34),"asset",char(34),":{",char(34),"guid",char(34),":",char(34),Q760,char(34),",",char(34),"site",char(34),":",char(34),LOWER('2-Building'!$B$4),char(34),",",char(34),"name",char(34),":",char(34),LOWER(C760),char(34),"}}"))</f>
        <v>{"asset":{"guid":"uuid://5c75d0df-6710-4905-af33-0cef21aed8ce","site":"in-blr-ananta","name":"vav-332"}}</v>
      </c>
      <c r="S760" s="237" t="s">
        <v>2866</v>
      </c>
      <c r="T760" s="330"/>
      <c r="U760" s="330"/>
      <c r="V760" s="331"/>
      <c r="W760" s="344"/>
      <c r="X760" s="341"/>
      <c r="Y760" s="33" t="s">
        <v>2867</v>
      </c>
      <c r="Z760" s="258">
        <v>120332.0</v>
      </c>
      <c r="AA760" s="334">
        <v>11500.0</v>
      </c>
      <c r="AB760" s="341"/>
      <c r="AC760" s="341"/>
      <c r="AD760" s="343"/>
      <c r="AE760" s="331"/>
      <c r="AF760" s="348"/>
      <c r="AG760" s="337"/>
      <c r="AH760" s="341"/>
      <c r="AI760" s="341"/>
      <c r="AJ760" s="341"/>
      <c r="AK760" s="341"/>
      <c r="AL760" s="341"/>
      <c r="AM760" s="338"/>
      <c r="AN760" s="341"/>
      <c r="AO760" s="341"/>
      <c r="AP760" s="341"/>
      <c r="AQ760" s="341"/>
      <c r="AR760" s="341"/>
      <c r="AS760" s="341"/>
      <c r="AT760" s="341"/>
      <c r="AU760" s="343"/>
      <c r="AV760" s="341"/>
      <c r="AW760" s="269" t="s">
        <v>2053</v>
      </c>
      <c r="AX760" s="334" t="s">
        <v>2869</v>
      </c>
      <c r="AY760" s="270" t="s">
        <v>695</v>
      </c>
      <c r="AZ760" s="173" t="s">
        <v>2866</v>
      </c>
      <c r="BA760" s="265">
        <v>10.0</v>
      </c>
      <c r="BB760" s="174" t="s">
        <v>245</v>
      </c>
      <c r="BC760" s="341"/>
      <c r="BD760" s="308"/>
      <c r="BE760" s="347"/>
      <c r="BF760" s="274" t="str">
        <f>IFERROR(__xludf.DUMMYFUNCTION("LOWER(Regexreplace(to_text(E760),""[^A-Za-z0-9]"","""")&amp;""_""&amp;Regexreplace(to_text(F760),""[^A-Za-z0-9]"",""""))"),"neptronic_evcbseries")</f>
        <v>neptronic_evcbseries</v>
      </c>
      <c r="BG760" s="275" t="str">
        <f>IFERROR(__xludf.DUMMYFUNCTION("upper(Regexreplace(to_text(E760),""[^A-Za-z0-9]"","""")&amp;""-""&amp;Regexreplace(to_text(F760),""[^A-Za-z0-9]"",""""))"),"NEPTRONIC-EVCBSERIES")</f>
        <v>NEPTRONIC-EVCBSERIES</v>
      </c>
    </row>
    <row r="761" ht="30.0" customHeight="1">
      <c r="A761" s="173">
        <v>753.0</v>
      </c>
      <c r="B761" s="237" t="s">
        <v>670</v>
      </c>
      <c r="C761" s="257" t="s">
        <v>3844</v>
      </c>
      <c r="D761" s="173" t="s">
        <v>3844</v>
      </c>
      <c r="E761" s="174" t="s">
        <v>2861</v>
      </c>
      <c r="F761" s="173" t="s">
        <v>2862</v>
      </c>
      <c r="G761" s="328" t="s">
        <v>673</v>
      </c>
      <c r="H761" s="328" t="s">
        <v>2863</v>
      </c>
      <c r="I761" s="258" t="s">
        <v>2864</v>
      </c>
      <c r="J761" s="259" t="s">
        <v>902</v>
      </c>
      <c r="K761" s="260" t="s">
        <v>3845</v>
      </c>
      <c r="L761" s="328"/>
      <c r="M761" s="343"/>
      <c r="N761" s="173" t="s">
        <v>679</v>
      </c>
      <c r="O761" s="173" t="s">
        <v>225</v>
      </c>
      <c r="P761" s="262" t="str">
        <f t="shared" si="1"/>
        <v>IN-BLR-ANANTA-VAV-333_2</v>
      </c>
      <c r="Q761" s="173" t="s">
        <v>3846</v>
      </c>
      <c r="R761" s="328" t="str">
        <f>IFS(C761="","",C761="n/a","N/A",LEN(C761),Concatenate("{",char(34),"asset",char(34),":{",char(34),"guid",char(34),":",char(34),Q761,char(34),",",char(34),"site",char(34),":",char(34),LOWER('2-Building'!$B$4),char(34),",",char(34),"name",char(34),":",char(34),LOWER(C761),char(34),"}}"))</f>
        <v>{"asset":{"guid":"uuid://14881b86-a1a7-45c8-afae-9ec08a5ea4db","site":"in-blr-ananta","name":"vav-333"}}</v>
      </c>
      <c r="S761" s="237" t="s">
        <v>2866</v>
      </c>
      <c r="T761" s="330"/>
      <c r="U761" s="330"/>
      <c r="V761" s="331"/>
      <c r="W761" s="344"/>
      <c r="X761" s="341"/>
      <c r="Y761" s="33" t="s">
        <v>2867</v>
      </c>
      <c r="Z761" s="258">
        <v>120333.0</v>
      </c>
      <c r="AA761" s="334">
        <v>11500.0</v>
      </c>
      <c r="AB761" s="341"/>
      <c r="AC761" s="341"/>
      <c r="AD761" s="343"/>
      <c r="AE761" s="331"/>
      <c r="AF761" s="348"/>
      <c r="AG761" s="337"/>
      <c r="AH761" s="341"/>
      <c r="AI761" s="341"/>
      <c r="AJ761" s="341"/>
      <c r="AK761" s="341"/>
      <c r="AL761" s="341"/>
      <c r="AM761" s="338"/>
      <c r="AN761" s="341"/>
      <c r="AO761" s="341"/>
      <c r="AP761" s="341"/>
      <c r="AQ761" s="341"/>
      <c r="AR761" s="341"/>
      <c r="AS761" s="341"/>
      <c r="AT761" s="341"/>
      <c r="AU761" s="343"/>
      <c r="AV761" s="341"/>
      <c r="AW761" s="269" t="s">
        <v>2053</v>
      </c>
      <c r="AX761" s="334" t="s">
        <v>2869</v>
      </c>
      <c r="AY761" s="270" t="s">
        <v>695</v>
      </c>
      <c r="AZ761" s="173" t="s">
        <v>2866</v>
      </c>
      <c r="BA761" s="265">
        <v>10.0</v>
      </c>
      <c r="BB761" s="174" t="s">
        <v>245</v>
      </c>
      <c r="BC761" s="341"/>
      <c r="BD761" s="308"/>
      <c r="BE761" s="347"/>
      <c r="BF761" s="274" t="str">
        <f>IFERROR(__xludf.DUMMYFUNCTION("LOWER(Regexreplace(to_text(E761),""[^A-Za-z0-9]"","""")&amp;""_""&amp;Regexreplace(to_text(F761),""[^A-Za-z0-9]"",""""))"),"neptronic_evcbseries")</f>
        <v>neptronic_evcbseries</v>
      </c>
      <c r="BG761" s="275" t="str">
        <f>IFERROR(__xludf.DUMMYFUNCTION("upper(Regexreplace(to_text(E761),""[^A-Za-z0-9]"","""")&amp;""-""&amp;Regexreplace(to_text(F761),""[^A-Za-z0-9]"",""""))"),"NEPTRONIC-EVCBSERIES")</f>
        <v>NEPTRONIC-EVCBSERIES</v>
      </c>
    </row>
    <row r="762" ht="30.0" customHeight="1">
      <c r="A762" s="258">
        <v>754.0</v>
      </c>
      <c r="B762" s="237" t="s">
        <v>670</v>
      </c>
      <c r="C762" s="257" t="s">
        <v>3847</v>
      </c>
      <c r="D762" s="173" t="s">
        <v>3847</v>
      </c>
      <c r="E762" s="174" t="s">
        <v>2861</v>
      </c>
      <c r="F762" s="173" t="s">
        <v>2862</v>
      </c>
      <c r="G762" s="328" t="s">
        <v>673</v>
      </c>
      <c r="H762" s="328" t="s">
        <v>2863</v>
      </c>
      <c r="I762" s="258" t="s">
        <v>2864</v>
      </c>
      <c r="J762" s="259" t="s">
        <v>902</v>
      </c>
      <c r="K762" s="260" t="s">
        <v>3848</v>
      </c>
      <c r="L762" s="328"/>
      <c r="M762" s="343"/>
      <c r="N762" s="173" t="s">
        <v>679</v>
      </c>
      <c r="O762" s="173" t="s">
        <v>225</v>
      </c>
      <c r="P762" s="262" t="str">
        <f t="shared" si="1"/>
        <v>IN-BLR-ANANTA-VAV-334_2</v>
      </c>
      <c r="Q762" s="173" t="s">
        <v>3849</v>
      </c>
      <c r="R762" s="328" t="str">
        <f>IFS(C762="","",C762="n/a","N/A",LEN(C762),Concatenate("{",char(34),"asset",char(34),":{",char(34),"guid",char(34),":",char(34),Q762,char(34),",",char(34),"site",char(34),":",char(34),LOWER('2-Building'!$B$4),char(34),",",char(34),"name",char(34),":",char(34),LOWER(C762),char(34),"}}"))</f>
        <v>{"asset":{"guid":"uuid://7998f169-b2d9-4bdb-8779-80ed6f7d74d5","site":"in-blr-ananta","name":"vav-334"}}</v>
      </c>
      <c r="S762" s="237" t="s">
        <v>2866</v>
      </c>
      <c r="T762" s="330"/>
      <c r="U762" s="330"/>
      <c r="V762" s="331"/>
      <c r="W762" s="344"/>
      <c r="X762" s="341"/>
      <c r="Y762" s="33" t="s">
        <v>2867</v>
      </c>
      <c r="Z762" s="258">
        <v>120334.0</v>
      </c>
      <c r="AA762" s="334">
        <v>11500.0</v>
      </c>
      <c r="AB762" s="341"/>
      <c r="AC762" s="341"/>
      <c r="AD762" s="343"/>
      <c r="AE762" s="331"/>
      <c r="AF762" s="348"/>
      <c r="AG762" s="337"/>
      <c r="AH762" s="341"/>
      <c r="AI762" s="341"/>
      <c r="AJ762" s="341"/>
      <c r="AK762" s="341"/>
      <c r="AL762" s="341"/>
      <c r="AM762" s="338"/>
      <c r="AN762" s="341"/>
      <c r="AO762" s="341"/>
      <c r="AP762" s="341"/>
      <c r="AQ762" s="341"/>
      <c r="AR762" s="341"/>
      <c r="AS762" s="341"/>
      <c r="AT762" s="341"/>
      <c r="AU762" s="343"/>
      <c r="AV762" s="341"/>
      <c r="AW762" s="269" t="s">
        <v>2053</v>
      </c>
      <c r="AX762" s="334" t="s">
        <v>2869</v>
      </c>
      <c r="AY762" s="270" t="s">
        <v>695</v>
      </c>
      <c r="AZ762" s="173" t="s">
        <v>2866</v>
      </c>
      <c r="BA762" s="265">
        <v>10.0</v>
      </c>
      <c r="BB762" s="174" t="s">
        <v>245</v>
      </c>
      <c r="BC762" s="341"/>
      <c r="BD762" s="308"/>
      <c r="BE762" s="347"/>
      <c r="BF762" s="274" t="str">
        <f>IFERROR(__xludf.DUMMYFUNCTION("LOWER(Regexreplace(to_text(E762),""[^A-Za-z0-9]"","""")&amp;""_""&amp;Regexreplace(to_text(F762),""[^A-Za-z0-9]"",""""))"),"neptronic_evcbseries")</f>
        <v>neptronic_evcbseries</v>
      </c>
      <c r="BG762" s="275" t="str">
        <f>IFERROR(__xludf.DUMMYFUNCTION("upper(Regexreplace(to_text(E762),""[^A-Za-z0-9]"","""")&amp;""-""&amp;Regexreplace(to_text(F762),""[^A-Za-z0-9]"",""""))"),"NEPTRONIC-EVCBSERIES")</f>
        <v>NEPTRONIC-EVCBSERIES</v>
      </c>
    </row>
    <row r="763" ht="30.0" customHeight="1">
      <c r="A763" s="173">
        <v>755.0</v>
      </c>
      <c r="B763" s="237" t="s">
        <v>670</v>
      </c>
      <c r="C763" s="257" t="s">
        <v>3850</v>
      </c>
      <c r="D763" s="173" t="s">
        <v>3850</v>
      </c>
      <c r="E763" s="174" t="s">
        <v>2861</v>
      </c>
      <c r="F763" s="173" t="s">
        <v>2862</v>
      </c>
      <c r="G763" s="328" t="s">
        <v>673</v>
      </c>
      <c r="H763" s="328" t="s">
        <v>2863</v>
      </c>
      <c r="I763" s="258" t="s">
        <v>2864</v>
      </c>
      <c r="J763" s="259" t="s">
        <v>902</v>
      </c>
      <c r="K763" s="260" t="s">
        <v>1670</v>
      </c>
      <c r="L763" s="328"/>
      <c r="M763" s="343"/>
      <c r="N763" s="173" t="s">
        <v>679</v>
      </c>
      <c r="O763" s="173" t="s">
        <v>225</v>
      </c>
      <c r="P763" s="262" t="str">
        <f t="shared" si="1"/>
        <v>IN-BLR-ANANTA-VAV-335_2</v>
      </c>
      <c r="Q763" s="173" t="s">
        <v>3851</v>
      </c>
      <c r="R763" s="328" t="str">
        <f>IFS(C763="","",C763="n/a","N/A",LEN(C763),Concatenate("{",char(34),"asset",char(34),":{",char(34),"guid",char(34),":",char(34),Q763,char(34),",",char(34),"site",char(34),":",char(34),LOWER('2-Building'!$B$4),char(34),",",char(34),"name",char(34),":",char(34),LOWER(C763),char(34),"}}"))</f>
        <v>{"asset":{"guid":"uuid://90c4ca6d-c407-4488-9919-52726aff0c2a","site":"in-blr-ananta","name":"vav-335"}}</v>
      </c>
      <c r="S763" s="237" t="s">
        <v>2866</v>
      </c>
      <c r="T763" s="330"/>
      <c r="U763" s="330"/>
      <c r="V763" s="331"/>
      <c r="W763" s="344"/>
      <c r="X763" s="341"/>
      <c r="Y763" s="33" t="s">
        <v>2867</v>
      </c>
      <c r="Z763" s="258">
        <v>120335.0</v>
      </c>
      <c r="AA763" s="334">
        <v>11538.0</v>
      </c>
      <c r="AB763" s="341"/>
      <c r="AC763" s="341"/>
      <c r="AD763" s="343"/>
      <c r="AE763" s="331"/>
      <c r="AF763" s="348"/>
      <c r="AG763" s="337"/>
      <c r="AH763" s="341"/>
      <c r="AI763" s="341"/>
      <c r="AJ763" s="341"/>
      <c r="AK763" s="341"/>
      <c r="AL763" s="341"/>
      <c r="AM763" s="338"/>
      <c r="AN763" s="341"/>
      <c r="AO763" s="341"/>
      <c r="AP763" s="341"/>
      <c r="AQ763" s="341"/>
      <c r="AR763" s="341"/>
      <c r="AS763" s="341"/>
      <c r="AT763" s="341"/>
      <c r="AU763" s="343"/>
      <c r="AV763" s="341"/>
      <c r="AW763" s="269" t="s">
        <v>2043</v>
      </c>
      <c r="AX763" s="334" t="s">
        <v>2869</v>
      </c>
      <c r="AY763" s="270" t="s">
        <v>695</v>
      </c>
      <c r="AZ763" s="173" t="s">
        <v>2866</v>
      </c>
      <c r="BA763" s="265">
        <v>10.0</v>
      </c>
      <c r="BB763" s="174" t="s">
        <v>245</v>
      </c>
      <c r="BC763" s="341"/>
      <c r="BD763" s="308"/>
      <c r="BE763" s="347"/>
      <c r="BF763" s="274" t="str">
        <f>IFERROR(__xludf.DUMMYFUNCTION("LOWER(Regexreplace(to_text(E763),""[^A-Za-z0-9]"","""")&amp;""_""&amp;Regexreplace(to_text(F763),""[^A-Za-z0-9]"",""""))"),"neptronic_evcbseries")</f>
        <v>neptronic_evcbseries</v>
      </c>
      <c r="BG763" s="275" t="str">
        <f>IFERROR(__xludf.DUMMYFUNCTION("upper(Regexreplace(to_text(E763),""[^A-Za-z0-9]"","""")&amp;""-""&amp;Regexreplace(to_text(F763),""[^A-Za-z0-9]"",""""))"),"NEPTRONIC-EVCBSERIES")</f>
        <v>NEPTRONIC-EVCBSERIES</v>
      </c>
    </row>
    <row r="764" ht="30.0" customHeight="1">
      <c r="A764" s="258">
        <v>756.0</v>
      </c>
      <c r="B764" s="237" t="s">
        <v>670</v>
      </c>
      <c r="C764" s="257" t="s">
        <v>3852</v>
      </c>
      <c r="D764" s="173" t="s">
        <v>3852</v>
      </c>
      <c r="E764" s="174" t="s">
        <v>2861</v>
      </c>
      <c r="F764" s="173" t="s">
        <v>2862</v>
      </c>
      <c r="G764" s="328" t="s">
        <v>673</v>
      </c>
      <c r="H764" s="328" t="s">
        <v>2863</v>
      </c>
      <c r="I764" s="258" t="s">
        <v>2864</v>
      </c>
      <c r="J764" s="259" t="s">
        <v>902</v>
      </c>
      <c r="K764" s="260" t="s">
        <v>3853</v>
      </c>
      <c r="L764" s="328"/>
      <c r="M764" s="343"/>
      <c r="N764" s="173" t="s">
        <v>679</v>
      </c>
      <c r="O764" s="173" t="s">
        <v>225</v>
      </c>
      <c r="P764" s="262" t="str">
        <f t="shared" si="1"/>
        <v>IN-BLR-ANANTA-VAV-336_2</v>
      </c>
      <c r="Q764" s="173" t="s">
        <v>3854</v>
      </c>
      <c r="R764" s="328" t="str">
        <f>IFS(C764="","",C764="n/a","N/A",LEN(C764),Concatenate("{",char(34),"asset",char(34),":{",char(34),"guid",char(34),":",char(34),Q764,char(34),",",char(34),"site",char(34),":",char(34),LOWER('2-Building'!$B$4),char(34),",",char(34),"name",char(34),":",char(34),LOWER(C764),char(34),"}}"))</f>
        <v>{"asset":{"guid":"uuid://043ca254-466f-4656-8804-e456ebe15e52","site":"in-blr-ananta","name":"vav-336"}}</v>
      </c>
      <c r="S764" s="237" t="s">
        <v>2866</v>
      </c>
      <c r="T764" s="330"/>
      <c r="U764" s="330"/>
      <c r="V764" s="331"/>
      <c r="W764" s="344"/>
      <c r="X764" s="341"/>
      <c r="Y764" s="33" t="s">
        <v>2867</v>
      </c>
      <c r="Z764" s="258">
        <v>120336.0</v>
      </c>
      <c r="AA764" s="334">
        <v>11538.0</v>
      </c>
      <c r="AB764" s="341"/>
      <c r="AC764" s="341"/>
      <c r="AD764" s="343"/>
      <c r="AE764" s="331"/>
      <c r="AF764" s="348"/>
      <c r="AG764" s="337"/>
      <c r="AH764" s="341"/>
      <c r="AI764" s="341"/>
      <c r="AJ764" s="341"/>
      <c r="AK764" s="341"/>
      <c r="AL764" s="341"/>
      <c r="AM764" s="338"/>
      <c r="AN764" s="341"/>
      <c r="AO764" s="341"/>
      <c r="AP764" s="341"/>
      <c r="AQ764" s="341"/>
      <c r="AR764" s="341"/>
      <c r="AS764" s="341"/>
      <c r="AT764" s="341"/>
      <c r="AU764" s="343"/>
      <c r="AV764" s="341"/>
      <c r="AW764" s="269" t="s">
        <v>2043</v>
      </c>
      <c r="AX764" s="334" t="s">
        <v>2869</v>
      </c>
      <c r="AY764" s="270" t="s">
        <v>695</v>
      </c>
      <c r="AZ764" s="173" t="s">
        <v>2866</v>
      </c>
      <c r="BA764" s="265">
        <v>10.0</v>
      </c>
      <c r="BB764" s="174" t="s">
        <v>245</v>
      </c>
      <c r="BC764" s="341"/>
      <c r="BD764" s="308"/>
      <c r="BE764" s="347"/>
      <c r="BF764" s="274" t="str">
        <f>IFERROR(__xludf.DUMMYFUNCTION("LOWER(Regexreplace(to_text(E764),""[^A-Za-z0-9]"","""")&amp;""_""&amp;Regexreplace(to_text(F764),""[^A-Za-z0-9]"",""""))"),"neptronic_evcbseries")</f>
        <v>neptronic_evcbseries</v>
      </c>
      <c r="BG764" s="275" t="str">
        <f>IFERROR(__xludf.DUMMYFUNCTION("upper(Regexreplace(to_text(E764),""[^A-Za-z0-9]"","""")&amp;""-""&amp;Regexreplace(to_text(F764),""[^A-Za-z0-9]"",""""))"),"NEPTRONIC-EVCBSERIES")</f>
        <v>NEPTRONIC-EVCBSERIES</v>
      </c>
    </row>
    <row r="765" ht="30.0" customHeight="1">
      <c r="A765" s="173">
        <v>757.0</v>
      </c>
      <c r="B765" s="237" t="s">
        <v>670</v>
      </c>
      <c r="C765" s="257" t="s">
        <v>3855</v>
      </c>
      <c r="D765" s="173" t="s">
        <v>3855</v>
      </c>
      <c r="E765" s="174" t="s">
        <v>2861</v>
      </c>
      <c r="F765" s="173" t="s">
        <v>2862</v>
      </c>
      <c r="G765" s="328" t="s">
        <v>673</v>
      </c>
      <c r="H765" s="328" t="s">
        <v>2863</v>
      </c>
      <c r="I765" s="258" t="s">
        <v>2864</v>
      </c>
      <c r="J765" s="259" t="s">
        <v>902</v>
      </c>
      <c r="K765" s="260" t="s">
        <v>3856</v>
      </c>
      <c r="L765" s="328"/>
      <c r="M765" s="343"/>
      <c r="N765" s="173" t="s">
        <v>679</v>
      </c>
      <c r="O765" s="173" t="s">
        <v>225</v>
      </c>
      <c r="P765" s="262" t="str">
        <f t="shared" si="1"/>
        <v>IN-BLR-ANANTA-VAV-337_2</v>
      </c>
      <c r="Q765" s="173" t="s">
        <v>3857</v>
      </c>
      <c r="R765" s="328" t="str">
        <f>IFS(C765="","",C765="n/a","N/A",LEN(C765),Concatenate("{",char(34),"asset",char(34),":{",char(34),"guid",char(34),":",char(34),Q765,char(34),",",char(34),"site",char(34),":",char(34),LOWER('2-Building'!$B$4),char(34),",",char(34),"name",char(34),":",char(34),LOWER(C765),char(34),"}}"))</f>
        <v>{"asset":{"guid":"uuid://795be3ae-2dd3-4c73-af45-b8b2b4a0d4eb","site":"in-blr-ananta","name":"vav-337"}}</v>
      </c>
      <c r="S765" s="237" t="s">
        <v>2866</v>
      </c>
      <c r="T765" s="330"/>
      <c r="U765" s="330"/>
      <c r="V765" s="331"/>
      <c r="W765" s="344"/>
      <c r="X765" s="341"/>
      <c r="Y765" s="33" t="s">
        <v>2867</v>
      </c>
      <c r="Z765" s="258">
        <v>120337.0</v>
      </c>
      <c r="AA765" s="334">
        <v>11538.0</v>
      </c>
      <c r="AB765" s="341"/>
      <c r="AC765" s="341"/>
      <c r="AD765" s="343"/>
      <c r="AE765" s="331"/>
      <c r="AF765" s="348"/>
      <c r="AG765" s="337"/>
      <c r="AH765" s="341"/>
      <c r="AI765" s="341"/>
      <c r="AJ765" s="341"/>
      <c r="AK765" s="341"/>
      <c r="AL765" s="341"/>
      <c r="AM765" s="338"/>
      <c r="AN765" s="341"/>
      <c r="AO765" s="341"/>
      <c r="AP765" s="341"/>
      <c r="AQ765" s="341"/>
      <c r="AR765" s="341"/>
      <c r="AS765" s="341"/>
      <c r="AT765" s="341"/>
      <c r="AU765" s="343"/>
      <c r="AV765" s="341"/>
      <c r="AW765" s="269" t="s">
        <v>2043</v>
      </c>
      <c r="AX765" s="334" t="s">
        <v>2869</v>
      </c>
      <c r="AY765" s="270" t="s">
        <v>695</v>
      </c>
      <c r="AZ765" s="173" t="s">
        <v>2866</v>
      </c>
      <c r="BA765" s="265">
        <v>10.0</v>
      </c>
      <c r="BB765" s="174" t="s">
        <v>245</v>
      </c>
      <c r="BC765" s="341"/>
      <c r="BD765" s="308"/>
      <c r="BE765" s="347"/>
      <c r="BF765" s="274" t="str">
        <f>IFERROR(__xludf.DUMMYFUNCTION("LOWER(Regexreplace(to_text(E765),""[^A-Za-z0-9]"","""")&amp;""_""&amp;Regexreplace(to_text(F765),""[^A-Za-z0-9]"",""""))"),"neptronic_evcbseries")</f>
        <v>neptronic_evcbseries</v>
      </c>
      <c r="BG765" s="275" t="str">
        <f>IFERROR(__xludf.DUMMYFUNCTION("upper(Regexreplace(to_text(E765),""[^A-Za-z0-9]"","""")&amp;""-""&amp;Regexreplace(to_text(F765),""[^A-Za-z0-9]"",""""))"),"NEPTRONIC-EVCBSERIES")</f>
        <v>NEPTRONIC-EVCBSERIES</v>
      </c>
    </row>
    <row r="766" ht="30.0" customHeight="1">
      <c r="A766" s="258">
        <v>758.0</v>
      </c>
      <c r="B766" s="237" t="s">
        <v>670</v>
      </c>
      <c r="C766" s="257" t="s">
        <v>3858</v>
      </c>
      <c r="D766" s="173" t="s">
        <v>3858</v>
      </c>
      <c r="E766" s="174" t="s">
        <v>2861</v>
      </c>
      <c r="F766" s="173" t="s">
        <v>2862</v>
      </c>
      <c r="G766" s="328" t="s">
        <v>673</v>
      </c>
      <c r="H766" s="328" t="s">
        <v>2863</v>
      </c>
      <c r="I766" s="258" t="s">
        <v>2864</v>
      </c>
      <c r="J766" s="259" t="s">
        <v>902</v>
      </c>
      <c r="K766" s="260" t="s">
        <v>3859</v>
      </c>
      <c r="L766" s="328"/>
      <c r="M766" s="343"/>
      <c r="N766" s="173" t="s">
        <v>679</v>
      </c>
      <c r="O766" s="173" t="s">
        <v>225</v>
      </c>
      <c r="P766" s="262" t="str">
        <f t="shared" si="1"/>
        <v>IN-BLR-ANANTA-VAV-338_2</v>
      </c>
      <c r="Q766" s="173" t="s">
        <v>3860</v>
      </c>
      <c r="R766" s="328" t="str">
        <f>IFS(C766="","",C766="n/a","N/A",LEN(C766),Concatenate("{",char(34),"asset",char(34),":{",char(34),"guid",char(34),":",char(34),Q766,char(34),",",char(34),"site",char(34),":",char(34),LOWER('2-Building'!$B$4),char(34),",",char(34),"name",char(34),":",char(34),LOWER(C766),char(34),"}}"))</f>
        <v>{"asset":{"guid":"uuid://52a37257-6d31-4275-9c73-bf9ccdc9bd10","site":"in-blr-ananta","name":"vav-338"}}</v>
      </c>
      <c r="S766" s="237" t="s">
        <v>2866</v>
      </c>
      <c r="T766" s="330"/>
      <c r="U766" s="330"/>
      <c r="V766" s="331"/>
      <c r="W766" s="344"/>
      <c r="X766" s="341"/>
      <c r="Y766" s="33" t="s">
        <v>2867</v>
      </c>
      <c r="Z766" s="258">
        <v>120338.0</v>
      </c>
      <c r="AA766" s="334">
        <v>11538.0</v>
      </c>
      <c r="AB766" s="341"/>
      <c r="AC766" s="341"/>
      <c r="AD766" s="343"/>
      <c r="AE766" s="331"/>
      <c r="AF766" s="348"/>
      <c r="AG766" s="337"/>
      <c r="AH766" s="341"/>
      <c r="AI766" s="341"/>
      <c r="AJ766" s="341"/>
      <c r="AK766" s="341"/>
      <c r="AL766" s="341"/>
      <c r="AM766" s="338"/>
      <c r="AN766" s="341"/>
      <c r="AO766" s="341"/>
      <c r="AP766" s="341"/>
      <c r="AQ766" s="341"/>
      <c r="AR766" s="341"/>
      <c r="AS766" s="341"/>
      <c r="AT766" s="341"/>
      <c r="AU766" s="343"/>
      <c r="AV766" s="341"/>
      <c r="AW766" s="269" t="s">
        <v>2043</v>
      </c>
      <c r="AX766" s="334" t="s">
        <v>2869</v>
      </c>
      <c r="AY766" s="270" t="s">
        <v>695</v>
      </c>
      <c r="AZ766" s="173" t="s">
        <v>2866</v>
      </c>
      <c r="BA766" s="265">
        <v>10.0</v>
      </c>
      <c r="BB766" s="174" t="s">
        <v>245</v>
      </c>
      <c r="BC766" s="341"/>
      <c r="BD766" s="308"/>
      <c r="BE766" s="347"/>
      <c r="BF766" s="274" t="str">
        <f>IFERROR(__xludf.DUMMYFUNCTION("LOWER(Regexreplace(to_text(E766),""[^A-Za-z0-9]"","""")&amp;""_""&amp;Regexreplace(to_text(F766),""[^A-Za-z0-9]"",""""))"),"neptronic_evcbseries")</f>
        <v>neptronic_evcbseries</v>
      </c>
      <c r="BG766" s="275" t="str">
        <f>IFERROR(__xludf.DUMMYFUNCTION("upper(Regexreplace(to_text(E766),""[^A-Za-z0-9]"","""")&amp;""-""&amp;Regexreplace(to_text(F766),""[^A-Za-z0-9]"",""""))"),"NEPTRONIC-EVCBSERIES")</f>
        <v>NEPTRONIC-EVCBSERIES</v>
      </c>
    </row>
    <row r="767" ht="30.0" customHeight="1">
      <c r="A767" s="173">
        <v>759.0</v>
      </c>
      <c r="B767" s="237" t="s">
        <v>670</v>
      </c>
      <c r="C767" s="257" t="s">
        <v>3861</v>
      </c>
      <c r="D767" s="173" t="s">
        <v>3861</v>
      </c>
      <c r="E767" s="174" t="s">
        <v>2861</v>
      </c>
      <c r="F767" s="173" t="s">
        <v>2862</v>
      </c>
      <c r="G767" s="328" t="s">
        <v>673</v>
      </c>
      <c r="H767" s="328" t="s">
        <v>2863</v>
      </c>
      <c r="I767" s="258" t="s">
        <v>2864</v>
      </c>
      <c r="J767" s="259" t="s">
        <v>902</v>
      </c>
      <c r="K767" s="260" t="s">
        <v>3862</v>
      </c>
      <c r="L767" s="328"/>
      <c r="M767" s="343"/>
      <c r="N767" s="173" t="s">
        <v>679</v>
      </c>
      <c r="O767" s="173" t="s">
        <v>225</v>
      </c>
      <c r="P767" s="262" t="str">
        <f t="shared" si="1"/>
        <v>IN-BLR-ANANTA-VAV-339_2</v>
      </c>
      <c r="Q767" s="173" t="s">
        <v>3863</v>
      </c>
      <c r="R767" s="328" t="str">
        <f>IFS(C767="","",C767="n/a","N/A",LEN(C767),Concatenate("{",char(34),"asset",char(34),":{",char(34),"guid",char(34),":",char(34),Q767,char(34),",",char(34),"site",char(34),":",char(34),LOWER('2-Building'!$B$4),char(34),",",char(34),"name",char(34),":",char(34),LOWER(C767),char(34),"}}"))</f>
        <v>{"asset":{"guid":"uuid://5bd88ef4-5457-4316-a425-9d569fffe1ac","site":"in-blr-ananta","name":"vav-339"}}</v>
      </c>
      <c r="S767" s="237" t="s">
        <v>2866</v>
      </c>
      <c r="T767" s="330"/>
      <c r="U767" s="330"/>
      <c r="V767" s="331"/>
      <c r="W767" s="344"/>
      <c r="X767" s="341"/>
      <c r="Y767" s="33" t="s">
        <v>2867</v>
      </c>
      <c r="Z767" s="258">
        <v>120339.0</v>
      </c>
      <c r="AA767" s="334">
        <v>11538.0</v>
      </c>
      <c r="AB767" s="341"/>
      <c r="AC767" s="341"/>
      <c r="AD767" s="343"/>
      <c r="AE767" s="331"/>
      <c r="AF767" s="348"/>
      <c r="AG767" s="337"/>
      <c r="AH767" s="341"/>
      <c r="AI767" s="341"/>
      <c r="AJ767" s="341"/>
      <c r="AK767" s="341"/>
      <c r="AL767" s="341"/>
      <c r="AM767" s="338"/>
      <c r="AN767" s="341"/>
      <c r="AO767" s="341"/>
      <c r="AP767" s="341"/>
      <c r="AQ767" s="341"/>
      <c r="AR767" s="341"/>
      <c r="AS767" s="341"/>
      <c r="AT767" s="341"/>
      <c r="AU767" s="343"/>
      <c r="AV767" s="341"/>
      <c r="AW767" s="269" t="s">
        <v>2043</v>
      </c>
      <c r="AX767" s="334" t="s">
        <v>2869</v>
      </c>
      <c r="AY767" s="270" t="s">
        <v>695</v>
      </c>
      <c r="AZ767" s="173" t="s">
        <v>2866</v>
      </c>
      <c r="BA767" s="265">
        <v>10.0</v>
      </c>
      <c r="BB767" s="174" t="s">
        <v>245</v>
      </c>
      <c r="BC767" s="341"/>
      <c r="BD767" s="308"/>
      <c r="BE767" s="347"/>
      <c r="BF767" s="274" t="str">
        <f>IFERROR(__xludf.DUMMYFUNCTION("LOWER(Regexreplace(to_text(E767),""[^A-Za-z0-9]"","""")&amp;""_""&amp;Regexreplace(to_text(F767),""[^A-Za-z0-9]"",""""))"),"neptronic_evcbseries")</f>
        <v>neptronic_evcbseries</v>
      </c>
      <c r="BG767" s="275" t="str">
        <f>IFERROR(__xludf.DUMMYFUNCTION("upper(Regexreplace(to_text(E767),""[^A-Za-z0-9]"","""")&amp;""-""&amp;Regexreplace(to_text(F767),""[^A-Za-z0-9]"",""""))"),"NEPTRONIC-EVCBSERIES")</f>
        <v>NEPTRONIC-EVCBSERIES</v>
      </c>
    </row>
    <row r="768" ht="30.0" customHeight="1">
      <c r="A768" s="258">
        <v>760.0</v>
      </c>
      <c r="B768" s="237" t="s">
        <v>670</v>
      </c>
      <c r="C768" s="257" t="s">
        <v>3864</v>
      </c>
      <c r="D768" s="173" t="s">
        <v>3864</v>
      </c>
      <c r="E768" s="174" t="s">
        <v>2861</v>
      </c>
      <c r="F768" s="173" t="s">
        <v>2862</v>
      </c>
      <c r="G768" s="328" t="s">
        <v>673</v>
      </c>
      <c r="H768" s="328" t="s">
        <v>2863</v>
      </c>
      <c r="I768" s="258" t="s">
        <v>2864</v>
      </c>
      <c r="J768" s="259" t="s">
        <v>902</v>
      </c>
      <c r="K768" s="260" t="s">
        <v>3865</v>
      </c>
      <c r="L768" s="328"/>
      <c r="M768" s="343"/>
      <c r="N768" s="173" t="s">
        <v>679</v>
      </c>
      <c r="O768" s="173" t="s">
        <v>225</v>
      </c>
      <c r="P768" s="262" t="str">
        <f t="shared" si="1"/>
        <v>IN-BLR-ANANTA-VAV-340_2</v>
      </c>
      <c r="Q768" s="173" t="s">
        <v>3866</v>
      </c>
      <c r="R768" s="328" t="str">
        <f>IFS(C768="","",C768="n/a","N/A",LEN(C768),Concatenate("{",char(34),"asset",char(34),":{",char(34),"guid",char(34),":",char(34),Q768,char(34),",",char(34),"site",char(34),":",char(34),LOWER('2-Building'!$B$4),char(34),",",char(34),"name",char(34),":",char(34),LOWER(C768),char(34),"}}"))</f>
        <v>{"asset":{"guid":"uuid://5f7b14bf-5cb2-4a27-a4f0-50a150c9efcd","site":"in-blr-ananta","name":"vav-340"}}</v>
      </c>
      <c r="S768" s="237" t="s">
        <v>2866</v>
      </c>
      <c r="T768" s="330"/>
      <c r="U768" s="330"/>
      <c r="V768" s="331"/>
      <c r="W768" s="344"/>
      <c r="X768" s="341"/>
      <c r="Y768" s="33" t="s">
        <v>2867</v>
      </c>
      <c r="Z768" s="258">
        <v>120340.0</v>
      </c>
      <c r="AA768" s="334">
        <v>11538.0</v>
      </c>
      <c r="AB768" s="341"/>
      <c r="AC768" s="341"/>
      <c r="AD768" s="343"/>
      <c r="AE768" s="331"/>
      <c r="AF768" s="348"/>
      <c r="AG768" s="337"/>
      <c r="AH768" s="341"/>
      <c r="AI768" s="341"/>
      <c r="AJ768" s="341"/>
      <c r="AK768" s="341"/>
      <c r="AL768" s="341"/>
      <c r="AM768" s="338"/>
      <c r="AN768" s="341"/>
      <c r="AO768" s="341"/>
      <c r="AP768" s="341"/>
      <c r="AQ768" s="341"/>
      <c r="AR768" s="341"/>
      <c r="AS768" s="341"/>
      <c r="AT768" s="341"/>
      <c r="AU768" s="343"/>
      <c r="AV768" s="341"/>
      <c r="AW768" s="269" t="s">
        <v>2043</v>
      </c>
      <c r="AX768" s="334" t="s">
        <v>2869</v>
      </c>
      <c r="AY768" s="270" t="s">
        <v>695</v>
      </c>
      <c r="AZ768" s="173" t="s">
        <v>2866</v>
      </c>
      <c r="BA768" s="265">
        <v>10.0</v>
      </c>
      <c r="BB768" s="174" t="s">
        <v>245</v>
      </c>
      <c r="BC768" s="341"/>
      <c r="BD768" s="308"/>
      <c r="BE768" s="347"/>
      <c r="BF768" s="274" t="str">
        <f>IFERROR(__xludf.DUMMYFUNCTION("LOWER(Regexreplace(to_text(E768),""[^A-Za-z0-9]"","""")&amp;""_""&amp;Regexreplace(to_text(F768),""[^A-Za-z0-9]"",""""))"),"neptronic_evcbseries")</f>
        <v>neptronic_evcbseries</v>
      </c>
      <c r="BG768" s="275" t="str">
        <f>IFERROR(__xludf.DUMMYFUNCTION("upper(Regexreplace(to_text(E768),""[^A-Za-z0-9]"","""")&amp;""-""&amp;Regexreplace(to_text(F768),""[^A-Za-z0-9]"",""""))"),"NEPTRONIC-EVCBSERIES")</f>
        <v>NEPTRONIC-EVCBSERIES</v>
      </c>
    </row>
    <row r="769" ht="30.0" customHeight="1">
      <c r="A769" s="173">
        <v>761.0</v>
      </c>
      <c r="B769" s="237" t="s">
        <v>670</v>
      </c>
      <c r="C769" s="257" t="s">
        <v>3867</v>
      </c>
      <c r="D769" s="173" t="s">
        <v>3867</v>
      </c>
      <c r="E769" s="174" t="s">
        <v>2861</v>
      </c>
      <c r="F769" s="173" t="s">
        <v>2862</v>
      </c>
      <c r="G769" s="328" t="s">
        <v>673</v>
      </c>
      <c r="H769" s="328" t="s">
        <v>2863</v>
      </c>
      <c r="I769" s="258" t="s">
        <v>2864</v>
      </c>
      <c r="J769" s="259" t="s">
        <v>902</v>
      </c>
      <c r="K769" s="260" t="s">
        <v>3868</v>
      </c>
      <c r="L769" s="328"/>
      <c r="M769" s="343"/>
      <c r="N769" s="173" t="s">
        <v>679</v>
      </c>
      <c r="O769" s="173" t="s">
        <v>225</v>
      </c>
      <c r="P769" s="262" t="str">
        <f t="shared" si="1"/>
        <v>IN-BLR-ANANTA-VAV-341_2</v>
      </c>
      <c r="Q769" s="173" t="s">
        <v>3869</v>
      </c>
      <c r="R769" s="328" t="str">
        <f>IFS(C769="","",C769="n/a","N/A",LEN(C769),Concatenate("{",char(34),"asset",char(34),":{",char(34),"guid",char(34),":",char(34),Q769,char(34),",",char(34),"site",char(34),":",char(34),LOWER('2-Building'!$B$4),char(34),",",char(34),"name",char(34),":",char(34),LOWER(C769),char(34),"}}"))</f>
        <v>{"asset":{"guid":"uuid://7df1f81f-79b2-43a4-8ad3-d8d177823925","site":"in-blr-ananta","name":"vav-341"}}</v>
      </c>
      <c r="S769" s="237" t="s">
        <v>2866</v>
      </c>
      <c r="T769" s="330"/>
      <c r="U769" s="330"/>
      <c r="V769" s="331"/>
      <c r="W769" s="344"/>
      <c r="X769" s="341"/>
      <c r="Y769" s="33" t="s">
        <v>2867</v>
      </c>
      <c r="Z769" s="258">
        <v>120341.0</v>
      </c>
      <c r="AA769" s="334">
        <v>11538.0</v>
      </c>
      <c r="AB769" s="341"/>
      <c r="AC769" s="341"/>
      <c r="AD769" s="343"/>
      <c r="AE769" s="331"/>
      <c r="AF769" s="348"/>
      <c r="AG769" s="337"/>
      <c r="AH769" s="341"/>
      <c r="AI769" s="341"/>
      <c r="AJ769" s="341"/>
      <c r="AK769" s="341"/>
      <c r="AL769" s="341"/>
      <c r="AM769" s="338"/>
      <c r="AN769" s="341"/>
      <c r="AO769" s="341"/>
      <c r="AP769" s="341"/>
      <c r="AQ769" s="341"/>
      <c r="AR769" s="341"/>
      <c r="AS769" s="341"/>
      <c r="AT769" s="341"/>
      <c r="AU769" s="343"/>
      <c r="AV769" s="341"/>
      <c r="AW769" s="269" t="s">
        <v>2043</v>
      </c>
      <c r="AX769" s="334" t="s">
        <v>2869</v>
      </c>
      <c r="AY769" s="270" t="s">
        <v>695</v>
      </c>
      <c r="AZ769" s="173" t="s">
        <v>2866</v>
      </c>
      <c r="BA769" s="265">
        <v>10.0</v>
      </c>
      <c r="BB769" s="174" t="s">
        <v>245</v>
      </c>
      <c r="BC769" s="341"/>
      <c r="BD769" s="308"/>
      <c r="BE769" s="347"/>
      <c r="BF769" s="274" t="str">
        <f>IFERROR(__xludf.DUMMYFUNCTION("LOWER(Regexreplace(to_text(E769),""[^A-Za-z0-9]"","""")&amp;""_""&amp;Regexreplace(to_text(F769),""[^A-Za-z0-9]"",""""))"),"neptronic_evcbseries")</f>
        <v>neptronic_evcbseries</v>
      </c>
      <c r="BG769" s="275" t="str">
        <f>IFERROR(__xludf.DUMMYFUNCTION("upper(Regexreplace(to_text(E769),""[^A-Za-z0-9]"","""")&amp;""-""&amp;Regexreplace(to_text(F769),""[^A-Za-z0-9]"",""""))"),"NEPTRONIC-EVCBSERIES")</f>
        <v>NEPTRONIC-EVCBSERIES</v>
      </c>
    </row>
    <row r="770" ht="30.0" customHeight="1">
      <c r="A770" s="258">
        <v>762.0</v>
      </c>
      <c r="B770" s="237" t="s">
        <v>670</v>
      </c>
      <c r="C770" s="257" t="s">
        <v>3870</v>
      </c>
      <c r="D770" s="173" t="s">
        <v>3870</v>
      </c>
      <c r="E770" s="174" t="s">
        <v>2861</v>
      </c>
      <c r="F770" s="173" t="s">
        <v>2862</v>
      </c>
      <c r="G770" s="328" t="s">
        <v>673</v>
      </c>
      <c r="H770" s="328" t="s">
        <v>2863</v>
      </c>
      <c r="I770" s="258" t="s">
        <v>2864</v>
      </c>
      <c r="J770" s="259" t="s">
        <v>902</v>
      </c>
      <c r="K770" s="260" t="s">
        <v>3871</v>
      </c>
      <c r="L770" s="328"/>
      <c r="M770" s="343"/>
      <c r="N770" s="173" t="s">
        <v>679</v>
      </c>
      <c r="O770" s="173" t="s">
        <v>225</v>
      </c>
      <c r="P770" s="262" t="str">
        <f t="shared" si="1"/>
        <v>IN-BLR-ANANTA-VAV-342_2</v>
      </c>
      <c r="Q770" s="173" t="s">
        <v>3872</v>
      </c>
      <c r="R770" s="328" t="str">
        <f>IFS(C770="","",C770="n/a","N/A",LEN(C770),Concatenate("{",char(34),"asset",char(34),":{",char(34),"guid",char(34),":",char(34),Q770,char(34),",",char(34),"site",char(34),":",char(34),LOWER('2-Building'!$B$4),char(34),",",char(34),"name",char(34),":",char(34),LOWER(C770),char(34),"}}"))</f>
        <v>{"asset":{"guid":"uuid://39172294-5655-48eb-9ce5-f63a23b32383","site":"in-blr-ananta","name":"vav-342"}}</v>
      </c>
      <c r="S770" s="237" t="s">
        <v>2866</v>
      </c>
      <c r="T770" s="330"/>
      <c r="U770" s="330"/>
      <c r="V770" s="331"/>
      <c r="W770" s="344"/>
      <c r="X770" s="341"/>
      <c r="Y770" s="33" t="s">
        <v>2867</v>
      </c>
      <c r="Z770" s="258">
        <v>120342.0</v>
      </c>
      <c r="AA770" s="334">
        <v>11538.0</v>
      </c>
      <c r="AB770" s="341"/>
      <c r="AC770" s="341"/>
      <c r="AD770" s="343"/>
      <c r="AE770" s="331"/>
      <c r="AF770" s="348"/>
      <c r="AG770" s="337"/>
      <c r="AH770" s="341"/>
      <c r="AI770" s="341"/>
      <c r="AJ770" s="341"/>
      <c r="AK770" s="341"/>
      <c r="AL770" s="341"/>
      <c r="AM770" s="338"/>
      <c r="AN770" s="341"/>
      <c r="AO770" s="341"/>
      <c r="AP770" s="341"/>
      <c r="AQ770" s="341"/>
      <c r="AR770" s="341"/>
      <c r="AS770" s="341"/>
      <c r="AT770" s="341"/>
      <c r="AU770" s="343"/>
      <c r="AV770" s="341"/>
      <c r="AW770" s="269" t="s">
        <v>2043</v>
      </c>
      <c r="AX770" s="334" t="s">
        <v>2869</v>
      </c>
      <c r="AY770" s="270" t="s">
        <v>695</v>
      </c>
      <c r="AZ770" s="173" t="s">
        <v>2866</v>
      </c>
      <c r="BA770" s="265">
        <v>10.0</v>
      </c>
      <c r="BB770" s="174" t="s">
        <v>245</v>
      </c>
      <c r="BC770" s="341"/>
      <c r="BD770" s="308"/>
      <c r="BE770" s="347"/>
      <c r="BF770" s="274" t="str">
        <f>IFERROR(__xludf.DUMMYFUNCTION("LOWER(Regexreplace(to_text(E770),""[^A-Za-z0-9]"","""")&amp;""_""&amp;Regexreplace(to_text(F770),""[^A-Za-z0-9]"",""""))"),"neptronic_evcbseries")</f>
        <v>neptronic_evcbseries</v>
      </c>
      <c r="BG770" s="275" t="str">
        <f>IFERROR(__xludf.DUMMYFUNCTION("upper(Regexreplace(to_text(E770),""[^A-Za-z0-9]"","""")&amp;""-""&amp;Regexreplace(to_text(F770),""[^A-Za-z0-9]"",""""))"),"NEPTRONIC-EVCBSERIES")</f>
        <v>NEPTRONIC-EVCBSERIES</v>
      </c>
    </row>
    <row r="771" ht="30.0" customHeight="1">
      <c r="A771" s="173">
        <v>763.0</v>
      </c>
      <c r="B771" s="237" t="s">
        <v>670</v>
      </c>
      <c r="C771" s="257" t="s">
        <v>3873</v>
      </c>
      <c r="D771" s="173" t="s">
        <v>3873</v>
      </c>
      <c r="E771" s="174" t="s">
        <v>2861</v>
      </c>
      <c r="F771" s="173" t="s">
        <v>2862</v>
      </c>
      <c r="G771" s="328" t="s">
        <v>673</v>
      </c>
      <c r="H771" s="328" t="s">
        <v>2863</v>
      </c>
      <c r="I771" s="258" t="s">
        <v>2864</v>
      </c>
      <c r="J771" s="259" t="s">
        <v>902</v>
      </c>
      <c r="K771" s="260" t="s">
        <v>3874</v>
      </c>
      <c r="L771" s="328"/>
      <c r="M771" s="343"/>
      <c r="N771" s="173" t="s">
        <v>679</v>
      </c>
      <c r="O771" s="173" t="s">
        <v>225</v>
      </c>
      <c r="P771" s="262" t="str">
        <f t="shared" si="1"/>
        <v>IN-BLR-ANANTA-VAV-343_2</v>
      </c>
      <c r="Q771" s="173" t="s">
        <v>3875</v>
      </c>
      <c r="R771" s="328" t="str">
        <f>IFS(C771="","",C771="n/a","N/A",LEN(C771),Concatenate("{",char(34),"asset",char(34),":{",char(34),"guid",char(34),":",char(34),Q771,char(34),",",char(34),"site",char(34),":",char(34),LOWER('2-Building'!$B$4),char(34),",",char(34),"name",char(34),":",char(34),LOWER(C771),char(34),"}}"))</f>
        <v>{"asset":{"guid":"uuid://dd0540ba-cd73-4d1e-9001-073f7cd77180","site":"in-blr-ananta","name":"vav-343"}}</v>
      </c>
      <c r="S771" s="237" t="s">
        <v>2866</v>
      </c>
      <c r="T771" s="330"/>
      <c r="U771" s="330"/>
      <c r="V771" s="331"/>
      <c r="W771" s="344"/>
      <c r="X771" s="341"/>
      <c r="Y771" s="33" t="s">
        <v>2867</v>
      </c>
      <c r="Z771" s="258">
        <v>120343.0</v>
      </c>
      <c r="AA771" s="334">
        <v>11538.0</v>
      </c>
      <c r="AB771" s="341"/>
      <c r="AC771" s="341"/>
      <c r="AD771" s="343"/>
      <c r="AE771" s="331"/>
      <c r="AF771" s="348"/>
      <c r="AG771" s="337"/>
      <c r="AH771" s="341"/>
      <c r="AI771" s="341"/>
      <c r="AJ771" s="341"/>
      <c r="AK771" s="341"/>
      <c r="AL771" s="341"/>
      <c r="AM771" s="338"/>
      <c r="AN771" s="341"/>
      <c r="AO771" s="341"/>
      <c r="AP771" s="341"/>
      <c r="AQ771" s="341"/>
      <c r="AR771" s="341"/>
      <c r="AS771" s="341"/>
      <c r="AT771" s="341"/>
      <c r="AU771" s="343"/>
      <c r="AV771" s="341"/>
      <c r="AW771" s="269" t="s">
        <v>2043</v>
      </c>
      <c r="AX771" s="334" t="s">
        <v>2869</v>
      </c>
      <c r="AY771" s="270" t="s">
        <v>695</v>
      </c>
      <c r="AZ771" s="173" t="s">
        <v>2866</v>
      </c>
      <c r="BA771" s="265">
        <v>10.0</v>
      </c>
      <c r="BB771" s="174" t="s">
        <v>245</v>
      </c>
      <c r="BC771" s="341"/>
      <c r="BD771" s="308"/>
      <c r="BE771" s="347"/>
      <c r="BF771" s="274" t="str">
        <f>IFERROR(__xludf.DUMMYFUNCTION("LOWER(Regexreplace(to_text(E771),""[^A-Za-z0-9]"","""")&amp;""_""&amp;Regexreplace(to_text(F771),""[^A-Za-z0-9]"",""""))"),"neptronic_evcbseries")</f>
        <v>neptronic_evcbseries</v>
      </c>
      <c r="BG771" s="275" t="str">
        <f>IFERROR(__xludf.DUMMYFUNCTION("upper(Regexreplace(to_text(E771),""[^A-Za-z0-9]"","""")&amp;""-""&amp;Regexreplace(to_text(F771),""[^A-Za-z0-9]"",""""))"),"NEPTRONIC-EVCBSERIES")</f>
        <v>NEPTRONIC-EVCBSERIES</v>
      </c>
    </row>
    <row r="772" ht="30.0" customHeight="1">
      <c r="A772" s="258">
        <v>764.0</v>
      </c>
      <c r="B772" s="237" t="s">
        <v>670</v>
      </c>
      <c r="C772" s="257" t="s">
        <v>3876</v>
      </c>
      <c r="D772" s="173" t="s">
        <v>3876</v>
      </c>
      <c r="E772" s="174" t="s">
        <v>2861</v>
      </c>
      <c r="F772" s="173" t="s">
        <v>2862</v>
      </c>
      <c r="G772" s="328" t="s">
        <v>673</v>
      </c>
      <c r="H772" s="328" t="s">
        <v>2863</v>
      </c>
      <c r="I772" s="258" t="s">
        <v>2864</v>
      </c>
      <c r="J772" s="259" t="s">
        <v>902</v>
      </c>
      <c r="K772" s="260" t="s">
        <v>3877</v>
      </c>
      <c r="L772" s="328"/>
      <c r="M772" s="343"/>
      <c r="N772" s="173" t="s">
        <v>679</v>
      </c>
      <c r="O772" s="173" t="s">
        <v>225</v>
      </c>
      <c r="P772" s="262" t="str">
        <f t="shared" si="1"/>
        <v>IN-BLR-ANANTA-VAV-344_2</v>
      </c>
      <c r="Q772" s="173" t="s">
        <v>3878</v>
      </c>
      <c r="R772" s="328" t="str">
        <f>IFS(C772="","",C772="n/a","N/A",LEN(C772),Concatenate("{",char(34),"asset",char(34),":{",char(34),"guid",char(34),":",char(34),Q772,char(34),",",char(34),"site",char(34),":",char(34),LOWER('2-Building'!$B$4),char(34),",",char(34),"name",char(34),":",char(34),LOWER(C772),char(34),"}}"))</f>
        <v>{"asset":{"guid":"uuid://2eab5f27-e3e6-472d-ace8-8bf05245c39b","site":"in-blr-ananta","name":"vav-344"}}</v>
      </c>
      <c r="S772" s="237" t="s">
        <v>2866</v>
      </c>
      <c r="T772" s="330"/>
      <c r="U772" s="330"/>
      <c r="V772" s="331"/>
      <c r="W772" s="344"/>
      <c r="X772" s="341"/>
      <c r="Y772" s="33" t="s">
        <v>2867</v>
      </c>
      <c r="Z772" s="258">
        <v>120344.0</v>
      </c>
      <c r="AA772" s="334">
        <v>11538.0</v>
      </c>
      <c r="AB772" s="341"/>
      <c r="AC772" s="341"/>
      <c r="AD772" s="343"/>
      <c r="AE772" s="331"/>
      <c r="AF772" s="348"/>
      <c r="AG772" s="337"/>
      <c r="AH772" s="341"/>
      <c r="AI772" s="341"/>
      <c r="AJ772" s="341"/>
      <c r="AK772" s="341"/>
      <c r="AL772" s="341"/>
      <c r="AM772" s="338"/>
      <c r="AN772" s="341"/>
      <c r="AO772" s="341"/>
      <c r="AP772" s="341"/>
      <c r="AQ772" s="341"/>
      <c r="AR772" s="341"/>
      <c r="AS772" s="341"/>
      <c r="AT772" s="341"/>
      <c r="AU772" s="343"/>
      <c r="AV772" s="341"/>
      <c r="AW772" s="269" t="s">
        <v>2043</v>
      </c>
      <c r="AX772" s="334" t="s">
        <v>2869</v>
      </c>
      <c r="AY772" s="270" t="s">
        <v>695</v>
      </c>
      <c r="AZ772" s="173" t="s">
        <v>2866</v>
      </c>
      <c r="BA772" s="265">
        <v>10.0</v>
      </c>
      <c r="BB772" s="174" t="s">
        <v>245</v>
      </c>
      <c r="BC772" s="341"/>
      <c r="BD772" s="308"/>
      <c r="BE772" s="347"/>
      <c r="BF772" s="274" t="str">
        <f>IFERROR(__xludf.DUMMYFUNCTION("LOWER(Regexreplace(to_text(E772),""[^A-Za-z0-9]"","""")&amp;""_""&amp;Regexreplace(to_text(F772),""[^A-Za-z0-9]"",""""))"),"neptronic_evcbseries")</f>
        <v>neptronic_evcbseries</v>
      </c>
      <c r="BG772" s="275" t="str">
        <f>IFERROR(__xludf.DUMMYFUNCTION("upper(Regexreplace(to_text(E772),""[^A-Za-z0-9]"","""")&amp;""-""&amp;Regexreplace(to_text(F772),""[^A-Za-z0-9]"",""""))"),"NEPTRONIC-EVCBSERIES")</f>
        <v>NEPTRONIC-EVCBSERIES</v>
      </c>
    </row>
    <row r="773" ht="30.0" customHeight="1">
      <c r="A773" s="173">
        <v>765.0</v>
      </c>
      <c r="B773" s="237" t="s">
        <v>670</v>
      </c>
      <c r="C773" s="257" t="s">
        <v>3879</v>
      </c>
      <c r="D773" s="173" t="s">
        <v>3879</v>
      </c>
      <c r="E773" s="174" t="s">
        <v>2861</v>
      </c>
      <c r="F773" s="173" t="s">
        <v>2862</v>
      </c>
      <c r="G773" s="328" t="s">
        <v>673</v>
      </c>
      <c r="H773" s="328" t="s">
        <v>2863</v>
      </c>
      <c r="I773" s="258" t="s">
        <v>2864</v>
      </c>
      <c r="J773" s="259" t="s">
        <v>902</v>
      </c>
      <c r="K773" s="260" t="s">
        <v>3880</v>
      </c>
      <c r="L773" s="328"/>
      <c r="M773" s="343"/>
      <c r="N773" s="173" t="s">
        <v>679</v>
      </c>
      <c r="O773" s="173" t="s">
        <v>225</v>
      </c>
      <c r="P773" s="262" t="str">
        <f t="shared" si="1"/>
        <v>IN-BLR-ANANTA-VAV-345_2</v>
      </c>
      <c r="Q773" s="173" t="s">
        <v>3881</v>
      </c>
      <c r="R773" s="328" t="str">
        <f>IFS(C773="","",C773="n/a","N/A",LEN(C773),Concatenate("{",char(34),"asset",char(34),":{",char(34),"guid",char(34),":",char(34),Q773,char(34),",",char(34),"site",char(34),":",char(34),LOWER('2-Building'!$B$4),char(34),",",char(34),"name",char(34),":",char(34),LOWER(C773),char(34),"}}"))</f>
        <v>{"asset":{"guid":"uuid://d9f55266-3e5e-4c60-995f-4c5ef709055a","site":"in-blr-ananta","name":"vav-345"}}</v>
      </c>
      <c r="S773" s="237" t="s">
        <v>2866</v>
      </c>
      <c r="T773" s="330"/>
      <c r="U773" s="330"/>
      <c r="V773" s="331"/>
      <c r="W773" s="344"/>
      <c r="X773" s="341"/>
      <c r="Y773" s="33" t="s">
        <v>2867</v>
      </c>
      <c r="Z773" s="258">
        <v>120345.0</v>
      </c>
      <c r="AA773" s="334">
        <v>11538.0</v>
      </c>
      <c r="AB773" s="341"/>
      <c r="AC773" s="341"/>
      <c r="AD773" s="343"/>
      <c r="AE773" s="331"/>
      <c r="AF773" s="348"/>
      <c r="AG773" s="337"/>
      <c r="AH773" s="341"/>
      <c r="AI773" s="341"/>
      <c r="AJ773" s="341"/>
      <c r="AK773" s="341"/>
      <c r="AL773" s="341"/>
      <c r="AM773" s="338"/>
      <c r="AN773" s="341"/>
      <c r="AO773" s="341"/>
      <c r="AP773" s="341"/>
      <c r="AQ773" s="341"/>
      <c r="AR773" s="341"/>
      <c r="AS773" s="341"/>
      <c r="AT773" s="341"/>
      <c r="AU773" s="343"/>
      <c r="AV773" s="341"/>
      <c r="AW773" s="269" t="s">
        <v>2043</v>
      </c>
      <c r="AX773" s="334" t="s">
        <v>2869</v>
      </c>
      <c r="AY773" s="270" t="s">
        <v>695</v>
      </c>
      <c r="AZ773" s="173" t="s">
        <v>2866</v>
      </c>
      <c r="BA773" s="265">
        <v>10.0</v>
      </c>
      <c r="BB773" s="174" t="s">
        <v>245</v>
      </c>
      <c r="BC773" s="341"/>
      <c r="BD773" s="308"/>
      <c r="BE773" s="347"/>
      <c r="BF773" s="274" t="str">
        <f>IFERROR(__xludf.DUMMYFUNCTION("LOWER(Regexreplace(to_text(E773),""[^A-Za-z0-9]"","""")&amp;""_""&amp;Regexreplace(to_text(F773),""[^A-Za-z0-9]"",""""))"),"neptronic_evcbseries")</f>
        <v>neptronic_evcbseries</v>
      </c>
      <c r="BG773" s="275" t="str">
        <f>IFERROR(__xludf.DUMMYFUNCTION("upper(Regexreplace(to_text(E773),""[^A-Za-z0-9]"","""")&amp;""-""&amp;Regexreplace(to_text(F773),""[^A-Za-z0-9]"",""""))"),"NEPTRONIC-EVCBSERIES")</f>
        <v>NEPTRONIC-EVCBSERIES</v>
      </c>
    </row>
    <row r="774" ht="30.0" customHeight="1">
      <c r="A774" s="258">
        <v>766.0</v>
      </c>
      <c r="B774" s="237" t="s">
        <v>670</v>
      </c>
      <c r="C774" s="257" t="s">
        <v>3882</v>
      </c>
      <c r="D774" s="173" t="s">
        <v>3882</v>
      </c>
      <c r="E774" s="174" t="s">
        <v>2861</v>
      </c>
      <c r="F774" s="173" t="s">
        <v>2862</v>
      </c>
      <c r="G774" s="328" t="s">
        <v>673</v>
      </c>
      <c r="H774" s="328" t="s">
        <v>2863</v>
      </c>
      <c r="I774" s="258" t="s">
        <v>2864</v>
      </c>
      <c r="J774" s="259" t="s">
        <v>902</v>
      </c>
      <c r="K774" s="260" t="s">
        <v>3883</v>
      </c>
      <c r="L774" s="328"/>
      <c r="M774" s="343"/>
      <c r="N774" s="173" t="s">
        <v>679</v>
      </c>
      <c r="O774" s="173" t="s">
        <v>225</v>
      </c>
      <c r="P774" s="262" t="str">
        <f t="shared" si="1"/>
        <v>IN-BLR-ANANTA-VAV-346_2</v>
      </c>
      <c r="Q774" s="173" t="s">
        <v>3884</v>
      </c>
      <c r="R774" s="328" t="str">
        <f>IFS(C774="","",C774="n/a","N/A",LEN(C774),Concatenate("{",char(34),"asset",char(34),":{",char(34),"guid",char(34),":",char(34),Q774,char(34),",",char(34),"site",char(34),":",char(34),LOWER('2-Building'!$B$4),char(34),",",char(34),"name",char(34),":",char(34),LOWER(C774),char(34),"}}"))</f>
        <v>{"asset":{"guid":"uuid://d8afa32e-e682-4a74-9737-19fa8eb85ae7","site":"in-blr-ananta","name":"vav-346"}}</v>
      </c>
      <c r="S774" s="237" t="s">
        <v>2866</v>
      </c>
      <c r="T774" s="330"/>
      <c r="U774" s="330"/>
      <c r="V774" s="331"/>
      <c r="W774" s="344"/>
      <c r="X774" s="341"/>
      <c r="Y774" s="33" t="s">
        <v>2867</v>
      </c>
      <c r="Z774" s="258">
        <v>120346.0</v>
      </c>
      <c r="AA774" s="334">
        <v>11538.0</v>
      </c>
      <c r="AB774" s="341"/>
      <c r="AC774" s="341"/>
      <c r="AD774" s="343"/>
      <c r="AE774" s="331"/>
      <c r="AF774" s="348"/>
      <c r="AG774" s="337"/>
      <c r="AH774" s="341"/>
      <c r="AI774" s="341"/>
      <c r="AJ774" s="341"/>
      <c r="AK774" s="341"/>
      <c r="AL774" s="341"/>
      <c r="AM774" s="338"/>
      <c r="AN774" s="341"/>
      <c r="AO774" s="341"/>
      <c r="AP774" s="341"/>
      <c r="AQ774" s="341"/>
      <c r="AR774" s="341"/>
      <c r="AS774" s="341"/>
      <c r="AT774" s="341"/>
      <c r="AU774" s="343"/>
      <c r="AV774" s="341"/>
      <c r="AW774" s="269" t="s">
        <v>2043</v>
      </c>
      <c r="AX774" s="334" t="s">
        <v>2869</v>
      </c>
      <c r="AY774" s="270" t="s">
        <v>695</v>
      </c>
      <c r="AZ774" s="173" t="s">
        <v>2866</v>
      </c>
      <c r="BA774" s="265">
        <v>10.0</v>
      </c>
      <c r="BB774" s="174" t="s">
        <v>245</v>
      </c>
      <c r="BC774" s="341"/>
      <c r="BD774" s="308"/>
      <c r="BE774" s="347"/>
      <c r="BF774" s="274" t="str">
        <f>IFERROR(__xludf.DUMMYFUNCTION("LOWER(Regexreplace(to_text(E774),""[^A-Za-z0-9]"","""")&amp;""_""&amp;Regexreplace(to_text(F774),""[^A-Za-z0-9]"",""""))"),"neptronic_evcbseries")</f>
        <v>neptronic_evcbseries</v>
      </c>
      <c r="BG774" s="275" t="str">
        <f>IFERROR(__xludf.DUMMYFUNCTION("upper(Regexreplace(to_text(E774),""[^A-Za-z0-9]"","""")&amp;""-""&amp;Regexreplace(to_text(F774),""[^A-Za-z0-9]"",""""))"),"NEPTRONIC-EVCBSERIES")</f>
        <v>NEPTRONIC-EVCBSERIES</v>
      </c>
    </row>
    <row r="775" ht="30.0" customHeight="1">
      <c r="A775" s="173">
        <v>767.0</v>
      </c>
      <c r="B775" s="237" t="s">
        <v>670</v>
      </c>
      <c r="C775" s="257" t="s">
        <v>3885</v>
      </c>
      <c r="D775" s="173" t="s">
        <v>3885</v>
      </c>
      <c r="E775" s="174" t="s">
        <v>2861</v>
      </c>
      <c r="F775" s="173" t="s">
        <v>2862</v>
      </c>
      <c r="G775" s="328" t="s">
        <v>673</v>
      </c>
      <c r="H775" s="328" t="s">
        <v>2863</v>
      </c>
      <c r="I775" s="258" t="s">
        <v>2864</v>
      </c>
      <c r="J775" s="259" t="s">
        <v>902</v>
      </c>
      <c r="K775" s="260" t="s">
        <v>3886</v>
      </c>
      <c r="L775" s="328"/>
      <c r="M775" s="343"/>
      <c r="N775" s="173" t="s">
        <v>679</v>
      </c>
      <c r="O775" s="173" t="s">
        <v>225</v>
      </c>
      <c r="P775" s="262" t="str">
        <f t="shared" si="1"/>
        <v>IN-BLR-ANANTA-VAV-347_2</v>
      </c>
      <c r="Q775" s="173" t="s">
        <v>3887</v>
      </c>
      <c r="R775" s="328" t="str">
        <f>IFS(C775="","",C775="n/a","N/A",LEN(C775),Concatenate("{",char(34),"asset",char(34),":{",char(34),"guid",char(34),":",char(34),Q775,char(34),",",char(34),"site",char(34),":",char(34),LOWER('2-Building'!$B$4),char(34),",",char(34),"name",char(34),":",char(34),LOWER(C775),char(34),"}}"))</f>
        <v>{"asset":{"guid":"uuid://2a06d2ff-b4cb-4177-8bf2-5ffb5fb424ce","site":"in-blr-ananta","name":"vav-347"}}</v>
      </c>
      <c r="S775" s="237" t="s">
        <v>2866</v>
      </c>
      <c r="T775" s="330"/>
      <c r="U775" s="330"/>
      <c r="V775" s="331"/>
      <c r="W775" s="344"/>
      <c r="X775" s="341"/>
      <c r="Y775" s="33" t="s">
        <v>2867</v>
      </c>
      <c r="Z775" s="258">
        <v>120347.0</v>
      </c>
      <c r="AA775" s="334">
        <v>11538.0</v>
      </c>
      <c r="AB775" s="341"/>
      <c r="AC775" s="341"/>
      <c r="AD775" s="343"/>
      <c r="AE775" s="331"/>
      <c r="AF775" s="348"/>
      <c r="AG775" s="337"/>
      <c r="AH775" s="341"/>
      <c r="AI775" s="341"/>
      <c r="AJ775" s="341"/>
      <c r="AK775" s="341"/>
      <c r="AL775" s="341"/>
      <c r="AM775" s="338"/>
      <c r="AN775" s="341"/>
      <c r="AO775" s="341"/>
      <c r="AP775" s="341"/>
      <c r="AQ775" s="341"/>
      <c r="AR775" s="341"/>
      <c r="AS775" s="341"/>
      <c r="AT775" s="341"/>
      <c r="AU775" s="343"/>
      <c r="AV775" s="341"/>
      <c r="AW775" s="269" t="s">
        <v>2043</v>
      </c>
      <c r="AX775" s="334" t="s">
        <v>2869</v>
      </c>
      <c r="AY775" s="270" t="s">
        <v>695</v>
      </c>
      <c r="AZ775" s="173" t="s">
        <v>2866</v>
      </c>
      <c r="BA775" s="265">
        <v>10.0</v>
      </c>
      <c r="BB775" s="174" t="s">
        <v>245</v>
      </c>
      <c r="BC775" s="341"/>
      <c r="BD775" s="308"/>
      <c r="BE775" s="347"/>
      <c r="BF775" s="274" t="str">
        <f>IFERROR(__xludf.DUMMYFUNCTION("LOWER(Regexreplace(to_text(E775),""[^A-Za-z0-9]"","""")&amp;""_""&amp;Regexreplace(to_text(F775),""[^A-Za-z0-9]"",""""))"),"neptronic_evcbseries")</f>
        <v>neptronic_evcbseries</v>
      </c>
      <c r="BG775" s="275" t="str">
        <f>IFERROR(__xludf.DUMMYFUNCTION("upper(Regexreplace(to_text(E775),""[^A-Za-z0-9]"","""")&amp;""-""&amp;Regexreplace(to_text(F775),""[^A-Za-z0-9]"",""""))"),"NEPTRONIC-EVCBSERIES")</f>
        <v>NEPTRONIC-EVCBSERIES</v>
      </c>
    </row>
    <row r="776" ht="30.0" customHeight="1">
      <c r="A776" s="258">
        <v>768.0</v>
      </c>
      <c r="B776" s="237" t="s">
        <v>670</v>
      </c>
      <c r="C776" s="257" t="s">
        <v>3888</v>
      </c>
      <c r="D776" s="173" t="s">
        <v>3888</v>
      </c>
      <c r="E776" s="174" t="s">
        <v>2861</v>
      </c>
      <c r="F776" s="173" t="s">
        <v>2862</v>
      </c>
      <c r="G776" s="328" t="s">
        <v>673</v>
      </c>
      <c r="H776" s="328" t="s">
        <v>2863</v>
      </c>
      <c r="I776" s="258" t="s">
        <v>2864</v>
      </c>
      <c r="J776" s="259" t="s">
        <v>902</v>
      </c>
      <c r="K776" s="260" t="s">
        <v>3889</v>
      </c>
      <c r="L776" s="328"/>
      <c r="M776" s="343"/>
      <c r="N776" s="173" t="s">
        <v>679</v>
      </c>
      <c r="O776" s="173" t="s">
        <v>225</v>
      </c>
      <c r="P776" s="262" t="str">
        <f t="shared" si="1"/>
        <v>IN-BLR-ANANTA-VAV-348_2</v>
      </c>
      <c r="Q776" s="173" t="s">
        <v>3890</v>
      </c>
      <c r="R776" s="328" t="str">
        <f>IFS(C776="","",C776="n/a","N/A",LEN(C776),Concatenate("{",char(34),"asset",char(34),":{",char(34),"guid",char(34),":",char(34),Q776,char(34),",",char(34),"site",char(34),":",char(34),LOWER('2-Building'!$B$4),char(34),",",char(34),"name",char(34),":",char(34),LOWER(C776),char(34),"}}"))</f>
        <v>{"asset":{"guid":"uuid://e24f881f-fa53-4720-8080-e996e27e52e1","site":"in-blr-ananta","name":"vav-348"}}</v>
      </c>
      <c r="S776" s="237" t="s">
        <v>2866</v>
      </c>
      <c r="T776" s="330"/>
      <c r="U776" s="330"/>
      <c r="V776" s="331"/>
      <c r="W776" s="344"/>
      <c r="X776" s="341"/>
      <c r="Y776" s="33" t="s">
        <v>2867</v>
      </c>
      <c r="Z776" s="258">
        <v>120348.0</v>
      </c>
      <c r="AA776" s="334">
        <v>11539.0</v>
      </c>
      <c r="AB776" s="341"/>
      <c r="AC776" s="341"/>
      <c r="AD776" s="343"/>
      <c r="AE776" s="331"/>
      <c r="AF776" s="348"/>
      <c r="AG776" s="337"/>
      <c r="AH776" s="341"/>
      <c r="AI776" s="341"/>
      <c r="AJ776" s="341"/>
      <c r="AK776" s="341"/>
      <c r="AL776" s="341"/>
      <c r="AM776" s="338"/>
      <c r="AN776" s="341"/>
      <c r="AO776" s="341"/>
      <c r="AP776" s="341"/>
      <c r="AQ776" s="341"/>
      <c r="AR776" s="341"/>
      <c r="AS776" s="341"/>
      <c r="AT776" s="341"/>
      <c r="AU776" s="343"/>
      <c r="AV776" s="341"/>
      <c r="AW776" s="269" t="s">
        <v>2043</v>
      </c>
      <c r="AX776" s="334" t="s">
        <v>2869</v>
      </c>
      <c r="AY776" s="270" t="s">
        <v>695</v>
      </c>
      <c r="AZ776" s="173" t="s">
        <v>2866</v>
      </c>
      <c r="BA776" s="265">
        <v>10.0</v>
      </c>
      <c r="BB776" s="174" t="s">
        <v>245</v>
      </c>
      <c r="BC776" s="341"/>
      <c r="BD776" s="308"/>
      <c r="BE776" s="347"/>
      <c r="BF776" s="274" t="str">
        <f>IFERROR(__xludf.DUMMYFUNCTION("LOWER(Regexreplace(to_text(E776),""[^A-Za-z0-9]"","""")&amp;""_""&amp;Regexreplace(to_text(F776),""[^A-Za-z0-9]"",""""))"),"neptronic_evcbseries")</f>
        <v>neptronic_evcbseries</v>
      </c>
      <c r="BG776" s="275" t="str">
        <f>IFERROR(__xludf.DUMMYFUNCTION("upper(Regexreplace(to_text(E776),""[^A-Za-z0-9]"","""")&amp;""-""&amp;Regexreplace(to_text(F776),""[^A-Za-z0-9]"",""""))"),"NEPTRONIC-EVCBSERIES")</f>
        <v>NEPTRONIC-EVCBSERIES</v>
      </c>
    </row>
    <row r="777" ht="30.0" customHeight="1">
      <c r="A777" s="173">
        <v>769.0</v>
      </c>
      <c r="B777" s="237" t="s">
        <v>670</v>
      </c>
      <c r="C777" s="257" t="s">
        <v>3891</v>
      </c>
      <c r="D777" s="173" t="s">
        <v>3891</v>
      </c>
      <c r="E777" s="174" t="s">
        <v>2861</v>
      </c>
      <c r="F777" s="173" t="s">
        <v>2862</v>
      </c>
      <c r="G777" s="328" t="s">
        <v>673</v>
      </c>
      <c r="H777" s="328" t="s">
        <v>2863</v>
      </c>
      <c r="I777" s="258" t="s">
        <v>2864</v>
      </c>
      <c r="J777" s="259" t="s">
        <v>902</v>
      </c>
      <c r="K777" s="260" t="s">
        <v>3892</v>
      </c>
      <c r="L777" s="328"/>
      <c r="M777" s="343"/>
      <c r="N777" s="173" t="s">
        <v>679</v>
      </c>
      <c r="O777" s="173" t="s">
        <v>225</v>
      </c>
      <c r="P777" s="262" t="str">
        <f t="shared" si="1"/>
        <v>IN-BLR-ANANTA-VAV-349_2</v>
      </c>
      <c r="Q777" s="173" t="s">
        <v>3893</v>
      </c>
      <c r="R777" s="328" t="str">
        <f>IFS(C777="","",C777="n/a","N/A",LEN(C777),Concatenate("{",char(34),"asset",char(34),":{",char(34),"guid",char(34),":",char(34),Q777,char(34),",",char(34),"site",char(34),":",char(34),LOWER('2-Building'!$B$4),char(34),",",char(34),"name",char(34),":",char(34),LOWER(C777),char(34),"}}"))</f>
        <v>{"asset":{"guid":"uuid://bfa6a32e-672d-4215-9b41-57b8993772e1","site":"in-blr-ananta","name":"vav-349"}}</v>
      </c>
      <c r="S777" s="237" t="s">
        <v>2866</v>
      </c>
      <c r="T777" s="330"/>
      <c r="U777" s="330"/>
      <c r="V777" s="331"/>
      <c r="W777" s="344"/>
      <c r="X777" s="341"/>
      <c r="Y777" s="33" t="s">
        <v>2867</v>
      </c>
      <c r="Z777" s="258">
        <v>120349.0</v>
      </c>
      <c r="AA777" s="334">
        <v>11539.0</v>
      </c>
      <c r="AB777" s="341"/>
      <c r="AC777" s="341"/>
      <c r="AD777" s="343"/>
      <c r="AE777" s="331"/>
      <c r="AF777" s="348"/>
      <c r="AG777" s="337"/>
      <c r="AH777" s="341"/>
      <c r="AI777" s="341"/>
      <c r="AJ777" s="341"/>
      <c r="AK777" s="341"/>
      <c r="AL777" s="341"/>
      <c r="AM777" s="338"/>
      <c r="AN777" s="341"/>
      <c r="AO777" s="341"/>
      <c r="AP777" s="341"/>
      <c r="AQ777" s="341"/>
      <c r="AR777" s="341"/>
      <c r="AS777" s="341"/>
      <c r="AT777" s="341"/>
      <c r="AU777" s="343"/>
      <c r="AV777" s="341"/>
      <c r="AW777" s="269" t="s">
        <v>2043</v>
      </c>
      <c r="AX777" s="334" t="s">
        <v>2869</v>
      </c>
      <c r="AY777" s="270" t="s">
        <v>695</v>
      </c>
      <c r="AZ777" s="173" t="s">
        <v>2866</v>
      </c>
      <c r="BA777" s="265">
        <v>10.0</v>
      </c>
      <c r="BB777" s="174" t="s">
        <v>245</v>
      </c>
      <c r="BC777" s="341"/>
      <c r="BD777" s="308"/>
      <c r="BE777" s="347"/>
      <c r="BF777" s="274" t="str">
        <f>IFERROR(__xludf.DUMMYFUNCTION("LOWER(Regexreplace(to_text(E777),""[^A-Za-z0-9]"","""")&amp;""_""&amp;Regexreplace(to_text(F777),""[^A-Za-z0-9]"",""""))"),"neptronic_evcbseries")</f>
        <v>neptronic_evcbseries</v>
      </c>
      <c r="BG777" s="275" t="str">
        <f>IFERROR(__xludf.DUMMYFUNCTION("upper(Regexreplace(to_text(E777),""[^A-Za-z0-9]"","""")&amp;""-""&amp;Regexreplace(to_text(F777),""[^A-Za-z0-9]"",""""))"),"NEPTRONIC-EVCBSERIES")</f>
        <v>NEPTRONIC-EVCBSERIES</v>
      </c>
    </row>
    <row r="778" ht="30.0" customHeight="1">
      <c r="A778" s="258">
        <v>770.0</v>
      </c>
      <c r="B778" s="237" t="s">
        <v>670</v>
      </c>
      <c r="C778" s="257" t="s">
        <v>3894</v>
      </c>
      <c r="D778" s="173" t="s">
        <v>3894</v>
      </c>
      <c r="E778" s="174" t="s">
        <v>2861</v>
      </c>
      <c r="F778" s="173" t="s">
        <v>2862</v>
      </c>
      <c r="G778" s="328" t="s">
        <v>673</v>
      </c>
      <c r="H778" s="328" t="s">
        <v>2863</v>
      </c>
      <c r="I778" s="258" t="s">
        <v>2864</v>
      </c>
      <c r="J778" s="259" t="s">
        <v>902</v>
      </c>
      <c r="K778" s="260" t="s">
        <v>3895</v>
      </c>
      <c r="L778" s="328"/>
      <c r="M778" s="343"/>
      <c r="N778" s="173" t="s">
        <v>679</v>
      </c>
      <c r="O778" s="173" t="s">
        <v>225</v>
      </c>
      <c r="P778" s="262" t="str">
        <f t="shared" si="1"/>
        <v>IN-BLR-ANANTA-VAV-350_2</v>
      </c>
      <c r="Q778" s="173" t="s">
        <v>3896</v>
      </c>
      <c r="R778" s="328" t="str">
        <f>IFS(C778="","",C778="n/a","N/A",LEN(C778),Concatenate("{",char(34),"asset",char(34),":{",char(34),"guid",char(34),":",char(34),Q778,char(34),",",char(34),"site",char(34),":",char(34),LOWER('2-Building'!$B$4),char(34),",",char(34),"name",char(34),":",char(34),LOWER(C778),char(34),"}}"))</f>
        <v>{"asset":{"guid":"uuid://e0a98d64-771b-4618-a456-e0318b290809","site":"in-blr-ananta","name":"vav-350"}}</v>
      </c>
      <c r="S778" s="237" t="s">
        <v>2866</v>
      </c>
      <c r="T778" s="330"/>
      <c r="U778" s="330"/>
      <c r="V778" s="331"/>
      <c r="W778" s="344"/>
      <c r="X778" s="341"/>
      <c r="Y778" s="33" t="s">
        <v>2867</v>
      </c>
      <c r="Z778" s="258">
        <v>120350.0</v>
      </c>
      <c r="AA778" s="334">
        <v>11539.0</v>
      </c>
      <c r="AB778" s="341"/>
      <c r="AC778" s="341"/>
      <c r="AD778" s="343"/>
      <c r="AE778" s="331"/>
      <c r="AF778" s="348"/>
      <c r="AG778" s="337"/>
      <c r="AH778" s="341"/>
      <c r="AI778" s="341"/>
      <c r="AJ778" s="341"/>
      <c r="AK778" s="341"/>
      <c r="AL778" s="341"/>
      <c r="AM778" s="338"/>
      <c r="AN778" s="341"/>
      <c r="AO778" s="341"/>
      <c r="AP778" s="341"/>
      <c r="AQ778" s="341"/>
      <c r="AR778" s="341"/>
      <c r="AS778" s="341"/>
      <c r="AT778" s="341"/>
      <c r="AU778" s="343"/>
      <c r="AV778" s="341"/>
      <c r="AW778" s="269" t="s">
        <v>2043</v>
      </c>
      <c r="AX778" s="334" t="s">
        <v>2869</v>
      </c>
      <c r="AY778" s="270" t="s">
        <v>695</v>
      </c>
      <c r="AZ778" s="173" t="s">
        <v>2866</v>
      </c>
      <c r="BA778" s="265">
        <v>10.0</v>
      </c>
      <c r="BB778" s="174" t="s">
        <v>245</v>
      </c>
      <c r="BC778" s="341"/>
      <c r="BD778" s="308"/>
      <c r="BE778" s="347"/>
      <c r="BF778" s="274" t="str">
        <f>IFERROR(__xludf.DUMMYFUNCTION("LOWER(Regexreplace(to_text(E778),""[^A-Za-z0-9]"","""")&amp;""_""&amp;Regexreplace(to_text(F778),""[^A-Za-z0-9]"",""""))"),"neptronic_evcbseries")</f>
        <v>neptronic_evcbseries</v>
      </c>
      <c r="BG778" s="275" t="str">
        <f>IFERROR(__xludf.DUMMYFUNCTION("upper(Regexreplace(to_text(E778),""[^A-Za-z0-9]"","""")&amp;""-""&amp;Regexreplace(to_text(F778),""[^A-Za-z0-9]"",""""))"),"NEPTRONIC-EVCBSERIES")</f>
        <v>NEPTRONIC-EVCBSERIES</v>
      </c>
    </row>
    <row r="779" ht="30.0" customHeight="1">
      <c r="A779" s="173">
        <v>771.0</v>
      </c>
      <c r="B779" s="237" t="s">
        <v>670</v>
      </c>
      <c r="C779" s="257" t="s">
        <v>3897</v>
      </c>
      <c r="D779" s="173" t="s">
        <v>3897</v>
      </c>
      <c r="E779" s="174" t="s">
        <v>2861</v>
      </c>
      <c r="F779" s="173" t="s">
        <v>2862</v>
      </c>
      <c r="G779" s="328" t="s">
        <v>673</v>
      </c>
      <c r="H779" s="328" t="s">
        <v>2863</v>
      </c>
      <c r="I779" s="258" t="s">
        <v>2864</v>
      </c>
      <c r="J779" s="259" t="s">
        <v>902</v>
      </c>
      <c r="K779" s="260" t="s">
        <v>3898</v>
      </c>
      <c r="L779" s="328"/>
      <c r="M779" s="343"/>
      <c r="N779" s="173" t="s">
        <v>679</v>
      </c>
      <c r="O779" s="173" t="s">
        <v>225</v>
      </c>
      <c r="P779" s="262" t="str">
        <f t="shared" si="1"/>
        <v>IN-BLR-ANANTA-VAV-351_2</v>
      </c>
      <c r="Q779" s="173" t="s">
        <v>3899</v>
      </c>
      <c r="R779" s="328" t="str">
        <f>IFS(C779="","",C779="n/a","N/A",LEN(C779),Concatenate("{",char(34),"asset",char(34),":{",char(34),"guid",char(34),":",char(34),Q779,char(34),",",char(34),"site",char(34),":",char(34),LOWER('2-Building'!$B$4),char(34),",",char(34),"name",char(34),":",char(34),LOWER(C779),char(34),"}}"))</f>
        <v>{"asset":{"guid":"uuid://675760ec-8884-47a5-9e00-18113d2783bf","site":"in-blr-ananta","name":"vav-351"}}</v>
      </c>
      <c r="S779" s="237" t="s">
        <v>2866</v>
      </c>
      <c r="T779" s="330"/>
      <c r="U779" s="330"/>
      <c r="V779" s="331"/>
      <c r="W779" s="344"/>
      <c r="X779" s="341"/>
      <c r="Y779" s="33" t="s">
        <v>2867</v>
      </c>
      <c r="Z779" s="258">
        <v>120351.0</v>
      </c>
      <c r="AA779" s="334">
        <v>11539.0</v>
      </c>
      <c r="AB779" s="341"/>
      <c r="AC779" s="341"/>
      <c r="AD779" s="343"/>
      <c r="AE779" s="331"/>
      <c r="AF779" s="348"/>
      <c r="AG779" s="337"/>
      <c r="AH779" s="341"/>
      <c r="AI779" s="341"/>
      <c r="AJ779" s="341"/>
      <c r="AK779" s="341"/>
      <c r="AL779" s="341"/>
      <c r="AM779" s="338"/>
      <c r="AN779" s="341"/>
      <c r="AO779" s="341"/>
      <c r="AP779" s="341"/>
      <c r="AQ779" s="341"/>
      <c r="AR779" s="341"/>
      <c r="AS779" s="341"/>
      <c r="AT779" s="341"/>
      <c r="AU779" s="343"/>
      <c r="AV779" s="341"/>
      <c r="AW779" s="269" t="s">
        <v>2043</v>
      </c>
      <c r="AX779" s="334" t="s">
        <v>2869</v>
      </c>
      <c r="AY779" s="270" t="s">
        <v>695</v>
      </c>
      <c r="AZ779" s="173" t="s">
        <v>2866</v>
      </c>
      <c r="BA779" s="265">
        <v>10.0</v>
      </c>
      <c r="BB779" s="174" t="s">
        <v>245</v>
      </c>
      <c r="BC779" s="341"/>
      <c r="BD779" s="308"/>
      <c r="BE779" s="347"/>
      <c r="BF779" s="274" t="str">
        <f>IFERROR(__xludf.DUMMYFUNCTION("LOWER(Regexreplace(to_text(E779),""[^A-Za-z0-9]"","""")&amp;""_""&amp;Regexreplace(to_text(F779),""[^A-Za-z0-9]"",""""))"),"neptronic_evcbseries")</f>
        <v>neptronic_evcbseries</v>
      </c>
      <c r="BG779" s="275" t="str">
        <f>IFERROR(__xludf.DUMMYFUNCTION("upper(Regexreplace(to_text(E779),""[^A-Za-z0-9]"","""")&amp;""-""&amp;Regexreplace(to_text(F779),""[^A-Za-z0-9]"",""""))"),"NEPTRONIC-EVCBSERIES")</f>
        <v>NEPTRONIC-EVCBSERIES</v>
      </c>
    </row>
    <row r="780" ht="30.0" customHeight="1">
      <c r="A780" s="258">
        <v>772.0</v>
      </c>
      <c r="B780" s="237" t="s">
        <v>670</v>
      </c>
      <c r="C780" s="257" t="s">
        <v>3900</v>
      </c>
      <c r="D780" s="173" t="s">
        <v>3900</v>
      </c>
      <c r="E780" s="174" t="s">
        <v>2861</v>
      </c>
      <c r="F780" s="173" t="s">
        <v>2862</v>
      </c>
      <c r="G780" s="328" t="s">
        <v>673</v>
      </c>
      <c r="H780" s="328" t="s">
        <v>2863</v>
      </c>
      <c r="I780" s="258" t="s">
        <v>2864</v>
      </c>
      <c r="J780" s="259" t="s">
        <v>902</v>
      </c>
      <c r="K780" s="260" t="s">
        <v>3901</v>
      </c>
      <c r="L780" s="328"/>
      <c r="M780" s="343"/>
      <c r="N780" s="173" t="s">
        <v>679</v>
      </c>
      <c r="O780" s="173" t="s">
        <v>225</v>
      </c>
      <c r="P780" s="262" t="str">
        <f t="shared" si="1"/>
        <v>IN-BLR-ANANTA-VAV-352_2</v>
      </c>
      <c r="Q780" s="173" t="s">
        <v>3902</v>
      </c>
      <c r="R780" s="328" t="str">
        <f>IFS(C780="","",C780="n/a","N/A",LEN(C780),Concatenate("{",char(34),"asset",char(34),":{",char(34),"guid",char(34),":",char(34),Q780,char(34),",",char(34),"site",char(34),":",char(34),LOWER('2-Building'!$B$4),char(34),",",char(34),"name",char(34),":",char(34),LOWER(C780),char(34),"}}"))</f>
        <v>{"asset":{"guid":"uuid://e327af95-251e-43b5-be42-921743884fa9","site":"in-blr-ananta","name":"vav-352"}}</v>
      </c>
      <c r="S780" s="237" t="s">
        <v>2866</v>
      </c>
      <c r="T780" s="330"/>
      <c r="U780" s="330"/>
      <c r="V780" s="331"/>
      <c r="W780" s="344"/>
      <c r="X780" s="341"/>
      <c r="Y780" s="33" t="s">
        <v>2867</v>
      </c>
      <c r="Z780" s="258">
        <v>120352.0</v>
      </c>
      <c r="AA780" s="334">
        <v>11539.0</v>
      </c>
      <c r="AB780" s="341"/>
      <c r="AC780" s="341"/>
      <c r="AD780" s="343"/>
      <c r="AE780" s="331"/>
      <c r="AF780" s="348"/>
      <c r="AG780" s="337"/>
      <c r="AH780" s="341"/>
      <c r="AI780" s="341"/>
      <c r="AJ780" s="341"/>
      <c r="AK780" s="341"/>
      <c r="AL780" s="341"/>
      <c r="AM780" s="338"/>
      <c r="AN780" s="341"/>
      <c r="AO780" s="341"/>
      <c r="AP780" s="341"/>
      <c r="AQ780" s="341"/>
      <c r="AR780" s="341"/>
      <c r="AS780" s="341"/>
      <c r="AT780" s="341"/>
      <c r="AU780" s="343"/>
      <c r="AV780" s="341"/>
      <c r="AW780" s="269" t="s">
        <v>2043</v>
      </c>
      <c r="AX780" s="334" t="s">
        <v>2869</v>
      </c>
      <c r="AY780" s="270" t="s">
        <v>695</v>
      </c>
      <c r="AZ780" s="173" t="s">
        <v>2866</v>
      </c>
      <c r="BA780" s="265">
        <v>10.0</v>
      </c>
      <c r="BB780" s="174" t="s">
        <v>245</v>
      </c>
      <c r="BC780" s="341"/>
      <c r="BD780" s="308"/>
      <c r="BE780" s="347"/>
      <c r="BF780" s="274" t="str">
        <f>IFERROR(__xludf.DUMMYFUNCTION("LOWER(Regexreplace(to_text(E780),""[^A-Za-z0-9]"","""")&amp;""_""&amp;Regexreplace(to_text(F780),""[^A-Za-z0-9]"",""""))"),"neptronic_evcbseries")</f>
        <v>neptronic_evcbseries</v>
      </c>
      <c r="BG780" s="275" t="str">
        <f>IFERROR(__xludf.DUMMYFUNCTION("upper(Regexreplace(to_text(E780),""[^A-Za-z0-9]"","""")&amp;""-""&amp;Regexreplace(to_text(F780),""[^A-Za-z0-9]"",""""))"),"NEPTRONIC-EVCBSERIES")</f>
        <v>NEPTRONIC-EVCBSERIES</v>
      </c>
    </row>
    <row r="781" ht="30.0" customHeight="1">
      <c r="A781" s="173">
        <v>773.0</v>
      </c>
      <c r="B781" s="237" t="s">
        <v>670</v>
      </c>
      <c r="C781" s="257" t="s">
        <v>3903</v>
      </c>
      <c r="D781" s="173" t="s">
        <v>3903</v>
      </c>
      <c r="E781" s="174" t="s">
        <v>2861</v>
      </c>
      <c r="F781" s="173" t="s">
        <v>2862</v>
      </c>
      <c r="G781" s="328" t="s">
        <v>673</v>
      </c>
      <c r="H781" s="328" t="s">
        <v>2863</v>
      </c>
      <c r="I781" s="258" t="s">
        <v>2864</v>
      </c>
      <c r="J781" s="259" t="s">
        <v>902</v>
      </c>
      <c r="K781" s="260" t="s">
        <v>3904</v>
      </c>
      <c r="L781" s="328"/>
      <c r="M781" s="343"/>
      <c r="N781" s="173" t="s">
        <v>679</v>
      </c>
      <c r="O781" s="173" t="s">
        <v>225</v>
      </c>
      <c r="P781" s="262" t="str">
        <f t="shared" si="1"/>
        <v>IN-BLR-ANANTA-VAV-353_2</v>
      </c>
      <c r="Q781" s="173" t="s">
        <v>3905</v>
      </c>
      <c r="R781" s="328" t="str">
        <f>IFS(C781="","",C781="n/a","N/A",LEN(C781),Concatenate("{",char(34),"asset",char(34),":{",char(34),"guid",char(34),":",char(34),Q781,char(34),",",char(34),"site",char(34),":",char(34),LOWER('2-Building'!$B$4),char(34),",",char(34),"name",char(34),":",char(34),LOWER(C781),char(34),"}}"))</f>
        <v>{"asset":{"guid":"uuid://99a2e656-5278-4723-b990-7eeb9b5a2b42","site":"in-blr-ananta","name":"vav-353"}}</v>
      </c>
      <c r="S781" s="237" t="s">
        <v>2866</v>
      </c>
      <c r="T781" s="330"/>
      <c r="U781" s="330"/>
      <c r="V781" s="331"/>
      <c r="W781" s="344"/>
      <c r="X781" s="341"/>
      <c r="Y781" s="33" t="s">
        <v>2867</v>
      </c>
      <c r="Z781" s="258">
        <v>120353.0</v>
      </c>
      <c r="AA781" s="334">
        <v>11539.0</v>
      </c>
      <c r="AB781" s="341"/>
      <c r="AC781" s="341"/>
      <c r="AD781" s="343"/>
      <c r="AE781" s="331"/>
      <c r="AF781" s="348"/>
      <c r="AG781" s="337"/>
      <c r="AH781" s="341"/>
      <c r="AI781" s="341"/>
      <c r="AJ781" s="341"/>
      <c r="AK781" s="341"/>
      <c r="AL781" s="341"/>
      <c r="AM781" s="338"/>
      <c r="AN781" s="341"/>
      <c r="AO781" s="341"/>
      <c r="AP781" s="341"/>
      <c r="AQ781" s="341"/>
      <c r="AR781" s="341"/>
      <c r="AS781" s="341"/>
      <c r="AT781" s="341"/>
      <c r="AU781" s="343"/>
      <c r="AV781" s="341"/>
      <c r="AW781" s="269" t="s">
        <v>2043</v>
      </c>
      <c r="AX781" s="334" t="s">
        <v>2869</v>
      </c>
      <c r="AY781" s="270" t="s">
        <v>695</v>
      </c>
      <c r="AZ781" s="173" t="s">
        <v>2866</v>
      </c>
      <c r="BA781" s="265">
        <v>10.0</v>
      </c>
      <c r="BB781" s="174" t="s">
        <v>245</v>
      </c>
      <c r="BC781" s="341"/>
      <c r="BD781" s="308"/>
      <c r="BE781" s="347"/>
      <c r="BF781" s="274" t="str">
        <f>IFERROR(__xludf.DUMMYFUNCTION("LOWER(Regexreplace(to_text(E781),""[^A-Za-z0-9]"","""")&amp;""_""&amp;Regexreplace(to_text(F781),""[^A-Za-z0-9]"",""""))"),"neptronic_evcbseries")</f>
        <v>neptronic_evcbseries</v>
      </c>
      <c r="BG781" s="275" t="str">
        <f>IFERROR(__xludf.DUMMYFUNCTION("upper(Regexreplace(to_text(E781),""[^A-Za-z0-9]"","""")&amp;""-""&amp;Regexreplace(to_text(F781),""[^A-Za-z0-9]"",""""))"),"NEPTRONIC-EVCBSERIES")</f>
        <v>NEPTRONIC-EVCBSERIES</v>
      </c>
    </row>
    <row r="782" ht="30.0" customHeight="1">
      <c r="A782" s="258">
        <v>774.0</v>
      </c>
      <c r="B782" s="237" t="s">
        <v>670</v>
      </c>
      <c r="C782" s="257" t="s">
        <v>3906</v>
      </c>
      <c r="D782" s="173" t="s">
        <v>3906</v>
      </c>
      <c r="E782" s="174" t="s">
        <v>2861</v>
      </c>
      <c r="F782" s="173" t="s">
        <v>2862</v>
      </c>
      <c r="G782" s="328" t="s">
        <v>673</v>
      </c>
      <c r="H782" s="328" t="s">
        <v>2863</v>
      </c>
      <c r="I782" s="258" t="s">
        <v>2864</v>
      </c>
      <c r="J782" s="259" t="s">
        <v>902</v>
      </c>
      <c r="K782" s="260" t="s">
        <v>3907</v>
      </c>
      <c r="L782" s="328"/>
      <c r="M782" s="343"/>
      <c r="N782" s="173" t="s">
        <v>679</v>
      </c>
      <c r="O782" s="173" t="s">
        <v>225</v>
      </c>
      <c r="P782" s="262" t="str">
        <f t="shared" si="1"/>
        <v>IN-BLR-ANANTA-VAV-354_2</v>
      </c>
      <c r="Q782" s="173" t="s">
        <v>3908</v>
      </c>
      <c r="R782" s="328" t="str">
        <f>IFS(C782="","",C782="n/a","N/A",LEN(C782),Concatenate("{",char(34),"asset",char(34),":{",char(34),"guid",char(34),":",char(34),Q782,char(34),",",char(34),"site",char(34),":",char(34),LOWER('2-Building'!$B$4),char(34),",",char(34),"name",char(34),":",char(34),LOWER(C782),char(34),"}}"))</f>
        <v>{"asset":{"guid":"uuid://b5c4ba71-bee8-4bbe-8891-90c5c5cf4c44","site":"in-blr-ananta","name":"vav-354"}}</v>
      </c>
      <c r="S782" s="237" t="s">
        <v>2866</v>
      </c>
      <c r="T782" s="330"/>
      <c r="U782" s="330"/>
      <c r="V782" s="331"/>
      <c r="W782" s="344"/>
      <c r="X782" s="341"/>
      <c r="Y782" s="33" t="s">
        <v>2867</v>
      </c>
      <c r="Z782" s="258">
        <v>120354.0</v>
      </c>
      <c r="AA782" s="334">
        <v>11539.0</v>
      </c>
      <c r="AB782" s="341"/>
      <c r="AC782" s="341"/>
      <c r="AD782" s="343"/>
      <c r="AE782" s="331"/>
      <c r="AF782" s="348"/>
      <c r="AG782" s="337"/>
      <c r="AH782" s="341"/>
      <c r="AI782" s="341"/>
      <c r="AJ782" s="341"/>
      <c r="AK782" s="341"/>
      <c r="AL782" s="341"/>
      <c r="AM782" s="338"/>
      <c r="AN782" s="341"/>
      <c r="AO782" s="341"/>
      <c r="AP782" s="341"/>
      <c r="AQ782" s="341"/>
      <c r="AR782" s="341"/>
      <c r="AS782" s="341"/>
      <c r="AT782" s="341"/>
      <c r="AU782" s="343"/>
      <c r="AV782" s="341"/>
      <c r="AW782" s="269" t="s">
        <v>2043</v>
      </c>
      <c r="AX782" s="334" t="s">
        <v>2869</v>
      </c>
      <c r="AY782" s="270" t="s">
        <v>695</v>
      </c>
      <c r="AZ782" s="173" t="s">
        <v>2866</v>
      </c>
      <c r="BA782" s="265">
        <v>10.0</v>
      </c>
      <c r="BB782" s="174" t="s">
        <v>245</v>
      </c>
      <c r="BC782" s="341"/>
      <c r="BD782" s="308"/>
      <c r="BE782" s="347"/>
      <c r="BF782" s="274" t="str">
        <f>IFERROR(__xludf.DUMMYFUNCTION("LOWER(Regexreplace(to_text(E782),""[^A-Za-z0-9]"","""")&amp;""_""&amp;Regexreplace(to_text(F782),""[^A-Za-z0-9]"",""""))"),"neptronic_evcbseries")</f>
        <v>neptronic_evcbseries</v>
      </c>
      <c r="BG782" s="275" t="str">
        <f>IFERROR(__xludf.DUMMYFUNCTION("upper(Regexreplace(to_text(E782),""[^A-Za-z0-9]"","""")&amp;""-""&amp;Regexreplace(to_text(F782),""[^A-Za-z0-9]"",""""))"),"NEPTRONIC-EVCBSERIES")</f>
        <v>NEPTRONIC-EVCBSERIES</v>
      </c>
    </row>
    <row r="783" ht="30.0" customHeight="1">
      <c r="A783" s="173">
        <v>775.0</v>
      </c>
      <c r="B783" s="237" t="s">
        <v>670</v>
      </c>
      <c r="C783" s="257" t="s">
        <v>3909</v>
      </c>
      <c r="D783" s="173" t="s">
        <v>3909</v>
      </c>
      <c r="E783" s="174" t="s">
        <v>2861</v>
      </c>
      <c r="F783" s="173" t="s">
        <v>2862</v>
      </c>
      <c r="G783" s="328" t="s">
        <v>673</v>
      </c>
      <c r="H783" s="328" t="s">
        <v>2863</v>
      </c>
      <c r="I783" s="258" t="s">
        <v>2864</v>
      </c>
      <c r="J783" s="259" t="s">
        <v>902</v>
      </c>
      <c r="K783" s="260" t="s">
        <v>3910</v>
      </c>
      <c r="L783" s="328"/>
      <c r="M783" s="343"/>
      <c r="N783" s="173" t="s">
        <v>679</v>
      </c>
      <c r="O783" s="173" t="s">
        <v>225</v>
      </c>
      <c r="P783" s="262" t="str">
        <f t="shared" si="1"/>
        <v>IN-BLR-ANANTA-VAV-355_2</v>
      </c>
      <c r="Q783" s="173" t="s">
        <v>3911</v>
      </c>
      <c r="R783" s="328" t="str">
        <f>IFS(C783="","",C783="n/a","N/A",LEN(C783),Concatenate("{",char(34),"asset",char(34),":{",char(34),"guid",char(34),":",char(34),Q783,char(34),",",char(34),"site",char(34),":",char(34),LOWER('2-Building'!$B$4),char(34),",",char(34),"name",char(34),":",char(34),LOWER(C783),char(34),"}}"))</f>
        <v>{"asset":{"guid":"uuid://c8b0475b-5e48-4917-b7ee-93dc01d89c5b","site":"in-blr-ananta","name":"vav-355"}}</v>
      </c>
      <c r="S783" s="237" t="s">
        <v>2866</v>
      </c>
      <c r="T783" s="330"/>
      <c r="U783" s="330"/>
      <c r="V783" s="331"/>
      <c r="W783" s="344"/>
      <c r="X783" s="341"/>
      <c r="Y783" s="33" t="s">
        <v>2867</v>
      </c>
      <c r="Z783" s="258">
        <v>120355.0</v>
      </c>
      <c r="AA783" s="334">
        <v>11539.0</v>
      </c>
      <c r="AB783" s="341"/>
      <c r="AC783" s="341"/>
      <c r="AD783" s="343"/>
      <c r="AE783" s="331"/>
      <c r="AF783" s="348"/>
      <c r="AG783" s="337"/>
      <c r="AH783" s="341"/>
      <c r="AI783" s="341"/>
      <c r="AJ783" s="341"/>
      <c r="AK783" s="341"/>
      <c r="AL783" s="341"/>
      <c r="AM783" s="338"/>
      <c r="AN783" s="341"/>
      <c r="AO783" s="341"/>
      <c r="AP783" s="341"/>
      <c r="AQ783" s="341"/>
      <c r="AR783" s="341"/>
      <c r="AS783" s="341"/>
      <c r="AT783" s="341"/>
      <c r="AU783" s="343"/>
      <c r="AV783" s="341"/>
      <c r="AW783" s="269" t="s">
        <v>2043</v>
      </c>
      <c r="AX783" s="334" t="s">
        <v>2869</v>
      </c>
      <c r="AY783" s="270" t="s">
        <v>695</v>
      </c>
      <c r="AZ783" s="173" t="s">
        <v>2866</v>
      </c>
      <c r="BA783" s="265">
        <v>10.0</v>
      </c>
      <c r="BB783" s="174" t="s">
        <v>245</v>
      </c>
      <c r="BC783" s="341"/>
      <c r="BD783" s="308"/>
      <c r="BE783" s="347"/>
      <c r="BF783" s="274" t="str">
        <f>IFERROR(__xludf.DUMMYFUNCTION("LOWER(Regexreplace(to_text(E783),""[^A-Za-z0-9]"","""")&amp;""_""&amp;Regexreplace(to_text(F783),""[^A-Za-z0-9]"",""""))"),"neptronic_evcbseries")</f>
        <v>neptronic_evcbseries</v>
      </c>
      <c r="BG783" s="275" t="str">
        <f>IFERROR(__xludf.DUMMYFUNCTION("upper(Regexreplace(to_text(E783),""[^A-Za-z0-9]"","""")&amp;""-""&amp;Regexreplace(to_text(F783),""[^A-Za-z0-9]"",""""))"),"NEPTRONIC-EVCBSERIES")</f>
        <v>NEPTRONIC-EVCBSERIES</v>
      </c>
    </row>
    <row r="784" ht="30.0" customHeight="1">
      <c r="A784" s="258">
        <v>776.0</v>
      </c>
      <c r="B784" s="237" t="s">
        <v>670</v>
      </c>
      <c r="C784" s="257" t="s">
        <v>3912</v>
      </c>
      <c r="D784" s="173" t="s">
        <v>3912</v>
      </c>
      <c r="E784" s="174" t="s">
        <v>2861</v>
      </c>
      <c r="F784" s="173" t="s">
        <v>2862</v>
      </c>
      <c r="G784" s="328" t="s">
        <v>673</v>
      </c>
      <c r="H784" s="328" t="s">
        <v>2863</v>
      </c>
      <c r="I784" s="258" t="s">
        <v>2864</v>
      </c>
      <c r="J784" s="259" t="s">
        <v>902</v>
      </c>
      <c r="K784" s="260" t="s">
        <v>3913</v>
      </c>
      <c r="L784" s="328"/>
      <c r="M784" s="343"/>
      <c r="N784" s="173" t="s">
        <v>679</v>
      </c>
      <c r="O784" s="173" t="s">
        <v>225</v>
      </c>
      <c r="P784" s="262" t="str">
        <f t="shared" si="1"/>
        <v>IN-BLR-ANANTA-VAV-356_2</v>
      </c>
      <c r="Q784" s="173" t="s">
        <v>3914</v>
      </c>
      <c r="R784" s="328" t="str">
        <f>IFS(C784="","",C784="n/a","N/A",LEN(C784),Concatenate("{",char(34),"asset",char(34),":{",char(34),"guid",char(34),":",char(34),Q784,char(34),",",char(34),"site",char(34),":",char(34),LOWER('2-Building'!$B$4),char(34),",",char(34),"name",char(34),":",char(34),LOWER(C784),char(34),"}}"))</f>
        <v>{"asset":{"guid":"uuid://1acd9ad2-d3e5-42d8-a34c-923cdb334f82","site":"in-blr-ananta","name":"vav-356"}}</v>
      </c>
      <c r="S784" s="237" t="s">
        <v>2866</v>
      </c>
      <c r="T784" s="330"/>
      <c r="U784" s="330"/>
      <c r="V784" s="331"/>
      <c r="W784" s="344"/>
      <c r="X784" s="341"/>
      <c r="Y784" s="33" t="s">
        <v>2867</v>
      </c>
      <c r="Z784" s="258">
        <v>120356.0</v>
      </c>
      <c r="AA784" s="334">
        <v>11539.0</v>
      </c>
      <c r="AB784" s="341"/>
      <c r="AC784" s="341"/>
      <c r="AD784" s="343"/>
      <c r="AE784" s="331"/>
      <c r="AF784" s="348"/>
      <c r="AG784" s="337"/>
      <c r="AH784" s="341"/>
      <c r="AI784" s="341"/>
      <c r="AJ784" s="341"/>
      <c r="AK784" s="341"/>
      <c r="AL784" s="341"/>
      <c r="AM784" s="338"/>
      <c r="AN784" s="341"/>
      <c r="AO784" s="341"/>
      <c r="AP784" s="341"/>
      <c r="AQ784" s="341"/>
      <c r="AR784" s="341"/>
      <c r="AS784" s="341"/>
      <c r="AT784" s="341"/>
      <c r="AU784" s="343"/>
      <c r="AV784" s="341"/>
      <c r="AW784" s="269" t="s">
        <v>2043</v>
      </c>
      <c r="AX784" s="334" t="s">
        <v>2869</v>
      </c>
      <c r="AY784" s="270" t="s">
        <v>695</v>
      </c>
      <c r="AZ784" s="173" t="s">
        <v>2866</v>
      </c>
      <c r="BA784" s="265">
        <v>10.0</v>
      </c>
      <c r="BB784" s="174" t="s">
        <v>245</v>
      </c>
      <c r="BC784" s="341"/>
      <c r="BD784" s="308"/>
      <c r="BE784" s="347"/>
      <c r="BF784" s="274" t="str">
        <f>IFERROR(__xludf.DUMMYFUNCTION("LOWER(Regexreplace(to_text(E784),""[^A-Za-z0-9]"","""")&amp;""_""&amp;Regexreplace(to_text(F784),""[^A-Za-z0-9]"",""""))"),"neptronic_evcbseries")</f>
        <v>neptronic_evcbseries</v>
      </c>
      <c r="BG784" s="275" t="str">
        <f>IFERROR(__xludf.DUMMYFUNCTION("upper(Regexreplace(to_text(E784),""[^A-Za-z0-9]"","""")&amp;""-""&amp;Regexreplace(to_text(F784),""[^A-Za-z0-9]"",""""))"),"NEPTRONIC-EVCBSERIES")</f>
        <v>NEPTRONIC-EVCBSERIES</v>
      </c>
    </row>
    <row r="785" ht="30.0" customHeight="1">
      <c r="A785" s="173">
        <v>777.0</v>
      </c>
      <c r="B785" s="237" t="s">
        <v>670</v>
      </c>
      <c r="C785" s="257" t="s">
        <v>3915</v>
      </c>
      <c r="D785" s="173" t="s">
        <v>3915</v>
      </c>
      <c r="E785" s="174" t="s">
        <v>2861</v>
      </c>
      <c r="F785" s="173" t="s">
        <v>2862</v>
      </c>
      <c r="G785" s="328" t="s">
        <v>673</v>
      </c>
      <c r="H785" s="328" t="s">
        <v>2863</v>
      </c>
      <c r="I785" s="258" t="s">
        <v>2864</v>
      </c>
      <c r="J785" s="259" t="s">
        <v>902</v>
      </c>
      <c r="K785" s="260" t="s">
        <v>3916</v>
      </c>
      <c r="L785" s="328"/>
      <c r="M785" s="343"/>
      <c r="N785" s="173" t="s">
        <v>679</v>
      </c>
      <c r="O785" s="173" t="s">
        <v>225</v>
      </c>
      <c r="P785" s="262" t="str">
        <f t="shared" si="1"/>
        <v>IN-BLR-ANANTA-VAV-357_2</v>
      </c>
      <c r="Q785" s="173" t="s">
        <v>3917</v>
      </c>
      <c r="R785" s="328" t="str">
        <f>IFS(C785="","",C785="n/a","N/A",LEN(C785),Concatenate("{",char(34),"asset",char(34),":{",char(34),"guid",char(34),":",char(34),Q785,char(34),",",char(34),"site",char(34),":",char(34),LOWER('2-Building'!$B$4),char(34),",",char(34),"name",char(34),":",char(34),LOWER(C785),char(34),"}}"))</f>
        <v>{"asset":{"guid":"uuid://d92faf76-c7b8-4bb1-8d1c-5b8492e99405","site":"in-blr-ananta","name":"vav-357"}}</v>
      </c>
      <c r="S785" s="237" t="s">
        <v>2866</v>
      </c>
      <c r="T785" s="330"/>
      <c r="U785" s="330"/>
      <c r="V785" s="331"/>
      <c r="W785" s="344"/>
      <c r="X785" s="341"/>
      <c r="Y785" s="33" t="s">
        <v>2867</v>
      </c>
      <c r="Z785" s="258">
        <v>120357.0</v>
      </c>
      <c r="AA785" s="334">
        <v>11539.0</v>
      </c>
      <c r="AB785" s="341"/>
      <c r="AC785" s="341"/>
      <c r="AD785" s="343"/>
      <c r="AE785" s="331"/>
      <c r="AF785" s="348"/>
      <c r="AG785" s="337"/>
      <c r="AH785" s="341"/>
      <c r="AI785" s="341"/>
      <c r="AJ785" s="341"/>
      <c r="AK785" s="341"/>
      <c r="AL785" s="341"/>
      <c r="AM785" s="338"/>
      <c r="AN785" s="341"/>
      <c r="AO785" s="341"/>
      <c r="AP785" s="341"/>
      <c r="AQ785" s="341"/>
      <c r="AR785" s="341"/>
      <c r="AS785" s="341"/>
      <c r="AT785" s="341"/>
      <c r="AU785" s="343"/>
      <c r="AV785" s="341"/>
      <c r="AW785" s="269" t="s">
        <v>2043</v>
      </c>
      <c r="AX785" s="334" t="s">
        <v>2869</v>
      </c>
      <c r="AY785" s="270" t="s">
        <v>695</v>
      </c>
      <c r="AZ785" s="173" t="s">
        <v>2866</v>
      </c>
      <c r="BA785" s="265">
        <v>10.0</v>
      </c>
      <c r="BB785" s="174" t="s">
        <v>245</v>
      </c>
      <c r="BC785" s="341"/>
      <c r="BD785" s="308"/>
      <c r="BE785" s="347"/>
      <c r="BF785" s="274" t="str">
        <f>IFERROR(__xludf.DUMMYFUNCTION("LOWER(Regexreplace(to_text(E785),""[^A-Za-z0-9]"","""")&amp;""_""&amp;Regexreplace(to_text(F785),""[^A-Za-z0-9]"",""""))"),"neptronic_evcbseries")</f>
        <v>neptronic_evcbseries</v>
      </c>
      <c r="BG785" s="275" t="str">
        <f>IFERROR(__xludf.DUMMYFUNCTION("upper(Regexreplace(to_text(E785),""[^A-Za-z0-9]"","""")&amp;""-""&amp;Regexreplace(to_text(F785),""[^A-Za-z0-9]"",""""))"),"NEPTRONIC-EVCBSERIES")</f>
        <v>NEPTRONIC-EVCBSERIES</v>
      </c>
    </row>
    <row r="786" ht="30.0" customHeight="1">
      <c r="A786" s="258">
        <v>778.0</v>
      </c>
      <c r="B786" s="237" t="s">
        <v>670</v>
      </c>
      <c r="C786" s="257" t="s">
        <v>3918</v>
      </c>
      <c r="D786" s="173" t="s">
        <v>3918</v>
      </c>
      <c r="E786" s="174" t="s">
        <v>2861</v>
      </c>
      <c r="F786" s="173" t="s">
        <v>2862</v>
      </c>
      <c r="G786" s="328" t="s">
        <v>673</v>
      </c>
      <c r="H786" s="328" t="s">
        <v>2863</v>
      </c>
      <c r="I786" s="258" t="s">
        <v>2864</v>
      </c>
      <c r="J786" s="259" t="s">
        <v>902</v>
      </c>
      <c r="K786" s="260" t="s">
        <v>3629</v>
      </c>
      <c r="L786" s="328"/>
      <c r="M786" s="343"/>
      <c r="N786" s="173" t="s">
        <v>679</v>
      </c>
      <c r="O786" s="173" t="s">
        <v>225</v>
      </c>
      <c r="P786" s="262" t="str">
        <f t="shared" si="1"/>
        <v>IN-BLR-ANANTA-VAV-358_2</v>
      </c>
      <c r="Q786" s="173" t="s">
        <v>3919</v>
      </c>
      <c r="R786" s="328" t="str">
        <f>IFS(C786="","",C786="n/a","N/A",LEN(C786),Concatenate("{",char(34),"asset",char(34),":{",char(34),"guid",char(34),":",char(34),Q786,char(34),",",char(34),"site",char(34),":",char(34),LOWER('2-Building'!$B$4),char(34),",",char(34),"name",char(34),":",char(34),LOWER(C786),char(34),"}}"))</f>
        <v>{"asset":{"guid":"uuid://b3e2c9a9-db1f-45a3-a5e0-08e3b1cd7873","site":"in-blr-ananta","name":"vav-358"}}</v>
      </c>
      <c r="S786" s="237" t="s">
        <v>2866</v>
      </c>
      <c r="T786" s="330"/>
      <c r="U786" s="330"/>
      <c r="V786" s="331"/>
      <c r="W786" s="344"/>
      <c r="X786" s="341"/>
      <c r="Y786" s="33" t="s">
        <v>2867</v>
      </c>
      <c r="Z786" s="258">
        <v>120358.0</v>
      </c>
      <c r="AA786" s="334">
        <v>11539.0</v>
      </c>
      <c r="AB786" s="341"/>
      <c r="AC786" s="341"/>
      <c r="AD786" s="343"/>
      <c r="AE786" s="331"/>
      <c r="AF786" s="348"/>
      <c r="AG786" s="337"/>
      <c r="AH786" s="341"/>
      <c r="AI786" s="341"/>
      <c r="AJ786" s="341"/>
      <c r="AK786" s="341"/>
      <c r="AL786" s="341"/>
      <c r="AM786" s="338"/>
      <c r="AN786" s="341"/>
      <c r="AO786" s="341"/>
      <c r="AP786" s="341"/>
      <c r="AQ786" s="341"/>
      <c r="AR786" s="341"/>
      <c r="AS786" s="341"/>
      <c r="AT786" s="341"/>
      <c r="AU786" s="343"/>
      <c r="AV786" s="341"/>
      <c r="AW786" s="269" t="s">
        <v>2043</v>
      </c>
      <c r="AX786" s="334" t="s">
        <v>2869</v>
      </c>
      <c r="AY786" s="270" t="s">
        <v>695</v>
      </c>
      <c r="AZ786" s="173" t="s">
        <v>2866</v>
      </c>
      <c r="BA786" s="265">
        <v>10.0</v>
      </c>
      <c r="BB786" s="174" t="s">
        <v>245</v>
      </c>
      <c r="BC786" s="341"/>
      <c r="BD786" s="308"/>
      <c r="BE786" s="347"/>
      <c r="BF786" s="274" t="str">
        <f>IFERROR(__xludf.DUMMYFUNCTION("LOWER(Regexreplace(to_text(E786),""[^A-Za-z0-9]"","""")&amp;""_""&amp;Regexreplace(to_text(F786),""[^A-Za-z0-9]"",""""))"),"neptronic_evcbseries")</f>
        <v>neptronic_evcbseries</v>
      </c>
      <c r="BG786" s="275" t="str">
        <f>IFERROR(__xludf.DUMMYFUNCTION("upper(Regexreplace(to_text(E786),""[^A-Za-z0-9]"","""")&amp;""-""&amp;Regexreplace(to_text(F786),""[^A-Za-z0-9]"",""""))"),"NEPTRONIC-EVCBSERIES")</f>
        <v>NEPTRONIC-EVCBSERIES</v>
      </c>
    </row>
    <row r="787" ht="30.0" customHeight="1">
      <c r="A787" s="173">
        <v>779.0</v>
      </c>
      <c r="B787" s="237" t="s">
        <v>670</v>
      </c>
      <c r="C787" s="257" t="s">
        <v>3920</v>
      </c>
      <c r="D787" s="173" t="s">
        <v>3920</v>
      </c>
      <c r="E787" s="174" t="s">
        <v>2861</v>
      </c>
      <c r="F787" s="173" t="s">
        <v>2862</v>
      </c>
      <c r="G787" s="328" t="s">
        <v>673</v>
      </c>
      <c r="H787" s="328" t="s">
        <v>2863</v>
      </c>
      <c r="I787" s="258" t="s">
        <v>2864</v>
      </c>
      <c r="J787" s="259" t="s">
        <v>902</v>
      </c>
      <c r="K787" s="260" t="s">
        <v>3921</v>
      </c>
      <c r="L787" s="328"/>
      <c r="M787" s="343"/>
      <c r="N787" s="173" t="s">
        <v>679</v>
      </c>
      <c r="O787" s="173" t="s">
        <v>225</v>
      </c>
      <c r="P787" s="262" t="str">
        <f t="shared" si="1"/>
        <v>IN-BLR-ANANTA-VAV-359_2</v>
      </c>
      <c r="Q787" s="173" t="s">
        <v>3922</v>
      </c>
      <c r="R787" s="328" t="str">
        <f>IFS(C787="","",C787="n/a","N/A",LEN(C787),Concatenate("{",char(34),"asset",char(34),":{",char(34),"guid",char(34),":",char(34),Q787,char(34),",",char(34),"site",char(34),":",char(34),LOWER('2-Building'!$B$4),char(34),",",char(34),"name",char(34),":",char(34),LOWER(C787),char(34),"}}"))</f>
        <v>{"asset":{"guid":"uuid://6378ed34-ec2c-45fe-a1c6-9be199af9b7b","site":"in-blr-ananta","name":"vav-359"}}</v>
      </c>
      <c r="S787" s="237" t="s">
        <v>2866</v>
      </c>
      <c r="T787" s="330"/>
      <c r="U787" s="330"/>
      <c r="V787" s="331"/>
      <c r="W787" s="344"/>
      <c r="X787" s="341"/>
      <c r="Y787" s="33" t="s">
        <v>2867</v>
      </c>
      <c r="Z787" s="258">
        <v>120359.0</v>
      </c>
      <c r="AA787" s="334">
        <v>11539.0</v>
      </c>
      <c r="AB787" s="341"/>
      <c r="AC787" s="341"/>
      <c r="AD787" s="343"/>
      <c r="AE787" s="331"/>
      <c r="AF787" s="348"/>
      <c r="AG787" s="337"/>
      <c r="AH787" s="341"/>
      <c r="AI787" s="341"/>
      <c r="AJ787" s="341"/>
      <c r="AK787" s="341"/>
      <c r="AL787" s="341"/>
      <c r="AM787" s="338"/>
      <c r="AN787" s="341"/>
      <c r="AO787" s="341"/>
      <c r="AP787" s="341"/>
      <c r="AQ787" s="341"/>
      <c r="AR787" s="341"/>
      <c r="AS787" s="341"/>
      <c r="AT787" s="341"/>
      <c r="AU787" s="343"/>
      <c r="AV787" s="341"/>
      <c r="AW787" s="269" t="s">
        <v>2043</v>
      </c>
      <c r="AX787" s="334" t="s">
        <v>2869</v>
      </c>
      <c r="AY787" s="270" t="s">
        <v>695</v>
      </c>
      <c r="AZ787" s="173" t="s">
        <v>2866</v>
      </c>
      <c r="BA787" s="265">
        <v>10.0</v>
      </c>
      <c r="BB787" s="174" t="s">
        <v>245</v>
      </c>
      <c r="BC787" s="341"/>
      <c r="BD787" s="308"/>
      <c r="BE787" s="347"/>
      <c r="BF787" s="274" t="str">
        <f>IFERROR(__xludf.DUMMYFUNCTION("LOWER(Regexreplace(to_text(E787),""[^A-Za-z0-9]"","""")&amp;""_""&amp;Regexreplace(to_text(F787),""[^A-Za-z0-9]"",""""))"),"neptronic_evcbseries")</f>
        <v>neptronic_evcbseries</v>
      </c>
      <c r="BG787" s="275" t="str">
        <f>IFERROR(__xludf.DUMMYFUNCTION("upper(Regexreplace(to_text(E787),""[^A-Za-z0-9]"","""")&amp;""-""&amp;Regexreplace(to_text(F787),""[^A-Za-z0-9]"",""""))"),"NEPTRONIC-EVCBSERIES")</f>
        <v>NEPTRONIC-EVCBSERIES</v>
      </c>
    </row>
    <row r="788" ht="30.0" customHeight="1">
      <c r="A788" s="258">
        <v>780.0</v>
      </c>
      <c r="B788" s="237" t="s">
        <v>670</v>
      </c>
      <c r="C788" s="257" t="s">
        <v>3923</v>
      </c>
      <c r="D788" s="173" t="s">
        <v>3923</v>
      </c>
      <c r="E788" s="174" t="s">
        <v>2861</v>
      </c>
      <c r="F788" s="173" t="s">
        <v>2862</v>
      </c>
      <c r="G788" s="328" t="s">
        <v>673</v>
      </c>
      <c r="H788" s="328" t="s">
        <v>2863</v>
      </c>
      <c r="I788" s="258" t="s">
        <v>2864</v>
      </c>
      <c r="J788" s="259" t="s">
        <v>902</v>
      </c>
      <c r="K788" s="260" t="s">
        <v>3924</v>
      </c>
      <c r="L788" s="328"/>
      <c r="M788" s="343"/>
      <c r="N788" s="173" t="s">
        <v>679</v>
      </c>
      <c r="O788" s="173" t="s">
        <v>225</v>
      </c>
      <c r="P788" s="262" t="str">
        <f t="shared" si="1"/>
        <v>IN-BLR-ANANTA-VAV-360_2</v>
      </c>
      <c r="Q788" s="173" t="s">
        <v>3925</v>
      </c>
      <c r="R788" s="328" t="str">
        <f>IFS(C788="","",C788="n/a","N/A",LEN(C788),Concatenate("{",char(34),"asset",char(34),":{",char(34),"guid",char(34),":",char(34),Q788,char(34),",",char(34),"site",char(34),":",char(34),LOWER('2-Building'!$B$4),char(34),",",char(34),"name",char(34),":",char(34),LOWER(C788),char(34),"}}"))</f>
        <v>{"asset":{"guid":"uuid://ab252c67-d014-4208-90d0-95fbb412e1ce","site":"in-blr-ananta","name":"vav-360"}}</v>
      </c>
      <c r="S788" s="237" t="s">
        <v>2866</v>
      </c>
      <c r="T788" s="330"/>
      <c r="U788" s="330"/>
      <c r="V788" s="331"/>
      <c r="W788" s="344"/>
      <c r="X788" s="341"/>
      <c r="Y788" s="33" t="s">
        <v>2867</v>
      </c>
      <c r="Z788" s="258">
        <v>120360.0</v>
      </c>
      <c r="AA788" s="334">
        <v>11539.0</v>
      </c>
      <c r="AB788" s="341"/>
      <c r="AC788" s="341"/>
      <c r="AD788" s="343"/>
      <c r="AE788" s="331"/>
      <c r="AF788" s="348"/>
      <c r="AG788" s="337"/>
      <c r="AH788" s="341"/>
      <c r="AI788" s="341"/>
      <c r="AJ788" s="341"/>
      <c r="AK788" s="341"/>
      <c r="AL788" s="341"/>
      <c r="AM788" s="338"/>
      <c r="AN788" s="341"/>
      <c r="AO788" s="341"/>
      <c r="AP788" s="341"/>
      <c r="AQ788" s="341"/>
      <c r="AR788" s="341"/>
      <c r="AS788" s="341"/>
      <c r="AT788" s="341"/>
      <c r="AU788" s="343"/>
      <c r="AV788" s="341"/>
      <c r="AW788" s="269" t="s">
        <v>2043</v>
      </c>
      <c r="AX788" s="334" t="s">
        <v>2869</v>
      </c>
      <c r="AY788" s="270" t="s">
        <v>695</v>
      </c>
      <c r="AZ788" s="173" t="s">
        <v>2866</v>
      </c>
      <c r="BA788" s="265">
        <v>10.0</v>
      </c>
      <c r="BB788" s="174" t="s">
        <v>245</v>
      </c>
      <c r="BC788" s="341"/>
      <c r="BD788" s="308"/>
      <c r="BE788" s="347"/>
      <c r="BF788" s="274" t="str">
        <f>IFERROR(__xludf.DUMMYFUNCTION("LOWER(Regexreplace(to_text(E788),""[^A-Za-z0-9]"","""")&amp;""_""&amp;Regexreplace(to_text(F788),""[^A-Za-z0-9]"",""""))"),"neptronic_evcbseries")</f>
        <v>neptronic_evcbseries</v>
      </c>
      <c r="BG788" s="275" t="str">
        <f>IFERROR(__xludf.DUMMYFUNCTION("upper(Regexreplace(to_text(E788),""[^A-Za-z0-9]"","""")&amp;""-""&amp;Regexreplace(to_text(F788),""[^A-Za-z0-9]"",""""))"),"NEPTRONIC-EVCBSERIES")</f>
        <v>NEPTRONIC-EVCBSERIES</v>
      </c>
    </row>
    <row r="789" ht="30.0" customHeight="1">
      <c r="A789" s="173">
        <v>781.0</v>
      </c>
      <c r="B789" s="237" t="s">
        <v>670</v>
      </c>
      <c r="C789" s="257" t="s">
        <v>3926</v>
      </c>
      <c r="D789" s="173" t="s">
        <v>3926</v>
      </c>
      <c r="E789" s="174" t="s">
        <v>2861</v>
      </c>
      <c r="F789" s="173" t="s">
        <v>2862</v>
      </c>
      <c r="G789" s="328" t="s">
        <v>673</v>
      </c>
      <c r="H789" s="328" t="s">
        <v>2863</v>
      </c>
      <c r="I789" s="258" t="s">
        <v>2864</v>
      </c>
      <c r="J789" s="259" t="s">
        <v>902</v>
      </c>
      <c r="K789" s="260" t="s">
        <v>3927</v>
      </c>
      <c r="L789" s="328"/>
      <c r="M789" s="343"/>
      <c r="N789" s="173" t="s">
        <v>679</v>
      </c>
      <c r="O789" s="173" t="s">
        <v>225</v>
      </c>
      <c r="P789" s="262" t="str">
        <f t="shared" si="1"/>
        <v>IN-BLR-ANANTA-VAV-361_2</v>
      </c>
      <c r="Q789" s="173" t="s">
        <v>3928</v>
      </c>
      <c r="R789" s="328" t="str">
        <f>IFS(C789="","",C789="n/a","N/A",LEN(C789),Concatenate("{",char(34),"asset",char(34),":{",char(34),"guid",char(34),":",char(34),Q789,char(34),",",char(34),"site",char(34),":",char(34),LOWER('2-Building'!$B$4),char(34),",",char(34),"name",char(34),":",char(34),LOWER(C789),char(34),"}}"))</f>
        <v>{"asset":{"guid":"uuid://e3661664-c402-40fb-8ee9-f2212fe293cf","site":"in-blr-ananta","name":"vav-361"}}</v>
      </c>
      <c r="S789" s="237" t="s">
        <v>2866</v>
      </c>
      <c r="T789" s="330"/>
      <c r="U789" s="330"/>
      <c r="V789" s="331"/>
      <c r="W789" s="344"/>
      <c r="X789" s="341"/>
      <c r="Y789" s="33" t="s">
        <v>2867</v>
      </c>
      <c r="Z789" s="258">
        <v>120361.0</v>
      </c>
      <c r="AA789" s="334">
        <v>11539.0</v>
      </c>
      <c r="AB789" s="341"/>
      <c r="AC789" s="341"/>
      <c r="AD789" s="343"/>
      <c r="AE789" s="331"/>
      <c r="AF789" s="348"/>
      <c r="AG789" s="337"/>
      <c r="AH789" s="341"/>
      <c r="AI789" s="341"/>
      <c r="AJ789" s="341"/>
      <c r="AK789" s="341"/>
      <c r="AL789" s="341"/>
      <c r="AM789" s="338"/>
      <c r="AN789" s="341"/>
      <c r="AO789" s="341"/>
      <c r="AP789" s="341"/>
      <c r="AQ789" s="341"/>
      <c r="AR789" s="341"/>
      <c r="AS789" s="341"/>
      <c r="AT789" s="341"/>
      <c r="AU789" s="343"/>
      <c r="AV789" s="341"/>
      <c r="AW789" s="269" t="s">
        <v>2043</v>
      </c>
      <c r="AX789" s="334" t="s">
        <v>2869</v>
      </c>
      <c r="AY789" s="270" t="s">
        <v>695</v>
      </c>
      <c r="AZ789" s="173" t="s">
        <v>2866</v>
      </c>
      <c r="BA789" s="265">
        <v>10.0</v>
      </c>
      <c r="BB789" s="174" t="s">
        <v>245</v>
      </c>
      <c r="BC789" s="341"/>
      <c r="BD789" s="308"/>
      <c r="BE789" s="347"/>
      <c r="BF789" s="274" t="str">
        <f>IFERROR(__xludf.DUMMYFUNCTION("LOWER(Regexreplace(to_text(E789),""[^A-Za-z0-9]"","""")&amp;""_""&amp;Regexreplace(to_text(F789),""[^A-Za-z0-9]"",""""))"),"neptronic_evcbseries")</f>
        <v>neptronic_evcbseries</v>
      </c>
      <c r="BG789" s="275" t="str">
        <f>IFERROR(__xludf.DUMMYFUNCTION("upper(Regexreplace(to_text(E789),""[^A-Za-z0-9]"","""")&amp;""-""&amp;Regexreplace(to_text(F789),""[^A-Za-z0-9]"",""""))"),"NEPTRONIC-EVCBSERIES")</f>
        <v>NEPTRONIC-EVCBSERIES</v>
      </c>
    </row>
    <row r="790" ht="30.0" customHeight="1">
      <c r="A790" s="258">
        <v>782.0</v>
      </c>
      <c r="B790" s="237" t="s">
        <v>670</v>
      </c>
      <c r="C790" s="257" t="s">
        <v>3929</v>
      </c>
      <c r="D790" s="173" t="s">
        <v>3929</v>
      </c>
      <c r="E790" s="174" t="s">
        <v>2861</v>
      </c>
      <c r="F790" s="173" t="s">
        <v>2862</v>
      </c>
      <c r="G790" s="328" t="s">
        <v>673</v>
      </c>
      <c r="H790" s="328" t="s">
        <v>2863</v>
      </c>
      <c r="I790" s="258" t="s">
        <v>2864</v>
      </c>
      <c r="J790" s="259" t="s">
        <v>902</v>
      </c>
      <c r="K790" s="260" t="s">
        <v>3629</v>
      </c>
      <c r="L790" s="328"/>
      <c r="M790" s="343"/>
      <c r="N790" s="173" t="s">
        <v>679</v>
      </c>
      <c r="O790" s="173" t="s">
        <v>225</v>
      </c>
      <c r="P790" s="262" t="str">
        <f t="shared" si="1"/>
        <v>IN-BLR-ANANTA-VAV-362_2</v>
      </c>
      <c r="Q790" s="173" t="s">
        <v>3930</v>
      </c>
      <c r="R790" s="328" t="str">
        <f>IFS(C790="","",C790="n/a","N/A",LEN(C790),Concatenate("{",char(34),"asset",char(34),":{",char(34),"guid",char(34),":",char(34),Q790,char(34),",",char(34),"site",char(34),":",char(34),LOWER('2-Building'!$B$4),char(34),",",char(34),"name",char(34),":",char(34),LOWER(C790),char(34),"}}"))</f>
        <v>{"asset":{"guid":"uuid://2aaa7f25-8a8d-4ca0-aa09-f1d2a150e328","site":"in-blr-ananta","name":"vav-362"}}</v>
      </c>
      <c r="S790" s="237" t="s">
        <v>2866</v>
      </c>
      <c r="T790" s="330"/>
      <c r="U790" s="330"/>
      <c r="V790" s="331"/>
      <c r="W790" s="344"/>
      <c r="X790" s="341"/>
      <c r="Y790" s="33" t="s">
        <v>2867</v>
      </c>
      <c r="Z790" s="258">
        <v>120362.0</v>
      </c>
      <c r="AA790" s="334">
        <v>11539.0</v>
      </c>
      <c r="AB790" s="341"/>
      <c r="AC790" s="341"/>
      <c r="AD790" s="343"/>
      <c r="AE790" s="331"/>
      <c r="AF790" s="348"/>
      <c r="AG790" s="337"/>
      <c r="AH790" s="341"/>
      <c r="AI790" s="341"/>
      <c r="AJ790" s="341"/>
      <c r="AK790" s="341"/>
      <c r="AL790" s="341"/>
      <c r="AM790" s="338"/>
      <c r="AN790" s="341"/>
      <c r="AO790" s="341"/>
      <c r="AP790" s="341"/>
      <c r="AQ790" s="341"/>
      <c r="AR790" s="341"/>
      <c r="AS790" s="341"/>
      <c r="AT790" s="341"/>
      <c r="AU790" s="343"/>
      <c r="AV790" s="341"/>
      <c r="AW790" s="269" t="s">
        <v>2043</v>
      </c>
      <c r="AX790" s="334" t="s">
        <v>2869</v>
      </c>
      <c r="AY790" s="270" t="s">
        <v>695</v>
      </c>
      <c r="AZ790" s="173" t="s">
        <v>2866</v>
      </c>
      <c r="BA790" s="265">
        <v>10.0</v>
      </c>
      <c r="BB790" s="174" t="s">
        <v>245</v>
      </c>
      <c r="BC790" s="341"/>
      <c r="BD790" s="308"/>
      <c r="BE790" s="347"/>
      <c r="BF790" s="274" t="str">
        <f>IFERROR(__xludf.DUMMYFUNCTION("LOWER(Regexreplace(to_text(E790),""[^A-Za-z0-9]"","""")&amp;""_""&amp;Regexreplace(to_text(F790),""[^A-Za-z0-9]"",""""))"),"neptronic_evcbseries")</f>
        <v>neptronic_evcbseries</v>
      </c>
      <c r="BG790" s="275" t="str">
        <f>IFERROR(__xludf.DUMMYFUNCTION("upper(Regexreplace(to_text(E790),""[^A-Za-z0-9]"","""")&amp;""-""&amp;Regexreplace(to_text(F790),""[^A-Za-z0-9]"",""""))"),"NEPTRONIC-EVCBSERIES")</f>
        <v>NEPTRONIC-EVCBSERIES</v>
      </c>
    </row>
    <row r="791" ht="30.0" customHeight="1">
      <c r="A791" s="173">
        <v>783.0</v>
      </c>
      <c r="B791" s="237" t="s">
        <v>670</v>
      </c>
      <c r="C791" s="257" t="s">
        <v>3931</v>
      </c>
      <c r="D791" s="173" t="s">
        <v>3931</v>
      </c>
      <c r="E791" s="174" t="s">
        <v>2861</v>
      </c>
      <c r="F791" s="173" t="s">
        <v>2862</v>
      </c>
      <c r="G791" s="328" t="s">
        <v>673</v>
      </c>
      <c r="H791" s="328" t="s">
        <v>2863</v>
      </c>
      <c r="I791" s="258" t="s">
        <v>2864</v>
      </c>
      <c r="J791" s="259" t="s">
        <v>902</v>
      </c>
      <c r="K791" s="260" t="s">
        <v>3932</v>
      </c>
      <c r="L791" s="328"/>
      <c r="M791" s="343"/>
      <c r="N791" s="173" t="s">
        <v>679</v>
      </c>
      <c r="O791" s="173" t="s">
        <v>225</v>
      </c>
      <c r="P791" s="262" t="str">
        <f t="shared" si="1"/>
        <v>IN-BLR-ANANTA-VAV-363_2</v>
      </c>
      <c r="Q791" s="173" t="s">
        <v>3933</v>
      </c>
      <c r="R791" s="328" t="str">
        <f>IFS(C791="","",C791="n/a","N/A",LEN(C791),Concatenate("{",char(34),"asset",char(34),":{",char(34),"guid",char(34),":",char(34),Q791,char(34),",",char(34),"site",char(34),":",char(34),LOWER('2-Building'!$B$4),char(34),",",char(34),"name",char(34),":",char(34),LOWER(C791),char(34),"}}"))</f>
        <v>{"asset":{"guid":"uuid://0eacf7ab-ab16-4d2e-9963-136654d5fe4e","site":"in-blr-ananta","name":"vav-363"}}</v>
      </c>
      <c r="S791" s="237" t="s">
        <v>2866</v>
      </c>
      <c r="T791" s="330"/>
      <c r="U791" s="330"/>
      <c r="V791" s="331"/>
      <c r="W791" s="344"/>
      <c r="X791" s="341"/>
      <c r="Y791" s="33" t="s">
        <v>2867</v>
      </c>
      <c r="Z791" s="258">
        <v>120363.0</v>
      </c>
      <c r="AA791" s="334">
        <v>11539.0</v>
      </c>
      <c r="AB791" s="341"/>
      <c r="AC791" s="341"/>
      <c r="AD791" s="343"/>
      <c r="AE791" s="331"/>
      <c r="AF791" s="348"/>
      <c r="AG791" s="337"/>
      <c r="AH791" s="341"/>
      <c r="AI791" s="341"/>
      <c r="AJ791" s="341"/>
      <c r="AK791" s="341"/>
      <c r="AL791" s="341"/>
      <c r="AM791" s="338"/>
      <c r="AN791" s="341"/>
      <c r="AO791" s="341"/>
      <c r="AP791" s="341"/>
      <c r="AQ791" s="341"/>
      <c r="AR791" s="341"/>
      <c r="AS791" s="341"/>
      <c r="AT791" s="341"/>
      <c r="AU791" s="343"/>
      <c r="AV791" s="341"/>
      <c r="AW791" s="269" t="s">
        <v>2043</v>
      </c>
      <c r="AX791" s="334" t="s">
        <v>2869</v>
      </c>
      <c r="AY791" s="270" t="s">
        <v>695</v>
      </c>
      <c r="AZ791" s="173" t="s">
        <v>2866</v>
      </c>
      <c r="BA791" s="265">
        <v>10.0</v>
      </c>
      <c r="BB791" s="174" t="s">
        <v>245</v>
      </c>
      <c r="BC791" s="341"/>
      <c r="BD791" s="308"/>
      <c r="BE791" s="347"/>
      <c r="BF791" s="274" t="str">
        <f>IFERROR(__xludf.DUMMYFUNCTION("LOWER(Regexreplace(to_text(E791),""[^A-Za-z0-9]"","""")&amp;""_""&amp;Regexreplace(to_text(F791),""[^A-Za-z0-9]"",""""))"),"neptronic_evcbseries")</f>
        <v>neptronic_evcbseries</v>
      </c>
      <c r="BG791" s="275" t="str">
        <f>IFERROR(__xludf.DUMMYFUNCTION("upper(Regexreplace(to_text(E791),""[^A-Za-z0-9]"","""")&amp;""-""&amp;Regexreplace(to_text(F791),""[^A-Za-z0-9]"",""""))"),"NEPTRONIC-EVCBSERIES")</f>
        <v>NEPTRONIC-EVCBSERIES</v>
      </c>
    </row>
    <row r="792" ht="30.0" customHeight="1">
      <c r="A792" s="258">
        <v>784.0</v>
      </c>
      <c r="B792" s="237" t="s">
        <v>670</v>
      </c>
      <c r="C792" s="257" t="s">
        <v>3934</v>
      </c>
      <c r="D792" s="173" t="s">
        <v>3934</v>
      </c>
      <c r="E792" s="174" t="s">
        <v>2861</v>
      </c>
      <c r="F792" s="173" t="s">
        <v>2862</v>
      </c>
      <c r="G792" s="328" t="s">
        <v>673</v>
      </c>
      <c r="H792" s="328" t="s">
        <v>2863</v>
      </c>
      <c r="I792" s="258" t="s">
        <v>2864</v>
      </c>
      <c r="J792" s="259" t="s">
        <v>902</v>
      </c>
      <c r="K792" s="260" t="s">
        <v>1675</v>
      </c>
      <c r="L792" s="328"/>
      <c r="M792" s="343"/>
      <c r="N792" s="173" t="s">
        <v>679</v>
      </c>
      <c r="O792" s="173" t="s">
        <v>225</v>
      </c>
      <c r="P792" s="262" t="str">
        <f t="shared" si="1"/>
        <v>IN-BLR-ANANTA-VAV-364_2</v>
      </c>
      <c r="Q792" s="173" t="s">
        <v>3935</v>
      </c>
      <c r="R792" s="328" t="str">
        <f>IFS(C792="","",C792="n/a","N/A",LEN(C792),Concatenate("{",char(34),"asset",char(34),":{",char(34),"guid",char(34),":",char(34),Q792,char(34),",",char(34),"site",char(34),":",char(34),LOWER('2-Building'!$B$4),char(34),",",char(34),"name",char(34),":",char(34),LOWER(C792),char(34),"}}"))</f>
        <v>{"asset":{"guid":"uuid://146f1227-bab8-4b51-929b-f63b14e42371","site":"in-blr-ananta","name":"vav-364"}}</v>
      </c>
      <c r="S792" s="237" t="s">
        <v>2866</v>
      </c>
      <c r="T792" s="330"/>
      <c r="U792" s="330"/>
      <c r="V792" s="331"/>
      <c r="W792" s="344"/>
      <c r="X792" s="341"/>
      <c r="Y792" s="33" t="s">
        <v>2867</v>
      </c>
      <c r="Z792" s="258">
        <v>120364.0</v>
      </c>
      <c r="AA792" s="334">
        <v>11540.0</v>
      </c>
      <c r="AB792" s="341"/>
      <c r="AC792" s="341"/>
      <c r="AD792" s="343"/>
      <c r="AE792" s="331"/>
      <c r="AF792" s="348"/>
      <c r="AG792" s="337"/>
      <c r="AH792" s="341"/>
      <c r="AI792" s="341"/>
      <c r="AJ792" s="341"/>
      <c r="AK792" s="341"/>
      <c r="AL792" s="341"/>
      <c r="AM792" s="338"/>
      <c r="AN792" s="341"/>
      <c r="AO792" s="341"/>
      <c r="AP792" s="341"/>
      <c r="AQ792" s="341"/>
      <c r="AR792" s="341"/>
      <c r="AS792" s="341"/>
      <c r="AT792" s="341"/>
      <c r="AU792" s="343"/>
      <c r="AV792" s="341"/>
      <c r="AW792" s="269" t="s">
        <v>2063</v>
      </c>
      <c r="AX792" s="334" t="s">
        <v>2869</v>
      </c>
      <c r="AY792" s="270" t="s">
        <v>695</v>
      </c>
      <c r="AZ792" s="173" t="s">
        <v>2866</v>
      </c>
      <c r="BA792" s="265">
        <v>10.0</v>
      </c>
      <c r="BB792" s="174" t="s">
        <v>245</v>
      </c>
      <c r="BC792" s="341"/>
      <c r="BD792" s="308"/>
      <c r="BE792" s="347"/>
      <c r="BF792" s="274" t="str">
        <f>IFERROR(__xludf.DUMMYFUNCTION("LOWER(Regexreplace(to_text(E792),""[^A-Za-z0-9]"","""")&amp;""_""&amp;Regexreplace(to_text(F792),""[^A-Za-z0-9]"",""""))"),"neptronic_evcbseries")</f>
        <v>neptronic_evcbseries</v>
      </c>
      <c r="BG792" s="275" t="str">
        <f>IFERROR(__xludf.DUMMYFUNCTION("upper(Regexreplace(to_text(E792),""[^A-Za-z0-9]"","""")&amp;""-""&amp;Regexreplace(to_text(F792),""[^A-Za-z0-9]"",""""))"),"NEPTRONIC-EVCBSERIES")</f>
        <v>NEPTRONIC-EVCBSERIES</v>
      </c>
    </row>
    <row r="793" ht="30.0" customHeight="1">
      <c r="A793" s="173">
        <v>785.0</v>
      </c>
      <c r="B793" s="237" t="s">
        <v>670</v>
      </c>
      <c r="C793" s="257" t="s">
        <v>3936</v>
      </c>
      <c r="D793" s="173" t="s">
        <v>3936</v>
      </c>
      <c r="E793" s="174" t="s">
        <v>2861</v>
      </c>
      <c r="F793" s="173" t="s">
        <v>2862</v>
      </c>
      <c r="G793" s="328" t="s">
        <v>673</v>
      </c>
      <c r="H793" s="328" t="s">
        <v>2863</v>
      </c>
      <c r="I793" s="258" t="s">
        <v>2864</v>
      </c>
      <c r="J793" s="259" t="s">
        <v>902</v>
      </c>
      <c r="K793" s="260" t="s">
        <v>3937</v>
      </c>
      <c r="L793" s="328"/>
      <c r="M793" s="343"/>
      <c r="N793" s="173" t="s">
        <v>679</v>
      </c>
      <c r="O793" s="173" t="s">
        <v>225</v>
      </c>
      <c r="P793" s="262" t="str">
        <f t="shared" si="1"/>
        <v>IN-BLR-ANANTA-VAV-365_2</v>
      </c>
      <c r="Q793" s="173" t="s">
        <v>3938</v>
      </c>
      <c r="R793" s="328" t="str">
        <f>IFS(C793="","",C793="n/a","N/A",LEN(C793),Concatenate("{",char(34),"asset",char(34),":{",char(34),"guid",char(34),":",char(34),Q793,char(34),",",char(34),"site",char(34),":",char(34),LOWER('2-Building'!$B$4),char(34),",",char(34),"name",char(34),":",char(34),LOWER(C793),char(34),"}}"))</f>
        <v>{"asset":{"guid":"uuid://a5e7cc09-7f82-4c77-86b9-3d1c859a934a","site":"in-blr-ananta","name":"vav-365"}}</v>
      </c>
      <c r="S793" s="237" t="s">
        <v>2866</v>
      </c>
      <c r="T793" s="330"/>
      <c r="U793" s="330"/>
      <c r="V793" s="331"/>
      <c r="W793" s="344"/>
      <c r="X793" s="341"/>
      <c r="Y793" s="33" t="s">
        <v>2867</v>
      </c>
      <c r="Z793" s="258">
        <v>120365.0</v>
      </c>
      <c r="AA793" s="334">
        <v>11540.0</v>
      </c>
      <c r="AB793" s="341"/>
      <c r="AC793" s="341"/>
      <c r="AD793" s="343"/>
      <c r="AE793" s="331"/>
      <c r="AF793" s="348"/>
      <c r="AG793" s="337"/>
      <c r="AH793" s="341"/>
      <c r="AI793" s="341"/>
      <c r="AJ793" s="341"/>
      <c r="AK793" s="341"/>
      <c r="AL793" s="341"/>
      <c r="AM793" s="338"/>
      <c r="AN793" s="341"/>
      <c r="AO793" s="341"/>
      <c r="AP793" s="341"/>
      <c r="AQ793" s="341"/>
      <c r="AR793" s="341"/>
      <c r="AS793" s="341"/>
      <c r="AT793" s="341"/>
      <c r="AU793" s="343"/>
      <c r="AV793" s="341"/>
      <c r="AW793" s="269" t="s">
        <v>2063</v>
      </c>
      <c r="AX793" s="334" t="s">
        <v>2869</v>
      </c>
      <c r="AY793" s="270" t="s">
        <v>695</v>
      </c>
      <c r="AZ793" s="173" t="s">
        <v>2866</v>
      </c>
      <c r="BA793" s="265">
        <v>10.0</v>
      </c>
      <c r="BB793" s="174" t="s">
        <v>245</v>
      </c>
      <c r="BC793" s="341"/>
      <c r="BD793" s="308"/>
      <c r="BE793" s="347"/>
      <c r="BF793" s="274" t="str">
        <f>IFERROR(__xludf.DUMMYFUNCTION("LOWER(Regexreplace(to_text(E793),""[^A-Za-z0-9]"","""")&amp;""_""&amp;Regexreplace(to_text(F793),""[^A-Za-z0-9]"",""""))"),"neptronic_evcbseries")</f>
        <v>neptronic_evcbseries</v>
      </c>
      <c r="BG793" s="275" t="str">
        <f>IFERROR(__xludf.DUMMYFUNCTION("upper(Regexreplace(to_text(E793),""[^A-Za-z0-9]"","""")&amp;""-""&amp;Regexreplace(to_text(F793),""[^A-Za-z0-9]"",""""))"),"NEPTRONIC-EVCBSERIES")</f>
        <v>NEPTRONIC-EVCBSERIES</v>
      </c>
    </row>
    <row r="794" ht="30.0" customHeight="1">
      <c r="A794" s="258">
        <v>786.0</v>
      </c>
      <c r="B794" s="237" t="s">
        <v>670</v>
      </c>
      <c r="C794" s="257" t="s">
        <v>3939</v>
      </c>
      <c r="D794" s="173" t="s">
        <v>3939</v>
      </c>
      <c r="E794" s="174" t="s">
        <v>2861</v>
      </c>
      <c r="F794" s="173" t="s">
        <v>2862</v>
      </c>
      <c r="G794" s="328" t="s">
        <v>673</v>
      </c>
      <c r="H794" s="328" t="s">
        <v>2863</v>
      </c>
      <c r="I794" s="258" t="s">
        <v>2864</v>
      </c>
      <c r="J794" s="259" t="s">
        <v>902</v>
      </c>
      <c r="K794" s="260" t="s">
        <v>3940</v>
      </c>
      <c r="L794" s="328"/>
      <c r="M794" s="343"/>
      <c r="N794" s="173" t="s">
        <v>679</v>
      </c>
      <c r="O794" s="173" t="s">
        <v>225</v>
      </c>
      <c r="P794" s="262" t="str">
        <f t="shared" si="1"/>
        <v>IN-BLR-ANANTA-VAV-366_2</v>
      </c>
      <c r="Q794" s="173" t="s">
        <v>3941</v>
      </c>
      <c r="R794" s="328" t="str">
        <f>IFS(C794="","",C794="n/a","N/A",LEN(C794),Concatenate("{",char(34),"asset",char(34),":{",char(34),"guid",char(34),":",char(34),Q794,char(34),",",char(34),"site",char(34),":",char(34),LOWER('2-Building'!$B$4),char(34),",",char(34),"name",char(34),":",char(34),LOWER(C794),char(34),"}}"))</f>
        <v>{"asset":{"guid":"uuid://cc38ad5a-c25a-4aff-9664-42aa1be36519","site":"in-blr-ananta","name":"vav-366"}}</v>
      </c>
      <c r="S794" s="237" t="s">
        <v>2866</v>
      </c>
      <c r="T794" s="330"/>
      <c r="U794" s="330"/>
      <c r="V794" s="331"/>
      <c r="W794" s="344"/>
      <c r="X794" s="341"/>
      <c r="Y794" s="33" t="s">
        <v>2867</v>
      </c>
      <c r="Z794" s="258">
        <v>120366.0</v>
      </c>
      <c r="AA794" s="334">
        <v>11540.0</v>
      </c>
      <c r="AB794" s="341"/>
      <c r="AC794" s="341"/>
      <c r="AD794" s="343"/>
      <c r="AE794" s="331"/>
      <c r="AF794" s="348"/>
      <c r="AG794" s="337"/>
      <c r="AH794" s="341"/>
      <c r="AI794" s="341"/>
      <c r="AJ794" s="341"/>
      <c r="AK794" s="341"/>
      <c r="AL794" s="341"/>
      <c r="AM794" s="338"/>
      <c r="AN794" s="341"/>
      <c r="AO794" s="341"/>
      <c r="AP794" s="341"/>
      <c r="AQ794" s="341"/>
      <c r="AR794" s="341"/>
      <c r="AS794" s="341"/>
      <c r="AT794" s="341"/>
      <c r="AU794" s="343"/>
      <c r="AV794" s="341"/>
      <c r="AW794" s="269" t="s">
        <v>2063</v>
      </c>
      <c r="AX794" s="334" t="s">
        <v>2869</v>
      </c>
      <c r="AY794" s="270" t="s">
        <v>695</v>
      </c>
      <c r="AZ794" s="173" t="s">
        <v>2866</v>
      </c>
      <c r="BA794" s="265">
        <v>10.0</v>
      </c>
      <c r="BB794" s="174" t="s">
        <v>245</v>
      </c>
      <c r="BC794" s="341"/>
      <c r="BD794" s="308"/>
      <c r="BE794" s="347"/>
      <c r="BF794" s="274" t="str">
        <f>IFERROR(__xludf.DUMMYFUNCTION("LOWER(Regexreplace(to_text(E794),""[^A-Za-z0-9]"","""")&amp;""_""&amp;Regexreplace(to_text(F794),""[^A-Za-z0-9]"",""""))"),"neptronic_evcbseries")</f>
        <v>neptronic_evcbseries</v>
      </c>
      <c r="BG794" s="275" t="str">
        <f>IFERROR(__xludf.DUMMYFUNCTION("upper(Regexreplace(to_text(E794),""[^A-Za-z0-9]"","""")&amp;""-""&amp;Regexreplace(to_text(F794),""[^A-Za-z0-9]"",""""))"),"NEPTRONIC-EVCBSERIES")</f>
        <v>NEPTRONIC-EVCBSERIES</v>
      </c>
    </row>
    <row r="795" ht="30.0" customHeight="1">
      <c r="A795" s="173">
        <v>787.0</v>
      </c>
      <c r="B795" s="237" t="s">
        <v>670</v>
      </c>
      <c r="C795" s="257" t="s">
        <v>3942</v>
      </c>
      <c r="D795" s="173" t="s">
        <v>3942</v>
      </c>
      <c r="E795" s="174" t="s">
        <v>2861</v>
      </c>
      <c r="F795" s="173" t="s">
        <v>2862</v>
      </c>
      <c r="G795" s="328" t="s">
        <v>673</v>
      </c>
      <c r="H795" s="328" t="s">
        <v>2863</v>
      </c>
      <c r="I795" s="258" t="s">
        <v>2864</v>
      </c>
      <c r="J795" s="259" t="s">
        <v>902</v>
      </c>
      <c r="K795" s="260" t="s">
        <v>3629</v>
      </c>
      <c r="L795" s="328"/>
      <c r="M795" s="343"/>
      <c r="N795" s="173" t="s">
        <v>679</v>
      </c>
      <c r="O795" s="173" t="s">
        <v>225</v>
      </c>
      <c r="P795" s="262" t="str">
        <f t="shared" si="1"/>
        <v>IN-BLR-ANANTA-VAV-367_2</v>
      </c>
      <c r="Q795" s="173" t="s">
        <v>3943</v>
      </c>
      <c r="R795" s="328" t="str">
        <f>IFS(C795="","",C795="n/a","N/A",LEN(C795),Concatenate("{",char(34),"asset",char(34),":{",char(34),"guid",char(34),":",char(34),Q795,char(34),",",char(34),"site",char(34),":",char(34),LOWER('2-Building'!$B$4),char(34),",",char(34),"name",char(34),":",char(34),LOWER(C795),char(34),"}}"))</f>
        <v>{"asset":{"guid":"uuid://b9194166-59eb-4ec9-8b42-44d43cb5cfb3","site":"in-blr-ananta","name":"vav-367"}}</v>
      </c>
      <c r="S795" s="237" t="s">
        <v>2866</v>
      </c>
      <c r="T795" s="330"/>
      <c r="U795" s="330"/>
      <c r="V795" s="331"/>
      <c r="W795" s="344"/>
      <c r="X795" s="341"/>
      <c r="Y795" s="33" t="s">
        <v>2867</v>
      </c>
      <c r="Z795" s="258">
        <v>120367.0</v>
      </c>
      <c r="AA795" s="334">
        <v>11540.0</v>
      </c>
      <c r="AB795" s="341"/>
      <c r="AC795" s="341"/>
      <c r="AD795" s="343"/>
      <c r="AE795" s="331"/>
      <c r="AF795" s="348"/>
      <c r="AG795" s="337"/>
      <c r="AH795" s="341"/>
      <c r="AI795" s="341"/>
      <c r="AJ795" s="341"/>
      <c r="AK795" s="341"/>
      <c r="AL795" s="341"/>
      <c r="AM795" s="338"/>
      <c r="AN795" s="341"/>
      <c r="AO795" s="341"/>
      <c r="AP795" s="341"/>
      <c r="AQ795" s="341"/>
      <c r="AR795" s="341"/>
      <c r="AS795" s="341"/>
      <c r="AT795" s="341"/>
      <c r="AU795" s="343"/>
      <c r="AV795" s="341"/>
      <c r="AW795" s="269" t="s">
        <v>2063</v>
      </c>
      <c r="AX795" s="334" t="s">
        <v>2869</v>
      </c>
      <c r="AY795" s="270" t="s">
        <v>695</v>
      </c>
      <c r="AZ795" s="173" t="s">
        <v>2866</v>
      </c>
      <c r="BA795" s="265">
        <v>10.0</v>
      </c>
      <c r="BB795" s="174" t="s">
        <v>245</v>
      </c>
      <c r="BC795" s="341"/>
      <c r="BD795" s="308"/>
      <c r="BE795" s="347"/>
      <c r="BF795" s="274" t="str">
        <f>IFERROR(__xludf.DUMMYFUNCTION("LOWER(Regexreplace(to_text(E795),""[^A-Za-z0-9]"","""")&amp;""_""&amp;Regexreplace(to_text(F795),""[^A-Za-z0-9]"",""""))"),"neptronic_evcbseries")</f>
        <v>neptronic_evcbseries</v>
      </c>
      <c r="BG795" s="275" t="str">
        <f>IFERROR(__xludf.DUMMYFUNCTION("upper(Regexreplace(to_text(E795),""[^A-Za-z0-9]"","""")&amp;""-""&amp;Regexreplace(to_text(F795),""[^A-Za-z0-9]"",""""))"),"NEPTRONIC-EVCBSERIES")</f>
        <v>NEPTRONIC-EVCBSERIES</v>
      </c>
    </row>
    <row r="796" ht="30.0" customHeight="1">
      <c r="A796" s="258">
        <v>788.0</v>
      </c>
      <c r="B796" s="237" t="s">
        <v>670</v>
      </c>
      <c r="C796" s="257" t="s">
        <v>3944</v>
      </c>
      <c r="D796" s="173" t="s">
        <v>3944</v>
      </c>
      <c r="E796" s="174" t="s">
        <v>2861</v>
      </c>
      <c r="F796" s="173" t="s">
        <v>2862</v>
      </c>
      <c r="G796" s="328" t="s">
        <v>673</v>
      </c>
      <c r="H796" s="328" t="s">
        <v>2863</v>
      </c>
      <c r="I796" s="258" t="s">
        <v>2864</v>
      </c>
      <c r="J796" s="259" t="s">
        <v>902</v>
      </c>
      <c r="K796" s="260" t="s">
        <v>3945</v>
      </c>
      <c r="L796" s="328"/>
      <c r="M796" s="343"/>
      <c r="N796" s="173" t="s">
        <v>679</v>
      </c>
      <c r="O796" s="173" t="s">
        <v>225</v>
      </c>
      <c r="P796" s="262" t="str">
        <f t="shared" si="1"/>
        <v>IN-BLR-ANANTA-VAV-368_2</v>
      </c>
      <c r="Q796" s="173" t="s">
        <v>3946</v>
      </c>
      <c r="R796" s="328" t="str">
        <f>IFS(C796="","",C796="n/a","N/A",LEN(C796),Concatenate("{",char(34),"asset",char(34),":{",char(34),"guid",char(34),":",char(34),Q796,char(34),",",char(34),"site",char(34),":",char(34),LOWER('2-Building'!$B$4),char(34),",",char(34),"name",char(34),":",char(34),LOWER(C796),char(34),"}}"))</f>
        <v>{"asset":{"guid":"uuid://ea241a67-05fe-43de-a812-e06ec53a460e","site":"in-blr-ananta","name":"vav-368"}}</v>
      </c>
      <c r="S796" s="237" t="s">
        <v>2866</v>
      </c>
      <c r="T796" s="330"/>
      <c r="U796" s="330"/>
      <c r="V796" s="331"/>
      <c r="W796" s="344"/>
      <c r="X796" s="341"/>
      <c r="Y796" s="33" t="s">
        <v>2867</v>
      </c>
      <c r="Z796" s="258">
        <v>120368.0</v>
      </c>
      <c r="AA796" s="334">
        <v>11540.0</v>
      </c>
      <c r="AB796" s="341"/>
      <c r="AC796" s="341"/>
      <c r="AD796" s="343"/>
      <c r="AE796" s="331"/>
      <c r="AF796" s="348"/>
      <c r="AG796" s="337"/>
      <c r="AH796" s="341"/>
      <c r="AI796" s="341"/>
      <c r="AJ796" s="341"/>
      <c r="AK796" s="341"/>
      <c r="AL796" s="341"/>
      <c r="AM796" s="338"/>
      <c r="AN796" s="341"/>
      <c r="AO796" s="341"/>
      <c r="AP796" s="341"/>
      <c r="AQ796" s="341"/>
      <c r="AR796" s="341"/>
      <c r="AS796" s="341"/>
      <c r="AT796" s="341"/>
      <c r="AU796" s="343"/>
      <c r="AV796" s="341"/>
      <c r="AW796" s="269" t="s">
        <v>2063</v>
      </c>
      <c r="AX796" s="334" t="s">
        <v>2869</v>
      </c>
      <c r="AY796" s="270" t="s">
        <v>695</v>
      </c>
      <c r="AZ796" s="173" t="s">
        <v>2866</v>
      </c>
      <c r="BA796" s="265">
        <v>10.0</v>
      </c>
      <c r="BB796" s="174" t="s">
        <v>245</v>
      </c>
      <c r="BC796" s="341"/>
      <c r="BD796" s="308"/>
      <c r="BE796" s="347"/>
      <c r="BF796" s="274" t="str">
        <f>IFERROR(__xludf.DUMMYFUNCTION("LOWER(Regexreplace(to_text(E796),""[^A-Za-z0-9]"","""")&amp;""_""&amp;Regexreplace(to_text(F796),""[^A-Za-z0-9]"",""""))"),"neptronic_evcbseries")</f>
        <v>neptronic_evcbseries</v>
      </c>
      <c r="BG796" s="275" t="str">
        <f>IFERROR(__xludf.DUMMYFUNCTION("upper(Regexreplace(to_text(E796),""[^A-Za-z0-9]"","""")&amp;""-""&amp;Regexreplace(to_text(F796),""[^A-Za-z0-9]"",""""))"),"NEPTRONIC-EVCBSERIES")</f>
        <v>NEPTRONIC-EVCBSERIES</v>
      </c>
    </row>
    <row r="797" ht="30.0" customHeight="1">
      <c r="A797" s="173">
        <v>789.0</v>
      </c>
      <c r="B797" s="237" t="s">
        <v>670</v>
      </c>
      <c r="C797" s="257" t="s">
        <v>3947</v>
      </c>
      <c r="D797" s="173" t="s">
        <v>3947</v>
      </c>
      <c r="E797" s="174" t="s">
        <v>2861</v>
      </c>
      <c r="F797" s="173" t="s">
        <v>2862</v>
      </c>
      <c r="G797" s="328" t="s">
        <v>673</v>
      </c>
      <c r="H797" s="328" t="s">
        <v>2863</v>
      </c>
      <c r="I797" s="258" t="s">
        <v>2864</v>
      </c>
      <c r="J797" s="259" t="s">
        <v>902</v>
      </c>
      <c r="K797" s="260" t="s">
        <v>3948</v>
      </c>
      <c r="L797" s="328"/>
      <c r="M797" s="343"/>
      <c r="N797" s="173" t="s">
        <v>679</v>
      </c>
      <c r="O797" s="173" t="s">
        <v>225</v>
      </c>
      <c r="P797" s="262" t="str">
        <f t="shared" si="1"/>
        <v>IN-BLR-ANANTA-VAV-369_2</v>
      </c>
      <c r="Q797" s="173" t="s">
        <v>3949</v>
      </c>
      <c r="R797" s="328" t="str">
        <f>IFS(C797="","",C797="n/a","N/A",LEN(C797),Concatenate("{",char(34),"asset",char(34),":{",char(34),"guid",char(34),":",char(34),Q797,char(34),",",char(34),"site",char(34),":",char(34),LOWER('2-Building'!$B$4),char(34),",",char(34),"name",char(34),":",char(34),LOWER(C797),char(34),"}}"))</f>
        <v>{"asset":{"guid":"uuid://4f061c78-6581-48dd-8d59-882c829413e7","site":"in-blr-ananta","name":"vav-369"}}</v>
      </c>
      <c r="S797" s="237" t="s">
        <v>2866</v>
      </c>
      <c r="T797" s="330"/>
      <c r="U797" s="330"/>
      <c r="V797" s="331"/>
      <c r="W797" s="344"/>
      <c r="X797" s="341"/>
      <c r="Y797" s="33" t="s">
        <v>2867</v>
      </c>
      <c r="Z797" s="258">
        <v>120369.0</v>
      </c>
      <c r="AA797" s="334">
        <v>11540.0</v>
      </c>
      <c r="AB797" s="341"/>
      <c r="AC797" s="341"/>
      <c r="AD797" s="343"/>
      <c r="AE797" s="331"/>
      <c r="AF797" s="348"/>
      <c r="AG797" s="337"/>
      <c r="AH797" s="341"/>
      <c r="AI797" s="341"/>
      <c r="AJ797" s="341"/>
      <c r="AK797" s="341"/>
      <c r="AL797" s="341"/>
      <c r="AM797" s="338"/>
      <c r="AN797" s="341"/>
      <c r="AO797" s="341"/>
      <c r="AP797" s="341"/>
      <c r="AQ797" s="341"/>
      <c r="AR797" s="341"/>
      <c r="AS797" s="341"/>
      <c r="AT797" s="341"/>
      <c r="AU797" s="343"/>
      <c r="AV797" s="341"/>
      <c r="AW797" s="269" t="s">
        <v>2063</v>
      </c>
      <c r="AX797" s="334" t="s">
        <v>2869</v>
      </c>
      <c r="AY797" s="270" t="s">
        <v>695</v>
      </c>
      <c r="AZ797" s="173" t="s">
        <v>2866</v>
      </c>
      <c r="BA797" s="265">
        <v>10.0</v>
      </c>
      <c r="BB797" s="174" t="s">
        <v>245</v>
      </c>
      <c r="BC797" s="341"/>
      <c r="BD797" s="308"/>
      <c r="BE797" s="347"/>
      <c r="BF797" s="274" t="str">
        <f>IFERROR(__xludf.DUMMYFUNCTION("LOWER(Regexreplace(to_text(E797),""[^A-Za-z0-9]"","""")&amp;""_""&amp;Regexreplace(to_text(F797),""[^A-Za-z0-9]"",""""))"),"neptronic_evcbseries")</f>
        <v>neptronic_evcbseries</v>
      </c>
      <c r="BG797" s="275" t="str">
        <f>IFERROR(__xludf.DUMMYFUNCTION("upper(Regexreplace(to_text(E797),""[^A-Za-z0-9]"","""")&amp;""-""&amp;Regexreplace(to_text(F797),""[^A-Za-z0-9]"",""""))"),"NEPTRONIC-EVCBSERIES")</f>
        <v>NEPTRONIC-EVCBSERIES</v>
      </c>
    </row>
    <row r="798" ht="30.0" customHeight="1">
      <c r="A798" s="258">
        <v>790.0</v>
      </c>
      <c r="B798" s="237" t="s">
        <v>670</v>
      </c>
      <c r="C798" s="257" t="s">
        <v>3950</v>
      </c>
      <c r="D798" s="173" t="s">
        <v>3950</v>
      </c>
      <c r="E798" s="174" t="s">
        <v>2861</v>
      </c>
      <c r="F798" s="173" t="s">
        <v>2862</v>
      </c>
      <c r="G798" s="328" t="s">
        <v>673</v>
      </c>
      <c r="H798" s="328" t="s">
        <v>2863</v>
      </c>
      <c r="I798" s="258" t="s">
        <v>2864</v>
      </c>
      <c r="J798" s="259" t="s">
        <v>902</v>
      </c>
      <c r="K798" s="260" t="s">
        <v>3951</v>
      </c>
      <c r="L798" s="328"/>
      <c r="M798" s="343"/>
      <c r="N798" s="173" t="s">
        <v>679</v>
      </c>
      <c r="O798" s="173" t="s">
        <v>225</v>
      </c>
      <c r="P798" s="262" t="str">
        <f t="shared" si="1"/>
        <v>IN-BLR-ANANTA-VAV-370_2</v>
      </c>
      <c r="Q798" s="173" t="s">
        <v>3952</v>
      </c>
      <c r="R798" s="328" t="str">
        <f>IFS(C798="","",C798="n/a","N/A",LEN(C798),Concatenate("{",char(34),"asset",char(34),":{",char(34),"guid",char(34),":",char(34),Q798,char(34),",",char(34),"site",char(34),":",char(34),LOWER('2-Building'!$B$4),char(34),",",char(34),"name",char(34),":",char(34),LOWER(C798),char(34),"}}"))</f>
        <v>{"asset":{"guid":"uuid://64770d50-ebd3-4a45-a780-d98669e7d485","site":"in-blr-ananta","name":"vav-370"}}</v>
      </c>
      <c r="S798" s="237" t="s">
        <v>2866</v>
      </c>
      <c r="T798" s="330"/>
      <c r="U798" s="330"/>
      <c r="V798" s="331"/>
      <c r="W798" s="344"/>
      <c r="X798" s="341"/>
      <c r="Y798" s="33" t="s">
        <v>2867</v>
      </c>
      <c r="Z798" s="258">
        <v>120370.0</v>
      </c>
      <c r="AA798" s="334">
        <v>11540.0</v>
      </c>
      <c r="AB798" s="341"/>
      <c r="AC798" s="341"/>
      <c r="AD798" s="343"/>
      <c r="AE798" s="331"/>
      <c r="AF798" s="348"/>
      <c r="AG798" s="337"/>
      <c r="AH798" s="341"/>
      <c r="AI798" s="341"/>
      <c r="AJ798" s="341"/>
      <c r="AK798" s="341"/>
      <c r="AL798" s="341"/>
      <c r="AM798" s="338"/>
      <c r="AN798" s="341"/>
      <c r="AO798" s="341"/>
      <c r="AP798" s="341"/>
      <c r="AQ798" s="341"/>
      <c r="AR798" s="341"/>
      <c r="AS798" s="341"/>
      <c r="AT798" s="341"/>
      <c r="AU798" s="343"/>
      <c r="AV798" s="341"/>
      <c r="AW798" s="269" t="s">
        <v>2063</v>
      </c>
      <c r="AX798" s="334" t="s">
        <v>2869</v>
      </c>
      <c r="AY798" s="270" t="s">
        <v>695</v>
      </c>
      <c r="AZ798" s="173" t="s">
        <v>2866</v>
      </c>
      <c r="BA798" s="265">
        <v>10.0</v>
      </c>
      <c r="BB798" s="174" t="s">
        <v>245</v>
      </c>
      <c r="BC798" s="341"/>
      <c r="BD798" s="308"/>
      <c r="BE798" s="347"/>
      <c r="BF798" s="274" t="str">
        <f>IFERROR(__xludf.DUMMYFUNCTION("LOWER(Regexreplace(to_text(E798),""[^A-Za-z0-9]"","""")&amp;""_""&amp;Regexreplace(to_text(F798),""[^A-Za-z0-9]"",""""))"),"neptronic_evcbseries")</f>
        <v>neptronic_evcbseries</v>
      </c>
      <c r="BG798" s="275" t="str">
        <f>IFERROR(__xludf.DUMMYFUNCTION("upper(Regexreplace(to_text(E798),""[^A-Za-z0-9]"","""")&amp;""-""&amp;Regexreplace(to_text(F798),""[^A-Za-z0-9]"",""""))"),"NEPTRONIC-EVCBSERIES")</f>
        <v>NEPTRONIC-EVCBSERIES</v>
      </c>
    </row>
    <row r="799" ht="30.0" customHeight="1">
      <c r="A799" s="173">
        <v>791.0</v>
      </c>
      <c r="B799" s="237" t="s">
        <v>670</v>
      </c>
      <c r="C799" s="257" t="s">
        <v>3953</v>
      </c>
      <c r="D799" s="173" t="s">
        <v>3953</v>
      </c>
      <c r="E799" s="174" t="s">
        <v>2861</v>
      </c>
      <c r="F799" s="173" t="s">
        <v>2862</v>
      </c>
      <c r="G799" s="328" t="s">
        <v>673</v>
      </c>
      <c r="H799" s="328" t="s">
        <v>2863</v>
      </c>
      <c r="I799" s="258" t="s">
        <v>2864</v>
      </c>
      <c r="J799" s="259" t="s">
        <v>902</v>
      </c>
      <c r="K799" s="260" t="s">
        <v>3954</v>
      </c>
      <c r="L799" s="328"/>
      <c r="M799" s="343"/>
      <c r="N799" s="173" t="s">
        <v>679</v>
      </c>
      <c r="O799" s="173" t="s">
        <v>225</v>
      </c>
      <c r="P799" s="262" t="str">
        <f t="shared" si="1"/>
        <v>IN-BLR-ANANTA-VAV-371_2</v>
      </c>
      <c r="Q799" s="173" t="s">
        <v>3955</v>
      </c>
      <c r="R799" s="328" t="str">
        <f>IFS(C799="","",C799="n/a","N/A",LEN(C799),Concatenate("{",char(34),"asset",char(34),":{",char(34),"guid",char(34),":",char(34),Q799,char(34),",",char(34),"site",char(34),":",char(34),LOWER('2-Building'!$B$4),char(34),",",char(34),"name",char(34),":",char(34),LOWER(C799),char(34),"}}"))</f>
        <v>{"asset":{"guid":"uuid://5e30ef18-f49b-4a80-a43c-07e51260c9d1","site":"in-blr-ananta","name":"vav-371"}}</v>
      </c>
      <c r="S799" s="237" t="s">
        <v>2866</v>
      </c>
      <c r="T799" s="330"/>
      <c r="U799" s="330"/>
      <c r="V799" s="331"/>
      <c r="W799" s="344"/>
      <c r="X799" s="341"/>
      <c r="Y799" s="33" t="s">
        <v>2867</v>
      </c>
      <c r="Z799" s="258">
        <v>120371.0</v>
      </c>
      <c r="AA799" s="334">
        <v>11540.0</v>
      </c>
      <c r="AB799" s="341"/>
      <c r="AC799" s="341"/>
      <c r="AD799" s="343"/>
      <c r="AE799" s="331"/>
      <c r="AF799" s="348"/>
      <c r="AG799" s="337"/>
      <c r="AH799" s="341"/>
      <c r="AI799" s="341"/>
      <c r="AJ799" s="341"/>
      <c r="AK799" s="341"/>
      <c r="AL799" s="341"/>
      <c r="AM799" s="338"/>
      <c r="AN799" s="341"/>
      <c r="AO799" s="341"/>
      <c r="AP799" s="341"/>
      <c r="AQ799" s="341"/>
      <c r="AR799" s="341"/>
      <c r="AS799" s="341"/>
      <c r="AT799" s="341"/>
      <c r="AU799" s="343"/>
      <c r="AV799" s="341"/>
      <c r="AW799" s="269" t="s">
        <v>2063</v>
      </c>
      <c r="AX799" s="334" t="s">
        <v>2869</v>
      </c>
      <c r="AY799" s="270" t="s">
        <v>695</v>
      </c>
      <c r="AZ799" s="173" t="s">
        <v>2866</v>
      </c>
      <c r="BA799" s="265">
        <v>10.0</v>
      </c>
      <c r="BB799" s="174" t="s">
        <v>245</v>
      </c>
      <c r="BC799" s="341"/>
      <c r="BD799" s="308"/>
      <c r="BE799" s="347"/>
      <c r="BF799" s="274" t="str">
        <f>IFERROR(__xludf.DUMMYFUNCTION("LOWER(Regexreplace(to_text(E799),""[^A-Za-z0-9]"","""")&amp;""_""&amp;Regexreplace(to_text(F799),""[^A-Za-z0-9]"",""""))"),"neptronic_evcbseries")</f>
        <v>neptronic_evcbseries</v>
      </c>
      <c r="BG799" s="275" t="str">
        <f>IFERROR(__xludf.DUMMYFUNCTION("upper(Regexreplace(to_text(E799),""[^A-Za-z0-9]"","""")&amp;""-""&amp;Regexreplace(to_text(F799),""[^A-Za-z0-9]"",""""))"),"NEPTRONIC-EVCBSERIES")</f>
        <v>NEPTRONIC-EVCBSERIES</v>
      </c>
    </row>
    <row r="800" ht="30.0" customHeight="1">
      <c r="A800" s="258">
        <v>792.0</v>
      </c>
      <c r="B800" s="237" t="s">
        <v>670</v>
      </c>
      <c r="C800" s="257" t="s">
        <v>3956</v>
      </c>
      <c r="D800" s="173" t="s">
        <v>3956</v>
      </c>
      <c r="E800" s="174" t="s">
        <v>2861</v>
      </c>
      <c r="F800" s="173" t="s">
        <v>2862</v>
      </c>
      <c r="G800" s="328" t="s">
        <v>673</v>
      </c>
      <c r="H800" s="328" t="s">
        <v>2863</v>
      </c>
      <c r="I800" s="258" t="s">
        <v>2864</v>
      </c>
      <c r="J800" s="259" t="s">
        <v>902</v>
      </c>
      <c r="K800" s="260" t="s">
        <v>3957</v>
      </c>
      <c r="L800" s="328"/>
      <c r="M800" s="343"/>
      <c r="N800" s="173" t="s">
        <v>679</v>
      </c>
      <c r="O800" s="173" t="s">
        <v>225</v>
      </c>
      <c r="P800" s="262" t="str">
        <f t="shared" si="1"/>
        <v>IN-BLR-ANANTA-VAV-372_2</v>
      </c>
      <c r="Q800" s="173" t="s">
        <v>3958</v>
      </c>
      <c r="R800" s="328" t="str">
        <f>IFS(C800="","",C800="n/a","N/A",LEN(C800),Concatenate("{",char(34),"asset",char(34),":{",char(34),"guid",char(34),":",char(34),Q800,char(34),",",char(34),"site",char(34),":",char(34),LOWER('2-Building'!$B$4),char(34),",",char(34),"name",char(34),":",char(34),LOWER(C800),char(34),"}}"))</f>
        <v>{"asset":{"guid":"uuid://45fe3998-2bcf-4640-ac3c-cb124d6375dd","site":"in-blr-ananta","name":"vav-372"}}</v>
      </c>
      <c r="S800" s="237" t="s">
        <v>2866</v>
      </c>
      <c r="T800" s="330"/>
      <c r="U800" s="330"/>
      <c r="V800" s="331"/>
      <c r="W800" s="344"/>
      <c r="X800" s="341"/>
      <c r="Y800" s="33" t="s">
        <v>2867</v>
      </c>
      <c r="Z800" s="258">
        <v>120372.0</v>
      </c>
      <c r="AA800" s="334">
        <v>11540.0</v>
      </c>
      <c r="AB800" s="341"/>
      <c r="AC800" s="341"/>
      <c r="AD800" s="343"/>
      <c r="AE800" s="331"/>
      <c r="AF800" s="348"/>
      <c r="AG800" s="337"/>
      <c r="AH800" s="341"/>
      <c r="AI800" s="341"/>
      <c r="AJ800" s="341"/>
      <c r="AK800" s="341"/>
      <c r="AL800" s="341"/>
      <c r="AM800" s="338"/>
      <c r="AN800" s="341"/>
      <c r="AO800" s="341"/>
      <c r="AP800" s="341"/>
      <c r="AQ800" s="341"/>
      <c r="AR800" s="341"/>
      <c r="AS800" s="341"/>
      <c r="AT800" s="341"/>
      <c r="AU800" s="343"/>
      <c r="AV800" s="341"/>
      <c r="AW800" s="269" t="s">
        <v>2063</v>
      </c>
      <c r="AX800" s="334" t="s">
        <v>2869</v>
      </c>
      <c r="AY800" s="270" t="s">
        <v>695</v>
      </c>
      <c r="AZ800" s="173" t="s">
        <v>2866</v>
      </c>
      <c r="BA800" s="265">
        <v>10.0</v>
      </c>
      <c r="BB800" s="174" t="s">
        <v>245</v>
      </c>
      <c r="BC800" s="341"/>
      <c r="BD800" s="308"/>
      <c r="BE800" s="347"/>
      <c r="BF800" s="274" t="str">
        <f>IFERROR(__xludf.DUMMYFUNCTION("LOWER(Regexreplace(to_text(E800),""[^A-Za-z0-9]"","""")&amp;""_""&amp;Regexreplace(to_text(F800),""[^A-Za-z0-9]"",""""))"),"neptronic_evcbseries")</f>
        <v>neptronic_evcbseries</v>
      </c>
      <c r="BG800" s="275" t="str">
        <f>IFERROR(__xludf.DUMMYFUNCTION("upper(Regexreplace(to_text(E800),""[^A-Za-z0-9]"","""")&amp;""-""&amp;Regexreplace(to_text(F800),""[^A-Za-z0-9]"",""""))"),"NEPTRONIC-EVCBSERIES")</f>
        <v>NEPTRONIC-EVCBSERIES</v>
      </c>
    </row>
    <row r="801" ht="30.0" customHeight="1">
      <c r="A801" s="173">
        <v>793.0</v>
      </c>
      <c r="B801" s="237" t="s">
        <v>670</v>
      </c>
      <c r="C801" s="257" t="s">
        <v>3959</v>
      </c>
      <c r="D801" s="173" t="s">
        <v>3959</v>
      </c>
      <c r="E801" s="174" t="s">
        <v>2861</v>
      </c>
      <c r="F801" s="173" t="s">
        <v>2862</v>
      </c>
      <c r="G801" s="328" t="s">
        <v>673</v>
      </c>
      <c r="H801" s="328" t="s">
        <v>2863</v>
      </c>
      <c r="I801" s="258" t="s">
        <v>2864</v>
      </c>
      <c r="J801" s="259" t="s">
        <v>902</v>
      </c>
      <c r="K801" s="260" t="s">
        <v>3960</v>
      </c>
      <c r="L801" s="328"/>
      <c r="M801" s="343"/>
      <c r="N801" s="173" t="s">
        <v>679</v>
      </c>
      <c r="O801" s="173" t="s">
        <v>225</v>
      </c>
      <c r="P801" s="262" t="str">
        <f t="shared" si="1"/>
        <v>IN-BLR-ANANTA-VAV-373_2</v>
      </c>
      <c r="Q801" s="173" t="s">
        <v>3961</v>
      </c>
      <c r="R801" s="328" t="str">
        <f>IFS(C801="","",C801="n/a","N/A",LEN(C801),Concatenate("{",char(34),"asset",char(34),":{",char(34),"guid",char(34),":",char(34),Q801,char(34),",",char(34),"site",char(34),":",char(34),LOWER('2-Building'!$B$4),char(34),",",char(34),"name",char(34),":",char(34),LOWER(C801),char(34),"}}"))</f>
        <v>{"asset":{"guid":"uuid://59a56190-3a26-4df6-a94c-71bb613e5716","site":"in-blr-ananta","name":"vav-373"}}</v>
      </c>
      <c r="S801" s="237" t="s">
        <v>2866</v>
      </c>
      <c r="T801" s="330"/>
      <c r="U801" s="330"/>
      <c r="V801" s="331"/>
      <c r="W801" s="344"/>
      <c r="X801" s="341"/>
      <c r="Y801" s="33" t="s">
        <v>2867</v>
      </c>
      <c r="Z801" s="258">
        <v>120373.0</v>
      </c>
      <c r="AA801" s="334">
        <v>11541.0</v>
      </c>
      <c r="AB801" s="341"/>
      <c r="AC801" s="341"/>
      <c r="AD801" s="343"/>
      <c r="AE801" s="331"/>
      <c r="AF801" s="348"/>
      <c r="AG801" s="337"/>
      <c r="AH801" s="341"/>
      <c r="AI801" s="341"/>
      <c r="AJ801" s="341"/>
      <c r="AK801" s="341"/>
      <c r="AL801" s="341"/>
      <c r="AM801" s="338"/>
      <c r="AN801" s="341"/>
      <c r="AO801" s="341"/>
      <c r="AP801" s="341"/>
      <c r="AQ801" s="341"/>
      <c r="AR801" s="341"/>
      <c r="AS801" s="341"/>
      <c r="AT801" s="341"/>
      <c r="AU801" s="343"/>
      <c r="AV801" s="341"/>
      <c r="AW801" s="269" t="s">
        <v>2063</v>
      </c>
      <c r="AX801" s="334" t="s">
        <v>2869</v>
      </c>
      <c r="AY801" s="270" t="s">
        <v>695</v>
      </c>
      <c r="AZ801" s="173" t="s">
        <v>2866</v>
      </c>
      <c r="BA801" s="265">
        <v>10.0</v>
      </c>
      <c r="BB801" s="174" t="s">
        <v>245</v>
      </c>
      <c r="BC801" s="341"/>
      <c r="BD801" s="308"/>
      <c r="BE801" s="347"/>
      <c r="BF801" s="274" t="str">
        <f>IFERROR(__xludf.DUMMYFUNCTION("LOWER(Regexreplace(to_text(E801),""[^A-Za-z0-9]"","""")&amp;""_""&amp;Regexreplace(to_text(F801),""[^A-Za-z0-9]"",""""))"),"neptronic_evcbseries")</f>
        <v>neptronic_evcbseries</v>
      </c>
      <c r="BG801" s="275" t="str">
        <f>IFERROR(__xludf.DUMMYFUNCTION("upper(Regexreplace(to_text(E801),""[^A-Za-z0-9]"","""")&amp;""-""&amp;Regexreplace(to_text(F801),""[^A-Za-z0-9]"",""""))"),"NEPTRONIC-EVCBSERIES")</f>
        <v>NEPTRONIC-EVCBSERIES</v>
      </c>
    </row>
    <row r="802" ht="30.0" customHeight="1">
      <c r="A802" s="258">
        <v>794.0</v>
      </c>
      <c r="B802" s="237" t="s">
        <v>670</v>
      </c>
      <c r="C802" s="257" t="s">
        <v>3962</v>
      </c>
      <c r="D802" s="173" t="s">
        <v>3962</v>
      </c>
      <c r="E802" s="174" t="s">
        <v>2861</v>
      </c>
      <c r="F802" s="173" t="s">
        <v>2862</v>
      </c>
      <c r="G802" s="328" t="s">
        <v>673</v>
      </c>
      <c r="H802" s="328" t="s">
        <v>2863</v>
      </c>
      <c r="I802" s="258" t="s">
        <v>2864</v>
      </c>
      <c r="J802" s="259" t="s">
        <v>902</v>
      </c>
      <c r="K802" s="260" t="s">
        <v>3963</v>
      </c>
      <c r="L802" s="328"/>
      <c r="M802" s="343"/>
      <c r="N802" s="173" t="s">
        <v>679</v>
      </c>
      <c r="O802" s="173" t="s">
        <v>225</v>
      </c>
      <c r="P802" s="262" t="str">
        <f t="shared" si="1"/>
        <v>IN-BLR-ANANTA-VAV-374_2</v>
      </c>
      <c r="Q802" s="173" t="s">
        <v>3964</v>
      </c>
      <c r="R802" s="328" t="str">
        <f>IFS(C802="","",C802="n/a","N/A",LEN(C802),Concatenate("{",char(34),"asset",char(34),":{",char(34),"guid",char(34),":",char(34),Q802,char(34),",",char(34),"site",char(34),":",char(34),LOWER('2-Building'!$B$4),char(34),",",char(34),"name",char(34),":",char(34),LOWER(C802),char(34),"}}"))</f>
        <v>{"asset":{"guid":"uuid://7655f4b3-621c-4316-858e-3cc59eaaea99","site":"in-blr-ananta","name":"vav-374"}}</v>
      </c>
      <c r="S802" s="237" t="s">
        <v>2866</v>
      </c>
      <c r="T802" s="330"/>
      <c r="U802" s="330"/>
      <c r="V802" s="331"/>
      <c r="W802" s="344"/>
      <c r="X802" s="341"/>
      <c r="Y802" s="33" t="s">
        <v>2867</v>
      </c>
      <c r="Z802" s="258">
        <v>120374.0</v>
      </c>
      <c r="AA802" s="334">
        <v>11541.0</v>
      </c>
      <c r="AB802" s="341"/>
      <c r="AC802" s="341"/>
      <c r="AD802" s="343"/>
      <c r="AE802" s="331"/>
      <c r="AF802" s="348"/>
      <c r="AG802" s="337"/>
      <c r="AH802" s="341"/>
      <c r="AI802" s="341"/>
      <c r="AJ802" s="341"/>
      <c r="AK802" s="341"/>
      <c r="AL802" s="341"/>
      <c r="AM802" s="338"/>
      <c r="AN802" s="341"/>
      <c r="AO802" s="341"/>
      <c r="AP802" s="341"/>
      <c r="AQ802" s="341"/>
      <c r="AR802" s="341"/>
      <c r="AS802" s="341"/>
      <c r="AT802" s="341"/>
      <c r="AU802" s="343"/>
      <c r="AV802" s="341"/>
      <c r="AW802" s="269" t="s">
        <v>2063</v>
      </c>
      <c r="AX802" s="334" t="s">
        <v>2869</v>
      </c>
      <c r="AY802" s="270" t="s">
        <v>695</v>
      </c>
      <c r="AZ802" s="173" t="s">
        <v>2866</v>
      </c>
      <c r="BA802" s="265">
        <v>10.0</v>
      </c>
      <c r="BB802" s="174" t="s">
        <v>245</v>
      </c>
      <c r="BC802" s="341"/>
      <c r="BD802" s="308"/>
      <c r="BE802" s="347"/>
      <c r="BF802" s="274" t="str">
        <f>IFERROR(__xludf.DUMMYFUNCTION("LOWER(Regexreplace(to_text(E802),""[^A-Za-z0-9]"","""")&amp;""_""&amp;Regexreplace(to_text(F802),""[^A-Za-z0-9]"",""""))"),"neptronic_evcbseries")</f>
        <v>neptronic_evcbseries</v>
      </c>
      <c r="BG802" s="275" t="str">
        <f>IFERROR(__xludf.DUMMYFUNCTION("upper(Regexreplace(to_text(E802),""[^A-Za-z0-9]"","""")&amp;""-""&amp;Regexreplace(to_text(F802),""[^A-Za-z0-9]"",""""))"),"NEPTRONIC-EVCBSERIES")</f>
        <v>NEPTRONIC-EVCBSERIES</v>
      </c>
    </row>
    <row r="803" ht="30.0" customHeight="1">
      <c r="A803" s="173">
        <v>795.0</v>
      </c>
      <c r="B803" s="237" t="s">
        <v>670</v>
      </c>
      <c r="C803" s="257" t="s">
        <v>3965</v>
      </c>
      <c r="D803" s="173" t="s">
        <v>3965</v>
      </c>
      <c r="E803" s="174" t="s">
        <v>2861</v>
      </c>
      <c r="F803" s="173" t="s">
        <v>2862</v>
      </c>
      <c r="G803" s="328" t="s">
        <v>673</v>
      </c>
      <c r="H803" s="328" t="s">
        <v>2863</v>
      </c>
      <c r="I803" s="258" t="s">
        <v>2864</v>
      </c>
      <c r="J803" s="259" t="s">
        <v>902</v>
      </c>
      <c r="K803" s="260" t="s">
        <v>3966</v>
      </c>
      <c r="L803" s="328"/>
      <c r="M803" s="343"/>
      <c r="N803" s="173" t="s">
        <v>679</v>
      </c>
      <c r="O803" s="173" t="s">
        <v>225</v>
      </c>
      <c r="P803" s="262" t="str">
        <f t="shared" si="1"/>
        <v>IN-BLR-ANANTA-VAV-375_2</v>
      </c>
      <c r="Q803" s="173" t="s">
        <v>3967</v>
      </c>
      <c r="R803" s="328" t="str">
        <f>IFS(C803="","",C803="n/a","N/A",LEN(C803),Concatenate("{",char(34),"asset",char(34),":{",char(34),"guid",char(34),":",char(34),Q803,char(34),",",char(34),"site",char(34),":",char(34),LOWER('2-Building'!$B$4),char(34),",",char(34),"name",char(34),":",char(34),LOWER(C803),char(34),"}}"))</f>
        <v>{"asset":{"guid":"uuid://0f8fb924-e56c-4a17-95cf-a046b4d3f589","site":"in-blr-ananta","name":"vav-375"}}</v>
      </c>
      <c r="S803" s="237" t="s">
        <v>2866</v>
      </c>
      <c r="T803" s="330"/>
      <c r="U803" s="330"/>
      <c r="V803" s="331"/>
      <c r="W803" s="344"/>
      <c r="X803" s="341"/>
      <c r="Y803" s="33" t="s">
        <v>2867</v>
      </c>
      <c r="Z803" s="258">
        <v>120375.0</v>
      </c>
      <c r="AA803" s="334">
        <v>11541.0</v>
      </c>
      <c r="AB803" s="341"/>
      <c r="AC803" s="341"/>
      <c r="AD803" s="343"/>
      <c r="AE803" s="331"/>
      <c r="AF803" s="348"/>
      <c r="AG803" s="337"/>
      <c r="AH803" s="341"/>
      <c r="AI803" s="341"/>
      <c r="AJ803" s="341"/>
      <c r="AK803" s="341"/>
      <c r="AL803" s="341"/>
      <c r="AM803" s="338"/>
      <c r="AN803" s="341"/>
      <c r="AO803" s="341"/>
      <c r="AP803" s="341"/>
      <c r="AQ803" s="341"/>
      <c r="AR803" s="341"/>
      <c r="AS803" s="341"/>
      <c r="AT803" s="341"/>
      <c r="AU803" s="343"/>
      <c r="AV803" s="341"/>
      <c r="AW803" s="269" t="s">
        <v>2063</v>
      </c>
      <c r="AX803" s="334" t="s">
        <v>2869</v>
      </c>
      <c r="AY803" s="270" t="s">
        <v>695</v>
      </c>
      <c r="AZ803" s="173" t="s">
        <v>2866</v>
      </c>
      <c r="BA803" s="265">
        <v>10.0</v>
      </c>
      <c r="BB803" s="174" t="s">
        <v>245</v>
      </c>
      <c r="BC803" s="341"/>
      <c r="BD803" s="308"/>
      <c r="BE803" s="347"/>
      <c r="BF803" s="274" t="str">
        <f>IFERROR(__xludf.DUMMYFUNCTION("LOWER(Regexreplace(to_text(E803),""[^A-Za-z0-9]"","""")&amp;""_""&amp;Regexreplace(to_text(F803),""[^A-Za-z0-9]"",""""))"),"neptronic_evcbseries")</f>
        <v>neptronic_evcbseries</v>
      </c>
      <c r="BG803" s="275" t="str">
        <f>IFERROR(__xludf.DUMMYFUNCTION("upper(Regexreplace(to_text(E803),""[^A-Za-z0-9]"","""")&amp;""-""&amp;Regexreplace(to_text(F803),""[^A-Za-z0-9]"",""""))"),"NEPTRONIC-EVCBSERIES")</f>
        <v>NEPTRONIC-EVCBSERIES</v>
      </c>
    </row>
    <row r="804" ht="30.0" customHeight="1">
      <c r="A804" s="258">
        <v>796.0</v>
      </c>
      <c r="B804" s="237" t="s">
        <v>670</v>
      </c>
      <c r="C804" s="257" t="s">
        <v>3968</v>
      </c>
      <c r="D804" s="173" t="s">
        <v>3968</v>
      </c>
      <c r="E804" s="174" t="s">
        <v>2861</v>
      </c>
      <c r="F804" s="173" t="s">
        <v>2862</v>
      </c>
      <c r="G804" s="328" t="s">
        <v>673</v>
      </c>
      <c r="H804" s="328" t="s">
        <v>2863</v>
      </c>
      <c r="I804" s="258" t="s">
        <v>2864</v>
      </c>
      <c r="J804" s="259" t="s">
        <v>902</v>
      </c>
      <c r="K804" s="260" t="s">
        <v>3969</v>
      </c>
      <c r="L804" s="328"/>
      <c r="M804" s="343"/>
      <c r="N804" s="173" t="s">
        <v>679</v>
      </c>
      <c r="O804" s="173" t="s">
        <v>225</v>
      </c>
      <c r="P804" s="262" t="str">
        <f t="shared" si="1"/>
        <v>IN-BLR-ANANTA-VAV-376_2</v>
      </c>
      <c r="Q804" s="173" t="s">
        <v>3970</v>
      </c>
      <c r="R804" s="328" t="str">
        <f>IFS(C804="","",C804="n/a","N/A",LEN(C804),Concatenate("{",char(34),"asset",char(34),":{",char(34),"guid",char(34),":",char(34),Q804,char(34),",",char(34),"site",char(34),":",char(34),LOWER('2-Building'!$B$4),char(34),",",char(34),"name",char(34),":",char(34),LOWER(C804),char(34),"}}"))</f>
        <v>{"asset":{"guid":"uuid://23e8a4de-5350-4a8e-97ba-00acd9b53786","site":"in-blr-ananta","name":"vav-376"}}</v>
      </c>
      <c r="S804" s="237" t="s">
        <v>2866</v>
      </c>
      <c r="T804" s="330"/>
      <c r="U804" s="330"/>
      <c r="V804" s="331"/>
      <c r="W804" s="344"/>
      <c r="X804" s="341"/>
      <c r="Y804" s="33" t="s">
        <v>2867</v>
      </c>
      <c r="Z804" s="258">
        <v>120376.0</v>
      </c>
      <c r="AA804" s="334">
        <v>11541.0</v>
      </c>
      <c r="AB804" s="341"/>
      <c r="AC804" s="341"/>
      <c r="AD804" s="343"/>
      <c r="AE804" s="331"/>
      <c r="AF804" s="348"/>
      <c r="AG804" s="337"/>
      <c r="AH804" s="341"/>
      <c r="AI804" s="341"/>
      <c r="AJ804" s="341"/>
      <c r="AK804" s="341"/>
      <c r="AL804" s="341"/>
      <c r="AM804" s="338"/>
      <c r="AN804" s="341"/>
      <c r="AO804" s="341"/>
      <c r="AP804" s="341"/>
      <c r="AQ804" s="341"/>
      <c r="AR804" s="341"/>
      <c r="AS804" s="341"/>
      <c r="AT804" s="341"/>
      <c r="AU804" s="343"/>
      <c r="AV804" s="341"/>
      <c r="AW804" s="269" t="s">
        <v>2063</v>
      </c>
      <c r="AX804" s="334" t="s">
        <v>2869</v>
      </c>
      <c r="AY804" s="270" t="s">
        <v>695</v>
      </c>
      <c r="AZ804" s="173" t="s">
        <v>2866</v>
      </c>
      <c r="BA804" s="265">
        <v>10.0</v>
      </c>
      <c r="BB804" s="174" t="s">
        <v>245</v>
      </c>
      <c r="BC804" s="341"/>
      <c r="BD804" s="308"/>
      <c r="BE804" s="347"/>
      <c r="BF804" s="274" t="str">
        <f>IFERROR(__xludf.DUMMYFUNCTION("LOWER(Regexreplace(to_text(E804),""[^A-Za-z0-9]"","""")&amp;""_""&amp;Regexreplace(to_text(F804),""[^A-Za-z0-9]"",""""))"),"neptronic_evcbseries")</f>
        <v>neptronic_evcbseries</v>
      </c>
      <c r="BG804" s="275" t="str">
        <f>IFERROR(__xludf.DUMMYFUNCTION("upper(Regexreplace(to_text(E804),""[^A-Za-z0-9]"","""")&amp;""-""&amp;Regexreplace(to_text(F804),""[^A-Za-z0-9]"",""""))"),"NEPTRONIC-EVCBSERIES")</f>
        <v>NEPTRONIC-EVCBSERIES</v>
      </c>
    </row>
    <row r="805" ht="30.0" customHeight="1">
      <c r="A805" s="173">
        <v>797.0</v>
      </c>
      <c r="B805" s="237" t="s">
        <v>670</v>
      </c>
      <c r="C805" s="257" t="s">
        <v>3971</v>
      </c>
      <c r="D805" s="173" t="s">
        <v>3971</v>
      </c>
      <c r="E805" s="174" t="s">
        <v>2861</v>
      </c>
      <c r="F805" s="173" t="s">
        <v>2862</v>
      </c>
      <c r="G805" s="328" t="s">
        <v>673</v>
      </c>
      <c r="H805" s="328" t="s">
        <v>2863</v>
      </c>
      <c r="I805" s="258" t="s">
        <v>2864</v>
      </c>
      <c r="J805" s="259" t="s">
        <v>902</v>
      </c>
      <c r="K805" s="260" t="s">
        <v>3972</v>
      </c>
      <c r="L805" s="328"/>
      <c r="M805" s="343"/>
      <c r="N805" s="173" t="s">
        <v>679</v>
      </c>
      <c r="O805" s="173" t="s">
        <v>225</v>
      </c>
      <c r="P805" s="262" t="str">
        <f t="shared" si="1"/>
        <v>IN-BLR-ANANTA-VAV-377_2</v>
      </c>
      <c r="Q805" s="173" t="s">
        <v>3973</v>
      </c>
      <c r="R805" s="328" t="str">
        <f>IFS(C805="","",C805="n/a","N/A",LEN(C805),Concatenate("{",char(34),"asset",char(34),":{",char(34),"guid",char(34),":",char(34),Q805,char(34),",",char(34),"site",char(34),":",char(34),LOWER('2-Building'!$B$4),char(34),",",char(34),"name",char(34),":",char(34),LOWER(C805),char(34),"}}"))</f>
        <v>{"asset":{"guid":"uuid://156195b5-61d6-456e-be23-661753942cbd","site":"in-blr-ananta","name":"vav-377"}}</v>
      </c>
      <c r="S805" s="237" t="s">
        <v>2866</v>
      </c>
      <c r="T805" s="330"/>
      <c r="U805" s="330"/>
      <c r="V805" s="331"/>
      <c r="W805" s="344"/>
      <c r="X805" s="341"/>
      <c r="Y805" s="33" t="s">
        <v>2867</v>
      </c>
      <c r="Z805" s="258">
        <v>120377.0</v>
      </c>
      <c r="AA805" s="334">
        <v>11541.0</v>
      </c>
      <c r="AB805" s="341"/>
      <c r="AC805" s="341"/>
      <c r="AD805" s="343"/>
      <c r="AE805" s="331"/>
      <c r="AF805" s="348"/>
      <c r="AG805" s="337"/>
      <c r="AH805" s="341"/>
      <c r="AI805" s="341"/>
      <c r="AJ805" s="341"/>
      <c r="AK805" s="341"/>
      <c r="AL805" s="341"/>
      <c r="AM805" s="338"/>
      <c r="AN805" s="341"/>
      <c r="AO805" s="341"/>
      <c r="AP805" s="341"/>
      <c r="AQ805" s="341"/>
      <c r="AR805" s="341"/>
      <c r="AS805" s="341"/>
      <c r="AT805" s="341"/>
      <c r="AU805" s="343"/>
      <c r="AV805" s="341"/>
      <c r="AW805" s="269" t="s">
        <v>2063</v>
      </c>
      <c r="AX805" s="334" t="s">
        <v>2869</v>
      </c>
      <c r="AY805" s="270" t="s">
        <v>695</v>
      </c>
      <c r="AZ805" s="173" t="s">
        <v>2866</v>
      </c>
      <c r="BA805" s="265">
        <v>10.0</v>
      </c>
      <c r="BB805" s="174" t="s">
        <v>245</v>
      </c>
      <c r="BC805" s="341"/>
      <c r="BD805" s="308"/>
      <c r="BE805" s="347"/>
      <c r="BF805" s="274" t="str">
        <f>IFERROR(__xludf.DUMMYFUNCTION("LOWER(Regexreplace(to_text(E805),""[^A-Za-z0-9]"","""")&amp;""_""&amp;Regexreplace(to_text(F805),""[^A-Za-z0-9]"",""""))"),"neptronic_evcbseries")</f>
        <v>neptronic_evcbseries</v>
      </c>
      <c r="BG805" s="275" t="str">
        <f>IFERROR(__xludf.DUMMYFUNCTION("upper(Regexreplace(to_text(E805),""[^A-Za-z0-9]"","""")&amp;""-""&amp;Regexreplace(to_text(F805),""[^A-Za-z0-9]"",""""))"),"NEPTRONIC-EVCBSERIES")</f>
        <v>NEPTRONIC-EVCBSERIES</v>
      </c>
    </row>
    <row r="806" ht="30.0" customHeight="1">
      <c r="A806" s="258">
        <v>798.0</v>
      </c>
      <c r="B806" s="237" t="s">
        <v>670</v>
      </c>
      <c r="C806" s="257" t="s">
        <v>3974</v>
      </c>
      <c r="D806" s="173" t="s">
        <v>3974</v>
      </c>
      <c r="E806" s="174" t="s">
        <v>2861</v>
      </c>
      <c r="F806" s="173" t="s">
        <v>2862</v>
      </c>
      <c r="G806" s="328" t="s">
        <v>673</v>
      </c>
      <c r="H806" s="328" t="s">
        <v>2863</v>
      </c>
      <c r="I806" s="258" t="s">
        <v>2864</v>
      </c>
      <c r="J806" s="259" t="s">
        <v>902</v>
      </c>
      <c r="K806" s="260" t="s">
        <v>3975</v>
      </c>
      <c r="L806" s="328"/>
      <c r="M806" s="343"/>
      <c r="N806" s="173" t="s">
        <v>679</v>
      </c>
      <c r="O806" s="173" t="s">
        <v>225</v>
      </c>
      <c r="P806" s="262" t="str">
        <f t="shared" si="1"/>
        <v>IN-BLR-ANANTA-VAV-378_2</v>
      </c>
      <c r="Q806" s="173" t="s">
        <v>3976</v>
      </c>
      <c r="R806" s="328" t="str">
        <f>IFS(C806="","",C806="n/a","N/A",LEN(C806),Concatenate("{",char(34),"asset",char(34),":{",char(34),"guid",char(34),":",char(34),Q806,char(34),",",char(34),"site",char(34),":",char(34),LOWER('2-Building'!$B$4),char(34),",",char(34),"name",char(34),":",char(34),LOWER(C806),char(34),"}}"))</f>
        <v>{"asset":{"guid":"uuid://32a22302-fed3-4b33-99d5-f92c3d35656c","site":"in-blr-ananta","name":"vav-378"}}</v>
      </c>
      <c r="S806" s="237" t="s">
        <v>2866</v>
      </c>
      <c r="T806" s="330"/>
      <c r="U806" s="330"/>
      <c r="V806" s="331"/>
      <c r="W806" s="344"/>
      <c r="X806" s="341"/>
      <c r="Y806" s="33" t="s">
        <v>2867</v>
      </c>
      <c r="Z806" s="258">
        <v>120378.0</v>
      </c>
      <c r="AA806" s="334">
        <v>11541.0</v>
      </c>
      <c r="AB806" s="341"/>
      <c r="AC806" s="341"/>
      <c r="AD806" s="343"/>
      <c r="AE806" s="331"/>
      <c r="AF806" s="348"/>
      <c r="AG806" s="337"/>
      <c r="AH806" s="341"/>
      <c r="AI806" s="341"/>
      <c r="AJ806" s="341"/>
      <c r="AK806" s="341"/>
      <c r="AL806" s="341"/>
      <c r="AM806" s="338"/>
      <c r="AN806" s="341"/>
      <c r="AO806" s="341"/>
      <c r="AP806" s="341"/>
      <c r="AQ806" s="341"/>
      <c r="AR806" s="341"/>
      <c r="AS806" s="341"/>
      <c r="AT806" s="341"/>
      <c r="AU806" s="343"/>
      <c r="AV806" s="341"/>
      <c r="AW806" s="269" t="s">
        <v>2063</v>
      </c>
      <c r="AX806" s="334" t="s">
        <v>2869</v>
      </c>
      <c r="AY806" s="270" t="s">
        <v>695</v>
      </c>
      <c r="AZ806" s="173" t="s">
        <v>2866</v>
      </c>
      <c r="BA806" s="265">
        <v>10.0</v>
      </c>
      <c r="BB806" s="174" t="s">
        <v>245</v>
      </c>
      <c r="BC806" s="341"/>
      <c r="BD806" s="308"/>
      <c r="BE806" s="347"/>
      <c r="BF806" s="274" t="str">
        <f>IFERROR(__xludf.DUMMYFUNCTION("LOWER(Regexreplace(to_text(E806),""[^A-Za-z0-9]"","""")&amp;""_""&amp;Regexreplace(to_text(F806),""[^A-Za-z0-9]"",""""))"),"neptronic_evcbseries")</f>
        <v>neptronic_evcbseries</v>
      </c>
      <c r="BG806" s="275" t="str">
        <f>IFERROR(__xludf.DUMMYFUNCTION("upper(Regexreplace(to_text(E806),""[^A-Za-z0-9]"","""")&amp;""-""&amp;Regexreplace(to_text(F806),""[^A-Za-z0-9]"",""""))"),"NEPTRONIC-EVCBSERIES")</f>
        <v>NEPTRONIC-EVCBSERIES</v>
      </c>
    </row>
    <row r="807" ht="30.0" customHeight="1">
      <c r="A807" s="173">
        <v>799.0</v>
      </c>
      <c r="B807" s="237" t="s">
        <v>670</v>
      </c>
      <c r="C807" s="257" t="s">
        <v>3977</v>
      </c>
      <c r="D807" s="173" t="s">
        <v>3977</v>
      </c>
      <c r="E807" s="174" t="s">
        <v>2861</v>
      </c>
      <c r="F807" s="173" t="s">
        <v>2862</v>
      </c>
      <c r="G807" s="328" t="s">
        <v>673</v>
      </c>
      <c r="H807" s="328" t="s">
        <v>2863</v>
      </c>
      <c r="I807" s="258" t="s">
        <v>2864</v>
      </c>
      <c r="J807" s="259" t="s">
        <v>902</v>
      </c>
      <c r="K807" s="260" t="s">
        <v>3978</v>
      </c>
      <c r="L807" s="328"/>
      <c r="M807" s="343"/>
      <c r="N807" s="173" t="s">
        <v>679</v>
      </c>
      <c r="O807" s="173" t="s">
        <v>225</v>
      </c>
      <c r="P807" s="262" t="str">
        <f t="shared" si="1"/>
        <v>IN-BLR-ANANTA-VAV-379_2</v>
      </c>
      <c r="Q807" s="173" t="s">
        <v>3979</v>
      </c>
      <c r="R807" s="328" t="str">
        <f>IFS(C807="","",C807="n/a","N/A",LEN(C807),Concatenate("{",char(34),"asset",char(34),":{",char(34),"guid",char(34),":",char(34),Q807,char(34),",",char(34),"site",char(34),":",char(34),LOWER('2-Building'!$B$4),char(34),",",char(34),"name",char(34),":",char(34),LOWER(C807),char(34),"}}"))</f>
        <v>{"asset":{"guid":"uuid://30bd3586-2199-44ca-a554-85478da12ba2","site":"in-blr-ananta","name":"vav-379"}}</v>
      </c>
      <c r="S807" s="237" t="s">
        <v>2866</v>
      </c>
      <c r="T807" s="330"/>
      <c r="U807" s="330"/>
      <c r="V807" s="331"/>
      <c r="W807" s="344"/>
      <c r="X807" s="341"/>
      <c r="Y807" s="33" t="s">
        <v>2867</v>
      </c>
      <c r="Z807" s="258">
        <v>120379.0</v>
      </c>
      <c r="AA807" s="334">
        <v>11541.0</v>
      </c>
      <c r="AB807" s="341"/>
      <c r="AC807" s="341"/>
      <c r="AD807" s="343"/>
      <c r="AE807" s="331"/>
      <c r="AF807" s="348"/>
      <c r="AG807" s="337"/>
      <c r="AH807" s="341"/>
      <c r="AI807" s="341"/>
      <c r="AJ807" s="341"/>
      <c r="AK807" s="341"/>
      <c r="AL807" s="341"/>
      <c r="AM807" s="338"/>
      <c r="AN807" s="341"/>
      <c r="AO807" s="341"/>
      <c r="AP807" s="341"/>
      <c r="AQ807" s="341"/>
      <c r="AR807" s="341"/>
      <c r="AS807" s="341"/>
      <c r="AT807" s="341"/>
      <c r="AU807" s="343"/>
      <c r="AV807" s="341"/>
      <c r="AW807" s="269" t="s">
        <v>2063</v>
      </c>
      <c r="AX807" s="334" t="s">
        <v>2869</v>
      </c>
      <c r="AY807" s="270" t="s">
        <v>695</v>
      </c>
      <c r="AZ807" s="173" t="s">
        <v>2866</v>
      </c>
      <c r="BA807" s="265">
        <v>10.0</v>
      </c>
      <c r="BB807" s="174" t="s">
        <v>245</v>
      </c>
      <c r="BC807" s="341"/>
      <c r="BD807" s="308"/>
      <c r="BE807" s="347"/>
      <c r="BF807" s="274" t="str">
        <f>IFERROR(__xludf.DUMMYFUNCTION("LOWER(Regexreplace(to_text(E807),""[^A-Za-z0-9]"","""")&amp;""_""&amp;Regexreplace(to_text(F807),""[^A-Za-z0-9]"",""""))"),"neptronic_evcbseries")</f>
        <v>neptronic_evcbseries</v>
      </c>
      <c r="BG807" s="275" t="str">
        <f>IFERROR(__xludf.DUMMYFUNCTION("upper(Regexreplace(to_text(E807),""[^A-Za-z0-9]"","""")&amp;""-""&amp;Regexreplace(to_text(F807),""[^A-Za-z0-9]"",""""))"),"NEPTRONIC-EVCBSERIES")</f>
        <v>NEPTRONIC-EVCBSERIES</v>
      </c>
    </row>
    <row r="808" ht="30.0" customHeight="1">
      <c r="A808" s="258">
        <v>800.0</v>
      </c>
      <c r="B808" s="237" t="s">
        <v>670</v>
      </c>
      <c r="C808" s="257" t="s">
        <v>3980</v>
      </c>
      <c r="D808" s="173" t="s">
        <v>3980</v>
      </c>
      <c r="E808" s="174" t="s">
        <v>2861</v>
      </c>
      <c r="F808" s="173" t="s">
        <v>2862</v>
      </c>
      <c r="G808" s="328" t="s">
        <v>673</v>
      </c>
      <c r="H808" s="328" t="s">
        <v>2863</v>
      </c>
      <c r="I808" s="258" t="s">
        <v>2864</v>
      </c>
      <c r="J808" s="259" t="s">
        <v>902</v>
      </c>
      <c r="K808" s="260" t="s">
        <v>3981</v>
      </c>
      <c r="L808" s="328"/>
      <c r="M808" s="343"/>
      <c r="N808" s="173" t="s">
        <v>679</v>
      </c>
      <c r="O808" s="173" t="s">
        <v>225</v>
      </c>
      <c r="P808" s="262" t="str">
        <f t="shared" si="1"/>
        <v>IN-BLR-ANANTA-VAV-380_2</v>
      </c>
      <c r="Q808" s="173" t="s">
        <v>3982</v>
      </c>
      <c r="R808" s="328" t="str">
        <f>IFS(C808="","",C808="n/a","N/A",LEN(C808),Concatenate("{",char(34),"asset",char(34),":{",char(34),"guid",char(34),":",char(34),Q808,char(34),",",char(34),"site",char(34),":",char(34),LOWER('2-Building'!$B$4),char(34),",",char(34),"name",char(34),":",char(34),LOWER(C808),char(34),"}}"))</f>
        <v>{"asset":{"guid":"uuid://52b84cb8-301e-4eca-8f65-73774f819b76","site":"in-blr-ananta","name":"vav-380"}}</v>
      </c>
      <c r="S808" s="237" t="s">
        <v>2866</v>
      </c>
      <c r="T808" s="330"/>
      <c r="U808" s="330"/>
      <c r="V808" s="331"/>
      <c r="W808" s="344"/>
      <c r="X808" s="341"/>
      <c r="Y808" s="33" t="s">
        <v>2867</v>
      </c>
      <c r="Z808" s="258">
        <v>120380.0</v>
      </c>
      <c r="AA808" s="334">
        <v>11541.0</v>
      </c>
      <c r="AB808" s="341"/>
      <c r="AC808" s="341"/>
      <c r="AD808" s="343"/>
      <c r="AE808" s="331"/>
      <c r="AF808" s="348"/>
      <c r="AG808" s="337"/>
      <c r="AH808" s="341"/>
      <c r="AI808" s="341"/>
      <c r="AJ808" s="341"/>
      <c r="AK808" s="341"/>
      <c r="AL808" s="341"/>
      <c r="AM808" s="338"/>
      <c r="AN808" s="341"/>
      <c r="AO808" s="341"/>
      <c r="AP808" s="341"/>
      <c r="AQ808" s="341"/>
      <c r="AR808" s="341"/>
      <c r="AS808" s="341"/>
      <c r="AT808" s="341"/>
      <c r="AU808" s="343"/>
      <c r="AV808" s="341"/>
      <c r="AW808" s="269" t="s">
        <v>2063</v>
      </c>
      <c r="AX808" s="334" t="s">
        <v>2869</v>
      </c>
      <c r="AY808" s="270" t="s">
        <v>695</v>
      </c>
      <c r="AZ808" s="173" t="s">
        <v>2866</v>
      </c>
      <c r="BA808" s="265">
        <v>10.0</v>
      </c>
      <c r="BB808" s="174" t="s">
        <v>245</v>
      </c>
      <c r="BC808" s="341"/>
      <c r="BD808" s="308"/>
      <c r="BE808" s="347"/>
      <c r="BF808" s="274" t="str">
        <f>IFERROR(__xludf.DUMMYFUNCTION("LOWER(Regexreplace(to_text(E808),""[^A-Za-z0-9]"","""")&amp;""_""&amp;Regexreplace(to_text(F808),""[^A-Za-z0-9]"",""""))"),"neptronic_evcbseries")</f>
        <v>neptronic_evcbseries</v>
      </c>
      <c r="BG808" s="275" t="str">
        <f>IFERROR(__xludf.DUMMYFUNCTION("upper(Regexreplace(to_text(E808),""[^A-Za-z0-9]"","""")&amp;""-""&amp;Regexreplace(to_text(F808),""[^A-Za-z0-9]"",""""))"),"NEPTRONIC-EVCBSERIES")</f>
        <v>NEPTRONIC-EVCBSERIES</v>
      </c>
    </row>
    <row r="809" ht="30.0" customHeight="1">
      <c r="A809" s="173">
        <v>801.0</v>
      </c>
      <c r="B809" s="237" t="s">
        <v>670</v>
      </c>
      <c r="C809" s="257" t="s">
        <v>3983</v>
      </c>
      <c r="D809" s="173" t="s">
        <v>3983</v>
      </c>
      <c r="E809" s="174" t="s">
        <v>2861</v>
      </c>
      <c r="F809" s="173" t="s">
        <v>2862</v>
      </c>
      <c r="G809" s="328" t="s">
        <v>673</v>
      </c>
      <c r="H809" s="328" t="s">
        <v>2863</v>
      </c>
      <c r="I809" s="258" t="s">
        <v>2864</v>
      </c>
      <c r="J809" s="259" t="s">
        <v>902</v>
      </c>
      <c r="K809" s="260" t="s">
        <v>3984</v>
      </c>
      <c r="L809" s="328"/>
      <c r="M809" s="343"/>
      <c r="N809" s="173" t="s">
        <v>679</v>
      </c>
      <c r="O809" s="173" t="s">
        <v>225</v>
      </c>
      <c r="P809" s="262" t="str">
        <f t="shared" si="1"/>
        <v>IN-BLR-ANANTA-VAV-381_2</v>
      </c>
      <c r="Q809" s="173" t="s">
        <v>3985</v>
      </c>
      <c r="R809" s="328" t="str">
        <f>IFS(C809="","",C809="n/a","N/A",LEN(C809),Concatenate("{",char(34),"asset",char(34),":{",char(34),"guid",char(34),":",char(34),Q809,char(34),",",char(34),"site",char(34),":",char(34),LOWER('2-Building'!$B$4),char(34),",",char(34),"name",char(34),":",char(34),LOWER(C809),char(34),"}}"))</f>
        <v>{"asset":{"guid":"uuid://70819693-230f-4784-a75f-a7c44ab389f3","site":"in-blr-ananta","name":"vav-381"}}</v>
      </c>
      <c r="S809" s="237" t="s">
        <v>2866</v>
      </c>
      <c r="T809" s="330"/>
      <c r="U809" s="330"/>
      <c r="V809" s="331"/>
      <c r="W809" s="344"/>
      <c r="X809" s="341"/>
      <c r="Y809" s="33" t="s">
        <v>2867</v>
      </c>
      <c r="Z809" s="258">
        <v>120381.0</v>
      </c>
      <c r="AA809" s="334">
        <v>11541.0</v>
      </c>
      <c r="AB809" s="341"/>
      <c r="AC809" s="341"/>
      <c r="AD809" s="343"/>
      <c r="AE809" s="331"/>
      <c r="AF809" s="348"/>
      <c r="AG809" s="337"/>
      <c r="AH809" s="341"/>
      <c r="AI809" s="341"/>
      <c r="AJ809" s="341"/>
      <c r="AK809" s="341"/>
      <c r="AL809" s="341"/>
      <c r="AM809" s="338"/>
      <c r="AN809" s="341"/>
      <c r="AO809" s="341"/>
      <c r="AP809" s="341"/>
      <c r="AQ809" s="341"/>
      <c r="AR809" s="341"/>
      <c r="AS809" s="341"/>
      <c r="AT809" s="341"/>
      <c r="AU809" s="343"/>
      <c r="AV809" s="341"/>
      <c r="AW809" s="269" t="s">
        <v>2063</v>
      </c>
      <c r="AX809" s="334" t="s">
        <v>2869</v>
      </c>
      <c r="AY809" s="270" t="s">
        <v>695</v>
      </c>
      <c r="AZ809" s="173" t="s">
        <v>2866</v>
      </c>
      <c r="BA809" s="265">
        <v>10.0</v>
      </c>
      <c r="BB809" s="174" t="s">
        <v>245</v>
      </c>
      <c r="BC809" s="341"/>
      <c r="BD809" s="308"/>
      <c r="BE809" s="347"/>
      <c r="BF809" s="274" t="str">
        <f>IFERROR(__xludf.DUMMYFUNCTION("LOWER(Regexreplace(to_text(E809),""[^A-Za-z0-9]"","""")&amp;""_""&amp;Regexreplace(to_text(F809),""[^A-Za-z0-9]"",""""))"),"neptronic_evcbseries")</f>
        <v>neptronic_evcbseries</v>
      </c>
      <c r="BG809" s="275" t="str">
        <f>IFERROR(__xludf.DUMMYFUNCTION("upper(Regexreplace(to_text(E809),""[^A-Za-z0-9]"","""")&amp;""-""&amp;Regexreplace(to_text(F809),""[^A-Za-z0-9]"",""""))"),"NEPTRONIC-EVCBSERIES")</f>
        <v>NEPTRONIC-EVCBSERIES</v>
      </c>
    </row>
    <row r="810" ht="30.0" customHeight="1">
      <c r="A810" s="258">
        <v>802.0</v>
      </c>
      <c r="B810" s="237" t="s">
        <v>670</v>
      </c>
      <c r="C810" s="257" t="s">
        <v>3986</v>
      </c>
      <c r="D810" s="173" t="s">
        <v>3986</v>
      </c>
      <c r="E810" s="174" t="s">
        <v>2861</v>
      </c>
      <c r="F810" s="173" t="s">
        <v>2862</v>
      </c>
      <c r="G810" s="328" t="s">
        <v>673</v>
      </c>
      <c r="H810" s="328" t="s">
        <v>2863</v>
      </c>
      <c r="I810" s="258" t="s">
        <v>2864</v>
      </c>
      <c r="J810" s="259" t="s">
        <v>902</v>
      </c>
      <c r="K810" s="260" t="s">
        <v>3987</v>
      </c>
      <c r="L810" s="328"/>
      <c r="M810" s="343"/>
      <c r="N810" s="173" t="s">
        <v>679</v>
      </c>
      <c r="O810" s="173" t="s">
        <v>225</v>
      </c>
      <c r="P810" s="262" t="str">
        <f t="shared" si="1"/>
        <v>IN-BLR-ANANTA-VAV-382_2</v>
      </c>
      <c r="Q810" s="173" t="s">
        <v>3988</v>
      </c>
      <c r="R810" s="328" t="str">
        <f>IFS(C810="","",C810="n/a","N/A",LEN(C810),Concatenate("{",char(34),"asset",char(34),":{",char(34),"guid",char(34),":",char(34),Q810,char(34),",",char(34),"site",char(34),":",char(34),LOWER('2-Building'!$B$4),char(34),",",char(34),"name",char(34),":",char(34),LOWER(C810),char(34),"}}"))</f>
        <v>{"asset":{"guid":"uuid://7d18e93d-4df4-4d5f-afcd-897619da97e1","site":"in-blr-ananta","name":"vav-382"}}</v>
      </c>
      <c r="S810" s="237" t="s">
        <v>2866</v>
      </c>
      <c r="T810" s="330"/>
      <c r="U810" s="330"/>
      <c r="V810" s="331"/>
      <c r="W810" s="344"/>
      <c r="X810" s="341"/>
      <c r="Y810" s="33" t="s">
        <v>2867</v>
      </c>
      <c r="Z810" s="258">
        <v>120382.0</v>
      </c>
      <c r="AA810" s="334">
        <v>11541.0</v>
      </c>
      <c r="AB810" s="341"/>
      <c r="AC810" s="341"/>
      <c r="AD810" s="343"/>
      <c r="AE810" s="331"/>
      <c r="AF810" s="348"/>
      <c r="AG810" s="337"/>
      <c r="AH810" s="341"/>
      <c r="AI810" s="341"/>
      <c r="AJ810" s="341"/>
      <c r="AK810" s="341"/>
      <c r="AL810" s="341"/>
      <c r="AM810" s="338"/>
      <c r="AN810" s="341"/>
      <c r="AO810" s="341"/>
      <c r="AP810" s="341"/>
      <c r="AQ810" s="341"/>
      <c r="AR810" s="341"/>
      <c r="AS810" s="341"/>
      <c r="AT810" s="341"/>
      <c r="AU810" s="343"/>
      <c r="AV810" s="341"/>
      <c r="AW810" s="269" t="s">
        <v>2063</v>
      </c>
      <c r="AX810" s="334" t="s">
        <v>2869</v>
      </c>
      <c r="AY810" s="270" t="s">
        <v>695</v>
      </c>
      <c r="AZ810" s="173" t="s">
        <v>2866</v>
      </c>
      <c r="BA810" s="265">
        <v>10.0</v>
      </c>
      <c r="BB810" s="174" t="s">
        <v>245</v>
      </c>
      <c r="BC810" s="341"/>
      <c r="BD810" s="308"/>
      <c r="BE810" s="347"/>
      <c r="BF810" s="274" t="str">
        <f>IFERROR(__xludf.DUMMYFUNCTION("LOWER(Regexreplace(to_text(E810),""[^A-Za-z0-9]"","""")&amp;""_""&amp;Regexreplace(to_text(F810),""[^A-Za-z0-9]"",""""))"),"neptronic_evcbseries")</f>
        <v>neptronic_evcbseries</v>
      </c>
      <c r="BG810" s="275" t="str">
        <f>IFERROR(__xludf.DUMMYFUNCTION("upper(Regexreplace(to_text(E810),""[^A-Za-z0-9]"","""")&amp;""-""&amp;Regexreplace(to_text(F810),""[^A-Za-z0-9]"",""""))"),"NEPTRONIC-EVCBSERIES")</f>
        <v>NEPTRONIC-EVCBSERIES</v>
      </c>
    </row>
    <row r="811" ht="30.0" customHeight="1">
      <c r="A811" s="173">
        <v>803.0</v>
      </c>
      <c r="B811" s="237" t="s">
        <v>670</v>
      </c>
      <c r="C811" s="257" t="s">
        <v>3989</v>
      </c>
      <c r="D811" s="173" t="s">
        <v>3989</v>
      </c>
      <c r="E811" s="174" t="s">
        <v>2861</v>
      </c>
      <c r="F811" s="173" t="s">
        <v>2862</v>
      </c>
      <c r="G811" s="328" t="s">
        <v>673</v>
      </c>
      <c r="H811" s="328" t="s">
        <v>2863</v>
      </c>
      <c r="I811" s="258" t="s">
        <v>2864</v>
      </c>
      <c r="J811" s="259" t="s">
        <v>902</v>
      </c>
      <c r="K811" s="260" t="s">
        <v>3990</v>
      </c>
      <c r="L811" s="328"/>
      <c r="M811" s="343"/>
      <c r="N811" s="173" t="s">
        <v>679</v>
      </c>
      <c r="O811" s="173" t="s">
        <v>225</v>
      </c>
      <c r="P811" s="262" t="str">
        <f t="shared" si="1"/>
        <v>IN-BLR-ANANTA-VAV-383_2</v>
      </c>
      <c r="Q811" s="173" t="s">
        <v>3991</v>
      </c>
      <c r="R811" s="328" t="str">
        <f>IFS(C811="","",C811="n/a","N/A",LEN(C811),Concatenate("{",char(34),"asset",char(34),":{",char(34),"guid",char(34),":",char(34),Q811,char(34),",",char(34),"site",char(34),":",char(34),LOWER('2-Building'!$B$4),char(34),",",char(34),"name",char(34),":",char(34),LOWER(C811),char(34),"}}"))</f>
        <v>{"asset":{"guid":"uuid://688ba160-3311-4b22-92a4-d135bb95f68e","site":"in-blr-ananta","name":"vav-383"}}</v>
      </c>
      <c r="S811" s="237" t="s">
        <v>2866</v>
      </c>
      <c r="T811" s="330"/>
      <c r="U811" s="330"/>
      <c r="V811" s="331"/>
      <c r="W811" s="344"/>
      <c r="X811" s="341"/>
      <c r="Y811" s="33" t="s">
        <v>2867</v>
      </c>
      <c r="Z811" s="258">
        <v>120383.0</v>
      </c>
      <c r="AA811" s="334">
        <v>11541.0</v>
      </c>
      <c r="AB811" s="341"/>
      <c r="AC811" s="341"/>
      <c r="AD811" s="343"/>
      <c r="AE811" s="331"/>
      <c r="AF811" s="348"/>
      <c r="AG811" s="337"/>
      <c r="AH811" s="341"/>
      <c r="AI811" s="341"/>
      <c r="AJ811" s="341"/>
      <c r="AK811" s="341"/>
      <c r="AL811" s="341"/>
      <c r="AM811" s="338"/>
      <c r="AN811" s="341"/>
      <c r="AO811" s="341"/>
      <c r="AP811" s="341"/>
      <c r="AQ811" s="341"/>
      <c r="AR811" s="341"/>
      <c r="AS811" s="341"/>
      <c r="AT811" s="341"/>
      <c r="AU811" s="343"/>
      <c r="AV811" s="341"/>
      <c r="AW811" s="269" t="s">
        <v>2063</v>
      </c>
      <c r="AX811" s="334" t="s">
        <v>2869</v>
      </c>
      <c r="AY811" s="270" t="s">
        <v>695</v>
      </c>
      <c r="AZ811" s="173" t="s">
        <v>2866</v>
      </c>
      <c r="BA811" s="265">
        <v>10.0</v>
      </c>
      <c r="BB811" s="174" t="s">
        <v>245</v>
      </c>
      <c r="BC811" s="341"/>
      <c r="BD811" s="308"/>
      <c r="BE811" s="347"/>
      <c r="BF811" s="274" t="str">
        <f>IFERROR(__xludf.DUMMYFUNCTION("LOWER(Regexreplace(to_text(E811),""[^A-Za-z0-9]"","""")&amp;""_""&amp;Regexreplace(to_text(F811),""[^A-Za-z0-9]"",""""))"),"neptronic_evcbseries")</f>
        <v>neptronic_evcbseries</v>
      </c>
      <c r="BG811" s="275" t="str">
        <f>IFERROR(__xludf.DUMMYFUNCTION("upper(Regexreplace(to_text(E811),""[^A-Za-z0-9]"","""")&amp;""-""&amp;Regexreplace(to_text(F811),""[^A-Za-z0-9]"",""""))"),"NEPTRONIC-EVCBSERIES")</f>
        <v>NEPTRONIC-EVCBSERIES</v>
      </c>
    </row>
    <row r="812" ht="30.0" customHeight="1">
      <c r="A812" s="258">
        <v>804.0</v>
      </c>
      <c r="B812" s="237" t="s">
        <v>670</v>
      </c>
      <c r="C812" s="257" t="s">
        <v>3992</v>
      </c>
      <c r="D812" s="173" t="s">
        <v>3992</v>
      </c>
      <c r="E812" s="174" t="s">
        <v>2861</v>
      </c>
      <c r="F812" s="173" t="s">
        <v>2862</v>
      </c>
      <c r="G812" s="328" t="s">
        <v>673</v>
      </c>
      <c r="H812" s="328" t="s">
        <v>2863</v>
      </c>
      <c r="I812" s="258" t="s">
        <v>2864</v>
      </c>
      <c r="J812" s="259" t="s">
        <v>902</v>
      </c>
      <c r="K812" s="260" t="s">
        <v>3993</v>
      </c>
      <c r="L812" s="328"/>
      <c r="M812" s="343"/>
      <c r="N812" s="173" t="s">
        <v>679</v>
      </c>
      <c r="O812" s="173" t="s">
        <v>225</v>
      </c>
      <c r="P812" s="262" t="str">
        <f t="shared" si="1"/>
        <v>IN-BLR-ANANTA-VAV-384_2</v>
      </c>
      <c r="Q812" s="173" t="s">
        <v>3994</v>
      </c>
      <c r="R812" s="328" t="str">
        <f>IFS(C812="","",C812="n/a","N/A",LEN(C812),Concatenate("{",char(34),"asset",char(34),":{",char(34),"guid",char(34),":",char(34),Q812,char(34),",",char(34),"site",char(34),":",char(34),LOWER('2-Building'!$B$4),char(34),",",char(34),"name",char(34),":",char(34),LOWER(C812),char(34),"}}"))</f>
        <v>{"asset":{"guid":"uuid://8ea1309e-d68b-402f-888a-70eabcae3dee","site":"in-blr-ananta","name":"vav-384"}}</v>
      </c>
      <c r="S812" s="237" t="s">
        <v>2866</v>
      </c>
      <c r="T812" s="330"/>
      <c r="U812" s="330"/>
      <c r="V812" s="331"/>
      <c r="W812" s="344"/>
      <c r="X812" s="341"/>
      <c r="Y812" s="33" t="s">
        <v>2867</v>
      </c>
      <c r="Z812" s="258">
        <v>120384.0</v>
      </c>
      <c r="AA812" s="334">
        <v>11541.0</v>
      </c>
      <c r="AB812" s="341"/>
      <c r="AC812" s="341"/>
      <c r="AD812" s="343"/>
      <c r="AE812" s="331"/>
      <c r="AF812" s="348"/>
      <c r="AG812" s="337"/>
      <c r="AH812" s="341"/>
      <c r="AI812" s="341"/>
      <c r="AJ812" s="341"/>
      <c r="AK812" s="341"/>
      <c r="AL812" s="341"/>
      <c r="AM812" s="338"/>
      <c r="AN812" s="341"/>
      <c r="AO812" s="341"/>
      <c r="AP812" s="341"/>
      <c r="AQ812" s="341"/>
      <c r="AR812" s="341"/>
      <c r="AS812" s="341"/>
      <c r="AT812" s="341"/>
      <c r="AU812" s="343"/>
      <c r="AV812" s="341"/>
      <c r="AW812" s="269" t="s">
        <v>2063</v>
      </c>
      <c r="AX812" s="334" t="s">
        <v>2869</v>
      </c>
      <c r="AY812" s="270" t="s">
        <v>695</v>
      </c>
      <c r="AZ812" s="173" t="s">
        <v>2866</v>
      </c>
      <c r="BA812" s="265">
        <v>10.0</v>
      </c>
      <c r="BB812" s="174" t="s">
        <v>245</v>
      </c>
      <c r="BC812" s="341"/>
      <c r="BD812" s="308"/>
      <c r="BE812" s="347"/>
      <c r="BF812" s="274" t="str">
        <f>IFERROR(__xludf.DUMMYFUNCTION("LOWER(Regexreplace(to_text(E812),""[^A-Za-z0-9]"","""")&amp;""_""&amp;Regexreplace(to_text(F812),""[^A-Za-z0-9]"",""""))"),"neptronic_evcbseries")</f>
        <v>neptronic_evcbseries</v>
      </c>
      <c r="BG812" s="275" t="str">
        <f>IFERROR(__xludf.DUMMYFUNCTION("upper(Regexreplace(to_text(E812),""[^A-Za-z0-9]"","""")&amp;""-""&amp;Regexreplace(to_text(F812),""[^A-Za-z0-9]"",""""))"),"NEPTRONIC-EVCBSERIES")</f>
        <v>NEPTRONIC-EVCBSERIES</v>
      </c>
    </row>
    <row r="813" ht="30.0" customHeight="1">
      <c r="A813" s="173">
        <v>805.0</v>
      </c>
      <c r="B813" s="237" t="s">
        <v>670</v>
      </c>
      <c r="C813" s="257" t="s">
        <v>3995</v>
      </c>
      <c r="D813" s="173" t="s">
        <v>3995</v>
      </c>
      <c r="E813" s="174" t="s">
        <v>2861</v>
      </c>
      <c r="F813" s="173" t="s">
        <v>2862</v>
      </c>
      <c r="G813" s="328" t="s">
        <v>673</v>
      </c>
      <c r="H813" s="328" t="s">
        <v>2863</v>
      </c>
      <c r="I813" s="258" t="s">
        <v>2864</v>
      </c>
      <c r="J813" s="259" t="s">
        <v>902</v>
      </c>
      <c r="K813" s="260" t="s">
        <v>3996</v>
      </c>
      <c r="L813" s="328"/>
      <c r="M813" s="343"/>
      <c r="N813" s="173" t="s">
        <v>679</v>
      </c>
      <c r="O813" s="173" t="s">
        <v>225</v>
      </c>
      <c r="P813" s="262" t="str">
        <f t="shared" si="1"/>
        <v>IN-BLR-ANANTA-VAV-385_2</v>
      </c>
      <c r="Q813" s="173" t="s">
        <v>3997</v>
      </c>
      <c r="R813" s="328" t="str">
        <f>IFS(C813="","",C813="n/a","N/A",LEN(C813),Concatenate("{",char(34),"asset",char(34),":{",char(34),"guid",char(34),":",char(34),Q813,char(34),",",char(34),"site",char(34),":",char(34),LOWER('2-Building'!$B$4),char(34),",",char(34),"name",char(34),":",char(34),LOWER(C813),char(34),"}}"))</f>
        <v>{"asset":{"guid":"uuid://877a39a7-3f64-45cb-898c-dca2f59ee55b","site":"in-blr-ananta","name":"vav-385"}}</v>
      </c>
      <c r="S813" s="237" t="s">
        <v>2866</v>
      </c>
      <c r="T813" s="330"/>
      <c r="U813" s="330"/>
      <c r="V813" s="331"/>
      <c r="W813" s="344"/>
      <c r="X813" s="341"/>
      <c r="Y813" s="33" t="s">
        <v>2867</v>
      </c>
      <c r="Z813" s="258">
        <v>120385.0</v>
      </c>
      <c r="AA813" s="334">
        <v>11541.0</v>
      </c>
      <c r="AB813" s="341"/>
      <c r="AC813" s="341"/>
      <c r="AD813" s="343"/>
      <c r="AE813" s="331"/>
      <c r="AF813" s="348"/>
      <c r="AG813" s="337"/>
      <c r="AH813" s="341"/>
      <c r="AI813" s="341"/>
      <c r="AJ813" s="341"/>
      <c r="AK813" s="341"/>
      <c r="AL813" s="341"/>
      <c r="AM813" s="338"/>
      <c r="AN813" s="341"/>
      <c r="AO813" s="341"/>
      <c r="AP813" s="341"/>
      <c r="AQ813" s="341"/>
      <c r="AR813" s="341"/>
      <c r="AS813" s="341"/>
      <c r="AT813" s="341"/>
      <c r="AU813" s="343"/>
      <c r="AV813" s="341"/>
      <c r="AW813" s="269" t="s">
        <v>2063</v>
      </c>
      <c r="AX813" s="334" t="s">
        <v>2869</v>
      </c>
      <c r="AY813" s="270" t="s">
        <v>695</v>
      </c>
      <c r="AZ813" s="173" t="s">
        <v>2866</v>
      </c>
      <c r="BA813" s="265">
        <v>10.0</v>
      </c>
      <c r="BB813" s="174" t="s">
        <v>245</v>
      </c>
      <c r="BC813" s="341"/>
      <c r="BD813" s="308"/>
      <c r="BE813" s="347"/>
      <c r="BF813" s="274" t="str">
        <f>IFERROR(__xludf.DUMMYFUNCTION("LOWER(Regexreplace(to_text(E813),""[^A-Za-z0-9]"","""")&amp;""_""&amp;Regexreplace(to_text(F813),""[^A-Za-z0-9]"",""""))"),"neptronic_evcbseries")</f>
        <v>neptronic_evcbseries</v>
      </c>
      <c r="BG813" s="275" t="str">
        <f>IFERROR(__xludf.DUMMYFUNCTION("upper(Regexreplace(to_text(E813),""[^A-Za-z0-9]"","""")&amp;""-""&amp;Regexreplace(to_text(F813),""[^A-Za-z0-9]"",""""))"),"NEPTRONIC-EVCBSERIES")</f>
        <v>NEPTRONIC-EVCBSERIES</v>
      </c>
    </row>
    <row r="814" ht="30.0" customHeight="1">
      <c r="A814" s="258">
        <v>806.0</v>
      </c>
      <c r="B814" s="237" t="s">
        <v>670</v>
      </c>
      <c r="C814" s="257" t="s">
        <v>3998</v>
      </c>
      <c r="D814" s="173" t="s">
        <v>3998</v>
      </c>
      <c r="E814" s="174" t="s">
        <v>2861</v>
      </c>
      <c r="F814" s="173" t="s">
        <v>2862</v>
      </c>
      <c r="G814" s="328" t="s">
        <v>673</v>
      </c>
      <c r="H814" s="328" t="s">
        <v>2863</v>
      </c>
      <c r="I814" s="258" t="s">
        <v>2864</v>
      </c>
      <c r="J814" s="259" t="s">
        <v>902</v>
      </c>
      <c r="K814" s="260" t="s">
        <v>3999</v>
      </c>
      <c r="L814" s="328"/>
      <c r="M814" s="343"/>
      <c r="N814" s="173" t="s">
        <v>679</v>
      </c>
      <c r="O814" s="173" t="s">
        <v>225</v>
      </c>
      <c r="P814" s="262" t="str">
        <f t="shared" si="1"/>
        <v>IN-BLR-ANANTA-VAV-386_2</v>
      </c>
      <c r="Q814" s="173" t="s">
        <v>4000</v>
      </c>
      <c r="R814" s="328" t="str">
        <f>IFS(C814="","",C814="n/a","N/A",LEN(C814),Concatenate("{",char(34),"asset",char(34),":{",char(34),"guid",char(34),":",char(34),Q814,char(34),",",char(34),"site",char(34),":",char(34),LOWER('2-Building'!$B$4),char(34),",",char(34),"name",char(34),":",char(34),LOWER(C814),char(34),"}}"))</f>
        <v>{"asset":{"guid":"uuid://16d17d1c-534f-45a1-9d55-8426d6c9f681","site":"in-blr-ananta","name":"vav-386"}}</v>
      </c>
      <c r="S814" s="237" t="s">
        <v>2866</v>
      </c>
      <c r="T814" s="330"/>
      <c r="U814" s="330"/>
      <c r="V814" s="331"/>
      <c r="W814" s="344"/>
      <c r="X814" s="341"/>
      <c r="Y814" s="33" t="s">
        <v>2867</v>
      </c>
      <c r="Z814" s="258">
        <v>120386.0</v>
      </c>
      <c r="AA814" s="334">
        <v>11541.0</v>
      </c>
      <c r="AB814" s="341"/>
      <c r="AC814" s="341"/>
      <c r="AD814" s="343"/>
      <c r="AE814" s="331"/>
      <c r="AF814" s="348"/>
      <c r="AG814" s="337"/>
      <c r="AH814" s="341"/>
      <c r="AI814" s="341"/>
      <c r="AJ814" s="341"/>
      <c r="AK814" s="341"/>
      <c r="AL814" s="341"/>
      <c r="AM814" s="338"/>
      <c r="AN814" s="341"/>
      <c r="AO814" s="341"/>
      <c r="AP814" s="341"/>
      <c r="AQ814" s="341"/>
      <c r="AR814" s="341"/>
      <c r="AS814" s="341"/>
      <c r="AT814" s="341"/>
      <c r="AU814" s="343"/>
      <c r="AV814" s="341"/>
      <c r="AW814" s="269" t="s">
        <v>2063</v>
      </c>
      <c r="AX814" s="334" t="s">
        <v>2869</v>
      </c>
      <c r="AY814" s="270" t="s">
        <v>695</v>
      </c>
      <c r="AZ814" s="173" t="s">
        <v>2866</v>
      </c>
      <c r="BA814" s="265">
        <v>10.0</v>
      </c>
      <c r="BB814" s="174" t="s">
        <v>245</v>
      </c>
      <c r="BC814" s="341"/>
      <c r="BD814" s="308"/>
      <c r="BE814" s="347"/>
      <c r="BF814" s="274" t="str">
        <f>IFERROR(__xludf.DUMMYFUNCTION("LOWER(Regexreplace(to_text(E814),""[^A-Za-z0-9]"","""")&amp;""_""&amp;Regexreplace(to_text(F814),""[^A-Za-z0-9]"",""""))"),"neptronic_evcbseries")</f>
        <v>neptronic_evcbseries</v>
      </c>
      <c r="BG814" s="275" t="str">
        <f>IFERROR(__xludf.DUMMYFUNCTION("upper(Regexreplace(to_text(E814),""[^A-Za-z0-9]"","""")&amp;""-""&amp;Regexreplace(to_text(F814),""[^A-Za-z0-9]"",""""))"),"NEPTRONIC-EVCBSERIES")</f>
        <v>NEPTRONIC-EVCBSERIES</v>
      </c>
    </row>
    <row r="815" ht="30.0" customHeight="1">
      <c r="A815" s="173">
        <v>807.0</v>
      </c>
      <c r="B815" s="237" t="s">
        <v>670</v>
      </c>
      <c r="C815" s="257" t="s">
        <v>4001</v>
      </c>
      <c r="D815" s="173" t="s">
        <v>4001</v>
      </c>
      <c r="E815" s="174" t="s">
        <v>2861</v>
      </c>
      <c r="F815" s="173" t="s">
        <v>2862</v>
      </c>
      <c r="G815" s="328" t="s">
        <v>673</v>
      </c>
      <c r="H815" s="328" t="s">
        <v>2863</v>
      </c>
      <c r="I815" s="258" t="s">
        <v>2864</v>
      </c>
      <c r="J815" s="259" t="s">
        <v>902</v>
      </c>
      <c r="K815" s="260" t="s">
        <v>4002</v>
      </c>
      <c r="L815" s="328"/>
      <c r="M815" s="343"/>
      <c r="N815" s="173" t="s">
        <v>679</v>
      </c>
      <c r="O815" s="173" t="s">
        <v>225</v>
      </c>
      <c r="P815" s="262" t="str">
        <f t="shared" si="1"/>
        <v>IN-BLR-ANANTA-VAV-387_2</v>
      </c>
      <c r="Q815" s="173" t="s">
        <v>4003</v>
      </c>
      <c r="R815" s="328" t="str">
        <f>IFS(C815="","",C815="n/a","N/A",LEN(C815),Concatenate("{",char(34),"asset",char(34),":{",char(34),"guid",char(34),":",char(34),Q815,char(34),",",char(34),"site",char(34),":",char(34),LOWER('2-Building'!$B$4),char(34),",",char(34),"name",char(34),":",char(34),LOWER(C815),char(34),"}}"))</f>
        <v>{"asset":{"guid":"uuid://c3c83d2f-8829-4d0c-bf74-8b7e6ff05314","site":"in-blr-ananta","name":"vav-387"}}</v>
      </c>
      <c r="S815" s="237" t="s">
        <v>2866</v>
      </c>
      <c r="T815" s="330"/>
      <c r="U815" s="330"/>
      <c r="V815" s="331"/>
      <c r="W815" s="344"/>
      <c r="X815" s="341"/>
      <c r="Y815" s="33" t="s">
        <v>2867</v>
      </c>
      <c r="Z815" s="258">
        <v>120387.0</v>
      </c>
      <c r="AA815" s="334">
        <v>11541.0</v>
      </c>
      <c r="AB815" s="341"/>
      <c r="AC815" s="341"/>
      <c r="AD815" s="343"/>
      <c r="AE815" s="331"/>
      <c r="AF815" s="348"/>
      <c r="AG815" s="337"/>
      <c r="AH815" s="341"/>
      <c r="AI815" s="341"/>
      <c r="AJ815" s="341"/>
      <c r="AK815" s="341"/>
      <c r="AL815" s="341"/>
      <c r="AM815" s="338"/>
      <c r="AN815" s="341"/>
      <c r="AO815" s="341"/>
      <c r="AP815" s="341"/>
      <c r="AQ815" s="341"/>
      <c r="AR815" s="341"/>
      <c r="AS815" s="341"/>
      <c r="AT815" s="341"/>
      <c r="AU815" s="343"/>
      <c r="AV815" s="341"/>
      <c r="AW815" s="269" t="s">
        <v>2063</v>
      </c>
      <c r="AX815" s="334" t="s">
        <v>2869</v>
      </c>
      <c r="AY815" s="270" t="s">
        <v>695</v>
      </c>
      <c r="AZ815" s="173" t="s">
        <v>2866</v>
      </c>
      <c r="BA815" s="265">
        <v>10.0</v>
      </c>
      <c r="BB815" s="174" t="s">
        <v>245</v>
      </c>
      <c r="BC815" s="341"/>
      <c r="BD815" s="308"/>
      <c r="BE815" s="347"/>
      <c r="BF815" s="274" t="str">
        <f>IFERROR(__xludf.DUMMYFUNCTION("LOWER(Regexreplace(to_text(E815),""[^A-Za-z0-9]"","""")&amp;""_""&amp;Regexreplace(to_text(F815),""[^A-Za-z0-9]"",""""))"),"neptronic_evcbseries")</f>
        <v>neptronic_evcbseries</v>
      </c>
      <c r="BG815" s="275" t="str">
        <f>IFERROR(__xludf.DUMMYFUNCTION("upper(Regexreplace(to_text(E815),""[^A-Za-z0-9]"","""")&amp;""-""&amp;Regexreplace(to_text(F815),""[^A-Za-z0-9]"",""""))"),"NEPTRONIC-EVCBSERIES")</f>
        <v>NEPTRONIC-EVCBSERIES</v>
      </c>
    </row>
    <row r="816" ht="30.0" customHeight="1">
      <c r="A816" s="258">
        <v>808.0</v>
      </c>
      <c r="B816" s="237" t="s">
        <v>670</v>
      </c>
      <c r="C816" s="257" t="s">
        <v>4004</v>
      </c>
      <c r="D816" s="173" t="s">
        <v>4004</v>
      </c>
      <c r="E816" s="174" t="s">
        <v>2861</v>
      </c>
      <c r="F816" s="173" t="s">
        <v>2862</v>
      </c>
      <c r="G816" s="328" t="s">
        <v>673</v>
      </c>
      <c r="H816" s="328" t="s">
        <v>2863</v>
      </c>
      <c r="I816" s="258" t="s">
        <v>2864</v>
      </c>
      <c r="J816" s="259" t="s">
        <v>902</v>
      </c>
      <c r="K816" s="260" t="s">
        <v>4005</v>
      </c>
      <c r="L816" s="328"/>
      <c r="M816" s="343"/>
      <c r="N816" s="173" t="s">
        <v>679</v>
      </c>
      <c r="O816" s="173" t="s">
        <v>225</v>
      </c>
      <c r="P816" s="262" t="str">
        <f t="shared" si="1"/>
        <v>IN-BLR-ANANTA-VAV-388_2</v>
      </c>
      <c r="Q816" s="173" t="s">
        <v>4006</v>
      </c>
      <c r="R816" s="328" t="str">
        <f>IFS(C816="","",C816="n/a","N/A",LEN(C816),Concatenate("{",char(34),"asset",char(34),":{",char(34),"guid",char(34),":",char(34),Q816,char(34),",",char(34),"site",char(34),":",char(34),LOWER('2-Building'!$B$4),char(34),",",char(34),"name",char(34),":",char(34),LOWER(C816),char(34),"}}"))</f>
        <v>{"asset":{"guid":"uuid://70ede1fb-dfbf-49e2-b13c-12e4de8036e2","site":"in-blr-ananta","name":"vav-388"}}</v>
      </c>
      <c r="S816" s="237" t="s">
        <v>2866</v>
      </c>
      <c r="T816" s="330"/>
      <c r="U816" s="330"/>
      <c r="V816" s="331"/>
      <c r="W816" s="344"/>
      <c r="X816" s="341"/>
      <c r="Y816" s="33" t="s">
        <v>2867</v>
      </c>
      <c r="Z816" s="258">
        <v>120388.0</v>
      </c>
      <c r="AA816" s="334">
        <v>11541.0</v>
      </c>
      <c r="AB816" s="341"/>
      <c r="AC816" s="341"/>
      <c r="AD816" s="343"/>
      <c r="AE816" s="331"/>
      <c r="AF816" s="348"/>
      <c r="AG816" s="337"/>
      <c r="AH816" s="341"/>
      <c r="AI816" s="341"/>
      <c r="AJ816" s="341"/>
      <c r="AK816" s="341"/>
      <c r="AL816" s="341"/>
      <c r="AM816" s="338"/>
      <c r="AN816" s="341"/>
      <c r="AO816" s="341"/>
      <c r="AP816" s="341"/>
      <c r="AQ816" s="341"/>
      <c r="AR816" s="341"/>
      <c r="AS816" s="341"/>
      <c r="AT816" s="341"/>
      <c r="AU816" s="343"/>
      <c r="AV816" s="341"/>
      <c r="AW816" s="269" t="s">
        <v>2063</v>
      </c>
      <c r="AX816" s="334" t="s">
        <v>2869</v>
      </c>
      <c r="AY816" s="270" t="s">
        <v>695</v>
      </c>
      <c r="AZ816" s="173" t="s">
        <v>2866</v>
      </c>
      <c r="BA816" s="265">
        <v>10.0</v>
      </c>
      <c r="BB816" s="174" t="s">
        <v>245</v>
      </c>
      <c r="BC816" s="341"/>
      <c r="BD816" s="308"/>
      <c r="BE816" s="347"/>
      <c r="BF816" s="274" t="str">
        <f>IFERROR(__xludf.DUMMYFUNCTION("LOWER(Regexreplace(to_text(E816),""[^A-Za-z0-9]"","""")&amp;""_""&amp;Regexreplace(to_text(F816),""[^A-Za-z0-9]"",""""))"),"neptronic_evcbseries")</f>
        <v>neptronic_evcbseries</v>
      </c>
      <c r="BG816" s="275" t="str">
        <f>IFERROR(__xludf.DUMMYFUNCTION("upper(Regexreplace(to_text(E816),""[^A-Za-z0-9]"","""")&amp;""-""&amp;Regexreplace(to_text(F816),""[^A-Za-z0-9]"",""""))"),"NEPTRONIC-EVCBSERIES")</f>
        <v>NEPTRONIC-EVCBSERIES</v>
      </c>
    </row>
    <row r="817" ht="30.0" customHeight="1">
      <c r="A817" s="173">
        <v>809.0</v>
      </c>
      <c r="B817" s="237" t="s">
        <v>670</v>
      </c>
      <c r="C817" s="257" t="s">
        <v>4007</v>
      </c>
      <c r="D817" s="173" t="s">
        <v>4007</v>
      </c>
      <c r="E817" s="174" t="s">
        <v>2861</v>
      </c>
      <c r="F817" s="173" t="s">
        <v>2862</v>
      </c>
      <c r="G817" s="328" t="s">
        <v>673</v>
      </c>
      <c r="H817" s="328" t="s">
        <v>2863</v>
      </c>
      <c r="I817" s="258" t="s">
        <v>2864</v>
      </c>
      <c r="J817" s="259" t="s">
        <v>965</v>
      </c>
      <c r="K817" s="260" t="s">
        <v>4008</v>
      </c>
      <c r="L817" s="328"/>
      <c r="M817" s="343"/>
      <c r="N817" s="173" t="s">
        <v>679</v>
      </c>
      <c r="O817" s="173" t="s">
        <v>225</v>
      </c>
      <c r="P817" s="262" t="str">
        <f t="shared" si="1"/>
        <v>IN-BLR-ANANTA-VAV-389_3</v>
      </c>
      <c r="Q817" s="173" t="s">
        <v>4009</v>
      </c>
      <c r="R817" s="328" t="str">
        <f>IFS(C817="","",C817="n/a","N/A",LEN(C817),Concatenate("{",char(34),"asset",char(34),":{",char(34),"guid",char(34),":",char(34),Q817,char(34),",",char(34),"site",char(34),":",char(34),LOWER('2-Building'!$B$4),char(34),",",char(34),"name",char(34),":",char(34),LOWER(C817),char(34),"}}"))</f>
        <v>{"asset":{"guid":"uuid://cce17bbc-a1ac-44bb-9622-b6762947f822","site":"in-blr-ananta","name":"vav-389"}}</v>
      </c>
      <c r="S817" s="237" t="s">
        <v>2866</v>
      </c>
      <c r="T817" s="330"/>
      <c r="U817" s="330"/>
      <c r="V817" s="331"/>
      <c r="W817" s="344"/>
      <c r="X817" s="341"/>
      <c r="Y817" s="33" t="s">
        <v>2867</v>
      </c>
      <c r="Z817" s="258">
        <v>120389.0</v>
      </c>
      <c r="AA817" s="334">
        <v>11545.0</v>
      </c>
      <c r="AB817" s="341"/>
      <c r="AC817" s="341"/>
      <c r="AD817" s="343"/>
      <c r="AE817" s="331"/>
      <c r="AF817" s="348"/>
      <c r="AG817" s="337"/>
      <c r="AH817" s="341"/>
      <c r="AI817" s="341"/>
      <c r="AJ817" s="341"/>
      <c r="AK817" s="341"/>
      <c r="AL817" s="341"/>
      <c r="AM817" s="338"/>
      <c r="AN817" s="341"/>
      <c r="AO817" s="341"/>
      <c r="AP817" s="341"/>
      <c r="AQ817" s="341"/>
      <c r="AR817" s="341"/>
      <c r="AS817" s="341"/>
      <c r="AT817" s="341"/>
      <c r="AU817" s="343"/>
      <c r="AV817" s="341"/>
      <c r="AW817" s="269" t="s">
        <v>2078</v>
      </c>
      <c r="AX817" s="334" t="s">
        <v>2869</v>
      </c>
      <c r="AY817" s="270" t="s">
        <v>695</v>
      </c>
      <c r="AZ817" s="173" t="s">
        <v>2866</v>
      </c>
      <c r="BA817" s="265">
        <v>10.0</v>
      </c>
      <c r="BB817" s="174" t="s">
        <v>245</v>
      </c>
      <c r="BC817" s="341"/>
      <c r="BD817" s="308"/>
      <c r="BE817" s="347"/>
      <c r="BF817" s="274" t="str">
        <f>IFERROR(__xludf.DUMMYFUNCTION("LOWER(Regexreplace(to_text(E817),""[^A-Za-z0-9]"","""")&amp;""_""&amp;Regexreplace(to_text(F817),""[^A-Za-z0-9]"",""""))"),"neptronic_evcbseries")</f>
        <v>neptronic_evcbseries</v>
      </c>
      <c r="BG817" s="275" t="str">
        <f>IFERROR(__xludf.DUMMYFUNCTION("upper(Regexreplace(to_text(E817),""[^A-Za-z0-9]"","""")&amp;""-""&amp;Regexreplace(to_text(F817),""[^A-Za-z0-9]"",""""))"),"NEPTRONIC-EVCBSERIES")</f>
        <v>NEPTRONIC-EVCBSERIES</v>
      </c>
    </row>
    <row r="818" ht="30.0" customHeight="1">
      <c r="A818" s="258">
        <v>810.0</v>
      </c>
      <c r="B818" s="237" t="s">
        <v>670</v>
      </c>
      <c r="C818" s="257" t="s">
        <v>4010</v>
      </c>
      <c r="D818" s="173" t="s">
        <v>4010</v>
      </c>
      <c r="E818" s="174" t="s">
        <v>2861</v>
      </c>
      <c r="F818" s="173" t="s">
        <v>2862</v>
      </c>
      <c r="G818" s="328" t="s">
        <v>673</v>
      </c>
      <c r="H818" s="328" t="s">
        <v>2863</v>
      </c>
      <c r="I818" s="258" t="s">
        <v>2864</v>
      </c>
      <c r="J818" s="259" t="s">
        <v>965</v>
      </c>
      <c r="K818" s="260" t="s">
        <v>4011</v>
      </c>
      <c r="L818" s="328"/>
      <c r="M818" s="343"/>
      <c r="N818" s="173" t="s">
        <v>679</v>
      </c>
      <c r="O818" s="173" t="s">
        <v>225</v>
      </c>
      <c r="P818" s="262" t="str">
        <f t="shared" si="1"/>
        <v>IN-BLR-ANANTA-VAV-390_3</v>
      </c>
      <c r="Q818" s="173" t="s">
        <v>4012</v>
      </c>
      <c r="R818" s="328" t="str">
        <f>IFS(C818="","",C818="n/a","N/A",LEN(C818),Concatenate("{",char(34),"asset",char(34),":{",char(34),"guid",char(34),":",char(34),Q818,char(34),",",char(34),"site",char(34),":",char(34),LOWER('2-Building'!$B$4),char(34),",",char(34),"name",char(34),":",char(34),LOWER(C818),char(34),"}}"))</f>
        <v>{"asset":{"guid":"uuid://5a373525-3f5d-410f-bd53-2aae71b4e3a6","site":"in-blr-ananta","name":"vav-390"}}</v>
      </c>
      <c r="S818" s="237" t="s">
        <v>2866</v>
      </c>
      <c r="T818" s="330"/>
      <c r="U818" s="330"/>
      <c r="V818" s="331"/>
      <c r="W818" s="344"/>
      <c r="X818" s="341"/>
      <c r="Y818" s="33" t="s">
        <v>2867</v>
      </c>
      <c r="Z818" s="258">
        <v>120390.0</v>
      </c>
      <c r="AA818" s="334">
        <v>11545.0</v>
      </c>
      <c r="AB818" s="341"/>
      <c r="AC818" s="341"/>
      <c r="AD818" s="343"/>
      <c r="AE818" s="331"/>
      <c r="AF818" s="348"/>
      <c r="AG818" s="337"/>
      <c r="AH818" s="341"/>
      <c r="AI818" s="341"/>
      <c r="AJ818" s="341"/>
      <c r="AK818" s="341"/>
      <c r="AL818" s="341"/>
      <c r="AM818" s="338"/>
      <c r="AN818" s="341"/>
      <c r="AO818" s="341"/>
      <c r="AP818" s="341"/>
      <c r="AQ818" s="341"/>
      <c r="AR818" s="341"/>
      <c r="AS818" s="341"/>
      <c r="AT818" s="341"/>
      <c r="AU818" s="343"/>
      <c r="AV818" s="341"/>
      <c r="AW818" s="269" t="s">
        <v>2078</v>
      </c>
      <c r="AX818" s="334" t="s">
        <v>2869</v>
      </c>
      <c r="AY818" s="270" t="s">
        <v>695</v>
      </c>
      <c r="AZ818" s="173" t="s">
        <v>2866</v>
      </c>
      <c r="BA818" s="265">
        <v>10.0</v>
      </c>
      <c r="BB818" s="174" t="s">
        <v>245</v>
      </c>
      <c r="BC818" s="341"/>
      <c r="BD818" s="308"/>
      <c r="BE818" s="347"/>
      <c r="BF818" s="274" t="str">
        <f>IFERROR(__xludf.DUMMYFUNCTION("LOWER(Regexreplace(to_text(E818),""[^A-Za-z0-9]"","""")&amp;""_""&amp;Regexreplace(to_text(F818),""[^A-Za-z0-9]"",""""))"),"neptronic_evcbseries")</f>
        <v>neptronic_evcbseries</v>
      </c>
      <c r="BG818" s="275" t="str">
        <f>IFERROR(__xludf.DUMMYFUNCTION("upper(Regexreplace(to_text(E818),""[^A-Za-z0-9]"","""")&amp;""-""&amp;Regexreplace(to_text(F818),""[^A-Za-z0-9]"",""""))"),"NEPTRONIC-EVCBSERIES")</f>
        <v>NEPTRONIC-EVCBSERIES</v>
      </c>
    </row>
    <row r="819" ht="30.0" customHeight="1">
      <c r="A819" s="173">
        <v>811.0</v>
      </c>
      <c r="B819" s="237" t="s">
        <v>670</v>
      </c>
      <c r="C819" s="257" t="s">
        <v>4013</v>
      </c>
      <c r="D819" s="173" t="s">
        <v>4013</v>
      </c>
      <c r="E819" s="174" t="s">
        <v>2861</v>
      </c>
      <c r="F819" s="173" t="s">
        <v>2862</v>
      </c>
      <c r="G819" s="328" t="s">
        <v>673</v>
      </c>
      <c r="H819" s="328" t="s">
        <v>2863</v>
      </c>
      <c r="I819" s="258" t="s">
        <v>2864</v>
      </c>
      <c r="J819" s="259" t="s">
        <v>965</v>
      </c>
      <c r="K819" s="260" t="s">
        <v>4014</v>
      </c>
      <c r="L819" s="328"/>
      <c r="M819" s="343"/>
      <c r="N819" s="173" t="s">
        <v>679</v>
      </c>
      <c r="O819" s="173" t="s">
        <v>225</v>
      </c>
      <c r="P819" s="262" t="str">
        <f t="shared" si="1"/>
        <v>IN-BLR-ANANTA-VAV-391_3</v>
      </c>
      <c r="Q819" s="173" t="s">
        <v>4015</v>
      </c>
      <c r="R819" s="328" t="str">
        <f>IFS(C819="","",C819="n/a","N/A",LEN(C819),Concatenate("{",char(34),"asset",char(34),":{",char(34),"guid",char(34),":",char(34),Q819,char(34),",",char(34),"site",char(34),":",char(34),LOWER('2-Building'!$B$4),char(34),",",char(34),"name",char(34),":",char(34),LOWER(C819),char(34),"}}"))</f>
        <v>{"asset":{"guid":"uuid://d22da028-1f4b-423e-97e1-2186e530a5dd","site":"in-blr-ananta","name":"vav-391"}}</v>
      </c>
      <c r="S819" s="237" t="s">
        <v>2866</v>
      </c>
      <c r="T819" s="330"/>
      <c r="U819" s="330"/>
      <c r="V819" s="331"/>
      <c r="W819" s="344"/>
      <c r="X819" s="341"/>
      <c r="Y819" s="33" t="s">
        <v>2867</v>
      </c>
      <c r="Z819" s="258">
        <v>120391.0</v>
      </c>
      <c r="AA819" s="334">
        <v>11545.0</v>
      </c>
      <c r="AB819" s="341"/>
      <c r="AC819" s="341"/>
      <c r="AD819" s="343"/>
      <c r="AE819" s="331"/>
      <c r="AF819" s="348"/>
      <c r="AG819" s="337"/>
      <c r="AH819" s="341"/>
      <c r="AI819" s="341"/>
      <c r="AJ819" s="341"/>
      <c r="AK819" s="341"/>
      <c r="AL819" s="341"/>
      <c r="AM819" s="338"/>
      <c r="AN819" s="341"/>
      <c r="AO819" s="341"/>
      <c r="AP819" s="341"/>
      <c r="AQ819" s="341"/>
      <c r="AR819" s="341"/>
      <c r="AS819" s="341"/>
      <c r="AT819" s="341"/>
      <c r="AU819" s="343"/>
      <c r="AV819" s="341"/>
      <c r="AW819" s="269" t="s">
        <v>2078</v>
      </c>
      <c r="AX819" s="334" t="s">
        <v>2869</v>
      </c>
      <c r="AY819" s="270" t="s">
        <v>695</v>
      </c>
      <c r="AZ819" s="173" t="s">
        <v>2866</v>
      </c>
      <c r="BA819" s="265">
        <v>10.0</v>
      </c>
      <c r="BB819" s="174" t="s">
        <v>245</v>
      </c>
      <c r="BC819" s="341"/>
      <c r="BD819" s="308"/>
      <c r="BE819" s="347"/>
      <c r="BF819" s="274" t="str">
        <f>IFERROR(__xludf.DUMMYFUNCTION("LOWER(Regexreplace(to_text(E819),""[^A-Za-z0-9]"","""")&amp;""_""&amp;Regexreplace(to_text(F819),""[^A-Za-z0-9]"",""""))"),"neptronic_evcbseries")</f>
        <v>neptronic_evcbseries</v>
      </c>
      <c r="BG819" s="275" t="str">
        <f>IFERROR(__xludf.DUMMYFUNCTION("upper(Regexreplace(to_text(E819),""[^A-Za-z0-9]"","""")&amp;""-""&amp;Regexreplace(to_text(F819),""[^A-Za-z0-9]"",""""))"),"NEPTRONIC-EVCBSERIES")</f>
        <v>NEPTRONIC-EVCBSERIES</v>
      </c>
    </row>
    <row r="820" ht="30.0" customHeight="1">
      <c r="A820" s="258">
        <v>812.0</v>
      </c>
      <c r="B820" s="237" t="s">
        <v>670</v>
      </c>
      <c r="C820" s="257" t="s">
        <v>4016</v>
      </c>
      <c r="D820" s="173" t="s">
        <v>4016</v>
      </c>
      <c r="E820" s="174" t="s">
        <v>2861</v>
      </c>
      <c r="F820" s="173" t="s">
        <v>2862</v>
      </c>
      <c r="G820" s="328" t="s">
        <v>673</v>
      </c>
      <c r="H820" s="328" t="s">
        <v>2863</v>
      </c>
      <c r="I820" s="258" t="s">
        <v>2864</v>
      </c>
      <c r="J820" s="259" t="s">
        <v>965</v>
      </c>
      <c r="K820" s="260" t="s">
        <v>4017</v>
      </c>
      <c r="L820" s="328"/>
      <c r="M820" s="343"/>
      <c r="N820" s="173" t="s">
        <v>679</v>
      </c>
      <c r="O820" s="173" t="s">
        <v>225</v>
      </c>
      <c r="P820" s="262" t="str">
        <f t="shared" si="1"/>
        <v>IN-BLR-ANANTA-VAV-392_3</v>
      </c>
      <c r="Q820" s="173" t="s">
        <v>4018</v>
      </c>
      <c r="R820" s="328" t="str">
        <f>IFS(C820="","",C820="n/a","N/A",LEN(C820),Concatenate("{",char(34),"asset",char(34),":{",char(34),"guid",char(34),":",char(34),Q820,char(34),",",char(34),"site",char(34),":",char(34),LOWER('2-Building'!$B$4),char(34),",",char(34),"name",char(34),":",char(34),LOWER(C820),char(34),"}}"))</f>
        <v>{"asset":{"guid":"uuid://c57e8acc-5215-48b9-bbca-80100149a88f","site":"in-blr-ananta","name":"vav-392"}}</v>
      </c>
      <c r="S820" s="237" t="s">
        <v>2866</v>
      </c>
      <c r="T820" s="330"/>
      <c r="U820" s="330"/>
      <c r="V820" s="331"/>
      <c r="W820" s="344"/>
      <c r="X820" s="341"/>
      <c r="Y820" s="33" t="s">
        <v>2867</v>
      </c>
      <c r="Z820" s="258">
        <v>120392.0</v>
      </c>
      <c r="AA820" s="334">
        <v>11545.0</v>
      </c>
      <c r="AB820" s="341"/>
      <c r="AC820" s="341"/>
      <c r="AD820" s="343"/>
      <c r="AE820" s="331"/>
      <c r="AF820" s="348"/>
      <c r="AG820" s="337"/>
      <c r="AH820" s="341"/>
      <c r="AI820" s="341"/>
      <c r="AJ820" s="341"/>
      <c r="AK820" s="341"/>
      <c r="AL820" s="341"/>
      <c r="AM820" s="338"/>
      <c r="AN820" s="341"/>
      <c r="AO820" s="341"/>
      <c r="AP820" s="341"/>
      <c r="AQ820" s="341"/>
      <c r="AR820" s="341"/>
      <c r="AS820" s="341"/>
      <c r="AT820" s="341"/>
      <c r="AU820" s="343"/>
      <c r="AV820" s="341"/>
      <c r="AW820" s="269" t="s">
        <v>2078</v>
      </c>
      <c r="AX820" s="334" t="s">
        <v>2869</v>
      </c>
      <c r="AY820" s="270" t="s">
        <v>695</v>
      </c>
      <c r="AZ820" s="173" t="s">
        <v>2866</v>
      </c>
      <c r="BA820" s="265">
        <v>10.0</v>
      </c>
      <c r="BB820" s="174" t="s">
        <v>245</v>
      </c>
      <c r="BC820" s="341"/>
      <c r="BD820" s="308"/>
      <c r="BE820" s="347"/>
      <c r="BF820" s="274" t="str">
        <f>IFERROR(__xludf.DUMMYFUNCTION("LOWER(Regexreplace(to_text(E820),""[^A-Za-z0-9]"","""")&amp;""_""&amp;Regexreplace(to_text(F820),""[^A-Za-z0-9]"",""""))"),"neptronic_evcbseries")</f>
        <v>neptronic_evcbseries</v>
      </c>
      <c r="BG820" s="275" t="str">
        <f>IFERROR(__xludf.DUMMYFUNCTION("upper(Regexreplace(to_text(E820),""[^A-Za-z0-9]"","""")&amp;""-""&amp;Regexreplace(to_text(F820),""[^A-Za-z0-9]"",""""))"),"NEPTRONIC-EVCBSERIES")</f>
        <v>NEPTRONIC-EVCBSERIES</v>
      </c>
    </row>
    <row r="821" ht="30.0" customHeight="1">
      <c r="A821" s="173">
        <v>813.0</v>
      </c>
      <c r="B821" s="237" t="s">
        <v>670</v>
      </c>
      <c r="C821" s="257" t="s">
        <v>4019</v>
      </c>
      <c r="D821" s="173" t="s">
        <v>4019</v>
      </c>
      <c r="E821" s="174" t="s">
        <v>2861</v>
      </c>
      <c r="F821" s="173" t="s">
        <v>2862</v>
      </c>
      <c r="G821" s="328" t="s">
        <v>673</v>
      </c>
      <c r="H821" s="328" t="s">
        <v>2863</v>
      </c>
      <c r="I821" s="258" t="s">
        <v>2864</v>
      </c>
      <c r="J821" s="259" t="s">
        <v>965</v>
      </c>
      <c r="K821" s="260" t="s">
        <v>4020</v>
      </c>
      <c r="L821" s="328"/>
      <c r="M821" s="343"/>
      <c r="N821" s="173" t="s">
        <v>679</v>
      </c>
      <c r="O821" s="173" t="s">
        <v>225</v>
      </c>
      <c r="P821" s="262" t="str">
        <f t="shared" si="1"/>
        <v>IN-BLR-ANANTA-VAV-393_3</v>
      </c>
      <c r="Q821" s="173" t="s">
        <v>4021</v>
      </c>
      <c r="R821" s="328" t="str">
        <f>IFS(C821="","",C821="n/a","N/A",LEN(C821),Concatenate("{",char(34),"asset",char(34),":{",char(34),"guid",char(34),":",char(34),Q821,char(34),",",char(34),"site",char(34),":",char(34),LOWER('2-Building'!$B$4),char(34),",",char(34),"name",char(34),":",char(34),LOWER(C821),char(34),"}}"))</f>
        <v>{"asset":{"guid":"uuid://6379fa1e-c02e-4d52-87d2-47b92a8cb3ff","site":"in-blr-ananta","name":"vav-393"}}</v>
      </c>
      <c r="S821" s="237" t="s">
        <v>2866</v>
      </c>
      <c r="T821" s="330"/>
      <c r="U821" s="330"/>
      <c r="V821" s="331"/>
      <c r="W821" s="344"/>
      <c r="X821" s="341"/>
      <c r="Y821" s="33" t="s">
        <v>2867</v>
      </c>
      <c r="Z821" s="258">
        <v>120393.0</v>
      </c>
      <c r="AA821" s="334">
        <v>11545.0</v>
      </c>
      <c r="AB821" s="341"/>
      <c r="AC821" s="341"/>
      <c r="AD821" s="343"/>
      <c r="AE821" s="331"/>
      <c r="AF821" s="348"/>
      <c r="AG821" s="337"/>
      <c r="AH821" s="341"/>
      <c r="AI821" s="341"/>
      <c r="AJ821" s="341"/>
      <c r="AK821" s="341"/>
      <c r="AL821" s="341"/>
      <c r="AM821" s="338"/>
      <c r="AN821" s="341"/>
      <c r="AO821" s="341"/>
      <c r="AP821" s="341"/>
      <c r="AQ821" s="341"/>
      <c r="AR821" s="341"/>
      <c r="AS821" s="341"/>
      <c r="AT821" s="341"/>
      <c r="AU821" s="343"/>
      <c r="AV821" s="341"/>
      <c r="AW821" s="269" t="s">
        <v>2078</v>
      </c>
      <c r="AX821" s="334" t="s">
        <v>2869</v>
      </c>
      <c r="AY821" s="270" t="s">
        <v>695</v>
      </c>
      <c r="AZ821" s="173" t="s">
        <v>2866</v>
      </c>
      <c r="BA821" s="265">
        <v>10.0</v>
      </c>
      <c r="BB821" s="174" t="s">
        <v>245</v>
      </c>
      <c r="BC821" s="341"/>
      <c r="BD821" s="308"/>
      <c r="BE821" s="347"/>
      <c r="BF821" s="274" t="str">
        <f>IFERROR(__xludf.DUMMYFUNCTION("LOWER(Regexreplace(to_text(E821),""[^A-Za-z0-9]"","""")&amp;""_""&amp;Regexreplace(to_text(F821),""[^A-Za-z0-9]"",""""))"),"neptronic_evcbseries")</f>
        <v>neptronic_evcbseries</v>
      </c>
      <c r="BG821" s="275" t="str">
        <f>IFERROR(__xludf.DUMMYFUNCTION("upper(Regexreplace(to_text(E821),""[^A-Za-z0-9]"","""")&amp;""-""&amp;Regexreplace(to_text(F821),""[^A-Za-z0-9]"",""""))"),"NEPTRONIC-EVCBSERIES")</f>
        <v>NEPTRONIC-EVCBSERIES</v>
      </c>
    </row>
    <row r="822" ht="30.0" customHeight="1">
      <c r="A822" s="258">
        <v>814.0</v>
      </c>
      <c r="B822" s="237" t="s">
        <v>670</v>
      </c>
      <c r="C822" s="257" t="s">
        <v>4022</v>
      </c>
      <c r="D822" s="173" t="s">
        <v>4022</v>
      </c>
      <c r="E822" s="174" t="s">
        <v>2861</v>
      </c>
      <c r="F822" s="173" t="s">
        <v>2862</v>
      </c>
      <c r="G822" s="328" t="s">
        <v>673</v>
      </c>
      <c r="H822" s="328" t="s">
        <v>2863</v>
      </c>
      <c r="I822" s="258" t="s">
        <v>2864</v>
      </c>
      <c r="J822" s="259" t="s">
        <v>965</v>
      </c>
      <c r="K822" s="260" t="s">
        <v>4023</v>
      </c>
      <c r="L822" s="328"/>
      <c r="M822" s="343"/>
      <c r="N822" s="173" t="s">
        <v>679</v>
      </c>
      <c r="O822" s="173" t="s">
        <v>225</v>
      </c>
      <c r="P822" s="262" t="str">
        <f t="shared" si="1"/>
        <v>IN-BLR-ANANTA-VAV-394_3</v>
      </c>
      <c r="Q822" s="173" t="s">
        <v>4024</v>
      </c>
      <c r="R822" s="328" t="str">
        <f>IFS(C822="","",C822="n/a","N/A",LEN(C822),Concatenate("{",char(34),"asset",char(34),":{",char(34),"guid",char(34),":",char(34),Q822,char(34),",",char(34),"site",char(34),":",char(34),LOWER('2-Building'!$B$4),char(34),",",char(34),"name",char(34),":",char(34),LOWER(C822),char(34),"}}"))</f>
        <v>{"asset":{"guid":"uuid://4452b3e1-fdd4-44fe-8f61-db4fb400ceab","site":"in-blr-ananta","name":"vav-394"}}</v>
      </c>
      <c r="S822" s="237" t="s">
        <v>2866</v>
      </c>
      <c r="T822" s="330"/>
      <c r="U822" s="330"/>
      <c r="V822" s="331"/>
      <c r="W822" s="344"/>
      <c r="X822" s="341"/>
      <c r="Y822" s="33" t="s">
        <v>2867</v>
      </c>
      <c r="Z822" s="258">
        <v>120394.0</v>
      </c>
      <c r="AA822" s="334">
        <v>11545.0</v>
      </c>
      <c r="AB822" s="341"/>
      <c r="AC822" s="341"/>
      <c r="AD822" s="343"/>
      <c r="AE822" s="331"/>
      <c r="AF822" s="348"/>
      <c r="AG822" s="337"/>
      <c r="AH822" s="341"/>
      <c r="AI822" s="341"/>
      <c r="AJ822" s="341"/>
      <c r="AK822" s="341"/>
      <c r="AL822" s="341"/>
      <c r="AM822" s="338"/>
      <c r="AN822" s="341"/>
      <c r="AO822" s="341"/>
      <c r="AP822" s="341"/>
      <c r="AQ822" s="341"/>
      <c r="AR822" s="341"/>
      <c r="AS822" s="341"/>
      <c r="AT822" s="341"/>
      <c r="AU822" s="343"/>
      <c r="AV822" s="341"/>
      <c r="AW822" s="269" t="s">
        <v>2078</v>
      </c>
      <c r="AX822" s="334" t="s">
        <v>2869</v>
      </c>
      <c r="AY822" s="270" t="s">
        <v>695</v>
      </c>
      <c r="AZ822" s="173" t="s">
        <v>2866</v>
      </c>
      <c r="BA822" s="265">
        <v>10.0</v>
      </c>
      <c r="BB822" s="174" t="s">
        <v>245</v>
      </c>
      <c r="BC822" s="341"/>
      <c r="BD822" s="308"/>
      <c r="BE822" s="347"/>
      <c r="BF822" s="274" t="str">
        <f>IFERROR(__xludf.DUMMYFUNCTION("LOWER(Regexreplace(to_text(E822),""[^A-Za-z0-9]"","""")&amp;""_""&amp;Regexreplace(to_text(F822),""[^A-Za-z0-9]"",""""))"),"neptronic_evcbseries")</f>
        <v>neptronic_evcbseries</v>
      </c>
      <c r="BG822" s="275" t="str">
        <f>IFERROR(__xludf.DUMMYFUNCTION("upper(Regexreplace(to_text(E822),""[^A-Za-z0-9]"","""")&amp;""-""&amp;Regexreplace(to_text(F822),""[^A-Za-z0-9]"",""""))"),"NEPTRONIC-EVCBSERIES")</f>
        <v>NEPTRONIC-EVCBSERIES</v>
      </c>
    </row>
    <row r="823" ht="30.0" customHeight="1">
      <c r="A823" s="173">
        <v>815.0</v>
      </c>
      <c r="B823" s="237" t="s">
        <v>670</v>
      </c>
      <c r="C823" s="257" t="s">
        <v>4025</v>
      </c>
      <c r="D823" s="173" t="s">
        <v>4025</v>
      </c>
      <c r="E823" s="174" t="s">
        <v>2861</v>
      </c>
      <c r="F823" s="173" t="s">
        <v>2862</v>
      </c>
      <c r="G823" s="328" t="s">
        <v>673</v>
      </c>
      <c r="H823" s="328" t="s">
        <v>2863</v>
      </c>
      <c r="I823" s="258" t="s">
        <v>2864</v>
      </c>
      <c r="J823" s="259" t="s">
        <v>965</v>
      </c>
      <c r="K823" s="260" t="s">
        <v>4026</v>
      </c>
      <c r="L823" s="328"/>
      <c r="M823" s="343"/>
      <c r="N823" s="173" t="s">
        <v>679</v>
      </c>
      <c r="O823" s="173" t="s">
        <v>225</v>
      </c>
      <c r="P823" s="262" t="str">
        <f t="shared" si="1"/>
        <v>IN-BLR-ANANTA-VAV-395_3</v>
      </c>
      <c r="Q823" s="173" t="s">
        <v>4027</v>
      </c>
      <c r="R823" s="328" t="str">
        <f>IFS(C823="","",C823="n/a","N/A",LEN(C823),Concatenate("{",char(34),"asset",char(34),":{",char(34),"guid",char(34),":",char(34),Q823,char(34),",",char(34),"site",char(34),":",char(34),LOWER('2-Building'!$B$4),char(34),",",char(34),"name",char(34),":",char(34),LOWER(C823),char(34),"}}"))</f>
        <v>{"asset":{"guid":"uuid://89236733-bae8-4c9c-a5ea-0df8cf3f3171","site":"in-blr-ananta","name":"vav-395"}}</v>
      </c>
      <c r="S823" s="237" t="s">
        <v>2866</v>
      </c>
      <c r="T823" s="330"/>
      <c r="U823" s="330"/>
      <c r="V823" s="331"/>
      <c r="W823" s="344"/>
      <c r="X823" s="341"/>
      <c r="Y823" s="33" t="s">
        <v>2867</v>
      </c>
      <c r="Z823" s="258">
        <v>120395.0</v>
      </c>
      <c r="AA823" s="334">
        <v>11545.0</v>
      </c>
      <c r="AB823" s="341"/>
      <c r="AC823" s="341"/>
      <c r="AD823" s="343"/>
      <c r="AE823" s="331"/>
      <c r="AF823" s="348"/>
      <c r="AG823" s="337"/>
      <c r="AH823" s="341"/>
      <c r="AI823" s="341"/>
      <c r="AJ823" s="341"/>
      <c r="AK823" s="341"/>
      <c r="AL823" s="341"/>
      <c r="AM823" s="338"/>
      <c r="AN823" s="341"/>
      <c r="AO823" s="341"/>
      <c r="AP823" s="341"/>
      <c r="AQ823" s="341"/>
      <c r="AR823" s="341"/>
      <c r="AS823" s="341"/>
      <c r="AT823" s="341"/>
      <c r="AU823" s="343"/>
      <c r="AV823" s="341"/>
      <c r="AW823" s="269" t="s">
        <v>2078</v>
      </c>
      <c r="AX823" s="334" t="s">
        <v>2869</v>
      </c>
      <c r="AY823" s="270" t="s">
        <v>695</v>
      </c>
      <c r="AZ823" s="173" t="s">
        <v>2866</v>
      </c>
      <c r="BA823" s="265">
        <v>10.0</v>
      </c>
      <c r="BB823" s="174" t="s">
        <v>245</v>
      </c>
      <c r="BC823" s="341"/>
      <c r="BD823" s="308"/>
      <c r="BE823" s="347"/>
      <c r="BF823" s="274" t="str">
        <f>IFERROR(__xludf.DUMMYFUNCTION("LOWER(Regexreplace(to_text(E823),""[^A-Za-z0-9]"","""")&amp;""_""&amp;Regexreplace(to_text(F823),""[^A-Za-z0-9]"",""""))"),"neptronic_evcbseries")</f>
        <v>neptronic_evcbseries</v>
      </c>
      <c r="BG823" s="275" t="str">
        <f>IFERROR(__xludf.DUMMYFUNCTION("upper(Regexreplace(to_text(E823),""[^A-Za-z0-9]"","""")&amp;""-""&amp;Regexreplace(to_text(F823),""[^A-Za-z0-9]"",""""))"),"NEPTRONIC-EVCBSERIES")</f>
        <v>NEPTRONIC-EVCBSERIES</v>
      </c>
    </row>
    <row r="824" ht="30.0" customHeight="1">
      <c r="A824" s="258">
        <v>816.0</v>
      </c>
      <c r="B824" s="237" t="s">
        <v>670</v>
      </c>
      <c r="C824" s="257" t="s">
        <v>4028</v>
      </c>
      <c r="D824" s="173" t="s">
        <v>4028</v>
      </c>
      <c r="E824" s="174" t="s">
        <v>2861</v>
      </c>
      <c r="F824" s="173" t="s">
        <v>2862</v>
      </c>
      <c r="G824" s="328" t="s">
        <v>673</v>
      </c>
      <c r="H824" s="328" t="s">
        <v>2863</v>
      </c>
      <c r="I824" s="258" t="s">
        <v>2864</v>
      </c>
      <c r="J824" s="259" t="s">
        <v>965</v>
      </c>
      <c r="K824" s="260" t="s">
        <v>4029</v>
      </c>
      <c r="L824" s="328"/>
      <c r="M824" s="343"/>
      <c r="N824" s="173" t="s">
        <v>679</v>
      </c>
      <c r="O824" s="173" t="s">
        <v>225</v>
      </c>
      <c r="P824" s="262" t="str">
        <f t="shared" si="1"/>
        <v>IN-BLR-ANANTA-VAV-396_3</v>
      </c>
      <c r="Q824" s="173" t="s">
        <v>4030</v>
      </c>
      <c r="R824" s="328" t="str">
        <f>IFS(C824="","",C824="n/a","N/A",LEN(C824),Concatenate("{",char(34),"asset",char(34),":{",char(34),"guid",char(34),":",char(34),Q824,char(34),",",char(34),"site",char(34),":",char(34),LOWER('2-Building'!$B$4),char(34),",",char(34),"name",char(34),":",char(34),LOWER(C824),char(34),"}}"))</f>
        <v>{"asset":{"guid":"uuid://4072d47f-6419-43ea-bf94-0d99108099b6","site":"in-blr-ananta","name":"vav-396"}}</v>
      </c>
      <c r="S824" s="237" t="s">
        <v>2866</v>
      </c>
      <c r="T824" s="330"/>
      <c r="U824" s="330"/>
      <c r="V824" s="331"/>
      <c r="W824" s="344"/>
      <c r="X824" s="341"/>
      <c r="Y824" s="33" t="s">
        <v>2867</v>
      </c>
      <c r="Z824" s="258">
        <v>120396.0</v>
      </c>
      <c r="AA824" s="334">
        <v>11545.0</v>
      </c>
      <c r="AB824" s="341"/>
      <c r="AC824" s="341"/>
      <c r="AD824" s="343"/>
      <c r="AE824" s="331"/>
      <c r="AF824" s="348"/>
      <c r="AG824" s="337"/>
      <c r="AH824" s="341"/>
      <c r="AI824" s="341"/>
      <c r="AJ824" s="341"/>
      <c r="AK824" s="341"/>
      <c r="AL824" s="341"/>
      <c r="AM824" s="338"/>
      <c r="AN824" s="341"/>
      <c r="AO824" s="341"/>
      <c r="AP824" s="341"/>
      <c r="AQ824" s="341"/>
      <c r="AR824" s="341"/>
      <c r="AS824" s="341"/>
      <c r="AT824" s="341"/>
      <c r="AU824" s="343"/>
      <c r="AV824" s="341"/>
      <c r="AW824" s="269" t="s">
        <v>2078</v>
      </c>
      <c r="AX824" s="334" t="s">
        <v>2869</v>
      </c>
      <c r="AY824" s="270" t="s">
        <v>695</v>
      </c>
      <c r="AZ824" s="173" t="s">
        <v>2866</v>
      </c>
      <c r="BA824" s="265">
        <v>10.0</v>
      </c>
      <c r="BB824" s="174" t="s">
        <v>245</v>
      </c>
      <c r="BC824" s="341"/>
      <c r="BD824" s="308"/>
      <c r="BE824" s="347"/>
      <c r="BF824" s="274" t="str">
        <f>IFERROR(__xludf.DUMMYFUNCTION("LOWER(Regexreplace(to_text(E824),""[^A-Za-z0-9]"","""")&amp;""_""&amp;Regexreplace(to_text(F824),""[^A-Za-z0-9]"",""""))"),"neptronic_evcbseries")</f>
        <v>neptronic_evcbseries</v>
      </c>
      <c r="BG824" s="275" t="str">
        <f>IFERROR(__xludf.DUMMYFUNCTION("upper(Regexreplace(to_text(E824),""[^A-Za-z0-9]"","""")&amp;""-""&amp;Regexreplace(to_text(F824),""[^A-Za-z0-9]"",""""))"),"NEPTRONIC-EVCBSERIES")</f>
        <v>NEPTRONIC-EVCBSERIES</v>
      </c>
    </row>
    <row r="825" ht="30.0" customHeight="1">
      <c r="A825" s="173">
        <v>817.0</v>
      </c>
      <c r="B825" s="237" t="s">
        <v>670</v>
      </c>
      <c r="C825" s="257" t="s">
        <v>4031</v>
      </c>
      <c r="D825" s="173" t="s">
        <v>4031</v>
      </c>
      <c r="E825" s="174" t="s">
        <v>2861</v>
      </c>
      <c r="F825" s="173" t="s">
        <v>2862</v>
      </c>
      <c r="G825" s="328" t="s">
        <v>673</v>
      </c>
      <c r="H825" s="328" t="s">
        <v>2863</v>
      </c>
      <c r="I825" s="258" t="s">
        <v>2864</v>
      </c>
      <c r="J825" s="259" t="s">
        <v>965</v>
      </c>
      <c r="K825" s="260" t="s">
        <v>4032</v>
      </c>
      <c r="L825" s="328"/>
      <c r="M825" s="343"/>
      <c r="N825" s="173" t="s">
        <v>679</v>
      </c>
      <c r="O825" s="173" t="s">
        <v>225</v>
      </c>
      <c r="P825" s="262" t="str">
        <f t="shared" si="1"/>
        <v>IN-BLR-ANANTA-VAV-397_3</v>
      </c>
      <c r="Q825" s="173" t="s">
        <v>4033</v>
      </c>
      <c r="R825" s="328" t="str">
        <f>IFS(C825="","",C825="n/a","N/A",LEN(C825),Concatenate("{",char(34),"asset",char(34),":{",char(34),"guid",char(34),":",char(34),Q825,char(34),",",char(34),"site",char(34),":",char(34),LOWER('2-Building'!$B$4),char(34),",",char(34),"name",char(34),":",char(34),LOWER(C825),char(34),"}}"))</f>
        <v>{"asset":{"guid":"uuid://16342a04-92d1-4f62-a445-d2e9e04daf99","site":"in-blr-ananta","name":"vav-397"}}</v>
      </c>
      <c r="S825" s="237" t="s">
        <v>2866</v>
      </c>
      <c r="T825" s="330"/>
      <c r="U825" s="330"/>
      <c r="V825" s="331"/>
      <c r="W825" s="344"/>
      <c r="X825" s="341"/>
      <c r="Y825" s="33" t="s">
        <v>2867</v>
      </c>
      <c r="Z825" s="258">
        <v>120397.0</v>
      </c>
      <c r="AA825" s="334">
        <v>11545.0</v>
      </c>
      <c r="AB825" s="341"/>
      <c r="AC825" s="341"/>
      <c r="AD825" s="343"/>
      <c r="AE825" s="331"/>
      <c r="AF825" s="348"/>
      <c r="AG825" s="337"/>
      <c r="AH825" s="341"/>
      <c r="AI825" s="341"/>
      <c r="AJ825" s="341"/>
      <c r="AK825" s="341"/>
      <c r="AL825" s="341"/>
      <c r="AM825" s="338"/>
      <c r="AN825" s="341"/>
      <c r="AO825" s="341"/>
      <c r="AP825" s="341"/>
      <c r="AQ825" s="341"/>
      <c r="AR825" s="341"/>
      <c r="AS825" s="341"/>
      <c r="AT825" s="341"/>
      <c r="AU825" s="343"/>
      <c r="AV825" s="341"/>
      <c r="AW825" s="269" t="s">
        <v>2078</v>
      </c>
      <c r="AX825" s="334" t="s">
        <v>2869</v>
      </c>
      <c r="AY825" s="270" t="s">
        <v>695</v>
      </c>
      <c r="AZ825" s="173" t="s">
        <v>2866</v>
      </c>
      <c r="BA825" s="265">
        <v>10.0</v>
      </c>
      <c r="BB825" s="174" t="s">
        <v>245</v>
      </c>
      <c r="BC825" s="341"/>
      <c r="BD825" s="308"/>
      <c r="BE825" s="347"/>
      <c r="BF825" s="274" t="str">
        <f>IFERROR(__xludf.DUMMYFUNCTION("LOWER(Regexreplace(to_text(E825),""[^A-Za-z0-9]"","""")&amp;""_""&amp;Regexreplace(to_text(F825),""[^A-Za-z0-9]"",""""))"),"neptronic_evcbseries")</f>
        <v>neptronic_evcbseries</v>
      </c>
      <c r="BG825" s="275" t="str">
        <f>IFERROR(__xludf.DUMMYFUNCTION("upper(Regexreplace(to_text(E825),""[^A-Za-z0-9]"","""")&amp;""-""&amp;Regexreplace(to_text(F825),""[^A-Za-z0-9]"",""""))"),"NEPTRONIC-EVCBSERIES")</f>
        <v>NEPTRONIC-EVCBSERIES</v>
      </c>
    </row>
    <row r="826" ht="30.0" customHeight="1">
      <c r="A826" s="258">
        <v>818.0</v>
      </c>
      <c r="B826" s="237" t="s">
        <v>670</v>
      </c>
      <c r="C826" s="257" t="s">
        <v>4034</v>
      </c>
      <c r="D826" s="173" t="s">
        <v>4034</v>
      </c>
      <c r="E826" s="174" t="s">
        <v>2861</v>
      </c>
      <c r="F826" s="173" t="s">
        <v>2862</v>
      </c>
      <c r="G826" s="328" t="s">
        <v>673</v>
      </c>
      <c r="H826" s="328" t="s">
        <v>2863</v>
      </c>
      <c r="I826" s="258" t="s">
        <v>2864</v>
      </c>
      <c r="J826" s="259" t="s">
        <v>965</v>
      </c>
      <c r="K826" s="260" t="s">
        <v>4035</v>
      </c>
      <c r="L826" s="328"/>
      <c r="M826" s="343"/>
      <c r="N826" s="173" t="s">
        <v>679</v>
      </c>
      <c r="O826" s="173" t="s">
        <v>225</v>
      </c>
      <c r="P826" s="262" t="str">
        <f t="shared" si="1"/>
        <v>IN-BLR-ANANTA-VAV-398_3</v>
      </c>
      <c r="Q826" s="173" t="s">
        <v>4036</v>
      </c>
      <c r="R826" s="328" t="str">
        <f>IFS(C826="","",C826="n/a","N/A",LEN(C826),Concatenate("{",char(34),"asset",char(34),":{",char(34),"guid",char(34),":",char(34),Q826,char(34),",",char(34),"site",char(34),":",char(34),LOWER('2-Building'!$B$4),char(34),",",char(34),"name",char(34),":",char(34),LOWER(C826),char(34),"}}"))</f>
        <v>{"asset":{"guid":"uuid://81c5aedf-923d-40da-8964-b048799bb312","site":"in-blr-ananta","name":"vav-398"}}</v>
      </c>
      <c r="S826" s="237" t="s">
        <v>2866</v>
      </c>
      <c r="T826" s="330"/>
      <c r="U826" s="330"/>
      <c r="V826" s="331"/>
      <c r="W826" s="344"/>
      <c r="X826" s="341"/>
      <c r="Y826" s="33" t="s">
        <v>2867</v>
      </c>
      <c r="Z826" s="258">
        <v>120398.0</v>
      </c>
      <c r="AA826" s="334">
        <v>11545.0</v>
      </c>
      <c r="AB826" s="341"/>
      <c r="AC826" s="341"/>
      <c r="AD826" s="343"/>
      <c r="AE826" s="331"/>
      <c r="AF826" s="348"/>
      <c r="AG826" s="337"/>
      <c r="AH826" s="341"/>
      <c r="AI826" s="341"/>
      <c r="AJ826" s="341"/>
      <c r="AK826" s="341"/>
      <c r="AL826" s="341"/>
      <c r="AM826" s="338"/>
      <c r="AN826" s="341"/>
      <c r="AO826" s="341"/>
      <c r="AP826" s="341"/>
      <c r="AQ826" s="341"/>
      <c r="AR826" s="341"/>
      <c r="AS826" s="341"/>
      <c r="AT826" s="341"/>
      <c r="AU826" s="343"/>
      <c r="AV826" s="341"/>
      <c r="AW826" s="269" t="s">
        <v>2078</v>
      </c>
      <c r="AX826" s="334" t="s">
        <v>2869</v>
      </c>
      <c r="AY826" s="270" t="s">
        <v>695</v>
      </c>
      <c r="AZ826" s="173" t="s">
        <v>2866</v>
      </c>
      <c r="BA826" s="265">
        <v>10.0</v>
      </c>
      <c r="BB826" s="174" t="s">
        <v>245</v>
      </c>
      <c r="BC826" s="341"/>
      <c r="BD826" s="308"/>
      <c r="BE826" s="347"/>
      <c r="BF826" s="274" t="str">
        <f>IFERROR(__xludf.DUMMYFUNCTION("LOWER(Regexreplace(to_text(E826),""[^A-Za-z0-9]"","""")&amp;""_""&amp;Regexreplace(to_text(F826),""[^A-Za-z0-9]"",""""))"),"neptronic_evcbseries")</f>
        <v>neptronic_evcbseries</v>
      </c>
      <c r="BG826" s="275" t="str">
        <f>IFERROR(__xludf.DUMMYFUNCTION("upper(Regexreplace(to_text(E826),""[^A-Za-z0-9]"","""")&amp;""-""&amp;Regexreplace(to_text(F826),""[^A-Za-z0-9]"",""""))"),"NEPTRONIC-EVCBSERIES")</f>
        <v>NEPTRONIC-EVCBSERIES</v>
      </c>
    </row>
    <row r="827" ht="30.0" customHeight="1">
      <c r="A827" s="173">
        <v>819.0</v>
      </c>
      <c r="B827" s="237" t="s">
        <v>670</v>
      </c>
      <c r="C827" s="257" t="s">
        <v>4037</v>
      </c>
      <c r="D827" s="173" t="s">
        <v>4037</v>
      </c>
      <c r="E827" s="174" t="s">
        <v>2861</v>
      </c>
      <c r="F827" s="173" t="s">
        <v>2862</v>
      </c>
      <c r="G827" s="328" t="s">
        <v>673</v>
      </c>
      <c r="H827" s="328" t="s">
        <v>2863</v>
      </c>
      <c r="I827" s="258" t="s">
        <v>2864</v>
      </c>
      <c r="J827" s="259" t="s">
        <v>965</v>
      </c>
      <c r="K827" s="260" t="s">
        <v>4038</v>
      </c>
      <c r="L827" s="328"/>
      <c r="M827" s="343"/>
      <c r="N827" s="173" t="s">
        <v>679</v>
      </c>
      <c r="O827" s="173" t="s">
        <v>225</v>
      </c>
      <c r="P827" s="262" t="str">
        <f t="shared" si="1"/>
        <v>IN-BLR-ANANTA-VAV-399_3</v>
      </c>
      <c r="Q827" s="173" t="s">
        <v>4039</v>
      </c>
      <c r="R827" s="328" t="str">
        <f>IFS(C827="","",C827="n/a","N/A",LEN(C827),Concatenate("{",char(34),"asset",char(34),":{",char(34),"guid",char(34),":",char(34),Q827,char(34),",",char(34),"site",char(34),":",char(34),LOWER('2-Building'!$B$4),char(34),",",char(34),"name",char(34),":",char(34),LOWER(C827),char(34),"}}"))</f>
        <v>{"asset":{"guid":"uuid://8cf6ba4f-c8a3-485d-8b2c-4e7a4d4381c3","site":"in-blr-ananta","name":"vav-399"}}</v>
      </c>
      <c r="S827" s="237" t="s">
        <v>2866</v>
      </c>
      <c r="T827" s="330"/>
      <c r="U827" s="330"/>
      <c r="V827" s="331"/>
      <c r="W827" s="344"/>
      <c r="X827" s="341"/>
      <c r="Y827" s="33" t="s">
        <v>2867</v>
      </c>
      <c r="Z827" s="258">
        <v>120399.0</v>
      </c>
      <c r="AA827" s="334">
        <v>11545.0</v>
      </c>
      <c r="AB827" s="341"/>
      <c r="AC827" s="341"/>
      <c r="AD827" s="343"/>
      <c r="AE827" s="331"/>
      <c r="AF827" s="348"/>
      <c r="AG827" s="337"/>
      <c r="AH827" s="341"/>
      <c r="AI827" s="341"/>
      <c r="AJ827" s="341"/>
      <c r="AK827" s="341"/>
      <c r="AL827" s="341"/>
      <c r="AM827" s="338"/>
      <c r="AN827" s="341"/>
      <c r="AO827" s="341"/>
      <c r="AP827" s="341"/>
      <c r="AQ827" s="341"/>
      <c r="AR827" s="341"/>
      <c r="AS827" s="341"/>
      <c r="AT827" s="341"/>
      <c r="AU827" s="343"/>
      <c r="AV827" s="341"/>
      <c r="AW827" s="269" t="s">
        <v>2078</v>
      </c>
      <c r="AX827" s="334" t="s">
        <v>2869</v>
      </c>
      <c r="AY827" s="270" t="s">
        <v>695</v>
      </c>
      <c r="AZ827" s="173" t="s">
        <v>2866</v>
      </c>
      <c r="BA827" s="265">
        <v>10.0</v>
      </c>
      <c r="BB827" s="174" t="s">
        <v>245</v>
      </c>
      <c r="BC827" s="341"/>
      <c r="BD827" s="308"/>
      <c r="BE827" s="347"/>
      <c r="BF827" s="274" t="str">
        <f>IFERROR(__xludf.DUMMYFUNCTION("LOWER(Regexreplace(to_text(E827),""[^A-Za-z0-9]"","""")&amp;""_""&amp;Regexreplace(to_text(F827),""[^A-Za-z0-9]"",""""))"),"neptronic_evcbseries")</f>
        <v>neptronic_evcbseries</v>
      </c>
      <c r="BG827" s="275" t="str">
        <f>IFERROR(__xludf.DUMMYFUNCTION("upper(Regexreplace(to_text(E827),""[^A-Za-z0-9]"","""")&amp;""-""&amp;Regexreplace(to_text(F827),""[^A-Za-z0-9]"",""""))"),"NEPTRONIC-EVCBSERIES")</f>
        <v>NEPTRONIC-EVCBSERIES</v>
      </c>
    </row>
    <row r="828" ht="30.0" customHeight="1">
      <c r="A828" s="258">
        <v>820.0</v>
      </c>
      <c r="B828" s="237" t="s">
        <v>670</v>
      </c>
      <c r="C828" s="257" t="s">
        <v>4040</v>
      </c>
      <c r="D828" s="173" t="s">
        <v>4040</v>
      </c>
      <c r="E828" s="174" t="s">
        <v>2861</v>
      </c>
      <c r="F828" s="173" t="s">
        <v>2862</v>
      </c>
      <c r="G828" s="328" t="s">
        <v>673</v>
      </c>
      <c r="H828" s="328" t="s">
        <v>2863</v>
      </c>
      <c r="I828" s="258" t="s">
        <v>2864</v>
      </c>
      <c r="J828" s="259" t="s">
        <v>965</v>
      </c>
      <c r="K828" s="260" t="s">
        <v>4041</v>
      </c>
      <c r="L828" s="328"/>
      <c r="M828" s="343"/>
      <c r="N828" s="173" t="s">
        <v>679</v>
      </c>
      <c r="O828" s="173" t="s">
        <v>225</v>
      </c>
      <c r="P828" s="262" t="str">
        <f t="shared" si="1"/>
        <v>IN-BLR-ANANTA-VAV-400_3</v>
      </c>
      <c r="Q828" s="173" t="s">
        <v>4042</v>
      </c>
      <c r="R828" s="328" t="str">
        <f>IFS(C828="","",C828="n/a","N/A",LEN(C828),Concatenate("{",char(34),"asset",char(34),":{",char(34),"guid",char(34),":",char(34),Q828,char(34),",",char(34),"site",char(34),":",char(34),LOWER('2-Building'!$B$4),char(34),",",char(34),"name",char(34),":",char(34),LOWER(C828),char(34),"}}"))</f>
        <v>{"asset":{"guid":"uuid://344e30d8-7ed5-4c81-8676-ea6e33bb8bb5","site":"in-blr-ananta","name":"vav-400"}}</v>
      </c>
      <c r="S828" s="237" t="s">
        <v>2866</v>
      </c>
      <c r="T828" s="330"/>
      <c r="U828" s="330"/>
      <c r="V828" s="331"/>
      <c r="W828" s="344"/>
      <c r="X828" s="341"/>
      <c r="Y828" s="33" t="s">
        <v>2867</v>
      </c>
      <c r="Z828" s="258">
        <v>120400.0</v>
      </c>
      <c r="AA828" s="334">
        <v>11545.0</v>
      </c>
      <c r="AB828" s="341"/>
      <c r="AC828" s="341"/>
      <c r="AD828" s="343"/>
      <c r="AE828" s="331"/>
      <c r="AF828" s="348"/>
      <c r="AG828" s="337"/>
      <c r="AH828" s="341"/>
      <c r="AI828" s="341"/>
      <c r="AJ828" s="341"/>
      <c r="AK828" s="341"/>
      <c r="AL828" s="341"/>
      <c r="AM828" s="338"/>
      <c r="AN828" s="341"/>
      <c r="AO828" s="341"/>
      <c r="AP828" s="341"/>
      <c r="AQ828" s="341"/>
      <c r="AR828" s="341"/>
      <c r="AS828" s="341"/>
      <c r="AT828" s="341"/>
      <c r="AU828" s="343"/>
      <c r="AV828" s="341"/>
      <c r="AW828" s="269" t="s">
        <v>2078</v>
      </c>
      <c r="AX828" s="334" t="s">
        <v>2869</v>
      </c>
      <c r="AY828" s="270" t="s">
        <v>695</v>
      </c>
      <c r="AZ828" s="173" t="s">
        <v>2866</v>
      </c>
      <c r="BA828" s="265">
        <v>10.0</v>
      </c>
      <c r="BB828" s="174" t="s">
        <v>245</v>
      </c>
      <c r="BC828" s="341"/>
      <c r="BD828" s="308"/>
      <c r="BE828" s="347"/>
      <c r="BF828" s="274" t="str">
        <f>IFERROR(__xludf.DUMMYFUNCTION("LOWER(Regexreplace(to_text(E828),""[^A-Za-z0-9]"","""")&amp;""_""&amp;Regexreplace(to_text(F828),""[^A-Za-z0-9]"",""""))"),"neptronic_evcbseries")</f>
        <v>neptronic_evcbseries</v>
      </c>
      <c r="BG828" s="275" t="str">
        <f>IFERROR(__xludf.DUMMYFUNCTION("upper(Regexreplace(to_text(E828),""[^A-Za-z0-9]"","""")&amp;""-""&amp;Regexreplace(to_text(F828),""[^A-Za-z0-9]"",""""))"),"NEPTRONIC-EVCBSERIES")</f>
        <v>NEPTRONIC-EVCBSERIES</v>
      </c>
    </row>
    <row r="829" ht="30.0" customHeight="1">
      <c r="A829" s="173">
        <v>821.0</v>
      </c>
      <c r="B829" s="237" t="s">
        <v>670</v>
      </c>
      <c r="C829" s="257" t="s">
        <v>4043</v>
      </c>
      <c r="D829" s="173" t="s">
        <v>4043</v>
      </c>
      <c r="E829" s="174" t="s">
        <v>2861</v>
      </c>
      <c r="F829" s="173" t="s">
        <v>2862</v>
      </c>
      <c r="G829" s="328" t="s">
        <v>673</v>
      </c>
      <c r="H829" s="328" t="s">
        <v>2863</v>
      </c>
      <c r="I829" s="258" t="s">
        <v>2864</v>
      </c>
      <c r="J829" s="259" t="s">
        <v>965</v>
      </c>
      <c r="K829" s="260" t="s">
        <v>4044</v>
      </c>
      <c r="L829" s="328"/>
      <c r="M829" s="343"/>
      <c r="N829" s="173" t="s">
        <v>679</v>
      </c>
      <c r="O829" s="173" t="s">
        <v>225</v>
      </c>
      <c r="P829" s="262" t="str">
        <f t="shared" si="1"/>
        <v>IN-BLR-ANANTA-VAV-401_3</v>
      </c>
      <c r="Q829" s="173" t="s">
        <v>4045</v>
      </c>
      <c r="R829" s="328" t="str">
        <f>IFS(C829="","",C829="n/a","N/A",LEN(C829),Concatenate("{",char(34),"asset",char(34),":{",char(34),"guid",char(34),":",char(34),Q829,char(34),",",char(34),"site",char(34),":",char(34),LOWER('2-Building'!$B$4),char(34),",",char(34),"name",char(34),":",char(34),LOWER(C829),char(34),"}}"))</f>
        <v>{"asset":{"guid":"uuid://95e3e786-f241-4bf9-9a21-b419dab6f18b","site":"in-blr-ananta","name":"vav-401"}}</v>
      </c>
      <c r="S829" s="237" t="s">
        <v>2866</v>
      </c>
      <c r="T829" s="330"/>
      <c r="U829" s="330"/>
      <c r="V829" s="331"/>
      <c r="W829" s="344"/>
      <c r="X829" s="341"/>
      <c r="Y829" s="33" t="s">
        <v>2867</v>
      </c>
      <c r="Z829" s="258">
        <v>120401.0</v>
      </c>
      <c r="AA829" s="334">
        <v>11545.0</v>
      </c>
      <c r="AB829" s="341"/>
      <c r="AC829" s="341"/>
      <c r="AD829" s="343"/>
      <c r="AE829" s="331"/>
      <c r="AF829" s="348"/>
      <c r="AG829" s="337"/>
      <c r="AH829" s="341"/>
      <c r="AI829" s="341"/>
      <c r="AJ829" s="341"/>
      <c r="AK829" s="341"/>
      <c r="AL829" s="341"/>
      <c r="AM829" s="338"/>
      <c r="AN829" s="341"/>
      <c r="AO829" s="341"/>
      <c r="AP829" s="341"/>
      <c r="AQ829" s="341"/>
      <c r="AR829" s="341"/>
      <c r="AS829" s="341"/>
      <c r="AT829" s="341"/>
      <c r="AU829" s="343"/>
      <c r="AV829" s="341"/>
      <c r="AW829" s="269" t="s">
        <v>2078</v>
      </c>
      <c r="AX829" s="334" t="s">
        <v>2869</v>
      </c>
      <c r="AY829" s="270" t="s">
        <v>695</v>
      </c>
      <c r="AZ829" s="173" t="s">
        <v>2866</v>
      </c>
      <c r="BA829" s="265">
        <v>10.0</v>
      </c>
      <c r="BB829" s="174" t="s">
        <v>245</v>
      </c>
      <c r="BC829" s="341"/>
      <c r="BD829" s="308"/>
      <c r="BE829" s="347"/>
      <c r="BF829" s="274" t="str">
        <f>IFERROR(__xludf.DUMMYFUNCTION("LOWER(Regexreplace(to_text(E829),""[^A-Za-z0-9]"","""")&amp;""_""&amp;Regexreplace(to_text(F829),""[^A-Za-z0-9]"",""""))"),"neptronic_evcbseries")</f>
        <v>neptronic_evcbseries</v>
      </c>
      <c r="BG829" s="275" t="str">
        <f>IFERROR(__xludf.DUMMYFUNCTION("upper(Regexreplace(to_text(E829),""[^A-Za-z0-9]"","""")&amp;""-""&amp;Regexreplace(to_text(F829),""[^A-Za-z0-9]"",""""))"),"NEPTRONIC-EVCBSERIES")</f>
        <v>NEPTRONIC-EVCBSERIES</v>
      </c>
    </row>
    <row r="830" ht="30.0" customHeight="1">
      <c r="A830" s="258">
        <v>822.0</v>
      </c>
      <c r="B830" s="237" t="s">
        <v>670</v>
      </c>
      <c r="C830" s="257" t="s">
        <v>4046</v>
      </c>
      <c r="D830" s="173" t="s">
        <v>4046</v>
      </c>
      <c r="E830" s="174" t="s">
        <v>2861</v>
      </c>
      <c r="F830" s="173" t="s">
        <v>2862</v>
      </c>
      <c r="G830" s="328" t="s">
        <v>673</v>
      </c>
      <c r="H830" s="328" t="s">
        <v>2863</v>
      </c>
      <c r="I830" s="258" t="s">
        <v>2864</v>
      </c>
      <c r="J830" s="259" t="s">
        <v>965</v>
      </c>
      <c r="K830" s="260" t="s">
        <v>4047</v>
      </c>
      <c r="L830" s="328"/>
      <c r="M830" s="343"/>
      <c r="N830" s="173" t="s">
        <v>679</v>
      </c>
      <c r="O830" s="173" t="s">
        <v>225</v>
      </c>
      <c r="P830" s="262" t="str">
        <f t="shared" si="1"/>
        <v>IN-BLR-ANANTA-VAV-402_3</v>
      </c>
      <c r="Q830" s="173" t="s">
        <v>4048</v>
      </c>
      <c r="R830" s="328" t="str">
        <f>IFS(C830="","",C830="n/a","N/A",LEN(C830),Concatenate("{",char(34),"asset",char(34),":{",char(34),"guid",char(34),":",char(34),Q830,char(34),",",char(34),"site",char(34),":",char(34),LOWER('2-Building'!$B$4),char(34),",",char(34),"name",char(34),":",char(34),LOWER(C830),char(34),"}}"))</f>
        <v>{"asset":{"guid":"uuid://79f77a3e-7756-40f1-a1f6-f7c634d4e89c","site":"in-blr-ananta","name":"vav-402"}}</v>
      </c>
      <c r="S830" s="237" t="s">
        <v>2866</v>
      </c>
      <c r="T830" s="330"/>
      <c r="U830" s="330"/>
      <c r="V830" s="331"/>
      <c r="W830" s="344"/>
      <c r="X830" s="341"/>
      <c r="Y830" s="33" t="s">
        <v>2867</v>
      </c>
      <c r="Z830" s="258">
        <v>120402.0</v>
      </c>
      <c r="AA830" s="334">
        <v>11545.0</v>
      </c>
      <c r="AB830" s="341"/>
      <c r="AC830" s="341"/>
      <c r="AD830" s="343"/>
      <c r="AE830" s="331"/>
      <c r="AF830" s="348"/>
      <c r="AG830" s="337"/>
      <c r="AH830" s="341"/>
      <c r="AI830" s="341"/>
      <c r="AJ830" s="341"/>
      <c r="AK830" s="341"/>
      <c r="AL830" s="341"/>
      <c r="AM830" s="338"/>
      <c r="AN830" s="341"/>
      <c r="AO830" s="341"/>
      <c r="AP830" s="341"/>
      <c r="AQ830" s="341"/>
      <c r="AR830" s="341"/>
      <c r="AS830" s="341"/>
      <c r="AT830" s="341"/>
      <c r="AU830" s="343"/>
      <c r="AV830" s="341"/>
      <c r="AW830" s="269" t="s">
        <v>2078</v>
      </c>
      <c r="AX830" s="334" t="s">
        <v>2869</v>
      </c>
      <c r="AY830" s="270" t="s">
        <v>695</v>
      </c>
      <c r="AZ830" s="173" t="s">
        <v>2866</v>
      </c>
      <c r="BA830" s="265">
        <v>10.0</v>
      </c>
      <c r="BB830" s="174" t="s">
        <v>245</v>
      </c>
      <c r="BC830" s="341"/>
      <c r="BD830" s="308"/>
      <c r="BE830" s="347"/>
      <c r="BF830" s="274" t="str">
        <f>IFERROR(__xludf.DUMMYFUNCTION("LOWER(Regexreplace(to_text(E830),""[^A-Za-z0-9]"","""")&amp;""_""&amp;Regexreplace(to_text(F830),""[^A-Za-z0-9]"",""""))"),"neptronic_evcbseries")</f>
        <v>neptronic_evcbseries</v>
      </c>
      <c r="BG830" s="275" t="str">
        <f>IFERROR(__xludf.DUMMYFUNCTION("upper(Regexreplace(to_text(E830),""[^A-Za-z0-9]"","""")&amp;""-""&amp;Regexreplace(to_text(F830),""[^A-Za-z0-9]"",""""))"),"NEPTRONIC-EVCBSERIES")</f>
        <v>NEPTRONIC-EVCBSERIES</v>
      </c>
    </row>
    <row r="831" ht="30.0" customHeight="1">
      <c r="A831" s="173">
        <v>823.0</v>
      </c>
      <c r="B831" s="237" t="s">
        <v>670</v>
      </c>
      <c r="C831" s="257" t="s">
        <v>4049</v>
      </c>
      <c r="D831" s="173" t="s">
        <v>4049</v>
      </c>
      <c r="E831" s="174" t="s">
        <v>2861</v>
      </c>
      <c r="F831" s="173" t="s">
        <v>2862</v>
      </c>
      <c r="G831" s="328" t="s">
        <v>673</v>
      </c>
      <c r="H831" s="328" t="s">
        <v>2863</v>
      </c>
      <c r="I831" s="258" t="s">
        <v>2864</v>
      </c>
      <c r="J831" s="259" t="s">
        <v>965</v>
      </c>
      <c r="K831" s="260" t="s">
        <v>1680</v>
      </c>
      <c r="L831" s="328"/>
      <c r="M831" s="343"/>
      <c r="N831" s="173" t="s">
        <v>679</v>
      </c>
      <c r="O831" s="173" t="s">
        <v>225</v>
      </c>
      <c r="P831" s="262" t="str">
        <f t="shared" si="1"/>
        <v>IN-BLR-ANANTA-VAV-403_3</v>
      </c>
      <c r="Q831" s="173" t="s">
        <v>4050</v>
      </c>
      <c r="R831" s="328" t="str">
        <f>IFS(C831="","",C831="n/a","N/A",LEN(C831),Concatenate("{",char(34),"asset",char(34),":{",char(34),"guid",char(34),":",char(34),Q831,char(34),",",char(34),"site",char(34),":",char(34),LOWER('2-Building'!$B$4),char(34),",",char(34),"name",char(34),":",char(34),LOWER(C831),char(34),"}}"))</f>
        <v>{"asset":{"guid":"uuid://143ef8a2-fb45-400c-aa86-dfff3567bb03","site":"in-blr-ananta","name":"vav-403"}}</v>
      </c>
      <c r="S831" s="237" t="s">
        <v>2866</v>
      </c>
      <c r="T831" s="330"/>
      <c r="U831" s="330"/>
      <c r="V831" s="331"/>
      <c r="W831" s="344"/>
      <c r="X831" s="341"/>
      <c r="Y831" s="33" t="s">
        <v>2867</v>
      </c>
      <c r="Z831" s="258">
        <v>120403.0</v>
      </c>
      <c r="AA831" s="334">
        <v>11545.0</v>
      </c>
      <c r="AB831" s="341"/>
      <c r="AC831" s="341"/>
      <c r="AD831" s="343"/>
      <c r="AE831" s="331"/>
      <c r="AF831" s="348"/>
      <c r="AG831" s="337"/>
      <c r="AH831" s="341"/>
      <c r="AI831" s="341"/>
      <c r="AJ831" s="341"/>
      <c r="AK831" s="341"/>
      <c r="AL831" s="341"/>
      <c r="AM831" s="338"/>
      <c r="AN831" s="341"/>
      <c r="AO831" s="341"/>
      <c r="AP831" s="341"/>
      <c r="AQ831" s="341"/>
      <c r="AR831" s="341"/>
      <c r="AS831" s="341"/>
      <c r="AT831" s="341"/>
      <c r="AU831" s="343"/>
      <c r="AV831" s="341"/>
      <c r="AW831" s="269" t="s">
        <v>2078</v>
      </c>
      <c r="AX831" s="334" t="s">
        <v>2869</v>
      </c>
      <c r="AY831" s="270" t="s">
        <v>695</v>
      </c>
      <c r="AZ831" s="173" t="s">
        <v>2866</v>
      </c>
      <c r="BA831" s="265">
        <v>10.0</v>
      </c>
      <c r="BB831" s="174" t="s">
        <v>245</v>
      </c>
      <c r="BC831" s="341"/>
      <c r="BD831" s="308"/>
      <c r="BE831" s="347"/>
      <c r="BF831" s="274" t="str">
        <f>IFERROR(__xludf.DUMMYFUNCTION("LOWER(Regexreplace(to_text(E831),""[^A-Za-z0-9]"","""")&amp;""_""&amp;Regexreplace(to_text(F831),""[^A-Za-z0-9]"",""""))"),"neptronic_evcbseries")</f>
        <v>neptronic_evcbseries</v>
      </c>
      <c r="BG831" s="275" t="str">
        <f>IFERROR(__xludf.DUMMYFUNCTION("upper(Regexreplace(to_text(E831),""[^A-Za-z0-9]"","""")&amp;""-""&amp;Regexreplace(to_text(F831),""[^A-Za-z0-9]"",""""))"),"NEPTRONIC-EVCBSERIES")</f>
        <v>NEPTRONIC-EVCBSERIES</v>
      </c>
    </row>
    <row r="832" ht="30.0" customHeight="1">
      <c r="A832" s="258">
        <v>824.0</v>
      </c>
      <c r="B832" s="237" t="s">
        <v>670</v>
      </c>
      <c r="C832" s="257" t="s">
        <v>4051</v>
      </c>
      <c r="D832" s="173" t="s">
        <v>4051</v>
      </c>
      <c r="E832" s="174" t="s">
        <v>2861</v>
      </c>
      <c r="F832" s="173" t="s">
        <v>2862</v>
      </c>
      <c r="G832" s="328" t="s">
        <v>673</v>
      </c>
      <c r="H832" s="328" t="s">
        <v>2863</v>
      </c>
      <c r="I832" s="258" t="s">
        <v>2864</v>
      </c>
      <c r="J832" s="259" t="s">
        <v>965</v>
      </c>
      <c r="K832" s="260" t="s">
        <v>4052</v>
      </c>
      <c r="L832" s="328"/>
      <c r="M832" s="343"/>
      <c r="N832" s="173" t="s">
        <v>679</v>
      </c>
      <c r="O832" s="173" t="s">
        <v>225</v>
      </c>
      <c r="P832" s="262" t="str">
        <f t="shared" si="1"/>
        <v>IN-BLR-ANANTA-VAV-404_3</v>
      </c>
      <c r="Q832" s="173" t="s">
        <v>4053</v>
      </c>
      <c r="R832" s="328" t="str">
        <f>IFS(C832="","",C832="n/a","N/A",LEN(C832),Concatenate("{",char(34),"asset",char(34),":{",char(34),"guid",char(34),":",char(34),Q832,char(34),",",char(34),"site",char(34),":",char(34),LOWER('2-Building'!$B$4),char(34),",",char(34),"name",char(34),":",char(34),LOWER(C832),char(34),"}}"))</f>
        <v>{"asset":{"guid":"uuid://7a98aac1-afaf-48d3-9b4c-66ded06af9cb","site":"in-blr-ananta","name":"vav-404"}}</v>
      </c>
      <c r="S832" s="237" t="s">
        <v>2866</v>
      </c>
      <c r="T832" s="330"/>
      <c r="U832" s="330"/>
      <c r="V832" s="331"/>
      <c r="W832" s="344"/>
      <c r="X832" s="341"/>
      <c r="Y832" s="33" t="s">
        <v>2867</v>
      </c>
      <c r="Z832" s="258">
        <v>120404.0</v>
      </c>
      <c r="AA832" s="334">
        <v>11545.0</v>
      </c>
      <c r="AB832" s="341"/>
      <c r="AC832" s="341"/>
      <c r="AD832" s="343"/>
      <c r="AE832" s="331"/>
      <c r="AF832" s="348"/>
      <c r="AG832" s="337"/>
      <c r="AH832" s="341"/>
      <c r="AI832" s="341"/>
      <c r="AJ832" s="341"/>
      <c r="AK832" s="341"/>
      <c r="AL832" s="341"/>
      <c r="AM832" s="338"/>
      <c r="AN832" s="341"/>
      <c r="AO832" s="341"/>
      <c r="AP832" s="341"/>
      <c r="AQ832" s="341"/>
      <c r="AR832" s="341"/>
      <c r="AS832" s="341"/>
      <c r="AT832" s="341"/>
      <c r="AU832" s="343"/>
      <c r="AV832" s="341"/>
      <c r="AW832" s="269" t="s">
        <v>2078</v>
      </c>
      <c r="AX832" s="334" t="s">
        <v>2869</v>
      </c>
      <c r="AY832" s="270" t="s">
        <v>695</v>
      </c>
      <c r="AZ832" s="173" t="s">
        <v>2866</v>
      </c>
      <c r="BA832" s="265">
        <v>10.0</v>
      </c>
      <c r="BB832" s="174" t="s">
        <v>245</v>
      </c>
      <c r="BC832" s="341"/>
      <c r="BD832" s="308"/>
      <c r="BE832" s="347"/>
      <c r="BF832" s="274" t="str">
        <f>IFERROR(__xludf.DUMMYFUNCTION("LOWER(Regexreplace(to_text(E832),""[^A-Za-z0-9]"","""")&amp;""_""&amp;Regexreplace(to_text(F832),""[^A-Za-z0-9]"",""""))"),"neptronic_evcbseries")</f>
        <v>neptronic_evcbseries</v>
      </c>
      <c r="BG832" s="275" t="str">
        <f>IFERROR(__xludf.DUMMYFUNCTION("upper(Regexreplace(to_text(E832),""[^A-Za-z0-9]"","""")&amp;""-""&amp;Regexreplace(to_text(F832),""[^A-Za-z0-9]"",""""))"),"NEPTRONIC-EVCBSERIES")</f>
        <v>NEPTRONIC-EVCBSERIES</v>
      </c>
    </row>
    <row r="833" ht="30.0" customHeight="1">
      <c r="A833" s="173">
        <v>825.0</v>
      </c>
      <c r="B833" s="237" t="s">
        <v>670</v>
      </c>
      <c r="C833" s="257" t="s">
        <v>4054</v>
      </c>
      <c r="D833" s="173" t="s">
        <v>4054</v>
      </c>
      <c r="E833" s="174" t="s">
        <v>2861</v>
      </c>
      <c r="F833" s="173" t="s">
        <v>2862</v>
      </c>
      <c r="G833" s="328" t="s">
        <v>673</v>
      </c>
      <c r="H833" s="328" t="s">
        <v>2863</v>
      </c>
      <c r="I833" s="258" t="s">
        <v>2864</v>
      </c>
      <c r="J833" s="259" t="s">
        <v>965</v>
      </c>
      <c r="K833" s="260" t="s">
        <v>4055</v>
      </c>
      <c r="L833" s="328"/>
      <c r="M833" s="343"/>
      <c r="N833" s="173" t="s">
        <v>679</v>
      </c>
      <c r="O833" s="173" t="s">
        <v>225</v>
      </c>
      <c r="P833" s="262" t="str">
        <f t="shared" si="1"/>
        <v>IN-BLR-ANANTA-VAV-405_3</v>
      </c>
      <c r="Q833" s="173" t="s">
        <v>4056</v>
      </c>
      <c r="R833" s="328" t="str">
        <f>IFS(C833="","",C833="n/a","N/A",LEN(C833),Concatenate("{",char(34),"asset",char(34),":{",char(34),"guid",char(34),":",char(34),Q833,char(34),",",char(34),"site",char(34),":",char(34),LOWER('2-Building'!$B$4),char(34),",",char(34),"name",char(34),":",char(34),LOWER(C833),char(34),"}}"))</f>
        <v>{"asset":{"guid":"uuid://954876ab-2fd5-4b0e-99ec-d07ac8eb9269","site":"in-blr-ananta","name":"vav-405"}}</v>
      </c>
      <c r="S833" s="237" t="s">
        <v>2866</v>
      </c>
      <c r="T833" s="330"/>
      <c r="U833" s="330"/>
      <c r="V833" s="331"/>
      <c r="W833" s="344"/>
      <c r="X833" s="341"/>
      <c r="Y833" s="33" t="s">
        <v>2867</v>
      </c>
      <c r="Z833" s="258">
        <v>120405.0</v>
      </c>
      <c r="AA833" s="334">
        <v>11545.0</v>
      </c>
      <c r="AB833" s="341"/>
      <c r="AC833" s="341"/>
      <c r="AD833" s="343"/>
      <c r="AE833" s="331"/>
      <c r="AF833" s="348"/>
      <c r="AG833" s="337"/>
      <c r="AH833" s="341"/>
      <c r="AI833" s="341"/>
      <c r="AJ833" s="341"/>
      <c r="AK833" s="341"/>
      <c r="AL833" s="341"/>
      <c r="AM833" s="338"/>
      <c r="AN833" s="341"/>
      <c r="AO833" s="341"/>
      <c r="AP833" s="341"/>
      <c r="AQ833" s="341"/>
      <c r="AR833" s="341"/>
      <c r="AS833" s="341"/>
      <c r="AT833" s="341"/>
      <c r="AU833" s="343"/>
      <c r="AV833" s="341"/>
      <c r="AW833" s="269" t="s">
        <v>2078</v>
      </c>
      <c r="AX833" s="334" t="s">
        <v>2869</v>
      </c>
      <c r="AY833" s="270" t="s">
        <v>695</v>
      </c>
      <c r="AZ833" s="173" t="s">
        <v>2866</v>
      </c>
      <c r="BA833" s="265">
        <v>10.0</v>
      </c>
      <c r="BB833" s="174" t="s">
        <v>245</v>
      </c>
      <c r="BC833" s="341"/>
      <c r="BD833" s="308"/>
      <c r="BE833" s="347"/>
      <c r="BF833" s="274" t="str">
        <f>IFERROR(__xludf.DUMMYFUNCTION("LOWER(Regexreplace(to_text(E833),""[^A-Za-z0-9]"","""")&amp;""_""&amp;Regexreplace(to_text(F833),""[^A-Za-z0-9]"",""""))"),"neptronic_evcbseries")</f>
        <v>neptronic_evcbseries</v>
      </c>
      <c r="BG833" s="275" t="str">
        <f>IFERROR(__xludf.DUMMYFUNCTION("upper(Regexreplace(to_text(E833),""[^A-Za-z0-9]"","""")&amp;""-""&amp;Regexreplace(to_text(F833),""[^A-Za-z0-9]"",""""))"),"NEPTRONIC-EVCBSERIES")</f>
        <v>NEPTRONIC-EVCBSERIES</v>
      </c>
    </row>
    <row r="834" ht="30.0" customHeight="1">
      <c r="A834" s="258">
        <v>826.0</v>
      </c>
      <c r="B834" s="237" t="s">
        <v>670</v>
      </c>
      <c r="C834" s="257" t="s">
        <v>4057</v>
      </c>
      <c r="D834" s="173" t="s">
        <v>4057</v>
      </c>
      <c r="E834" s="174" t="s">
        <v>2861</v>
      </c>
      <c r="F834" s="173" t="s">
        <v>2862</v>
      </c>
      <c r="G834" s="328" t="s">
        <v>673</v>
      </c>
      <c r="H834" s="328" t="s">
        <v>2863</v>
      </c>
      <c r="I834" s="258" t="s">
        <v>2864</v>
      </c>
      <c r="J834" s="259" t="s">
        <v>965</v>
      </c>
      <c r="K834" s="260" t="s">
        <v>4058</v>
      </c>
      <c r="L834" s="328"/>
      <c r="M834" s="343"/>
      <c r="N834" s="173" t="s">
        <v>679</v>
      </c>
      <c r="O834" s="173" t="s">
        <v>225</v>
      </c>
      <c r="P834" s="262" t="str">
        <f t="shared" si="1"/>
        <v>IN-BLR-ANANTA-VAV-406_3</v>
      </c>
      <c r="Q834" s="173" t="s">
        <v>4059</v>
      </c>
      <c r="R834" s="328" t="str">
        <f>IFS(C834="","",C834="n/a","N/A",LEN(C834),Concatenate("{",char(34),"asset",char(34),":{",char(34),"guid",char(34),":",char(34),Q834,char(34),",",char(34),"site",char(34),":",char(34),LOWER('2-Building'!$B$4),char(34),",",char(34),"name",char(34),":",char(34),LOWER(C834),char(34),"}}"))</f>
        <v>{"asset":{"guid":"uuid://2c76ed27-d38f-49c1-9c34-8409a8a9cd28","site":"in-blr-ananta","name":"vav-406"}}</v>
      </c>
      <c r="S834" s="237" t="s">
        <v>2866</v>
      </c>
      <c r="T834" s="330"/>
      <c r="U834" s="330"/>
      <c r="V834" s="331"/>
      <c r="W834" s="344"/>
      <c r="X834" s="341"/>
      <c r="Y834" s="33" t="s">
        <v>2867</v>
      </c>
      <c r="Z834" s="258">
        <v>120406.0</v>
      </c>
      <c r="AA834" s="334">
        <v>11545.0</v>
      </c>
      <c r="AB834" s="341"/>
      <c r="AC834" s="341"/>
      <c r="AD834" s="343"/>
      <c r="AE834" s="331"/>
      <c r="AF834" s="348"/>
      <c r="AG834" s="337"/>
      <c r="AH834" s="341"/>
      <c r="AI834" s="341"/>
      <c r="AJ834" s="341"/>
      <c r="AK834" s="341"/>
      <c r="AL834" s="341"/>
      <c r="AM834" s="338"/>
      <c r="AN834" s="341"/>
      <c r="AO834" s="341"/>
      <c r="AP834" s="341"/>
      <c r="AQ834" s="341"/>
      <c r="AR834" s="341"/>
      <c r="AS834" s="341"/>
      <c r="AT834" s="341"/>
      <c r="AU834" s="343"/>
      <c r="AV834" s="341"/>
      <c r="AW834" s="269" t="s">
        <v>2078</v>
      </c>
      <c r="AX834" s="334" t="s">
        <v>2869</v>
      </c>
      <c r="AY834" s="270" t="s">
        <v>695</v>
      </c>
      <c r="AZ834" s="173" t="s">
        <v>2866</v>
      </c>
      <c r="BA834" s="265">
        <v>10.0</v>
      </c>
      <c r="BB834" s="174" t="s">
        <v>245</v>
      </c>
      <c r="BC834" s="341"/>
      <c r="BD834" s="308"/>
      <c r="BE834" s="347"/>
      <c r="BF834" s="274" t="str">
        <f>IFERROR(__xludf.DUMMYFUNCTION("LOWER(Regexreplace(to_text(E834),""[^A-Za-z0-9]"","""")&amp;""_""&amp;Regexreplace(to_text(F834),""[^A-Za-z0-9]"",""""))"),"neptronic_evcbseries")</f>
        <v>neptronic_evcbseries</v>
      </c>
      <c r="BG834" s="275" t="str">
        <f>IFERROR(__xludf.DUMMYFUNCTION("upper(Regexreplace(to_text(E834),""[^A-Za-z0-9]"","""")&amp;""-""&amp;Regexreplace(to_text(F834),""[^A-Za-z0-9]"",""""))"),"NEPTRONIC-EVCBSERIES")</f>
        <v>NEPTRONIC-EVCBSERIES</v>
      </c>
    </row>
    <row r="835" ht="30.0" customHeight="1">
      <c r="A835" s="173">
        <v>827.0</v>
      </c>
      <c r="B835" s="237" t="s">
        <v>670</v>
      </c>
      <c r="C835" s="257" t="s">
        <v>4060</v>
      </c>
      <c r="D835" s="173" t="s">
        <v>4060</v>
      </c>
      <c r="E835" s="174" t="s">
        <v>2861</v>
      </c>
      <c r="F835" s="173" t="s">
        <v>2862</v>
      </c>
      <c r="G835" s="328" t="s">
        <v>673</v>
      </c>
      <c r="H835" s="328" t="s">
        <v>2863</v>
      </c>
      <c r="I835" s="258" t="s">
        <v>2864</v>
      </c>
      <c r="J835" s="259" t="s">
        <v>965</v>
      </c>
      <c r="K835" s="260" t="s">
        <v>4061</v>
      </c>
      <c r="L835" s="328"/>
      <c r="M835" s="343"/>
      <c r="N835" s="173" t="s">
        <v>679</v>
      </c>
      <c r="O835" s="173" t="s">
        <v>225</v>
      </c>
      <c r="P835" s="262" t="str">
        <f t="shared" si="1"/>
        <v>IN-BLR-ANANTA-VAV-407_3</v>
      </c>
      <c r="Q835" s="173" t="s">
        <v>4062</v>
      </c>
      <c r="R835" s="328" t="str">
        <f>IFS(C835="","",C835="n/a","N/A",LEN(C835),Concatenate("{",char(34),"asset",char(34),":{",char(34),"guid",char(34),":",char(34),Q835,char(34),",",char(34),"site",char(34),":",char(34),LOWER('2-Building'!$B$4),char(34),",",char(34),"name",char(34),":",char(34),LOWER(C835),char(34),"}}"))</f>
        <v>{"asset":{"guid":"uuid://bfd956b6-dac8-4112-a01d-971f1e9f216f","site":"in-blr-ananta","name":"vav-407"}}</v>
      </c>
      <c r="S835" s="237" t="s">
        <v>2866</v>
      </c>
      <c r="T835" s="330"/>
      <c r="U835" s="330"/>
      <c r="V835" s="331"/>
      <c r="W835" s="344"/>
      <c r="X835" s="341"/>
      <c r="Y835" s="33" t="s">
        <v>2867</v>
      </c>
      <c r="Z835" s="258">
        <v>120407.0</v>
      </c>
      <c r="AA835" s="334">
        <v>11670.0</v>
      </c>
      <c r="AB835" s="341"/>
      <c r="AC835" s="341"/>
      <c r="AD835" s="343"/>
      <c r="AE835" s="331"/>
      <c r="AF835" s="348"/>
      <c r="AG835" s="337"/>
      <c r="AH835" s="341"/>
      <c r="AI835" s="341"/>
      <c r="AJ835" s="341"/>
      <c r="AK835" s="341"/>
      <c r="AL835" s="341"/>
      <c r="AM835" s="338"/>
      <c r="AN835" s="341"/>
      <c r="AO835" s="341"/>
      <c r="AP835" s="341"/>
      <c r="AQ835" s="341"/>
      <c r="AR835" s="341"/>
      <c r="AS835" s="341"/>
      <c r="AT835" s="341"/>
      <c r="AU835" s="343"/>
      <c r="AV835" s="341"/>
      <c r="AW835" s="269" t="s">
        <v>2078</v>
      </c>
      <c r="AX835" s="334" t="s">
        <v>2869</v>
      </c>
      <c r="AY835" s="270" t="s">
        <v>695</v>
      </c>
      <c r="AZ835" s="173" t="s">
        <v>2866</v>
      </c>
      <c r="BA835" s="265">
        <v>10.0</v>
      </c>
      <c r="BB835" s="174" t="s">
        <v>245</v>
      </c>
      <c r="BC835" s="341"/>
      <c r="BD835" s="308"/>
      <c r="BE835" s="347"/>
      <c r="BF835" s="274" t="str">
        <f>IFERROR(__xludf.DUMMYFUNCTION("LOWER(Regexreplace(to_text(E835),""[^A-Za-z0-9]"","""")&amp;""_""&amp;Regexreplace(to_text(F835),""[^A-Za-z0-9]"",""""))"),"neptronic_evcbseries")</f>
        <v>neptronic_evcbseries</v>
      </c>
      <c r="BG835" s="275" t="str">
        <f>IFERROR(__xludf.DUMMYFUNCTION("upper(Regexreplace(to_text(E835),""[^A-Za-z0-9]"","""")&amp;""-""&amp;Regexreplace(to_text(F835),""[^A-Za-z0-9]"",""""))"),"NEPTRONIC-EVCBSERIES")</f>
        <v>NEPTRONIC-EVCBSERIES</v>
      </c>
    </row>
    <row r="836" ht="30.0" customHeight="1">
      <c r="A836" s="258">
        <v>828.0</v>
      </c>
      <c r="B836" s="237" t="s">
        <v>670</v>
      </c>
      <c r="C836" s="257" t="s">
        <v>4063</v>
      </c>
      <c r="D836" s="173" t="s">
        <v>4063</v>
      </c>
      <c r="E836" s="174" t="s">
        <v>2861</v>
      </c>
      <c r="F836" s="173" t="s">
        <v>2862</v>
      </c>
      <c r="G836" s="328" t="s">
        <v>673</v>
      </c>
      <c r="H836" s="328" t="s">
        <v>2863</v>
      </c>
      <c r="I836" s="258" t="s">
        <v>2864</v>
      </c>
      <c r="J836" s="259" t="s">
        <v>965</v>
      </c>
      <c r="K836" s="260" t="s">
        <v>4064</v>
      </c>
      <c r="L836" s="328"/>
      <c r="M836" s="343"/>
      <c r="N836" s="173" t="s">
        <v>679</v>
      </c>
      <c r="O836" s="173" t="s">
        <v>225</v>
      </c>
      <c r="P836" s="262" t="str">
        <f t="shared" si="1"/>
        <v>IN-BLR-ANANTA-VAV-408_3</v>
      </c>
      <c r="Q836" s="173" t="s">
        <v>4065</v>
      </c>
      <c r="R836" s="328" t="str">
        <f>IFS(C836="","",C836="n/a","N/A",LEN(C836),Concatenate("{",char(34),"asset",char(34),":{",char(34),"guid",char(34),":",char(34),Q836,char(34),",",char(34),"site",char(34),":",char(34),LOWER('2-Building'!$B$4),char(34),",",char(34),"name",char(34),":",char(34),LOWER(C836),char(34),"}}"))</f>
        <v>{"asset":{"guid":"uuid://d824a77e-aa81-40c4-9202-61d6d43025bc","site":"in-blr-ananta","name":"vav-408"}}</v>
      </c>
      <c r="S836" s="237" t="s">
        <v>2866</v>
      </c>
      <c r="T836" s="330"/>
      <c r="U836" s="330"/>
      <c r="V836" s="331"/>
      <c r="W836" s="344"/>
      <c r="X836" s="341"/>
      <c r="Y836" s="33" t="s">
        <v>2867</v>
      </c>
      <c r="Z836" s="258">
        <v>120408.0</v>
      </c>
      <c r="AA836" s="334">
        <v>11545.0</v>
      </c>
      <c r="AB836" s="341"/>
      <c r="AC836" s="341"/>
      <c r="AD836" s="343"/>
      <c r="AE836" s="331"/>
      <c r="AF836" s="348"/>
      <c r="AG836" s="337"/>
      <c r="AH836" s="341"/>
      <c r="AI836" s="341"/>
      <c r="AJ836" s="341"/>
      <c r="AK836" s="341"/>
      <c r="AL836" s="341"/>
      <c r="AM836" s="338"/>
      <c r="AN836" s="341"/>
      <c r="AO836" s="341"/>
      <c r="AP836" s="341"/>
      <c r="AQ836" s="341"/>
      <c r="AR836" s="341"/>
      <c r="AS836" s="341"/>
      <c r="AT836" s="341"/>
      <c r="AU836" s="343"/>
      <c r="AV836" s="341"/>
      <c r="AW836" s="269" t="s">
        <v>2078</v>
      </c>
      <c r="AX836" s="334" t="s">
        <v>2869</v>
      </c>
      <c r="AY836" s="270" t="s">
        <v>695</v>
      </c>
      <c r="AZ836" s="173" t="s">
        <v>2866</v>
      </c>
      <c r="BA836" s="265">
        <v>10.0</v>
      </c>
      <c r="BB836" s="174" t="s">
        <v>245</v>
      </c>
      <c r="BC836" s="341"/>
      <c r="BD836" s="308"/>
      <c r="BE836" s="347"/>
      <c r="BF836" s="274" t="str">
        <f>IFERROR(__xludf.DUMMYFUNCTION("LOWER(Regexreplace(to_text(E836),""[^A-Za-z0-9]"","""")&amp;""_""&amp;Regexreplace(to_text(F836),""[^A-Za-z0-9]"",""""))"),"neptronic_evcbseries")</f>
        <v>neptronic_evcbseries</v>
      </c>
      <c r="BG836" s="275" t="str">
        <f>IFERROR(__xludf.DUMMYFUNCTION("upper(Regexreplace(to_text(E836),""[^A-Za-z0-9]"","""")&amp;""-""&amp;Regexreplace(to_text(F836),""[^A-Za-z0-9]"",""""))"),"NEPTRONIC-EVCBSERIES")</f>
        <v>NEPTRONIC-EVCBSERIES</v>
      </c>
    </row>
    <row r="837" ht="30.0" customHeight="1">
      <c r="A837" s="173">
        <v>829.0</v>
      </c>
      <c r="B837" s="237" t="s">
        <v>670</v>
      </c>
      <c r="C837" s="257" t="s">
        <v>4066</v>
      </c>
      <c r="D837" s="173" t="s">
        <v>4066</v>
      </c>
      <c r="E837" s="174" t="s">
        <v>2861</v>
      </c>
      <c r="F837" s="173" t="s">
        <v>2862</v>
      </c>
      <c r="G837" s="328" t="s">
        <v>673</v>
      </c>
      <c r="H837" s="328" t="s">
        <v>2863</v>
      </c>
      <c r="I837" s="258" t="s">
        <v>2864</v>
      </c>
      <c r="J837" s="259" t="s">
        <v>965</v>
      </c>
      <c r="K837" s="260" t="s">
        <v>4067</v>
      </c>
      <c r="L837" s="328"/>
      <c r="M837" s="343"/>
      <c r="N837" s="173" t="s">
        <v>679</v>
      </c>
      <c r="O837" s="173" t="s">
        <v>225</v>
      </c>
      <c r="P837" s="262" t="str">
        <f t="shared" si="1"/>
        <v>IN-BLR-ANANTA-VAV-409_3</v>
      </c>
      <c r="Q837" s="173" t="s">
        <v>4068</v>
      </c>
      <c r="R837" s="328" t="str">
        <f>IFS(C837="","",C837="n/a","N/A",LEN(C837),Concatenate("{",char(34),"asset",char(34),":{",char(34),"guid",char(34),":",char(34),Q837,char(34),",",char(34),"site",char(34),":",char(34),LOWER('2-Building'!$B$4),char(34),",",char(34),"name",char(34),":",char(34),LOWER(C837),char(34),"}}"))</f>
        <v>{"asset":{"guid":"uuid://5a813fe6-a2f8-47e3-a8ab-b61905c4aad6","site":"in-blr-ananta","name":"vav-409"}}</v>
      </c>
      <c r="S837" s="237" t="s">
        <v>2866</v>
      </c>
      <c r="T837" s="330"/>
      <c r="U837" s="330"/>
      <c r="V837" s="331"/>
      <c r="W837" s="344"/>
      <c r="X837" s="341"/>
      <c r="Y837" s="33" t="s">
        <v>2867</v>
      </c>
      <c r="Z837" s="258">
        <v>120409.0</v>
      </c>
      <c r="AA837" s="334">
        <v>11670.0</v>
      </c>
      <c r="AB837" s="341"/>
      <c r="AC837" s="341"/>
      <c r="AD837" s="343"/>
      <c r="AE837" s="331"/>
      <c r="AF837" s="348"/>
      <c r="AG837" s="337"/>
      <c r="AH837" s="341"/>
      <c r="AI837" s="341"/>
      <c r="AJ837" s="341"/>
      <c r="AK837" s="341"/>
      <c r="AL837" s="341"/>
      <c r="AM837" s="338"/>
      <c r="AN837" s="341"/>
      <c r="AO837" s="341"/>
      <c r="AP837" s="341"/>
      <c r="AQ837" s="341"/>
      <c r="AR837" s="341"/>
      <c r="AS837" s="341"/>
      <c r="AT837" s="341"/>
      <c r="AU837" s="343"/>
      <c r="AV837" s="341"/>
      <c r="AW837" s="269" t="s">
        <v>2078</v>
      </c>
      <c r="AX837" s="334" t="s">
        <v>2869</v>
      </c>
      <c r="AY837" s="270" t="s">
        <v>695</v>
      </c>
      <c r="AZ837" s="173" t="s">
        <v>2866</v>
      </c>
      <c r="BA837" s="265">
        <v>10.0</v>
      </c>
      <c r="BB837" s="174" t="s">
        <v>245</v>
      </c>
      <c r="BC837" s="341"/>
      <c r="BD837" s="308"/>
      <c r="BE837" s="347"/>
      <c r="BF837" s="274" t="str">
        <f>IFERROR(__xludf.DUMMYFUNCTION("LOWER(Regexreplace(to_text(E837),""[^A-Za-z0-9]"","""")&amp;""_""&amp;Regexreplace(to_text(F837),""[^A-Za-z0-9]"",""""))"),"neptronic_evcbseries")</f>
        <v>neptronic_evcbseries</v>
      </c>
      <c r="BG837" s="275" t="str">
        <f>IFERROR(__xludf.DUMMYFUNCTION("upper(Regexreplace(to_text(E837),""[^A-Za-z0-9]"","""")&amp;""-""&amp;Regexreplace(to_text(F837),""[^A-Za-z0-9]"",""""))"),"NEPTRONIC-EVCBSERIES")</f>
        <v>NEPTRONIC-EVCBSERIES</v>
      </c>
    </row>
    <row r="838" ht="30.0" customHeight="1">
      <c r="A838" s="258">
        <v>830.0</v>
      </c>
      <c r="B838" s="237" t="s">
        <v>670</v>
      </c>
      <c r="C838" s="257" t="s">
        <v>4069</v>
      </c>
      <c r="D838" s="173" t="s">
        <v>4069</v>
      </c>
      <c r="E838" s="174" t="s">
        <v>2861</v>
      </c>
      <c r="F838" s="173" t="s">
        <v>2862</v>
      </c>
      <c r="G838" s="328" t="s">
        <v>673</v>
      </c>
      <c r="H838" s="328" t="s">
        <v>2863</v>
      </c>
      <c r="I838" s="258" t="s">
        <v>2864</v>
      </c>
      <c r="J838" s="259" t="s">
        <v>965</v>
      </c>
      <c r="K838" s="260" t="s">
        <v>4070</v>
      </c>
      <c r="L838" s="328"/>
      <c r="M838" s="343"/>
      <c r="N838" s="173" t="s">
        <v>679</v>
      </c>
      <c r="O838" s="173" t="s">
        <v>225</v>
      </c>
      <c r="P838" s="262" t="str">
        <f t="shared" si="1"/>
        <v>IN-BLR-ANANTA-VAV-410_3</v>
      </c>
      <c r="Q838" s="173" t="s">
        <v>4071</v>
      </c>
      <c r="R838" s="328" t="str">
        <f>IFS(C838="","",C838="n/a","N/A",LEN(C838),Concatenate("{",char(34),"asset",char(34),":{",char(34),"guid",char(34),":",char(34),Q838,char(34),",",char(34),"site",char(34),":",char(34),LOWER('2-Building'!$B$4),char(34),",",char(34),"name",char(34),":",char(34),LOWER(C838),char(34),"}}"))</f>
        <v>{"asset":{"guid":"uuid://c02abc9a-12ef-4877-aa7b-8b0227dfafe1","site":"in-blr-ananta","name":"vav-410"}}</v>
      </c>
      <c r="S838" s="237" t="s">
        <v>2866</v>
      </c>
      <c r="T838" s="330"/>
      <c r="U838" s="330"/>
      <c r="V838" s="331"/>
      <c r="W838" s="344"/>
      <c r="X838" s="341"/>
      <c r="Y838" s="33" t="s">
        <v>2867</v>
      </c>
      <c r="Z838" s="258">
        <v>120410.0</v>
      </c>
      <c r="AA838" s="334">
        <v>11670.0</v>
      </c>
      <c r="AB838" s="341"/>
      <c r="AC838" s="341"/>
      <c r="AD838" s="343"/>
      <c r="AE838" s="331"/>
      <c r="AF838" s="348"/>
      <c r="AG838" s="337"/>
      <c r="AH838" s="341"/>
      <c r="AI838" s="341"/>
      <c r="AJ838" s="341"/>
      <c r="AK838" s="341"/>
      <c r="AL838" s="341"/>
      <c r="AM838" s="338"/>
      <c r="AN838" s="341"/>
      <c r="AO838" s="341"/>
      <c r="AP838" s="341"/>
      <c r="AQ838" s="341"/>
      <c r="AR838" s="341"/>
      <c r="AS838" s="341"/>
      <c r="AT838" s="341"/>
      <c r="AU838" s="343"/>
      <c r="AV838" s="341"/>
      <c r="AW838" s="269" t="s">
        <v>2078</v>
      </c>
      <c r="AX838" s="334" t="s">
        <v>2869</v>
      </c>
      <c r="AY838" s="270" t="s">
        <v>695</v>
      </c>
      <c r="AZ838" s="173" t="s">
        <v>2866</v>
      </c>
      <c r="BA838" s="265">
        <v>10.0</v>
      </c>
      <c r="BB838" s="174" t="s">
        <v>245</v>
      </c>
      <c r="BC838" s="341"/>
      <c r="BD838" s="308"/>
      <c r="BE838" s="347"/>
      <c r="BF838" s="274" t="str">
        <f>IFERROR(__xludf.DUMMYFUNCTION("LOWER(Regexreplace(to_text(E838),""[^A-Za-z0-9]"","""")&amp;""_""&amp;Regexreplace(to_text(F838),""[^A-Za-z0-9]"",""""))"),"neptronic_evcbseries")</f>
        <v>neptronic_evcbseries</v>
      </c>
      <c r="BG838" s="275" t="str">
        <f>IFERROR(__xludf.DUMMYFUNCTION("upper(Regexreplace(to_text(E838),""[^A-Za-z0-9]"","""")&amp;""-""&amp;Regexreplace(to_text(F838),""[^A-Za-z0-9]"",""""))"),"NEPTRONIC-EVCBSERIES")</f>
        <v>NEPTRONIC-EVCBSERIES</v>
      </c>
    </row>
    <row r="839" ht="30.0" customHeight="1">
      <c r="A839" s="173">
        <v>831.0</v>
      </c>
      <c r="B839" s="237" t="s">
        <v>670</v>
      </c>
      <c r="C839" s="257" t="s">
        <v>4072</v>
      </c>
      <c r="D839" s="173" t="s">
        <v>4072</v>
      </c>
      <c r="E839" s="174" t="s">
        <v>2861</v>
      </c>
      <c r="F839" s="173" t="s">
        <v>2862</v>
      </c>
      <c r="G839" s="328" t="s">
        <v>673</v>
      </c>
      <c r="H839" s="328" t="s">
        <v>2863</v>
      </c>
      <c r="I839" s="258" t="s">
        <v>2864</v>
      </c>
      <c r="J839" s="259" t="s">
        <v>965</v>
      </c>
      <c r="K839" s="260" t="s">
        <v>4073</v>
      </c>
      <c r="L839" s="328"/>
      <c r="M839" s="343"/>
      <c r="N839" s="173" t="s">
        <v>679</v>
      </c>
      <c r="O839" s="173" t="s">
        <v>225</v>
      </c>
      <c r="P839" s="262" t="str">
        <f t="shared" si="1"/>
        <v>IN-BLR-ANANTA-VAV-411_3</v>
      </c>
      <c r="Q839" s="173" t="s">
        <v>4074</v>
      </c>
      <c r="R839" s="328" t="str">
        <f>IFS(C839="","",C839="n/a","N/A",LEN(C839),Concatenate("{",char(34),"asset",char(34),":{",char(34),"guid",char(34),":",char(34),Q839,char(34),",",char(34),"site",char(34),":",char(34),LOWER('2-Building'!$B$4),char(34),",",char(34),"name",char(34),":",char(34),LOWER(C839),char(34),"}}"))</f>
        <v>{"asset":{"guid":"uuid://f41d7b72-3a70-4d67-9e04-952626eb51ed","site":"in-blr-ananta","name":"vav-411"}}</v>
      </c>
      <c r="S839" s="237" t="s">
        <v>2866</v>
      </c>
      <c r="T839" s="330"/>
      <c r="U839" s="330"/>
      <c r="V839" s="331"/>
      <c r="W839" s="344"/>
      <c r="X839" s="341"/>
      <c r="Y839" s="33" t="s">
        <v>2867</v>
      </c>
      <c r="Z839" s="258">
        <v>120411.0</v>
      </c>
      <c r="AA839" s="334">
        <v>11670.0</v>
      </c>
      <c r="AB839" s="341"/>
      <c r="AC839" s="341"/>
      <c r="AD839" s="343"/>
      <c r="AE839" s="331"/>
      <c r="AF839" s="348"/>
      <c r="AG839" s="337"/>
      <c r="AH839" s="341"/>
      <c r="AI839" s="341"/>
      <c r="AJ839" s="341"/>
      <c r="AK839" s="341"/>
      <c r="AL839" s="341"/>
      <c r="AM839" s="338"/>
      <c r="AN839" s="341"/>
      <c r="AO839" s="341"/>
      <c r="AP839" s="341"/>
      <c r="AQ839" s="341"/>
      <c r="AR839" s="341"/>
      <c r="AS839" s="341"/>
      <c r="AT839" s="341"/>
      <c r="AU839" s="343"/>
      <c r="AV839" s="341"/>
      <c r="AW839" s="269" t="s">
        <v>2078</v>
      </c>
      <c r="AX839" s="334" t="s">
        <v>2869</v>
      </c>
      <c r="AY839" s="270" t="s">
        <v>695</v>
      </c>
      <c r="AZ839" s="173" t="s">
        <v>2866</v>
      </c>
      <c r="BA839" s="265">
        <v>10.0</v>
      </c>
      <c r="BB839" s="174" t="s">
        <v>245</v>
      </c>
      <c r="BC839" s="341"/>
      <c r="BD839" s="308"/>
      <c r="BE839" s="347"/>
      <c r="BF839" s="274" t="str">
        <f>IFERROR(__xludf.DUMMYFUNCTION("LOWER(Regexreplace(to_text(E839),""[^A-Za-z0-9]"","""")&amp;""_""&amp;Regexreplace(to_text(F839),""[^A-Za-z0-9]"",""""))"),"neptronic_evcbseries")</f>
        <v>neptronic_evcbseries</v>
      </c>
      <c r="BG839" s="275" t="str">
        <f>IFERROR(__xludf.DUMMYFUNCTION("upper(Regexreplace(to_text(E839),""[^A-Za-z0-9]"","""")&amp;""-""&amp;Regexreplace(to_text(F839),""[^A-Za-z0-9]"",""""))"),"NEPTRONIC-EVCBSERIES")</f>
        <v>NEPTRONIC-EVCBSERIES</v>
      </c>
    </row>
    <row r="840" ht="30.0" customHeight="1">
      <c r="A840" s="258">
        <v>832.0</v>
      </c>
      <c r="B840" s="237" t="s">
        <v>670</v>
      </c>
      <c r="C840" s="257" t="s">
        <v>4075</v>
      </c>
      <c r="D840" s="173" t="s">
        <v>4075</v>
      </c>
      <c r="E840" s="174" t="s">
        <v>2861</v>
      </c>
      <c r="F840" s="173" t="s">
        <v>2862</v>
      </c>
      <c r="G840" s="328" t="s">
        <v>673</v>
      </c>
      <c r="H840" s="328" t="s">
        <v>2863</v>
      </c>
      <c r="I840" s="258" t="s">
        <v>2864</v>
      </c>
      <c r="J840" s="259" t="s">
        <v>965</v>
      </c>
      <c r="K840" s="260" t="s">
        <v>4076</v>
      </c>
      <c r="L840" s="328"/>
      <c r="M840" s="343"/>
      <c r="N840" s="173" t="s">
        <v>679</v>
      </c>
      <c r="O840" s="173" t="s">
        <v>225</v>
      </c>
      <c r="P840" s="262" t="str">
        <f t="shared" si="1"/>
        <v>IN-BLR-ANANTA-VAV-412_3</v>
      </c>
      <c r="Q840" s="173" t="s">
        <v>4077</v>
      </c>
      <c r="R840" s="328" t="str">
        <f>IFS(C840="","",C840="n/a","N/A",LEN(C840),Concatenate("{",char(34),"asset",char(34),":{",char(34),"guid",char(34),":",char(34),Q840,char(34),",",char(34),"site",char(34),":",char(34),LOWER('2-Building'!$B$4),char(34),",",char(34),"name",char(34),":",char(34),LOWER(C840),char(34),"}}"))</f>
        <v>{"asset":{"guid":"uuid://416928db-6e63-4702-9c3b-19e0edcb171f","site":"in-blr-ananta","name":"vav-412"}}</v>
      </c>
      <c r="S840" s="237" t="s">
        <v>2866</v>
      </c>
      <c r="T840" s="330"/>
      <c r="U840" s="330"/>
      <c r="V840" s="331"/>
      <c r="W840" s="344"/>
      <c r="X840" s="341"/>
      <c r="Y840" s="33" t="s">
        <v>2867</v>
      </c>
      <c r="Z840" s="258">
        <v>120412.0</v>
      </c>
      <c r="AA840" s="334">
        <v>11670.0</v>
      </c>
      <c r="AB840" s="341"/>
      <c r="AC840" s="341"/>
      <c r="AD840" s="343"/>
      <c r="AE840" s="331"/>
      <c r="AF840" s="348"/>
      <c r="AG840" s="337"/>
      <c r="AH840" s="341"/>
      <c r="AI840" s="341"/>
      <c r="AJ840" s="341"/>
      <c r="AK840" s="341"/>
      <c r="AL840" s="341"/>
      <c r="AM840" s="338"/>
      <c r="AN840" s="341"/>
      <c r="AO840" s="341"/>
      <c r="AP840" s="341"/>
      <c r="AQ840" s="341"/>
      <c r="AR840" s="341"/>
      <c r="AS840" s="341"/>
      <c r="AT840" s="341"/>
      <c r="AU840" s="343"/>
      <c r="AV840" s="341"/>
      <c r="AW840" s="269" t="s">
        <v>2078</v>
      </c>
      <c r="AX840" s="334" t="s">
        <v>2869</v>
      </c>
      <c r="AY840" s="270" t="s">
        <v>695</v>
      </c>
      <c r="AZ840" s="173" t="s">
        <v>2866</v>
      </c>
      <c r="BA840" s="265">
        <v>10.0</v>
      </c>
      <c r="BB840" s="174" t="s">
        <v>245</v>
      </c>
      <c r="BC840" s="341"/>
      <c r="BD840" s="308"/>
      <c r="BE840" s="347"/>
      <c r="BF840" s="274" t="str">
        <f>IFERROR(__xludf.DUMMYFUNCTION("LOWER(Regexreplace(to_text(E840),""[^A-Za-z0-9]"","""")&amp;""_""&amp;Regexreplace(to_text(F840),""[^A-Za-z0-9]"",""""))"),"neptronic_evcbseries")</f>
        <v>neptronic_evcbseries</v>
      </c>
      <c r="BG840" s="275" t="str">
        <f>IFERROR(__xludf.DUMMYFUNCTION("upper(Regexreplace(to_text(E840),""[^A-Za-z0-9]"","""")&amp;""-""&amp;Regexreplace(to_text(F840),""[^A-Za-z0-9]"",""""))"),"NEPTRONIC-EVCBSERIES")</f>
        <v>NEPTRONIC-EVCBSERIES</v>
      </c>
    </row>
    <row r="841" ht="30.0" customHeight="1">
      <c r="A841" s="173">
        <v>833.0</v>
      </c>
      <c r="B841" s="237" t="s">
        <v>670</v>
      </c>
      <c r="C841" s="257" t="s">
        <v>4078</v>
      </c>
      <c r="D841" s="173" t="s">
        <v>4078</v>
      </c>
      <c r="E841" s="174" t="s">
        <v>2861</v>
      </c>
      <c r="F841" s="173" t="s">
        <v>2862</v>
      </c>
      <c r="G841" s="328" t="s">
        <v>673</v>
      </c>
      <c r="H841" s="328" t="s">
        <v>2863</v>
      </c>
      <c r="I841" s="258" t="s">
        <v>2864</v>
      </c>
      <c r="J841" s="259" t="s">
        <v>965</v>
      </c>
      <c r="K841" s="260" t="s">
        <v>4079</v>
      </c>
      <c r="L841" s="328"/>
      <c r="M841" s="343"/>
      <c r="N841" s="173" t="s">
        <v>679</v>
      </c>
      <c r="O841" s="173" t="s">
        <v>225</v>
      </c>
      <c r="P841" s="262" t="str">
        <f t="shared" si="1"/>
        <v>IN-BLR-ANANTA-VAV-413_3</v>
      </c>
      <c r="Q841" s="173" t="s">
        <v>4080</v>
      </c>
      <c r="R841" s="328" t="str">
        <f>IFS(C841="","",C841="n/a","N/A",LEN(C841),Concatenate("{",char(34),"asset",char(34),":{",char(34),"guid",char(34),":",char(34),Q841,char(34),",",char(34),"site",char(34),":",char(34),LOWER('2-Building'!$B$4),char(34),",",char(34),"name",char(34),":",char(34),LOWER(C841),char(34),"}}"))</f>
        <v>{"asset":{"guid":"uuid://b413d3c4-8d13-4278-b807-82bc1b938234","site":"in-blr-ananta","name":"vav-413"}}</v>
      </c>
      <c r="S841" s="237" t="s">
        <v>2866</v>
      </c>
      <c r="T841" s="330"/>
      <c r="U841" s="330"/>
      <c r="V841" s="331"/>
      <c r="W841" s="344"/>
      <c r="X841" s="341"/>
      <c r="Y841" s="33" t="s">
        <v>2867</v>
      </c>
      <c r="Z841" s="258">
        <v>120413.0</v>
      </c>
      <c r="AA841" s="334">
        <v>11670.0</v>
      </c>
      <c r="AB841" s="341"/>
      <c r="AC841" s="341"/>
      <c r="AD841" s="343"/>
      <c r="AE841" s="331"/>
      <c r="AF841" s="348"/>
      <c r="AG841" s="337"/>
      <c r="AH841" s="341"/>
      <c r="AI841" s="341"/>
      <c r="AJ841" s="341"/>
      <c r="AK841" s="341"/>
      <c r="AL841" s="341"/>
      <c r="AM841" s="338"/>
      <c r="AN841" s="341"/>
      <c r="AO841" s="341"/>
      <c r="AP841" s="341"/>
      <c r="AQ841" s="341"/>
      <c r="AR841" s="341"/>
      <c r="AS841" s="341"/>
      <c r="AT841" s="341"/>
      <c r="AU841" s="343"/>
      <c r="AV841" s="341"/>
      <c r="AW841" s="269" t="s">
        <v>2078</v>
      </c>
      <c r="AX841" s="334" t="s">
        <v>2869</v>
      </c>
      <c r="AY841" s="270" t="s">
        <v>695</v>
      </c>
      <c r="AZ841" s="173" t="s">
        <v>2866</v>
      </c>
      <c r="BA841" s="265">
        <v>10.0</v>
      </c>
      <c r="BB841" s="174" t="s">
        <v>245</v>
      </c>
      <c r="BC841" s="341"/>
      <c r="BD841" s="308"/>
      <c r="BE841" s="347"/>
      <c r="BF841" s="274" t="str">
        <f>IFERROR(__xludf.DUMMYFUNCTION("LOWER(Regexreplace(to_text(E841),""[^A-Za-z0-9]"","""")&amp;""_""&amp;Regexreplace(to_text(F841),""[^A-Za-z0-9]"",""""))"),"neptronic_evcbseries")</f>
        <v>neptronic_evcbseries</v>
      </c>
      <c r="BG841" s="275" t="str">
        <f>IFERROR(__xludf.DUMMYFUNCTION("upper(Regexreplace(to_text(E841),""[^A-Za-z0-9]"","""")&amp;""-""&amp;Regexreplace(to_text(F841),""[^A-Za-z0-9]"",""""))"),"NEPTRONIC-EVCBSERIES")</f>
        <v>NEPTRONIC-EVCBSERIES</v>
      </c>
    </row>
    <row r="842" ht="30.0" customHeight="1">
      <c r="A842" s="258">
        <v>834.0</v>
      </c>
      <c r="B842" s="237" t="s">
        <v>670</v>
      </c>
      <c r="C842" s="257" t="s">
        <v>4081</v>
      </c>
      <c r="D842" s="173" t="s">
        <v>4081</v>
      </c>
      <c r="E842" s="174" t="s">
        <v>2861</v>
      </c>
      <c r="F842" s="173" t="s">
        <v>2862</v>
      </c>
      <c r="G842" s="328" t="s">
        <v>673</v>
      </c>
      <c r="H842" s="328" t="s">
        <v>2863</v>
      </c>
      <c r="I842" s="258" t="s">
        <v>2864</v>
      </c>
      <c r="J842" s="259" t="s">
        <v>965</v>
      </c>
      <c r="K842" s="260" t="s">
        <v>4082</v>
      </c>
      <c r="L842" s="328"/>
      <c r="M842" s="343"/>
      <c r="N842" s="173" t="s">
        <v>679</v>
      </c>
      <c r="O842" s="173" t="s">
        <v>225</v>
      </c>
      <c r="P842" s="262" t="str">
        <f t="shared" si="1"/>
        <v>IN-BLR-ANANTA-VAV-414_3</v>
      </c>
      <c r="Q842" s="173" t="s">
        <v>4083</v>
      </c>
      <c r="R842" s="328" t="str">
        <f>IFS(C842="","",C842="n/a","N/A",LEN(C842),Concatenate("{",char(34),"asset",char(34),":{",char(34),"guid",char(34),":",char(34),Q842,char(34),",",char(34),"site",char(34),":",char(34),LOWER('2-Building'!$B$4),char(34),",",char(34),"name",char(34),":",char(34),LOWER(C842),char(34),"}}"))</f>
        <v>{"asset":{"guid":"uuid://dbd33e36-03e8-489a-9f2d-a3550f2f8af9","site":"in-blr-ananta","name":"vav-414"}}</v>
      </c>
      <c r="S842" s="237" t="s">
        <v>2866</v>
      </c>
      <c r="T842" s="330"/>
      <c r="U842" s="330"/>
      <c r="V842" s="331"/>
      <c r="W842" s="344"/>
      <c r="X842" s="341"/>
      <c r="Y842" s="33" t="s">
        <v>2867</v>
      </c>
      <c r="Z842" s="258">
        <v>120414.0</v>
      </c>
      <c r="AA842" s="334">
        <v>11670.0</v>
      </c>
      <c r="AB842" s="341"/>
      <c r="AC842" s="341"/>
      <c r="AD842" s="343"/>
      <c r="AE842" s="331"/>
      <c r="AF842" s="348"/>
      <c r="AG842" s="337"/>
      <c r="AH842" s="341"/>
      <c r="AI842" s="341"/>
      <c r="AJ842" s="341"/>
      <c r="AK842" s="341"/>
      <c r="AL842" s="341"/>
      <c r="AM842" s="338"/>
      <c r="AN842" s="341"/>
      <c r="AO842" s="341"/>
      <c r="AP842" s="341"/>
      <c r="AQ842" s="341"/>
      <c r="AR842" s="341"/>
      <c r="AS842" s="341"/>
      <c r="AT842" s="341"/>
      <c r="AU842" s="343"/>
      <c r="AV842" s="341"/>
      <c r="AW842" s="269" t="s">
        <v>2078</v>
      </c>
      <c r="AX842" s="334" t="s">
        <v>2869</v>
      </c>
      <c r="AY842" s="270" t="s">
        <v>695</v>
      </c>
      <c r="AZ842" s="173" t="s">
        <v>2866</v>
      </c>
      <c r="BA842" s="265">
        <v>10.0</v>
      </c>
      <c r="BB842" s="174" t="s">
        <v>245</v>
      </c>
      <c r="BC842" s="341"/>
      <c r="BD842" s="308"/>
      <c r="BE842" s="347"/>
      <c r="BF842" s="274" t="str">
        <f>IFERROR(__xludf.DUMMYFUNCTION("LOWER(Regexreplace(to_text(E842),""[^A-Za-z0-9]"","""")&amp;""_""&amp;Regexreplace(to_text(F842),""[^A-Za-z0-9]"",""""))"),"neptronic_evcbseries")</f>
        <v>neptronic_evcbseries</v>
      </c>
      <c r="BG842" s="275" t="str">
        <f>IFERROR(__xludf.DUMMYFUNCTION("upper(Regexreplace(to_text(E842),""[^A-Za-z0-9]"","""")&amp;""-""&amp;Regexreplace(to_text(F842),""[^A-Za-z0-9]"",""""))"),"NEPTRONIC-EVCBSERIES")</f>
        <v>NEPTRONIC-EVCBSERIES</v>
      </c>
    </row>
    <row r="843" ht="30.0" customHeight="1">
      <c r="A843" s="173">
        <v>835.0</v>
      </c>
      <c r="B843" s="237" t="s">
        <v>670</v>
      </c>
      <c r="C843" s="257" t="s">
        <v>4084</v>
      </c>
      <c r="D843" s="173" t="s">
        <v>4084</v>
      </c>
      <c r="E843" s="174" t="s">
        <v>2861</v>
      </c>
      <c r="F843" s="173" t="s">
        <v>2862</v>
      </c>
      <c r="G843" s="328" t="s">
        <v>673</v>
      </c>
      <c r="H843" s="328" t="s">
        <v>2863</v>
      </c>
      <c r="I843" s="258" t="s">
        <v>2864</v>
      </c>
      <c r="J843" s="259" t="s">
        <v>965</v>
      </c>
      <c r="K843" s="260" t="s">
        <v>4085</v>
      </c>
      <c r="L843" s="328"/>
      <c r="M843" s="343"/>
      <c r="N843" s="173" t="s">
        <v>679</v>
      </c>
      <c r="O843" s="173" t="s">
        <v>225</v>
      </c>
      <c r="P843" s="262" t="str">
        <f t="shared" si="1"/>
        <v>IN-BLR-ANANTA-VAV-415_3</v>
      </c>
      <c r="Q843" s="173" t="s">
        <v>4086</v>
      </c>
      <c r="R843" s="328" t="str">
        <f>IFS(C843="","",C843="n/a","N/A",LEN(C843),Concatenate("{",char(34),"asset",char(34),":{",char(34),"guid",char(34),":",char(34),Q843,char(34),",",char(34),"site",char(34),":",char(34),LOWER('2-Building'!$B$4),char(34),",",char(34),"name",char(34),":",char(34),LOWER(C843),char(34),"}}"))</f>
        <v>{"asset":{"guid":"uuid://c43fe94e-523d-4f79-a370-c0e48d2b995b","site":"in-blr-ananta","name":"vav-415"}}</v>
      </c>
      <c r="S843" s="237" t="s">
        <v>2866</v>
      </c>
      <c r="T843" s="330"/>
      <c r="U843" s="330"/>
      <c r="V843" s="331"/>
      <c r="W843" s="344"/>
      <c r="X843" s="341"/>
      <c r="Y843" s="33" t="s">
        <v>2867</v>
      </c>
      <c r="Z843" s="258">
        <v>120415.0</v>
      </c>
      <c r="AA843" s="334">
        <v>11670.0</v>
      </c>
      <c r="AB843" s="341"/>
      <c r="AC843" s="341"/>
      <c r="AD843" s="343"/>
      <c r="AE843" s="331"/>
      <c r="AF843" s="348"/>
      <c r="AG843" s="337"/>
      <c r="AH843" s="341"/>
      <c r="AI843" s="341"/>
      <c r="AJ843" s="341"/>
      <c r="AK843" s="341"/>
      <c r="AL843" s="341"/>
      <c r="AM843" s="338"/>
      <c r="AN843" s="341"/>
      <c r="AO843" s="341"/>
      <c r="AP843" s="341"/>
      <c r="AQ843" s="341"/>
      <c r="AR843" s="341"/>
      <c r="AS843" s="341"/>
      <c r="AT843" s="341"/>
      <c r="AU843" s="343"/>
      <c r="AV843" s="341"/>
      <c r="AW843" s="269" t="s">
        <v>2078</v>
      </c>
      <c r="AX843" s="334" t="s">
        <v>2869</v>
      </c>
      <c r="AY843" s="270" t="s">
        <v>695</v>
      </c>
      <c r="AZ843" s="173" t="s">
        <v>2866</v>
      </c>
      <c r="BA843" s="265">
        <v>10.0</v>
      </c>
      <c r="BB843" s="174" t="s">
        <v>245</v>
      </c>
      <c r="BC843" s="341"/>
      <c r="BD843" s="308"/>
      <c r="BE843" s="347"/>
      <c r="BF843" s="274" t="str">
        <f>IFERROR(__xludf.DUMMYFUNCTION("LOWER(Regexreplace(to_text(E843),""[^A-Za-z0-9]"","""")&amp;""_""&amp;Regexreplace(to_text(F843),""[^A-Za-z0-9]"",""""))"),"neptronic_evcbseries")</f>
        <v>neptronic_evcbseries</v>
      </c>
      <c r="BG843" s="275" t="str">
        <f>IFERROR(__xludf.DUMMYFUNCTION("upper(Regexreplace(to_text(E843),""[^A-Za-z0-9]"","""")&amp;""-""&amp;Regexreplace(to_text(F843),""[^A-Za-z0-9]"",""""))"),"NEPTRONIC-EVCBSERIES")</f>
        <v>NEPTRONIC-EVCBSERIES</v>
      </c>
    </row>
    <row r="844" ht="30.0" customHeight="1">
      <c r="A844" s="258">
        <v>836.0</v>
      </c>
      <c r="B844" s="237" t="s">
        <v>670</v>
      </c>
      <c r="C844" s="257" t="s">
        <v>4087</v>
      </c>
      <c r="D844" s="173" t="s">
        <v>4087</v>
      </c>
      <c r="E844" s="174" t="s">
        <v>2861</v>
      </c>
      <c r="F844" s="173" t="s">
        <v>2862</v>
      </c>
      <c r="G844" s="328" t="s">
        <v>673</v>
      </c>
      <c r="H844" s="328" t="s">
        <v>2863</v>
      </c>
      <c r="I844" s="258" t="s">
        <v>2864</v>
      </c>
      <c r="J844" s="259" t="s">
        <v>965</v>
      </c>
      <c r="K844" s="260" t="s">
        <v>4088</v>
      </c>
      <c r="L844" s="328"/>
      <c r="M844" s="343"/>
      <c r="N844" s="173" t="s">
        <v>679</v>
      </c>
      <c r="O844" s="173" t="s">
        <v>225</v>
      </c>
      <c r="P844" s="262" t="str">
        <f t="shared" si="1"/>
        <v>IN-BLR-ANANTA-VAV-416_3</v>
      </c>
      <c r="Q844" s="173" t="s">
        <v>4089</v>
      </c>
      <c r="R844" s="328" t="str">
        <f>IFS(C844="","",C844="n/a","N/A",LEN(C844),Concatenate("{",char(34),"asset",char(34),":{",char(34),"guid",char(34),":",char(34),Q844,char(34),",",char(34),"site",char(34),":",char(34),LOWER('2-Building'!$B$4),char(34),",",char(34),"name",char(34),":",char(34),LOWER(C844),char(34),"}}"))</f>
        <v>{"asset":{"guid":"uuid://a016612b-abef-4233-9115-c65b6f7f882a","site":"in-blr-ananta","name":"vav-416"}}</v>
      </c>
      <c r="S844" s="237" t="s">
        <v>2866</v>
      </c>
      <c r="T844" s="330"/>
      <c r="U844" s="330"/>
      <c r="V844" s="331"/>
      <c r="W844" s="344"/>
      <c r="X844" s="341"/>
      <c r="Y844" s="33" t="s">
        <v>2867</v>
      </c>
      <c r="Z844" s="258">
        <v>120416.0</v>
      </c>
      <c r="AA844" s="334">
        <v>11670.0</v>
      </c>
      <c r="AB844" s="341"/>
      <c r="AC844" s="341"/>
      <c r="AD844" s="343"/>
      <c r="AE844" s="331"/>
      <c r="AF844" s="348"/>
      <c r="AG844" s="337"/>
      <c r="AH844" s="341"/>
      <c r="AI844" s="341"/>
      <c r="AJ844" s="341"/>
      <c r="AK844" s="341"/>
      <c r="AL844" s="341"/>
      <c r="AM844" s="338"/>
      <c r="AN844" s="341"/>
      <c r="AO844" s="341"/>
      <c r="AP844" s="341"/>
      <c r="AQ844" s="341"/>
      <c r="AR844" s="341"/>
      <c r="AS844" s="341"/>
      <c r="AT844" s="341"/>
      <c r="AU844" s="343"/>
      <c r="AV844" s="341"/>
      <c r="AW844" s="269" t="s">
        <v>2078</v>
      </c>
      <c r="AX844" s="334" t="s">
        <v>2869</v>
      </c>
      <c r="AY844" s="270" t="s">
        <v>695</v>
      </c>
      <c r="AZ844" s="173" t="s">
        <v>2866</v>
      </c>
      <c r="BA844" s="265">
        <v>10.0</v>
      </c>
      <c r="BB844" s="174" t="s">
        <v>245</v>
      </c>
      <c r="BC844" s="341"/>
      <c r="BD844" s="308"/>
      <c r="BE844" s="347"/>
      <c r="BF844" s="274" t="str">
        <f>IFERROR(__xludf.DUMMYFUNCTION("LOWER(Regexreplace(to_text(E844),""[^A-Za-z0-9]"","""")&amp;""_""&amp;Regexreplace(to_text(F844),""[^A-Za-z0-9]"",""""))"),"neptronic_evcbseries")</f>
        <v>neptronic_evcbseries</v>
      </c>
      <c r="BG844" s="275" t="str">
        <f>IFERROR(__xludf.DUMMYFUNCTION("upper(Regexreplace(to_text(E844),""[^A-Za-z0-9]"","""")&amp;""-""&amp;Regexreplace(to_text(F844),""[^A-Za-z0-9]"",""""))"),"NEPTRONIC-EVCBSERIES")</f>
        <v>NEPTRONIC-EVCBSERIES</v>
      </c>
    </row>
    <row r="845" ht="30.0" customHeight="1">
      <c r="A845" s="173">
        <v>837.0</v>
      </c>
      <c r="B845" s="237" t="s">
        <v>670</v>
      </c>
      <c r="C845" s="257" t="s">
        <v>4090</v>
      </c>
      <c r="D845" s="173" t="s">
        <v>4090</v>
      </c>
      <c r="E845" s="174" t="s">
        <v>2861</v>
      </c>
      <c r="F845" s="173" t="s">
        <v>2862</v>
      </c>
      <c r="G845" s="328" t="s">
        <v>673</v>
      </c>
      <c r="H845" s="328" t="s">
        <v>2863</v>
      </c>
      <c r="I845" s="258" t="s">
        <v>2864</v>
      </c>
      <c r="J845" s="259" t="s">
        <v>965</v>
      </c>
      <c r="K845" s="260" t="s">
        <v>4091</v>
      </c>
      <c r="L845" s="328"/>
      <c r="M845" s="343"/>
      <c r="N845" s="173" t="s">
        <v>679</v>
      </c>
      <c r="O845" s="173" t="s">
        <v>225</v>
      </c>
      <c r="P845" s="262" t="str">
        <f t="shared" si="1"/>
        <v>IN-BLR-ANANTA-VAV-417_3</v>
      </c>
      <c r="Q845" s="173" t="s">
        <v>4092</v>
      </c>
      <c r="R845" s="328" t="str">
        <f>IFS(C845="","",C845="n/a","N/A",LEN(C845),Concatenate("{",char(34),"asset",char(34),":{",char(34),"guid",char(34),":",char(34),Q845,char(34),",",char(34),"site",char(34),":",char(34),LOWER('2-Building'!$B$4),char(34),",",char(34),"name",char(34),":",char(34),LOWER(C845),char(34),"}}"))</f>
        <v>{"asset":{"guid":"uuid://3fd4dffa-0eae-49d1-aa0f-7f5d56df1f00","site":"in-blr-ananta","name":"vav-417"}}</v>
      </c>
      <c r="S845" s="237" t="s">
        <v>2866</v>
      </c>
      <c r="T845" s="330"/>
      <c r="U845" s="330"/>
      <c r="V845" s="331"/>
      <c r="W845" s="344"/>
      <c r="X845" s="341"/>
      <c r="Y845" s="33" t="s">
        <v>2867</v>
      </c>
      <c r="Z845" s="258">
        <v>120417.0</v>
      </c>
      <c r="AA845" s="334">
        <v>11670.0</v>
      </c>
      <c r="AB845" s="341"/>
      <c r="AC845" s="341"/>
      <c r="AD845" s="343"/>
      <c r="AE845" s="331"/>
      <c r="AF845" s="348"/>
      <c r="AG845" s="337"/>
      <c r="AH845" s="341"/>
      <c r="AI845" s="341"/>
      <c r="AJ845" s="341"/>
      <c r="AK845" s="341"/>
      <c r="AL845" s="341"/>
      <c r="AM845" s="338"/>
      <c r="AN845" s="341"/>
      <c r="AO845" s="341"/>
      <c r="AP845" s="341"/>
      <c r="AQ845" s="341"/>
      <c r="AR845" s="341"/>
      <c r="AS845" s="341"/>
      <c r="AT845" s="341"/>
      <c r="AU845" s="343"/>
      <c r="AV845" s="341"/>
      <c r="AW845" s="269" t="s">
        <v>2078</v>
      </c>
      <c r="AX845" s="334" t="s">
        <v>2869</v>
      </c>
      <c r="AY845" s="270" t="s">
        <v>695</v>
      </c>
      <c r="AZ845" s="173" t="s">
        <v>2866</v>
      </c>
      <c r="BA845" s="265">
        <v>10.0</v>
      </c>
      <c r="BB845" s="174" t="s">
        <v>245</v>
      </c>
      <c r="BC845" s="341"/>
      <c r="BD845" s="308"/>
      <c r="BE845" s="347"/>
      <c r="BF845" s="274" t="str">
        <f>IFERROR(__xludf.DUMMYFUNCTION("LOWER(Regexreplace(to_text(E845),""[^A-Za-z0-9]"","""")&amp;""_""&amp;Regexreplace(to_text(F845),""[^A-Za-z0-9]"",""""))"),"neptronic_evcbseries")</f>
        <v>neptronic_evcbseries</v>
      </c>
      <c r="BG845" s="275" t="str">
        <f>IFERROR(__xludf.DUMMYFUNCTION("upper(Regexreplace(to_text(E845),""[^A-Za-z0-9]"","""")&amp;""-""&amp;Regexreplace(to_text(F845),""[^A-Za-z0-9]"",""""))"),"NEPTRONIC-EVCBSERIES")</f>
        <v>NEPTRONIC-EVCBSERIES</v>
      </c>
    </row>
    <row r="846" ht="30.0" customHeight="1">
      <c r="A846" s="258">
        <v>838.0</v>
      </c>
      <c r="B846" s="237" t="s">
        <v>670</v>
      </c>
      <c r="C846" s="257" t="s">
        <v>4093</v>
      </c>
      <c r="D846" s="173" t="s">
        <v>4093</v>
      </c>
      <c r="E846" s="174" t="s">
        <v>2861</v>
      </c>
      <c r="F846" s="173" t="s">
        <v>2862</v>
      </c>
      <c r="G846" s="328" t="s">
        <v>673</v>
      </c>
      <c r="H846" s="328" t="s">
        <v>2863</v>
      </c>
      <c r="I846" s="258" t="s">
        <v>2864</v>
      </c>
      <c r="J846" s="259" t="s">
        <v>965</v>
      </c>
      <c r="K846" s="260" t="s">
        <v>4094</v>
      </c>
      <c r="L846" s="328"/>
      <c r="M846" s="343"/>
      <c r="N846" s="173" t="s">
        <v>679</v>
      </c>
      <c r="O846" s="173" t="s">
        <v>225</v>
      </c>
      <c r="P846" s="262" t="str">
        <f t="shared" si="1"/>
        <v>IN-BLR-ANANTA-VAV-418_3</v>
      </c>
      <c r="Q846" s="173" t="s">
        <v>4095</v>
      </c>
      <c r="R846" s="328" t="str">
        <f>IFS(C846="","",C846="n/a","N/A",LEN(C846),Concatenate("{",char(34),"asset",char(34),":{",char(34),"guid",char(34),":",char(34),Q846,char(34),",",char(34),"site",char(34),":",char(34),LOWER('2-Building'!$B$4),char(34),",",char(34),"name",char(34),":",char(34),LOWER(C846),char(34),"}}"))</f>
        <v>{"asset":{"guid":"uuid://b8e77db4-8158-4389-ac98-54bee42a58eb","site":"in-blr-ananta","name":"vav-418"}}</v>
      </c>
      <c r="S846" s="237" t="s">
        <v>2866</v>
      </c>
      <c r="T846" s="330"/>
      <c r="U846" s="330"/>
      <c r="V846" s="331"/>
      <c r="W846" s="344"/>
      <c r="X846" s="341"/>
      <c r="Y846" s="33" t="s">
        <v>2867</v>
      </c>
      <c r="Z846" s="258">
        <v>120418.0</v>
      </c>
      <c r="AA846" s="334">
        <v>11670.0</v>
      </c>
      <c r="AB846" s="341"/>
      <c r="AC846" s="341"/>
      <c r="AD846" s="343"/>
      <c r="AE846" s="331"/>
      <c r="AF846" s="348"/>
      <c r="AG846" s="337"/>
      <c r="AH846" s="341"/>
      <c r="AI846" s="341"/>
      <c r="AJ846" s="341"/>
      <c r="AK846" s="341"/>
      <c r="AL846" s="341"/>
      <c r="AM846" s="338"/>
      <c r="AN846" s="341"/>
      <c r="AO846" s="341"/>
      <c r="AP846" s="341"/>
      <c r="AQ846" s="341"/>
      <c r="AR846" s="341"/>
      <c r="AS846" s="341"/>
      <c r="AT846" s="341"/>
      <c r="AU846" s="343"/>
      <c r="AV846" s="341"/>
      <c r="AW846" s="269" t="s">
        <v>2078</v>
      </c>
      <c r="AX846" s="334" t="s">
        <v>2869</v>
      </c>
      <c r="AY846" s="270" t="s">
        <v>695</v>
      </c>
      <c r="AZ846" s="173" t="s">
        <v>2866</v>
      </c>
      <c r="BA846" s="265">
        <v>10.0</v>
      </c>
      <c r="BB846" s="174" t="s">
        <v>245</v>
      </c>
      <c r="BC846" s="341"/>
      <c r="BD846" s="308"/>
      <c r="BE846" s="347"/>
      <c r="BF846" s="274" t="str">
        <f>IFERROR(__xludf.DUMMYFUNCTION("LOWER(Regexreplace(to_text(E846),""[^A-Za-z0-9]"","""")&amp;""_""&amp;Regexreplace(to_text(F846),""[^A-Za-z0-9]"",""""))"),"neptronic_evcbseries")</f>
        <v>neptronic_evcbseries</v>
      </c>
      <c r="BG846" s="275" t="str">
        <f>IFERROR(__xludf.DUMMYFUNCTION("upper(Regexreplace(to_text(E846),""[^A-Za-z0-9]"","""")&amp;""-""&amp;Regexreplace(to_text(F846),""[^A-Za-z0-9]"",""""))"),"NEPTRONIC-EVCBSERIES")</f>
        <v>NEPTRONIC-EVCBSERIES</v>
      </c>
    </row>
    <row r="847" ht="30.0" customHeight="1">
      <c r="A847" s="173">
        <v>839.0</v>
      </c>
      <c r="B847" s="237" t="s">
        <v>670</v>
      </c>
      <c r="C847" s="257" t="s">
        <v>4096</v>
      </c>
      <c r="D847" s="173" t="s">
        <v>4096</v>
      </c>
      <c r="E847" s="174" t="s">
        <v>2861</v>
      </c>
      <c r="F847" s="173" t="s">
        <v>2862</v>
      </c>
      <c r="G847" s="328" t="s">
        <v>673</v>
      </c>
      <c r="H847" s="328" t="s">
        <v>2863</v>
      </c>
      <c r="I847" s="258" t="s">
        <v>2864</v>
      </c>
      <c r="J847" s="259" t="s">
        <v>965</v>
      </c>
      <c r="K847" s="260" t="s">
        <v>4097</v>
      </c>
      <c r="L847" s="328"/>
      <c r="M847" s="343"/>
      <c r="N847" s="173" t="s">
        <v>679</v>
      </c>
      <c r="O847" s="173" t="s">
        <v>225</v>
      </c>
      <c r="P847" s="262" t="str">
        <f t="shared" si="1"/>
        <v>IN-BLR-ANANTA-VAV-419_3</v>
      </c>
      <c r="Q847" s="173" t="s">
        <v>4098</v>
      </c>
      <c r="R847" s="328" t="str">
        <f>IFS(C847="","",C847="n/a","N/A",LEN(C847),Concatenate("{",char(34),"asset",char(34),":{",char(34),"guid",char(34),":",char(34),Q847,char(34),",",char(34),"site",char(34),":",char(34),LOWER('2-Building'!$B$4),char(34),",",char(34),"name",char(34),":",char(34),LOWER(C847),char(34),"}}"))</f>
        <v>{"asset":{"guid":"uuid://b0f98121-97ff-430e-ad50-59784a541bcb","site":"in-blr-ananta","name":"vav-419"}}</v>
      </c>
      <c r="S847" s="237" t="s">
        <v>2866</v>
      </c>
      <c r="T847" s="330"/>
      <c r="U847" s="330"/>
      <c r="V847" s="331"/>
      <c r="W847" s="344"/>
      <c r="X847" s="341"/>
      <c r="Y847" s="33" t="s">
        <v>2867</v>
      </c>
      <c r="Z847" s="258">
        <v>120419.0</v>
      </c>
      <c r="AA847" s="334">
        <v>11670.0</v>
      </c>
      <c r="AB847" s="341"/>
      <c r="AC847" s="341"/>
      <c r="AD847" s="343"/>
      <c r="AE847" s="331"/>
      <c r="AF847" s="348"/>
      <c r="AG847" s="337"/>
      <c r="AH847" s="341"/>
      <c r="AI847" s="341"/>
      <c r="AJ847" s="341"/>
      <c r="AK847" s="341"/>
      <c r="AL847" s="341"/>
      <c r="AM847" s="338"/>
      <c r="AN847" s="341"/>
      <c r="AO847" s="341"/>
      <c r="AP847" s="341"/>
      <c r="AQ847" s="341"/>
      <c r="AR847" s="341"/>
      <c r="AS847" s="341"/>
      <c r="AT847" s="341"/>
      <c r="AU847" s="343"/>
      <c r="AV847" s="341"/>
      <c r="AW847" s="269" t="s">
        <v>2078</v>
      </c>
      <c r="AX847" s="334" t="s">
        <v>2869</v>
      </c>
      <c r="AY847" s="270" t="s">
        <v>695</v>
      </c>
      <c r="AZ847" s="173" t="s">
        <v>2866</v>
      </c>
      <c r="BA847" s="265">
        <v>10.0</v>
      </c>
      <c r="BB847" s="174" t="s">
        <v>245</v>
      </c>
      <c r="BC847" s="341"/>
      <c r="BD847" s="308"/>
      <c r="BE847" s="347"/>
      <c r="BF847" s="274" t="str">
        <f>IFERROR(__xludf.DUMMYFUNCTION("LOWER(Regexreplace(to_text(E847),""[^A-Za-z0-9]"","""")&amp;""_""&amp;Regexreplace(to_text(F847),""[^A-Za-z0-9]"",""""))"),"neptronic_evcbseries")</f>
        <v>neptronic_evcbseries</v>
      </c>
      <c r="BG847" s="275" t="str">
        <f>IFERROR(__xludf.DUMMYFUNCTION("upper(Regexreplace(to_text(E847),""[^A-Za-z0-9]"","""")&amp;""-""&amp;Regexreplace(to_text(F847),""[^A-Za-z0-9]"",""""))"),"NEPTRONIC-EVCBSERIES")</f>
        <v>NEPTRONIC-EVCBSERIES</v>
      </c>
    </row>
    <row r="848" ht="30.0" customHeight="1">
      <c r="A848" s="258">
        <v>840.0</v>
      </c>
      <c r="B848" s="237" t="s">
        <v>670</v>
      </c>
      <c r="C848" s="257" t="s">
        <v>4099</v>
      </c>
      <c r="D848" s="173" t="s">
        <v>4099</v>
      </c>
      <c r="E848" s="174" t="s">
        <v>2861</v>
      </c>
      <c r="F848" s="173" t="s">
        <v>2862</v>
      </c>
      <c r="G848" s="328" t="s">
        <v>673</v>
      </c>
      <c r="H848" s="328" t="s">
        <v>2863</v>
      </c>
      <c r="I848" s="258" t="s">
        <v>2864</v>
      </c>
      <c r="J848" s="259" t="s">
        <v>965</v>
      </c>
      <c r="K848" s="260" t="s">
        <v>4100</v>
      </c>
      <c r="L848" s="328"/>
      <c r="M848" s="343"/>
      <c r="N848" s="173" t="s">
        <v>679</v>
      </c>
      <c r="O848" s="173" t="s">
        <v>225</v>
      </c>
      <c r="P848" s="262" t="str">
        <f t="shared" si="1"/>
        <v>IN-BLR-ANANTA-VAV-420_3</v>
      </c>
      <c r="Q848" s="173" t="s">
        <v>4101</v>
      </c>
      <c r="R848" s="328" t="str">
        <f>IFS(C848="","",C848="n/a","N/A",LEN(C848),Concatenate("{",char(34),"asset",char(34),":{",char(34),"guid",char(34),":",char(34),Q848,char(34),",",char(34),"site",char(34),":",char(34),LOWER('2-Building'!$B$4),char(34),",",char(34),"name",char(34),":",char(34),LOWER(C848),char(34),"}}"))</f>
        <v>{"asset":{"guid":"uuid://a155a382-9f8e-4cba-aabe-ec192007726c","site":"in-blr-ananta","name":"vav-420"}}</v>
      </c>
      <c r="S848" s="237" t="s">
        <v>2866</v>
      </c>
      <c r="T848" s="330"/>
      <c r="U848" s="330"/>
      <c r="V848" s="331"/>
      <c r="W848" s="344"/>
      <c r="X848" s="341"/>
      <c r="Y848" s="33" t="s">
        <v>2867</v>
      </c>
      <c r="Z848" s="258">
        <v>120420.0</v>
      </c>
      <c r="AA848" s="334">
        <v>11670.0</v>
      </c>
      <c r="AB848" s="341"/>
      <c r="AC848" s="341"/>
      <c r="AD848" s="343"/>
      <c r="AE848" s="331"/>
      <c r="AF848" s="348"/>
      <c r="AG848" s="337"/>
      <c r="AH848" s="341"/>
      <c r="AI848" s="341"/>
      <c r="AJ848" s="341"/>
      <c r="AK848" s="341"/>
      <c r="AL848" s="341"/>
      <c r="AM848" s="338"/>
      <c r="AN848" s="341"/>
      <c r="AO848" s="341"/>
      <c r="AP848" s="341"/>
      <c r="AQ848" s="341"/>
      <c r="AR848" s="341"/>
      <c r="AS848" s="341"/>
      <c r="AT848" s="341"/>
      <c r="AU848" s="343"/>
      <c r="AV848" s="341"/>
      <c r="AW848" s="269" t="s">
        <v>2078</v>
      </c>
      <c r="AX848" s="334" t="s">
        <v>2869</v>
      </c>
      <c r="AY848" s="270" t="s">
        <v>695</v>
      </c>
      <c r="AZ848" s="173" t="s">
        <v>2866</v>
      </c>
      <c r="BA848" s="265">
        <v>10.0</v>
      </c>
      <c r="BB848" s="174" t="s">
        <v>245</v>
      </c>
      <c r="BC848" s="341"/>
      <c r="BD848" s="308"/>
      <c r="BE848" s="347"/>
      <c r="BF848" s="274" t="str">
        <f>IFERROR(__xludf.DUMMYFUNCTION("LOWER(Regexreplace(to_text(E848),""[^A-Za-z0-9]"","""")&amp;""_""&amp;Regexreplace(to_text(F848),""[^A-Za-z0-9]"",""""))"),"neptronic_evcbseries")</f>
        <v>neptronic_evcbseries</v>
      </c>
      <c r="BG848" s="275" t="str">
        <f>IFERROR(__xludf.DUMMYFUNCTION("upper(Regexreplace(to_text(E848),""[^A-Za-z0-9]"","""")&amp;""-""&amp;Regexreplace(to_text(F848),""[^A-Za-z0-9]"",""""))"),"NEPTRONIC-EVCBSERIES")</f>
        <v>NEPTRONIC-EVCBSERIES</v>
      </c>
    </row>
    <row r="849" ht="30.0" customHeight="1">
      <c r="A849" s="173">
        <v>841.0</v>
      </c>
      <c r="B849" s="237" t="s">
        <v>670</v>
      </c>
      <c r="C849" s="257" t="s">
        <v>4102</v>
      </c>
      <c r="D849" s="173" t="s">
        <v>4102</v>
      </c>
      <c r="E849" s="174" t="s">
        <v>2861</v>
      </c>
      <c r="F849" s="173" t="s">
        <v>2862</v>
      </c>
      <c r="G849" s="328" t="s">
        <v>673</v>
      </c>
      <c r="H849" s="328" t="s">
        <v>2863</v>
      </c>
      <c r="I849" s="258" t="s">
        <v>2864</v>
      </c>
      <c r="J849" s="259" t="s">
        <v>965</v>
      </c>
      <c r="K849" s="260" t="s">
        <v>4103</v>
      </c>
      <c r="L849" s="328"/>
      <c r="M849" s="343"/>
      <c r="N849" s="173" t="s">
        <v>679</v>
      </c>
      <c r="O849" s="173" t="s">
        <v>225</v>
      </c>
      <c r="P849" s="262" t="str">
        <f t="shared" si="1"/>
        <v>IN-BLR-ANANTA-VAV-421_3</v>
      </c>
      <c r="Q849" s="173" t="s">
        <v>4104</v>
      </c>
      <c r="R849" s="328" t="str">
        <f>IFS(C849="","",C849="n/a","N/A",LEN(C849),Concatenate("{",char(34),"asset",char(34),":{",char(34),"guid",char(34),":",char(34),Q849,char(34),",",char(34),"site",char(34),":",char(34),LOWER('2-Building'!$B$4),char(34),",",char(34),"name",char(34),":",char(34),LOWER(C849),char(34),"}}"))</f>
        <v>{"asset":{"guid":"uuid://38400843-9a43-4046-a19b-103a4575b0e8","site":"in-blr-ananta","name":"vav-421"}}</v>
      </c>
      <c r="S849" s="237" t="s">
        <v>2866</v>
      </c>
      <c r="T849" s="330"/>
      <c r="U849" s="330"/>
      <c r="V849" s="331"/>
      <c r="W849" s="344"/>
      <c r="X849" s="341"/>
      <c r="Y849" s="33" t="s">
        <v>2867</v>
      </c>
      <c r="Z849" s="258">
        <v>120421.0</v>
      </c>
      <c r="AA849" s="334">
        <v>11670.0</v>
      </c>
      <c r="AB849" s="341"/>
      <c r="AC849" s="341"/>
      <c r="AD849" s="343"/>
      <c r="AE849" s="331"/>
      <c r="AF849" s="348"/>
      <c r="AG849" s="337"/>
      <c r="AH849" s="341"/>
      <c r="AI849" s="341"/>
      <c r="AJ849" s="341"/>
      <c r="AK849" s="341"/>
      <c r="AL849" s="341"/>
      <c r="AM849" s="338"/>
      <c r="AN849" s="341"/>
      <c r="AO849" s="341"/>
      <c r="AP849" s="341"/>
      <c r="AQ849" s="341"/>
      <c r="AR849" s="341"/>
      <c r="AS849" s="341"/>
      <c r="AT849" s="341"/>
      <c r="AU849" s="343"/>
      <c r="AV849" s="341"/>
      <c r="AW849" s="269" t="s">
        <v>2078</v>
      </c>
      <c r="AX849" s="334" t="s">
        <v>2869</v>
      </c>
      <c r="AY849" s="270" t="s">
        <v>695</v>
      </c>
      <c r="AZ849" s="173" t="s">
        <v>2866</v>
      </c>
      <c r="BA849" s="265">
        <v>10.0</v>
      </c>
      <c r="BB849" s="174" t="s">
        <v>245</v>
      </c>
      <c r="BC849" s="341"/>
      <c r="BD849" s="308"/>
      <c r="BE849" s="347"/>
      <c r="BF849" s="274" t="str">
        <f>IFERROR(__xludf.DUMMYFUNCTION("LOWER(Regexreplace(to_text(E849),""[^A-Za-z0-9]"","""")&amp;""_""&amp;Regexreplace(to_text(F849),""[^A-Za-z0-9]"",""""))"),"neptronic_evcbseries")</f>
        <v>neptronic_evcbseries</v>
      </c>
      <c r="BG849" s="275" t="str">
        <f>IFERROR(__xludf.DUMMYFUNCTION("upper(Regexreplace(to_text(E849),""[^A-Za-z0-9]"","""")&amp;""-""&amp;Regexreplace(to_text(F849),""[^A-Za-z0-9]"",""""))"),"NEPTRONIC-EVCBSERIES")</f>
        <v>NEPTRONIC-EVCBSERIES</v>
      </c>
    </row>
    <row r="850" ht="30.0" customHeight="1">
      <c r="A850" s="258">
        <v>842.0</v>
      </c>
      <c r="B850" s="237" t="s">
        <v>670</v>
      </c>
      <c r="C850" s="257" t="s">
        <v>4105</v>
      </c>
      <c r="D850" s="173" t="s">
        <v>4105</v>
      </c>
      <c r="E850" s="174" t="s">
        <v>2861</v>
      </c>
      <c r="F850" s="173" t="s">
        <v>2862</v>
      </c>
      <c r="G850" s="328" t="s">
        <v>673</v>
      </c>
      <c r="H850" s="328" t="s">
        <v>2863</v>
      </c>
      <c r="I850" s="258" t="s">
        <v>2864</v>
      </c>
      <c r="J850" s="259" t="s">
        <v>965</v>
      </c>
      <c r="K850" s="260" t="s">
        <v>4106</v>
      </c>
      <c r="L850" s="328"/>
      <c r="M850" s="343"/>
      <c r="N850" s="173" t="s">
        <v>679</v>
      </c>
      <c r="O850" s="173" t="s">
        <v>225</v>
      </c>
      <c r="P850" s="262" t="str">
        <f t="shared" si="1"/>
        <v>IN-BLR-ANANTA-VAV-422_3</v>
      </c>
      <c r="Q850" s="173" t="s">
        <v>4107</v>
      </c>
      <c r="R850" s="328" t="str">
        <f>IFS(C850="","",C850="n/a","N/A",LEN(C850),Concatenate("{",char(34),"asset",char(34),":{",char(34),"guid",char(34),":",char(34),Q850,char(34),",",char(34),"site",char(34),":",char(34),LOWER('2-Building'!$B$4),char(34),",",char(34),"name",char(34),":",char(34),LOWER(C850),char(34),"}}"))</f>
        <v>{"asset":{"guid":"uuid://1d01ca87-25bd-4411-a595-b3c722df0e52","site":"in-blr-ananta","name":"vav-422"}}</v>
      </c>
      <c r="S850" s="237" t="s">
        <v>2866</v>
      </c>
      <c r="T850" s="330"/>
      <c r="U850" s="330"/>
      <c r="V850" s="331"/>
      <c r="W850" s="344"/>
      <c r="X850" s="341"/>
      <c r="Y850" s="33" t="s">
        <v>2867</v>
      </c>
      <c r="Z850" s="258">
        <v>120422.0</v>
      </c>
      <c r="AA850" s="334">
        <v>11670.0</v>
      </c>
      <c r="AB850" s="341"/>
      <c r="AC850" s="341"/>
      <c r="AD850" s="343"/>
      <c r="AE850" s="331"/>
      <c r="AF850" s="348"/>
      <c r="AG850" s="337"/>
      <c r="AH850" s="341"/>
      <c r="AI850" s="341"/>
      <c r="AJ850" s="341"/>
      <c r="AK850" s="341"/>
      <c r="AL850" s="341"/>
      <c r="AM850" s="338"/>
      <c r="AN850" s="341"/>
      <c r="AO850" s="341"/>
      <c r="AP850" s="341"/>
      <c r="AQ850" s="341"/>
      <c r="AR850" s="341"/>
      <c r="AS850" s="341"/>
      <c r="AT850" s="341"/>
      <c r="AU850" s="343"/>
      <c r="AV850" s="341"/>
      <c r="AW850" s="269" t="s">
        <v>2078</v>
      </c>
      <c r="AX850" s="334" t="s">
        <v>2869</v>
      </c>
      <c r="AY850" s="270" t="s">
        <v>695</v>
      </c>
      <c r="AZ850" s="173" t="s">
        <v>2866</v>
      </c>
      <c r="BA850" s="265">
        <v>10.0</v>
      </c>
      <c r="BB850" s="174" t="s">
        <v>245</v>
      </c>
      <c r="BC850" s="341"/>
      <c r="BD850" s="308"/>
      <c r="BE850" s="347"/>
      <c r="BF850" s="274" t="str">
        <f>IFERROR(__xludf.DUMMYFUNCTION("LOWER(Regexreplace(to_text(E850),""[^A-Za-z0-9]"","""")&amp;""_""&amp;Regexreplace(to_text(F850),""[^A-Za-z0-9]"",""""))"),"neptronic_evcbseries")</f>
        <v>neptronic_evcbseries</v>
      </c>
      <c r="BG850" s="275" t="str">
        <f>IFERROR(__xludf.DUMMYFUNCTION("upper(Regexreplace(to_text(E850),""[^A-Za-z0-9]"","""")&amp;""-""&amp;Regexreplace(to_text(F850),""[^A-Za-z0-9]"",""""))"),"NEPTRONIC-EVCBSERIES")</f>
        <v>NEPTRONIC-EVCBSERIES</v>
      </c>
    </row>
    <row r="851" ht="30.0" customHeight="1">
      <c r="A851" s="173">
        <v>843.0</v>
      </c>
      <c r="B851" s="237" t="s">
        <v>670</v>
      </c>
      <c r="C851" s="257" t="s">
        <v>4108</v>
      </c>
      <c r="D851" s="173" t="s">
        <v>4108</v>
      </c>
      <c r="E851" s="174" t="s">
        <v>2861</v>
      </c>
      <c r="F851" s="173" t="s">
        <v>2862</v>
      </c>
      <c r="G851" s="328" t="s">
        <v>673</v>
      </c>
      <c r="H851" s="328" t="s">
        <v>2863</v>
      </c>
      <c r="I851" s="258" t="s">
        <v>2864</v>
      </c>
      <c r="J851" s="259" t="s">
        <v>965</v>
      </c>
      <c r="K851" s="260" t="s">
        <v>4109</v>
      </c>
      <c r="L851" s="328"/>
      <c r="M851" s="343"/>
      <c r="N851" s="173" t="s">
        <v>679</v>
      </c>
      <c r="O851" s="173" t="s">
        <v>225</v>
      </c>
      <c r="P851" s="262" t="str">
        <f t="shared" si="1"/>
        <v>IN-BLR-ANANTA-VAV-423_3</v>
      </c>
      <c r="Q851" s="173" t="s">
        <v>4110</v>
      </c>
      <c r="R851" s="328" t="str">
        <f>IFS(C851="","",C851="n/a","N/A",LEN(C851),Concatenate("{",char(34),"asset",char(34),":{",char(34),"guid",char(34),":",char(34),Q851,char(34),",",char(34),"site",char(34),":",char(34),LOWER('2-Building'!$B$4),char(34),",",char(34),"name",char(34),":",char(34),LOWER(C851),char(34),"}}"))</f>
        <v>{"asset":{"guid":"uuid://918d3706-3836-4aba-b4c9-258bd6692f6a","site":"in-blr-ananta","name":"vav-423"}}</v>
      </c>
      <c r="S851" s="237" t="s">
        <v>2866</v>
      </c>
      <c r="T851" s="330"/>
      <c r="U851" s="330"/>
      <c r="V851" s="331"/>
      <c r="W851" s="344"/>
      <c r="X851" s="341"/>
      <c r="Y851" s="33" t="s">
        <v>2867</v>
      </c>
      <c r="Z851" s="258">
        <v>120423.0</v>
      </c>
      <c r="AA851" s="334">
        <v>11670.0</v>
      </c>
      <c r="AB851" s="341"/>
      <c r="AC851" s="341"/>
      <c r="AD851" s="343"/>
      <c r="AE851" s="331"/>
      <c r="AF851" s="348"/>
      <c r="AG851" s="337"/>
      <c r="AH851" s="341"/>
      <c r="AI851" s="341"/>
      <c r="AJ851" s="341"/>
      <c r="AK851" s="341"/>
      <c r="AL851" s="341"/>
      <c r="AM851" s="338"/>
      <c r="AN851" s="341"/>
      <c r="AO851" s="341"/>
      <c r="AP851" s="341"/>
      <c r="AQ851" s="341"/>
      <c r="AR851" s="341"/>
      <c r="AS851" s="341"/>
      <c r="AT851" s="341"/>
      <c r="AU851" s="343"/>
      <c r="AV851" s="341"/>
      <c r="AW851" s="269" t="s">
        <v>2078</v>
      </c>
      <c r="AX851" s="334" t="s">
        <v>2869</v>
      </c>
      <c r="AY851" s="270" t="s">
        <v>695</v>
      </c>
      <c r="AZ851" s="173" t="s">
        <v>2866</v>
      </c>
      <c r="BA851" s="265">
        <v>10.0</v>
      </c>
      <c r="BB851" s="174" t="s">
        <v>245</v>
      </c>
      <c r="BC851" s="341"/>
      <c r="BD851" s="308"/>
      <c r="BE851" s="347"/>
      <c r="BF851" s="274" t="str">
        <f>IFERROR(__xludf.DUMMYFUNCTION("LOWER(Regexreplace(to_text(E851),""[^A-Za-z0-9]"","""")&amp;""_""&amp;Regexreplace(to_text(F851),""[^A-Za-z0-9]"",""""))"),"neptronic_evcbseries")</f>
        <v>neptronic_evcbseries</v>
      </c>
      <c r="BG851" s="275" t="str">
        <f>IFERROR(__xludf.DUMMYFUNCTION("upper(Regexreplace(to_text(E851),""[^A-Za-z0-9]"","""")&amp;""-""&amp;Regexreplace(to_text(F851),""[^A-Za-z0-9]"",""""))"),"NEPTRONIC-EVCBSERIES")</f>
        <v>NEPTRONIC-EVCBSERIES</v>
      </c>
    </row>
    <row r="852" ht="30.0" customHeight="1">
      <c r="A852" s="258">
        <v>844.0</v>
      </c>
      <c r="B852" s="237" t="s">
        <v>670</v>
      </c>
      <c r="C852" s="257" t="s">
        <v>4111</v>
      </c>
      <c r="D852" s="173" t="s">
        <v>4111</v>
      </c>
      <c r="E852" s="174" t="s">
        <v>2861</v>
      </c>
      <c r="F852" s="173" t="s">
        <v>2862</v>
      </c>
      <c r="G852" s="328" t="s">
        <v>673</v>
      </c>
      <c r="H852" s="328" t="s">
        <v>2863</v>
      </c>
      <c r="I852" s="258" t="s">
        <v>2864</v>
      </c>
      <c r="J852" s="259" t="s">
        <v>965</v>
      </c>
      <c r="K852" s="260" t="s">
        <v>4112</v>
      </c>
      <c r="L852" s="328"/>
      <c r="M852" s="343"/>
      <c r="N852" s="173" t="s">
        <v>679</v>
      </c>
      <c r="O852" s="173" t="s">
        <v>225</v>
      </c>
      <c r="P852" s="262" t="str">
        <f t="shared" si="1"/>
        <v>IN-BLR-ANANTA-VAV-424_3</v>
      </c>
      <c r="Q852" s="173" t="s">
        <v>4113</v>
      </c>
      <c r="R852" s="328" t="str">
        <f>IFS(C852="","",C852="n/a","N/A",LEN(C852),Concatenate("{",char(34),"asset",char(34),":{",char(34),"guid",char(34),":",char(34),Q852,char(34),",",char(34),"site",char(34),":",char(34),LOWER('2-Building'!$B$4),char(34),",",char(34),"name",char(34),":",char(34),LOWER(C852),char(34),"}}"))</f>
        <v>{"asset":{"guid":"uuid://4f702f36-ca28-42f1-af49-a43ec10ee4d7","site":"in-blr-ananta","name":"vav-424"}}</v>
      </c>
      <c r="S852" s="237" t="s">
        <v>2866</v>
      </c>
      <c r="T852" s="330"/>
      <c r="U852" s="330"/>
      <c r="V852" s="331"/>
      <c r="W852" s="344"/>
      <c r="X852" s="341"/>
      <c r="Y852" s="33" t="s">
        <v>2867</v>
      </c>
      <c r="Z852" s="258">
        <v>120424.0</v>
      </c>
      <c r="AA852" s="334">
        <v>11583.0</v>
      </c>
      <c r="AB852" s="341"/>
      <c r="AC852" s="341"/>
      <c r="AD852" s="343"/>
      <c r="AE852" s="331"/>
      <c r="AF852" s="348"/>
      <c r="AG852" s="337"/>
      <c r="AH852" s="341"/>
      <c r="AI852" s="341"/>
      <c r="AJ852" s="341"/>
      <c r="AK852" s="341"/>
      <c r="AL852" s="341"/>
      <c r="AM852" s="338"/>
      <c r="AN852" s="341"/>
      <c r="AO852" s="341"/>
      <c r="AP852" s="341"/>
      <c r="AQ852" s="341"/>
      <c r="AR852" s="341"/>
      <c r="AS852" s="341"/>
      <c r="AT852" s="341"/>
      <c r="AU852" s="343"/>
      <c r="AV852" s="341"/>
      <c r="AW852" s="269" t="s">
        <v>970</v>
      </c>
      <c r="AX852" s="334" t="s">
        <v>2869</v>
      </c>
      <c r="AY852" s="270" t="s">
        <v>695</v>
      </c>
      <c r="AZ852" s="173" t="s">
        <v>2866</v>
      </c>
      <c r="BA852" s="265">
        <v>10.0</v>
      </c>
      <c r="BB852" s="174" t="s">
        <v>245</v>
      </c>
      <c r="BC852" s="341"/>
      <c r="BD852" s="308"/>
      <c r="BE852" s="347"/>
      <c r="BF852" s="274" t="str">
        <f>IFERROR(__xludf.DUMMYFUNCTION("LOWER(Regexreplace(to_text(E852),""[^A-Za-z0-9]"","""")&amp;""_""&amp;Regexreplace(to_text(F852),""[^A-Za-z0-9]"",""""))"),"neptronic_evcbseries")</f>
        <v>neptronic_evcbseries</v>
      </c>
      <c r="BG852" s="275" t="str">
        <f>IFERROR(__xludf.DUMMYFUNCTION("upper(Regexreplace(to_text(E852),""[^A-Za-z0-9]"","""")&amp;""-""&amp;Regexreplace(to_text(F852),""[^A-Za-z0-9]"",""""))"),"NEPTRONIC-EVCBSERIES")</f>
        <v>NEPTRONIC-EVCBSERIES</v>
      </c>
    </row>
    <row r="853" ht="30.0" customHeight="1">
      <c r="A853" s="173">
        <v>845.0</v>
      </c>
      <c r="B853" s="237" t="s">
        <v>670</v>
      </c>
      <c r="C853" s="257" t="s">
        <v>4114</v>
      </c>
      <c r="D853" s="173" t="s">
        <v>4114</v>
      </c>
      <c r="E853" s="174" t="s">
        <v>2861</v>
      </c>
      <c r="F853" s="173" t="s">
        <v>2862</v>
      </c>
      <c r="G853" s="328" t="s">
        <v>673</v>
      </c>
      <c r="H853" s="328" t="s">
        <v>2863</v>
      </c>
      <c r="I853" s="258" t="s">
        <v>2864</v>
      </c>
      <c r="J853" s="259" t="s">
        <v>965</v>
      </c>
      <c r="K853" s="260" t="s">
        <v>4115</v>
      </c>
      <c r="L853" s="328"/>
      <c r="M853" s="343"/>
      <c r="N853" s="173" t="s">
        <v>679</v>
      </c>
      <c r="O853" s="173" t="s">
        <v>225</v>
      </c>
      <c r="P853" s="262" t="str">
        <f t="shared" si="1"/>
        <v>IN-BLR-ANANTA-VAV-425_3</v>
      </c>
      <c r="Q853" s="173" t="s">
        <v>4116</v>
      </c>
      <c r="R853" s="328" t="str">
        <f>IFS(C853="","",C853="n/a","N/A",LEN(C853),Concatenate("{",char(34),"asset",char(34),":{",char(34),"guid",char(34),":",char(34),Q853,char(34),",",char(34),"site",char(34),":",char(34),LOWER('2-Building'!$B$4),char(34),",",char(34),"name",char(34),":",char(34),LOWER(C853),char(34),"}}"))</f>
        <v>{"asset":{"guid":"uuid://ab62fba2-2584-42a8-9e90-2e4112f4eafc","site":"in-blr-ananta","name":"vav-425"}}</v>
      </c>
      <c r="S853" s="237" t="s">
        <v>2866</v>
      </c>
      <c r="T853" s="330"/>
      <c r="U853" s="330"/>
      <c r="V853" s="331"/>
      <c r="W853" s="344"/>
      <c r="X853" s="341"/>
      <c r="Y853" s="33" t="s">
        <v>2867</v>
      </c>
      <c r="Z853" s="258">
        <v>120425.0</v>
      </c>
      <c r="AA853" s="334">
        <v>11583.0</v>
      </c>
      <c r="AB853" s="341"/>
      <c r="AC853" s="341"/>
      <c r="AD853" s="343"/>
      <c r="AE853" s="331"/>
      <c r="AF853" s="348"/>
      <c r="AG853" s="337"/>
      <c r="AH853" s="341"/>
      <c r="AI853" s="341"/>
      <c r="AJ853" s="341"/>
      <c r="AK853" s="341"/>
      <c r="AL853" s="341"/>
      <c r="AM853" s="338"/>
      <c r="AN853" s="341"/>
      <c r="AO853" s="341"/>
      <c r="AP853" s="341"/>
      <c r="AQ853" s="341"/>
      <c r="AR853" s="341"/>
      <c r="AS853" s="341"/>
      <c r="AT853" s="341"/>
      <c r="AU853" s="343"/>
      <c r="AV853" s="341"/>
      <c r="AW853" s="269" t="s">
        <v>970</v>
      </c>
      <c r="AX853" s="334" t="s">
        <v>2869</v>
      </c>
      <c r="AY853" s="270" t="s">
        <v>695</v>
      </c>
      <c r="AZ853" s="173" t="s">
        <v>2866</v>
      </c>
      <c r="BA853" s="265">
        <v>10.0</v>
      </c>
      <c r="BB853" s="174" t="s">
        <v>245</v>
      </c>
      <c r="BC853" s="341"/>
      <c r="BD853" s="308"/>
      <c r="BE853" s="347"/>
      <c r="BF853" s="274" t="str">
        <f>IFERROR(__xludf.DUMMYFUNCTION("LOWER(Regexreplace(to_text(E853),""[^A-Za-z0-9]"","""")&amp;""_""&amp;Regexreplace(to_text(F853),""[^A-Za-z0-9]"",""""))"),"neptronic_evcbseries")</f>
        <v>neptronic_evcbseries</v>
      </c>
      <c r="BG853" s="275" t="str">
        <f>IFERROR(__xludf.DUMMYFUNCTION("upper(Regexreplace(to_text(E853),""[^A-Za-z0-9]"","""")&amp;""-""&amp;Regexreplace(to_text(F853),""[^A-Za-z0-9]"",""""))"),"NEPTRONIC-EVCBSERIES")</f>
        <v>NEPTRONIC-EVCBSERIES</v>
      </c>
    </row>
    <row r="854" ht="30.0" customHeight="1">
      <c r="A854" s="258">
        <v>846.0</v>
      </c>
      <c r="B854" s="237" t="s">
        <v>670</v>
      </c>
      <c r="C854" s="257" t="s">
        <v>4117</v>
      </c>
      <c r="D854" s="173" t="s">
        <v>4117</v>
      </c>
      <c r="E854" s="174" t="s">
        <v>2861</v>
      </c>
      <c r="F854" s="173" t="s">
        <v>2862</v>
      </c>
      <c r="G854" s="328" t="s">
        <v>673</v>
      </c>
      <c r="H854" s="328" t="s">
        <v>2863</v>
      </c>
      <c r="I854" s="258" t="s">
        <v>2864</v>
      </c>
      <c r="J854" s="259" t="s">
        <v>965</v>
      </c>
      <c r="K854" s="260" t="s">
        <v>4118</v>
      </c>
      <c r="L854" s="328"/>
      <c r="M854" s="343"/>
      <c r="N854" s="173" t="s">
        <v>679</v>
      </c>
      <c r="O854" s="173" t="s">
        <v>225</v>
      </c>
      <c r="P854" s="262" t="str">
        <f t="shared" si="1"/>
        <v>IN-BLR-ANANTA-VAV-426_3</v>
      </c>
      <c r="Q854" s="173" t="s">
        <v>4119</v>
      </c>
      <c r="R854" s="328" t="str">
        <f>IFS(C854="","",C854="n/a","N/A",LEN(C854),Concatenate("{",char(34),"asset",char(34),":{",char(34),"guid",char(34),":",char(34),Q854,char(34),",",char(34),"site",char(34),":",char(34),LOWER('2-Building'!$B$4),char(34),",",char(34),"name",char(34),":",char(34),LOWER(C854),char(34),"}}"))</f>
        <v>{"asset":{"guid":"uuid://623cb34e-ed8c-4e9c-baed-c22d8744c320","site":"in-blr-ananta","name":"vav-426"}}</v>
      </c>
      <c r="S854" s="237" t="s">
        <v>2866</v>
      </c>
      <c r="T854" s="330"/>
      <c r="U854" s="330"/>
      <c r="V854" s="331"/>
      <c r="W854" s="344"/>
      <c r="X854" s="341"/>
      <c r="Y854" s="33" t="s">
        <v>2867</v>
      </c>
      <c r="Z854" s="258">
        <v>120426.0</v>
      </c>
      <c r="AA854" s="334">
        <v>11583.0</v>
      </c>
      <c r="AB854" s="341"/>
      <c r="AC854" s="341"/>
      <c r="AD854" s="343"/>
      <c r="AE854" s="331"/>
      <c r="AF854" s="348"/>
      <c r="AG854" s="337"/>
      <c r="AH854" s="341"/>
      <c r="AI854" s="341"/>
      <c r="AJ854" s="341"/>
      <c r="AK854" s="341"/>
      <c r="AL854" s="341"/>
      <c r="AM854" s="338"/>
      <c r="AN854" s="341"/>
      <c r="AO854" s="341"/>
      <c r="AP854" s="341"/>
      <c r="AQ854" s="341"/>
      <c r="AR854" s="341"/>
      <c r="AS854" s="341"/>
      <c r="AT854" s="341"/>
      <c r="AU854" s="343"/>
      <c r="AV854" s="341"/>
      <c r="AW854" s="269" t="s">
        <v>970</v>
      </c>
      <c r="AX854" s="334" t="s">
        <v>2869</v>
      </c>
      <c r="AY854" s="270" t="s">
        <v>695</v>
      </c>
      <c r="AZ854" s="173" t="s">
        <v>2866</v>
      </c>
      <c r="BA854" s="265">
        <v>10.0</v>
      </c>
      <c r="BB854" s="174" t="s">
        <v>245</v>
      </c>
      <c r="BC854" s="341"/>
      <c r="BD854" s="308"/>
      <c r="BE854" s="347"/>
      <c r="BF854" s="274" t="str">
        <f>IFERROR(__xludf.DUMMYFUNCTION("LOWER(Regexreplace(to_text(E854),""[^A-Za-z0-9]"","""")&amp;""_""&amp;Regexreplace(to_text(F854),""[^A-Za-z0-9]"",""""))"),"neptronic_evcbseries")</f>
        <v>neptronic_evcbseries</v>
      </c>
      <c r="BG854" s="275" t="str">
        <f>IFERROR(__xludf.DUMMYFUNCTION("upper(Regexreplace(to_text(E854),""[^A-Za-z0-9]"","""")&amp;""-""&amp;Regexreplace(to_text(F854),""[^A-Za-z0-9]"",""""))"),"NEPTRONIC-EVCBSERIES")</f>
        <v>NEPTRONIC-EVCBSERIES</v>
      </c>
    </row>
    <row r="855" ht="30.0" customHeight="1">
      <c r="A855" s="173">
        <v>847.0</v>
      </c>
      <c r="B855" s="237" t="s">
        <v>670</v>
      </c>
      <c r="C855" s="257" t="s">
        <v>4120</v>
      </c>
      <c r="D855" s="173" t="s">
        <v>4120</v>
      </c>
      <c r="E855" s="174" t="s">
        <v>2861</v>
      </c>
      <c r="F855" s="173" t="s">
        <v>2862</v>
      </c>
      <c r="G855" s="328" t="s">
        <v>673</v>
      </c>
      <c r="H855" s="328" t="s">
        <v>2863</v>
      </c>
      <c r="I855" s="258" t="s">
        <v>2864</v>
      </c>
      <c r="J855" s="259" t="s">
        <v>965</v>
      </c>
      <c r="K855" s="260" t="s">
        <v>4121</v>
      </c>
      <c r="L855" s="328"/>
      <c r="M855" s="343"/>
      <c r="N855" s="173" t="s">
        <v>679</v>
      </c>
      <c r="O855" s="173" t="s">
        <v>225</v>
      </c>
      <c r="P855" s="262" t="str">
        <f t="shared" si="1"/>
        <v>IN-BLR-ANANTA-VAV-427_3</v>
      </c>
      <c r="Q855" s="173" t="s">
        <v>4122</v>
      </c>
      <c r="R855" s="328" t="str">
        <f>IFS(C855="","",C855="n/a","N/A",LEN(C855),Concatenate("{",char(34),"asset",char(34),":{",char(34),"guid",char(34),":",char(34),Q855,char(34),",",char(34),"site",char(34),":",char(34),LOWER('2-Building'!$B$4),char(34),",",char(34),"name",char(34),":",char(34),LOWER(C855),char(34),"}}"))</f>
        <v>{"asset":{"guid":"uuid://bbd037b6-a6d7-4b2b-8886-65a24f8dd705","site":"in-blr-ananta","name":"vav-427"}}</v>
      </c>
      <c r="S855" s="237" t="s">
        <v>2866</v>
      </c>
      <c r="T855" s="330"/>
      <c r="U855" s="330"/>
      <c r="V855" s="331"/>
      <c r="W855" s="344"/>
      <c r="X855" s="341"/>
      <c r="Y855" s="33" t="s">
        <v>2867</v>
      </c>
      <c r="Z855" s="258">
        <v>120427.0</v>
      </c>
      <c r="AA855" s="334">
        <v>11583.0</v>
      </c>
      <c r="AB855" s="341"/>
      <c r="AC855" s="341"/>
      <c r="AD855" s="343"/>
      <c r="AE855" s="331"/>
      <c r="AF855" s="348"/>
      <c r="AG855" s="337"/>
      <c r="AH855" s="341"/>
      <c r="AI855" s="341"/>
      <c r="AJ855" s="341"/>
      <c r="AK855" s="341"/>
      <c r="AL855" s="341"/>
      <c r="AM855" s="338"/>
      <c r="AN855" s="341"/>
      <c r="AO855" s="341"/>
      <c r="AP855" s="341"/>
      <c r="AQ855" s="341"/>
      <c r="AR855" s="341"/>
      <c r="AS855" s="341"/>
      <c r="AT855" s="341"/>
      <c r="AU855" s="343"/>
      <c r="AV855" s="341"/>
      <c r="AW855" s="269" t="s">
        <v>970</v>
      </c>
      <c r="AX855" s="334" t="s">
        <v>2869</v>
      </c>
      <c r="AY855" s="270" t="s">
        <v>695</v>
      </c>
      <c r="AZ855" s="173" t="s">
        <v>2866</v>
      </c>
      <c r="BA855" s="265">
        <v>10.0</v>
      </c>
      <c r="BB855" s="174" t="s">
        <v>245</v>
      </c>
      <c r="BC855" s="341"/>
      <c r="BD855" s="308"/>
      <c r="BE855" s="347"/>
      <c r="BF855" s="274" t="str">
        <f>IFERROR(__xludf.DUMMYFUNCTION("LOWER(Regexreplace(to_text(E855),""[^A-Za-z0-9]"","""")&amp;""_""&amp;Regexreplace(to_text(F855),""[^A-Za-z0-9]"",""""))"),"neptronic_evcbseries")</f>
        <v>neptronic_evcbseries</v>
      </c>
      <c r="BG855" s="275" t="str">
        <f>IFERROR(__xludf.DUMMYFUNCTION("upper(Regexreplace(to_text(E855),""[^A-Za-z0-9]"","""")&amp;""-""&amp;Regexreplace(to_text(F855),""[^A-Za-z0-9]"",""""))"),"NEPTRONIC-EVCBSERIES")</f>
        <v>NEPTRONIC-EVCBSERIES</v>
      </c>
    </row>
    <row r="856" ht="30.0" customHeight="1">
      <c r="A856" s="258">
        <v>848.0</v>
      </c>
      <c r="B856" s="237" t="s">
        <v>670</v>
      </c>
      <c r="C856" s="257" t="s">
        <v>4123</v>
      </c>
      <c r="D856" s="173" t="s">
        <v>4123</v>
      </c>
      <c r="E856" s="174" t="s">
        <v>2861</v>
      </c>
      <c r="F856" s="173" t="s">
        <v>2862</v>
      </c>
      <c r="G856" s="328" t="s">
        <v>673</v>
      </c>
      <c r="H856" s="328" t="s">
        <v>2863</v>
      </c>
      <c r="I856" s="258" t="s">
        <v>2864</v>
      </c>
      <c r="J856" s="259" t="s">
        <v>965</v>
      </c>
      <c r="K856" s="260" t="s">
        <v>4124</v>
      </c>
      <c r="L856" s="328"/>
      <c r="M856" s="343"/>
      <c r="N856" s="173" t="s">
        <v>679</v>
      </c>
      <c r="O856" s="173" t="s">
        <v>225</v>
      </c>
      <c r="P856" s="262" t="str">
        <f t="shared" si="1"/>
        <v>IN-BLR-ANANTA-VAV-428_3</v>
      </c>
      <c r="Q856" s="173" t="s">
        <v>4125</v>
      </c>
      <c r="R856" s="328" t="str">
        <f>IFS(C856="","",C856="n/a","N/A",LEN(C856),Concatenate("{",char(34),"asset",char(34),":{",char(34),"guid",char(34),":",char(34),Q856,char(34),",",char(34),"site",char(34),":",char(34),LOWER('2-Building'!$B$4),char(34),",",char(34),"name",char(34),":",char(34),LOWER(C856),char(34),"}}"))</f>
        <v>{"asset":{"guid":"uuid://8098d9e8-a0fe-4ace-939d-e038dabaaf9c","site":"in-blr-ananta","name":"vav-428"}}</v>
      </c>
      <c r="S856" s="237" t="s">
        <v>2866</v>
      </c>
      <c r="T856" s="330"/>
      <c r="U856" s="330"/>
      <c r="V856" s="331"/>
      <c r="W856" s="344"/>
      <c r="X856" s="341"/>
      <c r="Y856" s="33" t="s">
        <v>2867</v>
      </c>
      <c r="Z856" s="258">
        <v>120428.0</v>
      </c>
      <c r="AA856" s="334">
        <v>11583.0</v>
      </c>
      <c r="AB856" s="341"/>
      <c r="AC856" s="341"/>
      <c r="AD856" s="343"/>
      <c r="AE856" s="331"/>
      <c r="AF856" s="348"/>
      <c r="AG856" s="337"/>
      <c r="AH856" s="341"/>
      <c r="AI856" s="341"/>
      <c r="AJ856" s="341"/>
      <c r="AK856" s="341"/>
      <c r="AL856" s="341"/>
      <c r="AM856" s="338"/>
      <c r="AN856" s="341"/>
      <c r="AO856" s="341"/>
      <c r="AP856" s="341"/>
      <c r="AQ856" s="341"/>
      <c r="AR856" s="341"/>
      <c r="AS856" s="341"/>
      <c r="AT856" s="341"/>
      <c r="AU856" s="343"/>
      <c r="AV856" s="341"/>
      <c r="AW856" s="269" t="s">
        <v>970</v>
      </c>
      <c r="AX856" s="334" t="s">
        <v>2869</v>
      </c>
      <c r="AY856" s="270" t="s">
        <v>695</v>
      </c>
      <c r="AZ856" s="173" t="s">
        <v>2866</v>
      </c>
      <c r="BA856" s="265">
        <v>10.0</v>
      </c>
      <c r="BB856" s="174" t="s">
        <v>245</v>
      </c>
      <c r="BC856" s="341"/>
      <c r="BD856" s="308"/>
      <c r="BE856" s="347"/>
      <c r="BF856" s="274" t="str">
        <f>IFERROR(__xludf.DUMMYFUNCTION("LOWER(Regexreplace(to_text(E856),""[^A-Za-z0-9]"","""")&amp;""_""&amp;Regexreplace(to_text(F856),""[^A-Za-z0-9]"",""""))"),"neptronic_evcbseries")</f>
        <v>neptronic_evcbseries</v>
      </c>
      <c r="BG856" s="275" t="str">
        <f>IFERROR(__xludf.DUMMYFUNCTION("upper(Regexreplace(to_text(E856),""[^A-Za-z0-9]"","""")&amp;""-""&amp;Regexreplace(to_text(F856),""[^A-Za-z0-9]"",""""))"),"NEPTRONIC-EVCBSERIES")</f>
        <v>NEPTRONIC-EVCBSERIES</v>
      </c>
    </row>
    <row r="857" ht="30.0" customHeight="1">
      <c r="A857" s="173">
        <v>849.0</v>
      </c>
      <c r="B857" s="237" t="s">
        <v>670</v>
      </c>
      <c r="C857" s="257" t="s">
        <v>4126</v>
      </c>
      <c r="D857" s="173" t="s">
        <v>4126</v>
      </c>
      <c r="E857" s="174" t="s">
        <v>2861</v>
      </c>
      <c r="F857" s="173" t="s">
        <v>2862</v>
      </c>
      <c r="G857" s="328" t="s">
        <v>673</v>
      </c>
      <c r="H857" s="328" t="s">
        <v>2863</v>
      </c>
      <c r="I857" s="258" t="s">
        <v>2864</v>
      </c>
      <c r="J857" s="259" t="s">
        <v>965</v>
      </c>
      <c r="K857" s="260" t="s">
        <v>4127</v>
      </c>
      <c r="L857" s="328"/>
      <c r="M857" s="343"/>
      <c r="N857" s="173" t="s">
        <v>679</v>
      </c>
      <c r="O857" s="173" t="s">
        <v>225</v>
      </c>
      <c r="P857" s="262" t="str">
        <f t="shared" si="1"/>
        <v>IN-BLR-ANANTA-VAV-429_3</v>
      </c>
      <c r="Q857" s="173" t="s">
        <v>4128</v>
      </c>
      <c r="R857" s="328" t="str">
        <f>IFS(C857="","",C857="n/a","N/A",LEN(C857),Concatenate("{",char(34),"asset",char(34),":{",char(34),"guid",char(34),":",char(34),Q857,char(34),",",char(34),"site",char(34),":",char(34),LOWER('2-Building'!$B$4),char(34),",",char(34),"name",char(34),":",char(34),LOWER(C857),char(34),"}}"))</f>
        <v>{"asset":{"guid":"uuid://d095e37f-f231-400b-b17e-0e2f97c5ac83","site":"in-blr-ananta","name":"vav-429"}}</v>
      </c>
      <c r="S857" s="237" t="s">
        <v>2866</v>
      </c>
      <c r="T857" s="330"/>
      <c r="U857" s="330"/>
      <c r="V857" s="331"/>
      <c r="W857" s="344"/>
      <c r="X857" s="341"/>
      <c r="Y857" s="33" t="s">
        <v>2867</v>
      </c>
      <c r="Z857" s="258">
        <v>120429.0</v>
      </c>
      <c r="AA857" s="334">
        <v>11552.0</v>
      </c>
      <c r="AB857" s="341"/>
      <c r="AC857" s="341"/>
      <c r="AD857" s="343"/>
      <c r="AE857" s="331"/>
      <c r="AF857" s="348"/>
      <c r="AG857" s="337"/>
      <c r="AH857" s="341"/>
      <c r="AI857" s="341"/>
      <c r="AJ857" s="341"/>
      <c r="AK857" s="341"/>
      <c r="AL857" s="341"/>
      <c r="AM857" s="338"/>
      <c r="AN857" s="341"/>
      <c r="AO857" s="341"/>
      <c r="AP857" s="341"/>
      <c r="AQ857" s="341"/>
      <c r="AR857" s="341"/>
      <c r="AS857" s="341"/>
      <c r="AT857" s="341"/>
      <c r="AU857" s="343"/>
      <c r="AV857" s="341"/>
      <c r="AW857" s="269" t="s">
        <v>2144</v>
      </c>
      <c r="AX857" s="334" t="s">
        <v>2869</v>
      </c>
      <c r="AY857" s="270" t="s">
        <v>695</v>
      </c>
      <c r="AZ857" s="173" t="s">
        <v>2866</v>
      </c>
      <c r="BA857" s="265">
        <v>10.0</v>
      </c>
      <c r="BB857" s="174" t="s">
        <v>245</v>
      </c>
      <c r="BC857" s="341"/>
      <c r="BD857" s="308"/>
      <c r="BE857" s="347"/>
      <c r="BF857" s="274" t="str">
        <f>IFERROR(__xludf.DUMMYFUNCTION("LOWER(Regexreplace(to_text(E857),""[^A-Za-z0-9]"","""")&amp;""_""&amp;Regexreplace(to_text(F857),""[^A-Za-z0-9]"",""""))"),"neptronic_evcbseries")</f>
        <v>neptronic_evcbseries</v>
      </c>
      <c r="BG857" s="275" t="str">
        <f>IFERROR(__xludf.DUMMYFUNCTION("upper(Regexreplace(to_text(E857),""[^A-Za-z0-9]"","""")&amp;""-""&amp;Regexreplace(to_text(F857),""[^A-Za-z0-9]"",""""))"),"NEPTRONIC-EVCBSERIES")</f>
        <v>NEPTRONIC-EVCBSERIES</v>
      </c>
    </row>
    <row r="858" ht="30.0" customHeight="1">
      <c r="A858" s="258">
        <v>850.0</v>
      </c>
      <c r="B858" s="237" t="s">
        <v>670</v>
      </c>
      <c r="C858" s="257" t="s">
        <v>4129</v>
      </c>
      <c r="D858" s="173" t="s">
        <v>4129</v>
      </c>
      <c r="E858" s="174" t="s">
        <v>2861</v>
      </c>
      <c r="F858" s="173" t="s">
        <v>2862</v>
      </c>
      <c r="G858" s="328" t="s">
        <v>673</v>
      </c>
      <c r="H858" s="328" t="s">
        <v>2863</v>
      </c>
      <c r="I858" s="258" t="s">
        <v>2864</v>
      </c>
      <c r="J858" s="259" t="s">
        <v>965</v>
      </c>
      <c r="K858" s="260" t="s">
        <v>4130</v>
      </c>
      <c r="L858" s="328"/>
      <c r="M858" s="343"/>
      <c r="N858" s="173" t="s">
        <v>679</v>
      </c>
      <c r="O858" s="173" t="s">
        <v>225</v>
      </c>
      <c r="P858" s="262" t="str">
        <f t="shared" si="1"/>
        <v>IN-BLR-ANANTA-VAV-430_3</v>
      </c>
      <c r="Q858" s="173" t="s">
        <v>4131</v>
      </c>
      <c r="R858" s="328" t="str">
        <f>IFS(C858="","",C858="n/a","N/A",LEN(C858),Concatenate("{",char(34),"asset",char(34),":{",char(34),"guid",char(34),":",char(34),Q858,char(34),",",char(34),"site",char(34),":",char(34),LOWER('2-Building'!$B$4),char(34),",",char(34),"name",char(34),":",char(34),LOWER(C858),char(34),"}}"))</f>
        <v>{"asset":{"guid":"uuid://1207c44c-9386-4e8e-89de-f95fcc7fa82c","site":"in-blr-ananta","name":"vav-430"}}</v>
      </c>
      <c r="S858" s="237" t="s">
        <v>2866</v>
      </c>
      <c r="T858" s="330"/>
      <c r="U858" s="330"/>
      <c r="V858" s="331"/>
      <c r="W858" s="344"/>
      <c r="X858" s="341"/>
      <c r="Y858" s="33" t="s">
        <v>2867</v>
      </c>
      <c r="Z858" s="258">
        <v>120430.0</v>
      </c>
      <c r="AA858" s="334">
        <v>11552.0</v>
      </c>
      <c r="AB858" s="341"/>
      <c r="AC858" s="341"/>
      <c r="AD858" s="343"/>
      <c r="AE858" s="331"/>
      <c r="AF858" s="348"/>
      <c r="AG858" s="337"/>
      <c r="AH858" s="341"/>
      <c r="AI858" s="341"/>
      <c r="AJ858" s="341"/>
      <c r="AK858" s="341"/>
      <c r="AL858" s="341"/>
      <c r="AM858" s="338"/>
      <c r="AN858" s="341"/>
      <c r="AO858" s="341"/>
      <c r="AP858" s="341"/>
      <c r="AQ858" s="341"/>
      <c r="AR858" s="341"/>
      <c r="AS858" s="341"/>
      <c r="AT858" s="341"/>
      <c r="AU858" s="343"/>
      <c r="AV858" s="341"/>
      <c r="AW858" s="269" t="s">
        <v>2144</v>
      </c>
      <c r="AX858" s="334" t="s">
        <v>2869</v>
      </c>
      <c r="AY858" s="270" t="s">
        <v>695</v>
      </c>
      <c r="AZ858" s="173" t="s">
        <v>2866</v>
      </c>
      <c r="BA858" s="265">
        <v>10.0</v>
      </c>
      <c r="BB858" s="174" t="s">
        <v>245</v>
      </c>
      <c r="BC858" s="341"/>
      <c r="BD858" s="308"/>
      <c r="BE858" s="347"/>
      <c r="BF858" s="274" t="str">
        <f>IFERROR(__xludf.DUMMYFUNCTION("LOWER(Regexreplace(to_text(E858),""[^A-Za-z0-9]"","""")&amp;""_""&amp;Regexreplace(to_text(F858),""[^A-Za-z0-9]"",""""))"),"neptronic_evcbseries")</f>
        <v>neptronic_evcbseries</v>
      </c>
      <c r="BG858" s="275" t="str">
        <f>IFERROR(__xludf.DUMMYFUNCTION("upper(Regexreplace(to_text(E858),""[^A-Za-z0-9]"","""")&amp;""-""&amp;Regexreplace(to_text(F858),""[^A-Za-z0-9]"",""""))"),"NEPTRONIC-EVCBSERIES")</f>
        <v>NEPTRONIC-EVCBSERIES</v>
      </c>
    </row>
    <row r="859" ht="30.0" customHeight="1">
      <c r="A859" s="173">
        <v>851.0</v>
      </c>
      <c r="B859" s="237" t="s">
        <v>670</v>
      </c>
      <c r="C859" s="257" t="s">
        <v>4132</v>
      </c>
      <c r="D859" s="173" t="s">
        <v>4132</v>
      </c>
      <c r="E859" s="174" t="s">
        <v>2861</v>
      </c>
      <c r="F859" s="173" t="s">
        <v>2862</v>
      </c>
      <c r="G859" s="328" t="s">
        <v>673</v>
      </c>
      <c r="H859" s="328" t="s">
        <v>2863</v>
      </c>
      <c r="I859" s="258" t="s">
        <v>2864</v>
      </c>
      <c r="J859" s="259" t="s">
        <v>965</v>
      </c>
      <c r="K859" s="260" t="s">
        <v>4133</v>
      </c>
      <c r="L859" s="328"/>
      <c r="M859" s="343"/>
      <c r="N859" s="173" t="s">
        <v>679</v>
      </c>
      <c r="O859" s="173" t="s">
        <v>225</v>
      </c>
      <c r="P859" s="262" t="str">
        <f t="shared" si="1"/>
        <v>IN-BLR-ANANTA-VAV-431_3</v>
      </c>
      <c r="Q859" s="173" t="s">
        <v>4134</v>
      </c>
      <c r="R859" s="328" t="str">
        <f>IFS(C859="","",C859="n/a","N/A",LEN(C859),Concatenate("{",char(34),"asset",char(34),":{",char(34),"guid",char(34),":",char(34),Q859,char(34),",",char(34),"site",char(34),":",char(34),LOWER('2-Building'!$B$4),char(34),",",char(34),"name",char(34),":",char(34),LOWER(C859),char(34),"}}"))</f>
        <v>{"asset":{"guid":"uuid://cbcf0ee8-bab4-4767-8120-3c6bf5d5fbbf","site":"in-blr-ananta","name":"vav-431"}}</v>
      </c>
      <c r="S859" s="237" t="s">
        <v>2866</v>
      </c>
      <c r="T859" s="330"/>
      <c r="U859" s="330"/>
      <c r="V859" s="331"/>
      <c r="W859" s="344"/>
      <c r="X859" s="341"/>
      <c r="Y859" s="33" t="s">
        <v>2867</v>
      </c>
      <c r="Z859" s="258">
        <v>120431.0</v>
      </c>
      <c r="AA859" s="334">
        <v>11552.0</v>
      </c>
      <c r="AB859" s="341"/>
      <c r="AC859" s="341"/>
      <c r="AD859" s="343"/>
      <c r="AE859" s="331"/>
      <c r="AF859" s="348"/>
      <c r="AG859" s="337"/>
      <c r="AH859" s="341"/>
      <c r="AI859" s="341"/>
      <c r="AJ859" s="341"/>
      <c r="AK859" s="341"/>
      <c r="AL859" s="341"/>
      <c r="AM859" s="338"/>
      <c r="AN859" s="341"/>
      <c r="AO859" s="341"/>
      <c r="AP859" s="341"/>
      <c r="AQ859" s="341"/>
      <c r="AR859" s="341"/>
      <c r="AS859" s="341"/>
      <c r="AT859" s="341"/>
      <c r="AU859" s="343"/>
      <c r="AV859" s="341"/>
      <c r="AW859" s="269" t="s">
        <v>2144</v>
      </c>
      <c r="AX859" s="334" t="s">
        <v>2869</v>
      </c>
      <c r="AY859" s="270" t="s">
        <v>695</v>
      </c>
      <c r="AZ859" s="173" t="s">
        <v>2866</v>
      </c>
      <c r="BA859" s="265">
        <v>10.0</v>
      </c>
      <c r="BB859" s="174" t="s">
        <v>245</v>
      </c>
      <c r="BC859" s="341"/>
      <c r="BD859" s="308"/>
      <c r="BE859" s="347"/>
      <c r="BF859" s="274" t="str">
        <f>IFERROR(__xludf.DUMMYFUNCTION("LOWER(Regexreplace(to_text(E859),""[^A-Za-z0-9]"","""")&amp;""_""&amp;Regexreplace(to_text(F859),""[^A-Za-z0-9]"",""""))"),"neptronic_evcbseries")</f>
        <v>neptronic_evcbseries</v>
      </c>
      <c r="BG859" s="275" t="str">
        <f>IFERROR(__xludf.DUMMYFUNCTION("upper(Regexreplace(to_text(E859),""[^A-Za-z0-9]"","""")&amp;""-""&amp;Regexreplace(to_text(F859),""[^A-Za-z0-9]"",""""))"),"NEPTRONIC-EVCBSERIES")</f>
        <v>NEPTRONIC-EVCBSERIES</v>
      </c>
    </row>
    <row r="860" ht="30.0" customHeight="1">
      <c r="A860" s="258">
        <v>852.0</v>
      </c>
      <c r="B860" s="237" t="s">
        <v>670</v>
      </c>
      <c r="C860" s="257" t="s">
        <v>4135</v>
      </c>
      <c r="D860" s="173" t="s">
        <v>4135</v>
      </c>
      <c r="E860" s="174" t="s">
        <v>2861</v>
      </c>
      <c r="F860" s="173" t="s">
        <v>2862</v>
      </c>
      <c r="G860" s="328" t="s">
        <v>673</v>
      </c>
      <c r="H860" s="328" t="s">
        <v>2863</v>
      </c>
      <c r="I860" s="258" t="s">
        <v>2864</v>
      </c>
      <c r="J860" s="259" t="s">
        <v>965</v>
      </c>
      <c r="K860" s="260" t="s">
        <v>4136</v>
      </c>
      <c r="L860" s="328"/>
      <c r="M860" s="343"/>
      <c r="N860" s="173" t="s">
        <v>679</v>
      </c>
      <c r="O860" s="173" t="s">
        <v>225</v>
      </c>
      <c r="P860" s="262" t="str">
        <f t="shared" si="1"/>
        <v>IN-BLR-ANANTA-VAV-432_3</v>
      </c>
      <c r="Q860" s="173" t="s">
        <v>4137</v>
      </c>
      <c r="R860" s="328" t="str">
        <f>IFS(C860="","",C860="n/a","N/A",LEN(C860),Concatenate("{",char(34),"asset",char(34),":{",char(34),"guid",char(34),":",char(34),Q860,char(34),",",char(34),"site",char(34),":",char(34),LOWER('2-Building'!$B$4),char(34),",",char(34),"name",char(34),":",char(34),LOWER(C860),char(34),"}}"))</f>
        <v>{"asset":{"guid":"uuid://8220d6c3-97c7-4499-9b26-76b6d597acaa","site":"in-blr-ananta","name":"vav-432"}}</v>
      </c>
      <c r="S860" s="237" t="s">
        <v>2866</v>
      </c>
      <c r="T860" s="330"/>
      <c r="U860" s="330"/>
      <c r="V860" s="331"/>
      <c r="W860" s="344"/>
      <c r="X860" s="341"/>
      <c r="Y860" s="33" t="s">
        <v>2867</v>
      </c>
      <c r="Z860" s="258">
        <v>120432.0</v>
      </c>
      <c r="AA860" s="334">
        <v>11552.0</v>
      </c>
      <c r="AB860" s="341"/>
      <c r="AC860" s="341"/>
      <c r="AD860" s="343"/>
      <c r="AE860" s="331"/>
      <c r="AF860" s="348"/>
      <c r="AG860" s="337"/>
      <c r="AH860" s="341"/>
      <c r="AI860" s="341"/>
      <c r="AJ860" s="341"/>
      <c r="AK860" s="341"/>
      <c r="AL860" s="341"/>
      <c r="AM860" s="338"/>
      <c r="AN860" s="341"/>
      <c r="AO860" s="341"/>
      <c r="AP860" s="341"/>
      <c r="AQ860" s="341"/>
      <c r="AR860" s="341"/>
      <c r="AS860" s="341"/>
      <c r="AT860" s="341"/>
      <c r="AU860" s="343"/>
      <c r="AV860" s="341"/>
      <c r="AW860" s="269" t="s">
        <v>2144</v>
      </c>
      <c r="AX860" s="334" t="s">
        <v>2869</v>
      </c>
      <c r="AY860" s="270" t="s">
        <v>695</v>
      </c>
      <c r="AZ860" s="173" t="s">
        <v>2866</v>
      </c>
      <c r="BA860" s="265">
        <v>10.0</v>
      </c>
      <c r="BB860" s="174" t="s">
        <v>245</v>
      </c>
      <c r="BC860" s="341"/>
      <c r="BD860" s="308"/>
      <c r="BE860" s="347"/>
      <c r="BF860" s="274" t="str">
        <f>IFERROR(__xludf.DUMMYFUNCTION("LOWER(Regexreplace(to_text(E860),""[^A-Za-z0-9]"","""")&amp;""_""&amp;Regexreplace(to_text(F860),""[^A-Za-z0-9]"",""""))"),"neptronic_evcbseries")</f>
        <v>neptronic_evcbseries</v>
      </c>
      <c r="BG860" s="275" t="str">
        <f>IFERROR(__xludf.DUMMYFUNCTION("upper(Regexreplace(to_text(E860),""[^A-Za-z0-9]"","""")&amp;""-""&amp;Regexreplace(to_text(F860),""[^A-Za-z0-9]"",""""))"),"NEPTRONIC-EVCBSERIES")</f>
        <v>NEPTRONIC-EVCBSERIES</v>
      </c>
    </row>
    <row r="861" ht="30.0" customHeight="1">
      <c r="A861" s="173">
        <v>853.0</v>
      </c>
      <c r="B861" s="237" t="s">
        <v>670</v>
      </c>
      <c r="C861" s="257" t="s">
        <v>4138</v>
      </c>
      <c r="D861" s="173" t="s">
        <v>4138</v>
      </c>
      <c r="E861" s="174" t="s">
        <v>2861</v>
      </c>
      <c r="F861" s="173" t="s">
        <v>2862</v>
      </c>
      <c r="G861" s="328" t="s">
        <v>673</v>
      </c>
      <c r="H861" s="328" t="s">
        <v>2863</v>
      </c>
      <c r="I861" s="258" t="s">
        <v>2864</v>
      </c>
      <c r="J861" s="259" t="s">
        <v>965</v>
      </c>
      <c r="K861" s="260" t="s">
        <v>4139</v>
      </c>
      <c r="L861" s="328"/>
      <c r="M861" s="343"/>
      <c r="N861" s="173" t="s">
        <v>679</v>
      </c>
      <c r="O861" s="173" t="s">
        <v>225</v>
      </c>
      <c r="P861" s="262" t="str">
        <f t="shared" si="1"/>
        <v>IN-BLR-ANANTA-VAV-433_3</v>
      </c>
      <c r="Q861" s="173" t="s">
        <v>4140</v>
      </c>
      <c r="R861" s="328" t="str">
        <f>IFS(C861="","",C861="n/a","N/A",LEN(C861),Concatenate("{",char(34),"asset",char(34),":{",char(34),"guid",char(34),":",char(34),Q861,char(34),",",char(34),"site",char(34),":",char(34),LOWER('2-Building'!$B$4),char(34),",",char(34),"name",char(34),":",char(34),LOWER(C861),char(34),"}}"))</f>
        <v>{"asset":{"guid":"uuid://4311b6fb-fe25-4c1b-b4a3-cbcb7d196dfd","site":"in-blr-ananta","name":"vav-433"}}</v>
      </c>
      <c r="S861" s="237" t="s">
        <v>2866</v>
      </c>
      <c r="T861" s="330"/>
      <c r="U861" s="330"/>
      <c r="V861" s="331"/>
      <c r="W861" s="344"/>
      <c r="X861" s="341"/>
      <c r="Y861" s="33" t="s">
        <v>2867</v>
      </c>
      <c r="Z861" s="258">
        <v>120433.0</v>
      </c>
      <c r="AA861" s="334">
        <v>11552.0</v>
      </c>
      <c r="AB861" s="341"/>
      <c r="AC861" s="341"/>
      <c r="AD861" s="343"/>
      <c r="AE861" s="331"/>
      <c r="AF861" s="348"/>
      <c r="AG861" s="337"/>
      <c r="AH861" s="341"/>
      <c r="AI861" s="341"/>
      <c r="AJ861" s="341"/>
      <c r="AK861" s="341"/>
      <c r="AL861" s="341"/>
      <c r="AM861" s="338"/>
      <c r="AN861" s="341"/>
      <c r="AO861" s="341"/>
      <c r="AP861" s="341"/>
      <c r="AQ861" s="341"/>
      <c r="AR861" s="341"/>
      <c r="AS861" s="341"/>
      <c r="AT861" s="341"/>
      <c r="AU861" s="343"/>
      <c r="AV861" s="341"/>
      <c r="AW861" s="269" t="s">
        <v>2144</v>
      </c>
      <c r="AX861" s="334" t="s">
        <v>2869</v>
      </c>
      <c r="AY861" s="270" t="s">
        <v>695</v>
      </c>
      <c r="AZ861" s="173" t="s">
        <v>2866</v>
      </c>
      <c r="BA861" s="265">
        <v>10.0</v>
      </c>
      <c r="BB861" s="174" t="s">
        <v>245</v>
      </c>
      <c r="BC861" s="341"/>
      <c r="BD861" s="308"/>
      <c r="BE861" s="347"/>
      <c r="BF861" s="274" t="str">
        <f>IFERROR(__xludf.DUMMYFUNCTION("LOWER(Regexreplace(to_text(E861),""[^A-Za-z0-9]"","""")&amp;""_""&amp;Regexreplace(to_text(F861),""[^A-Za-z0-9]"",""""))"),"neptronic_evcbseries")</f>
        <v>neptronic_evcbseries</v>
      </c>
      <c r="BG861" s="275" t="str">
        <f>IFERROR(__xludf.DUMMYFUNCTION("upper(Regexreplace(to_text(E861),""[^A-Za-z0-9]"","""")&amp;""-""&amp;Regexreplace(to_text(F861),""[^A-Za-z0-9]"",""""))"),"NEPTRONIC-EVCBSERIES")</f>
        <v>NEPTRONIC-EVCBSERIES</v>
      </c>
    </row>
    <row r="862" ht="30.0" customHeight="1">
      <c r="A862" s="258">
        <v>854.0</v>
      </c>
      <c r="B862" s="237" t="s">
        <v>670</v>
      </c>
      <c r="C862" s="257" t="s">
        <v>4141</v>
      </c>
      <c r="D862" s="173" t="s">
        <v>4141</v>
      </c>
      <c r="E862" s="174" t="s">
        <v>2861</v>
      </c>
      <c r="F862" s="173" t="s">
        <v>2862</v>
      </c>
      <c r="G862" s="328" t="s">
        <v>673</v>
      </c>
      <c r="H862" s="328" t="s">
        <v>2863</v>
      </c>
      <c r="I862" s="258" t="s">
        <v>2864</v>
      </c>
      <c r="J862" s="259" t="s">
        <v>965</v>
      </c>
      <c r="K862" s="260" t="s">
        <v>4142</v>
      </c>
      <c r="L862" s="328"/>
      <c r="M862" s="343"/>
      <c r="N862" s="173" t="s">
        <v>679</v>
      </c>
      <c r="O862" s="173" t="s">
        <v>225</v>
      </c>
      <c r="P862" s="262" t="str">
        <f t="shared" si="1"/>
        <v>IN-BLR-ANANTA-VAV-434_3</v>
      </c>
      <c r="Q862" s="173" t="s">
        <v>4143</v>
      </c>
      <c r="R862" s="328" t="str">
        <f>IFS(C862="","",C862="n/a","N/A",LEN(C862),Concatenate("{",char(34),"asset",char(34),":{",char(34),"guid",char(34),":",char(34),Q862,char(34),",",char(34),"site",char(34),":",char(34),LOWER('2-Building'!$B$4),char(34),",",char(34),"name",char(34),":",char(34),LOWER(C862),char(34),"}}"))</f>
        <v>{"asset":{"guid":"uuid://76c1f815-b78b-4562-8497-d622c97c9458","site":"in-blr-ananta","name":"vav-434"}}</v>
      </c>
      <c r="S862" s="237" t="s">
        <v>2866</v>
      </c>
      <c r="T862" s="330"/>
      <c r="U862" s="330"/>
      <c r="V862" s="331"/>
      <c r="W862" s="344"/>
      <c r="X862" s="341"/>
      <c r="Y862" s="33" t="s">
        <v>2867</v>
      </c>
      <c r="Z862" s="258">
        <v>120434.0</v>
      </c>
      <c r="AA862" s="334">
        <v>11552.0</v>
      </c>
      <c r="AB862" s="341"/>
      <c r="AC862" s="341"/>
      <c r="AD862" s="343"/>
      <c r="AE862" s="331"/>
      <c r="AF862" s="348"/>
      <c r="AG862" s="337"/>
      <c r="AH862" s="341"/>
      <c r="AI862" s="341"/>
      <c r="AJ862" s="341"/>
      <c r="AK862" s="341"/>
      <c r="AL862" s="341"/>
      <c r="AM862" s="338"/>
      <c r="AN862" s="341"/>
      <c r="AO862" s="341"/>
      <c r="AP862" s="341"/>
      <c r="AQ862" s="341"/>
      <c r="AR862" s="341"/>
      <c r="AS862" s="341"/>
      <c r="AT862" s="341"/>
      <c r="AU862" s="343"/>
      <c r="AV862" s="341"/>
      <c r="AW862" s="269" t="s">
        <v>2144</v>
      </c>
      <c r="AX862" s="334" t="s">
        <v>2869</v>
      </c>
      <c r="AY862" s="270" t="s">
        <v>695</v>
      </c>
      <c r="AZ862" s="173" t="s">
        <v>2866</v>
      </c>
      <c r="BA862" s="265">
        <v>10.0</v>
      </c>
      <c r="BB862" s="174" t="s">
        <v>245</v>
      </c>
      <c r="BC862" s="341"/>
      <c r="BD862" s="308"/>
      <c r="BE862" s="347"/>
      <c r="BF862" s="274" t="str">
        <f>IFERROR(__xludf.DUMMYFUNCTION("LOWER(Regexreplace(to_text(E862),""[^A-Za-z0-9]"","""")&amp;""_""&amp;Regexreplace(to_text(F862),""[^A-Za-z0-9]"",""""))"),"neptronic_evcbseries")</f>
        <v>neptronic_evcbseries</v>
      </c>
      <c r="BG862" s="275" t="str">
        <f>IFERROR(__xludf.DUMMYFUNCTION("upper(Regexreplace(to_text(E862),""[^A-Za-z0-9]"","""")&amp;""-""&amp;Regexreplace(to_text(F862),""[^A-Za-z0-9]"",""""))"),"NEPTRONIC-EVCBSERIES")</f>
        <v>NEPTRONIC-EVCBSERIES</v>
      </c>
    </row>
    <row r="863" ht="30.0" customHeight="1">
      <c r="A863" s="173">
        <v>855.0</v>
      </c>
      <c r="B863" s="237" t="s">
        <v>670</v>
      </c>
      <c r="C863" s="257" t="s">
        <v>4144</v>
      </c>
      <c r="D863" s="173" t="s">
        <v>4144</v>
      </c>
      <c r="E863" s="174" t="s">
        <v>2861</v>
      </c>
      <c r="F863" s="173" t="s">
        <v>2862</v>
      </c>
      <c r="G863" s="328" t="s">
        <v>673</v>
      </c>
      <c r="H863" s="328" t="s">
        <v>2863</v>
      </c>
      <c r="I863" s="258" t="s">
        <v>2864</v>
      </c>
      <c r="J863" s="259" t="s">
        <v>965</v>
      </c>
      <c r="K863" s="260" t="s">
        <v>4145</v>
      </c>
      <c r="L863" s="328"/>
      <c r="M863" s="343"/>
      <c r="N863" s="173" t="s">
        <v>679</v>
      </c>
      <c r="O863" s="173" t="s">
        <v>225</v>
      </c>
      <c r="P863" s="262" t="str">
        <f t="shared" si="1"/>
        <v>IN-BLR-ANANTA-VAV-435_3</v>
      </c>
      <c r="Q863" s="173" t="s">
        <v>4146</v>
      </c>
      <c r="R863" s="328" t="str">
        <f>IFS(C863="","",C863="n/a","N/A",LEN(C863),Concatenate("{",char(34),"asset",char(34),":{",char(34),"guid",char(34),":",char(34),Q863,char(34),",",char(34),"site",char(34),":",char(34),LOWER('2-Building'!$B$4),char(34),",",char(34),"name",char(34),":",char(34),LOWER(C863),char(34),"}}"))</f>
        <v>{"asset":{"guid":"uuid://df29b19d-f9fe-4dc6-aa56-11ed50f00b3e","site":"in-blr-ananta","name":"vav-435"}}</v>
      </c>
      <c r="S863" s="237" t="s">
        <v>2866</v>
      </c>
      <c r="T863" s="330"/>
      <c r="U863" s="330"/>
      <c r="V863" s="331"/>
      <c r="W863" s="344"/>
      <c r="X863" s="341"/>
      <c r="Y863" s="33" t="s">
        <v>2867</v>
      </c>
      <c r="Z863" s="258">
        <v>120435.0</v>
      </c>
      <c r="AA863" s="334">
        <v>11552.0</v>
      </c>
      <c r="AB863" s="341"/>
      <c r="AC863" s="341"/>
      <c r="AD863" s="343"/>
      <c r="AE863" s="331"/>
      <c r="AF863" s="348"/>
      <c r="AG863" s="337"/>
      <c r="AH863" s="341"/>
      <c r="AI863" s="341"/>
      <c r="AJ863" s="341"/>
      <c r="AK863" s="341"/>
      <c r="AL863" s="341"/>
      <c r="AM863" s="338"/>
      <c r="AN863" s="341"/>
      <c r="AO863" s="341"/>
      <c r="AP863" s="341"/>
      <c r="AQ863" s="341"/>
      <c r="AR863" s="341"/>
      <c r="AS863" s="341"/>
      <c r="AT863" s="341"/>
      <c r="AU863" s="343"/>
      <c r="AV863" s="341"/>
      <c r="AW863" s="269" t="s">
        <v>2144</v>
      </c>
      <c r="AX863" s="334" t="s">
        <v>2869</v>
      </c>
      <c r="AY863" s="270" t="s">
        <v>695</v>
      </c>
      <c r="AZ863" s="173" t="s">
        <v>2866</v>
      </c>
      <c r="BA863" s="265">
        <v>10.0</v>
      </c>
      <c r="BB863" s="174" t="s">
        <v>245</v>
      </c>
      <c r="BC863" s="341"/>
      <c r="BD863" s="308"/>
      <c r="BE863" s="347"/>
      <c r="BF863" s="274" t="str">
        <f>IFERROR(__xludf.DUMMYFUNCTION("LOWER(Regexreplace(to_text(E863),""[^A-Za-z0-9]"","""")&amp;""_""&amp;Regexreplace(to_text(F863),""[^A-Za-z0-9]"",""""))"),"neptronic_evcbseries")</f>
        <v>neptronic_evcbseries</v>
      </c>
      <c r="BG863" s="275" t="str">
        <f>IFERROR(__xludf.DUMMYFUNCTION("upper(Regexreplace(to_text(E863),""[^A-Za-z0-9]"","""")&amp;""-""&amp;Regexreplace(to_text(F863),""[^A-Za-z0-9]"",""""))"),"NEPTRONIC-EVCBSERIES")</f>
        <v>NEPTRONIC-EVCBSERIES</v>
      </c>
    </row>
    <row r="864" ht="30.0" customHeight="1">
      <c r="A864" s="258">
        <v>856.0</v>
      </c>
      <c r="B864" s="237" t="s">
        <v>670</v>
      </c>
      <c r="C864" s="257" t="s">
        <v>4147</v>
      </c>
      <c r="D864" s="173" t="s">
        <v>4147</v>
      </c>
      <c r="E864" s="174" t="s">
        <v>2861</v>
      </c>
      <c r="F864" s="173" t="s">
        <v>2862</v>
      </c>
      <c r="G864" s="328" t="s">
        <v>673</v>
      </c>
      <c r="H864" s="328" t="s">
        <v>2863</v>
      </c>
      <c r="I864" s="258" t="s">
        <v>2864</v>
      </c>
      <c r="J864" s="259" t="s">
        <v>965</v>
      </c>
      <c r="K864" s="260" t="s">
        <v>3629</v>
      </c>
      <c r="L864" s="328"/>
      <c r="M864" s="343"/>
      <c r="N864" s="173" t="s">
        <v>679</v>
      </c>
      <c r="O864" s="173" t="s">
        <v>225</v>
      </c>
      <c r="P864" s="262" t="str">
        <f t="shared" si="1"/>
        <v>IN-BLR-ANANTA-VAV-436_3</v>
      </c>
      <c r="Q864" s="173" t="s">
        <v>4148</v>
      </c>
      <c r="R864" s="328" t="str">
        <f>IFS(C864="","",C864="n/a","N/A",LEN(C864),Concatenate("{",char(34),"asset",char(34),":{",char(34),"guid",char(34),":",char(34),Q864,char(34),",",char(34),"site",char(34),":",char(34),LOWER('2-Building'!$B$4),char(34),",",char(34),"name",char(34),":",char(34),LOWER(C864),char(34),"}}"))</f>
        <v>{"asset":{"guid":"uuid://10e89343-fb2a-4827-b6d1-55ead9557f3c","site":"in-blr-ananta","name":"vav-436"}}</v>
      </c>
      <c r="S864" s="237" t="s">
        <v>2866</v>
      </c>
      <c r="T864" s="330"/>
      <c r="U864" s="330"/>
      <c r="V864" s="331"/>
      <c r="W864" s="344"/>
      <c r="X864" s="341"/>
      <c r="Y864" s="33" t="s">
        <v>2867</v>
      </c>
      <c r="Z864" s="258">
        <v>120436.0</v>
      </c>
      <c r="AA864" s="334">
        <v>11552.0</v>
      </c>
      <c r="AB864" s="341"/>
      <c r="AC864" s="341"/>
      <c r="AD864" s="343"/>
      <c r="AE864" s="331"/>
      <c r="AF864" s="348"/>
      <c r="AG864" s="337"/>
      <c r="AH864" s="341"/>
      <c r="AI864" s="341"/>
      <c r="AJ864" s="341"/>
      <c r="AK864" s="341"/>
      <c r="AL864" s="341"/>
      <c r="AM864" s="338"/>
      <c r="AN864" s="341"/>
      <c r="AO864" s="341"/>
      <c r="AP864" s="341"/>
      <c r="AQ864" s="341"/>
      <c r="AR864" s="341"/>
      <c r="AS864" s="341"/>
      <c r="AT864" s="341"/>
      <c r="AU864" s="343"/>
      <c r="AV864" s="341"/>
      <c r="AW864" s="269" t="s">
        <v>2144</v>
      </c>
      <c r="AX864" s="334" t="s">
        <v>2869</v>
      </c>
      <c r="AY864" s="270" t="s">
        <v>695</v>
      </c>
      <c r="AZ864" s="173" t="s">
        <v>2866</v>
      </c>
      <c r="BA864" s="265">
        <v>10.0</v>
      </c>
      <c r="BB864" s="174" t="s">
        <v>245</v>
      </c>
      <c r="BC864" s="341"/>
      <c r="BD864" s="308"/>
      <c r="BE864" s="347"/>
      <c r="BF864" s="274" t="str">
        <f>IFERROR(__xludf.DUMMYFUNCTION("LOWER(Regexreplace(to_text(E864),""[^A-Za-z0-9]"","""")&amp;""_""&amp;Regexreplace(to_text(F864),""[^A-Za-z0-9]"",""""))"),"neptronic_evcbseries")</f>
        <v>neptronic_evcbseries</v>
      </c>
      <c r="BG864" s="275" t="str">
        <f>IFERROR(__xludf.DUMMYFUNCTION("upper(Regexreplace(to_text(E864),""[^A-Za-z0-9]"","""")&amp;""-""&amp;Regexreplace(to_text(F864),""[^A-Za-z0-9]"",""""))"),"NEPTRONIC-EVCBSERIES")</f>
        <v>NEPTRONIC-EVCBSERIES</v>
      </c>
    </row>
    <row r="865" ht="30.0" customHeight="1">
      <c r="A865" s="173">
        <v>857.0</v>
      </c>
      <c r="B865" s="237" t="s">
        <v>670</v>
      </c>
      <c r="C865" s="257" t="s">
        <v>4149</v>
      </c>
      <c r="D865" s="173" t="s">
        <v>4149</v>
      </c>
      <c r="E865" s="174" t="s">
        <v>2861</v>
      </c>
      <c r="F865" s="173" t="s">
        <v>2862</v>
      </c>
      <c r="G865" s="328" t="s">
        <v>673</v>
      </c>
      <c r="H865" s="328" t="s">
        <v>2863</v>
      </c>
      <c r="I865" s="258" t="s">
        <v>2864</v>
      </c>
      <c r="J865" s="259" t="s">
        <v>965</v>
      </c>
      <c r="K865" s="260" t="s">
        <v>3629</v>
      </c>
      <c r="L865" s="328"/>
      <c r="M865" s="343"/>
      <c r="N865" s="173" t="s">
        <v>679</v>
      </c>
      <c r="O865" s="173" t="s">
        <v>225</v>
      </c>
      <c r="P865" s="262" t="str">
        <f t="shared" si="1"/>
        <v>IN-BLR-ANANTA-VAV-437_3</v>
      </c>
      <c r="Q865" s="173" t="s">
        <v>4150</v>
      </c>
      <c r="R865" s="328" t="str">
        <f>IFS(C865="","",C865="n/a","N/A",LEN(C865),Concatenate("{",char(34),"asset",char(34),":{",char(34),"guid",char(34),":",char(34),Q865,char(34),",",char(34),"site",char(34),":",char(34),LOWER('2-Building'!$B$4),char(34),",",char(34),"name",char(34),":",char(34),LOWER(C865),char(34),"}}"))</f>
        <v>{"asset":{"guid":"uuid://6e5d76bc-7369-4636-98fa-6682f856b760","site":"in-blr-ananta","name":"vav-437"}}</v>
      </c>
      <c r="S865" s="237" t="s">
        <v>2866</v>
      </c>
      <c r="T865" s="330"/>
      <c r="U865" s="330"/>
      <c r="V865" s="331"/>
      <c r="W865" s="344"/>
      <c r="X865" s="341"/>
      <c r="Y865" s="33" t="s">
        <v>2867</v>
      </c>
      <c r="Z865" s="258">
        <v>120437.0</v>
      </c>
      <c r="AA865" s="334">
        <v>11552.0</v>
      </c>
      <c r="AB865" s="341"/>
      <c r="AC865" s="341"/>
      <c r="AD865" s="343"/>
      <c r="AE865" s="331"/>
      <c r="AF865" s="348"/>
      <c r="AG865" s="337"/>
      <c r="AH865" s="341"/>
      <c r="AI865" s="341"/>
      <c r="AJ865" s="341"/>
      <c r="AK865" s="341"/>
      <c r="AL865" s="341"/>
      <c r="AM865" s="338"/>
      <c r="AN865" s="341"/>
      <c r="AO865" s="341"/>
      <c r="AP865" s="341"/>
      <c r="AQ865" s="341"/>
      <c r="AR865" s="341"/>
      <c r="AS865" s="341"/>
      <c r="AT865" s="341"/>
      <c r="AU865" s="343"/>
      <c r="AV865" s="341"/>
      <c r="AW865" s="269" t="s">
        <v>2144</v>
      </c>
      <c r="AX865" s="334" t="s">
        <v>2869</v>
      </c>
      <c r="AY865" s="270" t="s">
        <v>695</v>
      </c>
      <c r="AZ865" s="173" t="s">
        <v>2866</v>
      </c>
      <c r="BA865" s="265">
        <v>10.0</v>
      </c>
      <c r="BB865" s="174" t="s">
        <v>245</v>
      </c>
      <c r="BC865" s="341"/>
      <c r="BD865" s="308"/>
      <c r="BE865" s="347"/>
      <c r="BF865" s="274" t="str">
        <f>IFERROR(__xludf.DUMMYFUNCTION("LOWER(Regexreplace(to_text(E865),""[^A-Za-z0-9]"","""")&amp;""_""&amp;Regexreplace(to_text(F865),""[^A-Za-z0-9]"",""""))"),"neptronic_evcbseries")</f>
        <v>neptronic_evcbseries</v>
      </c>
      <c r="BG865" s="275" t="str">
        <f>IFERROR(__xludf.DUMMYFUNCTION("upper(Regexreplace(to_text(E865),""[^A-Za-z0-9]"","""")&amp;""-""&amp;Regexreplace(to_text(F865),""[^A-Za-z0-9]"",""""))"),"NEPTRONIC-EVCBSERIES")</f>
        <v>NEPTRONIC-EVCBSERIES</v>
      </c>
    </row>
    <row r="866" ht="30.0" customHeight="1">
      <c r="A866" s="258">
        <v>858.0</v>
      </c>
      <c r="B866" s="237" t="s">
        <v>670</v>
      </c>
      <c r="C866" s="257" t="s">
        <v>4151</v>
      </c>
      <c r="D866" s="173" t="s">
        <v>4151</v>
      </c>
      <c r="E866" s="174" t="s">
        <v>2861</v>
      </c>
      <c r="F866" s="173" t="s">
        <v>2862</v>
      </c>
      <c r="G866" s="328" t="s">
        <v>673</v>
      </c>
      <c r="H866" s="328" t="s">
        <v>2863</v>
      </c>
      <c r="I866" s="258" t="s">
        <v>2864</v>
      </c>
      <c r="J866" s="259" t="s">
        <v>965</v>
      </c>
      <c r="K866" s="260" t="s">
        <v>3629</v>
      </c>
      <c r="L866" s="328"/>
      <c r="M866" s="343"/>
      <c r="N866" s="173" t="s">
        <v>679</v>
      </c>
      <c r="O866" s="173" t="s">
        <v>225</v>
      </c>
      <c r="P866" s="262" t="str">
        <f t="shared" si="1"/>
        <v>IN-BLR-ANANTA-VAV-438_3</v>
      </c>
      <c r="Q866" s="173" t="s">
        <v>4152</v>
      </c>
      <c r="R866" s="328" t="str">
        <f>IFS(C866="","",C866="n/a","N/A",LEN(C866),Concatenate("{",char(34),"asset",char(34),":{",char(34),"guid",char(34),":",char(34),Q866,char(34),",",char(34),"site",char(34),":",char(34),LOWER('2-Building'!$B$4),char(34),",",char(34),"name",char(34),":",char(34),LOWER(C866),char(34),"}}"))</f>
        <v>{"asset":{"guid":"uuid://4d17ae1a-2fbf-4437-822a-8c4e353d0a53","site":"in-blr-ananta","name":"vav-438"}}</v>
      </c>
      <c r="S866" s="237" t="s">
        <v>2866</v>
      </c>
      <c r="T866" s="330"/>
      <c r="U866" s="330"/>
      <c r="V866" s="331"/>
      <c r="W866" s="344"/>
      <c r="X866" s="341"/>
      <c r="Y866" s="33" t="s">
        <v>2867</v>
      </c>
      <c r="Z866" s="258">
        <v>120438.0</v>
      </c>
      <c r="AA866" s="334">
        <v>11552.0</v>
      </c>
      <c r="AB866" s="341"/>
      <c r="AC866" s="341"/>
      <c r="AD866" s="343"/>
      <c r="AE866" s="331"/>
      <c r="AF866" s="348"/>
      <c r="AG866" s="337"/>
      <c r="AH866" s="341"/>
      <c r="AI866" s="341"/>
      <c r="AJ866" s="341"/>
      <c r="AK866" s="341"/>
      <c r="AL866" s="341"/>
      <c r="AM866" s="338"/>
      <c r="AN866" s="341"/>
      <c r="AO866" s="341"/>
      <c r="AP866" s="341"/>
      <c r="AQ866" s="341"/>
      <c r="AR866" s="341"/>
      <c r="AS866" s="341"/>
      <c r="AT866" s="341"/>
      <c r="AU866" s="343"/>
      <c r="AV866" s="341"/>
      <c r="AW866" s="269" t="s">
        <v>2144</v>
      </c>
      <c r="AX866" s="334" t="s">
        <v>2869</v>
      </c>
      <c r="AY866" s="270" t="s">
        <v>695</v>
      </c>
      <c r="AZ866" s="173" t="s">
        <v>2866</v>
      </c>
      <c r="BA866" s="265">
        <v>10.0</v>
      </c>
      <c r="BB866" s="174" t="s">
        <v>245</v>
      </c>
      <c r="BC866" s="341"/>
      <c r="BD866" s="308"/>
      <c r="BE866" s="347"/>
      <c r="BF866" s="274" t="str">
        <f>IFERROR(__xludf.DUMMYFUNCTION("LOWER(Regexreplace(to_text(E866),""[^A-Za-z0-9]"","""")&amp;""_""&amp;Regexreplace(to_text(F866),""[^A-Za-z0-9]"",""""))"),"neptronic_evcbseries")</f>
        <v>neptronic_evcbseries</v>
      </c>
      <c r="BG866" s="275" t="str">
        <f>IFERROR(__xludf.DUMMYFUNCTION("upper(Regexreplace(to_text(E866),""[^A-Za-z0-9]"","""")&amp;""-""&amp;Regexreplace(to_text(F866),""[^A-Za-z0-9]"",""""))"),"NEPTRONIC-EVCBSERIES")</f>
        <v>NEPTRONIC-EVCBSERIES</v>
      </c>
    </row>
    <row r="867" ht="30.0" customHeight="1">
      <c r="A867" s="173">
        <v>859.0</v>
      </c>
      <c r="B867" s="237" t="s">
        <v>670</v>
      </c>
      <c r="C867" s="257" t="s">
        <v>4153</v>
      </c>
      <c r="D867" s="173" t="s">
        <v>4153</v>
      </c>
      <c r="E867" s="174" t="s">
        <v>2861</v>
      </c>
      <c r="F867" s="173" t="s">
        <v>2862</v>
      </c>
      <c r="G867" s="328" t="s">
        <v>673</v>
      </c>
      <c r="H867" s="328" t="s">
        <v>2863</v>
      </c>
      <c r="I867" s="258" t="s">
        <v>2864</v>
      </c>
      <c r="J867" s="259" t="s">
        <v>965</v>
      </c>
      <c r="K867" s="260" t="s">
        <v>3643</v>
      </c>
      <c r="L867" s="328"/>
      <c r="M867" s="343"/>
      <c r="N867" s="173" t="s">
        <v>679</v>
      </c>
      <c r="O867" s="173" t="s">
        <v>225</v>
      </c>
      <c r="P867" s="262" t="str">
        <f t="shared" si="1"/>
        <v>IN-BLR-ANANTA-VAV-439_3</v>
      </c>
      <c r="Q867" s="173" t="s">
        <v>4154</v>
      </c>
      <c r="R867" s="328" t="str">
        <f>IFS(C867="","",C867="n/a","N/A",LEN(C867),Concatenate("{",char(34),"asset",char(34),":{",char(34),"guid",char(34),":",char(34),Q867,char(34),",",char(34),"site",char(34),":",char(34),LOWER('2-Building'!$B$4),char(34),",",char(34),"name",char(34),":",char(34),LOWER(C867),char(34),"}}"))</f>
        <v>{"asset":{"guid":"uuid://5e6db514-2dae-463d-8944-646afd038fad","site":"in-blr-ananta","name":"vav-439"}}</v>
      </c>
      <c r="S867" s="237" t="s">
        <v>2866</v>
      </c>
      <c r="T867" s="330"/>
      <c r="U867" s="330"/>
      <c r="V867" s="331"/>
      <c r="W867" s="344"/>
      <c r="X867" s="341"/>
      <c r="Y867" s="33" t="s">
        <v>2867</v>
      </c>
      <c r="Z867" s="258">
        <v>120439.0</v>
      </c>
      <c r="AA867" s="334">
        <v>11533.0</v>
      </c>
      <c r="AB867" s="341"/>
      <c r="AC867" s="341"/>
      <c r="AD867" s="343"/>
      <c r="AE867" s="331"/>
      <c r="AF867" s="348"/>
      <c r="AG867" s="337"/>
      <c r="AH867" s="341"/>
      <c r="AI867" s="341"/>
      <c r="AJ867" s="341"/>
      <c r="AK867" s="341"/>
      <c r="AL867" s="341"/>
      <c r="AM867" s="338"/>
      <c r="AN867" s="341"/>
      <c r="AO867" s="341"/>
      <c r="AP867" s="341"/>
      <c r="AQ867" s="341"/>
      <c r="AR867" s="341"/>
      <c r="AS867" s="341"/>
      <c r="AT867" s="341"/>
      <c r="AU867" s="343"/>
      <c r="AV867" s="341"/>
      <c r="AW867" s="269" t="s">
        <v>2144</v>
      </c>
      <c r="AX867" s="334" t="s">
        <v>2869</v>
      </c>
      <c r="AY867" s="270" t="s">
        <v>695</v>
      </c>
      <c r="AZ867" s="173" t="s">
        <v>2866</v>
      </c>
      <c r="BA867" s="265">
        <v>10.0</v>
      </c>
      <c r="BB867" s="174" t="s">
        <v>245</v>
      </c>
      <c r="BC867" s="341"/>
      <c r="BD867" s="308"/>
      <c r="BE867" s="347"/>
      <c r="BF867" s="274" t="str">
        <f>IFERROR(__xludf.DUMMYFUNCTION("LOWER(Regexreplace(to_text(E867),""[^A-Za-z0-9]"","""")&amp;""_""&amp;Regexreplace(to_text(F867),""[^A-Za-z0-9]"",""""))"),"neptronic_evcbseries")</f>
        <v>neptronic_evcbseries</v>
      </c>
      <c r="BG867" s="275" t="str">
        <f>IFERROR(__xludf.DUMMYFUNCTION("upper(Regexreplace(to_text(E867),""[^A-Za-z0-9]"","""")&amp;""-""&amp;Regexreplace(to_text(F867),""[^A-Za-z0-9]"",""""))"),"NEPTRONIC-EVCBSERIES")</f>
        <v>NEPTRONIC-EVCBSERIES</v>
      </c>
    </row>
    <row r="868" ht="30.0" customHeight="1">
      <c r="A868" s="258">
        <v>860.0</v>
      </c>
      <c r="B868" s="237" t="s">
        <v>670</v>
      </c>
      <c r="C868" s="257" t="s">
        <v>4155</v>
      </c>
      <c r="D868" s="173" t="s">
        <v>4155</v>
      </c>
      <c r="E868" s="174" t="s">
        <v>2861</v>
      </c>
      <c r="F868" s="173" t="s">
        <v>2862</v>
      </c>
      <c r="G868" s="328" t="s">
        <v>673</v>
      </c>
      <c r="H868" s="328" t="s">
        <v>2863</v>
      </c>
      <c r="I868" s="258" t="s">
        <v>2864</v>
      </c>
      <c r="J868" s="259" t="s">
        <v>965</v>
      </c>
      <c r="K868" s="260" t="s">
        <v>4156</v>
      </c>
      <c r="L868" s="328"/>
      <c r="M868" s="343"/>
      <c r="N868" s="173" t="s">
        <v>679</v>
      </c>
      <c r="O868" s="173" t="s">
        <v>225</v>
      </c>
      <c r="P868" s="262" t="str">
        <f t="shared" si="1"/>
        <v>IN-BLR-ANANTA-VAV-440_3</v>
      </c>
      <c r="Q868" s="173" t="s">
        <v>4157</v>
      </c>
      <c r="R868" s="328" t="str">
        <f>IFS(C868="","",C868="n/a","N/A",LEN(C868),Concatenate("{",char(34),"asset",char(34),":{",char(34),"guid",char(34),":",char(34),Q868,char(34),",",char(34),"site",char(34),":",char(34),LOWER('2-Building'!$B$4),char(34),",",char(34),"name",char(34),":",char(34),LOWER(C868),char(34),"}}"))</f>
        <v>{"asset":{"guid":"uuid://1722cb4a-3df8-43a0-9542-f620739b6f03","site":"in-blr-ananta","name":"vav-440"}}</v>
      </c>
      <c r="S868" s="237" t="s">
        <v>2866</v>
      </c>
      <c r="T868" s="330"/>
      <c r="U868" s="330"/>
      <c r="V868" s="331"/>
      <c r="W868" s="344"/>
      <c r="X868" s="341"/>
      <c r="Y868" s="33" t="s">
        <v>2867</v>
      </c>
      <c r="Z868" s="258">
        <v>120440.0</v>
      </c>
      <c r="AA868" s="334">
        <v>11533.0</v>
      </c>
      <c r="AB868" s="341"/>
      <c r="AC868" s="341"/>
      <c r="AD868" s="343"/>
      <c r="AE868" s="331"/>
      <c r="AF868" s="348"/>
      <c r="AG868" s="337"/>
      <c r="AH868" s="341"/>
      <c r="AI868" s="341"/>
      <c r="AJ868" s="341"/>
      <c r="AK868" s="341"/>
      <c r="AL868" s="341"/>
      <c r="AM868" s="338"/>
      <c r="AN868" s="341"/>
      <c r="AO868" s="341"/>
      <c r="AP868" s="341"/>
      <c r="AQ868" s="341"/>
      <c r="AR868" s="341"/>
      <c r="AS868" s="341"/>
      <c r="AT868" s="341"/>
      <c r="AU868" s="343"/>
      <c r="AV868" s="341"/>
      <c r="AW868" s="269" t="s">
        <v>2144</v>
      </c>
      <c r="AX868" s="334" t="s">
        <v>2869</v>
      </c>
      <c r="AY868" s="270" t="s">
        <v>695</v>
      </c>
      <c r="AZ868" s="173" t="s">
        <v>2866</v>
      </c>
      <c r="BA868" s="265">
        <v>10.0</v>
      </c>
      <c r="BB868" s="174" t="s">
        <v>245</v>
      </c>
      <c r="BC868" s="341"/>
      <c r="BD868" s="308"/>
      <c r="BE868" s="347"/>
      <c r="BF868" s="274" t="str">
        <f>IFERROR(__xludf.DUMMYFUNCTION("LOWER(Regexreplace(to_text(E868),""[^A-Za-z0-9]"","""")&amp;""_""&amp;Regexreplace(to_text(F868),""[^A-Za-z0-9]"",""""))"),"neptronic_evcbseries")</f>
        <v>neptronic_evcbseries</v>
      </c>
      <c r="BG868" s="275" t="str">
        <f>IFERROR(__xludf.DUMMYFUNCTION("upper(Regexreplace(to_text(E868),""[^A-Za-z0-9]"","""")&amp;""-""&amp;Regexreplace(to_text(F868),""[^A-Za-z0-9]"",""""))"),"NEPTRONIC-EVCBSERIES")</f>
        <v>NEPTRONIC-EVCBSERIES</v>
      </c>
    </row>
    <row r="869" ht="30.0" customHeight="1">
      <c r="A869" s="173">
        <v>861.0</v>
      </c>
      <c r="B869" s="237" t="s">
        <v>670</v>
      </c>
      <c r="C869" s="257" t="s">
        <v>4158</v>
      </c>
      <c r="D869" s="173" t="s">
        <v>4158</v>
      </c>
      <c r="E869" s="174" t="s">
        <v>2861</v>
      </c>
      <c r="F869" s="173" t="s">
        <v>2862</v>
      </c>
      <c r="G869" s="328" t="s">
        <v>673</v>
      </c>
      <c r="H869" s="328" t="s">
        <v>2863</v>
      </c>
      <c r="I869" s="258" t="s">
        <v>2864</v>
      </c>
      <c r="J869" s="259" t="s">
        <v>965</v>
      </c>
      <c r="K869" s="260" t="s">
        <v>4159</v>
      </c>
      <c r="L869" s="328"/>
      <c r="M869" s="343"/>
      <c r="N869" s="173" t="s">
        <v>679</v>
      </c>
      <c r="O869" s="173" t="s">
        <v>225</v>
      </c>
      <c r="P869" s="262" t="str">
        <f t="shared" si="1"/>
        <v>IN-BLR-ANANTA-VAV-441_3</v>
      </c>
      <c r="Q869" s="173" t="s">
        <v>4160</v>
      </c>
      <c r="R869" s="328" t="str">
        <f>IFS(C869="","",C869="n/a","N/A",LEN(C869),Concatenate("{",char(34),"asset",char(34),":{",char(34),"guid",char(34),":",char(34),Q869,char(34),",",char(34),"site",char(34),":",char(34),LOWER('2-Building'!$B$4),char(34),",",char(34),"name",char(34),":",char(34),LOWER(C869),char(34),"}}"))</f>
        <v>{"asset":{"guid":"uuid://200089be-b180-418c-94d7-7a21609fce9d","site":"in-blr-ananta","name":"vav-441"}}</v>
      </c>
      <c r="S869" s="237" t="s">
        <v>2866</v>
      </c>
      <c r="T869" s="330"/>
      <c r="U869" s="330"/>
      <c r="V869" s="331"/>
      <c r="W869" s="344"/>
      <c r="X869" s="341"/>
      <c r="Y869" s="33" t="s">
        <v>2867</v>
      </c>
      <c r="Z869" s="258">
        <v>120441.0</v>
      </c>
      <c r="AA869" s="334">
        <v>11533.0</v>
      </c>
      <c r="AB869" s="341"/>
      <c r="AC869" s="341"/>
      <c r="AD869" s="343"/>
      <c r="AE869" s="331"/>
      <c r="AF869" s="348"/>
      <c r="AG869" s="337"/>
      <c r="AH869" s="341"/>
      <c r="AI869" s="341"/>
      <c r="AJ869" s="341"/>
      <c r="AK869" s="341"/>
      <c r="AL869" s="341"/>
      <c r="AM869" s="338"/>
      <c r="AN869" s="341"/>
      <c r="AO869" s="341"/>
      <c r="AP869" s="341"/>
      <c r="AQ869" s="341"/>
      <c r="AR869" s="341"/>
      <c r="AS869" s="341"/>
      <c r="AT869" s="341"/>
      <c r="AU869" s="343"/>
      <c r="AV869" s="341"/>
      <c r="AW869" s="269" t="s">
        <v>2144</v>
      </c>
      <c r="AX869" s="334" t="s">
        <v>2869</v>
      </c>
      <c r="AY869" s="270" t="s">
        <v>695</v>
      </c>
      <c r="AZ869" s="173" t="s">
        <v>2866</v>
      </c>
      <c r="BA869" s="265">
        <v>10.0</v>
      </c>
      <c r="BB869" s="174" t="s">
        <v>245</v>
      </c>
      <c r="BC869" s="341"/>
      <c r="BD869" s="308"/>
      <c r="BE869" s="347"/>
      <c r="BF869" s="274" t="str">
        <f>IFERROR(__xludf.DUMMYFUNCTION("LOWER(Regexreplace(to_text(E869),""[^A-Za-z0-9]"","""")&amp;""_""&amp;Regexreplace(to_text(F869),""[^A-Za-z0-9]"",""""))"),"neptronic_evcbseries")</f>
        <v>neptronic_evcbseries</v>
      </c>
      <c r="BG869" s="275" t="str">
        <f>IFERROR(__xludf.DUMMYFUNCTION("upper(Regexreplace(to_text(E869),""[^A-Za-z0-9]"","""")&amp;""-""&amp;Regexreplace(to_text(F869),""[^A-Za-z0-9]"",""""))"),"NEPTRONIC-EVCBSERIES")</f>
        <v>NEPTRONIC-EVCBSERIES</v>
      </c>
    </row>
    <row r="870" ht="30.0" customHeight="1">
      <c r="A870" s="258">
        <v>862.0</v>
      </c>
      <c r="B870" s="237" t="s">
        <v>670</v>
      </c>
      <c r="C870" s="257" t="s">
        <v>4161</v>
      </c>
      <c r="D870" s="173" t="s">
        <v>4161</v>
      </c>
      <c r="E870" s="174" t="s">
        <v>2861</v>
      </c>
      <c r="F870" s="173" t="s">
        <v>2862</v>
      </c>
      <c r="G870" s="328" t="s">
        <v>673</v>
      </c>
      <c r="H870" s="328" t="s">
        <v>2863</v>
      </c>
      <c r="I870" s="258" t="s">
        <v>2864</v>
      </c>
      <c r="J870" s="259" t="s">
        <v>965</v>
      </c>
      <c r="K870" s="260" t="s">
        <v>4162</v>
      </c>
      <c r="L870" s="328"/>
      <c r="M870" s="343"/>
      <c r="N870" s="173" t="s">
        <v>679</v>
      </c>
      <c r="O870" s="173" t="s">
        <v>225</v>
      </c>
      <c r="P870" s="262" t="str">
        <f t="shared" si="1"/>
        <v>IN-BLR-ANANTA-VAV-442_3</v>
      </c>
      <c r="Q870" s="173" t="s">
        <v>4163</v>
      </c>
      <c r="R870" s="328" t="str">
        <f>IFS(C870="","",C870="n/a","N/A",LEN(C870),Concatenate("{",char(34),"asset",char(34),":{",char(34),"guid",char(34),":",char(34),Q870,char(34),",",char(34),"site",char(34),":",char(34),LOWER('2-Building'!$B$4),char(34),",",char(34),"name",char(34),":",char(34),LOWER(C870),char(34),"}}"))</f>
        <v>{"asset":{"guid":"uuid://d6d4ac0b-fed4-437f-bbbc-8300ab87f2cf","site":"in-blr-ananta","name":"vav-442"}}</v>
      </c>
      <c r="S870" s="237" t="s">
        <v>2866</v>
      </c>
      <c r="T870" s="330"/>
      <c r="U870" s="330"/>
      <c r="V870" s="331"/>
      <c r="W870" s="344"/>
      <c r="X870" s="341"/>
      <c r="Y870" s="33" t="s">
        <v>2867</v>
      </c>
      <c r="Z870" s="258">
        <v>120442.0</v>
      </c>
      <c r="AA870" s="334">
        <v>11533.0</v>
      </c>
      <c r="AB870" s="341"/>
      <c r="AC870" s="341"/>
      <c r="AD870" s="343"/>
      <c r="AE870" s="331"/>
      <c r="AF870" s="348"/>
      <c r="AG870" s="337"/>
      <c r="AH870" s="341"/>
      <c r="AI870" s="341"/>
      <c r="AJ870" s="341"/>
      <c r="AK870" s="341"/>
      <c r="AL870" s="341"/>
      <c r="AM870" s="338"/>
      <c r="AN870" s="341"/>
      <c r="AO870" s="341"/>
      <c r="AP870" s="341"/>
      <c r="AQ870" s="341"/>
      <c r="AR870" s="341"/>
      <c r="AS870" s="341"/>
      <c r="AT870" s="341"/>
      <c r="AU870" s="343"/>
      <c r="AV870" s="341"/>
      <c r="AW870" s="269" t="s">
        <v>2144</v>
      </c>
      <c r="AX870" s="334" t="s">
        <v>2869</v>
      </c>
      <c r="AY870" s="270" t="s">
        <v>695</v>
      </c>
      <c r="AZ870" s="173" t="s">
        <v>2866</v>
      </c>
      <c r="BA870" s="265">
        <v>10.0</v>
      </c>
      <c r="BB870" s="174" t="s">
        <v>245</v>
      </c>
      <c r="BC870" s="341"/>
      <c r="BD870" s="308"/>
      <c r="BE870" s="347"/>
      <c r="BF870" s="274" t="str">
        <f>IFERROR(__xludf.DUMMYFUNCTION("LOWER(Regexreplace(to_text(E870),""[^A-Za-z0-9]"","""")&amp;""_""&amp;Regexreplace(to_text(F870),""[^A-Za-z0-9]"",""""))"),"neptronic_evcbseries")</f>
        <v>neptronic_evcbseries</v>
      </c>
      <c r="BG870" s="275" t="str">
        <f>IFERROR(__xludf.DUMMYFUNCTION("upper(Regexreplace(to_text(E870),""[^A-Za-z0-9]"","""")&amp;""-""&amp;Regexreplace(to_text(F870),""[^A-Za-z0-9]"",""""))"),"NEPTRONIC-EVCBSERIES")</f>
        <v>NEPTRONIC-EVCBSERIES</v>
      </c>
    </row>
    <row r="871" ht="30.0" customHeight="1">
      <c r="A871" s="173">
        <v>863.0</v>
      </c>
      <c r="B871" s="237" t="s">
        <v>670</v>
      </c>
      <c r="C871" s="257" t="s">
        <v>4164</v>
      </c>
      <c r="D871" s="173" t="s">
        <v>4164</v>
      </c>
      <c r="E871" s="174" t="s">
        <v>2861</v>
      </c>
      <c r="F871" s="173" t="s">
        <v>2862</v>
      </c>
      <c r="G871" s="328" t="s">
        <v>673</v>
      </c>
      <c r="H871" s="328" t="s">
        <v>2863</v>
      </c>
      <c r="I871" s="258" t="s">
        <v>2864</v>
      </c>
      <c r="J871" s="259" t="s">
        <v>965</v>
      </c>
      <c r="K871" s="260" t="s">
        <v>4165</v>
      </c>
      <c r="L871" s="328"/>
      <c r="M871" s="343"/>
      <c r="N871" s="173" t="s">
        <v>679</v>
      </c>
      <c r="O871" s="173" t="s">
        <v>225</v>
      </c>
      <c r="P871" s="262" t="str">
        <f t="shared" si="1"/>
        <v>IN-BLR-ANANTA-VAV-443_3</v>
      </c>
      <c r="Q871" s="173" t="s">
        <v>4166</v>
      </c>
      <c r="R871" s="328" t="str">
        <f>IFS(C871="","",C871="n/a","N/A",LEN(C871),Concatenate("{",char(34),"asset",char(34),":{",char(34),"guid",char(34),":",char(34),Q871,char(34),",",char(34),"site",char(34),":",char(34),LOWER('2-Building'!$B$4),char(34),",",char(34),"name",char(34),":",char(34),LOWER(C871),char(34),"}}"))</f>
        <v>{"asset":{"guid":"uuid://f944bc05-fb33-4471-9fb6-c42e24f8f25f","site":"in-blr-ananta","name":"vav-443"}}</v>
      </c>
      <c r="S871" s="237" t="s">
        <v>2866</v>
      </c>
      <c r="T871" s="330"/>
      <c r="U871" s="330"/>
      <c r="V871" s="331"/>
      <c r="W871" s="344"/>
      <c r="X871" s="341"/>
      <c r="Y871" s="33" t="s">
        <v>2867</v>
      </c>
      <c r="Z871" s="258">
        <v>120443.0</v>
      </c>
      <c r="AA871" s="334">
        <v>11533.0</v>
      </c>
      <c r="AB871" s="341"/>
      <c r="AC871" s="341"/>
      <c r="AD871" s="343"/>
      <c r="AE871" s="331"/>
      <c r="AF871" s="348"/>
      <c r="AG871" s="337"/>
      <c r="AH871" s="341"/>
      <c r="AI871" s="341"/>
      <c r="AJ871" s="341"/>
      <c r="AK871" s="341"/>
      <c r="AL871" s="341"/>
      <c r="AM871" s="338"/>
      <c r="AN871" s="341"/>
      <c r="AO871" s="341"/>
      <c r="AP871" s="341"/>
      <c r="AQ871" s="341"/>
      <c r="AR871" s="341"/>
      <c r="AS871" s="341"/>
      <c r="AT871" s="341"/>
      <c r="AU871" s="343"/>
      <c r="AV871" s="341"/>
      <c r="AW871" s="269" t="s">
        <v>2144</v>
      </c>
      <c r="AX871" s="334" t="s">
        <v>2869</v>
      </c>
      <c r="AY871" s="270" t="s">
        <v>695</v>
      </c>
      <c r="AZ871" s="173" t="s">
        <v>2866</v>
      </c>
      <c r="BA871" s="265">
        <v>10.0</v>
      </c>
      <c r="BB871" s="174" t="s">
        <v>245</v>
      </c>
      <c r="BC871" s="341"/>
      <c r="BD871" s="308"/>
      <c r="BE871" s="347"/>
      <c r="BF871" s="274" t="str">
        <f>IFERROR(__xludf.DUMMYFUNCTION("LOWER(Regexreplace(to_text(E871),""[^A-Za-z0-9]"","""")&amp;""_""&amp;Regexreplace(to_text(F871),""[^A-Za-z0-9]"",""""))"),"neptronic_evcbseries")</f>
        <v>neptronic_evcbseries</v>
      </c>
      <c r="BG871" s="275" t="str">
        <f>IFERROR(__xludf.DUMMYFUNCTION("upper(Regexreplace(to_text(E871),""[^A-Za-z0-9]"","""")&amp;""-""&amp;Regexreplace(to_text(F871),""[^A-Za-z0-9]"",""""))"),"NEPTRONIC-EVCBSERIES")</f>
        <v>NEPTRONIC-EVCBSERIES</v>
      </c>
    </row>
    <row r="872" ht="30.0" customHeight="1">
      <c r="A872" s="258">
        <v>864.0</v>
      </c>
      <c r="B872" s="237" t="s">
        <v>670</v>
      </c>
      <c r="C872" s="257" t="s">
        <v>4167</v>
      </c>
      <c r="D872" s="173" t="s">
        <v>4167</v>
      </c>
      <c r="E872" s="174" t="s">
        <v>2861</v>
      </c>
      <c r="F872" s="173" t="s">
        <v>2862</v>
      </c>
      <c r="G872" s="328" t="s">
        <v>673</v>
      </c>
      <c r="H872" s="328" t="s">
        <v>2863</v>
      </c>
      <c r="I872" s="258" t="s">
        <v>2864</v>
      </c>
      <c r="J872" s="259" t="s">
        <v>965</v>
      </c>
      <c r="K872" s="260" t="s">
        <v>4168</v>
      </c>
      <c r="L872" s="328"/>
      <c r="M872" s="343"/>
      <c r="N872" s="173" t="s">
        <v>679</v>
      </c>
      <c r="O872" s="173" t="s">
        <v>225</v>
      </c>
      <c r="P872" s="262" t="str">
        <f t="shared" si="1"/>
        <v>IN-BLR-ANANTA-VAV-444_3</v>
      </c>
      <c r="Q872" s="173" t="s">
        <v>4169</v>
      </c>
      <c r="R872" s="328" t="str">
        <f>IFS(C872="","",C872="n/a","N/A",LEN(C872),Concatenate("{",char(34),"asset",char(34),":{",char(34),"guid",char(34),":",char(34),Q872,char(34),",",char(34),"site",char(34),":",char(34),LOWER('2-Building'!$B$4),char(34),",",char(34),"name",char(34),":",char(34),LOWER(C872),char(34),"}}"))</f>
        <v>{"asset":{"guid":"uuid://ba2d386a-6c5f-43ca-ad81-1ec3a614e918","site":"in-blr-ananta","name":"vav-444"}}</v>
      </c>
      <c r="S872" s="237" t="s">
        <v>2866</v>
      </c>
      <c r="T872" s="330"/>
      <c r="U872" s="330"/>
      <c r="V872" s="331"/>
      <c r="W872" s="344"/>
      <c r="X872" s="341"/>
      <c r="Y872" s="33" t="s">
        <v>2867</v>
      </c>
      <c r="Z872" s="258">
        <v>120444.0</v>
      </c>
      <c r="AA872" s="334">
        <v>11533.0</v>
      </c>
      <c r="AB872" s="341"/>
      <c r="AC872" s="341"/>
      <c r="AD872" s="343"/>
      <c r="AE872" s="331"/>
      <c r="AF872" s="348"/>
      <c r="AG872" s="337"/>
      <c r="AH872" s="341"/>
      <c r="AI872" s="341"/>
      <c r="AJ872" s="341"/>
      <c r="AK872" s="341"/>
      <c r="AL872" s="341"/>
      <c r="AM872" s="338"/>
      <c r="AN872" s="341"/>
      <c r="AO872" s="341"/>
      <c r="AP872" s="341"/>
      <c r="AQ872" s="341"/>
      <c r="AR872" s="341"/>
      <c r="AS872" s="341"/>
      <c r="AT872" s="341"/>
      <c r="AU872" s="343"/>
      <c r="AV872" s="341"/>
      <c r="AW872" s="269" t="s">
        <v>2144</v>
      </c>
      <c r="AX872" s="334" t="s">
        <v>2869</v>
      </c>
      <c r="AY872" s="270" t="s">
        <v>695</v>
      </c>
      <c r="AZ872" s="173" t="s">
        <v>2866</v>
      </c>
      <c r="BA872" s="265">
        <v>10.0</v>
      </c>
      <c r="BB872" s="174" t="s">
        <v>245</v>
      </c>
      <c r="BC872" s="341"/>
      <c r="BD872" s="308"/>
      <c r="BE872" s="347"/>
      <c r="BF872" s="274" t="str">
        <f>IFERROR(__xludf.DUMMYFUNCTION("LOWER(Regexreplace(to_text(E872),""[^A-Za-z0-9]"","""")&amp;""_""&amp;Regexreplace(to_text(F872),""[^A-Za-z0-9]"",""""))"),"neptronic_evcbseries")</f>
        <v>neptronic_evcbseries</v>
      </c>
      <c r="BG872" s="275" t="str">
        <f>IFERROR(__xludf.DUMMYFUNCTION("upper(Regexreplace(to_text(E872),""[^A-Za-z0-9]"","""")&amp;""-""&amp;Regexreplace(to_text(F872),""[^A-Za-z0-9]"",""""))"),"NEPTRONIC-EVCBSERIES")</f>
        <v>NEPTRONIC-EVCBSERIES</v>
      </c>
    </row>
    <row r="873" ht="30.0" customHeight="1">
      <c r="A873" s="173">
        <v>865.0</v>
      </c>
      <c r="B873" s="237" t="s">
        <v>670</v>
      </c>
      <c r="C873" s="257" t="s">
        <v>4170</v>
      </c>
      <c r="D873" s="173" t="s">
        <v>4170</v>
      </c>
      <c r="E873" s="174" t="s">
        <v>2861</v>
      </c>
      <c r="F873" s="173" t="s">
        <v>2862</v>
      </c>
      <c r="G873" s="328" t="s">
        <v>673</v>
      </c>
      <c r="H873" s="328" t="s">
        <v>2863</v>
      </c>
      <c r="I873" s="258" t="s">
        <v>2864</v>
      </c>
      <c r="J873" s="259" t="s">
        <v>965</v>
      </c>
      <c r="K873" s="260" t="s">
        <v>4171</v>
      </c>
      <c r="L873" s="328"/>
      <c r="M873" s="343"/>
      <c r="N873" s="173" t="s">
        <v>679</v>
      </c>
      <c r="O873" s="173" t="s">
        <v>225</v>
      </c>
      <c r="P873" s="262" t="str">
        <f t="shared" si="1"/>
        <v>IN-BLR-ANANTA-VAV-445_3</v>
      </c>
      <c r="Q873" s="173" t="s">
        <v>4172</v>
      </c>
      <c r="R873" s="328" t="str">
        <f>IFS(C873="","",C873="n/a","N/A",LEN(C873),Concatenate("{",char(34),"asset",char(34),":{",char(34),"guid",char(34),":",char(34),Q873,char(34),",",char(34),"site",char(34),":",char(34),LOWER('2-Building'!$B$4),char(34),",",char(34),"name",char(34),":",char(34),LOWER(C873),char(34),"}}"))</f>
        <v>{"asset":{"guid":"uuid://8b641809-72af-491d-a278-a66f8ca05094","site":"in-blr-ananta","name":"vav-445"}}</v>
      </c>
      <c r="S873" s="237" t="s">
        <v>2866</v>
      </c>
      <c r="T873" s="330"/>
      <c r="U873" s="330"/>
      <c r="V873" s="331"/>
      <c r="W873" s="344"/>
      <c r="X873" s="341"/>
      <c r="Y873" s="33" t="s">
        <v>2867</v>
      </c>
      <c r="Z873" s="258">
        <v>120445.0</v>
      </c>
      <c r="AA873" s="334">
        <v>11533.0</v>
      </c>
      <c r="AB873" s="341"/>
      <c r="AC873" s="341"/>
      <c r="AD873" s="343"/>
      <c r="AE873" s="331"/>
      <c r="AF873" s="348"/>
      <c r="AG873" s="337"/>
      <c r="AH873" s="341"/>
      <c r="AI873" s="341"/>
      <c r="AJ873" s="341"/>
      <c r="AK873" s="341"/>
      <c r="AL873" s="341"/>
      <c r="AM873" s="338"/>
      <c r="AN873" s="341"/>
      <c r="AO873" s="341"/>
      <c r="AP873" s="341"/>
      <c r="AQ873" s="341"/>
      <c r="AR873" s="341"/>
      <c r="AS873" s="341"/>
      <c r="AT873" s="341"/>
      <c r="AU873" s="343"/>
      <c r="AV873" s="341"/>
      <c r="AW873" s="269" t="s">
        <v>2144</v>
      </c>
      <c r="AX873" s="334" t="s">
        <v>2869</v>
      </c>
      <c r="AY873" s="270" t="s">
        <v>695</v>
      </c>
      <c r="AZ873" s="173" t="s">
        <v>2866</v>
      </c>
      <c r="BA873" s="265">
        <v>10.0</v>
      </c>
      <c r="BB873" s="174" t="s">
        <v>245</v>
      </c>
      <c r="BC873" s="341"/>
      <c r="BD873" s="308"/>
      <c r="BE873" s="347"/>
      <c r="BF873" s="274" t="str">
        <f>IFERROR(__xludf.DUMMYFUNCTION("LOWER(Regexreplace(to_text(E873),""[^A-Za-z0-9]"","""")&amp;""_""&amp;Regexreplace(to_text(F873),""[^A-Za-z0-9]"",""""))"),"neptronic_evcbseries")</f>
        <v>neptronic_evcbseries</v>
      </c>
      <c r="BG873" s="275" t="str">
        <f>IFERROR(__xludf.DUMMYFUNCTION("upper(Regexreplace(to_text(E873),""[^A-Za-z0-9]"","""")&amp;""-""&amp;Regexreplace(to_text(F873),""[^A-Za-z0-9]"",""""))"),"NEPTRONIC-EVCBSERIES")</f>
        <v>NEPTRONIC-EVCBSERIES</v>
      </c>
    </row>
    <row r="874" ht="30.0" customHeight="1">
      <c r="A874" s="258">
        <v>866.0</v>
      </c>
      <c r="B874" s="237" t="s">
        <v>670</v>
      </c>
      <c r="C874" s="257" t="s">
        <v>4173</v>
      </c>
      <c r="D874" s="173" t="s">
        <v>4173</v>
      </c>
      <c r="E874" s="174" t="s">
        <v>2861</v>
      </c>
      <c r="F874" s="173" t="s">
        <v>2862</v>
      </c>
      <c r="G874" s="328" t="s">
        <v>673</v>
      </c>
      <c r="H874" s="328" t="s">
        <v>2863</v>
      </c>
      <c r="I874" s="258" t="s">
        <v>2864</v>
      </c>
      <c r="J874" s="259" t="s">
        <v>965</v>
      </c>
      <c r="K874" s="260" t="s">
        <v>4174</v>
      </c>
      <c r="L874" s="328"/>
      <c r="M874" s="343"/>
      <c r="N874" s="173" t="s">
        <v>679</v>
      </c>
      <c r="O874" s="173" t="s">
        <v>225</v>
      </c>
      <c r="P874" s="262" t="str">
        <f t="shared" si="1"/>
        <v>IN-BLR-ANANTA-VAV-446_3</v>
      </c>
      <c r="Q874" s="173" t="s">
        <v>4175</v>
      </c>
      <c r="R874" s="328" t="str">
        <f>IFS(C874="","",C874="n/a","N/A",LEN(C874),Concatenate("{",char(34),"asset",char(34),":{",char(34),"guid",char(34),":",char(34),Q874,char(34),",",char(34),"site",char(34),":",char(34),LOWER('2-Building'!$B$4),char(34),",",char(34),"name",char(34),":",char(34),LOWER(C874),char(34),"}}"))</f>
        <v>{"asset":{"guid":"uuid://cc60653c-9254-435b-9655-bf0d3413afad","site":"in-blr-ananta","name":"vav-446"}}</v>
      </c>
      <c r="S874" s="237" t="s">
        <v>2866</v>
      </c>
      <c r="T874" s="330"/>
      <c r="U874" s="330"/>
      <c r="V874" s="331"/>
      <c r="W874" s="344"/>
      <c r="X874" s="341"/>
      <c r="Y874" s="33" t="s">
        <v>2867</v>
      </c>
      <c r="Z874" s="258">
        <v>120446.0</v>
      </c>
      <c r="AA874" s="334">
        <v>11533.0</v>
      </c>
      <c r="AB874" s="341"/>
      <c r="AC874" s="341"/>
      <c r="AD874" s="343"/>
      <c r="AE874" s="331"/>
      <c r="AF874" s="348"/>
      <c r="AG874" s="337"/>
      <c r="AH874" s="341"/>
      <c r="AI874" s="341"/>
      <c r="AJ874" s="341"/>
      <c r="AK874" s="341"/>
      <c r="AL874" s="341"/>
      <c r="AM874" s="338"/>
      <c r="AN874" s="341"/>
      <c r="AO874" s="341"/>
      <c r="AP874" s="341"/>
      <c r="AQ874" s="341"/>
      <c r="AR874" s="341"/>
      <c r="AS874" s="341"/>
      <c r="AT874" s="341"/>
      <c r="AU874" s="343"/>
      <c r="AV874" s="341"/>
      <c r="AW874" s="269" t="s">
        <v>2144</v>
      </c>
      <c r="AX874" s="334" t="s">
        <v>2869</v>
      </c>
      <c r="AY874" s="270" t="s">
        <v>695</v>
      </c>
      <c r="AZ874" s="173" t="s">
        <v>2866</v>
      </c>
      <c r="BA874" s="265">
        <v>10.0</v>
      </c>
      <c r="BB874" s="174" t="s">
        <v>245</v>
      </c>
      <c r="BC874" s="341"/>
      <c r="BD874" s="308"/>
      <c r="BE874" s="347"/>
      <c r="BF874" s="274" t="str">
        <f>IFERROR(__xludf.DUMMYFUNCTION("LOWER(Regexreplace(to_text(E874),""[^A-Za-z0-9]"","""")&amp;""_""&amp;Regexreplace(to_text(F874),""[^A-Za-z0-9]"",""""))"),"neptronic_evcbseries")</f>
        <v>neptronic_evcbseries</v>
      </c>
      <c r="BG874" s="275" t="str">
        <f>IFERROR(__xludf.DUMMYFUNCTION("upper(Regexreplace(to_text(E874),""[^A-Za-z0-9]"","""")&amp;""-""&amp;Regexreplace(to_text(F874),""[^A-Za-z0-9]"",""""))"),"NEPTRONIC-EVCBSERIES")</f>
        <v>NEPTRONIC-EVCBSERIES</v>
      </c>
    </row>
    <row r="875" ht="30.0" customHeight="1">
      <c r="A875" s="173">
        <v>867.0</v>
      </c>
      <c r="B875" s="237" t="s">
        <v>670</v>
      </c>
      <c r="C875" s="257" t="s">
        <v>4176</v>
      </c>
      <c r="D875" s="173" t="s">
        <v>4176</v>
      </c>
      <c r="E875" s="174" t="s">
        <v>2861</v>
      </c>
      <c r="F875" s="173" t="s">
        <v>2862</v>
      </c>
      <c r="G875" s="328" t="s">
        <v>673</v>
      </c>
      <c r="H875" s="328" t="s">
        <v>2863</v>
      </c>
      <c r="I875" s="258" t="s">
        <v>2864</v>
      </c>
      <c r="J875" s="259" t="s">
        <v>965</v>
      </c>
      <c r="K875" s="260" t="s">
        <v>4177</v>
      </c>
      <c r="L875" s="328"/>
      <c r="M875" s="343"/>
      <c r="N875" s="173" t="s">
        <v>679</v>
      </c>
      <c r="O875" s="173" t="s">
        <v>225</v>
      </c>
      <c r="P875" s="262" t="str">
        <f t="shared" si="1"/>
        <v>IN-BLR-ANANTA-VAV-447_3</v>
      </c>
      <c r="Q875" s="173" t="s">
        <v>4178</v>
      </c>
      <c r="R875" s="328" t="str">
        <f>IFS(C875="","",C875="n/a","N/A",LEN(C875),Concatenate("{",char(34),"asset",char(34),":{",char(34),"guid",char(34),":",char(34),Q875,char(34),",",char(34),"site",char(34),":",char(34),LOWER('2-Building'!$B$4),char(34),",",char(34),"name",char(34),":",char(34),LOWER(C875),char(34),"}}"))</f>
        <v>{"asset":{"guid":"uuid://493c6916-ad0f-47df-ad27-fb11a35f0ba3","site":"in-blr-ananta","name":"vav-447"}}</v>
      </c>
      <c r="S875" s="237" t="s">
        <v>2866</v>
      </c>
      <c r="T875" s="330"/>
      <c r="U875" s="330"/>
      <c r="V875" s="331"/>
      <c r="W875" s="344"/>
      <c r="X875" s="341"/>
      <c r="Y875" s="33" t="s">
        <v>2867</v>
      </c>
      <c r="Z875" s="258">
        <v>120447.0</v>
      </c>
      <c r="AA875" s="334">
        <v>11533.0</v>
      </c>
      <c r="AB875" s="341"/>
      <c r="AC875" s="341"/>
      <c r="AD875" s="343"/>
      <c r="AE875" s="331"/>
      <c r="AF875" s="348"/>
      <c r="AG875" s="337"/>
      <c r="AH875" s="341"/>
      <c r="AI875" s="341"/>
      <c r="AJ875" s="341"/>
      <c r="AK875" s="341"/>
      <c r="AL875" s="341"/>
      <c r="AM875" s="338"/>
      <c r="AN875" s="341"/>
      <c r="AO875" s="341"/>
      <c r="AP875" s="341"/>
      <c r="AQ875" s="341"/>
      <c r="AR875" s="341"/>
      <c r="AS875" s="341"/>
      <c r="AT875" s="341"/>
      <c r="AU875" s="343"/>
      <c r="AV875" s="341"/>
      <c r="AW875" s="269" t="s">
        <v>2144</v>
      </c>
      <c r="AX875" s="334" t="s">
        <v>2869</v>
      </c>
      <c r="AY875" s="270" t="s">
        <v>695</v>
      </c>
      <c r="AZ875" s="173" t="s">
        <v>2866</v>
      </c>
      <c r="BA875" s="265">
        <v>10.0</v>
      </c>
      <c r="BB875" s="174" t="s">
        <v>245</v>
      </c>
      <c r="BC875" s="341"/>
      <c r="BD875" s="308"/>
      <c r="BE875" s="347"/>
      <c r="BF875" s="274" t="str">
        <f>IFERROR(__xludf.DUMMYFUNCTION("LOWER(Regexreplace(to_text(E875),""[^A-Za-z0-9]"","""")&amp;""_""&amp;Regexreplace(to_text(F875),""[^A-Za-z0-9]"",""""))"),"neptronic_evcbseries")</f>
        <v>neptronic_evcbseries</v>
      </c>
      <c r="BG875" s="275" t="str">
        <f>IFERROR(__xludf.DUMMYFUNCTION("upper(Regexreplace(to_text(E875),""[^A-Za-z0-9]"","""")&amp;""-""&amp;Regexreplace(to_text(F875),""[^A-Za-z0-9]"",""""))"),"NEPTRONIC-EVCBSERIES")</f>
        <v>NEPTRONIC-EVCBSERIES</v>
      </c>
    </row>
    <row r="876" ht="30.0" customHeight="1">
      <c r="A876" s="258">
        <v>868.0</v>
      </c>
      <c r="B876" s="237" t="s">
        <v>670</v>
      </c>
      <c r="C876" s="257" t="s">
        <v>4179</v>
      </c>
      <c r="D876" s="173" t="s">
        <v>4179</v>
      </c>
      <c r="E876" s="174" t="s">
        <v>2861</v>
      </c>
      <c r="F876" s="173" t="s">
        <v>2862</v>
      </c>
      <c r="G876" s="328" t="s">
        <v>673</v>
      </c>
      <c r="H876" s="328" t="s">
        <v>2863</v>
      </c>
      <c r="I876" s="258" t="s">
        <v>2864</v>
      </c>
      <c r="J876" s="259" t="s">
        <v>965</v>
      </c>
      <c r="K876" s="260" t="s">
        <v>4180</v>
      </c>
      <c r="L876" s="328"/>
      <c r="M876" s="343"/>
      <c r="N876" s="173" t="s">
        <v>679</v>
      </c>
      <c r="O876" s="173" t="s">
        <v>225</v>
      </c>
      <c r="P876" s="262" t="str">
        <f t="shared" si="1"/>
        <v>IN-BLR-ANANTA-VAV-448_3</v>
      </c>
      <c r="Q876" s="173" t="s">
        <v>4181</v>
      </c>
      <c r="R876" s="328" t="str">
        <f>IFS(C876="","",C876="n/a","N/A",LEN(C876),Concatenate("{",char(34),"asset",char(34),":{",char(34),"guid",char(34),":",char(34),Q876,char(34),",",char(34),"site",char(34),":",char(34),LOWER('2-Building'!$B$4),char(34),",",char(34),"name",char(34),":",char(34),LOWER(C876),char(34),"}}"))</f>
        <v>{"asset":{"guid":"uuid://a27a0a39-a8d7-4f28-91f9-00dee499d8e3","site":"in-blr-ananta","name":"vav-448"}}</v>
      </c>
      <c r="S876" s="237" t="s">
        <v>2866</v>
      </c>
      <c r="T876" s="330"/>
      <c r="U876" s="330"/>
      <c r="V876" s="331"/>
      <c r="W876" s="344"/>
      <c r="X876" s="341"/>
      <c r="Y876" s="33" t="s">
        <v>2867</v>
      </c>
      <c r="Z876" s="258">
        <v>120448.0</v>
      </c>
      <c r="AA876" s="334">
        <v>11548.0</v>
      </c>
      <c r="AB876" s="341"/>
      <c r="AC876" s="341"/>
      <c r="AD876" s="343"/>
      <c r="AE876" s="331"/>
      <c r="AF876" s="348"/>
      <c r="AG876" s="337"/>
      <c r="AH876" s="341"/>
      <c r="AI876" s="341"/>
      <c r="AJ876" s="341"/>
      <c r="AK876" s="341"/>
      <c r="AL876" s="341"/>
      <c r="AM876" s="338"/>
      <c r="AN876" s="341"/>
      <c r="AO876" s="341"/>
      <c r="AP876" s="341"/>
      <c r="AQ876" s="341"/>
      <c r="AR876" s="341"/>
      <c r="AS876" s="341"/>
      <c r="AT876" s="341"/>
      <c r="AU876" s="343"/>
      <c r="AV876" s="341"/>
      <c r="AW876" s="269" t="s">
        <v>2124</v>
      </c>
      <c r="AX876" s="334" t="s">
        <v>2869</v>
      </c>
      <c r="AY876" s="270" t="s">
        <v>695</v>
      </c>
      <c r="AZ876" s="173" t="s">
        <v>2866</v>
      </c>
      <c r="BA876" s="265">
        <v>10.0</v>
      </c>
      <c r="BB876" s="174" t="s">
        <v>245</v>
      </c>
      <c r="BC876" s="341"/>
      <c r="BD876" s="308"/>
      <c r="BE876" s="347"/>
      <c r="BF876" s="274" t="str">
        <f>IFERROR(__xludf.DUMMYFUNCTION("LOWER(Regexreplace(to_text(E876),""[^A-Za-z0-9]"","""")&amp;""_""&amp;Regexreplace(to_text(F876),""[^A-Za-z0-9]"",""""))"),"neptronic_evcbseries")</f>
        <v>neptronic_evcbseries</v>
      </c>
      <c r="BG876" s="275" t="str">
        <f>IFERROR(__xludf.DUMMYFUNCTION("upper(Regexreplace(to_text(E876),""[^A-Za-z0-9]"","""")&amp;""-""&amp;Regexreplace(to_text(F876),""[^A-Za-z0-9]"",""""))"),"NEPTRONIC-EVCBSERIES")</f>
        <v>NEPTRONIC-EVCBSERIES</v>
      </c>
    </row>
    <row r="877" ht="30.0" customHeight="1">
      <c r="A877" s="173">
        <v>869.0</v>
      </c>
      <c r="B877" s="237" t="s">
        <v>670</v>
      </c>
      <c r="C877" s="257" t="s">
        <v>4182</v>
      </c>
      <c r="D877" s="173" t="s">
        <v>4182</v>
      </c>
      <c r="E877" s="174" t="s">
        <v>2861</v>
      </c>
      <c r="F877" s="173" t="s">
        <v>2862</v>
      </c>
      <c r="G877" s="328" t="s">
        <v>673</v>
      </c>
      <c r="H877" s="328" t="s">
        <v>2863</v>
      </c>
      <c r="I877" s="258" t="s">
        <v>2864</v>
      </c>
      <c r="J877" s="259" t="s">
        <v>965</v>
      </c>
      <c r="K877" s="260" t="s">
        <v>4183</v>
      </c>
      <c r="L877" s="328"/>
      <c r="M877" s="343"/>
      <c r="N877" s="173" t="s">
        <v>679</v>
      </c>
      <c r="O877" s="173" t="s">
        <v>225</v>
      </c>
      <c r="P877" s="262" t="str">
        <f t="shared" si="1"/>
        <v>IN-BLR-ANANTA-VAV-449_3</v>
      </c>
      <c r="Q877" s="173" t="s">
        <v>4184</v>
      </c>
      <c r="R877" s="328" t="str">
        <f>IFS(C877="","",C877="n/a","N/A",LEN(C877),Concatenate("{",char(34),"asset",char(34),":{",char(34),"guid",char(34),":",char(34),Q877,char(34),",",char(34),"site",char(34),":",char(34),LOWER('2-Building'!$B$4),char(34),",",char(34),"name",char(34),":",char(34),LOWER(C877),char(34),"}}"))</f>
        <v>{"asset":{"guid":"uuid://d8b8e862-2277-40c7-8974-aa8dfdfe36bf","site":"in-blr-ananta","name":"vav-449"}}</v>
      </c>
      <c r="S877" s="237" t="s">
        <v>2866</v>
      </c>
      <c r="T877" s="330"/>
      <c r="U877" s="330"/>
      <c r="V877" s="331"/>
      <c r="W877" s="344"/>
      <c r="X877" s="341"/>
      <c r="Y877" s="33" t="s">
        <v>2867</v>
      </c>
      <c r="Z877" s="258">
        <v>120449.0</v>
      </c>
      <c r="AA877" s="334">
        <v>11548.0</v>
      </c>
      <c r="AB877" s="341"/>
      <c r="AC877" s="341"/>
      <c r="AD877" s="343"/>
      <c r="AE877" s="331"/>
      <c r="AF877" s="348"/>
      <c r="AG877" s="337"/>
      <c r="AH877" s="341"/>
      <c r="AI877" s="341"/>
      <c r="AJ877" s="341"/>
      <c r="AK877" s="341"/>
      <c r="AL877" s="341"/>
      <c r="AM877" s="338"/>
      <c r="AN877" s="341"/>
      <c r="AO877" s="341"/>
      <c r="AP877" s="341"/>
      <c r="AQ877" s="341"/>
      <c r="AR877" s="341"/>
      <c r="AS877" s="341"/>
      <c r="AT877" s="341"/>
      <c r="AU877" s="343"/>
      <c r="AV877" s="341"/>
      <c r="AW877" s="269" t="s">
        <v>2124</v>
      </c>
      <c r="AX877" s="334" t="s">
        <v>2869</v>
      </c>
      <c r="AY877" s="270" t="s">
        <v>695</v>
      </c>
      <c r="AZ877" s="173" t="s">
        <v>2866</v>
      </c>
      <c r="BA877" s="265">
        <v>10.0</v>
      </c>
      <c r="BB877" s="174" t="s">
        <v>245</v>
      </c>
      <c r="BC877" s="341"/>
      <c r="BD877" s="308"/>
      <c r="BE877" s="347"/>
      <c r="BF877" s="274" t="str">
        <f>IFERROR(__xludf.DUMMYFUNCTION("LOWER(Regexreplace(to_text(E877),""[^A-Za-z0-9]"","""")&amp;""_""&amp;Regexreplace(to_text(F877),""[^A-Za-z0-9]"",""""))"),"neptronic_evcbseries")</f>
        <v>neptronic_evcbseries</v>
      </c>
      <c r="BG877" s="275" t="str">
        <f>IFERROR(__xludf.DUMMYFUNCTION("upper(Regexreplace(to_text(E877),""[^A-Za-z0-9]"","""")&amp;""-""&amp;Regexreplace(to_text(F877),""[^A-Za-z0-9]"",""""))"),"NEPTRONIC-EVCBSERIES")</f>
        <v>NEPTRONIC-EVCBSERIES</v>
      </c>
    </row>
    <row r="878" ht="30.0" customHeight="1">
      <c r="A878" s="258">
        <v>870.0</v>
      </c>
      <c r="B878" s="237" t="s">
        <v>670</v>
      </c>
      <c r="C878" s="257" t="s">
        <v>4185</v>
      </c>
      <c r="D878" s="173" t="s">
        <v>4185</v>
      </c>
      <c r="E878" s="174" t="s">
        <v>2861</v>
      </c>
      <c r="F878" s="173" t="s">
        <v>2862</v>
      </c>
      <c r="G878" s="328" t="s">
        <v>673</v>
      </c>
      <c r="H878" s="328" t="s">
        <v>2863</v>
      </c>
      <c r="I878" s="258" t="s">
        <v>2864</v>
      </c>
      <c r="J878" s="259" t="s">
        <v>965</v>
      </c>
      <c r="K878" s="260" t="s">
        <v>4186</v>
      </c>
      <c r="L878" s="328"/>
      <c r="M878" s="343"/>
      <c r="N878" s="173" t="s">
        <v>679</v>
      </c>
      <c r="O878" s="173" t="s">
        <v>225</v>
      </c>
      <c r="P878" s="262" t="str">
        <f t="shared" si="1"/>
        <v>IN-BLR-ANANTA-VAV-450_3</v>
      </c>
      <c r="Q878" s="173" t="s">
        <v>4187</v>
      </c>
      <c r="R878" s="328" t="str">
        <f>IFS(C878="","",C878="n/a","N/A",LEN(C878),Concatenate("{",char(34),"asset",char(34),":{",char(34),"guid",char(34),":",char(34),Q878,char(34),",",char(34),"site",char(34),":",char(34),LOWER('2-Building'!$B$4),char(34),",",char(34),"name",char(34),":",char(34),LOWER(C878),char(34),"}}"))</f>
        <v>{"asset":{"guid":"uuid://5f94d15b-5465-4cab-a06b-8c764b304e25","site":"in-blr-ananta","name":"vav-450"}}</v>
      </c>
      <c r="S878" s="237" t="s">
        <v>2866</v>
      </c>
      <c r="T878" s="330"/>
      <c r="U878" s="330"/>
      <c r="V878" s="331"/>
      <c r="W878" s="344"/>
      <c r="X878" s="341"/>
      <c r="Y878" s="33" t="s">
        <v>2867</v>
      </c>
      <c r="Z878" s="258">
        <v>120450.0</v>
      </c>
      <c r="AA878" s="334">
        <v>11548.0</v>
      </c>
      <c r="AB878" s="341"/>
      <c r="AC878" s="341"/>
      <c r="AD878" s="343"/>
      <c r="AE878" s="331"/>
      <c r="AF878" s="348"/>
      <c r="AG878" s="337"/>
      <c r="AH878" s="341"/>
      <c r="AI878" s="341"/>
      <c r="AJ878" s="341"/>
      <c r="AK878" s="341"/>
      <c r="AL878" s="341"/>
      <c r="AM878" s="338"/>
      <c r="AN878" s="341"/>
      <c r="AO878" s="341"/>
      <c r="AP878" s="341"/>
      <c r="AQ878" s="341"/>
      <c r="AR878" s="341"/>
      <c r="AS878" s="341"/>
      <c r="AT878" s="341"/>
      <c r="AU878" s="343"/>
      <c r="AV878" s="341"/>
      <c r="AW878" s="269" t="s">
        <v>2124</v>
      </c>
      <c r="AX878" s="334" t="s">
        <v>2869</v>
      </c>
      <c r="AY878" s="270" t="s">
        <v>695</v>
      </c>
      <c r="AZ878" s="173" t="s">
        <v>2866</v>
      </c>
      <c r="BA878" s="265">
        <v>10.0</v>
      </c>
      <c r="BB878" s="174" t="s">
        <v>245</v>
      </c>
      <c r="BC878" s="341"/>
      <c r="BD878" s="308"/>
      <c r="BE878" s="347"/>
      <c r="BF878" s="274" t="str">
        <f>IFERROR(__xludf.DUMMYFUNCTION("LOWER(Regexreplace(to_text(E878),""[^A-Za-z0-9]"","""")&amp;""_""&amp;Regexreplace(to_text(F878),""[^A-Za-z0-9]"",""""))"),"neptronic_evcbseries")</f>
        <v>neptronic_evcbseries</v>
      </c>
      <c r="BG878" s="275" t="str">
        <f>IFERROR(__xludf.DUMMYFUNCTION("upper(Regexreplace(to_text(E878),""[^A-Za-z0-9]"","""")&amp;""-""&amp;Regexreplace(to_text(F878),""[^A-Za-z0-9]"",""""))"),"NEPTRONIC-EVCBSERIES")</f>
        <v>NEPTRONIC-EVCBSERIES</v>
      </c>
    </row>
    <row r="879" ht="30.0" customHeight="1">
      <c r="A879" s="173">
        <v>871.0</v>
      </c>
      <c r="B879" s="237" t="s">
        <v>670</v>
      </c>
      <c r="C879" s="257" t="s">
        <v>4188</v>
      </c>
      <c r="D879" s="173" t="s">
        <v>4188</v>
      </c>
      <c r="E879" s="174" t="s">
        <v>2861</v>
      </c>
      <c r="F879" s="173" t="s">
        <v>2862</v>
      </c>
      <c r="G879" s="328" t="s">
        <v>673</v>
      </c>
      <c r="H879" s="328" t="s">
        <v>2863</v>
      </c>
      <c r="I879" s="258" t="s">
        <v>2864</v>
      </c>
      <c r="J879" s="259" t="s">
        <v>965</v>
      </c>
      <c r="K879" s="260" t="s">
        <v>4189</v>
      </c>
      <c r="L879" s="328"/>
      <c r="M879" s="343"/>
      <c r="N879" s="173" t="s">
        <v>679</v>
      </c>
      <c r="O879" s="173" t="s">
        <v>225</v>
      </c>
      <c r="P879" s="262" t="str">
        <f t="shared" si="1"/>
        <v>IN-BLR-ANANTA-VAV-451_3</v>
      </c>
      <c r="Q879" s="173" t="s">
        <v>4190</v>
      </c>
      <c r="R879" s="328" t="str">
        <f>IFS(C879="","",C879="n/a","N/A",LEN(C879),Concatenate("{",char(34),"asset",char(34),":{",char(34),"guid",char(34),":",char(34),Q879,char(34),",",char(34),"site",char(34),":",char(34),LOWER('2-Building'!$B$4),char(34),",",char(34),"name",char(34),":",char(34),LOWER(C879),char(34),"}}"))</f>
        <v>{"asset":{"guid":"uuid://ee3505e9-ef09-4ed7-a904-645eb2cee1d2","site":"in-blr-ananta","name":"vav-451"}}</v>
      </c>
      <c r="S879" s="237" t="s">
        <v>2866</v>
      </c>
      <c r="T879" s="330"/>
      <c r="U879" s="330"/>
      <c r="V879" s="331"/>
      <c r="W879" s="344"/>
      <c r="X879" s="341"/>
      <c r="Y879" s="33" t="s">
        <v>2867</v>
      </c>
      <c r="Z879" s="258">
        <v>120451.0</v>
      </c>
      <c r="AA879" s="334">
        <v>11548.0</v>
      </c>
      <c r="AB879" s="341"/>
      <c r="AC879" s="341"/>
      <c r="AD879" s="343"/>
      <c r="AE879" s="331"/>
      <c r="AF879" s="348"/>
      <c r="AG879" s="337"/>
      <c r="AH879" s="341"/>
      <c r="AI879" s="341"/>
      <c r="AJ879" s="341"/>
      <c r="AK879" s="341"/>
      <c r="AL879" s="341"/>
      <c r="AM879" s="338"/>
      <c r="AN879" s="341"/>
      <c r="AO879" s="341"/>
      <c r="AP879" s="341"/>
      <c r="AQ879" s="341"/>
      <c r="AR879" s="341"/>
      <c r="AS879" s="341"/>
      <c r="AT879" s="341"/>
      <c r="AU879" s="343"/>
      <c r="AV879" s="341"/>
      <c r="AW879" s="269" t="s">
        <v>2124</v>
      </c>
      <c r="AX879" s="334" t="s">
        <v>2869</v>
      </c>
      <c r="AY879" s="270" t="s">
        <v>695</v>
      </c>
      <c r="AZ879" s="173" t="s">
        <v>2866</v>
      </c>
      <c r="BA879" s="265">
        <v>10.0</v>
      </c>
      <c r="BB879" s="174" t="s">
        <v>245</v>
      </c>
      <c r="BC879" s="341"/>
      <c r="BD879" s="308"/>
      <c r="BE879" s="347"/>
      <c r="BF879" s="274" t="str">
        <f>IFERROR(__xludf.DUMMYFUNCTION("LOWER(Regexreplace(to_text(E879),""[^A-Za-z0-9]"","""")&amp;""_""&amp;Regexreplace(to_text(F879),""[^A-Za-z0-9]"",""""))"),"neptronic_evcbseries")</f>
        <v>neptronic_evcbseries</v>
      </c>
      <c r="BG879" s="275" t="str">
        <f>IFERROR(__xludf.DUMMYFUNCTION("upper(Regexreplace(to_text(E879),""[^A-Za-z0-9]"","""")&amp;""-""&amp;Regexreplace(to_text(F879),""[^A-Za-z0-9]"",""""))"),"NEPTRONIC-EVCBSERIES")</f>
        <v>NEPTRONIC-EVCBSERIES</v>
      </c>
    </row>
    <row r="880" ht="30.0" customHeight="1">
      <c r="A880" s="258">
        <v>872.0</v>
      </c>
      <c r="B880" s="237" t="s">
        <v>670</v>
      </c>
      <c r="C880" s="257" t="s">
        <v>4191</v>
      </c>
      <c r="D880" s="173" t="s">
        <v>4191</v>
      </c>
      <c r="E880" s="174" t="s">
        <v>2861</v>
      </c>
      <c r="F880" s="173" t="s">
        <v>2862</v>
      </c>
      <c r="G880" s="328" t="s">
        <v>673</v>
      </c>
      <c r="H880" s="328" t="s">
        <v>2863</v>
      </c>
      <c r="I880" s="258" t="s">
        <v>2864</v>
      </c>
      <c r="J880" s="259" t="s">
        <v>965</v>
      </c>
      <c r="K880" s="260" t="s">
        <v>4192</v>
      </c>
      <c r="L880" s="328"/>
      <c r="M880" s="343"/>
      <c r="N880" s="173" t="s">
        <v>679</v>
      </c>
      <c r="O880" s="173" t="s">
        <v>225</v>
      </c>
      <c r="P880" s="262" t="str">
        <f t="shared" si="1"/>
        <v>IN-BLR-ANANTA-VAV-452_3</v>
      </c>
      <c r="Q880" s="173" t="s">
        <v>4193</v>
      </c>
      <c r="R880" s="328" t="str">
        <f>IFS(C880="","",C880="n/a","N/A",LEN(C880),Concatenate("{",char(34),"asset",char(34),":{",char(34),"guid",char(34),":",char(34),Q880,char(34),",",char(34),"site",char(34),":",char(34),LOWER('2-Building'!$B$4),char(34),",",char(34),"name",char(34),":",char(34),LOWER(C880),char(34),"}}"))</f>
        <v>{"asset":{"guid":"uuid://21497c9d-7827-483e-9ee3-b9d9cb351d8d","site":"in-blr-ananta","name":"vav-452"}}</v>
      </c>
      <c r="S880" s="237" t="s">
        <v>2866</v>
      </c>
      <c r="T880" s="330"/>
      <c r="U880" s="330"/>
      <c r="V880" s="331"/>
      <c r="W880" s="344"/>
      <c r="X880" s="341"/>
      <c r="Y880" s="33" t="s">
        <v>2867</v>
      </c>
      <c r="Z880" s="258">
        <v>120452.0</v>
      </c>
      <c r="AA880" s="334">
        <v>11548.0</v>
      </c>
      <c r="AB880" s="341"/>
      <c r="AC880" s="341"/>
      <c r="AD880" s="343"/>
      <c r="AE880" s="331"/>
      <c r="AF880" s="348"/>
      <c r="AG880" s="337"/>
      <c r="AH880" s="341"/>
      <c r="AI880" s="341"/>
      <c r="AJ880" s="341"/>
      <c r="AK880" s="341"/>
      <c r="AL880" s="341"/>
      <c r="AM880" s="338"/>
      <c r="AN880" s="341"/>
      <c r="AO880" s="341"/>
      <c r="AP880" s="341"/>
      <c r="AQ880" s="341"/>
      <c r="AR880" s="341"/>
      <c r="AS880" s="341"/>
      <c r="AT880" s="341"/>
      <c r="AU880" s="343"/>
      <c r="AV880" s="341"/>
      <c r="AW880" s="269" t="s">
        <v>2124</v>
      </c>
      <c r="AX880" s="334" t="s">
        <v>2869</v>
      </c>
      <c r="AY880" s="270" t="s">
        <v>695</v>
      </c>
      <c r="AZ880" s="173" t="s">
        <v>2866</v>
      </c>
      <c r="BA880" s="265">
        <v>10.0</v>
      </c>
      <c r="BB880" s="174" t="s">
        <v>245</v>
      </c>
      <c r="BC880" s="341"/>
      <c r="BD880" s="308"/>
      <c r="BE880" s="347"/>
      <c r="BF880" s="274" t="str">
        <f>IFERROR(__xludf.DUMMYFUNCTION("LOWER(Regexreplace(to_text(E880),""[^A-Za-z0-9]"","""")&amp;""_""&amp;Regexreplace(to_text(F880),""[^A-Za-z0-9]"",""""))"),"neptronic_evcbseries")</f>
        <v>neptronic_evcbseries</v>
      </c>
      <c r="BG880" s="275" t="str">
        <f>IFERROR(__xludf.DUMMYFUNCTION("upper(Regexreplace(to_text(E880),""[^A-Za-z0-9]"","""")&amp;""-""&amp;Regexreplace(to_text(F880),""[^A-Za-z0-9]"",""""))"),"NEPTRONIC-EVCBSERIES")</f>
        <v>NEPTRONIC-EVCBSERIES</v>
      </c>
    </row>
    <row r="881" ht="30.0" customHeight="1">
      <c r="A881" s="173">
        <v>873.0</v>
      </c>
      <c r="B881" s="237" t="s">
        <v>670</v>
      </c>
      <c r="C881" s="257" t="s">
        <v>4194</v>
      </c>
      <c r="D881" s="173" t="s">
        <v>4194</v>
      </c>
      <c r="E881" s="174" t="s">
        <v>2861</v>
      </c>
      <c r="F881" s="173" t="s">
        <v>2862</v>
      </c>
      <c r="G881" s="328" t="s">
        <v>673</v>
      </c>
      <c r="H881" s="328" t="s">
        <v>2863</v>
      </c>
      <c r="I881" s="258" t="s">
        <v>2864</v>
      </c>
      <c r="J881" s="259" t="s">
        <v>965</v>
      </c>
      <c r="K881" s="260" t="s">
        <v>4195</v>
      </c>
      <c r="L881" s="328"/>
      <c r="M881" s="343"/>
      <c r="N881" s="173" t="s">
        <v>679</v>
      </c>
      <c r="O881" s="173" t="s">
        <v>225</v>
      </c>
      <c r="P881" s="262" t="str">
        <f t="shared" si="1"/>
        <v>IN-BLR-ANANTA-VAV-453_3</v>
      </c>
      <c r="Q881" s="173" t="s">
        <v>4196</v>
      </c>
      <c r="R881" s="328" t="str">
        <f>IFS(C881="","",C881="n/a","N/A",LEN(C881),Concatenate("{",char(34),"asset",char(34),":{",char(34),"guid",char(34),":",char(34),Q881,char(34),",",char(34),"site",char(34),":",char(34),LOWER('2-Building'!$B$4),char(34),",",char(34),"name",char(34),":",char(34),LOWER(C881),char(34),"}}"))</f>
        <v>{"asset":{"guid":"uuid://3bff1c5b-52df-44b4-871d-3d8033f89419","site":"in-blr-ananta","name":"vav-453"}}</v>
      </c>
      <c r="S881" s="237" t="s">
        <v>2866</v>
      </c>
      <c r="T881" s="330"/>
      <c r="U881" s="330"/>
      <c r="V881" s="331"/>
      <c r="W881" s="344"/>
      <c r="X881" s="341"/>
      <c r="Y881" s="33" t="s">
        <v>2867</v>
      </c>
      <c r="Z881" s="258">
        <v>120453.0</v>
      </c>
      <c r="AA881" s="334">
        <v>11548.0</v>
      </c>
      <c r="AB881" s="341"/>
      <c r="AC881" s="341"/>
      <c r="AD881" s="343"/>
      <c r="AE881" s="331"/>
      <c r="AF881" s="348"/>
      <c r="AG881" s="337"/>
      <c r="AH881" s="341"/>
      <c r="AI881" s="341"/>
      <c r="AJ881" s="341"/>
      <c r="AK881" s="341"/>
      <c r="AL881" s="341"/>
      <c r="AM881" s="338"/>
      <c r="AN881" s="341"/>
      <c r="AO881" s="341"/>
      <c r="AP881" s="341"/>
      <c r="AQ881" s="341"/>
      <c r="AR881" s="341"/>
      <c r="AS881" s="341"/>
      <c r="AT881" s="341"/>
      <c r="AU881" s="343"/>
      <c r="AV881" s="341"/>
      <c r="AW881" s="269" t="s">
        <v>2124</v>
      </c>
      <c r="AX881" s="334" t="s">
        <v>2869</v>
      </c>
      <c r="AY881" s="270" t="s">
        <v>695</v>
      </c>
      <c r="AZ881" s="173" t="s">
        <v>2866</v>
      </c>
      <c r="BA881" s="265">
        <v>10.0</v>
      </c>
      <c r="BB881" s="174" t="s">
        <v>245</v>
      </c>
      <c r="BC881" s="341"/>
      <c r="BD881" s="308"/>
      <c r="BE881" s="347"/>
      <c r="BF881" s="274" t="str">
        <f>IFERROR(__xludf.DUMMYFUNCTION("LOWER(Regexreplace(to_text(E881),""[^A-Za-z0-9]"","""")&amp;""_""&amp;Regexreplace(to_text(F881),""[^A-Za-z0-9]"",""""))"),"neptronic_evcbseries")</f>
        <v>neptronic_evcbseries</v>
      </c>
      <c r="BG881" s="275" t="str">
        <f>IFERROR(__xludf.DUMMYFUNCTION("upper(Regexreplace(to_text(E881),""[^A-Za-z0-9]"","""")&amp;""-""&amp;Regexreplace(to_text(F881),""[^A-Za-z0-9]"",""""))"),"NEPTRONIC-EVCBSERIES")</f>
        <v>NEPTRONIC-EVCBSERIES</v>
      </c>
    </row>
    <row r="882" ht="30.0" customHeight="1">
      <c r="A882" s="258">
        <v>874.0</v>
      </c>
      <c r="B882" s="237" t="s">
        <v>670</v>
      </c>
      <c r="C882" s="257" t="s">
        <v>4197</v>
      </c>
      <c r="D882" s="173" t="s">
        <v>4197</v>
      </c>
      <c r="E882" s="174" t="s">
        <v>2861</v>
      </c>
      <c r="F882" s="173" t="s">
        <v>2862</v>
      </c>
      <c r="G882" s="328" t="s">
        <v>673</v>
      </c>
      <c r="H882" s="328" t="s">
        <v>2863</v>
      </c>
      <c r="I882" s="258" t="s">
        <v>2864</v>
      </c>
      <c r="J882" s="259" t="s">
        <v>965</v>
      </c>
      <c r="K882" s="260" t="s">
        <v>4198</v>
      </c>
      <c r="L882" s="328"/>
      <c r="M882" s="343"/>
      <c r="N882" s="173" t="s">
        <v>679</v>
      </c>
      <c r="O882" s="173" t="s">
        <v>225</v>
      </c>
      <c r="P882" s="262" t="str">
        <f t="shared" si="1"/>
        <v>IN-BLR-ANANTA-VAV-454_3</v>
      </c>
      <c r="Q882" s="173" t="s">
        <v>4199</v>
      </c>
      <c r="R882" s="328" t="str">
        <f>IFS(C882="","",C882="n/a","N/A",LEN(C882),Concatenate("{",char(34),"asset",char(34),":{",char(34),"guid",char(34),":",char(34),Q882,char(34),",",char(34),"site",char(34),":",char(34),LOWER('2-Building'!$B$4),char(34),",",char(34),"name",char(34),":",char(34),LOWER(C882),char(34),"}}"))</f>
        <v>{"asset":{"guid":"uuid://1ec2d047-377a-4fa8-a99a-278df3c78db1","site":"in-blr-ananta","name":"vav-454"}}</v>
      </c>
      <c r="S882" s="237" t="s">
        <v>2866</v>
      </c>
      <c r="T882" s="330"/>
      <c r="U882" s="330"/>
      <c r="V882" s="331"/>
      <c r="W882" s="344"/>
      <c r="X882" s="341"/>
      <c r="Y882" s="33" t="s">
        <v>2867</v>
      </c>
      <c r="Z882" s="258">
        <v>120454.0</v>
      </c>
      <c r="AA882" s="334">
        <v>11548.0</v>
      </c>
      <c r="AB882" s="341"/>
      <c r="AC882" s="341"/>
      <c r="AD882" s="343"/>
      <c r="AE882" s="331"/>
      <c r="AF882" s="348"/>
      <c r="AG882" s="337"/>
      <c r="AH882" s="341"/>
      <c r="AI882" s="341"/>
      <c r="AJ882" s="341"/>
      <c r="AK882" s="341"/>
      <c r="AL882" s="341"/>
      <c r="AM882" s="338"/>
      <c r="AN882" s="341"/>
      <c r="AO882" s="341"/>
      <c r="AP882" s="341"/>
      <c r="AQ882" s="341"/>
      <c r="AR882" s="341"/>
      <c r="AS882" s="341"/>
      <c r="AT882" s="341"/>
      <c r="AU882" s="343"/>
      <c r="AV882" s="341"/>
      <c r="AW882" s="269" t="s">
        <v>2124</v>
      </c>
      <c r="AX882" s="334" t="s">
        <v>2869</v>
      </c>
      <c r="AY882" s="270" t="s">
        <v>695</v>
      </c>
      <c r="AZ882" s="173" t="s">
        <v>2866</v>
      </c>
      <c r="BA882" s="265">
        <v>10.0</v>
      </c>
      <c r="BB882" s="174" t="s">
        <v>245</v>
      </c>
      <c r="BC882" s="341"/>
      <c r="BD882" s="308"/>
      <c r="BE882" s="347"/>
      <c r="BF882" s="274" t="str">
        <f>IFERROR(__xludf.DUMMYFUNCTION("LOWER(Regexreplace(to_text(E882),""[^A-Za-z0-9]"","""")&amp;""_""&amp;Regexreplace(to_text(F882),""[^A-Za-z0-9]"",""""))"),"neptronic_evcbseries")</f>
        <v>neptronic_evcbseries</v>
      </c>
      <c r="BG882" s="275" t="str">
        <f>IFERROR(__xludf.DUMMYFUNCTION("upper(Regexreplace(to_text(E882),""[^A-Za-z0-9]"","""")&amp;""-""&amp;Regexreplace(to_text(F882),""[^A-Za-z0-9]"",""""))"),"NEPTRONIC-EVCBSERIES")</f>
        <v>NEPTRONIC-EVCBSERIES</v>
      </c>
    </row>
    <row r="883" ht="30.0" customHeight="1">
      <c r="A883" s="173">
        <v>875.0</v>
      </c>
      <c r="B883" s="237" t="s">
        <v>670</v>
      </c>
      <c r="C883" s="257" t="s">
        <v>4200</v>
      </c>
      <c r="D883" s="173" t="s">
        <v>4200</v>
      </c>
      <c r="E883" s="174" t="s">
        <v>2861</v>
      </c>
      <c r="F883" s="173" t="s">
        <v>2862</v>
      </c>
      <c r="G883" s="328" t="s">
        <v>673</v>
      </c>
      <c r="H883" s="328" t="s">
        <v>2863</v>
      </c>
      <c r="I883" s="258" t="s">
        <v>2864</v>
      </c>
      <c r="J883" s="259" t="s">
        <v>965</v>
      </c>
      <c r="K883" s="260" t="s">
        <v>4201</v>
      </c>
      <c r="L883" s="328"/>
      <c r="M883" s="343"/>
      <c r="N883" s="173" t="s">
        <v>679</v>
      </c>
      <c r="O883" s="173" t="s">
        <v>225</v>
      </c>
      <c r="P883" s="262" t="str">
        <f t="shared" si="1"/>
        <v>IN-BLR-ANANTA-VAV-455_3</v>
      </c>
      <c r="Q883" s="173" t="s">
        <v>4202</v>
      </c>
      <c r="R883" s="328" t="str">
        <f>IFS(C883="","",C883="n/a","N/A",LEN(C883),Concatenate("{",char(34),"asset",char(34),":{",char(34),"guid",char(34),":",char(34),Q883,char(34),",",char(34),"site",char(34),":",char(34),LOWER('2-Building'!$B$4),char(34),",",char(34),"name",char(34),":",char(34),LOWER(C883),char(34),"}}"))</f>
        <v>{"asset":{"guid":"uuid://87256e17-e5ae-49fa-b614-247c4ca907b8","site":"in-blr-ananta","name":"vav-455"}}</v>
      </c>
      <c r="S883" s="237" t="s">
        <v>2866</v>
      </c>
      <c r="T883" s="330"/>
      <c r="U883" s="330"/>
      <c r="V883" s="331"/>
      <c r="W883" s="344"/>
      <c r="X883" s="341"/>
      <c r="Y883" s="33" t="s">
        <v>2867</v>
      </c>
      <c r="Z883" s="258">
        <v>120455.0</v>
      </c>
      <c r="AA883" s="334">
        <v>11548.0</v>
      </c>
      <c r="AB883" s="341"/>
      <c r="AC883" s="341"/>
      <c r="AD883" s="343"/>
      <c r="AE883" s="331"/>
      <c r="AF883" s="348"/>
      <c r="AG883" s="337"/>
      <c r="AH883" s="341"/>
      <c r="AI883" s="341"/>
      <c r="AJ883" s="341"/>
      <c r="AK883" s="341"/>
      <c r="AL883" s="341"/>
      <c r="AM883" s="338"/>
      <c r="AN883" s="341"/>
      <c r="AO883" s="341"/>
      <c r="AP883" s="341"/>
      <c r="AQ883" s="341"/>
      <c r="AR883" s="341"/>
      <c r="AS883" s="341"/>
      <c r="AT883" s="341"/>
      <c r="AU883" s="343"/>
      <c r="AV883" s="341"/>
      <c r="AW883" s="269" t="s">
        <v>2124</v>
      </c>
      <c r="AX883" s="334" t="s">
        <v>2869</v>
      </c>
      <c r="AY883" s="270" t="s">
        <v>695</v>
      </c>
      <c r="AZ883" s="173" t="s">
        <v>2866</v>
      </c>
      <c r="BA883" s="265">
        <v>10.0</v>
      </c>
      <c r="BB883" s="174" t="s">
        <v>245</v>
      </c>
      <c r="BC883" s="341"/>
      <c r="BD883" s="308"/>
      <c r="BE883" s="347"/>
      <c r="BF883" s="274" t="str">
        <f>IFERROR(__xludf.DUMMYFUNCTION("LOWER(Regexreplace(to_text(E883),""[^A-Za-z0-9]"","""")&amp;""_""&amp;Regexreplace(to_text(F883),""[^A-Za-z0-9]"",""""))"),"neptronic_evcbseries")</f>
        <v>neptronic_evcbseries</v>
      </c>
      <c r="BG883" s="275" t="str">
        <f>IFERROR(__xludf.DUMMYFUNCTION("upper(Regexreplace(to_text(E883),""[^A-Za-z0-9]"","""")&amp;""-""&amp;Regexreplace(to_text(F883),""[^A-Za-z0-9]"",""""))"),"NEPTRONIC-EVCBSERIES")</f>
        <v>NEPTRONIC-EVCBSERIES</v>
      </c>
    </row>
    <row r="884" ht="30.0" customHeight="1">
      <c r="A884" s="258">
        <v>876.0</v>
      </c>
      <c r="B884" s="237" t="s">
        <v>670</v>
      </c>
      <c r="C884" s="257" t="s">
        <v>4203</v>
      </c>
      <c r="D884" s="173" t="s">
        <v>4203</v>
      </c>
      <c r="E884" s="174" t="s">
        <v>2861</v>
      </c>
      <c r="F884" s="173" t="s">
        <v>2862</v>
      </c>
      <c r="G884" s="328" t="s">
        <v>673</v>
      </c>
      <c r="H884" s="328" t="s">
        <v>2863</v>
      </c>
      <c r="I884" s="258" t="s">
        <v>2864</v>
      </c>
      <c r="J884" s="259" t="s">
        <v>965</v>
      </c>
      <c r="K884" s="260" t="s">
        <v>4204</v>
      </c>
      <c r="L884" s="328"/>
      <c r="M884" s="343"/>
      <c r="N884" s="173" t="s">
        <v>679</v>
      </c>
      <c r="O884" s="173" t="s">
        <v>225</v>
      </c>
      <c r="P884" s="262" t="str">
        <f t="shared" si="1"/>
        <v>IN-BLR-ANANTA-VAV-456_3</v>
      </c>
      <c r="Q884" s="173" t="s">
        <v>4205</v>
      </c>
      <c r="R884" s="328" t="str">
        <f>IFS(C884="","",C884="n/a","N/A",LEN(C884),Concatenate("{",char(34),"asset",char(34),":{",char(34),"guid",char(34),":",char(34),Q884,char(34),",",char(34),"site",char(34),":",char(34),LOWER('2-Building'!$B$4),char(34),",",char(34),"name",char(34),":",char(34),LOWER(C884),char(34),"}}"))</f>
        <v>{"asset":{"guid":"uuid://0c77c416-92ac-451d-8d7c-fe0c1868855b","site":"in-blr-ananta","name":"vav-456"}}</v>
      </c>
      <c r="S884" s="237" t="s">
        <v>2866</v>
      </c>
      <c r="T884" s="330"/>
      <c r="U884" s="330"/>
      <c r="V884" s="331"/>
      <c r="W884" s="344"/>
      <c r="X884" s="341"/>
      <c r="Y884" s="33" t="s">
        <v>2867</v>
      </c>
      <c r="Z884" s="258">
        <v>120456.0</v>
      </c>
      <c r="AA884" s="334">
        <v>11548.0</v>
      </c>
      <c r="AB884" s="341"/>
      <c r="AC884" s="341"/>
      <c r="AD884" s="343"/>
      <c r="AE884" s="331"/>
      <c r="AF884" s="348"/>
      <c r="AG884" s="337"/>
      <c r="AH884" s="341"/>
      <c r="AI884" s="341"/>
      <c r="AJ884" s="341"/>
      <c r="AK884" s="341"/>
      <c r="AL884" s="341"/>
      <c r="AM884" s="338"/>
      <c r="AN884" s="341"/>
      <c r="AO884" s="341"/>
      <c r="AP884" s="341"/>
      <c r="AQ884" s="341"/>
      <c r="AR884" s="341"/>
      <c r="AS884" s="341"/>
      <c r="AT884" s="341"/>
      <c r="AU884" s="343"/>
      <c r="AV884" s="341"/>
      <c r="AW884" s="269" t="s">
        <v>2124</v>
      </c>
      <c r="AX884" s="334" t="s">
        <v>2869</v>
      </c>
      <c r="AY884" s="270" t="s">
        <v>695</v>
      </c>
      <c r="AZ884" s="173" t="s">
        <v>2866</v>
      </c>
      <c r="BA884" s="265">
        <v>10.0</v>
      </c>
      <c r="BB884" s="174" t="s">
        <v>245</v>
      </c>
      <c r="BC884" s="341"/>
      <c r="BD884" s="308"/>
      <c r="BE884" s="347"/>
      <c r="BF884" s="274" t="str">
        <f>IFERROR(__xludf.DUMMYFUNCTION("LOWER(Regexreplace(to_text(E884),""[^A-Za-z0-9]"","""")&amp;""_""&amp;Regexreplace(to_text(F884),""[^A-Za-z0-9]"",""""))"),"neptronic_evcbseries")</f>
        <v>neptronic_evcbseries</v>
      </c>
      <c r="BG884" s="275" t="str">
        <f>IFERROR(__xludf.DUMMYFUNCTION("upper(Regexreplace(to_text(E884),""[^A-Za-z0-9]"","""")&amp;""-""&amp;Regexreplace(to_text(F884),""[^A-Za-z0-9]"",""""))"),"NEPTRONIC-EVCBSERIES")</f>
        <v>NEPTRONIC-EVCBSERIES</v>
      </c>
    </row>
    <row r="885" ht="30.0" customHeight="1">
      <c r="A885" s="173">
        <v>877.0</v>
      </c>
      <c r="B885" s="237" t="s">
        <v>670</v>
      </c>
      <c r="C885" s="257" t="s">
        <v>4206</v>
      </c>
      <c r="D885" s="173" t="s">
        <v>4206</v>
      </c>
      <c r="E885" s="174" t="s">
        <v>2861</v>
      </c>
      <c r="F885" s="173" t="s">
        <v>2862</v>
      </c>
      <c r="G885" s="328" t="s">
        <v>673</v>
      </c>
      <c r="H885" s="328" t="s">
        <v>2863</v>
      </c>
      <c r="I885" s="258" t="s">
        <v>2864</v>
      </c>
      <c r="J885" s="259" t="s">
        <v>965</v>
      </c>
      <c r="K885" s="260" t="s">
        <v>4207</v>
      </c>
      <c r="L885" s="328"/>
      <c r="M885" s="343"/>
      <c r="N885" s="173" t="s">
        <v>679</v>
      </c>
      <c r="O885" s="173" t="s">
        <v>225</v>
      </c>
      <c r="P885" s="262" t="str">
        <f t="shared" si="1"/>
        <v>IN-BLR-ANANTA-VAV-457_3</v>
      </c>
      <c r="Q885" s="173" t="s">
        <v>4208</v>
      </c>
      <c r="R885" s="328" t="str">
        <f>IFS(C885="","",C885="n/a","N/A",LEN(C885),Concatenate("{",char(34),"asset",char(34),":{",char(34),"guid",char(34),":",char(34),Q885,char(34),",",char(34),"site",char(34),":",char(34),LOWER('2-Building'!$B$4),char(34),",",char(34),"name",char(34),":",char(34),LOWER(C885),char(34),"}}"))</f>
        <v>{"asset":{"guid":"uuid://8a2e926f-ea30-454c-a4bd-9f19431da176","site":"in-blr-ananta","name":"vav-457"}}</v>
      </c>
      <c r="S885" s="237" t="s">
        <v>2866</v>
      </c>
      <c r="T885" s="330"/>
      <c r="U885" s="330"/>
      <c r="V885" s="331"/>
      <c r="W885" s="344"/>
      <c r="X885" s="341"/>
      <c r="Y885" s="33" t="s">
        <v>2867</v>
      </c>
      <c r="Z885" s="258">
        <v>120457.0</v>
      </c>
      <c r="AA885" s="334">
        <v>11548.0</v>
      </c>
      <c r="AB885" s="341"/>
      <c r="AC885" s="341"/>
      <c r="AD885" s="343"/>
      <c r="AE885" s="331"/>
      <c r="AF885" s="348"/>
      <c r="AG885" s="337"/>
      <c r="AH885" s="341"/>
      <c r="AI885" s="341"/>
      <c r="AJ885" s="341"/>
      <c r="AK885" s="341"/>
      <c r="AL885" s="341"/>
      <c r="AM885" s="338"/>
      <c r="AN885" s="341"/>
      <c r="AO885" s="341"/>
      <c r="AP885" s="341"/>
      <c r="AQ885" s="341"/>
      <c r="AR885" s="341"/>
      <c r="AS885" s="341"/>
      <c r="AT885" s="341"/>
      <c r="AU885" s="343"/>
      <c r="AV885" s="341"/>
      <c r="AW885" s="269" t="s">
        <v>2124</v>
      </c>
      <c r="AX885" s="334" t="s">
        <v>2869</v>
      </c>
      <c r="AY885" s="270" t="s">
        <v>695</v>
      </c>
      <c r="AZ885" s="173" t="s">
        <v>2866</v>
      </c>
      <c r="BA885" s="265">
        <v>10.0</v>
      </c>
      <c r="BB885" s="174" t="s">
        <v>245</v>
      </c>
      <c r="BC885" s="341"/>
      <c r="BD885" s="308"/>
      <c r="BE885" s="347"/>
      <c r="BF885" s="274" t="str">
        <f>IFERROR(__xludf.DUMMYFUNCTION("LOWER(Regexreplace(to_text(E885),""[^A-Za-z0-9]"","""")&amp;""_""&amp;Regexreplace(to_text(F885),""[^A-Za-z0-9]"",""""))"),"neptronic_evcbseries")</f>
        <v>neptronic_evcbseries</v>
      </c>
      <c r="BG885" s="275" t="str">
        <f>IFERROR(__xludf.DUMMYFUNCTION("upper(Regexreplace(to_text(E885),""[^A-Za-z0-9]"","""")&amp;""-""&amp;Regexreplace(to_text(F885),""[^A-Za-z0-9]"",""""))"),"NEPTRONIC-EVCBSERIES")</f>
        <v>NEPTRONIC-EVCBSERIES</v>
      </c>
    </row>
    <row r="886" ht="30.0" customHeight="1">
      <c r="A886" s="258">
        <v>878.0</v>
      </c>
      <c r="B886" s="237" t="s">
        <v>670</v>
      </c>
      <c r="C886" s="257" t="s">
        <v>4209</v>
      </c>
      <c r="D886" s="173" t="s">
        <v>4209</v>
      </c>
      <c r="E886" s="174" t="s">
        <v>2861</v>
      </c>
      <c r="F886" s="173" t="s">
        <v>2862</v>
      </c>
      <c r="G886" s="328" t="s">
        <v>673</v>
      </c>
      <c r="H886" s="328" t="s">
        <v>2863</v>
      </c>
      <c r="I886" s="258" t="s">
        <v>2864</v>
      </c>
      <c r="J886" s="259" t="s">
        <v>965</v>
      </c>
      <c r="K886" s="260" t="s">
        <v>4210</v>
      </c>
      <c r="L886" s="328"/>
      <c r="M886" s="343"/>
      <c r="N886" s="173" t="s">
        <v>679</v>
      </c>
      <c r="O886" s="173" t="s">
        <v>225</v>
      </c>
      <c r="P886" s="262" t="str">
        <f t="shared" si="1"/>
        <v>IN-BLR-ANANTA-VAV-458_3</v>
      </c>
      <c r="Q886" s="173" t="s">
        <v>4211</v>
      </c>
      <c r="R886" s="328" t="str">
        <f>IFS(C886="","",C886="n/a","N/A",LEN(C886),Concatenate("{",char(34),"asset",char(34),":{",char(34),"guid",char(34),":",char(34),Q886,char(34),",",char(34),"site",char(34),":",char(34),LOWER('2-Building'!$B$4),char(34),",",char(34),"name",char(34),":",char(34),LOWER(C886),char(34),"}}"))</f>
        <v>{"asset":{"guid":"uuid://c8e7ecc0-293f-4465-9e3f-32402b9c36d5","site":"in-blr-ananta","name":"vav-458"}}</v>
      </c>
      <c r="S886" s="237" t="s">
        <v>2866</v>
      </c>
      <c r="T886" s="330"/>
      <c r="U886" s="330"/>
      <c r="V886" s="331"/>
      <c r="W886" s="344"/>
      <c r="X886" s="341"/>
      <c r="Y886" s="33" t="s">
        <v>2867</v>
      </c>
      <c r="Z886" s="258">
        <v>120458.0</v>
      </c>
      <c r="AA886" s="334">
        <v>11548.0</v>
      </c>
      <c r="AB886" s="341"/>
      <c r="AC886" s="341"/>
      <c r="AD886" s="343"/>
      <c r="AE886" s="331"/>
      <c r="AF886" s="348"/>
      <c r="AG886" s="337"/>
      <c r="AH886" s="341"/>
      <c r="AI886" s="341"/>
      <c r="AJ886" s="341"/>
      <c r="AK886" s="341"/>
      <c r="AL886" s="341"/>
      <c r="AM886" s="338"/>
      <c r="AN886" s="341"/>
      <c r="AO886" s="341"/>
      <c r="AP886" s="341"/>
      <c r="AQ886" s="341"/>
      <c r="AR886" s="341"/>
      <c r="AS886" s="341"/>
      <c r="AT886" s="341"/>
      <c r="AU886" s="343"/>
      <c r="AV886" s="341"/>
      <c r="AW886" s="269" t="s">
        <v>2124</v>
      </c>
      <c r="AX886" s="334" t="s">
        <v>2869</v>
      </c>
      <c r="AY886" s="270" t="s">
        <v>695</v>
      </c>
      <c r="AZ886" s="173" t="s">
        <v>2866</v>
      </c>
      <c r="BA886" s="265">
        <v>10.0</v>
      </c>
      <c r="BB886" s="174" t="s">
        <v>245</v>
      </c>
      <c r="BC886" s="341"/>
      <c r="BD886" s="308"/>
      <c r="BE886" s="347"/>
      <c r="BF886" s="274" t="str">
        <f>IFERROR(__xludf.DUMMYFUNCTION("LOWER(Regexreplace(to_text(E886),""[^A-Za-z0-9]"","""")&amp;""_""&amp;Regexreplace(to_text(F886),""[^A-Za-z0-9]"",""""))"),"neptronic_evcbseries")</f>
        <v>neptronic_evcbseries</v>
      </c>
      <c r="BG886" s="275" t="str">
        <f>IFERROR(__xludf.DUMMYFUNCTION("upper(Regexreplace(to_text(E886),""[^A-Za-z0-9]"","""")&amp;""-""&amp;Regexreplace(to_text(F886),""[^A-Za-z0-9]"",""""))"),"NEPTRONIC-EVCBSERIES")</f>
        <v>NEPTRONIC-EVCBSERIES</v>
      </c>
    </row>
    <row r="887" ht="30.0" customHeight="1">
      <c r="A887" s="173">
        <v>879.0</v>
      </c>
      <c r="B887" s="237" t="s">
        <v>670</v>
      </c>
      <c r="C887" s="257" t="s">
        <v>4212</v>
      </c>
      <c r="D887" s="173" t="s">
        <v>4212</v>
      </c>
      <c r="E887" s="174" t="s">
        <v>2861</v>
      </c>
      <c r="F887" s="173" t="s">
        <v>2862</v>
      </c>
      <c r="G887" s="328" t="s">
        <v>673</v>
      </c>
      <c r="H887" s="328" t="s">
        <v>2863</v>
      </c>
      <c r="I887" s="258" t="s">
        <v>2864</v>
      </c>
      <c r="J887" s="259" t="s">
        <v>965</v>
      </c>
      <c r="K887" s="260" t="s">
        <v>4213</v>
      </c>
      <c r="L887" s="328"/>
      <c r="M887" s="343"/>
      <c r="N887" s="173" t="s">
        <v>679</v>
      </c>
      <c r="O887" s="173" t="s">
        <v>225</v>
      </c>
      <c r="P887" s="262" t="str">
        <f t="shared" si="1"/>
        <v>IN-BLR-ANANTA-VAV-459_3</v>
      </c>
      <c r="Q887" s="173" t="s">
        <v>4214</v>
      </c>
      <c r="R887" s="328" t="str">
        <f>IFS(C887="","",C887="n/a","N/A",LEN(C887),Concatenate("{",char(34),"asset",char(34),":{",char(34),"guid",char(34),":",char(34),Q887,char(34),",",char(34),"site",char(34),":",char(34),LOWER('2-Building'!$B$4),char(34),",",char(34),"name",char(34),":",char(34),LOWER(C887),char(34),"}}"))</f>
        <v>{"asset":{"guid":"uuid://6bca4142-047b-43cb-84eb-279de41497bf","site":"in-blr-ananta","name":"vav-459"}}</v>
      </c>
      <c r="S887" s="237" t="s">
        <v>2866</v>
      </c>
      <c r="T887" s="330"/>
      <c r="U887" s="330"/>
      <c r="V887" s="331"/>
      <c r="W887" s="344"/>
      <c r="X887" s="341"/>
      <c r="Y887" s="33" t="s">
        <v>2867</v>
      </c>
      <c r="Z887" s="258">
        <v>120459.0</v>
      </c>
      <c r="AA887" s="334">
        <v>11548.0</v>
      </c>
      <c r="AB887" s="341"/>
      <c r="AC887" s="341"/>
      <c r="AD887" s="343"/>
      <c r="AE887" s="331"/>
      <c r="AF887" s="348"/>
      <c r="AG887" s="337"/>
      <c r="AH887" s="341"/>
      <c r="AI887" s="341"/>
      <c r="AJ887" s="341"/>
      <c r="AK887" s="341"/>
      <c r="AL887" s="341"/>
      <c r="AM887" s="338"/>
      <c r="AN887" s="341"/>
      <c r="AO887" s="341"/>
      <c r="AP887" s="341"/>
      <c r="AQ887" s="341"/>
      <c r="AR887" s="341"/>
      <c r="AS887" s="341"/>
      <c r="AT887" s="341"/>
      <c r="AU887" s="343"/>
      <c r="AV887" s="341"/>
      <c r="AW887" s="269" t="s">
        <v>2124</v>
      </c>
      <c r="AX887" s="334" t="s">
        <v>2869</v>
      </c>
      <c r="AY887" s="270" t="s">
        <v>695</v>
      </c>
      <c r="AZ887" s="173" t="s">
        <v>2866</v>
      </c>
      <c r="BA887" s="265">
        <v>10.0</v>
      </c>
      <c r="BB887" s="174" t="s">
        <v>245</v>
      </c>
      <c r="BC887" s="341"/>
      <c r="BD887" s="308"/>
      <c r="BE887" s="347"/>
      <c r="BF887" s="274" t="str">
        <f>IFERROR(__xludf.DUMMYFUNCTION("LOWER(Regexreplace(to_text(E887),""[^A-Za-z0-9]"","""")&amp;""_""&amp;Regexreplace(to_text(F887),""[^A-Za-z0-9]"",""""))"),"neptronic_evcbseries")</f>
        <v>neptronic_evcbseries</v>
      </c>
      <c r="BG887" s="275" t="str">
        <f>IFERROR(__xludf.DUMMYFUNCTION("upper(Regexreplace(to_text(E887),""[^A-Za-z0-9]"","""")&amp;""-""&amp;Regexreplace(to_text(F887),""[^A-Za-z0-9]"",""""))"),"NEPTRONIC-EVCBSERIES")</f>
        <v>NEPTRONIC-EVCBSERIES</v>
      </c>
    </row>
    <row r="888" ht="30.0" customHeight="1">
      <c r="A888" s="258">
        <v>880.0</v>
      </c>
      <c r="B888" s="237" t="s">
        <v>670</v>
      </c>
      <c r="C888" s="257" t="s">
        <v>4215</v>
      </c>
      <c r="D888" s="173" t="s">
        <v>4215</v>
      </c>
      <c r="E888" s="174" t="s">
        <v>2861</v>
      </c>
      <c r="F888" s="173" t="s">
        <v>2862</v>
      </c>
      <c r="G888" s="328" t="s">
        <v>673</v>
      </c>
      <c r="H888" s="328" t="s">
        <v>2863</v>
      </c>
      <c r="I888" s="258" t="s">
        <v>2864</v>
      </c>
      <c r="J888" s="259" t="s">
        <v>965</v>
      </c>
      <c r="K888" s="260" t="s">
        <v>4216</v>
      </c>
      <c r="L888" s="328"/>
      <c r="M888" s="343"/>
      <c r="N888" s="173" t="s">
        <v>679</v>
      </c>
      <c r="O888" s="173" t="s">
        <v>225</v>
      </c>
      <c r="P888" s="262" t="str">
        <f t="shared" si="1"/>
        <v>IN-BLR-ANANTA-VAV-460_3</v>
      </c>
      <c r="Q888" s="173" t="s">
        <v>4217</v>
      </c>
      <c r="R888" s="328" t="str">
        <f>IFS(C888="","",C888="n/a","N/A",LEN(C888),Concatenate("{",char(34),"asset",char(34),":{",char(34),"guid",char(34),":",char(34),Q888,char(34),",",char(34),"site",char(34),":",char(34),LOWER('2-Building'!$B$4),char(34),",",char(34),"name",char(34),":",char(34),LOWER(C888),char(34),"}}"))</f>
        <v>{"asset":{"guid":"uuid://83e6d18e-07ba-4aec-b56d-f9b402fdcb01","site":"in-blr-ananta","name":"vav-460"}}</v>
      </c>
      <c r="S888" s="237" t="s">
        <v>2866</v>
      </c>
      <c r="T888" s="330"/>
      <c r="U888" s="330"/>
      <c r="V888" s="331"/>
      <c r="W888" s="344"/>
      <c r="X888" s="341"/>
      <c r="Y888" s="33" t="s">
        <v>2867</v>
      </c>
      <c r="Z888" s="258">
        <v>120460.0</v>
      </c>
      <c r="AA888" s="334">
        <v>11548.0</v>
      </c>
      <c r="AB888" s="341"/>
      <c r="AC888" s="341"/>
      <c r="AD888" s="343"/>
      <c r="AE888" s="331"/>
      <c r="AF888" s="348"/>
      <c r="AG888" s="337"/>
      <c r="AH888" s="341"/>
      <c r="AI888" s="341"/>
      <c r="AJ888" s="341"/>
      <c r="AK888" s="341"/>
      <c r="AL888" s="341"/>
      <c r="AM888" s="338"/>
      <c r="AN888" s="341"/>
      <c r="AO888" s="341"/>
      <c r="AP888" s="341"/>
      <c r="AQ888" s="341"/>
      <c r="AR888" s="341"/>
      <c r="AS888" s="341"/>
      <c r="AT888" s="341"/>
      <c r="AU888" s="343"/>
      <c r="AV888" s="341"/>
      <c r="AW888" s="269" t="s">
        <v>2124</v>
      </c>
      <c r="AX888" s="334" t="s">
        <v>2869</v>
      </c>
      <c r="AY888" s="270" t="s">
        <v>695</v>
      </c>
      <c r="AZ888" s="173" t="s">
        <v>2866</v>
      </c>
      <c r="BA888" s="265">
        <v>10.0</v>
      </c>
      <c r="BB888" s="174" t="s">
        <v>245</v>
      </c>
      <c r="BC888" s="341"/>
      <c r="BD888" s="308"/>
      <c r="BE888" s="347"/>
      <c r="BF888" s="274" t="str">
        <f>IFERROR(__xludf.DUMMYFUNCTION("LOWER(Regexreplace(to_text(E888),""[^A-Za-z0-9]"","""")&amp;""_""&amp;Regexreplace(to_text(F888),""[^A-Za-z0-9]"",""""))"),"neptronic_evcbseries")</f>
        <v>neptronic_evcbseries</v>
      </c>
      <c r="BG888" s="275" t="str">
        <f>IFERROR(__xludf.DUMMYFUNCTION("upper(Regexreplace(to_text(E888),""[^A-Za-z0-9]"","""")&amp;""-""&amp;Regexreplace(to_text(F888),""[^A-Za-z0-9]"",""""))"),"NEPTRONIC-EVCBSERIES")</f>
        <v>NEPTRONIC-EVCBSERIES</v>
      </c>
    </row>
    <row r="889" ht="30.0" customHeight="1">
      <c r="A889" s="173">
        <v>881.0</v>
      </c>
      <c r="B889" s="237" t="s">
        <v>670</v>
      </c>
      <c r="C889" s="257" t="s">
        <v>4218</v>
      </c>
      <c r="D889" s="173" t="s">
        <v>4218</v>
      </c>
      <c r="E889" s="174" t="s">
        <v>2861</v>
      </c>
      <c r="F889" s="173" t="s">
        <v>2862</v>
      </c>
      <c r="G889" s="328" t="s">
        <v>673</v>
      </c>
      <c r="H889" s="328" t="s">
        <v>2863</v>
      </c>
      <c r="I889" s="258" t="s">
        <v>2864</v>
      </c>
      <c r="J889" s="259" t="s">
        <v>965</v>
      </c>
      <c r="K889" s="260" t="s">
        <v>4219</v>
      </c>
      <c r="L889" s="328"/>
      <c r="M889" s="343"/>
      <c r="N889" s="173" t="s">
        <v>679</v>
      </c>
      <c r="O889" s="173" t="s">
        <v>225</v>
      </c>
      <c r="P889" s="262" t="str">
        <f t="shared" si="1"/>
        <v>IN-BLR-ANANTA-VAV-461_3</v>
      </c>
      <c r="Q889" s="173" t="s">
        <v>4220</v>
      </c>
      <c r="R889" s="328" t="str">
        <f>IFS(C889="","",C889="n/a","N/A",LEN(C889),Concatenate("{",char(34),"asset",char(34),":{",char(34),"guid",char(34),":",char(34),Q889,char(34),",",char(34),"site",char(34),":",char(34),LOWER('2-Building'!$B$4),char(34),",",char(34),"name",char(34),":",char(34),LOWER(C889),char(34),"}}"))</f>
        <v>{"asset":{"guid":"uuid://9be8b899-8459-489b-bde0-a8c525c42b55","site":"in-blr-ananta","name":"vav-461"}}</v>
      </c>
      <c r="S889" s="237" t="s">
        <v>2866</v>
      </c>
      <c r="T889" s="330"/>
      <c r="U889" s="330"/>
      <c r="V889" s="331"/>
      <c r="W889" s="344"/>
      <c r="X889" s="341"/>
      <c r="Y889" s="33" t="s">
        <v>2867</v>
      </c>
      <c r="Z889" s="258">
        <v>120461.0</v>
      </c>
      <c r="AA889" s="334">
        <v>11548.0</v>
      </c>
      <c r="AB889" s="341"/>
      <c r="AC889" s="341"/>
      <c r="AD889" s="343"/>
      <c r="AE889" s="331"/>
      <c r="AF889" s="348"/>
      <c r="AG889" s="337"/>
      <c r="AH889" s="341"/>
      <c r="AI889" s="341"/>
      <c r="AJ889" s="341"/>
      <c r="AK889" s="341"/>
      <c r="AL889" s="341"/>
      <c r="AM889" s="338"/>
      <c r="AN889" s="341"/>
      <c r="AO889" s="341"/>
      <c r="AP889" s="341"/>
      <c r="AQ889" s="341"/>
      <c r="AR889" s="341"/>
      <c r="AS889" s="341"/>
      <c r="AT889" s="341"/>
      <c r="AU889" s="343"/>
      <c r="AV889" s="341"/>
      <c r="AW889" s="269" t="s">
        <v>2124</v>
      </c>
      <c r="AX889" s="334" t="s">
        <v>2869</v>
      </c>
      <c r="AY889" s="270" t="s">
        <v>695</v>
      </c>
      <c r="AZ889" s="173" t="s">
        <v>2866</v>
      </c>
      <c r="BA889" s="265">
        <v>10.0</v>
      </c>
      <c r="BB889" s="174" t="s">
        <v>245</v>
      </c>
      <c r="BC889" s="341"/>
      <c r="BD889" s="308"/>
      <c r="BE889" s="347"/>
      <c r="BF889" s="274" t="str">
        <f>IFERROR(__xludf.DUMMYFUNCTION("LOWER(Regexreplace(to_text(E889),""[^A-Za-z0-9]"","""")&amp;""_""&amp;Regexreplace(to_text(F889),""[^A-Za-z0-9]"",""""))"),"neptronic_evcbseries")</f>
        <v>neptronic_evcbseries</v>
      </c>
      <c r="BG889" s="275" t="str">
        <f>IFERROR(__xludf.DUMMYFUNCTION("upper(Regexreplace(to_text(E889),""[^A-Za-z0-9]"","""")&amp;""-""&amp;Regexreplace(to_text(F889),""[^A-Za-z0-9]"",""""))"),"NEPTRONIC-EVCBSERIES")</f>
        <v>NEPTRONIC-EVCBSERIES</v>
      </c>
    </row>
    <row r="890" ht="30.0" customHeight="1">
      <c r="A890" s="258">
        <v>882.0</v>
      </c>
      <c r="B890" s="237" t="s">
        <v>670</v>
      </c>
      <c r="C890" s="257" t="s">
        <v>4221</v>
      </c>
      <c r="D890" s="173" t="s">
        <v>4221</v>
      </c>
      <c r="E890" s="174" t="s">
        <v>2861</v>
      </c>
      <c r="F890" s="173" t="s">
        <v>2862</v>
      </c>
      <c r="G890" s="328" t="s">
        <v>673</v>
      </c>
      <c r="H890" s="328" t="s">
        <v>2863</v>
      </c>
      <c r="I890" s="258" t="s">
        <v>2864</v>
      </c>
      <c r="J890" s="259" t="s">
        <v>965</v>
      </c>
      <c r="K890" s="260" t="s">
        <v>4222</v>
      </c>
      <c r="L890" s="328"/>
      <c r="M890" s="343"/>
      <c r="N890" s="173" t="s">
        <v>679</v>
      </c>
      <c r="O890" s="173" t="s">
        <v>225</v>
      </c>
      <c r="P890" s="262" t="str">
        <f t="shared" si="1"/>
        <v>IN-BLR-ANANTA-VAV-462_3</v>
      </c>
      <c r="Q890" s="173" t="s">
        <v>4223</v>
      </c>
      <c r="R890" s="328" t="str">
        <f>IFS(C890="","",C890="n/a","N/A",LEN(C890),Concatenate("{",char(34),"asset",char(34),":{",char(34),"guid",char(34),":",char(34),Q890,char(34),",",char(34),"site",char(34),":",char(34),LOWER('2-Building'!$B$4),char(34),",",char(34),"name",char(34),":",char(34),LOWER(C890),char(34),"}}"))</f>
        <v>{"asset":{"guid":"uuid://bbcf7d07-d9df-4355-88f0-721e0dbdb8c9","site":"in-blr-ananta","name":"vav-462"}}</v>
      </c>
      <c r="S890" s="237" t="s">
        <v>2866</v>
      </c>
      <c r="T890" s="330"/>
      <c r="U890" s="330"/>
      <c r="V890" s="331"/>
      <c r="W890" s="344"/>
      <c r="X890" s="341"/>
      <c r="Y890" s="33" t="s">
        <v>2867</v>
      </c>
      <c r="Z890" s="258">
        <v>120462.0</v>
      </c>
      <c r="AA890" s="334">
        <v>11548.0</v>
      </c>
      <c r="AB890" s="341"/>
      <c r="AC890" s="341"/>
      <c r="AD890" s="343"/>
      <c r="AE890" s="331"/>
      <c r="AF890" s="348"/>
      <c r="AG890" s="337"/>
      <c r="AH890" s="341"/>
      <c r="AI890" s="341"/>
      <c r="AJ890" s="341"/>
      <c r="AK890" s="341"/>
      <c r="AL890" s="341"/>
      <c r="AM890" s="338"/>
      <c r="AN890" s="341"/>
      <c r="AO890" s="341"/>
      <c r="AP890" s="341"/>
      <c r="AQ890" s="341"/>
      <c r="AR890" s="341"/>
      <c r="AS890" s="341"/>
      <c r="AT890" s="341"/>
      <c r="AU890" s="343"/>
      <c r="AV890" s="341"/>
      <c r="AW890" s="269" t="s">
        <v>2124</v>
      </c>
      <c r="AX890" s="334" t="s">
        <v>2869</v>
      </c>
      <c r="AY890" s="270" t="s">
        <v>695</v>
      </c>
      <c r="AZ890" s="173" t="s">
        <v>2866</v>
      </c>
      <c r="BA890" s="265">
        <v>10.0</v>
      </c>
      <c r="BB890" s="174" t="s">
        <v>245</v>
      </c>
      <c r="BC890" s="341"/>
      <c r="BD890" s="308"/>
      <c r="BE890" s="347"/>
      <c r="BF890" s="274" t="str">
        <f>IFERROR(__xludf.DUMMYFUNCTION("LOWER(Regexreplace(to_text(E890),""[^A-Za-z0-9]"","""")&amp;""_""&amp;Regexreplace(to_text(F890),""[^A-Za-z0-9]"",""""))"),"neptronic_evcbseries")</f>
        <v>neptronic_evcbseries</v>
      </c>
      <c r="BG890" s="275" t="str">
        <f>IFERROR(__xludf.DUMMYFUNCTION("upper(Regexreplace(to_text(E890),""[^A-Za-z0-9]"","""")&amp;""-""&amp;Regexreplace(to_text(F890),""[^A-Za-z0-9]"",""""))"),"NEPTRONIC-EVCBSERIES")</f>
        <v>NEPTRONIC-EVCBSERIES</v>
      </c>
    </row>
    <row r="891" ht="30.0" customHeight="1">
      <c r="A891" s="173">
        <v>883.0</v>
      </c>
      <c r="B891" s="237" t="s">
        <v>670</v>
      </c>
      <c r="C891" s="257" t="s">
        <v>4224</v>
      </c>
      <c r="D891" s="173" t="s">
        <v>4224</v>
      </c>
      <c r="E891" s="174" t="s">
        <v>2861</v>
      </c>
      <c r="F891" s="173" t="s">
        <v>2862</v>
      </c>
      <c r="G891" s="328" t="s">
        <v>673</v>
      </c>
      <c r="H891" s="328" t="s">
        <v>2863</v>
      </c>
      <c r="I891" s="258" t="s">
        <v>2864</v>
      </c>
      <c r="J891" s="259" t="s">
        <v>965</v>
      </c>
      <c r="K891" s="260" t="s">
        <v>4225</v>
      </c>
      <c r="L891" s="328"/>
      <c r="M891" s="343"/>
      <c r="N891" s="173" t="s">
        <v>679</v>
      </c>
      <c r="O891" s="173" t="s">
        <v>225</v>
      </c>
      <c r="P891" s="262" t="str">
        <f t="shared" si="1"/>
        <v>IN-BLR-ANANTA-VAV-463_3</v>
      </c>
      <c r="Q891" s="173" t="s">
        <v>4226</v>
      </c>
      <c r="R891" s="328" t="str">
        <f>IFS(C891="","",C891="n/a","N/A",LEN(C891),Concatenate("{",char(34),"asset",char(34),":{",char(34),"guid",char(34),":",char(34),Q891,char(34),",",char(34),"site",char(34),":",char(34),LOWER('2-Building'!$B$4),char(34),",",char(34),"name",char(34),":",char(34),LOWER(C891),char(34),"}}"))</f>
        <v>{"asset":{"guid":"uuid://d5bcd2cc-eb2f-4c86-96d0-fd63731fc15d","site":"in-blr-ananta","name":"vav-463"}}</v>
      </c>
      <c r="S891" s="237" t="s">
        <v>2866</v>
      </c>
      <c r="T891" s="330"/>
      <c r="U891" s="330"/>
      <c r="V891" s="331"/>
      <c r="W891" s="344"/>
      <c r="X891" s="341"/>
      <c r="Y891" s="33" t="s">
        <v>2867</v>
      </c>
      <c r="Z891" s="258">
        <v>120463.0</v>
      </c>
      <c r="AA891" s="334">
        <v>11548.0</v>
      </c>
      <c r="AB891" s="341"/>
      <c r="AC891" s="341"/>
      <c r="AD891" s="343"/>
      <c r="AE891" s="331"/>
      <c r="AF891" s="348"/>
      <c r="AG891" s="337"/>
      <c r="AH891" s="341"/>
      <c r="AI891" s="341"/>
      <c r="AJ891" s="341"/>
      <c r="AK891" s="341"/>
      <c r="AL891" s="341"/>
      <c r="AM891" s="338"/>
      <c r="AN891" s="341"/>
      <c r="AO891" s="341"/>
      <c r="AP891" s="341"/>
      <c r="AQ891" s="341"/>
      <c r="AR891" s="341"/>
      <c r="AS891" s="341"/>
      <c r="AT891" s="341"/>
      <c r="AU891" s="343"/>
      <c r="AV891" s="341"/>
      <c r="AW891" s="269" t="s">
        <v>2124</v>
      </c>
      <c r="AX891" s="334" t="s">
        <v>2869</v>
      </c>
      <c r="AY891" s="270" t="s">
        <v>695</v>
      </c>
      <c r="AZ891" s="173" t="s">
        <v>2866</v>
      </c>
      <c r="BA891" s="265">
        <v>10.0</v>
      </c>
      <c r="BB891" s="174" t="s">
        <v>245</v>
      </c>
      <c r="BC891" s="341"/>
      <c r="BD891" s="308"/>
      <c r="BE891" s="347"/>
      <c r="BF891" s="274" t="str">
        <f>IFERROR(__xludf.DUMMYFUNCTION("LOWER(Regexreplace(to_text(E891),""[^A-Za-z0-9]"","""")&amp;""_""&amp;Regexreplace(to_text(F891),""[^A-Za-z0-9]"",""""))"),"neptronic_evcbseries")</f>
        <v>neptronic_evcbseries</v>
      </c>
      <c r="BG891" s="275" t="str">
        <f>IFERROR(__xludf.DUMMYFUNCTION("upper(Regexreplace(to_text(E891),""[^A-Za-z0-9]"","""")&amp;""-""&amp;Regexreplace(to_text(F891),""[^A-Za-z0-9]"",""""))"),"NEPTRONIC-EVCBSERIES")</f>
        <v>NEPTRONIC-EVCBSERIES</v>
      </c>
    </row>
    <row r="892" ht="30.0" customHeight="1">
      <c r="A892" s="258">
        <v>884.0</v>
      </c>
      <c r="B892" s="237" t="s">
        <v>670</v>
      </c>
      <c r="C892" s="257" t="s">
        <v>4227</v>
      </c>
      <c r="D892" s="173" t="s">
        <v>4227</v>
      </c>
      <c r="E892" s="174" t="s">
        <v>2861</v>
      </c>
      <c r="F892" s="173" t="s">
        <v>2862</v>
      </c>
      <c r="G892" s="328" t="s">
        <v>673</v>
      </c>
      <c r="H892" s="328" t="s">
        <v>2863</v>
      </c>
      <c r="I892" s="258" t="s">
        <v>2864</v>
      </c>
      <c r="J892" s="259" t="s">
        <v>965</v>
      </c>
      <c r="K892" s="260" t="s">
        <v>4225</v>
      </c>
      <c r="L892" s="328"/>
      <c r="M892" s="343"/>
      <c r="N892" s="173" t="s">
        <v>679</v>
      </c>
      <c r="O892" s="173" t="s">
        <v>225</v>
      </c>
      <c r="P892" s="262" t="str">
        <f t="shared" si="1"/>
        <v>IN-BLR-ANANTA-VAV-464_3</v>
      </c>
      <c r="Q892" s="173" t="s">
        <v>4228</v>
      </c>
      <c r="R892" s="328" t="str">
        <f>IFS(C892="","",C892="n/a","N/A",LEN(C892),Concatenate("{",char(34),"asset",char(34),":{",char(34),"guid",char(34),":",char(34),Q892,char(34),",",char(34),"site",char(34),":",char(34),LOWER('2-Building'!$B$4),char(34),",",char(34),"name",char(34),":",char(34),LOWER(C892),char(34),"}}"))</f>
        <v>{"asset":{"guid":"uuid://7561e0b2-5c5e-4b9c-8b2a-0963482162c0","site":"in-blr-ananta","name":"vav-464"}}</v>
      </c>
      <c r="S892" s="237" t="s">
        <v>2866</v>
      </c>
      <c r="T892" s="330"/>
      <c r="U892" s="330"/>
      <c r="V892" s="331"/>
      <c r="W892" s="344"/>
      <c r="X892" s="341"/>
      <c r="Y892" s="33" t="s">
        <v>2867</v>
      </c>
      <c r="Z892" s="258">
        <v>120464.0</v>
      </c>
      <c r="AA892" s="334">
        <v>11548.0</v>
      </c>
      <c r="AB892" s="341"/>
      <c r="AC892" s="341"/>
      <c r="AD892" s="343"/>
      <c r="AE892" s="331"/>
      <c r="AF892" s="348"/>
      <c r="AG892" s="337"/>
      <c r="AH892" s="341"/>
      <c r="AI892" s="341"/>
      <c r="AJ892" s="341"/>
      <c r="AK892" s="341"/>
      <c r="AL892" s="341"/>
      <c r="AM892" s="338"/>
      <c r="AN892" s="341"/>
      <c r="AO892" s="341"/>
      <c r="AP892" s="341"/>
      <c r="AQ892" s="341"/>
      <c r="AR892" s="341"/>
      <c r="AS892" s="341"/>
      <c r="AT892" s="341"/>
      <c r="AU892" s="343"/>
      <c r="AV892" s="341"/>
      <c r="AW892" s="269" t="s">
        <v>2124</v>
      </c>
      <c r="AX892" s="334" t="s">
        <v>2869</v>
      </c>
      <c r="AY892" s="270" t="s">
        <v>695</v>
      </c>
      <c r="AZ892" s="173" t="s">
        <v>2866</v>
      </c>
      <c r="BA892" s="265">
        <v>10.0</v>
      </c>
      <c r="BB892" s="174" t="s">
        <v>245</v>
      </c>
      <c r="BC892" s="341"/>
      <c r="BD892" s="308"/>
      <c r="BE892" s="347"/>
      <c r="BF892" s="274" t="str">
        <f>IFERROR(__xludf.DUMMYFUNCTION("LOWER(Regexreplace(to_text(E892),""[^A-Za-z0-9]"","""")&amp;""_""&amp;Regexreplace(to_text(F892),""[^A-Za-z0-9]"",""""))"),"neptronic_evcbseries")</f>
        <v>neptronic_evcbseries</v>
      </c>
      <c r="BG892" s="275" t="str">
        <f>IFERROR(__xludf.DUMMYFUNCTION("upper(Regexreplace(to_text(E892),""[^A-Za-z0-9]"","""")&amp;""-""&amp;Regexreplace(to_text(F892),""[^A-Za-z0-9]"",""""))"),"NEPTRONIC-EVCBSERIES")</f>
        <v>NEPTRONIC-EVCBSERIES</v>
      </c>
    </row>
    <row r="893" ht="30.0" customHeight="1">
      <c r="A893" s="173">
        <v>885.0</v>
      </c>
      <c r="B893" s="237" t="s">
        <v>670</v>
      </c>
      <c r="C893" s="257" t="s">
        <v>4229</v>
      </c>
      <c r="D893" s="173" t="s">
        <v>4229</v>
      </c>
      <c r="E893" s="174" t="s">
        <v>2861</v>
      </c>
      <c r="F893" s="173" t="s">
        <v>2862</v>
      </c>
      <c r="G893" s="328" t="s">
        <v>673</v>
      </c>
      <c r="H893" s="328" t="s">
        <v>2863</v>
      </c>
      <c r="I893" s="258" t="s">
        <v>2864</v>
      </c>
      <c r="J893" s="259" t="s">
        <v>965</v>
      </c>
      <c r="K893" s="260" t="s">
        <v>4230</v>
      </c>
      <c r="L893" s="328"/>
      <c r="M893" s="343"/>
      <c r="N893" s="173" t="s">
        <v>679</v>
      </c>
      <c r="O893" s="173" t="s">
        <v>225</v>
      </c>
      <c r="P893" s="262" t="str">
        <f t="shared" si="1"/>
        <v>IN-BLR-ANANTA-VAV-465_3</v>
      </c>
      <c r="Q893" s="173" t="s">
        <v>4231</v>
      </c>
      <c r="R893" s="328" t="str">
        <f>IFS(C893="","",C893="n/a","N/A",LEN(C893),Concatenate("{",char(34),"asset",char(34),":{",char(34),"guid",char(34),":",char(34),Q893,char(34),",",char(34),"site",char(34),":",char(34),LOWER('2-Building'!$B$4),char(34),",",char(34),"name",char(34),":",char(34),LOWER(C893),char(34),"}}"))</f>
        <v>{"asset":{"guid":"uuid://aecae208-b6de-4745-9337-acff2dd18ef4","site":"in-blr-ananta","name":"vav-465"}}</v>
      </c>
      <c r="S893" s="237" t="s">
        <v>2866</v>
      </c>
      <c r="T893" s="330"/>
      <c r="U893" s="330"/>
      <c r="V893" s="331"/>
      <c r="W893" s="344"/>
      <c r="X893" s="341"/>
      <c r="Y893" s="33" t="s">
        <v>2867</v>
      </c>
      <c r="Z893" s="258">
        <v>120465.0</v>
      </c>
      <c r="AA893" s="334">
        <v>11548.0</v>
      </c>
      <c r="AB893" s="341"/>
      <c r="AC893" s="341"/>
      <c r="AD893" s="343"/>
      <c r="AE893" s="331"/>
      <c r="AF893" s="348"/>
      <c r="AG893" s="337"/>
      <c r="AH893" s="341"/>
      <c r="AI893" s="341"/>
      <c r="AJ893" s="341"/>
      <c r="AK893" s="341"/>
      <c r="AL893" s="341"/>
      <c r="AM893" s="338"/>
      <c r="AN893" s="341"/>
      <c r="AO893" s="341"/>
      <c r="AP893" s="341"/>
      <c r="AQ893" s="341"/>
      <c r="AR893" s="341"/>
      <c r="AS893" s="341"/>
      <c r="AT893" s="341"/>
      <c r="AU893" s="343"/>
      <c r="AV893" s="341"/>
      <c r="AW893" s="269" t="s">
        <v>2124</v>
      </c>
      <c r="AX893" s="334" t="s">
        <v>2869</v>
      </c>
      <c r="AY893" s="270" t="s">
        <v>695</v>
      </c>
      <c r="AZ893" s="173" t="s">
        <v>2866</v>
      </c>
      <c r="BA893" s="265">
        <v>10.0</v>
      </c>
      <c r="BB893" s="174" t="s">
        <v>245</v>
      </c>
      <c r="BC893" s="341"/>
      <c r="BD893" s="308"/>
      <c r="BE893" s="347"/>
      <c r="BF893" s="274" t="str">
        <f>IFERROR(__xludf.DUMMYFUNCTION("LOWER(Regexreplace(to_text(E893),""[^A-Za-z0-9]"","""")&amp;""_""&amp;Regexreplace(to_text(F893),""[^A-Za-z0-9]"",""""))"),"neptronic_evcbseries")</f>
        <v>neptronic_evcbseries</v>
      </c>
      <c r="BG893" s="275" t="str">
        <f>IFERROR(__xludf.DUMMYFUNCTION("upper(Regexreplace(to_text(E893),""[^A-Za-z0-9]"","""")&amp;""-""&amp;Regexreplace(to_text(F893),""[^A-Za-z0-9]"",""""))"),"NEPTRONIC-EVCBSERIES")</f>
        <v>NEPTRONIC-EVCBSERIES</v>
      </c>
    </row>
    <row r="894" ht="30.0" customHeight="1">
      <c r="A894" s="258">
        <v>886.0</v>
      </c>
      <c r="B894" s="237" t="s">
        <v>670</v>
      </c>
      <c r="C894" s="257" t="s">
        <v>4232</v>
      </c>
      <c r="D894" s="173" t="s">
        <v>4232</v>
      </c>
      <c r="E894" s="174" t="s">
        <v>2861</v>
      </c>
      <c r="F894" s="173" t="s">
        <v>2862</v>
      </c>
      <c r="G894" s="328" t="s">
        <v>673</v>
      </c>
      <c r="H894" s="328" t="s">
        <v>2863</v>
      </c>
      <c r="I894" s="258" t="s">
        <v>2864</v>
      </c>
      <c r="J894" s="259" t="s">
        <v>965</v>
      </c>
      <c r="K894" s="260" t="s">
        <v>4233</v>
      </c>
      <c r="L894" s="328"/>
      <c r="M894" s="343"/>
      <c r="N894" s="173" t="s">
        <v>679</v>
      </c>
      <c r="O894" s="173" t="s">
        <v>225</v>
      </c>
      <c r="P894" s="262" t="str">
        <f t="shared" si="1"/>
        <v>IN-BLR-ANANTA-VAV-466_3</v>
      </c>
      <c r="Q894" s="173" t="s">
        <v>4234</v>
      </c>
      <c r="R894" s="328" t="str">
        <f>IFS(C894="","",C894="n/a","N/A",LEN(C894),Concatenate("{",char(34),"asset",char(34),":{",char(34),"guid",char(34),":",char(34),Q894,char(34),",",char(34),"site",char(34),":",char(34),LOWER('2-Building'!$B$4),char(34),",",char(34),"name",char(34),":",char(34),LOWER(C894),char(34),"}}"))</f>
        <v>{"asset":{"guid":"uuid://6a52d23f-9a8c-454b-ab1c-5d8575b344ca","site":"in-blr-ananta","name":"vav-466"}}</v>
      </c>
      <c r="S894" s="237" t="s">
        <v>2866</v>
      </c>
      <c r="T894" s="330"/>
      <c r="U894" s="330"/>
      <c r="V894" s="331"/>
      <c r="W894" s="344"/>
      <c r="X894" s="341"/>
      <c r="Y894" s="33" t="s">
        <v>2867</v>
      </c>
      <c r="Z894" s="258">
        <v>120466.0</v>
      </c>
      <c r="AA894" s="334">
        <v>11548.0</v>
      </c>
      <c r="AB894" s="341"/>
      <c r="AC894" s="341"/>
      <c r="AD894" s="343"/>
      <c r="AE894" s="331"/>
      <c r="AF894" s="348"/>
      <c r="AG894" s="337"/>
      <c r="AH894" s="341"/>
      <c r="AI894" s="341"/>
      <c r="AJ894" s="341"/>
      <c r="AK894" s="341"/>
      <c r="AL894" s="341"/>
      <c r="AM894" s="338"/>
      <c r="AN894" s="341"/>
      <c r="AO894" s="341"/>
      <c r="AP894" s="341"/>
      <c r="AQ894" s="341"/>
      <c r="AR894" s="341"/>
      <c r="AS894" s="341"/>
      <c r="AT894" s="341"/>
      <c r="AU894" s="343"/>
      <c r="AV894" s="341"/>
      <c r="AW894" s="269" t="s">
        <v>2124</v>
      </c>
      <c r="AX894" s="334" t="s">
        <v>2869</v>
      </c>
      <c r="AY894" s="270" t="s">
        <v>695</v>
      </c>
      <c r="AZ894" s="173" t="s">
        <v>2866</v>
      </c>
      <c r="BA894" s="265">
        <v>10.0</v>
      </c>
      <c r="BB894" s="174" t="s">
        <v>245</v>
      </c>
      <c r="BC894" s="341"/>
      <c r="BD894" s="308"/>
      <c r="BE894" s="347"/>
      <c r="BF894" s="274" t="str">
        <f>IFERROR(__xludf.DUMMYFUNCTION("LOWER(Regexreplace(to_text(E894),""[^A-Za-z0-9]"","""")&amp;""_""&amp;Regexreplace(to_text(F894),""[^A-Za-z0-9]"",""""))"),"neptronic_evcbseries")</f>
        <v>neptronic_evcbseries</v>
      </c>
      <c r="BG894" s="275" t="str">
        <f>IFERROR(__xludf.DUMMYFUNCTION("upper(Regexreplace(to_text(E894),""[^A-Za-z0-9]"","""")&amp;""-""&amp;Regexreplace(to_text(F894),""[^A-Za-z0-9]"",""""))"),"NEPTRONIC-EVCBSERIES")</f>
        <v>NEPTRONIC-EVCBSERIES</v>
      </c>
    </row>
    <row r="895" ht="30.0" customHeight="1">
      <c r="A895" s="173">
        <v>887.0</v>
      </c>
      <c r="B895" s="237" t="s">
        <v>670</v>
      </c>
      <c r="C895" s="257" t="s">
        <v>4235</v>
      </c>
      <c r="D895" s="173" t="s">
        <v>4235</v>
      </c>
      <c r="E895" s="174" t="s">
        <v>2861</v>
      </c>
      <c r="F895" s="173" t="s">
        <v>2862</v>
      </c>
      <c r="G895" s="328" t="s">
        <v>673</v>
      </c>
      <c r="H895" s="328" t="s">
        <v>2863</v>
      </c>
      <c r="I895" s="258" t="s">
        <v>2864</v>
      </c>
      <c r="J895" s="259" t="s">
        <v>965</v>
      </c>
      <c r="K895" s="260" t="s">
        <v>3643</v>
      </c>
      <c r="L895" s="328"/>
      <c r="M895" s="343"/>
      <c r="N895" s="173" t="s">
        <v>679</v>
      </c>
      <c r="O895" s="173" t="s">
        <v>225</v>
      </c>
      <c r="P895" s="262" t="str">
        <f t="shared" si="1"/>
        <v>IN-BLR-ANANTA-VAV-467_3</v>
      </c>
      <c r="Q895" s="173" t="s">
        <v>4236</v>
      </c>
      <c r="R895" s="328" t="str">
        <f>IFS(C895="","",C895="n/a","N/A",LEN(C895),Concatenate("{",char(34),"asset",char(34),":{",char(34),"guid",char(34),":",char(34),Q895,char(34),",",char(34),"site",char(34),":",char(34),LOWER('2-Building'!$B$4),char(34),",",char(34),"name",char(34),":",char(34),LOWER(C895),char(34),"}}"))</f>
        <v>{"asset":{"guid":"uuid://3b3cfe85-c580-4912-ad1b-4554cc23b09b","site":"in-blr-ananta","name":"vav-467"}}</v>
      </c>
      <c r="S895" s="237" t="s">
        <v>2866</v>
      </c>
      <c r="T895" s="330"/>
      <c r="U895" s="330"/>
      <c r="V895" s="331"/>
      <c r="W895" s="344"/>
      <c r="X895" s="341"/>
      <c r="Y895" s="33" t="s">
        <v>2867</v>
      </c>
      <c r="Z895" s="258">
        <v>120467.0</v>
      </c>
      <c r="AA895" s="334">
        <v>11549.0</v>
      </c>
      <c r="AB895" s="341"/>
      <c r="AC895" s="341"/>
      <c r="AD895" s="343"/>
      <c r="AE895" s="331"/>
      <c r="AF895" s="348"/>
      <c r="AG895" s="337"/>
      <c r="AH895" s="341"/>
      <c r="AI895" s="341"/>
      <c r="AJ895" s="341"/>
      <c r="AK895" s="341"/>
      <c r="AL895" s="341"/>
      <c r="AM895" s="338"/>
      <c r="AN895" s="341"/>
      <c r="AO895" s="341"/>
      <c r="AP895" s="341"/>
      <c r="AQ895" s="341"/>
      <c r="AR895" s="341"/>
      <c r="AS895" s="341"/>
      <c r="AT895" s="341"/>
      <c r="AU895" s="343"/>
      <c r="AV895" s="341"/>
      <c r="AW895" s="269" t="s">
        <v>2124</v>
      </c>
      <c r="AX895" s="334" t="s">
        <v>2869</v>
      </c>
      <c r="AY895" s="270" t="s">
        <v>695</v>
      </c>
      <c r="AZ895" s="173" t="s">
        <v>2866</v>
      </c>
      <c r="BA895" s="265">
        <v>10.0</v>
      </c>
      <c r="BB895" s="174" t="s">
        <v>245</v>
      </c>
      <c r="BC895" s="341"/>
      <c r="BD895" s="308"/>
      <c r="BE895" s="347"/>
      <c r="BF895" s="274" t="str">
        <f>IFERROR(__xludf.DUMMYFUNCTION("LOWER(Regexreplace(to_text(E895),""[^A-Za-z0-9]"","""")&amp;""_""&amp;Regexreplace(to_text(F895),""[^A-Za-z0-9]"",""""))"),"neptronic_evcbseries")</f>
        <v>neptronic_evcbseries</v>
      </c>
      <c r="BG895" s="275" t="str">
        <f>IFERROR(__xludf.DUMMYFUNCTION("upper(Regexreplace(to_text(E895),""[^A-Za-z0-9]"","""")&amp;""-""&amp;Regexreplace(to_text(F895),""[^A-Za-z0-9]"",""""))"),"NEPTRONIC-EVCBSERIES")</f>
        <v>NEPTRONIC-EVCBSERIES</v>
      </c>
    </row>
    <row r="896" ht="30.0" customHeight="1">
      <c r="A896" s="258">
        <v>888.0</v>
      </c>
      <c r="B896" s="237" t="s">
        <v>670</v>
      </c>
      <c r="C896" s="257" t="s">
        <v>4237</v>
      </c>
      <c r="D896" s="173" t="s">
        <v>4237</v>
      </c>
      <c r="E896" s="174" t="s">
        <v>2861</v>
      </c>
      <c r="F896" s="173" t="s">
        <v>2862</v>
      </c>
      <c r="G896" s="328" t="s">
        <v>673</v>
      </c>
      <c r="H896" s="328" t="s">
        <v>2863</v>
      </c>
      <c r="I896" s="258" t="s">
        <v>2864</v>
      </c>
      <c r="J896" s="259" t="s">
        <v>965</v>
      </c>
      <c r="K896" s="260" t="s">
        <v>4238</v>
      </c>
      <c r="L896" s="328"/>
      <c r="M896" s="343"/>
      <c r="N896" s="173" t="s">
        <v>679</v>
      </c>
      <c r="O896" s="173" t="s">
        <v>225</v>
      </c>
      <c r="P896" s="262" t="str">
        <f t="shared" si="1"/>
        <v>IN-BLR-ANANTA-VAV-468_3</v>
      </c>
      <c r="Q896" s="173" t="s">
        <v>4239</v>
      </c>
      <c r="R896" s="328" t="str">
        <f>IFS(C896="","",C896="n/a","N/A",LEN(C896),Concatenate("{",char(34),"asset",char(34),":{",char(34),"guid",char(34),":",char(34),Q896,char(34),",",char(34),"site",char(34),":",char(34),LOWER('2-Building'!$B$4),char(34),",",char(34),"name",char(34),":",char(34),LOWER(C896),char(34),"}}"))</f>
        <v>{"asset":{"guid":"uuid://1bd5371f-19fc-4330-87cd-593f56ab597c","site":"in-blr-ananta","name":"vav-468"}}</v>
      </c>
      <c r="S896" s="237" t="s">
        <v>2866</v>
      </c>
      <c r="T896" s="330"/>
      <c r="U896" s="330"/>
      <c r="V896" s="331"/>
      <c r="W896" s="344"/>
      <c r="X896" s="341"/>
      <c r="Y896" s="33" t="s">
        <v>2867</v>
      </c>
      <c r="Z896" s="258">
        <v>120468.0</v>
      </c>
      <c r="AA896" s="334">
        <v>11549.0</v>
      </c>
      <c r="AB896" s="341"/>
      <c r="AC896" s="341"/>
      <c r="AD896" s="343"/>
      <c r="AE896" s="331"/>
      <c r="AF896" s="348"/>
      <c r="AG896" s="337"/>
      <c r="AH896" s="341"/>
      <c r="AI896" s="341"/>
      <c r="AJ896" s="341"/>
      <c r="AK896" s="341"/>
      <c r="AL896" s="341"/>
      <c r="AM896" s="338"/>
      <c r="AN896" s="341"/>
      <c r="AO896" s="341"/>
      <c r="AP896" s="341"/>
      <c r="AQ896" s="341"/>
      <c r="AR896" s="341"/>
      <c r="AS896" s="341"/>
      <c r="AT896" s="341"/>
      <c r="AU896" s="343"/>
      <c r="AV896" s="341"/>
      <c r="AW896" s="269" t="s">
        <v>2124</v>
      </c>
      <c r="AX896" s="334" t="s">
        <v>2869</v>
      </c>
      <c r="AY896" s="270" t="s">
        <v>695</v>
      </c>
      <c r="AZ896" s="173" t="s">
        <v>2866</v>
      </c>
      <c r="BA896" s="265">
        <v>10.0</v>
      </c>
      <c r="BB896" s="174" t="s">
        <v>245</v>
      </c>
      <c r="BC896" s="341"/>
      <c r="BD896" s="308"/>
      <c r="BE896" s="347"/>
      <c r="BF896" s="274" t="str">
        <f>IFERROR(__xludf.DUMMYFUNCTION("LOWER(Regexreplace(to_text(E896),""[^A-Za-z0-9]"","""")&amp;""_""&amp;Regexreplace(to_text(F896),""[^A-Za-z0-9]"",""""))"),"neptronic_evcbseries")</f>
        <v>neptronic_evcbseries</v>
      </c>
      <c r="BG896" s="275" t="str">
        <f>IFERROR(__xludf.DUMMYFUNCTION("upper(Regexreplace(to_text(E896),""[^A-Za-z0-9]"","""")&amp;""-""&amp;Regexreplace(to_text(F896),""[^A-Za-z0-9]"",""""))"),"NEPTRONIC-EVCBSERIES")</f>
        <v>NEPTRONIC-EVCBSERIES</v>
      </c>
    </row>
    <row r="897" ht="30.0" customHeight="1">
      <c r="A897" s="173">
        <v>889.0</v>
      </c>
      <c r="B897" s="237" t="s">
        <v>670</v>
      </c>
      <c r="C897" s="257" t="s">
        <v>4240</v>
      </c>
      <c r="D897" s="173" t="s">
        <v>4240</v>
      </c>
      <c r="E897" s="174" t="s">
        <v>2861</v>
      </c>
      <c r="F897" s="173" t="s">
        <v>2862</v>
      </c>
      <c r="G897" s="328" t="s">
        <v>673</v>
      </c>
      <c r="H897" s="328" t="s">
        <v>2863</v>
      </c>
      <c r="I897" s="258" t="s">
        <v>2864</v>
      </c>
      <c r="J897" s="259" t="s">
        <v>965</v>
      </c>
      <c r="K897" s="260" t="s">
        <v>4241</v>
      </c>
      <c r="L897" s="328"/>
      <c r="M897" s="343"/>
      <c r="N897" s="173" t="s">
        <v>679</v>
      </c>
      <c r="O897" s="173" t="s">
        <v>225</v>
      </c>
      <c r="P897" s="262" t="str">
        <f t="shared" si="1"/>
        <v>IN-BLR-ANANTA-VAV-469_3</v>
      </c>
      <c r="Q897" s="173" t="s">
        <v>4242</v>
      </c>
      <c r="R897" s="328" t="str">
        <f>IFS(C897="","",C897="n/a","N/A",LEN(C897),Concatenate("{",char(34),"asset",char(34),":{",char(34),"guid",char(34),":",char(34),Q897,char(34),",",char(34),"site",char(34),":",char(34),LOWER('2-Building'!$B$4),char(34),",",char(34),"name",char(34),":",char(34),LOWER(C897),char(34),"}}"))</f>
        <v>{"asset":{"guid":"uuid://caaa74d9-3067-489c-b91a-4a227a687af0","site":"in-blr-ananta","name":"vav-469"}}</v>
      </c>
      <c r="S897" s="237" t="s">
        <v>2866</v>
      </c>
      <c r="T897" s="330"/>
      <c r="U897" s="330"/>
      <c r="V897" s="331"/>
      <c r="W897" s="344"/>
      <c r="X897" s="341"/>
      <c r="Y897" s="33" t="s">
        <v>2867</v>
      </c>
      <c r="Z897" s="258">
        <v>120469.0</v>
      </c>
      <c r="AA897" s="334">
        <v>11549.0</v>
      </c>
      <c r="AB897" s="341"/>
      <c r="AC897" s="341"/>
      <c r="AD897" s="343"/>
      <c r="AE897" s="331"/>
      <c r="AF897" s="348"/>
      <c r="AG897" s="337"/>
      <c r="AH897" s="341"/>
      <c r="AI897" s="341"/>
      <c r="AJ897" s="341"/>
      <c r="AK897" s="341"/>
      <c r="AL897" s="341"/>
      <c r="AM897" s="338"/>
      <c r="AN897" s="341"/>
      <c r="AO897" s="341"/>
      <c r="AP897" s="341"/>
      <c r="AQ897" s="341"/>
      <c r="AR897" s="341"/>
      <c r="AS897" s="341"/>
      <c r="AT897" s="341"/>
      <c r="AU897" s="343"/>
      <c r="AV897" s="341"/>
      <c r="AW897" s="269" t="s">
        <v>2124</v>
      </c>
      <c r="AX897" s="334" t="s">
        <v>2869</v>
      </c>
      <c r="AY897" s="270" t="s">
        <v>695</v>
      </c>
      <c r="AZ897" s="173" t="s">
        <v>2866</v>
      </c>
      <c r="BA897" s="265">
        <v>10.0</v>
      </c>
      <c r="BB897" s="174" t="s">
        <v>245</v>
      </c>
      <c r="BC897" s="341"/>
      <c r="BD897" s="308"/>
      <c r="BE897" s="347"/>
      <c r="BF897" s="274" t="str">
        <f>IFERROR(__xludf.DUMMYFUNCTION("LOWER(Regexreplace(to_text(E897),""[^A-Za-z0-9]"","""")&amp;""_""&amp;Regexreplace(to_text(F897),""[^A-Za-z0-9]"",""""))"),"neptronic_evcbseries")</f>
        <v>neptronic_evcbseries</v>
      </c>
      <c r="BG897" s="275" t="str">
        <f>IFERROR(__xludf.DUMMYFUNCTION("upper(Regexreplace(to_text(E897),""[^A-Za-z0-9]"","""")&amp;""-""&amp;Regexreplace(to_text(F897),""[^A-Za-z0-9]"",""""))"),"NEPTRONIC-EVCBSERIES")</f>
        <v>NEPTRONIC-EVCBSERIES</v>
      </c>
    </row>
    <row r="898" ht="30.0" customHeight="1">
      <c r="A898" s="258">
        <v>890.0</v>
      </c>
      <c r="B898" s="237" t="s">
        <v>670</v>
      </c>
      <c r="C898" s="257" t="s">
        <v>4243</v>
      </c>
      <c r="D898" s="173" t="s">
        <v>4243</v>
      </c>
      <c r="E898" s="174" t="s">
        <v>2861</v>
      </c>
      <c r="F898" s="173" t="s">
        <v>2862</v>
      </c>
      <c r="G898" s="328" t="s">
        <v>673</v>
      </c>
      <c r="H898" s="328" t="s">
        <v>2863</v>
      </c>
      <c r="I898" s="258" t="s">
        <v>2864</v>
      </c>
      <c r="J898" s="259" t="s">
        <v>965</v>
      </c>
      <c r="K898" s="260" t="s">
        <v>4244</v>
      </c>
      <c r="L898" s="328"/>
      <c r="M898" s="343"/>
      <c r="N898" s="173" t="s">
        <v>679</v>
      </c>
      <c r="O898" s="173" t="s">
        <v>225</v>
      </c>
      <c r="P898" s="262" t="str">
        <f t="shared" si="1"/>
        <v>IN-BLR-ANANTA-VAV-470_3</v>
      </c>
      <c r="Q898" s="173" t="s">
        <v>4245</v>
      </c>
      <c r="R898" s="328" t="str">
        <f>IFS(C898="","",C898="n/a","N/A",LEN(C898),Concatenate("{",char(34),"asset",char(34),":{",char(34),"guid",char(34),":",char(34),Q898,char(34),",",char(34),"site",char(34),":",char(34),LOWER('2-Building'!$B$4),char(34),",",char(34),"name",char(34),":",char(34),LOWER(C898),char(34),"}}"))</f>
        <v>{"asset":{"guid":"uuid://a408528d-2d74-4e5e-87ed-0d07659c0596","site":"in-blr-ananta","name":"vav-470"}}</v>
      </c>
      <c r="S898" s="237" t="s">
        <v>2866</v>
      </c>
      <c r="T898" s="330"/>
      <c r="U898" s="330"/>
      <c r="V898" s="331"/>
      <c r="W898" s="344"/>
      <c r="X898" s="341"/>
      <c r="Y898" s="33" t="s">
        <v>2867</v>
      </c>
      <c r="Z898" s="258">
        <v>120470.0</v>
      </c>
      <c r="AA898" s="334">
        <v>11549.0</v>
      </c>
      <c r="AB898" s="341"/>
      <c r="AC898" s="341"/>
      <c r="AD898" s="343"/>
      <c r="AE898" s="331"/>
      <c r="AF898" s="348"/>
      <c r="AG898" s="337"/>
      <c r="AH898" s="341"/>
      <c r="AI898" s="341"/>
      <c r="AJ898" s="341"/>
      <c r="AK898" s="341"/>
      <c r="AL898" s="341"/>
      <c r="AM898" s="338"/>
      <c r="AN898" s="341"/>
      <c r="AO898" s="341"/>
      <c r="AP898" s="341"/>
      <c r="AQ898" s="341"/>
      <c r="AR898" s="341"/>
      <c r="AS898" s="341"/>
      <c r="AT898" s="341"/>
      <c r="AU898" s="343"/>
      <c r="AV898" s="341"/>
      <c r="AW898" s="269" t="s">
        <v>2124</v>
      </c>
      <c r="AX898" s="334" t="s">
        <v>2869</v>
      </c>
      <c r="AY898" s="270" t="s">
        <v>695</v>
      </c>
      <c r="AZ898" s="173" t="s">
        <v>2866</v>
      </c>
      <c r="BA898" s="265">
        <v>10.0</v>
      </c>
      <c r="BB898" s="174" t="s">
        <v>245</v>
      </c>
      <c r="BC898" s="341"/>
      <c r="BD898" s="308"/>
      <c r="BE898" s="347"/>
      <c r="BF898" s="274" t="str">
        <f>IFERROR(__xludf.DUMMYFUNCTION("LOWER(Regexreplace(to_text(E898),""[^A-Za-z0-9]"","""")&amp;""_""&amp;Regexreplace(to_text(F898),""[^A-Za-z0-9]"",""""))"),"neptronic_evcbseries")</f>
        <v>neptronic_evcbseries</v>
      </c>
      <c r="BG898" s="275" t="str">
        <f>IFERROR(__xludf.DUMMYFUNCTION("upper(Regexreplace(to_text(E898),""[^A-Za-z0-9]"","""")&amp;""-""&amp;Regexreplace(to_text(F898),""[^A-Za-z0-9]"",""""))"),"NEPTRONIC-EVCBSERIES")</f>
        <v>NEPTRONIC-EVCBSERIES</v>
      </c>
    </row>
    <row r="899" ht="30.0" customHeight="1">
      <c r="A899" s="173">
        <v>891.0</v>
      </c>
      <c r="B899" s="237" t="s">
        <v>670</v>
      </c>
      <c r="C899" s="257" t="s">
        <v>4246</v>
      </c>
      <c r="D899" s="173" t="s">
        <v>4246</v>
      </c>
      <c r="E899" s="174" t="s">
        <v>2861</v>
      </c>
      <c r="F899" s="173" t="s">
        <v>2862</v>
      </c>
      <c r="G899" s="328" t="s">
        <v>673</v>
      </c>
      <c r="H899" s="328" t="s">
        <v>2863</v>
      </c>
      <c r="I899" s="258" t="s">
        <v>2864</v>
      </c>
      <c r="J899" s="259" t="s">
        <v>965</v>
      </c>
      <c r="K899" s="260" t="s">
        <v>4247</v>
      </c>
      <c r="L899" s="328"/>
      <c r="M899" s="343"/>
      <c r="N899" s="173" t="s">
        <v>679</v>
      </c>
      <c r="O899" s="173" t="s">
        <v>225</v>
      </c>
      <c r="P899" s="262" t="str">
        <f t="shared" si="1"/>
        <v>IN-BLR-ANANTA-VAV-471_3</v>
      </c>
      <c r="Q899" s="173" t="s">
        <v>4248</v>
      </c>
      <c r="R899" s="328" t="str">
        <f>IFS(C899="","",C899="n/a","N/A",LEN(C899),Concatenate("{",char(34),"asset",char(34),":{",char(34),"guid",char(34),":",char(34),Q899,char(34),",",char(34),"site",char(34),":",char(34),LOWER('2-Building'!$B$4),char(34),",",char(34),"name",char(34),":",char(34),LOWER(C899),char(34),"}}"))</f>
        <v>{"asset":{"guid":"uuid://693f5a8d-682b-4575-bb1e-d6ea3c6a8301","site":"in-blr-ananta","name":"vav-471"}}</v>
      </c>
      <c r="S899" s="237" t="s">
        <v>2866</v>
      </c>
      <c r="T899" s="330"/>
      <c r="U899" s="330"/>
      <c r="V899" s="331"/>
      <c r="W899" s="344"/>
      <c r="X899" s="341"/>
      <c r="Y899" s="33" t="s">
        <v>2867</v>
      </c>
      <c r="Z899" s="258">
        <v>120471.0</v>
      </c>
      <c r="AA899" s="334">
        <v>11549.0</v>
      </c>
      <c r="AB899" s="341"/>
      <c r="AC899" s="341"/>
      <c r="AD899" s="343"/>
      <c r="AE899" s="331"/>
      <c r="AF899" s="348"/>
      <c r="AG899" s="337"/>
      <c r="AH899" s="341"/>
      <c r="AI899" s="341"/>
      <c r="AJ899" s="341"/>
      <c r="AK899" s="341"/>
      <c r="AL899" s="341"/>
      <c r="AM899" s="338"/>
      <c r="AN899" s="341"/>
      <c r="AO899" s="341"/>
      <c r="AP899" s="341"/>
      <c r="AQ899" s="341"/>
      <c r="AR899" s="341"/>
      <c r="AS899" s="341"/>
      <c r="AT899" s="341"/>
      <c r="AU899" s="343"/>
      <c r="AV899" s="341"/>
      <c r="AW899" s="269" t="s">
        <v>2124</v>
      </c>
      <c r="AX899" s="334" t="s">
        <v>2869</v>
      </c>
      <c r="AY899" s="270" t="s">
        <v>695</v>
      </c>
      <c r="AZ899" s="173" t="s">
        <v>2866</v>
      </c>
      <c r="BA899" s="265">
        <v>10.0</v>
      </c>
      <c r="BB899" s="174" t="s">
        <v>245</v>
      </c>
      <c r="BC899" s="341"/>
      <c r="BD899" s="308"/>
      <c r="BE899" s="347"/>
      <c r="BF899" s="274" t="str">
        <f>IFERROR(__xludf.DUMMYFUNCTION("LOWER(Regexreplace(to_text(E899),""[^A-Za-z0-9]"","""")&amp;""_""&amp;Regexreplace(to_text(F899),""[^A-Za-z0-9]"",""""))"),"neptronic_evcbseries")</f>
        <v>neptronic_evcbseries</v>
      </c>
      <c r="BG899" s="275" t="str">
        <f>IFERROR(__xludf.DUMMYFUNCTION("upper(Regexreplace(to_text(E899),""[^A-Za-z0-9]"","""")&amp;""-""&amp;Regexreplace(to_text(F899),""[^A-Za-z0-9]"",""""))"),"NEPTRONIC-EVCBSERIES")</f>
        <v>NEPTRONIC-EVCBSERIES</v>
      </c>
    </row>
    <row r="900" ht="30.0" customHeight="1">
      <c r="A900" s="258">
        <v>892.0</v>
      </c>
      <c r="B900" s="237" t="s">
        <v>670</v>
      </c>
      <c r="C900" s="257" t="s">
        <v>4249</v>
      </c>
      <c r="D900" s="173" t="s">
        <v>4249</v>
      </c>
      <c r="E900" s="174" t="s">
        <v>2861</v>
      </c>
      <c r="F900" s="173" t="s">
        <v>2862</v>
      </c>
      <c r="G900" s="328" t="s">
        <v>673</v>
      </c>
      <c r="H900" s="328" t="s">
        <v>2863</v>
      </c>
      <c r="I900" s="258" t="s">
        <v>2864</v>
      </c>
      <c r="J900" s="259" t="s">
        <v>965</v>
      </c>
      <c r="K900" s="260" t="s">
        <v>4250</v>
      </c>
      <c r="L900" s="328"/>
      <c r="M900" s="343"/>
      <c r="N900" s="173" t="s">
        <v>679</v>
      </c>
      <c r="O900" s="173" t="s">
        <v>225</v>
      </c>
      <c r="P900" s="262" t="str">
        <f t="shared" si="1"/>
        <v>IN-BLR-ANANTA-VAV-472_3</v>
      </c>
      <c r="Q900" s="173" t="s">
        <v>4251</v>
      </c>
      <c r="R900" s="328" t="str">
        <f>IFS(C900="","",C900="n/a","N/A",LEN(C900),Concatenate("{",char(34),"asset",char(34),":{",char(34),"guid",char(34),":",char(34),Q900,char(34),",",char(34),"site",char(34),":",char(34),LOWER('2-Building'!$B$4),char(34),",",char(34),"name",char(34),":",char(34),LOWER(C900),char(34),"}}"))</f>
        <v>{"asset":{"guid":"uuid://d23cf3c4-9b7a-454d-b75a-9180b115c8fb","site":"in-blr-ananta","name":"vav-472"}}</v>
      </c>
      <c r="S900" s="237" t="s">
        <v>2866</v>
      </c>
      <c r="T900" s="330"/>
      <c r="U900" s="330"/>
      <c r="V900" s="331"/>
      <c r="W900" s="344"/>
      <c r="X900" s="341"/>
      <c r="Y900" s="33" t="s">
        <v>2867</v>
      </c>
      <c r="Z900" s="258">
        <v>120472.0</v>
      </c>
      <c r="AA900" s="334">
        <v>11549.0</v>
      </c>
      <c r="AB900" s="341"/>
      <c r="AC900" s="341"/>
      <c r="AD900" s="343"/>
      <c r="AE900" s="331"/>
      <c r="AF900" s="348"/>
      <c r="AG900" s="337"/>
      <c r="AH900" s="341"/>
      <c r="AI900" s="341"/>
      <c r="AJ900" s="341"/>
      <c r="AK900" s="341"/>
      <c r="AL900" s="341"/>
      <c r="AM900" s="338"/>
      <c r="AN900" s="341"/>
      <c r="AO900" s="341"/>
      <c r="AP900" s="341"/>
      <c r="AQ900" s="341"/>
      <c r="AR900" s="341"/>
      <c r="AS900" s="341"/>
      <c r="AT900" s="341"/>
      <c r="AU900" s="343"/>
      <c r="AV900" s="341"/>
      <c r="AW900" s="269" t="s">
        <v>2124</v>
      </c>
      <c r="AX900" s="334" t="s">
        <v>2869</v>
      </c>
      <c r="AY900" s="270" t="s">
        <v>695</v>
      </c>
      <c r="AZ900" s="173" t="s">
        <v>2866</v>
      </c>
      <c r="BA900" s="265">
        <v>10.0</v>
      </c>
      <c r="BB900" s="174" t="s">
        <v>245</v>
      </c>
      <c r="BC900" s="341"/>
      <c r="BD900" s="308"/>
      <c r="BE900" s="347"/>
      <c r="BF900" s="274" t="str">
        <f>IFERROR(__xludf.DUMMYFUNCTION("LOWER(Regexreplace(to_text(E900),""[^A-Za-z0-9]"","""")&amp;""_""&amp;Regexreplace(to_text(F900),""[^A-Za-z0-9]"",""""))"),"neptronic_evcbseries")</f>
        <v>neptronic_evcbseries</v>
      </c>
      <c r="BG900" s="275" t="str">
        <f>IFERROR(__xludf.DUMMYFUNCTION("upper(Regexreplace(to_text(E900),""[^A-Za-z0-9]"","""")&amp;""-""&amp;Regexreplace(to_text(F900),""[^A-Za-z0-9]"",""""))"),"NEPTRONIC-EVCBSERIES")</f>
        <v>NEPTRONIC-EVCBSERIES</v>
      </c>
    </row>
    <row r="901" ht="30.0" customHeight="1">
      <c r="A901" s="173">
        <v>893.0</v>
      </c>
      <c r="B901" s="237" t="s">
        <v>670</v>
      </c>
      <c r="C901" s="257" t="s">
        <v>4252</v>
      </c>
      <c r="D901" s="173" t="s">
        <v>4252</v>
      </c>
      <c r="E901" s="174" t="s">
        <v>2861</v>
      </c>
      <c r="F901" s="173" t="s">
        <v>2862</v>
      </c>
      <c r="G901" s="328" t="s">
        <v>673</v>
      </c>
      <c r="H901" s="328" t="s">
        <v>2863</v>
      </c>
      <c r="I901" s="258" t="s">
        <v>2864</v>
      </c>
      <c r="J901" s="259" t="s">
        <v>965</v>
      </c>
      <c r="K901" s="260" t="s">
        <v>4253</v>
      </c>
      <c r="L901" s="328"/>
      <c r="M901" s="343"/>
      <c r="N901" s="173" t="s">
        <v>679</v>
      </c>
      <c r="O901" s="173" t="s">
        <v>225</v>
      </c>
      <c r="P901" s="262" t="str">
        <f t="shared" si="1"/>
        <v>IN-BLR-ANANTA-VAV-473_3</v>
      </c>
      <c r="Q901" s="173" t="s">
        <v>4254</v>
      </c>
      <c r="R901" s="328" t="str">
        <f>IFS(C901="","",C901="n/a","N/A",LEN(C901),Concatenate("{",char(34),"asset",char(34),":{",char(34),"guid",char(34),":",char(34),Q901,char(34),",",char(34),"site",char(34),":",char(34),LOWER('2-Building'!$B$4),char(34),",",char(34),"name",char(34),":",char(34),LOWER(C901),char(34),"}}"))</f>
        <v>{"asset":{"guid":"uuid://67a87451-d653-4bef-9c92-fb3b423698f8","site":"in-blr-ananta","name":"vav-473"}}</v>
      </c>
      <c r="S901" s="237" t="s">
        <v>2866</v>
      </c>
      <c r="T901" s="330"/>
      <c r="U901" s="330"/>
      <c r="V901" s="331"/>
      <c r="W901" s="344"/>
      <c r="X901" s="341"/>
      <c r="Y901" s="33" t="s">
        <v>2867</v>
      </c>
      <c r="Z901" s="258">
        <v>120473.0</v>
      </c>
      <c r="AA901" s="334">
        <v>11549.0</v>
      </c>
      <c r="AB901" s="341"/>
      <c r="AC901" s="341"/>
      <c r="AD901" s="343"/>
      <c r="AE901" s="331"/>
      <c r="AF901" s="348"/>
      <c r="AG901" s="337"/>
      <c r="AH901" s="341"/>
      <c r="AI901" s="341"/>
      <c r="AJ901" s="341"/>
      <c r="AK901" s="341"/>
      <c r="AL901" s="341"/>
      <c r="AM901" s="338"/>
      <c r="AN901" s="341"/>
      <c r="AO901" s="341"/>
      <c r="AP901" s="341"/>
      <c r="AQ901" s="341"/>
      <c r="AR901" s="341"/>
      <c r="AS901" s="341"/>
      <c r="AT901" s="341"/>
      <c r="AU901" s="343"/>
      <c r="AV901" s="341"/>
      <c r="AW901" s="269" t="s">
        <v>2124</v>
      </c>
      <c r="AX901" s="334" t="s">
        <v>2869</v>
      </c>
      <c r="AY901" s="270" t="s">
        <v>695</v>
      </c>
      <c r="AZ901" s="173" t="s">
        <v>2866</v>
      </c>
      <c r="BA901" s="265">
        <v>10.0</v>
      </c>
      <c r="BB901" s="174" t="s">
        <v>245</v>
      </c>
      <c r="BC901" s="341"/>
      <c r="BD901" s="308"/>
      <c r="BE901" s="347"/>
      <c r="BF901" s="274" t="str">
        <f>IFERROR(__xludf.DUMMYFUNCTION("LOWER(Regexreplace(to_text(E901),""[^A-Za-z0-9]"","""")&amp;""_""&amp;Regexreplace(to_text(F901),""[^A-Za-z0-9]"",""""))"),"neptronic_evcbseries")</f>
        <v>neptronic_evcbseries</v>
      </c>
      <c r="BG901" s="275" t="str">
        <f>IFERROR(__xludf.DUMMYFUNCTION("upper(Regexreplace(to_text(E901),""[^A-Za-z0-9]"","""")&amp;""-""&amp;Regexreplace(to_text(F901),""[^A-Za-z0-9]"",""""))"),"NEPTRONIC-EVCBSERIES")</f>
        <v>NEPTRONIC-EVCBSERIES</v>
      </c>
    </row>
    <row r="902" ht="30.0" customHeight="1">
      <c r="A902" s="258">
        <v>894.0</v>
      </c>
      <c r="B902" s="237" t="s">
        <v>670</v>
      </c>
      <c r="C902" s="257" t="s">
        <v>4255</v>
      </c>
      <c r="D902" s="173" t="s">
        <v>4255</v>
      </c>
      <c r="E902" s="174" t="s">
        <v>2861</v>
      </c>
      <c r="F902" s="173" t="s">
        <v>2862</v>
      </c>
      <c r="G902" s="328" t="s">
        <v>673</v>
      </c>
      <c r="H902" s="328" t="s">
        <v>2863</v>
      </c>
      <c r="I902" s="258" t="s">
        <v>2864</v>
      </c>
      <c r="J902" s="259" t="s">
        <v>965</v>
      </c>
      <c r="K902" s="260" t="s">
        <v>4256</v>
      </c>
      <c r="L902" s="328"/>
      <c r="M902" s="343"/>
      <c r="N902" s="173" t="s">
        <v>679</v>
      </c>
      <c r="O902" s="173" t="s">
        <v>225</v>
      </c>
      <c r="P902" s="262" t="str">
        <f t="shared" si="1"/>
        <v>IN-BLR-ANANTA-VAV-474_3</v>
      </c>
      <c r="Q902" s="173" t="s">
        <v>4257</v>
      </c>
      <c r="R902" s="328" t="str">
        <f>IFS(C902="","",C902="n/a","N/A",LEN(C902),Concatenate("{",char(34),"asset",char(34),":{",char(34),"guid",char(34),":",char(34),Q902,char(34),",",char(34),"site",char(34),":",char(34),LOWER('2-Building'!$B$4),char(34),",",char(34),"name",char(34),":",char(34),LOWER(C902),char(34),"}}"))</f>
        <v>{"asset":{"guid":"uuid://90842c7e-7f4f-4c9c-861a-00b39c16190e","site":"in-blr-ananta","name":"vav-474"}}</v>
      </c>
      <c r="S902" s="237" t="s">
        <v>2866</v>
      </c>
      <c r="T902" s="330"/>
      <c r="U902" s="330"/>
      <c r="V902" s="331"/>
      <c r="W902" s="344"/>
      <c r="X902" s="341"/>
      <c r="Y902" s="33" t="s">
        <v>2867</v>
      </c>
      <c r="Z902" s="258">
        <v>120474.0</v>
      </c>
      <c r="AA902" s="334">
        <v>11549.0</v>
      </c>
      <c r="AB902" s="341"/>
      <c r="AC902" s="341"/>
      <c r="AD902" s="343"/>
      <c r="AE902" s="331"/>
      <c r="AF902" s="348"/>
      <c r="AG902" s="337"/>
      <c r="AH902" s="341"/>
      <c r="AI902" s="341"/>
      <c r="AJ902" s="341"/>
      <c r="AK902" s="341"/>
      <c r="AL902" s="341"/>
      <c r="AM902" s="338"/>
      <c r="AN902" s="341"/>
      <c r="AO902" s="341"/>
      <c r="AP902" s="341"/>
      <c r="AQ902" s="341"/>
      <c r="AR902" s="341"/>
      <c r="AS902" s="341"/>
      <c r="AT902" s="341"/>
      <c r="AU902" s="343"/>
      <c r="AV902" s="341"/>
      <c r="AW902" s="269" t="s">
        <v>2124</v>
      </c>
      <c r="AX902" s="334" t="s">
        <v>2869</v>
      </c>
      <c r="AY902" s="270" t="s">
        <v>695</v>
      </c>
      <c r="AZ902" s="173" t="s">
        <v>2866</v>
      </c>
      <c r="BA902" s="265">
        <v>10.0</v>
      </c>
      <c r="BB902" s="174" t="s">
        <v>245</v>
      </c>
      <c r="BC902" s="341"/>
      <c r="BD902" s="308"/>
      <c r="BE902" s="347"/>
      <c r="BF902" s="274" t="str">
        <f>IFERROR(__xludf.DUMMYFUNCTION("LOWER(Regexreplace(to_text(E902),""[^A-Za-z0-9]"","""")&amp;""_""&amp;Regexreplace(to_text(F902),""[^A-Za-z0-9]"",""""))"),"neptronic_evcbseries")</f>
        <v>neptronic_evcbseries</v>
      </c>
      <c r="BG902" s="275" t="str">
        <f>IFERROR(__xludf.DUMMYFUNCTION("upper(Regexreplace(to_text(E902),""[^A-Za-z0-9]"","""")&amp;""-""&amp;Regexreplace(to_text(F902),""[^A-Za-z0-9]"",""""))"),"NEPTRONIC-EVCBSERIES")</f>
        <v>NEPTRONIC-EVCBSERIES</v>
      </c>
    </row>
    <row r="903" ht="30.0" customHeight="1">
      <c r="A903" s="173">
        <v>895.0</v>
      </c>
      <c r="B903" s="237" t="s">
        <v>670</v>
      </c>
      <c r="C903" s="257" t="s">
        <v>4258</v>
      </c>
      <c r="D903" s="173" t="s">
        <v>4258</v>
      </c>
      <c r="E903" s="174" t="s">
        <v>2861</v>
      </c>
      <c r="F903" s="173" t="s">
        <v>2862</v>
      </c>
      <c r="G903" s="328" t="s">
        <v>673</v>
      </c>
      <c r="H903" s="328" t="s">
        <v>2863</v>
      </c>
      <c r="I903" s="258" t="s">
        <v>2864</v>
      </c>
      <c r="J903" s="259" t="s">
        <v>965</v>
      </c>
      <c r="K903" s="260" t="s">
        <v>4195</v>
      </c>
      <c r="L903" s="328"/>
      <c r="M903" s="343"/>
      <c r="N903" s="173" t="s">
        <v>679</v>
      </c>
      <c r="O903" s="173" t="s">
        <v>225</v>
      </c>
      <c r="P903" s="262" t="str">
        <f t="shared" si="1"/>
        <v>IN-BLR-ANANTA-VAV-475_3</v>
      </c>
      <c r="Q903" s="173" t="s">
        <v>4259</v>
      </c>
      <c r="R903" s="328" t="str">
        <f>IFS(C903="","",C903="n/a","N/A",LEN(C903),Concatenate("{",char(34),"asset",char(34),":{",char(34),"guid",char(34),":",char(34),Q903,char(34),",",char(34),"site",char(34),":",char(34),LOWER('2-Building'!$B$4),char(34),",",char(34),"name",char(34),":",char(34),LOWER(C903),char(34),"}}"))</f>
        <v>{"asset":{"guid":"uuid://5382d7e5-2e02-43e4-bb20-27116d3ea0f6","site":"in-blr-ananta","name":"vav-475"}}</v>
      </c>
      <c r="S903" s="237" t="s">
        <v>2866</v>
      </c>
      <c r="T903" s="330"/>
      <c r="U903" s="330"/>
      <c r="V903" s="331"/>
      <c r="W903" s="344"/>
      <c r="X903" s="341"/>
      <c r="Y903" s="33" t="s">
        <v>2867</v>
      </c>
      <c r="Z903" s="258">
        <v>120475.0</v>
      </c>
      <c r="AA903" s="334">
        <v>11549.0</v>
      </c>
      <c r="AB903" s="341"/>
      <c r="AC903" s="341"/>
      <c r="AD903" s="343"/>
      <c r="AE903" s="331"/>
      <c r="AF903" s="348"/>
      <c r="AG903" s="337"/>
      <c r="AH903" s="341"/>
      <c r="AI903" s="341"/>
      <c r="AJ903" s="341"/>
      <c r="AK903" s="341"/>
      <c r="AL903" s="341"/>
      <c r="AM903" s="338"/>
      <c r="AN903" s="341"/>
      <c r="AO903" s="341"/>
      <c r="AP903" s="341"/>
      <c r="AQ903" s="341"/>
      <c r="AR903" s="341"/>
      <c r="AS903" s="341"/>
      <c r="AT903" s="341"/>
      <c r="AU903" s="343"/>
      <c r="AV903" s="341"/>
      <c r="AW903" s="269" t="s">
        <v>2124</v>
      </c>
      <c r="AX903" s="334" t="s">
        <v>2869</v>
      </c>
      <c r="AY903" s="270" t="s">
        <v>695</v>
      </c>
      <c r="AZ903" s="173" t="s">
        <v>2866</v>
      </c>
      <c r="BA903" s="265">
        <v>10.0</v>
      </c>
      <c r="BB903" s="174" t="s">
        <v>245</v>
      </c>
      <c r="BC903" s="341"/>
      <c r="BD903" s="308"/>
      <c r="BE903" s="347"/>
      <c r="BF903" s="274" t="str">
        <f>IFERROR(__xludf.DUMMYFUNCTION("LOWER(Regexreplace(to_text(E903),""[^A-Za-z0-9]"","""")&amp;""_""&amp;Regexreplace(to_text(F903),""[^A-Za-z0-9]"",""""))"),"neptronic_evcbseries")</f>
        <v>neptronic_evcbseries</v>
      </c>
      <c r="BG903" s="275" t="str">
        <f>IFERROR(__xludf.DUMMYFUNCTION("upper(Regexreplace(to_text(E903),""[^A-Za-z0-9]"","""")&amp;""-""&amp;Regexreplace(to_text(F903),""[^A-Za-z0-9]"",""""))"),"NEPTRONIC-EVCBSERIES")</f>
        <v>NEPTRONIC-EVCBSERIES</v>
      </c>
    </row>
    <row r="904" ht="30.0" customHeight="1">
      <c r="A904" s="258">
        <v>896.0</v>
      </c>
      <c r="B904" s="237" t="s">
        <v>670</v>
      </c>
      <c r="C904" s="257" t="s">
        <v>4260</v>
      </c>
      <c r="D904" s="173" t="s">
        <v>4260</v>
      </c>
      <c r="E904" s="174" t="s">
        <v>2861</v>
      </c>
      <c r="F904" s="173" t="s">
        <v>2862</v>
      </c>
      <c r="G904" s="328" t="s">
        <v>673</v>
      </c>
      <c r="H904" s="328" t="s">
        <v>2863</v>
      </c>
      <c r="I904" s="258" t="s">
        <v>2864</v>
      </c>
      <c r="J904" s="259" t="s">
        <v>965</v>
      </c>
      <c r="K904" s="260" t="s">
        <v>4261</v>
      </c>
      <c r="L904" s="328"/>
      <c r="M904" s="343"/>
      <c r="N904" s="173" t="s">
        <v>679</v>
      </c>
      <c r="O904" s="173" t="s">
        <v>225</v>
      </c>
      <c r="P904" s="262" t="str">
        <f t="shared" si="1"/>
        <v>IN-BLR-ANANTA-VAV-476_3</v>
      </c>
      <c r="Q904" s="173" t="s">
        <v>4262</v>
      </c>
      <c r="R904" s="328" t="str">
        <f>IFS(C904="","",C904="n/a","N/A",LEN(C904),Concatenate("{",char(34),"asset",char(34),":{",char(34),"guid",char(34),":",char(34),Q904,char(34),",",char(34),"site",char(34),":",char(34),LOWER('2-Building'!$B$4),char(34),",",char(34),"name",char(34),":",char(34),LOWER(C904),char(34),"}}"))</f>
        <v>{"asset":{"guid":"uuid://b4ea7d1a-bf84-4b34-b0f3-d306f35a8fed","site":"in-blr-ananta","name":"vav-476"}}</v>
      </c>
      <c r="S904" s="237" t="s">
        <v>2866</v>
      </c>
      <c r="T904" s="330"/>
      <c r="U904" s="330"/>
      <c r="V904" s="331"/>
      <c r="W904" s="344"/>
      <c r="X904" s="341"/>
      <c r="Y904" s="33" t="s">
        <v>2867</v>
      </c>
      <c r="Z904" s="258">
        <v>120476.0</v>
      </c>
      <c r="AA904" s="334">
        <v>11549.0</v>
      </c>
      <c r="AB904" s="341"/>
      <c r="AC904" s="341"/>
      <c r="AD904" s="343"/>
      <c r="AE904" s="331"/>
      <c r="AF904" s="348"/>
      <c r="AG904" s="337"/>
      <c r="AH904" s="341"/>
      <c r="AI904" s="341"/>
      <c r="AJ904" s="341"/>
      <c r="AK904" s="341"/>
      <c r="AL904" s="341"/>
      <c r="AM904" s="338"/>
      <c r="AN904" s="341"/>
      <c r="AO904" s="341"/>
      <c r="AP904" s="341"/>
      <c r="AQ904" s="341"/>
      <c r="AR904" s="341"/>
      <c r="AS904" s="341"/>
      <c r="AT904" s="341"/>
      <c r="AU904" s="343"/>
      <c r="AV904" s="341"/>
      <c r="AW904" s="269" t="s">
        <v>2124</v>
      </c>
      <c r="AX904" s="334" t="s">
        <v>2869</v>
      </c>
      <c r="AY904" s="270" t="s">
        <v>695</v>
      </c>
      <c r="AZ904" s="173" t="s">
        <v>2866</v>
      </c>
      <c r="BA904" s="265">
        <v>10.0</v>
      </c>
      <c r="BB904" s="174" t="s">
        <v>245</v>
      </c>
      <c r="BC904" s="341"/>
      <c r="BD904" s="308"/>
      <c r="BE904" s="347"/>
      <c r="BF904" s="274" t="str">
        <f>IFERROR(__xludf.DUMMYFUNCTION("LOWER(Regexreplace(to_text(E904),""[^A-Za-z0-9]"","""")&amp;""_""&amp;Regexreplace(to_text(F904),""[^A-Za-z0-9]"",""""))"),"neptronic_evcbseries")</f>
        <v>neptronic_evcbseries</v>
      </c>
      <c r="BG904" s="275" t="str">
        <f>IFERROR(__xludf.DUMMYFUNCTION("upper(Regexreplace(to_text(E904),""[^A-Za-z0-9]"","""")&amp;""-""&amp;Regexreplace(to_text(F904),""[^A-Za-z0-9]"",""""))"),"NEPTRONIC-EVCBSERIES")</f>
        <v>NEPTRONIC-EVCBSERIES</v>
      </c>
    </row>
    <row r="905" ht="30.0" customHeight="1">
      <c r="A905" s="173">
        <v>897.0</v>
      </c>
      <c r="B905" s="237" t="s">
        <v>670</v>
      </c>
      <c r="C905" s="257" t="s">
        <v>4263</v>
      </c>
      <c r="D905" s="173" t="s">
        <v>4263</v>
      </c>
      <c r="E905" s="174" t="s">
        <v>2861</v>
      </c>
      <c r="F905" s="173" t="s">
        <v>2862</v>
      </c>
      <c r="G905" s="328" t="s">
        <v>673</v>
      </c>
      <c r="H905" s="328" t="s">
        <v>2863</v>
      </c>
      <c r="I905" s="258" t="s">
        <v>2864</v>
      </c>
      <c r="J905" s="259" t="s">
        <v>965</v>
      </c>
      <c r="K905" s="260" t="s">
        <v>4264</v>
      </c>
      <c r="L905" s="328"/>
      <c r="M905" s="343"/>
      <c r="N905" s="173" t="s">
        <v>679</v>
      </c>
      <c r="O905" s="173" t="s">
        <v>225</v>
      </c>
      <c r="P905" s="262" t="str">
        <f t="shared" si="1"/>
        <v>IN-BLR-ANANTA-VAV-477_3</v>
      </c>
      <c r="Q905" s="173" t="s">
        <v>4265</v>
      </c>
      <c r="R905" s="328" t="str">
        <f>IFS(C905="","",C905="n/a","N/A",LEN(C905),Concatenate("{",char(34),"asset",char(34),":{",char(34),"guid",char(34),":",char(34),Q905,char(34),",",char(34),"site",char(34),":",char(34),LOWER('2-Building'!$B$4),char(34),",",char(34),"name",char(34),":",char(34),LOWER(C905),char(34),"}}"))</f>
        <v>{"asset":{"guid":"uuid://74841fc2-6fbd-4d11-afa9-b5c078b19d5e","site":"in-blr-ananta","name":"vav-477"}}</v>
      </c>
      <c r="S905" s="237" t="s">
        <v>2866</v>
      </c>
      <c r="T905" s="330"/>
      <c r="U905" s="330"/>
      <c r="V905" s="331"/>
      <c r="W905" s="344"/>
      <c r="X905" s="341"/>
      <c r="Y905" s="33" t="s">
        <v>2867</v>
      </c>
      <c r="Z905" s="258">
        <v>120477.0</v>
      </c>
      <c r="AA905" s="334">
        <v>11549.0</v>
      </c>
      <c r="AB905" s="341"/>
      <c r="AC905" s="341"/>
      <c r="AD905" s="343"/>
      <c r="AE905" s="331"/>
      <c r="AF905" s="348"/>
      <c r="AG905" s="337"/>
      <c r="AH905" s="341"/>
      <c r="AI905" s="341"/>
      <c r="AJ905" s="341"/>
      <c r="AK905" s="341"/>
      <c r="AL905" s="341"/>
      <c r="AM905" s="338"/>
      <c r="AN905" s="341"/>
      <c r="AO905" s="341"/>
      <c r="AP905" s="341"/>
      <c r="AQ905" s="341"/>
      <c r="AR905" s="341"/>
      <c r="AS905" s="341"/>
      <c r="AT905" s="341"/>
      <c r="AU905" s="343"/>
      <c r="AV905" s="341"/>
      <c r="AW905" s="269" t="s">
        <v>2124</v>
      </c>
      <c r="AX905" s="334" t="s">
        <v>2869</v>
      </c>
      <c r="AY905" s="270" t="s">
        <v>695</v>
      </c>
      <c r="AZ905" s="173" t="s">
        <v>2866</v>
      </c>
      <c r="BA905" s="265">
        <v>10.0</v>
      </c>
      <c r="BB905" s="174" t="s">
        <v>245</v>
      </c>
      <c r="BC905" s="341"/>
      <c r="BD905" s="308"/>
      <c r="BE905" s="347"/>
      <c r="BF905" s="274" t="str">
        <f>IFERROR(__xludf.DUMMYFUNCTION("LOWER(Regexreplace(to_text(E905),""[^A-Za-z0-9]"","""")&amp;""_""&amp;Regexreplace(to_text(F905),""[^A-Za-z0-9]"",""""))"),"neptronic_evcbseries")</f>
        <v>neptronic_evcbseries</v>
      </c>
      <c r="BG905" s="275" t="str">
        <f>IFERROR(__xludf.DUMMYFUNCTION("upper(Regexreplace(to_text(E905),""[^A-Za-z0-9]"","""")&amp;""-""&amp;Regexreplace(to_text(F905),""[^A-Za-z0-9]"",""""))"),"NEPTRONIC-EVCBSERIES")</f>
        <v>NEPTRONIC-EVCBSERIES</v>
      </c>
    </row>
    <row r="906" ht="30.0" customHeight="1">
      <c r="A906" s="258">
        <v>898.0</v>
      </c>
      <c r="B906" s="237" t="s">
        <v>670</v>
      </c>
      <c r="C906" s="257" t="s">
        <v>4266</v>
      </c>
      <c r="D906" s="173" t="s">
        <v>4266</v>
      </c>
      <c r="E906" s="174" t="s">
        <v>2861</v>
      </c>
      <c r="F906" s="173" t="s">
        <v>2862</v>
      </c>
      <c r="G906" s="328" t="s">
        <v>673</v>
      </c>
      <c r="H906" s="328" t="s">
        <v>2863</v>
      </c>
      <c r="I906" s="258" t="s">
        <v>2864</v>
      </c>
      <c r="J906" s="259" t="s">
        <v>965</v>
      </c>
      <c r="K906" s="260" t="s">
        <v>4267</v>
      </c>
      <c r="L906" s="328"/>
      <c r="M906" s="343"/>
      <c r="N906" s="173" t="s">
        <v>679</v>
      </c>
      <c r="O906" s="173" t="s">
        <v>225</v>
      </c>
      <c r="P906" s="262" t="str">
        <f t="shared" si="1"/>
        <v>IN-BLR-ANANTA-VAV-478_3</v>
      </c>
      <c r="Q906" s="173" t="s">
        <v>4268</v>
      </c>
      <c r="R906" s="328" t="str">
        <f>IFS(C906="","",C906="n/a","N/A",LEN(C906),Concatenate("{",char(34),"asset",char(34),":{",char(34),"guid",char(34),":",char(34),Q906,char(34),",",char(34),"site",char(34),":",char(34),LOWER('2-Building'!$B$4),char(34),",",char(34),"name",char(34),":",char(34),LOWER(C906),char(34),"}}"))</f>
        <v>{"asset":{"guid":"uuid://c6bd1d53-8378-4ab7-88c3-95b7c7da2379","site":"in-blr-ananta","name":"vav-478"}}</v>
      </c>
      <c r="S906" s="237" t="s">
        <v>2866</v>
      </c>
      <c r="T906" s="330"/>
      <c r="U906" s="330"/>
      <c r="V906" s="331"/>
      <c r="W906" s="344"/>
      <c r="X906" s="341"/>
      <c r="Y906" s="33" t="s">
        <v>2867</v>
      </c>
      <c r="Z906" s="258">
        <v>120478.0</v>
      </c>
      <c r="AA906" s="334">
        <v>11549.0</v>
      </c>
      <c r="AB906" s="341"/>
      <c r="AC906" s="341"/>
      <c r="AD906" s="343"/>
      <c r="AE906" s="331"/>
      <c r="AF906" s="348"/>
      <c r="AG906" s="337"/>
      <c r="AH906" s="341"/>
      <c r="AI906" s="341"/>
      <c r="AJ906" s="341"/>
      <c r="AK906" s="341"/>
      <c r="AL906" s="341"/>
      <c r="AM906" s="338"/>
      <c r="AN906" s="341"/>
      <c r="AO906" s="341"/>
      <c r="AP906" s="341"/>
      <c r="AQ906" s="341"/>
      <c r="AR906" s="341"/>
      <c r="AS906" s="341"/>
      <c r="AT906" s="341"/>
      <c r="AU906" s="343"/>
      <c r="AV906" s="341"/>
      <c r="AW906" s="269" t="s">
        <v>2124</v>
      </c>
      <c r="AX906" s="334" t="s">
        <v>2869</v>
      </c>
      <c r="AY906" s="270" t="s">
        <v>695</v>
      </c>
      <c r="AZ906" s="173" t="s">
        <v>2866</v>
      </c>
      <c r="BA906" s="265">
        <v>10.0</v>
      </c>
      <c r="BB906" s="174" t="s">
        <v>245</v>
      </c>
      <c r="BC906" s="341"/>
      <c r="BD906" s="308"/>
      <c r="BE906" s="347"/>
      <c r="BF906" s="274" t="str">
        <f>IFERROR(__xludf.DUMMYFUNCTION("LOWER(Regexreplace(to_text(E906),""[^A-Za-z0-9]"","""")&amp;""_""&amp;Regexreplace(to_text(F906),""[^A-Za-z0-9]"",""""))"),"neptronic_evcbseries")</f>
        <v>neptronic_evcbseries</v>
      </c>
      <c r="BG906" s="275" t="str">
        <f>IFERROR(__xludf.DUMMYFUNCTION("upper(Regexreplace(to_text(E906),""[^A-Za-z0-9]"","""")&amp;""-""&amp;Regexreplace(to_text(F906),""[^A-Za-z0-9]"",""""))"),"NEPTRONIC-EVCBSERIES")</f>
        <v>NEPTRONIC-EVCBSERIES</v>
      </c>
    </row>
    <row r="907" ht="30.0" customHeight="1">
      <c r="A907" s="173">
        <v>899.0</v>
      </c>
      <c r="B907" s="237" t="s">
        <v>670</v>
      </c>
      <c r="C907" s="257" t="s">
        <v>4269</v>
      </c>
      <c r="D907" s="173" t="s">
        <v>4269</v>
      </c>
      <c r="E907" s="174" t="s">
        <v>2861</v>
      </c>
      <c r="F907" s="173" t="s">
        <v>2862</v>
      </c>
      <c r="G907" s="328" t="s">
        <v>673</v>
      </c>
      <c r="H907" s="328" t="s">
        <v>2863</v>
      </c>
      <c r="I907" s="258" t="s">
        <v>2864</v>
      </c>
      <c r="J907" s="259" t="s">
        <v>965</v>
      </c>
      <c r="K907" s="260" t="s">
        <v>4270</v>
      </c>
      <c r="L907" s="328"/>
      <c r="M907" s="343"/>
      <c r="N907" s="173" t="s">
        <v>679</v>
      </c>
      <c r="O907" s="173" t="s">
        <v>225</v>
      </c>
      <c r="P907" s="262" t="str">
        <f t="shared" si="1"/>
        <v>IN-BLR-ANANTA-VAV-479_3</v>
      </c>
      <c r="Q907" s="173" t="s">
        <v>4271</v>
      </c>
      <c r="R907" s="328" t="str">
        <f>IFS(C907="","",C907="n/a","N/A",LEN(C907),Concatenate("{",char(34),"asset",char(34),":{",char(34),"guid",char(34),":",char(34),Q907,char(34),",",char(34),"site",char(34),":",char(34),LOWER('2-Building'!$B$4),char(34),",",char(34),"name",char(34),":",char(34),LOWER(C907),char(34),"}}"))</f>
        <v>{"asset":{"guid":"uuid://08983be0-9ef4-4cee-8e03-f2c275d52a84","site":"in-blr-ananta","name":"vav-479"}}</v>
      </c>
      <c r="S907" s="237" t="s">
        <v>2866</v>
      </c>
      <c r="T907" s="330"/>
      <c r="U907" s="330"/>
      <c r="V907" s="331"/>
      <c r="W907" s="344"/>
      <c r="X907" s="341"/>
      <c r="Y907" s="33" t="s">
        <v>2867</v>
      </c>
      <c r="Z907" s="258">
        <v>120479.0</v>
      </c>
      <c r="AA907" s="334">
        <v>11549.0</v>
      </c>
      <c r="AB907" s="341"/>
      <c r="AC907" s="341"/>
      <c r="AD907" s="343"/>
      <c r="AE907" s="331"/>
      <c r="AF907" s="348"/>
      <c r="AG907" s="337"/>
      <c r="AH907" s="341"/>
      <c r="AI907" s="341"/>
      <c r="AJ907" s="341"/>
      <c r="AK907" s="341"/>
      <c r="AL907" s="341"/>
      <c r="AM907" s="338"/>
      <c r="AN907" s="341"/>
      <c r="AO907" s="341"/>
      <c r="AP907" s="341"/>
      <c r="AQ907" s="341"/>
      <c r="AR907" s="341"/>
      <c r="AS907" s="341"/>
      <c r="AT907" s="341"/>
      <c r="AU907" s="343"/>
      <c r="AV907" s="341"/>
      <c r="AW907" s="269" t="s">
        <v>2124</v>
      </c>
      <c r="AX907" s="334" t="s">
        <v>2869</v>
      </c>
      <c r="AY907" s="270" t="s">
        <v>695</v>
      </c>
      <c r="AZ907" s="173" t="s">
        <v>2866</v>
      </c>
      <c r="BA907" s="265">
        <v>10.0</v>
      </c>
      <c r="BB907" s="174" t="s">
        <v>245</v>
      </c>
      <c r="BC907" s="341"/>
      <c r="BD907" s="308"/>
      <c r="BE907" s="347"/>
      <c r="BF907" s="274" t="str">
        <f>IFERROR(__xludf.DUMMYFUNCTION("LOWER(Regexreplace(to_text(E907),""[^A-Za-z0-9]"","""")&amp;""_""&amp;Regexreplace(to_text(F907),""[^A-Za-z0-9]"",""""))"),"neptronic_evcbseries")</f>
        <v>neptronic_evcbseries</v>
      </c>
      <c r="BG907" s="275" t="str">
        <f>IFERROR(__xludf.DUMMYFUNCTION("upper(Regexreplace(to_text(E907),""[^A-Za-z0-9]"","""")&amp;""-""&amp;Regexreplace(to_text(F907),""[^A-Za-z0-9]"",""""))"),"NEPTRONIC-EVCBSERIES")</f>
        <v>NEPTRONIC-EVCBSERIES</v>
      </c>
    </row>
    <row r="908" ht="30.0" customHeight="1">
      <c r="A908" s="258">
        <v>900.0</v>
      </c>
      <c r="B908" s="237" t="s">
        <v>670</v>
      </c>
      <c r="C908" s="257" t="s">
        <v>4272</v>
      </c>
      <c r="D908" s="173" t="s">
        <v>4272</v>
      </c>
      <c r="E908" s="174" t="s">
        <v>2861</v>
      </c>
      <c r="F908" s="173" t="s">
        <v>2862</v>
      </c>
      <c r="G908" s="328" t="s">
        <v>673</v>
      </c>
      <c r="H908" s="328" t="s">
        <v>2863</v>
      </c>
      <c r="I908" s="258" t="s">
        <v>2864</v>
      </c>
      <c r="J908" s="259" t="s">
        <v>965</v>
      </c>
      <c r="K908" s="260" t="s">
        <v>4273</v>
      </c>
      <c r="L908" s="328"/>
      <c r="M908" s="343"/>
      <c r="N908" s="173" t="s">
        <v>679</v>
      </c>
      <c r="O908" s="173" t="s">
        <v>225</v>
      </c>
      <c r="P908" s="262" t="str">
        <f t="shared" si="1"/>
        <v>IN-BLR-ANANTA-VAV-480_3</v>
      </c>
      <c r="Q908" s="173" t="s">
        <v>4274</v>
      </c>
      <c r="R908" s="328" t="str">
        <f>IFS(C908="","",C908="n/a","N/A",LEN(C908),Concatenate("{",char(34),"asset",char(34),":{",char(34),"guid",char(34),":",char(34),Q908,char(34),",",char(34),"site",char(34),":",char(34),LOWER('2-Building'!$B$4),char(34),",",char(34),"name",char(34),":",char(34),LOWER(C908),char(34),"}}"))</f>
        <v>{"asset":{"guid":"uuid://16cc3e2b-202a-47dd-b680-90a88de9fbfb","site":"in-blr-ananta","name":"vav-480"}}</v>
      </c>
      <c r="S908" s="237" t="s">
        <v>2866</v>
      </c>
      <c r="T908" s="330"/>
      <c r="U908" s="330"/>
      <c r="V908" s="331"/>
      <c r="W908" s="344"/>
      <c r="X908" s="341"/>
      <c r="Y908" s="33" t="s">
        <v>2867</v>
      </c>
      <c r="Z908" s="258">
        <v>120480.0</v>
      </c>
      <c r="AA908" s="334">
        <v>11549.0</v>
      </c>
      <c r="AB908" s="341"/>
      <c r="AC908" s="341"/>
      <c r="AD908" s="343"/>
      <c r="AE908" s="331"/>
      <c r="AF908" s="348"/>
      <c r="AG908" s="337"/>
      <c r="AH908" s="341"/>
      <c r="AI908" s="341"/>
      <c r="AJ908" s="341"/>
      <c r="AK908" s="341"/>
      <c r="AL908" s="341"/>
      <c r="AM908" s="338"/>
      <c r="AN908" s="341"/>
      <c r="AO908" s="341"/>
      <c r="AP908" s="341"/>
      <c r="AQ908" s="341"/>
      <c r="AR908" s="341"/>
      <c r="AS908" s="341"/>
      <c r="AT908" s="341"/>
      <c r="AU908" s="343"/>
      <c r="AV908" s="341"/>
      <c r="AW908" s="269" t="s">
        <v>2124</v>
      </c>
      <c r="AX908" s="334" t="s">
        <v>2869</v>
      </c>
      <c r="AY908" s="270" t="s">
        <v>695</v>
      </c>
      <c r="AZ908" s="173" t="s">
        <v>2866</v>
      </c>
      <c r="BA908" s="265">
        <v>10.0</v>
      </c>
      <c r="BB908" s="174" t="s">
        <v>245</v>
      </c>
      <c r="BC908" s="341"/>
      <c r="BD908" s="308"/>
      <c r="BE908" s="347"/>
      <c r="BF908" s="274" t="str">
        <f>IFERROR(__xludf.DUMMYFUNCTION("LOWER(Regexreplace(to_text(E908),""[^A-Za-z0-9]"","""")&amp;""_""&amp;Regexreplace(to_text(F908),""[^A-Za-z0-9]"",""""))"),"neptronic_evcbseries")</f>
        <v>neptronic_evcbseries</v>
      </c>
      <c r="BG908" s="275" t="str">
        <f>IFERROR(__xludf.DUMMYFUNCTION("upper(Regexreplace(to_text(E908),""[^A-Za-z0-9]"","""")&amp;""-""&amp;Regexreplace(to_text(F908),""[^A-Za-z0-9]"",""""))"),"NEPTRONIC-EVCBSERIES")</f>
        <v>NEPTRONIC-EVCBSERIES</v>
      </c>
    </row>
    <row r="909" ht="30.0" customHeight="1">
      <c r="A909" s="173">
        <v>901.0</v>
      </c>
      <c r="B909" s="237" t="s">
        <v>670</v>
      </c>
      <c r="C909" s="257" t="s">
        <v>4275</v>
      </c>
      <c r="D909" s="173" t="s">
        <v>4275</v>
      </c>
      <c r="E909" s="174" t="s">
        <v>2861</v>
      </c>
      <c r="F909" s="173" t="s">
        <v>2862</v>
      </c>
      <c r="G909" s="328" t="s">
        <v>673</v>
      </c>
      <c r="H909" s="328" t="s">
        <v>2863</v>
      </c>
      <c r="I909" s="258" t="s">
        <v>2864</v>
      </c>
      <c r="J909" s="259" t="s">
        <v>965</v>
      </c>
      <c r="K909" s="260" t="s">
        <v>4276</v>
      </c>
      <c r="L909" s="328"/>
      <c r="M909" s="343"/>
      <c r="N909" s="173" t="s">
        <v>679</v>
      </c>
      <c r="O909" s="173" t="s">
        <v>225</v>
      </c>
      <c r="P909" s="262" t="str">
        <f t="shared" si="1"/>
        <v>IN-BLR-ANANTA-VAV-481_3</v>
      </c>
      <c r="Q909" s="173" t="s">
        <v>4277</v>
      </c>
      <c r="R909" s="328" t="str">
        <f>IFS(C909="","",C909="n/a","N/A",LEN(C909),Concatenate("{",char(34),"asset",char(34),":{",char(34),"guid",char(34),":",char(34),Q909,char(34),",",char(34),"site",char(34),":",char(34),LOWER('2-Building'!$B$4),char(34),",",char(34),"name",char(34),":",char(34),LOWER(C909),char(34),"}}"))</f>
        <v>{"asset":{"guid":"uuid://1a4cb16b-1c42-4fc6-98a0-8175edb4a7bc","site":"in-blr-ananta","name":"vav-481"}}</v>
      </c>
      <c r="S909" s="237" t="s">
        <v>2866</v>
      </c>
      <c r="T909" s="330"/>
      <c r="U909" s="330"/>
      <c r="V909" s="331"/>
      <c r="W909" s="344"/>
      <c r="X909" s="341"/>
      <c r="Y909" s="33" t="s">
        <v>2867</v>
      </c>
      <c r="Z909" s="258">
        <v>120481.0</v>
      </c>
      <c r="AA909" s="334">
        <v>11549.0</v>
      </c>
      <c r="AB909" s="341"/>
      <c r="AC909" s="341"/>
      <c r="AD909" s="343"/>
      <c r="AE909" s="331"/>
      <c r="AF909" s="348"/>
      <c r="AG909" s="337"/>
      <c r="AH909" s="341"/>
      <c r="AI909" s="341"/>
      <c r="AJ909" s="341"/>
      <c r="AK909" s="341"/>
      <c r="AL909" s="341"/>
      <c r="AM909" s="338"/>
      <c r="AN909" s="341"/>
      <c r="AO909" s="341"/>
      <c r="AP909" s="341"/>
      <c r="AQ909" s="341"/>
      <c r="AR909" s="341"/>
      <c r="AS909" s="341"/>
      <c r="AT909" s="341"/>
      <c r="AU909" s="343"/>
      <c r="AV909" s="341"/>
      <c r="AW909" s="269" t="s">
        <v>2124</v>
      </c>
      <c r="AX909" s="334" t="s">
        <v>2869</v>
      </c>
      <c r="AY909" s="270" t="s">
        <v>695</v>
      </c>
      <c r="AZ909" s="173" t="s">
        <v>2866</v>
      </c>
      <c r="BA909" s="265">
        <v>10.0</v>
      </c>
      <c r="BB909" s="174" t="s">
        <v>245</v>
      </c>
      <c r="BC909" s="341"/>
      <c r="BD909" s="308"/>
      <c r="BE909" s="347"/>
      <c r="BF909" s="274" t="str">
        <f>IFERROR(__xludf.DUMMYFUNCTION("LOWER(Regexreplace(to_text(E909),""[^A-Za-z0-9]"","""")&amp;""_""&amp;Regexreplace(to_text(F909),""[^A-Za-z0-9]"",""""))"),"neptronic_evcbseries")</f>
        <v>neptronic_evcbseries</v>
      </c>
      <c r="BG909" s="275" t="str">
        <f>IFERROR(__xludf.DUMMYFUNCTION("upper(Regexreplace(to_text(E909),""[^A-Za-z0-9]"","""")&amp;""-""&amp;Regexreplace(to_text(F909),""[^A-Za-z0-9]"",""""))"),"NEPTRONIC-EVCBSERIES")</f>
        <v>NEPTRONIC-EVCBSERIES</v>
      </c>
    </row>
    <row r="910" ht="30.0" customHeight="1">
      <c r="A910" s="258">
        <v>902.0</v>
      </c>
      <c r="B910" s="237" t="s">
        <v>670</v>
      </c>
      <c r="C910" s="257" t="s">
        <v>4278</v>
      </c>
      <c r="D910" s="173" t="s">
        <v>4278</v>
      </c>
      <c r="E910" s="174" t="s">
        <v>2861</v>
      </c>
      <c r="F910" s="173" t="s">
        <v>2862</v>
      </c>
      <c r="G910" s="328" t="s">
        <v>673</v>
      </c>
      <c r="H910" s="328" t="s">
        <v>2863</v>
      </c>
      <c r="I910" s="258" t="s">
        <v>2864</v>
      </c>
      <c r="J910" s="259" t="s">
        <v>965</v>
      </c>
      <c r="K910" s="260" t="s">
        <v>4279</v>
      </c>
      <c r="L910" s="328"/>
      <c r="M910" s="343"/>
      <c r="N910" s="173" t="s">
        <v>679</v>
      </c>
      <c r="O910" s="173" t="s">
        <v>225</v>
      </c>
      <c r="P910" s="262" t="str">
        <f t="shared" si="1"/>
        <v>IN-BLR-ANANTA-VAV-482_3</v>
      </c>
      <c r="Q910" s="173" t="s">
        <v>4280</v>
      </c>
      <c r="R910" s="328" t="str">
        <f>IFS(C910="","",C910="n/a","N/A",LEN(C910),Concatenate("{",char(34),"asset",char(34),":{",char(34),"guid",char(34),":",char(34),Q910,char(34),",",char(34),"site",char(34),":",char(34),LOWER('2-Building'!$B$4),char(34),",",char(34),"name",char(34),":",char(34),LOWER(C910),char(34),"}}"))</f>
        <v>{"asset":{"guid":"uuid://0f99e0dc-742c-4c68-bee2-aac528a85d18","site":"in-blr-ananta","name":"vav-482"}}</v>
      </c>
      <c r="S910" s="237" t="s">
        <v>2866</v>
      </c>
      <c r="T910" s="330"/>
      <c r="U910" s="330"/>
      <c r="V910" s="331"/>
      <c r="W910" s="344"/>
      <c r="X910" s="341"/>
      <c r="Y910" s="33" t="s">
        <v>2867</v>
      </c>
      <c r="Z910" s="258">
        <v>120482.0</v>
      </c>
      <c r="AA910" s="334">
        <v>11549.0</v>
      </c>
      <c r="AB910" s="341"/>
      <c r="AC910" s="341"/>
      <c r="AD910" s="343"/>
      <c r="AE910" s="331"/>
      <c r="AF910" s="348"/>
      <c r="AG910" s="337"/>
      <c r="AH910" s="341"/>
      <c r="AI910" s="341"/>
      <c r="AJ910" s="341"/>
      <c r="AK910" s="341"/>
      <c r="AL910" s="341"/>
      <c r="AM910" s="338"/>
      <c r="AN910" s="341"/>
      <c r="AO910" s="341"/>
      <c r="AP910" s="341"/>
      <c r="AQ910" s="341"/>
      <c r="AR910" s="341"/>
      <c r="AS910" s="341"/>
      <c r="AT910" s="341"/>
      <c r="AU910" s="343"/>
      <c r="AV910" s="341"/>
      <c r="AW910" s="269" t="s">
        <v>2124</v>
      </c>
      <c r="AX910" s="334" t="s">
        <v>2869</v>
      </c>
      <c r="AY910" s="270" t="s">
        <v>695</v>
      </c>
      <c r="AZ910" s="173" t="s">
        <v>2866</v>
      </c>
      <c r="BA910" s="265">
        <v>10.0</v>
      </c>
      <c r="BB910" s="174" t="s">
        <v>245</v>
      </c>
      <c r="BC910" s="341"/>
      <c r="BD910" s="308"/>
      <c r="BE910" s="347"/>
      <c r="BF910" s="274" t="str">
        <f>IFERROR(__xludf.DUMMYFUNCTION("LOWER(Regexreplace(to_text(E910),""[^A-Za-z0-9]"","""")&amp;""_""&amp;Regexreplace(to_text(F910),""[^A-Za-z0-9]"",""""))"),"neptronic_evcbseries")</f>
        <v>neptronic_evcbseries</v>
      </c>
      <c r="BG910" s="275" t="str">
        <f>IFERROR(__xludf.DUMMYFUNCTION("upper(Regexreplace(to_text(E910),""[^A-Za-z0-9]"","""")&amp;""-""&amp;Regexreplace(to_text(F910),""[^A-Za-z0-9]"",""""))"),"NEPTRONIC-EVCBSERIES")</f>
        <v>NEPTRONIC-EVCBSERIES</v>
      </c>
    </row>
    <row r="911" ht="30.0" customHeight="1">
      <c r="A911" s="173">
        <v>903.0</v>
      </c>
      <c r="B911" s="237" t="s">
        <v>670</v>
      </c>
      <c r="C911" s="257" t="s">
        <v>4281</v>
      </c>
      <c r="D911" s="173" t="s">
        <v>4281</v>
      </c>
      <c r="E911" s="174" t="s">
        <v>2861</v>
      </c>
      <c r="F911" s="173" t="s">
        <v>2862</v>
      </c>
      <c r="G911" s="328" t="s">
        <v>673</v>
      </c>
      <c r="H911" s="328" t="s">
        <v>2863</v>
      </c>
      <c r="I911" s="258" t="s">
        <v>2864</v>
      </c>
      <c r="J911" s="259" t="s">
        <v>965</v>
      </c>
      <c r="K911" s="260" t="s">
        <v>4273</v>
      </c>
      <c r="L911" s="328"/>
      <c r="M911" s="343"/>
      <c r="N911" s="173" t="s">
        <v>679</v>
      </c>
      <c r="O911" s="173" t="s">
        <v>225</v>
      </c>
      <c r="P911" s="262" t="str">
        <f t="shared" si="1"/>
        <v>IN-BLR-ANANTA-VAV-483_3</v>
      </c>
      <c r="Q911" s="173" t="s">
        <v>4282</v>
      </c>
      <c r="R911" s="328" t="str">
        <f>IFS(C911="","",C911="n/a","N/A",LEN(C911),Concatenate("{",char(34),"asset",char(34),":{",char(34),"guid",char(34),":",char(34),Q911,char(34),",",char(34),"site",char(34),":",char(34),LOWER('2-Building'!$B$4),char(34),",",char(34),"name",char(34),":",char(34),LOWER(C911),char(34),"}}"))</f>
        <v>{"asset":{"guid":"uuid://2c98cbf8-fe0b-48a2-82eb-9184ef367962","site":"in-blr-ananta","name":"vav-483"}}</v>
      </c>
      <c r="S911" s="237" t="s">
        <v>2866</v>
      </c>
      <c r="T911" s="330"/>
      <c r="U911" s="330"/>
      <c r="V911" s="331"/>
      <c r="W911" s="344"/>
      <c r="X911" s="341"/>
      <c r="Y911" s="33" t="s">
        <v>2867</v>
      </c>
      <c r="Z911" s="258">
        <v>120483.0</v>
      </c>
      <c r="AA911" s="334">
        <v>11549.0</v>
      </c>
      <c r="AB911" s="341"/>
      <c r="AC911" s="341"/>
      <c r="AD911" s="343"/>
      <c r="AE911" s="331"/>
      <c r="AF911" s="348"/>
      <c r="AG911" s="337"/>
      <c r="AH911" s="341"/>
      <c r="AI911" s="341"/>
      <c r="AJ911" s="341"/>
      <c r="AK911" s="341"/>
      <c r="AL911" s="341"/>
      <c r="AM911" s="338"/>
      <c r="AN911" s="341"/>
      <c r="AO911" s="341"/>
      <c r="AP911" s="341"/>
      <c r="AQ911" s="341"/>
      <c r="AR911" s="341"/>
      <c r="AS911" s="341"/>
      <c r="AT911" s="341"/>
      <c r="AU911" s="343"/>
      <c r="AV911" s="341"/>
      <c r="AW911" s="269" t="s">
        <v>2124</v>
      </c>
      <c r="AX911" s="334" t="s">
        <v>2869</v>
      </c>
      <c r="AY911" s="270" t="s">
        <v>695</v>
      </c>
      <c r="AZ911" s="173" t="s">
        <v>2866</v>
      </c>
      <c r="BA911" s="265">
        <v>10.0</v>
      </c>
      <c r="BB911" s="174" t="s">
        <v>245</v>
      </c>
      <c r="BC911" s="341"/>
      <c r="BD911" s="308"/>
      <c r="BE911" s="347"/>
      <c r="BF911" s="274" t="str">
        <f>IFERROR(__xludf.DUMMYFUNCTION("LOWER(Regexreplace(to_text(E911),""[^A-Za-z0-9]"","""")&amp;""_""&amp;Regexreplace(to_text(F911),""[^A-Za-z0-9]"",""""))"),"neptronic_evcbseries")</f>
        <v>neptronic_evcbseries</v>
      </c>
      <c r="BG911" s="275" t="str">
        <f>IFERROR(__xludf.DUMMYFUNCTION("upper(Regexreplace(to_text(E911),""[^A-Za-z0-9]"","""")&amp;""-""&amp;Regexreplace(to_text(F911),""[^A-Za-z0-9]"",""""))"),"NEPTRONIC-EVCBSERIES")</f>
        <v>NEPTRONIC-EVCBSERIES</v>
      </c>
    </row>
    <row r="912" ht="30.0" customHeight="1">
      <c r="A912" s="258">
        <v>904.0</v>
      </c>
      <c r="B912" s="237" t="s">
        <v>670</v>
      </c>
      <c r="C912" s="257" t="s">
        <v>4283</v>
      </c>
      <c r="D912" s="173" t="s">
        <v>4283</v>
      </c>
      <c r="E912" s="174" t="s">
        <v>2861</v>
      </c>
      <c r="F912" s="173" t="s">
        <v>2862</v>
      </c>
      <c r="G912" s="328" t="s">
        <v>673</v>
      </c>
      <c r="H912" s="328" t="s">
        <v>2863</v>
      </c>
      <c r="I912" s="258" t="s">
        <v>2864</v>
      </c>
      <c r="J912" s="259" t="s">
        <v>965</v>
      </c>
      <c r="K912" s="260" t="s">
        <v>4284</v>
      </c>
      <c r="L912" s="328"/>
      <c r="M912" s="343"/>
      <c r="N912" s="173" t="s">
        <v>679</v>
      </c>
      <c r="O912" s="173" t="s">
        <v>225</v>
      </c>
      <c r="P912" s="262" t="str">
        <f t="shared" si="1"/>
        <v>IN-BLR-ANANTA-VAV-484_3</v>
      </c>
      <c r="Q912" s="173" t="s">
        <v>4285</v>
      </c>
      <c r="R912" s="328" t="str">
        <f>IFS(C912="","",C912="n/a","N/A",LEN(C912),Concatenate("{",char(34),"asset",char(34),":{",char(34),"guid",char(34),":",char(34),Q912,char(34),",",char(34),"site",char(34),":",char(34),LOWER('2-Building'!$B$4),char(34),",",char(34),"name",char(34),":",char(34),LOWER(C912),char(34),"}}"))</f>
        <v>{"asset":{"guid":"uuid://5f6ff1ed-35c8-44c8-9983-338cfb77ab15","site":"in-blr-ananta","name":"vav-484"}}</v>
      </c>
      <c r="S912" s="237" t="s">
        <v>2866</v>
      </c>
      <c r="T912" s="330"/>
      <c r="U912" s="330"/>
      <c r="V912" s="331"/>
      <c r="W912" s="344"/>
      <c r="X912" s="341"/>
      <c r="Y912" s="33" t="s">
        <v>2867</v>
      </c>
      <c r="Z912" s="258">
        <v>120484.0</v>
      </c>
      <c r="AA912" s="334">
        <v>11549.0</v>
      </c>
      <c r="AB912" s="341"/>
      <c r="AC912" s="341"/>
      <c r="AD912" s="343"/>
      <c r="AE912" s="331"/>
      <c r="AF912" s="348"/>
      <c r="AG912" s="337"/>
      <c r="AH912" s="341"/>
      <c r="AI912" s="341"/>
      <c r="AJ912" s="341"/>
      <c r="AK912" s="341"/>
      <c r="AL912" s="341"/>
      <c r="AM912" s="338"/>
      <c r="AN912" s="341"/>
      <c r="AO912" s="341"/>
      <c r="AP912" s="341"/>
      <c r="AQ912" s="341"/>
      <c r="AR912" s="341"/>
      <c r="AS912" s="341"/>
      <c r="AT912" s="341"/>
      <c r="AU912" s="343"/>
      <c r="AV912" s="341"/>
      <c r="AW912" s="269" t="s">
        <v>2124</v>
      </c>
      <c r="AX912" s="334" t="s">
        <v>2869</v>
      </c>
      <c r="AY912" s="270" t="s">
        <v>695</v>
      </c>
      <c r="AZ912" s="173" t="s">
        <v>2866</v>
      </c>
      <c r="BA912" s="265">
        <v>10.0</v>
      </c>
      <c r="BB912" s="174" t="s">
        <v>245</v>
      </c>
      <c r="BC912" s="341"/>
      <c r="BD912" s="308"/>
      <c r="BE912" s="347"/>
      <c r="BF912" s="274" t="str">
        <f>IFERROR(__xludf.DUMMYFUNCTION("LOWER(Regexreplace(to_text(E912),""[^A-Za-z0-9]"","""")&amp;""_""&amp;Regexreplace(to_text(F912),""[^A-Za-z0-9]"",""""))"),"neptronic_evcbseries")</f>
        <v>neptronic_evcbseries</v>
      </c>
      <c r="BG912" s="275" t="str">
        <f>IFERROR(__xludf.DUMMYFUNCTION("upper(Regexreplace(to_text(E912),""[^A-Za-z0-9]"","""")&amp;""-""&amp;Regexreplace(to_text(F912),""[^A-Za-z0-9]"",""""))"),"NEPTRONIC-EVCBSERIES")</f>
        <v>NEPTRONIC-EVCBSERIES</v>
      </c>
    </row>
    <row r="913" ht="30.0" customHeight="1">
      <c r="A913" s="173">
        <v>905.0</v>
      </c>
      <c r="B913" s="237" t="s">
        <v>670</v>
      </c>
      <c r="C913" s="257" t="s">
        <v>4286</v>
      </c>
      <c r="D913" s="173" t="s">
        <v>4286</v>
      </c>
      <c r="E913" s="174" t="s">
        <v>2861</v>
      </c>
      <c r="F913" s="173" t="s">
        <v>2862</v>
      </c>
      <c r="G913" s="328" t="s">
        <v>673</v>
      </c>
      <c r="H913" s="328" t="s">
        <v>2863</v>
      </c>
      <c r="I913" s="258" t="s">
        <v>2864</v>
      </c>
      <c r="J913" s="259" t="s">
        <v>965</v>
      </c>
      <c r="K913" s="260" t="s">
        <v>3643</v>
      </c>
      <c r="L913" s="328"/>
      <c r="M913" s="343"/>
      <c r="N913" s="173" t="s">
        <v>679</v>
      </c>
      <c r="O913" s="173" t="s">
        <v>225</v>
      </c>
      <c r="P913" s="262" t="str">
        <f t="shared" si="1"/>
        <v>IN-BLR-ANANTA-VAV-485_3</v>
      </c>
      <c r="Q913" s="173" t="s">
        <v>4287</v>
      </c>
      <c r="R913" s="328" t="str">
        <f>IFS(C913="","",C913="n/a","N/A",LEN(C913),Concatenate("{",char(34),"asset",char(34),":{",char(34),"guid",char(34),":",char(34),Q913,char(34),",",char(34),"site",char(34),":",char(34),LOWER('2-Building'!$B$4),char(34),",",char(34),"name",char(34),":",char(34),LOWER(C913),char(34),"}}"))</f>
        <v>{"asset":{"guid":"uuid://185905c7-431c-4d52-bab1-5f959b63bc3e","site":"in-blr-ananta","name":"vav-485"}}</v>
      </c>
      <c r="S913" s="237" t="s">
        <v>2866</v>
      </c>
      <c r="T913" s="330"/>
      <c r="U913" s="330"/>
      <c r="V913" s="331"/>
      <c r="W913" s="344"/>
      <c r="X913" s="341"/>
      <c r="Y913" s="33" t="s">
        <v>2867</v>
      </c>
      <c r="Z913" s="258">
        <v>120485.0</v>
      </c>
      <c r="AA913" s="334">
        <v>11554.0</v>
      </c>
      <c r="AB913" s="341"/>
      <c r="AC913" s="341"/>
      <c r="AD913" s="343"/>
      <c r="AE913" s="331"/>
      <c r="AF913" s="348"/>
      <c r="AG913" s="337"/>
      <c r="AH913" s="341"/>
      <c r="AI913" s="341"/>
      <c r="AJ913" s="341"/>
      <c r="AK913" s="341"/>
      <c r="AL913" s="341"/>
      <c r="AM913" s="338"/>
      <c r="AN913" s="341"/>
      <c r="AO913" s="341"/>
      <c r="AP913" s="341"/>
      <c r="AQ913" s="341"/>
      <c r="AR913" s="341"/>
      <c r="AS913" s="341"/>
      <c r="AT913" s="341"/>
      <c r="AU913" s="343"/>
      <c r="AV913" s="341"/>
      <c r="AW913" s="269" t="s">
        <v>2114</v>
      </c>
      <c r="AX913" s="334" t="s">
        <v>2869</v>
      </c>
      <c r="AY913" s="270" t="s">
        <v>695</v>
      </c>
      <c r="AZ913" s="173" t="s">
        <v>2866</v>
      </c>
      <c r="BA913" s="265">
        <v>10.0</v>
      </c>
      <c r="BB913" s="174" t="s">
        <v>245</v>
      </c>
      <c r="BC913" s="341"/>
      <c r="BD913" s="308"/>
      <c r="BE913" s="347"/>
      <c r="BF913" s="274" t="str">
        <f>IFERROR(__xludf.DUMMYFUNCTION("LOWER(Regexreplace(to_text(E913),""[^A-Za-z0-9]"","""")&amp;""_""&amp;Regexreplace(to_text(F913),""[^A-Za-z0-9]"",""""))"),"neptronic_evcbseries")</f>
        <v>neptronic_evcbseries</v>
      </c>
      <c r="BG913" s="275" t="str">
        <f>IFERROR(__xludf.DUMMYFUNCTION("upper(Regexreplace(to_text(E913),""[^A-Za-z0-9]"","""")&amp;""-""&amp;Regexreplace(to_text(F913),""[^A-Za-z0-9]"",""""))"),"NEPTRONIC-EVCBSERIES")</f>
        <v>NEPTRONIC-EVCBSERIES</v>
      </c>
    </row>
    <row r="914" ht="30.0" customHeight="1">
      <c r="A914" s="258">
        <v>906.0</v>
      </c>
      <c r="B914" s="237" t="s">
        <v>670</v>
      </c>
      <c r="C914" s="257" t="s">
        <v>4288</v>
      </c>
      <c r="D914" s="173" t="s">
        <v>4288</v>
      </c>
      <c r="E914" s="174" t="s">
        <v>2861</v>
      </c>
      <c r="F914" s="173" t="s">
        <v>2862</v>
      </c>
      <c r="G914" s="328" t="s">
        <v>673</v>
      </c>
      <c r="H914" s="328" t="s">
        <v>2863</v>
      </c>
      <c r="I914" s="258" t="s">
        <v>2864</v>
      </c>
      <c r="J914" s="259" t="s">
        <v>965</v>
      </c>
      <c r="K914" s="260" t="s">
        <v>4289</v>
      </c>
      <c r="L914" s="328"/>
      <c r="M914" s="343"/>
      <c r="N914" s="173" t="s">
        <v>679</v>
      </c>
      <c r="O914" s="173" t="s">
        <v>225</v>
      </c>
      <c r="P914" s="262" t="str">
        <f t="shared" si="1"/>
        <v>IN-BLR-ANANTA-VAV-486_3</v>
      </c>
      <c r="Q914" s="173" t="s">
        <v>4290</v>
      </c>
      <c r="R914" s="328" t="str">
        <f>IFS(C914="","",C914="n/a","N/A",LEN(C914),Concatenate("{",char(34),"asset",char(34),":{",char(34),"guid",char(34),":",char(34),Q914,char(34),",",char(34),"site",char(34),":",char(34),LOWER('2-Building'!$B$4),char(34),",",char(34),"name",char(34),":",char(34),LOWER(C914),char(34),"}}"))</f>
        <v>{"asset":{"guid":"uuid://53d25a2f-fa46-4577-8bc8-d216ba220447","site":"in-blr-ananta","name":"vav-486"}}</v>
      </c>
      <c r="S914" s="237" t="s">
        <v>2866</v>
      </c>
      <c r="T914" s="330"/>
      <c r="U914" s="330"/>
      <c r="V914" s="331"/>
      <c r="W914" s="344"/>
      <c r="X914" s="341"/>
      <c r="Y914" s="33" t="s">
        <v>2867</v>
      </c>
      <c r="Z914" s="258">
        <v>120486.0</v>
      </c>
      <c r="AA914" s="334">
        <v>11554.0</v>
      </c>
      <c r="AB914" s="341"/>
      <c r="AC914" s="341"/>
      <c r="AD914" s="343"/>
      <c r="AE914" s="331"/>
      <c r="AF914" s="348"/>
      <c r="AG914" s="337"/>
      <c r="AH914" s="341"/>
      <c r="AI914" s="341"/>
      <c r="AJ914" s="341"/>
      <c r="AK914" s="341"/>
      <c r="AL914" s="341"/>
      <c r="AM914" s="338"/>
      <c r="AN914" s="341"/>
      <c r="AO914" s="341"/>
      <c r="AP914" s="341"/>
      <c r="AQ914" s="341"/>
      <c r="AR914" s="341"/>
      <c r="AS914" s="341"/>
      <c r="AT914" s="341"/>
      <c r="AU914" s="343"/>
      <c r="AV914" s="341"/>
      <c r="AW914" s="269" t="s">
        <v>2114</v>
      </c>
      <c r="AX914" s="334" t="s">
        <v>2869</v>
      </c>
      <c r="AY914" s="270" t="s">
        <v>695</v>
      </c>
      <c r="AZ914" s="173" t="s">
        <v>2866</v>
      </c>
      <c r="BA914" s="265">
        <v>10.0</v>
      </c>
      <c r="BB914" s="174" t="s">
        <v>245</v>
      </c>
      <c r="BC914" s="341"/>
      <c r="BD914" s="308"/>
      <c r="BE914" s="347"/>
      <c r="BF914" s="274" t="str">
        <f>IFERROR(__xludf.DUMMYFUNCTION("LOWER(Regexreplace(to_text(E914),""[^A-Za-z0-9]"","""")&amp;""_""&amp;Regexreplace(to_text(F914),""[^A-Za-z0-9]"",""""))"),"neptronic_evcbseries")</f>
        <v>neptronic_evcbseries</v>
      </c>
      <c r="BG914" s="275" t="str">
        <f>IFERROR(__xludf.DUMMYFUNCTION("upper(Regexreplace(to_text(E914),""[^A-Za-z0-9]"","""")&amp;""-""&amp;Regexreplace(to_text(F914),""[^A-Za-z0-9]"",""""))"),"NEPTRONIC-EVCBSERIES")</f>
        <v>NEPTRONIC-EVCBSERIES</v>
      </c>
    </row>
    <row r="915" ht="30.0" customHeight="1">
      <c r="A915" s="173">
        <v>907.0</v>
      </c>
      <c r="B915" s="237" t="s">
        <v>670</v>
      </c>
      <c r="C915" s="257" t="s">
        <v>4291</v>
      </c>
      <c r="D915" s="173" t="s">
        <v>4291</v>
      </c>
      <c r="E915" s="174" t="s">
        <v>2861</v>
      </c>
      <c r="F915" s="173" t="s">
        <v>2862</v>
      </c>
      <c r="G915" s="328" t="s">
        <v>673</v>
      </c>
      <c r="H915" s="328" t="s">
        <v>2863</v>
      </c>
      <c r="I915" s="258" t="s">
        <v>2864</v>
      </c>
      <c r="J915" s="259" t="s">
        <v>965</v>
      </c>
      <c r="K915" s="260" t="s">
        <v>4289</v>
      </c>
      <c r="L915" s="328"/>
      <c r="M915" s="343"/>
      <c r="N915" s="173" t="s">
        <v>679</v>
      </c>
      <c r="O915" s="173" t="s">
        <v>225</v>
      </c>
      <c r="P915" s="262" t="str">
        <f t="shared" si="1"/>
        <v>IN-BLR-ANANTA-VAV-487_3</v>
      </c>
      <c r="Q915" s="173" t="s">
        <v>4292</v>
      </c>
      <c r="R915" s="328" t="str">
        <f>IFS(C915="","",C915="n/a","N/A",LEN(C915),Concatenate("{",char(34),"asset",char(34),":{",char(34),"guid",char(34),":",char(34),Q915,char(34),",",char(34),"site",char(34),":",char(34),LOWER('2-Building'!$B$4),char(34),",",char(34),"name",char(34),":",char(34),LOWER(C915),char(34),"}}"))</f>
        <v>{"asset":{"guid":"uuid://fd4ef3ea-f86f-40b2-ab97-671be6e37e15","site":"in-blr-ananta","name":"vav-487"}}</v>
      </c>
      <c r="S915" s="237" t="s">
        <v>2866</v>
      </c>
      <c r="T915" s="330"/>
      <c r="U915" s="330"/>
      <c r="V915" s="331"/>
      <c r="W915" s="344"/>
      <c r="X915" s="341"/>
      <c r="Y915" s="33" t="s">
        <v>2867</v>
      </c>
      <c r="Z915" s="258">
        <v>120487.0</v>
      </c>
      <c r="AA915" s="334">
        <v>11554.0</v>
      </c>
      <c r="AB915" s="341"/>
      <c r="AC915" s="341"/>
      <c r="AD915" s="343"/>
      <c r="AE915" s="331"/>
      <c r="AF915" s="348"/>
      <c r="AG915" s="337"/>
      <c r="AH915" s="341"/>
      <c r="AI915" s="341"/>
      <c r="AJ915" s="341"/>
      <c r="AK915" s="341"/>
      <c r="AL915" s="341"/>
      <c r="AM915" s="338"/>
      <c r="AN915" s="341"/>
      <c r="AO915" s="341"/>
      <c r="AP915" s="341"/>
      <c r="AQ915" s="341"/>
      <c r="AR915" s="341"/>
      <c r="AS915" s="341"/>
      <c r="AT915" s="341"/>
      <c r="AU915" s="343"/>
      <c r="AV915" s="341"/>
      <c r="AW915" s="269" t="s">
        <v>2114</v>
      </c>
      <c r="AX915" s="334" t="s">
        <v>2869</v>
      </c>
      <c r="AY915" s="270" t="s">
        <v>695</v>
      </c>
      <c r="AZ915" s="173" t="s">
        <v>2866</v>
      </c>
      <c r="BA915" s="265">
        <v>10.0</v>
      </c>
      <c r="BB915" s="174" t="s">
        <v>245</v>
      </c>
      <c r="BC915" s="341"/>
      <c r="BD915" s="308"/>
      <c r="BE915" s="347"/>
      <c r="BF915" s="274" t="str">
        <f>IFERROR(__xludf.DUMMYFUNCTION("LOWER(Regexreplace(to_text(E915),""[^A-Za-z0-9]"","""")&amp;""_""&amp;Regexreplace(to_text(F915),""[^A-Za-z0-9]"",""""))"),"neptronic_evcbseries")</f>
        <v>neptronic_evcbseries</v>
      </c>
      <c r="BG915" s="275" t="str">
        <f>IFERROR(__xludf.DUMMYFUNCTION("upper(Regexreplace(to_text(E915),""[^A-Za-z0-9]"","""")&amp;""-""&amp;Regexreplace(to_text(F915),""[^A-Za-z0-9]"",""""))"),"NEPTRONIC-EVCBSERIES")</f>
        <v>NEPTRONIC-EVCBSERIES</v>
      </c>
    </row>
    <row r="916" ht="30.0" customHeight="1">
      <c r="A916" s="258">
        <v>908.0</v>
      </c>
      <c r="B916" s="237" t="s">
        <v>670</v>
      </c>
      <c r="C916" s="257" t="s">
        <v>4293</v>
      </c>
      <c r="D916" s="173" t="s">
        <v>4293</v>
      </c>
      <c r="E916" s="174" t="s">
        <v>2861</v>
      </c>
      <c r="F916" s="173" t="s">
        <v>2862</v>
      </c>
      <c r="G916" s="328" t="s">
        <v>673</v>
      </c>
      <c r="H916" s="328" t="s">
        <v>2863</v>
      </c>
      <c r="I916" s="258" t="s">
        <v>2864</v>
      </c>
      <c r="J916" s="259" t="s">
        <v>965</v>
      </c>
      <c r="K916" s="260" t="s">
        <v>4294</v>
      </c>
      <c r="L916" s="328"/>
      <c r="M916" s="343"/>
      <c r="N916" s="173" t="s">
        <v>679</v>
      </c>
      <c r="O916" s="173" t="s">
        <v>225</v>
      </c>
      <c r="P916" s="262" t="str">
        <f t="shared" si="1"/>
        <v>IN-BLR-ANANTA-VAV-488_3</v>
      </c>
      <c r="Q916" s="173" t="s">
        <v>4295</v>
      </c>
      <c r="R916" s="328" t="str">
        <f>IFS(C916="","",C916="n/a","N/A",LEN(C916),Concatenate("{",char(34),"asset",char(34),":{",char(34),"guid",char(34),":",char(34),Q916,char(34),",",char(34),"site",char(34),":",char(34),LOWER('2-Building'!$B$4),char(34),",",char(34),"name",char(34),":",char(34),LOWER(C916),char(34),"}}"))</f>
        <v>{"asset":{"guid":"uuid://160ca675-922f-4f58-864b-50d870bb5626","site":"in-blr-ananta","name":"vav-488"}}</v>
      </c>
      <c r="S916" s="237" t="s">
        <v>2866</v>
      </c>
      <c r="T916" s="330"/>
      <c r="U916" s="330"/>
      <c r="V916" s="331"/>
      <c r="W916" s="344"/>
      <c r="X916" s="341"/>
      <c r="Y916" s="33" t="s">
        <v>2867</v>
      </c>
      <c r="Z916" s="258">
        <v>120488.0</v>
      </c>
      <c r="AA916" s="334">
        <v>11554.0</v>
      </c>
      <c r="AB916" s="341"/>
      <c r="AC916" s="341"/>
      <c r="AD916" s="343"/>
      <c r="AE916" s="331"/>
      <c r="AF916" s="348"/>
      <c r="AG916" s="337"/>
      <c r="AH916" s="341"/>
      <c r="AI916" s="341"/>
      <c r="AJ916" s="341"/>
      <c r="AK916" s="341"/>
      <c r="AL916" s="341"/>
      <c r="AM916" s="338"/>
      <c r="AN916" s="341"/>
      <c r="AO916" s="341"/>
      <c r="AP916" s="341"/>
      <c r="AQ916" s="341"/>
      <c r="AR916" s="341"/>
      <c r="AS916" s="341"/>
      <c r="AT916" s="341"/>
      <c r="AU916" s="343"/>
      <c r="AV916" s="341"/>
      <c r="AW916" s="269" t="s">
        <v>2114</v>
      </c>
      <c r="AX916" s="334" t="s">
        <v>2869</v>
      </c>
      <c r="AY916" s="270" t="s">
        <v>695</v>
      </c>
      <c r="AZ916" s="173" t="s">
        <v>2866</v>
      </c>
      <c r="BA916" s="265">
        <v>10.0</v>
      </c>
      <c r="BB916" s="174" t="s">
        <v>245</v>
      </c>
      <c r="BC916" s="341"/>
      <c r="BD916" s="308"/>
      <c r="BE916" s="347"/>
      <c r="BF916" s="274" t="str">
        <f>IFERROR(__xludf.DUMMYFUNCTION("LOWER(Regexreplace(to_text(E916),""[^A-Za-z0-9]"","""")&amp;""_""&amp;Regexreplace(to_text(F916),""[^A-Za-z0-9]"",""""))"),"neptronic_evcbseries")</f>
        <v>neptronic_evcbseries</v>
      </c>
      <c r="BG916" s="275" t="str">
        <f>IFERROR(__xludf.DUMMYFUNCTION("upper(Regexreplace(to_text(E916),""[^A-Za-z0-9]"","""")&amp;""-""&amp;Regexreplace(to_text(F916),""[^A-Za-z0-9]"",""""))"),"NEPTRONIC-EVCBSERIES")</f>
        <v>NEPTRONIC-EVCBSERIES</v>
      </c>
    </row>
    <row r="917" ht="30.0" customHeight="1">
      <c r="A917" s="173">
        <v>909.0</v>
      </c>
      <c r="B917" s="237" t="s">
        <v>670</v>
      </c>
      <c r="C917" s="257" t="s">
        <v>4296</v>
      </c>
      <c r="D917" s="173" t="s">
        <v>4296</v>
      </c>
      <c r="E917" s="174" t="s">
        <v>2861</v>
      </c>
      <c r="F917" s="173" t="s">
        <v>2862</v>
      </c>
      <c r="G917" s="328" t="s">
        <v>673</v>
      </c>
      <c r="H917" s="328" t="s">
        <v>2863</v>
      </c>
      <c r="I917" s="258" t="s">
        <v>2864</v>
      </c>
      <c r="J917" s="259" t="s">
        <v>965</v>
      </c>
      <c r="K917" s="260" t="s">
        <v>4294</v>
      </c>
      <c r="L917" s="328"/>
      <c r="M917" s="343"/>
      <c r="N917" s="173" t="s">
        <v>679</v>
      </c>
      <c r="O917" s="173" t="s">
        <v>225</v>
      </c>
      <c r="P917" s="262" t="str">
        <f t="shared" si="1"/>
        <v>IN-BLR-ANANTA-VAV-489_3</v>
      </c>
      <c r="Q917" s="173" t="s">
        <v>4297</v>
      </c>
      <c r="R917" s="328" t="str">
        <f>IFS(C917="","",C917="n/a","N/A",LEN(C917),Concatenate("{",char(34),"asset",char(34),":{",char(34),"guid",char(34),":",char(34),Q917,char(34),",",char(34),"site",char(34),":",char(34),LOWER('2-Building'!$B$4),char(34),",",char(34),"name",char(34),":",char(34),LOWER(C917),char(34),"}}"))</f>
        <v>{"asset":{"guid":"uuid://c5c411ff-567f-4d10-86c7-a4c0231d36d0","site":"in-blr-ananta","name":"vav-489"}}</v>
      </c>
      <c r="S917" s="237" t="s">
        <v>2866</v>
      </c>
      <c r="T917" s="330"/>
      <c r="U917" s="330"/>
      <c r="V917" s="331"/>
      <c r="W917" s="344"/>
      <c r="X917" s="341"/>
      <c r="Y917" s="33" t="s">
        <v>2867</v>
      </c>
      <c r="Z917" s="258">
        <v>120489.0</v>
      </c>
      <c r="AA917" s="334">
        <v>11554.0</v>
      </c>
      <c r="AB917" s="341"/>
      <c r="AC917" s="341"/>
      <c r="AD917" s="343"/>
      <c r="AE917" s="331"/>
      <c r="AF917" s="348"/>
      <c r="AG917" s="337"/>
      <c r="AH917" s="341"/>
      <c r="AI917" s="341"/>
      <c r="AJ917" s="341"/>
      <c r="AK917" s="341"/>
      <c r="AL917" s="341"/>
      <c r="AM917" s="338"/>
      <c r="AN917" s="341"/>
      <c r="AO917" s="341"/>
      <c r="AP917" s="341"/>
      <c r="AQ917" s="341"/>
      <c r="AR917" s="341"/>
      <c r="AS917" s="341"/>
      <c r="AT917" s="341"/>
      <c r="AU917" s="343"/>
      <c r="AV917" s="341"/>
      <c r="AW917" s="269" t="s">
        <v>2114</v>
      </c>
      <c r="AX917" s="334" t="s">
        <v>2869</v>
      </c>
      <c r="AY917" s="270" t="s">
        <v>695</v>
      </c>
      <c r="AZ917" s="173" t="s">
        <v>2866</v>
      </c>
      <c r="BA917" s="265">
        <v>10.0</v>
      </c>
      <c r="BB917" s="174" t="s">
        <v>245</v>
      </c>
      <c r="BC917" s="341"/>
      <c r="BD917" s="308"/>
      <c r="BE917" s="347"/>
      <c r="BF917" s="274" t="str">
        <f>IFERROR(__xludf.DUMMYFUNCTION("LOWER(Regexreplace(to_text(E917),""[^A-Za-z0-9]"","""")&amp;""_""&amp;Regexreplace(to_text(F917),""[^A-Za-z0-9]"",""""))"),"neptronic_evcbseries")</f>
        <v>neptronic_evcbseries</v>
      </c>
      <c r="BG917" s="275" t="str">
        <f>IFERROR(__xludf.DUMMYFUNCTION("upper(Regexreplace(to_text(E917),""[^A-Za-z0-9]"","""")&amp;""-""&amp;Regexreplace(to_text(F917),""[^A-Za-z0-9]"",""""))"),"NEPTRONIC-EVCBSERIES")</f>
        <v>NEPTRONIC-EVCBSERIES</v>
      </c>
    </row>
    <row r="918" ht="30.0" customHeight="1">
      <c r="A918" s="258">
        <v>910.0</v>
      </c>
      <c r="B918" s="237" t="s">
        <v>670</v>
      </c>
      <c r="C918" s="257" t="s">
        <v>4298</v>
      </c>
      <c r="D918" s="173" t="s">
        <v>4298</v>
      </c>
      <c r="E918" s="174" t="s">
        <v>2861</v>
      </c>
      <c r="F918" s="173" t="s">
        <v>2862</v>
      </c>
      <c r="G918" s="328" t="s">
        <v>673</v>
      </c>
      <c r="H918" s="328" t="s">
        <v>2863</v>
      </c>
      <c r="I918" s="258" t="s">
        <v>2864</v>
      </c>
      <c r="J918" s="259" t="s">
        <v>965</v>
      </c>
      <c r="K918" s="260" t="s">
        <v>4299</v>
      </c>
      <c r="L918" s="328"/>
      <c r="M918" s="343"/>
      <c r="N918" s="173" t="s">
        <v>679</v>
      </c>
      <c r="O918" s="173" t="s">
        <v>225</v>
      </c>
      <c r="P918" s="262" t="str">
        <f t="shared" si="1"/>
        <v>IN-BLR-ANANTA-VAV-490_3</v>
      </c>
      <c r="Q918" s="173" t="s">
        <v>4300</v>
      </c>
      <c r="R918" s="328" t="str">
        <f>IFS(C918="","",C918="n/a","N/A",LEN(C918),Concatenate("{",char(34),"asset",char(34),":{",char(34),"guid",char(34),":",char(34),Q918,char(34),",",char(34),"site",char(34),":",char(34),LOWER('2-Building'!$B$4),char(34),",",char(34),"name",char(34),":",char(34),LOWER(C918),char(34),"}}"))</f>
        <v>{"asset":{"guid":"uuid://76c815d4-1b1c-4b54-ac01-c6b9bb914e30","site":"in-blr-ananta","name":"vav-490"}}</v>
      </c>
      <c r="S918" s="237" t="s">
        <v>2866</v>
      </c>
      <c r="T918" s="330"/>
      <c r="U918" s="330"/>
      <c r="V918" s="331"/>
      <c r="W918" s="344"/>
      <c r="X918" s="341"/>
      <c r="Y918" s="33" t="s">
        <v>2867</v>
      </c>
      <c r="Z918" s="258">
        <v>120490.0</v>
      </c>
      <c r="AA918" s="334">
        <v>11554.0</v>
      </c>
      <c r="AB918" s="341"/>
      <c r="AC918" s="341"/>
      <c r="AD918" s="343"/>
      <c r="AE918" s="331"/>
      <c r="AF918" s="348"/>
      <c r="AG918" s="337"/>
      <c r="AH918" s="341"/>
      <c r="AI918" s="341"/>
      <c r="AJ918" s="341"/>
      <c r="AK918" s="341"/>
      <c r="AL918" s="341"/>
      <c r="AM918" s="338"/>
      <c r="AN918" s="341"/>
      <c r="AO918" s="341"/>
      <c r="AP918" s="341"/>
      <c r="AQ918" s="341"/>
      <c r="AR918" s="341"/>
      <c r="AS918" s="341"/>
      <c r="AT918" s="341"/>
      <c r="AU918" s="343"/>
      <c r="AV918" s="341"/>
      <c r="AW918" s="269" t="s">
        <v>2114</v>
      </c>
      <c r="AX918" s="334" t="s">
        <v>2869</v>
      </c>
      <c r="AY918" s="270" t="s">
        <v>695</v>
      </c>
      <c r="AZ918" s="173" t="s">
        <v>2866</v>
      </c>
      <c r="BA918" s="265">
        <v>10.0</v>
      </c>
      <c r="BB918" s="174" t="s">
        <v>245</v>
      </c>
      <c r="BC918" s="341"/>
      <c r="BD918" s="308"/>
      <c r="BE918" s="347"/>
      <c r="BF918" s="274" t="str">
        <f>IFERROR(__xludf.DUMMYFUNCTION("LOWER(Regexreplace(to_text(E918),""[^A-Za-z0-9]"","""")&amp;""_""&amp;Regexreplace(to_text(F918),""[^A-Za-z0-9]"",""""))"),"neptronic_evcbseries")</f>
        <v>neptronic_evcbseries</v>
      </c>
      <c r="BG918" s="275" t="str">
        <f>IFERROR(__xludf.DUMMYFUNCTION("upper(Regexreplace(to_text(E918),""[^A-Za-z0-9]"","""")&amp;""-""&amp;Regexreplace(to_text(F918),""[^A-Za-z0-9]"",""""))"),"NEPTRONIC-EVCBSERIES")</f>
        <v>NEPTRONIC-EVCBSERIES</v>
      </c>
    </row>
    <row r="919" ht="30.0" customHeight="1">
      <c r="A919" s="173">
        <v>911.0</v>
      </c>
      <c r="B919" s="237" t="s">
        <v>670</v>
      </c>
      <c r="C919" s="257" t="s">
        <v>4301</v>
      </c>
      <c r="D919" s="173" t="s">
        <v>4301</v>
      </c>
      <c r="E919" s="174" t="s">
        <v>2861</v>
      </c>
      <c r="F919" s="173" t="s">
        <v>2862</v>
      </c>
      <c r="G919" s="328" t="s">
        <v>673</v>
      </c>
      <c r="H919" s="328" t="s">
        <v>2863</v>
      </c>
      <c r="I919" s="258" t="s">
        <v>2864</v>
      </c>
      <c r="J919" s="259" t="s">
        <v>965</v>
      </c>
      <c r="K919" s="260" t="s">
        <v>4302</v>
      </c>
      <c r="L919" s="328"/>
      <c r="M919" s="343"/>
      <c r="N919" s="173" t="s">
        <v>679</v>
      </c>
      <c r="O919" s="173" t="s">
        <v>225</v>
      </c>
      <c r="P919" s="262" t="str">
        <f t="shared" si="1"/>
        <v>IN-BLR-ANANTA-VAV-491_3</v>
      </c>
      <c r="Q919" s="173" t="s">
        <v>4303</v>
      </c>
      <c r="R919" s="328" t="str">
        <f>IFS(C919="","",C919="n/a","N/A",LEN(C919),Concatenate("{",char(34),"asset",char(34),":{",char(34),"guid",char(34),":",char(34),Q919,char(34),",",char(34),"site",char(34),":",char(34),LOWER('2-Building'!$B$4),char(34),",",char(34),"name",char(34),":",char(34),LOWER(C919),char(34),"}}"))</f>
        <v>{"asset":{"guid":"uuid://d28b2644-27b3-4524-9b5f-a4246560650c","site":"in-blr-ananta","name":"vav-491"}}</v>
      </c>
      <c r="S919" s="237" t="s">
        <v>2866</v>
      </c>
      <c r="T919" s="330"/>
      <c r="U919" s="330"/>
      <c r="V919" s="331"/>
      <c r="W919" s="344"/>
      <c r="X919" s="341"/>
      <c r="Y919" s="33" t="s">
        <v>2867</v>
      </c>
      <c r="Z919" s="258">
        <v>120491.0</v>
      </c>
      <c r="AA919" s="334">
        <v>11554.0</v>
      </c>
      <c r="AB919" s="341"/>
      <c r="AC919" s="341"/>
      <c r="AD919" s="343"/>
      <c r="AE919" s="331"/>
      <c r="AF919" s="348"/>
      <c r="AG919" s="337"/>
      <c r="AH919" s="341"/>
      <c r="AI919" s="341"/>
      <c r="AJ919" s="341"/>
      <c r="AK919" s="341"/>
      <c r="AL919" s="341"/>
      <c r="AM919" s="338"/>
      <c r="AN919" s="341"/>
      <c r="AO919" s="341"/>
      <c r="AP919" s="341"/>
      <c r="AQ919" s="341"/>
      <c r="AR919" s="341"/>
      <c r="AS919" s="341"/>
      <c r="AT919" s="341"/>
      <c r="AU919" s="343"/>
      <c r="AV919" s="341"/>
      <c r="AW919" s="269" t="s">
        <v>2114</v>
      </c>
      <c r="AX919" s="334" t="s">
        <v>2869</v>
      </c>
      <c r="AY919" s="270" t="s">
        <v>695</v>
      </c>
      <c r="AZ919" s="173" t="s">
        <v>2866</v>
      </c>
      <c r="BA919" s="265">
        <v>10.0</v>
      </c>
      <c r="BB919" s="174" t="s">
        <v>245</v>
      </c>
      <c r="BC919" s="341"/>
      <c r="BD919" s="308"/>
      <c r="BE919" s="347"/>
      <c r="BF919" s="274" t="str">
        <f>IFERROR(__xludf.DUMMYFUNCTION("LOWER(Regexreplace(to_text(E919),""[^A-Za-z0-9]"","""")&amp;""_""&amp;Regexreplace(to_text(F919),""[^A-Za-z0-9]"",""""))"),"neptronic_evcbseries")</f>
        <v>neptronic_evcbseries</v>
      </c>
      <c r="BG919" s="275" t="str">
        <f>IFERROR(__xludf.DUMMYFUNCTION("upper(Regexreplace(to_text(E919),""[^A-Za-z0-9]"","""")&amp;""-""&amp;Regexreplace(to_text(F919),""[^A-Za-z0-9]"",""""))"),"NEPTRONIC-EVCBSERIES")</f>
        <v>NEPTRONIC-EVCBSERIES</v>
      </c>
    </row>
    <row r="920" ht="30.0" customHeight="1">
      <c r="A920" s="258">
        <v>912.0</v>
      </c>
      <c r="B920" s="237" t="s">
        <v>670</v>
      </c>
      <c r="C920" s="257" t="s">
        <v>4304</v>
      </c>
      <c r="D920" s="173" t="s">
        <v>4304</v>
      </c>
      <c r="E920" s="174" t="s">
        <v>2861</v>
      </c>
      <c r="F920" s="173" t="s">
        <v>2862</v>
      </c>
      <c r="G920" s="328" t="s">
        <v>673</v>
      </c>
      <c r="H920" s="328" t="s">
        <v>2863</v>
      </c>
      <c r="I920" s="258" t="s">
        <v>2864</v>
      </c>
      <c r="J920" s="259" t="s">
        <v>965</v>
      </c>
      <c r="K920" s="260" t="s">
        <v>4305</v>
      </c>
      <c r="L920" s="328"/>
      <c r="M920" s="343"/>
      <c r="N920" s="173" t="s">
        <v>679</v>
      </c>
      <c r="O920" s="173" t="s">
        <v>225</v>
      </c>
      <c r="P920" s="262" t="str">
        <f t="shared" si="1"/>
        <v>IN-BLR-ANANTA-VAV-492_3</v>
      </c>
      <c r="Q920" s="173" t="s">
        <v>4306</v>
      </c>
      <c r="R920" s="328" t="str">
        <f>IFS(C920="","",C920="n/a","N/A",LEN(C920),Concatenate("{",char(34),"asset",char(34),":{",char(34),"guid",char(34),":",char(34),Q920,char(34),",",char(34),"site",char(34),":",char(34),LOWER('2-Building'!$B$4),char(34),",",char(34),"name",char(34),":",char(34),LOWER(C920),char(34),"}}"))</f>
        <v>{"asset":{"guid":"uuid://09bde241-7540-420e-af24-b7d5ac3d8ff6","site":"in-blr-ananta","name":"vav-492"}}</v>
      </c>
      <c r="S920" s="237" t="s">
        <v>2866</v>
      </c>
      <c r="T920" s="330"/>
      <c r="U920" s="330"/>
      <c r="V920" s="331"/>
      <c r="W920" s="344"/>
      <c r="X920" s="341"/>
      <c r="Y920" s="33" t="s">
        <v>2867</v>
      </c>
      <c r="Z920" s="258">
        <v>120492.0</v>
      </c>
      <c r="AA920" s="334">
        <v>11554.0</v>
      </c>
      <c r="AB920" s="341"/>
      <c r="AC920" s="341"/>
      <c r="AD920" s="343"/>
      <c r="AE920" s="331"/>
      <c r="AF920" s="348"/>
      <c r="AG920" s="337"/>
      <c r="AH920" s="341"/>
      <c r="AI920" s="341"/>
      <c r="AJ920" s="341"/>
      <c r="AK920" s="341"/>
      <c r="AL920" s="341"/>
      <c r="AM920" s="338"/>
      <c r="AN920" s="341"/>
      <c r="AO920" s="341"/>
      <c r="AP920" s="341"/>
      <c r="AQ920" s="341"/>
      <c r="AR920" s="341"/>
      <c r="AS920" s="341"/>
      <c r="AT920" s="341"/>
      <c r="AU920" s="343"/>
      <c r="AV920" s="341"/>
      <c r="AW920" s="269" t="s">
        <v>2114</v>
      </c>
      <c r="AX920" s="334" t="s">
        <v>2869</v>
      </c>
      <c r="AY920" s="270" t="s">
        <v>695</v>
      </c>
      <c r="AZ920" s="173" t="s">
        <v>2866</v>
      </c>
      <c r="BA920" s="265">
        <v>10.0</v>
      </c>
      <c r="BB920" s="174" t="s">
        <v>245</v>
      </c>
      <c r="BC920" s="341"/>
      <c r="BD920" s="308"/>
      <c r="BE920" s="347"/>
      <c r="BF920" s="274" t="str">
        <f>IFERROR(__xludf.DUMMYFUNCTION("LOWER(Regexreplace(to_text(E920),""[^A-Za-z0-9]"","""")&amp;""_""&amp;Regexreplace(to_text(F920),""[^A-Za-z0-9]"",""""))"),"neptronic_evcbseries")</f>
        <v>neptronic_evcbseries</v>
      </c>
      <c r="BG920" s="275" t="str">
        <f>IFERROR(__xludf.DUMMYFUNCTION("upper(Regexreplace(to_text(E920),""[^A-Za-z0-9]"","""")&amp;""-""&amp;Regexreplace(to_text(F920),""[^A-Za-z0-9]"",""""))"),"NEPTRONIC-EVCBSERIES")</f>
        <v>NEPTRONIC-EVCBSERIES</v>
      </c>
    </row>
    <row r="921" ht="30.0" customHeight="1">
      <c r="A921" s="173">
        <v>913.0</v>
      </c>
      <c r="B921" s="237" t="s">
        <v>670</v>
      </c>
      <c r="C921" s="257" t="s">
        <v>4307</v>
      </c>
      <c r="D921" s="173" t="s">
        <v>4307</v>
      </c>
      <c r="E921" s="174" t="s">
        <v>2861</v>
      </c>
      <c r="F921" s="173" t="s">
        <v>2862</v>
      </c>
      <c r="G921" s="328" t="s">
        <v>673</v>
      </c>
      <c r="H921" s="328" t="s">
        <v>2863</v>
      </c>
      <c r="I921" s="258" t="s">
        <v>2864</v>
      </c>
      <c r="J921" s="259" t="s">
        <v>965</v>
      </c>
      <c r="K921" s="260" t="s">
        <v>4308</v>
      </c>
      <c r="L921" s="328"/>
      <c r="M921" s="343"/>
      <c r="N921" s="173" t="s">
        <v>679</v>
      </c>
      <c r="O921" s="173" t="s">
        <v>225</v>
      </c>
      <c r="P921" s="262" t="str">
        <f t="shared" si="1"/>
        <v>IN-BLR-ANANTA-VAV-493_3</v>
      </c>
      <c r="Q921" s="173" t="s">
        <v>4309</v>
      </c>
      <c r="R921" s="328" t="str">
        <f>IFS(C921="","",C921="n/a","N/A",LEN(C921),Concatenate("{",char(34),"asset",char(34),":{",char(34),"guid",char(34),":",char(34),Q921,char(34),",",char(34),"site",char(34),":",char(34),LOWER('2-Building'!$B$4),char(34),",",char(34),"name",char(34),":",char(34),LOWER(C921),char(34),"}}"))</f>
        <v>{"asset":{"guid":"uuid://5c1d8a52-fe95-45fa-b24f-5fc71c8c0326","site":"in-blr-ananta","name":"vav-493"}}</v>
      </c>
      <c r="S921" s="237" t="s">
        <v>2866</v>
      </c>
      <c r="T921" s="330"/>
      <c r="U921" s="330"/>
      <c r="V921" s="331"/>
      <c r="W921" s="344"/>
      <c r="X921" s="341"/>
      <c r="Y921" s="33" t="s">
        <v>2867</v>
      </c>
      <c r="Z921" s="258">
        <v>120493.0</v>
      </c>
      <c r="AA921" s="334">
        <v>11554.0</v>
      </c>
      <c r="AB921" s="341"/>
      <c r="AC921" s="341"/>
      <c r="AD921" s="343"/>
      <c r="AE921" s="331"/>
      <c r="AF921" s="348"/>
      <c r="AG921" s="337"/>
      <c r="AH921" s="341"/>
      <c r="AI921" s="341"/>
      <c r="AJ921" s="341"/>
      <c r="AK921" s="341"/>
      <c r="AL921" s="341"/>
      <c r="AM921" s="338"/>
      <c r="AN921" s="341"/>
      <c r="AO921" s="341"/>
      <c r="AP921" s="341"/>
      <c r="AQ921" s="341"/>
      <c r="AR921" s="341"/>
      <c r="AS921" s="341"/>
      <c r="AT921" s="341"/>
      <c r="AU921" s="343"/>
      <c r="AV921" s="341"/>
      <c r="AW921" s="269" t="s">
        <v>2114</v>
      </c>
      <c r="AX921" s="334" t="s">
        <v>2869</v>
      </c>
      <c r="AY921" s="270" t="s">
        <v>695</v>
      </c>
      <c r="AZ921" s="173" t="s">
        <v>2866</v>
      </c>
      <c r="BA921" s="265">
        <v>10.0</v>
      </c>
      <c r="BB921" s="174" t="s">
        <v>245</v>
      </c>
      <c r="BC921" s="341"/>
      <c r="BD921" s="308"/>
      <c r="BE921" s="347"/>
      <c r="BF921" s="274" t="str">
        <f>IFERROR(__xludf.DUMMYFUNCTION("LOWER(Regexreplace(to_text(E921),""[^A-Za-z0-9]"","""")&amp;""_""&amp;Regexreplace(to_text(F921),""[^A-Za-z0-9]"",""""))"),"neptronic_evcbseries")</f>
        <v>neptronic_evcbseries</v>
      </c>
      <c r="BG921" s="275" t="str">
        <f>IFERROR(__xludf.DUMMYFUNCTION("upper(Regexreplace(to_text(E921),""[^A-Za-z0-9]"","""")&amp;""-""&amp;Regexreplace(to_text(F921),""[^A-Za-z0-9]"",""""))"),"NEPTRONIC-EVCBSERIES")</f>
        <v>NEPTRONIC-EVCBSERIES</v>
      </c>
    </row>
    <row r="922" ht="30.0" customHeight="1">
      <c r="A922" s="258">
        <v>914.0</v>
      </c>
      <c r="B922" s="237" t="s">
        <v>670</v>
      </c>
      <c r="C922" s="257" t="s">
        <v>4310</v>
      </c>
      <c r="D922" s="173" t="s">
        <v>4310</v>
      </c>
      <c r="E922" s="174" t="s">
        <v>2861</v>
      </c>
      <c r="F922" s="173" t="s">
        <v>2862</v>
      </c>
      <c r="G922" s="328" t="s">
        <v>673</v>
      </c>
      <c r="H922" s="328" t="s">
        <v>2863</v>
      </c>
      <c r="I922" s="258" t="s">
        <v>2864</v>
      </c>
      <c r="J922" s="259" t="s">
        <v>965</v>
      </c>
      <c r="K922" s="260" t="s">
        <v>4311</v>
      </c>
      <c r="L922" s="328"/>
      <c r="M922" s="343"/>
      <c r="N922" s="173" t="s">
        <v>679</v>
      </c>
      <c r="O922" s="173" t="s">
        <v>225</v>
      </c>
      <c r="P922" s="262" t="str">
        <f t="shared" si="1"/>
        <v>IN-BLR-ANANTA-VAV-494_3</v>
      </c>
      <c r="Q922" s="173" t="s">
        <v>4312</v>
      </c>
      <c r="R922" s="328" t="str">
        <f>IFS(C922="","",C922="n/a","N/A",LEN(C922),Concatenate("{",char(34),"asset",char(34),":{",char(34),"guid",char(34),":",char(34),Q922,char(34),",",char(34),"site",char(34),":",char(34),LOWER('2-Building'!$B$4),char(34),",",char(34),"name",char(34),":",char(34),LOWER(C922),char(34),"}}"))</f>
        <v>{"asset":{"guid":"uuid://81ed347d-98f6-4fb7-891d-051134655c7d","site":"in-blr-ananta","name":"vav-494"}}</v>
      </c>
      <c r="S922" s="237" t="s">
        <v>2866</v>
      </c>
      <c r="T922" s="330"/>
      <c r="U922" s="330"/>
      <c r="V922" s="331"/>
      <c r="W922" s="344"/>
      <c r="X922" s="341"/>
      <c r="Y922" s="33" t="s">
        <v>2867</v>
      </c>
      <c r="Z922" s="258">
        <v>120494.0</v>
      </c>
      <c r="AA922" s="334">
        <v>11554.0</v>
      </c>
      <c r="AB922" s="341"/>
      <c r="AC922" s="341"/>
      <c r="AD922" s="343"/>
      <c r="AE922" s="331"/>
      <c r="AF922" s="348"/>
      <c r="AG922" s="337"/>
      <c r="AH922" s="341"/>
      <c r="AI922" s="341"/>
      <c r="AJ922" s="341"/>
      <c r="AK922" s="341"/>
      <c r="AL922" s="341"/>
      <c r="AM922" s="338"/>
      <c r="AN922" s="341"/>
      <c r="AO922" s="341"/>
      <c r="AP922" s="341"/>
      <c r="AQ922" s="341"/>
      <c r="AR922" s="341"/>
      <c r="AS922" s="341"/>
      <c r="AT922" s="341"/>
      <c r="AU922" s="343"/>
      <c r="AV922" s="341"/>
      <c r="AW922" s="269" t="s">
        <v>2114</v>
      </c>
      <c r="AX922" s="334" t="s">
        <v>2869</v>
      </c>
      <c r="AY922" s="270" t="s">
        <v>695</v>
      </c>
      <c r="AZ922" s="173" t="s">
        <v>2866</v>
      </c>
      <c r="BA922" s="265">
        <v>10.0</v>
      </c>
      <c r="BB922" s="174" t="s">
        <v>245</v>
      </c>
      <c r="BC922" s="341"/>
      <c r="BD922" s="308"/>
      <c r="BE922" s="347"/>
      <c r="BF922" s="274" t="str">
        <f>IFERROR(__xludf.DUMMYFUNCTION("LOWER(Regexreplace(to_text(E922),""[^A-Za-z0-9]"","""")&amp;""_""&amp;Regexreplace(to_text(F922),""[^A-Za-z0-9]"",""""))"),"neptronic_evcbseries")</f>
        <v>neptronic_evcbseries</v>
      </c>
      <c r="BG922" s="275" t="str">
        <f>IFERROR(__xludf.DUMMYFUNCTION("upper(Regexreplace(to_text(E922),""[^A-Za-z0-9]"","""")&amp;""-""&amp;Regexreplace(to_text(F922),""[^A-Za-z0-9]"",""""))"),"NEPTRONIC-EVCBSERIES")</f>
        <v>NEPTRONIC-EVCBSERIES</v>
      </c>
    </row>
    <row r="923" ht="30.0" customHeight="1">
      <c r="A923" s="173">
        <v>915.0</v>
      </c>
      <c r="B923" s="237" t="s">
        <v>670</v>
      </c>
      <c r="C923" s="257" t="s">
        <v>4313</v>
      </c>
      <c r="D923" s="173" t="s">
        <v>4313</v>
      </c>
      <c r="E923" s="174" t="s">
        <v>2861</v>
      </c>
      <c r="F923" s="173" t="s">
        <v>2862</v>
      </c>
      <c r="G923" s="328" t="s">
        <v>673</v>
      </c>
      <c r="H923" s="328" t="s">
        <v>2863</v>
      </c>
      <c r="I923" s="258" t="s">
        <v>2864</v>
      </c>
      <c r="J923" s="259" t="s">
        <v>965</v>
      </c>
      <c r="K923" s="260" t="s">
        <v>4314</v>
      </c>
      <c r="L923" s="328"/>
      <c r="M923" s="343"/>
      <c r="N923" s="173" t="s">
        <v>679</v>
      </c>
      <c r="O923" s="173" t="s">
        <v>225</v>
      </c>
      <c r="P923" s="262" t="str">
        <f t="shared" si="1"/>
        <v>IN-BLR-ANANTA-VAV-495_3</v>
      </c>
      <c r="Q923" s="173" t="s">
        <v>4315</v>
      </c>
      <c r="R923" s="328" t="str">
        <f>IFS(C923="","",C923="n/a","N/A",LEN(C923),Concatenate("{",char(34),"asset",char(34),":{",char(34),"guid",char(34),":",char(34),Q923,char(34),",",char(34),"site",char(34),":",char(34),LOWER('2-Building'!$B$4),char(34),",",char(34),"name",char(34),":",char(34),LOWER(C923),char(34),"}}"))</f>
        <v>{"asset":{"guid":"uuid://beaf33d9-46a5-43a6-9317-c70c9ead9a31","site":"in-blr-ananta","name":"vav-495"}}</v>
      </c>
      <c r="S923" s="237" t="s">
        <v>2866</v>
      </c>
      <c r="T923" s="330"/>
      <c r="U923" s="330"/>
      <c r="V923" s="331"/>
      <c r="W923" s="344"/>
      <c r="X923" s="341"/>
      <c r="Y923" s="33" t="s">
        <v>2867</v>
      </c>
      <c r="Z923" s="258">
        <v>120495.0</v>
      </c>
      <c r="AA923" s="334">
        <v>11554.0</v>
      </c>
      <c r="AB923" s="341"/>
      <c r="AC923" s="341"/>
      <c r="AD923" s="343"/>
      <c r="AE923" s="331"/>
      <c r="AF923" s="348"/>
      <c r="AG923" s="337"/>
      <c r="AH923" s="341"/>
      <c r="AI923" s="341"/>
      <c r="AJ923" s="341"/>
      <c r="AK923" s="341"/>
      <c r="AL923" s="341"/>
      <c r="AM923" s="338"/>
      <c r="AN923" s="341"/>
      <c r="AO923" s="341"/>
      <c r="AP923" s="341"/>
      <c r="AQ923" s="341"/>
      <c r="AR923" s="341"/>
      <c r="AS923" s="341"/>
      <c r="AT923" s="341"/>
      <c r="AU923" s="343"/>
      <c r="AV923" s="341"/>
      <c r="AW923" s="269" t="s">
        <v>2114</v>
      </c>
      <c r="AX923" s="334" t="s">
        <v>2869</v>
      </c>
      <c r="AY923" s="270" t="s">
        <v>695</v>
      </c>
      <c r="AZ923" s="173" t="s">
        <v>2866</v>
      </c>
      <c r="BA923" s="265">
        <v>10.0</v>
      </c>
      <c r="BB923" s="174" t="s">
        <v>245</v>
      </c>
      <c r="BC923" s="341"/>
      <c r="BD923" s="308"/>
      <c r="BE923" s="347"/>
      <c r="BF923" s="274" t="str">
        <f>IFERROR(__xludf.DUMMYFUNCTION("LOWER(Regexreplace(to_text(E923),""[^A-Za-z0-9]"","""")&amp;""_""&amp;Regexreplace(to_text(F923),""[^A-Za-z0-9]"",""""))"),"neptronic_evcbseries")</f>
        <v>neptronic_evcbseries</v>
      </c>
      <c r="BG923" s="275" t="str">
        <f>IFERROR(__xludf.DUMMYFUNCTION("upper(Regexreplace(to_text(E923),""[^A-Za-z0-9]"","""")&amp;""-""&amp;Regexreplace(to_text(F923),""[^A-Za-z0-9]"",""""))"),"NEPTRONIC-EVCBSERIES")</f>
        <v>NEPTRONIC-EVCBSERIES</v>
      </c>
    </row>
    <row r="924" ht="30.0" customHeight="1">
      <c r="A924" s="258">
        <v>916.0</v>
      </c>
      <c r="B924" s="237" t="s">
        <v>670</v>
      </c>
      <c r="C924" s="257" t="s">
        <v>4316</v>
      </c>
      <c r="D924" s="173" t="s">
        <v>4316</v>
      </c>
      <c r="E924" s="174" t="s">
        <v>2861</v>
      </c>
      <c r="F924" s="173" t="s">
        <v>2862</v>
      </c>
      <c r="G924" s="328" t="s">
        <v>673</v>
      </c>
      <c r="H924" s="328" t="s">
        <v>2863</v>
      </c>
      <c r="I924" s="258" t="s">
        <v>2864</v>
      </c>
      <c r="J924" s="259" t="s">
        <v>965</v>
      </c>
      <c r="K924" s="260" t="s">
        <v>4317</v>
      </c>
      <c r="L924" s="328"/>
      <c r="M924" s="343"/>
      <c r="N924" s="173" t="s">
        <v>679</v>
      </c>
      <c r="O924" s="173" t="s">
        <v>225</v>
      </c>
      <c r="P924" s="262" t="str">
        <f t="shared" si="1"/>
        <v>IN-BLR-ANANTA-VAV-496_3</v>
      </c>
      <c r="Q924" s="173" t="s">
        <v>4318</v>
      </c>
      <c r="R924" s="328" t="str">
        <f>IFS(C924="","",C924="n/a","N/A",LEN(C924),Concatenate("{",char(34),"asset",char(34),":{",char(34),"guid",char(34),":",char(34),Q924,char(34),",",char(34),"site",char(34),":",char(34),LOWER('2-Building'!$B$4),char(34),",",char(34),"name",char(34),":",char(34),LOWER(C924),char(34),"}}"))</f>
        <v>{"asset":{"guid":"uuid://b1ce15ad-6d42-48a7-8926-c9d9aa39c494","site":"in-blr-ananta","name":"vav-496"}}</v>
      </c>
      <c r="S924" s="237" t="s">
        <v>2866</v>
      </c>
      <c r="T924" s="330"/>
      <c r="U924" s="330"/>
      <c r="V924" s="331"/>
      <c r="W924" s="344"/>
      <c r="X924" s="341"/>
      <c r="Y924" s="33" t="s">
        <v>2867</v>
      </c>
      <c r="Z924" s="258">
        <v>120496.0</v>
      </c>
      <c r="AA924" s="334">
        <v>11554.0</v>
      </c>
      <c r="AB924" s="341"/>
      <c r="AC924" s="341"/>
      <c r="AD924" s="343"/>
      <c r="AE924" s="331"/>
      <c r="AF924" s="348"/>
      <c r="AG924" s="337"/>
      <c r="AH924" s="341"/>
      <c r="AI924" s="341"/>
      <c r="AJ924" s="341"/>
      <c r="AK924" s="341"/>
      <c r="AL924" s="341"/>
      <c r="AM924" s="338"/>
      <c r="AN924" s="341"/>
      <c r="AO924" s="341"/>
      <c r="AP924" s="341"/>
      <c r="AQ924" s="341"/>
      <c r="AR924" s="341"/>
      <c r="AS924" s="341"/>
      <c r="AT924" s="341"/>
      <c r="AU924" s="343"/>
      <c r="AV924" s="341"/>
      <c r="AW924" s="269" t="s">
        <v>2114</v>
      </c>
      <c r="AX924" s="334" t="s">
        <v>2869</v>
      </c>
      <c r="AY924" s="270" t="s">
        <v>695</v>
      </c>
      <c r="AZ924" s="173" t="s">
        <v>2866</v>
      </c>
      <c r="BA924" s="265">
        <v>10.0</v>
      </c>
      <c r="BB924" s="174" t="s">
        <v>245</v>
      </c>
      <c r="BC924" s="341"/>
      <c r="BD924" s="308"/>
      <c r="BE924" s="347"/>
      <c r="BF924" s="274" t="str">
        <f>IFERROR(__xludf.DUMMYFUNCTION("LOWER(Regexreplace(to_text(E924),""[^A-Za-z0-9]"","""")&amp;""_""&amp;Regexreplace(to_text(F924),""[^A-Za-z0-9]"",""""))"),"neptronic_evcbseries")</f>
        <v>neptronic_evcbseries</v>
      </c>
      <c r="BG924" s="275" t="str">
        <f>IFERROR(__xludf.DUMMYFUNCTION("upper(Regexreplace(to_text(E924),""[^A-Za-z0-9]"","""")&amp;""-""&amp;Regexreplace(to_text(F924),""[^A-Za-z0-9]"",""""))"),"NEPTRONIC-EVCBSERIES")</f>
        <v>NEPTRONIC-EVCBSERIES</v>
      </c>
    </row>
    <row r="925" ht="30.0" customHeight="1">
      <c r="A925" s="173">
        <v>917.0</v>
      </c>
      <c r="B925" s="237" t="s">
        <v>670</v>
      </c>
      <c r="C925" s="257" t="s">
        <v>4319</v>
      </c>
      <c r="D925" s="173" t="s">
        <v>4319</v>
      </c>
      <c r="E925" s="174" t="s">
        <v>2861</v>
      </c>
      <c r="F925" s="173" t="s">
        <v>2862</v>
      </c>
      <c r="G925" s="328" t="s">
        <v>673</v>
      </c>
      <c r="H925" s="328" t="s">
        <v>2863</v>
      </c>
      <c r="I925" s="258" t="s">
        <v>2864</v>
      </c>
      <c r="J925" s="259" t="s">
        <v>965</v>
      </c>
      <c r="K925" s="260" t="s">
        <v>4320</v>
      </c>
      <c r="L925" s="328"/>
      <c r="M925" s="343"/>
      <c r="N925" s="173" t="s">
        <v>679</v>
      </c>
      <c r="O925" s="173" t="s">
        <v>225</v>
      </c>
      <c r="P925" s="262" t="str">
        <f t="shared" si="1"/>
        <v>IN-BLR-ANANTA-VAV-497_3</v>
      </c>
      <c r="Q925" s="173" t="s">
        <v>4321</v>
      </c>
      <c r="R925" s="328" t="str">
        <f>IFS(C925="","",C925="n/a","N/A",LEN(C925),Concatenate("{",char(34),"asset",char(34),":{",char(34),"guid",char(34),":",char(34),Q925,char(34),",",char(34),"site",char(34),":",char(34),LOWER('2-Building'!$B$4),char(34),",",char(34),"name",char(34),":",char(34),LOWER(C925),char(34),"}}"))</f>
        <v>{"asset":{"guid":"uuid://68ae764d-2b85-4869-bd60-9ee1c7138f5a","site":"in-blr-ananta","name":"vav-497"}}</v>
      </c>
      <c r="S925" s="237" t="s">
        <v>2866</v>
      </c>
      <c r="T925" s="330"/>
      <c r="U925" s="330"/>
      <c r="V925" s="331"/>
      <c r="W925" s="344"/>
      <c r="X925" s="341"/>
      <c r="Y925" s="33" t="s">
        <v>2867</v>
      </c>
      <c r="Z925" s="258">
        <v>120497.0</v>
      </c>
      <c r="AA925" s="334">
        <v>11554.0</v>
      </c>
      <c r="AB925" s="341"/>
      <c r="AC925" s="341"/>
      <c r="AD925" s="343"/>
      <c r="AE925" s="331"/>
      <c r="AF925" s="348"/>
      <c r="AG925" s="337"/>
      <c r="AH925" s="341"/>
      <c r="AI925" s="341"/>
      <c r="AJ925" s="341"/>
      <c r="AK925" s="341"/>
      <c r="AL925" s="341"/>
      <c r="AM925" s="338"/>
      <c r="AN925" s="341"/>
      <c r="AO925" s="341"/>
      <c r="AP925" s="341"/>
      <c r="AQ925" s="341"/>
      <c r="AR925" s="341"/>
      <c r="AS925" s="341"/>
      <c r="AT925" s="341"/>
      <c r="AU925" s="343"/>
      <c r="AV925" s="341"/>
      <c r="AW925" s="269" t="s">
        <v>2114</v>
      </c>
      <c r="AX925" s="334" t="s">
        <v>2869</v>
      </c>
      <c r="AY925" s="270" t="s">
        <v>695</v>
      </c>
      <c r="AZ925" s="173" t="s">
        <v>2866</v>
      </c>
      <c r="BA925" s="265">
        <v>10.0</v>
      </c>
      <c r="BB925" s="174" t="s">
        <v>245</v>
      </c>
      <c r="BC925" s="341"/>
      <c r="BD925" s="308"/>
      <c r="BE925" s="347"/>
      <c r="BF925" s="274" t="str">
        <f>IFERROR(__xludf.DUMMYFUNCTION("LOWER(Regexreplace(to_text(E925),""[^A-Za-z0-9]"","""")&amp;""_""&amp;Regexreplace(to_text(F925),""[^A-Za-z0-9]"",""""))"),"neptronic_evcbseries")</f>
        <v>neptronic_evcbseries</v>
      </c>
      <c r="BG925" s="275" t="str">
        <f>IFERROR(__xludf.DUMMYFUNCTION("upper(Regexreplace(to_text(E925),""[^A-Za-z0-9]"","""")&amp;""-""&amp;Regexreplace(to_text(F925),""[^A-Za-z0-9]"",""""))"),"NEPTRONIC-EVCBSERIES")</f>
        <v>NEPTRONIC-EVCBSERIES</v>
      </c>
    </row>
    <row r="926" ht="30.0" customHeight="1">
      <c r="A926" s="258">
        <v>918.0</v>
      </c>
      <c r="B926" s="237" t="s">
        <v>670</v>
      </c>
      <c r="C926" s="257" t="s">
        <v>4322</v>
      </c>
      <c r="D926" s="173" t="s">
        <v>4322</v>
      </c>
      <c r="E926" s="174" t="s">
        <v>2861</v>
      </c>
      <c r="F926" s="173" t="s">
        <v>2862</v>
      </c>
      <c r="G926" s="328" t="s">
        <v>673</v>
      </c>
      <c r="H926" s="328" t="s">
        <v>2863</v>
      </c>
      <c r="I926" s="258" t="s">
        <v>2864</v>
      </c>
      <c r="J926" s="259" t="s">
        <v>965</v>
      </c>
      <c r="K926" s="260" t="s">
        <v>4323</v>
      </c>
      <c r="L926" s="328"/>
      <c r="M926" s="343"/>
      <c r="N926" s="173" t="s">
        <v>679</v>
      </c>
      <c r="O926" s="173" t="s">
        <v>225</v>
      </c>
      <c r="P926" s="262" t="str">
        <f t="shared" si="1"/>
        <v>IN-BLR-ANANTA-VAV-498_3</v>
      </c>
      <c r="Q926" s="173" t="s">
        <v>4324</v>
      </c>
      <c r="R926" s="328" t="str">
        <f>IFS(C926="","",C926="n/a","N/A",LEN(C926),Concatenate("{",char(34),"asset",char(34),":{",char(34),"guid",char(34),":",char(34),Q926,char(34),",",char(34),"site",char(34),":",char(34),LOWER('2-Building'!$B$4),char(34),",",char(34),"name",char(34),":",char(34),LOWER(C926),char(34),"}}"))</f>
        <v>{"asset":{"guid":"uuid://9e3008a2-58dc-4ca9-a448-dafeed026417","site":"in-blr-ananta","name":"vav-498"}}</v>
      </c>
      <c r="S926" s="237" t="s">
        <v>2866</v>
      </c>
      <c r="T926" s="330"/>
      <c r="U926" s="330"/>
      <c r="V926" s="331"/>
      <c r="W926" s="344"/>
      <c r="X926" s="341"/>
      <c r="Y926" s="33" t="s">
        <v>2867</v>
      </c>
      <c r="Z926" s="258">
        <v>120498.0</v>
      </c>
      <c r="AA926" s="334">
        <v>11555.0</v>
      </c>
      <c r="AB926" s="341"/>
      <c r="AC926" s="341"/>
      <c r="AD926" s="343"/>
      <c r="AE926" s="331"/>
      <c r="AF926" s="348"/>
      <c r="AG926" s="337"/>
      <c r="AH926" s="341"/>
      <c r="AI926" s="341"/>
      <c r="AJ926" s="341"/>
      <c r="AK926" s="341"/>
      <c r="AL926" s="341"/>
      <c r="AM926" s="338"/>
      <c r="AN926" s="341"/>
      <c r="AO926" s="341"/>
      <c r="AP926" s="341"/>
      <c r="AQ926" s="341"/>
      <c r="AR926" s="341"/>
      <c r="AS926" s="341"/>
      <c r="AT926" s="341"/>
      <c r="AU926" s="343"/>
      <c r="AV926" s="341"/>
      <c r="AW926" s="269" t="s">
        <v>2114</v>
      </c>
      <c r="AX926" s="334" t="s">
        <v>2869</v>
      </c>
      <c r="AY926" s="270" t="s">
        <v>695</v>
      </c>
      <c r="AZ926" s="173" t="s">
        <v>2866</v>
      </c>
      <c r="BA926" s="265">
        <v>10.0</v>
      </c>
      <c r="BB926" s="174" t="s">
        <v>245</v>
      </c>
      <c r="BC926" s="341"/>
      <c r="BD926" s="308"/>
      <c r="BE926" s="347"/>
      <c r="BF926" s="274" t="str">
        <f>IFERROR(__xludf.DUMMYFUNCTION("LOWER(Regexreplace(to_text(E926),""[^A-Za-z0-9]"","""")&amp;""_""&amp;Regexreplace(to_text(F926),""[^A-Za-z0-9]"",""""))"),"neptronic_evcbseries")</f>
        <v>neptronic_evcbseries</v>
      </c>
      <c r="BG926" s="275" t="str">
        <f>IFERROR(__xludf.DUMMYFUNCTION("upper(Regexreplace(to_text(E926),""[^A-Za-z0-9]"","""")&amp;""-""&amp;Regexreplace(to_text(F926),""[^A-Za-z0-9]"",""""))"),"NEPTRONIC-EVCBSERIES")</f>
        <v>NEPTRONIC-EVCBSERIES</v>
      </c>
    </row>
    <row r="927" ht="30.0" customHeight="1">
      <c r="A927" s="173">
        <v>919.0</v>
      </c>
      <c r="B927" s="237" t="s">
        <v>670</v>
      </c>
      <c r="C927" s="257" t="s">
        <v>4325</v>
      </c>
      <c r="D927" s="173" t="s">
        <v>4325</v>
      </c>
      <c r="E927" s="174" t="s">
        <v>2861</v>
      </c>
      <c r="F927" s="173" t="s">
        <v>2862</v>
      </c>
      <c r="G927" s="328" t="s">
        <v>673</v>
      </c>
      <c r="H927" s="328" t="s">
        <v>2863</v>
      </c>
      <c r="I927" s="258" t="s">
        <v>2864</v>
      </c>
      <c r="J927" s="259" t="s">
        <v>965</v>
      </c>
      <c r="K927" s="260" t="s">
        <v>4326</v>
      </c>
      <c r="L927" s="328"/>
      <c r="M927" s="343"/>
      <c r="N927" s="173" t="s">
        <v>679</v>
      </c>
      <c r="O927" s="173" t="s">
        <v>225</v>
      </c>
      <c r="P927" s="262" t="str">
        <f t="shared" si="1"/>
        <v>IN-BLR-ANANTA-VAV-499_3</v>
      </c>
      <c r="Q927" s="173" t="s">
        <v>4327</v>
      </c>
      <c r="R927" s="328" t="str">
        <f>IFS(C927="","",C927="n/a","N/A",LEN(C927),Concatenate("{",char(34),"asset",char(34),":{",char(34),"guid",char(34),":",char(34),Q927,char(34),",",char(34),"site",char(34),":",char(34),LOWER('2-Building'!$B$4),char(34),",",char(34),"name",char(34),":",char(34),LOWER(C927),char(34),"}}"))</f>
        <v>{"asset":{"guid":"uuid://0e1501b1-9ec4-4c37-a081-82123e78029c","site":"in-blr-ananta","name":"vav-499"}}</v>
      </c>
      <c r="S927" s="237" t="s">
        <v>2866</v>
      </c>
      <c r="T927" s="330"/>
      <c r="U927" s="330"/>
      <c r="V927" s="331"/>
      <c r="W927" s="344"/>
      <c r="X927" s="341"/>
      <c r="Y927" s="33" t="s">
        <v>2867</v>
      </c>
      <c r="Z927" s="258">
        <v>120499.0</v>
      </c>
      <c r="AA927" s="334">
        <v>11555.0</v>
      </c>
      <c r="AB927" s="341"/>
      <c r="AC927" s="341"/>
      <c r="AD927" s="343"/>
      <c r="AE927" s="331"/>
      <c r="AF927" s="348"/>
      <c r="AG927" s="337"/>
      <c r="AH927" s="341"/>
      <c r="AI927" s="341"/>
      <c r="AJ927" s="341"/>
      <c r="AK927" s="341"/>
      <c r="AL927" s="341"/>
      <c r="AM927" s="338"/>
      <c r="AN927" s="341"/>
      <c r="AO927" s="341"/>
      <c r="AP927" s="341"/>
      <c r="AQ927" s="341"/>
      <c r="AR927" s="341"/>
      <c r="AS927" s="341"/>
      <c r="AT927" s="341"/>
      <c r="AU927" s="343"/>
      <c r="AV927" s="341"/>
      <c r="AW927" s="269" t="s">
        <v>2114</v>
      </c>
      <c r="AX927" s="334" t="s">
        <v>2869</v>
      </c>
      <c r="AY927" s="270" t="s">
        <v>695</v>
      </c>
      <c r="AZ927" s="173" t="s">
        <v>2866</v>
      </c>
      <c r="BA927" s="265">
        <v>10.0</v>
      </c>
      <c r="BB927" s="174" t="s">
        <v>245</v>
      </c>
      <c r="BC927" s="341"/>
      <c r="BD927" s="308"/>
      <c r="BE927" s="347"/>
      <c r="BF927" s="274" t="str">
        <f>IFERROR(__xludf.DUMMYFUNCTION("LOWER(Regexreplace(to_text(E927),""[^A-Za-z0-9]"","""")&amp;""_""&amp;Regexreplace(to_text(F927),""[^A-Za-z0-9]"",""""))"),"neptronic_evcbseries")</f>
        <v>neptronic_evcbseries</v>
      </c>
      <c r="BG927" s="275" t="str">
        <f>IFERROR(__xludf.DUMMYFUNCTION("upper(Regexreplace(to_text(E927),""[^A-Za-z0-9]"","""")&amp;""-""&amp;Regexreplace(to_text(F927),""[^A-Za-z0-9]"",""""))"),"NEPTRONIC-EVCBSERIES")</f>
        <v>NEPTRONIC-EVCBSERIES</v>
      </c>
    </row>
    <row r="928" ht="30.0" customHeight="1">
      <c r="A928" s="258">
        <v>920.0</v>
      </c>
      <c r="B928" s="237" t="s">
        <v>670</v>
      </c>
      <c r="C928" s="257" t="s">
        <v>4328</v>
      </c>
      <c r="D928" s="173" t="s">
        <v>4328</v>
      </c>
      <c r="E928" s="174" t="s">
        <v>2861</v>
      </c>
      <c r="F928" s="173" t="s">
        <v>2862</v>
      </c>
      <c r="G928" s="328" t="s">
        <v>673</v>
      </c>
      <c r="H928" s="328" t="s">
        <v>2863</v>
      </c>
      <c r="I928" s="258" t="s">
        <v>2864</v>
      </c>
      <c r="J928" s="259" t="s">
        <v>965</v>
      </c>
      <c r="K928" s="260" t="s">
        <v>4329</v>
      </c>
      <c r="L928" s="328"/>
      <c r="M928" s="343"/>
      <c r="N928" s="173" t="s">
        <v>679</v>
      </c>
      <c r="O928" s="173" t="s">
        <v>225</v>
      </c>
      <c r="P928" s="262" t="str">
        <f t="shared" si="1"/>
        <v>IN-BLR-ANANTA-VAV-500_3</v>
      </c>
      <c r="Q928" s="173" t="s">
        <v>4330</v>
      </c>
      <c r="R928" s="328" t="str">
        <f>IFS(C928="","",C928="n/a","N/A",LEN(C928),Concatenate("{",char(34),"asset",char(34),":{",char(34),"guid",char(34),":",char(34),Q928,char(34),",",char(34),"site",char(34),":",char(34),LOWER('2-Building'!$B$4),char(34),",",char(34),"name",char(34),":",char(34),LOWER(C928),char(34),"}}"))</f>
        <v>{"asset":{"guid":"uuid://603c0b4c-cb03-41cd-b72a-f3d4697b323a","site":"in-blr-ananta","name":"vav-500"}}</v>
      </c>
      <c r="S928" s="237" t="s">
        <v>2866</v>
      </c>
      <c r="T928" s="330"/>
      <c r="U928" s="330"/>
      <c r="V928" s="331"/>
      <c r="W928" s="344"/>
      <c r="X928" s="341"/>
      <c r="Y928" s="33" t="s">
        <v>2867</v>
      </c>
      <c r="Z928" s="258">
        <v>120500.0</v>
      </c>
      <c r="AA928" s="334">
        <v>11555.0</v>
      </c>
      <c r="AB928" s="341"/>
      <c r="AC928" s="341"/>
      <c r="AD928" s="343"/>
      <c r="AE928" s="331"/>
      <c r="AF928" s="348"/>
      <c r="AG928" s="337"/>
      <c r="AH928" s="341"/>
      <c r="AI928" s="341"/>
      <c r="AJ928" s="341"/>
      <c r="AK928" s="341"/>
      <c r="AL928" s="341"/>
      <c r="AM928" s="338"/>
      <c r="AN928" s="341"/>
      <c r="AO928" s="341"/>
      <c r="AP928" s="341"/>
      <c r="AQ928" s="341"/>
      <c r="AR928" s="341"/>
      <c r="AS928" s="341"/>
      <c r="AT928" s="341"/>
      <c r="AU928" s="343"/>
      <c r="AV928" s="341"/>
      <c r="AW928" s="269" t="s">
        <v>2114</v>
      </c>
      <c r="AX928" s="334" t="s">
        <v>2869</v>
      </c>
      <c r="AY928" s="270" t="s">
        <v>695</v>
      </c>
      <c r="AZ928" s="173" t="s">
        <v>2866</v>
      </c>
      <c r="BA928" s="265">
        <v>10.0</v>
      </c>
      <c r="BB928" s="174" t="s">
        <v>245</v>
      </c>
      <c r="BC928" s="341"/>
      <c r="BD928" s="308"/>
      <c r="BE928" s="347"/>
      <c r="BF928" s="274" t="str">
        <f>IFERROR(__xludf.DUMMYFUNCTION("LOWER(Regexreplace(to_text(E928),""[^A-Za-z0-9]"","""")&amp;""_""&amp;Regexreplace(to_text(F928),""[^A-Za-z0-9]"",""""))"),"neptronic_evcbseries")</f>
        <v>neptronic_evcbseries</v>
      </c>
      <c r="BG928" s="275" t="str">
        <f>IFERROR(__xludf.DUMMYFUNCTION("upper(Regexreplace(to_text(E928),""[^A-Za-z0-9]"","""")&amp;""-""&amp;Regexreplace(to_text(F928),""[^A-Za-z0-9]"",""""))"),"NEPTRONIC-EVCBSERIES")</f>
        <v>NEPTRONIC-EVCBSERIES</v>
      </c>
    </row>
    <row r="929" ht="30.0" customHeight="1">
      <c r="A929" s="173">
        <v>921.0</v>
      </c>
      <c r="B929" s="237" t="s">
        <v>670</v>
      </c>
      <c r="C929" s="257" t="s">
        <v>4331</v>
      </c>
      <c r="D929" s="173" t="s">
        <v>4331</v>
      </c>
      <c r="E929" s="174" t="s">
        <v>2861</v>
      </c>
      <c r="F929" s="173" t="s">
        <v>2862</v>
      </c>
      <c r="G929" s="328" t="s">
        <v>673</v>
      </c>
      <c r="H929" s="328" t="s">
        <v>2863</v>
      </c>
      <c r="I929" s="258" t="s">
        <v>2864</v>
      </c>
      <c r="J929" s="259" t="s">
        <v>965</v>
      </c>
      <c r="K929" s="260" t="s">
        <v>4332</v>
      </c>
      <c r="L929" s="328"/>
      <c r="M929" s="343"/>
      <c r="N929" s="173" t="s">
        <v>679</v>
      </c>
      <c r="O929" s="173" t="s">
        <v>225</v>
      </c>
      <c r="P929" s="262" t="str">
        <f t="shared" si="1"/>
        <v>IN-BLR-ANANTA-VAV-501_3</v>
      </c>
      <c r="Q929" s="173" t="s">
        <v>4333</v>
      </c>
      <c r="R929" s="328" t="str">
        <f>IFS(C929="","",C929="n/a","N/A",LEN(C929),Concatenate("{",char(34),"asset",char(34),":{",char(34),"guid",char(34),":",char(34),Q929,char(34),",",char(34),"site",char(34),":",char(34),LOWER('2-Building'!$B$4),char(34),",",char(34),"name",char(34),":",char(34),LOWER(C929),char(34),"}}"))</f>
        <v>{"asset":{"guid":"uuid://05f11648-f1fa-41aa-a571-91fc9f53ce6c","site":"in-blr-ananta","name":"vav-501"}}</v>
      </c>
      <c r="S929" s="237" t="s">
        <v>2866</v>
      </c>
      <c r="T929" s="330"/>
      <c r="U929" s="330"/>
      <c r="V929" s="331"/>
      <c r="W929" s="344"/>
      <c r="X929" s="341"/>
      <c r="Y929" s="33" t="s">
        <v>2867</v>
      </c>
      <c r="Z929" s="258">
        <v>120501.0</v>
      </c>
      <c r="AA929" s="334">
        <v>11555.0</v>
      </c>
      <c r="AB929" s="341"/>
      <c r="AC929" s="341"/>
      <c r="AD929" s="343"/>
      <c r="AE929" s="331"/>
      <c r="AF929" s="348"/>
      <c r="AG929" s="337"/>
      <c r="AH929" s="341"/>
      <c r="AI929" s="341"/>
      <c r="AJ929" s="341"/>
      <c r="AK929" s="341"/>
      <c r="AL929" s="341"/>
      <c r="AM929" s="338"/>
      <c r="AN929" s="341"/>
      <c r="AO929" s="341"/>
      <c r="AP929" s="341"/>
      <c r="AQ929" s="341"/>
      <c r="AR929" s="341"/>
      <c r="AS929" s="341"/>
      <c r="AT929" s="341"/>
      <c r="AU929" s="343"/>
      <c r="AV929" s="341"/>
      <c r="AW929" s="269" t="s">
        <v>2114</v>
      </c>
      <c r="AX929" s="334" t="s">
        <v>2869</v>
      </c>
      <c r="AY929" s="270" t="s">
        <v>695</v>
      </c>
      <c r="AZ929" s="173" t="s">
        <v>2866</v>
      </c>
      <c r="BA929" s="265">
        <v>10.0</v>
      </c>
      <c r="BB929" s="174" t="s">
        <v>245</v>
      </c>
      <c r="BC929" s="341"/>
      <c r="BD929" s="308"/>
      <c r="BE929" s="347"/>
      <c r="BF929" s="274" t="str">
        <f>IFERROR(__xludf.DUMMYFUNCTION("LOWER(Regexreplace(to_text(E929),""[^A-Za-z0-9]"","""")&amp;""_""&amp;Regexreplace(to_text(F929),""[^A-Za-z0-9]"",""""))"),"neptronic_evcbseries")</f>
        <v>neptronic_evcbseries</v>
      </c>
      <c r="BG929" s="275" t="str">
        <f>IFERROR(__xludf.DUMMYFUNCTION("upper(Regexreplace(to_text(E929),""[^A-Za-z0-9]"","""")&amp;""-""&amp;Regexreplace(to_text(F929),""[^A-Za-z0-9]"",""""))"),"NEPTRONIC-EVCBSERIES")</f>
        <v>NEPTRONIC-EVCBSERIES</v>
      </c>
    </row>
    <row r="930" ht="30.0" customHeight="1">
      <c r="A930" s="258">
        <v>922.0</v>
      </c>
      <c r="B930" s="237" t="s">
        <v>670</v>
      </c>
      <c r="C930" s="257" t="s">
        <v>4334</v>
      </c>
      <c r="D930" s="173" t="s">
        <v>4334</v>
      </c>
      <c r="E930" s="174" t="s">
        <v>2861</v>
      </c>
      <c r="F930" s="173" t="s">
        <v>2862</v>
      </c>
      <c r="G930" s="328" t="s">
        <v>673</v>
      </c>
      <c r="H930" s="328" t="s">
        <v>2863</v>
      </c>
      <c r="I930" s="258" t="s">
        <v>2864</v>
      </c>
      <c r="J930" s="259" t="s">
        <v>965</v>
      </c>
      <c r="K930" s="260" t="s">
        <v>4335</v>
      </c>
      <c r="L930" s="328"/>
      <c r="M930" s="343"/>
      <c r="N930" s="173" t="s">
        <v>679</v>
      </c>
      <c r="O930" s="173" t="s">
        <v>225</v>
      </c>
      <c r="P930" s="262" t="str">
        <f t="shared" si="1"/>
        <v>IN-BLR-ANANTA-VAV-502_3</v>
      </c>
      <c r="Q930" s="173" t="s">
        <v>4336</v>
      </c>
      <c r="R930" s="328" t="str">
        <f>IFS(C930="","",C930="n/a","N/A",LEN(C930),Concatenate("{",char(34),"asset",char(34),":{",char(34),"guid",char(34),":",char(34),Q930,char(34),",",char(34),"site",char(34),":",char(34),LOWER('2-Building'!$B$4),char(34),",",char(34),"name",char(34),":",char(34),LOWER(C930),char(34),"}}"))</f>
        <v>{"asset":{"guid":"uuid://1a97cb81-6c0f-4d04-83d3-dcef96787a1f","site":"in-blr-ananta","name":"vav-502"}}</v>
      </c>
      <c r="S930" s="237" t="s">
        <v>2866</v>
      </c>
      <c r="T930" s="330"/>
      <c r="U930" s="330"/>
      <c r="V930" s="331"/>
      <c r="W930" s="344"/>
      <c r="X930" s="341"/>
      <c r="Y930" s="33" t="s">
        <v>2867</v>
      </c>
      <c r="Z930" s="258">
        <v>120502.0</v>
      </c>
      <c r="AA930" s="334">
        <v>11555.0</v>
      </c>
      <c r="AB930" s="341"/>
      <c r="AC930" s="341"/>
      <c r="AD930" s="343"/>
      <c r="AE930" s="331"/>
      <c r="AF930" s="348"/>
      <c r="AG930" s="337"/>
      <c r="AH930" s="341"/>
      <c r="AI930" s="341"/>
      <c r="AJ930" s="341"/>
      <c r="AK930" s="341"/>
      <c r="AL930" s="341"/>
      <c r="AM930" s="338"/>
      <c r="AN930" s="341"/>
      <c r="AO930" s="341"/>
      <c r="AP930" s="341"/>
      <c r="AQ930" s="341"/>
      <c r="AR930" s="341"/>
      <c r="AS930" s="341"/>
      <c r="AT930" s="341"/>
      <c r="AU930" s="343"/>
      <c r="AV930" s="341"/>
      <c r="AW930" s="269" t="s">
        <v>2114</v>
      </c>
      <c r="AX930" s="334" t="s">
        <v>2869</v>
      </c>
      <c r="AY930" s="270" t="s">
        <v>695</v>
      </c>
      <c r="AZ930" s="173" t="s">
        <v>2866</v>
      </c>
      <c r="BA930" s="265">
        <v>10.0</v>
      </c>
      <c r="BB930" s="174" t="s">
        <v>245</v>
      </c>
      <c r="BC930" s="341"/>
      <c r="BD930" s="308"/>
      <c r="BE930" s="347"/>
      <c r="BF930" s="274" t="str">
        <f>IFERROR(__xludf.DUMMYFUNCTION("LOWER(Regexreplace(to_text(E930),""[^A-Za-z0-9]"","""")&amp;""_""&amp;Regexreplace(to_text(F930),""[^A-Za-z0-9]"",""""))"),"neptronic_evcbseries")</f>
        <v>neptronic_evcbseries</v>
      </c>
      <c r="BG930" s="275" t="str">
        <f>IFERROR(__xludf.DUMMYFUNCTION("upper(Regexreplace(to_text(E930),""[^A-Za-z0-9]"","""")&amp;""-""&amp;Regexreplace(to_text(F930),""[^A-Za-z0-9]"",""""))"),"NEPTRONIC-EVCBSERIES")</f>
        <v>NEPTRONIC-EVCBSERIES</v>
      </c>
    </row>
    <row r="931" ht="30.0" customHeight="1">
      <c r="A931" s="173">
        <v>923.0</v>
      </c>
      <c r="B931" s="237" t="s">
        <v>670</v>
      </c>
      <c r="C931" s="257" t="s">
        <v>4337</v>
      </c>
      <c r="D931" s="173" t="s">
        <v>4337</v>
      </c>
      <c r="E931" s="174" t="s">
        <v>2861</v>
      </c>
      <c r="F931" s="173" t="s">
        <v>2862</v>
      </c>
      <c r="G931" s="328" t="s">
        <v>673</v>
      </c>
      <c r="H931" s="328" t="s">
        <v>2863</v>
      </c>
      <c r="I931" s="258" t="s">
        <v>2864</v>
      </c>
      <c r="J931" s="259" t="s">
        <v>965</v>
      </c>
      <c r="K931" s="260" t="s">
        <v>4338</v>
      </c>
      <c r="L931" s="328"/>
      <c r="M931" s="343"/>
      <c r="N931" s="173" t="s">
        <v>679</v>
      </c>
      <c r="O931" s="173" t="s">
        <v>225</v>
      </c>
      <c r="P931" s="262" t="str">
        <f t="shared" si="1"/>
        <v>IN-BLR-ANANTA-VAV-503_3</v>
      </c>
      <c r="Q931" s="173" t="s">
        <v>4339</v>
      </c>
      <c r="R931" s="328" t="str">
        <f>IFS(C931="","",C931="n/a","N/A",LEN(C931),Concatenate("{",char(34),"asset",char(34),":{",char(34),"guid",char(34),":",char(34),Q931,char(34),",",char(34),"site",char(34),":",char(34),LOWER('2-Building'!$B$4),char(34),",",char(34),"name",char(34),":",char(34),LOWER(C931),char(34),"}}"))</f>
        <v>{"asset":{"guid":"uuid://9042a9b4-2bb6-4d78-881d-3b909b4f121d","site":"in-blr-ananta","name":"vav-503"}}</v>
      </c>
      <c r="S931" s="237" t="s">
        <v>2866</v>
      </c>
      <c r="T931" s="330"/>
      <c r="U931" s="330"/>
      <c r="V931" s="331"/>
      <c r="W931" s="344"/>
      <c r="X931" s="341"/>
      <c r="Y931" s="33" t="s">
        <v>2867</v>
      </c>
      <c r="Z931" s="258">
        <v>120503.0</v>
      </c>
      <c r="AA931" s="334">
        <v>11555.0</v>
      </c>
      <c r="AB931" s="341"/>
      <c r="AC931" s="341"/>
      <c r="AD931" s="343"/>
      <c r="AE931" s="331"/>
      <c r="AF931" s="348"/>
      <c r="AG931" s="337"/>
      <c r="AH931" s="341"/>
      <c r="AI931" s="341"/>
      <c r="AJ931" s="341"/>
      <c r="AK931" s="341"/>
      <c r="AL931" s="341"/>
      <c r="AM931" s="338"/>
      <c r="AN931" s="341"/>
      <c r="AO931" s="341"/>
      <c r="AP931" s="341"/>
      <c r="AQ931" s="341"/>
      <c r="AR931" s="341"/>
      <c r="AS931" s="341"/>
      <c r="AT931" s="341"/>
      <c r="AU931" s="343"/>
      <c r="AV931" s="341"/>
      <c r="AW931" s="269" t="s">
        <v>2114</v>
      </c>
      <c r="AX931" s="334" t="s">
        <v>2869</v>
      </c>
      <c r="AY931" s="270" t="s">
        <v>695</v>
      </c>
      <c r="AZ931" s="173" t="s">
        <v>2866</v>
      </c>
      <c r="BA931" s="265">
        <v>10.0</v>
      </c>
      <c r="BB931" s="174" t="s">
        <v>245</v>
      </c>
      <c r="BC931" s="341"/>
      <c r="BD931" s="308"/>
      <c r="BE931" s="347"/>
      <c r="BF931" s="274" t="str">
        <f>IFERROR(__xludf.DUMMYFUNCTION("LOWER(Regexreplace(to_text(E931),""[^A-Za-z0-9]"","""")&amp;""_""&amp;Regexreplace(to_text(F931),""[^A-Za-z0-9]"",""""))"),"neptronic_evcbseries")</f>
        <v>neptronic_evcbseries</v>
      </c>
      <c r="BG931" s="275" t="str">
        <f>IFERROR(__xludf.DUMMYFUNCTION("upper(Regexreplace(to_text(E931),""[^A-Za-z0-9]"","""")&amp;""-""&amp;Regexreplace(to_text(F931),""[^A-Za-z0-9]"",""""))"),"NEPTRONIC-EVCBSERIES")</f>
        <v>NEPTRONIC-EVCBSERIES</v>
      </c>
    </row>
    <row r="932" ht="30.0" customHeight="1">
      <c r="A932" s="258">
        <v>924.0</v>
      </c>
      <c r="B932" s="237" t="s">
        <v>670</v>
      </c>
      <c r="C932" s="257" t="s">
        <v>4340</v>
      </c>
      <c r="D932" s="173" t="s">
        <v>4340</v>
      </c>
      <c r="E932" s="174" t="s">
        <v>2861</v>
      </c>
      <c r="F932" s="173" t="s">
        <v>2862</v>
      </c>
      <c r="G932" s="328" t="s">
        <v>673</v>
      </c>
      <c r="H932" s="328" t="s">
        <v>2863</v>
      </c>
      <c r="I932" s="258" t="s">
        <v>2864</v>
      </c>
      <c r="J932" s="259" t="s">
        <v>965</v>
      </c>
      <c r="K932" s="260" t="s">
        <v>4341</v>
      </c>
      <c r="L932" s="328"/>
      <c r="M932" s="343"/>
      <c r="N932" s="173" t="s">
        <v>679</v>
      </c>
      <c r="O932" s="173" t="s">
        <v>225</v>
      </c>
      <c r="P932" s="262" t="str">
        <f t="shared" si="1"/>
        <v>IN-BLR-ANANTA-VAV-504_3</v>
      </c>
      <c r="Q932" s="173" t="s">
        <v>4342</v>
      </c>
      <c r="R932" s="328" t="str">
        <f>IFS(C932="","",C932="n/a","N/A",LEN(C932),Concatenate("{",char(34),"asset",char(34),":{",char(34),"guid",char(34),":",char(34),Q932,char(34),",",char(34),"site",char(34),":",char(34),LOWER('2-Building'!$B$4),char(34),",",char(34),"name",char(34),":",char(34),LOWER(C932),char(34),"}}"))</f>
        <v>{"asset":{"guid":"uuid://b190e2dd-705c-469c-9bb5-9e19eacafd10","site":"in-blr-ananta","name":"vav-504"}}</v>
      </c>
      <c r="S932" s="237" t="s">
        <v>2866</v>
      </c>
      <c r="T932" s="330"/>
      <c r="U932" s="330"/>
      <c r="V932" s="331"/>
      <c r="W932" s="344"/>
      <c r="X932" s="341"/>
      <c r="Y932" s="33" t="s">
        <v>2867</v>
      </c>
      <c r="Z932" s="258">
        <v>120504.0</v>
      </c>
      <c r="AA932" s="334">
        <v>11555.0</v>
      </c>
      <c r="AB932" s="341"/>
      <c r="AC932" s="341"/>
      <c r="AD932" s="343"/>
      <c r="AE932" s="331"/>
      <c r="AF932" s="348"/>
      <c r="AG932" s="337"/>
      <c r="AH932" s="341"/>
      <c r="AI932" s="341"/>
      <c r="AJ932" s="341"/>
      <c r="AK932" s="341"/>
      <c r="AL932" s="341"/>
      <c r="AM932" s="338"/>
      <c r="AN932" s="341"/>
      <c r="AO932" s="341"/>
      <c r="AP932" s="341"/>
      <c r="AQ932" s="341"/>
      <c r="AR932" s="341"/>
      <c r="AS932" s="341"/>
      <c r="AT932" s="341"/>
      <c r="AU932" s="343"/>
      <c r="AV932" s="341"/>
      <c r="AW932" s="269" t="s">
        <v>2114</v>
      </c>
      <c r="AX932" s="334" t="s">
        <v>2869</v>
      </c>
      <c r="AY932" s="270" t="s">
        <v>695</v>
      </c>
      <c r="AZ932" s="173" t="s">
        <v>2866</v>
      </c>
      <c r="BA932" s="265">
        <v>10.0</v>
      </c>
      <c r="BB932" s="174" t="s">
        <v>245</v>
      </c>
      <c r="BC932" s="341"/>
      <c r="BD932" s="308"/>
      <c r="BE932" s="347"/>
      <c r="BF932" s="274" t="str">
        <f>IFERROR(__xludf.DUMMYFUNCTION("LOWER(Regexreplace(to_text(E932),""[^A-Za-z0-9]"","""")&amp;""_""&amp;Regexreplace(to_text(F932),""[^A-Za-z0-9]"",""""))"),"neptronic_evcbseries")</f>
        <v>neptronic_evcbseries</v>
      </c>
      <c r="BG932" s="275" t="str">
        <f>IFERROR(__xludf.DUMMYFUNCTION("upper(Regexreplace(to_text(E932),""[^A-Za-z0-9]"","""")&amp;""-""&amp;Regexreplace(to_text(F932),""[^A-Za-z0-9]"",""""))"),"NEPTRONIC-EVCBSERIES")</f>
        <v>NEPTRONIC-EVCBSERIES</v>
      </c>
    </row>
    <row r="933" ht="30.0" customHeight="1">
      <c r="A933" s="173">
        <v>925.0</v>
      </c>
      <c r="B933" s="237" t="s">
        <v>670</v>
      </c>
      <c r="C933" s="257" t="s">
        <v>4343</v>
      </c>
      <c r="D933" s="173" t="s">
        <v>4343</v>
      </c>
      <c r="E933" s="174" t="s">
        <v>2861</v>
      </c>
      <c r="F933" s="173" t="s">
        <v>2862</v>
      </c>
      <c r="G933" s="328" t="s">
        <v>673</v>
      </c>
      <c r="H933" s="328" t="s">
        <v>2863</v>
      </c>
      <c r="I933" s="258" t="s">
        <v>2864</v>
      </c>
      <c r="J933" s="259" t="s">
        <v>965</v>
      </c>
      <c r="K933" s="260" t="s">
        <v>4344</v>
      </c>
      <c r="L933" s="328"/>
      <c r="M933" s="343"/>
      <c r="N933" s="173" t="s">
        <v>679</v>
      </c>
      <c r="O933" s="173" t="s">
        <v>225</v>
      </c>
      <c r="P933" s="262" t="str">
        <f t="shared" si="1"/>
        <v>IN-BLR-ANANTA-VAV-505_3</v>
      </c>
      <c r="Q933" s="173" t="s">
        <v>4345</v>
      </c>
      <c r="R933" s="328" t="str">
        <f>IFS(C933="","",C933="n/a","N/A",LEN(C933),Concatenate("{",char(34),"asset",char(34),":{",char(34),"guid",char(34),":",char(34),Q933,char(34),",",char(34),"site",char(34),":",char(34),LOWER('2-Building'!$B$4),char(34),",",char(34),"name",char(34),":",char(34),LOWER(C933),char(34),"}}"))</f>
        <v>{"asset":{"guid":"uuid://56c81a58-72fa-4d16-a5b6-0f62966757ed","site":"in-blr-ananta","name":"vav-505"}}</v>
      </c>
      <c r="S933" s="237" t="s">
        <v>2866</v>
      </c>
      <c r="T933" s="330"/>
      <c r="U933" s="330"/>
      <c r="V933" s="331"/>
      <c r="W933" s="344"/>
      <c r="X933" s="341"/>
      <c r="Y933" s="33" t="s">
        <v>2867</v>
      </c>
      <c r="Z933" s="258">
        <v>120505.0</v>
      </c>
      <c r="AA933" s="334">
        <v>11555.0</v>
      </c>
      <c r="AB933" s="341"/>
      <c r="AC933" s="341"/>
      <c r="AD933" s="343"/>
      <c r="AE933" s="331"/>
      <c r="AF933" s="348"/>
      <c r="AG933" s="337"/>
      <c r="AH933" s="341"/>
      <c r="AI933" s="341"/>
      <c r="AJ933" s="341"/>
      <c r="AK933" s="341"/>
      <c r="AL933" s="341"/>
      <c r="AM933" s="338"/>
      <c r="AN933" s="341"/>
      <c r="AO933" s="341"/>
      <c r="AP933" s="341"/>
      <c r="AQ933" s="341"/>
      <c r="AR933" s="341"/>
      <c r="AS933" s="341"/>
      <c r="AT933" s="341"/>
      <c r="AU933" s="343"/>
      <c r="AV933" s="341"/>
      <c r="AW933" s="269" t="s">
        <v>2114</v>
      </c>
      <c r="AX933" s="334" t="s">
        <v>2869</v>
      </c>
      <c r="AY933" s="270" t="s">
        <v>695</v>
      </c>
      <c r="AZ933" s="173" t="s">
        <v>2866</v>
      </c>
      <c r="BA933" s="265">
        <v>10.0</v>
      </c>
      <c r="BB933" s="174" t="s">
        <v>245</v>
      </c>
      <c r="BC933" s="341"/>
      <c r="BD933" s="308"/>
      <c r="BE933" s="347"/>
      <c r="BF933" s="274" t="str">
        <f>IFERROR(__xludf.DUMMYFUNCTION("LOWER(Regexreplace(to_text(E933),""[^A-Za-z0-9]"","""")&amp;""_""&amp;Regexreplace(to_text(F933),""[^A-Za-z0-9]"",""""))"),"neptronic_evcbseries")</f>
        <v>neptronic_evcbseries</v>
      </c>
      <c r="BG933" s="275" t="str">
        <f>IFERROR(__xludf.DUMMYFUNCTION("upper(Regexreplace(to_text(E933),""[^A-Za-z0-9]"","""")&amp;""-""&amp;Regexreplace(to_text(F933),""[^A-Za-z0-9]"",""""))"),"NEPTRONIC-EVCBSERIES")</f>
        <v>NEPTRONIC-EVCBSERIES</v>
      </c>
    </row>
    <row r="934" ht="30.0" customHeight="1">
      <c r="A934" s="258">
        <v>926.0</v>
      </c>
      <c r="B934" s="237" t="s">
        <v>670</v>
      </c>
      <c r="C934" s="257" t="s">
        <v>4346</v>
      </c>
      <c r="D934" s="173" t="s">
        <v>4346</v>
      </c>
      <c r="E934" s="174" t="s">
        <v>2861</v>
      </c>
      <c r="F934" s="173" t="s">
        <v>2862</v>
      </c>
      <c r="G934" s="328" t="s">
        <v>673</v>
      </c>
      <c r="H934" s="328" t="s">
        <v>2863</v>
      </c>
      <c r="I934" s="258" t="s">
        <v>2864</v>
      </c>
      <c r="J934" s="259" t="s">
        <v>965</v>
      </c>
      <c r="K934" s="260" t="s">
        <v>4347</v>
      </c>
      <c r="L934" s="328"/>
      <c r="M934" s="343"/>
      <c r="N934" s="173" t="s">
        <v>679</v>
      </c>
      <c r="O934" s="173" t="s">
        <v>225</v>
      </c>
      <c r="P934" s="262" t="str">
        <f t="shared" si="1"/>
        <v>IN-BLR-ANANTA-VAV-506_3</v>
      </c>
      <c r="Q934" s="173" t="s">
        <v>4348</v>
      </c>
      <c r="R934" s="328" t="str">
        <f>IFS(C934="","",C934="n/a","N/A",LEN(C934),Concatenate("{",char(34),"asset",char(34),":{",char(34),"guid",char(34),":",char(34),Q934,char(34),",",char(34),"site",char(34),":",char(34),LOWER('2-Building'!$B$4),char(34),",",char(34),"name",char(34),":",char(34),LOWER(C934),char(34),"}}"))</f>
        <v>{"asset":{"guid":"uuid://2332410c-d170-4558-8139-301f025ed902","site":"in-blr-ananta","name":"vav-506"}}</v>
      </c>
      <c r="S934" s="237" t="s">
        <v>2866</v>
      </c>
      <c r="T934" s="330"/>
      <c r="U934" s="330"/>
      <c r="V934" s="331"/>
      <c r="W934" s="344"/>
      <c r="X934" s="341"/>
      <c r="Y934" s="33" t="s">
        <v>2867</v>
      </c>
      <c r="Z934" s="258">
        <v>120506.0</v>
      </c>
      <c r="AA934" s="334">
        <v>11555.0</v>
      </c>
      <c r="AB934" s="341"/>
      <c r="AC934" s="341"/>
      <c r="AD934" s="343"/>
      <c r="AE934" s="331"/>
      <c r="AF934" s="348"/>
      <c r="AG934" s="337"/>
      <c r="AH934" s="341"/>
      <c r="AI934" s="341"/>
      <c r="AJ934" s="341"/>
      <c r="AK934" s="341"/>
      <c r="AL934" s="341"/>
      <c r="AM934" s="338"/>
      <c r="AN934" s="341"/>
      <c r="AO934" s="341"/>
      <c r="AP934" s="341"/>
      <c r="AQ934" s="341"/>
      <c r="AR934" s="341"/>
      <c r="AS934" s="341"/>
      <c r="AT934" s="341"/>
      <c r="AU934" s="343"/>
      <c r="AV934" s="341"/>
      <c r="AW934" s="269" t="s">
        <v>2114</v>
      </c>
      <c r="AX934" s="334" t="s">
        <v>2869</v>
      </c>
      <c r="AY934" s="270" t="s">
        <v>695</v>
      </c>
      <c r="AZ934" s="173" t="s">
        <v>2866</v>
      </c>
      <c r="BA934" s="265">
        <v>10.0</v>
      </c>
      <c r="BB934" s="174" t="s">
        <v>245</v>
      </c>
      <c r="BC934" s="341"/>
      <c r="BD934" s="308"/>
      <c r="BE934" s="347"/>
      <c r="BF934" s="274" t="str">
        <f>IFERROR(__xludf.DUMMYFUNCTION("LOWER(Regexreplace(to_text(E934),""[^A-Za-z0-9]"","""")&amp;""_""&amp;Regexreplace(to_text(F934),""[^A-Za-z0-9]"",""""))"),"neptronic_evcbseries")</f>
        <v>neptronic_evcbseries</v>
      </c>
      <c r="BG934" s="275" t="str">
        <f>IFERROR(__xludf.DUMMYFUNCTION("upper(Regexreplace(to_text(E934),""[^A-Za-z0-9]"","""")&amp;""-""&amp;Regexreplace(to_text(F934),""[^A-Za-z0-9]"",""""))"),"NEPTRONIC-EVCBSERIES")</f>
        <v>NEPTRONIC-EVCBSERIES</v>
      </c>
    </row>
    <row r="935" ht="30.0" customHeight="1">
      <c r="A935" s="173">
        <v>927.0</v>
      </c>
      <c r="B935" s="237" t="s">
        <v>670</v>
      </c>
      <c r="C935" s="257" t="s">
        <v>4349</v>
      </c>
      <c r="D935" s="173" t="s">
        <v>4349</v>
      </c>
      <c r="E935" s="174" t="s">
        <v>2861</v>
      </c>
      <c r="F935" s="173" t="s">
        <v>2862</v>
      </c>
      <c r="G935" s="328" t="s">
        <v>673</v>
      </c>
      <c r="H935" s="328" t="s">
        <v>2863</v>
      </c>
      <c r="I935" s="258" t="s">
        <v>2864</v>
      </c>
      <c r="J935" s="259" t="s">
        <v>965</v>
      </c>
      <c r="K935" s="260" t="s">
        <v>4350</v>
      </c>
      <c r="L935" s="328"/>
      <c r="M935" s="343"/>
      <c r="N935" s="173" t="s">
        <v>679</v>
      </c>
      <c r="O935" s="173" t="s">
        <v>225</v>
      </c>
      <c r="P935" s="262" t="str">
        <f t="shared" si="1"/>
        <v>IN-BLR-ANANTA-VAV-507_3</v>
      </c>
      <c r="Q935" s="173" t="s">
        <v>4351</v>
      </c>
      <c r="R935" s="328" t="str">
        <f>IFS(C935="","",C935="n/a","N/A",LEN(C935),Concatenate("{",char(34),"asset",char(34),":{",char(34),"guid",char(34),":",char(34),Q935,char(34),",",char(34),"site",char(34),":",char(34),LOWER('2-Building'!$B$4),char(34),",",char(34),"name",char(34),":",char(34),LOWER(C935),char(34),"}}"))</f>
        <v>{"asset":{"guid":"uuid://46a8f139-7acb-41cc-bc93-fc9ca997bcf7","site":"in-blr-ananta","name":"vav-507"}}</v>
      </c>
      <c r="S935" s="237" t="s">
        <v>2866</v>
      </c>
      <c r="T935" s="330"/>
      <c r="U935" s="330"/>
      <c r="V935" s="331"/>
      <c r="W935" s="344"/>
      <c r="X935" s="341"/>
      <c r="Y935" s="33" t="s">
        <v>2867</v>
      </c>
      <c r="Z935" s="258">
        <v>120507.0</v>
      </c>
      <c r="AA935" s="334">
        <v>11555.0</v>
      </c>
      <c r="AB935" s="341"/>
      <c r="AC935" s="341"/>
      <c r="AD935" s="343"/>
      <c r="AE935" s="331"/>
      <c r="AF935" s="348"/>
      <c r="AG935" s="337"/>
      <c r="AH935" s="341"/>
      <c r="AI935" s="341"/>
      <c r="AJ935" s="341"/>
      <c r="AK935" s="341"/>
      <c r="AL935" s="341"/>
      <c r="AM935" s="338"/>
      <c r="AN935" s="341"/>
      <c r="AO935" s="341"/>
      <c r="AP935" s="341"/>
      <c r="AQ935" s="341"/>
      <c r="AR935" s="341"/>
      <c r="AS935" s="341"/>
      <c r="AT935" s="341"/>
      <c r="AU935" s="343"/>
      <c r="AV935" s="341"/>
      <c r="AW935" s="269" t="s">
        <v>2114</v>
      </c>
      <c r="AX935" s="334" t="s">
        <v>2869</v>
      </c>
      <c r="AY935" s="270" t="s">
        <v>695</v>
      </c>
      <c r="AZ935" s="173" t="s">
        <v>2866</v>
      </c>
      <c r="BA935" s="265">
        <v>10.0</v>
      </c>
      <c r="BB935" s="174" t="s">
        <v>245</v>
      </c>
      <c r="BC935" s="341"/>
      <c r="BD935" s="308"/>
      <c r="BE935" s="347"/>
      <c r="BF935" s="274" t="str">
        <f>IFERROR(__xludf.DUMMYFUNCTION("LOWER(Regexreplace(to_text(E935),""[^A-Za-z0-9]"","""")&amp;""_""&amp;Regexreplace(to_text(F935),""[^A-Za-z0-9]"",""""))"),"neptronic_evcbseries")</f>
        <v>neptronic_evcbseries</v>
      </c>
      <c r="BG935" s="275" t="str">
        <f>IFERROR(__xludf.DUMMYFUNCTION("upper(Regexreplace(to_text(E935),""[^A-Za-z0-9]"","""")&amp;""-""&amp;Regexreplace(to_text(F935),""[^A-Za-z0-9]"",""""))"),"NEPTRONIC-EVCBSERIES")</f>
        <v>NEPTRONIC-EVCBSERIES</v>
      </c>
    </row>
    <row r="936" ht="30.0" customHeight="1">
      <c r="A936" s="258">
        <v>928.0</v>
      </c>
      <c r="B936" s="237" t="s">
        <v>670</v>
      </c>
      <c r="C936" s="257" t="s">
        <v>4352</v>
      </c>
      <c r="D936" s="173" t="s">
        <v>4352</v>
      </c>
      <c r="E936" s="174" t="s">
        <v>2861</v>
      </c>
      <c r="F936" s="173" t="s">
        <v>2862</v>
      </c>
      <c r="G936" s="328" t="s">
        <v>673</v>
      </c>
      <c r="H936" s="328" t="s">
        <v>2863</v>
      </c>
      <c r="I936" s="258" t="s">
        <v>2864</v>
      </c>
      <c r="J936" s="259" t="s">
        <v>965</v>
      </c>
      <c r="K936" s="260" t="s">
        <v>4353</v>
      </c>
      <c r="L936" s="328"/>
      <c r="M936" s="343"/>
      <c r="N936" s="173" t="s">
        <v>679</v>
      </c>
      <c r="O936" s="173" t="s">
        <v>225</v>
      </c>
      <c r="P936" s="262" t="str">
        <f t="shared" si="1"/>
        <v>IN-BLR-ANANTA-VAV-508_3</v>
      </c>
      <c r="Q936" s="173" t="s">
        <v>4354</v>
      </c>
      <c r="R936" s="328" t="str">
        <f>IFS(C936="","",C936="n/a","N/A",LEN(C936),Concatenate("{",char(34),"asset",char(34),":{",char(34),"guid",char(34),":",char(34),Q936,char(34),",",char(34),"site",char(34),":",char(34),LOWER('2-Building'!$B$4),char(34),",",char(34),"name",char(34),":",char(34),LOWER(C936),char(34),"}}"))</f>
        <v>{"asset":{"guid":"uuid://f669fb6c-e028-42c6-8f0e-6333457d3571","site":"in-blr-ananta","name":"vav-508"}}</v>
      </c>
      <c r="S936" s="237" t="s">
        <v>2866</v>
      </c>
      <c r="T936" s="330"/>
      <c r="U936" s="330"/>
      <c r="V936" s="331"/>
      <c r="W936" s="344"/>
      <c r="X936" s="341"/>
      <c r="Y936" s="33" t="s">
        <v>2867</v>
      </c>
      <c r="Z936" s="258">
        <v>120508.0</v>
      </c>
      <c r="AA936" s="334">
        <v>11555.0</v>
      </c>
      <c r="AB936" s="341"/>
      <c r="AC936" s="341"/>
      <c r="AD936" s="343"/>
      <c r="AE936" s="331"/>
      <c r="AF936" s="348"/>
      <c r="AG936" s="337"/>
      <c r="AH936" s="341"/>
      <c r="AI936" s="341"/>
      <c r="AJ936" s="341"/>
      <c r="AK936" s="341"/>
      <c r="AL936" s="341"/>
      <c r="AM936" s="338"/>
      <c r="AN936" s="341"/>
      <c r="AO936" s="341"/>
      <c r="AP936" s="341"/>
      <c r="AQ936" s="341"/>
      <c r="AR936" s="341"/>
      <c r="AS936" s="341"/>
      <c r="AT936" s="341"/>
      <c r="AU936" s="343"/>
      <c r="AV936" s="341"/>
      <c r="AW936" s="269" t="s">
        <v>2114</v>
      </c>
      <c r="AX936" s="334" t="s">
        <v>2869</v>
      </c>
      <c r="AY936" s="270" t="s">
        <v>695</v>
      </c>
      <c r="AZ936" s="173" t="s">
        <v>2866</v>
      </c>
      <c r="BA936" s="265">
        <v>10.0</v>
      </c>
      <c r="BB936" s="174" t="s">
        <v>245</v>
      </c>
      <c r="BC936" s="341"/>
      <c r="BD936" s="308"/>
      <c r="BE936" s="347"/>
      <c r="BF936" s="274" t="str">
        <f>IFERROR(__xludf.DUMMYFUNCTION("LOWER(Regexreplace(to_text(E936),""[^A-Za-z0-9]"","""")&amp;""_""&amp;Regexreplace(to_text(F936),""[^A-Za-z0-9]"",""""))"),"neptronic_evcbseries")</f>
        <v>neptronic_evcbseries</v>
      </c>
      <c r="BG936" s="275" t="str">
        <f>IFERROR(__xludf.DUMMYFUNCTION("upper(Regexreplace(to_text(E936),""[^A-Za-z0-9]"","""")&amp;""-""&amp;Regexreplace(to_text(F936),""[^A-Za-z0-9]"",""""))"),"NEPTRONIC-EVCBSERIES")</f>
        <v>NEPTRONIC-EVCBSERIES</v>
      </c>
    </row>
    <row r="937" ht="30.0" customHeight="1">
      <c r="A937" s="173">
        <v>929.0</v>
      </c>
      <c r="B937" s="237" t="s">
        <v>670</v>
      </c>
      <c r="C937" s="257" t="s">
        <v>4355</v>
      </c>
      <c r="D937" s="173" t="s">
        <v>4355</v>
      </c>
      <c r="E937" s="174" t="s">
        <v>2861</v>
      </c>
      <c r="F937" s="173" t="s">
        <v>2862</v>
      </c>
      <c r="G937" s="328" t="s">
        <v>673</v>
      </c>
      <c r="H937" s="328" t="s">
        <v>2863</v>
      </c>
      <c r="I937" s="258" t="s">
        <v>2864</v>
      </c>
      <c r="J937" s="259" t="s">
        <v>965</v>
      </c>
      <c r="K937" s="260" t="s">
        <v>4356</v>
      </c>
      <c r="L937" s="328"/>
      <c r="M937" s="343"/>
      <c r="N937" s="173" t="s">
        <v>679</v>
      </c>
      <c r="O937" s="173" t="s">
        <v>225</v>
      </c>
      <c r="P937" s="262" t="str">
        <f t="shared" si="1"/>
        <v>IN-BLR-ANANTA-VAV-509_3</v>
      </c>
      <c r="Q937" s="173" t="s">
        <v>4357</v>
      </c>
      <c r="R937" s="328" t="str">
        <f>IFS(C937="","",C937="n/a","N/A",LEN(C937),Concatenate("{",char(34),"asset",char(34),":{",char(34),"guid",char(34),":",char(34),Q937,char(34),",",char(34),"site",char(34),":",char(34),LOWER('2-Building'!$B$4),char(34),",",char(34),"name",char(34),":",char(34),LOWER(C937),char(34),"}}"))</f>
        <v>{"asset":{"guid":"uuid://93d629a1-987f-4b58-8d83-e5e310536636","site":"in-blr-ananta","name":"vav-509"}}</v>
      </c>
      <c r="S937" s="237" t="s">
        <v>2866</v>
      </c>
      <c r="T937" s="330"/>
      <c r="U937" s="330"/>
      <c r="V937" s="331"/>
      <c r="W937" s="344"/>
      <c r="X937" s="341"/>
      <c r="Y937" s="33" t="s">
        <v>2867</v>
      </c>
      <c r="Z937" s="258">
        <v>120509.0</v>
      </c>
      <c r="AA937" s="334">
        <v>11555.0</v>
      </c>
      <c r="AB937" s="341"/>
      <c r="AC937" s="341"/>
      <c r="AD937" s="343"/>
      <c r="AE937" s="331"/>
      <c r="AF937" s="348"/>
      <c r="AG937" s="337"/>
      <c r="AH937" s="341"/>
      <c r="AI937" s="341"/>
      <c r="AJ937" s="341"/>
      <c r="AK937" s="341"/>
      <c r="AL937" s="341"/>
      <c r="AM937" s="338"/>
      <c r="AN937" s="341"/>
      <c r="AO937" s="341"/>
      <c r="AP937" s="341"/>
      <c r="AQ937" s="341"/>
      <c r="AR937" s="341"/>
      <c r="AS937" s="341"/>
      <c r="AT937" s="341"/>
      <c r="AU937" s="343"/>
      <c r="AV937" s="341"/>
      <c r="AW937" s="269" t="s">
        <v>2114</v>
      </c>
      <c r="AX937" s="334" t="s">
        <v>2869</v>
      </c>
      <c r="AY937" s="270" t="s">
        <v>695</v>
      </c>
      <c r="AZ937" s="173" t="s">
        <v>2866</v>
      </c>
      <c r="BA937" s="265">
        <v>10.0</v>
      </c>
      <c r="BB937" s="174" t="s">
        <v>245</v>
      </c>
      <c r="BC937" s="341"/>
      <c r="BD937" s="308"/>
      <c r="BE937" s="347"/>
      <c r="BF937" s="274" t="str">
        <f>IFERROR(__xludf.DUMMYFUNCTION("LOWER(Regexreplace(to_text(E937),""[^A-Za-z0-9]"","""")&amp;""_""&amp;Regexreplace(to_text(F937),""[^A-Za-z0-9]"",""""))"),"neptronic_evcbseries")</f>
        <v>neptronic_evcbseries</v>
      </c>
      <c r="BG937" s="275" t="str">
        <f>IFERROR(__xludf.DUMMYFUNCTION("upper(Regexreplace(to_text(E937),""[^A-Za-z0-9]"","""")&amp;""-""&amp;Regexreplace(to_text(F937),""[^A-Za-z0-9]"",""""))"),"NEPTRONIC-EVCBSERIES")</f>
        <v>NEPTRONIC-EVCBSERIES</v>
      </c>
    </row>
    <row r="938" ht="30.0" customHeight="1">
      <c r="A938" s="258">
        <v>930.0</v>
      </c>
      <c r="B938" s="237" t="s">
        <v>670</v>
      </c>
      <c r="C938" s="257" t="s">
        <v>4358</v>
      </c>
      <c r="D938" s="173" t="s">
        <v>4358</v>
      </c>
      <c r="E938" s="174" t="s">
        <v>2861</v>
      </c>
      <c r="F938" s="173" t="s">
        <v>2862</v>
      </c>
      <c r="G938" s="328" t="s">
        <v>673</v>
      </c>
      <c r="H938" s="328" t="s">
        <v>2863</v>
      </c>
      <c r="I938" s="258" t="s">
        <v>2864</v>
      </c>
      <c r="J938" s="259" t="s">
        <v>965</v>
      </c>
      <c r="K938" s="260" t="s">
        <v>3629</v>
      </c>
      <c r="L938" s="328"/>
      <c r="M938" s="343"/>
      <c r="N938" s="173" t="s">
        <v>679</v>
      </c>
      <c r="O938" s="173" t="s">
        <v>225</v>
      </c>
      <c r="P938" s="262" t="str">
        <f t="shared" si="1"/>
        <v>IN-BLR-ANANTA-VAV-510_3</v>
      </c>
      <c r="Q938" s="173" t="s">
        <v>4359</v>
      </c>
      <c r="R938" s="328" t="str">
        <f>IFS(C938="","",C938="n/a","N/A",LEN(C938),Concatenate("{",char(34),"asset",char(34),":{",char(34),"guid",char(34),":",char(34),Q938,char(34),",",char(34),"site",char(34),":",char(34),LOWER('2-Building'!$B$4),char(34),",",char(34),"name",char(34),":",char(34),LOWER(C938),char(34),"}}"))</f>
        <v>{"asset":{"guid":"uuid://5e9c9f2f-7c47-45d9-927f-5bf8eeae3d3a","site":"in-blr-ananta","name":"vav-510"}}</v>
      </c>
      <c r="S938" s="237" t="s">
        <v>2866</v>
      </c>
      <c r="T938" s="330"/>
      <c r="U938" s="330"/>
      <c r="V938" s="331"/>
      <c r="W938" s="344"/>
      <c r="X938" s="341"/>
      <c r="Y938" s="33" t="s">
        <v>2867</v>
      </c>
      <c r="Z938" s="258">
        <v>120510.0</v>
      </c>
      <c r="AA938" s="334">
        <v>11555.0</v>
      </c>
      <c r="AB938" s="341"/>
      <c r="AC938" s="341"/>
      <c r="AD938" s="343"/>
      <c r="AE938" s="331"/>
      <c r="AF938" s="348"/>
      <c r="AG938" s="337"/>
      <c r="AH938" s="341"/>
      <c r="AI938" s="341"/>
      <c r="AJ938" s="341"/>
      <c r="AK938" s="341"/>
      <c r="AL938" s="341"/>
      <c r="AM938" s="338"/>
      <c r="AN938" s="341"/>
      <c r="AO938" s="341"/>
      <c r="AP938" s="341"/>
      <c r="AQ938" s="341"/>
      <c r="AR938" s="341"/>
      <c r="AS938" s="341"/>
      <c r="AT938" s="341"/>
      <c r="AU938" s="343"/>
      <c r="AV938" s="341"/>
      <c r="AW938" s="269" t="s">
        <v>2114</v>
      </c>
      <c r="AX938" s="334" t="s">
        <v>2869</v>
      </c>
      <c r="AY938" s="270" t="s">
        <v>695</v>
      </c>
      <c r="AZ938" s="173" t="s">
        <v>2866</v>
      </c>
      <c r="BA938" s="265">
        <v>10.0</v>
      </c>
      <c r="BB938" s="174" t="s">
        <v>245</v>
      </c>
      <c r="BC938" s="341"/>
      <c r="BD938" s="308"/>
      <c r="BE938" s="347"/>
      <c r="BF938" s="274" t="str">
        <f>IFERROR(__xludf.DUMMYFUNCTION("LOWER(Regexreplace(to_text(E938),""[^A-Za-z0-9]"","""")&amp;""_""&amp;Regexreplace(to_text(F938),""[^A-Za-z0-9]"",""""))"),"neptronic_evcbseries")</f>
        <v>neptronic_evcbseries</v>
      </c>
      <c r="BG938" s="275" t="str">
        <f>IFERROR(__xludf.DUMMYFUNCTION("upper(Regexreplace(to_text(E938),""[^A-Za-z0-9]"","""")&amp;""-""&amp;Regexreplace(to_text(F938),""[^A-Za-z0-9]"",""""))"),"NEPTRONIC-EVCBSERIES")</f>
        <v>NEPTRONIC-EVCBSERIES</v>
      </c>
    </row>
    <row r="939" ht="30.0" customHeight="1">
      <c r="A939" s="173">
        <v>931.0</v>
      </c>
      <c r="B939" s="237" t="s">
        <v>670</v>
      </c>
      <c r="C939" s="257" t="s">
        <v>4360</v>
      </c>
      <c r="D939" s="173" t="s">
        <v>4360</v>
      </c>
      <c r="E939" s="174" t="s">
        <v>2861</v>
      </c>
      <c r="F939" s="173" t="s">
        <v>2862</v>
      </c>
      <c r="G939" s="328" t="s">
        <v>673</v>
      </c>
      <c r="H939" s="328" t="s">
        <v>2863</v>
      </c>
      <c r="I939" s="258" t="s">
        <v>2864</v>
      </c>
      <c r="J939" s="259" t="s">
        <v>965</v>
      </c>
      <c r="K939" s="260" t="s">
        <v>4361</v>
      </c>
      <c r="L939" s="328"/>
      <c r="M939" s="343"/>
      <c r="N939" s="173" t="s">
        <v>679</v>
      </c>
      <c r="O939" s="173" t="s">
        <v>225</v>
      </c>
      <c r="P939" s="262" t="str">
        <f t="shared" si="1"/>
        <v>IN-BLR-ANANTA-VAV-511_3</v>
      </c>
      <c r="Q939" s="173" t="s">
        <v>4362</v>
      </c>
      <c r="R939" s="328" t="str">
        <f>IFS(C939="","",C939="n/a","N/A",LEN(C939),Concatenate("{",char(34),"asset",char(34),":{",char(34),"guid",char(34),":",char(34),Q939,char(34),",",char(34),"site",char(34),":",char(34),LOWER('2-Building'!$B$4),char(34),",",char(34),"name",char(34),":",char(34),LOWER(C939),char(34),"}}"))</f>
        <v>{"asset":{"guid":"uuid://f19f3478-385c-422d-880d-019740be51a5","site":"in-blr-ananta","name":"vav-511"}}</v>
      </c>
      <c r="S939" s="237" t="s">
        <v>2866</v>
      </c>
      <c r="T939" s="330"/>
      <c r="U939" s="330"/>
      <c r="V939" s="331"/>
      <c r="W939" s="344"/>
      <c r="X939" s="341"/>
      <c r="Y939" s="33" t="s">
        <v>2867</v>
      </c>
      <c r="Z939" s="258">
        <v>120511.0</v>
      </c>
      <c r="AA939" s="334">
        <v>11555.0</v>
      </c>
      <c r="AB939" s="341"/>
      <c r="AC939" s="341"/>
      <c r="AD939" s="343"/>
      <c r="AE939" s="331"/>
      <c r="AF939" s="348"/>
      <c r="AG939" s="337"/>
      <c r="AH939" s="341"/>
      <c r="AI939" s="341"/>
      <c r="AJ939" s="341"/>
      <c r="AK939" s="341"/>
      <c r="AL939" s="341"/>
      <c r="AM939" s="338"/>
      <c r="AN939" s="341"/>
      <c r="AO939" s="341"/>
      <c r="AP939" s="341"/>
      <c r="AQ939" s="341"/>
      <c r="AR939" s="341"/>
      <c r="AS939" s="341"/>
      <c r="AT939" s="341"/>
      <c r="AU939" s="343"/>
      <c r="AV939" s="341"/>
      <c r="AW939" s="269" t="s">
        <v>2114</v>
      </c>
      <c r="AX939" s="334" t="s">
        <v>2869</v>
      </c>
      <c r="AY939" s="270" t="s">
        <v>695</v>
      </c>
      <c r="AZ939" s="173" t="s">
        <v>2866</v>
      </c>
      <c r="BA939" s="265">
        <v>10.0</v>
      </c>
      <c r="BB939" s="174" t="s">
        <v>245</v>
      </c>
      <c r="BC939" s="341"/>
      <c r="BD939" s="308"/>
      <c r="BE939" s="347"/>
      <c r="BF939" s="274" t="str">
        <f>IFERROR(__xludf.DUMMYFUNCTION("LOWER(Regexreplace(to_text(E939),""[^A-Za-z0-9]"","""")&amp;""_""&amp;Regexreplace(to_text(F939),""[^A-Za-z0-9]"",""""))"),"neptronic_evcbseries")</f>
        <v>neptronic_evcbseries</v>
      </c>
      <c r="BG939" s="275" t="str">
        <f>IFERROR(__xludf.DUMMYFUNCTION("upper(Regexreplace(to_text(E939),""[^A-Za-z0-9]"","""")&amp;""-""&amp;Regexreplace(to_text(F939),""[^A-Za-z0-9]"",""""))"),"NEPTRONIC-EVCBSERIES")</f>
        <v>NEPTRONIC-EVCBSERIES</v>
      </c>
    </row>
    <row r="940" ht="30.0" customHeight="1">
      <c r="A940" s="258">
        <v>932.0</v>
      </c>
      <c r="B940" s="237" t="s">
        <v>670</v>
      </c>
      <c r="C940" s="257" t="s">
        <v>4363</v>
      </c>
      <c r="D940" s="173" t="s">
        <v>4363</v>
      </c>
      <c r="E940" s="174" t="s">
        <v>2861</v>
      </c>
      <c r="F940" s="173" t="s">
        <v>2862</v>
      </c>
      <c r="G940" s="328" t="s">
        <v>673</v>
      </c>
      <c r="H940" s="328" t="s">
        <v>2863</v>
      </c>
      <c r="I940" s="258" t="s">
        <v>2864</v>
      </c>
      <c r="J940" s="259" t="s">
        <v>965</v>
      </c>
      <c r="K940" s="260" t="s">
        <v>4361</v>
      </c>
      <c r="L940" s="328"/>
      <c r="M940" s="343"/>
      <c r="N940" s="173" t="s">
        <v>679</v>
      </c>
      <c r="O940" s="173" t="s">
        <v>225</v>
      </c>
      <c r="P940" s="262" t="str">
        <f t="shared" si="1"/>
        <v>IN-BLR-ANANTA-VAV-512_3</v>
      </c>
      <c r="Q940" s="173" t="s">
        <v>4364</v>
      </c>
      <c r="R940" s="328" t="str">
        <f>IFS(C940="","",C940="n/a","N/A",LEN(C940),Concatenate("{",char(34),"asset",char(34),":{",char(34),"guid",char(34),":",char(34),Q940,char(34),",",char(34),"site",char(34),":",char(34),LOWER('2-Building'!$B$4),char(34),",",char(34),"name",char(34),":",char(34),LOWER(C940),char(34),"}}"))</f>
        <v>{"asset":{"guid":"uuid://d581c0db-d0b2-4ca1-b9df-54b2bb024eac","site":"in-blr-ananta","name":"vav-512"}}</v>
      </c>
      <c r="S940" s="237" t="s">
        <v>2866</v>
      </c>
      <c r="T940" s="330"/>
      <c r="U940" s="330"/>
      <c r="V940" s="331"/>
      <c r="W940" s="344"/>
      <c r="X940" s="341"/>
      <c r="Y940" s="33" t="s">
        <v>2867</v>
      </c>
      <c r="Z940" s="258">
        <v>120512.0</v>
      </c>
      <c r="AA940" s="334">
        <v>11555.0</v>
      </c>
      <c r="AB940" s="341"/>
      <c r="AC940" s="341"/>
      <c r="AD940" s="343"/>
      <c r="AE940" s="331"/>
      <c r="AF940" s="348"/>
      <c r="AG940" s="337"/>
      <c r="AH940" s="341"/>
      <c r="AI940" s="341"/>
      <c r="AJ940" s="341"/>
      <c r="AK940" s="341"/>
      <c r="AL940" s="341"/>
      <c r="AM940" s="338"/>
      <c r="AN940" s="341"/>
      <c r="AO940" s="341"/>
      <c r="AP940" s="341"/>
      <c r="AQ940" s="341"/>
      <c r="AR940" s="341"/>
      <c r="AS940" s="341"/>
      <c r="AT940" s="341"/>
      <c r="AU940" s="343"/>
      <c r="AV940" s="341"/>
      <c r="AW940" s="269" t="s">
        <v>2114</v>
      </c>
      <c r="AX940" s="334" t="s">
        <v>2869</v>
      </c>
      <c r="AY940" s="270" t="s">
        <v>695</v>
      </c>
      <c r="AZ940" s="173" t="s">
        <v>2866</v>
      </c>
      <c r="BA940" s="265">
        <v>10.0</v>
      </c>
      <c r="BB940" s="174" t="s">
        <v>245</v>
      </c>
      <c r="BC940" s="341"/>
      <c r="BD940" s="308"/>
      <c r="BE940" s="347"/>
      <c r="BF940" s="274" t="str">
        <f>IFERROR(__xludf.DUMMYFUNCTION("LOWER(Regexreplace(to_text(E940),""[^A-Za-z0-9]"","""")&amp;""_""&amp;Regexreplace(to_text(F940),""[^A-Za-z0-9]"",""""))"),"neptronic_evcbseries")</f>
        <v>neptronic_evcbseries</v>
      </c>
      <c r="BG940" s="275" t="str">
        <f>IFERROR(__xludf.DUMMYFUNCTION("upper(Regexreplace(to_text(E940),""[^A-Za-z0-9]"","""")&amp;""-""&amp;Regexreplace(to_text(F940),""[^A-Za-z0-9]"",""""))"),"NEPTRONIC-EVCBSERIES")</f>
        <v>NEPTRONIC-EVCBSERIES</v>
      </c>
    </row>
    <row r="941" ht="30.0" customHeight="1">
      <c r="A941" s="173">
        <v>933.0</v>
      </c>
      <c r="B941" s="237" t="s">
        <v>670</v>
      </c>
      <c r="C941" s="257" t="s">
        <v>4365</v>
      </c>
      <c r="D941" s="173" t="s">
        <v>4365</v>
      </c>
      <c r="E941" s="174" t="s">
        <v>2861</v>
      </c>
      <c r="F941" s="173" t="s">
        <v>2862</v>
      </c>
      <c r="G941" s="328" t="s">
        <v>673</v>
      </c>
      <c r="H941" s="328" t="s">
        <v>2863</v>
      </c>
      <c r="I941" s="258" t="s">
        <v>2864</v>
      </c>
      <c r="J941" s="259" t="s">
        <v>965</v>
      </c>
      <c r="K941" s="260" t="s">
        <v>4366</v>
      </c>
      <c r="L941" s="328"/>
      <c r="M941" s="343"/>
      <c r="N941" s="173" t="s">
        <v>679</v>
      </c>
      <c r="O941" s="173" t="s">
        <v>225</v>
      </c>
      <c r="P941" s="262" t="str">
        <f t="shared" si="1"/>
        <v>IN-BLR-ANANTA-VAV-513_3</v>
      </c>
      <c r="Q941" s="173" t="s">
        <v>4367</v>
      </c>
      <c r="R941" s="328" t="str">
        <f>IFS(C941="","",C941="n/a","N/A",LEN(C941),Concatenate("{",char(34),"asset",char(34),":{",char(34),"guid",char(34),":",char(34),Q941,char(34),",",char(34),"site",char(34),":",char(34),LOWER('2-Building'!$B$4),char(34),",",char(34),"name",char(34),":",char(34),LOWER(C941),char(34),"}}"))</f>
        <v>{"asset":{"guid":"uuid://8c9e0949-5914-4df4-9a55-6e8b052b2d79","site":"in-blr-ananta","name":"vav-513"}}</v>
      </c>
      <c r="S941" s="237" t="s">
        <v>2866</v>
      </c>
      <c r="T941" s="330"/>
      <c r="U941" s="330"/>
      <c r="V941" s="331"/>
      <c r="W941" s="344"/>
      <c r="X941" s="341"/>
      <c r="Y941" s="33" t="s">
        <v>2867</v>
      </c>
      <c r="Z941" s="258">
        <v>120513.0</v>
      </c>
      <c r="AA941" s="334">
        <v>11555.0</v>
      </c>
      <c r="AB941" s="341"/>
      <c r="AC941" s="341"/>
      <c r="AD941" s="343"/>
      <c r="AE941" s="331"/>
      <c r="AF941" s="348"/>
      <c r="AG941" s="337"/>
      <c r="AH941" s="341"/>
      <c r="AI941" s="341"/>
      <c r="AJ941" s="341"/>
      <c r="AK941" s="341"/>
      <c r="AL941" s="341"/>
      <c r="AM941" s="338"/>
      <c r="AN941" s="341"/>
      <c r="AO941" s="341"/>
      <c r="AP941" s="341"/>
      <c r="AQ941" s="341"/>
      <c r="AR941" s="341"/>
      <c r="AS941" s="341"/>
      <c r="AT941" s="341"/>
      <c r="AU941" s="343"/>
      <c r="AV941" s="341"/>
      <c r="AW941" s="269" t="s">
        <v>2114</v>
      </c>
      <c r="AX941" s="334" t="s">
        <v>2869</v>
      </c>
      <c r="AY941" s="270" t="s">
        <v>695</v>
      </c>
      <c r="AZ941" s="173" t="s">
        <v>2866</v>
      </c>
      <c r="BA941" s="265">
        <v>10.0</v>
      </c>
      <c r="BB941" s="174" t="s">
        <v>245</v>
      </c>
      <c r="BC941" s="341"/>
      <c r="BD941" s="308"/>
      <c r="BE941" s="347"/>
      <c r="BF941" s="274" t="str">
        <f>IFERROR(__xludf.DUMMYFUNCTION("LOWER(Regexreplace(to_text(E941),""[^A-Za-z0-9]"","""")&amp;""_""&amp;Regexreplace(to_text(F941),""[^A-Za-z0-9]"",""""))"),"neptronic_evcbseries")</f>
        <v>neptronic_evcbseries</v>
      </c>
      <c r="BG941" s="275" t="str">
        <f>IFERROR(__xludf.DUMMYFUNCTION("upper(Regexreplace(to_text(E941),""[^A-Za-z0-9]"","""")&amp;""-""&amp;Regexreplace(to_text(F941),""[^A-Za-z0-9]"",""""))"),"NEPTRONIC-EVCBSERIES")</f>
        <v>NEPTRONIC-EVCBSERIES</v>
      </c>
    </row>
    <row r="942" ht="30.0" customHeight="1">
      <c r="A942" s="258">
        <v>934.0</v>
      </c>
      <c r="B942" s="237" t="s">
        <v>670</v>
      </c>
      <c r="C942" s="257" t="s">
        <v>4368</v>
      </c>
      <c r="D942" s="173" t="s">
        <v>4368</v>
      </c>
      <c r="E942" s="174" t="s">
        <v>2861</v>
      </c>
      <c r="F942" s="173" t="s">
        <v>2862</v>
      </c>
      <c r="G942" s="328" t="s">
        <v>673</v>
      </c>
      <c r="H942" s="328" t="s">
        <v>2863</v>
      </c>
      <c r="I942" s="258" t="s">
        <v>2864</v>
      </c>
      <c r="J942" s="259" t="s">
        <v>965</v>
      </c>
      <c r="K942" s="260" t="s">
        <v>3629</v>
      </c>
      <c r="L942" s="328"/>
      <c r="M942" s="343"/>
      <c r="N942" s="173" t="s">
        <v>679</v>
      </c>
      <c r="O942" s="173" t="s">
        <v>225</v>
      </c>
      <c r="P942" s="262" t="str">
        <f t="shared" si="1"/>
        <v>IN-BLR-ANANTA-VAV-514_3</v>
      </c>
      <c r="Q942" s="173" t="s">
        <v>4369</v>
      </c>
      <c r="R942" s="328" t="str">
        <f>IFS(C942="","",C942="n/a","N/A",LEN(C942),Concatenate("{",char(34),"asset",char(34),":{",char(34),"guid",char(34),":",char(34),Q942,char(34),",",char(34),"site",char(34),":",char(34),LOWER('2-Building'!$B$4),char(34),",",char(34),"name",char(34),":",char(34),LOWER(C942),char(34),"}}"))</f>
        <v>{"asset":{"guid":"uuid://0467a320-86be-4548-acb5-ae2e3587709f","site":"in-blr-ananta","name":"vav-514"}}</v>
      </c>
      <c r="S942" s="237" t="s">
        <v>2866</v>
      </c>
      <c r="T942" s="330"/>
      <c r="U942" s="330"/>
      <c r="V942" s="331"/>
      <c r="W942" s="344"/>
      <c r="X942" s="341"/>
      <c r="Y942" s="33" t="s">
        <v>2867</v>
      </c>
      <c r="Z942" s="258">
        <v>120514.0</v>
      </c>
      <c r="AA942" s="334">
        <v>11555.0</v>
      </c>
      <c r="AB942" s="341"/>
      <c r="AC942" s="341"/>
      <c r="AD942" s="343"/>
      <c r="AE942" s="331"/>
      <c r="AF942" s="348"/>
      <c r="AG942" s="337"/>
      <c r="AH942" s="341"/>
      <c r="AI942" s="341"/>
      <c r="AJ942" s="341"/>
      <c r="AK942" s="341"/>
      <c r="AL942" s="341"/>
      <c r="AM942" s="338"/>
      <c r="AN942" s="341"/>
      <c r="AO942" s="341"/>
      <c r="AP942" s="341"/>
      <c r="AQ942" s="341"/>
      <c r="AR942" s="341"/>
      <c r="AS942" s="341"/>
      <c r="AT942" s="341"/>
      <c r="AU942" s="343"/>
      <c r="AV942" s="341"/>
      <c r="AW942" s="269" t="s">
        <v>2114</v>
      </c>
      <c r="AX942" s="334" t="s">
        <v>2869</v>
      </c>
      <c r="AY942" s="270" t="s">
        <v>695</v>
      </c>
      <c r="AZ942" s="173" t="s">
        <v>2866</v>
      </c>
      <c r="BA942" s="265">
        <v>10.0</v>
      </c>
      <c r="BB942" s="174" t="s">
        <v>245</v>
      </c>
      <c r="BC942" s="341"/>
      <c r="BD942" s="308"/>
      <c r="BE942" s="347"/>
      <c r="BF942" s="274" t="str">
        <f>IFERROR(__xludf.DUMMYFUNCTION("LOWER(Regexreplace(to_text(E942),""[^A-Za-z0-9]"","""")&amp;""_""&amp;Regexreplace(to_text(F942),""[^A-Za-z0-9]"",""""))"),"neptronic_evcbseries")</f>
        <v>neptronic_evcbseries</v>
      </c>
      <c r="BG942" s="275" t="str">
        <f>IFERROR(__xludf.DUMMYFUNCTION("upper(Regexreplace(to_text(E942),""[^A-Za-z0-9]"","""")&amp;""-""&amp;Regexreplace(to_text(F942),""[^A-Za-z0-9]"",""""))"),"NEPTRONIC-EVCBSERIES")</f>
        <v>NEPTRONIC-EVCBSERIES</v>
      </c>
    </row>
    <row r="943" ht="30.0" customHeight="1">
      <c r="A943" s="173">
        <v>935.0</v>
      </c>
      <c r="B943" s="237" t="s">
        <v>670</v>
      </c>
      <c r="C943" s="257" t="s">
        <v>4370</v>
      </c>
      <c r="D943" s="173" t="s">
        <v>4370</v>
      </c>
      <c r="E943" s="174" t="s">
        <v>2861</v>
      </c>
      <c r="F943" s="173" t="s">
        <v>2862</v>
      </c>
      <c r="G943" s="328" t="s">
        <v>673</v>
      </c>
      <c r="H943" s="328" t="s">
        <v>2863</v>
      </c>
      <c r="I943" s="258" t="s">
        <v>2864</v>
      </c>
      <c r="J943" s="259" t="s">
        <v>965</v>
      </c>
      <c r="K943" s="260" t="s">
        <v>4366</v>
      </c>
      <c r="L943" s="328"/>
      <c r="M943" s="343"/>
      <c r="N943" s="173" t="s">
        <v>679</v>
      </c>
      <c r="O943" s="173" t="s">
        <v>225</v>
      </c>
      <c r="P943" s="262" t="str">
        <f t="shared" si="1"/>
        <v>IN-BLR-ANANTA-VAV-515_3</v>
      </c>
      <c r="Q943" s="173" t="s">
        <v>4371</v>
      </c>
      <c r="R943" s="328" t="str">
        <f>IFS(C943="","",C943="n/a","N/A",LEN(C943),Concatenate("{",char(34),"asset",char(34),":{",char(34),"guid",char(34),":",char(34),Q943,char(34),",",char(34),"site",char(34),":",char(34),LOWER('2-Building'!$B$4),char(34),",",char(34),"name",char(34),":",char(34),LOWER(C943),char(34),"}}"))</f>
        <v>{"asset":{"guid":"uuid://8442433a-fac7-4568-b9e3-1ad4229f80d8","site":"in-blr-ananta","name":"vav-515"}}</v>
      </c>
      <c r="S943" s="237" t="s">
        <v>2866</v>
      </c>
      <c r="T943" s="330"/>
      <c r="U943" s="330"/>
      <c r="V943" s="331"/>
      <c r="W943" s="344"/>
      <c r="X943" s="341"/>
      <c r="Y943" s="33" t="s">
        <v>2867</v>
      </c>
      <c r="Z943" s="258">
        <v>120515.0</v>
      </c>
      <c r="AA943" s="334">
        <v>11555.0</v>
      </c>
      <c r="AB943" s="341"/>
      <c r="AC943" s="341"/>
      <c r="AD943" s="343"/>
      <c r="AE943" s="331"/>
      <c r="AF943" s="348"/>
      <c r="AG943" s="337"/>
      <c r="AH943" s="341"/>
      <c r="AI943" s="341"/>
      <c r="AJ943" s="341"/>
      <c r="AK943" s="341"/>
      <c r="AL943" s="341"/>
      <c r="AM943" s="338"/>
      <c r="AN943" s="341"/>
      <c r="AO943" s="341"/>
      <c r="AP943" s="341"/>
      <c r="AQ943" s="341"/>
      <c r="AR943" s="341"/>
      <c r="AS943" s="341"/>
      <c r="AT943" s="341"/>
      <c r="AU943" s="343"/>
      <c r="AV943" s="341"/>
      <c r="AW943" s="269" t="s">
        <v>2114</v>
      </c>
      <c r="AX943" s="334" t="s">
        <v>2869</v>
      </c>
      <c r="AY943" s="270" t="s">
        <v>695</v>
      </c>
      <c r="AZ943" s="173" t="s">
        <v>2866</v>
      </c>
      <c r="BA943" s="265">
        <v>10.0</v>
      </c>
      <c r="BB943" s="174" t="s">
        <v>245</v>
      </c>
      <c r="BC943" s="341"/>
      <c r="BD943" s="308"/>
      <c r="BE943" s="347"/>
      <c r="BF943" s="274" t="str">
        <f>IFERROR(__xludf.DUMMYFUNCTION("LOWER(Regexreplace(to_text(E943),""[^A-Za-z0-9]"","""")&amp;""_""&amp;Regexreplace(to_text(F943),""[^A-Za-z0-9]"",""""))"),"neptronic_evcbseries")</f>
        <v>neptronic_evcbseries</v>
      </c>
      <c r="BG943" s="275" t="str">
        <f>IFERROR(__xludf.DUMMYFUNCTION("upper(Regexreplace(to_text(E943),""[^A-Za-z0-9]"","""")&amp;""-""&amp;Regexreplace(to_text(F943),""[^A-Za-z0-9]"",""""))"),"NEPTRONIC-EVCBSERIES")</f>
        <v>NEPTRONIC-EVCBSERIES</v>
      </c>
    </row>
    <row r="944" ht="30.0" customHeight="1">
      <c r="A944" s="258">
        <v>936.0</v>
      </c>
      <c r="B944" s="237" t="s">
        <v>670</v>
      </c>
      <c r="C944" s="257" t="s">
        <v>4372</v>
      </c>
      <c r="D944" s="173" t="s">
        <v>4372</v>
      </c>
      <c r="E944" s="174" t="s">
        <v>2861</v>
      </c>
      <c r="F944" s="173" t="s">
        <v>2862</v>
      </c>
      <c r="G944" s="328" t="s">
        <v>673</v>
      </c>
      <c r="H944" s="328" t="s">
        <v>2863</v>
      </c>
      <c r="I944" s="258" t="s">
        <v>2864</v>
      </c>
      <c r="J944" s="259" t="s">
        <v>965</v>
      </c>
      <c r="K944" s="260" t="s">
        <v>3643</v>
      </c>
      <c r="L944" s="328"/>
      <c r="M944" s="343"/>
      <c r="N944" s="173" t="s">
        <v>679</v>
      </c>
      <c r="O944" s="173" t="s">
        <v>225</v>
      </c>
      <c r="P944" s="262" t="str">
        <f t="shared" si="1"/>
        <v>IN-BLR-ANANTA-VAV-516_3</v>
      </c>
      <c r="Q944" s="173" t="s">
        <v>4373</v>
      </c>
      <c r="R944" s="328" t="str">
        <f>IFS(C944="","",C944="n/a","N/A",LEN(C944),Concatenate("{",char(34),"asset",char(34),":{",char(34),"guid",char(34),":",char(34),Q944,char(34),",",char(34),"site",char(34),":",char(34),LOWER('2-Building'!$B$4),char(34),",",char(34),"name",char(34),":",char(34),LOWER(C944),char(34),"}}"))</f>
        <v>{"asset":{"guid":"uuid://6e0c2811-16e7-4f17-8880-fa064370fea9","site":"in-blr-ananta","name":"vav-516"}}</v>
      </c>
      <c r="S944" s="237" t="s">
        <v>2866</v>
      </c>
      <c r="T944" s="330"/>
      <c r="U944" s="330"/>
      <c r="V944" s="331"/>
      <c r="W944" s="344"/>
      <c r="X944" s="341"/>
      <c r="Y944" s="33" t="s">
        <v>2867</v>
      </c>
      <c r="Z944" s="258">
        <v>120516.0</v>
      </c>
      <c r="AA944" s="334">
        <v>11555.0</v>
      </c>
      <c r="AB944" s="341"/>
      <c r="AC944" s="341"/>
      <c r="AD944" s="343"/>
      <c r="AE944" s="331"/>
      <c r="AF944" s="348"/>
      <c r="AG944" s="337"/>
      <c r="AH944" s="341"/>
      <c r="AI944" s="341"/>
      <c r="AJ944" s="341"/>
      <c r="AK944" s="341"/>
      <c r="AL944" s="341"/>
      <c r="AM944" s="338"/>
      <c r="AN944" s="341"/>
      <c r="AO944" s="341"/>
      <c r="AP944" s="341"/>
      <c r="AQ944" s="341"/>
      <c r="AR944" s="341"/>
      <c r="AS944" s="341"/>
      <c r="AT944" s="341"/>
      <c r="AU944" s="343"/>
      <c r="AV944" s="341"/>
      <c r="AW944" s="269" t="s">
        <v>2144</v>
      </c>
      <c r="AX944" s="334" t="s">
        <v>2869</v>
      </c>
      <c r="AY944" s="270" t="s">
        <v>695</v>
      </c>
      <c r="AZ944" s="173" t="s">
        <v>2866</v>
      </c>
      <c r="BA944" s="265">
        <v>10.0</v>
      </c>
      <c r="BB944" s="174" t="s">
        <v>245</v>
      </c>
      <c r="BC944" s="341"/>
      <c r="BD944" s="308"/>
      <c r="BE944" s="347"/>
      <c r="BF944" s="274" t="str">
        <f>IFERROR(__xludf.DUMMYFUNCTION("LOWER(Regexreplace(to_text(E944),""[^A-Za-z0-9]"","""")&amp;""_""&amp;Regexreplace(to_text(F944),""[^A-Za-z0-9]"",""""))"),"neptronic_evcbseries")</f>
        <v>neptronic_evcbseries</v>
      </c>
      <c r="BG944" s="275" t="str">
        <f>IFERROR(__xludf.DUMMYFUNCTION("upper(Regexreplace(to_text(E944),""[^A-Za-z0-9]"","""")&amp;""-""&amp;Regexreplace(to_text(F944),""[^A-Za-z0-9]"",""""))"),"NEPTRONIC-EVCBSERIES")</f>
        <v>NEPTRONIC-EVCBSERIES</v>
      </c>
    </row>
    <row r="945" ht="30.0" customHeight="1">
      <c r="A945" s="173">
        <v>937.0</v>
      </c>
      <c r="B945" s="237" t="s">
        <v>670</v>
      </c>
      <c r="C945" s="257" t="s">
        <v>4374</v>
      </c>
      <c r="D945" s="173" t="s">
        <v>4374</v>
      </c>
      <c r="E945" s="174" t="s">
        <v>2861</v>
      </c>
      <c r="F945" s="173" t="s">
        <v>2862</v>
      </c>
      <c r="G945" s="328" t="s">
        <v>673</v>
      </c>
      <c r="H945" s="328" t="s">
        <v>2863</v>
      </c>
      <c r="I945" s="258" t="s">
        <v>2864</v>
      </c>
      <c r="J945" s="259" t="s">
        <v>965</v>
      </c>
      <c r="K945" s="260" t="s">
        <v>4375</v>
      </c>
      <c r="L945" s="328"/>
      <c r="M945" s="343"/>
      <c r="N945" s="173" t="s">
        <v>679</v>
      </c>
      <c r="O945" s="173" t="s">
        <v>225</v>
      </c>
      <c r="P945" s="262" t="str">
        <f t="shared" si="1"/>
        <v>IN-BLR-ANANTA-VAV-517_3</v>
      </c>
      <c r="Q945" s="173" t="s">
        <v>4376</v>
      </c>
      <c r="R945" s="328" t="str">
        <f>IFS(C945="","",C945="n/a","N/A",LEN(C945),Concatenate("{",char(34),"asset",char(34),":{",char(34),"guid",char(34),":",char(34),Q945,char(34),",",char(34),"site",char(34),":",char(34),LOWER('2-Building'!$B$4),char(34),",",char(34),"name",char(34),":",char(34),LOWER(C945),char(34),"}}"))</f>
        <v>{"asset":{"guid":"uuid://6d91eb3e-0b93-4f64-8ac4-c8246f1ad78e","site":"in-blr-ananta","name":"vav-517"}}</v>
      </c>
      <c r="S945" s="237" t="s">
        <v>2866</v>
      </c>
      <c r="T945" s="330"/>
      <c r="U945" s="330"/>
      <c r="V945" s="331"/>
      <c r="W945" s="344"/>
      <c r="X945" s="341"/>
      <c r="Y945" s="33" t="s">
        <v>2867</v>
      </c>
      <c r="Z945" s="258">
        <v>120517.0</v>
      </c>
      <c r="AA945" s="334">
        <v>11551.0</v>
      </c>
      <c r="AB945" s="341"/>
      <c r="AC945" s="341"/>
      <c r="AD945" s="343"/>
      <c r="AE945" s="331"/>
      <c r="AF945" s="348"/>
      <c r="AG945" s="337"/>
      <c r="AH945" s="341"/>
      <c r="AI945" s="341"/>
      <c r="AJ945" s="341"/>
      <c r="AK945" s="341"/>
      <c r="AL945" s="341"/>
      <c r="AM945" s="338"/>
      <c r="AN945" s="341"/>
      <c r="AO945" s="341"/>
      <c r="AP945" s="341"/>
      <c r="AQ945" s="341"/>
      <c r="AR945" s="341"/>
      <c r="AS945" s="341"/>
      <c r="AT945" s="341"/>
      <c r="AU945" s="343"/>
      <c r="AV945" s="341"/>
      <c r="AW945" s="269" t="s">
        <v>2134</v>
      </c>
      <c r="AX945" s="334" t="s">
        <v>2869</v>
      </c>
      <c r="AY945" s="270" t="s">
        <v>695</v>
      </c>
      <c r="AZ945" s="173" t="s">
        <v>2866</v>
      </c>
      <c r="BA945" s="265">
        <v>10.0</v>
      </c>
      <c r="BB945" s="174" t="s">
        <v>245</v>
      </c>
      <c r="BC945" s="341"/>
      <c r="BD945" s="308"/>
      <c r="BE945" s="347"/>
      <c r="BF945" s="274" t="str">
        <f>IFERROR(__xludf.DUMMYFUNCTION("LOWER(Regexreplace(to_text(E945),""[^A-Za-z0-9]"","""")&amp;""_""&amp;Regexreplace(to_text(F945),""[^A-Za-z0-9]"",""""))"),"neptronic_evcbseries")</f>
        <v>neptronic_evcbseries</v>
      </c>
      <c r="BG945" s="275" t="str">
        <f>IFERROR(__xludf.DUMMYFUNCTION("upper(Regexreplace(to_text(E945),""[^A-Za-z0-9]"","""")&amp;""-""&amp;Regexreplace(to_text(F945),""[^A-Za-z0-9]"",""""))"),"NEPTRONIC-EVCBSERIES")</f>
        <v>NEPTRONIC-EVCBSERIES</v>
      </c>
    </row>
    <row r="946" ht="30.0" customHeight="1">
      <c r="A946" s="258">
        <v>938.0</v>
      </c>
      <c r="B946" s="237" t="s">
        <v>670</v>
      </c>
      <c r="C946" s="257" t="s">
        <v>4377</v>
      </c>
      <c r="D946" s="173" t="s">
        <v>4377</v>
      </c>
      <c r="E946" s="174" t="s">
        <v>2861</v>
      </c>
      <c r="F946" s="173" t="s">
        <v>2862</v>
      </c>
      <c r="G946" s="328" t="s">
        <v>673</v>
      </c>
      <c r="H946" s="328" t="s">
        <v>2863</v>
      </c>
      <c r="I946" s="258" t="s">
        <v>2864</v>
      </c>
      <c r="J946" s="259" t="s">
        <v>965</v>
      </c>
      <c r="K946" s="260" t="s">
        <v>3629</v>
      </c>
      <c r="L946" s="328"/>
      <c r="M946" s="343"/>
      <c r="N946" s="173" t="s">
        <v>679</v>
      </c>
      <c r="O946" s="173" t="s">
        <v>225</v>
      </c>
      <c r="P946" s="262" t="str">
        <f t="shared" si="1"/>
        <v>IN-BLR-ANANTA-VAV-518_3</v>
      </c>
      <c r="Q946" s="173" t="s">
        <v>4378</v>
      </c>
      <c r="R946" s="328" t="str">
        <f>IFS(C946="","",C946="n/a","N/A",LEN(C946),Concatenate("{",char(34),"asset",char(34),":{",char(34),"guid",char(34),":",char(34),Q946,char(34),",",char(34),"site",char(34),":",char(34),LOWER('2-Building'!$B$4),char(34),",",char(34),"name",char(34),":",char(34),LOWER(C946),char(34),"}}"))</f>
        <v>{"asset":{"guid":"uuid://3b8aa62f-cf31-462d-a32e-1fd0c56c81ef","site":"in-blr-ananta","name":"vav-518"}}</v>
      </c>
      <c r="S946" s="237" t="s">
        <v>2866</v>
      </c>
      <c r="T946" s="330"/>
      <c r="U946" s="330"/>
      <c r="V946" s="331"/>
      <c r="W946" s="344"/>
      <c r="X946" s="341"/>
      <c r="Y946" s="33" t="s">
        <v>2867</v>
      </c>
      <c r="Z946" s="258">
        <v>120518.0</v>
      </c>
      <c r="AA946" s="334">
        <v>11551.0</v>
      </c>
      <c r="AB946" s="341"/>
      <c r="AC946" s="341"/>
      <c r="AD946" s="343"/>
      <c r="AE946" s="331"/>
      <c r="AF946" s="348"/>
      <c r="AG946" s="337"/>
      <c r="AH946" s="341"/>
      <c r="AI946" s="341"/>
      <c r="AJ946" s="341"/>
      <c r="AK946" s="341"/>
      <c r="AL946" s="341"/>
      <c r="AM946" s="338"/>
      <c r="AN946" s="341"/>
      <c r="AO946" s="341"/>
      <c r="AP946" s="341"/>
      <c r="AQ946" s="341"/>
      <c r="AR946" s="341"/>
      <c r="AS946" s="341"/>
      <c r="AT946" s="341"/>
      <c r="AU946" s="343"/>
      <c r="AV946" s="341"/>
      <c r="AW946" s="269" t="s">
        <v>2134</v>
      </c>
      <c r="AX946" s="334" t="s">
        <v>2869</v>
      </c>
      <c r="AY946" s="270" t="s">
        <v>695</v>
      </c>
      <c r="AZ946" s="173" t="s">
        <v>2866</v>
      </c>
      <c r="BA946" s="265">
        <v>10.0</v>
      </c>
      <c r="BB946" s="174" t="s">
        <v>245</v>
      </c>
      <c r="BC946" s="341"/>
      <c r="BD946" s="308"/>
      <c r="BE946" s="347"/>
      <c r="BF946" s="274" t="str">
        <f>IFERROR(__xludf.DUMMYFUNCTION("LOWER(Regexreplace(to_text(E946),""[^A-Za-z0-9]"","""")&amp;""_""&amp;Regexreplace(to_text(F946),""[^A-Za-z0-9]"",""""))"),"neptronic_evcbseries")</f>
        <v>neptronic_evcbseries</v>
      </c>
      <c r="BG946" s="275" t="str">
        <f>IFERROR(__xludf.DUMMYFUNCTION("upper(Regexreplace(to_text(E946),""[^A-Za-z0-9]"","""")&amp;""-""&amp;Regexreplace(to_text(F946),""[^A-Za-z0-9]"",""""))"),"NEPTRONIC-EVCBSERIES")</f>
        <v>NEPTRONIC-EVCBSERIES</v>
      </c>
    </row>
    <row r="947" ht="30.0" customHeight="1">
      <c r="A947" s="173">
        <v>939.0</v>
      </c>
      <c r="B947" s="237" t="s">
        <v>670</v>
      </c>
      <c r="C947" s="257" t="s">
        <v>4379</v>
      </c>
      <c r="D947" s="173" t="s">
        <v>4379</v>
      </c>
      <c r="E947" s="174" t="s">
        <v>2861</v>
      </c>
      <c r="F947" s="173" t="s">
        <v>2862</v>
      </c>
      <c r="G947" s="328" t="s">
        <v>673</v>
      </c>
      <c r="H947" s="328" t="s">
        <v>2863</v>
      </c>
      <c r="I947" s="258" t="s">
        <v>2864</v>
      </c>
      <c r="J947" s="259" t="s">
        <v>965</v>
      </c>
      <c r="K947" s="260" t="s">
        <v>4380</v>
      </c>
      <c r="L947" s="328"/>
      <c r="M947" s="343"/>
      <c r="N947" s="173" t="s">
        <v>679</v>
      </c>
      <c r="O947" s="173" t="s">
        <v>225</v>
      </c>
      <c r="P947" s="262" t="str">
        <f t="shared" si="1"/>
        <v>IN-BLR-ANANTA-VAV-519_3</v>
      </c>
      <c r="Q947" s="173" t="s">
        <v>4381</v>
      </c>
      <c r="R947" s="328" t="str">
        <f>IFS(C947="","",C947="n/a","N/A",LEN(C947),Concatenate("{",char(34),"asset",char(34),":{",char(34),"guid",char(34),":",char(34),Q947,char(34),",",char(34),"site",char(34),":",char(34),LOWER('2-Building'!$B$4),char(34),",",char(34),"name",char(34),":",char(34),LOWER(C947),char(34),"}}"))</f>
        <v>{"asset":{"guid":"uuid://c85896f3-9d44-4ffb-bbcd-6042a355fa50","site":"in-blr-ananta","name":"vav-519"}}</v>
      </c>
      <c r="S947" s="237" t="s">
        <v>2866</v>
      </c>
      <c r="T947" s="330"/>
      <c r="U947" s="330"/>
      <c r="V947" s="331"/>
      <c r="W947" s="344"/>
      <c r="X947" s="341"/>
      <c r="Y947" s="33" t="s">
        <v>2867</v>
      </c>
      <c r="Z947" s="258">
        <v>120519.0</v>
      </c>
      <c r="AA947" s="334">
        <v>11551.0</v>
      </c>
      <c r="AB947" s="341"/>
      <c r="AC947" s="341"/>
      <c r="AD947" s="343"/>
      <c r="AE947" s="331"/>
      <c r="AF947" s="348"/>
      <c r="AG947" s="337"/>
      <c r="AH947" s="341"/>
      <c r="AI947" s="341"/>
      <c r="AJ947" s="341"/>
      <c r="AK947" s="341"/>
      <c r="AL947" s="341"/>
      <c r="AM947" s="338"/>
      <c r="AN947" s="341"/>
      <c r="AO947" s="341"/>
      <c r="AP947" s="341"/>
      <c r="AQ947" s="341"/>
      <c r="AR947" s="341"/>
      <c r="AS947" s="341"/>
      <c r="AT947" s="341"/>
      <c r="AU947" s="343"/>
      <c r="AV947" s="341"/>
      <c r="AW947" s="269" t="s">
        <v>2134</v>
      </c>
      <c r="AX947" s="334" t="s">
        <v>2869</v>
      </c>
      <c r="AY947" s="270" t="s">
        <v>695</v>
      </c>
      <c r="AZ947" s="173" t="s">
        <v>2866</v>
      </c>
      <c r="BA947" s="265">
        <v>10.0</v>
      </c>
      <c r="BB947" s="174" t="s">
        <v>245</v>
      </c>
      <c r="BC947" s="341"/>
      <c r="BD947" s="308"/>
      <c r="BE947" s="347"/>
      <c r="BF947" s="274" t="str">
        <f>IFERROR(__xludf.DUMMYFUNCTION("LOWER(Regexreplace(to_text(E947),""[^A-Za-z0-9]"","""")&amp;""_""&amp;Regexreplace(to_text(F947),""[^A-Za-z0-9]"",""""))"),"neptronic_evcbseries")</f>
        <v>neptronic_evcbseries</v>
      </c>
      <c r="BG947" s="275" t="str">
        <f>IFERROR(__xludf.DUMMYFUNCTION("upper(Regexreplace(to_text(E947),""[^A-Za-z0-9]"","""")&amp;""-""&amp;Regexreplace(to_text(F947),""[^A-Za-z0-9]"",""""))"),"NEPTRONIC-EVCBSERIES")</f>
        <v>NEPTRONIC-EVCBSERIES</v>
      </c>
    </row>
    <row r="948" ht="30.0" customHeight="1">
      <c r="A948" s="258">
        <v>940.0</v>
      </c>
      <c r="B948" s="237" t="s">
        <v>670</v>
      </c>
      <c r="C948" s="257" t="s">
        <v>4382</v>
      </c>
      <c r="D948" s="173" t="s">
        <v>4382</v>
      </c>
      <c r="E948" s="174" t="s">
        <v>2861</v>
      </c>
      <c r="F948" s="173" t="s">
        <v>2862</v>
      </c>
      <c r="G948" s="328" t="s">
        <v>673</v>
      </c>
      <c r="H948" s="328" t="s">
        <v>2863</v>
      </c>
      <c r="I948" s="258" t="s">
        <v>2864</v>
      </c>
      <c r="J948" s="259" t="s">
        <v>965</v>
      </c>
      <c r="K948" s="260" t="s">
        <v>4383</v>
      </c>
      <c r="L948" s="328"/>
      <c r="M948" s="343"/>
      <c r="N948" s="173" t="s">
        <v>679</v>
      </c>
      <c r="O948" s="173" t="s">
        <v>225</v>
      </c>
      <c r="P948" s="262" t="str">
        <f t="shared" si="1"/>
        <v>IN-BLR-ANANTA-VAV-520_3</v>
      </c>
      <c r="Q948" s="173" t="s">
        <v>4384</v>
      </c>
      <c r="R948" s="328" t="str">
        <f>IFS(C948="","",C948="n/a","N/A",LEN(C948),Concatenate("{",char(34),"asset",char(34),":{",char(34),"guid",char(34),":",char(34),Q948,char(34),",",char(34),"site",char(34),":",char(34),LOWER('2-Building'!$B$4),char(34),",",char(34),"name",char(34),":",char(34),LOWER(C948),char(34),"}}"))</f>
        <v>{"asset":{"guid":"uuid://9a258f71-c19f-42e5-abcd-9cabd0c523fa","site":"in-blr-ananta","name":"vav-520"}}</v>
      </c>
      <c r="S948" s="237" t="s">
        <v>2866</v>
      </c>
      <c r="T948" s="330"/>
      <c r="U948" s="330"/>
      <c r="V948" s="331"/>
      <c r="W948" s="344"/>
      <c r="X948" s="341"/>
      <c r="Y948" s="33" t="s">
        <v>2867</v>
      </c>
      <c r="Z948" s="258">
        <v>120520.0</v>
      </c>
      <c r="AA948" s="334">
        <v>11551.0</v>
      </c>
      <c r="AB948" s="341"/>
      <c r="AC948" s="341"/>
      <c r="AD948" s="343"/>
      <c r="AE948" s="331"/>
      <c r="AF948" s="348"/>
      <c r="AG948" s="337"/>
      <c r="AH948" s="341"/>
      <c r="AI948" s="341"/>
      <c r="AJ948" s="341"/>
      <c r="AK948" s="341"/>
      <c r="AL948" s="341"/>
      <c r="AM948" s="338"/>
      <c r="AN948" s="341"/>
      <c r="AO948" s="341"/>
      <c r="AP948" s="341"/>
      <c r="AQ948" s="341"/>
      <c r="AR948" s="341"/>
      <c r="AS948" s="341"/>
      <c r="AT948" s="341"/>
      <c r="AU948" s="343"/>
      <c r="AV948" s="341"/>
      <c r="AW948" s="269" t="s">
        <v>2134</v>
      </c>
      <c r="AX948" s="334" t="s">
        <v>2869</v>
      </c>
      <c r="AY948" s="270" t="s">
        <v>695</v>
      </c>
      <c r="AZ948" s="173" t="s">
        <v>2866</v>
      </c>
      <c r="BA948" s="265">
        <v>10.0</v>
      </c>
      <c r="BB948" s="174" t="s">
        <v>245</v>
      </c>
      <c r="BC948" s="341"/>
      <c r="BD948" s="308"/>
      <c r="BE948" s="347"/>
      <c r="BF948" s="274" t="str">
        <f>IFERROR(__xludf.DUMMYFUNCTION("LOWER(Regexreplace(to_text(E948),""[^A-Za-z0-9]"","""")&amp;""_""&amp;Regexreplace(to_text(F948),""[^A-Za-z0-9]"",""""))"),"neptronic_evcbseries")</f>
        <v>neptronic_evcbseries</v>
      </c>
      <c r="BG948" s="275" t="str">
        <f>IFERROR(__xludf.DUMMYFUNCTION("upper(Regexreplace(to_text(E948),""[^A-Za-z0-9]"","""")&amp;""-""&amp;Regexreplace(to_text(F948),""[^A-Za-z0-9]"",""""))"),"NEPTRONIC-EVCBSERIES")</f>
        <v>NEPTRONIC-EVCBSERIES</v>
      </c>
    </row>
    <row r="949" ht="30.0" customHeight="1">
      <c r="A949" s="173">
        <v>941.0</v>
      </c>
      <c r="B949" s="237" t="s">
        <v>670</v>
      </c>
      <c r="C949" s="257" t="s">
        <v>4385</v>
      </c>
      <c r="D949" s="173" t="s">
        <v>4385</v>
      </c>
      <c r="E949" s="174" t="s">
        <v>2861</v>
      </c>
      <c r="F949" s="173" t="s">
        <v>2862</v>
      </c>
      <c r="G949" s="328" t="s">
        <v>673</v>
      </c>
      <c r="H949" s="328" t="s">
        <v>2863</v>
      </c>
      <c r="I949" s="258" t="s">
        <v>2864</v>
      </c>
      <c r="J949" s="259" t="s">
        <v>965</v>
      </c>
      <c r="K949" s="260" t="s">
        <v>4386</v>
      </c>
      <c r="L949" s="328"/>
      <c r="M949" s="343"/>
      <c r="N949" s="173" t="s">
        <v>679</v>
      </c>
      <c r="O949" s="173" t="s">
        <v>225</v>
      </c>
      <c r="P949" s="262" t="str">
        <f t="shared" si="1"/>
        <v>IN-BLR-ANANTA-VAV-521_3</v>
      </c>
      <c r="Q949" s="173" t="s">
        <v>4387</v>
      </c>
      <c r="R949" s="328" t="str">
        <f>IFS(C949="","",C949="n/a","N/A",LEN(C949),Concatenate("{",char(34),"asset",char(34),":{",char(34),"guid",char(34),":",char(34),Q949,char(34),",",char(34),"site",char(34),":",char(34),LOWER('2-Building'!$B$4),char(34),",",char(34),"name",char(34),":",char(34),LOWER(C949),char(34),"}}"))</f>
        <v>{"asset":{"guid":"uuid://12fece8c-f8f4-4d3b-9070-fbd776e37f24","site":"in-blr-ananta","name":"vav-521"}}</v>
      </c>
      <c r="S949" s="237" t="s">
        <v>2866</v>
      </c>
      <c r="T949" s="330"/>
      <c r="U949" s="330"/>
      <c r="V949" s="331"/>
      <c r="W949" s="344"/>
      <c r="X949" s="341"/>
      <c r="Y949" s="33" t="s">
        <v>2867</v>
      </c>
      <c r="Z949" s="258">
        <v>120521.0</v>
      </c>
      <c r="AA949" s="334">
        <v>11551.0</v>
      </c>
      <c r="AB949" s="341"/>
      <c r="AC949" s="341"/>
      <c r="AD949" s="343"/>
      <c r="AE949" s="331"/>
      <c r="AF949" s="348"/>
      <c r="AG949" s="337"/>
      <c r="AH949" s="341"/>
      <c r="AI949" s="341"/>
      <c r="AJ949" s="341"/>
      <c r="AK949" s="341"/>
      <c r="AL949" s="341"/>
      <c r="AM949" s="338"/>
      <c r="AN949" s="341"/>
      <c r="AO949" s="341"/>
      <c r="AP949" s="341"/>
      <c r="AQ949" s="341"/>
      <c r="AR949" s="341"/>
      <c r="AS949" s="341"/>
      <c r="AT949" s="341"/>
      <c r="AU949" s="343"/>
      <c r="AV949" s="341"/>
      <c r="AW949" s="269" t="s">
        <v>2134</v>
      </c>
      <c r="AX949" s="334" t="s">
        <v>2869</v>
      </c>
      <c r="AY949" s="270" t="s">
        <v>695</v>
      </c>
      <c r="AZ949" s="173" t="s">
        <v>2866</v>
      </c>
      <c r="BA949" s="265">
        <v>10.0</v>
      </c>
      <c r="BB949" s="174" t="s">
        <v>245</v>
      </c>
      <c r="BC949" s="341"/>
      <c r="BD949" s="308"/>
      <c r="BE949" s="347"/>
      <c r="BF949" s="274" t="str">
        <f>IFERROR(__xludf.DUMMYFUNCTION("LOWER(Regexreplace(to_text(E949),""[^A-Za-z0-9]"","""")&amp;""_""&amp;Regexreplace(to_text(F949),""[^A-Za-z0-9]"",""""))"),"neptronic_evcbseries")</f>
        <v>neptronic_evcbseries</v>
      </c>
      <c r="BG949" s="275" t="str">
        <f>IFERROR(__xludf.DUMMYFUNCTION("upper(Regexreplace(to_text(E949),""[^A-Za-z0-9]"","""")&amp;""-""&amp;Regexreplace(to_text(F949),""[^A-Za-z0-9]"",""""))"),"NEPTRONIC-EVCBSERIES")</f>
        <v>NEPTRONIC-EVCBSERIES</v>
      </c>
    </row>
    <row r="950" ht="30.0" customHeight="1">
      <c r="A950" s="258">
        <v>942.0</v>
      </c>
      <c r="B950" s="237" t="s">
        <v>670</v>
      </c>
      <c r="C950" s="257" t="s">
        <v>4388</v>
      </c>
      <c r="D950" s="173" t="s">
        <v>4388</v>
      </c>
      <c r="E950" s="174" t="s">
        <v>2861</v>
      </c>
      <c r="F950" s="173" t="s">
        <v>2862</v>
      </c>
      <c r="G950" s="328" t="s">
        <v>673</v>
      </c>
      <c r="H950" s="328" t="s">
        <v>2863</v>
      </c>
      <c r="I950" s="258" t="s">
        <v>2864</v>
      </c>
      <c r="J950" s="259" t="s">
        <v>965</v>
      </c>
      <c r="K950" s="260" t="s">
        <v>4389</v>
      </c>
      <c r="L950" s="328"/>
      <c r="M950" s="343"/>
      <c r="N950" s="173" t="s">
        <v>679</v>
      </c>
      <c r="O950" s="173" t="s">
        <v>225</v>
      </c>
      <c r="P950" s="262" t="str">
        <f t="shared" si="1"/>
        <v>IN-BLR-ANANTA-VAV-522_3</v>
      </c>
      <c r="Q950" s="173" t="s">
        <v>4390</v>
      </c>
      <c r="R950" s="328" t="str">
        <f>IFS(C950="","",C950="n/a","N/A",LEN(C950),Concatenate("{",char(34),"asset",char(34),":{",char(34),"guid",char(34),":",char(34),Q950,char(34),",",char(34),"site",char(34),":",char(34),LOWER('2-Building'!$B$4),char(34),",",char(34),"name",char(34),":",char(34),LOWER(C950),char(34),"}}"))</f>
        <v>{"asset":{"guid":"uuid://79913c2c-c44b-4be0-bd25-ea4d60ef6141","site":"in-blr-ananta","name":"vav-522"}}</v>
      </c>
      <c r="S950" s="237" t="s">
        <v>2866</v>
      </c>
      <c r="T950" s="330"/>
      <c r="U950" s="330"/>
      <c r="V950" s="331"/>
      <c r="W950" s="344"/>
      <c r="X950" s="341"/>
      <c r="Y950" s="33" t="s">
        <v>2867</v>
      </c>
      <c r="Z950" s="258">
        <v>120522.0</v>
      </c>
      <c r="AA950" s="334">
        <v>11551.0</v>
      </c>
      <c r="AB950" s="341"/>
      <c r="AC950" s="341"/>
      <c r="AD950" s="343"/>
      <c r="AE950" s="331"/>
      <c r="AF950" s="348"/>
      <c r="AG950" s="337"/>
      <c r="AH950" s="341"/>
      <c r="AI950" s="341"/>
      <c r="AJ950" s="341"/>
      <c r="AK950" s="341"/>
      <c r="AL950" s="341"/>
      <c r="AM950" s="338"/>
      <c r="AN950" s="341"/>
      <c r="AO950" s="341"/>
      <c r="AP950" s="341"/>
      <c r="AQ950" s="341"/>
      <c r="AR950" s="341"/>
      <c r="AS950" s="341"/>
      <c r="AT950" s="341"/>
      <c r="AU950" s="343"/>
      <c r="AV950" s="341"/>
      <c r="AW950" s="269" t="s">
        <v>2134</v>
      </c>
      <c r="AX950" s="334" t="s">
        <v>2869</v>
      </c>
      <c r="AY950" s="270" t="s">
        <v>695</v>
      </c>
      <c r="AZ950" s="173" t="s">
        <v>2866</v>
      </c>
      <c r="BA950" s="265">
        <v>10.0</v>
      </c>
      <c r="BB950" s="174" t="s">
        <v>245</v>
      </c>
      <c r="BC950" s="341"/>
      <c r="BD950" s="308"/>
      <c r="BE950" s="347"/>
      <c r="BF950" s="274" t="str">
        <f>IFERROR(__xludf.DUMMYFUNCTION("LOWER(Regexreplace(to_text(E950),""[^A-Za-z0-9]"","""")&amp;""_""&amp;Regexreplace(to_text(F950),""[^A-Za-z0-9]"",""""))"),"neptronic_evcbseries")</f>
        <v>neptronic_evcbseries</v>
      </c>
      <c r="BG950" s="275" t="str">
        <f>IFERROR(__xludf.DUMMYFUNCTION("upper(Regexreplace(to_text(E950),""[^A-Za-z0-9]"","""")&amp;""-""&amp;Regexreplace(to_text(F950),""[^A-Za-z0-9]"",""""))"),"NEPTRONIC-EVCBSERIES")</f>
        <v>NEPTRONIC-EVCBSERIES</v>
      </c>
    </row>
    <row r="951" ht="30.0" customHeight="1">
      <c r="A951" s="173">
        <v>943.0</v>
      </c>
      <c r="B951" s="237" t="s">
        <v>670</v>
      </c>
      <c r="C951" s="257" t="s">
        <v>4391</v>
      </c>
      <c r="D951" s="173" t="s">
        <v>4391</v>
      </c>
      <c r="E951" s="174" t="s">
        <v>2861</v>
      </c>
      <c r="F951" s="173" t="s">
        <v>2862</v>
      </c>
      <c r="G951" s="328" t="s">
        <v>673</v>
      </c>
      <c r="H951" s="328" t="s">
        <v>2863</v>
      </c>
      <c r="I951" s="258" t="s">
        <v>2864</v>
      </c>
      <c r="J951" s="259" t="s">
        <v>965</v>
      </c>
      <c r="K951" s="260" t="s">
        <v>4392</v>
      </c>
      <c r="L951" s="328"/>
      <c r="M951" s="343"/>
      <c r="N951" s="173" t="s">
        <v>679</v>
      </c>
      <c r="O951" s="173" t="s">
        <v>225</v>
      </c>
      <c r="P951" s="262" t="str">
        <f t="shared" si="1"/>
        <v>IN-BLR-ANANTA-VAV-523_3</v>
      </c>
      <c r="Q951" s="173" t="s">
        <v>4393</v>
      </c>
      <c r="R951" s="328" t="str">
        <f>IFS(C951="","",C951="n/a","N/A",LEN(C951),Concatenate("{",char(34),"asset",char(34),":{",char(34),"guid",char(34),":",char(34),Q951,char(34),",",char(34),"site",char(34),":",char(34),LOWER('2-Building'!$B$4),char(34),",",char(34),"name",char(34),":",char(34),LOWER(C951),char(34),"}}"))</f>
        <v>{"asset":{"guid":"uuid://8cacba2e-4265-4c08-8a8f-c224419a9701","site":"in-blr-ananta","name":"vav-523"}}</v>
      </c>
      <c r="S951" s="237" t="s">
        <v>2866</v>
      </c>
      <c r="T951" s="330"/>
      <c r="U951" s="330"/>
      <c r="V951" s="331"/>
      <c r="W951" s="344"/>
      <c r="X951" s="341"/>
      <c r="Y951" s="33" t="s">
        <v>2867</v>
      </c>
      <c r="Z951" s="258">
        <v>120523.0</v>
      </c>
      <c r="AA951" s="334">
        <v>11551.0</v>
      </c>
      <c r="AB951" s="341"/>
      <c r="AC951" s="341"/>
      <c r="AD951" s="343"/>
      <c r="AE951" s="331"/>
      <c r="AF951" s="348"/>
      <c r="AG951" s="337"/>
      <c r="AH951" s="341"/>
      <c r="AI951" s="341"/>
      <c r="AJ951" s="341"/>
      <c r="AK951" s="341"/>
      <c r="AL951" s="341"/>
      <c r="AM951" s="338"/>
      <c r="AN951" s="341"/>
      <c r="AO951" s="341"/>
      <c r="AP951" s="341"/>
      <c r="AQ951" s="341"/>
      <c r="AR951" s="341"/>
      <c r="AS951" s="341"/>
      <c r="AT951" s="341"/>
      <c r="AU951" s="343"/>
      <c r="AV951" s="341"/>
      <c r="AW951" s="269" t="s">
        <v>2134</v>
      </c>
      <c r="AX951" s="334" t="s">
        <v>2869</v>
      </c>
      <c r="AY951" s="270" t="s">
        <v>695</v>
      </c>
      <c r="AZ951" s="173" t="s">
        <v>2866</v>
      </c>
      <c r="BA951" s="265">
        <v>10.0</v>
      </c>
      <c r="BB951" s="174" t="s">
        <v>245</v>
      </c>
      <c r="BC951" s="341"/>
      <c r="BD951" s="308"/>
      <c r="BE951" s="347"/>
      <c r="BF951" s="274" t="str">
        <f>IFERROR(__xludf.DUMMYFUNCTION("LOWER(Regexreplace(to_text(E951),""[^A-Za-z0-9]"","""")&amp;""_""&amp;Regexreplace(to_text(F951),""[^A-Za-z0-9]"",""""))"),"neptronic_evcbseries")</f>
        <v>neptronic_evcbseries</v>
      </c>
      <c r="BG951" s="275" t="str">
        <f>IFERROR(__xludf.DUMMYFUNCTION("upper(Regexreplace(to_text(E951),""[^A-Za-z0-9]"","""")&amp;""-""&amp;Regexreplace(to_text(F951),""[^A-Za-z0-9]"",""""))"),"NEPTRONIC-EVCBSERIES")</f>
        <v>NEPTRONIC-EVCBSERIES</v>
      </c>
    </row>
    <row r="952" ht="30.0" customHeight="1">
      <c r="A952" s="258">
        <v>944.0</v>
      </c>
      <c r="B952" s="237" t="s">
        <v>670</v>
      </c>
      <c r="C952" s="257" t="s">
        <v>4394</v>
      </c>
      <c r="D952" s="173" t="s">
        <v>4394</v>
      </c>
      <c r="E952" s="174" t="s">
        <v>2861</v>
      </c>
      <c r="F952" s="173" t="s">
        <v>2862</v>
      </c>
      <c r="G952" s="328" t="s">
        <v>673</v>
      </c>
      <c r="H952" s="328" t="s">
        <v>2863</v>
      </c>
      <c r="I952" s="258" t="s">
        <v>2864</v>
      </c>
      <c r="J952" s="259" t="s">
        <v>965</v>
      </c>
      <c r="K952" s="260" t="s">
        <v>4395</v>
      </c>
      <c r="L952" s="328"/>
      <c r="M952" s="343"/>
      <c r="N952" s="173" t="s">
        <v>679</v>
      </c>
      <c r="O952" s="173" t="s">
        <v>225</v>
      </c>
      <c r="P952" s="262" t="str">
        <f t="shared" si="1"/>
        <v>IN-BLR-ANANTA-VAV-524_3</v>
      </c>
      <c r="Q952" s="173" t="s">
        <v>4396</v>
      </c>
      <c r="R952" s="328" t="str">
        <f>IFS(C952="","",C952="n/a","N/A",LEN(C952),Concatenate("{",char(34),"asset",char(34),":{",char(34),"guid",char(34),":",char(34),Q952,char(34),",",char(34),"site",char(34),":",char(34),LOWER('2-Building'!$B$4),char(34),",",char(34),"name",char(34),":",char(34),LOWER(C952),char(34),"}}"))</f>
        <v>{"asset":{"guid":"uuid://8b84e693-a7c7-4ecd-9fb1-369bfbf1e6a3","site":"in-blr-ananta","name":"vav-524"}}</v>
      </c>
      <c r="S952" s="237" t="s">
        <v>2866</v>
      </c>
      <c r="T952" s="330"/>
      <c r="U952" s="330"/>
      <c r="V952" s="331"/>
      <c r="W952" s="344"/>
      <c r="X952" s="341"/>
      <c r="Y952" s="33" t="s">
        <v>2867</v>
      </c>
      <c r="Z952" s="258">
        <v>120524.0</v>
      </c>
      <c r="AA952" s="334">
        <v>11551.0</v>
      </c>
      <c r="AB952" s="341"/>
      <c r="AC952" s="341"/>
      <c r="AD952" s="343"/>
      <c r="AE952" s="331"/>
      <c r="AF952" s="348"/>
      <c r="AG952" s="337"/>
      <c r="AH952" s="341"/>
      <c r="AI952" s="341"/>
      <c r="AJ952" s="341"/>
      <c r="AK952" s="341"/>
      <c r="AL952" s="341"/>
      <c r="AM952" s="338"/>
      <c r="AN952" s="341"/>
      <c r="AO952" s="341"/>
      <c r="AP952" s="341"/>
      <c r="AQ952" s="341"/>
      <c r="AR952" s="341"/>
      <c r="AS952" s="341"/>
      <c r="AT952" s="341"/>
      <c r="AU952" s="343"/>
      <c r="AV952" s="341"/>
      <c r="AW952" s="269" t="s">
        <v>2134</v>
      </c>
      <c r="AX952" s="334" t="s">
        <v>2869</v>
      </c>
      <c r="AY952" s="270" t="s">
        <v>695</v>
      </c>
      <c r="AZ952" s="173" t="s">
        <v>2866</v>
      </c>
      <c r="BA952" s="265">
        <v>10.0</v>
      </c>
      <c r="BB952" s="174" t="s">
        <v>245</v>
      </c>
      <c r="BC952" s="341"/>
      <c r="BD952" s="308"/>
      <c r="BE952" s="347"/>
      <c r="BF952" s="274" t="str">
        <f>IFERROR(__xludf.DUMMYFUNCTION("LOWER(Regexreplace(to_text(E952),""[^A-Za-z0-9]"","""")&amp;""_""&amp;Regexreplace(to_text(F952),""[^A-Za-z0-9]"",""""))"),"neptronic_evcbseries")</f>
        <v>neptronic_evcbseries</v>
      </c>
      <c r="BG952" s="275" t="str">
        <f>IFERROR(__xludf.DUMMYFUNCTION("upper(Regexreplace(to_text(E952),""[^A-Za-z0-9]"","""")&amp;""-""&amp;Regexreplace(to_text(F952),""[^A-Za-z0-9]"",""""))"),"NEPTRONIC-EVCBSERIES")</f>
        <v>NEPTRONIC-EVCBSERIES</v>
      </c>
    </row>
    <row r="953" ht="30.0" customHeight="1">
      <c r="A953" s="173">
        <v>945.0</v>
      </c>
      <c r="B953" s="237" t="s">
        <v>670</v>
      </c>
      <c r="C953" s="257" t="s">
        <v>4397</v>
      </c>
      <c r="D953" s="173" t="s">
        <v>4397</v>
      </c>
      <c r="E953" s="174" t="s">
        <v>2861</v>
      </c>
      <c r="F953" s="173" t="s">
        <v>2862</v>
      </c>
      <c r="G953" s="328" t="s">
        <v>673</v>
      </c>
      <c r="H953" s="328" t="s">
        <v>2863</v>
      </c>
      <c r="I953" s="258" t="s">
        <v>2864</v>
      </c>
      <c r="J953" s="259" t="s">
        <v>965</v>
      </c>
      <c r="K953" s="260" t="s">
        <v>4398</v>
      </c>
      <c r="L953" s="328"/>
      <c r="M953" s="343"/>
      <c r="N953" s="173" t="s">
        <v>679</v>
      </c>
      <c r="O953" s="173" t="s">
        <v>225</v>
      </c>
      <c r="P953" s="262" t="str">
        <f t="shared" si="1"/>
        <v>IN-BLR-ANANTA-VAV-525_3</v>
      </c>
      <c r="Q953" s="173" t="s">
        <v>4399</v>
      </c>
      <c r="R953" s="328" t="str">
        <f>IFS(C953="","",C953="n/a","N/A",LEN(C953),Concatenate("{",char(34),"asset",char(34),":{",char(34),"guid",char(34),":",char(34),Q953,char(34),",",char(34),"site",char(34),":",char(34),LOWER('2-Building'!$B$4),char(34),",",char(34),"name",char(34),":",char(34),LOWER(C953),char(34),"}}"))</f>
        <v>{"asset":{"guid":"uuid://c7331dca-6066-4447-a150-c91f3049e2fe","site":"in-blr-ananta","name":"vav-525"}}</v>
      </c>
      <c r="S953" s="237" t="s">
        <v>2866</v>
      </c>
      <c r="T953" s="330"/>
      <c r="U953" s="330"/>
      <c r="V953" s="331"/>
      <c r="W953" s="344"/>
      <c r="X953" s="341"/>
      <c r="Y953" s="33" t="s">
        <v>2867</v>
      </c>
      <c r="Z953" s="258">
        <v>120525.0</v>
      </c>
      <c r="AA953" s="334">
        <v>11551.0</v>
      </c>
      <c r="AB953" s="341"/>
      <c r="AC953" s="341"/>
      <c r="AD953" s="343"/>
      <c r="AE953" s="331"/>
      <c r="AF953" s="348"/>
      <c r="AG953" s="337"/>
      <c r="AH953" s="341"/>
      <c r="AI953" s="341"/>
      <c r="AJ953" s="341"/>
      <c r="AK953" s="341"/>
      <c r="AL953" s="341"/>
      <c r="AM953" s="338"/>
      <c r="AN953" s="341"/>
      <c r="AO953" s="341"/>
      <c r="AP953" s="341"/>
      <c r="AQ953" s="341"/>
      <c r="AR953" s="341"/>
      <c r="AS953" s="341"/>
      <c r="AT953" s="341"/>
      <c r="AU953" s="343"/>
      <c r="AV953" s="341"/>
      <c r="AW953" s="269" t="s">
        <v>2134</v>
      </c>
      <c r="AX953" s="334" t="s">
        <v>2869</v>
      </c>
      <c r="AY953" s="270" t="s">
        <v>695</v>
      </c>
      <c r="AZ953" s="173" t="s">
        <v>2866</v>
      </c>
      <c r="BA953" s="265">
        <v>10.0</v>
      </c>
      <c r="BB953" s="174" t="s">
        <v>245</v>
      </c>
      <c r="BC953" s="341"/>
      <c r="BD953" s="308"/>
      <c r="BE953" s="347"/>
      <c r="BF953" s="274" t="str">
        <f>IFERROR(__xludf.DUMMYFUNCTION("LOWER(Regexreplace(to_text(E953),""[^A-Za-z0-9]"","""")&amp;""_""&amp;Regexreplace(to_text(F953),""[^A-Za-z0-9]"",""""))"),"neptronic_evcbseries")</f>
        <v>neptronic_evcbseries</v>
      </c>
      <c r="BG953" s="275" t="str">
        <f>IFERROR(__xludf.DUMMYFUNCTION("upper(Regexreplace(to_text(E953),""[^A-Za-z0-9]"","""")&amp;""-""&amp;Regexreplace(to_text(F953),""[^A-Za-z0-9]"",""""))"),"NEPTRONIC-EVCBSERIES")</f>
        <v>NEPTRONIC-EVCBSERIES</v>
      </c>
    </row>
    <row r="954" ht="30.0" customHeight="1">
      <c r="A954" s="258">
        <v>946.0</v>
      </c>
      <c r="B954" s="237" t="s">
        <v>670</v>
      </c>
      <c r="C954" s="257" t="s">
        <v>4400</v>
      </c>
      <c r="D954" s="173" t="s">
        <v>4400</v>
      </c>
      <c r="E954" s="174" t="s">
        <v>2861</v>
      </c>
      <c r="F954" s="173" t="s">
        <v>2862</v>
      </c>
      <c r="G954" s="328" t="s">
        <v>673</v>
      </c>
      <c r="H954" s="328" t="s">
        <v>2863</v>
      </c>
      <c r="I954" s="258" t="s">
        <v>2864</v>
      </c>
      <c r="J954" s="259" t="s">
        <v>965</v>
      </c>
      <c r="K954" s="260" t="s">
        <v>4401</v>
      </c>
      <c r="L954" s="328"/>
      <c r="M954" s="343"/>
      <c r="N954" s="173" t="s">
        <v>679</v>
      </c>
      <c r="O954" s="173" t="s">
        <v>225</v>
      </c>
      <c r="P954" s="262" t="str">
        <f t="shared" si="1"/>
        <v>IN-BLR-ANANTA-VAV-526_3</v>
      </c>
      <c r="Q954" s="173" t="s">
        <v>4402</v>
      </c>
      <c r="R954" s="328" t="str">
        <f>IFS(C954="","",C954="n/a","N/A",LEN(C954),Concatenate("{",char(34),"asset",char(34),":{",char(34),"guid",char(34),":",char(34),Q954,char(34),",",char(34),"site",char(34),":",char(34),LOWER('2-Building'!$B$4),char(34),",",char(34),"name",char(34),":",char(34),LOWER(C954),char(34),"}}"))</f>
        <v>{"asset":{"guid":"uuid://2919a380-9b25-481c-8653-099a7fbded4a","site":"in-blr-ananta","name":"vav-526"}}</v>
      </c>
      <c r="S954" s="237" t="s">
        <v>2866</v>
      </c>
      <c r="T954" s="330"/>
      <c r="U954" s="330"/>
      <c r="V954" s="331"/>
      <c r="W954" s="344"/>
      <c r="X954" s="341"/>
      <c r="Y954" s="33" t="s">
        <v>2867</v>
      </c>
      <c r="Z954" s="258">
        <v>120526.0</v>
      </c>
      <c r="AA954" s="334">
        <v>11551.0</v>
      </c>
      <c r="AB954" s="341"/>
      <c r="AC954" s="341"/>
      <c r="AD954" s="343"/>
      <c r="AE954" s="331"/>
      <c r="AF954" s="348"/>
      <c r="AG954" s="337"/>
      <c r="AH954" s="341"/>
      <c r="AI954" s="341"/>
      <c r="AJ954" s="341"/>
      <c r="AK954" s="341"/>
      <c r="AL954" s="341"/>
      <c r="AM954" s="338"/>
      <c r="AN954" s="341"/>
      <c r="AO954" s="341"/>
      <c r="AP954" s="341"/>
      <c r="AQ954" s="341"/>
      <c r="AR954" s="341"/>
      <c r="AS954" s="341"/>
      <c r="AT954" s="341"/>
      <c r="AU954" s="343"/>
      <c r="AV954" s="341"/>
      <c r="AW954" s="269" t="s">
        <v>2134</v>
      </c>
      <c r="AX954" s="334" t="s">
        <v>2869</v>
      </c>
      <c r="AY954" s="270" t="s">
        <v>695</v>
      </c>
      <c r="AZ954" s="173" t="s">
        <v>2866</v>
      </c>
      <c r="BA954" s="265">
        <v>10.0</v>
      </c>
      <c r="BB954" s="174" t="s">
        <v>245</v>
      </c>
      <c r="BC954" s="341"/>
      <c r="BD954" s="308"/>
      <c r="BE954" s="347"/>
      <c r="BF954" s="274" t="str">
        <f>IFERROR(__xludf.DUMMYFUNCTION("LOWER(Regexreplace(to_text(E954),""[^A-Za-z0-9]"","""")&amp;""_""&amp;Regexreplace(to_text(F954),""[^A-Za-z0-9]"",""""))"),"neptronic_evcbseries")</f>
        <v>neptronic_evcbseries</v>
      </c>
      <c r="BG954" s="275" t="str">
        <f>IFERROR(__xludf.DUMMYFUNCTION("upper(Regexreplace(to_text(E954),""[^A-Za-z0-9]"","""")&amp;""-""&amp;Regexreplace(to_text(F954),""[^A-Za-z0-9]"",""""))"),"NEPTRONIC-EVCBSERIES")</f>
        <v>NEPTRONIC-EVCBSERIES</v>
      </c>
    </row>
    <row r="955" ht="30.0" customHeight="1">
      <c r="A955" s="173">
        <v>947.0</v>
      </c>
      <c r="B955" s="237" t="s">
        <v>670</v>
      </c>
      <c r="C955" s="257" t="s">
        <v>4403</v>
      </c>
      <c r="D955" s="173" t="s">
        <v>4403</v>
      </c>
      <c r="E955" s="174" t="s">
        <v>2861</v>
      </c>
      <c r="F955" s="173" t="s">
        <v>2862</v>
      </c>
      <c r="G955" s="328" t="s">
        <v>673</v>
      </c>
      <c r="H955" s="328" t="s">
        <v>2863</v>
      </c>
      <c r="I955" s="258" t="s">
        <v>2864</v>
      </c>
      <c r="J955" s="259" t="s">
        <v>965</v>
      </c>
      <c r="K955" s="260" t="s">
        <v>4404</v>
      </c>
      <c r="L955" s="328"/>
      <c r="M955" s="343"/>
      <c r="N955" s="173" t="s">
        <v>679</v>
      </c>
      <c r="O955" s="173" t="s">
        <v>225</v>
      </c>
      <c r="P955" s="262" t="str">
        <f t="shared" si="1"/>
        <v>IN-BLR-ANANTA-VAV-527_3</v>
      </c>
      <c r="Q955" s="173" t="s">
        <v>4405</v>
      </c>
      <c r="R955" s="328" t="str">
        <f>IFS(C955="","",C955="n/a","N/A",LEN(C955),Concatenate("{",char(34),"asset",char(34),":{",char(34),"guid",char(34),":",char(34),Q955,char(34),",",char(34),"site",char(34),":",char(34),LOWER('2-Building'!$B$4),char(34),",",char(34),"name",char(34),":",char(34),LOWER(C955),char(34),"}}"))</f>
        <v>{"asset":{"guid":"uuid://f09a8877-28e9-43b2-8571-6b30d8ee433a","site":"in-blr-ananta","name":"vav-527"}}</v>
      </c>
      <c r="S955" s="237" t="s">
        <v>2866</v>
      </c>
      <c r="T955" s="330"/>
      <c r="U955" s="330"/>
      <c r="V955" s="331"/>
      <c r="W955" s="344"/>
      <c r="X955" s="341"/>
      <c r="Y955" s="33" t="s">
        <v>2867</v>
      </c>
      <c r="Z955" s="258">
        <v>120527.0</v>
      </c>
      <c r="AA955" s="334">
        <v>11551.0</v>
      </c>
      <c r="AB955" s="341"/>
      <c r="AC955" s="341"/>
      <c r="AD955" s="343"/>
      <c r="AE955" s="331"/>
      <c r="AF955" s="348"/>
      <c r="AG955" s="337"/>
      <c r="AH955" s="341"/>
      <c r="AI955" s="341"/>
      <c r="AJ955" s="341"/>
      <c r="AK955" s="341"/>
      <c r="AL955" s="341"/>
      <c r="AM955" s="338"/>
      <c r="AN955" s="341"/>
      <c r="AO955" s="341"/>
      <c r="AP955" s="341"/>
      <c r="AQ955" s="341"/>
      <c r="AR955" s="341"/>
      <c r="AS955" s="341"/>
      <c r="AT955" s="341"/>
      <c r="AU955" s="343"/>
      <c r="AV955" s="341"/>
      <c r="AW955" s="269" t="s">
        <v>2134</v>
      </c>
      <c r="AX955" s="334" t="s">
        <v>2869</v>
      </c>
      <c r="AY955" s="270" t="s">
        <v>695</v>
      </c>
      <c r="AZ955" s="173" t="s">
        <v>2866</v>
      </c>
      <c r="BA955" s="265">
        <v>10.0</v>
      </c>
      <c r="BB955" s="174" t="s">
        <v>245</v>
      </c>
      <c r="BC955" s="341"/>
      <c r="BD955" s="308"/>
      <c r="BE955" s="347"/>
      <c r="BF955" s="274" t="str">
        <f>IFERROR(__xludf.DUMMYFUNCTION("LOWER(Regexreplace(to_text(E955),""[^A-Za-z0-9]"","""")&amp;""_""&amp;Regexreplace(to_text(F955),""[^A-Za-z0-9]"",""""))"),"neptronic_evcbseries")</f>
        <v>neptronic_evcbseries</v>
      </c>
      <c r="BG955" s="275" t="str">
        <f>IFERROR(__xludf.DUMMYFUNCTION("upper(Regexreplace(to_text(E955),""[^A-Za-z0-9]"","""")&amp;""-""&amp;Regexreplace(to_text(F955),""[^A-Za-z0-9]"",""""))"),"NEPTRONIC-EVCBSERIES")</f>
        <v>NEPTRONIC-EVCBSERIES</v>
      </c>
    </row>
    <row r="956" ht="30.0" customHeight="1">
      <c r="A956" s="258">
        <v>948.0</v>
      </c>
      <c r="B956" s="237" t="s">
        <v>670</v>
      </c>
      <c r="C956" s="257" t="s">
        <v>4406</v>
      </c>
      <c r="D956" s="173" t="s">
        <v>4406</v>
      </c>
      <c r="E956" s="174" t="s">
        <v>2861</v>
      </c>
      <c r="F956" s="173" t="s">
        <v>2862</v>
      </c>
      <c r="G956" s="328" t="s">
        <v>673</v>
      </c>
      <c r="H956" s="328" t="s">
        <v>2863</v>
      </c>
      <c r="I956" s="258" t="s">
        <v>2864</v>
      </c>
      <c r="J956" s="259" t="s">
        <v>965</v>
      </c>
      <c r="K956" s="260" t="s">
        <v>4407</v>
      </c>
      <c r="L956" s="328"/>
      <c r="M956" s="343"/>
      <c r="N956" s="173" t="s">
        <v>679</v>
      </c>
      <c r="O956" s="173" t="s">
        <v>225</v>
      </c>
      <c r="P956" s="262" t="str">
        <f t="shared" si="1"/>
        <v>IN-BLR-ANANTA-VAV-528_3</v>
      </c>
      <c r="Q956" s="173" t="s">
        <v>4408</v>
      </c>
      <c r="R956" s="328" t="str">
        <f>IFS(C956="","",C956="n/a","N/A",LEN(C956),Concatenate("{",char(34),"asset",char(34),":{",char(34),"guid",char(34),":",char(34),Q956,char(34),",",char(34),"site",char(34),":",char(34),LOWER('2-Building'!$B$4),char(34),",",char(34),"name",char(34),":",char(34),LOWER(C956),char(34),"}}"))</f>
        <v>{"asset":{"guid":"uuid://e47b500a-a571-4c63-82e3-085ab3d7ad05","site":"in-blr-ananta","name":"vav-528"}}</v>
      </c>
      <c r="S956" s="237" t="s">
        <v>2866</v>
      </c>
      <c r="T956" s="330"/>
      <c r="U956" s="330"/>
      <c r="V956" s="331"/>
      <c r="W956" s="344"/>
      <c r="X956" s="341"/>
      <c r="Y956" s="33" t="s">
        <v>2867</v>
      </c>
      <c r="Z956" s="258">
        <v>120528.0</v>
      </c>
      <c r="AA956" s="334">
        <v>11551.0</v>
      </c>
      <c r="AB956" s="341"/>
      <c r="AC956" s="341"/>
      <c r="AD956" s="343"/>
      <c r="AE956" s="331"/>
      <c r="AF956" s="348"/>
      <c r="AG956" s="337"/>
      <c r="AH956" s="341"/>
      <c r="AI956" s="341"/>
      <c r="AJ956" s="341"/>
      <c r="AK956" s="341"/>
      <c r="AL956" s="341"/>
      <c r="AM956" s="338"/>
      <c r="AN956" s="341"/>
      <c r="AO956" s="341"/>
      <c r="AP956" s="341"/>
      <c r="AQ956" s="341"/>
      <c r="AR956" s="341"/>
      <c r="AS956" s="341"/>
      <c r="AT956" s="341"/>
      <c r="AU956" s="343"/>
      <c r="AV956" s="341"/>
      <c r="AW956" s="269" t="s">
        <v>2134</v>
      </c>
      <c r="AX956" s="334" t="s">
        <v>2869</v>
      </c>
      <c r="AY956" s="270" t="s">
        <v>695</v>
      </c>
      <c r="AZ956" s="173" t="s">
        <v>2866</v>
      </c>
      <c r="BA956" s="265">
        <v>10.0</v>
      </c>
      <c r="BB956" s="174" t="s">
        <v>245</v>
      </c>
      <c r="BC956" s="341"/>
      <c r="BD956" s="308"/>
      <c r="BE956" s="347"/>
      <c r="BF956" s="274" t="str">
        <f>IFERROR(__xludf.DUMMYFUNCTION("LOWER(Regexreplace(to_text(E956),""[^A-Za-z0-9]"","""")&amp;""_""&amp;Regexreplace(to_text(F956),""[^A-Za-z0-9]"",""""))"),"neptronic_evcbseries")</f>
        <v>neptronic_evcbseries</v>
      </c>
      <c r="BG956" s="275" t="str">
        <f>IFERROR(__xludf.DUMMYFUNCTION("upper(Regexreplace(to_text(E956),""[^A-Za-z0-9]"","""")&amp;""-""&amp;Regexreplace(to_text(F956),""[^A-Za-z0-9]"",""""))"),"NEPTRONIC-EVCBSERIES")</f>
        <v>NEPTRONIC-EVCBSERIES</v>
      </c>
    </row>
    <row r="957" ht="30.0" customHeight="1">
      <c r="A957" s="173">
        <v>949.0</v>
      </c>
      <c r="B957" s="237" t="s">
        <v>670</v>
      </c>
      <c r="C957" s="257" t="s">
        <v>4409</v>
      </c>
      <c r="D957" s="173" t="s">
        <v>4409</v>
      </c>
      <c r="E957" s="174" t="s">
        <v>2861</v>
      </c>
      <c r="F957" s="173" t="s">
        <v>2862</v>
      </c>
      <c r="G957" s="328" t="s">
        <v>673</v>
      </c>
      <c r="H957" s="328" t="s">
        <v>2863</v>
      </c>
      <c r="I957" s="258" t="s">
        <v>2864</v>
      </c>
      <c r="J957" s="259" t="s">
        <v>965</v>
      </c>
      <c r="K957" s="260" t="s">
        <v>4410</v>
      </c>
      <c r="L957" s="328"/>
      <c r="M957" s="343"/>
      <c r="N957" s="173" t="s">
        <v>679</v>
      </c>
      <c r="O957" s="173" t="s">
        <v>225</v>
      </c>
      <c r="P957" s="262" t="str">
        <f t="shared" si="1"/>
        <v>IN-BLR-ANANTA-VAV-529_3</v>
      </c>
      <c r="Q957" s="173" t="s">
        <v>4411</v>
      </c>
      <c r="R957" s="328" t="str">
        <f>IFS(C957="","",C957="n/a","N/A",LEN(C957),Concatenate("{",char(34),"asset",char(34),":{",char(34),"guid",char(34),":",char(34),Q957,char(34),",",char(34),"site",char(34),":",char(34),LOWER('2-Building'!$B$4),char(34),",",char(34),"name",char(34),":",char(34),LOWER(C957),char(34),"}}"))</f>
        <v>{"asset":{"guid":"uuid://caa92be7-f614-4fe2-8508-187ba9664c3d","site":"in-blr-ananta","name":"vav-529"}}</v>
      </c>
      <c r="S957" s="237" t="s">
        <v>2866</v>
      </c>
      <c r="T957" s="330"/>
      <c r="U957" s="330"/>
      <c r="V957" s="331"/>
      <c r="W957" s="344"/>
      <c r="X957" s="341"/>
      <c r="Y957" s="33" t="s">
        <v>2867</v>
      </c>
      <c r="Z957" s="258">
        <v>120529.0</v>
      </c>
      <c r="AA957" s="334">
        <v>11551.0</v>
      </c>
      <c r="AB957" s="341"/>
      <c r="AC957" s="341"/>
      <c r="AD957" s="343"/>
      <c r="AE957" s="331"/>
      <c r="AF957" s="348"/>
      <c r="AG957" s="337"/>
      <c r="AH957" s="341"/>
      <c r="AI957" s="341"/>
      <c r="AJ957" s="341"/>
      <c r="AK957" s="341"/>
      <c r="AL957" s="341"/>
      <c r="AM957" s="338"/>
      <c r="AN957" s="341"/>
      <c r="AO957" s="341"/>
      <c r="AP957" s="341"/>
      <c r="AQ957" s="341"/>
      <c r="AR957" s="341"/>
      <c r="AS957" s="341"/>
      <c r="AT957" s="341"/>
      <c r="AU957" s="343"/>
      <c r="AV957" s="341"/>
      <c r="AW957" s="269" t="s">
        <v>2134</v>
      </c>
      <c r="AX957" s="334" t="s">
        <v>2869</v>
      </c>
      <c r="AY957" s="270" t="s">
        <v>695</v>
      </c>
      <c r="AZ957" s="173" t="s">
        <v>2866</v>
      </c>
      <c r="BA957" s="265">
        <v>10.0</v>
      </c>
      <c r="BB957" s="174" t="s">
        <v>245</v>
      </c>
      <c r="BC957" s="341"/>
      <c r="BD957" s="308"/>
      <c r="BE957" s="347"/>
      <c r="BF957" s="274" t="str">
        <f>IFERROR(__xludf.DUMMYFUNCTION("LOWER(Regexreplace(to_text(E957),""[^A-Za-z0-9]"","""")&amp;""_""&amp;Regexreplace(to_text(F957),""[^A-Za-z0-9]"",""""))"),"neptronic_evcbseries")</f>
        <v>neptronic_evcbseries</v>
      </c>
      <c r="BG957" s="275" t="str">
        <f>IFERROR(__xludf.DUMMYFUNCTION("upper(Regexreplace(to_text(E957),""[^A-Za-z0-9]"","""")&amp;""-""&amp;Regexreplace(to_text(F957),""[^A-Za-z0-9]"",""""))"),"NEPTRONIC-EVCBSERIES")</f>
        <v>NEPTRONIC-EVCBSERIES</v>
      </c>
    </row>
    <row r="958" ht="30.0" customHeight="1">
      <c r="A958" s="258">
        <v>950.0</v>
      </c>
      <c r="B958" s="237" t="s">
        <v>670</v>
      </c>
      <c r="C958" s="257" t="s">
        <v>4412</v>
      </c>
      <c r="D958" s="173" t="s">
        <v>4412</v>
      </c>
      <c r="E958" s="174" t="s">
        <v>2861</v>
      </c>
      <c r="F958" s="173" t="s">
        <v>2862</v>
      </c>
      <c r="G958" s="328" t="s">
        <v>673</v>
      </c>
      <c r="H958" s="328" t="s">
        <v>2863</v>
      </c>
      <c r="I958" s="258" t="s">
        <v>2864</v>
      </c>
      <c r="J958" s="259" t="s">
        <v>965</v>
      </c>
      <c r="K958" s="260" t="s">
        <v>4413</v>
      </c>
      <c r="L958" s="328"/>
      <c r="M958" s="343"/>
      <c r="N958" s="173" t="s">
        <v>679</v>
      </c>
      <c r="O958" s="173" t="s">
        <v>225</v>
      </c>
      <c r="P958" s="262" t="str">
        <f t="shared" si="1"/>
        <v>IN-BLR-ANANTA-VAV-530_3</v>
      </c>
      <c r="Q958" s="173" t="s">
        <v>4414</v>
      </c>
      <c r="R958" s="328" t="str">
        <f>IFS(C958="","",C958="n/a","N/A",LEN(C958),Concatenate("{",char(34),"asset",char(34),":{",char(34),"guid",char(34),":",char(34),Q958,char(34),",",char(34),"site",char(34),":",char(34),LOWER('2-Building'!$B$4),char(34),",",char(34),"name",char(34),":",char(34),LOWER(C958),char(34),"}}"))</f>
        <v>{"asset":{"guid":"uuid://4ba03169-a526-4b0b-a8c8-cdcbea523f59","site":"in-blr-ananta","name":"vav-530"}}</v>
      </c>
      <c r="S958" s="237" t="s">
        <v>2866</v>
      </c>
      <c r="T958" s="330"/>
      <c r="U958" s="330"/>
      <c r="V958" s="331"/>
      <c r="W958" s="344"/>
      <c r="X958" s="341"/>
      <c r="Y958" s="33" t="s">
        <v>2867</v>
      </c>
      <c r="Z958" s="258">
        <v>120530.0</v>
      </c>
      <c r="AA958" s="334">
        <v>11551.0</v>
      </c>
      <c r="AB958" s="341"/>
      <c r="AC958" s="341"/>
      <c r="AD958" s="343"/>
      <c r="AE958" s="331"/>
      <c r="AF958" s="348"/>
      <c r="AG958" s="337"/>
      <c r="AH958" s="341"/>
      <c r="AI958" s="341"/>
      <c r="AJ958" s="341"/>
      <c r="AK958" s="341"/>
      <c r="AL958" s="341"/>
      <c r="AM958" s="338"/>
      <c r="AN958" s="341"/>
      <c r="AO958" s="341"/>
      <c r="AP958" s="341"/>
      <c r="AQ958" s="341"/>
      <c r="AR958" s="341"/>
      <c r="AS958" s="341"/>
      <c r="AT958" s="341"/>
      <c r="AU958" s="343"/>
      <c r="AV958" s="341"/>
      <c r="AW958" s="269" t="s">
        <v>2134</v>
      </c>
      <c r="AX958" s="334" t="s">
        <v>2869</v>
      </c>
      <c r="AY958" s="270" t="s">
        <v>695</v>
      </c>
      <c r="AZ958" s="173" t="s">
        <v>2866</v>
      </c>
      <c r="BA958" s="265">
        <v>10.0</v>
      </c>
      <c r="BB958" s="174" t="s">
        <v>245</v>
      </c>
      <c r="BC958" s="341"/>
      <c r="BD958" s="308"/>
      <c r="BE958" s="347"/>
      <c r="BF958" s="274" t="str">
        <f>IFERROR(__xludf.DUMMYFUNCTION("LOWER(Regexreplace(to_text(E958),""[^A-Za-z0-9]"","""")&amp;""_""&amp;Regexreplace(to_text(F958),""[^A-Za-z0-9]"",""""))"),"neptronic_evcbseries")</f>
        <v>neptronic_evcbseries</v>
      </c>
      <c r="BG958" s="275" t="str">
        <f>IFERROR(__xludf.DUMMYFUNCTION("upper(Regexreplace(to_text(E958),""[^A-Za-z0-9]"","""")&amp;""-""&amp;Regexreplace(to_text(F958),""[^A-Za-z0-9]"",""""))"),"NEPTRONIC-EVCBSERIES")</f>
        <v>NEPTRONIC-EVCBSERIES</v>
      </c>
    </row>
    <row r="959" ht="30.0" customHeight="1">
      <c r="A959" s="173">
        <v>951.0</v>
      </c>
      <c r="B959" s="237" t="s">
        <v>670</v>
      </c>
      <c r="C959" s="257" t="s">
        <v>4415</v>
      </c>
      <c r="D959" s="173" t="s">
        <v>4415</v>
      </c>
      <c r="E959" s="174" t="s">
        <v>2861</v>
      </c>
      <c r="F959" s="173" t="s">
        <v>2862</v>
      </c>
      <c r="G959" s="328" t="s">
        <v>673</v>
      </c>
      <c r="H959" s="328" t="s">
        <v>2863</v>
      </c>
      <c r="I959" s="258" t="s">
        <v>2864</v>
      </c>
      <c r="J959" s="259" t="s">
        <v>965</v>
      </c>
      <c r="K959" s="260" t="s">
        <v>4416</v>
      </c>
      <c r="L959" s="328"/>
      <c r="M959" s="343"/>
      <c r="N959" s="173" t="s">
        <v>679</v>
      </c>
      <c r="O959" s="173" t="s">
        <v>225</v>
      </c>
      <c r="P959" s="262" t="str">
        <f t="shared" si="1"/>
        <v>IN-BLR-ANANTA-VAV-531_3</v>
      </c>
      <c r="Q959" s="173" t="s">
        <v>4417</v>
      </c>
      <c r="R959" s="328" t="str">
        <f>IFS(C959="","",C959="n/a","N/A",LEN(C959),Concatenate("{",char(34),"asset",char(34),":{",char(34),"guid",char(34),":",char(34),Q959,char(34),",",char(34),"site",char(34),":",char(34),LOWER('2-Building'!$B$4),char(34),",",char(34),"name",char(34),":",char(34),LOWER(C959),char(34),"}}"))</f>
        <v>{"asset":{"guid":"uuid://2a3cde6f-ddd8-4e24-9637-fde4e9331d80","site":"in-blr-ananta","name":"vav-531"}}</v>
      </c>
      <c r="S959" s="237" t="s">
        <v>2866</v>
      </c>
      <c r="T959" s="330"/>
      <c r="U959" s="330"/>
      <c r="V959" s="331"/>
      <c r="W959" s="344"/>
      <c r="X959" s="341"/>
      <c r="Y959" s="33" t="s">
        <v>2867</v>
      </c>
      <c r="Z959" s="258">
        <v>120531.0</v>
      </c>
      <c r="AA959" s="334">
        <v>11551.0</v>
      </c>
      <c r="AB959" s="341"/>
      <c r="AC959" s="341"/>
      <c r="AD959" s="343"/>
      <c r="AE959" s="331"/>
      <c r="AF959" s="348"/>
      <c r="AG959" s="337"/>
      <c r="AH959" s="341"/>
      <c r="AI959" s="341"/>
      <c r="AJ959" s="341"/>
      <c r="AK959" s="341"/>
      <c r="AL959" s="341"/>
      <c r="AM959" s="338"/>
      <c r="AN959" s="341"/>
      <c r="AO959" s="341"/>
      <c r="AP959" s="341"/>
      <c r="AQ959" s="341"/>
      <c r="AR959" s="341"/>
      <c r="AS959" s="341"/>
      <c r="AT959" s="341"/>
      <c r="AU959" s="343"/>
      <c r="AV959" s="341"/>
      <c r="AW959" s="269" t="s">
        <v>2134</v>
      </c>
      <c r="AX959" s="334" t="s">
        <v>2869</v>
      </c>
      <c r="AY959" s="270" t="s">
        <v>695</v>
      </c>
      <c r="AZ959" s="173" t="s">
        <v>2866</v>
      </c>
      <c r="BA959" s="265">
        <v>10.0</v>
      </c>
      <c r="BB959" s="174" t="s">
        <v>245</v>
      </c>
      <c r="BC959" s="341"/>
      <c r="BD959" s="308"/>
      <c r="BE959" s="347"/>
      <c r="BF959" s="274" t="str">
        <f>IFERROR(__xludf.DUMMYFUNCTION("LOWER(Regexreplace(to_text(E959),""[^A-Za-z0-9]"","""")&amp;""_""&amp;Regexreplace(to_text(F959),""[^A-Za-z0-9]"",""""))"),"neptronic_evcbseries")</f>
        <v>neptronic_evcbseries</v>
      </c>
      <c r="BG959" s="275" t="str">
        <f>IFERROR(__xludf.DUMMYFUNCTION("upper(Regexreplace(to_text(E959),""[^A-Za-z0-9]"","""")&amp;""-""&amp;Regexreplace(to_text(F959),""[^A-Za-z0-9]"",""""))"),"NEPTRONIC-EVCBSERIES")</f>
        <v>NEPTRONIC-EVCBSERIES</v>
      </c>
    </row>
    <row r="960" ht="30.0" customHeight="1">
      <c r="A960" s="258">
        <v>952.0</v>
      </c>
      <c r="B960" s="237" t="s">
        <v>670</v>
      </c>
      <c r="C960" s="257" t="s">
        <v>4418</v>
      </c>
      <c r="D960" s="173" t="s">
        <v>4418</v>
      </c>
      <c r="E960" s="174" t="s">
        <v>2861</v>
      </c>
      <c r="F960" s="173" t="s">
        <v>2862</v>
      </c>
      <c r="G960" s="328" t="s">
        <v>673</v>
      </c>
      <c r="H960" s="328" t="s">
        <v>2863</v>
      </c>
      <c r="I960" s="258" t="s">
        <v>2864</v>
      </c>
      <c r="J960" s="259" t="s">
        <v>965</v>
      </c>
      <c r="K960" s="260" t="s">
        <v>4419</v>
      </c>
      <c r="L960" s="328"/>
      <c r="M960" s="343"/>
      <c r="N960" s="173" t="s">
        <v>679</v>
      </c>
      <c r="O960" s="173" t="s">
        <v>225</v>
      </c>
      <c r="P960" s="262" t="str">
        <f t="shared" si="1"/>
        <v>IN-BLR-ANANTA-VAV-532_3</v>
      </c>
      <c r="Q960" s="173" t="s">
        <v>4420</v>
      </c>
      <c r="R960" s="328" t="str">
        <f>IFS(C960="","",C960="n/a","N/A",LEN(C960),Concatenate("{",char(34),"asset",char(34),":{",char(34),"guid",char(34),":",char(34),Q960,char(34),",",char(34),"site",char(34),":",char(34),LOWER('2-Building'!$B$4),char(34),",",char(34),"name",char(34),":",char(34),LOWER(C960),char(34),"}}"))</f>
        <v>{"asset":{"guid":"uuid://7fdd3ab0-bb7a-4ec9-8d72-9d9bc2e45997","site":"in-blr-ananta","name":"vav-532"}}</v>
      </c>
      <c r="S960" s="237" t="s">
        <v>2866</v>
      </c>
      <c r="T960" s="330"/>
      <c r="U960" s="330"/>
      <c r="V960" s="331"/>
      <c r="W960" s="344"/>
      <c r="X960" s="341"/>
      <c r="Y960" s="33" t="s">
        <v>2867</v>
      </c>
      <c r="Z960" s="258">
        <v>120532.0</v>
      </c>
      <c r="AA960" s="334">
        <v>11551.0</v>
      </c>
      <c r="AB960" s="341"/>
      <c r="AC960" s="341"/>
      <c r="AD960" s="343"/>
      <c r="AE960" s="331"/>
      <c r="AF960" s="348"/>
      <c r="AG960" s="337"/>
      <c r="AH960" s="341"/>
      <c r="AI960" s="341"/>
      <c r="AJ960" s="341"/>
      <c r="AK960" s="341"/>
      <c r="AL960" s="341"/>
      <c r="AM960" s="338"/>
      <c r="AN960" s="341"/>
      <c r="AO960" s="341"/>
      <c r="AP960" s="341"/>
      <c r="AQ960" s="341"/>
      <c r="AR960" s="341"/>
      <c r="AS960" s="341"/>
      <c r="AT960" s="341"/>
      <c r="AU960" s="343"/>
      <c r="AV960" s="341"/>
      <c r="AW960" s="269" t="s">
        <v>2134</v>
      </c>
      <c r="AX960" s="334" t="s">
        <v>2869</v>
      </c>
      <c r="AY960" s="270" t="s">
        <v>695</v>
      </c>
      <c r="AZ960" s="173" t="s">
        <v>2866</v>
      </c>
      <c r="BA960" s="265">
        <v>10.0</v>
      </c>
      <c r="BB960" s="174" t="s">
        <v>245</v>
      </c>
      <c r="BC960" s="341"/>
      <c r="BD960" s="308"/>
      <c r="BE960" s="347"/>
      <c r="BF960" s="274" t="str">
        <f>IFERROR(__xludf.DUMMYFUNCTION("LOWER(Regexreplace(to_text(E960),""[^A-Za-z0-9]"","""")&amp;""_""&amp;Regexreplace(to_text(F960),""[^A-Za-z0-9]"",""""))"),"neptronic_evcbseries")</f>
        <v>neptronic_evcbseries</v>
      </c>
      <c r="BG960" s="275" t="str">
        <f>IFERROR(__xludf.DUMMYFUNCTION("upper(Regexreplace(to_text(E960),""[^A-Za-z0-9]"","""")&amp;""-""&amp;Regexreplace(to_text(F960),""[^A-Za-z0-9]"",""""))"),"NEPTRONIC-EVCBSERIES")</f>
        <v>NEPTRONIC-EVCBSERIES</v>
      </c>
    </row>
    <row r="961" ht="30.0" customHeight="1">
      <c r="A961" s="173">
        <v>953.0</v>
      </c>
      <c r="B961" s="237" t="s">
        <v>670</v>
      </c>
      <c r="C961" s="257" t="s">
        <v>4421</v>
      </c>
      <c r="D961" s="173" t="s">
        <v>4421</v>
      </c>
      <c r="E961" s="174" t="s">
        <v>2861</v>
      </c>
      <c r="F961" s="173" t="s">
        <v>2862</v>
      </c>
      <c r="G961" s="328" t="s">
        <v>673</v>
      </c>
      <c r="H961" s="328" t="s">
        <v>2863</v>
      </c>
      <c r="I961" s="258" t="s">
        <v>2864</v>
      </c>
      <c r="J961" s="259" t="s">
        <v>965</v>
      </c>
      <c r="K961" s="260" t="s">
        <v>4422</v>
      </c>
      <c r="L961" s="328"/>
      <c r="M961" s="343"/>
      <c r="N961" s="173" t="s">
        <v>679</v>
      </c>
      <c r="O961" s="173" t="s">
        <v>225</v>
      </c>
      <c r="P961" s="262" t="str">
        <f t="shared" si="1"/>
        <v>IN-BLR-ANANTA-VAV-533_3</v>
      </c>
      <c r="Q961" s="173" t="s">
        <v>4423</v>
      </c>
      <c r="R961" s="328" t="str">
        <f>IFS(C961="","",C961="n/a","N/A",LEN(C961),Concatenate("{",char(34),"asset",char(34),":{",char(34),"guid",char(34),":",char(34),Q961,char(34),",",char(34),"site",char(34),":",char(34),LOWER('2-Building'!$B$4),char(34),",",char(34),"name",char(34),":",char(34),LOWER(C961),char(34),"}}"))</f>
        <v>{"asset":{"guid":"uuid://2e7b8cf4-e932-4f7c-9116-df908431495f","site":"in-blr-ananta","name":"vav-533"}}</v>
      </c>
      <c r="S961" s="237" t="s">
        <v>2866</v>
      </c>
      <c r="T961" s="330"/>
      <c r="U961" s="330"/>
      <c r="V961" s="331"/>
      <c r="W961" s="344"/>
      <c r="X961" s="341"/>
      <c r="Y961" s="33" t="s">
        <v>2867</v>
      </c>
      <c r="Z961" s="258">
        <v>120533.0</v>
      </c>
      <c r="AA961" s="334">
        <v>11551.0</v>
      </c>
      <c r="AB961" s="341"/>
      <c r="AC961" s="341"/>
      <c r="AD961" s="343"/>
      <c r="AE961" s="331"/>
      <c r="AF961" s="348"/>
      <c r="AG961" s="337"/>
      <c r="AH961" s="341"/>
      <c r="AI961" s="341"/>
      <c r="AJ961" s="341"/>
      <c r="AK961" s="341"/>
      <c r="AL961" s="341"/>
      <c r="AM961" s="338"/>
      <c r="AN961" s="341"/>
      <c r="AO961" s="341"/>
      <c r="AP961" s="341"/>
      <c r="AQ961" s="341"/>
      <c r="AR961" s="341"/>
      <c r="AS961" s="341"/>
      <c r="AT961" s="341"/>
      <c r="AU961" s="343"/>
      <c r="AV961" s="341"/>
      <c r="AW961" s="269" t="s">
        <v>2134</v>
      </c>
      <c r="AX961" s="334" t="s">
        <v>2869</v>
      </c>
      <c r="AY961" s="270" t="s">
        <v>695</v>
      </c>
      <c r="AZ961" s="173" t="s">
        <v>2866</v>
      </c>
      <c r="BA961" s="265">
        <v>10.0</v>
      </c>
      <c r="BB961" s="174" t="s">
        <v>245</v>
      </c>
      <c r="BC961" s="341"/>
      <c r="BD961" s="308"/>
      <c r="BE961" s="347"/>
      <c r="BF961" s="274" t="str">
        <f>IFERROR(__xludf.DUMMYFUNCTION("LOWER(Regexreplace(to_text(E961),""[^A-Za-z0-9]"","""")&amp;""_""&amp;Regexreplace(to_text(F961),""[^A-Za-z0-9]"",""""))"),"neptronic_evcbseries")</f>
        <v>neptronic_evcbseries</v>
      </c>
      <c r="BG961" s="275" t="str">
        <f>IFERROR(__xludf.DUMMYFUNCTION("upper(Regexreplace(to_text(E961),""[^A-Za-z0-9]"","""")&amp;""-""&amp;Regexreplace(to_text(F961),""[^A-Za-z0-9]"",""""))"),"NEPTRONIC-EVCBSERIES")</f>
        <v>NEPTRONIC-EVCBSERIES</v>
      </c>
    </row>
    <row r="962" ht="30.0" customHeight="1">
      <c r="A962" s="258">
        <v>954.0</v>
      </c>
      <c r="B962" s="237" t="s">
        <v>670</v>
      </c>
      <c r="C962" s="257" t="s">
        <v>4424</v>
      </c>
      <c r="D962" s="173" t="s">
        <v>4424</v>
      </c>
      <c r="E962" s="174" t="s">
        <v>2861</v>
      </c>
      <c r="F962" s="173" t="s">
        <v>2862</v>
      </c>
      <c r="G962" s="328" t="s">
        <v>673</v>
      </c>
      <c r="H962" s="328" t="s">
        <v>2863</v>
      </c>
      <c r="I962" s="258" t="s">
        <v>2864</v>
      </c>
      <c r="J962" s="259" t="s">
        <v>965</v>
      </c>
      <c r="K962" s="260" t="s">
        <v>4425</v>
      </c>
      <c r="L962" s="328"/>
      <c r="M962" s="343"/>
      <c r="N962" s="173" t="s">
        <v>679</v>
      </c>
      <c r="O962" s="173" t="s">
        <v>225</v>
      </c>
      <c r="P962" s="262" t="str">
        <f t="shared" si="1"/>
        <v>IN-BLR-ANANTA-VAV-534_3</v>
      </c>
      <c r="Q962" s="173" t="s">
        <v>4426</v>
      </c>
      <c r="R962" s="328" t="str">
        <f>IFS(C962="","",C962="n/a","N/A",LEN(C962),Concatenate("{",char(34),"asset",char(34),":{",char(34),"guid",char(34),":",char(34),Q962,char(34),",",char(34),"site",char(34),":",char(34),LOWER('2-Building'!$B$4),char(34),",",char(34),"name",char(34),":",char(34),LOWER(C962),char(34),"}}"))</f>
        <v>{"asset":{"guid":"uuid://d9209efb-3dfb-443d-8b84-f14d9e274571","site":"in-blr-ananta","name":"vav-534"}}</v>
      </c>
      <c r="S962" s="237" t="s">
        <v>2866</v>
      </c>
      <c r="T962" s="330"/>
      <c r="U962" s="330"/>
      <c r="V962" s="331"/>
      <c r="W962" s="344"/>
      <c r="X962" s="341"/>
      <c r="Y962" s="33" t="s">
        <v>2867</v>
      </c>
      <c r="Z962" s="258">
        <v>120534.0</v>
      </c>
      <c r="AA962" s="334">
        <v>11551.0</v>
      </c>
      <c r="AB962" s="341"/>
      <c r="AC962" s="341"/>
      <c r="AD962" s="343"/>
      <c r="AE962" s="331"/>
      <c r="AF962" s="348"/>
      <c r="AG962" s="337"/>
      <c r="AH962" s="341"/>
      <c r="AI962" s="341"/>
      <c r="AJ962" s="341"/>
      <c r="AK962" s="341"/>
      <c r="AL962" s="341"/>
      <c r="AM962" s="338"/>
      <c r="AN962" s="341"/>
      <c r="AO962" s="341"/>
      <c r="AP962" s="341"/>
      <c r="AQ962" s="341"/>
      <c r="AR962" s="341"/>
      <c r="AS962" s="341"/>
      <c r="AT962" s="341"/>
      <c r="AU962" s="343"/>
      <c r="AV962" s="341"/>
      <c r="AW962" s="269" t="s">
        <v>2134</v>
      </c>
      <c r="AX962" s="334" t="s">
        <v>2869</v>
      </c>
      <c r="AY962" s="270" t="s">
        <v>695</v>
      </c>
      <c r="AZ962" s="173" t="s">
        <v>2866</v>
      </c>
      <c r="BA962" s="265">
        <v>10.0</v>
      </c>
      <c r="BB962" s="174" t="s">
        <v>245</v>
      </c>
      <c r="BC962" s="341"/>
      <c r="BD962" s="308"/>
      <c r="BE962" s="347"/>
      <c r="BF962" s="274" t="str">
        <f>IFERROR(__xludf.DUMMYFUNCTION("LOWER(Regexreplace(to_text(E962),""[^A-Za-z0-9]"","""")&amp;""_""&amp;Regexreplace(to_text(F962),""[^A-Za-z0-9]"",""""))"),"neptronic_evcbseries")</f>
        <v>neptronic_evcbseries</v>
      </c>
      <c r="BG962" s="275" t="str">
        <f>IFERROR(__xludf.DUMMYFUNCTION("upper(Regexreplace(to_text(E962),""[^A-Za-z0-9]"","""")&amp;""-""&amp;Regexreplace(to_text(F962),""[^A-Za-z0-9]"",""""))"),"NEPTRONIC-EVCBSERIES")</f>
        <v>NEPTRONIC-EVCBSERIES</v>
      </c>
    </row>
    <row r="963" ht="30.0" customHeight="1">
      <c r="A963" s="173">
        <v>955.0</v>
      </c>
      <c r="B963" s="237" t="s">
        <v>670</v>
      </c>
      <c r="C963" s="257" t="s">
        <v>4427</v>
      </c>
      <c r="D963" s="173" t="s">
        <v>4427</v>
      </c>
      <c r="E963" s="174" t="s">
        <v>2861</v>
      </c>
      <c r="F963" s="173" t="s">
        <v>2862</v>
      </c>
      <c r="G963" s="328" t="s">
        <v>673</v>
      </c>
      <c r="H963" s="328" t="s">
        <v>2863</v>
      </c>
      <c r="I963" s="258" t="s">
        <v>2864</v>
      </c>
      <c r="J963" s="259" t="s">
        <v>965</v>
      </c>
      <c r="K963" s="260" t="s">
        <v>4422</v>
      </c>
      <c r="L963" s="328"/>
      <c r="M963" s="343"/>
      <c r="N963" s="173" t="s">
        <v>679</v>
      </c>
      <c r="O963" s="173" t="s">
        <v>225</v>
      </c>
      <c r="P963" s="262" t="str">
        <f t="shared" si="1"/>
        <v>IN-BLR-ANANTA-VAV-535_3</v>
      </c>
      <c r="Q963" s="173" t="s">
        <v>4428</v>
      </c>
      <c r="R963" s="328" t="str">
        <f>IFS(C963="","",C963="n/a","N/A",LEN(C963),Concatenate("{",char(34),"asset",char(34),":{",char(34),"guid",char(34),":",char(34),Q963,char(34),",",char(34),"site",char(34),":",char(34),LOWER('2-Building'!$B$4),char(34),",",char(34),"name",char(34),":",char(34),LOWER(C963),char(34),"}}"))</f>
        <v>{"asset":{"guid":"uuid://3179cfba-0e8f-49b1-a177-237c75f6811a","site":"in-blr-ananta","name":"vav-535"}}</v>
      </c>
      <c r="S963" s="237" t="s">
        <v>2866</v>
      </c>
      <c r="T963" s="330"/>
      <c r="U963" s="330"/>
      <c r="V963" s="331"/>
      <c r="W963" s="344"/>
      <c r="X963" s="341"/>
      <c r="Y963" s="33" t="s">
        <v>2867</v>
      </c>
      <c r="Z963" s="258">
        <v>120535.0</v>
      </c>
      <c r="AA963" s="334">
        <v>11551.0</v>
      </c>
      <c r="AB963" s="341"/>
      <c r="AC963" s="341"/>
      <c r="AD963" s="343"/>
      <c r="AE963" s="331"/>
      <c r="AF963" s="348"/>
      <c r="AG963" s="337"/>
      <c r="AH963" s="341"/>
      <c r="AI963" s="341"/>
      <c r="AJ963" s="341"/>
      <c r="AK963" s="341"/>
      <c r="AL963" s="341"/>
      <c r="AM963" s="338"/>
      <c r="AN963" s="341"/>
      <c r="AO963" s="341"/>
      <c r="AP963" s="341"/>
      <c r="AQ963" s="341"/>
      <c r="AR963" s="341"/>
      <c r="AS963" s="341"/>
      <c r="AT963" s="341"/>
      <c r="AU963" s="343"/>
      <c r="AV963" s="341"/>
      <c r="AW963" s="269" t="s">
        <v>2134</v>
      </c>
      <c r="AX963" s="334" t="s">
        <v>2869</v>
      </c>
      <c r="AY963" s="270" t="s">
        <v>695</v>
      </c>
      <c r="AZ963" s="173" t="s">
        <v>2866</v>
      </c>
      <c r="BA963" s="265">
        <v>10.0</v>
      </c>
      <c r="BB963" s="174" t="s">
        <v>245</v>
      </c>
      <c r="BC963" s="341"/>
      <c r="BD963" s="308"/>
      <c r="BE963" s="347"/>
      <c r="BF963" s="274" t="str">
        <f>IFERROR(__xludf.DUMMYFUNCTION("LOWER(Regexreplace(to_text(E963),""[^A-Za-z0-9]"","""")&amp;""_""&amp;Regexreplace(to_text(F963),""[^A-Za-z0-9]"",""""))"),"neptronic_evcbseries")</f>
        <v>neptronic_evcbseries</v>
      </c>
      <c r="BG963" s="275" t="str">
        <f>IFERROR(__xludf.DUMMYFUNCTION("upper(Regexreplace(to_text(E963),""[^A-Za-z0-9]"","""")&amp;""-""&amp;Regexreplace(to_text(F963),""[^A-Za-z0-9]"",""""))"),"NEPTRONIC-EVCBSERIES")</f>
        <v>NEPTRONIC-EVCBSERIES</v>
      </c>
    </row>
    <row r="964" ht="30.0" customHeight="1">
      <c r="A964" s="258">
        <v>956.0</v>
      </c>
      <c r="B964" s="237" t="s">
        <v>670</v>
      </c>
      <c r="C964" s="257" t="s">
        <v>4429</v>
      </c>
      <c r="D964" s="173" t="s">
        <v>4429</v>
      </c>
      <c r="E964" s="174" t="s">
        <v>2861</v>
      </c>
      <c r="F964" s="173" t="s">
        <v>2862</v>
      </c>
      <c r="G964" s="328" t="s">
        <v>673</v>
      </c>
      <c r="H964" s="328" t="s">
        <v>2863</v>
      </c>
      <c r="I964" s="258" t="s">
        <v>2864</v>
      </c>
      <c r="J964" s="259" t="s">
        <v>965</v>
      </c>
      <c r="K964" s="260" t="s">
        <v>4430</v>
      </c>
      <c r="L964" s="328"/>
      <c r="M964" s="343"/>
      <c r="N964" s="173" t="s">
        <v>679</v>
      </c>
      <c r="O964" s="173" t="s">
        <v>225</v>
      </c>
      <c r="P964" s="262" t="str">
        <f t="shared" si="1"/>
        <v>IN-BLR-ANANTA-VAV-536_3</v>
      </c>
      <c r="Q964" s="173" t="s">
        <v>4431</v>
      </c>
      <c r="R964" s="328" t="str">
        <f>IFS(C964="","",C964="n/a","N/A",LEN(C964),Concatenate("{",char(34),"asset",char(34),":{",char(34),"guid",char(34),":",char(34),Q964,char(34),",",char(34),"site",char(34),":",char(34),LOWER('2-Building'!$B$4),char(34),",",char(34),"name",char(34),":",char(34),LOWER(C964),char(34),"}}"))</f>
        <v>{"asset":{"guid":"uuid://bfce415b-b1e1-4685-8dc2-ec8edda1ea1b","site":"in-blr-ananta","name":"vav-536"}}</v>
      </c>
      <c r="S964" s="237" t="s">
        <v>2866</v>
      </c>
      <c r="T964" s="330"/>
      <c r="U964" s="330"/>
      <c r="V964" s="331"/>
      <c r="W964" s="344"/>
      <c r="X964" s="341"/>
      <c r="Y964" s="33" t="s">
        <v>2867</v>
      </c>
      <c r="Z964" s="258">
        <v>120536.0</v>
      </c>
      <c r="AA964" s="334">
        <v>11551.0</v>
      </c>
      <c r="AB964" s="341"/>
      <c r="AC964" s="341"/>
      <c r="AD964" s="343"/>
      <c r="AE964" s="331"/>
      <c r="AF964" s="348"/>
      <c r="AG964" s="337"/>
      <c r="AH964" s="341"/>
      <c r="AI964" s="341"/>
      <c r="AJ964" s="341"/>
      <c r="AK964" s="341"/>
      <c r="AL964" s="341"/>
      <c r="AM964" s="338"/>
      <c r="AN964" s="341"/>
      <c r="AO964" s="341"/>
      <c r="AP964" s="341"/>
      <c r="AQ964" s="341"/>
      <c r="AR964" s="341"/>
      <c r="AS964" s="341"/>
      <c r="AT964" s="341"/>
      <c r="AU964" s="343"/>
      <c r="AV964" s="341"/>
      <c r="AW964" s="269" t="s">
        <v>2134</v>
      </c>
      <c r="AX964" s="334" t="s">
        <v>2869</v>
      </c>
      <c r="AY964" s="270" t="s">
        <v>695</v>
      </c>
      <c r="AZ964" s="173" t="s">
        <v>2866</v>
      </c>
      <c r="BA964" s="265">
        <v>10.0</v>
      </c>
      <c r="BB964" s="174" t="s">
        <v>245</v>
      </c>
      <c r="BC964" s="341"/>
      <c r="BD964" s="308"/>
      <c r="BE964" s="347"/>
      <c r="BF964" s="274" t="str">
        <f>IFERROR(__xludf.DUMMYFUNCTION("LOWER(Regexreplace(to_text(E964),""[^A-Za-z0-9]"","""")&amp;""_""&amp;Regexreplace(to_text(F964),""[^A-Za-z0-9]"",""""))"),"neptronic_evcbseries")</f>
        <v>neptronic_evcbseries</v>
      </c>
      <c r="BG964" s="275" t="str">
        <f>IFERROR(__xludf.DUMMYFUNCTION("upper(Regexreplace(to_text(E964),""[^A-Za-z0-9]"","""")&amp;""-""&amp;Regexreplace(to_text(F964),""[^A-Za-z0-9]"",""""))"),"NEPTRONIC-EVCBSERIES")</f>
        <v>NEPTRONIC-EVCBSERIES</v>
      </c>
    </row>
    <row r="965" ht="30.0" customHeight="1">
      <c r="A965" s="173">
        <v>957.0</v>
      </c>
      <c r="B965" s="237" t="s">
        <v>670</v>
      </c>
      <c r="C965" s="257" t="s">
        <v>4432</v>
      </c>
      <c r="D965" s="173" t="s">
        <v>4432</v>
      </c>
      <c r="E965" s="174" t="s">
        <v>2861</v>
      </c>
      <c r="F965" s="173" t="s">
        <v>2862</v>
      </c>
      <c r="G965" s="328" t="s">
        <v>673</v>
      </c>
      <c r="H965" s="328" t="s">
        <v>2863</v>
      </c>
      <c r="I965" s="258" t="s">
        <v>2864</v>
      </c>
      <c r="J965" s="259" t="s">
        <v>965</v>
      </c>
      <c r="K965" s="260" t="s">
        <v>4433</v>
      </c>
      <c r="L965" s="328"/>
      <c r="M965" s="343"/>
      <c r="N965" s="173" t="s">
        <v>679</v>
      </c>
      <c r="O965" s="173" t="s">
        <v>225</v>
      </c>
      <c r="P965" s="262" t="str">
        <f t="shared" si="1"/>
        <v>IN-BLR-ANANTA-VAV-537_3</v>
      </c>
      <c r="Q965" s="173" t="s">
        <v>4434</v>
      </c>
      <c r="R965" s="328" t="str">
        <f>IFS(C965="","",C965="n/a","N/A",LEN(C965),Concatenate("{",char(34),"asset",char(34),":{",char(34),"guid",char(34),":",char(34),Q965,char(34),",",char(34),"site",char(34),":",char(34),LOWER('2-Building'!$B$4),char(34),",",char(34),"name",char(34),":",char(34),LOWER(C965),char(34),"}}"))</f>
        <v>{"asset":{"guid":"uuid://9b01b9e3-e71a-445a-81b2-eda6fb25bb85","site":"in-blr-ananta","name":"vav-537"}}</v>
      </c>
      <c r="S965" s="237" t="s">
        <v>2866</v>
      </c>
      <c r="T965" s="330"/>
      <c r="U965" s="330"/>
      <c r="V965" s="331"/>
      <c r="W965" s="344"/>
      <c r="X965" s="341"/>
      <c r="Y965" s="33" t="s">
        <v>2867</v>
      </c>
      <c r="Z965" s="258">
        <v>120537.0</v>
      </c>
      <c r="AA965" s="334">
        <v>11551.0</v>
      </c>
      <c r="AB965" s="341"/>
      <c r="AC965" s="341"/>
      <c r="AD965" s="343"/>
      <c r="AE965" s="331"/>
      <c r="AF965" s="348"/>
      <c r="AG965" s="337"/>
      <c r="AH965" s="341"/>
      <c r="AI965" s="341"/>
      <c r="AJ965" s="341"/>
      <c r="AK965" s="341"/>
      <c r="AL965" s="341"/>
      <c r="AM965" s="338"/>
      <c r="AN965" s="341"/>
      <c r="AO965" s="341"/>
      <c r="AP965" s="341"/>
      <c r="AQ965" s="341"/>
      <c r="AR965" s="341"/>
      <c r="AS965" s="341"/>
      <c r="AT965" s="341"/>
      <c r="AU965" s="343"/>
      <c r="AV965" s="341"/>
      <c r="AW965" s="269" t="s">
        <v>2134</v>
      </c>
      <c r="AX965" s="334" t="s">
        <v>2869</v>
      </c>
      <c r="AY965" s="270" t="s">
        <v>695</v>
      </c>
      <c r="AZ965" s="173" t="s">
        <v>2866</v>
      </c>
      <c r="BA965" s="265">
        <v>10.0</v>
      </c>
      <c r="BB965" s="174" t="s">
        <v>245</v>
      </c>
      <c r="BC965" s="341"/>
      <c r="BD965" s="308"/>
      <c r="BE965" s="347"/>
      <c r="BF965" s="274" t="str">
        <f>IFERROR(__xludf.DUMMYFUNCTION("LOWER(Regexreplace(to_text(E965),""[^A-Za-z0-9]"","""")&amp;""_""&amp;Regexreplace(to_text(F965),""[^A-Za-z0-9]"",""""))"),"neptronic_evcbseries")</f>
        <v>neptronic_evcbseries</v>
      </c>
      <c r="BG965" s="275" t="str">
        <f>IFERROR(__xludf.DUMMYFUNCTION("upper(Regexreplace(to_text(E965),""[^A-Za-z0-9]"","""")&amp;""-""&amp;Regexreplace(to_text(F965),""[^A-Za-z0-9]"",""""))"),"NEPTRONIC-EVCBSERIES")</f>
        <v>NEPTRONIC-EVCBSERIES</v>
      </c>
    </row>
    <row r="966" ht="30.0" customHeight="1">
      <c r="A966" s="258">
        <v>958.0</v>
      </c>
      <c r="B966" s="237" t="s">
        <v>670</v>
      </c>
      <c r="C966" s="257" t="s">
        <v>4435</v>
      </c>
      <c r="D966" s="173" t="s">
        <v>4435</v>
      </c>
      <c r="E966" s="174" t="s">
        <v>2861</v>
      </c>
      <c r="F966" s="173" t="s">
        <v>2862</v>
      </c>
      <c r="G966" s="328" t="s">
        <v>673</v>
      </c>
      <c r="H966" s="328" t="s">
        <v>2863</v>
      </c>
      <c r="I966" s="258" t="s">
        <v>2864</v>
      </c>
      <c r="J966" s="259" t="s">
        <v>965</v>
      </c>
      <c r="K966" s="260" t="s">
        <v>3551</v>
      </c>
      <c r="L966" s="328"/>
      <c r="M966" s="343"/>
      <c r="N966" s="173" t="s">
        <v>679</v>
      </c>
      <c r="O966" s="173" t="s">
        <v>225</v>
      </c>
      <c r="P966" s="262" t="str">
        <f t="shared" si="1"/>
        <v>IN-BLR-ANANTA-VAV-538_3</v>
      </c>
      <c r="Q966" s="173" t="s">
        <v>4436</v>
      </c>
      <c r="R966" s="328" t="str">
        <f>IFS(C966="","",C966="n/a","N/A",LEN(C966),Concatenate("{",char(34),"asset",char(34),":{",char(34),"guid",char(34),":",char(34),Q966,char(34),",",char(34),"site",char(34),":",char(34),LOWER('2-Building'!$B$4),char(34),",",char(34),"name",char(34),":",char(34),LOWER(C966),char(34),"}}"))</f>
        <v>{"asset":{"guid":"uuid://8595ec99-695c-43d2-aa79-ae1478233532","site":"in-blr-ananta","name":"vav-538"}}</v>
      </c>
      <c r="S966" s="237" t="s">
        <v>2866</v>
      </c>
      <c r="T966" s="330"/>
      <c r="U966" s="330"/>
      <c r="V966" s="331"/>
      <c r="W966" s="344"/>
      <c r="X966" s="341"/>
      <c r="Y966" s="33" t="s">
        <v>2867</v>
      </c>
      <c r="Z966" s="258">
        <v>120538.0</v>
      </c>
      <c r="AA966" s="334">
        <v>11550.0</v>
      </c>
      <c r="AB966" s="341"/>
      <c r="AC966" s="341"/>
      <c r="AD966" s="343"/>
      <c r="AE966" s="331"/>
      <c r="AF966" s="348"/>
      <c r="AG966" s="337"/>
      <c r="AH966" s="341"/>
      <c r="AI966" s="341"/>
      <c r="AJ966" s="341"/>
      <c r="AK966" s="341"/>
      <c r="AL966" s="341"/>
      <c r="AM966" s="338"/>
      <c r="AN966" s="341"/>
      <c r="AO966" s="341"/>
      <c r="AP966" s="341"/>
      <c r="AQ966" s="341"/>
      <c r="AR966" s="341"/>
      <c r="AS966" s="341"/>
      <c r="AT966" s="341"/>
      <c r="AU966" s="343"/>
      <c r="AV966" s="341"/>
      <c r="AW966" s="269" t="s">
        <v>2134</v>
      </c>
      <c r="AX966" s="334" t="s">
        <v>2869</v>
      </c>
      <c r="AY966" s="270" t="s">
        <v>695</v>
      </c>
      <c r="AZ966" s="173" t="s">
        <v>2866</v>
      </c>
      <c r="BA966" s="265">
        <v>10.0</v>
      </c>
      <c r="BB966" s="174" t="s">
        <v>245</v>
      </c>
      <c r="BC966" s="341"/>
      <c r="BD966" s="308"/>
      <c r="BE966" s="347"/>
      <c r="BF966" s="274" t="str">
        <f>IFERROR(__xludf.DUMMYFUNCTION("LOWER(Regexreplace(to_text(E966),""[^A-Za-z0-9]"","""")&amp;""_""&amp;Regexreplace(to_text(F966),""[^A-Za-z0-9]"",""""))"),"neptronic_evcbseries")</f>
        <v>neptronic_evcbseries</v>
      </c>
      <c r="BG966" s="275" t="str">
        <f>IFERROR(__xludf.DUMMYFUNCTION("upper(Regexreplace(to_text(E966),""[^A-Za-z0-9]"","""")&amp;""-""&amp;Regexreplace(to_text(F966),""[^A-Za-z0-9]"",""""))"),"NEPTRONIC-EVCBSERIES")</f>
        <v>NEPTRONIC-EVCBSERIES</v>
      </c>
    </row>
    <row r="967" ht="30.0" customHeight="1">
      <c r="A967" s="173">
        <v>959.0</v>
      </c>
      <c r="B967" s="237" t="s">
        <v>670</v>
      </c>
      <c r="C967" s="257" t="s">
        <v>4437</v>
      </c>
      <c r="D967" s="173" t="s">
        <v>4437</v>
      </c>
      <c r="E967" s="174" t="s">
        <v>2861</v>
      </c>
      <c r="F967" s="173" t="s">
        <v>2862</v>
      </c>
      <c r="G967" s="328" t="s">
        <v>673</v>
      </c>
      <c r="H967" s="328" t="s">
        <v>2863</v>
      </c>
      <c r="I967" s="258" t="s">
        <v>2864</v>
      </c>
      <c r="J967" s="259" t="s">
        <v>965</v>
      </c>
      <c r="K967" s="260" t="s">
        <v>4438</v>
      </c>
      <c r="L967" s="328"/>
      <c r="M967" s="343"/>
      <c r="N967" s="173" t="s">
        <v>679</v>
      </c>
      <c r="O967" s="173" t="s">
        <v>225</v>
      </c>
      <c r="P967" s="262" t="str">
        <f t="shared" si="1"/>
        <v>IN-BLR-ANANTA-VAV-539_3</v>
      </c>
      <c r="Q967" s="173" t="s">
        <v>4439</v>
      </c>
      <c r="R967" s="328" t="str">
        <f>IFS(C967="","",C967="n/a","N/A",LEN(C967),Concatenate("{",char(34),"asset",char(34),":{",char(34),"guid",char(34),":",char(34),Q967,char(34),",",char(34),"site",char(34),":",char(34),LOWER('2-Building'!$B$4),char(34),",",char(34),"name",char(34),":",char(34),LOWER(C967),char(34),"}}"))</f>
        <v>{"asset":{"guid":"uuid://4d80f52c-9b61-4944-9f4f-07d27d287a07","site":"in-blr-ananta","name":"vav-539"}}</v>
      </c>
      <c r="S967" s="237" t="s">
        <v>2866</v>
      </c>
      <c r="T967" s="330"/>
      <c r="U967" s="330"/>
      <c r="V967" s="331"/>
      <c r="W967" s="344"/>
      <c r="X967" s="341"/>
      <c r="Y967" s="33" t="s">
        <v>2867</v>
      </c>
      <c r="Z967" s="258">
        <v>120539.0</v>
      </c>
      <c r="AA967" s="334">
        <v>11550.0</v>
      </c>
      <c r="AB967" s="341"/>
      <c r="AC967" s="341"/>
      <c r="AD967" s="343"/>
      <c r="AE967" s="331"/>
      <c r="AF967" s="348"/>
      <c r="AG967" s="337"/>
      <c r="AH967" s="341"/>
      <c r="AI967" s="341"/>
      <c r="AJ967" s="341"/>
      <c r="AK967" s="341"/>
      <c r="AL967" s="341"/>
      <c r="AM967" s="338"/>
      <c r="AN967" s="341"/>
      <c r="AO967" s="341"/>
      <c r="AP967" s="341"/>
      <c r="AQ967" s="341"/>
      <c r="AR967" s="341"/>
      <c r="AS967" s="341"/>
      <c r="AT967" s="341"/>
      <c r="AU967" s="343"/>
      <c r="AV967" s="341"/>
      <c r="AW967" s="269" t="s">
        <v>2134</v>
      </c>
      <c r="AX967" s="334" t="s">
        <v>2869</v>
      </c>
      <c r="AY967" s="270" t="s">
        <v>695</v>
      </c>
      <c r="AZ967" s="173" t="s">
        <v>2866</v>
      </c>
      <c r="BA967" s="265">
        <v>10.0</v>
      </c>
      <c r="BB967" s="174" t="s">
        <v>245</v>
      </c>
      <c r="BC967" s="341"/>
      <c r="BD967" s="308"/>
      <c r="BE967" s="347"/>
      <c r="BF967" s="274" t="str">
        <f>IFERROR(__xludf.DUMMYFUNCTION("LOWER(Regexreplace(to_text(E967),""[^A-Za-z0-9]"","""")&amp;""_""&amp;Regexreplace(to_text(F967),""[^A-Za-z0-9]"",""""))"),"neptronic_evcbseries")</f>
        <v>neptronic_evcbseries</v>
      </c>
      <c r="BG967" s="275" t="str">
        <f>IFERROR(__xludf.DUMMYFUNCTION("upper(Regexreplace(to_text(E967),""[^A-Za-z0-9]"","""")&amp;""-""&amp;Regexreplace(to_text(F967),""[^A-Za-z0-9]"",""""))"),"NEPTRONIC-EVCBSERIES")</f>
        <v>NEPTRONIC-EVCBSERIES</v>
      </c>
    </row>
    <row r="968" ht="30.0" customHeight="1">
      <c r="A968" s="258">
        <v>960.0</v>
      </c>
      <c r="B968" s="237" t="s">
        <v>670</v>
      </c>
      <c r="C968" s="257" t="s">
        <v>4440</v>
      </c>
      <c r="D968" s="173" t="s">
        <v>4440</v>
      </c>
      <c r="E968" s="174" t="s">
        <v>2861</v>
      </c>
      <c r="F968" s="173" t="s">
        <v>2862</v>
      </c>
      <c r="G968" s="328" t="s">
        <v>673</v>
      </c>
      <c r="H968" s="328" t="s">
        <v>2863</v>
      </c>
      <c r="I968" s="258" t="s">
        <v>2864</v>
      </c>
      <c r="J968" s="259" t="s">
        <v>965</v>
      </c>
      <c r="K968" s="260" t="s">
        <v>4441</v>
      </c>
      <c r="L968" s="328"/>
      <c r="M968" s="343"/>
      <c r="N968" s="173" t="s">
        <v>679</v>
      </c>
      <c r="O968" s="173" t="s">
        <v>225</v>
      </c>
      <c r="P968" s="262" t="str">
        <f t="shared" si="1"/>
        <v>IN-BLR-ANANTA-VAV-540_3</v>
      </c>
      <c r="Q968" s="173" t="s">
        <v>4442</v>
      </c>
      <c r="R968" s="328" t="str">
        <f>IFS(C968="","",C968="n/a","N/A",LEN(C968),Concatenate("{",char(34),"asset",char(34),":{",char(34),"guid",char(34),":",char(34),Q968,char(34),",",char(34),"site",char(34),":",char(34),LOWER('2-Building'!$B$4),char(34),",",char(34),"name",char(34),":",char(34),LOWER(C968),char(34),"}}"))</f>
        <v>{"asset":{"guid":"uuid://2fc4b1fe-2b62-4670-93c2-baeb2bb24e45","site":"in-blr-ananta","name":"vav-540"}}</v>
      </c>
      <c r="S968" s="237" t="s">
        <v>2866</v>
      </c>
      <c r="T968" s="330"/>
      <c r="U968" s="330"/>
      <c r="V968" s="331"/>
      <c r="W968" s="344"/>
      <c r="X968" s="341"/>
      <c r="Y968" s="33" t="s">
        <v>2867</v>
      </c>
      <c r="Z968" s="258">
        <v>120540.0</v>
      </c>
      <c r="AA968" s="334">
        <v>11550.0</v>
      </c>
      <c r="AB968" s="341"/>
      <c r="AC968" s="341"/>
      <c r="AD968" s="343"/>
      <c r="AE968" s="331"/>
      <c r="AF968" s="348"/>
      <c r="AG968" s="337"/>
      <c r="AH968" s="341"/>
      <c r="AI968" s="341"/>
      <c r="AJ968" s="341"/>
      <c r="AK968" s="341"/>
      <c r="AL968" s="341"/>
      <c r="AM968" s="338"/>
      <c r="AN968" s="341"/>
      <c r="AO968" s="341"/>
      <c r="AP968" s="341"/>
      <c r="AQ968" s="341"/>
      <c r="AR968" s="341"/>
      <c r="AS968" s="341"/>
      <c r="AT968" s="341"/>
      <c r="AU968" s="343"/>
      <c r="AV968" s="341"/>
      <c r="AW968" s="269" t="s">
        <v>2134</v>
      </c>
      <c r="AX968" s="334" t="s">
        <v>2869</v>
      </c>
      <c r="AY968" s="270" t="s">
        <v>695</v>
      </c>
      <c r="AZ968" s="173" t="s">
        <v>2866</v>
      </c>
      <c r="BA968" s="265">
        <v>10.0</v>
      </c>
      <c r="BB968" s="174" t="s">
        <v>245</v>
      </c>
      <c r="BC968" s="341"/>
      <c r="BD968" s="308"/>
      <c r="BE968" s="347"/>
      <c r="BF968" s="274" t="str">
        <f>IFERROR(__xludf.DUMMYFUNCTION("LOWER(Regexreplace(to_text(E968),""[^A-Za-z0-9]"","""")&amp;""_""&amp;Regexreplace(to_text(F968),""[^A-Za-z0-9]"",""""))"),"neptronic_evcbseries")</f>
        <v>neptronic_evcbseries</v>
      </c>
      <c r="BG968" s="275" t="str">
        <f>IFERROR(__xludf.DUMMYFUNCTION("upper(Regexreplace(to_text(E968),""[^A-Za-z0-9]"","""")&amp;""-""&amp;Regexreplace(to_text(F968),""[^A-Za-z0-9]"",""""))"),"NEPTRONIC-EVCBSERIES")</f>
        <v>NEPTRONIC-EVCBSERIES</v>
      </c>
    </row>
    <row r="969" ht="30.0" customHeight="1">
      <c r="A969" s="173">
        <v>961.0</v>
      </c>
      <c r="B969" s="237" t="s">
        <v>670</v>
      </c>
      <c r="C969" s="257" t="s">
        <v>4443</v>
      </c>
      <c r="D969" s="173" t="s">
        <v>4443</v>
      </c>
      <c r="E969" s="174" t="s">
        <v>2861</v>
      </c>
      <c r="F969" s="173" t="s">
        <v>2862</v>
      </c>
      <c r="G969" s="328" t="s">
        <v>673</v>
      </c>
      <c r="H969" s="328" t="s">
        <v>2863</v>
      </c>
      <c r="I969" s="258" t="s">
        <v>2864</v>
      </c>
      <c r="J969" s="259" t="s">
        <v>965</v>
      </c>
      <c r="K969" s="260" t="s">
        <v>4444</v>
      </c>
      <c r="L969" s="328"/>
      <c r="M969" s="343"/>
      <c r="N969" s="173" t="s">
        <v>679</v>
      </c>
      <c r="O969" s="173" t="s">
        <v>225</v>
      </c>
      <c r="P969" s="262" t="str">
        <f t="shared" si="1"/>
        <v>IN-BLR-ANANTA-VAV-541_3</v>
      </c>
      <c r="Q969" s="173" t="s">
        <v>4445</v>
      </c>
      <c r="R969" s="328" t="str">
        <f>IFS(C969="","",C969="n/a","N/A",LEN(C969),Concatenate("{",char(34),"asset",char(34),":{",char(34),"guid",char(34),":",char(34),Q969,char(34),",",char(34),"site",char(34),":",char(34),LOWER('2-Building'!$B$4),char(34),",",char(34),"name",char(34),":",char(34),LOWER(C969),char(34),"}}"))</f>
        <v>{"asset":{"guid":"uuid://669be45c-1e13-450a-802e-e91098edee29","site":"in-blr-ananta","name":"vav-541"}}</v>
      </c>
      <c r="S969" s="237" t="s">
        <v>2866</v>
      </c>
      <c r="T969" s="330"/>
      <c r="U969" s="330"/>
      <c r="V969" s="331"/>
      <c r="W969" s="344"/>
      <c r="X969" s="341"/>
      <c r="Y969" s="33" t="s">
        <v>2867</v>
      </c>
      <c r="Z969" s="258">
        <v>120541.0</v>
      </c>
      <c r="AA969" s="334">
        <v>11550.0</v>
      </c>
      <c r="AB969" s="341"/>
      <c r="AC969" s="341"/>
      <c r="AD969" s="343"/>
      <c r="AE969" s="331"/>
      <c r="AF969" s="348"/>
      <c r="AG969" s="337"/>
      <c r="AH969" s="341"/>
      <c r="AI969" s="341"/>
      <c r="AJ969" s="341"/>
      <c r="AK969" s="341"/>
      <c r="AL969" s="341"/>
      <c r="AM969" s="338"/>
      <c r="AN969" s="341"/>
      <c r="AO969" s="341"/>
      <c r="AP969" s="341"/>
      <c r="AQ969" s="341"/>
      <c r="AR969" s="341"/>
      <c r="AS969" s="341"/>
      <c r="AT969" s="341"/>
      <c r="AU969" s="343"/>
      <c r="AV969" s="341"/>
      <c r="AW969" s="269" t="s">
        <v>2134</v>
      </c>
      <c r="AX969" s="334" t="s">
        <v>2869</v>
      </c>
      <c r="AY969" s="270" t="s">
        <v>695</v>
      </c>
      <c r="AZ969" s="173" t="s">
        <v>2866</v>
      </c>
      <c r="BA969" s="265">
        <v>10.0</v>
      </c>
      <c r="BB969" s="174" t="s">
        <v>245</v>
      </c>
      <c r="BC969" s="341"/>
      <c r="BD969" s="308"/>
      <c r="BE969" s="347"/>
      <c r="BF969" s="274" t="str">
        <f>IFERROR(__xludf.DUMMYFUNCTION("LOWER(Regexreplace(to_text(E969),""[^A-Za-z0-9]"","""")&amp;""_""&amp;Regexreplace(to_text(F969),""[^A-Za-z0-9]"",""""))"),"neptronic_evcbseries")</f>
        <v>neptronic_evcbseries</v>
      </c>
      <c r="BG969" s="275" t="str">
        <f>IFERROR(__xludf.DUMMYFUNCTION("upper(Regexreplace(to_text(E969),""[^A-Za-z0-9]"","""")&amp;""-""&amp;Regexreplace(to_text(F969),""[^A-Za-z0-9]"",""""))"),"NEPTRONIC-EVCBSERIES")</f>
        <v>NEPTRONIC-EVCBSERIES</v>
      </c>
    </row>
    <row r="970" ht="30.0" customHeight="1">
      <c r="A970" s="258">
        <v>962.0</v>
      </c>
      <c r="B970" s="237" t="s">
        <v>670</v>
      </c>
      <c r="C970" s="257" t="s">
        <v>4446</v>
      </c>
      <c r="D970" s="173" t="s">
        <v>4446</v>
      </c>
      <c r="E970" s="174" t="s">
        <v>2861</v>
      </c>
      <c r="F970" s="173" t="s">
        <v>2862</v>
      </c>
      <c r="G970" s="328" t="s">
        <v>673</v>
      </c>
      <c r="H970" s="328" t="s">
        <v>2863</v>
      </c>
      <c r="I970" s="258" t="s">
        <v>2864</v>
      </c>
      <c r="J970" s="259" t="s">
        <v>965</v>
      </c>
      <c r="K970" s="260" t="s">
        <v>4447</v>
      </c>
      <c r="L970" s="328"/>
      <c r="M970" s="343"/>
      <c r="N970" s="173" t="s">
        <v>679</v>
      </c>
      <c r="O970" s="173" t="s">
        <v>225</v>
      </c>
      <c r="P970" s="262" t="str">
        <f t="shared" si="1"/>
        <v>IN-BLR-ANANTA-VAV-542_3</v>
      </c>
      <c r="Q970" s="173" t="s">
        <v>4448</v>
      </c>
      <c r="R970" s="328" t="str">
        <f>IFS(C970="","",C970="n/a","N/A",LEN(C970),Concatenate("{",char(34),"asset",char(34),":{",char(34),"guid",char(34),":",char(34),Q970,char(34),",",char(34),"site",char(34),":",char(34),LOWER('2-Building'!$B$4),char(34),",",char(34),"name",char(34),":",char(34),LOWER(C970),char(34),"}}"))</f>
        <v>{"asset":{"guid":"uuid://c82b7cad-a8e7-4ae9-9a2c-8c894be48bd2","site":"in-blr-ananta","name":"vav-542"}}</v>
      </c>
      <c r="S970" s="237" t="s">
        <v>2866</v>
      </c>
      <c r="T970" s="330"/>
      <c r="U970" s="330"/>
      <c r="V970" s="331"/>
      <c r="W970" s="344"/>
      <c r="X970" s="341"/>
      <c r="Y970" s="33" t="s">
        <v>2867</v>
      </c>
      <c r="Z970" s="258">
        <v>120542.0</v>
      </c>
      <c r="AA970" s="334">
        <v>11550.0</v>
      </c>
      <c r="AB970" s="341"/>
      <c r="AC970" s="341"/>
      <c r="AD970" s="343"/>
      <c r="AE970" s="331"/>
      <c r="AF970" s="348"/>
      <c r="AG970" s="337"/>
      <c r="AH970" s="341"/>
      <c r="AI970" s="341"/>
      <c r="AJ970" s="341"/>
      <c r="AK970" s="341"/>
      <c r="AL970" s="341"/>
      <c r="AM970" s="338"/>
      <c r="AN970" s="341"/>
      <c r="AO970" s="341"/>
      <c r="AP970" s="341"/>
      <c r="AQ970" s="341"/>
      <c r="AR970" s="341"/>
      <c r="AS970" s="341"/>
      <c r="AT970" s="341"/>
      <c r="AU970" s="343"/>
      <c r="AV970" s="341"/>
      <c r="AW970" s="269" t="s">
        <v>2134</v>
      </c>
      <c r="AX970" s="334" t="s">
        <v>2869</v>
      </c>
      <c r="AY970" s="270" t="s">
        <v>695</v>
      </c>
      <c r="AZ970" s="173" t="s">
        <v>2866</v>
      </c>
      <c r="BA970" s="265">
        <v>10.0</v>
      </c>
      <c r="BB970" s="174" t="s">
        <v>245</v>
      </c>
      <c r="BC970" s="341"/>
      <c r="BD970" s="308"/>
      <c r="BE970" s="347"/>
      <c r="BF970" s="274" t="str">
        <f>IFERROR(__xludf.DUMMYFUNCTION("LOWER(Regexreplace(to_text(E970),""[^A-Za-z0-9]"","""")&amp;""_""&amp;Regexreplace(to_text(F970),""[^A-Za-z0-9]"",""""))"),"neptronic_evcbseries")</f>
        <v>neptronic_evcbseries</v>
      </c>
      <c r="BG970" s="275" t="str">
        <f>IFERROR(__xludf.DUMMYFUNCTION("upper(Regexreplace(to_text(E970),""[^A-Za-z0-9]"","""")&amp;""-""&amp;Regexreplace(to_text(F970),""[^A-Za-z0-9]"",""""))"),"NEPTRONIC-EVCBSERIES")</f>
        <v>NEPTRONIC-EVCBSERIES</v>
      </c>
    </row>
    <row r="971" ht="30.0" customHeight="1">
      <c r="A971" s="173">
        <v>963.0</v>
      </c>
      <c r="B971" s="237" t="s">
        <v>670</v>
      </c>
      <c r="C971" s="257" t="s">
        <v>4449</v>
      </c>
      <c r="D971" s="173" t="s">
        <v>4449</v>
      </c>
      <c r="E971" s="174" t="s">
        <v>2861</v>
      </c>
      <c r="F971" s="173" t="s">
        <v>2862</v>
      </c>
      <c r="G971" s="328" t="s">
        <v>673</v>
      </c>
      <c r="H971" s="328" t="s">
        <v>2863</v>
      </c>
      <c r="I971" s="258" t="s">
        <v>2864</v>
      </c>
      <c r="J971" s="259" t="s">
        <v>965</v>
      </c>
      <c r="K971" s="260" t="s">
        <v>4450</v>
      </c>
      <c r="L971" s="328"/>
      <c r="M971" s="343"/>
      <c r="N971" s="173" t="s">
        <v>679</v>
      </c>
      <c r="O971" s="173" t="s">
        <v>225</v>
      </c>
      <c r="P971" s="262" t="str">
        <f t="shared" si="1"/>
        <v>IN-BLR-ANANTA-VAV-543_3</v>
      </c>
      <c r="Q971" s="173" t="s">
        <v>4451</v>
      </c>
      <c r="R971" s="328" t="str">
        <f>IFS(C971="","",C971="n/a","N/A",LEN(C971),Concatenate("{",char(34),"asset",char(34),":{",char(34),"guid",char(34),":",char(34),Q971,char(34),",",char(34),"site",char(34),":",char(34),LOWER('2-Building'!$B$4),char(34),",",char(34),"name",char(34),":",char(34),LOWER(C971),char(34),"}}"))</f>
        <v>{"asset":{"guid":"uuid://4ea9313d-9d9c-4f81-859c-9cc6bf481a5c","site":"in-blr-ananta","name":"vav-543"}}</v>
      </c>
      <c r="S971" s="237" t="s">
        <v>2866</v>
      </c>
      <c r="T971" s="330"/>
      <c r="U971" s="330"/>
      <c r="V971" s="331"/>
      <c r="W971" s="344"/>
      <c r="X971" s="341"/>
      <c r="Y971" s="33" t="s">
        <v>2867</v>
      </c>
      <c r="Z971" s="258">
        <v>120543.0</v>
      </c>
      <c r="AA971" s="334">
        <v>11550.0</v>
      </c>
      <c r="AB971" s="341"/>
      <c r="AC971" s="341"/>
      <c r="AD971" s="343"/>
      <c r="AE971" s="331"/>
      <c r="AF971" s="348"/>
      <c r="AG971" s="337"/>
      <c r="AH971" s="341"/>
      <c r="AI971" s="341"/>
      <c r="AJ971" s="341"/>
      <c r="AK971" s="341"/>
      <c r="AL971" s="341"/>
      <c r="AM971" s="338"/>
      <c r="AN971" s="341"/>
      <c r="AO971" s="341"/>
      <c r="AP971" s="341"/>
      <c r="AQ971" s="341"/>
      <c r="AR971" s="341"/>
      <c r="AS971" s="341"/>
      <c r="AT971" s="341"/>
      <c r="AU971" s="343"/>
      <c r="AV971" s="341"/>
      <c r="AW971" s="269" t="s">
        <v>2134</v>
      </c>
      <c r="AX971" s="334" t="s">
        <v>2869</v>
      </c>
      <c r="AY971" s="270" t="s">
        <v>695</v>
      </c>
      <c r="AZ971" s="173" t="s">
        <v>2866</v>
      </c>
      <c r="BA971" s="265">
        <v>10.0</v>
      </c>
      <c r="BB971" s="174" t="s">
        <v>245</v>
      </c>
      <c r="BC971" s="341"/>
      <c r="BD971" s="308"/>
      <c r="BE971" s="347"/>
      <c r="BF971" s="274" t="str">
        <f>IFERROR(__xludf.DUMMYFUNCTION("LOWER(Regexreplace(to_text(E971),""[^A-Za-z0-9]"","""")&amp;""_""&amp;Regexreplace(to_text(F971),""[^A-Za-z0-9]"",""""))"),"neptronic_evcbseries")</f>
        <v>neptronic_evcbseries</v>
      </c>
      <c r="BG971" s="275" t="str">
        <f>IFERROR(__xludf.DUMMYFUNCTION("upper(Regexreplace(to_text(E971),""[^A-Za-z0-9]"","""")&amp;""-""&amp;Regexreplace(to_text(F971),""[^A-Za-z0-9]"",""""))"),"NEPTRONIC-EVCBSERIES")</f>
        <v>NEPTRONIC-EVCBSERIES</v>
      </c>
    </row>
    <row r="972" ht="30.0" customHeight="1">
      <c r="A972" s="258">
        <v>964.0</v>
      </c>
      <c r="B972" s="237" t="s">
        <v>670</v>
      </c>
      <c r="C972" s="257" t="s">
        <v>4452</v>
      </c>
      <c r="D972" s="173" t="s">
        <v>4452</v>
      </c>
      <c r="E972" s="174" t="s">
        <v>2861</v>
      </c>
      <c r="F972" s="173" t="s">
        <v>2862</v>
      </c>
      <c r="G972" s="328" t="s">
        <v>673</v>
      </c>
      <c r="H972" s="328" t="s">
        <v>2863</v>
      </c>
      <c r="I972" s="258" t="s">
        <v>2864</v>
      </c>
      <c r="J972" s="259" t="s">
        <v>965</v>
      </c>
      <c r="K972" s="260" t="s">
        <v>4453</v>
      </c>
      <c r="L972" s="328"/>
      <c r="M972" s="343"/>
      <c r="N972" s="173" t="s">
        <v>679</v>
      </c>
      <c r="O972" s="173" t="s">
        <v>225</v>
      </c>
      <c r="P972" s="262" t="str">
        <f t="shared" si="1"/>
        <v>IN-BLR-ANANTA-VAV-544_3</v>
      </c>
      <c r="Q972" s="173" t="s">
        <v>4454</v>
      </c>
      <c r="R972" s="328" t="str">
        <f>IFS(C972="","",C972="n/a","N/A",LEN(C972),Concatenate("{",char(34),"asset",char(34),":{",char(34),"guid",char(34),":",char(34),Q972,char(34),",",char(34),"site",char(34),":",char(34),LOWER('2-Building'!$B$4),char(34),",",char(34),"name",char(34),":",char(34),LOWER(C972),char(34),"}}"))</f>
        <v>{"asset":{"guid":"uuid://d4ed1409-47cd-4f4f-aa97-92d0f59b8370","site":"in-blr-ananta","name":"vav-544"}}</v>
      </c>
      <c r="S972" s="237" t="s">
        <v>2866</v>
      </c>
      <c r="T972" s="330"/>
      <c r="U972" s="330"/>
      <c r="V972" s="331"/>
      <c r="W972" s="344"/>
      <c r="X972" s="341"/>
      <c r="Y972" s="33" t="s">
        <v>2867</v>
      </c>
      <c r="Z972" s="258">
        <v>120544.0</v>
      </c>
      <c r="AA972" s="334">
        <v>11550.0</v>
      </c>
      <c r="AB972" s="341"/>
      <c r="AC972" s="341"/>
      <c r="AD972" s="343"/>
      <c r="AE972" s="331"/>
      <c r="AF972" s="348"/>
      <c r="AG972" s="337"/>
      <c r="AH972" s="341"/>
      <c r="AI972" s="341"/>
      <c r="AJ972" s="341"/>
      <c r="AK972" s="341"/>
      <c r="AL972" s="341"/>
      <c r="AM972" s="338"/>
      <c r="AN972" s="341"/>
      <c r="AO972" s="341"/>
      <c r="AP972" s="341"/>
      <c r="AQ972" s="341"/>
      <c r="AR972" s="341"/>
      <c r="AS972" s="341"/>
      <c r="AT972" s="341"/>
      <c r="AU972" s="343"/>
      <c r="AV972" s="341"/>
      <c r="AW972" s="269" t="s">
        <v>2134</v>
      </c>
      <c r="AX972" s="334" t="s">
        <v>2869</v>
      </c>
      <c r="AY972" s="270" t="s">
        <v>695</v>
      </c>
      <c r="AZ972" s="173" t="s">
        <v>2866</v>
      </c>
      <c r="BA972" s="265">
        <v>10.0</v>
      </c>
      <c r="BB972" s="174" t="s">
        <v>245</v>
      </c>
      <c r="BC972" s="341"/>
      <c r="BD972" s="308"/>
      <c r="BE972" s="347"/>
      <c r="BF972" s="274" t="str">
        <f>IFERROR(__xludf.DUMMYFUNCTION("LOWER(Regexreplace(to_text(E972),""[^A-Za-z0-9]"","""")&amp;""_""&amp;Regexreplace(to_text(F972),""[^A-Za-z0-9]"",""""))"),"neptronic_evcbseries")</f>
        <v>neptronic_evcbseries</v>
      </c>
      <c r="BG972" s="275" t="str">
        <f>IFERROR(__xludf.DUMMYFUNCTION("upper(Regexreplace(to_text(E972),""[^A-Za-z0-9]"","""")&amp;""-""&amp;Regexreplace(to_text(F972),""[^A-Za-z0-9]"",""""))"),"NEPTRONIC-EVCBSERIES")</f>
        <v>NEPTRONIC-EVCBSERIES</v>
      </c>
    </row>
    <row r="973" ht="30.0" customHeight="1">
      <c r="A973" s="173">
        <v>965.0</v>
      </c>
      <c r="B973" s="237" t="s">
        <v>670</v>
      </c>
      <c r="C973" s="257" t="s">
        <v>4455</v>
      </c>
      <c r="D973" s="173" t="s">
        <v>4455</v>
      </c>
      <c r="E973" s="174" t="s">
        <v>2861</v>
      </c>
      <c r="F973" s="173" t="s">
        <v>2862</v>
      </c>
      <c r="G973" s="328" t="s">
        <v>673</v>
      </c>
      <c r="H973" s="328" t="s">
        <v>2863</v>
      </c>
      <c r="I973" s="258" t="s">
        <v>2864</v>
      </c>
      <c r="J973" s="259" t="s">
        <v>965</v>
      </c>
      <c r="K973" s="260" t="s">
        <v>4453</v>
      </c>
      <c r="L973" s="328"/>
      <c r="M973" s="343"/>
      <c r="N973" s="173" t="s">
        <v>679</v>
      </c>
      <c r="O973" s="173" t="s">
        <v>225</v>
      </c>
      <c r="P973" s="262" t="str">
        <f t="shared" si="1"/>
        <v>IN-BLR-ANANTA-VAV-545_3</v>
      </c>
      <c r="Q973" s="173" t="s">
        <v>4456</v>
      </c>
      <c r="R973" s="328" t="str">
        <f>IFS(C973="","",C973="n/a","N/A",LEN(C973),Concatenate("{",char(34),"asset",char(34),":{",char(34),"guid",char(34),":",char(34),Q973,char(34),",",char(34),"site",char(34),":",char(34),LOWER('2-Building'!$B$4),char(34),",",char(34),"name",char(34),":",char(34),LOWER(C973),char(34),"}}"))</f>
        <v>{"asset":{"guid":"uuid://d22af8f8-9579-4c6e-8064-9e20968cbb56","site":"in-blr-ananta","name":"vav-545"}}</v>
      </c>
      <c r="S973" s="237" t="s">
        <v>2866</v>
      </c>
      <c r="T973" s="330"/>
      <c r="U973" s="330"/>
      <c r="V973" s="331"/>
      <c r="W973" s="344"/>
      <c r="X973" s="341"/>
      <c r="Y973" s="33" t="s">
        <v>2867</v>
      </c>
      <c r="Z973" s="258">
        <v>120545.0</v>
      </c>
      <c r="AA973" s="334">
        <v>11550.0</v>
      </c>
      <c r="AB973" s="341"/>
      <c r="AC973" s="341"/>
      <c r="AD973" s="343"/>
      <c r="AE973" s="331"/>
      <c r="AF973" s="348"/>
      <c r="AG973" s="337"/>
      <c r="AH973" s="341"/>
      <c r="AI973" s="341"/>
      <c r="AJ973" s="341"/>
      <c r="AK973" s="341"/>
      <c r="AL973" s="341"/>
      <c r="AM973" s="338"/>
      <c r="AN973" s="341"/>
      <c r="AO973" s="341"/>
      <c r="AP973" s="341"/>
      <c r="AQ973" s="341"/>
      <c r="AR973" s="341"/>
      <c r="AS973" s="341"/>
      <c r="AT973" s="341"/>
      <c r="AU973" s="343"/>
      <c r="AV973" s="341"/>
      <c r="AW973" s="269" t="s">
        <v>2134</v>
      </c>
      <c r="AX973" s="334" t="s">
        <v>2869</v>
      </c>
      <c r="AY973" s="270" t="s">
        <v>695</v>
      </c>
      <c r="AZ973" s="173" t="s">
        <v>2866</v>
      </c>
      <c r="BA973" s="265">
        <v>10.0</v>
      </c>
      <c r="BB973" s="174" t="s">
        <v>245</v>
      </c>
      <c r="BC973" s="341"/>
      <c r="BD973" s="308"/>
      <c r="BE973" s="347"/>
      <c r="BF973" s="274" t="str">
        <f>IFERROR(__xludf.DUMMYFUNCTION("LOWER(Regexreplace(to_text(E973),""[^A-Za-z0-9]"","""")&amp;""_""&amp;Regexreplace(to_text(F973),""[^A-Za-z0-9]"",""""))"),"neptronic_evcbseries")</f>
        <v>neptronic_evcbseries</v>
      </c>
      <c r="BG973" s="275" t="str">
        <f>IFERROR(__xludf.DUMMYFUNCTION("upper(Regexreplace(to_text(E973),""[^A-Za-z0-9]"","""")&amp;""-""&amp;Regexreplace(to_text(F973),""[^A-Za-z0-9]"",""""))"),"NEPTRONIC-EVCBSERIES")</f>
        <v>NEPTRONIC-EVCBSERIES</v>
      </c>
    </row>
    <row r="974" ht="30.0" customHeight="1">
      <c r="A974" s="258">
        <v>966.0</v>
      </c>
      <c r="B974" s="237" t="s">
        <v>670</v>
      </c>
      <c r="C974" s="257" t="s">
        <v>4457</v>
      </c>
      <c r="D974" s="173" t="s">
        <v>4457</v>
      </c>
      <c r="E974" s="174" t="s">
        <v>2861</v>
      </c>
      <c r="F974" s="173" t="s">
        <v>2862</v>
      </c>
      <c r="G974" s="328" t="s">
        <v>673</v>
      </c>
      <c r="H974" s="328" t="s">
        <v>2863</v>
      </c>
      <c r="I974" s="258" t="s">
        <v>2864</v>
      </c>
      <c r="J974" s="259" t="s">
        <v>965</v>
      </c>
      <c r="K974" s="260" t="s">
        <v>4204</v>
      </c>
      <c r="L974" s="328"/>
      <c r="M974" s="343"/>
      <c r="N974" s="173" t="s">
        <v>679</v>
      </c>
      <c r="O974" s="173" t="s">
        <v>225</v>
      </c>
      <c r="P974" s="262" t="str">
        <f t="shared" si="1"/>
        <v>IN-BLR-ANANTA-VAV-546_3</v>
      </c>
      <c r="Q974" s="173" t="s">
        <v>4458</v>
      </c>
      <c r="R974" s="328" t="str">
        <f>IFS(C974="","",C974="n/a","N/A",LEN(C974),Concatenate("{",char(34),"asset",char(34),":{",char(34),"guid",char(34),":",char(34),Q974,char(34),",",char(34),"site",char(34),":",char(34),LOWER('2-Building'!$B$4),char(34),",",char(34),"name",char(34),":",char(34),LOWER(C974),char(34),"}}"))</f>
        <v>{"asset":{"guid":"uuid://a83cb3be-e59a-44ba-8222-cf694583012d","site":"in-blr-ananta","name":"vav-546"}}</v>
      </c>
      <c r="S974" s="237" t="s">
        <v>2866</v>
      </c>
      <c r="T974" s="330"/>
      <c r="U974" s="330"/>
      <c r="V974" s="331"/>
      <c r="W974" s="344"/>
      <c r="X974" s="341"/>
      <c r="Y974" s="33" t="s">
        <v>2867</v>
      </c>
      <c r="Z974" s="258">
        <v>120546.0</v>
      </c>
      <c r="AA974" s="334">
        <v>11550.0</v>
      </c>
      <c r="AB974" s="341"/>
      <c r="AC974" s="341"/>
      <c r="AD974" s="343"/>
      <c r="AE974" s="331"/>
      <c r="AF974" s="348"/>
      <c r="AG974" s="337"/>
      <c r="AH974" s="341"/>
      <c r="AI974" s="341"/>
      <c r="AJ974" s="341"/>
      <c r="AK974" s="341"/>
      <c r="AL974" s="341"/>
      <c r="AM974" s="338"/>
      <c r="AN974" s="341"/>
      <c r="AO974" s="341"/>
      <c r="AP974" s="341"/>
      <c r="AQ974" s="341"/>
      <c r="AR974" s="341"/>
      <c r="AS974" s="341"/>
      <c r="AT974" s="341"/>
      <c r="AU974" s="343"/>
      <c r="AV974" s="341"/>
      <c r="AW974" s="269" t="s">
        <v>2134</v>
      </c>
      <c r="AX974" s="334" t="s">
        <v>2869</v>
      </c>
      <c r="AY974" s="270" t="s">
        <v>695</v>
      </c>
      <c r="AZ974" s="173" t="s">
        <v>2866</v>
      </c>
      <c r="BA974" s="265">
        <v>10.0</v>
      </c>
      <c r="BB974" s="174" t="s">
        <v>245</v>
      </c>
      <c r="BC974" s="341"/>
      <c r="BD974" s="308"/>
      <c r="BE974" s="347"/>
      <c r="BF974" s="274" t="str">
        <f>IFERROR(__xludf.DUMMYFUNCTION("LOWER(Regexreplace(to_text(E974),""[^A-Za-z0-9]"","""")&amp;""_""&amp;Regexreplace(to_text(F974),""[^A-Za-z0-9]"",""""))"),"neptronic_evcbseries")</f>
        <v>neptronic_evcbseries</v>
      </c>
      <c r="BG974" s="275" t="str">
        <f>IFERROR(__xludf.DUMMYFUNCTION("upper(Regexreplace(to_text(E974),""[^A-Za-z0-9]"","""")&amp;""-""&amp;Regexreplace(to_text(F974),""[^A-Za-z0-9]"",""""))"),"NEPTRONIC-EVCBSERIES")</f>
        <v>NEPTRONIC-EVCBSERIES</v>
      </c>
    </row>
    <row r="975" ht="30.0" customHeight="1">
      <c r="A975" s="173">
        <v>967.0</v>
      </c>
      <c r="B975" s="237" t="s">
        <v>670</v>
      </c>
      <c r="C975" s="257" t="s">
        <v>4459</v>
      </c>
      <c r="D975" s="173" t="s">
        <v>4459</v>
      </c>
      <c r="E975" s="174" t="s">
        <v>2861</v>
      </c>
      <c r="F975" s="173" t="s">
        <v>2862</v>
      </c>
      <c r="G975" s="328" t="s">
        <v>673</v>
      </c>
      <c r="H975" s="328" t="s">
        <v>2863</v>
      </c>
      <c r="I975" s="258" t="s">
        <v>2864</v>
      </c>
      <c r="J975" s="259" t="s">
        <v>965</v>
      </c>
      <c r="K975" s="260" t="s">
        <v>4204</v>
      </c>
      <c r="L975" s="328"/>
      <c r="M975" s="343"/>
      <c r="N975" s="173" t="s">
        <v>679</v>
      </c>
      <c r="O975" s="173" t="s">
        <v>225</v>
      </c>
      <c r="P975" s="262" t="str">
        <f t="shared" si="1"/>
        <v>IN-BLR-ANANTA-VAV-547_3</v>
      </c>
      <c r="Q975" s="173" t="s">
        <v>4460</v>
      </c>
      <c r="R975" s="328" t="str">
        <f>IFS(C975="","",C975="n/a","N/A",LEN(C975),Concatenate("{",char(34),"asset",char(34),":{",char(34),"guid",char(34),":",char(34),Q975,char(34),",",char(34),"site",char(34),":",char(34),LOWER('2-Building'!$B$4),char(34),",",char(34),"name",char(34),":",char(34),LOWER(C975),char(34),"}}"))</f>
        <v>{"asset":{"guid":"uuid://cc94dbd9-ea0f-4391-80bb-68cc1559f0af","site":"in-blr-ananta","name":"vav-547"}}</v>
      </c>
      <c r="S975" s="237" t="s">
        <v>2866</v>
      </c>
      <c r="T975" s="330"/>
      <c r="U975" s="330"/>
      <c r="V975" s="331"/>
      <c r="W975" s="344"/>
      <c r="X975" s="341"/>
      <c r="Y975" s="33" t="s">
        <v>2867</v>
      </c>
      <c r="Z975" s="258">
        <v>120547.0</v>
      </c>
      <c r="AA975" s="334">
        <v>11550.0</v>
      </c>
      <c r="AB975" s="341"/>
      <c r="AC975" s="341"/>
      <c r="AD975" s="343"/>
      <c r="AE975" s="331"/>
      <c r="AF975" s="348"/>
      <c r="AG975" s="337"/>
      <c r="AH975" s="341"/>
      <c r="AI975" s="341"/>
      <c r="AJ975" s="341"/>
      <c r="AK975" s="341"/>
      <c r="AL975" s="341"/>
      <c r="AM975" s="338"/>
      <c r="AN975" s="341"/>
      <c r="AO975" s="341"/>
      <c r="AP975" s="341"/>
      <c r="AQ975" s="341"/>
      <c r="AR975" s="341"/>
      <c r="AS975" s="341"/>
      <c r="AT975" s="341"/>
      <c r="AU975" s="343"/>
      <c r="AV975" s="341"/>
      <c r="AW975" s="269" t="s">
        <v>2134</v>
      </c>
      <c r="AX975" s="334" t="s">
        <v>2869</v>
      </c>
      <c r="AY975" s="270" t="s">
        <v>695</v>
      </c>
      <c r="AZ975" s="173" t="s">
        <v>2866</v>
      </c>
      <c r="BA975" s="265">
        <v>10.0</v>
      </c>
      <c r="BB975" s="174" t="s">
        <v>245</v>
      </c>
      <c r="BC975" s="341"/>
      <c r="BD975" s="308"/>
      <c r="BE975" s="347"/>
      <c r="BF975" s="274" t="str">
        <f>IFERROR(__xludf.DUMMYFUNCTION("LOWER(Regexreplace(to_text(E975),""[^A-Za-z0-9]"","""")&amp;""_""&amp;Regexreplace(to_text(F975),""[^A-Za-z0-9]"",""""))"),"neptronic_evcbseries")</f>
        <v>neptronic_evcbseries</v>
      </c>
      <c r="BG975" s="275" t="str">
        <f>IFERROR(__xludf.DUMMYFUNCTION("upper(Regexreplace(to_text(E975),""[^A-Za-z0-9]"","""")&amp;""-""&amp;Regexreplace(to_text(F975),""[^A-Za-z0-9]"",""""))"),"NEPTRONIC-EVCBSERIES")</f>
        <v>NEPTRONIC-EVCBSERIES</v>
      </c>
    </row>
    <row r="976" ht="30.0" customHeight="1">
      <c r="A976" s="258">
        <v>968.0</v>
      </c>
      <c r="B976" s="237" t="s">
        <v>670</v>
      </c>
      <c r="C976" s="257" t="s">
        <v>4461</v>
      </c>
      <c r="D976" s="173" t="s">
        <v>4461</v>
      </c>
      <c r="E976" s="174" t="s">
        <v>2861</v>
      </c>
      <c r="F976" s="173" t="s">
        <v>2862</v>
      </c>
      <c r="G976" s="328" t="s">
        <v>673</v>
      </c>
      <c r="H976" s="328" t="s">
        <v>2863</v>
      </c>
      <c r="I976" s="258" t="s">
        <v>2864</v>
      </c>
      <c r="J976" s="259" t="s">
        <v>965</v>
      </c>
      <c r="K976" s="260" t="s">
        <v>4462</v>
      </c>
      <c r="L976" s="328"/>
      <c r="M976" s="343"/>
      <c r="N976" s="173" t="s">
        <v>679</v>
      </c>
      <c r="O976" s="173" t="s">
        <v>225</v>
      </c>
      <c r="P976" s="262" t="str">
        <f t="shared" si="1"/>
        <v>IN-BLR-ANANTA-VAV-548_3</v>
      </c>
      <c r="Q976" s="173" t="s">
        <v>4463</v>
      </c>
      <c r="R976" s="328" t="str">
        <f>IFS(C976="","",C976="n/a","N/A",LEN(C976),Concatenate("{",char(34),"asset",char(34),":{",char(34),"guid",char(34),":",char(34),Q976,char(34),",",char(34),"site",char(34),":",char(34),LOWER('2-Building'!$B$4),char(34),",",char(34),"name",char(34),":",char(34),LOWER(C976),char(34),"}}"))</f>
        <v>{"asset":{"guid":"uuid://1adfeacc-21d8-49cf-a68a-26983849ea80","site":"in-blr-ananta","name":"vav-548"}}</v>
      </c>
      <c r="S976" s="237" t="s">
        <v>2866</v>
      </c>
      <c r="T976" s="330"/>
      <c r="U976" s="330"/>
      <c r="V976" s="331"/>
      <c r="W976" s="344"/>
      <c r="X976" s="341"/>
      <c r="Y976" s="33" t="s">
        <v>2867</v>
      </c>
      <c r="Z976" s="258">
        <v>120548.0</v>
      </c>
      <c r="AA976" s="334">
        <v>11550.0</v>
      </c>
      <c r="AB976" s="341"/>
      <c r="AC976" s="341"/>
      <c r="AD976" s="343"/>
      <c r="AE976" s="331"/>
      <c r="AF976" s="348"/>
      <c r="AG976" s="337"/>
      <c r="AH976" s="341"/>
      <c r="AI976" s="341"/>
      <c r="AJ976" s="341"/>
      <c r="AK976" s="341"/>
      <c r="AL976" s="341"/>
      <c r="AM976" s="338"/>
      <c r="AN976" s="341"/>
      <c r="AO976" s="341"/>
      <c r="AP976" s="341"/>
      <c r="AQ976" s="341"/>
      <c r="AR976" s="341"/>
      <c r="AS976" s="341"/>
      <c r="AT976" s="341"/>
      <c r="AU976" s="343"/>
      <c r="AV976" s="341"/>
      <c r="AW976" s="269" t="s">
        <v>2134</v>
      </c>
      <c r="AX976" s="334" t="s">
        <v>2869</v>
      </c>
      <c r="AY976" s="270" t="s">
        <v>695</v>
      </c>
      <c r="AZ976" s="173" t="s">
        <v>2866</v>
      </c>
      <c r="BA976" s="265">
        <v>10.0</v>
      </c>
      <c r="BB976" s="174" t="s">
        <v>245</v>
      </c>
      <c r="BC976" s="341"/>
      <c r="BD976" s="308"/>
      <c r="BE976" s="347"/>
      <c r="BF976" s="274" t="str">
        <f>IFERROR(__xludf.DUMMYFUNCTION("LOWER(Regexreplace(to_text(E976),""[^A-Za-z0-9]"","""")&amp;""_""&amp;Regexreplace(to_text(F976),""[^A-Za-z0-9]"",""""))"),"neptronic_evcbseries")</f>
        <v>neptronic_evcbseries</v>
      </c>
      <c r="BG976" s="275" t="str">
        <f>IFERROR(__xludf.DUMMYFUNCTION("upper(Regexreplace(to_text(E976),""[^A-Za-z0-9]"","""")&amp;""-""&amp;Regexreplace(to_text(F976),""[^A-Za-z0-9]"",""""))"),"NEPTRONIC-EVCBSERIES")</f>
        <v>NEPTRONIC-EVCBSERIES</v>
      </c>
    </row>
    <row r="977" ht="30.0" customHeight="1">
      <c r="A977" s="173">
        <v>969.0</v>
      </c>
      <c r="B977" s="237" t="s">
        <v>670</v>
      </c>
      <c r="C977" s="257" t="s">
        <v>4464</v>
      </c>
      <c r="D977" s="173" t="s">
        <v>4464</v>
      </c>
      <c r="E977" s="174" t="s">
        <v>2861</v>
      </c>
      <c r="F977" s="173" t="s">
        <v>2862</v>
      </c>
      <c r="G977" s="328" t="s">
        <v>673</v>
      </c>
      <c r="H977" s="328" t="s">
        <v>2863</v>
      </c>
      <c r="I977" s="258" t="s">
        <v>2864</v>
      </c>
      <c r="J977" s="259" t="s">
        <v>965</v>
      </c>
      <c r="K977" s="260" t="s">
        <v>4465</v>
      </c>
      <c r="L977" s="328"/>
      <c r="M977" s="343"/>
      <c r="N977" s="173" t="s">
        <v>679</v>
      </c>
      <c r="O977" s="173" t="s">
        <v>225</v>
      </c>
      <c r="P977" s="262" t="str">
        <f t="shared" si="1"/>
        <v>IN-BLR-ANANTA-VAV-549_3</v>
      </c>
      <c r="Q977" s="173" t="s">
        <v>4466</v>
      </c>
      <c r="R977" s="328" t="str">
        <f>IFS(C977="","",C977="n/a","N/A",LEN(C977),Concatenate("{",char(34),"asset",char(34),":{",char(34),"guid",char(34),":",char(34),Q977,char(34),",",char(34),"site",char(34),":",char(34),LOWER('2-Building'!$B$4),char(34),",",char(34),"name",char(34),":",char(34),LOWER(C977),char(34),"}}"))</f>
        <v>{"asset":{"guid":"uuid://26290b5b-bafa-4a80-9eb1-3a70f42b7248","site":"in-blr-ananta","name":"vav-549"}}</v>
      </c>
      <c r="S977" s="237" t="s">
        <v>2866</v>
      </c>
      <c r="T977" s="330"/>
      <c r="U977" s="330"/>
      <c r="V977" s="331"/>
      <c r="W977" s="344"/>
      <c r="X977" s="341"/>
      <c r="Y977" s="33" t="s">
        <v>2867</v>
      </c>
      <c r="Z977" s="258">
        <v>120549.0</v>
      </c>
      <c r="AA977" s="334">
        <v>11550.0</v>
      </c>
      <c r="AB977" s="341"/>
      <c r="AC977" s="341"/>
      <c r="AD977" s="343"/>
      <c r="AE977" s="331"/>
      <c r="AF977" s="348"/>
      <c r="AG977" s="337"/>
      <c r="AH977" s="341"/>
      <c r="AI977" s="341"/>
      <c r="AJ977" s="341"/>
      <c r="AK977" s="341"/>
      <c r="AL977" s="341"/>
      <c r="AM977" s="338"/>
      <c r="AN977" s="341"/>
      <c r="AO977" s="341"/>
      <c r="AP977" s="341"/>
      <c r="AQ977" s="341"/>
      <c r="AR977" s="341"/>
      <c r="AS977" s="341"/>
      <c r="AT977" s="341"/>
      <c r="AU977" s="343"/>
      <c r="AV977" s="341"/>
      <c r="AW977" s="269" t="s">
        <v>2134</v>
      </c>
      <c r="AX977" s="334" t="s">
        <v>2869</v>
      </c>
      <c r="AY977" s="270" t="s">
        <v>695</v>
      </c>
      <c r="AZ977" s="173" t="s">
        <v>2866</v>
      </c>
      <c r="BA977" s="265">
        <v>10.0</v>
      </c>
      <c r="BB977" s="174" t="s">
        <v>245</v>
      </c>
      <c r="BC977" s="341"/>
      <c r="BD977" s="308"/>
      <c r="BE977" s="347"/>
      <c r="BF977" s="274" t="str">
        <f>IFERROR(__xludf.DUMMYFUNCTION("LOWER(Regexreplace(to_text(E977),""[^A-Za-z0-9]"","""")&amp;""_""&amp;Regexreplace(to_text(F977),""[^A-Za-z0-9]"",""""))"),"neptronic_evcbseries")</f>
        <v>neptronic_evcbseries</v>
      </c>
      <c r="BG977" s="275" t="str">
        <f>IFERROR(__xludf.DUMMYFUNCTION("upper(Regexreplace(to_text(E977),""[^A-Za-z0-9]"","""")&amp;""-""&amp;Regexreplace(to_text(F977),""[^A-Za-z0-9]"",""""))"),"NEPTRONIC-EVCBSERIES")</f>
        <v>NEPTRONIC-EVCBSERIES</v>
      </c>
    </row>
    <row r="978" ht="30.0" customHeight="1">
      <c r="A978" s="258">
        <v>970.0</v>
      </c>
      <c r="B978" s="237" t="s">
        <v>670</v>
      </c>
      <c r="C978" s="257" t="s">
        <v>4467</v>
      </c>
      <c r="D978" s="173" t="s">
        <v>4467</v>
      </c>
      <c r="E978" s="174" t="s">
        <v>2861</v>
      </c>
      <c r="F978" s="173" t="s">
        <v>2862</v>
      </c>
      <c r="G978" s="328" t="s">
        <v>673</v>
      </c>
      <c r="H978" s="328" t="s">
        <v>2863</v>
      </c>
      <c r="I978" s="258" t="s">
        <v>2864</v>
      </c>
      <c r="J978" s="259" t="s">
        <v>965</v>
      </c>
      <c r="K978" s="260" t="s">
        <v>4468</v>
      </c>
      <c r="L978" s="328"/>
      <c r="M978" s="343"/>
      <c r="N978" s="173" t="s">
        <v>679</v>
      </c>
      <c r="O978" s="173" t="s">
        <v>225</v>
      </c>
      <c r="P978" s="262" t="str">
        <f t="shared" si="1"/>
        <v>IN-BLR-ANANTA-VAV-550_3</v>
      </c>
      <c r="Q978" s="173" t="s">
        <v>4469</v>
      </c>
      <c r="R978" s="328" t="str">
        <f>IFS(C978="","",C978="n/a","N/A",LEN(C978),Concatenate("{",char(34),"asset",char(34),":{",char(34),"guid",char(34),":",char(34),Q978,char(34),",",char(34),"site",char(34),":",char(34),LOWER('2-Building'!$B$4),char(34),",",char(34),"name",char(34),":",char(34),LOWER(C978),char(34),"}}"))</f>
        <v>{"asset":{"guid":"uuid://58aba42e-d96e-4517-aa51-99bc96b18b4c","site":"in-blr-ananta","name":"vav-550"}}</v>
      </c>
      <c r="S978" s="237" t="s">
        <v>2866</v>
      </c>
      <c r="T978" s="330"/>
      <c r="U978" s="330"/>
      <c r="V978" s="331"/>
      <c r="W978" s="344"/>
      <c r="X978" s="341"/>
      <c r="Y978" s="33" t="s">
        <v>2867</v>
      </c>
      <c r="Z978" s="258">
        <v>120550.0</v>
      </c>
      <c r="AA978" s="334">
        <v>11550.0</v>
      </c>
      <c r="AB978" s="341"/>
      <c r="AC978" s="341"/>
      <c r="AD978" s="343"/>
      <c r="AE978" s="331"/>
      <c r="AF978" s="348"/>
      <c r="AG978" s="337"/>
      <c r="AH978" s="341"/>
      <c r="AI978" s="341"/>
      <c r="AJ978" s="341"/>
      <c r="AK978" s="341"/>
      <c r="AL978" s="341"/>
      <c r="AM978" s="338"/>
      <c r="AN978" s="341"/>
      <c r="AO978" s="341"/>
      <c r="AP978" s="341"/>
      <c r="AQ978" s="341"/>
      <c r="AR978" s="341"/>
      <c r="AS978" s="341"/>
      <c r="AT978" s="341"/>
      <c r="AU978" s="343"/>
      <c r="AV978" s="341"/>
      <c r="AW978" s="269" t="s">
        <v>2134</v>
      </c>
      <c r="AX978" s="334" t="s">
        <v>2869</v>
      </c>
      <c r="AY978" s="270" t="s">
        <v>695</v>
      </c>
      <c r="AZ978" s="173" t="s">
        <v>2866</v>
      </c>
      <c r="BA978" s="265">
        <v>10.0</v>
      </c>
      <c r="BB978" s="174" t="s">
        <v>245</v>
      </c>
      <c r="BC978" s="341"/>
      <c r="BD978" s="308"/>
      <c r="BE978" s="347"/>
      <c r="BF978" s="274" t="str">
        <f>IFERROR(__xludf.DUMMYFUNCTION("LOWER(Regexreplace(to_text(E978),""[^A-Za-z0-9]"","""")&amp;""_""&amp;Regexreplace(to_text(F978),""[^A-Za-z0-9]"",""""))"),"neptronic_evcbseries")</f>
        <v>neptronic_evcbseries</v>
      </c>
      <c r="BG978" s="275" t="str">
        <f>IFERROR(__xludf.DUMMYFUNCTION("upper(Regexreplace(to_text(E978),""[^A-Za-z0-9]"","""")&amp;""-""&amp;Regexreplace(to_text(F978),""[^A-Za-z0-9]"",""""))"),"NEPTRONIC-EVCBSERIES")</f>
        <v>NEPTRONIC-EVCBSERIES</v>
      </c>
    </row>
    <row r="979" ht="30.0" customHeight="1">
      <c r="A979" s="173">
        <v>971.0</v>
      </c>
      <c r="B979" s="237" t="s">
        <v>670</v>
      </c>
      <c r="C979" s="257" t="s">
        <v>4470</v>
      </c>
      <c r="D979" s="173" t="s">
        <v>4470</v>
      </c>
      <c r="E979" s="174" t="s">
        <v>2861</v>
      </c>
      <c r="F979" s="173" t="s">
        <v>2862</v>
      </c>
      <c r="G979" s="328" t="s">
        <v>673</v>
      </c>
      <c r="H979" s="328" t="s">
        <v>2863</v>
      </c>
      <c r="I979" s="258" t="s">
        <v>2864</v>
      </c>
      <c r="J979" s="259" t="s">
        <v>965</v>
      </c>
      <c r="K979" s="260" t="s">
        <v>4471</v>
      </c>
      <c r="L979" s="328"/>
      <c r="M979" s="343"/>
      <c r="N979" s="173" t="s">
        <v>679</v>
      </c>
      <c r="O979" s="173" t="s">
        <v>225</v>
      </c>
      <c r="P979" s="262" t="str">
        <f t="shared" si="1"/>
        <v>IN-BLR-ANANTA-VAV-551_3</v>
      </c>
      <c r="Q979" s="173" t="s">
        <v>4472</v>
      </c>
      <c r="R979" s="328" t="str">
        <f>IFS(C979="","",C979="n/a","N/A",LEN(C979),Concatenate("{",char(34),"asset",char(34),":{",char(34),"guid",char(34),":",char(34),Q979,char(34),",",char(34),"site",char(34),":",char(34),LOWER('2-Building'!$B$4),char(34),",",char(34),"name",char(34),":",char(34),LOWER(C979),char(34),"}}"))</f>
        <v>{"asset":{"guid":"uuid://113026e7-d325-477c-b106-e2d406727dac","site":"in-blr-ananta","name":"vav-551"}}</v>
      </c>
      <c r="S979" s="237" t="s">
        <v>2866</v>
      </c>
      <c r="T979" s="330"/>
      <c r="U979" s="330"/>
      <c r="V979" s="331"/>
      <c r="W979" s="344"/>
      <c r="X979" s="341"/>
      <c r="Y979" s="33" t="s">
        <v>2867</v>
      </c>
      <c r="Z979" s="258">
        <v>120551.0</v>
      </c>
      <c r="AA979" s="334">
        <v>11550.0</v>
      </c>
      <c r="AB979" s="341"/>
      <c r="AC979" s="341"/>
      <c r="AD979" s="343"/>
      <c r="AE979" s="331"/>
      <c r="AF979" s="348"/>
      <c r="AG979" s="337"/>
      <c r="AH979" s="341"/>
      <c r="AI979" s="341"/>
      <c r="AJ979" s="341"/>
      <c r="AK979" s="341"/>
      <c r="AL979" s="341"/>
      <c r="AM979" s="338"/>
      <c r="AN979" s="341"/>
      <c r="AO979" s="341"/>
      <c r="AP979" s="341"/>
      <c r="AQ979" s="341"/>
      <c r="AR979" s="341"/>
      <c r="AS979" s="341"/>
      <c r="AT979" s="341"/>
      <c r="AU979" s="343"/>
      <c r="AV979" s="341"/>
      <c r="AW979" s="269" t="s">
        <v>2134</v>
      </c>
      <c r="AX979" s="334" t="s">
        <v>2869</v>
      </c>
      <c r="AY979" s="270" t="s">
        <v>695</v>
      </c>
      <c r="AZ979" s="173" t="s">
        <v>2866</v>
      </c>
      <c r="BA979" s="265">
        <v>10.0</v>
      </c>
      <c r="BB979" s="174" t="s">
        <v>245</v>
      </c>
      <c r="BC979" s="341"/>
      <c r="BD979" s="308"/>
      <c r="BE979" s="347"/>
      <c r="BF979" s="274" t="str">
        <f>IFERROR(__xludf.DUMMYFUNCTION("LOWER(Regexreplace(to_text(E979),""[^A-Za-z0-9]"","""")&amp;""_""&amp;Regexreplace(to_text(F979),""[^A-Za-z0-9]"",""""))"),"neptronic_evcbseries")</f>
        <v>neptronic_evcbseries</v>
      </c>
      <c r="BG979" s="275" t="str">
        <f>IFERROR(__xludf.DUMMYFUNCTION("upper(Regexreplace(to_text(E979),""[^A-Za-z0-9]"","""")&amp;""-""&amp;Regexreplace(to_text(F979),""[^A-Za-z0-9]"",""""))"),"NEPTRONIC-EVCBSERIES")</f>
        <v>NEPTRONIC-EVCBSERIES</v>
      </c>
    </row>
    <row r="980" ht="30.0" customHeight="1">
      <c r="A980" s="258">
        <v>972.0</v>
      </c>
      <c r="B980" s="237" t="s">
        <v>670</v>
      </c>
      <c r="C980" s="257" t="s">
        <v>4473</v>
      </c>
      <c r="D980" s="173" t="s">
        <v>4473</v>
      </c>
      <c r="E980" s="174" t="s">
        <v>2861</v>
      </c>
      <c r="F980" s="173" t="s">
        <v>2862</v>
      </c>
      <c r="G980" s="328" t="s">
        <v>673</v>
      </c>
      <c r="H980" s="328" t="s">
        <v>2863</v>
      </c>
      <c r="I980" s="258" t="s">
        <v>2864</v>
      </c>
      <c r="J980" s="259" t="s">
        <v>965</v>
      </c>
      <c r="K980" s="260" t="s">
        <v>4474</v>
      </c>
      <c r="L980" s="328"/>
      <c r="M980" s="343"/>
      <c r="N980" s="173" t="s">
        <v>679</v>
      </c>
      <c r="O980" s="173" t="s">
        <v>225</v>
      </c>
      <c r="P980" s="262" t="str">
        <f t="shared" si="1"/>
        <v>IN-BLR-ANANTA-VAV-552_3</v>
      </c>
      <c r="Q980" s="173" t="s">
        <v>4475</v>
      </c>
      <c r="R980" s="328" t="str">
        <f>IFS(C980="","",C980="n/a","N/A",LEN(C980),Concatenate("{",char(34),"asset",char(34),":{",char(34),"guid",char(34),":",char(34),Q980,char(34),",",char(34),"site",char(34),":",char(34),LOWER('2-Building'!$B$4),char(34),",",char(34),"name",char(34),":",char(34),LOWER(C980),char(34),"}}"))</f>
        <v>{"asset":{"guid":"uuid://0efa2491-7813-4ec5-8109-02ba53b8b2d4","site":"in-blr-ananta","name":"vav-552"}}</v>
      </c>
      <c r="S980" s="237" t="s">
        <v>2866</v>
      </c>
      <c r="T980" s="330"/>
      <c r="U980" s="330"/>
      <c r="V980" s="331"/>
      <c r="W980" s="344"/>
      <c r="X980" s="341"/>
      <c r="Y980" s="33" t="s">
        <v>2867</v>
      </c>
      <c r="Z980" s="258">
        <v>120552.0</v>
      </c>
      <c r="AA980" s="334">
        <v>11550.0</v>
      </c>
      <c r="AB980" s="341"/>
      <c r="AC980" s="341"/>
      <c r="AD980" s="343"/>
      <c r="AE980" s="331"/>
      <c r="AF980" s="348"/>
      <c r="AG980" s="337"/>
      <c r="AH980" s="341"/>
      <c r="AI980" s="341"/>
      <c r="AJ980" s="341"/>
      <c r="AK980" s="341"/>
      <c r="AL980" s="341"/>
      <c r="AM980" s="338"/>
      <c r="AN980" s="341"/>
      <c r="AO980" s="341"/>
      <c r="AP980" s="341"/>
      <c r="AQ980" s="341"/>
      <c r="AR980" s="341"/>
      <c r="AS980" s="341"/>
      <c r="AT980" s="341"/>
      <c r="AU980" s="343"/>
      <c r="AV980" s="341"/>
      <c r="AW980" s="269" t="s">
        <v>2134</v>
      </c>
      <c r="AX980" s="334" t="s">
        <v>2869</v>
      </c>
      <c r="AY980" s="270" t="s">
        <v>695</v>
      </c>
      <c r="AZ980" s="173" t="s">
        <v>2866</v>
      </c>
      <c r="BA980" s="265">
        <v>10.0</v>
      </c>
      <c r="BB980" s="174" t="s">
        <v>245</v>
      </c>
      <c r="BC980" s="341"/>
      <c r="BD980" s="308"/>
      <c r="BE980" s="347"/>
      <c r="BF980" s="274" t="str">
        <f>IFERROR(__xludf.DUMMYFUNCTION("LOWER(Regexreplace(to_text(E980),""[^A-Za-z0-9]"","""")&amp;""_""&amp;Regexreplace(to_text(F980),""[^A-Za-z0-9]"",""""))"),"neptronic_evcbseries")</f>
        <v>neptronic_evcbseries</v>
      </c>
      <c r="BG980" s="275" t="str">
        <f>IFERROR(__xludf.DUMMYFUNCTION("upper(Regexreplace(to_text(E980),""[^A-Za-z0-9]"","""")&amp;""-""&amp;Regexreplace(to_text(F980),""[^A-Za-z0-9]"",""""))"),"NEPTRONIC-EVCBSERIES")</f>
        <v>NEPTRONIC-EVCBSERIES</v>
      </c>
    </row>
    <row r="981" ht="30.0" customHeight="1">
      <c r="A981" s="173">
        <v>973.0</v>
      </c>
      <c r="B981" s="237" t="s">
        <v>670</v>
      </c>
      <c r="C981" s="257" t="s">
        <v>4476</v>
      </c>
      <c r="D981" s="173" t="s">
        <v>4476</v>
      </c>
      <c r="E981" s="174" t="s">
        <v>2861</v>
      </c>
      <c r="F981" s="173" t="s">
        <v>2862</v>
      </c>
      <c r="G981" s="328" t="s">
        <v>673</v>
      </c>
      <c r="H981" s="328" t="s">
        <v>2863</v>
      </c>
      <c r="I981" s="258" t="s">
        <v>2864</v>
      </c>
      <c r="J981" s="259" t="s">
        <v>965</v>
      </c>
      <c r="K981" s="260" t="s">
        <v>4477</v>
      </c>
      <c r="L981" s="328"/>
      <c r="M981" s="343"/>
      <c r="N981" s="173" t="s">
        <v>679</v>
      </c>
      <c r="O981" s="173" t="s">
        <v>225</v>
      </c>
      <c r="P981" s="262" t="str">
        <f t="shared" si="1"/>
        <v>IN-BLR-ANANTA-VAV-553_3</v>
      </c>
      <c r="Q981" s="173" t="s">
        <v>4478</v>
      </c>
      <c r="R981" s="328" t="str">
        <f>IFS(C981="","",C981="n/a","N/A",LEN(C981),Concatenate("{",char(34),"asset",char(34),":{",char(34),"guid",char(34),":",char(34),Q981,char(34),",",char(34),"site",char(34),":",char(34),LOWER('2-Building'!$B$4),char(34),",",char(34),"name",char(34),":",char(34),LOWER(C981),char(34),"}}"))</f>
        <v>{"asset":{"guid":"uuid://e1988440-fdc9-4553-a8ab-97643753fd7b","site":"in-blr-ananta","name":"vav-553"}}</v>
      </c>
      <c r="S981" s="237" t="s">
        <v>2866</v>
      </c>
      <c r="T981" s="330"/>
      <c r="U981" s="330"/>
      <c r="V981" s="331"/>
      <c r="W981" s="344"/>
      <c r="X981" s="341"/>
      <c r="Y981" s="33" t="s">
        <v>2867</v>
      </c>
      <c r="Z981" s="258">
        <v>120553.0</v>
      </c>
      <c r="AA981" s="334">
        <v>11550.0</v>
      </c>
      <c r="AB981" s="341"/>
      <c r="AC981" s="341"/>
      <c r="AD981" s="343"/>
      <c r="AE981" s="331"/>
      <c r="AF981" s="348"/>
      <c r="AG981" s="337"/>
      <c r="AH981" s="341"/>
      <c r="AI981" s="341"/>
      <c r="AJ981" s="341"/>
      <c r="AK981" s="341"/>
      <c r="AL981" s="341"/>
      <c r="AM981" s="338"/>
      <c r="AN981" s="341"/>
      <c r="AO981" s="341"/>
      <c r="AP981" s="341"/>
      <c r="AQ981" s="341"/>
      <c r="AR981" s="341"/>
      <c r="AS981" s="341"/>
      <c r="AT981" s="341"/>
      <c r="AU981" s="343"/>
      <c r="AV981" s="341"/>
      <c r="AW981" s="269" t="s">
        <v>2134</v>
      </c>
      <c r="AX981" s="334" t="s">
        <v>2869</v>
      </c>
      <c r="AY981" s="270" t="s">
        <v>695</v>
      </c>
      <c r="AZ981" s="173" t="s">
        <v>2866</v>
      </c>
      <c r="BA981" s="265">
        <v>10.0</v>
      </c>
      <c r="BB981" s="174" t="s">
        <v>245</v>
      </c>
      <c r="BC981" s="341"/>
      <c r="BD981" s="308"/>
      <c r="BE981" s="347"/>
      <c r="BF981" s="274" t="str">
        <f>IFERROR(__xludf.DUMMYFUNCTION("LOWER(Regexreplace(to_text(E981),""[^A-Za-z0-9]"","""")&amp;""_""&amp;Regexreplace(to_text(F981),""[^A-Za-z0-9]"",""""))"),"neptronic_evcbseries")</f>
        <v>neptronic_evcbseries</v>
      </c>
      <c r="BG981" s="275" t="str">
        <f>IFERROR(__xludf.DUMMYFUNCTION("upper(Regexreplace(to_text(E981),""[^A-Za-z0-9]"","""")&amp;""-""&amp;Regexreplace(to_text(F981),""[^A-Za-z0-9]"",""""))"),"NEPTRONIC-EVCBSERIES")</f>
        <v>NEPTRONIC-EVCBSERIES</v>
      </c>
    </row>
    <row r="982" ht="30.0" customHeight="1">
      <c r="A982" s="258">
        <v>974.0</v>
      </c>
      <c r="B982" s="237" t="s">
        <v>670</v>
      </c>
      <c r="C982" s="257" t="s">
        <v>4479</v>
      </c>
      <c r="D982" s="173" t="s">
        <v>4479</v>
      </c>
      <c r="E982" s="174" t="s">
        <v>2861</v>
      </c>
      <c r="F982" s="173" t="s">
        <v>2862</v>
      </c>
      <c r="G982" s="328" t="s">
        <v>673</v>
      </c>
      <c r="H982" s="328" t="s">
        <v>2863</v>
      </c>
      <c r="I982" s="258" t="s">
        <v>2864</v>
      </c>
      <c r="J982" s="259" t="s">
        <v>965</v>
      </c>
      <c r="K982" s="260" t="s">
        <v>4480</v>
      </c>
      <c r="L982" s="328"/>
      <c r="M982" s="343"/>
      <c r="N982" s="173" t="s">
        <v>679</v>
      </c>
      <c r="O982" s="173" t="s">
        <v>225</v>
      </c>
      <c r="P982" s="262" t="str">
        <f t="shared" si="1"/>
        <v>IN-BLR-ANANTA-VAV-554_3</v>
      </c>
      <c r="Q982" s="173" t="s">
        <v>4481</v>
      </c>
      <c r="R982" s="328" t="str">
        <f>IFS(C982="","",C982="n/a","N/A",LEN(C982),Concatenate("{",char(34),"asset",char(34),":{",char(34),"guid",char(34),":",char(34),Q982,char(34),",",char(34),"site",char(34),":",char(34),LOWER('2-Building'!$B$4),char(34),",",char(34),"name",char(34),":",char(34),LOWER(C982),char(34),"}}"))</f>
        <v>{"asset":{"guid":"uuid://47a4906a-5eec-41b7-8f11-1891e38296e2","site":"in-blr-ananta","name":"vav-554"}}</v>
      </c>
      <c r="S982" s="237" t="s">
        <v>2866</v>
      </c>
      <c r="T982" s="330"/>
      <c r="U982" s="330"/>
      <c r="V982" s="331"/>
      <c r="W982" s="344"/>
      <c r="X982" s="341"/>
      <c r="Y982" s="33" t="s">
        <v>2867</v>
      </c>
      <c r="Z982" s="258">
        <v>120554.0</v>
      </c>
      <c r="AA982" s="334">
        <v>11550.0</v>
      </c>
      <c r="AB982" s="341"/>
      <c r="AC982" s="341"/>
      <c r="AD982" s="343"/>
      <c r="AE982" s="331"/>
      <c r="AF982" s="348"/>
      <c r="AG982" s="337"/>
      <c r="AH982" s="341"/>
      <c r="AI982" s="341"/>
      <c r="AJ982" s="341"/>
      <c r="AK982" s="341"/>
      <c r="AL982" s="341"/>
      <c r="AM982" s="338"/>
      <c r="AN982" s="341"/>
      <c r="AO982" s="341"/>
      <c r="AP982" s="341"/>
      <c r="AQ982" s="341"/>
      <c r="AR982" s="341"/>
      <c r="AS982" s="341"/>
      <c r="AT982" s="341"/>
      <c r="AU982" s="343"/>
      <c r="AV982" s="341"/>
      <c r="AW982" s="269" t="s">
        <v>2134</v>
      </c>
      <c r="AX982" s="334" t="s">
        <v>2869</v>
      </c>
      <c r="AY982" s="270" t="s">
        <v>695</v>
      </c>
      <c r="AZ982" s="173" t="s">
        <v>2866</v>
      </c>
      <c r="BA982" s="265">
        <v>10.0</v>
      </c>
      <c r="BB982" s="174" t="s">
        <v>245</v>
      </c>
      <c r="BC982" s="341"/>
      <c r="BD982" s="308"/>
      <c r="BE982" s="347"/>
      <c r="BF982" s="274" t="str">
        <f>IFERROR(__xludf.DUMMYFUNCTION("LOWER(Regexreplace(to_text(E982),""[^A-Za-z0-9]"","""")&amp;""_""&amp;Regexreplace(to_text(F982),""[^A-Za-z0-9]"",""""))"),"neptronic_evcbseries")</f>
        <v>neptronic_evcbseries</v>
      </c>
      <c r="BG982" s="275" t="str">
        <f>IFERROR(__xludf.DUMMYFUNCTION("upper(Regexreplace(to_text(E982),""[^A-Za-z0-9]"","""")&amp;""-""&amp;Regexreplace(to_text(F982),""[^A-Za-z0-9]"",""""))"),"NEPTRONIC-EVCBSERIES")</f>
        <v>NEPTRONIC-EVCBSERIES</v>
      </c>
    </row>
    <row r="983" ht="30.0" customHeight="1">
      <c r="A983" s="173">
        <v>975.0</v>
      </c>
      <c r="B983" s="237" t="s">
        <v>670</v>
      </c>
      <c r="C983" s="257" t="s">
        <v>4482</v>
      </c>
      <c r="D983" s="173" t="s">
        <v>4482</v>
      </c>
      <c r="E983" s="174" t="s">
        <v>2861</v>
      </c>
      <c r="F983" s="173" t="s">
        <v>2862</v>
      </c>
      <c r="G983" s="328" t="s">
        <v>673</v>
      </c>
      <c r="H983" s="328" t="s">
        <v>2863</v>
      </c>
      <c r="I983" s="258" t="s">
        <v>2864</v>
      </c>
      <c r="J983" s="259" t="s">
        <v>965</v>
      </c>
      <c r="K983" s="260" t="s">
        <v>4483</v>
      </c>
      <c r="L983" s="328"/>
      <c r="M983" s="343"/>
      <c r="N983" s="173" t="s">
        <v>679</v>
      </c>
      <c r="O983" s="173" t="s">
        <v>225</v>
      </c>
      <c r="P983" s="262" t="str">
        <f t="shared" si="1"/>
        <v>IN-BLR-ANANTA-VAV-555_3</v>
      </c>
      <c r="Q983" s="173" t="s">
        <v>4484</v>
      </c>
      <c r="R983" s="328" t="str">
        <f>IFS(C983="","",C983="n/a","N/A",LEN(C983),Concatenate("{",char(34),"asset",char(34),":{",char(34),"guid",char(34),":",char(34),Q983,char(34),",",char(34),"site",char(34),":",char(34),LOWER('2-Building'!$B$4),char(34),",",char(34),"name",char(34),":",char(34),LOWER(C983),char(34),"}}"))</f>
        <v>{"asset":{"guid":"uuid://292029a8-a316-4295-9ad7-9e4d5d88ec8a","site":"in-blr-ananta","name":"vav-555"}}</v>
      </c>
      <c r="S983" s="237" t="s">
        <v>2866</v>
      </c>
      <c r="T983" s="330"/>
      <c r="U983" s="330"/>
      <c r="V983" s="331"/>
      <c r="W983" s="344"/>
      <c r="X983" s="341"/>
      <c r="Y983" s="33" t="s">
        <v>2867</v>
      </c>
      <c r="Z983" s="258">
        <v>120555.0</v>
      </c>
      <c r="AA983" s="334">
        <v>11550.0</v>
      </c>
      <c r="AB983" s="341"/>
      <c r="AC983" s="341"/>
      <c r="AD983" s="343"/>
      <c r="AE983" s="331"/>
      <c r="AF983" s="348"/>
      <c r="AG983" s="337"/>
      <c r="AH983" s="341"/>
      <c r="AI983" s="341"/>
      <c r="AJ983" s="341"/>
      <c r="AK983" s="341"/>
      <c r="AL983" s="341"/>
      <c r="AM983" s="338"/>
      <c r="AN983" s="341"/>
      <c r="AO983" s="341"/>
      <c r="AP983" s="341"/>
      <c r="AQ983" s="341"/>
      <c r="AR983" s="341"/>
      <c r="AS983" s="341"/>
      <c r="AT983" s="341"/>
      <c r="AU983" s="343"/>
      <c r="AV983" s="341"/>
      <c r="AW983" s="269" t="s">
        <v>2134</v>
      </c>
      <c r="AX983" s="334" t="s">
        <v>2869</v>
      </c>
      <c r="AY983" s="270" t="s">
        <v>695</v>
      </c>
      <c r="AZ983" s="173" t="s">
        <v>2866</v>
      </c>
      <c r="BA983" s="265">
        <v>10.0</v>
      </c>
      <c r="BB983" s="174" t="s">
        <v>245</v>
      </c>
      <c r="BC983" s="341"/>
      <c r="BD983" s="308"/>
      <c r="BE983" s="347"/>
      <c r="BF983" s="274" t="str">
        <f>IFERROR(__xludf.DUMMYFUNCTION("LOWER(Regexreplace(to_text(E983),""[^A-Za-z0-9]"","""")&amp;""_""&amp;Regexreplace(to_text(F983),""[^A-Za-z0-9]"",""""))"),"neptronic_evcbseries")</f>
        <v>neptronic_evcbseries</v>
      </c>
      <c r="BG983" s="275" t="str">
        <f>IFERROR(__xludf.DUMMYFUNCTION("upper(Regexreplace(to_text(E983),""[^A-Za-z0-9]"","""")&amp;""-""&amp;Regexreplace(to_text(F983),""[^A-Za-z0-9]"",""""))"),"NEPTRONIC-EVCBSERIES")</f>
        <v>NEPTRONIC-EVCBSERIES</v>
      </c>
    </row>
    <row r="984" ht="30.0" customHeight="1">
      <c r="A984" s="258">
        <v>976.0</v>
      </c>
      <c r="B984" s="237" t="s">
        <v>670</v>
      </c>
      <c r="C984" s="257" t="s">
        <v>4485</v>
      </c>
      <c r="D984" s="173" t="s">
        <v>4485</v>
      </c>
      <c r="E984" s="174" t="s">
        <v>2861</v>
      </c>
      <c r="F984" s="173" t="s">
        <v>2862</v>
      </c>
      <c r="G984" s="328" t="s">
        <v>673</v>
      </c>
      <c r="H984" s="328" t="s">
        <v>2863</v>
      </c>
      <c r="I984" s="258" t="s">
        <v>2864</v>
      </c>
      <c r="J984" s="259" t="s">
        <v>965</v>
      </c>
      <c r="K984" s="260" t="s">
        <v>4486</v>
      </c>
      <c r="L984" s="328"/>
      <c r="M984" s="343"/>
      <c r="N984" s="173" t="s">
        <v>679</v>
      </c>
      <c r="O984" s="173" t="s">
        <v>225</v>
      </c>
      <c r="P984" s="262" t="str">
        <f t="shared" si="1"/>
        <v>IN-BLR-ANANTA-VAV-556_3</v>
      </c>
      <c r="Q984" s="173" t="s">
        <v>4487</v>
      </c>
      <c r="R984" s="328" t="str">
        <f>IFS(C984="","",C984="n/a","N/A",LEN(C984),Concatenate("{",char(34),"asset",char(34),":{",char(34),"guid",char(34),":",char(34),Q984,char(34),",",char(34),"site",char(34),":",char(34),LOWER('2-Building'!$B$4),char(34),",",char(34),"name",char(34),":",char(34),LOWER(C984),char(34),"}}"))</f>
        <v>{"asset":{"guid":"uuid://7f6c2527-3428-4c23-993a-d7999173a37d","site":"in-blr-ananta","name":"vav-556"}}</v>
      </c>
      <c r="S984" s="237" t="s">
        <v>2866</v>
      </c>
      <c r="T984" s="330"/>
      <c r="U984" s="330"/>
      <c r="V984" s="331"/>
      <c r="W984" s="344"/>
      <c r="X984" s="341"/>
      <c r="Y984" s="33" t="s">
        <v>2867</v>
      </c>
      <c r="Z984" s="258">
        <v>120556.0</v>
      </c>
      <c r="AA984" s="334">
        <v>11550.0</v>
      </c>
      <c r="AB984" s="341"/>
      <c r="AC984" s="341"/>
      <c r="AD984" s="343"/>
      <c r="AE984" s="331"/>
      <c r="AF984" s="348"/>
      <c r="AG984" s="337"/>
      <c r="AH984" s="341"/>
      <c r="AI984" s="341"/>
      <c r="AJ984" s="341"/>
      <c r="AK984" s="341"/>
      <c r="AL984" s="341"/>
      <c r="AM984" s="338"/>
      <c r="AN984" s="341"/>
      <c r="AO984" s="341"/>
      <c r="AP984" s="341"/>
      <c r="AQ984" s="341"/>
      <c r="AR984" s="341"/>
      <c r="AS984" s="341"/>
      <c r="AT984" s="341"/>
      <c r="AU984" s="343"/>
      <c r="AV984" s="341"/>
      <c r="AW984" s="269" t="s">
        <v>2134</v>
      </c>
      <c r="AX984" s="334" t="s">
        <v>2869</v>
      </c>
      <c r="AY984" s="270" t="s">
        <v>695</v>
      </c>
      <c r="AZ984" s="173" t="s">
        <v>2866</v>
      </c>
      <c r="BA984" s="265">
        <v>10.0</v>
      </c>
      <c r="BB984" s="174" t="s">
        <v>245</v>
      </c>
      <c r="BC984" s="341"/>
      <c r="BD984" s="308"/>
      <c r="BE984" s="347"/>
      <c r="BF984" s="274" t="str">
        <f>IFERROR(__xludf.DUMMYFUNCTION("LOWER(Regexreplace(to_text(E984),""[^A-Za-z0-9]"","""")&amp;""_""&amp;Regexreplace(to_text(F984),""[^A-Za-z0-9]"",""""))"),"neptronic_evcbseries")</f>
        <v>neptronic_evcbseries</v>
      </c>
      <c r="BG984" s="275" t="str">
        <f>IFERROR(__xludf.DUMMYFUNCTION("upper(Regexreplace(to_text(E984),""[^A-Za-z0-9]"","""")&amp;""-""&amp;Regexreplace(to_text(F984),""[^A-Za-z0-9]"",""""))"),"NEPTRONIC-EVCBSERIES")</f>
        <v>NEPTRONIC-EVCBSERIES</v>
      </c>
    </row>
    <row r="985" ht="30.0" customHeight="1">
      <c r="A985" s="173">
        <v>977.0</v>
      </c>
      <c r="B985" s="237" t="s">
        <v>670</v>
      </c>
      <c r="C985" s="257" t="s">
        <v>4488</v>
      </c>
      <c r="D985" s="173" t="s">
        <v>4488</v>
      </c>
      <c r="E985" s="174" t="s">
        <v>2861</v>
      </c>
      <c r="F985" s="173" t="s">
        <v>2862</v>
      </c>
      <c r="G985" s="328" t="s">
        <v>673</v>
      </c>
      <c r="H985" s="328" t="s">
        <v>2863</v>
      </c>
      <c r="I985" s="258" t="s">
        <v>2864</v>
      </c>
      <c r="J985" s="259" t="s">
        <v>965</v>
      </c>
      <c r="K985" s="260" t="s">
        <v>4489</v>
      </c>
      <c r="L985" s="328"/>
      <c r="M985" s="343"/>
      <c r="N985" s="173" t="s">
        <v>679</v>
      </c>
      <c r="O985" s="173" t="s">
        <v>225</v>
      </c>
      <c r="P985" s="262" t="str">
        <f t="shared" si="1"/>
        <v>IN-BLR-ANANTA-VAV-557_3</v>
      </c>
      <c r="Q985" s="173" t="s">
        <v>4490</v>
      </c>
      <c r="R985" s="328" t="str">
        <f>IFS(C985="","",C985="n/a","N/A",LEN(C985),Concatenate("{",char(34),"asset",char(34),":{",char(34),"guid",char(34),":",char(34),Q985,char(34),",",char(34),"site",char(34),":",char(34),LOWER('2-Building'!$B$4),char(34),",",char(34),"name",char(34),":",char(34),LOWER(C985),char(34),"}}"))</f>
        <v>{"asset":{"guid":"uuid://d4cb449b-6986-4223-8f6c-cde44b325add","site":"in-blr-ananta","name":"vav-557"}}</v>
      </c>
      <c r="S985" s="237" t="s">
        <v>2866</v>
      </c>
      <c r="T985" s="330"/>
      <c r="U985" s="330"/>
      <c r="V985" s="331"/>
      <c r="W985" s="344"/>
      <c r="X985" s="341"/>
      <c r="Y985" s="33" t="s">
        <v>2867</v>
      </c>
      <c r="Z985" s="258">
        <v>120557.0</v>
      </c>
      <c r="AA985" s="334">
        <v>11550.0</v>
      </c>
      <c r="AB985" s="341"/>
      <c r="AC985" s="341"/>
      <c r="AD985" s="343"/>
      <c r="AE985" s="331"/>
      <c r="AF985" s="348"/>
      <c r="AG985" s="337"/>
      <c r="AH985" s="341"/>
      <c r="AI985" s="341"/>
      <c r="AJ985" s="341"/>
      <c r="AK985" s="341"/>
      <c r="AL985" s="341"/>
      <c r="AM985" s="338"/>
      <c r="AN985" s="341"/>
      <c r="AO985" s="341"/>
      <c r="AP985" s="341"/>
      <c r="AQ985" s="341"/>
      <c r="AR985" s="341"/>
      <c r="AS985" s="341"/>
      <c r="AT985" s="341"/>
      <c r="AU985" s="343"/>
      <c r="AV985" s="341"/>
      <c r="AW985" s="269" t="s">
        <v>2134</v>
      </c>
      <c r="AX985" s="334" t="s">
        <v>2869</v>
      </c>
      <c r="AY985" s="270" t="s">
        <v>695</v>
      </c>
      <c r="AZ985" s="173" t="s">
        <v>2866</v>
      </c>
      <c r="BA985" s="265">
        <v>10.0</v>
      </c>
      <c r="BB985" s="174" t="s">
        <v>245</v>
      </c>
      <c r="BC985" s="341"/>
      <c r="BD985" s="308"/>
      <c r="BE985" s="347"/>
      <c r="BF985" s="274" t="str">
        <f>IFERROR(__xludf.DUMMYFUNCTION("LOWER(Regexreplace(to_text(E985),""[^A-Za-z0-9]"","""")&amp;""_""&amp;Regexreplace(to_text(F985),""[^A-Za-z0-9]"",""""))"),"neptronic_evcbseries")</f>
        <v>neptronic_evcbseries</v>
      </c>
      <c r="BG985" s="275" t="str">
        <f>IFERROR(__xludf.DUMMYFUNCTION("upper(Regexreplace(to_text(E985),""[^A-Za-z0-9]"","""")&amp;""-""&amp;Regexreplace(to_text(F985),""[^A-Za-z0-9]"",""""))"),"NEPTRONIC-EVCBSERIES")</f>
        <v>NEPTRONIC-EVCBSERIES</v>
      </c>
    </row>
    <row r="986" ht="30.0" customHeight="1">
      <c r="A986" s="258">
        <v>978.0</v>
      </c>
      <c r="B986" s="237" t="s">
        <v>670</v>
      </c>
      <c r="C986" s="257" t="s">
        <v>4491</v>
      </c>
      <c r="D986" s="173" t="s">
        <v>4491</v>
      </c>
      <c r="E986" s="174" t="s">
        <v>2861</v>
      </c>
      <c r="F986" s="173" t="s">
        <v>2862</v>
      </c>
      <c r="G986" s="328" t="s">
        <v>673</v>
      </c>
      <c r="H986" s="328" t="s">
        <v>2863</v>
      </c>
      <c r="I986" s="258" t="s">
        <v>2864</v>
      </c>
      <c r="J986" s="259" t="s">
        <v>1026</v>
      </c>
      <c r="K986" s="260" t="s">
        <v>4492</v>
      </c>
      <c r="L986" s="328"/>
      <c r="M986" s="343"/>
      <c r="N986" s="173" t="s">
        <v>679</v>
      </c>
      <c r="O986" s="173" t="s">
        <v>225</v>
      </c>
      <c r="P986" s="262" t="str">
        <f t="shared" si="1"/>
        <v>IN-BLR-ANANTA-VAV-558_4</v>
      </c>
      <c r="Q986" s="173" t="s">
        <v>4493</v>
      </c>
      <c r="R986" s="328" t="str">
        <f>IFS(C986="","",C986="n/a","N/A",LEN(C986),Concatenate("{",char(34),"asset",char(34),":{",char(34),"guid",char(34),":",char(34),Q986,char(34),",",char(34),"site",char(34),":",char(34),LOWER('2-Building'!$B$4),char(34),",",char(34),"name",char(34),":",char(34),LOWER(C986),char(34),"}}"))</f>
        <v>{"asset":{"guid":"uuid://7d73d2a3-8806-4c6a-bfa6-07cea565f904","site":"in-blr-ananta","name":"vav-558"}}</v>
      </c>
      <c r="S986" s="237" t="s">
        <v>2866</v>
      </c>
      <c r="T986" s="330"/>
      <c r="U986" s="330"/>
      <c r="V986" s="331"/>
      <c r="W986" s="344"/>
      <c r="X986" s="341"/>
      <c r="Y986" s="33" t="s">
        <v>2867</v>
      </c>
      <c r="Z986" s="258">
        <v>120558.0</v>
      </c>
      <c r="AA986" s="334">
        <v>11556.0</v>
      </c>
      <c r="AB986" s="341"/>
      <c r="AC986" s="341"/>
      <c r="AD986" s="343"/>
      <c r="AE986" s="331"/>
      <c r="AF986" s="348"/>
      <c r="AG986" s="337"/>
      <c r="AH986" s="341"/>
      <c r="AI986" s="341"/>
      <c r="AJ986" s="341"/>
      <c r="AK986" s="341"/>
      <c r="AL986" s="341"/>
      <c r="AM986" s="338"/>
      <c r="AN986" s="341"/>
      <c r="AO986" s="341"/>
      <c r="AP986" s="341"/>
      <c r="AQ986" s="341"/>
      <c r="AR986" s="341"/>
      <c r="AS986" s="341"/>
      <c r="AT986" s="341"/>
      <c r="AU986" s="343"/>
      <c r="AV986" s="341"/>
      <c r="AW986" s="269" t="s">
        <v>2154</v>
      </c>
      <c r="AX986" s="334" t="s">
        <v>2869</v>
      </c>
      <c r="AY986" s="270" t="s">
        <v>695</v>
      </c>
      <c r="AZ986" s="173" t="s">
        <v>2866</v>
      </c>
      <c r="BA986" s="265">
        <v>10.0</v>
      </c>
      <c r="BB986" s="174" t="s">
        <v>245</v>
      </c>
      <c r="BC986" s="341"/>
      <c r="BD986" s="308"/>
      <c r="BE986" s="347"/>
      <c r="BF986" s="274" t="str">
        <f>IFERROR(__xludf.DUMMYFUNCTION("LOWER(Regexreplace(to_text(E986),""[^A-Za-z0-9]"","""")&amp;""_""&amp;Regexreplace(to_text(F986),""[^A-Za-z0-9]"",""""))"),"neptronic_evcbseries")</f>
        <v>neptronic_evcbseries</v>
      </c>
      <c r="BG986" s="275" t="str">
        <f>IFERROR(__xludf.DUMMYFUNCTION("upper(Regexreplace(to_text(E986),""[^A-Za-z0-9]"","""")&amp;""-""&amp;Regexreplace(to_text(F986),""[^A-Za-z0-9]"",""""))"),"NEPTRONIC-EVCBSERIES")</f>
        <v>NEPTRONIC-EVCBSERIES</v>
      </c>
    </row>
    <row r="987" ht="30.0" customHeight="1">
      <c r="A987" s="173">
        <v>979.0</v>
      </c>
      <c r="B987" s="237" t="s">
        <v>670</v>
      </c>
      <c r="C987" s="257" t="s">
        <v>4494</v>
      </c>
      <c r="D987" s="173" t="s">
        <v>4494</v>
      </c>
      <c r="E987" s="174" t="s">
        <v>2861</v>
      </c>
      <c r="F987" s="173" t="s">
        <v>2862</v>
      </c>
      <c r="G987" s="328" t="s">
        <v>673</v>
      </c>
      <c r="H987" s="328" t="s">
        <v>2863</v>
      </c>
      <c r="I987" s="258" t="s">
        <v>2864</v>
      </c>
      <c r="J987" s="259" t="s">
        <v>1026</v>
      </c>
      <c r="K987" s="260" t="s">
        <v>4495</v>
      </c>
      <c r="L987" s="328"/>
      <c r="M987" s="343"/>
      <c r="N987" s="173" t="s">
        <v>679</v>
      </c>
      <c r="O987" s="173" t="s">
        <v>225</v>
      </c>
      <c r="P987" s="262" t="str">
        <f t="shared" si="1"/>
        <v>IN-BLR-ANANTA-VAV-559_4</v>
      </c>
      <c r="Q987" s="173" t="s">
        <v>4496</v>
      </c>
      <c r="R987" s="328" t="str">
        <f>IFS(C987="","",C987="n/a","N/A",LEN(C987),Concatenate("{",char(34),"asset",char(34),":{",char(34),"guid",char(34),":",char(34),Q987,char(34),",",char(34),"site",char(34),":",char(34),LOWER('2-Building'!$B$4),char(34),",",char(34),"name",char(34),":",char(34),LOWER(C987),char(34),"}}"))</f>
        <v>{"asset":{"guid":"uuid://2b51d5ce-a493-4712-aa12-910bb5c08682","site":"in-blr-ananta","name":"vav-559"}}</v>
      </c>
      <c r="S987" s="237" t="s">
        <v>2866</v>
      </c>
      <c r="T987" s="330"/>
      <c r="U987" s="330"/>
      <c r="V987" s="331"/>
      <c r="W987" s="344"/>
      <c r="X987" s="341"/>
      <c r="Y987" s="33" t="s">
        <v>2867</v>
      </c>
      <c r="Z987" s="258">
        <v>120559.0</v>
      </c>
      <c r="AA987" s="334">
        <v>11556.0</v>
      </c>
      <c r="AB987" s="341"/>
      <c r="AC987" s="341"/>
      <c r="AD987" s="343"/>
      <c r="AE987" s="331"/>
      <c r="AF987" s="348"/>
      <c r="AG987" s="337"/>
      <c r="AH987" s="341"/>
      <c r="AI987" s="341"/>
      <c r="AJ987" s="341"/>
      <c r="AK987" s="341"/>
      <c r="AL987" s="341"/>
      <c r="AM987" s="338"/>
      <c r="AN987" s="341"/>
      <c r="AO987" s="341"/>
      <c r="AP987" s="341"/>
      <c r="AQ987" s="341"/>
      <c r="AR987" s="341"/>
      <c r="AS987" s="341"/>
      <c r="AT987" s="341"/>
      <c r="AU987" s="343"/>
      <c r="AV987" s="341"/>
      <c r="AW987" s="269" t="s">
        <v>2154</v>
      </c>
      <c r="AX987" s="334" t="s">
        <v>2869</v>
      </c>
      <c r="AY987" s="270" t="s">
        <v>695</v>
      </c>
      <c r="AZ987" s="173" t="s">
        <v>2866</v>
      </c>
      <c r="BA987" s="265">
        <v>10.0</v>
      </c>
      <c r="BB987" s="174" t="s">
        <v>245</v>
      </c>
      <c r="BC987" s="341"/>
      <c r="BD987" s="308"/>
      <c r="BE987" s="347"/>
      <c r="BF987" s="274" t="str">
        <f>IFERROR(__xludf.DUMMYFUNCTION("LOWER(Regexreplace(to_text(E987),""[^A-Za-z0-9]"","""")&amp;""_""&amp;Regexreplace(to_text(F987),""[^A-Za-z0-9]"",""""))"),"neptronic_evcbseries")</f>
        <v>neptronic_evcbseries</v>
      </c>
      <c r="BG987" s="275" t="str">
        <f>IFERROR(__xludf.DUMMYFUNCTION("upper(Regexreplace(to_text(E987),""[^A-Za-z0-9]"","""")&amp;""-""&amp;Regexreplace(to_text(F987),""[^A-Za-z0-9]"",""""))"),"NEPTRONIC-EVCBSERIES")</f>
        <v>NEPTRONIC-EVCBSERIES</v>
      </c>
    </row>
    <row r="988" ht="30.0" customHeight="1">
      <c r="A988" s="258">
        <v>980.0</v>
      </c>
      <c r="B988" s="237" t="s">
        <v>670</v>
      </c>
      <c r="C988" s="257" t="s">
        <v>4497</v>
      </c>
      <c r="D988" s="173" t="s">
        <v>4497</v>
      </c>
      <c r="E988" s="174" t="s">
        <v>2861</v>
      </c>
      <c r="F988" s="173" t="s">
        <v>2862</v>
      </c>
      <c r="G988" s="328" t="s">
        <v>673</v>
      </c>
      <c r="H988" s="328" t="s">
        <v>2863</v>
      </c>
      <c r="I988" s="258" t="s">
        <v>2864</v>
      </c>
      <c r="J988" s="259" t="s">
        <v>1026</v>
      </c>
      <c r="K988" s="260" t="s">
        <v>4495</v>
      </c>
      <c r="L988" s="328"/>
      <c r="M988" s="343"/>
      <c r="N988" s="173" t="s">
        <v>679</v>
      </c>
      <c r="O988" s="173" t="s">
        <v>225</v>
      </c>
      <c r="P988" s="262" t="str">
        <f t="shared" si="1"/>
        <v>IN-BLR-ANANTA-VAV-560_4</v>
      </c>
      <c r="Q988" s="173" t="s">
        <v>4498</v>
      </c>
      <c r="R988" s="328" t="str">
        <f>IFS(C988="","",C988="n/a","N/A",LEN(C988),Concatenate("{",char(34),"asset",char(34),":{",char(34),"guid",char(34),":",char(34),Q988,char(34),",",char(34),"site",char(34),":",char(34),LOWER('2-Building'!$B$4),char(34),",",char(34),"name",char(34),":",char(34),LOWER(C988),char(34),"}}"))</f>
        <v>{"asset":{"guid":"uuid://03ab3e0a-c2ab-4c22-9703-89afbb9cd3e6","site":"in-blr-ananta","name":"vav-560"}}</v>
      </c>
      <c r="S988" s="237" t="s">
        <v>2866</v>
      </c>
      <c r="T988" s="330"/>
      <c r="U988" s="330"/>
      <c r="V988" s="331"/>
      <c r="W988" s="344"/>
      <c r="X988" s="341"/>
      <c r="Y988" s="33" t="s">
        <v>2867</v>
      </c>
      <c r="Z988" s="258">
        <v>120560.0</v>
      </c>
      <c r="AA988" s="334">
        <v>11556.0</v>
      </c>
      <c r="AB988" s="341"/>
      <c r="AC988" s="341"/>
      <c r="AD988" s="343"/>
      <c r="AE988" s="331"/>
      <c r="AF988" s="348"/>
      <c r="AG988" s="337"/>
      <c r="AH988" s="341"/>
      <c r="AI988" s="341"/>
      <c r="AJ988" s="341"/>
      <c r="AK988" s="341"/>
      <c r="AL988" s="341"/>
      <c r="AM988" s="338"/>
      <c r="AN988" s="341"/>
      <c r="AO988" s="341"/>
      <c r="AP988" s="341"/>
      <c r="AQ988" s="341"/>
      <c r="AR988" s="341"/>
      <c r="AS988" s="341"/>
      <c r="AT988" s="341"/>
      <c r="AU988" s="343"/>
      <c r="AV988" s="341"/>
      <c r="AW988" s="269" t="s">
        <v>2154</v>
      </c>
      <c r="AX988" s="334" t="s">
        <v>2869</v>
      </c>
      <c r="AY988" s="270" t="s">
        <v>695</v>
      </c>
      <c r="AZ988" s="173" t="s">
        <v>2866</v>
      </c>
      <c r="BA988" s="265">
        <v>10.0</v>
      </c>
      <c r="BB988" s="174" t="s">
        <v>245</v>
      </c>
      <c r="BC988" s="341"/>
      <c r="BD988" s="308"/>
      <c r="BE988" s="347"/>
      <c r="BF988" s="274" t="str">
        <f>IFERROR(__xludf.DUMMYFUNCTION("LOWER(Regexreplace(to_text(E988),""[^A-Za-z0-9]"","""")&amp;""_""&amp;Regexreplace(to_text(F988),""[^A-Za-z0-9]"",""""))"),"neptronic_evcbseries")</f>
        <v>neptronic_evcbseries</v>
      </c>
      <c r="BG988" s="275" t="str">
        <f>IFERROR(__xludf.DUMMYFUNCTION("upper(Regexreplace(to_text(E988),""[^A-Za-z0-9]"","""")&amp;""-""&amp;Regexreplace(to_text(F988),""[^A-Za-z0-9]"",""""))"),"NEPTRONIC-EVCBSERIES")</f>
        <v>NEPTRONIC-EVCBSERIES</v>
      </c>
    </row>
    <row r="989" ht="30.0" customHeight="1">
      <c r="A989" s="173">
        <v>981.0</v>
      </c>
      <c r="B989" s="237" t="s">
        <v>670</v>
      </c>
      <c r="C989" s="257" t="s">
        <v>4499</v>
      </c>
      <c r="D989" s="173" t="s">
        <v>4499</v>
      </c>
      <c r="E989" s="174" t="s">
        <v>2861</v>
      </c>
      <c r="F989" s="173" t="s">
        <v>2862</v>
      </c>
      <c r="G989" s="328" t="s">
        <v>673</v>
      </c>
      <c r="H989" s="328" t="s">
        <v>2863</v>
      </c>
      <c r="I989" s="258" t="s">
        <v>2864</v>
      </c>
      <c r="J989" s="259" t="s">
        <v>1026</v>
      </c>
      <c r="K989" s="260" t="s">
        <v>4500</v>
      </c>
      <c r="L989" s="328"/>
      <c r="M989" s="343"/>
      <c r="N989" s="173" t="s">
        <v>679</v>
      </c>
      <c r="O989" s="173" t="s">
        <v>225</v>
      </c>
      <c r="P989" s="262" t="str">
        <f t="shared" si="1"/>
        <v>IN-BLR-ANANTA-VAV-561_4</v>
      </c>
      <c r="Q989" s="173" t="s">
        <v>4501</v>
      </c>
      <c r="R989" s="328" t="str">
        <f>IFS(C989="","",C989="n/a","N/A",LEN(C989),Concatenate("{",char(34),"asset",char(34),":{",char(34),"guid",char(34),":",char(34),Q989,char(34),",",char(34),"site",char(34),":",char(34),LOWER('2-Building'!$B$4),char(34),",",char(34),"name",char(34),":",char(34),LOWER(C989),char(34),"}}"))</f>
        <v>{"asset":{"guid":"uuid://4c6f0967-bfc1-4089-a762-c49a1664b7ce","site":"in-blr-ananta","name":"vav-561"}}</v>
      </c>
      <c r="S989" s="237" t="s">
        <v>2866</v>
      </c>
      <c r="T989" s="330"/>
      <c r="U989" s="330"/>
      <c r="V989" s="331"/>
      <c r="W989" s="344"/>
      <c r="X989" s="341"/>
      <c r="Y989" s="33" t="s">
        <v>2867</v>
      </c>
      <c r="Z989" s="258">
        <v>120561.0</v>
      </c>
      <c r="AA989" s="334">
        <v>11556.0</v>
      </c>
      <c r="AB989" s="341"/>
      <c r="AC989" s="341"/>
      <c r="AD989" s="343"/>
      <c r="AE989" s="331"/>
      <c r="AF989" s="348"/>
      <c r="AG989" s="337"/>
      <c r="AH989" s="341"/>
      <c r="AI989" s="341"/>
      <c r="AJ989" s="341"/>
      <c r="AK989" s="341"/>
      <c r="AL989" s="341"/>
      <c r="AM989" s="338"/>
      <c r="AN989" s="341"/>
      <c r="AO989" s="341"/>
      <c r="AP989" s="341"/>
      <c r="AQ989" s="341"/>
      <c r="AR989" s="341"/>
      <c r="AS989" s="341"/>
      <c r="AT989" s="341"/>
      <c r="AU989" s="343"/>
      <c r="AV989" s="341"/>
      <c r="AW989" s="269" t="s">
        <v>2154</v>
      </c>
      <c r="AX989" s="334" t="s">
        <v>2869</v>
      </c>
      <c r="AY989" s="270" t="s">
        <v>695</v>
      </c>
      <c r="AZ989" s="173" t="s">
        <v>2866</v>
      </c>
      <c r="BA989" s="265">
        <v>10.0</v>
      </c>
      <c r="BB989" s="174" t="s">
        <v>245</v>
      </c>
      <c r="BC989" s="341"/>
      <c r="BD989" s="308"/>
      <c r="BE989" s="347"/>
      <c r="BF989" s="274" t="str">
        <f>IFERROR(__xludf.DUMMYFUNCTION("LOWER(Regexreplace(to_text(E989),""[^A-Za-z0-9]"","""")&amp;""_""&amp;Regexreplace(to_text(F989),""[^A-Za-z0-9]"",""""))"),"neptronic_evcbseries")</f>
        <v>neptronic_evcbseries</v>
      </c>
      <c r="BG989" s="275" t="str">
        <f>IFERROR(__xludf.DUMMYFUNCTION("upper(Regexreplace(to_text(E989),""[^A-Za-z0-9]"","""")&amp;""-""&amp;Regexreplace(to_text(F989),""[^A-Za-z0-9]"",""""))"),"NEPTRONIC-EVCBSERIES")</f>
        <v>NEPTRONIC-EVCBSERIES</v>
      </c>
    </row>
    <row r="990" ht="30.0" customHeight="1">
      <c r="A990" s="258">
        <v>982.0</v>
      </c>
      <c r="B990" s="237" t="s">
        <v>670</v>
      </c>
      <c r="C990" s="257" t="s">
        <v>4502</v>
      </c>
      <c r="D990" s="173" t="s">
        <v>4502</v>
      </c>
      <c r="E990" s="174" t="s">
        <v>2861</v>
      </c>
      <c r="F990" s="173" t="s">
        <v>2862</v>
      </c>
      <c r="G990" s="328" t="s">
        <v>673</v>
      </c>
      <c r="H990" s="328" t="s">
        <v>2863</v>
      </c>
      <c r="I990" s="258" t="s">
        <v>2864</v>
      </c>
      <c r="J990" s="259" t="s">
        <v>1026</v>
      </c>
      <c r="K990" s="260" t="s">
        <v>4503</v>
      </c>
      <c r="L990" s="328"/>
      <c r="M990" s="343"/>
      <c r="N990" s="173" t="s">
        <v>679</v>
      </c>
      <c r="O990" s="173" t="s">
        <v>225</v>
      </c>
      <c r="P990" s="262" t="str">
        <f t="shared" si="1"/>
        <v>IN-BLR-ANANTA-VAV-562_4</v>
      </c>
      <c r="Q990" s="173" t="s">
        <v>4504</v>
      </c>
      <c r="R990" s="328" t="str">
        <f>IFS(C990="","",C990="n/a","N/A",LEN(C990),Concatenate("{",char(34),"asset",char(34),":{",char(34),"guid",char(34),":",char(34),Q990,char(34),",",char(34),"site",char(34),":",char(34),LOWER('2-Building'!$B$4),char(34),",",char(34),"name",char(34),":",char(34),LOWER(C990),char(34),"}}"))</f>
        <v>{"asset":{"guid":"uuid://384882e9-32b7-4ef1-8269-fc01395254f7","site":"in-blr-ananta","name":"vav-562"}}</v>
      </c>
      <c r="S990" s="237" t="s">
        <v>2866</v>
      </c>
      <c r="T990" s="330"/>
      <c r="U990" s="330"/>
      <c r="V990" s="331"/>
      <c r="W990" s="344"/>
      <c r="X990" s="341"/>
      <c r="Y990" s="33" t="s">
        <v>2867</v>
      </c>
      <c r="Z990" s="258">
        <v>120562.0</v>
      </c>
      <c r="AA990" s="334">
        <v>11556.0</v>
      </c>
      <c r="AB990" s="341"/>
      <c r="AC990" s="341"/>
      <c r="AD990" s="343"/>
      <c r="AE990" s="331"/>
      <c r="AF990" s="348"/>
      <c r="AG990" s="337"/>
      <c r="AH990" s="341"/>
      <c r="AI990" s="341"/>
      <c r="AJ990" s="341"/>
      <c r="AK990" s="341"/>
      <c r="AL990" s="341"/>
      <c r="AM990" s="338"/>
      <c r="AN990" s="341"/>
      <c r="AO990" s="341"/>
      <c r="AP990" s="341"/>
      <c r="AQ990" s="341"/>
      <c r="AR990" s="341"/>
      <c r="AS990" s="341"/>
      <c r="AT990" s="341"/>
      <c r="AU990" s="343"/>
      <c r="AV990" s="341"/>
      <c r="AW990" s="269" t="s">
        <v>2154</v>
      </c>
      <c r="AX990" s="334" t="s">
        <v>2869</v>
      </c>
      <c r="AY990" s="270" t="s">
        <v>695</v>
      </c>
      <c r="AZ990" s="173" t="s">
        <v>2866</v>
      </c>
      <c r="BA990" s="265">
        <v>10.0</v>
      </c>
      <c r="BB990" s="174" t="s">
        <v>245</v>
      </c>
      <c r="BC990" s="341"/>
      <c r="BD990" s="308"/>
      <c r="BE990" s="347"/>
      <c r="BF990" s="274" t="str">
        <f>IFERROR(__xludf.DUMMYFUNCTION("LOWER(Regexreplace(to_text(E990),""[^A-Za-z0-9]"","""")&amp;""_""&amp;Regexreplace(to_text(F990),""[^A-Za-z0-9]"",""""))"),"neptronic_evcbseries")</f>
        <v>neptronic_evcbseries</v>
      </c>
      <c r="BG990" s="275" t="str">
        <f>IFERROR(__xludf.DUMMYFUNCTION("upper(Regexreplace(to_text(E990),""[^A-Za-z0-9]"","""")&amp;""-""&amp;Regexreplace(to_text(F990),""[^A-Za-z0-9]"",""""))"),"NEPTRONIC-EVCBSERIES")</f>
        <v>NEPTRONIC-EVCBSERIES</v>
      </c>
    </row>
    <row r="991" ht="30.0" customHeight="1">
      <c r="A991" s="173">
        <v>983.0</v>
      </c>
      <c r="B991" s="237" t="s">
        <v>670</v>
      </c>
      <c r="C991" s="257" t="s">
        <v>4505</v>
      </c>
      <c r="D991" s="173" t="s">
        <v>4505</v>
      </c>
      <c r="E991" s="174" t="s">
        <v>2861</v>
      </c>
      <c r="F991" s="173" t="s">
        <v>2862</v>
      </c>
      <c r="G991" s="328" t="s">
        <v>673</v>
      </c>
      <c r="H991" s="328" t="s">
        <v>2863</v>
      </c>
      <c r="I991" s="258" t="s">
        <v>2864</v>
      </c>
      <c r="J991" s="259" t="s">
        <v>1026</v>
      </c>
      <c r="K991" s="260" t="s">
        <v>4506</v>
      </c>
      <c r="L991" s="328"/>
      <c r="M991" s="343"/>
      <c r="N991" s="173" t="s">
        <v>679</v>
      </c>
      <c r="O991" s="173" t="s">
        <v>225</v>
      </c>
      <c r="P991" s="262" t="str">
        <f t="shared" si="1"/>
        <v>IN-BLR-ANANTA-VAV-563_4</v>
      </c>
      <c r="Q991" s="173" t="s">
        <v>4507</v>
      </c>
      <c r="R991" s="328" t="str">
        <f>IFS(C991="","",C991="n/a","N/A",LEN(C991),Concatenate("{",char(34),"asset",char(34),":{",char(34),"guid",char(34),":",char(34),Q991,char(34),",",char(34),"site",char(34),":",char(34),LOWER('2-Building'!$B$4),char(34),",",char(34),"name",char(34),":",char(34),LOWER(C991),char(34),"}}"))</f>
        <v>{"asset":{"guid":"uuid://d84e1c3a-8c12-47e5-b7a3-8ff6bc175314","site":"in-blr-ananta","name":"vav-563"}}</v>
      </c>
      <c r="S991" s="237" t="s">
        <v>2866</v>
      </c>
      <c r="T991" s="330"/>
      <c r="U991" s="330"/>
      <c r="V991" s="331"/>
      <c r="W991" s="344"/>
      <c r="X991" s="341"/>
      <c r="Y991" s="33" t="s">
        <v>2867</v>
      </c>
      <c r="Z991" s="258">
        <v>120563.0</v>
      </c>
      <c r="AA991" s="334">
        <v>11556.0</v>
      </c>
      <c r="AB991" s="341"/>
      <c r="AC991" s="341"/>
      <c r="AD991" s="343"/>
      <c r="AE991" s="331"/>
      <c r="AF991" s="348"/>
      <c r="AG991" s="337"/>
      <c r="AH991" s="341"/>
      <c r="AI991" s="341"/>
      <c r="AJ991" s="341"/>
      <c r="AK991" s="341"/>
      <c r="AL991" s="341"/>
      <c r="AM991" s="338"/>
      <c r="AN991" s="341"/>
      <c r="AO991" s="341"/>
      <c r="AP991" s="341"/>
      <c r="AQ991" s="341"/>
      <c r="AR991" s="341"/>
      <c r="AS991" s="341"/>
      <c r="AT991" s="341"/>
      <c r="AU991" s="343"/>
      <c r="AV991" s="341"/>
      <c r="AW991" s="269" t="s">
        <v>2154</v>
      </c>
      <c r="AX991" s="334" t="s">
        <v>2869</v>
      </c>
      <c r="AY991" s="270" t="s">
        <v>695</v>
      </c>
      <c r="AZ991" s="173" t="s">
        <v>2866</v>
      </c>
      <c r="BA991" s="265">
        <v>10.0</v>
      </c>
      <c r="BB991" s="174" t="s">
        <v>245</v>
      </c>
      <c r="BC991" s="341"/>
      <c r="BD991" s="308"/>
      <c r="BE991" s="347"/>
      <c r="BF991" s="274" t="str">
        <f>IFERROR(__xludf.DUMMYFUNCTION("LOWER(Regexreplace(to_text(E991),""[^A-Za-z0-9]"","""")&amp;""_""&amp;Regexreplace(to_text(F991),""[^A-Za-z0-9]"",""""))"),"neptronic_evcbseries")</f>
        <v>neptronic_evcbseries</v>
      </c>
      <c r="BG991" s="275" t="str">
        <f>IFERROR(__xludf.DUMMYFUNCTION("upper(Regexreplace(to_text(E991),""[^A-Za-z0-9]"","""")&amp;""-""&amp;Regexreplace(to_text(F991),""[^A-Za-z0-9]"",""""))"),"NEPTRONIC-EVCBSERIES")</f>
        <v>NEPTRONIC-EVCBSERIES</v>
      </c>
    </row>
    <row r="992" ht="30.0" customHeight="1">
      <c r="A992" s="258">
        <v>984.0</v>
      </c>
      <c r="B992" s="237" t="s">
        <v>670</v>
      </c>
      <c r="C992" s="257" t="s">
        <v>4508</v>
      </c>
      <c r="D992" s="173" t="s">
        <v>4508</v>
      </c>
      <c r="E992" s="174" t="s">
        <v>2861</v>
      </c>
      <c r="F992" s="173" t="s">
        <v>2862</v>
      </c>
      <c r="G992" s="328" t="s">
        <v>673</v>
      </c>
      <c r="H992" s="328" t="s">
        <v>2863</v>
      </c>
      <c r="I992" s="258" t="s">
        <v>2864</v>
      </c>
      <c r="J992" s="259" t="s">
        <v>1026</v>
      </c>
      <c r="K992" s="260" t="s">
        <v>4509</v>
      </c>
      <c r="L992" s="328"/>
      <c r="M992" s="343"/>
      <c r="N992" s="173" t="s">
        <v>679</v>
      </c>
      <c r="O992" s="173" t="s">
        <v>225</v>
      </c>
      <c r="P992" s="262" t="str">
        <f t="shared" si="1"/>
        <v>IN-BLR-ANANTA-VAV-564_4</v>
      </c>
      <c r="Q992" s="173" t="s">
        <v>4510</v>
      </c>
      <c r="R992" s="328" t="str">
        <f>IFS(C992="","",C992="n/a","N/A",LEN(C992),Concatenate("{",char(34),"asset",char(34),":{",char(34),"guid",char(34),":",char(34),Q992,char(34),",",char(34),"site",char(34),":",char(34),LOWER('2-Building'!$B$4),char(34),",",char(34),"name",char(34),":",char(34),LOWER(C992),char(34),"}}"))</f>
        <v>{"asset":{"guid":"uuid://09af95d1-b5a9-4d64-b6b5-59ad3f7ef82c","site":"in-blr-ananta","name":"vav-564"}}</v>
      </c>
      <c r="S992" s="237" t="s">
        <v>2866</v>
      </c>
      <c r="T992" s="330"/>
      <c r="U992" s="330"/>
      <c r="V992" s="331"/>
      <c r="W992" s="344"/>
      <c r="X992" s="341"/>
      <c r="Y992" s="33" t="s">
        <v>2867</v>
      </c>
      <c r="Z992" s="258">
        <v>120564.0</v>
      </c>
      <c r="AA992" s="334">
        <v>11556.0</v>
      </c>
      <c r="AB992" s="341"/>
      <c r="AC992" s="341"/>
      <c r="AD992" s="343"/>
      <c r="AE992" s="331"/>
      <c r="AF992" s="348"/>
      <c r="AG992" s="337"/>
      <c r="AH992" s="341"/>
      <c r="AI992" s="341"/>
      <c r="AJ992" s="341"/>
      <c r="AK992" s="341"/>
      <c r="AL992" s="341"/>
      <c r="AM992" s="338"/>
      <c r="AN992" s="341"/>
      <c r="AO992" s="341"/>
      <c r="AP992" s="341"/>
      <c r="AQ992" s="341"/>
      <c r="AR992" s="341"/>
      <c r="AS992" s="341"/>
      <c r="AT992" s="341"/>
      <c r="AU992" s="343"/>
      <c r="AV992" s="341"/>
      <c r="AW992" s="269" t="s">
        <v>2154</v>
      </c>
      <c r="AX992" s="334" t="s">
        <v>2869</v>
      </c>
      <c r="AY992" s="270" t="s">
        <v>695</v>
      </c>
      <c r="AZ992" s="173" t="s">
        <v>2866</v>
      </c>
      <c r="BA992" s="265">
        <v>10.0</v>
      </c>
      <c r="BB992" s="174" t="s">
        <v>245</v>
      </c>
      <c r="BC992" s="341"/>
      <c r="BD992" s="308"/>
      <c r="BE992" s="347"/>
      <c r="BF992" s="274" t="str">
        <f>IFERROR(__xludf.DUMMYFUNCTION("LOWER(Regexreplace(to_text(E992),""[^A-Za-z0-9]"","""")&amp;""_""&amp;Regexreplace(to_text(F992),""[^A-Za-z0-9]"",""""))"),"neptronic_evcbseries")</f>
        <v>neptronic_evcbseries</v>
      </c>
      <c r="BG992" s="275" t="str">
        <f>IFERROR(__xludf.DUMMYFUNCTION("upper(Regexreplace(to_text(E992),""[^A-Za-z0-9]"","""")&amp;""-""&amp;Regexreplace(to_text(F992),""[^A-Za-z0-9]"",""""))"),"NEPTRONIC-EVCBSERIES")</f>
        <v>NEPTRONIC-EVCBSERIES</v>
      </c>
    </row>
    <row r="993" ht="30.0" customHeight="1">
      <c r="A993" s="173">
        <v>985.0</v>
      </c>
      <c r="B993" s="237" t="s">
        <v>670</v>
      </c>
      <c r="C993" s="257" t="s">
        <v>4511</v>
      </c>
      <c r="D993" s="173" t="s">
        <v>4511</v>
      </c>
      <c r="E993" s="174" t="s">
        <v>2861</v>
      </c>
      <c r="F993" s="173" t="s">
        <v>2862</v>
      </c>
      <c r="G993" s="328" t="s">
        <v>673</v>
      </c>
      <c r="H993" s="328" t="s">
        <v>2863</v>
      </c>
      <c r="I993" s="258" t="s">
        <v>2864</v>
      </c>
      <c r="J993" s="259" t="s">
        <v>1026</v>
      </c>
      <c r="K993" s="260" t="s">
        <v>4512</v>
      </c>
      <c r="L993" s="328"/>
      <c r="M993" s="343"/>
      <c r="N993" s="173" t="s">
        <v>679</v>
      </c>
      <c r="O993" s="173" t="s">
        <v>225</v>
      </c>
      <c r="P993" s="262" t="str">
        <f t="shared" si="1"/>
        <v>IN-BLR-ANANTA-VAV-565_4</v>
      </c>
      <c r="Q993" s="173" t="s">
        <v>4513</v>
      </c>
      <c r="R993" s="328" t="str">
        <f>IFS(C993="","",C993="n/a","N/A",LEN(C993),Concatenate("{",char(34),"asset",char(34),":{",char(34),"guid",char(34),":",char(34),Q993,char(34),",",char(34),"site",char(34),":",char(34),LOWER('2-Building'!$B$4),char(34),",",char(34),"name",char(34),":",char(34),LOWER(C993),char(34),"}}"))</f>
        <v>{"asset":{"guid":"uuid://45d8264c-222e-432b-8931-982329d90b3f","site":"in-blr-ananta","name":"vav-565"}}</v>
      </c>
      <c r="S993" s="237" t="s">
        <v>2866</v>
      </c>
      <c r="T993" s="330"/>
      <c r="U993" s="330"/>
      <c r="V993" s="331"/>
      <c r="W993" s="344"/>
      <c r="X993" s="341"/>
      <c r="Y993" s="33" t="s">
        <v>2867</v>
      </c>
      <c r="Z993" s="258">
        <v>120565.0</v>
      </c>
      <c r="AA993" s="334">
        <v>11556.0</v>
      </c>
      <c r="AB993" s="341"/>
      <c r="AC993" s="341"/>
      <c r="AD993" s="343"/>
      <c r="AE993" s="331"/>
      <c r="AF993" s="348"/>
      <c r="AG993" s="337"/>
      <c r="AH993" s="341"/>
      <c r="AI993" s="341"/>
      <c r="AJ993" s="341"/>
      <c r="AK993" s="341"/>
      <c r="AL993" s="341"/>
      <c r="AM993" s="338"/>
      <c r="AN993" s="341"/>
      <c r="AO993" s="341"/>
      <c r="AP993" s="341"/>
      <c r="AQ993" s="341"/>
      <c r="AR993" s="341"/>
      <c r="AS993" s="341"/>
      <c r="AT993" s="341"/>
      <c r="AU993" s="343"/>
      <c r="AV993" s="341"/>
      <c r="AW993" s="269" t="s">
        <v>2154</v>
      </c>
      <c r="AX993" s="334" t="s">
        <v>2869</v>
      </c>
      <c r="AY993" s="270" t="s">
        <v>695</v>
      </c>
      <c r="AZ993" s="173" t="s">
        <v>2866</v>
      </c>
      <c r="BA993" s="265">
        <v>10.0</v>
      </c>
      <c r="BB993" s="174" t="s">
        <v>245</v>
      </c>
      <c r="BC993" s="341"/>
      <c r="BD993" s="308"/>
      <c r="BE993" s="347"/>
      <c r="BF993" s="274" t="str">
        <f>IFERROR(__xludf.DUMMYFUNCTION("LOWER(Regexreplace(to_text(E993),""[^A-Za-z0-9]"","""")&amp;""_""&amp;Regexreplace(to_text(F993),""[^A-Za-z0-9]"",""""))"),"neptronic_evcbseries")</f>
        <v>neptronic_evcbseries</v>
      </c>
      <c r="BG993" s="275" t="str">
        <f>IFERROR(__xludf.DUMMYFUNCTION("upper(Regexreplace(to_text(E993),""[^A-Za-z0-9]"","""")&amp;""-""&amp;Regexreplace(to_text(F993),""[^A-Za-z0-9]"",""""))"),"NEPTRONIC-EVCBSERIES")</f>
        <v>NEPTRONIC-EVCBSERIES</v>
      </c>
    </row>
    <row r="994" ht="30.0" customHeight="1">
      <c r="A994" s="258">
        <v>986.0</v>
      </c>
      <c r="B994" s="237" t="s">
        <v>670</v>
      </c>
      <c r="C994" s="257" t="s">
        <v>4514</v>
      </c>
      <c r="D994" s="173" t="s">
        <v>4514</v>
      </c>
      <c r="E994" s="174" t="s">
        <v>2861</v>
      </c>
      <c r="F994" s="173" t="s">
        <v>2862</v>
      </c>
      <c r="G994" s="328" t="s">
        <v>673</v>
      </c>
      <c r="H994" s="328" t="s">
        <v>2863</v>
      </c>
      <c r="I994" s="258" t="s">
        <v>2864</v>
      </c>
      <c r="J994" s="259" t="s">
        <v>1026</v>
      </c>
      <c r="K994" s="260" t="s">
        <v>4515</v>
      </c>
      <c r="L994" s="328"/>
      <c r="M994" s="343"/>
      <c r="N994" s="173" t="s">
        <v>679</v>
      </c>
      <c r="O994" s="173" t="s">
        <v>225</v>
      </c>
      <c r="P994" s="262" t="str">
        <f t="shared" si="1"/>
        <v>IN-BLR-ANANTA-VAV-566_4</v>
      </c>
      <c r="Q994" s="173" t="s">
        <v>4516</v>
      </c>
      <c r="R994" s="328" t="str">
        <f>IFS(C994="","",C994="n/a","N/A",LEN(C994),Concatenate("{",char(34),"asset",char(34),":{",char(34),"guid",char(34),":",char(34),Q994,char(34),",",char(34),"site",char(34),":",char(34),LOWER('2-Building'!$B$4),char(34),",",char(34),"name",char(34),":",char(34),LOWER(C994),char(34),"}}"))</f>
        <v>{"asset":{"guid":"uuid://5b9f9110-8688-434f-b78c-b36699de4ae0","site":"in-blr-ananta","name":"vav-566"}}</v>
      </c>
      <c r="S994" s="237" t="s">
        <v>2866</v>
      </c>
      <c r="T994" s="330"/>
      <c r="U994" s="330"/>
      <c r="V994" s="331"/>
      <c r="W994" s="344"/>
      <c r="X994" s="341"/>
      <c r="Y994" s="33" t="s">
        <v>2867</v>
      </c>
      <c r="Z994" s="258">
        <v>120566.0</v>
      </c>
      <c r="AA994" s="334">
        <v>11556.0</v>
      </c>
      <c r="AB994" s="341"/>
      <c r="AC994" s="341"/>
      <c r="AD994" s="343"/>
      <c r="AE994" s="331"/>
      <c r="AF994" s="348"/>
      <c r="AG994" s="337"/>
      <c r="AH994" s="341"/>
      <c r="AI994" s="341"/>
      <c r="AJ994" s="341"/>
      <c r="AK994" s="341"/>
      <c r="AL994" s="341"/>
      <c r="AM994" s="338"/>
      <c r="AN994" s="341"/>
      <c r="AO994" s="341"/>
      <c r="AP994" s="341"/>
      <c r="AQ994" s="341"/>
      <c r="AR994" s="341"/>
      <c r="AS994" s="341"/>
      <c r="AT994" s="341"/>
      <c r="AU994" s="343"/>
      <c r="AV994" s="341"/>
      <c r="AW994" s="269" t="s">
        <v>2154</v>
      </c>
      <c r="AX994" s="334" t="s">
        <v>2869</v>
      </c>
      <c r="AY994" s="270" t="s">
        <v>695</v>
      </c>
      <c r="AZ994" s="173" t="s">
        <v>2866</v>
      </c>
      <c r="BA994" s="265">
        <v>10.0</v>
      </c>
      <c r="BB994" s="174" t="s">
        <v>245</v>
      </c>
      <c r="BC994" s="341"/>
      <c r="BD994" s="308"/>
      <c r="BE994" s="347"/>
      <c r="BF994" s="274" t="str">
        <f>IFERROR(__xludf.DUMMYFUNCTION("LOWER(Regexreplace(to_text(E994),""[^A-Za-z0-9]"","""")&amp;""_""&amp;Regexreplace(to_text(F994),""[^A-Za-z0-9]"",""""))"),"neptronic_evcbseries")</f>
        <v>neptronic_evcbseries</v>
      </c>
      <c r="BG994" s="275" t="str">
        <f>IFERROR(__xludf.DUMMYFUNCTION("upper(Regexreplace(to_text(E994),""[^A-Za-z0-9]"","""")&amp;""-""&amp;Regexreplace(to_text(F994),""[^A-Za-z0-9]"",""""))"),"NEPTRONIC-EVCBSERIES")</f>
        <v>NEPTRONIC-EVCBSERIES</v>
      </c>
    </row>
    <row r="995" ht="30.0" customHeight="1">
      <c r="A995" s="173">
        <v>987.0</v>
      </c>
      <c r="B995" s="237" t="s">
        <v>670</v>
      </c>
      <c r="C995" s="257" t="s">
        <v>4517</v>
      </c>
      <c r="D995" s="173" t="s">
        <v>4517</v>
      </c>
      <c r="E995" s="174" t="s">
        <v>2861</v>
      </c>
      <c r="F995" s="173" t="s">
        <v>2862</v>
      </c>
      <c r="G995" s="328" t="s">
        <v>673</v>
      </c>
      <c r="H995" s="328" t="s">
        <v>2863</v>
      </c>
      <c r="I995" s="258" t="s">
        <v>2864</v>
      </c>
      <c r="J995" s="259" t="s">
        <v>1026</v>
      </c>
      <c r="K995" s="260" t="s">
        <v>4518</v>
      </c>
      <c r="L995" s="328"/>
      <c r="M995" s="343"/>
      <c r="N995" s="173" t="s">
        <v>679</v>
      </c>
      <c r="O995" s="173" t="s">
        <v>225</v>
      </c>
      <c r="P995" s="262" t="str">
        <f t="shared" si="1"/>
        <v>IN-BLR-ANANTA-VAV-567_4</v>
      </c>
      <c r="Q995" s="173" t="s">
        <v>4519</v>
      </c>
      <c r="R995" s="328" t="str">
        <f>IFS(C995="","",C995="n/a","N/A",LEN(C995),Concatenate("{",char(34),"asset",char(34),":{",char(34),"guid",char(34),":",char(34),Q995,char(34),",",char(34),"site",char(34),":",char(34),LOWER('2-Building'!$B$4),char(34),",",char(34),"name",char(34),":",char(34),LOWER(C995),char(34),"}}"))</f>
        <v>{"asset":{"guid":"uuid://7fda87e0-7558-4524-b468-834b52b108e6","site":"in-blr-ananta","name":"vav-567"}}</v>
      </c>
      <c r="S995" s="237" t="s">
        <v>2866</v>
      </c>
      <c r="T995" s="330"/>
      <c r="U995" s="330"/>
      <c r="V995" s="331"/>
      <c r="W995" s="344"/>
      <c r="X995" s="341"/>
      <c r="Y995" s="33" t="s">
        <v>2867</v>
      </c>
      <c r="Z995" s="258">
        <v>120567.0</v>
      </c>
      <c r="AA995" s="334">
        <v>11556.0</v>
      </c>
      <c r="AB995" s="341"/>
      <c r="AC995" s="341"/>
      <c r="AD995" s="343"/>
      <c r="AE995" s="331"/>
      <c r="AF995" s="348"/>
      <c r="AG995" s="337"/>
      <c r="AH995" s="341"/>
      <c r="AI995" s="341"/>
      <c r="AJ995" s="341"/>
      <c r="AK995" s="341"/>
      <c r="AL995" s="341"/>
      <c r="AM995" s="338"/>
      <c r="AN995" s="341"/>
      <c r="AO995" s="341"/>
      <c r="AP995" s="341"/>
      <c r="AQ995" s="341"/>
      <c r="AR995" s="341"/>
      <c r="AS995" s="341"/>
      <c r="AT995" s="341"/>
      <c r="AU995" s="343"/>
      <c r="AV995" s="341"/>
      <c r="AW995" s="269" t="s">
        <v>2154</v>
      </c>
      <c r="AX995" s="334" t="s">
        <v>2869</v>
      </c>
      <c r="AY995" s="270" t="s">
        <v>695</v>
      </c>
      <c r="AZ995" s="173" t="s">
        <v>2866</v>
      </c>
      <c r="BA995" s="265">
        <v>10.0</v>
      </c>
      <c r="BB995" s="174" t="s">
        <v>245</v>
      </c>
      <c r="BC995" s="341"/>
      <c r="BD995" s="308"/>
      <c r="BE995" s="347"/>
      <c r="BF995" s="274" t="str">
        <f>IFERROR(__xludf.DUMMYFUNCTION("LOWER(Regexreplace(to_text(E995),""[^A-Za-z0-9]"","""")&amp;""_""&amp;Regexreplace(to_text(F995),""[^A-Za-z0-9]"",""""))"),"neptronic_evcbseries")</f>
        <v>neptronic_evcbseries</v>
      </c>
      <c r="BG995" s="275" t="str">
        <f>IFERROR(__xludf.DUMMYFUNCTION("upper(Regexreplace(to_text(E995),""[^A-Za-z0-9]"","""")&amp;""-""&amp;Regexreplace(to_text(F995),""[^A-Za-z0-9]"",""""))"),"NEPTRONIC-EVCBSERIES")</f>
        <v>NEPTRONIC-EVCBSERIES</v>
      </c>
    </row>
    <row r="996" ht="30.0" customHeight="1">
      <c r="A996" s="258">
        <v>988.0</v>
      </c>
      <c r="B996" s="237" t="s">
        <v>670</v>
      </c>
      <c r="C996" s="257" t="s">
        <v>4520</v>
      </c>
      <c r="D996" s="173" t="s">
        <v>4520</v>
      </c>
      <c r="E996" s="174" t="s">
        <v>2861</v>
      </c>
      <c r="F996" s="173" t="s">
        <v>2862</v>
      </c>
      <c r="G996" s="328" t="s">
        <v>673</v>
      </c>
      <c r="H996" s="328" t="s">
        <v>2863</v>
      </c>
      <c r="I996" s="258" t="s">
        <v>2864</v>
      </c>
      <c r="J996" s="259" t="s">
        <v>1026</v>
      </c>
      <c r="K996" s="260" t="s">
        <v>4521</v>
      </c>
      <c r="L996" s="328"/>
      <c r="M996" s="343"/>
      <c r="N996" s="173" t="s">
        <v>679</v>
      </c>
      <c r="O996" s="173" t="s">
        <v>225</v>
      </c>
      <c r="P996" s="262" t="str">
        <f t="shared" si="1"/>
        <v>IN-BLR-ANANTA-VAV-568_4</v>
      </c>
      <c r="Q996" s="173" t="s">
        <v>4522</v>
      </c>
      <c r="R996" s="328" t="str">
        <f>IFS(C996="","",C996="n/a","N/A",LEN(C996),Concatenate("{",char(34),"asset",char(34),":{",char(34),"guid",char(34),":",char(34),Q996,char(34),",",char(34),"site",char(34),":",char(34),LOWER('2-Building'!$B$4),char(34),",",char(34),"name",char(34),":",char(34),LOWER(C996),char(34),"}}"))</f>
        <v>{"asset":{"guid":"uuid://98aeda96-ba94-4214-b3e4-749454c9b63c","site":"in-blr-ananta","name":"vav-568"}}</v>
      </c>
      <c r="S996" s="237" t="s">
        <v>2866</v>
      </c>
      <c r="T996" s="330"/>
      <c r="U996" s="330"/>
      <c r="V996" s="331"/>
      <c r="W996" s="344"/>
      <c r="X996" s="341"/>
      <c r="Y996" s="33" t="s">
        <v>2867</v>
      </c>
      <c r="Z996" s="258">
        <v>120568.0</v>
      </c>
      <c r="AA996" s="334">
        <v>11556.0</v>
      </c>
      <c r="AB996" s="341"/>
      <c r="AC996" s="341"/>
      <c r="AD996" s="343"/>
      <c r="AE996" s="331"/>
      <c r="AF996" s="348"/>
      <c r="AG996" s="337"/>
      <c r="AH996" s="341"/>
      <c r="AI996" s="341"/>
      <c r="AJ996" s="341"/>
      <c r="AK996" s="341"/>
      <c r="AL996" s="341"/>
      <c r="AM996" s="338"/>
      <c r="AN996" s="341"/>
      <c r="AO996" s="341"/>
      <c r="AP996" s="341"/>
      <c r="AQ996" s="341"/>
      <c r="AR996" s="341"/>
      <c r="AS996" s="341"/>
      <c r="AT996" s="341"/>
      <c r="AU996" s="343"/>
      <c r="AV996" s="341"/>
      <c r="AW996" s="269" t="s">
        <v>2154</v>
      </c>
      <c r="AX996" s="334" t="s">
        <v>2869</v>
      </c>
      <c r="AY996" s="270" t="s">
        <v>695</v>
      </c>
      <c r="AZ996" s="173" t="s">
        <v>2866</v>
      </c>
      <c r="BA996" s="265">
        <v>10.0</v>
      </c>
      <c r="BB996" s="174" t="s">
        <v>245</v>
      </c>
      <c r="BC996" s="341"/>
      <c r="BD996" s="308"/>
      <c r="BE996" s="347"/>
      <c r="BF996" s="274" t="str">
        <f>IFERROR(__xludf.DUMMYFUNCTION("LOWER(Regexreplace(to_text(E996),""[^A-Za-z0-9]"","""")&amp;""_""&amp;Regexreplace(to_text(F996),""[^A-Za-z0-9]"",""""))"),"neptronic_evcbseries")</f>
        <v>neptronic_evcbseries</v>
      </c>
      <c r="BG996" s="275" t="str">
        <f>IFERROR(__xludf.DUMMYFUNCTION("upper(Regexreplace(to_text(E996),""[^A-Za-z0-9]"","""")&amp;""-""&amp;Regexreplace(to_text(F996),""[^A-Za-z0-9]"",""""))"),"NEPTRONIC-EVCBSERIES")</f>
        <v>NEPTRONIC-EVCBSERIES</v>
      </c>
    </row>
    <row r="997" ht="30.0" customHeight="1">
      <c r="A997" s="173">
        <v>989.0</v>
      </c>
      <c r="B997" s="237" t="s">
        <v>670</v>
      </c>
      <c r="C997" s="257" t="s">
        <v>4523</v>
      </c>
      <c r="D997" s="173" t="s">
        <v>4523</v>
      </c>
      <c r="E997" s="174" t="s">
        <v>2861</v>
      </c>
      <c r="F997" s="173" t="s">
        <v>2862</v>
      </c>
      <c r="G997" s="328" t="s">
        <v>673</v>
      </c>
      <c r="H997" s="328" t="s">
        <v>2863</v>
      </c>
      <c r="I997" s="258" t="s">
        <v>2864</v>
      </c>
      <c r="J997" s="259" t="s">
        <v>1026</v>
      </c>
      <c r="K997" s="260" t="s">
        <v>4524</v>
      </c>
      <c r="L997" s="328"/>
      <c r="M997" s="343"/>
      <c r="N997" s="173" t="s">
        <v>679</v>
      </c>
      <c r="O997" s="173" t="s">
        <v>225</v>
      </c>
      <c r="P997" s="262" t="str">
        <f t="shared" si="1"/>
        <v>IN-BLR-ANANTA-VAV-569_4</v>
      </c>
      <c r="Q997" s="173" t="s">
        <v>4525</v>
      </c>
      <c r="R997" s="328" t="str">
        <f>IFS(C997="","",C997="n/a","N/A",LEN(C997),Concatenate("{",char(34),"asset",char(34),":{",char(34),"guid",char(34),":",char(34),Q997,char(34),",",char(34),"site",char(34),":",char(34),LOWER('2-Building'!$B$4),char(34),",",char(34),"name",char(34),":",char(34),LOWER(C997),char(34),"}}"))</f>
        <v>{"asset":{"guid":"uuid://e1e698f6-bf10-442b-873d-cd55c88409c3","site":"in-blr-ananta","name":"vav-569"}}</v>
      </c>
      <c r="S997" s="237" t="s">
        <v>2866</v>
      </c>
      <c r="T997" s="330"/>
      <c r="U997" s="330"/>
      <c r="V997" s="331"/>
      <c r="W997" s="344"/>
      <c r="X997" s="341"/>
      <c r="Y997" s="33" t="s">
        <v>2867</v>
      </c>
      <c r="Z997" s="258">
        <v>120569.0</v>
      </c>
      <c r="AA997" s="334">
        <v>11556.0</v>
      </c>
      <c r="AB997" s="341"/>
      <c r="AC997" s="341"/>
      <c r="AD997" s="343"/>
      <c r="AE997" s="331"/>
      <c r="AF997" s="348"/>
      <c r="AG997" s="337"/>
      <c r="AH997" s="341"/>
      <c r="AI997" s="341"/>
      <c r="AJ997" s="341"/>
      <c r="AK997" s="341"/>
      <c r="AL997" s="341"/>
      <c r="AM997" s="338"/>
      <c r="AN997" s="341"/>
      <c r="AO997" s="341"/>
      <c r="AP997" s="341"/>
      <c r="AQ997" s="341"/>
      <c r="AR997" s="341"/>
      <c r="AS997" s="341"/>
      <c r="AT997" s="341"/>
      <c r="AU997" s="343"/>
      <c r="AV997" s="341"/>
      <c r="AW997" s="269" t="s">
        <v>2154</v>
      </c>
      <c r="AX997" s="334" t="s">
        <v>2869</v>
      </c>
      <c r="AY997" s="270" t="s">
        <v>695</v>
      </c>
      <c r="AZ997" s="173" t="s">
        <v>2866</v>
      </c>
      <c r="BA997" s="265">
        <v>10.0</v>
      </c>
      <c r="BB997" s="174" t="s">
        <v>245</v>
      </c>
      <c r="BC997" s="341"/>
      <c r="BD997" s="308"/>
      <c r="BE997" s="347"/>
      <c r="BF997" s="274" t="str">
        <f>IFERROR(__xludf.DUMMYFUNCTION("LOWER(Regexreplace(to_text(E997),""[^A-Za-z0-9]"","""")&amp;""_""&amp;Regexreplace(to_text(F997),""[^A-Za-z0-9]"",""""))"),"neptronic_evcbseries")</f>
        <v>neptronic_evcbseries</v>
      </c>
      <c r="BG997" s="275" t="str">
        <f>IFERROR(__xludf.DUMMYFUNCTION("upper(Regexreplace(to_text(E997),""[^A-Za-z0-9]"","""")&amp;""-""&amp;Regexreplace(to_text(F997),""[^A-Za-z0-9]"",""""))"),"NEPTRONIC-EVCBSERIES")</f>
        <v>NEPTRONIC-EVCBSERIES</v>
      </c>
    </row>
    <row r="998" ht="30.0" customHeight="1">
      <c r="A998" s="258">
        <v>990.0</v>
      </c>
      <c r="B998" s="237" t="s">
        <v>670</v>
      </c>
      <c r="C998" s="257" t="s">
        <v>4526</v>
      </c>
      <c r="D998" s="173" t="s">
        <v>4526</v>
      </c>
      <c r="E998" s="174" t="s">
        <v>2861</v>
      </c>
      <c r="F998" s="173" t="s">
        <v>2862</v>
      </c>
      <c r="G998" s="328" t="s">
        <v>673</v>
      </c>
      <c r="H998" s="328" t="s">
        <v>2863</v>
      </c>
      <c r="I998" s="258" t="s">
        <v>2864</v>
      </c>
      <c r="J998" s="259" t="s">
        <v>1026</v>
      </c>
      <c r="K998" s="260" t="s">
        <v>4527</v>
      </c>
      <c r="L998" s="328"/>
      <c r="M998" s="343"/>
      <c r="N998" s="173" t="s">
        <v>679</v>
      </c>
      <c r="O998" s="173" t="s">
        <v>225</v>
      </c>
      <c r="P998" s="262" t="str">
        <f t="shared" si="1"/>
        <v>IN-BLR-ANANTA-VAV-570_4</v>
      </c>
      <c r="Q998" s="173" t="s">
        <v>4528</v>
      </c>
      <c r="R998" s="328" t="str">
        <f>IFS(C998="","",C998="n/a","N/A",LEN(C998),Concatenate("{",char(34),"asset",char(34),":{",char(34),"guid",char(34),":",char(34),Q998,char(34),",",char(34),"site",char(34),":",char(34),LOWER('2-Building'!$B$4),char(34),",",char(34),"name",char(34),":",char(34),LOWER(C998),char(34),"}}"))</f>
        <v>{"asset":{"guid":"uuid://62be638f-61ae-4548-a489-eb88613734bc","site":"in-blr-ananta","name":"vav-570"}}</v>
      </c>
      <c r="S998" s="237" t="s">
        <v>2866</v>
      </c>
      <c r="T998" s="330"/>
      <c r="U998" s="330"/>
      <c r="V998" s="331"/>
      <c r="W998" s="344"/>
      <c r="X998" s="341"/>
      <c r="Y998" s="33" t="s">
        <v>2867</v>
      </c>
      <c r="Z998" s="258">
        <v>120570.0</v>
      </c>
      <c r="AA998" s="334">
        <v>11556.0</v>
      </c>
      <c r="AB998" s="341"/>
      <c r="AC998" s="341"/>
      <c r="AD998" s="343"/>
      <c r="AE998" s="331"/>
      <c r="AF998" s="348"/>
      <c r="AG998" s="337"/>
      <c r="AH998" s="341"/>
      <c r="AI998" s="341"/>
      <c r="AJ998" s="341"/>
      <c r="AK998" s="341"/>
      <c r="AL998" s="341"/>
      <c r="AM998" s="338"/>
      <c r="AN998" s="341"/>
      <c r="AO998" s="341"/>
      <c r="AP998" s="341"/>
      <c r="AQ998" s="341"/>
      <c r="AR998" s="341"/>
      <c r="AS998" s="341"/>
      <c r="AT998" s="341"/>
      <c r="AU998" s="343"/>
      <c r="AV998" s="341"/>
      <c r="AW998" s="269" t="s">
        <v>2154</v>
      </c>
      <c r="AX998" s="334" t="s">
        <v>2869</v>
      </c>
      <c r="AY998" s="270" t="s">
        <v>695</v>
      </c>
      <c r="AZ998" s="173" t="s">
        <v>2866</v>
      </c>
      <c r="BA998" s="265">
        <v>10.0</v>
      </c>
      <c r="BB998" s="174" t="s">
        <v>245</v>
      </c>
      <c r="BC998" s="341"/>
      <c r="BD998" s="308"/>
      <c r="BE998" s="347"/>
      <c r="BF998" s="274" t="str">
        <f>IFERROR(__xludf.DUMMYFUNCTION("LOWER(Regexreplace(to_text(E998),""[^A-Za-z0-9]"","""")&amp;""_""&amp;Regexreplace(to_text(F998),""[^A-Za-z0-9]"",""""))"),"neptronic_evcbseries")</f>
        <v>neptronic_evcbseries</v>
      </c>
      <c r="BG998" s="275" t="str">
        <f>IFERROR(__xludf.DUMMYFUNCTION("upper(Regexreplace(to_text(E998),""[^A-Za-z0-9]"","""")&amp;""-""&amp;Regexreplace(to_text(F998),""[^A-Za-z0-9]"",""""))"),"NEPTRONIC-EVCBSERIES")</f>
        <v>NEPTRONIC-EVCBSERIES</v>
      </c>
    </row>
    <row r="999" ht="30.0" customHeight="1">
      <c r="A999" s="173">
        <v>991.0</v>
      </c>
      <c r="B999" s="237" t="s">
        <v>670</v>
      </c>
      <c r="C999" s="257" t="s">
        <v>4529</v>
      </c>
      <c r="D999" s="173" t="s">
        <v>4529</v>
      </c>
      <c r="E999" s="174" t="s">
        <v>2861</v>
      </c>
      <c r="F999" s="173" t="s">
        <v>2862</v>
      </c>
      <c r="G999" s="328" t="s">
        <v>673</v>
      </c>
      <c r="H999" s="328" t="s">
        <v>2863</v>
      </c>
      <c r="I999" s="258" t="s">
        <v>2864</v>
      </c>
      <c r="J999" s="259" t="s">
        <v>1026</v>
      </c>
      <c r="K999" s="260" t="s">
        <v>4530</v>
      </c>
      <c r="L999" s="328"/>
      <c r="M999" s="343"/>
      <c r="N999" s="173" t="s">
        <v>679</v>
      </c>
      <c r="O999" s="173" t="s">
        <v>225</v>
      </c>
      <c r="P999" s="262" t="str">
        <f t="shared" si="1"/>
        <v>IN-BLR-ANANTA-VAV-571_4</v>
      </c>
      <c r="Q999" s="173" t="s">
        <v>4531</v>
      </c>
      <c r="R999" s="328" t="str">
        <f>IFS(C999="","",C999="n/a","N/A",LEN(C999),Concatenate("{",char(34),"asset",char(34),":{",char(34),"guid",char(34),":",char(34),Q999,char(34),",",char(34),"site",char(34),":",char(34),LOWER('2-Building'!$B$4),char(34),",",char(34),"name",char(34),":",char(34),LOWER(C999),char(34),"}}"))</f>
        <v>{"asset":{"guid":"uuid://b5c0b5cd-e64b-44d0-ad8d-2e05dfe9d8fe","site":"in-blr-ananta","name":"vav-571"}}</v>
      </c>
      <c r="S999" s="237" t="s">
        <v>2866</v>
      </c>
      <c r="T999" s="330"/>
      <c r="U999" s="330"/>
      <c r="V999" s="331"/>
      <c r="W999" s="344"/>
      <c r="X999" s="341"/>
      <c r="Y999" s="33" t="s">
        <v>2867</v>
      </c>
      <c r="Z999" s="258">
        <v>120571.0</v>
      </c>
      <c r="AA999" s="334">
        <v>11556.0</v>
      </c>
      <c r="AB999" s="341"/>
      <c r="AC999" s="341"/>
      <c r="AD999" s="343"/>
      <c r="AE999" s="331"/>
      <c r="AF999" s="348"/>
      <c r="AG999" s="337"/>
      <c r="AH999" s="341"/>
      <c r="AI999" s="341"/>
      <c r="AJ999" s="341"/>
      <c r="AK999" s="341"/>
      <c r="AL999" s="341"/>
      <c r="AM999" s="338"/>
      <c r="AN999" s="341"/>
      <c r="AO999" s="341"/>
      <c r="AP999" s="341"/>
      <c r="AQ999" s="341"/>
      <c r="AR999" s="341"/>
      <c r="AS999" s="341"/>
      <c r="AT999" s="341"/>
      <c r="AU999" s="343"/>
      <c r="AV999" s="341"/>
      <c r="AW999" s="269" t="s">
        <v>2154</v>
      </c>
      <c r="AX999" s="334" t="s">
        <v>2869</v>
      </c>
      <c r="AY999" s="270" t="s">
        <v>695</v>
      </c>
      <c r="AZ999" s="173" t="s">
        <v>2866</v>
      </c>
      <c r="BA999" s="265">
        <v>10.0</v>
      </c>
      <c r="BB999" s="174" t="s">
        <v>245</v>
      </c>
      <c r="BC999" s="341"/>
      <c r="BD999" s="308"/>
      <c r="BE999" s="347"/>
      <c r="BF999" s="274" t="str">
        <f>IFERROR(__xludf.DUMMYFUNCTION("LOWER(Regexreplace(to_text(E999),""[^A-Za-z0-9]"","""")&amp;""_""&amp;Regexreplace(to_text(F999),""[^A-Za-z0-9]"",""""))"),"neptronic_evcbseries")</f>
        <v>neptronic_evcbseries</v>
      </c>
      <c r="BG999" s="275" t="str">
        <f>IFERROR(__xludf.DUMMYFUNCTION("upper(Regexreplace(to_text(E999),""[^A-Za-z0-9]"","""")&amp;""-""&amp;Regexreplace(to_text(F999),""[^A-Za-z0-9]"",""""))"),"NEPTRONIC-EVCBSERIES")</f>
        <v>NEPTRONIC-EVCBSERIES</v>
      </c>
    </row>
    <row r="1000" ht="30.0" customHeight="1">
      <c r="A1000" s="258">
        <v>992.0</v>
      </c>
      <c r="B1000" s="237" t="s">
        <v>670</v>
      </c>
      <c r="C1000" s="257" t="s">
        <v>4532</v>
      </c>
      <c r="D1000" s="173" t="s">
        <v>4532</v>
      </c>
      <c r="E1000" s="174" t="s">
        <v>2861</v>
      </c>
      <c r="F1000" s="173" t="s">
        <v>2862</v>
      </c>
      <c r="G1000" s="328" t="s">
        <v>673</v>
      </c>
      <c r="H1000" s="328" t="s">
        <v>2863</v>
      </c>
      <c r="I1000" s="258" t="s">
        <v>2864</v>
      </c>
      <c r="J1000" s="259" t="s">
        <v>1026</v>
      </c>
      <c r="K1000" s="260" t="s">
        <v>4533</v>
      </c>
      <c r="L1000" s="328"/>
      <c r="M1000" s="343"/>
      <c r="N1000" s="173" t="s">
        <v>679</v>
      </c>
      <c r="O1000" s="173" t="s">
        <v>225</v>
      </c>
      <c r="P1000" s="262" t="str">
        <f t="shared" si="1"/>
        <v>IN-BLR-ANANTA-VAV-572_4</v>
      </c>
      <c r="Q1000" s="173" t="s">
        <v>4534</v>
      </c>
      <c r="R1000" s="328" t="str">
        <f>IFS(C1000="","",C1000="n/a","N/A",LEN(C1000),Concatenate("{",char(34),"asset",char(34),":{",char(34),"guid",char(34),":",char(34),Q1000,char(34),",",char(34),"site",char(34),":",char(34),LOWER('2-Building'!$B$4),char(34),",",char(34),"name",char(34),":",char(34),LOWER(C1000),char(34),"}}"))</f>
        <v>{"asset":{"guid":"uuid://b791c0ed-2b5e-48f2-ba80-1c6ba0fe4b95","site":"in-blr-ananta","name":"vav-572"}}</v>
      </c>
      <c r="S1000" s="237" t="s">
        <v>2866</v>
      </c>
      <c r="T1000" s="330"/>
      <c r="U1000" s="330"/>
      <c r="V1000" s="331"/>
      <c r="W1000" s="344"/>
      <c r="X1000" s="341"/>
      <c r="Y1000" s="33" t="s">
        <v>2867</v>
      </c>
      <c r="Z1000" s="258">
        <v>120572.0</v>
      </c>
      <c r="AA1000" s="334">
        <v>11556.0</v>
      </c>
      <c r="AB1000" s="341"/>
      <c r="AC1000" s="341"/>
      <c r="AD1000" s="343"/>
      <c r="AE1000" s="331"/>
      <c r="AF1000" s="348"/>
      <c r="AG1000" s="337"/>
      <c r="AH1000" s="341"/>
      <c r="AI1000" s="341"/>
      <c r="AJ1000" s="341"/>
      <c r="AK1000" s="341"/>
      <c r="AL1000" s="341"/>
      <c r="AM1000" s="338"/>
      <c r="AN1000" s="341"/>
      <c r="AO1000" s="341"/>
      <c r="AP1000" s="341"/>
      <c r="AQ1000" s="341"/>
      <c r="AR1000" s="341"/>
      <c r="AS1000" s="341"/>
      <c r="AT1000" s="341"/>
      <c r="AU1000" s="343"/>
      <c r="AV1000" s="341"/>
      <c r="AW1000" s="269" t="s">
        <v>2154</v>
      </c>
      <c r="AX1000" s="334" t="s">
        <v>2869</v>
      </c>
      <c r="AY1000" s="270" t="s">
        <v>695</v>
      </c>
      <c r="AZ1000" s="173" t="s">
        <v>2866</v>
      </c>
      <c r="BA1000" s="265">
        <v>10.0</v>
      </c>
      <c r="BB1000" s="174" t="s">
        <v>245</v>
      </c>
      <c r="BC1000" s="341"/>
      <c r="BD1000" s="308"/>
      <c r="BE1000" s="347"/>
      <c r="BF1000" s="274" t="str">
        <f>IFERROR(__xludf.DUMMYFUNCTION("LOWER(Regexreplace(to_text(E1000),""[^A-Za-z0-9]"","""")&amp;""_""&amp;Regexreplace(to_text(F1000),""[^A-Za-z0-9]"",""""))"),"neptronic_evcbseries")</f>
        <v>neptronic_evcbseries</v>
      </c>
      <c r="BG1000" s="275" t="str">
        <f>IFERROR(__xludf.DUMMYFUNCTION("upper(Regexreplace(to_text(E1000),""[^A-Za-z0-9]"","""")&amp;""-""&amp;Regexreplace(to_text(F1000),""[^A-Za-z0-9]"",""""))"),"NEPTRONIC-EVCBSERIES")</f>
        <v>NEPTRONIC-EVCBSERIES</v>
      </c>
    </row>
    <row r="1001" ht="30.0" customHeight="1">
      <c r="A1001" s="173">
        <v>993.0</v>
      </c>
      <c r="B1001" s="237" t="s">
        <v>670</v>
      </c>
      <c r="C1001" s="257" t="s">
        <v>4535</v>
      </c>
      <c r="D1001" s="173" t="s">
        <v>4535</v>
      </c>
      <c r="E1001" s="174" t="s">
        <v>2861</v>
      </c>
      <c r="F1001" s="173" t="s">
        <v>2862</v>
      </c>
      <c r="G1001" s="328" t="s">
        <v>673</v>
      </c>
      <c r="H1001" s="328" t="s">
        <v>2863</v>
      </c>
      <c r="I1001" s="258" t="s">
        <v>2864</v>
      </c>
      <c r="J1001" s="259" t="s">
        <v>1026</v>
      </c>
      <c r="K1001" s="260" t="s">
        <v>4536</v>
      </c>
      <c r="L1001" s="328"/>
      <c r="M1001" s="343"/>
      <c r="N1001" s="173" t="s">
        <v>679</v>
      </c>
      <c r="O1001" s="173" t="s">
        <v>225</v>
      </c>
      <c r="P1001" s="262" t="str">
        <f t="shared" si="1"/>
        <v>IN-BLR-ANANTA-VAV-573_4</v>
      </c>
      <c r="Q1001" s="173" t="s">
        <v>4537</v>
      </c>
      <c r="R1001" s="328" t="str">
        <f>IFS(C1001="","",C1001="n/a","N/A",LEN(C1001),Concatenate("{",char(34),"asset",char(34),":{",char(34),"guid",char(34),":",char(34),Q1001,char(34),",",char(34),"site",char(34),":",char(34),LOWER('2-Building'!$B$4),char(34),",",char(34),"name",char(34),":",char(34),LOWER(C1001),char(34),"}}"))</f>
        <v>{"asset":{"guid":"uuid://95f599fd-8fe4-4103-b0f6-98b043a13419","site":"in-blr-ananta","name":"vav-573"}}</v>
      </c>
      <c r="S1001" s="237" t="s">
        <v>2866</v>
      </c>
      <c r="T1001" s="330"/>
      <c r="U1001" s="330"/>
      <c r="V1001" s="331"/>
      <c r="W1001" s="344"/>
      <c r="X1001" s="341"/>
      <c r="Y1001" s="33" t="s">
        <v>2867</v>
      </c>
      <c r="Z1001" s="258">
        <v>120573.0</v>
      </c>
      <c r="AA1001" s="334">
        <v>11556.0</v>
      </c>
      <c r="AB1001" s="341"/>
      <c r="AC1001" s="341"/>
      <c r="AD1001" s="343"/>
      <c r="AE1001" s="331"/>
      <c r="AF1001" s="348"/>
      <c r="AG1001" s="337"/>
      <c r="AH1001" s="341"/>
      <c r="AI1001" s="341"/>
      <c r="AJ1001" s="341"/>
      <c r="AK1001" s="341"/>
      <c r="AL1001" s="341"/>
      <c r="AM1001" s="338"/>
      <c r="AN1001" s="341"/>
      <c r="AO1001" s="341"/>
      <c r="AP1001" s="341"/>
      <c r="AQ1001" s="341"/>
      <c r="AR1001" s="341"/>
      <c r="AS1001" s="341"/>
      <c r="AT1001" s="341"/>
      <c r="AU1001" s="343"/>
      <c r="AV1001" s="341"/>
      <c r="AW1001" s="269" t="s">
        <v>2154</v>
      </c>
      <c r="AX1001" s="334" t="s">
        <v>2869</v>
      </c>
      <c r="AY1001" s="270" t="s">
        <v>695</v>
      </c>
      <c r="AZ1001" s="173" t="s">
        <v>2866</v>
      </c>
      <c r="BA1001" s="265">
        <v>10.0</v>
      </c>
      <c r="BB1001" s="174" t="s">
        <v>245</v>
      </c>
      <c r="BC1001" s="341"/>
      <c r="BD1001" s="308"/>
      <c r="BE1001" s="347"/>
      <c r="BF1001" s="274" t="str">
        <f>IFERROR(__xludf.DUMMYFUNCTION("LOWER(Regexreplace(to_text(E1001),""[^A-Za-z0-9]"","""")&amp;""_""&amp;Regexreplace(to_text(F1001),""[^A-Za-z0-9]"",""""))"),"neptronic_evcbseries")</f>
        <v>neptronic_evcbseries</v>
      </c>
      <c r="BG1001" s="275" t="str">
        <f>IFERROR(__xludf.DUMMYFUNCTION("upper(Regexreplace(to_text(E1001),""[^A-Za-z0-9]"","""")&amp;""-""&amp;Regexreplace(to_text(F1001),""[^A-Za-z0-9]"",""""))"),"NEPTRONIC-EVCBSERIES")</f>
        <v>NEPTRONIC-EVCBSERIES</v>
      </c>
    </row>
    <row r="1002" ht="30.0" customHeight="1">
      <c r="A1002" s="258">
        <v>994.0</v>
      </c>
      <c r="B1002" s="237" t="s">
        <v>670</v>
      </c>
      <c r="C1002" s="257" t="s">
        <v>4538</v>
      </c>
      <c r="D1002" s="173" t="s">
        <v>4538</v>
      </c>
      <c r="E1002" s="174" t="s">
        <v>2861</v>
      </c>
      <c r="F1002" s="173" t="s">
        <v>2862</v>
      </c>
      <c r="G1002" s="328" t="s">
        <v>673</v>
      </c>
      <c r="H1002" s="328" t="s">
        <v>2863</v>
      </c>
      <c r="I1002" s="258" t="s">
        <v>2864</v>
      </c>
      <c r="J1002" s="259" t="s">
        <v>1026</v>
      </c>
      <c r="K1002" s="260" t="s">
        <v>4539</v>
      </c>
      <c r="L1002" s="328"/>
      <c r="M1002" s="343"/>
      <c r="N1002" s="173" t="s">
        <v>679</v>
      </c>
      <c r="O1002" s="173" t="s">
        <v>225</v>
      </c>
      <c r="P1002" s="262" t="str">
        <f t="shared" si="1"/>
        <v>IN-BLR-ANANTA-VAV-574_4</v>
      </c>
      <c r="Q1002" s="173" t="s">
        <v>4540</v>
      </c>
      <c r="R1002" s="328" t="str">
        <f>IFS(C1002="","",C1002="n/a","N/A",LEN(C1002),Concatenate("{",char(34),"asset",char(34),":{",char(34),"guid",char(34),":",char(34),Q1002,char(34),",",char(34),"site",char(34),":",char(34),LOWER('2-Building'!$B$4),char(34),",",char(34),"name",char(34),":",char(34),LOWER(C1002),char(34),"}}"))</f>
        <v>{"asset":{"guid":"uuid://dac0bba2-efc8-4b2c-8430-421d73b3fce6","site":"in-blr-ananta","name":"vav-574"}}</v>
      </c>
      <c r="S1002" s="237" t="s">
        <v>2866</v>
      </c>
      <c r="T1002" s="330"/>
      <c r="U1002" s="330"/>
      <c r="V1002" s="331"/>
      <c r="W1002" s="344"/>
      <c r="X1002" s="341"/>
      <c r="Y1002" s="33" t="s">
        <v>2867</v>
      </c>
      <c r="Z1002" s="258">
        <v>120574.0</v>
      </c>
      <c r="AA1002" s="334">
        <v>11557.0</v>
      </c>
      <c r="AB1002" s="341"/>
      <c r="AC1002" s="341"/>
      <c r="AD1002" s="343"/>
      <c r="AE1002" s="331"/>
      <c r="AF1002" s="348"/>
      <c r="AG1002" s="337"/>
      <c r="AH1002" s="341"/>
      <c r="AI1002" s="341"/>
      <c r="AJ1002" s="341"/>
      <c r="AK1002" s="341"/>
      <c r="AL1002" s="341"/>
      <c r="AM1002" s="338"/>
      <c r="AN1002" s="341"/>
      <c r="AO1002" s="341"/>
      <c r="AP1002" s="341"/>
      <c r="AQ1002" s="341"/>
      <c r="AR1002" s="341"/>
      <c r="AS1002" s="341"/>
      <c r="AT1002" s="341"/>
      <c r="AU1002" s="343"/>
      <c r="AV1002" s="341"/>
      <c r="AW1002" s="269" t="s">
        <v>2154</v>
      </c>
      <c r="AX1002" s="334" t="s">
        <v>2869</v>
      </c>
      <c r="AY1002" s="270" t="s">
        <v>695</v>
      </c>
      <c r="AZ1002" s="173" t="s">
        <v>2866</v>
      </c>
      <c r="BA1002" s="265">
        <v>10.0</v>
      </c>
      <c r="BB1002" s="174" t="s">
        <v>245</v>
      </c>
      <c r="BC1002" s="341"/>
      <c r="BD1002" s="308"/>
      <c r="BE1002" s="347"/>
      <c r="BF1002" s="274" t="str">
        <f>IFERROR(__xludf.DUMMYFUNCTION("LOWER(Regexreplace(to_text(E1002),""[^A-Za-z0-9]"","""")&amp;""_""&amp;Regexreplace(to_text(F1002),""[^A-Za-z0-9]"",""""))"),"neptronic_evcbseries")</f>
        <v>neptronic_evcbseries</v>
      </c>
      <c r="BG1002" s="275" t="str">
        <f>IFERROR(__xludf.DUMMYFUNCTION("upper(Regexreplace(to_text(E1002),""[^A-Za-z0-9]"","""")&amp;""-""&amp;Regexreplace(to_text(F1002),""[^A-Za-z0-9]"",""""))"),"NEPTRONIC-EVCBSERIES")</f>
        <v>NEPTRONIC-EVCBSERIES</v>
      </c>
    </row>
    <row r="1003" ht="30.0" customHeight="1">
      <c r="A1003" s="173">
        <v>995.0</v>
      </c>
      <c r="B1003" s="237" t="s">
        <v>670</v>
      </c>
      <c r="C1003" s="257" t="s">
        <v>4541</v>
      </c>
      <c r="D1003" s="173" t="s">
        <v>4541</v>
      </c>
      <c r="E1003" s="174" t="s">
        <v>2861</v>
      </c>
      <c r="F1003" s="173" t="s">
        <v>2862</v>
      </c>
      <c r="G1003" s="328" t="s">
        <v>673</v>
      </c>
      <c r="H1003" s="328" t="s">
        <v>2863</v>
      </c>
      <c r="I1003" s="258" t="s">
        <v>2864</v>
      </c>
      <c r="J1003" s="259" t="s">
        <v>1026</v>
      </c>
      <c r="K1003" s="260" t="s">
        <v>4542</v>
      </c>
      <c r="L1003" s="328"/>
      <c r="M1003" s="343"/>
      <c r="N1003" s="173" t="s">
        <v>679</v>
      </c>
      <c r="O1003" s="173" t="s">
        <v>225</v>
      </c>
      <c r="P1003" s="262" t="str">
        <f t="shared" si="1"/>
        <v>IN-BLR-ANANTA-VAV-575_4</v>
      </c>
      <c r="Q1003" s="173" t="s">
        <v>4543</v>
      </c>
      <c r="R1003" s="328" t="str">
        <f>IFS(C1003="","",C1003="n/a","N/A",LEN(C1003),Concatenate("{",char(34),"asset",char(34),":{",char(34),"guid",char(34),":",char(34),Q1003,char(34),",",char(34),"site",char(34),":",char(34),LOWER('2-Building'!$B$4),char(34),",",char(34),"name",char(34),":",char(34),LOWER(C1003),char(34),"}}"))</f>
        <v>{"asset":{"guid":"uuid://e7ec8544-4e6e-404c-9aaa-596448d3ce06","site":"in-blr-ananta","name":"vav-575"}}</v>
      </c>
      <c r="S1003" s="237" t="s">
        <v>2866</v>
      </c>
      <c r="T1003" s="330"/>
      <c r="U1003" s="330"/>
      <c r="V1003" s="331"/>
      <c r="W1003" s="344"/>
      <c r="X1003" s="341"/>
      <c r="Y1003" s="33" t="s">
        <v>2867</v>
      </c>
      <c r="Z1003" s="258">
        <v>120575.0</v>
      </c>
      <c r="AA1003" s="334">
        <v>11557.0</v>
      </c>
      <c r="AB1003" s="341"/>
      <c r="AC1003" s="341"/>
      <c r="AD1003" s="343"/>
      <c r="AE1003" s="331"/>
      <c r="AF1003" s="348"/>
      <c r="AG1003" s="337"/>
      <c r="AH1003" s="341"/>
      <c r="AI1003" s="341"/>
      <c r="AJ1003" s="341"/>
      <c r="AK1003" s="341"/>
      <c r="AL1003" s="341"/>
      <c r="AM1003" s="338"/>
      <c r="AN1003" s="341"/>
      <c r="AO1003" s="341"/>
      <c r="AP1003" s="341"/>
      <c r="AQ1003" s="341"/>
      <c r="AR1003" s="341"/>
      <c r="AS1003" s="341"/>
      <c r="AT1003" s="341"/>
      <c r="AU1003" s="343"/>
      <c r="AV1003" s="341"/>
      <c r="AW1003" s="269" t="s">
        <v>2154</v>
      </c>
      <c r="AX1003" s="334" t="s">
        <v>2869</v>
      </c>
      <c r="AY1003" s="270" t="s">
        <v>695</v>
      </c>
      <c r="AZ1003" s="173" t="s">
        <v>2866</v>
      </c>
      <c r="BA1003" s="265">
        <v>10.0</v>
      </c>
      <c r="BB1003" s="174" t="s">
        <v>245</v>
      </c>
      <c r="BC1003" s="341"/>
      <c r="BD1003" s="308"/>
      <c r="BE1003" s="347"/>
      <c r="BF1003" s="274" t="str">
        <f>IFERROR(__xludf.DUMMYFUNCTION("LOWER(Regexreplace(to_text(E1003),""[^A-Za-z0-9]"","""")&amp;""_""&amp;Regexreplace(to_text(F1003),""[^A-Za-z0-9]"",""""))"),"neptronic_evcbseries")</f>
        <v>neptronic_evcbseries</v>
      </c>
      <c r="BG1003" s="275" t="str">
        <f>IFERROR(__xludf.DUMMYFUNCTION("upper(Regexreplace(to_text(E1003),""[^A-Za-z0-9]"","""")&amp;""-""&amp;Regexreplace(to_text(F1003),""[^A-Za-z0-9]"",""""))"),"NEPTRONIC-EVCBSERIES")</f>
        <v>NEPTRONIC-EVCBSERIES</v>
      </c>
    </row>
    <row r="1004" ht="30.0" customHeight="1">
      <c r="A1004" s="258">
        <v>996.0</v>
      </c>
      <c r="B1004" s="237" t="s">
        <v>670</v>
      </c>
      <c r="C1004" s="257" t="s">
        <v>4544</v>
      </c>
      <c r="D1004" s="173" t="s">
        <v>4544</v>
      </c>
      <c r="E1004" s="174" t="s">
        <v>2861</v>
      </c>
      <c r="F1004" s="173" t="s">
        <v>2862</v>
      </c>
      <c r="G1004" s="328" t="s">
        <v>673</v>
      </c>
      <c r="H1004" s="328" t="s">
        <v>2863</v>
      </c>
      <c r="I1004" s="258" t="s">
        <v>2864</v>
      </c>
      <c r="J1004" s="259" t="s">
        <v>1026</v>
      </c>
      <c r="K1004" s="260" t="s">
        <v>4545</v>
      </c>
      <c r="L1004" s="328"/>
      <c r="M1004" s="343"/>
      <c r="N1004" s="173" t="s">
        <v>679</v>
      </c>
      <c r="O1004" s="173" t="s">
        <v>225</v>
      </c>
      <c r="P1004" s="262" t="str">
        <f t="shared" si="1"/>
        <v>IN-BLR-ANANTA-VAV-576_4</v>
      </c>
      <c r="Q1004" s="173" t="s">
        <v>4546</v>
      </c>
      <c r="R1004" s="328" t="str">
        <f>IFS(C1004="","",C1004="n/a","N/A",LEN(C1004),Concatenate("{",char(34),"asset",char(34),":{",char(34),"guid",char(34),":",char(34),Q1004,char(34),",",char(34),"site",char(34),":",char(34),LOWER('2-Building'!$B$4),char(34),",",char(34),"name",char(34),":",char(34),LOWER(C1004),char(34),"}}"))</f>
        <v>{"asset":{"guid":"uuid://4f6f0587-ffde-4496-8af6-b53a5658da5e","site":"in-blr-ananta","name":"vav-576"}}</v>
      </c>
      <c r="S1004" s="237" t="s">
        <v>2866</v>
      </c>
      <c r="T1004" s="330"/>
      <c r="U1004" s="330"/>
      <c r="V1004" s="331"/>
      <c r="W1004" s="344"/>
      <c r="X1004" s="341"/>
      <c r="Y1004" s="33" t="s">
        <v>2867</v>
      </c>
      <c r="Z1004" s="258">
        <v>120576.0</v>
      </c>
      <c r="AA1004" s="334">
        <v>11557.0</v>
      </c>
      <c r="AB1004" s="341"/>
      <c r="AC1004" s="341"/>
      <c r="AD1004" s="343"/>
      <c r="AE1004" s="331"/>
      <c r="AF1004" s="348"/>
      <c r="AG1004" s="337"/>
      <c r="AH1004" s="341"/>
      <c r="AI1004" s="341"/>
      <c r="AJ1004" s="341"/>
      <c r="AK1004" s="341"/>
      <c r="AL1004" s="341"/>
      <c r="AM1004" s="338"/>
      <c r="AN1004" s="341"/>
      <c r="AO1004" s="341"/>
      <c r="AP1004" s="341"/>
      <c r="AQ1004" s="341"/>
      <c r="AR1004" s="341"/>
      <c r="AS1004" s="341"/>
      <c r="AT1004" s="341"/>
      <c r="AU1004" s="343"/>
      <c r="AV1004" s="341"/>
      <c r="AW1004" s="269" t="s">
        <v>2154</v>
      </c>
      <c r="AX1004" s="334" t="s">
        <v>2869</v>
      </c>
      <c r="AY1004" s="270" t="s">
        <v>695</v>
      </c>
      <c r="AZ1004" s="173" t="s">
        <v>2866</v>
      </c>
      <c r="BA1004" s="265">
        <v>10.0</v>
      </c>
      <c r="BB1004" s="174" t="s">
        <v>245</v>
      </c>
      <c r="BC1004" s="341"/>
      <c r="BD1004" s="308"/>
      <c r="BE1004" s="347"/>
      <c r="BF1004" s="274" t="str">
        <f>IFERROR(__xludf.DUMMYFUNCTION("LOWER(Regexreplace(to_text(E1004),""[^A-Za-z0-9]"","""")&amp;""_""&amp;Regexreplace(to_text(F1004),""[^A-Za-z0-9]"",""""))"),"neptronic_evcbseries")</f>
        <v>neptronic_evcbseries</v>
      </c>
      <c r="BG1004" s="275" t="str">
        <f>IFERROR(__xludf.DUMMYFUNCTION("upper(Regexreplace(to_text(E1004),""[^A-Za-z0-9]"","""")&amp;""-""&amp;Regexreplace(to_text(F1004),""[^A-Za-z0-9]"",""""))"),"NEPTRONIC-EVCBSERIES")</f>
        <v>NEPTRONIC-EVCBSERIES</v>
      </c>
    </row>
    <row r="1005" ht="30.0" customHeight="1">
      <c r="A1005" s="173">
        <v>997.0</v>
      </c>
      <c r="B1005" s="237" t="s">
        <v>670</v>
      </c>
      <c r="C1005" s="257" t="s">
        <v>4547</v>
      </c>
      <c r="D1005" s="173" t="s">
        <v>4547</v>
      </c>
      <c r="E1005" s="174" t="s">
        <v>2861</v>
      </c>
      <c r="F1005" s="173" t="s">
        <v>2862</v>
      </c>
      <c r="G1005" s="328" t="s">
        <v>673</v>
      </c>
      <c r="H1005" s="328" t="s">
        <v>2863</v>
      </c>
      <c r="I1005" s="258" t="s">
        <v>2864</v>
      </c>
      <c r="J1005" s="259" t="s">
        <v>1026</v>
      </c>
      <c r="K1005" s="260" t="s">
        <v>4548</v>
      </c>
      <c r="L1005" s="328"/>
      <c r="M1005" s="343"/>
      <c r="N1005" s="173" t="s">
        <v>679</v>
      </c>
      <c r="O1005" s="173" t="s">
        <v>225</v>
      </c>
      <c r="P1005" s="262" t="str">
        <f t="shared" si="1"/>
        <v>IN-BLR-ANANTA-VAV-577_4</v>
      </c>
      <c r="Q1005" s="173" t="s">
        <v>4549</v>
      </c>
      <c r="R1005" s="328" t="str">
        <f>IFS(C1005="","",C1005="n/a","N/A",LEN(C1005),Concatenate("{",char(34),"asset",char(34),":{",char(34),"guid",char(34),":",char(34),Q1005,char(34),",",char(34),"site",char(34),":",char(34),LOWER('2-Building'!$B$4),char(34),",",char(34),"name",char(34),":",char(34),LOWER(C1005),char(34),"}}"))</f>
        <v>{"asset":{"guid":"uuid://a3aa1990-62a1-4059-8515-d017f0b16f00","site":"in-blr-ananta","name":"vav-577"}}</v>
      </c>
      <c r="S1005" s="237" t="s">
        <v>2866</v>
      </c>
      <c r="T1005" s="330"/>
      <c r="U1005" s="330"/>
      <c r="V1005" s="331"/>
      <c r="W1005" s="344"/>
      <c r="X1005" s="341"/>
      <c r="Y1005" s="33" t="s">
        <v>2867</v>
      </c>
      <c r="Z1005" s="258">
        <v>120577.0</v>
      </c>
      <c r="AA1005" s="334">
        <v>11557.0</v>
      </c>
      <c r="AB1005" s="341"/>
      <c r="AC1005" s="341"/>
      <c r="AD1005" s="343"/>
      <c r="AE1005" s="331"/>
      <c r="AF1005" s="348"/>
      <c r="AG1005" s="337"/>
      <c r="AH1005" s="341"/>
      <c r="AI1005" s="341"/>
      <c r="AJ1005" s="341"/>
      <c r="AK1005" s="341"/>
      <c r="AL1005" s="341"/>
      <c r="AM1005" s="338"/>
      <c r="AN1005" s="341"/>
      <c r="AO1005" s="341"/>
      <c r="AP1005" s="341"/>
      <c r="AQ1005" s="341"/>
      <c r="AR1005" s="341"/>
      <c r="AS1005" s="341"/>
      <c r="AT1005" s="341"/>
      <c r="AU1005" s="343"/>
      <c r="AV1005" s="341"/>
      <c r="AW1005" s="269" t="s">
        <v>2154</v>
      </c>
      <c r="AX1005" s="334" t="s">
        <v>2869</v>
      </c>
      <c r="AY1005" s="270" t="s">
        <v>695</v>
      </c>
      <c r="AZ1005" s="173" t="s">
        <v>2866</v>
      </c>
      <c r="BA1005" s="265">
        <v>10.0</v>
      </c>
      <c r="BB1005" s="174" t="s">
        <v>245</v>
      </c>
      <c r="BC1005" s="341"/>
      <c r="BD1005" s="308"/>
      <c r="BE1005" s="347"/>
      <c r="BF1005" s="274" t="str">
        <f>IFERROR(__xludf.DUMMYFUNCTION("LOWER(Regexreplace(to_text(E1005),""[^A-Za-z0-9]"","""")&amp;""_""&amp;Regexreplace(to_text(F1005),""[^A-Za-z0-9]"",""""))"),"neptronic_evcbseries")</f>
        <v>neptronic_evcbseries</v>
      </c>
      <c r="BG1005" s="275" t="str">
        <f>IFERROR(__xludf.DUMMYFUNCTION("upper(Regexreplace(to_text(E1005),""[^A-Za-z0-9]"","""")&amp;""-""&amp;Regexreplace(to_text(F1005),""[^A-Za-z0-9]"",""""))"),"NEPTRONIC-EVCBSERIES")</f>
        <v>NEPTRONIC-EVCBSERIES</v>
      </c>
    </row>
    <row r="1006" ht="30.0" customHeight="1">
      <c r="A1006" s="258">
        <v>998.0</v>
      </c>
      <c r="B1006" s="237" t="s">
        <v>670</v>
      </c>
      <c r="C1006" s="257" t="s">
        <v>4550</v>
      </c>
      <c r="D1006" s="173" t="s">
        <v>4550</v>
      </c>
      <c r="E1006" s="174" t="s">
        <v>2861</v>
      </c>
      <c r="F1006" s="173" t="s">
        <v>2862</v>
      </c>
      <c r="G1006" s="328" t="s">
        <v>673</v>
      </c>
      <c r="H1006" s="328" t="s">
        <v>2863</v>
      </c>
      <c r="I1006" s="258" t="s">
        <v>2864</v>
      </c>
      <c r="J1006" s="259" t="s">
        <v>1026</v>
      </c>
      <c r="K1006" s="260" t="s">
        <v>4551</v>
      </c>
      <c r="L1006" s="328"/>
      <c r="M1006" s="343"/>
      <c r="N1006" s="173" t="s">
        <v>679</v>
      </c>
      <c r="O1006" s="173" t="s">
        <v>225</v>
      </c>
      <c r="P1006" s="262" t="str">
        <f t="shared" si="1"/>
        <v>IN-BLR-ANANTA-VAV-578_4</v>
      </c>
      <c r="Q1006" s="173" t="s">
        <v>4552</v>
      </c>
      <c r="R1006" s="328" t="str">
        <f>IFS(C1006="","",C1006="n/a","N/A",LEN(C1006),Concatenate("{",char(34),"asset",char(34),":{",char(34),"guid",char(34),":",char(34),Q1006,char(34),",",char(34),"site",char(34),":",char(34),LOWER('2-Building'!$B$4),char(34),",",char(34),"name",char(34),":",char(34),LOWER(C1006),char(34),"}}"))</f>
        <v>{"asset":{"guid":"uuid://e37c907f-1631-436f-bd40-0d5295fd1834","site":"in-blr-ananta","name":"vav-578"}}</v>
      </c>
      <c r="S1006" s="237" t="s">
        <v>2866</v>
      </c>
      <c r="T1006" s="330"/>
      <c r="U1006" s="330"/>
      <c r="V1006" s="331"/>
      <c r="W1006" s="344"/>
      <c r="X1006" s="341"/>
      <c r="Y1006" s="33" t="s">
        <v>2867</v>
      </c>
      <c r="Z1006" s="258">
        <v>120578.0</v>
      </c>
      <c r="AA1006" s="334">
        <v>11557.0</v>
      </c>
      <c r="AB1006" s="341"/>
      <c r="AC1006" s="341"/>
      <c r="AD1006" s="343"/>
      <c r="AE1006" s="331"/>
      <c r="AF1006" s="348"/>
      <c r="AG1006" s="337"/>
      <c r="AH1006" s="341"/>
      <c r="AI1006" s="341"/>
      <c r="AJ1006" s="341"/>
      <c r="AK1006" s="341"/>
      <c r="AL1006" s="341"/>
      <c r="AM1006" s="338"/>
      <c r="AN1006" s="341"/>
      <c r="AO1006" s="341"/>
      <c r="AP1006" s="341"/>
      <c r="AQ1006" s="341"/>
      <c r="AR1006" s="341"/>
      <c r="AS1006" s="341"/>
      <c r="AT1006" s="341"/>
      <c r="AU1006" s="343"/>
      <c r="AV1006" s="341"/>
      <c r="AW1006" s="269" t="s">
        <v>2154</v>
      </c>
      <c r="AX1006" s="334" t="s">
        <v>2869</v>
      </c>
      <c r="AY1006" s="270" t="s">
        <v>695</v>
      </c>
      <c r="AZ1006" s="173" t="s">
        <v>2866</v>
      </c>
      <c r="BA1006" s="265">
        <v>10.0</v>
      </c>
      <c r="BB1006" s="174" t="s">
        <v>245</v>
      </c>
      <c r="BC1006" s="341"/>
      <c r="BD1006" s="308"/>
      <c r="BE1006" s="347"/>
      <c r="BF1006" s="274" t="str">
        <f>IFERROR(__xludf.DUMMYFUNCTION("LOWER(Regexreplace(to_text(E1006),""[^A-Za-z0-9]"","""")&amp;""_""&amp;Regexreplace(to_text(F1006),""[^A-Za-z0-9]"",""""))"),"neptronic_evcbseries")</f>
        <v>neptronic_evcbseries</v>
      </c>
      <c r="BG1006" s="275" t="str">
        <f>IFERROR(__xludf.DUMMYFUNCTION("upper(Regexreplace(to_text(E1006),""[^A-Za-z0-9]"","""")&amp;""-""&amp;Regexreplace(to_text(F1006),""[^A-Za-z0-9]"",""""))"),"NEPTRONIC-EVCBSERIES")</f>
        <v>NEPTRONIC-EVCBSERIES</v>
      </c>
    </row>
    <row r="1007" ht="30.0" customHeight="1">
      <c r="A1007" s="173">
        <v>999.0</v>
      </c>
      <c r="B1007" s="237" t="s">
        <v>670</v>
      </c>
      <c r="C1007" s="257" t="s">
        <v>4553</v>
      </c>
      <c r="D1007" s="173" t="s">
        <v>4553</v>
      </c>
      <c r="E1007" s="174" t="s">
        <v>2861</v>
      </c>
      <c r="F1007" s="173" t="s">
        <v>2862</v>
      </c>
      <c r="G1007" s="328" t="s">
        <v>673</v>
      </c>
      <c r="H1007" s="328" t="s">
        <v>2863</v>
      </c>
      <c r="I1007" s="258" t="s">
        <v>2864</v>
      </c>
      <c r="J1007" s="259" t="s">
        <v>1026</v>
      </c>
      <c r="K1007" s="260" t="s">
        <v>4554</v>
      </c>
      <c r="L1007" s="328"/>
      <c r="M1007" s="343"/>
      <c r="N1007" s="173" t="s">
        <v>679</v>
      </c>
      <c r="O1007" s="173" t="s">
        <v>225</v>
      </c>
      <c r="P1007" s="262" t="str">
        <f t="shared" si="1"/>
        <v>IN-BLR-ANANTA-VAV-579_4</v>
      </c>
      <c r="Q1007" s="173" t="s">
        <v>4555</v>
      </c>
      <c r="R1007" s="328" t="str">
        <f>IFS(C1007="","",C1007="n/a","N/A",LEN(C1007),Concatenate("{",char(34),"asset",char(34),":{",char(34),"guid",char(34),":",char(34),Q1007,char(34),",",char(34),"site",char(34),":",char(34),LOWER('2-Building'!$B$4),char(34),",",char(34),"name",char(34),":",char(34),LOWER(C1007),char(34),"}}"))</f>
        <v>{"asset":{"guid":"uuid://06249025-e203-4aec-8c14-2a5bed70f464","site":"in-blr-ananta","name":"vav-579"}}</v>
      </c>
      <c r="S1007" s="237" t="s">
        <v>2866</v>
      </c>
      <c r="T1007" s="330"/>
      <c r="U1007" s="330"/>
      <c r="V1007" s="331"/>
      <c r="W1007" s="344"/>
      <c r="X1007" s="341"/>
      <c r="Y1007" s="33" t="s">
        <v>2867</v>
      </c>
      <c r="Z1007" s="258">
        <v>120579.0</v>
      </c>
      <c r="AA1007" s="334">
        <v>11557.0</v>
      </c>
      <c r="AB1007" s="341"/>
      <c r="AC1007" s="341"/>
      <c r="AD1007" s="343"/>
      <c r="AE1007" s="331"/>
      <c r="AF1007" s="348"/>
      <c r="AG1007" s="337"/>
      <c r="AH1007" s="341"/>
      <c r="AI1007" s="341"/>
      <c r="AJ1007" s="341"/>
      <c r="AK1007" s="341"/>
      <c r="AL1007" s="341"/>
      <c r="AM1007" s="338"/>
      <c r="AN1007" s="341"/>
      <c r="AO1007" s="341"/>
      <c r="AP1007" s="341"/>
      <c r="AQ1007" s="341"/>
      <c r="AR1007" s="341"/>
      <c r="AS1007" s="341"/>
      <c r="AT1007" s="341"/>
      <c r="AU1007" s="343"/>
      <c r="AV1007" s="341"/>
      <c r="AW1007" s="269" t="s">
        <v>2154</v>
      </c>
      <c r="AX1007" s="334" t="s">
        <v>2869</v>
      </c>
      <c r="AY1007" s="270" t="s">
        <v>695</v>
      </c>
      <c r="AZ1007" s="173" t="s">
        <v>2866</v>
      </c>
      <c r="BA1007" s="265">
        <v>10.0</v>
      </c>
      <c r="BB1007" s="174" t="s">
        <v>245</v>
      </c>
      <c r="BC1007" s="341"/>
      <c r="BD1007" s="308"/>
      <c r="BE1007" s="347"/>
      <c r="BF1007" s="274" t="str">
        <f>IFERROR(__xludf.DUMMYFUNCTION("LOWER(Regexreplace(to_text(E1007),""[^A-Za-z0-9]"","""")&amp;""_""&amp;Regexreplace(to_text(F1007),""[^A-Za-z0-9]"",""""))"),"neptronic_evcbseries")</f>
        <v>neptronic_evcbseries</v>
      </c>
      <c r="BG1007" s="275" t="str">
        <f>IFERROR(__xludf.DUMMYFUNCTION("upper(Regexreplace(to_text(E1007),""[^A-Za-z0-9]"","""")&amp;""-""&amp;Regexreplace(to_text(F1007),""[^A-Za-z0-9]"",""""))"),"NEPTRONIC-EVCBSERIES")</f>
        <v>NEPTRONIC-EVCBSERIES</v>
      </c>
    </row>
    <row r="1008" ht="30.0" customHeight="1">
      <c r="A1008" s="258">
        <v>1000.0</v>
      </c>
      <c r="B1008" s="237" t="s">
        <v>670</v>
      </c>
      <c r="C1008" s="257" t="s">
        <v>4556</v>
      </c>
      <c r="D1008" s="173" t="s">
        <v>4556</v>
      </c>
      <c r="E1008" s="174" t="s">
        <v>2861</v>
      </c>
      <c r="F1008" s="173" t="s">
        <v>2862</v>
      </c>
      <c r="G1008" s="328" t="s">
        <v>673</v>
      </c>
      <c r="H1008" s="328" t="s">
        <v>2863</v>
      </c>
      <c r="I1008" s="258" t="s">
        <v>2864</v>
      </c>
      <c r="J1008" s="259" t="s">
        <v>1026</v>
      </c>
      <c r="K1008" s="260" t="s">
        <v>4557</v>
      </c>
      <c r="L1008" s="328"/>
      <c r="M1008" s="343"/>
      <c r="N1008" s="173" t="s">
        <v>679</v>
      </c>
      <c r="O1008" s="173" t="s">
        <v>225</v>
      </c>
      <c r="P1008" s="262" t="str">
        <f t="shared" si="1"/>
        <v>IN-BLR-ANANTA-VAV-580_4</v>
      </c>
      <c r="Q1008" s="173" t="s">
        <v>4558</v>
      </c>
      <c r="R1008" s="328" t="str">
        <f>IFS(C1008="","",C1008="n/a","N/A",LEN(C1008),Concatenate("{",char(34),"asset",char(34),":{",char(34),"guid",char(34),":",char(34),Q1008,char(34),",",char(34),"site",char(34),":",char(34),LOWER('2-Building'!$B$4),char(34),",",char(34),"name",char(34),":",char(34),LOWER(C1008),char(34),"}}"))</f>
        <v>{"asset":{"guid":"uuid://d25c5939-7700-4f91-8103-4613f95e5e3a","site":"in-blr-ananta","name":"vav-580"}}</v>
      </c>
      <c r="S1008" s="237" t="s">
        <v>2866</v>
      </c>
      <c r="T1008" s="330"/>
      <c r="U1008" s="330"/>
      <c r="V1008" s="331"/>
      <c r="W1008" s="344"/>
      <c r="X1008" s="341"/>
      <c r="Y1008" s="33" t="s">
        <v>2867</v>
      </c>
      <c r="Z1008" s="258">
        <v>120580.0</v>
      </c>
      <c r="AA1008" s="334">
        <v>11557.0</v>
      </c>
      <c r="AB1008" s="341"/>
      <c r="AC1008" s="341"/>
      <c r="AD1008" s="343"/>
      <c r="AE1008" s="331"/>
      <c r="AF1008" s="348"/>
      <c r="AG1008" s="337"/>
      <c r="AH1008" s="341"/>
      <c r="AI1008" s="341"/>
      <c r="AJ1008" s="341"/>
      <c r="AK1008" s="341"/>
      <c r="AL1008" s="341"/>
      <c r="AM1008" s="338"/>
      <c r="AN1008" s="341"/>
      <c r="AO1008" s="341"/>
      <c r="AP1008" s="341"/>
      <c r="AQ1008" s="341"/>
      <c r="AR1008" s="341"/>
      <c r="AS1008" s="341"/>
      <c r="AT1008" s="341"/>
      <c r="AU1008" s="343"/>
      <c r="AV1008" s="341"/>
      <c r="AW1008" s="269" t="s">
        <v>2154</v>
      </c>
      <c r="AX1008" s="334" t="s">
        <v>2869</v>
      </c>
      <c r="AY1008" s="270" t="s">
        <v>695</v>
      </c>
      <c r="AZ1008" s="173" t="s">
        <v>2866</v>
      </c>
      <c r="BA1008" s="265">
        <v>10.0</v>
      </c>
      <c r="BB1008" s="174" t="s">
        <v>245</v>
      </c>
      <c r="BC1008" s="341"/>
      <c r="BD1008" s="308"/>
      <c r="BE1008" s="347"/>
      <c r="BF1008" s="274" t="str">
        <f>IFERROR(__xludf.DUMMYFUNCTION("LOWER(Regexreplace(to_text(E1008),""[^A-Za-z0-9]"","""")&amp;""_""&amp;Regexreplace(to_text(F1008),""[^A-Za-z0-9]"",""""))"),"neptronic_evcbseries")</f>
        <v>neptronic_evcbseries</v>
      </c>
      <c r="BG1008" s="275" t="str">
        <f>IFERROR(__xludf.DUMMYFUNCTION("upper(Regexreplace(to_text(E1008),""[^A-Za-z0-9]"","""")&amp;""-""&amp;Regexreplace(to_text(F1008),""[^A-Za-z0-9]"",""""))"),"NEPTRONIC-EVCBSERIES")</f>
        <v>NEPTRONIC-EVCBSERIES</v>
      </c>
    </row>
    <row r="1009" ht="30.0" customHeight="1">
      <c r="A1009" s="173">
        <v>1001.0</v>
      </c>
      <c r="B1009" s="237" t="s">
        <v>670</v>
      </c>
      <c r="C1009" s="257" t="s">
        <v>4559</v>
      </c>
      <c r="D1009" s="173" t="s">
        <v>4559</v>
      </c>
      <c r="E1009" s="174" t="s">
        <v>2861</v>
      </c>
      <c r="F1009" s="173" t="s">
        <v>2862</v>
      </c>
      <c r="G1009" s="328" t="s">
        <v>673</v>
      </c>
      <c r="H1009" s="328" t="s">
        <v>2863</v>
      </c>
      <c r="I1009" s="258" t="s">
        <v>2864</v>
      </c>
      <c r="J1009" s="259" t="s">
        <v>1026</v>
      </c>
      <c r="K1009" s="260" t="s">
        <v>4560</v>
      </c>
      <c r="L1009" s="328"/>
      <c r="M1009" s="343"/>
      <c r="N1009" s="173" t="s">
        <v>679</v>
      </c>
      <c r="O1009" s="173" t="s">
        <v>225</v>
      </c>
      <c r="P1009" s="262" t="str">
        <f t="shared" si="1"/>
        <v>IN-BLR-ANANTA-VAV-581_4</v>
      </c>
      <c r="Q1009" s="173" t="s">
        <v>4561</v>
      </c>
      <c r="R1009" s="328" t="str">
        <f>IFS(C1009="","",C1009="n/a","N/A",LEN(C1009),Concatenate("{",char(34),"asset",char(34),":{",char(34),"guid",char(34),":",char(34),Q1009,char(34),",",char(34),"site",char(34),":",char(34),LOWER('2-Building'!$B$4),char(34),",",char(34),"name",char(34),":",char(34),LOWER(C1009),char(34),"}}"))</f>
        <v>{"asset":{"guid":"uuid://9f1a1740-cd25-4031-9a8f-56aaaf1edff2","site":"in-blr-ananta","name":"vav-581"}}</v>
      </c>
      <c r="S1009" s="237" t="s">
        <v>2866</v>
      </c>
      <c r="T1009" s="330"/>
      <c r="U1009" s="330"/>
      <c r="V1009" s="331"/>
      <c r="W1009" s="344"/>
      <c r="X1009" s="341"/>
      <c r="Y1009" s="33" t="s">
        <v>2867</v>
      </c>
      <c r="Z1009" s="258">
        <v>120581.0</v>
      </c>
      <c r="AA1009" s="334">
        <v>11557.0</v>
      </c>
      <c r="AB1009" s="341"/>
      <c r="AC1009" s="341"/>
      <c r="AD1009" s="343"/>
      <c r="AE1009" s="331"/>
      <c r="AF1009" s="348"/>
      <c r="AG1009" s="337"/>
      <c r="AH1009" s="341"/>
      <c r="AI1009" s="341"/>
      <c r="AJ1009" s="341"/>
      <c r="AK1009" s="341"/>
      <c r="AL1009" s="341"/>
      <c r="AM1009" s="338"/>
      <c r="AN1009" s="341"/>
      <c r="AO1009" s="341"/>
      <c r="AP1009" s="341"/>
      <c r="AQ1009" s="341"/>
      <c r="AR1009" s="341"/>
      <c r="AS1009" s="341"/>
      <c r="AT1009" s="341"/>
      <c r="AU1009" s="343"/>
      <c r="AV1009" s="341"/>
      <c r="AW1009" s="269" t="s">
        <v>2154</v>
      </c>
      <c r="AX1009" s="334" t="s">
        <v>2869</v>
      </c>
      <c r="AY1009" s="270" t="s">
        <v>695</v>
      </c>
      <c r="AZ1009" s="173" t="s">
        <v>2866</v>
      </c>
      <c r="BA1009" s="265">
        <v>10.0</v>
      </c>
      <c r="BB1009" s="174" t="s">
        <v>245</v>
      </c>
      <c r="BC1009" s="341"/>
      <c r="BD1009" s="308"/>
      <c r="BE1009" s="347"/>
      <c r="BF1009" s="274" t="str">
        <f>IFERROR(__xludf.DUMMYFUNCTION("LOWER(Regexreplace(to_text(E1009),""[^A-Za-z0-9]"","""")&amp;""_""&amp;Regexreplace(to_text(F1009),""[^A-Za-z0-9]"",""""))"),"neptronic_evcbseries")</f>
        <v>neptronic_evcbseries</v>
      </c>
      <c r="BG1009" s="275" t="str">
        <f>IFERROR(__xludf.DUMMYFUNCTION("upper(Regexreplace(to_text(E1009),""[^A-Za-z0-9]"","""")&amp;""-""&amp;Regexreplace(to_text(F1009),""[^A-Za-z0-9]"",""""))"),"NEPTRONIC-EVCBSERIES")</f>
        <v>NEPTRONIC-EVCBSERIES</v>
      </c>
    </row>
    <row r="1010" ht="30.0" customHeight="1">
      <c r="A1010" s="258">
        <v>1002.0</v>
      </c>
      <c r="B1010" s="237" t="s">
        <v>670</v>
      </c>
      <c r="C1010" s="257" t="s">
        <v>4562</v>
      </c>
      <c r="D1010" s="173" t="s">
        <v>4562</v>
      </c>
      <c r="E1010" s="174" t="s">
        <v>2861</v>
      </c>
      <c r="F1010" s="173" t="s">
        <v>2862</v>
      </c>
      <c r="G1010" s="328" t="s">
        <v>673</v>
      </c>
      <c r="H1010" s="328" t="s">
        <v>2863</v>
      </c>
      <c r="I1010" s="258" t="s">
        <v>2864</v>
      </c>
      <c r="J1010" s="259" t="s">
        <v>1026</v>
      </c>
      <c r="K1010" s="260" t="s">
        <v>4563</v>
      </c>
      <c r="L1010" s="328"/>
      <c r="M1010" s="343"/>
      <c r="N1010" s="173" t="s">
        <v>679</v>
      </c>
      <c r="O1010" s="173" t="s">
        <v>225</v>
      </c>
      <c r="P1010" s="262" t="str">
        <f t="shared" si="1"/>
        <v>IN-BLR-ANANTA-VAV-582_4</v>
      </c>
      <c r="Q1010" s="173" t="s">
        <v>4564</v>
      </c>
      <c r="R1010" s="328" t="str">
        <f>IFS(C1010="","",C1010="n/a","N/A",LEN(C1010),Concatenate("{",char(34),"asset",char(34),":{",char(34),"guid",char(34),":",char(34),Q1010,char(34),",",char(34),"site",char(34),":",char(34),LOWER('2-Building'!$B$4),char(34),",",char(34),"name",char(34),":",char(34),LOWER(C1010),char(34),"}}"))</f>
        <v>{"asset":{"guid":"uuid://f1cbacdb-8034-4f14-be38-0bf8c6e42910","site":"in-blr-ananta","name":"vav-582"}}</v>
      </c>
      <c r="S1010" s="237" t="s">
        <v>2866</v>
      </c>
      <c r="T1010" s="330"/>
      <c r="U1010" s="330"/>
      <c r="V1010" s="331"/>
      <c r="W1010" s="344"/>
      <c r="X1010" s="341"/>
      <c r="Y1010" s="33" t="s">
        <v>2867</v>
      </c>
      <c r="Z1010" s="258">
        <v>120582.0</v>
      </c>
      <c r="AA1010" s="334">
        <v>11557.0</v>
      </c>
      <c r="AB1010" s="341"/>
      <c r="AC1010" s="341"/>
      <c r="AD1010" s="343"/>
      <c r="AE1010" s="331"/>
      <c r="AF1010" s="348"/>
      <c r="AG1010" s="337"/>
      <c r="AH1010" s="341"/>
      <c r="AI1010" s="341"/>
      <c r="AJ1010" s="341"/>
      <c r="AK1010" s="341"/>
      <c r="AL1010" s="341"/>
      <c r="AM1010" s="338"/>
      <c r="AN1010" s="341"/>
      <c r="AO1010" s="341"/>
      <c r="AP1010" s="341"/>
      <c r="AQ1010" s="341"/>
      <c r="AR1010" s="341"/>
      <c r="AS1010" s="341"/>
      <c r="AT1010" s="341"/>
      <c r="AU1010" s="343"/>
      <c r="AV1010" s="341"/>
      <c r="AW1010" s="269" t="s">
        <v>2154</v>
      </c>
      <c r="AX1010" s="334" t="s">
        <v>2869</v>
      </c>
      <c r="AY1010" s="270" t="s">
        <v>695</v>
      </c>
      <c r="AZ1010" s="173" t="s">
        <v>2866</v>
      </c>
      <c r="BA1010" s="265">
        <v>10.0</v>
      </c>
      <c r="BB1010" s="174" t="s">
        <v>245</v>
      </c>
      <c r="BC1010" s="341"/>
      <c r="BD1010" s="308"/>
      <c r="BE1010" s="347"/>
      <c r="BF1010" s="274" t="str">
        <f>IFERROR(__xludf.DUMMYFUNCTION("LOWER(Regexreplace(to_text(E1010),""[^A-Za-z0-9]"","""")&amp;""_""&amp;Regexreplace(to_text(F1010),""[^A-Za-z0-9]"",""""))"),"neptronic_evcbseries")</f>
        <v>neptronic_evcbseries</v>
      </c>
      <c r="BG1010" s="275" t="str">
        <f>IFERROR(__xludf.DUMMYFUNCTION("upper(Regexreplace(to_text(E1010),""[^A-Za-z0-9]"","""")&amp;""-""&amp;Regexreplace(to_text(F1010),""[^A-Za-z0-9]"",""""))"),"NEPTRONIC-EVCBSERIES")</f>
        <v>NEPTRONIC-EVCBSERIES</v>
      </c>
    </row>
    <row r="1011" ht="30.0" customHeight="1">
      <c r="A1011" s="173">
        <v>1003.0</v>
      </c>
      <c r="B1011" s="237" t="s">
        <v>670</v>
      </c>
      <c r="C1011" s="257" t="s">
        <v>4565</v>
      </c>
      <c r="D1011" s="173" t="s">
        <v>4565</v>
      </c>
      <c r="E1011" s="174" t="s">
        <v>2861</v>
      </c>
      <c r="F1011" s="173" t="s">
        <v>2862</v>
      </c>
      <c r="G1011" s="328" t="s">
        <v>673</v>
      </c>
      <c r="H1011" s="328" t="s">
        <v>2863</v>
      </c>
      <c r="I1011" s="258" t="s">
        <v>2864</v>
      </c>
      <c r="J1011" s="259" t="s">
        <v>1026</v>
      </c>
      <c r="K1011" s="260" t="s">
        <v>4566</v>
      </c>
      <c r="L1011" s="328"/>
      <c r="M1011" s="343"/>
      <c r="N1011" s="173" t="s">
        <v>679</v>
      </c>
      <c r="O1011" s="173" t="s">
        <v>225</v>
      </c>
      <c r="P1011" s="262" t="str">
        <f t="shared" si="1"/>
        <v>IN-BLR-ANANTA-VAV-583_4</v>
      </c>
      <c r="Q1011" s="173" t="s">
        <v>4567</v>
      </c>
      <c r="R1011" s="328" t="str">
        <f>IFS(C1011="","",C1011="n/a","N/A",LEN(C1011),Concatenate("{",char(34),"asset",char(34),":{",char(34),"guid",char(34),":",char(34),Q1011,char(34),",",char(34),"site",char(34),":",char(34),LOWER('2-Building'!$B$4),char(34),",",char(34),"name",char(34),":",char(34),LOWER(C1011),char(34),"}}"))</f>
        <v>{"asset":{"guid":"uuid://8ebfc50b-8e2e-4c1f-97ab-9890603e7ace","site":"in-blr-ananta","name":"vav-583"}}</v>
      </c>
      <c r="S1011" s="237" t="s">
        <v>2866</v>
      </c>
      <c r="T1011" s="330"/>
      <c r="U1011" s="330"/>
      <c r="V1011" s="331"/>
      <c r="W1011" s="344"/>
      <c r="X1011" s="341"/>
      <c r="Y1011" s="33" t="s">
        <v>2867</v>
      </c>
      <c r="Z1011" s="258">
        <v>120583.0</v>
      </c>
      <c r="AA1011" s="334">
        <v>11557.0</v>
      </c>
      <c r="AB1011" s="341"/>
      <c r="AC1011" s="341"/>
      <c r="AD1011" s="343"/>
      <c r="AE1011" s="331"/>
      <c r="AF1011" s="348"/>
      <c r="AG1011" s="337"/>
      <c r="AH1011" s="341"/>
      <c r="AI1011" s="341"/>
      <c r="AJ1011" s="341"/>
      <c r="AK1011" s="341"/>
      <c r="AL1011" s="341"/>
      <c r="AM1011" s="338"/>
      <c r="AN1011" s="341"/>
      <c r="AO1011" s="341"/>
      <c r="AP1011" s="341"/>
      <c r="AQ1011" s="341"/>
      <c r="AR1011" s="341"/>
      <c r="AS1011" s="341"/>
      <c r="AT1011" s="341"/>
      <c r="AU1011" s="343"/>
      <c r="AV1011" s="341"/>
      <c r="AW1011" s="269" t="s">
        <v>2154</v>
      </c>
      <c r="AX1011" s="334" t="s">
        <v>2869</v>
      </c>
      <c r="AY1011" s="270" t="s">
        <v>695</v>
      </c>
      <c r="AZ1011" s="173" t="s">
        <v>2866</v>
      </c>
      <c r="BA1011" s="265">
        <v>10.0</v>
      </c>
      <c r="BB1011" s="174" t="s">
        <v>245</v>
      </c>
      <c r="BC1011" s="341"/>
      <c r="BD1011" s="308"/>
      <c r="BE1011" s="347"/>
      <c r="BF1011" s="274" t="str">
        <f>IFERROR(__xludf.DUMMYFUNCTION("LOWER(Regexreplace(to_text(E1011),""[^A-Za-z0-9]"","""")&amp;""_""&amp;Regexreplace(to_text(F1011),""[^A-Za-z0-9]"",""""))"),"neptronic_evcbseries")</f>
        <v>neptronic_evcbseries</v>
      </c>
      <c r="BG1011" s="275" t="str">
        <f>IFERROR(__xludf.DUMMYFUNCTION("upper(Regexreplace(to_text(E1011),""[^A-Za-z0-9]"","""")&amp;""-""&amp;Regexreplace(to_text(F1011),""[^A-Za-z0-9]"",""""))"),"NEPTRONIC-EVCBSERIES")</f>
        <v>NEPTRONIC-EVCBSERIES</v>
      </c>
    </row>
    <row r="1012" ht="30.0" customHeight="1">
      <c r="A1012" s="258">
        <v>1004.0</v>
      </c>
      <c r="B1012" s="237" t="s">
        <v>670</v>
      </c>
      <c r="C1012" s="257" t="s">
        <v>4568</v>
      </c>
      <c r="D1012" s="173" t="s">
        <v>4568</v>
      </c>
      <c r="E1012" s="174" t="s">
        <v>2861</v>
      </c>
      <c r="F1012" s="173" t="s">
        <v>2862</v>
      </c>
      <c r="G1012" s="328" t="s">
        <v>673</v>
      </c>
      <c r="H1012" s="328" t="s">
        <v>2863</v>
      </c>
      <c r="I1012" s="258" t="s">
        <v>2864</v>
      </c>
      <c r="J1012" s="259" t="s">
        <v>1026</v>
      </c>
      <c r="K1012" s="260" t="s">
        <v>3643</v>
      </c>
      <c r="L1012" s="328"/>
      <c r="M1012" s="343"/>
      <c r="N1012" s="173" t="s">
        <v>679</v>
      </c>
      <c r="O1012" s="173" t="s">
        <v>225</v>
      </c>
      <c r="P1012" s="262" t="str">
        <f t="shared" si="1"/>
        <v>IN-BLR-ANANTA-VAV-584_4</v>
      </c>
      <c r="Q1012" s="173" t="s">
        <v>4569</v>
      </c>
      <c r="R1012" s="328" t="str">
        <f>IFS(C1012="","",C1012="n/a","N/A",LEN(C1012),Concatenate("{",char(34),"asset",char(34),":{",char(34),"guid",char(34),":",char(34),Q1012,char(34),",",char(34),"site",char(34),":",char(34),LOWER('2-Building'!$B$4),char(34),",",char(34),"name",char(34),":",char(34),LOWER(C1012),char(34),"}}"))</f>
        <v>{"asset":{"guid":"uuid://55c5565e-c54f-4d1a-b0e9-e3f8271907ba","site":"in-blr-ananta","name":"vav-584"}}</v>
      </c>
      <c r="S1012" s="237" t="s">
        <v>2866</v>
      </c>
      <c r="T1012" s="330"/>
      <c r="U1012" s="330"/>
      <c r="V1012" s="331"/>
      <c r="W1012" s="344"/>
      <c r="X1012" s="341"/>
      <c r="Y1012" s="33" t="s">
        <v>2867</v>
      </c>
      <c r="Z1012" s="258">
        <v>120584.0</v>
      </c>
      <c r="AA1012" s="334">
        <v>11558.0</v>
      </c>
      <c r="AB1012" s="341"/>
      <c r="AC1012" s="341"/>
      <c r="AD1012" s="343"/>
      <c r="AE1012" s="331"/>
      <c r="AF1012" s="348"/>
      <c r="AG1012" s="337"/>
      <c r="AH1012" s="341"/>
      <c r="AI1012" s="341"/>
      <c r="AJ1012" s="341"/>
      <c r="AK1012" s="341"/>
      <c r="AL1012" s="341"/>
      <c r="AM1012" s="338"/>
      <c r="AN1012" s="341"/>
      <c r="AO1012" s="341"/>
      <c r="AP1012" s="341"/>
      <c r="AQ1012" s="341"/>
      <c r="AR1012" s="341"/>
      <c r="AS1012" s="341"/>
      <c r="AT1012" s="341"/>
      <c r="AU1012" s="343"/>
      <c r="AV1012" s="341"/>
      <c r="AW1012" s="269" t="s">
        <v>2168</v>
      </c>
      <c r="AX1012" s="334" t="s">
        <v>2869</v>
      </c>
      <c r="AY1012" s="270" t="s">
        <v>695</v>
      </c>
      <c r="AZ1012" s="173" t="s">
        <v>2866</v>
      </c>
      <c r="BA1012" s="265">
        <v>10.0</v>
      </c>
      <c r="BB1012" s="174" t="s">
        <v>245</v>
      </c>
      <c r="BC1012" s="341"/>
      <c r="BD1012" s="308"/>
      <c r="BE1012" s="347"/>
      <c r="BF1012" s="274" t="str">
        <f>IFERROR(__xludf.DUMMYFUNCTION("LOWER(Regexreplace(to_text(E1012),""[^A-Za-z0-9]"","""")&amp;""_""&amp;Regexreplace(to_text(F1012),""[^A-Za-z0-9]"",""""))"),"neptronic_evcbseries")</f>
        <v>neptronic_evcbseries</v>
      </c>
      <c r="BG1012" s="275" t="str">
        <f>IFERROR(__xludf.DUMMYFUNCTION("upper(Regexreplace(to_text(E1012),""[^A-Za-z0-9]"","""")&amp;""-""&amp;Regexreplace(to_text(F1012),""[^A-Za-z0-9]"",""""))"),"NEPTRONIC-EVCBSERIES")</f>
        <v>NEPTRONIC-EVCBSERIES</v>
      </c>
    </row>
    <row r="1013" ht="30.0" customHeight="1">
      <c r="A1013" s="173">
        <v>1005.0</v>
      </c>
      <c r="B1013" s="237" t="s">
        <v>670</v>
      </c>
      <c r="C1013" s="257" t="s">
        <v>4570</v>
      </c>
      <c r="D1013" s="173" t="s">
        <v>4570</v>
      </c>
      <c r="E1013" s="174" t="s">
        <v>2861</v>
      </c>
      <c r="F1013" s="173" t="s">
        <v>2862</v>
      </c>
      <c r="G1013" s="328" t="s">
        <v>673</v>
      </c>
      <c r="H1013" s="328" t="s">
        <v>2863</v>
      </c>
      <c r="I1013" s="258" t="s">
        <v>2864</v>
      </c>
      <c r="J1013" s="259" t="s">
        <v>1026</v>
      </c>
      <c r="K1013" s="260" t="s">
        <v>4571</v>
      </c>
      <c r="L1013" s="328"/>
      <c r="M1013" s="343"/>
      <c r="N1013" s="173" t="s">
        <v>679</v>
      </c>
      <c r="O1013" s="173" t="s">
        <v>225</v>
      </c>
      <c r="P1013" s="262" t="str">
        <f t="shared" si="1"/>
        <v>IN-BLR-ANANTA-VAV-585_4</v>
      </c>
      <c r="Q1013" s="173" t="s">
        <v>4572</v>
      </c>
      <c r="R1013" s="328" t="str">
        <f>IFS(C1013="","",C1013="n/a","N/A",LEN(C1013),Concatenate("{",char(34),"asset",char(34),":{",char(34),"guid",char(34),":",char(34),Q1013,char(34),",",char(34),"site",char(34),":",char(34),LOWER('2-Building'!$B$4),char(34),",",char(34),"name",char(34),":",char(34),LOWER(C1013),char(34),"}}"))</f>
        <v>{"asset":{"guid":"uuid://13526ff6-dcb1-4e8c-b5b7-f10230fd6a94","site":"in-blr-ananta","name":"vav-585"}}</v>
      </c>
      <c r="S1013" s="237" t="s">
        <v>2866</v>
      </c>
      <c r="T1013" s="330"/>
      <c r="U1013" s="330"/>
      <c r="V1013" s="331"/>
      <c r="W1013" s="344"/>
      <c r="X1013" s="341"/>
      <c r="Y1013" s="33" t="s">
        <v>2867</v>
      </c>
      <c r="Z1013" s="258">
        <v>120585.0</v>
      </c>
      <c r="AA1013" s="334">
        <v>11558.0</v>
      </c>
      <c r="AB1013" s="341"/>
      <c r="AC1013" s="341"/>
      <c r="AD1013" s="343"/>
      <c r="AE1013" s="331"/>
      <c r="AF1013" s="348"/>
      <c r="AG1013" s="337"/>
      <c r="AH1013" s="341"/>
      <c r="AI1013" s="341"/>
      <c r="AJ1013" s="341"/>
      <c r="AK1013" s="341"/>
      <c r="AL1013" s="341"/>
      <c r="AM1013" s="338"/>
      <c r="AN1013" s="341"/>
      <c r="AO1013" s="341"/>
      <c r="AP1013" s="341"/>
      <c r="AQ1013" s="341"/>
      <c r="AR1013" s="341"/>
      <c r="AS1013" s="341"/>
      <c r="AT1013" s="341"/>
      <c r="AU1013" s="343"/>
      <c r="AV1013" s="341"/>
      <c r="AW1013" s="269" t="s">
        <v>2168</v>
      </c>
      <c r="AX1013" s="334" t="s">
        <v>2869</v>
      </c>
      <c r="AY1013" s="270" t="s">
        <v>695</v>
      </c>
      <c r="AZ1013" s="173" t="s">
        <v>2866</v>
      </c>
      <c r="BA1013" s="265">
        <v>10.0</v>
      </c>
      <c r="BB1013" s="174" t="s">
        <v>245</v>
      </c>
      <c r="BC1013" s="341"/>
      <c r="BD1013" s="308"/>
      <c r="BE1013" s="347"/>
      <c r="BF1013" s="274" t="str">
        <f>IFERROR(__xludf.DUMMYFUNCTION("LOWER(Regexreplace(to_text(E1013),""[^A-Za-z0-9]"","""")&amp;""_""&amp;Regexreplace(to_text(F1013),""[^A-Za-z0-9]"",""""))"),"neptronic_evcbseries")</f>
        <v>neptronic_evcbseries</v>
      </c>
      <c r="BG1013" s="275" t="str">
        <f>IFERROR(__xludf.DUMMYFUNCTION("upper(Regexreplace(to_text(E1013),""[^A-Za-z0-9]"","""")&amp;""-""&amp;Regexreplace(to_text(F1013),""[^A-Za-z0-9]"",""""))"),"NEPTRONIC-EVCBSERIES")</f>
        <v>NEPTRONIC-EVCBSERIES</v>
      </c>
    </row>
    <row r="1014" ht="30.0" customHeight="1">
      <c r="A1014" s="258">
        <v>1006.0</v>
      </c>
      <c r="B1014" s="237" t="s">
        <v>670</v>
      </c>
      <c r="C1014" s="257" t="s">
        <v>4573</v>
      </c>
      <c r="D1014" s="173" t="s">
        <v>4573</v>
      </c>
      <c r="E1014" s="174" t="s">
        <v>2861</v>
      </c>
      <c r="F1014" s="173" t="s">
        <v>2862</v>
      </c>
      <c r="G1014" s="328" t="s">
        <v>673</v>
      </c>
      <c r="H1014" s="328" t="s">
        <v>2863</v>
      </c>
      <c r="I1014" s="258" t="s">
        <v>2864</v>
      </c>
      <c r="J1014" s="259" t="s">
        <v>1026</v>
      </c>
      <c r="K1014" s="260" t="s">
        <v>4574</v>
      </c>
      <c r="L1014" s="328"/>
      <c r="M1014" s="343"/>
      <c r="N1014" s="173" t="s">
        <v>679</v>
      </c>
      <c r="O1014" s="173" t="s">
        <v>225</v>
      </c>
      <c r="P1014" s="262" t="str">
        <f t="shared" si="1"/>
        <v>IN-BLR-ANANTA-VAV-586_4</v>
      </c>
      <c r="Q1014" s="173" t="s">
        <v>4575</v>
      </c>
      <c r="R1014" s="328" t="str">
        <f>IFS(C1014="","",C1014="n/a","N/A",LEN(C1014),Concatenate("{",char(34),"asset",char(34),":{",char(34),"guid",char(34),":",char(34),Q1014,char(34),",",char(34),"site",char(34),":",char(34),LOWER('2-Building'!$B$4),char(34),",",char(34),"name",char(34),":",char(34),LOWER(C1014),char(34),"}}"))</f>
        <v>{"asset":{"guid":"uuid://69ffb2e3-1f7a-4a18-bb83-b4118261b48c","site":"in-blr-ananta","name":"vav-586"}}</v>
      </c>
      <c r="S1014" s="237" t="s">
        <v>2866</v>
      </c>
      <c r="T1014" s="330"/>
      <c r="U1014" s="330"/>
      <c r="V1014" s="331"/>
      <c r="W1014" s="344"/>
      <c r="X1014" s="341"/>
      <c r="Y1014" s="33" t="s">
        <v>2867</v>
      </c>
      <c r="Z1014" s="258">
        <v>120586.0</v>
      </c>
      <c r="AA1014" s="334">
        <v>11558.0</v>
      </c>
      <c r="AB1014" s="341"/>
      <c r="AC1014" s="341"/>
      <c r="AD1014" s="343"/>
      <c r="AE1014" s="331"/>
      <c r="AF1014" s="348"/>
      <c r="AG1014" s="337"/>
      <c r="AH1014" s="341"/>
      <c r="AI1014" s="341"/>
      <c r="AJ1014" s="341"/>
      <c r="AK1014" s="341"/>
      <c r="AL1014" s="341"/>
      <c r="AM1014" s="338"/>
      <c r="AN1014" s="341"/>
      <c r="AO1014" s="341"/>
      <c r="AP1014" s="341"/>
      <c r="AQ1014" s="341"/>
      <c r="AR1014" s="341"/>
      <c r="AS1014" s="341"/>
      <c r="AT1014" s="341"/>
      <c r="AU1014" s="343"/>
      <c r="AV1014" s="341"/>
      <c r="AW1014" s="269" t="s">
        <v>2168</v>
      </c>
      <c r="AX1014" s="334" t="s">
        <v>2869</v>
      </c>
      <c r="AY1014" s="270" t="s">
        <v>695</v>
      </c>
      <c r="AZ1014" s="173" t="s">
        <v>2866</v>
      </c>
      <c r="BA1014" s="265">
        <v>10.0</v>
      </c>
      <c r="BB1014" s="174" t="s">
        <v>245</v>
      </c>
      <c r="BC1014" s="341"/>
      <c r="BD1014" s="308"/>
      <c r="BE1014" s="347"/>
      <c r="BF1014" s="274" t="str">
        <f>IFERROR(__xludf.DUMMYFUNCTION("LOWER(Regexreplace(to_text(E1014),""[^A-Za-z0-9]"","""")&amp;""_""&amp;Regexreplace(to_text(F1014),""[^A-Za-z0-9]"",""""))"),"neptronic_evcbseries")</f>
        <v>neptronic_evcbseries</v>
      </c>
      <c r="BG1014" s="275" t="str">
        <f>IFERROR(__xludf.DUMMYFUNCTION("upper(Regexreplace(to_text(E1014),""[^A-Za-z0-9]"","""")&amp;""-""&amp;Regexreplace(to_text(F1014),""[^A-Za-z0-9]"",""""))"),"NEPTRONIC-EVCBSERIES")</f>
        <v>NEPTRONIC-EVCBSERIES</v>
      </c>
    </row>
    <row r="1015" ht="30.0" customHeight="1">
      <c r="A1015" s="173">
        <v>1007.0</v>
      </c>
      <c r="B1015" s="237" t="s">
        <v>670</v>
      </c>
      <c r="C1015" s="257" t="s">
        <v>4576</v>
      </c>
      <c r="D1015" s="173" t="s">
        <v>4576</v>
      </c>
      <c r="E1015" s="174" t="s">
        <v>2861</v>
      </c>
      <c r="F1015" s="173" t="s">
        <v>2862</v>
      </c>
      <c r="G1015" s="328" t="s">
        <v>673</v>
      </c>
      <c r="H1015" s="328" t="s">
        <v>2863</v>
      </c>
      <c r="I1015" s="258" t="s">
        <v>2864</v>
      </c>
      <c r="J1015" s="259" t="s">
        <v>1026</v>
      </c>
      <c r="K1015" s="260" t="s">
        <v>4577</v>
      </c>
      <c r="L1015" s="328"/>
      <c r="M1015" s="343"/>
      <c r="N1015" s="173" t="s">
        <v>679</v>
      </c>
      <c r="O1015" s="173" t="s">
        <v>225</v>
      </c>
      <c r="P1015" s="262" t="str">
        <f t="shared" si="1"/>
        <v>IN-BLR-ANANTA-VAV-587_4</v>
      </c>
      <c r="Q1015" s="173" t="s">
        <v>4578</v>
      </c>
      <c r="R1015" s="328" t="str">
        <f>IFS(C1015="","",C1015="n/a","N/A",LEN(C1015),Concatenate("{",char(34),"asset",char(34),":{",char(34),"guid",char(34),":",char(34),Q1015,char(34),",",char(34),"site",char(34),":",char(34),LOWER('2-Building'!$B$4),char(34),",",char(34),"name",char(34),":",char(34),LOWER(C1015),char(34),"}}"))</f>
        <v>{"asset":{"guid":"uuid://33dadb7e-41b9-4129-901f-6831157aec1c","site":"in-blr-ananta","name":"vav-587"}}</v>
      </c>
      <c r="S1015" s="237" t="s">
        <v>2866</v>
      </c>
      <c r="T1015" s="330"/>
      <c r="U1015" s="330"/>
      <c r="V1015" s="331"/>
      <c r="W1015" s="344"/>
      <c r="X1015" s="341"/>
      <c r="Y1015" s="33" t="s">
        <v>2867</v>
      </c>
      <c r="Z1015" s="258">
        <v>120587.0</v>
      </c>
      <c r="AA1015" s="334">
        <v>11558.0</v>
      </c>
      <c r="AB1015" s="341"/>
      <c r="AC1015" s="341"/>
      <c r="AD1015" s="343"/>
      <c r="AE1015" s="331"/>
      <c r="AF1015" s="348"/>
      <c r="AG1015" s="337"/>
      <c r="AH1015" s="341"/>
      <c r="AI1015" s="341"/>
      <c r="AJ1015" s="341"/>
      <c r="AK1015" s="341"/>
      <c r="AL1015" s="341"/>
      <c r="AM1015" s="338"/>
      <c r="AN1015" s="341"/>
      <c r="AO1015" s="341"/>
      <c r="AP1015" s="341"/>
      <c r="AQ1015" s="341"/>
      <c r="AR1015" s="341"/>
      <c r="AS1015" s="341"/>
      <c r="AT1015" s="341"/>
      <c r="AU1015" s="343"/>
      <c r="AV1015" s="341"/>
      <c r="AW1015" s="269" t="s">
        <v>2168</v>
      </c>
      <c r="AX1015" s="334" t="s">
        <v>2869</v>
      </c>
      <c r="AY1015" s="270" t="s">
        <v>695</v>
      </c>
      <c r="AZ1015" s="173" t="s">
        <v>2866</v>
      </c>
      <c r="BA1015" s="265">
        <v>10.0</v>
      </c>
      <c r="BB1015" s="174" t="s">
        <v>245</v>
      </c>
      <c r="BC1015" s="341"/>
      <c r="BD1015" s="308"/>
      <c r="BE1015" s="347"/>
      <c r="BF1015" s="274" t="str">
        <f>IFERROR(__xludf.DUMMYFUNCTION("LOWER(Regexreplace(to_text(E1015),""[^A-Za-z0-9]"","""")&amp;""_""&amp;Regexreplace(to_text(F1015),""[^A-Za-z0-9]"",""""))"),"neptronic_evcbseries")</f>
        <v>neptronic_evcbseries</v>
      </c>
      <c r="BG1015" s="275" t="str">
        <f>IFERROR(__xludf.DUMMYFUNCTION("upper(Regexreplace(to_text(E1015),""[^A-Za-z0-9]"","""")&amp;""-""&amp;Regexreplace(to_text(F1015),""[^A-Za-z0-9]"",""""))"),"NEPTRONIC-EVCBSERIES")</f>
        <v>NEPTRONIC-EVCBSERIES</v>
      </c>
    </row>
    <row r="1016" ht="30.0" customHeight="1">
      <c r="A1016" s="258">
        <v>1008.0</v>
      </c>
      <c r="B1016" s="237" t="s">
        <v>670</v>
      </c>
      <c r="C1016" s="257" t="s">
        <v>4579</v>
      </c>
      <c r="D1016" s="173" t="s">
        <v>4579</v>
      </c>
      <c r="E1016" s="174" t="s">
        <v>2861</v>
      </c>
      <c r="F1016" s="173" t="s">
        <v>2862</v>
      </c>
      <c r="G1016" s="328" t="s">
        <v>673</v>
      </c>
      <c r="H1016" s="328" t="s">
        <v>2863</v>
      </c>
      <c r="I1016" s="258" t="s">
        <v>2864</v>
      </c>
      <c r="J1016" s="259" t="s">
        <v>1026</v>
      </c>
      <c r="K1016" s="260" t="s">
        <v>4580</v>
      </c>
      <c r="L1016" s="328"/>
      <c r="M1016" s="343"/>
      <c r="N1016" s="173" t="s">
        <v>679</v>
      </c>
      <c r="O1016" s="173" t="s">
        <v>225</v>
      </c>
      <c r="P1016" s="262" t="str">
        <f t="shared" si="1"/>
        <v>IN-BLR-ANANTA-VAV-588_4</v>
      </c>
      <c r="Q1016" s="173" t="s">
        <v>4581</v>
      </c>
      <c r="R1016" s="328" t="str">
        <f>IFS(C1016="","",C1016="n/a","N/A",LEN(C1016),Concatenate("{",char(34),"asset",char(34),":{",char(34),"guid",char(34),":",char(34),Q1016,char(34),",",char(34),"site",char(34),":",char(34),LOWER('2-Building'!$B$4),char(34),",",char(34),"name",char(34),":",char(34),LOWER(C1016),char(34),"}}"))</f>
        <v>{"asset":{"guid":"uuid://7bd89100-2300-407d-9577-d2cacf16b9fb","site":"in-blr-ananta","name":"vav-588"}}</v>
      </c>
      <c r="S1016" s="237" t="s">
        <v>2866</v>
      </c>
      <c r="T1016" s="330"/>
      <c r="U1016" s="330"/>
      <c r="V1016" s="331"/>
      <c r="W1016" s="344"/>
      <c r="X1016" s="341"/>
      <c r="Y1016" s="33" t="s">
        <v>2867</v>
      </c>
      <c r="Z1016" s="258">
        <v>120588.0</v>
      </c>
      <c r="AA1016" s="334">
        <v>11558.0</v>
      </c>
      <c r="AB1016" s="341"/>
      <c r="AC1016" s="341"/>
      <c r="AD1016" s="343"/>
      <c r="AE1016" s="331"/>
      <c r="AF1016" s="348"/>
      <c r="AG1016" s="337"/>
      <c r="AH1016" s="341"/>
      <c r="AI1016" s="341"/>
      <c r="AJ1016" s="341"/>
      <c r="AK1016" s="341"/>
      <c r="AL1016" s="341"/>
      <c r="AM1016" s="338"/>
      <c r="AN1016" s="341"/>
      <c r="AO1016" s="341"/>
      <c r="AP1016" s="341"/>
      <c r="AQ1016" s="341"/>
      <c r="AR1016" s="341"/>
      <c r="AS1016" s="341"/>
      <c r="AT1016" s="341"/>
      <c r="AU1016" s="343"/>
      <c r="AV1016" s="341"/>
      <c r="AW1016" s="269" t="s">
        <v>2168</v>
      </c>
      <c r="AX1016" s="334" t="s">
        <v>2869</v>
      </c>
      <c r="AY1016" s="270" t="s">
        <v>695</v>
      </c>
      <c r="AZ1016" s="173" t="s">
        <v>2866</v>
      </c>
      <c r="BA1016" s="265">
        <v>10.0</v>
      </c>
      <c r="BB1016" s="174" t="s">
        <v>245</v>
      </c>
      <c r="BC1016" s="341"/>
      <c r="BD1016" s="308"/>
      <c r="BE1016" s="347"/>
      <c r="BF1016" s="274" t="str">
        <f>IFERROR(__xludf.DUMMYFUNCTION("LOWER(Regexreplace(to_text(E1016),""[^A-Za-z0-9]"","""")&amp;""_""&amp;Regexreplace(to_text(F1016),""[^A-Za-z0-9]"",""""))"),"neptronic_evcbseries")</f>
        <v>neptronic_evcbseries</v>
      </c>
      <c r="BG1016" s="275" t="str">
        <f>IFERROR(__xludf.DUMMYFUNCTION("upper(Regexreplace(to_text(E1016),""[^A-Za-z0-9]"","""")&amp;""-""&amp;Regexreplace(to_text(F1016),""[^A-Za-z0-9]"",""""))"),"NEPTRONIC-EVCBSERIES")</f>
        <v>NEPTRONIC-EVCBSERIES</v>
      </c>
    </row>
    <row r="1017" ht="30.0" customHeight="1">
      <c r="A1017" s="173">
        <v>1009.0</v>
      </c>
      <c r="B1017" s="237" t="s">
        <v>670</v>
      </c>
      <c r="C1017" s="257" t="s">
        <v>4582</v>
      </c>
      <c r="D1017" s="173" t="s">
        <v>4582</v>
      </c>
      <c r="E1017" s="174" t="s">
        <v>2861</v>
      </c>
      <c r="F1017" s="173" t="s">
        <v>2862</v>
      </c>
      <c r="G1017" s="328" t="s">
        <v>673</v>
      </c>
      <c r="H1017" s="328" t="s">
        <v>2863</v>
      </c>
      <c r="I1017" s="258" t="s">
        <v>2864</v>
      </c>
      <c r="J1017" s="259" t="s">
        <v>1026</v>
      </c>
      <c r="K1017" s="260" t="s">
        <v>4583</v>
      </c>
      <c r="L1017" s="328"/>
      <c r="M1017" s="343"/>
      <c r="N1017" s="173" t="s">
        <v>679</v>
      </c>
      <c r="O1017" s="173" t="s">
        <v>225</v>
      </c>
      <c r="P1017" s="262" t="str">
        <f t="shared" si="1"/>
        <v>IN-BLR-ANANTA-VAV-589_4</v>
      </c>
      <c r="Q1017" s="173" t="s">
        <v>4584</v>
      </c>
      <c r="R1017" s="328" t="str">
        <f>IFS(C1017="","",C1017="n/a","N/A",LEN(C1017),Concatenate("{",char(34),"asset",char(34),":{",char(34),"guid",char(34),":",char(34),Q1017,char(34),",",char(34),"site",char(34),":",char(34),LOWER('2-Building'!$B$4),char(34),",",char(34),"name",char(34),":",char(34),LOWER(C1017),char(34),"}}"))</f>
        <v>{"asset":{"guid":"uuid://6d788aa0-0d74-4fb0-81b6-c7ce87fff0fb","site":"in-blr-ananta","name":"vav-589"}}</v>
      </c>
      <c r="S1017" s="237" t="s">
        <v>2866</v>
      </c>
      <c r="T1017" s="330"/>
      <c r="U1017" s="330"/>
      <c r="V1017" s="331"/>
      <c r="W1017" s="344"/>
      <c r="X1017" s="341"/>
      <c r="Y1017" s="33" t="s">
        <v>2867</v>
      </c>
      <c r="Z1017" s="258">
        <v>120589.0</v>
      </c>
      <c r="AA1017" s="334">
        <v>11558.0</v>
      </c>
      <c r="AB1017" s="341"/>
      <c r="AC1017" s="341"/>
      <c r="AD1017" s="343"/>
      <c r="AE1017" s="331"/>
      <c r="AF1017" s="348"/>
      <c r="AG1017" s="337"/>
      <c r="AH1017" s="341"/>
      <c r="AI1017" s="341"/>
      <c r="AJ1017" s="341"/>
      <c r="AK1017" s="341"/>
      <c r="AL1017" s="341"/>
      <c r="AM1017" s="338"/>
      <c r="AN1017" s="341"/>
      <c r="AO1017" s="341"/>
      <c r="AP1017" s="341"/>
      <c r="AQ1017" s="341"/>
      <c r="AR1017" s="341"/>
      <c r="AS1017" s="341"/>
      <c r="AT1017" s="341"/>
      <c r="AU1017" s="343"/>
      <c r="AV1017" s="341"/>
      <c r="AW1017" s="269" t="s">
        <v>2168</v>
      </c>
      <c r="AX1017" s="334" t="s">
        <v>2869</v>
      </c>
      <c r="AY1017" s="270" t="s">
        <v>695</v>
      </c>
      <c r="AZ1017" s="173" t="s">
        <v>2866</v>
      </c>
      <c r="BA1017" s="265">
        <v>10.0</v>
      </c>
      <c r="BB1017" s="174" t="s">
        <v>245</v>
      </c>
      <c r="BC1017" s="341"/>
      <c r="BD1017" s="308"/>
      <c r="BE1017" s="347"/>
      <c r="BF1017" s="274" t="str">
        <f>IFERROR(__xludf.DUMMYFUNCTION("LOWER(Regexreplace(to_text(E1017),""[^A-Za-z0-9]"","""")&amp;""_""&amp;Regexreplace(to_text(F1017),""[^A-Za-z0-9]"",""""))"),"neptronic_evcbseries")</f>
        <v>neptronic_evcbseries</v>
      </c>
      <c r="BG1017" s="275" t="str">
        <f>IFERROR(__xludf.DUMMYFUNCTION("upper(Regexreplace(to_text(E1017),""[^A-Za-z0-9]"","""")&amp;""-""&amp;Regexreplace(to_text(F1017),""[^A-Za-z0-9]"",""""))"),"NEPTRONIC-EVCBSERIES")</f>
        <v>NEPTRONIC-EVCBSERIES</v>
      </c>
    </row>
    <row r="1018" ht="30.0" customHeight="1">
      <c r="A1018" s="258">
        <v>1010.0</v>
      </c>
      <c r="B1018" s="237" t="s">
        <v>670</v>
      </c>
      <c r="C1018" s="257" t="s">
        <v>4585</v>
      </c>
      <c r="D1018" s="173" t="s">
        <v>4585</v>
      </c>
      <c r="E1018" s="174" t="s">
        <v>2861</v>
      </c>
      <c r="F1018" s="173" t="s">
        <v>2862</v>
      </c>
      <c r="G1018" s="328" t="s">
        <v>673</v>
      </c>
      <c r="H1018" s="328" t="s">
        <v>2863</v>
      </c>
      <c r="I1018" s="258" t="s">
        <v>2864</v>
      </c>
      <c r="J1018" s="259" t="s">
        <v>1026</v>
      </c>
      <c r="K1018" s="260" t="s">
        <v>4586</v>
      </c>
      <c r="L1018" s="328"/>
      <c r="M1018" s="343"/>
      <c r="N1018" s="173" t="s">
        <v>679</v>
      </c>
      <c r="O1018" s="173" t="s">
        <v>225</v>
      </c>
      <c r="P1018" s="262" t="str">
        <f t="shared" si="1"/>
        <v>IN-BLR-ANANTA-VAV-590_4</v>
      </c>
      <c r="Q1018" s="173" t="s">
        <v>4587</v>
      </c>
      <c r="R1018" s="328" t="str">
        <f>IFS(C1018="","",C1018="n/a","N/A",LEN(C1018),Concatenate("{",char(34),"asset",char(34),":{",char(34),"guid",char(34),":",char(34),Q1018,char(34),",",char(34),"site",char(34),":",char(34),LOWER('2-Building'!$B$4),char(34),",",char(34),"name",char(34),":",char(34),LOWER(C1018),char(34),"}}"))</f>
        <v>{"asset":{"guid":"uuid://389309bd-92d6-45f8-9239-8b01f06b798f","site":"in-blr-ananta","name":"vav-590"}}</v>
      </c>
      <c r="S1018" s="237" t="s">
        <v>2866</v>
      </c>
      <c r="T1018" s="330"/>
      <c r="U1018" s="330"/>
      <c r="V1018" s="331"/>
      <c r="W1018" s="344"/>
      <c r="X1018" s="341"/>
      <c r="Y1018" s="33" t="s">
        <v>2867</v>
      </c>
      <c r="Z1018" s="258">
        <v>120590.0</v>
      </c>
      <c r="AA1018" s="334">
        <v>11558.0</v>
      </c>
      <c r="AB1018" s="341"/>
      <c r="AC1018" s="341"/>
      <c r="AD1018" s="343"/>
      <c r="AE1018" s="331"/>
      <c r="AF1018" s="348"/>
      <c r="AG1018" s="337"/>
      <c r="AH1018" s="341"/>
      <c r="AI1018" s="341"/>
      <c r="AJ1018" s="341"/>
      <c r="AK1018" s="341"/>
      <c r="AL1018" s="341"/>
      <c r="AM1018" s="338"/>
      <c r="AN1018" s="341"/>
      <c r="AO1018" s="341"/>
      <c r="AP1018" s="341"/>
      <c r="AQ1018" s="341"/>
      <c r="AR1018" s="341"/>
      <c r="AS1018" s="341"/>
      <c r="AT1018" s="341"/>
      <c r="AU1018" s="343"/>
      <c r="AV1018" s="341"/>
      <c r="AW1018" s="269" t="s">
        <v>2168</v>
      </c>
      <c r="AX1018" s="334" t="s">
        <v>2869</v>
      </c>
      <c r="AY1018" s="270" t="s">
        <v>695</v>
      </c>
      <c r="AZ1018" s="173" t="s">
        <v>2866</v>
      </c>
      <c r="BA1018" s="265">
        <v>10.0</v>
      </c>
      <c r="BB1018" s="174" t="s">
        <v>245</v>
      </c>
      <c r="BC1018" s="341"/>
      <c r="BD1018" s="308"/>
      <c r="BE1018" s="347"/>
      <c r="BF1018" s="274" t="str">
        <f>IFERROR(__xludf.DUMMYFUNCTION("LOWER(Regexreplace(to_text(E1018),""[^A-Za-z0-9]"","""")&amp;""_""&amp;Regexreplace(to_text(F1018),""[^A-Za-z0-9]"",""""))"),"neptronic_evcbseries")</f>
        <v>neptronic_evcbseries</v>
      </c>
      <c r="BG1018" s="275" t="str">
        <f>IFERROR(__xludf.DUMMYFUNCTION("upper(Regexreplace(to_text(E1018),""[^A-Za-z0-9]"","""")&amp;""-""&amp;Regexreplace(to_text(F1018),""[^A-Za-z0-9]"",""""))"),"NEPTRONIC-EVCBSERIES")</f>
        <v>NEPTRONIC-EVCBSERIES</v>
      </c>
    </row>
    <row r="1019" ht="30.0" customHeight="1">
      <c r="A1019" s="173">
        <v>1011.0</v>
      </c>
      <c r="B1019" s="237" t="s">
        <v>670</v>
      </c>
      <c r="C1019" s="257" t="s">
        <v>4588</v>
      </c>
      <c r="D1019" s="173" t="s">
        <v>4588</v>
      </c>
      <c r="E1019" s="174" t="s">
        <v>2861</v>
      </c>
      <c r="F1019" s="173" t="s">
        <v>2862</v>
      </c>
      <c r="G1019" s="328" t="s">
        <v>673</v>
      </c>
      <c r="H1019" s="328" t="s">
        <v>2863</v>
      </c>
      <c r="I1019" s="258" t="s">
        <v>2864</v>
      </c>
      <c r="J1019" s="259" t="s">
        <v>1026</v>
      </c>
      <c r="K1019" s="260" t="s">
        <v>4589</v>
      </c>
      <c r="L1019" s="328"/>
      <c r="M1019" s="343"/>
      <c r="N1019" s="173" t="s">
        <v>679</v>
      </c>
      <c r="O1019" s="173" t="s">
        <v>225</v>
      </c>
      <c r="P1019" s="262" t="str">
        <f t="shared" si="1"/>
        <v>IN-BLR-ANANTA-VAV-591_4</v>
      </c>
      <c r="Q1019" s="173" t="s">
        <v>4590</v>
      </c>
      <c r="R1019" s="328" t="str">
        <f>IFS(C1019="","",C1019="n/a","N/A",LEN(C1019),Concatenate("{",char(34),"asset",char(34),":{",char(34),"guid",char(34),":",char(34),Q1019,char(34),",",char(34),"site",char(34),":",char(34),LOWER('2-Building'!$B$4),char(34),",",char(34),"name",char(34),":",char(34),LOWER(C1019),char(34),"}}"))</f>
        <v>{"asset":{"guid":"uuid://177177ae-f525-4fd6-ac60-de5c8bd6e7fa","site":"in-blr-ananta","name":"vav-591"}}</v>
      </c>
      <c r="S1019" s="237" t="s">
        <v>2866</v>
      </c>
      <c r="T1019" s="330"/>
      <c r="U1019" s="330"/>
      <c r="V1019" s="331"/>
      <c r="W1019" s="344"/>
      <c r="X1019" s="341"/>
      <c r="Y1019" s="33" t="s">
        <v>2867</v>
      </c>
      <c r="Z1019" s="258">
        <v>120591.0</v>
      </c>
      <c r="AA1019" s="334">
        <v>11558.0</v>
      </c>
      <c r="AB1019" s="341"/>
      <c r="AC1019" s="341"/>
      <c r="AD1019" s="343"/>
      <c r="AE1019" s="331"/>
      <c r="AF1019" s="348"/>
      <c r="AG1019" s="337"/>
      <c r="AH1019" s="341"/>
      <c r="AI1019" s="341"/>
      <c r="AJ1019" s="341"/>
      <c r="AK1019" s="341"/>
      <c r="AL1019" s="341"/>
      <c r="AM1019" s="338"/>
      <c r="AN1019" s="341"/>
      <c r="AO1019" s="341"/>
      <c r="AP1019" s="341"/>
      <c r="AQ1019" s="341"/>
      <c r="AR1019" s="341"/>
      <c r="AS1019" s="341"/>
      <c r="AT1019" s="341"/>
      <c r="AU1019" s="343"/>
      <c r="AV1019" s="341"/>
      <c r="AW1019" s="269" t="s">
        <v>2168</v>
      </c>
      <c r="AX1019" s="334" t="s">
        <v>2869</v>
      </c>
      <c r="AY1019" s="270" t="s">
        <v>695</v>
      </c>
      <c r="AZ1019" s="173" t="s">
        <v>2866</v>
      </c>
      <c r="BA1019" s="265">
        <v>10.0</v>
      </c>
      <c r="BB1019" s="174" t="s">
        <v>245</v>
      </c>
      <c r="BC1019" s="341"/>
      <c r="BD1019" s="308"/>
      <c r="BE1019" s="347"/>
      <c r="BF1019" s="274" t="str">
        <f>IFERROR(__xludf.DUMMYFUNCTION("LOWER(Regexreplace(to_text(E1019),""[^A-Za-z0-9]"","""")&amp;""_""&amp;Regexreplace(to_text(F1019),""[^A-Za-z0-9]"",""""))"),"neptronic_evcbseries")</f>
        <v>neptronic_evcbseries</v>
      </c>
      <c r="BG1019" s="275" t="str">
        <f>IFERROR(__xludf.DUMMYFUNCTION("upper(Regexreplace(to_text(E1019),""[^A-Za-z0-9]"","""")&amp;""-""&amp;Regexreplace(to_text(F1019),""[^A-Za-z0-9]"",""""))"),"NEPTRONIC-EVCBSERIES")</f>
        <v>NEPTRONIC-EVCBSERIES</v>
      </c>
    </row>
    <row r="1020" ht="30.0" customHeight="1">
      <c r="A1020" s="258">
        <v>1012.0</v>
      </c>
      <c r="B1020" s="237" t="s">
        <v>670</v>
      </c>
      <c r="C1020" s="257" t="s">
        <v>4591</v>
      </c>
      <c r="D1020" s="173" t="s">
        <v>4591</v>
      </c>
      <c r="E1020" s="174" t="s">
        <v>2861</v>
      </c>
      <c r="F1020" s="173" t="s">
        <v>2862</v>
      </c>
      <c r="G1020" s="328" t="s">
        <v>673</v>
      </c>
      <c r="H1020" s="328" t="s">
        <v>2863</v>
      </c>
      <c r="I1020" s="258" t="s">
        <v>2864</v>
      </c>
      <c r="J1020" s="259" t="s">
        <v>1026</v>
      </c>
      <c r="K1020" s="260" t="s">
        <v>4592</v>
      </c>
      <c r="L1020" s="328"/>
      <c r="M1020" s="343"/>
      <c r="N1020" s="173" t="s">
        <v>679</v>
      </c>
      <c r="O1020" s="173" t="s">
        <v>225</v>
      </c>
      <c r="P1020" s="262" t="str">
        <f t="shared" si="1"/>
        <v>IN-BLR-ANANTA-VAV-592_4</v>
      </c>
      <c r="Q1020" s="173" t="s">
        <v>4593</v>
      </c>
      <c r="R1020" s="328" t="str">
        <f>IFS(C1020="","",C1020="n/a","N/A",LEN(C1020),Concatenate("{",char(34),"asset",char(34),":{",char(34),"guid",char(34),":",char(34),Q1020,char(34),",",char(34),"site",char(34),":",char(34),LOWER('2-Building'!$B$4),char(34),",",char(34),"name",char(34),":",char(34),LOWER(C1020),char(34),"}}"))</f>
        <v>{"asset":{"guid":"uuid://a10705e6-21da-4992-b5ed-ff455e6fd3df","site":"in-blr-ananta","name":"vav-592"}}</v>
      </c>
      <c r="S1020" s="237" t="s">
        <v>2866</v>
      </c>
      <c r="T1020" s="330"/>
      <c r="U1020" s="330"/>
      <c r="V1020" s="331"/>
      <c r="W1020" s="344"/>
      <c r="X1020" s="341"/>
      <c r="Y1020" s="33" t="s">
        <v>2867</v>
      </c>
      <c r="Z1020" s="258">
        <v>120592.0</v>
      </c>
      <c r="AA1020" s="334">
        <v>11565.0</v>
      </c>
      <c r="AB1020" s="341"/>
      <c r="AC1020" s="341"/>
      <c r="AD1020" s="343"/>
      <c r="AE1020" s="331"/>
      <c r="AF1020" s="348"/>
      <c r="AG1020" s="337"/>
      <c r="AH1020" s="341"/>
      <c r="AI1020" s="341"/>
      <c r="AJ1020" s="341"/>
      <c r="AK1020" s="341"/>
      <c r="AL1020" s="341"/>
      <c r="AM1020" s="338"/>
      <c r="AN1020" s="341"/>
      <c r="AO1020" s="341"/>
      <c r="AP1020" s="341"/>
      <c r="AQ1020" s="341"/>
      <c r="AR1020" s="341"/>
      <c r="AS1020" s="341"/>
      <c r="AT1020" s="341"/>
      <c r="AU1020" s="343"/>
      <c r="AV1020" s="341"/>
      <c r="AW1020" s="269" t="s">
        <v>2198</v>
      </c>
      <c r="AX1020" s="334" t="s">
        <v>2869</v>
      </c>
      <c r="AY1020" s="270" t="s">
        <v>695</v>
      </c>
      <c r="AZ1020" s="173" t="s">
        <v>2866</v>
      </c>
      <c r="BA1020" s="265">
        <v>10.0</v>
      </c>
      <c r="BB1020" s="174" t="s">
        <v>245</v>
      </c>
      <c r="BC1020" s="341"/>
      <c r="BD1020" s="308"/>
      <c r="BE1020" s="347"/>
      <c r="BF1020" s="274" t="str">
        <f>IFERROR(__xludf.DUMMYFUNCTION("LOWER(Regexreplace(to_text(E1020),""[^A-Za-z0-9]"","""")&amp;""_""&amp;Regexreplace(to_text(F1020),""[^A-Za-z0-9]"",""""))"),"neptronic_evcbseries")</f>
        <v>neptronic_evcbseries</v>
      </c>
      <c r="BG1020" s="275" t="str">
        <f>IFERROR(__xludf.DUMMYFUNCTION("upper(Regexreplace(to_text(E1020),""[^A-Za-z0-9]"","""")&amp;""-""&amp;Regexreplace(to_text(F1020),""[^A-Za-z0-9]"",""""))"),"NEPTRONIC-EVCBSERIES")</f>
        <v>NEPTRONIC-EVCBSERIES</v>
      </c>
    </row>
    <row r="1021" ht="30.0" customHeight="1">
      <c r="A1021" s="173">
        <v>1013.0</v>
      </c>
      <c r="B1021" s="237" t="s">
        <v>670</v>
      </c>
      <c r="C1021" s="257" t="s">
        <v>4594</v>
      </c>
      <c r="D1021" s="173" t="s">
        <v>4594</v>
      </c>
      <c r="E1021" s="174" t="s">
        <v>2861</v>
      </c>
      <c r="F1021" s="173" t="s">
        <v>2862</v>
      </c>
      <c r="G1021" s="328" t="s">
        <v>673</v>
      </c>
      <c r="H1021" s="328" t="s">
        <v>2863</v>
      </c>
      <c r="I1021" s="258" t="s">
        <v>2864</v>
      </c>
      <c r="J1021" s="259" t="s">
        <v>1026</v>
      </c>
      <c r="K1021" s="260" t="s">
        <v>4595</v>
      </c>
      <c r="L1021" s="328"/>
      <c r="M1021" s="343"/>
      <c r="N1021" s="173" t="s">
        <v>679</v>
      </c>
      <c r="O1021" s="173" t="s">
        <v>225</v>
      </c>
      <c r="P1021" s="262" t="str">
        <f t="shared" si="1"/>
        <v>IN-BLR-ANANTA-VAV-593_4</v>
      </c>
      <c r="Q1021" s="173" t="s">
        <v>4596</v>
      </c>
      <c r="R1021" s="328" t="str">
        <f>IFS(C1021="","",C1021="n/a","N/A",LEN(C1021),Concatenate("{",char(34),"asset",char(34),":{",char(34),"guid",char(34),":",char(34),Q1021,char(34),",",char(34),"site",char(34),":",char(34),LOWER('2-Building'!$B$4),char(34),",",char(34),"name",char(34),":",char(34),LOWER(C1021),char(34),"}}"))</f>
        <v>{"asset":{"guid":"uuid://540ffa71-f2e5-44d0-bde3-afd1e7336f46","site":"in-blr-ananta","name":"vav-593"}}</v>
      </c>
      <c r="S1021" s="237" t="s">
        <v>2866</v>
      </c>
      <c r="T1021" s="330"/>
      <c r="U1021" s="330"/>
      <c r="V1021" s="331"/>
      <c r="W1021" s="344"/>
      <c r="X1021" s="341"/>
      <c r="Y1021" s="33" t="s">
        <v>2867</v>
      </c>
      <c r="Z1021" s="258">
        <v>120593.0</v>
      </c>
      <c r="AA1021" s="334">
        <v>11565.0</v>
      </c>
      <c r="AB1021" s="341"/>
      <c r="AC1021" s="341"/>
      <c r="AD1021" s="343"/>
      <c r="AE1021" s="331"/>
      <c r="AF1021" s="348"/>
      <c r="AG1021" s="337"/>
      <c r="AH1021" s="341"/>
      <c r="AI1021" s="341"/>
      <c r="AJ1021" s="341"/>
      <c r="AK1021" s="341"/>
      <c r="AL1021" s="341"/>
      <c r="AM1021" s="338"/>
      <c r="AN1021" s="341"/>
      <c r="AO1021" s="341"/>
      <c r="AP1021" s="341"/>
      <c r="AQ1021" s="341"/>
      <c r="AR1021" s="341"/>
      <c r="AS1021" s="341"/>
      <c r="AT1021" s="341"/>
      <c r="AU1021" s="343"/>
      <c r="AV1021" s="341"/>
      <c r="AW1021" s="269" t="s">
        <v>2198</v>
      </c>
      <c r="AX1021" s="334" t="s">
        <v>2869</v>
      </c>
      <c r="AY1021" s="270" t="s">
        <v>695</v>
      </c>
      <c r="AZ1021" s="173" t="s">
        <v>2866</v>
      </c>
      <c r="BA1021" s="265">
        <v>10.0</v>
      </c>
      <c r="BB1021" s="174" t="s">
        <v>245</v>
      </c>
      <c r="BC1021" s="341"/>
      <c r="BD1021" s="308"/>
      <c r="BE1021" s="347"/>
      <c r="BF1021" s="274" t="str">
        <f>IFERROR(__xludf.DUMMYFUNCTION("LOWER(Regexreplace(to_text(E1021),""[^A-Za-z0-9]"","""")&amp;""_""&amp;Regexreplace(to_text(F1021),""[^A-Za-z0-9]"",""""))"),"neptronic_evcbseries")</f>
        <v>neptronic_evcbseries</v>
      </c>
      <c r="BG1021" s="275" t="str">
        <f>IFERROR(__xludf.DUMMYFUNCTION("upper(Regexreplace(to_text(E1021),""[^A-Za-z0-9]"","""")&amp;""-""&amp;Regexreplace(to_text(F1021),""[^A-Za-z0-9]"",""""))"),"NEPTRONIC-EVCBSERIES")</f>
        <v>NEPTRONIC-EVCBSERIES</v>
      </c>
    </row>
    <row r="1022" ht="30.0" customHeight="1">
      <c r="A1022" s="258">
        <v>1014.0</v>
      </c>
      <c r="B1022" s="237" t="s">
        <v>670</v>
      </c>
      <c r="C1022" s="257" t="s">
        <v>4597</v>
      </c>
      <c r="D1022" s="173" t="s">
        <v>4597</v>
      </c>
      <c r="E1022" s="174" t="s">
        <v>2861</v>
      </c>
      <c r="F1022" s="173" t="s">
        <v>2862</v>
      </c>
      <c r="G1022" s="328" t="s">
        <v>673</v>
      </c>
      <c r="H1022" s="328" t="s">
        <v>2863</v>
      </c>
      <c r="I1022" s="258" t="s">
        <v>2864</v>
      </c>
      <c r="J1022" s="259" t="s">
        <v>1026</v>
      </c>
      <c r="K1022" s="260" t="s">
        <v>4598</v>
      </c>
      <c r="L1022" s="328"/>
      <c r="M1022" s="343"/>
      <c r="N1022" s="173" t="s">
        <v>679</v>
      </c>
      <c r="O1022" s="173" t="s">
        <v>225</v>
      </c>
      <c r="P1022" s="262" t="str">
        <f t="shared" si="1"/>
        <v>IN-BLR-ANANTA-VAV-594_4</v>
      </c>
      <c r="Q1022" s="173" t="s">
        <v>4599</v>
      </c>
      <c r="R1022" s="328" t="str">
        <f>IFS(C1022="","",C1022="n/a","N/A",LEN(C1022),Concatenate("{",char(34),"asset",char(34),":{",char(34),"guid",char(34),":",char(34),Q1022,char(34),",",char(34),"site",char(34),":",char(34),LOWER('2-Building'!$B$4),char(34),",",char(34),"name",char(34),":",char(34),LOWER(C1022),char(34),"}}"))</f>
        <v>{"asset":{"guid":"uuid://c37b53ba-aac4-4601-87a3-fad46ad8cd33","site":"in-blr-ananta","name":"vav-594"}}</v>
      </c>
      <c r="S1022" s="237" t="s">
        <v>2866</v>
      </c>
      <c r="T1022" s="330"/>
      <c r="U1022" s="330"/>
      <c r="V1022" s="331"/>
      <c r="W1022" s="344"/>
      <c r="X1022" s="341"/>
      <c r="Y1022" s="33" t="s">
        <v>2867</v>
      </c>
      <c r="Z1022" s="258">
        <v>120594.0</v>
      </c>
      <c r="AA1022" s="334">
        <v>11565.0</v>
      </c>
      <c r="AB1022" s="341"/>
      <c r="AC1022" s="341"/>
      <c r="AD1022" s="343"/>
      <c r="AE1022" s="331"/>
      <c r="AF1022" s="348"/>
      <c r="AG1022" s="337"/>
      <c r="AH1022" s="341"/>
      <c r="AI1022" s="341"/>
      <c r="AJ1022" s="341"/>
      <c r="AK1022" s="341"/>
      <c r="AL1022" s="341"/>
      <c r="AM1022" s="338"/>
      <c r="AN1022" s="341"/>
      <c r="AO1022" s="341"/>
      <c r="AP1022" s="341"/>
      <c r="AQ1022" s="341"/>
      <c r="AR1022" s="341"/>
      <c r="AS1022" s="341"/>
      <c r="AT1022" s="341"/>
      <c r="AU1022" s="343"/>
      <c r="AV1022" s="341"/>
      <c r="AW1022" s="269" t="s">
        <v>2198</v>
      </c>
      <c r="AX1022" s="334" t="s">
        <v>2869</v>
      </c>
      <c r="AY1022" s="270" t="s">
        <v>695</v>
      </c>
      <c r="AZ1022" s="173" t="s">
        <v>2866</v>
      </c>
      <c r="BA1022" s="265">
        <v>10.0</v>
      </c>
      <c r="BB1022" s="174" t="s">
        <v>245</v>
      </c>
      <c r="BC1022" s="341"/>
      <c r="BD1022" s="308"/>
      <c r="BE1022" s="347"/>
      <c r="BF1022" s="274" t="str">
        <f>IFERROR(__xludf.DUMMYFUNCTION("LOWER(Regexreplace(to_text(E1022),""[^A-Za-z0-9]"","""")&amp;""_""&amp;Regexreplace(to_text(F1022),""[^A-Za-z0-9]"",""""))"),"neptronic_evcbseries")</f>
        <v>neptronic_evcbseries</v>
      </c>
      <c r="BG1022" s="275" t="str">
        <f>IFERROR(__xludf.DUMMYFUNCTION("upper(Regexreplace(to_text(E1022),""[^A-Za-z0-9]"","""")&amp;""-""&amp;Regexreplace(to_text(F1022),""[^A-Za-z0-9]"",""""))"),"NEPTRONIC-EVCBSERIES")</f>
        <v>NEPTRONIC-EVCBSERIES</v>
      </c>
    </row>
    <row r="1023" ht="30.0" customHeight="1">
      <c r="A1023" s="173">
        <v>1015.0</v>
      </c>
      <c r="B1023" s="237" t="s">
        <v>670</v>
      </c>
      <c r="C1023" s="257" t="s">
        <v>4600</v>
      </c>
      <c r="D1023" s="173" t="s">
        <v>4600</v>
      </c>
      <c r="E1023" s="174" t="s">
        <v>2861</v>
      </c>
      <c r="F1023" s="173" t="s">
        <v>2862</v>
      </c>
      <c r="G1023" s="328" t="s">
        <v>673</v>
      </c>
      <c r="H1023" s="328" t="s">
        <v>2863</v>
      </c>
      <c r="I1023" s="258" t="s">
        <v>2864</v>
      </c>
      <c r="J1023" s="259" t="s">
        <v>1026</v>
      </c>
      <c r="K1023" s="260" t="s">
        <v>4598</v>
      </c>
      <c r="L1023" s="328"/>
      <c r="M1023" s="343"/>
      <c r="N1023" s="173" t="s">
        <v>679</v>
      </c>
      <c r="O1023" s="173" t="s">
        <v>225</v>
      </c>
      <c r="P1023" s="262" t="str">
        <f t="shared" si="1"/>
        <v>IN-BLR-ANANTA-VAV-595_4</v>
      </c>
      <c r="Q1023" s="173" t="s">
        <v>4601</v>
      </c>
      <c r="R1023" s="328" t="str">
        <f>IFS(C1023="","",C1023="n/a","N/A",LEN(C1023),Concatenate("{",char(34),"asset",char(34),":{",char(34),"guid",char(34),":",char(34),Q1023,char(34),",",char(34),"site",char(34),":",char(34),LOWER('2-Building'!$B$4),char(34),",",char(34),"name",char(34),":",char(34),LOWER(C1023),char(34),"}}"))</f>
        <v>{"asset":{"guid":"uuid://05e85c29-eb13-4728-9d6d-79ed69c92df3","site":"in-blr-ananta","name":"vav-595"}}</v>
      </c>
      <c r="S1023" s="237" t="s">
        <v>2866</v>
      </c>
      <c r="T1023" s="330"/>
      <c r="U1023" s="330"/>
      <c r="V1023" s="331"/>
      <c r="W1023" s="344"/>
      <c r="X1023" s="341"/>
      <c r="Y1023" s="33" t="s">
        <v>2867</v>
      </c>
      <c r="Z1023" s="258">
        <v>120595.0</v>
      </c>
      <c r="AA1023" s="334">
        <v>11565.0</v>
      </c>
      <c r="AB1023" s="341"/>
      <c r="AC1023" s="341"/>
      <c r="AD1023" s="343"/>
      <c r="AE1023" s="331"/>
      <c r="AF1023" s="348"/>
      <c r="AG1023" s="337"/>
      <c r="AH1023" s="341"/>
      <c r="AI1023" s="341"/>
      <c r="AJ1023" s="341"/>
      <c r="AK1023" s="341"/>
      <c r="AL1023" s="341"/>
      <c r="AM1023" s="338"/>
      <c r="AN1023" s="341"/>
      <c r="AO1023" s="341"/>
      <c r="AP1023" s="341"/>
      <c r="AQ1023" s="341"/>
      <c r="AR1023" s="341"/>
      <c r="AS1023" s="341"/>
      <c r="AT1023" s="341"/>
      <c r="AU1023" s="343"/>
      <c r="AV1023" s="341"/>
      <c r="AW1023" s="269" t="s">
        <v>2198</v>
      </c>
      <c r="AX1023" s="334" t="s">
        <v>2869</v>
      </c>
      <c r="AY1023" s="270" t="s">
        <v>695</v>
      </c>
      <c r="AZ1023" s="173" t="s">
        <v>2866</v>
      </c>
      <c r="BA1023" s="265">
        <v>10.0</v>
      </c>
      <c r="BB1023" s="174" t="s">
        <v>245</v>
      </c>
      <c r="BC1023" s="341"/>
      <c r="BD1023" s="308"/>
      <c r="BE1023" s="347"/>
      <c r="BF1023" s="274" t="str">
        <f>IFERROR(__xludf.DUMMYFUNCTION("LOWER(Regexreplace(to_text(E1023),""[^A-Za-z0-9]"","""")&amp;""_""&amp;Regexreplace(to_text(F1023),""[^A-Za-z0-9]"",""""))"),"neptronic_evcbseries")</f>
        <v>neptronic_evcbseries</v>
      </c>
      <c r="BG1023" s="275" t="str">
        <f>IFERROR(__xludf.DUMMYFUNCTION("upper(Regexreplace(to_text(E1023),""[^A-Za-z0-9]"","""")&amp;""-""&amp;Regexreplace(to_text(F1023),""[^A-Za-z0-9]"",""""))"),"NEPTRONIC-EVCBSERIES")</f>
        <v>NEPTRONIC-EVCBSERIES</v>
      </c>
    </row>
    <row r="1024" ht="30.0" customHeight="1">
      <c r="A1024" s="258">
        <v>1016.0</v>
      </c>
      <c r="B1024" s="237" t="s">
        <v>670</v>
      </c>
      <c r="C1024" s="257" t="s">
        <v>4602</v>
      </c>
      <c r="D1024" s="173" t="s">
        <v>4602</v>
      </c>
      <c r="E1024" s="174" t="s">
        <v>2861</v>
      </c>
      <c r="F1024" s="173" t="s">
        <v>2862</v>
      </c>
      <c r="G1024" s="328" t="s">
        <v>673</v>
      </c>
      <c r="H1024" s="328" t="s">
        <v>2863</v>
      </c>
      <c r="I1024" s="258" t="s">
        <v>2864</v>
      </c>
      <c r="J1024" s="259" t="s">
        <v>1026</v>
      </c>
      <c r="K1024" s="260" t="s">
        <v>4603</v>
      </c>
      <c r="L1024" s="328"/>
      <c r="M1024" s="343"/>
      <c r="N1024" s="173" t="s">
        <v>679</v>
      </c>
      <c r="O1024" s="173" t="s">
        <v>225</v>
      </c>
      <c r="P1024" s="262" t="str">
        <f t="shared" si="1"/>
        <v>IN-BLR-ANANTA-VAV-596_4</v>
      </c>
      <c r="Q1024" s="173" t="s">
        <v>4604</v>
      </c>
      <c r="R1024" s="328" t="str">
        <f>IFS(C1024="","",C1024="n/a","N/A",LEN(C1024),Concatenate("{",char(34),"asset",char(34),":{",char(34),"guid",char(34),":",char(34),Q1024,char(34),",",char(34),"site",char(34),":",char(34),LOWER('2-Building'!$B$4),char(34),",",char(34),"name",char(34),":",char(34),LOWER(C1024),char(34),"}}"))</f>
        <v>{"asset":{"guid":"uuid://8f6fcd9b-5eb3-4f23-96e3-05b44edb3d94","site":"in-blr-ananta","name":"vav-596"}}</v>
      </c>
      <c r="S1024" s="237" t="s">
        <v>2866</v>
      </c>
      <c r="T1024" s="330"/>
      <c r="U1024" s="330"/>
      <c r="V1024" s="331"/>
      <c r="W1024" s="344"/>
      <c r="X1024" s="341"/>
      <c r="Y1024" s="33" t="s">
        <v>2867</v>
      </c>
      <c r="Z1024" s="258">
        <v>120596.0</v>
      </c>
      <c r="AA1024" s="334">
        <v>11565.0</v>
      </c>
      <c r="AB1024" s="341"/>
      <c r="AC1024" s="341"/>
      <c r="AD1024" s="343"/>
      <c r="AE1024" s="331"/>
      <c r="AF1024" s="348"/>
      <c r="AG1024" s="337"/>
      <c r="AH1024" s="341"/>
      <c r="AI1024" s="341"/>
      <c r="AJ1024" s="341"/>
      <c r="AK1024" s="341"/>
      <c r="AL1024" s="341"/>
      <c r="AM1024" s="338"/>
      <c r="AN1024" s="341"/>
      <c r="AO1024" s="341"/>
      <c r="AP1024" s="341"/>
      <c r="AQ1024" s="341"/>
      <c r="AR1024" s="341"/>
      <c r="AS1024" s="341"/>
      <c r="AT1024" s="341"/>
      <c r="AU1024" s="343"/>
      <c r="AV1024" s="341"/>
      <c r="AW1024" s="269" t="s">
        <v>2198</v>
      </c>
      <c r="AX1024" s="334" t="s">
        <v>2869</v>
      </c>
      <c r="AY1024" s="270" t="s">
        <v>695</v>
      </c>
      <c r="AZ1024" s="173" t="s">
        <v>2866</v>
      </c>
      <c r="BA1024" s="265">
        <v>10.0</v>
      </c>
      <c r="BB1024" s="174" t="s">
        <v>245</v>
      </c>
      <c r="BC1024" s="341"/>
      <c r="BD1024" s="308"/>
      <c r="BE1024" s="347"/>
      <c r="BF1024" s="274" t="str">
        <f>IFERROR(__xludf.DUMMYFUNCTION("LOWER(Regexreplace(to_text(E1024),""[^A-Za-z0-9]"","""")&amp;""_""&amp;Regexreplace(to_text(F1024),""[^A-Za-z0-9]"",""""))"),"neptronic_evcbseries")</f>
        <v>neptronic_evcbseries</v>
      </c>
      <c r="BG1024" s="275" t="str">
        <f>IFERROR(__xludf.DUMMYFUNCTION("upper(Regexreplace(to_text(E1024),""[^A-Za-z0-9]"","""")&amp;""-""&amp;Regexreplace(to_text(F1024),""[^A-Za-z0-9]"",""""))"),"NEPTRONIC-EVCBSERIES")</f>
        <v>NEPTRONIC-EVCBSERIES</v>
      </c>
    </row>
    <row r="1025" ht="30.0" customHeight="1">
      <c r="A1025" s="173">
        <v>1017.0</v>
      </c>
      <c r="B1025" s="237" t="s">
        <v>670</v>
      </c>
      <c r="C1025" s="257" t="s">
        <v>4605</v>
      </c>
      <c r="D1025" s="173" t="s">
        <v>4605</v>
      </c>
      <c r="E1025" s="174" t="s">
        <v>2861</v>
      </c>
      <c r="F1025" s="173" t="s">
        <v>2862</v>
      </c>
      <c r="G1025" s="328" t="s">
        <v>673</v>
      </c>
      <c r="H1025" s="328" t="s">
        <v>2863</v>
      </c>
      <c r="I1025" s="258" t="s">
        <v>2864</v>
      </c>
      <c r="J1025" s="259" t="s">
        <v>1026</v>
      </c>
      <c r="K1025" s="260" t="s">
        <v>4598</v>
      </c>
      <c r="L1025" s="328"/>
      <c r="M1025" s="343"/>
      <c r="N1025" s="173" t="s">
        <v>679</v>
      </c>
      <c r="O1025" s="173" t="s">
        <v>225</v>
      </c>
      <c r="P1025" s="262" t="str">
        <f t="shared" si="1"/>
        <v>IN-BLR-ANANTA-VAV-597_4</v>
      </c>
      <c r="Q1025" s="173" t="s">
        <v>4606</v>
      </c>
      <c r="R1025" s="328" t="str">
        <f>IFS(C1025="","",C1025="n/a","N/A",LEN(C1025),Concatenate("{",char(34),"asset",char(34),":{",char(34),"guid",char(34),":",char(34),Q1025,char(34),",",char(34),"site",char(34),":",char(34),LOWER('2-Building'!$B$4),char(34),",",char(34),"name",char(34),":",char(34),LOWER(C1025),char(34),"}}"))</f>
        <v>{"asset":{"guid":"uuid://e1c6c1d8-7711-4616-8dab-f0df940546be","site":"in-blr-ananta","name":"vav-597"}}</v>
      </c>
      <c r="S1025" s="237" t="s">
        <v>2866</v>
      </c>
      <c r="T1025" s="330"/>
      <c r="U1025" s="330"/>
      <c r="V1025" s="331"/>
      <c r="W1025" s="344"/>
      <c r="X1025" s="341"/>
      <c r="Y1025" s="33" t="s">
        <v>2867</v>
      </c>
      <c r="Z1025" s="258">
        <v>120597.0</v>
      </c>
      <c r="AA1025" s="334">
        <v>11565.0</v>
      </c>
      <c r="AB1025" s="341"/>
      <c r="AC1025" s="341"/>
      <c r="AD1025" s="343"/>
      <c r="AE1025" s="331"/>
      <c r="AF1025" s="348"/>
      <c r="AG1025" s="337"/>
      <c r="AH1025" s="341"/>
      <c r="AI1025" s="341"/>
      <c r="AJ1025" s="341"/>
      <c r="AK1025" s="341"/>
      <c r="AL1025" s="341"/>
      <c r="AM1025" s="338"/>
      <c r="AN1025" s="341"/>
      <c r="AO1025" s="341"/>
      <c r="AP1025" s="341"/>
      <c r="AQ1025" s="341"/>
      <c r="AR1025" s="341"/>
      <c r="AS1025" s="341"/>
      <c r="AT1025" s="341"/>
      <c r="AU1025" s="343"/>
      <c r="AV1025" s="341"/>
      <c r="AW1025" s="269" t="s">
        <v>2198</v>
      </c>
      <c r="AX1025" s="334" t="s">
        <v>2869</v>
      </c>
      <c r="AY1025" s="270" t="s">
        <v>695</v>
      </c>
      <c r="AZ1025" s="173" t="s">
        <v>2866</v>
      </c>
      <c r="BA1025" s="265">
        <v>10.0</v>
      </c>
      <c r="BB1025" s="174" t="s">
        <v>245</v>
      </c>
      <c r="BC1025" s="341"/>
      <c r="BD1025" s="308"/>
      <c r="BE1025" s="347"/>
      <c r="BF1025" s="274" t="str">
        <f>IFERROR(__xludf.DUMMYFUNCTION("LOWER(Regexreplace(to_text(E1025),""[^A-Za-z0-9]"","""")&amp;""_""&amp;Regexreplace(to_text(F1025),""[^A-Za-z0-9]"",""""))"),"neptronic_evcbseries")</f>
        <v>neptronic_evcbseries</v>
      </c>
      <c r="BG1025" s="275" t="str">
        <f>IFERROR(__xludf.DUMMYFUNCTION("upper(Regexreplace(to_text(E1025),""[^A-Za-z0-9]"","""")&amp;""-""&amp;Regexreplace(to_text(F1025),""[^A-Za-z0-9]"",""""))"),"NEPTRONIC-EVCBSERIES")</f>
        <v>NEPTRONIC-EVCBSERIES</v>
      </c>
    </row>
    <row r="1026" ht="30.0" customHeight="1">
      <c r="A1026" s="258">
        <v>1018.0</v>
      </c>
      <c r="B1026" s="237" t="s">
        <v>670</v>
      </c>
      <c r="C1026" s="257" t="s">
        <v>4607</v>
      </c>
      <c r="D1026" s="173" t="s">
        <v>4607</v>
      </c>
      <c r="E1026" s="174" t="s">
        <v>2861</v>
      </c>
      <c r="F1026" s="173" t="s">
        <v>2862</v>
      </c>
      <c r="G1026" s="328" t="s">
        <v>673</v>
      </c>
      <c r="H1026" s="328" t="s">
        <v>2863</v>
      </c>
      <c r="I1026" s="258" t="s">
        <v>2864</v>
      </c>
      <c r="J1026" s="259" t="s">
        <v>1026</v>
      </c>
      <c r="K1026" s="260" t="s">
        <v>4608</v>
      </c>
      <c r="L1026" s="328"/>
      <c r="M1026" s="343"/>
      <c r="N1026" s="173" t="s">
        <v>679</v>
      </c>
      <c r="O1026" s="173" t="s">
        <v>225</v>
      </c>
      <c r="P1026" s="262" t="str">
        <f t="shared" si="1"/>
        <v>IN-BLR-ANANTA-VAV-598_4</v>
      </c>
      <c r="Q1026" s="173" t="s">
        <v>4609</v>
      </c>
      <c r="R1026" s="328" t="str">
        <f>IFS(C1026="","",C1026="n/a","N/A",LEN(C1026),Concatenate("{",char(34),"asset",char(34),":{",char(34),"guid",char(34),":",char(34),Q1026,char(34),",",char(34),"site",char(34),":",char(34),LOWER('2-Building'!$B$4),char(34),",",char(34),"name",char(34),":",char(34),LOWER(C1026),char(34),"}}"))</f>
        <v>{"asset":{"guid":"uuid://4a5f8ead-53f0-4afb-89fd-ac40206d4e42","site":"in-blr-ananta","name":"vav-598"}}</v>
      </c>
      <c r="S1026" s="237" t="s">
        <v>2866</v>
      </c>
      <c r="T1026" s="330"/>
      <c r="U1026" s="330"/>
      <c r="V1026" s="331"/>
      <c r="W1026" s="344"/>
      <c r="X1026" s="341"/>
      <c r="Y1026" s="33" t="s">
        <v>2867</v>
      </c>
      <c r="Z1026" s="258">
        <v>120598.0</v>
      </c>
      <c r="AA1026" s="334">
        <v>11565.0</v>
      </c>
      <c r="AB1026" s="341"/>
      <c r="AC1026" s="341"/>
      <c r="AD1026" s="343"/>
      <c r="AE1026" s="331"/>
      <c r="AF1026" s="348"/>
      <c r="AG1026" s="337"/>
      <c r="AH1026" s="341"/>
      <c r="AI1026" s="341"/>
      <c r="AJ1026" s="341"/>
      <c r="AK1026" s="341"/>
      <c r="AL1026" s="341"/>
      <c r="AM1026" s="338"/>
      <c r="AN1026" s="341"/>
      <c r="AO1026" s="341"/>
      <c r="AP1026" s="341"/>
      <c r="AQ1026" s="341"/>
      <c r="AR1026" s="341"/>
      <c r="AS1026" s="341"/>
      <c r="AT1026" s="341"/>
      <c r="AU1026" s="343"/>
      <c r="AV1026" s="341"/>
      <c r="AW1026" s="269" t="s">
        <v>2198</v>
      </c>
      <c r="AX1026" s="334" t="s">
        <v>2869</v>
      </c>
      <c r="AY1026" s="270" t="s">
        <v>695</v>
      </c>
      <c r="AZ1026" s="173" t="s">
        <v>2866</v>
      </c>
      <c r="BA1026" s="265">
        <v>10.0</v>
      </c>
      <c r="BB1026" s="174" t="s">
        <v>245</v>
      </c>
      <c r="BC1026" s="341"/>
      <c r="BD1026" s="308"/>
      <c r="BE1026" s="347"/>
      <c r="BF1026" s="274" t="str">
        <f>IFERROR(__xludf.DUMMYFUNCTION("LOWER(Regexreplace(to_text(E1026),""[^A-Za-z0-9]"","""")&amp;""_""&amp;Regexreplace(to_text(F1026),""[^A-Za-z0-9]"",""""))"),"neptronic_evcbseries")</f>
        <v>neptronic_evcbseries</v>
      </c>
      <c r="BG1026" s="275" t="str">
        <f>IFERROR(__xludf.DUMMYFUNCTION("upper(Regexreplace(to_text(E1026),""[^A-Za-z0-9]"","""")&amp;""-""&amp;Regexreplace(to_text(F1026),""[^A-Za-z0-9]"",""""))"),"NEPTRONIC-EVCBSERIES")</f>
        <v>NEPTRONIC-EVCBSERIES</v>
      </c>
    </row>
    <row r="1027" ht="30.0" customHeight="1">
      <c r="A1027" s="173">
        <v>1019.0</v>
      </c>
      <c r="B1027" s="237" t="s">
        <v>670</v>
      </c>
      <c r="C1027" s="257" t="s">
        <v>4610</v>
      </c>
      <c r="D1027" s="173" t="s">
        <v>4610</v>
      </c>
      <c r="E1027" s="174" t="s">
        <v>2861</v>
      </c>
      <c r="F1027" s="173" t="s">
        <v>2862</v>
      </c>
      <c r="G1027" s="328" t="s">
        <v>673</v>
      </c>
      <c r="H1027" s="328" t="s">
        <v>2863</v>
      </c>
      <c r="I1027" s="258" t="s">
        <v>2864</v>
      </c>
      <c r="J1027" s="259" t="s">
        <v>1026</v>
      </c>
      <c r="K1027" s="260" t="s">
        <v>4611</v>
      </c>
      <c r="L1027" s="328"/>
      <c r="M1027" s="343"/>
      <c r="N1027" s="173" t="s">
        <v>679</v>
      </c>
      <c r="O1027" s="173" t="s">
        <v>225</v>
      </c>
      <c r="P1027" s="262" t="str">
        <f t="shared" si="1"/>
        <v>IN-BLR-ANANTA-VAV-599_4</v>
      </c>
      <c r="Q1027" s="173" t="s">
        <v>4612</v>
      </c>
      <c r="R1027" s="328" t="str">
        <f>IFS(C1027="","",C1027="n/a","N/A",LEN(C1027),Concatenate("{",char(34),"asset",char(34),":{",char(34),"guid",char(34),":",char(34),Q1027,char(34),",",char(34),"site",char(34),":",char(34),LOWER('2-Building'!$B$4),char(34),",",char(34),"name",char(34),":",char(34),LOWER(C1027),char(34),"}}"))</f>
        <v>{"asset":{"guid":"uuid://884bf360-5228-4a87-b28b-e3190a0c0b91","site":"in-blr-ananta","name":"vav-599"}}</v>
      </c>
      <c r="S1027" s="237" t="s">
        <v>2866</v>
      </c>
      <c r="T1027" s="330"/>
      <c r="U1027" s="330"/>
      <c r="V1027" s="331"/>
      <c r="W1027" s="344"/>
      <c r="X1027" s="341"/>
      <c r="Y1027" s="33" t="s">
        <v>2867</v>
      </c>
      <c r="Z1027" s="258">
        <v>120599.0</v>
      </c>
      <c r="AA1027" s="334">
        <v>11565.0</v>
      </c>
      <c r="AB1027" s="341"/>
      <c r="AC1027" s="341"/>
      <c r="AD1027" s="343"/>
      <c r="AE1027" s="331"/>
      <c r="AF1027" s="348"/>
      <c r="AG1027" s="337"/>
      <c r="AH1027" s="341"/>
      <c r="AI1027" s="341"/>
      <c r="AJ1027" s="341"/>
      <c r="AK1027" s="341"/>
      <c r="AL1027" s="341"/>
      <c r="AM1027" s="338"/>
      <c r="AN1027" s="341"/>
      <c r="AO1027" s="341"/>
      <c r="AP1027" s="341"/>
      <c r="AQ1027" s="341"/>
      <c r="AR1027" s="341"/>
      <c r="AS1027" s="341"/>
      <c r="AT1027" s="341"/>
      <c r="AU1027" s="343"/>
      <c r="AV1027" s="341"/>
      <c r="AW1027" s="269" t="s">
        <v>2198</v>
      </c>
      <c r="AX1027" s="334" t="s">
        <v>2869</v>
      </c>
      <c r="AY1027" s="270" t="s">
        <v>695</v>
      </c>
      <c r="AZ1027" s="173" t="s">
        <v>2866</v>
      </c>
      <c r="BA1027" s="265">
        <v>10.0</v>
      </c>
      <c r="BB1027" s="174" t="s">
        <v>245</v>
      </c>
      <c r="BC1027" s="341"/>
      <c r="BD1027" s="308"/>
      <c r="BE1027" s="347"/>
      <c r="BF1027" s="274" t="str">
        <f>IFERROR(__xludf.DUMMYFUNCTION("LOWER(Regexreplace(to_text(E1027),""[^A-Za-z0-9]"","""")&amp;""_""&amp;Regexreplace(to_text(F1027),""[^A-Za-z0-9]"",""""))"),"neptronic_evcbseries")</f>
        <v>neptronic_evcbseries</v>
      </c>
      <c r="BG1027" s="275" t="str">
        <f>IFERROR(__xludf.DUMMYFUNCTION("upper(Regexreplace(to_text(E1027),""[^A-Za-z0-9]"","""")&amp;""-""&amp;Regexreplace(to_text(F1027),""[^A-Za-z0-9]"",""""))"),"NEPTRONIC-EVCBSERIES")</f>
        <v>NEPTRONIC-EVCBSERIES</v>
      </c>
    </row>
    <row r="1028" ht="30.0" customHeight="1">
      <c r="A1028" s="258">
        <v>1020.0</v>
      </c>
      <c r="B1028" s="237" t="s">
        <v>670</v>
      </c>
      <c r="C1028" s="257" t="s">
        <v>4613</v>
      </c>
      <c r="D1028" s="173" t="s">
        <v>4613</v>
      </c>
      <c r="E1028" s="174" t="s">
        <v>2861</v>
      </c>
      <c r="F1028" s="173" t="s">
        <v>2862</v>
      </c>
      <c r="G1028" s="328" t="s">
        <v>673</v>
      </c>
      <c r="H1028" s="328" t="s">
        <v>2863</v>
      </c>
      <c r="I1028" s="258" t="s">
        <v>2864</v>
      </c>
      <c r="J1028" s="259" t="s">
        <v>1026</v>
      </c>
      <c r="K1028" s="260" t="s">
        <v>4614</v>
      </c>
      <c r="L1028" s="328"/>
      <c r="M1028" s="343"/>
      <c r="N1028" s="173" t="s">
        <v>679</v>
      </c>
      <c r="O1028" s="173" t="s">
        <v>225</v>
      </c>
      <c r="P1028" s="262" t="str">
        <f t="shared" si="1"/>
        <v>IN-BLR-ANANTA-VAV-600_4</v>
      </c>
      <c r="Q1028" s="173" t="s">
        <v>4615</v>
      </c>
      <c r="R1028" s="328" t="str">
        <f>IFS(C1028="","",C1028="n/a","N/A",LEN(C1028),Concatenate("{",char(34),"asset",char(34),":{",char(34),"guid",char(34),":",char(34),Q1028,char(34),",",char(34),"site",char(34),":",char(34),LOWER('2-Building'!$B$4),char(34),",",char(34),"name",char(34),":",char(34),LOWER(C1028),char(34),"}}"))</f>
        <v>{"asset":{"guid":"uuid://2bb0b3d6-d38a-4c2e-8f24-1c099c4aeac4","site":"in-blr-ananta","name":"vav-600"}}</v>
      </c>
      <c r="S1028" s="237" t="s">
        <v>2866</v>
      </c>
      <c r="T1028" s="330"/>
      <c r="U1028" s="330"/>
      <c r="V1028" s="331"/>
      <c r="W1028" s="344"/>
      <c r="X1028" s="341"/>
      <c r="Y1028" s="33" t="s">
        <v>2867</v>
      </c>
      <c r="Z1028" s="258">
        <v>120600.0</v>
      </c>
      <c r="AA1028" s="334">
        <v>11565.0</v>
      </c>
      <c r="AB1028" s="341"/>
      <c r="AC1028" s="341"/>
      <c r="AD1028" s="343"/>
      <c r="AE1028" s="331"/>
      <c r="AF1028" s="348"/>
      <c r="AG1028" s="337"/>
      <c r="AH1028" s="341"/>
      <c r="AI1028" s="341"/>
      <c r="AJ1028" s="341"/>
      <c r="AK1028" s="341"/>
      <c r="AL1028" s="341"/>
      <c r="AM1028" s="338"/>
      <c r="AN1028" s="341"/>
      <c r="AO1028" s="341"/>
      <c r="AP1028" s="341"/>
      <c r="AQ1028" s="341"/>
      <c r="AR1028" s="341"/>
      <c r="AS1028" s="341"/>
      <c r="AT1028" s="341"/>
      <c r="AU1028" s="343"/>
      <c r="AV1028" s="341"/>
      <c r="AW1028" s="269" t="s">
        <v>2198</v>
      </c>
      <c r="AX1028" s="334" t="s">
        <v>2869</v>
      </c>
      <c r="AY1028" s="270" t="s">
        <v>695</v>
      </c>
      <c r="AZ1028" s="173" t="s">
        <v>2866</v>
      </c>
      <c r="BA1028" s="265">
        <v>10.0</v>
      </c>
      <c r="BB1028" s="174" t="s">
        <v>245</v>
      </c>
      <c r="BC1028" s="341"/>
      <c r="BD1028" s="308"/>
      <c r="BE1028" s="347"/>
      <c r="BF1028" s="274" t="str">
        <f>IFERROR(__xludf.DUMMYFUNCTION("LOWER(Regexreplace(to_text(E1028),""[^A-Za-z0-9]"","""")&amp;""_""&amp;Regexreplace(to_text(F1028),""[^A-Za-z0-9]"",""""))"),"neptronic_evcbseries")</f>
        <v>neptronic_evcbseries</v>
      </c>
      <c r="BG1028" s="275" t="str">
        <f>IFERROR(__xludf.DUMMYFUNCTION("upper(Regexreplace(to_text(E1028),""[^A-Za-z0-9]"","""")&amp;""-""&amp;Regexreplace(to_text(F1028),""[^A-Za-z0-9]"",""""))"),"NEPTRONIC-EVCBSERIES")</f>
        <v>NEPTRONIC-EVCBSERIES</v>
      </c>
    </row>
    <row r="1029" ht="30.0" customHeight="1">
      <c r="A1029" s="173">
        <v>1021.0</v>
      </c>
      <c r="B1029" s="237" t="s">
        <v>670</v>
      </c>
      <c r="C1029" s="257" t="s">
        <v>4616</v>
      </c>
      <c r="D1029" s="173" t="s">
        <v>4616</v>
      </c>
      <c r="E1029" s="174" t="s">
        <v>2861</v>
      </c>
      <c r="F1029" s="173" t="s">
        <v>2862</v>
      </c>
      <c r="G1029" s="328" t="s">
        <v>673</v>
      </c>
      <c r="H1029" s="328" t="s">
        <v>2863</v>
      </c>
      <c r="I1029" s="258" t="s">
        <v>2864</v>
      </c>
      <c r="J1029" s="259" t="s">
        <v>1026</v>
      </c>
      <c r="K1029" s="260" t="s">
        <v>4617</v>
      </c>
      <c r="L1029" s="328"/>
      <c r="M1029" s="343"/>
      <c r="N1029" s="173" t="s">
        <v>679</v>
      </c>
      <c r="O1029" s="173" t="s">
        <v>225</v>
      </c>
      <c r="P1029" s="262" t="str">
        <f t="shared" si="1"/>
        <v>IN-BLR-ANANTA-VAV-601_4</v>
      </c>
      <c r="Q1029" s="173" t="s">
        <v>4618</v>
      </c>
      <c r="R1029" s="328" t="str">
        <f>IFS(C1029="","",C1029="n/a","N/A",LEN(C1029),Concatenate("{",char(34),"asset",char(34),":{",char(34),"guid",char(34),":",char(34),Q1029,char(34),",",char(34),"site",char(34),":",char(34),LOWER('2-Building'!$B$4),char(34),",",char(34),"name",char(34),":",char(34),LOWER(C1029),char(34),"}}"))</f>
        <v>{"asset":{"guid":"uuid://8e6d938e-c390-4f7c-9396-ef0b8d0fba0f","site":"in-blr-ananta","name":"vav-601"}}</v>
      </c>
      <c r="S1029" s="237" t="s">
        <v>2866</v>
      </c>
      <c r="T1029" s="330"/>
      <c r="U1029" s="330"/>
      <c r="V1029" s="331"/>
      <c r="W1029" s="344"/>
      <c r="X1029" s="341"/>
      <c r="Y1029" s="33" t="s">
        <v>2867</v>
      </c>
      <c r="Z1029" s="258">
        <v>120601.0</v>
      </c>
      <c r="AA1029" s="334">
        <v>11565.0</v>
      </c>
      <c r="AB1029" s="341"/>
      <c r="AC1029" s="341"/>
      <c r="AD1029" s="343"/>
      <c r="AE1029" s="331"/>
      <c r="AF1029" s="348"/>
      <c r="AG1029" s="337"/>
      <c r="AH1029" s="341"/>
      <c r="AI1029" s="341"/>
      <c r="AJ1029" s="341"/>
      <c r="AK1029" s="341"/>
      <c r="AL1029" s="341"/>
      <c r="AM1029" s="338"/>
      <c r="AN1029" s="341"/>
      <c r="AO1029" s="341"/>
      <c r="AP1029" s="341"/>
      <c r="AQ1029" s="341"/>
      <c r="AR1029" s="341"/>
      <c r="AS1029" s="341"/>
      <c r="AT1029" s="341"/>
      <c r="AU1029" s="343"/>
      <c r="AV1029" s="341"/>
      <c r="AW1029" s="269" t="s">
        <v>2198</v>
      </c>
      <c r="AX1029" s="334" t="s">
        <v>2869</v>
      </c>
      <c r="AY1029" s="270" t="s">
        <v>695</v>
      </c>
      <c r="AZ1029" s="173" t="s">
        <v>2866</v>
      </c>
      <c r="BA1029" s="265">
        <v>10.0</v>
      </c>
      <c r="BB1029" s="174" t="s">
        <v>245</v>
      </c>
      <c r="BC1029" s="341"/>
      <c r="BD1029" s="308"/>
      <c r="BE1029" s="347"/>
      <c r="BF1029" s="274" t="str">
        <f>IFERROR(__xludf.DUMMYFUNCTION("LOWER(Regexreplace(to_text(E1029),""[^A-Za-z0-9]"","""")&amp;""_""&amp;Regexreplace(to_text(F1029),""[^A-Za-z0-9]"",""""))"),"neptronic_evcbseries")</f>
        <v>neptronic_evcbseries</v>
      </c>
      <c r="BG1029" s="275" t="str">
        <f>IFERROR(__xludf.DUMMYFUNCTION("upper(Regexreplace(to_text(E1029),""[^A-Za-z0-9]"","""")&amp;""-""&amp;Regexreplace(to_text(F1029),""[^A-Za-z0-9]"",""""))"),"NEPTRONIC-EVCBSERIES")</f>
        <v>NEPTRONIC-EVCBSERIES</v>
      </c>
    </row>
    <row r="1030" ht="30.0" customHeight="1">
      <c r="A1030" s="258">
        <v>1022.0</v>
      </c>
      <c r="B1030" s="237" t="s">
        <v>670</v>
      </c>
      <c r="C1030" s="257" t="s">
        <v>4619</v>
      </c>
      <c r="D1030" s="173" t="s">
        <v>4619</v>
      </c>
      <c r="E1030" s="174" t="s">
        <v>2861</v>
      </c>
      <c r="F1030" s="173" t="s">
        <v>2862</v>
      </c>
      <c r="G1030" s="328" t="s">
        <v>673</v>
      </c>
      <c r="H1030" s="328" t="s">
        <v>2863</v>
      </c>
      <c r="I1030" s="258" t="s">
        <v>2864</v>
      </c>
      <c r="J1030" s="259" t="s">
        <v>1026</v>
      </c>
      <c r="K1030" s="260" t="s">
        <v>4620</v>
      </c>
      <c r="L1030" s="328"/>
      <c r="M1030" s="343"/>
      <c r="N1030" s="173" t="s">
        <v>679</v>
      </c>
      <c r="O1030" s="173" t="s">
        <v>225</v>
      </c>
      <c r="P1030" s="262" t="str">
        <f t="shared" si="1"/>
        <v>IN-BLR-ANANTA-VAV-602_4</v>
      </c>
      <c r="Q1030" s="173" t="s">
        <v>4621</v>
      </c>
      <c r="R1030" s="328" t="str">
        <f>IFS(C1030="","",C1030="n/a","N/A",LEN(C1030),Concatenate("{",char(34),"asset",char(34),":{",char(34),"guid",char(34),":",char(34),Q1030,char(34),",",char(34),"site",char(34),":",char(34),LOWER('2-Building'!$B$4),char(34),",",char(34),"name",char(34),":",char(34),LOWER(C1030),char(34),"}}"))</f>
        <v>{"asset":{"guid":"uuid://be432084-4105-494d-909a-6da45d4c333b","site":"in-blr-ananta","name":"vav-602"}}</v>
      </c>
      <c r="S1030" s="237" t="s">
        <v>2866</v>
      </c>
      <c r="T1030" s="330"/>
      <c r="U1030" s="330"/>
      <c r="V1030" s="331"/>
      <c r="W1030" s="344"/>
      <c r="X1030" s="341"/>
      <c r="Y1030" s="33" t="s">
        <v>2867</v>
      </c>
      <c r="Z1030" s="258">
        <v>120602.0</v>
      </c>
      <c r="AA1030" s="334">
        <v>11565.0</v>
      </c>
      <c r="AB1030" s="341"/>
      <c r="AC1030" s="341"/>
      <c r="AD1030" s="343"/>
      <c r="AE1030" s="331"/>
      <c r="AF1030" s="348"/>
      <c r="AG1030" s="337"/>
      <c r="AH1030" s="341"/>
      <c r="AI1030" s="341"/>
      <c r="AJ1030" s="341"/>
      <c r="AK1030" s="341"/>
      <c r="AL1030" s="341"/>
      <c r="AM1030" s="338"/>
      <c r="AN1030" s="341"/>
      <c r="AO1030" s="341"/>
      <c r="AP1030" s="341"/>
      <c r="AQ1030" s="341"/>
      <c r="AR1030" s="341"/>
      <c r="AS1030" s="341"/>
      <c r="AT1030" s="341"/>
      <c r="AU1030" s="343"/>
      <c r="AV1030" s="341"/>
      <c r="AW1030" s="269" t="s">
        <v>2198</v>
      </c>
      <c r="AX1030" s="334" t="s">
        <v>2869</v>
      </c>
      <c r="AY1030" s="270" t="s">
        <v>695</v>
      </c>
      <c r="AZ1030" s="173" t="s">
        <v>2866</v>
      </c>
      <c r="BA1030" s="265">
        <v>10.0</v>
      </c>
      <c r="BB1030" s="174" t="s">
        <v>245</v>
      </c>
      <c r="BC1030" s="341"/>
      <c r="BD1030" s="308"/>
      <c r="BE1030" s="347"/>
      <c r="BF1030" s="274" t="str">
        <f>IFERROR(__xludf.DUMMYFUNCTION("LOWER(Regexreplace(to_text(E1030),""[^A-Za-z0-9]"","""")&amp;""_""&amp;Regexreplace(to_text(F1030),""[^A-Za-z0-9]"",""""))"),"neptronic_evcbseries")</f>
        <v>neptronic_evcbseries</v>
      </c>
      <c r="BG1030" s="275" t="str">
        <f>IFERROR(__xludf.DUMMYFUNCTION("upper(Regexreplace(to_text(E1030),""[^A-Za-z0-9]"","""")&amp;""-""&amp;Regexreplace(to_text(F1030),""[^A-Za-z0-9]"",""""))"),"NEPTRONIC-EVCBSERIES")</f>
        <v>NEPTRONIC-EVCBSERIES</v>
      </c>
    </row>
    <row r="1031" ht="30.0" customHeight="1">
      <c r="A1031" s="173">
        <v>1023.0</v>
      </c>
      <c r="B1031" s="237" t="s">
        <v>670</v>
      </c>
      <c r="C1031" s="257" t="s">
        <v>4622</v>
      </c>
      <c r="D1031" s="173" t="s">
        <v>4622</v>
      </c>
      <c r="E1031" s="174" t="s">
        <v>2861</v>
      </c>
      <c r="F1031" s="173" t="s">
        <v>2862</v>
      </c>
      <c r="G1031" s="328" t="s">
        <v>673</v>
      </c>
      <c r="H1031" s="328" t="s">
        <v>2863</v>
      </c>
      <c r="I1031" s="258" t="s">
        <v>2864</v>
      </c>
      <c r="J1031" s="259" t="s">
        <v>1026</v>
      </c>
      <c r="K1031" s="260" t="s">
        <v>4623</v>
      </c>
      <c r="L1031" s="328"/>
      <c r="M1031" s="343"/>
      <c r="N1031" s="173" t="s">
        <v>679</v>
      </c>
      <c r="O1031" s="173" t="s">
        <v>225</v>
      </c>
      <c r="P1031" s="262" t="str">
        <f t="shared" si="1"/>
        <v>IN-BLR-ANANTA-VAV-603_4</v>
      </c>
      <c r="Q1031" s="173" t="s">
        <v>4624</v>
      </c>
      <c r="R1031" s="328" t="str">
        <f>IFS(C1031="","",C1031="n/a","N/A",LEN(C1031),Concatenate("{",char(34),"asset",char(34),":{",char(34),"guid",char(34),":",char(34),Q1031,char(34),",",char(34),"site",char(34),":",char(34),LOWER('2-Building'!$B$4),char(34),",",char(34),"name",char(34),":",char(34),LOWER(C1031),char(34),"}}"))</f>
        <v>{"asset":{"guid":"uuid://c9fbc427-ffa9-4560-83ec-73949fac848d","site":"in-blr-ananta","name":"vav-603"}}</v>
      </c>
      <c r="S1031" s="237" t="s">
        <v>2866</v>
      </c>
      <c r="T1031" s="330"/>
      <c r="U1031" s="330"/>
      <c r="V1031" s="331"/>
      <c r="W1031" s="344"/>
      <c r="X1031" s="341"/>
      <c r="Y1031" s="33" t="s">
        <v>2867</v>
      </c>
      <c r="Z1031" s="258">
        <v>120603.0</v>
      </c>
      <c r="AA1031" s="334">
        <v>11565.0</v>
      </c>
      <c r="AB1031" s="341"/>
      <c r="AC1031" s="341"/>
      <c r="AD1031" s="343"/>
      <c r="AE1031" s="331"/>
      <c r="AF1031" s="348"/>
      <c r="AG1031" s="337"/>
      <c r="AH1031" s="341"/>
      <c r="AI1031" s="341"/>
      <c r="AJ1031" s="341"/>
      <c r="AK1031" s="341"/>
      <c r="AL1031" s="341"/>
      <c r="AM1031" s="338"/>
      <c r="AN1031" s="341"/>
      <c r="AO1031" s="341"/>
      <c r="AP1031" s="341"/>
      <c r="AQ1031" s="341"/>
      <c r="AR1031" s="341"/>
      <c r="AS1031" s="341"/>
      <c r="AT1031" s="341"/>
      <c r="AU1031" s="343"/>
      <c r="AV1031" s="341"/>
      <c r="AW1031" s="269" t="s">
        <v>2198</v>
      </c>
      <c r="AX1031" s="334" t="s">
        <v>2869</v>
      </c>
      <c r="AY1031" s="270" t="s">
        <v>695</v>
      </c>
      <c r="AZ1031" s="173" t="s">
        <v>2866</v>
      </c>
      <c r="BA1031" s="265">
        <v>10.0</v>
      </c>
      <c r="BB1031" s="174" t="s">
        <v>245</v>
      </c>
      <c r="BC1031" s="341"/>
      <c r="BD1031" s="308"/>
      <c r="BE1031" s="347"/>
      <c r="BF1031" s="274" t="str">
        <f>IFERROR(__xludf.DUMMYFUNCTION("LOWER(Regexreplace(to_text(E1031),""[^A-Za-z0-9]"","""")&amp;""_""&amp;Regexreplace(to_text(F1031),""[^A-Za-z0-9]"",""""))"),"neptronic_evcbseries")</f>
        <v>neptronic_evcbseries</v>
      </c>
      <c r="BG1031" s="275" t="str">
        <f>IFERROR(__xludf.DUMMYFUNCTION("upper(Regexreplace(to_text(E1031),""[^A-Za-z0-9]"","""")&amp;""-""&amp;Regexreplace(to_text(F1031),""[^A-Za-z0-9]"",""""))"),"NEPTRONIC-EVCBSERIES")</f>
        <v>NEPTRONIC-EVCBSERIES</v>
      </c>
    </row>
    <row r="1032" ht="30.0" customHeight="1">
      <c r="A1032" s="258">
        <v>1024.0</v>
      </c>
      <c r="B1032" s="237" t="s">
        <v>670</v>
      </c>
      <c r="C1032" s="257" t="s">
        <v>4625</v>
      </c>
      <c r="D1032" s="173" t="s">
        <v>4625</v>
      </c>
      <c r="E1032" s="174" t="s">
        <v>2861</v>
      </c>
      <c r="F1032" s="173" t="s">
        <v>2862</v>
      </c>
      <c r="G1032" s="328" t="s">
        <v>673</v>
      </c>
      <c r="H1032" s="328" t="s">
        <v>2863</v>
      </c>
      <c r="I1032" s="258" t="s">
        <v>2864</v>
      </c>
      <c r="J1032" s="259" t="s">
        <v>1026</v>
      </c>
      <c r="K1032" s="260" t="s">
        <v>4626</v>
      </c>
      <c r="L1032" s="328"/>
      <c r="M1032" s="343"/>
      <c r="N1032" s="173" t="s">
        <v>679</v>
      </c>
      <c r="O1032" s="173" t="s">
        <v>225</v>
      </c>
      <c r="P1032" s="262" t="str">
        <f t="shared" si="1"/>
        <v>IN-BLR-ANANTA-VAV-604_4</v>
      </c>
      <c r="Q1032" s="173" t="s">
        <v>4627</v>
      </c>
      <c r="R1032" s="328" t="str">
        <f>IFS(C1032="","",C1032="n/a","N/A",LEN(C1032),Concatenate("{",char(34),"asset",char(34),":{",char(34),"guid",char(34),":",char(34),Q1032,char(34),",",char(34),"site",char(34),":",char(34),LOWER('2-Building'!$B$4),char(34),",",char(34),"name",char(34),":",char(34),LOWER(C1032),char(34),"}}"))</f>
        <v>{"asset":{"guid":"uuid://cee35a81-de8c-44d7-b883-83afb9180c35","site":"in-blr-ananta","name":"vav-604"}}</v>
      </c>
      <c r="S1032" s="237" t="s">
        <v>2866</v>
      </c>
      <c r="T1032" s="330"/>
      <c r="U1032" s="330"/>
      <c r="V1032" s="331"/>
      <c r="W1032" s="344"/>
      <c r="X1032" s="341"/>
      <c r="Y1032" s="33" t="s">
        <v>2867</v>
      </c>
      <c r="Z1032" s="258">
        <v>120604.0</v>
      </c>
      <c r="AA1032" s="334">
        <v>11565.0</v>
      </c>
      <c r="AB1032" s="341"/>
      <c r="AC1032" s="341"/>
      <c r="AD1032" s="343"/>
      <c r="AE1032" s="331"/>
      <c r="AF1032" s="348"/>
      <c r="AG1032" s="337"/>
      <c r="AH1032" s="341"/>
      <c r="AI1032" s="341"/>
      <c r="AJ1032" s="341"/>
      <c r="AK1032" s="341"/>
      <c r="AL1032" s="341"/>
      <c r="AM1032" s="338"/>
      <c r="AN1032" s="341"/>
      <c r="AO1032" s="341"/>
      <c r="AP1032" s="341"/>
      <c r="AQ1032" s="341"/>
      <c r="AR1032" s="341"/>
      <c r="AS1032" s="341"/>
      <c r="AT1032" s="341"/>
      <c r="AU1032" s="343"/>
      <c r="AV1032" s="341"/>
      <c r="AW1032" s="269" t="s">
        <v>2198</v>
      </c>
      <c r="AX1032" s="334" t="s">
        <v>2869</v>
      </c>
      <c r="AY1032" s="270" t="s">
        <v>695</v>
      </c>
      <c r="AZ1032" s="173" t="s">
        <v>2866</v>
      </c>
      <c r="BA1032" s="265">
        <v>10.0</v>
      </c>
      <c r="BB1032" s="174" t="s">
        <v>245</v>
      </c>
      <c r="BC1032" s="341"/>
      <c r="BD1032" s="308"/>
      <c r="BE1032" s="347"/>
      <c r="BF1032" s="274" t="str">
        <f>IFERROR(__xludf.DUMMYFUNCTION("LOWER(Regexreplace(to_text(E1032),""[^A-Za-z0-9]"","""")&amp;""_""&amp;Regexreplace(to_text(F1032),""[^A-Za-z0-9]"",""""))"),"neptronic_evcbseries")</f>
        <v>neptronic_evcbseries</v>
      </c>
      <c r="BG1032" s="275" t="str">
        <f>IFERROR(__xludf.DUMMYFUNCTION("upper(Regexreplace(to_text(E1032),""[^A-Za-z0-9]"","""")&amp;""-""&amp;Regexreplace(to_text(F1032),""[^A-Za-z0-9]"",""""))"),"NEPTRONIC-EVCBSERIES")</f>
        <v>NEPTRONIC-EVCBSERIES</v>
      </c>
    </row>
    <row r="1033" ht="30.0" customHeight="1">
      <c r="A1033" s="173">
        <v>1025.0</v>
      </c>
      <c r="B1033" s="237" t="s">
        <v>670</v>
      </c>
      <c r="C1033" s="257" t="s">
        <v>4628</v>
      </c>
      <c r="D1033" s="173" t="s">
        <v>4628</v>
      </c>
      <c r="E1033" s="174" t="s">
        <v>2861</v>
      </c>
      <c r="F1033" s="173" t="s">
        <v>2862</v>
      </c>
      <c r="G1033" s="328" t="s">
        <v>673</v>
      </c>
      <c r="H1033" s="328" t="s">
        <v>2863</v>
      </c>
      <c r="I1033" s="258" t="s">
        <v>2864</v>
      </c>
      <c r="J1033" s="259" t="s">
        <v>1026</v>
      </c>
      <c r="K1033" s="260" t="s">
        <v>4629</v>
      </c>
      <c r="L1033" s="328"/>
      <c r="M1033" s="343"/>
      <c r="N1033" s="173" t="s">
        <v>679</v>
      </c>
      <c r="O1033" s="173" t="s">
        <v>225</v>
      </c>
      <c r="P1033" s="262" t="str">
        <f t="shared" si="1"/>
        <v>IN-BLR-ANANTA-VAV-605_4</v>
      </c>
      <c r="Q1033" s="173" t="s">
        <v>4630</v>
      </c>
      <c r="R1033" s="328" t="str">
        <f>IFS(C1033="","",C1033="n/a","N/A",LEN(C1033),Concatenate("{",char(34),"asset",char(34),":{",char(34),"guid",char(34),":",char(34),Q1033,char(34),",",char(34),"site",char(34),":",char(34),LOWER('2-Building'!$B$4),char(34),",",char(34),"name",char(34),":",char(34),LOWER(C1033),char(34),"}}"))</f>
        <v>{"asset":{"guid":"uuid://16286ea4-6a17-4f05-a549-71dfd8916903","site":"in-blr-ananta","name":"vav-605"}}</v>
      </c>
      <c r="S1033" s="237" t="s">
        <v>2866</v>
      </c>
      <c r="T1033" s="330"/>
      <c r="U1033" s="330"/>
      <c r="V1033" s="331"/>
      <c r="W1033" s="344"/>
      <c r="X1033" s="341"/>
      <c r="Y1033" s="33" t="s">
        <v>2867</v>
      </c>
      <c r="Z1033" s="258">
        <v>120605.0</v>
      </c>
      <c r="AA1033" s="334">
        <v>11565.0</v>
      </c>
      <c r="AB1033" s="341"/>
      <c r="AC1033" s="341"/>
      <c r="AD1033" s="343"/>
      <c r="AE1033" s="331"/>
      <c r="AF1033" s="348"/>
      <c r="AG1033" s="337"/>
      <c r="AH1033" s="341"/>
      <c r="AI1033" s="341"/>
      <c r="AJ1033" s="341"/>
      <c r="AK1033" s="341"/>
      <c r="AL1033" s="341"/>
      <c r="AM1033" s="338"/>
      <c r="AN1033" s="341"/>
      <c r="AO1033" s="341"/>
      <c r="AP1033" s="341"/>
      <c r="AQ1033" s="341"/>
      <c r="AR1033" s="341"/>
      <c r="AS1033" s="341"/>
      <c r="AT1033" s="341"/>
      <c r="AU1033" s="343"/>
      <c r="AV1033" s="341"/>
      <c r="AW1033" s="269" t="s">
        <v>2198</v>
      </c>
      <c r="AX1033" s="334" t="s">
        <v>2869</v>
      </c>
      <c r="AY1033" s="270" t="s">
        <v>695</v>
      </c>
      <c r="AZ1033" s="173" t="s">
        <v>2866</v>
      </c>
      <c r="BA1033" s="265">
        <v>10.0</v>
      </c>
      <c r="BB1033" s="174" t="s">
        <v>245</v>
      </c>
      <c r="BC1033" s="341"/>
      <c r="BD1033" s="308"/>
      <c r="BE1033" s="347"/>
      <c r="BF1033" s="274" t="str">
        <f>IFERROR(__xludf.DUMMYFUNCTION("LOWER(Regexreplace(to_text(E1033),""[^A-Za-z0-9]"","""")&amp;""_""&amp;Regexreplace(to_text(F1033),""[^A-Za-z0-9]"",""""))"),"neptronic_evcbseries")</f>
        <v>neptronic_evcbseries</v>
      </c>
      <c r="BG1033" s="275" t="str">
        <f>IFERROR(__xludf.DUMMYFUNCTION("upper(Regexreplace(to_text(E1033),""[^A-Za-z0-9]"","""")&amp;""-""&amp;Regexreplace(to_text(F1033),""[^A-Za-z0-9]"",""""))"),"NEPTRONIC-EVCBSERIES")</f>
        <v>NEPTRONIC-EVCBSERIES</v>
      </c>
    </row>
    <row r="1034" ht="30.0" customHeight="1">
      <c r="A1034" s="258">
        <v>1026.0</v>
      </c>
      <c r="B1034" s="237" t="s">
        <v>670</v>
      </c>
      <c r="C1034" s="257" t="s">
        <v>4631</v>
      </c>
      <c r="D1034" s="173" t="s">
        <v>4631</v>
      </c>
      <c r="E1034" s="174" t="s">
        <v>2861</v>
      </c>
      <c r="F1034" s="173" t="s">
        <v>2862</v>
      </c>
      <c r="G1034" s="328" t="s">
        <v>673</v>
      </c>
      <c r="H1034" s="328" t="s">
        <v>2863</v>
      </c>
      <c r="I1034" s="258" t="s">
        <v>2864</v>
      </c>
      <c r="J1034" s="259" t="s">
        <v>1026</v>
      </c>
      <c r="K1034" s="260" t="s">
        <v>4632</v>
      </c>
      <c r="L1034" s="328"/>
      <c r="M1034" s="343"/>
      <c r="N1034" s="173" t="s">
        <v>679</v>
      </c>
      <c r="O1034" s="173" t="s">
        <v>225</v>
      </c>
      <c r="P1034" s="262" t="str">
        <f t="shared" si="1"/>
        <v>IN-BLR-ANANTA-VAV-606_4</v>
      </c>
      <c r="Q1034" s="173" t="s">
        <v>4633</v>
      </c>
      <c r="R1034" s="328" t="str">
        <f>IFS(C1034="","",C1034="n/a","N/A",LEN(C1034),Concatenate("{",char(34),"asset",char(34),":{",char(34),"guid",char(34),":",char(34),Q1034,char(34),",",char(34),"site",char(34),":",char(34),LOWER('2-Building'!$B$4),char(34),",",char(34),"name",char(34),":",char(34),LOWER(C1034),char(34),"}}"))</f>
        <v>{"asset":{"guid":"uuid://50ba9f42-344b-4303-a616-9e3b12752855","site":"in-blr-ananta","name":"vav-606"}}</v>
      </c>
      <c r="S1034" s="237" t="s">
        <v>2866</v>
      </c>
      <c r="T1034" s="330"/>
      <c r="U1034" s="330"/>
      <c r="V1034" s="331"/>
      <c r="W1034" s="344"/>
      <c r="X1034" s="341"/>
      <c r="Y1034" s="33" t="s">
        <v>2867</v>
      </c>
      <c r="Z1034" s="258">
        <v>120606.0</v>
      </c>
      <c r="AA1034" s="334">
        <v>11565.0</v>
      </c>
      <c r="AB1034" s="341"/>
      <c r="AC1034" s="341"/>
      <c r="AD1034" s="343"/>
      <c r="AE1034" s="331"/>
      <c r="AF1034" s="348"/>
      <c r="AG1034" s="337"/>
      <c r="AH1034" s="341"/>
      <c r="AI1034" s="341"/>
      <c r="AJ1034" s="341"/>
      <c r="AK1034" s="341"/>
      <c r="AL1034" s="341"/>
      <c r="AM1034" s="338"/>
      <c r="AN1034" s="341"/>
      <c r="AO1034" s="341"/>
      <c r="AP1034" s="341"/>
      <c r="AQ1034" s="341"/>
      <c r="AR1034" s="341"/>
      <c r="AS1034" s="341"/>
      <c r="AT1034" s="341"/>
      <c r="AU1034" s="343"/>
      <c r="AV1034" s="341"/>
      <c r="AW1034" s="269" t="s">
        <v>2198</v>
      </c>
      <c r="AX1034" s="334" t="s">
        <v>2869</v>
      </c>
      <c r="AY1034" s="270" t="s">
        <v>695</v>
      </c>
      <c r="AZ1034" s="173" t="s">
        <v>2866</v>
      </c>
      <c r="BA1034" s="265">
        <v>10.0</v>
      </c>
      <c r="BB1034" s="174" t="s">
        <v>245</v>
      </c>
      <c r="BC1034" s="341"/>
      <c r="BD1034" s="308"/>
      <c r="BE1034" s="347"/>
      <c r="BF1034" s="274" t="str">
        <f>IFERROR(__xludf.DUMMYFUNCTION("LOWER(Regexreplace(to_text(E1034),""[^A-Za-z0-9]"","""")&amp;""_""&amp;Regexreplace(to_text(F1034),""[^A-Za-z0-9]"",""""))"),"neptronic_evcbseries")</f>
        <v>neptronic_evcbseries</v>
      </c>
      <c r="BG1034" s="275" t="str">
        <f>IFERROR(__xludf.DUMMYFUNCTION("upper(Regexreplace(to_text(E1034),""[^A-Za-z0-9]"","""")&amp;""-""&amp;Regexreplace(to_text(F1034),""[^A-Za-z0-9]"",""""))"),"NEPTRONIC-EVCBSERIES")</f>
        <v>NEPTRONIC-EVCBSERIES</v>
      </c>
    </row>
    <row r="1035" ht="30.0" customHeight="1">
      <c r="A1035" s="173">
        <v>1027.0</v>
      </c>
      <c r="B1035" s="237" t="s">
        <v>670</v>
      </c>
      <c r="C1035" s="257" t="s">
        <v>4634</v>
      </c>
      <c r="D1035" s="173" t="s">
        <v>4634</v>
      </c>
      <c r="E1035" s="174" t="s">
        <v>2861</v>
      </c>
      <c r="F1035" s="173" t="s">
        <v>2862</v>
      </c>
      <c r="G1035" s="328" t="s">
        <v>673</v>
      </c>
      <c r="H1035" s="328" t="s">
        <v>2863</v>
      </c>
      <c r="I1035" s="258" t="s">
        <v>2864</v>
      </c>
      <c r="J1035" s="259" t="s">
        <v>1026</v>
      </c>
      <c r="K1035" s="260" t="s">
        <v>4635</v>
      </c>
      <c r="L1035" s="328"/>
      <c r="M1035" s="343"/>
      <c r="N1035" s="173" t="s">
        <v>679</v>
      </c>
      <c r="O1035" s="173" t="s">
        <v>225</v>
      </c>
      <c r="P1035" s="262" t="str">
        <f t="shared" si="1"/>
        <v>IN-BLR-ANANTA-VAV-607_4</v>
      </c>
      <c r="Q1035" s="173" t="s">
        <v>4636</v>
      </c>
      <c r="R1035" s="328" t="str">
        <f>IFS(C1035="","",C1035="n/a","N/A",LEN(C1035),Concatenate("{",char(34),"asset",char(34),":{",char(34),"guid",char(34),":",char(34),Q1035,char(34),",",char(34),"site",char(34),":",char(34),LOWER('2-Building'!$B$4),char(34),",",char(34),"name",char(34),":",char(34),LOWER(C1035),char(34),"}}"))</f>
        <v>{"asset":{"guid":"uuid://aadc5624-d5f2-4536-84bb-370dc4572c8e","site":"in-blr-ananta","name":"vav-607"}}</v>
      </c>
      <c r="S1035" s="237" t="s">
        <v>2866</v>
      </c>
      <c r="T1035" s="330"/>
      <c r="U1035" s="330"/>
      <c r="V1035" s="331"/>
      <c r="W1035" s="344"/>
      <c r="X1035" s="341"/>
      <c r="Y1035" s="33" t="s">
        <v>2867</v>
      </c>
      <c r="Z1035" s="258">
        <v>120607.0</v>
      </c>
      <c r="AA1035" s="334">
        <v>11565.0</v>
      </c>
      <c r="AB1035" s="341"/>
      <c r="AC1035" s="341"/>
      <c r="AD1035" s="343"/>
      <c r="AE1035" s="331"/>
      <c r="AF1035" s="348"/>
      <c r="AG1035" s="337"/>
      <c r="AH1035" s="341"/>
      <c r="AI1035" s="341"/>
      <c r="AJ1035" s="341"/>
      <c r="AK1035" s="341"/>
      <c r="AL1035" s="341"/>
      <c r="AM1035" s="338"/>
      <c r="AN1035" s="341"/>
      <c r="AO1035" s="341"/>
      <c r="AP1035" s="341"/>
      <c r="AQ1035" s="341"/>
      <c r="AR1035" s="341"/>
      <c r="AS1035" s="341"/>
      <c r="AT1035" s="341"/>
      <c r="AU1035" s="343"/>
      <c r="AV1035" s="341"/>
      <c r="AW1035" s="269" t="s">
        <v>2198</v>
      </c>
      <c r="AX1035" s="334" t="s">
        <v>2869</v>
      </c>
      <c r="AY1035" s="270" t="s">
        <v>695</v>
      </c>
      <c r="AZ1035" s="173" t="s">
        <v>2866</v>
      </c>
      <c r="BA1035" s="265">
        <v>10.0</v>
      </c>
      <c r="BB1035" s="174" t="s">
        <v>245</v>
      </c>
      <c r="BC1035" s="341"/>
      <c r="BD1035" s="308"/>
      <c r="BE1035" s="347"/>
      <c r="BF1035" s="274" t="str">
        <f>IFERROR(__xludf.DUMMYFUNCTION("LOWER(Regexreplace(to_text(E1035),""[^A-Za-z0-9]"","""")&amp;""_""&amp;Regexreplace(to_text(F1035),""[^A-Za-z0-9]"",""""))"),"neptronic_evcbseries")</f>
        <v>neptronic_evcbseries</v>
      </c>
      <c r="BG1035" s="275" t="str">
        <f>IFERROR(__xludf.DUMMYFUNCTION("upper(Regexreplace(to_text(E1035),""[^A-Za-z0-9]"","""")&amp;""-""&amp;Regexreplace(to_text(F1035),""[^A-Za-z0-9]"",""""))"),"NEPTRONIC-EVCBSERIES")</f>
        <v>NEPTRONIC-EVCBSERIES</v>
      </c>
    </row>
    <row r="1036" ht="30.0" customHeight="1">
      <c r="A1036" s="258">
        <v>1028.0</v>
      </c>
      <c r="B1036" s="237" t="s">
        <v>670</v>
      </c>
      <c r="C1036" s="257" t="s">
        <v>4637</v>
      </c>
      <c r="D1036" s="173" t="s">
        <v>4637</v>
      </c>
      <c r="E1036" s="174" t="s">
        <v>2861</v>
      </c>
      <c r="F1036" s="173" t="s">
        <v>2862</v>
      </c>
      <c r="G1036" s="328" t="s">
        <v>673</v>
      </c>
      <c r="H1036" s="328" t="s">
        <v>2863</v>
      </c>
      <c r="I1036" s="258" t="s">
        <v>2864</v>
      </c>
      <c r="J1036" s="259" t="s">
        <v>1026</v>
      </c>
      <c r="K1036" s="260" t="s">
        <v>3643</v>
      </c>
      <c r="L1036" s="328"/>
      <c r="M1036" s="343"/>
      <c r="N1036" s="173" t="s">
        <v>679</v>
      </c>
      <c r="O1036" s="173" t="s">
        <v>225</v>
      </c>
      <c r="P1036" s="262" t="str">
        <f t="shared" si="1"/>
        <v>IN-BLR-ANANTA-VAV-608_4</v>
      </c>
      <c r="Q1036" s="173" t="s">
        <v>4638</v>
      </c>
      <c r="R1036" s="328" t="str">
        <f>IFS(C1036="","",C1036="n/a","N/A",LEN(C1036),Concatenate("{",char(34),"asset",char(34),":{",char(34),"guid",char(34),":",char(34),Q1036,char(34),",",char(34),"site",char(34),":",char(34),LOWER('2-Building'!$B$4),char(34),",",char(34),"name",char(34),":",char(34),LOWER(C1036),char(34),"}}"))</f>
        <v>{"asset":{"guid":"uuid://70d02bf0-aefd-4581-8e4f-5a00cdb9bfba","site":"in-blr-ananta","name":"vav-608"}}</v>
      </c>
      <c r="S1036" s="237" t="s">
        <v>2866</v>
      </c>
      <c r="T1036" s="330"/>
      <c r="U1036" s="330"/>
      <c r="V1036" s="331"/>
      <c r="W1036" s="344"/>
      <c r="X1036" s="341"/>
      <c r="Y1036" s="33" t="s">
        <v>2867</v>
      </c>
      <c r="Z1036" s="258">
        <v>120608.0</v>
      </c>
      <c r="AA1036" s="334">
        <v>11564.0</v>
      </c>
      <c r="AB1036" s="341"/>
      <c r="AC1036" s="341"/>
      <c r="AD1036" s="343"/>
      <c r="AE1036" s="331"/>
      <c r="AF1036" s="348"/>
      <c r="AG1036" s="337"/>
      <c r="AH1036" s="341"/>
      <c r="AI1036" s="341"/>
      <c r="AJ1036" s="341"/>
      <c r="AK1036" s="341"/>
      <c r="AL1036" s="341"/>
      <c r="AM1036" s="338"/>
      <c r="AN1036" s="341"/>
      <c r="AO1036" s="341"/>
      <c r="AP1036" s="341"/>
      <c r="AQ1036" s="341"/>
      <c r="AR1036" s="341"/>
      <c r="AS1036" s="341"/>
      <c r="AT1036" s="341"/>
      <c r="AU1036" s="343"/>
      <c r="AV1036" s="341"/>
      <c r="AW1036" s="269" t="s">
        <v>2198</v>
      </c>
      <c r="AX1036" s="334" t="s">
        <v>2869</v>
      </c>
      <c r="AY1036" s="270" t="s">
        <v>695</v>
      </c>
      <c r="AZ1036" s="173" t="s">
        <v>2866</v>
      </c>
      <c r="BA1036" s="265">
        <v>10.0</v>
      </c>
      <c r="BB1036" s="174" t="s">
        <v>245</v>
      </c>
      <c r="BC1036" s="341"/>
      <c r="BD1036" s="308"/>
      <c r="BE1036" s="347"/>
      <c r="BF1036" s="274" t="str">
        <f>IFERROR(__xludf.DUMMYFUNCTION("LOWER(Regexreplace(to_text(E1036),""[^A-Za-z0-9]"","""")&amp;""_""&amp;Regexreplace(to_text(F1036),""[^A-Za-z0-9]"",""""))"),"neptronic_evcbseries")</f>
        <v>neptronic_evcbseries</v>
      </c>
      <c r="BG1036" s="275" t="str">
        <f>IFERROR(__xludf.DUMMYFUNCTION("upper(Regexreplace(to_text(E1036),""[^A-Za-z0-9]"","""")&amp;""-""&amp;Regexreplace(to_text(F1036),""[^A-Za-z0-9]"",""""))"),"NEPTRONIC-EVCBSERIES")</f>
        <v>NEPTRONIC-EVCBSERIES</v>
      </c>
    </row>
    <row r="1037" ht="30.0" customHeight="1">
      <c r="A1037" s="173">
        <v>1029.0</v>
      </c>
      <c r="B1037" s="237" t="s">
        <v>670</v>
      </c>
      <c r="C1037" s="257" t="s">
        <v>4639</v>
      </c>
      <c r="D1037" s="173" t="s">
        <v>4639</v>
      </c>
      <c r="E1037" s="174" t="s">
        <v>2861</v>
      </c>
      <c r="F1037" s="173" t="s">
        <v>2862</v>
      </c>
      <c r="G1037" s="328" t="s">
        <v>673</v>
      </c>
      <c r="H1037" s="328" t="s">
        <v>2863</v>
      </c>
      <c r="I1037" s="258" t="s">
        <v>2864</v>
      </c>
      <c r="J1037" s="259" t="s">
        <v>1026</v>
      </c>
      <c r="K1037" s="260" t="s">
        <v>3643</v>
      </c>
      <c r="L1037" s="328"/>
      <c r="M1037" s="343"/>
      <c r="N1037" s="173" t="s">
        <v>679</v>
      </c>
      <c r="O1037" s="173" t="s">
        <v>225</v>
      </c>
      <c r="P1037" s="262" t="str">
        <f t="shared" si="1"/>
        <v>IN-BLR-ANANTA-VAV-609_4</v>
      </c>
      <c r="Q1037" s="173" t="s">
        <v>4640</v>
      </c>
      <c r="R1037" s="328" t="str">
        <f>IFS(C1037="","",C1037="n/a","N/A",LEN(C1037),Concatenate("{",char(34),"asset",char(34),":{",char(34),"guid",char(34),":",char(34),Q1037,char(34),",",char(34),"site",char(34),":",char(34),LOWER('2-Building'!$B$4),char(34),",",char(34),"name",char(34),":",char(34),LOWER(C1037),char(34),"}}"))</f>
        <v>{"asset":{"guid":"uuid://4ffeade2-b171-4d73-804a-d362cd8a021d","site":"in-blr-ananta","name":"vav-609"}}</v>
      </c>
      <c r="S1037" s="237" t="s">
        <v>2866</v>
      </c>
      <c r="T1037" s="330"/>
      <c r="U1037" s="330"/>
      <c r="V1037" s="331"/>
      <c r="W1037" s="344"/>
      <c r="X1037" s="341"/>
      <c r="Y1037" s="33" t="s">
        <v>2867</v>
      </c>
      <c r="Z1037" s="258">
        <v>120609.0</v>
      </c>
      <c r="AA1037" s="334">
        <v>11564.0</v>
      </c>
      <c r="AB1037" s="341"/>
      <c r="AC1037" s="341"/>
      <c r="AD1037" s="343"/>
      <c r="AE1037" s="331"/>
      <c r="AF1037" s="348"/>
      <c r="AG1037" s="337"/>
      <c r="AH1037" s="341"/>
      <c r="AI1037" s="341"/>
      <c r="AJ1037" s="341"/>
      <c r="AK1037" s="341"/>
      <c r="AL1037" s="341"/>
      <c r="AM1037" s="338"/>
      <c r="AN1037" s="341"/>
      <c r="AO1037" s="341"/>
      <c r="AP1037" s="341"/>
      <c r="AQ1037" s="341"/>
      <c r="AR1037" s="341"/>
      <c r="AS1037" s="341"/>
      <c r="AT1037" s="341"/>
      <c r="AU1037" s="343"/>
      <c r="AV1037" s="341"/>
      <c r="AW1037" s="269" t="s">
        <v>2198</v>
      </c>
      <c r="AX1037" s="334" t="s">
        <v>2869</v>
      </c>
      <c r="AY1037" s="270" t="s">
        <v>695</v>
      </c>
      <c r="AZ1037" s="173" t="s">
        <v>2866</v>
      </c>
      <c r="BA1037" s="265">
        <v>10.0</v>
      </c>
      <c r="BB1037" s="174" t="s">
        <v>245</v>
      </c>
      <c r="BC1037" s="341"/>
      <c r="BD1037" s="308"/>
      <c r="BE1037" s="347"/>
      <c r="BF1037" s="274" t="str">
        <f>IFERROR(__xludf.DUMMYFUNCTION("LOWER(Regexreplace(to_text(E1037),""[^A-Za-z0-9]"","""")&amp;""_""&amp;Regexreplace(to_text(F1037),""[^A-Za-z0-9]"",""""))"),"neptronic_evcbseries")</f>
        <v>neptronic_evcbseries</v>
      </c>
      <c r="BG1037" s="275" t="str">
        <f>IFERROR(__xludf.DUMMYFUNCTION("upper(Regexreplace(to_text(E1037),""[^A-Za-z0-9]"","""")&amp;""-""&amp;Regexreplace(to_text(F1037),""[^A-Za-z0-9]"",""""))"),"NEPTRONIC-EVCBSERIES")</f>
        <v>NEPTRONIC-EVCBSERIES</v>
      </c>
    </row>
    <row r="1038" ht="30.0" customHeight="1">
      <c r="A1038" s="258">
        <v>1030.0</v>
      </c>
      <c r="B1038" s="237" t="s">
        <v>670</v>
      </c>
      <c r="C1038" s="257" t="s">
        <v>4641</v>
      </c>
      <c r="D1038" s="173" t="s">
        <v>4641</v>
      </c>
      <c r="E1038" s="174" t="s">
        <v>2861</v>
      </c>
      <c r="F1038" s="173" t="s">
        <v>2862</v>
      </c>
      <c r="G1038" s="328" t="s">
        <v>673</v>
      </c>
      <c r="H1038" s="328" t="s">
        <v>2863</v>
      </c>
      <c r="I1038" s="258" t="s">
        <v>2864</v>
      </c>
      <c r="J1038" s="259" t="s">
        <v>1026</v>
      </c>
      <c r="K1038" s="260" t="s">
        <v>4642</v>
      </c>
      <c r="L1038" s="328"/>
      <c r="M1038" s="343"/>
      <c r="N1038" s="173" t="s">
        <v>679</v>
      </c>
      <c r="O1038" s="173" t="s">
        <v>225</v>
      </c>
      <c r="P1038" s="262" t="str">
        <f t="shared" si="1"/>
        <v>IN-BLR-ANANTA-VAV-610_4</v>
      </c>
      <c r="Q1038" s="173" t="s">
        <v>4643</v>
      </c>
      <c r="R1038" s="328" t="str">
        <f>IFS(C1038="","",C1038="n/a","N/A",LEN(C1038),Concatenate("{",char(34),"asset",char(34),":{",char(34),"guid",char(34),":",char(34),Q1038,char(34),",",char(34),"site",char(34),":",char(34),LOWER('2-Building'!$B$4),char(34),",",char(34),"name",char(34),":",char(34),LOWER(C1038),char(34),"}}"))</f>
        <v>{"asset":{"guid":"uuid://6bcc08e4-3729-4241-bd11-4efc1f494320","site":"in-blr-ananta","name":"vav-610"}}</v>
      </c>
      <c r="S1038" s="237" t="s">
        <v>2866</v>
      </c>
      <c r="T1038" s="330"/>
      <c r="U1038" s="330"/>
      <c r="V1038" s="331"/>
      <c r="W1038" s="344"/>
      <c r="X1038" s="341"/>
      <c r="Y1038" s="33" t="s">
        <v>2867</v>
      </c>
      <c r="Z1038" s="258">
        <v>120610.0</v>
      </c>
      <c r="AA1038" s="334">
        <v>11564.0</v>
      </c>
      <c r="AB1038" s="341"/>
      <c r="AC1038" s="341"/>
      <c r="AD1038" s="343"/>
      <c r="AE1038" s="331"/>
      <c r="AF1038" s="348"/>
      <c r="AG1038" s="337"/>
      <c r="AH1038" s="341"/>
      <c r="AI1038" s="341"/>
      <c r="AJ1038" s="341"/>
      <c r="AK1038" s="341"/>
      <c r="AL1038" s="341"/>
      <c r="AM1038" s="338"/>
      <c r="AN1038" s="341"/>
      <c r="AO1038" s="341"/>
      <c r="AP1038" s="341"/>
      <c r="AQ1038" s="341"/>
      <c r="AR1038" s="341"/>
      <c r="AS1038" s="341"/>
      <c r="AT1038" s="341"/>
      <c r="AU1038" s="343"/>
      <c r="AV1038" s="341"/>
      <c r="AW1038" s="269" t="s">
        <v>2198</v>
      </c>
      <c r="AX1038" s="334" t="s">
        <v>2869</v>
      </c>
      <c r="AY1038" s="270" t="s">
        <v>695</v>
      </c>
      <c r="AZ1038" s="173" t="s">
        <v>2866</v>
      </c>
      <c r="BA1038" s="265">
        <v>10.0</v>
      </c>
      <c r="BB1038" s="174" t="s">
        <v>245</v>
      </c>
      <c r="BC1038" s="341"/>
      <c r="BD1038" s="308"/>
      <c r="BE1038" s="347"/>
      <c r="BF1038" s="274" t="str">
        <f>IFERROR(__xludf.DUMMYFUNCTION("LOWER(Regexreplace(to_text(E1038),""[^A-Za-z0-9]"","""")&amp;""_""&amp;Regexreplace(to_text(F1038),""[^A-Za-z0-9]"",""""))"),"neptronic_evcbseries")</f>
        <v>neptronic_evcbseries</v>
      </c>
      <c r="BG1038" s="275" t="str">
        <f>IFERROR(__xludf.DUMMYFUNCTION("upper(Regexreplace(to_text(E1038),""[^A-Za-z0-9]"","""")&amp;""-""&amp;Regexreplace(to_text(F1038),""[^A-Za-z0-9]"",""""))"),"NEPTRONIC-EVCBSERIES")</f>
        <v>NEPTRONIC-EVCBSERIES</v>
      </c>
    </row>
    <row r="1039" ht="30.0" customHeight="1">
      <c r="A1039" s="173">
        <v>1031.0</v>
      </c>
      <c r="B1039" s="237" t="s">
        <v>670</v>
      </c>
      <c r="C1039" s="257" t="s">
        <v>4644</v>
      </c>
      <c r="D1039" s="173" t="s">
        <v>4644</v>
      </c>
      <c r="E1039" s="174" t="s">
        <v>2861</v>
      </c>
      <c r="F1039" s="173" t="s">
        <v>2862</v>
      </c>
      <c r="G1039" s="328" t="s">
        <v>673</v>
      </c>
      <c r="H1039" s="328" t="s">
        <v>2863</v>
      </c>
      <c r="I1039" s="258" t="s">
        <v>2864</v>
      </c>
      <c r="J1039" s="259" t="s">
        <v>1026</v>
      </c>
      <c r="K1039" s="260" t="s">
        <v>4645</v>
      </c>
      <c r="L1039" s="328"/>
      <c r="M1039" s="343"/>
      <c r="N1039" s="173" t="s">
        <v>679</v>
      </c>
      <c r="O1039" s="173" t="s">
        <v>225</v>
      </c>
      <c r="P1039" s="262" t="str">
        <f t="shared" si="1"/>
        <v>IN-BLR-ANANTA-VAV-611_4</v>
      </c>
      <c r="Q1039" s="173" t="s">
        <v>4646</v>
      </c>
      <c r="R1039" s="328" t="str">
        <f>IFS(C1039="","",C1039="n/a","N/A",LEN(C1039),Concatenate("{",char(34),"asset",char(34),":{",char(34),"guid",char(34),":",char(34),Q1039,char(34),",",char(34),"site",char(34),":",char(34),LOWER('2-Building'!$B$4),char(34),",",char(34),"name",char(34),":",char(34),LOWER(C1039),char(34),"}}"))</f>
        <v>{"asset":{"guid":"uuid://e483af56-c7f4-4a27-b33a-3071234254c9","site":"in-blr-ananta","name":"vav-611"}}</v>
      </c>
      <c r="S1039" s="237" t="s">
        <v>2866</v>
      </c>
      <c r="T1039" s="330"/>
      <c r="U1039" s="330"/>
      <c r="V1039" s="331"/>
      <c r="W1039" s="344"/>
      <c r="X1039" s="341"/>
      <c r="Y1039" s="33" t="s">
        <v>2867</v>
      </c>
      <c r="Z1039" s="258">
        <v>120611.0</v>
      </c>
      <c r="AA1039" s="334">
        <v>11564.0</v>
      </c>
      <c r="AB1039" s="341"/>
      <c r="AC1039" s="341"/>
      <c r="AD1039" s="343"/>
      <c r="AE1039" s="331"/>
      <c r="AF1039" s="348"/>
      <c r="AG1039" s="337"/>
      <c r="AH1039" s="341"/>
      <c r="AI1039" s="341"/>
      <c r="AJ1039" s="341"/>
      <c r="AK1039" s="341"/>
      <c r="AL1039" s="341"/>
      <c r="AM1039" s="338"/>
      <c r="AN1039" s="341"/>
      <c r="AO1039" s="341"/>
      <c r="AP1039" s="341"/>
      <c r="AQ1039" s="341"/>
      <c r="AR1039" s="341"/>
      <c r="AS1039" s="341"/>
      <c r="AT1039" s="341"/>
      <c r="AU1039" s="343"/>
      <c r="AV1039" s="341"/>
      <c r="AW1039" s="269" t="s">
        <v>2198</v>
      </c>
      <c r="AX1039" s="334" t="s">
        <v>2869</v>
      </c>
      <c r="AY1039" s="270" t="s">
        <v>695</v>
      </c>
      <c r="AZ1039" s="173" t="s">
        <v>2866</v>
      </c>
      <c r="BA1039" s="265">
        <v>10.0</v>
      </c>
      <c r="BB1039" s="174" t="s">
        <v>245</v>
      </c>
      <c r="BC1039" s="341"/>
      <c r="BD1039" s="308"/>
      <c r="BE1039" s="347"/>
      <c r="BF1039" s="274" t="str">
        <f>IFERROR(__xludf.DUMMYFUNCTION("LOWER(Regexreplace(to_text(E1039),""[^A-Za-z0-9]"","""")&amp;""_""&amp;Regexreplace(to_text(F1039),""[^A-Za-z0-9]"",""""))"),"neptronic_evcbseries")</f>
        <v>neptronic_evcbseries</v>
      </c>
      <c r="BG1039" s="275" t="str">
        <f>IFERROR(__xludf.DUMMYFUNCTION("upper(Regexreplace(to_text(E1039),""[^A-Za-z0-9]"","""")&amp;""-""&amp;Regexreplace(to_text(F1039),""[^A-Za-z0-9]"",""""))"),"NEPTRONIC-EVCBSERIES")</f>
        <v>NEPTRONIC-EVCBSERIES</v>
      </c>
    </row>
    <row r="1040" ht="30.0" customHeight="1">
      <c r="A1040" s="258">
        <v>1032.0</v>
      </c>
      <c r="B1040" s="237" t="s">
        <v>670</v>
      </c>
      <c r="C1040" s="257" t="s">
        <v>4647</v>
      </c>
      <c r="D1040" s="173" t="s">
        <v>4647</v>
      </c>
      <c r="E1040" s="174" t="s">
        <v>2861</v>
      </c>
      <c r="F1040" s="173" t="s">
        <v>2862</v>
      </c>
      <c r="G1040" s="328" t="s">
        <v>673</v>
      </c>
      <c r="H1040" s="328" t="s">
        <v>2863</v>
      </c>
      <c r="I1040" s="258" t="s">
        <v>2864</v>
      </c>
      <c r="J1040" s="259" t="s">
        <v>1026</v>
      </c>
      <c r="K1040" s="260" t="s">
        <v>4648</v>
      </c>
      <c r="L1040" s="328"/>
      <c r="M1040" s="343"/>
      <c r="N1040" s="173" t="s">
        <v>679</v>
      </c>
      <c r="O1040" s="173" t="s">
        <v>225</v>
      </c>
      <c r="P1040" s="262" t="str">
        <f t="shared" si="1"/>
        <v>IN-BLR-ANANTA-VAV-612_4</v>
      </c>
      <c r="Q1040" s="173" t="s">
        <v>4649</v>
      </c>
      <c r="R1040" s="328" t="str">
        <f>IFS(C1040="","",C1040="n/a","N/A",LEN(C1040),Concatenate("{",char(34),"asset",char(34),":{",char(34),"guid",char(34),":",char(34),Q1040,char(34),",",char(34),"site",char(34),":",char(34),LOWER('2-Building'!$B$4),char(34),",",char(34),"name",char(34),":",char(34),LOWER(C1040),char(34),"}}"))</f>
        <v>{"asset":{"guid":"uuid://4dc03567-06c0-4b7d-abc0-88362d4f04a5","site":"in-blr-ananta","name":"vav-612"}}</v>
      </c>
      <c r="S1040" s="237" t="s">
        <v>2866</v>
      </c>
      <c r="T1040" s="330"/>
      <c r="U1040" s="330"/>
      <c r="V1040" s="331"/>
      <c r="W1040" s="344"/>
      <c r="X1040" s="341"/>
      <c r="Y1040" s="33" t="s">
        <v>2867</v>
      </c>
      <c r="Z1040" s="258">
        <v>120612.0</v>
      </c>
      <c r="AA1040" s="334">
        <v>11564.0</v>
      </c>
      <c r="AB1040" s="341"/>
      <c r="AC1040" s="341"/>
      <c r="AD1040" s="343"/>
      <c r="AE1040" s="331"/>
      <c r="AF1040" s="348"/>
      <c r="AG1040" s="337"/>
      <c r="AH1040" s="341"/>
      <c r="AI1040" s="341"/>
      <c r="AJ1040" s="341"/>
      <c r="AK1040" s="341"/>
      <c r="AL1040" s="341"/>
      <c r="AM1040" s="338"/>
      <c r="AN1040" s="341"/>
      <c r="AO1040" s="341"/>
      <c r="AP1040" s="341"/>
      <c r="AQ1040" s="341"/>
      <c r="AR1040" s="341"/>
      <c r="AS1040" s="341"/>
      <c r="AT1040" s="341"/>
      <c r="AU1040" s="343"/>
      <c r="AV1040" s="341"/>
      <c r="AW1040" s="269" t="s">
        <v>2198</v>
      </c>
      <c r="AX1040" s="334" t="s">
        <v>2869</v>
      </c>
      <c r="AY1040" s="270" t="s">
        <v>695</v>
      </c>
      <c r="AZ1040" s="173" t="s">
        <v>2866</v>
      </c>
      <c r="BA1040" s="265">
        <v>10.0</v>
      </c>
      <c r="BB1040" s="174" t="s">
        <v>245</v>
      </c>
      <c r="BC1040" s="341"/>
      <c r="BD1040" s="308"/>
      <c r="BE1040" s="347"/>
      <c r="BF1040" s="274" t="str">
        <f>IFERROR(__xludf.DUMMYFUNCTION("LOWER(Regexreplace(to_text(E1040),""[^A-Za-z0-9]"","""")&amp;""_""&amp;Regexreplace(to_text(F1040),""[^A-Za-z0-9]"",""""))"),"neptronic_evcbseries")</f>
        <v>neptronic_evcbseries</v>
      </c>
      <c r="BG1040" s="275" t="str">
        <f>IFERROR(__xludf.DUMMYFUNCTION("upper(Regexreplace(to_text(E1040),""[^A-Za-z0-9]"","""")&amp;""-""&amp;Regexreplace(to_text(F1040),""[^A-Za-z0-9]"",""""))"),"NEPTRONIC-EVCBSERIES")</f>
        <v>NEPTRONIC-EVCBSERIES</v>
      </c>
    </row>
    <row r="1041" ht="30.0" customHeight="1">
      <c r="A1041" s="173">
        <v>1033.0</v>
      </c>
      <c r="B1041" s="237" t="s">
        <v>670</v>
      </c>
      <c r="C1041" s="257" t="s">
        <v>4650</v>
      </c>
      <c r="D1041" s="173" t="s">
        <v>4650</v>
      </c>
      <c r="E1041" s="174" t="s">
        <v>2861</v>
      </c>
      <c r="F1041" s="173" t="s">
        <v>2862</v>
      </c>
      <c r="G1041" s="328" t="s">
        <v>673</v>
      </c>
      <c r="H1041" s="328" t="s">
        <v>2863</v>
      </c>
      <c r="I1041" s="258" t="s">
        <v>2864</v>
      </c>
      <c r="J1041" s="259" t="s">
        <v>1026</v>
      </c>
      <c r="K1041" s="260" t="s">
        <v>4651</v>
      </c>
      <c r="L1041" s="328"/>
      <c r="M1041" s="343"/>
      <c r="N1041" s="173" t="s">
        <v>679</v>
      </c>
      <c r="O1041" s="173" t="s">
        <v>225</v>
      </c>
      <c r="P1041" s="262" t="str">
        <f t="shared" si="1"/>
        <v>IN-BLR-ANANTA-VAV-613_4</v>
      </c>
      <c r="Q1041" s="173" t="s">
        <v>4652</v>
      </c>
      <c r="R1041" s="328" t="str">
        <f>IFS(C1041="","",C1041="n/a","N/A",LEN(C1041),Concatenate("{",char(34),"asset",char(34),":{",char(34),"guid",char(34),":",char(34),Q1041,char(34),",",char(34),"site",char(34),":",char(34),LOWER('2-Building'!$B$4),char(34),",",char(34),"name",char(34),":",char(34),LOWER(C1041),char(34),"}}"))</f>
        <v>{"asset":{"guid":"uuid://adbda402-eacd-4944-9a84-1265387ccc8a","site":"in-blr-ananta","name":"vav-613"}}</v>
      </c>
      <c r="S1041" s="237" t="s">
        <v>2866</v>
      </c>
      <c r="T1041" s="330"/>
      <c r="U1041" s="330"/>
      <c r="V1041" s="331"/>
      <c r="W1041" s="344"/>
      <c r="X1041" s="341"/>
      <c r="Y1041" s="33" t="s">
        <v>2867</v>
      </c>
      <c r="Z1041" s="258">
        <v>120613.0</v>
      </c>
      <c r="AA1041" s="334">
        <v>11564.0</v>
      </c>
      <c r="AB1041" s="341"/>
      <c r="AC1041" s="341"/>
      <c r="AD1041" s="343"/>
      <c r="AE1041" s="331"/>
      <c r="AF1041" s="348"/>
      <c r="AG1041" s="337"/>
      <c r="AH1041" s="341"/>
      <c r="AI1041" s="341"/>
      <c r="AJ1041" s="341"/>
      <c r="AK1041" s="341"/>
      <c r="AL1041" s="341"/>
      <c r="AM1041" s="338"/>
      <c r="AN1041" s="341"/>
      <c r="AO1041" s="341"/>
      <c r="AP1041" s="341"/>
      <c r="AQ1041" s="341"/>
      <c r="AR1041" s="341"/>
      <c r="AS1041" s="341"/>
      <c r="AT1041" s="341"/>
      <c r="AU1041" s="343"/>
      <c r="AV1041" s="341"/>
      <c r="AW1041" s="269" t="s">
        <v>2198</v>
      </c>
      <c r="AX1041" s="334" t="s">
        <v>2869</v>
      </c>
      <c r="AY1041" s="270" t="s">
        <v>695</v>
      </c>
      <c r="AZ1041" s="173" t="s">
        <v>2866</v>
      </c>
      <c r="BA1041" s="265">
        <v>10.0</v>
      </c>
      <c r="BB1041" s="174" t="s">
        <v>245</v>
      </c>
      <c r="BC1041" s="341"/>
      <c r="BD1041" s="308"/>
      <c r="BE1041" s="347"/>
      <c r="BF1041" s="274" t="str">
        <f>IFERROR(__xludf.DUMMYFUNCTION("LOWER(Regexreplace(to_text(E1041),""[^A-Za-z0-9]"","""")&amp;""_""&amp;Regexreplace(to_text(F1041),""[^A-Za-z0-9]"",""""))"),"neptronic_evcbseries")</f>
        <v>neptronic_evcbseries</v>
      </c>
      <c r="BG1041" s="275" t="str">
        <f>IFERROR(__xludf.DUMMYFUNCTION("upper(Regexreplace(to_text(E1041),""[^A-Za-z0-9]"","""")&amp;""-""&amp;Regexreplace(to_text(F1041),""[^A-Za-z0-9]"",""""))"),"NEPTRONIC-EVCBSERIES")</f>
        <v>NEPTRONIC-EVCBSERIES</v>
      </c>
    </row>
    <row r="1042" ht="30.0" customHeight="1">
      <c r="A1042" s="258">
        <v>1034.0</v>
      </c>
      <c r="B1042" s="237" t="s">
        <v>670</v>
      </c>
      <c r="C1042" s="257" t="s">
        <v>4653</v>
      </c>
      <c r="D1042" s="173" t="s">
        <v>4653</v>
      </c>
      <c r="E1042" s="174" t="s">
        <v>2861</v>
      </c>
      <c r="F1042" s="173" t="s">
        <v>2862</v>
      </c>
      <c r="G1042" s="328" t="s">
        <v>673</v>
      </c>
      <c r="H1042" s="328" t="s">
        <v>2863</v>
      </c>
      <c r="I1042" s="258" t="s">
        <v>2864</v>
      </c>
      <c r="J1042" s="259" t="s">
        <v>1026</v>
      </c>
      <c r="K1042" s="260" t="s">
        <v>4654</v>
      </c>
      <c r="L1042" s="328"/>
      <c r="M1042" s="343"/>
      <c r="N1042" s="173" t="s">
        <v>679</v>
      </c>
      <c r="O1042" s="173" t="s">
        <v>225</v>
      </c>
      <c r="P1042" s="262" t="str">
        <f t="shared" si="1"/>
        <v>IN-BLR-ANANTA-VAV-614_4</v>
      </c>
      <c r="Q1042" s="173" t="s">
        <v>4655</v>
      </c>
      <c r="R1042" s="328" t="str">
        <f>IFS(C1042="","",C1042="n/a","N/A",LEN(C1042),Concatenate("{",char(34),"asset",char(34),":{",char(34),"guid",char(34),":",char(34),Q1042,char(34),",",char(34),"site",char(34),":",char(34),LOWER('2-Building'!$B$4),char(34),",",char(34),"name",char(34),":",char(34),LOWER(C1042),char(34),"}}"))</f>
        <v>{"asset":{"guid":"uuid://a7aac8a8-e72e-4205-9686-6b2bf635022d","site":"in-blr-ananta","name":"vav-614"}}</v>
      </c>
      <c r="S1042" s="237" t="s">
        <v>2866</v>
      </c>
      <c r="T1042" s="330"/>
      <c r="U1042" s="330"/>
      <c r="V1042" s="331"/>
      <c r="W1042" s="344"/>
      <c r="X1042" s="341"/>
      <c r="Y1042" s="33" t="s">
        <v>2867</v>
      </c>
      <c r="Z1042" s="258">
        <v>120614.0</v>
      </c>
      <c r="AA1042" s="334">
        <v>11564.0</v>
      </c>
      <c r="AB1042" s="341"/>
      <c r="AC1042" s="341"/>
      <c r="AD1042" s="343"/>
      <c r="AE1042" s="331"/>
      <c r="AF1042" s="348"/>
      <c r="AG1042" s="337"/>
      <c r="AH1042" s="341"/>
      <c r="AI1042" s="341"/>
      <c r="AJ1042" s="341"/>
      <c r="AK1042" s="341"/>
      <c r="AL1042" s="341"/>
      <c r="AM1042" s="338"/>
      <c r="AN1042" s="341"/>
      <c r="AO1042" s="341"/>
      <c r="AP1042" s="341"/>
      <c r="AQ1042" s="341"/>
      <c r="AR1042" s="341"/>
      <c r="AS1042" s="341"/>
      <c r="AT1042" s="341"/>
      <c r="AU1042" s="343"/>
      <c r="AV1042" s="341"/>
      <c r="AW1042" s="269" t="s">
        <v>2198</v>
      </c>
      <c r="AX1042" s="334" t="s">
        <v>2869</v>
      </c>
      <c r="AY1042" s="270" t="s">
        <v>695</v>
      </c>
      <c r="AZ1042" s="173" t="s">
        <v>2866</v>
      </c>
      <c r="BA1042" s="265">
        <v>10.0</v>
      </c>
      <c r="BB1042" s="174" t="s">
        <v>245</v>
      </c>
      <c r="BC1042" s="341"/>
      <c r="BD1042" s="308"/>
      <c r="BE1042" s="347"/>
      <c r="BF1042" s="274" t="str">
        <f>IFERROR(__xludf.DUMMYFUNCTION("LOWER(Regexreplace(to_text(E1042),""[^A-Za-z0-9]"","""")&amp;""_""&amp;Regexreplace(to_text(F1042),""[^A-Za-z0-9]"",""""))"),"neptronic_evcbseries")</f>
        <v>neptronic_evcbseries</v>
      </c>
      <c r="BG1042" s="275" t="str">
        <f>IFERROR(__xludf.DUMMYFUNCTION("upper(Regexreplace(to_text(E1042),""[^A-Za-z0-9]"","""")&amp;""-""&amp;Regexreplace(to_text(F1042),""[^A-Za-z0-9]"",""""))"),"NEPTRONIC-EVCBSERIES")</f>
        <v>NEPTRONIC-EVCBSERIES</v>
      </c>
    </row>
    <row r="1043" ht="30.0" customHeight="1">
      <c r="A1043" s="173">
        <v>1035.0</v>
      </c>
      <c r="B1043" s="237" t="s">
        <v>670</v>
      </c>
      <c r="C1043" s="257" t="s">
        <v>4656</v>
      </c>
      <c r="D1043" s="173" t="s">
        <v>4656</v>
      </c>
      <c r="E1043" s="174" t="s">
        <v>2861</v>
      </c>
      <c r="F1043" s="173" t="s">
        <v>2862</v>
      </c>
      <c r="G1043" s="328" t="s">
        <v>673</v>
      </c>
      <c r="H1043" s="328" t="s">
        <v>2863</v>
      </c>
      <c r="I1043" s="258" t="s">
        <v>2864</v>
      </c>
      <c r="J1043" s="259" t="s">
        <v>1026</v>
      </c>
      <c r="K1043" s="260" t="s">
        <v>4657</v>
      </c>
      <c r="L1043" s="328"/>
      <c r="M1043" s="343"/>
      <c r="N1043" s="173" t="s">
        <v>679</v>
      </c>
      <c r="O1043" s="173" t="s">
        <v>225</v>
      </c>
      <c r="P1043" s="262" t="str">
        <f t="shared" si="1"/>
        <v>IN-BLR-ANANTA-VAV-615_4</v>
      </c>
      <c r="Q1043" s="173" t="s">
        <v>4658</v>
      </c>
      <c r="R1043" s="328" t="str">
        <f>IFS(C1043="","",C1043="n/a","N/A",LEN(C1043),Concatenate("{",char(34),"asset",char(34),":{",char(34),"guid",char(34),":",char(34),Q1043,char(34),",",char(34),"site",char(34),":",char(34),LOWER('2-Building'!$B$4),char(34),",",char(34),"name",char(34),":",char(34),LOWER(C1043),char(34),"}}"))</f>
        <v>{"asset":{"guid":"uuid://d6eb0c76-b580-4aae-a47c-88406f98d9a7","site":"in-blr-ananta","name":"vav-615"}}</v>
      </c>
      <c r="S1043" s="237" t="s">
        <v>2866</v>
      </c>
      <c r="T1043" s="330"/>
      <c r="U1043" s="330"/>
      <c r="V1043" s="331"/>
      <c r="W1043" s="344"/>
      <c r="X1043" s="341"/>
      <c r="Y1043" s="33" t="s">
        <v>2867</v>
      </c>
      <c r="Z1043" s="258">
        <v>120615.0</v>
      </c>
      <c r="AA1043" s="334">
        <v>11564.0</v>
      </c>
      <c r="AB1043" s="341"/>
      <c r="AC1043" s="341"/>
      <c r="AD1043" s="343"/>
      <c r="AE1043" s="331"/>
      <c r="AF1043" s="348"/>
      <c r="AG1043" s="337"/>
      <c r="AH1043" s="341"/>
      <c r="AI1043" s="341"/>
      <c r="AJ1043" s="341"/>
      <c r="AK1043" s="341"/>
      <c r="AL1043" s="341"/>
      <c r="AM1043" s="338"/>
      <c r="AN1043" s="341"/>
      <c r="AO1043" s="341"/>
      <c r="AP1043" s="341"/>
      <c r="AQ1043" s="341"/>
      <c r="AR1043" s="341"/>
      <c r="AS1043" s="341"/>
      <c r="AT1043" s="341"/>
      <c r="AU1043" s="343"/>
      <c r="AV1043" s="341"/>
      <c r="AW1043" s="269" t="s">
        <v>2198</v>
      </c>
      <c r="AX1043" s="334" t="s">
        <v>2869</v>
      </c>
      <c r="AY1043" s="270" t="s">
        <v>695</v>
      </c>
      <c r="AZ1043" s="173" t="s">
        <v>2866</v>
      </c>
      <c r="BA1043" s="265">
        <v>10.0</v>
      </c>
      <c r="BB1043" s="174" t="s">
        <v>245</v>
      </c>
      <c r="BC1043" s="341"/>
      <c r="BD1043" s="308"/>
      <c r="BE1043" s="347"/>
      <c r="BF1043" s="274" t="str">
        <f>IFERROR(__xludf.DUMMYFUNCTION("LOWER(Regexreplace(to_text(E1043),""[^A-Za-z0-9]"","""")&amp;""_""&amp;Regexreplace(to_text(F1043),""[^A-Za-z0-9]"",""""))"),"neptronic_evcbseries")</f>
        <v>neptronic_evcbseries</v>
      </c>
      <c r="BG1043" s="275" t="str">
        <f>IFERROR(__xludf.DUMMYFUNCTION("upper(Regexreplace(to_text(E1043),""[^A-Za-z0-9]"","""")&amp;""-""&amp;Regexreplace(to_text(F1043),""[^A-Za-z0-9]"",""""))"),"NEPTRONIC-EVCBSERIES")</f>
        <v>NEPTRONIC-EVCBSERIES</v>
      </c>
    </row>
    <row r="1044" ht="30.0" customHeight="1">
      <c r="A1044" s="258">
        <v>1036.0</v>
      </c>
      <c r="B1044" s="237" t="s">
        <v>670</v>
      </c>
      <c r="C1044" s="257" t="s">
        <v>4659</v>
      </c>
      <c r="D1044" s="173" t="s">
        <v>4659</v>
      </c>
      <c r="E1044" s="174" t="s">
        <v>2861</v>
      </c>
      <c r="F1044" s="173" t="s">
        <v>2862</v>
      </c>
      <c r="G1044" s="328" t="s">
        <v>673</v>
      </c>
      <c r="H1044" s="328" t="s">
        <v>2863</v>
      </c>
      <c r="I1044" s="258" t="s">
        <v>2864</v>
      </c>
      <c r="J1044" s="259" t="s">
        <v>1026</v>
      </c>
      <c r="K1044" s="260" t="s">
        <v>4660</v>
      </c>
      <c r="L1044" s="328"/>
      <c r="M1044" s="343"/>
      <c r="N1044" s="173" t="s">
        <v>679</v>
      </c>
      <c r="O1044" s="173" t="s">
        <v>225</v>
      </c>
      <c r="P1044" s="262" t="str">
        <f t="shared" si="1"/>
        <v>IN-BLR-ANANTA-VAV-616_4</v>
      </c>
      <c r="Q1044" s="173" t="s">
        <v>4661</v>
      </c>
      <c r="R1044" s="328" t="str">
        <f>IFS(C1044="","",C1044="n/a","N/A",LEN(C1044),Concatenate("{",char(34),"asset",char(34),":{",char(34),"guid",char(34),":",char(34),Q1044,char(34),",",char(34),"site",char(34),":",char(34),LOWER('2-Building'!$B$4),char(34),",",char(34),"name",char(34),":",char(34),LOWER(C1044),char(34),"}}"))</f>
        <v>{"asset":{"guid":"uuid://97c9781e-065e-406a-bda7-292fcddece3c","site":"in-blr-ananta","name":"vav-616"}}</v>
      </c>
      <c r="S1044" s="237" t="s">
        <v>2866</v>
      </c>
      <c r="T1044" s="330"/>
      <c r="U1044" s="330"/>
      <c r="V1044" s="331"/>
      <c r="W1044" s="344"/>
      <c r="X1044" s="341"/>
      <c r="Y1044" s="33" t="s">
        <v>2867</v>
      </c>
      <c r="Z1044" s="258">
        <v>120616.0</v>
      </c>
      <c r="AA1044" s="334">
        <v>11564.0</v>
      </c>
      <c r="AB1044" s="341"/>
      <c r="AC1044" s="341"/>
      <c r="AD1044" s="343"/>
      <c r="AE1044" s="331"/>
      <c r="AF1044" s="348"/>
      <c r="AG1044" s="337"/>
      <c r="AH1044" s="341"/>
      <c r="AI1044" s="341"/>
      <c r="AJ1044" s="341"/>
      <c r="AK1044" s="341"/>
      <c r="AL1044" s="341"/>
      <c r="AM1044" s="338"/>
      <c r="AN1044" s="341"/>
      <c r="AO1044" s="341"/>
      <c r="AP1044" s="341"/>
      <c r="AQ1044" s="341"/>
      <c r="AR1044" s="341"/>
      <c r="AS1044" s="341"/>
      <c r="AT1044" s="341"/>
      <c r="AU1044" s="343"/>
      <c r="AV1044" s="341"/>
      <c r="AW1044" s="269" t="s">
        <v>2198</v>
      </c>
      <c r="AX1044" s="334" t="s">
        <v>2869</v>
      </c>
      <c r="AY1044" s="270" t="s">
        <v>695</v>
      </c>
      <c r="AZ1044" s="173" t="s">
        <v>2866</v>
      </c>
      <c r="BA1044" s="265">
        <v>10.0</v>
      </c>
      <c r="BB1044" s="174" t="s">
        <v>245</v>
      </c>
      <c r="BC1044" s="341"/>
      <c r="BD1044" s="308"/>
      <c r="BE1044" s="347"/>
      <c r="BF1044" s="274" t="str">
        <f>IFERROR(__xludf.DUMMYFUNCTION("LOWER(Regexreplace(to_text(E1044),""[^A-Za-z0-9]"","""")&amp;""_""&amp;Regexreplace(to_text(F1044),""[^A-Za-z0-9]"",""""))"),"neptronic_evcbseries")</f>
        <v>neptronic_evcbseries</v>
      </c>
      <c r="BG1044" s="275" t="str">
        <f>IFERROR(__xludf.DUMMYFUNCTION("upper(Regexreplace(to_text(E1044),""[^A-Za-z0-9]"","""")&amp;""-""&amp;Regexreplace(to_text(F1044),""[^A-Za-z0-9]"",""""))"),"NEPTRONIC-EVCBSERIES")</f>
        <v>NEPTRONIC-EVCBSERIES</v>
      </c>
    </row>
    <row r="1045" ht="30.0" customHeight="1">
      <c r="A1045" s="173">
        <v>1037.0</v>
      </c>
      <c r="B1045" s="237" t="s">
        <v>670</v>
      </c>
      <c r="C1045" s="257" t="s">
        <v>4662</v>
      </c>
      <c r="D1045" s="173" t="s">
        <v>4662</v>
      </c>
      <c r="E1045" s="174" t="s">
        <v>2861</v>
      </c>
      <c r="F1045" s="173" t="s">
        <v>2862</v>
      </c>
      <c r="G1045" s="328" t="s">
        <v>673</v>
      </c>
      <c r="H1045" s="328" t="s">
        <v>2863</v>
      </c>
      <c r="I1045" s="258" t="s">
        <v>2864</v>
      </c>
      <c r="J1045" s="259" t="s">
        <v>1026</v>
      </c>
      <c r="K1045" s="260" t="s">
        <v>4663</v>
      </c>
      <c r="L1045" s="328"/>
      <c r="M1045" s="343"/>
      <c r="N1045" s="173" t="s">
        <v>679</v>
      </c>
      <c r="O1045" s="173" t="s">
        <v>225</v>
      </c>
      <c r="P1045" s="262" t="str">
        <f t="shared" si="1"/>
        <v>IN-BLR-ANANTA-VAV-617_4</v>
      </c>
      <c r="Q1045" s="173" t="s">
        <v>4664</v>
      </c>
      <c r="R1045" s="328" t="str">
        <f>IFS(C1045="","",C1045="n/a","N/A",LEN(C1045),Concatenate("{",char(34),"asset",char(34),":{",char(34),"guid",char(34),":",char(34),Q1045,char(34),",",char(34),"site",char(34),":",char(34),LOWER('2-Building'!$B$4),char(34),",",char(34),"name",char(34),":",char(34),LOWER(C1045),char(34),"}}"))</f>
        <v>{"asset":{"guid":"uuid://0a5259c9-3a7e-4ab2-855b-b54329dc3188","site":"in-blr-ananta","name":"vav-617"}}</v>
      </c>
      <c r="S1045" s="237" t="s">
        <v>2866</v>
      </c>
      <c r="T1045" s="330"/>
      <c r="U1045" s="330"/>
      <c r="V1045" s="331"/>
      <c r="W1045" s="344"/>
      <c r="X1045" s="341"/>
      <c r="Y1045" s="33" t="s">
        <v>2867</v>
      </c>
      <c r="Z1045" s="258">
        <v>120617.0</v>
      </c>
      <c r="AA1045" s="334">
        <v>11564.0</v>
      </c>
      <c r="AB1045" s="341"/>
      <c r="AC1045" s="341"/>
      <c r="AD1045" s="343"/>
      <c r="AE1045" s="331"/>
      <c r="AF1045" s="348"/>
      <c r="AG1045" s="337"/>
      <c r="AH1045" s="341"/>
      <c r="AI1045" s="341"/>
      <c r="AJ1045" s="341"/>
      <c r="AK1045" s="341"/>
      <c r="AL1045" s="341"/>
      <c r="AM1045" s="338"/>
      <c r="AN1045" s="341"/>
      <c r="AO1045" s="341"/>
      <c r="AP1045" s="341"/>
      <c r="AQ1045" s="341"/>
      <c r="AR1045" s="341"/>
      <c r="AS1045" s="341"/>
      <c r="AT1045" s="341"/>
      <c r="AU1045" s="343"/>
      <c r="AV1045" s="341"/>
      <c r="AW1045" s="269" t="s">
        <v>2198</v>
      </c>
      <c r="AX1045" s="334" t="s">
        <v>2869</v>
      </c>
      <c r="AY1045" s="270" t="s">
        <v>695</v>
      </c>
      <c r="AZ1045" s="173" t="s">
        <v>2866</v>
      </c>
      <c r="BA1045" s="265">
        <v>10.0</v>
      </c>
      <c r="BB1045" s="174" t="s">
        <v>245</v>
      </c>
      <c r="BC1045" s="341"/>
      <c r="BD1045" s="308"/>
      <c r="BE1045" s="347"/>
      <c r="BF1045" s="274" t="str">
        <f>IFERROR(__xludf.DUMMYFUNCTION("LOWER(Regexreplace(to_text(E1045),""[^A-Za-z0-9]"","""")&amp;""_""&amp;Regexreplace(to_text(F1045),""[^A-Za-z0-9]"",""""))"),"neptronic_evcbseries")</f>
        <v>neptronic_evcbseries</v>
      </c>
      <c r="BG1045" s="275" t="str">
        <f>IFERROR(__xludf.DUMMYFUNCTION("upper(Regexreplace(to_text(E1045),""[^A-Za-z0-9]"","""")&amp;""-""&amp;Regexreplace(to_text(F1045),""[^A-Za-z0-9]"",""""))"),"NEPTRONIC-EVCBSERIES")</f>
        <v>NEPTRONIC-EVCBSERIES</v>
      </c>
    </row>
    <row r="1046" ht="30.0" customHeight="1">
      <c r="A1046" s="258">
        <v>1038.0</v>
      </c>
      <c r="B1046" s="237" t="s">
        <v>670</v>
      </c>
      <c r="C1046" s="257" t="s">
        <v>4665</v>
      </c>
      <c r="D1046" s="173" t="s">
        <v>4665</v>
      </c>
      <c r="E1046" s="174" t="s">
        <v>2861</v>
      </c>
      <c r="F1046" s="173" t="s">
        <v>2862</v>
      </c>
      <c r="G1046" s="328" t="s">
        <v>673</v>
      </c>
      <c r="H1046" s="328" t="s">
        <v>2863</v>
      </c>
      <c r="I1046" s="258" t="s">
        <v>2864</v>
      </c>
      <c r="J1046" s="259" t="s">
        <v>1026</v>
      </c>
      <c r="K1046" s="260" t="s">
        <v>4666</v>
      </c>
      <c r="L1046" s="328"/>
      <c r="M1046" s="343"/>
      <c r="N1046" s="173" t="s">
        <v>679</v>
      </c>
      <c r="O1046" s="173" t="s">
        <v>225</v>
      </c>
      <c r="P1046" s="262" t="str">
        <f t="shared" si="1"/>
        <v>IN-BLR-ANANTA-VAV-618_4</v>
      </c>
      <c r="Q1046" s="173" t="s">
        <v>4667</v>
      </c>
      <c r="R1046" s="328" t="str">
        <f>IFS(C1046="","",C1046="n/a","N/A",LEN(C1046),Concatenate("{",char(34),"asset",char(34),":{",char(34),"guid",char(34),":",char(34),Q1046,char(34),",",char(34),"site",char(34),":",char(34),LOWER('2-Building'!$B$4),char(34),",",char(34),"name",char(34),":",char(34),LOWER(C1046),char(34),"}}"))</f>
        <v>{"asset":{"guid":"uuid://89f2aa39-9142-4c75-8cee-379cdef348b7","site":"in-blr-ananta","name":"vav-618"}}</v>
      </c>
      <c r="S1046" s="237" t="s">
        <v>2866</v>
      </c>
      <c r="T1046" s="330"/>
      <c r="U1046" s="330"/>
      <c r="V1046" s="331"/>
      <c r="W1046" s="344"/>
      <c r="X1046" s="341"/>
      <c r="Y1046" s="33" t="s">
        <v>2867</v>
      </c>
      <c r="Z1046" s="258">
        <v>120618.0</v>
      </c>
      <c r="AA1046" s="334">
        <v>11564.0</v>
      </c>
      <c r="AB1046" s="341"/>
      <c r="AC1046" s="341"/>
      <c r="AD1046" s="343"/>
      <c r="AE1046" s="331"/>
      <c r="AF1046" s="348"/>
      <c r="AG1046" s="337"/>
      <c r="AH1046" s="341"/>
      <c r="AI1046" s="341"/>
      <c r="AJ1046" s="341"/>
      <c r="AK1046" s="341"/>
      <c r="AL1046" s="341"/>
      <c r="AM1046" s="338"/>
      <c r="AN1046" s="341"/>
      <c r="AO1046" s="341"/>
      <c r="AP1046" s="341"/>
      <c r="AQ1046" s="341"/>
      <c r="AR1046" s="341"/>
      <c r="AS1046" s="341"/>
      <c r="AT1046" s="341"/>
      <c r="AU1046" s="343"/>
      <c r="AV1046" s="341"/>
      <c r="AW1046" s="269" t="s">
        <v>2198</v>
      </c>
      <c r="AX1046" s="334" t="s">
        <v>2869</v>
      </c>
      <c r="AY1046" s="270" t="s">
        <v>695</v>
      </c>
      <c r="AZ1046" s="173" t="s">
        <v>2866</v>
      </c>
      <c r="BA1046" s="265">
        <v>10.0</v>
      </c>
      <c r="BB1046" s="174" t="s">
        <v>245</v>
      </c>
      <c r="BC1046" s="341"/>
      <c r="BD1046" s="308"/>
      <c r="BE1046" s="347"/>
      <c r="BF1046" s="274" t="str">
        <f>IFERROR(__xludf.DUMMYFUNCTION("LOWER(Regexreplace(to_text(E1046),""[^A-Za-z0-9]"","""")&amp;""_""&amp;Regexreplace(to_text(F1046),""[^A-Za-z0-9]"",""""))"),"neptronic_evcbseries")</f>
        <v>neptronic_evcbseries</v>
      </c>
      <c r="BG1046" s="275" t="str">
        <f>IFERROR(__xludf.DUMMYFUNCTION("upper(Regexreplace(to_text(E1046),""[^A-Za-z0-9]"","""")&amp;""-""&amp;Regexreplace(to_text(F1046),""[^A-Za-z0-9]"",""""))"),"NEPTRONIC-EVCBSERIES")</f>
        <v>NEPTRONIC-EVCBSERIES</v>
      </c>
    </row>
    <row r="1047" ht="30.0" customHeight="1">
      <c r="A1047" s="173">
        <v>1039.0</v>
      </c>
      <c r="B1047" s="237" t="s">
        <v>670</v>
      </c>
      <c r="C1047" s="257" t="s">
        <v>4668</v>
      </c>
      <c r="D1047" s="173" t="s">
        <v>4668</v>
      </c>
      <c r="E1047" s="174" t="s">
        <v>2861</v>
      </c>
      <c r="F1047" s="173" t="s">
        <v>2862</v>
      </c>
      <c r="G1047" s="328" t="s">
        <v>673</v>
      </c>
      <c r="H1047" s="328" t="s">
        <v>2863</v>
      </c>
      <c r="I1047" s="258" t="s">
        <v>2864</v>
      </c>
      <c r="J1047" s="259" t="s">
        <v>1026</v>
      </c>
      <c r="K1047" s="260" t="s">
        <v>4669</v>
      </c>
      <c r="L1047" s="328"/>
      <c r="M1047" s="343"/>
      <c r="N1047" s="173" t="s">
        <v>679</v>
      </c>
      <c r="O1047" s="173" t="s">
        <v>225</v>
      </c>
      <c r="P1047" s="262" t="str">
        <f t="shared" si="1"/>
        <v>IN-BLR-ANANTA-VAV-619_4</v>
      </c>
      <c r="Q1047" s="173" t="s">
        <v>4670</v>
      </c>
      <c r="R1047" s="328" t="str">
        <f>IFS(C1047="","",C1047="n/a","N/A",LEN(C1047),Concatenate("{",char(34),"asset",char(34),":{",char(34),"guid",char(34),":",char(34),Q1047,char(34),",",char(34),"site",char(34),":",char(34),LOWER('2-Building'!$B$4),char(34),",",char(34),"name",char(34),":",char(34),LOWER(C1047),char(34),"}}"))</f>
        <v>{"asset":{"guid":"uuid://a5d726f2-c8de-42dd-9de4-f24cdf18d3a5","site":"in-blr-ananta","name":"vav-619"}}</v>
      </c>
      <c r="S1047" s="237" t="s">
        <v>2866</v>
      </c>
      <c r="T1047" s="330"/>
      <c r="U1047" s="330"/>
      <c r="V1047" s="331"/>
      <c r="W1047" s="344"/>
      <c r="X1047" s="341"/>
      <c r="Y1047" s="33" t="s">
        <v>2867</v>
      </c>
      <c r="Z1047" s="258">
        <v>120619.0</v>
      </c>
      <c r="AA1047" s="334">
        <v>11564.0</v>
      </c>
      <c r="AB1047" s="341"/>
      <c r="AC1047" s="341"/>
      <c r="AD1047" s="343"/>
      <c r="AE1047" s="331"/>
      <c r="AF1047" s="348"/>
      <c r="AG1047" s="337"/>
      <c r="AH1047" s="341"/>
      <c r="AI1047" s="341"/>
      <c r="AJ1047" s="341"/>
      <c r="AK1047" s="341"/>
      <c r="AL1047" s="341"/>
      <c r="AM1047" s="338"/>
      <c r="AN1047" s="341"/>
      <c r="AO1047" s="341"/>
      <c r="AP1047" s="341"/>
      <c r="AQ1047" s="341"/>
      <c r="AR1047" s="341"/>
      <c r="AS1047" s="341"/>
      <c r="AT1047" s="341"/>
      <c r="AU1047" s="343"/>
      <c r="AV1047" s="341"/>
      <c r="AW1047" s="269" t="s">
        <v>2198</v>
      </c>
      <c r="AX1047" s="334" t="s">
        <v>2869</v>
      </c>
      <c r="AY1047" s="270" t="s">
        <v>695</v>
      </c>
      <c r="AZ1047" s="173" t="s">
        <v>2866</v>
      </c>
      <c r="BA1047" s="265">
        <v>10.0</v>
      </c>
      <c r="BB1047" s="174" t="s">
        <v>245</v>
      </c>
      <c r="BC1047" s="341"/>
      <c r="BD1047" s="308"/>
      <c r="BE1047" s="347"/>
      <c r="BF1047" s="274" t="str">
        <f>IFERROR(__xludf.DUMMYFUNCTION("LOWER(Regexreplace(to_text(E1047),""[^A-Za-z0-9]"","""")&amp;""_""&amp;Regexreplace(to_text(F1047),""[^A-Za-z0-9]"",""""))"),"neptronic_evcbseries")</f>
        <v>neptronic_evcbseries</v>
      </c>
      <c r="BG1047" s="275" t="str">
        <f>IFERROR(__xludf.DUMMYFUNCTION("upper(Regexreplace(to_text(E1047),""[^A-Za-z0-9]"","""")&amp;""-""&amp;Regexreplace(to_text(F1047),""[^A-Za-z0-9]"",""""))"),"NEPTRONIC-EVCBSERIES")</f>
        <v>NEPTRONIC-EVCBSERIES</v>
      </c>
    </row>
    <row r="1048" ht="30.0" customHeight="1">
      <c r="A1048" s="258">
        <v>1040.0</v>
      </c>
      <c r="B1048" s="237" t="s">
        <v>670</v>
      </c>
      <c r="C1048" s="257" t="s">
        <v>4671</v>
      </c>
      <c r="D1048" s="173" t="s">
        <v>4671</v>
      </c>
      <c r="E1048" s="174" t="s">
        <v>2861</v>
      </c>
      <c r="F1048" s="173" t="s">
        <v>2862</v>
      </c>
      <c r="G1048" s="328" t="s">
        <v>673</v>
      </c>
      <c r="H1048" s="328" t="s">
        <v>2863</v>
      </c>
      <c r="I1048" s="258" t="s">
        <v>2864</v>
      </c>
      <c r="J1048" s="259" t="s">
        <v>1026</v>
      </c>
      <c r="K1048" s="260" t="s">
        <v>4672</v>
      </c>
      <c r="L1048" s="328"/>
      <c r="M1048" s="343"/>
      <c r="N1048" s="173" t="s">
        <v>679</v>
      </c>
      <c r="O1048" s="173" t="s">
        <v>225</v>
      </c>
      <c r="P1048" s="262" t="str">
        <f t="shared" si="1"/>
        <v>IN-BLR-ANANTA-VAV-620_4</v>
      </c>
      <c r="Q1048" s="173" t="s">
        <v>4673</v>
      </c>
      <c r="R1048" s="328" t="str">
        <f>IFS(C1048="","",C1048="n/a","N/A",LEN(C1048),Concatenate("{",char(34),"asset",char(34),":{",char(34),"guid",char(34),":",char(34),Q1048,char(34),",",char(34),"site",char(34),":",char(34),LOWER('2-Building'!$B$4),char(34),",",char(34),"name",char(34),":",char(34),LOWER(C1048),char(34),"}}"))</f>
        <v>{"asset":{"guid":"uuid://52eccc11-3755-4094-9a0b-dc5b32c7856e","site":"in-blr-ananta","name":"vav-620"}}</v>
      </c>
      <c r="S1048" s="237" t="s">
        <v>2866</v>
      </c>
      <c r="T1048" s="330"/>
      <c r="U1048" s="330"/>
      <c r="V1048" s="331"/>
      <c r="W1048" s="344"/>
      <c r="X1048" s="341"/>
      <c r="Y1048" s="33" t="s">
        <v>2867</v>
      </c>
      <c r="Z1048" s="258">
        <v>120620.0</v>
      </c>
      <c r="AA1048" s="334">
        <v>11564.0</v>
      </c>
      <c r="AB1048" s="341"/>
      <c r="AC1048" s="341"/>
      <c r="AD1048" s="343"/>
      <c r="AE1048" s="331"/>
      <c r="AF1048" s="348"/>
      <c r="AG1048" s="337"/>
      <c r="AH1048" s="341"/>
      <c r="AI1048" s="341"/>
      <c r="AJ1048" s="341"/>
      <c r="AK1048" s="341"/>
      <c r="AL1048" s="341"/>
      <c r="AM1048" s="338"/>
      <c r="AN1048" s="341"/>
      <c r="AO1048" s="341"/>
      <c r="AP1048" s="341"/>
      <c r="AQ1048" s="341"/>
      <c r="AR1048" s="341"/>
      <c r="AS1048" s="341"/>
      <c r="AT1048" s="341"/>
      <c r="AU1048" s="343"/>
      <c r="AV1048" s="341"/>
      <c r="AW1048" s="269" t="s">
        <v>2198</v>
      </c>
      <c r="AX1048" s="334" t="s">
        <v>2869</v>
      </c>
      <c r="AY1048" s="270" t="s">
        <v>695</v>
      </c>
      <c r="AZ1048" s="173" t="s">
        <v>2866</v>
      </c>
      <c r="BA1048" s="265">
        <v>10.0</v>
      </c>
      <c r="BB1048" s="174" t="s">
        <v>245</v>
      </c>
      <c r="BC1048" s="341"/>
      <c r="BD1048" s="308"/>
      <c r="BE1048" s="347"/>
      <c r="BF1048" s="274" t="str">
        <f>IFERROR(__xludf.DUMMYFUNCTION("LOWER(Regexreplace(to_text(E1048),""[^A-Za-z0-9]"","""")&amp;""_""&amp;Regexreplace(to_text(F1048),""[^A-Za-z0-9]"",""""))"),"neptronic_evcbseries")</f>
        <v>neptronic_evcbseries</v>
      </c>
      <c r="BG1048" s="275" t="str">
        <f>IFERROR(__xludf.DUMMYFUNCTION("upper(Regexreplace(to_text(E1048),""[^A-Za-z0-9]"","""")&amp;""-""&amp;Regexreplace(to_text(F1048),""[^A-Za-z0-9]"",""""))"),"NEPTRONIC-EVCBSERIES")</f>
        <v>NEPTRONIC-EVCBSERIES</v>
      </c>
    </row>
    <row r="1049" ht="30.0" customHeight="1">
      <c r="A1049" s="173">
        <v>1041.0</v>
      </c>
      <c r="B1049" s="237" t="s">
        <v>670</v>
      </c>
      <c r="C1049" s="257" t="s">
        <v>4674</v>
      </c>
      <c r="D1049" s="173" t="s">
        <v>4674</v>
      </c>
      <c r="E1049" s="174" t="s">
        <v>2861</v>
      </c>
      <c r="F1049" s="173" t="s">
        <v>2862</v>
      </c>
      <c r="G1049" s="328" t="s">
        <v>673</v>
      </c>
      <c r="H1049" s="328" t="s">
        <v>2863</v>
      </c>
      <c r="I1049" s="258" t="s">
        <v>2864</v>
      </c>
      <c r="J1049" s="259" t="s">
        <v>1026</v>
      </c>
      <c r="K1049" s="260" t="s">
        <v>4675</v>
      </c>
      <c r="L1049" s="328"/>
      <c r="M1049" s="343"/>
      <c r="N1049" s="173" t="s">
        <v>679</v>
      </c>
      <c r="O1049" s="173" t="s">
        <v>225</v>
      </c>
      <c r="P1049" s="262" t="str">
        <f t="shared" si="1"/>
        <v>IN-BLR-ANANTA-VAV-621_4</v>
      </c>
      <c r="Q1049" s="173" t="s">
        <v>4676</v>
      </c>
      <c r="R1049" s="328" t="str">
        <f>IFS(C1049="","",C1049="n/a","N/A",LEN(C1049),Concatenate("{",char(34),"asset",char(34),":{",char(34),"guid",char(34),":",char(34),Q1049,char(34),",",char(34),"site",char(34),":",char(34),LOWER('2-Building'!$B$4),char(34),",",char(34),"name",char(34),":",char(34),LOWER(C1049),char(34),"}}"))</f>
        <v>{"asset":{"guid":"uuid://a21d75ec-af40-4518-a4cf-287aec5c99f5","site":"in-blr-ananta","name":"vav-621"}}</v>
      </c>
      <c r="S1049" s="237" t="s">
        <v>2866</v>
      </c>
      <c r="T1049" s="330"/>
      <c r="U1049" s="330"/>
      <c r="V1049" s="331"/>
      <c r="W1049" s="344"/>
      <c r="X1049" s="341"/>
      <c r="Y1049" s="33" t="s">
        <v>2867</v>
      </c>
      <c r="Z1049" s="258">
        <v>120621.0</v>
      </c>
      <c r="AA1049" s="334">
        <v>11564.0</v>
      </c>
      <c r="AB1049" s="341"/>
      <c r="AC1049" s="341"/>
      <c r="AD1049" s="343"/>
      <c r="AE1049" s="331"/>
      <c r="AF1049" s="348"/>
      <c r="AG1049" s="337"/>
      <c r="AH1049" s="341"/>
      <c r="AI1049" s="341"/>
      <c r="AJ1049" s="341"/>
      <c r="AK1049" s="341"/>
      <c r="AL1049" s="341"/>
      <c r="AM1049" s="338"/>
      <c r="AN1049" s="341"/>
      <c r="AO1049" s="341"/>
      <c r="AP1049" s="341"/>
      <c r="AQ1049" s="341"/>
      <c r="AR1049" s="341"/>
      <c r="AS1049" s="341"/>
      <c r="AT1049" s="341"/>
      <c r="AU1049" s="343"/>
      <c r="AV1049" s="341"/>
      <c r="AW1049" s="269" t="s">
        <v>2198</v>
      </c>
      <c r="AX1049" s="334" t="s">
        <v>2869</v>
      </c>
      <c r="AY1049" s="270" t="s">
        <v>695</v>
      </c>
      <c r="AZ1049" s="173" t="s">
        <v>2866</v>
      </c>
      <c r="BA1049" s="265">
        <v>10.0</v>
      </c>
      <c r="BB1049" s="174" t="s">
        <v>245</v>
      </c>
      <c r="BC1049" s="341"/>
      <c r="BD1049" s="308"/>
      <c r="BE1049" s="347"/>
      <c r="BF1049" s="274" t="str">
        <f>IFERROR(__xludf.DUMMYFUNCTION("LOWER(Regexreplace(to_text(E1049),""[^A-Za-z0-9]"","""")&amp;""_""&amp;Regexreplace(to_text(F1049),""[^A-Za-z0-9]"",""""))"),"neptronic_evcbseries")</f>
        <v>neptronic_evcbseries</v>
      </c>
      <c r="BG1049" s="275" t="str">
        <f>IFERROR(__xludf.DUMMYFUNCTION("upper(Regexreplace(to_text(E1049),""[^A-Za-z0-9]"","""")&amp;""-""&amp;Regexreplace(to_text(F1049),""[^A-Za-z0-9]"",""""))"),"NEPTRONIC-EVCBSERIES")</f>
        <v>NEPTRONIC-EVCBSERIES</v>
      </c>
    </row>
    <row r="1050" ht="30.0" customHeight="1">
      <c r="A1050" s="258">
        <v>1042.0</v>
      </c>
      <c r="B1050" s="237" t="s">
        <v>670</v>
      </c>
      <c r="C1050" s="257" t="s">
        <v>4677</v>
      </c>
      <c r="D1050" s="173" t="s">
        <v>4677</v>
      </c>
      <c r="E1050" s="174" t="s">
        <v>2861</v>
      </c>
      <c r="F1050" s="173" t="s">
        <v>2862</v>
      </c>
      <c r="G1050" s="328" t="s">
        <v>673</v>
      </c>
      <c r="H1050" s="328" t="s">
        <v>2863</v>
      </c>
      <c r="I1050" s="258" t="s">
        <v>2864</v>
      </c>
      <c r="J1050" s="259" t="s">
        <v>1026</v>
      </c>
      <c r="K1050" s="260" t="s">
        <v>4678</v>
      </c>
      <c r="L1050" s="328"/>
      <c r="M1050" s="343"/>
      <c r="N1050" s="173" t="s">
        <v>679</v>
      </c>
      <c r="O1050" s="173" t="s">
        <v>225</v>
      </c>
      <c r="P1050" s="262" t="str">
        <f t="shared" si="1"/>
        <v>IN-BLR-ANANTA-VAV-622_4</v>
      </c>
      <c r="Q1050" s="173" t="s">
        <v>4679</v>
      </c>
      <c r="R1050" s="328" t="str">
        <f>IFS(C1050="","",C1050="n/a","N/A",LEN(C1050),Concatenate("{",char(34),"asset",char(34),":{",char(34),"guid",char(34),":",char(34),Q1050,char(34),",",char(34),"site",char(34),":",char(34),LOWER('2-Building'!$B$4),char(34),",",char(34),"name",char(34),":",char(34),LOWER(C1050),char(34),"}}"))</f>
        <v>{"asset":{"guid":"uuid://906c6474-e04b-4b06-9a81-3933c4380fee","site":"in-blr-ananta","name":"vav-622"}}</v>
      </c>
      <c r="S1050" s="237" t="s">
        <v>2866</v>
      </c>
      <c r="T1050" s="330"/>
      <c r="U1050" s="330"/>
      <c r="V1050" s="331"/>
      <c r="W1050" s="344"/>
      <c r="X1050" s="341"/>
      <c r="Y1050" s="33" t="s">
        <v>2867</v>
      </c>
      <c r="Z1050" s="258">
        <v>120622.0</v>
      </c>
      <c r="AA1050" s="334">
        <v>11564.0</v>
      </c>
      <c r="AB1050" s="341"/>
      <c r="AC1050" s="341"/>
      <c r="AD1050" s="343"/>
      <c r="AE1050" s="331"/>
      <c r="AF1050" s="348"/>
      <c r="AG1050" s="337"/>
      <c r="AH1050" s="341"/>
      <c r="AI1050" s="341"/>
      <c r="AJ1050" s="341"/>
      <c r="AK1050" s="341"/>
      <c r="AL1050" s="341"/>
      <c r="AM1050" s="338"/>
      <c r="AN1050" s="341"/>
      <c r="AO1050" s="341"/>
      <c r="AP1050" s="341"/>
      <c r="AQ1050" s="341"/>
      <c r="AR1050" s="341"/>
      <c r="AS1050" s="341"/>
      <c r="AT1050" s="341"/>
      <c r="AU1050" s="343"/>
      <c r="AV1050" s="341"/>
      <c r="AW1050" s="269" t="s">
        <v>2198</v>
      </c>
      <c r="AX1050" s="334" t="s">
        <v>2869</v>
      </c>
      <c r="AY1050" s="270" t="s">
        <v>695</v>
      </c>
      <c r="AZ1050" s="173" t="s">
        <v>2866</v>
      </c>
      <c r="BA1050" s="265">
        <v>10.0</v>
      </c>
      <c r="BB1050" s="174" t="s">
        <v>245</v>
      </c>
      <c r="BC1050" s="341"/>
      <c r="BD1050" s="308"/>
      <c r="BE1050" s="347"/>
      <c r="BF1050" s="274" t="str">
        <f>IFERROR(__xludf.DUMMYFUNCTION("LOWER(Regexreplace(to_text(E1050),""[^A-Za-z0-9]"","""")&amp;""_""&amp;Regexreplace(to_text(F1050),""[^A-Za-z0-9]"",""""))"),"neptronic_evcbseries")</f>
        <v>neptronic_evcbseries</v>
      </c>
      <c r="BG1050" s="275" t="str">
        <f>IFERROR(__xludf.DUMMYFUNCTION("upper(Regexreplace(to_text(E1050),""[^A-Za-z0-9]"","""")&amp;""-""&amp;Regexreplace(to_text(F1050),""[^A-Za-z0-9]"",""""))"),"NEPTRONIC-EVCBSERIES")</f>
        <v>NEPTRONIC-EVCBSERIES</v>
      </c>
    </row>
    <row r="1051" ht="30.0" customHeight="1">
      <c r="A1051" s="173">
        <v>1043.0</v>
      </c>
      <c r="B1051" s="237" t="s">
        <v>670</v>
      </c>
      <c r="C1051" s="257" t="s">
        <v>4680</v>
      </c>
      <c r="D1051" s="173" t="s">
        <v>4680</v>
      </c>
      <c r="E1051" s="174" t="s">
        <v>2861</v>
      </c>
      <c r="F1051" s="173" t="s">
        <v>2862</v>
      </c>
      <c r="G1051" s="328" t="s">
        <v>673</v>
      </c>
      <c r="H1051" s="328" t="s">
        <v>2863</v>
      </c>
      <c r="I1051" s="258" t="s">
        <v>2864</v>
      </c>
      <c r="J1051" s="259" t="s">
        <v>1026</v>
      </c>
      <c r="K1051" s="260" t="s">
        <v>3551</v>
      </c>
      <c r="L1051" s="328"/>
      <c r="M1051" s="343"/>
      <c r="N1051" s="173" t="s">
        <v>679</v>
      </c>
      <c r="O1051" s="173" t="s">
        <v>225</v>
      </c>
      <c r="P1051" s="262" t="str">
        <f t="shared" si="1"/>
        <v>IN-BLR-ANANTA-VAV-623_4</v>
      </c>
      <c r="Q1051" s="173" t="s">
        <v>4681</v>
      </c>
      <c r="R1051" s="328" t="str">
        <f>IFS(C1051="","",C1051="n/a","N/A",LEN(C1051),Concatenate("{",char(34),"asset",char(34),":{",char(34),"guid",char(34),":",char(34),Q1051,char(34),",",char(34),"site",char(34),":",char(34),LOWER('2-Building'!$B$4),char(34),",",char(34),"name",char(34),":",char(34),LOWER(C1051),char(34),"}}"))</f>
        <v>{"asset":{"guid":"uuid://150a0767-ef36-4f56-b6b2-a791678283f7","site":"in-blr-ananta","name":"vav-623"}}</v>
      </c>
      <c r="S1051" s="237" t="s">
        <v>2866</v>
      </c>
      <c r="T1051" s="330"/>
      <c r="U1051" s="330"/>
      <c r="V1051" s="331"/>
      <c r="W1051" s="344"/>
      <c r="X1051" s="341"/>
      <c r="Y1051" s="33" t="s">
        <v>2867</v>
      </c>
      <c r="Z1051" s="258">
        <v>120623.0</v>
      </c>
      <c r="AA1051" s="334">
        <v>11562.0</v>
      </c>
      <c r="AB1051" s="341"/>
      <c r="AC1051" s="341"/>
      <c r="AD1051" s="343"/>
      <c r="AE1051" s="331"/>
      <c r="AF1051" s="348"/>
      <c r="AG1051" s="337"/>
      <c r="AH1051" s="341"/>
      <c r="AI1051" s="341"/>
      <c r="AJ1051" s="341"/>
      <c r="AK1051" s="341"/>
      <c r="AL1051" s="341"/>
      <c r="AM1051" s="338"/>
      <c r="AN1051" s="341"/>
      <c r="AO1051" s="341"/>
      <c r="AP1051" s="341"/>
      <c r="AQ1051" s="341"/>
      <c r="AR1051" s="341"/>
      <c r="AS1051" s="341"/>
      <c r="AT1051" s="341"/>
      <c r="AU1051" s="343"/>
      <c r="AV1051" s="341"/>
      <c r="AW1051" s="269" t="s">
        <v>2188</v>
      </c>
      <c r="AX1051" s="334" t="s">
        <v>2869</v>
      </c>
      <c r="AY1051" s="270" t="s">
        <v>695</v>
      </c>
      <c r="AZ1051" s="173" t="s">
        <v>2866</v>
      </c>
      <c r="BA1051" s="265">
        <v>10.0</v>
      </c>
      <c r="BB1051" s="174" t="s">
        <v>245</v>
      </c>
      <c r="BC1051" s="341"/>
      <c r="BD1051" s="308"/>
      <c r="BE1051" s="347"/>
      <c r="BF1051" s="274" t="str">
        <f>IFERROR(__xludf.DUMMYFUNCTION("LOWER(Regexreplace(to_text(E1051),""[^A-Za-z0-9]"","""")&amp;""_""&amp;Regexreplace(to_text(F1051),""[^A-Za-z0-9]"",""""))"),"neptronic_evcbseries")</f>
        <v>neptronic_evcbseries</v>
      </c>
      <c r="BG1051" s="275" t="str">
        <f>IFERROR(__xludf.DUMMYFUNCTION("upper(Regexreplace(to_text(E1051),""[^A-Za-z0-9]"","""")&amp;""-""&amp;Regexreplace(to_text(F1051),""[^A-Za-z0-9]"",""""))"),"NEPTRONIC-EVCBSERIES")</f>
        <v>NEPTRONIC-EVCBSERIES</v>
      </c>
    </row>
    <row r="1052" ht="30.0" customHeight="1">
      <c r="A1052" s="258">
        <v>1044.0</v>
      </c>
      <c r="B1052" s="237" t="s">
        <v>670</v>
      </c>
      <c r="C1052" s="257" t="s">
        <v>4682</v>
      </c>
      <c r="D1052" s="173" t="s">
        <v>4682</v>
      </c>
      <c r="E1052" s="174" t="s">
        <v>2861</v>
      </c>
      <c r="F1052" s="173" t="s">
        <v>2862</v>
      </c>
      <c r="G1052" s="328" t="s">
        <v>673</v>
      </c>
      <c r="H1052" s="328" t="s">
        <v>2863</v>
      </c>
      <c r="I1052" s="258" t="s">
        <v>2864</v>
      </c>
      <c r="J1052" s="259" t="s">
        <v>1026</v>
      </c>
      <c r="K1052" s="260" t="s">
        <v>4683</v>
      </c>
      <c r="L1052" s="328"/>
      <c r="M1052" s="343"/>
      <c r="N1052" s="173" t="s">
        <v>679</v>
      </c>
      <c r="O1052" s="173" t="s">
        <v>225</v>
      </c>
      <c r="P1052" s="262" t="str">
        <f t="shared" si="1"/>
        <v>IN-BLR-ANANTA-VAV-624_4</v>
      </c>
      <c r="Q1052" s="173" t="s">
        <v>4684</v>
      </c>
      <c r="R1052" s="328" t="str">
        <f>IFS(C1052="","",C1052="n/a","N/A",LEN(C1052),Concatenate("{",char(34),"asset",char(34),":{",char(34),"guid",char(34),":",char(34),Q1052,char(34),",",char(34),"site",char(34),":",char(34),LOWER('2-Building'!$B$4),char(34),",",char(34),"name",char(34),":",char(34),LOWER(C1052),char(34),"}}"))</f>
        <v>{"asset":{"guid":"uuid://9436d686-1214-446e-a8f6-65f4ff32cfba","site":"in-blr-ananta","name":"vav-624"}}</v>
      </c>
      <c r="S1052" s="237" t="s">
        <v>2866</v>
      </c>
      <c r="T1052" s="330"/>
      <c r="U1052" s="330"/>
      <c r="V1052" s="331"/>
      <c r="W1052" s="344"/>
      <c r="X1052" s="341"/>
      <c r="Y1052" s="33" t="s">
        <v>2867</v>
      </c>
      <c r="Z1052" s="258">
        <v>120624.0</v>
      </c>
      <c r="AA1052" s="334">
        <v>11562.0</v>
      </c>
      <c r="AB1052" s="341"/>
      <c r="AC1052" s="341"/>
      <c r="AD1052" s="343"/>
      <c r="AE1052" s="331"/>
      <c r="AF1052" s="348"/>
      <c r="AG1052" s="337"/>
      <c r="AH1052" s="341"/>
      <c r="AI1052" s="341"/>
      <c r="AJ1052" s="341"/>
      <c r="AK1052" s="341"/>
      <c r="AL1052" s="341"/>
      <c r="AM1052" s="338"/>
      <c r="AN1052" s="341"/>
      <c r="AO1052" s="341"/>
      <c r="AP1052" s="341"/>
      <c r="AQ1052" s="341"/>
      <c r="AR1052" s="341"/>
      <c r="AS1052" s="341"/>
      <c r="AT1052" s="341"/>
      <c r="AU1052" s="343"/>
      <c r="AV1052" s="341"/>
      <c r="AW1052" s="269" t="s">
        <v>2188</v>
      </c>
      <c r="AX1052" s="334" t="s">
        <v>2869</v>
      </c>
      <c r="AY1052" s="270" t="s">
        <v>695</v>
      </c>
      <c r="AZ1052" s="173" t="s">
        <v>2866</v>
      </c>
      <c r="BA1052" s="265">
        <v>10.0</v>
      </c>
      <c r="BB1052" s="174" t="s">
        <v>245</v>
      </c>
      <c r="BC1052" s="341"/>
      <c r="BD1052" s="308"/>
      <c r="BE1052" s="347"/>
      <c r="BF1052" s="274" t="str">
        <f>IFERROR(__xludf.DUMMYFUNCTION("LOWER(Regexreplace(to_text(E1052),""[^A-Za-z0-9]"","""")&amp;""_""&amp;Regexreplace(to_text(F1052),""[^A-Za-z0-9]"",""""))"),"neptronic_evcbseries")</f>
        <v>neptronic_evcbseries</v>
      </c>
      <c r="BG1052" s="275" t="str">
        <f>IFERROR(__xludf.DUMMYFUNCTION("upper(Regexreplace(to_text(E1052),""[^A-Za-z0-9]"","""")&amp;""-""&amp;Regexreplace(to_text(F1052),""[^A-Za-z0-9]"",""""))"),"NEPTRONIC-EVCBSERIES")</f>
        <v>NEPTRONIC-EVCBSERIES</v>
      </c>
    </row>
    <row r="1053" ht="30.0" customHeight="1">
      <c r="A1053" s="173">
        <v>1045.0</v>
      </c>
      <c r="B1053" s="237" t="s">
        <v>670</v>
      </c>
      <c r="C1053" s="257" t="s">
        <v>4685</v>
      </c>
      <c r="D1053" s="173" t="s">
        <v>4685</v>
      </c>
      <c r="E1053" s="174" t="s">
        <v>2861</v>
      </c>
      <c r="F1053" s="173" t="s">
        <v>2862</v>
      </c>
      <c r="G1053" s="328" t="s">
        <v>673</v>
      </c>
      <c r="H1053" s="328" t="s">
        <v>2863</v>
      </c>
      <c r="I1053" s="258" t="s">
        <v>2864</v>
      </c>
      <c r="J1053" s="259" t="s">
        <v>1026</v>
      </c>
      <c r="K1053" s="260" t="s">
        <v>4186</v>
      </c>
      <c r="L1053" s="328"/>
      <c r="M1053" s="343"/>
      <c r="N1053" s="173" t="s">
        <v>679</v>
      </c>
      <c r="O1053" s="173" t="s">
        <v>225</v>
      </c>
      <c r="P1053" s="262" t="str">
        <f t="shared" si="1"/>
        <v>IN-BLR-ANANTA-VAV-625_4</v>
      </c>
      <c r="Q1053" s="173" t="s">
        <v>4686</v>
      </c>
      <c r="R1053" s="328" t="str">
        <f>IFS(C1053="","",C1053="n/a","N/A",LEN(C1053),Concatenate("{",char(34),"asset",char(34),":{",char(34),"guid",char(34),":",char(34),Q1053,char(34),",",char(34),"site",char(34),":",char(34),LOWER('2-Building'!$B$4),char(34),",",char(34),"name",char(34),":",char(34),LOWER(C1053),char(34),"}}"))</f>
        <v>{"asset":{"guid":"uuid://183cd405-0c7a-4d5c-9f37-d926ed546c71","site":"in-blr-ananta","name":"vav-625"}}</v>
      </c>
      <c r="S1053" s="237" t="s">
        <v>2866</v>
      </c>
      <c r="T1053" s="330"/>
      <c r="U1053" s="330"/>
      <c r="V1053" s="331"/>
      <c r="W1053" s="344"/>
      <c r="X1053" s="341"/>
      <c r="Y1053" s="33" t="s">
        <v>2867</v>
      </c>
      <c r="Z1053" s="258">
        <v>120625.0</v>
      </c>
      <c r="AA1053" s="334">
        <v>11562.0</v>
      </c>
      <c r="AB1053" s="341"/>
      <c r="AC1053" s="341"/>
      <c r="AD1053" s="343"/>
      <c r="AE1053" s="331"/>
      <c r="AF1053" s="348"/>
      <c r="AG1053" s="337"/>
      <c r="AH1053" s="341"/>
      <c r="AI1053" s="341"/>
      <c r="AJ1053" s="341"/>
      <c r="AK1053" s="341"/>
      <c r="AL1053" s="341"/>
      <c r="AM1053" s="338"/>
      <c r="AN1053" s="341"/>
      <c r="AO1053" s="341"/>
      <c r="AP1053" s="341"/>
      <c r="AQ1053" s="341"/>
      <c r="AR1053" s="341"/>
      <c r="AS1053" s="341"/>
      <c r="AT1053" s="341"/>
      <c r="AU1053" s="343"/>
      <c r="AV1053" s="341"/>
      <c r="AW1053" s="269" t="s">
        <v>2188</v>
      </c>
      <c r="AX1053" s="334" t="s">
        <v>2869</v>
      </c>
      <c r="AY1053" s="270" t="s">
        <v>695</v>
      </c>
      <c r="AZ1053" s="173" t="s">
        <v>2866</v>
      </c>
      <c r="BA1053" s="265">
        <v>10.0</v>
      </c>
      <c r="BB1053" s="174" t="s">
        <v>245</v>
      </c>
      <c r="BC1053" s="341"/>
      <c r="BD1053" s="308"/>
      <c r="BE1053" s="347"/>
      <c r="BF1053" s="274" t="str">
        <f>IFERROR(__xludf.DUMMYFUNCTION("LOWER(Regexreplace(to_text(E1053),""[^A-Za-z0-9]"","""")&amp;""_""&amp;Regexreplace(to_text(F1053),""[^A-Za-z0-9]"",""""))"),"neptronic_evcbseries")</f>
        <v>neptronic_evcbseries</v>
      </c>
      <c r="BG1053" s="275" t="str">
        <f>IFERROR(__xludf.DUMMYFUNCTION("upper(Regexreplace(to_text(E1053),""[^A-Za-z0-9]"","""")&amp;""-""&amp;Regexreplace(to_text(F1053),""[^A-Za-z0-9]"",""""))"),"NEPTRONIC-EVCBSERIES")</f>
        <v>NEPTRONIC-EVCBSERIES</v>
      </c>
    </row>
    <row r="1054" ht="30.0" customHeight="1">
      <c r="A1054" s="258">
        <v>1046.0</v>
      </c>
      <c r="B1054" s="237" t="s">
        <v>670</v>
      </c>
      <c r="C1054" s="257" t="s">
        <v>4687</v>
      </c>
      <c r="D1054" s="173" t="s">
        <v>4687</v>
      </c>
      <c r="E1054" s="174" t="s">
        <v>2861</v>
      </c>
      <c r="F1054" s="173" t="s">
        <v>2862</v>
      </c>
      <c r="G1054" s="328" t="s">
        <v>673</v>
      </c>
      <c r="H1054" s="328" t="s">
        <v>2863</v>
      </c>
      <c r="I1054" s="258" t="s">
        <v>2864</v>
      </c>
      <c r="J1054" s="259" t="s">
        <v>1026</v>
      </c>
      <c r="K1054" s="260" t="s">
        <v>4688</v>
      </c>
      <c r="L1054" s="328"/>
      <c r="M1054" s="343"/>
      <c r="N1054" s="173" t="s">
        <v>679</v>
      </c>
      <c r="O1054" s="173" t="s">
        <v>225</v>
      </c>
      <c r="P1054" s="262" t="str">
        <f t="shared" si="1"/>
        <v>IN-BLR-ANANTA-VAV-626_4</v>
      </c>
      <c r="Q1054" s="173" t="s">
        <v>4689</v>
      </c>
      <c r="R1054" s="328" t="str">
        <f>IFS(C1054="","",C1054="n/a","N/A",LEN(C1054),Concatenate("{",char(34),"asset",char(34),":{",char(34),"guid",char(34),":",char(34),Q1054,char(34),",",char(34),"site",char(34),":",char(34),LOWER('2-Building'!$B$4),char(34),",",char(34),"name",char(34),":",char(34),LOWER(C1054),char(34),"}}"))</f>
        <v>{"asset":{"guid":"uuid://2e32c278-d370-49a6-bb50-9334f996e7aa","site":"in-blr-ananta","name":"vav-626"}}</v>
      </c>
      <c r="S1054" s="237" t="s">
        <v>2866</v>
      </c>
      <c r="T1054" s="330"/>
      <c r="U1054" s="330"/>
      <c r="V1054" s="331"/>
      <c r="W1054" s="344"/>
      <c r="X1054" s="341"/>
      <c r="Y1054" s="33" t="s">
        <v>2867</v>
      </c>
      <c r="Z1054" s="258">
        <v>120626.0</v>
      </c>
      <c r="AA1054" s="334">
        <v>11562.0</v>
      </c>
      <c r="AB1054" s="341"/>
      <c r="AC1054" s="341"/>
      <c r="AD1054" s="343"/>
      <c r="AE1054" s="331"/>
      <c r="AF1054" s="348"/>
      <c r="AG1054" s="337"/>
      <c r="AH1054" s="341"/>
      <c r="AI1054" s="341"/>
      <c r="AJ1054" s="341"/>
      <c r="AK1054" s="341"/>
      <c r="AL1054" s="341"/>
      <c r="AM1054" s="338"/>
      <c r="AN1054" s="341"/>
      <c r="AO1054" s="341"/>
      <c r="AP1054" s="341"/>
      <c r="AQ1054" s="341"/>
      <c r="AR1054" s="341"/>
      <c r="AS1054" s="341"/>
      <c r="AT1054" s="341"/>
      <c r="AU1054" s="343"/>
      <c r="AV1054" s="341"/>
      <c r="AW1054" s="269" t="s">
        <v>2188</v>
      </c>
      <c r="AX1054" s="334" t="s">
        <v>2869</v>
      </c>
      <c r="AY1054" s="270" t="s">
        <v>695</v>
      </c>
      <c r="AZ1054" s="173" t="s">
        <v>2866</v>
      </c>
      <c r="BA1054" s="265">
        <v>10.0</v>
      </c>
      <c r="BB1054" s="174" t="s">
        <v>245</v>
      </c>
      <c r="BC1054" s="341"/>
      <c r="BD1054" s="308"/>
      <c r="BE1054" s="347"/>
      <c r="BF1054" s="274" t="str">
        <f>IFERROR(__xludf.DUMMYFUNCTION("LOWER(Regexreplace(to_text(E1054),""[^A-Za-z0-9]"","""")&amp;""_""&amp;Regexreplace(to_text(F1054),""[^A-Za-z0-9]"",""""))"),"neptronic_evcbseries")</f>
        <v>neptronic_evcbseries</v>
      </c>
      <c r="BG1054" s="275" t="str">
        <f>IFERROR(__xludf.DUMMYFUNCTION("upper(Regexreplace(to_text(E1054),""[^A-Za-z0-9]"","""")&amp;""-""&amp;Regexreplace(to_text(F1054),""[^A-Za-z0-9]"",""""))"),"NEPTRONIC-EVCBSERIES")</f>
        <v>NEPTRONIC-EVCBSERIES</v>
      </c>
    </row>
    <row r="1055" ht="30.0" customHeight="1">
      <c r="A1055" s="173">
        <v>1047.0</v>
      </c>
      <c r="B1055" s="237" t="s">
        <v>670</v>
      </c>
      <c r="C1055" s="257" t="s">
        <v>4690</v>
      </c>
      <c r="D1055" s="173" t="s">
        <v>4690</v>
      </c>
      <c r="E1055" s="174" t="s">
        <v>2861</v>
      </c>
      <c r="F1055" s="173" t="s">
        <v>2862</v>
      </c>
      <c r="G1055" s="328" t="s">
        <v>673</v>
      </c>
      <c r="H1055" s="328" t="s">
        <v>2863</v>
      </c>
      <c r="I1055" s="258" t="s">
        <v>2864</v>
      </c>
      <c r="J1055" s="259" t="s">
        <v>1026</v>
      </c>
      <c r="K1055" s="260" t="s">
        <v>4691</v>
      </c>
      <c r="L1055" s="328"/>
      <c r="M1055" s="343"/>
      <c r="N1055" s="173" t="s">
        <v>679</v>
      </c>
      <c r="O1055" s="173" t="s">
        <v>225</v>
      </c>
      <c r="P1055" s="262" t="str">
        <f t="shared" si="1"/>
        <v>IN-BLR-ANANTA-VAV-627_4</v>
      </c>
      <c r="Q1055" s="173" t="s">
        <v>4692</v>
      </c>
      <c r="R1055" s="328" t="str">
        <f>IFS(C1055="","",C1055="n/a","N/A",LEN(C1055),Concatenate("{",char(34),"asset",char(34),":{",char(34),"guid",char(34),":",char(34),Q1055,char(34),",",char(34),"site",char(34),":",char(34),LOWER('2-Building'!$B$4),char(34),",",char(34),"name",char(34),":",char(34),LOWER(C1055),char(34),"}}"))</f>
        <v>{"asset":{"guid":"uuid://65e03815-5134-4cf2-964a-7ffadc61131d","site":"in-blr-ananta","name":"vav-627"}}</v>
      </c>
      <c r="S1055" s="237" t="s">
        <v>2866</v>
      </c>
      <c r="T1055" s="330"/>
      <c r="U1055" s="330"/>
      <c r="V1055" s="331"/>
      <c r="W1055" s="344"/>
      <c r="X1055" s="341"/>
      <c r="Y1055" s="33" t="s">
        <v>2867</v>
      </c>
      <c r="Z1055" s="258">
        <v>120627.0</v>
      </c>
      <c r="AA1055" s="334">
        <v>11562.0</v>
      </c>
      <c r="AB1055" s="341"/>
      <c r="AC1055" s="341"/>
      <c r="AD1055" s="343"/>
      <c r="AE1055" s="331"/>
      <c r="AF1055" s="348"/>
      <c r="AG1055" s="337"/>
      <c r="AH1055" s="341"/>
      <c r="AI1055" s="341"/>
      <c r="AJ1055" s="341"/>
      <c r="AK1055" s="341"/>
      <c r="AL1055" s="341"/>
      <c r="AM1055" s="338"/>
      <c r="AN1055" s="341"/>
      <c r="AO1055" s="341"/>
      <c r="AP1055" s="341"/>
      <c r="AQ1055" s="341"/>
      <c r="AR1055" s="341"/>
      <c r="AS1055" s="341"/>
      <c r="AT1055" s="341"/>
      <c r="AU1055" s="343"/>
      <c r="AV1055" s="341"/>
      <c r="AW1055" s="269" t="s">
        <v>2188</v>
      </c>
      <c r="AX1055" s="334" t="s">
        <v>2869</v>
      </c>
      <c r="AY1055" s="270" t="s">
        <v>695</v>
      </c>
      <c r="AZ1055" s="173" t="s">
        <v>2866</v>
      </c>
      <c r="BA1055" s="265">
        <v>10.0</v>
      </c>
      <c r="BB1055" s="174" t="s">
        <v>245</v>
      </c>
      <c r="BC1055" s="341"/>
      <c r="BD1055" s="308"/>
      <c r="BE1055" s="347"/>
      <c r="BF1055" s="274" t="str">
        <f>IFERROR(__xludf.DUMMYFUNCTION("LOWER(Regexreplace(to_text(E1055),""[^A-Za-z0-9]"","""")&amp;""_""&amp;Regexreplace(to_text(F1055),""[^A-Za-z0-9]"",""""))"),"neptronic_evcbseries")</f>
        <v>neptronic_evcbseries</v>
      </c>
      <c r="BG1055" s="275" t="str">
        <f>IFERROR(__xludf.DUMMYFUNCTION("upper(Regexreplace(to_text(E1055),""[^A-Za-z0-9]"","""")&amp;""-""&amp;Regexreplace(to_text(F1055),""[^A-Za-z0-9]"",""""))"),"NEPTRONIC-EVCBSERIES")</f>
        <v>NEPTRONIC-EVCBSERIES</v>
      </c>
    </row>
    <row r="1056" ht="30.0" customHeight="1">
      <c r="A1056" s="258">
        <v>1048.0</v>
      </c>
      <c r="B1056" s="237" t="s">
        <v>670</v>
      </c>
      <c r="C1056" s="257" t="s">
        <v>4693</v>
      </c>
      <c r="D1056" s="173" t="s">
        <v>4693</v>
      </c>
      <c r="E1056" s="174" t="s">
        <v>2861</v>
      </c>
      <c r="F1056" s="173" t="s">
        <v>2862</v>
      </c>
      <c r="G1056" s="328" t="s">
        <v>673</v>
      </c>
      <c r="H1056" s="328" t="s">
        <v>2863</v>
      </c>
      <c r="I1056" s="258" t="s">
        <v>2864</v>
      </c>
      <c r="J1056" s="259" t="s">
        <v>1026</v>
      </c>
      <c r="K1056" s="260" t="s">
        <v>4694</v>
      </c>
      <c r="L1056" s="328"/>
      <c r="M1056" s="343"/>
      <c r="N1056" s="173" t="s">
        <v>679</v>
      </c>
      <c r="O1056" s="173" t="s">
        <v>225</v>
      </c>
      <c r="P1056" s="262" t="str">
        <f t="shared" si="1"/>
        <v>IN-BLR-ANANTA-VAV-628_4</v>
      </c>
      <c r="Q1056" s="173" t="s">
        <v>4695</v>
      </c>
      <c r="R1056" s="328" t="str">
        <f>IFS(C1056="","",C1056="n/a","N/A",LEN(C1056),Concatenate("{",char(34),"asset",char(34),":{",char(34),"guid",char(34),":",char(34),Q1056,char(34),",",char(34),"site",char(34),":",char(34),LOWER('2-Building'!$B$4),char(34),",",char(34),"name",char(34),":",char(34),LOWER(C1056),char(34),"}}"))</f>
        <v>{"asset":{"guid":"uuid://9ad6837b-4391-4277-a24c-91ca178d8bd1","site":"in-blr-ananta","name":"vav-628"}}</v>
      </c>
      <c r="S1056" s="237" t="s">
        <v>2866</v>
      </c>
      <c r="T1056" s="330"/>
      <c r="U1056" s="330"/>
      <c r="V1056" s="331"/>
      <c r="W1056" s="344"/>
      <c r="X1056" s="341"/>
      <c r="Y1056" s="33" t="s">
        <v>2867</v>
      </c>
      <c r="Z1056" s="258">
        <v>120628.0</v>
      </c>
      <c r="AA1056" s="334">
        <v>11562.0</v>
      </c>
      <c r="AB1056" s="341"/>
      <c r="AC1056" s="341"/>
      <c r="AD1056" s="343"/>
      <c r="AE1056" s="331"/>
      <c r="AF1056" s="348"/>
      <c r="AG1056" s="337"/>
      <c r="AH1056" s="341"/>
      <c r="AI1056" s="341"/>
      <c r="AJ1056" s="341"/>
      <c r="AK1056" s="341"/>
      <c r="AL1056" s="341"/>
      <c r="AM1056" s="338"/>
      <c r="AN1056" s="341"/>
      <c r="AO1056" s="341"/>
      <c r="AP1056" s="341"/>
      <c r="AQ1056" s="341"/>
      <c r="AR1056" s="341"/>
      <c r="AS1056" s="341"/>
      <c r="AT1056" s="341"/>
      <c r="AU1056" s="343"/>
      <c r="AV1056" s="341"/>
      <c r="AW1056" s="269" t="s">
        <v>2188</v>
      </c>
      <c r="AX1056" s="334" t="s">
        <v>2869</v>
      </c>
      <c r="AY1056" s="270" t="s">
        <v>695</v>
      </c>
      <c r="AZ1056" s="173" t="s">
        <v>2866</v>
      </c>
      <c r="BA1056" s="265">
        <v>10.0</v>
      </c>
      <c r="BB1056" s="174" t="s">
        <v>245</v>
      </c>
      <c r="BC1056" s="341"/>
      <c r="BD1056" s="308"/>
      <c r="BE1056" s="347"/>
      <c r="BF1056" s="274" t="str">
        <f>IFERROR(__xludf.DUMMYFUNCTION("LOWER(Regexreplace(to_text(E1056),""[^A-Za-z0-9]"","""")&amp;""_""&amp;Regexreplace(to_text(F1056),""[^A-Za-z0-9]"",""""))"),"neptronic_evcbseries")</f>
        <v>neptronic_evcbseries</v>
      </c>
      <c r="BG1056" s="275" t="str">
        <f>IFERROR(__xludf.DUMMYFUNCTION("upper(Regexreplace(to_text(E1056),""[^A-Za-z0-9]"","""")&amp;""-""&amp;Regexreplace(to_text(F1056),""[^A-Za-z0-9]"",""""))"),"NEPTRONIC-EVCBSERIES")</f>
        <v>NEPTRONIC-EVCBSERIES</v>
      </c>
    </row>
    <row r="1057" ht="30.0" customHeight="1">
      <c r="A1057" s="173">
        <v>1049.0</v>
      </c>
      <c r="B1057" s="237" t="s">
        <v>670</v>
      </c>
      <c r="C1057" s="257" t="s">
        <v>4696</v>
      </c>
      <c r="D1057" s="173" t="s">
        <v>4696</v>
      </c>
      <c r="E1057" s="174" t="s">
        <v>2861</v>
      </c>
      <c r="F1057" s="173" t="s">
        <v>2862</v>
      </c>
      <c r="G1057" s="328" t="s">
        <v>673</v>
      </c>
      <c r="H1057" s="328" t="s">
        <v>2863</v>
      </c>
      <c r="I1057" s="258" t="s">
        <v>2864</v>
      </c>
      <c r="J1057" s="259" t="s">
        <v>1026</v>
      </c>
      <c r="K1057" s="260" t="s">
        <v>4186</v>
      </c>
      <c r="L1057" s="328"/>
      <c r="M1057" s="343"/>
      <c r="N1057" s="173" t="s">
        <v>679</v>
      </c>
      <c r="O1057" s="173" t="s">
        <v>225</v>
      </c>
      <c r="P1057" s="262" t="str">
        <f t="shared" si="1"/>
        <v>IN-BLR-ANANTA-VAV-629_4</v>
      </c>
      <c r="Q1057" s="173" t="s">
        <v>4697</v>
      </c>
      <c r="R1057" s="328" t="str">
        <f>IFS(C1057="","",C1057="n/a","N/A",LEN(C1057),Concatenate("{",char(34),"asset",char(34),":{",char(34),"guid",char(34),":",char(34),Q1057,char(34),",",char(34),"site",char(34),":",char(34),LOWER('2-Building'!$B$4),char(34),",",char(34),"name",char(34),":",char(34),LOWER(C1057),char(34),"}}"))</f>
        <v>{"asset":{"guid":"uuid://cd52a965-1717-4129-974d-9f9f9aed8bd1","site":"in-blr-ananta","name":"vav-629"}}</v>
      </c>
      <c r="S1057" s="237" t="s">
        <v>2866</v>
      </c>
      <c r="T1057" s="330"/>
      <c r="U1057" s="330"/>
      <c r="V1057" s="331"/>
      <c r="W1057" s="344"/>
      <c r="X1057" s="341"/>
      <c r="Y1057" s="33" t="s">
        <v>2867</v>
      </c>
      <c r="Z1057" s="258">
        <v>120629.0</v>
      </c>
      <c r="AA1057" s="334">
        <v>11562.0</v>
      </c>
      <c r="AB1057" s="341"/>
      <c r="AC1057" s="341"/>
      <c r="AD1057" s="343"/>
      <c r="AE1057" s="331"/>
      <c r="AF1057" s="348"/>
      <c r="AG1057" s="337"/>
      <c r="AH1057" s="341"/>
      <c r="AI1057" s="341"/>
      <c r="AJ1057" s="341"/>
      <c r="AK1057" s="341"/>
      <c r="AL1057" s="341"/>
      <c r="AM1057" s="338"/>
      <c r="AN1057" s="341"/>
      <c r="AO1057" s="341"/>
      <c r="AP1057" s="341"/>
      <c r="AQ1057" s="341"/>
      <c r="AR1057" s="341"/>
      <c r="AS1057" s="341"/>
      <c r="AT1057" s="341"/>
      <c r="AU1057" s="343"/>
      <c r="AV1057" s="341"/>
      <c r="AW1057" s="269" t="s">
        <v>2188</v>
      </c>
      <c r="AX1057" s="334" t="s">
        <v>2869</v>
      </c>
      <c r="AY1057" s="270" t="s">
        <v>695</v>
      </c>
      <c r="AZ1057" s="173" t="s">
        <v>2866</v>
      </c>
      <c r="BA1057" s="265">
        <v>10.0</v>
      </c>
      <c r="BB1057" s="174" t="s">
        <v>245</v>
      </c>
      <c r="BC1057" s="341"/>
      <c r="BD1057" s="308"/>
      <c r="BE1057" s="347"/>
      <c r="BF1057" s="274" t="str">
        <f>IFERROR(__xludf.DUMMYFUNCTION("LOWER(Regexreplace(to_text(E1057),""[^A-Za-z0-9]"","""")&amp;""_""&amp;Regexreplace(to_text(F1057),""[^A-Za-z0-9]"",""""))"),"neptronic_evcbseries")</f>
        <v>neptronic_evcbseries</v>
      </c>
      <c r="BG1057" s="275" t="str">
        <f>IFERROR(__xludf.DUMMYFUNCTION("upper(Regexreplace(to_text(E1057),""[^A-Za-z0-9]"","""")&amp;""-""&amp;Regexreplace(to_text(F1057),""[^A-Za-z0-9]"",""""))"),"NEPTRONIC-EVCBSERIES")</f>
        <v>NEPTRONIC-EVCBSERIES</v>
      </c>
    </row>
    <row r="1058" ht="30.0" customHeight="1">
      <c r="A1058" s="258">
        <v>1050.0</v>
      </c>
      <c r="B1058" s="237" t="s">
        <v>670</v>
      </c>
      <c r="C1058" s="257" t="s">
        <v>4698</v>
      </c>
      <c r="D1058" s="173" t="s">
        <v>4698</v>
      </c>
      <c r="E1058" s="174" t="s">
        <v>2861</v>
      </c>
      <c r="F1058" s="173" t="s">
        <v>2862</v>
      </c>
      <c r="G1058" s="328" t="s">
        <v>673</v>
      </c>
      <c r="H1058" s="328" t="s">
        <v>2863</v>
      </c>
      <c r="I1058" s="258" t="s">
        <v>2864</v>
      </c>
      <c r="J1058" s="259" t="s">
        <v>1026</v>
      </c>
      <c r="K1058" s="260" t="s">
        <v>4642</v>
      </c>
      <c r="L1058" s="328"/>
      <c r="M1058" s="343"/>
      <c r="N1058" s="173" t="s">
        <v>679</v>
      </c>
      <c r="O1058" s="173" t="s">
        <v>225</v>
      </c>
      <c r="P1058" s="262" t="str">
        <f t="shared" si="1"/>
        <v>IN-BLR-ANANTA-VAV-630_4</v>
      </c>
      <c r="Q1058" s="173" t="s">
        <v>4699</v>
      </c>
      <c r="R1058" s="328" t="str">
        <f>IFS(C1058="","",C1058="n/a","N/A",LEN(C1058),Concatenate("{",char(34),"asset",char(34),":{",char(34),"guid",char(34),":",char(34),Q1058,char(34),",",char(34),"site",char(34),":",char(34),LOWER('2-Building'!$B$4),char(34),",",char(34),"name",char(34),":",char(34),LOWER(C1058),char(34),"}}"))</f>
        <v>{"asset":{"guid":"uuid://ae510a19-44a1-4872-a150-ef50bd3a8b79","site":"in-blr-ananta","name":"vav-630"}}</v>
      </c>
      <c r="S1058" s="237" t="s">
        <v>2866</v>
      </c>
      <c r="T1058" s="330"/>
      <c r="U1058" s="330"/>
      <c r="V1058" s="331"/>
      <c r="W1058" s="344"/>
      <c r="X1058" s="341"/>
      <c r="Y1058" s="33" t="s">
        <v>2867</v>
      </c>
      <c r="Z1058" s="258">
        <v>120630.0</v>
      </c>
      <c r="AA1058" s="334">
        <v>11562.0</v>
      </c>
      <c r="AB1058" s="341"/>
      <c r="AC1058" s="341"/>
      <c r="AD1058" s="343"/>
      <c r="AE1058" s="331"/>
      <c r="AF1058" s="348"/>
      <c r="AG1058" s="337"/>
      <c r="AH1058" s="341"/>
      <c r="AI1058" s="341"/>
      <c r="AJ1058" s="341"/>
      <c r="AK1058" s="341"/>
      <c r="AL1058" s="341"/>
      <c r="AM1058" s="338"/>
      <c r="AN1058" s="341"/>
      <c r="AO1058" s="341"/>
      <c r="AP1058" s="341"/>
      <c r="AQ1058" s="341"/>
      <c r="AR1058" s="341"/>
      <c r="AS1058" s="341"/>
      <c r="AT1058" s="341"/>
      <c r="AU1058" s="343"/>
      <c r="AV1058" s="341"/>
      <c r="AW1058" s="269" t="s">
        <v>2188</v>
      </c>
      <c r="AX1058" s="334" t="s">
        <v>2869</v>
      </c>
      <c r="AY1058" s="270" t="s">
        <v>695</v>
      </c>
      <c r="AZ1058" s="173" t="s">
        <v>2866</v>
      </c>
      <c r="BA1058" s="265">
        <v>10.0</v>
      </c>
      <c r="BB1058" s="174" t="s">
        <v>245</v>
      </c>
      <c r="BC1058" s="341"/>
      <c r="BD1058" s="308"/>
      <c r="BE1058" s="347"/>
      <c r="BF1058" s="274" t="str">
        <f>IFERROR(__xludf.DUMMYFUNCTION("LOWER(Regexreplace(to_text(E1058),""[^A-Za-z0-9]"","""")&amp;""_""&amp;Regexreplace(to_text(F1058),""[^A-Za-z0-9]"",""""))"),"neptronic_evcbseries")</f>
        <v>neptronic_evcbseries</v>
      </c>
      <c r="BG1058" s="275" t="str">
        <f>IFERROR(__xludf.DUMMYFUNCTION("upper(Regexreplace(to_text(E1058),""[^A-Za-z0-9]"","""")&amp;""-""&amp;Regexreplace(to_text(F1058),""[^A-Za-z0-9]"",""""))"),"NEPTRONIC-EVCBSERIES")</f>
        <v>NEPTRONIC-EVCBSERIES</v>
      </c>
    </row>
    <row r="1059" ht="30.0" customHeight="1">
      <c r="A1059" s="173">
        <v>1051.0</v>
      </c>
      <c r="B1059" s="237" t="s">
        <v>670</v>
      </c>
      <c r="C1059" s="257" t="s">
        <v>4700</v>
      </c>
      <c r="D1059" s="173" t="s">
        <v>4700</v>
      </c>
      <c r="E1059" s="174" t="s">
        <v>2861</v>
      </c>
      <c r="F1059" s="173" t="s">
        <v>2862</v>
      </c>
      <c r="G1059" s="328" t="s">
        <v>673</v>
      </c>
      <c r="H1059" s="328" t="s">
        <v>2863</v>
      </c>
      <c r="I1059" s="258" t="s">
        <v>2864</v>
      </c>
      <c r="J1059" s="259" t="s">
        <v>1026</v>
      </c>
      <c r="K1059" s="260" t="s">
        <v>4701</v>
      </c>
      <c r="L1059" s="328"/>
      <c r="M1059" s="343"/>
      <c r="N1059" s="173" t="s">
        <v>679</v>
      </c>
      <c r="O1059" s="173" t="s">
        <v>225</v>
      </c>
      <c r="P1059" s="262" t="str">
        <f t="shared" si="1"/>
        <v>IN-BLR-ANANTA-VAV-631_4</v>
      </c>
      <c r="Q1059" s="173" t="s">
        <v>4702</v>
      </c>
      <c r="R1059" s="328" t="str">
        <f>IFS(C1059="","",C1059="n/a","N/A",LEN(C1059),Concatenate("{",char(34),"asset",char(34),":{",char(34),"guid",char(34),":",char(34),Q1059,char(34),",",char(34),"site",char(34),":",char(34),LOWER('2-Building'!$B$4),char(34),",",char(34),"name",char(34),":",char(34),LOWER(C1059),char(34),"}}"))</f>
        <v>{"asset":{"guid":"uuid://4795d84d-ea1e-49de-b239-ee6cd133fed0","site":"in-blr-ananta","name":"vav-631"}}</v>
      </c>
      <c r="S1059" s="237" t="s">
        <v>2866</v>
      </c>
      <c r="T1059" s="330"/>
      <c r="U1059" s="330"/>
      <c r="V1059" s="331"/>
      <c r="W1059" s="344"/>
      <c r="X1059" s="341"/>
      <c r="Y1059" s="33" t="s">
        <v>2867</v>
      </c>
      <c r="Z1059" s="258">
        <v>120631.0</v>
      </c>
      <c r="AA1059" s="334">
        <v>11562.0</v>
      </c>
      <c r="AB1059" s="341"/>
      <c r="AC1059" s="341"/>
      <c r="AD1059" s="343"/>
      <c r="AE1059" s="331"/>
      <c r="AF1059" s="348"/>
      <c r="AG1059" s="337"/>
      <c r="AH1059" s="341"/>
      <c r="AI1059" s="341"/>
      <c r="AJ1059" s="341"/>
      <c r="AK1059" s="341"/>
      <c r="AL1059" s="341"/>
      <c r="AM1059" s="338"/>
      <c r="AN1059" s="341"/>
      <c r="AO1059" s="341"/>
      <c r="AP1059" s="341"/>
      <c r="AQ1059" s="341"/>
      <c r="AR1059" s="341"/>
      <c r="AS1059" s="341"/>
      <c r="AT1059" s="341"/>
      <c r="AU1059" s="343"/>
      <c r="AV1059" s="341"/>
      <c r="AW1059" s="269" t="s">
        <v>2188</v>
      </c>
      <c r="AX1059" s="334" t="s">
        <v>2869</v>
      </c>
      <c r="AY1059" s="270" t="s">
        <v>695</v>
      </c>
      <c r="AZ1059" s="173" t="s">
        <v>2866</v>
      </c>
      <c r="BA1059" s="265">
        <v>10.0</v>
      </c>
      <c r="BB1059" s="174" t="s">
        <v>245</v>
      </c>
      <c r="BC1059" s="341"/>
      <c r="BD1059" s="308"/>
      <c r="BE1059" s="347"/>
      <c r="BF1059" s="274" t="str">
        <f>IFERROR(__xludf.DUMMYFUNCTION("LOWER(Regexreplace(to_text(E1059),""[^A-Za-z0-9]"","""")&amp;""_""&amp;Regexreplace(to_text(F1059),""[^A-Za-z0-9]"",""""))"),"neptronic_evcbseries")</f>
        <v>neptronic_evcbseries</v>
      </c>
      <c r="BG1059" s="275" t="str">
        <f>IFERROR(__xludf.DUMMYFUNCTION("upper(Regexreplace(to_text(E1059),""[^A-Za-z0-9]"","""")&amp;""-""&amp;Regexreplace(to_text(F1059),""[^A-Za-z0-9]"",""""))"),"NEPTRONIC-EVCBSERIES")</f>
        <v>NEPTRONIC-EVCBSERIES</v>
      </c>
    </row>
    <row r="1060" ht="30.0" customHeight="1">
      <c r="A1060" s="258">
        <v>1052.0</v>
      </c>
      <c r="B1060" s="237" t="s">
        <v>670</v>
      </c>
      <c r="C1060" s="257" t="s">
        <v>4703</v>
      </c>
      <c r="D1060" s="173" t="s">
        <v>4703</v>
      </c>
      <c r="E1060" s="174" t="s">
        <v>2861</v>
      </c>
      <c r="F1060" s="173" t="s">
        <v>2862</v>
      </c>
      <c r="G1060" s="328" t="s">
        <v>673</v>
      </c>
      <c r="H1060" s="328" t="s">
        <v>2863</v>
      </c>
      <c r="I1060" s="258" t="s">
        <v>2864</v>
      </c>
      <c r="J1060" s="259" t="s">
        <v>1026</v>
      </c>
      <c r="K1060" s="260" t="s">
        <v>4704</v>
      </c>
      <c r="L1060" s="328"/>
      <c r="M1060" s="343"/>
      <c r="N1060" s="173" t="s">
        <v>679</v>
      </c>
      <c r="O1060" s="173" t="s">
        <v>225</v>
      </c>
      <c r="P1060" s="262" t="str">
        <f t="shared" si="1"/>
        <v>IN-BLR-ANANTA-VAV-632_4</v>
      </c>
      <c r="Q1060" s="173" t="s">
        <v>4705</v>
      </c>
      <c r="R1060" s="328" t="str">
        <f>IFS(C1060="","",C1060="n/a","N/A",LEN(C1060),Concatenate("{",char(34),"asset",char(34),":{",char(34),"guid",char(34),":",char(34),Q1060,char(34),",",char(34),"site",char(34),":",char(34),LOWER('2-Building'!$B$4),char(34),",",char(34),"name",char(34),":",char(34),LOWER(C1060),char(34),"}}"))</f>
        <v>{"asset":{"guid":"uuid://29ec9801-3246-4f49-b79f-35e8f3b03758","site":"in-blr-ananta","name":"vav-632"}}</v>
      </c>
      <c r="S1060" s="237" t="s">
        <v>2866</v>
      </c>
      <c r="T1060" s="330"/>
      <c r="U1060" s="330"/>
      <c r="V1060" s="331"/>
      <c r="W1060" s="344"/>
      <c r="X1060" s="341"/>
      <c r="Y1060" s="33" t="s">
        <v>2867</v>
      </c>
      <c r="Z1060" s="258">
        <v>120632.0</v>
      </c>
      <c r="AA1060" s="334">
        <v>11562.0</v>
      </c>
      <c r="AB1060" s="341"/>
      <c r="AC1060" s="341"/>
      <c r="AD1060" s="343"/>
      <c r="AE1060" s="331"/>
      <c r="AF1060" s="348"/>
      <c r="AG1060" s="337"/>
      <c r="AH1060" s="341"/>
      <c r="AI1060" s="341"/>
      <c r="AJ1060" s="341"/>
      <c r="AK1060" s="341"/>
      <c r="AL1060" s="341"/>
      <c r="AM1060" s="338"/>
      <c r="AN1060" s="341"/>
      <c r="AO1060" s="341"/>
      <c r="AP1060" s="341"/>
      <c r="AQ1060" s="341"/>
      <c r="AR1060" s="341"/>
      <c r="AS1060" s="341"/>
      <c r="AT1060" s="341"/>
      <c r="AU1060" s="343"/>
      <c r="AV1060" s="341"/>
      <c r="AW1060" s="269" t="s">
        <v>2188</v>
      </c>
      <c r="AX1060" s="334" t="s">
        <v>2869</v>
      </c>
      <c r="AY1060" s="270" t="s">
        <v>695</v>
      </c>
      <c r="AZ1060" s="173" t="s">
        <v>2866</v>
      </c>
      <c r="BA1060" s="265">
        <v>10.0</v>
      </c>
      <c r="BB1060" s="174" t="s">
        <v>245</v>
      </c>
      <c r="BC1060" s="341"/>
      <c r="BD1060" s="308"/>
      <c r="BE1060" s="347"/>
      <c r="BF1060" s="274" t="str">
        <f>IFERROR(__xludf.DUMMYFUNCTION("LOWER(Regexreplace(to_text(E1060),""[^A-Za-z0-9]"","""")&amp;""_""&amp;Regexreplace(to_text(F1060),""[^A-Za-z0-9]"",""""))"),"neptronic_evcbseries")</f>
        <v>neptronic_evcbseries</v>
      </c>
      <c r="BG1060" s="275" t="str">
        <f>IFERROR(__xludf.DUMMYFUNCTION("upper(Regexreplace(to_text(E1060),""[^A-Za-z0-9]"","""")&amp;""-""&amp;Regexreplace(to_text(F1060),""[^A-Za-z0-9]"",""""))"),"NEPTRONIC-EVCBSERIES")</f>
        <v>NEPTRONIC-EVCBSERIES</v>
      </c>
    </row>
    <row r="1061" ht="30.0" customHeight="1">
      <c r="A1061" s="173">
        <v>1053.0</v>
      </c>
      <c r="B1061" s="237" t="s">
        <v>670</v>
      </c>
      <c r="C1061" s="257" t="s">
        <v>4706</v>
      </c>
      <c r="D1061" s="173" t="s">
        <v>4706</v>
      </c>
      <c r="E1061" s="174" t="s">
        <v>2861</v>
      </c>
      <c r="F1061" s="173" t="s">
        <v>2862</v>
      </c>
      <c r="G1061" s="328" t="s">
        <v>673</v>
      </c>
      <c r="H1061" s="328" t="s">
        <v>2863</v>
      </c>
      <c r="I1061" s="258" t="s">
        <v>2864</v>
      </c>
      <c r="J1061" s="259" t="s">
        <v>1026</v>
      </c>
      <c r="K1061" s="260" t="s">
        <v>4707</v>
      </c>
      <c r="L1061" s="328"/>
      <c r="M1061" s="343"/>
      <c r="N1061" s="173" t="s">
        <v>679</v>
      </c>
      <c r="O1061" s="173" t="s">
        <v>225</v>
      </c>
      <c r="P1061" s="262" t="str">
        <f t="shared" si="1"/>
        <v>IN-BLR-ANANTA-VAV-633_4</v>
      </c>
      <c r="Q1061" s="173" t="s">
        <v>4708</v>
      </c>
      <c r="R1061" s="328" t="str">
        <f>IFS(C1061="","",C1061="n/a","N/A",LEN(C1061),Concatenate("{",char(34),"asset",char(34),":{",char(34),"guid",char(34),":",char(34),Q1061,char(34),",",char(34),"site",char(34),":",char(34),LOWER('2-Building'!$B$4),char(34),",",char(34),"name",char(34),":",char(34),LOWER(C1061),char(34),"}}"))</f>
        <v>{"asset":{"guid":"uuid://06da6256-a4ee-473c-9f4a-3ef86397008a","site":"in-blr-ananta","name":"vav-633"}}</v>
      </c>
      <c r="S1061" s="237" t="s">
        <v>2866</v>
      </c>
      <c r="T1061" s="330"/>
      <c r="U1061" s="330"/>
      <c r="V1061" s="331"/>
      <c r="W1061" s="344"/>
      <c r="X1061" s="341"/>
      <c r="Y1061" s="33" t="s">
        <v>2867</v>
      </c>
      <c r="Z1061" s="258">
        <v>120633.0</v>
      </c>
      <c r="AA1061" s="334">
        <v>11562.0</v>
      </c>
      <c r="AB1061" s="341"/>
      <c r="AC1061" s="341"/>
      <c r="AD1061" s="343"/>
      <c r="AE1061" s="331"/>
      <c r="AF1061" s="348"/>
      <c r="AG1061" s="337"/>
      <c r="AH1061" s="341"/>
      <c r="AI1061" s="341"/>
      <c r="AJ1061" s="341"/>
      <c r="AK1061" s="341"/>
      <c r="AL1061" s="341"/>
      <c r="AM1061" s="338"/>
      <c r="AN1061" s="341"/>
      <c r="AO1061" s="341"/>
      <c r="AP1061" s="341"/>
      <c r="AQ1061" s="341"/>
      <c r="AR1061" s="341"/>
      <c r="AS1061" s="341"/>
      <c r="AT1061" s="341"/>
      <c r="AU1061" s="343"/>
      <c r="AV1061" s="341"/>
      <c r="AW1061" s="269" t="s">
        <v>2188</v>
      </c>
      <c r="AX1061" s="334" t="s">
        <v>2869</v>
      </c>
      <c r="AY1061" s="270" t="s">
        <v>695</v>
      </c>
      <c r="AZ1061" s="173" t="s">
        <v>2866</v>
      </c>
      <c r="BA1061" s="265">
        <v>10.0</v>
      </c>
      <c r="BB1061" s="174" t="s">
        <v>245</v>
      </c>
      <c r="BC1061" s="341"/>
      <c r="BD1061" s="308"/>
      <c r="BE1061" s="347"/>
      <c r="BF1061" s="274" t="str">
        <f>IFERROR(__xludf.DUMMYFUNCTION("LOWER(Regexreplace(to_text(E1061),""[^A-Za-z0-9]"","""")&amp;""_""&amp;Regexreplace(to_text(F1061),""[^A-Za-z0-9]"",""""))"),"neptronic_evcbseries")</f>
        <v>neptronic_evcbseries</v>
      </c>
      <c r="BG1061" s="275" t="str">
        <f>IFERROR(__xludf.DUMMYFUNCTION("upper(Regexreplace(to_text(E1061),""[^A-Za-z0-9]"","""")&amp;""-""&amp;Regexreplace(to_text(F1061),""[^A-Za-z0-9]"",""""))"),"NEPTRONIC-EVCBSERIES")</f>
        <v>NEPTRONIC-EVCBSERIES</v>
      </c>
    </row>
    <row r="1062" ht="30.0" customHeight="1">
      <c r="A1062" s="258">
        <v>1054.0</v>
      </c>
      <c r="B1062" s="237" t="s">
        <v>670</v>
      </c>
      <c r="C1062" s="257" t="s">
        <v>4709</v>
      </c>
      <c r="D1062" s="173" t="s">
        <v>4709</v>
      </c>
      <c r="E1062" s="174" t="s">
        <v>2861</v>
      </c>
      <c r="F1062" s="173" t="s">
        <v>2862</v>
      </c>
      <c r="G1062" s="328" t="s">
        <v>673</v>
      </c>
      <c r="H1062" s="328" t="s">
        <v>2863</v>
      </c>
      <c r="I1062" s="258" t="s">
        <v>2864</v>
      </c>
      <c r="J1062" s="259" t="s">
        <v>1026</v>
      </c>
      <c r="K1062" s="260" t="s">
        <v>4710</v>
      </c>
      <c r="L1062" s="328"/>
      <c r="M1062" s="343"/>
      <c r="N1062" s="173" t="s">
        <v>679</v>
      </c>
      <c r="O1062" s="173" t="s">
        <v>225</v>
      </c>
      <c r="P1062" s="262" t="str">
        <f t="shared" si="1"/>
        <v>IN-BLR-ANANTA-VAV-634_4</v>
      </c>
      <c r="Q1062" s="173" t="s">
        <v>4711</v>
      </c>
      <c r="R1062" s="328" t="str">
        <f>IFS(C1062="","",C1062="n/a","N/A",LEN(C1062),Concatenate("{",char(34),"asset",char(34),":{",char(34),"guid",char(34),":",char(34),Q1062,char(34),",",char(34),"site",char(34),":",char(34),LOWER('2-Building'!$B$4),char(34),",",char(34),"name",char(34),":",char(34),LOWER(C1062),char(34),"}}"))</f>
        <v>{"asset":{"guid":"uuid://23af033d-6533-41f6-9923-2818392826ce","site":"in-blr-ananta","name":"vav-634"}}</v>
      </c>
      <c r="S1062" s="237" t="s">
        <v>2866</v>
      </c>
      <c r="T1062" s="330"/>
      <c r="U1062" s="330"/>
      <c r="V1062" s="331"/>
      <c r="W1062" s="344"/>
      <c r="X1062" s="341"/>
      <c r="Y1062" s="33" t="s">
        <v>2867</v>
      </c>
      <c r="Z1062" s="258">
        <v>120634.0</v>
      </c>
      <c r="AA1062" s="334">
        <v>11562.0</v>
      </c>
      <c r="AB1062" s="341"/>
      <c r="AC1062" s="341"/>
      <c r="AD1062" s="343"/>
      <c r="AE1062" s="331"/>
      <c r="AF1062" s="348"/>
      <c r="AG1062" s="337"/>
      <c r="AH1062" s="341"/>
      <c r="AI1062" s="341"/>
      <c r="AJ1062" s="341"/>
      <c r="AK1062" s="341"/>
      <c r="AL1062" s="341"/>
      <c r="AM1062" s="338"/>
      <c r="AN1062" s="341"/>
      <c r="AO1062" s="341"/>
      <c r="AP1062" s="341"/>
      <c r="AQ1062" s="341"/>
      <c r="AR1062" s="341"/>
      <c r="AS1062" s="341"/>
      <c r="AT1062" s="341"/>
      <c r="AU1062" s="343"/>
      <c r="AV1062" s="341"/>
      <c r="AW1062" s="269" t="s">
        <v>2188</v>
      </c>
      <c r="AX1062" s="334" t="s">
        <v>2869</v>
      </c>
      <c r="AY1062" s="270" t="s">
        <v>695</v>
      </c>
      <c r="AZ1062" s="173" t="s">
        <v>2866</v>
      </c>
      <c r="BA1062" s="265">
        <v>10.0</v>
      </c>
      <c r="BB1062" s="174" t="s">
        <v>245</v>
      </c>
      <c r="BC1062" s="341"/>
      <c r="BD1062" s="308"/>
      <c r="BE1062" s="347"/>
      <c r="BF1062" s="274" t="str">
        <f>IFERROR(__xludf.DUMMYFUNCTION("LOWER(Regexreplace(to_text(E1062),""[^A-Za-z0-9]"","""")&amp;""_""&amp;Regexreplace(to_text(F1062),""[^A-Za-z0-9]"",""""))"),"neptronic_evcbseries")</f>
        <v>neptronic_evcbseries</v>
      </c>
      <c r="BG1062" s="275" t="str">
        <f>IFERROR(__xludf.DUMMYFUNCTION("upper(Regexreplace(to_text(E1062),""[^A-Za-z0-9]"","""")&amp;""-""&amp;Regexreplace(to_text(F1062),""[^A-Za-z0-9]"",""""))"),"NEPTRONIC-EVCBSERIES")</f>
        <v>NEPTRONIC-EVCBSERIES</v>
      </c>
    </row>
    <row r="1063" ht="30.0" customHeight="1">
      <c r="A1063" s="173">
        <v>1055.0</v>
      </c>
      <c r="B1063" s="237" t="s">
        <v>670</v>
      </c>
      <c r="C1063" s="257" t="s">
        <v>4712</v>
      </c>
      <c r="D1063" s="173" t="s">
        <v>4712</v>
      </c>
      <c r="E1063" s="174" t="s">
        <v>2861</v>
      </c>
      <c r="F1063" s="173" t="s">
        <v>2862</v>
      </c>
      <c r="G1063" s="328" t="s">
        <v>673</v>
      </c>
      <c r="H1063" s="328" t="s">
        <v>2863</v>
      </c>
      <c r="I1063" s="258" t="s">
        <v>2864</v>
      </c>
      <c r="J1063" s="259" t="s">
        <v>1026</v>
      </c>
      <c r="K1063" s="260" t="s">
        <v>4713</v>
      </c>
      <c r="L1063" s="328"/>
      <c r="M1063" s="343"/>
      <c r="N1063" s="173" t="s">
        <v>679</v>
      </c>
      <c r="O1063" s="173" t="s">
        <v>225</v>
      </c>
      <c r="P1063" s="262" t="str">
        <f t="shared" si="1"/>
        <v>IN-BLR-ANANTA-VAV-635_4</v>
      </c>
      <c r="Q1063" s="173" t="s">
        <v>4714</v>
      </c>
      <c r="R1063" s="328" t="str">
        <f>IFS(C1063="","",C1063="n/a","N/A",LEN(C1063),Concatenate("{",char(34),"asset",char(34),":{",char(34),"guid",char(34),":",char(34),Q1063,char(34),",",char(34),"site",char(34),":",char(34),LOWER('2-Building'!$B$4),char(34),",",char(34),"name",char(34),":",char(34),LOWER(C1063),char(34),"}}"))</f>
        <v>{"asset":{"guid":"uuid://28e43373-7963-41f7-b156-fc993cbb9ba9","site":"in-blr-ananta","name":"vav-635"}}</v>
      </c>
      <c r="S1063" s="237" t="s">
        <v>2866</v>
      </c>
      <c r="T1063" s="330"/>
      <c r="U1063" s="330"/>
      <c r="V1063" s="331"/>
      <c r="W1063" s="344"/>
      <c r="X1063" s="341"/>
      <c r="Y1063" s="33" t="s">
        <v>2867</v>
      </c>
      <c r="Z1063" s="258">
        <v>120635.0</v>
      </c>
      <c r="AA1063" s="334">
        <v>11562.0</v>
      </c>
      <c r="AB1063" s="341"/>
      <c r="AC1063" s="341"/>
      <c r="AD1063" s="343"/>
      <c r="AE1063" s="331"/>
      <c r="AF1063" s="348"/>
      <c r="AG1063" s="337"/>
      <c r="AH1063" s="341"/>
      <c r="AI1063" s="341"/>
      <c r="AJ1063" s="341"/>
      <c r="AK1063" s="341"/>
      <c r="AL1063" s="341"/>
      <c r="AM1063" s="338"/>
      <c r="AN1063" s="341"/>
      <c r="AO1063" s="341"/>
      <c r="AP1063" s="341"/>
      <c r="AQ1063" s="341"/>
      <c r="AR1063" s="341"/>
      <c r="AS1063" s="341"/>
      <c r="AT1063" s="341"/>
      <c r="AU1063" s="343"/>
      <c r="AV1063" s="341"/>
      <c r="AW1063" s="269" t="s">
        <v>2188</v>
      </c>
      <c r="AX1063" s="334" t="s">
        <v>2869</v>
      </c>
      <c r="AY1063" s="270" t="s">
        <v>695</v>
      </c>
      <c r="AZ1063" s="173" t="s">
        <v>2866</v>
      </c>
      <c r="BA1063" s="265">
        <v>10.0</v>
      </c>
      <c r="BB1063" s="174" t="s">
        <v>245</v>
      </c>
      <c r="BC1063" s="341"/>
      <c r="BD1063" s="308"/>
      <c r="BE1063" s="347"/>
      <c r="BF1063" s="274" t="str">
        <f>IFERROR(__xludf.DUMMYFUNCTION("LOWER(Regexreplace(to_text(E1063),""[^A-Za-z0-9]"","""")&amp;""_""&amp;Regexreplace(to_text(F1063),""[^A-Za-z0-9]"",""""))"),"neptronic_evcbseries")</f>
        <v>neptronic_evcbseries</v>
      </c>
      <c r="BG1063" s="275" t="str">
        <f>IFERROR(__xludf.DUMMYFUNCTION("upper(Regexreplace(to_text(E1063),""[^A-Za-z0-9]"","""")&amp;""-""&amp;Regexreplace(to_text(F1063),""[^A-Za-z0-9]"",""""))"),"NEPTRONIC-EVCBSERIES")</f>
        <v>NEPTRONIC-EVCBSERIES</v>
      </c>
    </row>
    <row r="1064" ht="30.0" customHeight="1">
      <c r="A1064" s="258">
        <v>1056.0</v>
      </c>
      <c r="B1064" s="237" t="s">
        <v>670</v>
      </c>
      <c r="C1064" s="257" t="s">
        <v>4715</v>
      </c>
      <c r="D1064" s="173" t="s">
        <v>4715</v>
      </c>
      <c r="E1064" s="174" t="s">
        <v>2861</v>
      </c>
      <c r="F1064" s="173" t="s">
        <v>2862</v>
      </c>
      <c r="G1064" s="328" t="s">
        <v>673</v>
      </c>
      <c r="H1064" s="328" t="s">
        <v>2863</v>
      </c>
      <c r="I1064" s="258" t="s">
        <v>2864</v>
      </c>
      <c r="J1064" s="259" t="s">
        <v>1026</v>
      </c>
      <c r="K1064" s="260" t="s">
        <v>4716</v>
      </c>
      <c r="L1064" s="328"/>
      <c r="M1064" s="343"/>
      <c r="N1064" s="173" t="s">
        <v>679</v>
      </c>
      <c r="O1064" s="173" t="s">
        <v>225</v>
      </c>
      <c r="P1064" s="262" t="str">
        <f t="shared" si="1"/>
        <v>IN-BLR-ANANTA-VAV-636_4</v>
      </c>
      <c r="Q1064" s="173" t="s">
        <v>4717</v>
      </c>
      <c r="R1064" s="328" t="str">
        <f>IFS(C1064="","",C1064="n/a","N/A",LEN(C1064),Concatenate("{",char(34),"asset",char(34),":{",char(34),"guid",char(34),":",char(34),Q1064,char(34),",",char(34),"site",char(34),":",char(34),LOWER('2-Building'!$B$4),char(34),",",char(34),"name",char(34),":",char(34),LOWER(C1064),char(34),"}}"))</f>
        <v>{"asset":{"guid":"uuid://2ebb6dae-5a9d-4901-8ef6-fd02c4090b6f","site":"in-blr-ananta","name":"vav-636"}}</v>
      </c>
      <c r="S1064" s="237" t="s">
        <v>2866</v>
      </c>
      <c r="T1064" s="330"/>
      <c r="U1064" s="330"/>
      <c r="V1064" s="331"/>
      <c r="W1064" s="344"/>
      <c r="X1064" s="341"/>
      <c r="Y1064" s="33" t="s">
        <v>2867</v>
      </c>
      <c r="Z1064" s="258">
        <v>120636.0</v>
      </c>
      <c r="AA1064" s="334">
        <v>11562.0</v>
      </c>
      <c r="AB1064" s="341"/>
      <c r="AC1064" s="341"/>
      <c r="AD1064" s="343"/>
      <c r="AE1064" s="331"/>
      <c r="AF1064" s="348"/>
      <c r="AG1064" s="337"/>
      <c r="AH1064" s="341"/>
      <c r="AI1064" s="341"/>
      <c r="AJ1064" s="341"/>
      <c r="AK1064" s="341"/>
      <c r="AL1064" s="341"/>
      <c r="AM1064" s="338"/>
      <c r="AN1064" s="341"/>
      <c r="AO1064" s="341"/>
      <c r="AP1064" s="341"/>
      <c r="AQ1064" s="341"/>
      <c r="AR1064" s="341"/>
      <c r="AS1064" s="341"/>
      <c r="AT1064" s="341"/>
      <c r="AU1064" s="343"/>
      <c r="AV1064" s="341"/>
      <c r="AW1064" s="269" t="s">
        <v>2188</v>
      </c>
      <c r="AX1064" s="334" t="s">
        <v>2869</v>
      </c>
      <c r="AY1064" s="270" t="s">
        <v>695</v>
      </c>
      <c r="AZ1064" s="173" t="s">
        <v>2866</v>
      </c>
      <c r="BA1064" s="265">
        <v>10.0</v>
      </c>
      <c r="BB1064" s="174" t="s">
        <v>245</v>
      </c>
      <c r="BC1064" s="341"/>
      <c r="BD1064" s="308"/>
      <c r="BE1064" s="347"/>
      <c r="BF1064" s="274" t="str">
        <f>IFERROR(__xludf.DUMMYFUNCTION("LOWER(Regexreplace(to_text(E1064),""[^A-Za-z0-9]"","""")&amp;""_""&amp;Regexreplace(to_text(F1064),""[^A-Za-z0-9]"",""""))"),"neptronic_evcbseries")</f>
        <v>neptronic_evcbseries</v>
      </c>
      <c r="BG1064" s="275" t="str">
        <f>IFERROR(__xludf.DUMMYFUNCTION("upper(Regexreplace(to_text(E1064),""[^A-Za-z0-9]"","""")&amp;""-""&amp;Regexreplace(to_text(F1064),""[^A-Za-z0-9]"",""""))"),"NEPTRONIC-EVCBSERIES")</f>
        <v>NEPTRONIC-EVCBSERIES</v>
      </c>
    </row>
    <row r="1065" ht="30.0" customHeight="1">
      <c r="A1065" s="173">
        <v>1057.0</v>
      </c>
      <c r="B1065" s="237" t="s">
        <v>670</v>
      </c>
      <c r="C1065" s="257" t="s">
        <v>4718</v>
      </c>
      <c r="D1065" s="173" t="s">
        <v>4718</v>
      </c>
      <c r="E1065" s="174" t="s">
        <v>2861</v>
      </c>
      <c r="F1065" s="173" t="s">
        <v>2862</v>
      </c>
      <c r="G1065" s="328" t="s">
        <v>673</v>
      </c>
      <c r="H1065" s="328" t="s">
        <v>2863</v>
      </c>
      <c r="I1065" s="258" t="s">
        <v>2864</v>
      </c>
      <c r="J1065" s="259" t="s">
        <v>1026</v>
      </c>
      <c r="K1065" s="260" t="s">
        <v>4719</v>
      </c>
      <c r="L1065" s="328"/>
      <c r="M1065" s="343"/>
      <c r="N1065" s="173" t="s">
        <v>679</v>
      </c>
      <c r="O1065" s="173" t="s">
        <v>225</v>
      </c>
      <c r="P1065" s="262" t="str">
        <f t="shared" si="1"/>
        <v>IN-BLR-ANANTA-VAV-637_4</v>
      </c>
      <c r="Q1065" s="173" t="s">
        <v>4720</v>
      </c>
      <c r="R1065" s="328" t="str">
        <f>IFS(C1065="","",C1065="n/a","N/A",LEN(C1065),Concatenate("{",char(34),"asset",char(34),":{",char(34),"guid",char(34),":",char(34),Q1065,char(34),",",char(34),"site",char(34),":",char(34),LOWER('2-Building'!$B$4),char(34),",",char(34),"name",char(34),":",char(34),LOWER(C1065),char(34),"}}"))</f>
        <v>{"asset":{"guid":"uuid://a814cfd7-32f1-47da-8814-0192e767b876","site":"in-blr-ananta","name":"vav-637"}}</v>
      </c>
      <c r="S1065" s="237" t="s">
        <v>2866</v>
      </c>
      <c r="T1065" s="330"/>
      <c r="U1065" s="330"/>
      <c r="V1065" s="331"/>
      <c r="W1065" s="344"/>
      <c r="X1065" s="341"/>
      <c r="Y1065" s="33" t="s">
        <v>2867</v>
      </c>
      <c r="Z1065" s="258">
        <v>120637.0</v>
      </c>
      <c r="AA1065" s="334">
        <v>11562.0</v>
      </c>
      <c r="AB1065" s="341"/>
      <c r="AC1065" s="341"/>
      <c r="AD1065" s="343"/>
      <c r="AE1065" s="331"/>
      <c r="AF1065" s="348"/>
      <c r="AG1065" s="337"/>
      <c r="AH1065" s="341"/>
      <c r="AI1065" s="341"/>
      <c r="AJ1065" s="341"/>
      <c r="AK1065" s="341"/>
      <c r="AL1065" s="341"/>
      <c r="AM1065" s="338"/>
      <c r="AN1065" s="341"/>
      <c r="AO1065" s="341"/>
      <c r="AP1065" s="341"/>
      <c r="AQ1065" s="341"/>
      <c r="AR1065" s="341"/>
      <c r="AS1065" s="341"/>
      <c r="AT1065" s="341"/>
      <c r="AU1065" s="343"/>
      <c r="AV1065" s="341"/>
      <c r="AW1065" s="269" t="s">
        <v>2188</v>
      </c>
      <c r="AX1065" s="334" t="s">
        <v>2869</v>
      </c>
      <c r="AY1065" s="270" t="s">
        <v>695</v>
      </c>
      <c r="AZ1065" s="173" t="s">
        <v>2866</v>
      </c>
      <c r="BA1065" s="265">
        <v>10.0</v>
      </c>
      <c r="BB1065" s="174" t="s">
        <v>245</v>
      </c>
      <c r="BC1065" s="341"/>
      <c r="BD1065" s="308"/>
      <c r="BE1065" s="347"/>
      <c r="BF1065" s="274" t="str">
        <f>IFERROR(__xludf.DUMMYFUNCTION("LOWER(Regexreplace(to_text(E1065),""[^A-Za-z0-9]"","""")&amp;""_""&amp;Regexreplace(to_text(F1065),""[^A-Za-z0-9]"",""""))"),"neptronic_evcbseries")</f>
        <v>neptronic_evcbseries</v>
      </c>
      <c r="BG1065" s="275" t="str">
        <f>IFERROR(__xludf.DUMMYFUNCTION("upper(Regexreplace(to_text(E1065),""[^A-Za-z0-9]"","""")&amp;""-""&amp;Regexreplace(to_text(F1065),""[^A-Za-z0-9]"",""""))"),"NEPTRONIC-EVCBSERIES")</f>
        <v>NEPTRONIC-EVCBSERIES</v>
      </c>
    </row>
    <row r="1066" ht="30.0" customHeight="1">
      <c r="A1066" s="258">
        <v>1058.0</v>
      </c>
      <c r="B1066" s="237" t="s">
        <v>670</v>
      </c>
      <c r="C1066" s="257" t="s">
        <v>4721</v>
      </c>
      <c r="D1066" s="173" t="s">
        <v>4721</v>
      </c>
      <c r="E1066" s="174" t="s">
        <v>2861</v>
      </c>
      <c r="F1066" s="173" t="s">
        <v>2862</v>
      </c>
      <c r="G1066" s="328" t="s">
        <v>673</v>
      </c>
      <c r="H1066" s="328" t="s">
        <v>2863</v>
      </c>
      <c r="I1066" s="258" t="s">
        <v>2864</v>
      </c>
      <c r="J1066" s="259" t="s">
        <v>1026</v>
      </c>
      <c r="K1066" s="260" t="s">
        <v>4722</v>
      </c>
      <c r="L1066" s="328"/>
      <c r="M1066" s="343"/>
      <c r="N1066" s="173" t="s">
        <v>679</v>
      </c>
      <c r="O1066" s="173" t="s">
        <v>225</v>
      </c>
      <c r="P1066" s="262" t="str">
        <f t="shared" si="1"/>
        <v>IN-BLR-ANANTA-VAV-638_4</v>
      </c>
      <c r="Q1066" s="173" t="s">
        <v>4723</v>
      </c>
      <c r="R1066" s="328" t="str">
        <f>IFS(C1066="","",C1066="n/a","N/A",LEN(C1066),Concatenate("{",char(34),"asset",char(34),":{",char(34),"guid",char(34),":",char(34),Q1066,char(34),",",char(34),"site",char(34),":",char(34),LOWER('2-Building'!$B$4),char(34),",",char(34),"name",char(34),":",char(34),LOWER(C1066),char(34),"}}"))</f>
        <v>{"asset":{"guid":"uuid://ea1c14d9-0525-41ea-92b2-7f15ad4248e4","site":"in-blr-ananta","name":"vav-638"}}</v>
      </c>
      <c r="S1066" s="237" t="s">
        <v>2866</v>
      </c>
      <c r="T1066" s="330"/>
      <c r="U1066" s="330"/>
      <c r="V1066" s="331"/>
      <c r="W1066" s="344"/>
      <c r="X1066" s="341"/>
      <c r="Y1066" s="33" t="s">
        <v>2867</v>
      </c>
      <c r="Z1066" s="258">
        <v>120638.0</v>
      </c>
      <c r="AA1066" s="334">
        <v>11562.0</v>
      </c>
      <c r="AB1066" s="341"/>
      <c r="AC1066" s="341"/>
      <c r="AD1066" s="343"/>
      <c r="AE1066" s="331"/>
      <c r="AF1066" s="348"/>
      <c r="AG1066" s="337"/>
      <c r="AH1066" s="341"/>
      <c r="AI1066" s="341"/>
      <c r="AJ1066" s="341"/>
      <c r="AK1066" s="341"/>
      <c r="AL1066" s="341"/>
      <c r="AM1066" s="338"/>
      <c r="AN1066" s="341"/>
      <c r="AO1066" s="341"/>
      <c r="AP1066" s="341"/>
      <c r="AQ1066" s="341"/>
      <c r="AR1066" s="341"/>
      <c r="AS1066" s="341"/>
      <c r="AT1066" s="341"/>
      <c r="AU1066" s="343"/>
      <c r="AV1066" s="341"/>
      <c r="AW1066" s="269" t="s">
        <v>2188</v>
      </c>
      <c r="AX1066" s="334" t="s">
        <v>2869</v>
      </c>
      <c r="AY1066" s="270" t="s">
        <v>695</v>
      </c>
      <c r="AZ1066" s="173" t="s">
        <v>2866</v>
      </c>
      <c r="BA1066" s="265">
        <v>10.0</v>
      </c>
      <c r="BB1066" s="174" t="s">
        <v>245</v>
      </c>
      <c r="BC1066" s="341"/>
      <c r="BD1066" s="308"/>
      <c r="BE1066" s="347"/>
      <c r="BF1066" s="274" t="str">
        <f>IFERROR(__xludf.DUMMYFUNCTION("LOWER(Regexreplace(to_text(E1066),""[^A-Za-z0-9]"","""")&amp;""_""&amp;Regexreplace(to_text(F1066),""[^A-Za-z0-9]"",""""))"),"neptronic_evcbseries")</f>
        <v>neptronic_evcbseries</v>
      </c>
      <c r="BG1066" s="275" t="str">
        <f>IFERROR(__xludf.DUMMYFUNCTION("upper(Regexreplace(to_text(E1066),""[^A-Za-z0-9]"","""")&amp;""-""&amp;Regexreplace(to_text(F1066),""[^A-Za-z0-9]"",""""))"),"NEPTRONIC-EVCBSERIES")</f>
        <v>NEPTRONIC-EVCBSERIES</v>
      </c>
    </row>
    <row r="1067" ht="30.0" customHeight="1">
      <c r="A1067" s="173">
        <v>1059.0</v>
      </c>
      <c r="B1067" s="237" t="s">
        <v>670</v>
      </c>
      <c r="C1067" s="257" t="s">
        <v>4724</v>
      </c>
      <c r="D1067" s="173" t="s">
        <v>4724</v>
      </c>
      <c r="E1067" s="174" t="s">
        <v>2861</v>
      </c>
      <c r="F1067" s="173" t="s">
        <v>2862</v>
      </c>
      <c r="G1067" s="328" t="s">
        <v>673</v>
      </c>
      <c r="H1067" s="328" t="s">
        <v>2863</v>
      </c>
      <c r="I1067" s="258" t="s">
        <v>2864</v>
      </c>
      <c r="J1067" s="259" t="s">
        <v>1026</v>
      </c>
      <c r="K1067" s="260" t="s">
        <v>4725</v>
      </c>
      <c r="L1067" s="328"/>
      <c r="M1067" s="343"/>
      <c r="N1067" s="173" t="s">
        <v>679</v>
      </c>
      <c r="O1067" s="173" t="s">
        <v>225</v>
      </c>
      <c r="P1067" s="262" t="str">
        <f t="shared" si="1"/>
        <v>IN-BLR-ANANTA-VAV-639_4</v>
      </c>
      <c r="Q1067" s="173" t="s">
        <v>4726</v>
      </c>
      <c r="R1067" s="328" t="str">
        <f>IFS(C1067="","",C1067="n/a","N/A",LEN(C1067),Concatenate("{",char(34),"asset",char(34),":{",char(34),"guid",char(34),":",char(34),Q1067,char(34),",",char(34),"site",char(34),":",char(34),LOWER('2-Building'!$B$4),char(34),",",char(34),"name",char(34),":",char(34),LOWER(C1067),char(34),"}}"))</f>
        <v>{"asset":{"guid":"uuid://cf6d4ad9-6887-4895-aa2a-684e94467b1f","site":"in-blr-ananta","name":"vav-639"}}</v>
      </c>
      <c r="S1067" s="237" t="s">
        <v>2866</v>
      </c>
      <c r="T1067" s="330"/>
      <c r="U1067" s="330"/>
      <c r="V1067" s="331"/>
      <c r="W1067" s="344"/>
      <c r="X1067" s="341"/>
      <c r="Y1067" s="33" t="s">
        <v>2867</v>
      </c>
      <c r="Z1067" s="258">
        <v>120639.0</v>
      </c>
      <c r="AA1067" s="334">
        <v>11562.0</v>
      </c>
      <c r="AB1067" s="341"/>
      <c r="AC1067" s="341"/>
      <c r="AD1067" s="343"/>
      <c r="AE1067" s="331"/>
      <c r="AF1067" s="348"/>
      <c r="AG1067" s="337"/>
      <c r="AH1067" s="341"/>
      <c r="AI1067" s="341"/>
      <c r="AJ1067" s="341"/>
      <c r="AK1067" s="341"/>
      <c r="AL1067" s="341"/>
      <c r="AM1067" s="338"/>
      <c r="AN1067" s="341"/>
      <c r="AO1067" s="341"/>
      <c r="AP1067" s="341"/>
      <c r="AQ1067" s="341"/>
      <c r="AR1067" s="341"/>
      <c r="AS1067" s="341"/>
      <c r="AT1067" s="341"/>
      <c r="AU1067" s="343"/>
      <c r="AV1067" s="341"/>
      <c r="AW1067" s="269" t="s">
        <v>2188</v>
      </c>
      <c r="AX1067" s="334" t="s">
        <v>2869</v>
      </c>
      <c r="AY1067" s="270" t="s">
        <v>695</v>
      </c>
      <c r="AZ1067" s="173" t="s">
        <v>2866</v>
      </c>
      <c r="BA1067" s="265">
        <v>10.0</v>
      </c>
      <c r="BB1067" s="174" t="s">
        <v>245</v>
      </c>
      <c r="BC1067" s="341"/>
      <c r="BD1067" s="308"/>
      <c r="BE1067" s="347"/>
      <c r="BF1067" s="274" t="str">
        <f>IFERROR(__xludf.DUMMYFUNCTION("LOWER(Regexreplace(to_text(E1067),""[^A-Za-z0-9]"","""")&amp;""_""&amp;Regexreplace(to_text(F1067),""[^A-Za-z0-9]"",""""))"),"neptronic_evcbseries")</f>
        <v>neptronic_evcbseries</v>
      </c>
      <c r="BG1067" s="275" t="str">
        <f>IFERROR(__xludf.DUMMYFUNCTION("upper(Regexreplace(to_text(E1067),""[^A-Za-z0-9]"","""")&amp;""-""&amp;Regexreplace(to_text(F1067),""[^A-Za-z0-9]"",""""))"),"NEPTRONIC-EVCBSERIES")</f>
        <v>NEPTRONIC-EVCBSERIES</v>
      </c>
    </row>
    <row r="1068" ht="30.0" customHeight="1">
      <c r="A1068" s="258">
        <v>1060.0</v>
      </c>
      <c r="B1068" s="237" t="s">
        <v>670</v>
      </c>
      <c r="C1068" s="257" t="s">
        <v>4727</v>
      </c>
      <c r="D1068" s="173" t="s">
        <v>4727</v>
      </c>
      <c r="E1068" s="174" t="s">
        <v>2861</v>
      </c>
      <c r="F1068" s="173" t="s">
        <v>2862</v>
      </c>
      <c r="G1068" s="328" t="s">
        <v>673</v>
      </c>
      <c r="H1068" s="328" t="s">
        <v>2863</v>
      </c>
      <c r="I1068" s="258" t="s">
        <v>2864</v>
      </c>
      <c r="J1068" s="259" t="s">
        <v>1026</v>
      </c>
      <c r="K1068" s="260" t="s">
        <v>4728</v>
      </c>
      <c r="L1068" s="328"/>
      <c r="M1068" s="343"/>
      <c r="N1068" s="173" t="s">
        <v>679</v>
      </c>
      <c r="O1068" s="173" t="s">
        <v>225</v>
      </c>
      <c r="P1068" s="262" t="str">
        <f t="shared" si="1"/>
        <v>IN-BLR-ANANTA-VAV-640_4</v>
      </c>
      <c r="Q1068" s="173" t="s">
        <v>4729</v>
      </c>
      <c r="R1068" s="328" t="str">
        <f>IFS(C1068="","",C1068="n/a","N/A",LEN(C1068),Concatenate("{",char(34),"asset",char(34),":{",char(34),"guid",char(34),":",char(34),Q1068,char(34),",",char(34),"site",char(34),":",char(34),LOWER('2-Building'!$B$4),char(34),",",char(34),"name",char(34),":",char(34),LOWER(C1068),char(34),"}}"))</f>
        <v>{"asset":{"guid":"uuid://847cacba-a132-4568-bf8f-799093c05038","site":"in-blr-ananta","name":"vav-640"}}</v>
      </c>
      <c r="S1068" s="237" t="s">
        <v>2866</v>
      </c>
      <c r="T1068" s="330"/>
      <c r="U1068" s="330"/>
      <c r="V1068" s="331"/>
      <c r="W1068" s="344"/>
      <c r="X1068" s="341"/>
      <c r="Y1068" s="33" t="s">
        <v>2867</v>
      </c>
      <c r="Z1068" s="258">
        <v>120640.0</v>
      </c>
      <c r="AA1068" s="334">
        <v>11562.0</v>
      </c>
      <c r="AB1068" s="341"/>
      <c r="AC1068" s="341"/>
      <c r="AD1068" s="343"/>
      <c r="AE1068" s="331"/>
      <c r="AF1068" s="348"/>
      <c r="AG1068" s="337"/>
      <c r="AH1068" s="341"/>
      <c r="AI1068" s="341"/>
      <c r="AJ1068" s="341"/>
      <c r="AK1068" s="341"/>
      <c r="AL1068" s="341"/>
      <c r="AM1068" s="338"/>
      <c r="AN1068" s="341"/>
      <c r="AO1068" s="341"/>
      <c r="AP1068" s="341"/>
      <c r="AQ1068" s="341"/>
      <c r="AR1068" s="341"/>
      <c r="AS1068" s="341"/>
      <c r="AT1068" s="341"/>
      <c r="AU1068" s="343"/>
      <c r="AV1068" s="341"/>
      <c r="AW1068" s="269" t="s">
        <v>2188</v>
      </c>
      <c r="AX1068" s="334" t="s">
        <v>2869</v>
      </c>
      <c r="AY1068" s="270" t="s">
        <v>695</v>
      </c>
      <c r="AZ1068" s="173" t="s">
        <v>2866</v>
      </c>
      <c r="BA1068" s="265">
        <v>10.0</v>
      </c>
      <c r="BB1068" s="174" t="s">
        <v>245</v>
      </c>
      <c r="BC1068" s="341"/>
      <c r="BD1068" s="308"/>
      <c r="BE1068" s="347"/>
      <c r="BF1068" s="274" t="str">
        <f>IFERROR(__xludf.DUMMYFUNCTION("LOWER(Regexreplace(to_text(E1068),""[^A-Za-z0-9]"","""")&amp;""_""&amp;Regexreplace(to_text(F1068),""[^A-Za-z0-9]"",""""))"),"neptronic_evcbseries")</f>
        <v>neptronic_evcbseries</v>
      </c>
      <c r="BG1068" s="275" t="str">
        <f>IFERROR(__xludf.DUMMYFUNCTION("upper(Regexreplace(to_text(E1068),""[^A-Za-z0-9]"","""")&amp;""-""&amp;Regexreplace(to_text(F1068),""[^A-Za-z0-9]"",""""))"),"NEPTRONIC-EVCBSERIES")</f>
        <v>NEPTRONIC-EVCBSERIES</v>
      </c>
    </row>
    <row r="1069" ht="30.0" customHeight="1">
      <c r="A1069" s="173">
        <v>1061.0</v>
      </c>
      <c r="B1069" s="237" t="s">
        <v>670</v>
      </c>
      <c r="C1069" s="257" t="s">
        <v>4730</v>
      </c>
      <c r="D1069" s="173" t="s">
        <v>4730</v>
      </c>
      <c r="E1069" s="174" t="s">
        <v>2861</v>
      </c>
      <c r="F1069" s="173" t="s">
        <v>2862</v>
      </c>
      <c r="G1069" s="328" t="s">
        <v>673</v>
      </c>
      <c r="H1069" s="328" t="s">
        <v>2863</v>
      </c>
      <c r="I1069" s="258" t="s">
        <v>2864</v>
      </c>
      <c r="J1069" s="259" t="s">
        <v>1026</v>
      </c>
      <c r="K1069" s="260" t="s">
        <v>4731</v>
      </c>
      <c r="L1069" s="328"/>
      <c r="M1069" s="343"/>
      <c r="N1069" s="173" t="s">
        <v>679</v>
      </c>
      <c r="O1069" s="173" t="s">
        <v>225</v>
      </c>
      <c r="P1069" s="262" t="str">
        <f t="shared" si="1"/>
        <v>IN-BLR-ANANTA-VAV-641_4</v>
      </c>
      <c r="Q1069" s="173" t="s">
        <v>4732</v>
      </c>
      <c r="R1069" s="328" t="str">
        <f>IFS(C1069="","",C1069="n/a","N/A",LEN(C1069),Concatenate("{",char(34),"asset",char(34),":{",char(34),"guid",char(34),":",char(34),Q1069,char(34),",",char(34),"site",char(34),":",char(34),LOWER('2-Building'!$B$4),char(34),",",char(34),"name",char(34),":",char(34),LOWER(C1069),char(34),"}}"))</f>
        <v>{"asset":{"guid":"uuid://90bce27c-6116-454c-8427-d50e8b7e043b","site":"in-blr-ananta","name":"vav-641"}}</v>
      </c>
      <c r="S1069" s="237" t="s">
        <v>2866</v>
      </c>
      <c r="T1069" s="330"/>
      <c r="U1069" s="330"/>
      <c r="V1069" s="331"/>
      <c r="W1069" s="344"/>
      <c r="X1069" s="341"/>
      <c r="Y1069" s="33" t="s">
        <v>2867</v>
      </c>
      <c r="Z1069" s="258">
        <v>120641.0</v>
      </c>
      <c r="AA1069" s="334">
        <v>11562.0</v>
      </c>
      <c r="AB1069" s="341"/>
      <c r="AC1069" s="341"/>
      <c r="AD1069" s="343"/>
      <c r="AE1069" s="331"/>
      <c r="AF1069" s="348"/>
      <c r="AG1069" s="337"/>
      <c r="AH1069" s="341"/>
      <c r="AI1069" s="341"/>
      <c r="AJ1069" s="341"/>
      <c r="AK1069" s="341"/>
      <c r="AL1069" s="341"/>
      <c r="AM1069" s="338"/>
      <c r="AN1069" s="341"/>
      <c r="AO1069" s="341"/>
      <c r="AP1069" s="341"/>
      <c r="AQ1069" s="341"/>
      <c r="AR1069" s="341"/>
      <c r="AS1069" s="341"/>
      <c r="AT1069" s="341"/>
      <c r="AU1069" s="343"/>
      <c r="AV1069" s="341"/>
      <c r="AW1069" s="269" t="s">
        <v>2188</v>
      </c>
      <c r="AX1069" s="334" t="s">
        <v>2869</v>
      </c>
      <c r="AY1069" s="270" t="s">
        <v>695</v>
      </c>
      <c r="AZ1069" s="173" t="s">
        <v>2866</v>
      </c>
      <c r="BA1069" s="265">
        <v>10.0</v>
      </c>
      <c r="BB1069" s="174" t="s">
        <v>245</v>
      </c>
      <c r="BC1069" s="341"/>
      <c r="BD1069" s="308"/>
      <c r="BE1069" s="347"/>
      <c r="BF1069" s="274" t="str">
        <f>IFERROR(__xludf.DUMMYFUNCTION("LOWER(Regexreplace(to_text(E1069),""[^A-Za-z0-9]"","""")&amp;""_""&amp;Regexreplace(to_text(F1069),""[^A-Za-z0-9]"",""""))"),"neptronic_evcbseries")</f>
        <v>neptronic_evcbseries</v>
      </c>
      <c r="BG1069" s="275" t="str">
        <f>IFERROR(__xludf.DUMMYFUNCTION("upper(Regexreplace(to_text(E1069),""[^A-Za-z0-9]"","""")&amp;""-""&amp;Regexreplace(to_text(F1069),""[^A-Za-z0-9]"",""""))"),"NEPTRONIC-EVCBSERIES")</f>
        <v>NEPTRONIC-EVCBSERIES</v>
      </c>
    </row>
    <row r="1070" ht="30.0" customHeight="1">
      <c r="A1070" s="258">
        <v>1062.0</v>
      </c>
      <c r="B1070" s="237" t="s">
        <v>670</v>
      </c>
      <c r="C1070" s="257" t="s">
        <v>4733</v>
      </c>
      <c r="D1070" s="173" t="s">
        <v>4733</v>
      </c>
      <c r="E1070" s="174" t="s">
        <v>2861</v>
      </c>
      <c r="F1070" s="173" t="s">
        <v>2862</v>
      </c>
      <c r="G1070" s="328" t="s">
        <v>673</v>
      </c>
      <c r="H1070" s="328" t="s">
        <v>2863</v>
      </c>
      <c r="I1070" s="258" t="s">
        <v>2864</v>
      </c>
      <c r="J1070" s="259" t="s">
        <v>1026</v>
      </c>
      <c r="K1070" s="260" t="s">
        <v>3643</v>
      </c>
      <c r="L1070" s="328"/>
      <c r="M1070" s="343"/>
      <c r="N1070" s="173" t="s">
        <v>679</v>
      </c>
      <c r="O1070" s="173" t="s">
        <v>225</v>
      </c>
      <c r="P1070" s="262" t="str">
        <f t="shared" si="1"/>
        <v>IN-BLR-ANANTA-VAV-642_4</v>
      </c>
      <c r="Q1070" s="173" t="s">
        <v>4734</v>
      </c>
      <c r="R1070" s="328" t="str">
        <f>IFS(C1070="","",C1070="n/a","N/A",LEN(C1070),Concatenate("{",char(34),"asset",char(34),":{",char(34),"guid",char(34),":",char(34),Q1070,char(34),",",char(34),"site",char(34),":",char(34),LOWER('2-Building'!$B$4),char(34),",",char(34),"name",char(34),":",char(34),LOWER(C1070),char(34),"}}"))</f>
        <v>{"asset":{"guid":"uuid://59893f51-e932-4d3f-bd24-16e8f3131eae","site":"in-blr-ananta","name":"vav-642"}}</v>
      </c>
      <c r="S1070" s="237" t="s">
        <v>2866</v>
      </c>
      <c r="T1070" s="330"/>
      <c r="U1070" s="330"/>
      <c r="V1070" s="331"/>
      <c r="W1070" s="344"/>
      <c r="X1070" s="341"/>
      <c r="Y1070" s="33" t="s">
        <v>2867</v>
      </c>
      <c r="Z1070" s="258">
        <v>120642.0</v>
      </c>
      <c r="AA1070" s="334">
        <v>11563.0</v>
      </c>
      <c r="AB1070" s="341"/>
      <c r="AC1070" s="341"/>
      <c r="AD1070" s="343"/>
      <c r="AE1070" s="331"/>
      <c r="AF1070" s="348"/>
      <c r="AG1070" s="337"/>
      <c r="AH1070" s="341"/>
      <c r="AI1070" s="341"/>
      <c r="AJ1070" s="341"/>
      <c r="AK1070" s="341"/>
      <c r="AL1070" s="341"/>
      <c r="AM1070" s="338"/>
      <c r="AN1070" s="341"/>
      <c r="AO1070" s="341"/>
      <c r="AP1070" s="341"/>
      <c r="AQ1070" s="341"/>
      <c r="AR1070" s="341"/>
      <c r="AS1070" s="341"/>
      <c r="AT1070" s="341"/>
      <c r="AU1070" s="343"/>
      <c r="AV1070" s="341"/>
      <c r="AW1070" s="269" t="s">
        <v>2188</v>
      </c>
      <c r="AX1070" s="334" t="s">
        <v>2869</v>
      </c>
      <c r="AY1070" s="270" t="s">
        <v>695</v>
      </c>
      <c r="AZ1070" s="173" t="s">
        <v>2866</v>
      </c>
      <c r="BA1070" s="265">
        <v>10.0</v>
      </c>
      <c r="BB1070" s="174" t="s">
        <v>245</v>
      </c>
      <c r="BC1070" s="341"/>
      <c r="BD1070" s="308"/>
      <c r="BE1070" s="347"/>
      <c r="BF1070" s="274" t="str">
        <f>IFERROR(__xludf.DUMMYFUNCTION("LOWER(Regexreplace(to_text(E1070),""[^A-Za-z0-9]"","""")&amp;""_""&amp;Regexreplace(to_text(F1070),""[^A-Za-z0-9]"",""""))"),"neptronic_evcbseries")</f>
        <v>neptronic_evcbseries</v>
      </c>
      <c r="BG1070" s="275" t="str">
        <f>IFERROR(__xludf.DUMMYFUNCTION("upper(Regexreplace(to_text(E1070),""[^A-Za-z0-9]"","""")&amp;""-""&amp;Regexreplace(to_text(F1070),""[^A-Za-z0-9]"",""""))"),"NEPTRONIC-EVCBSERIES")</f>
        <v>NEPTRONIC-EVCBSERIES</v>
      </c>
    </row>
    <row r="1071" ht="30.0" customHeight="1">
      <c r="A1071" s="173">
        <v>1063.0</v>
      </c>
      <c r="B1071" s="237" t="s">
        <v>670</v>
      </c>
      <c r="C1071" s="257" t="s">
        <v>4735</v>
      </c>
      <c r="D1071" s="173" t="s">
        <v>4735</v>
      </c>
      <c r="E1071" s="174" t="s">
        <v>2861</v>
      </c>
      <c r="F1071" s="173" t="s">
        <v>2862</v>
      </c>
      <c r="G1071" s="328" t="s">
        <v>673</v>
      </c>
      <c r="H1071" s="328" t="s">
        <v>2863</v>
      </c>
      <c r="I1071" s="258" t="s">
        <v>2864</v>
      </c>
      <c r="J1071" s="259" t="s">
        <v>1026</v>
      </c>
      <c r="K1071" s="260" t="s">
        <v>4736</v>
      </c>
      <c r="L1071" s="328"/>
      <c r="M1071" s="343"/>
      <c r="N1071" s="173" t="s">
        <v>679</v>
      </c>
      <c r="O1071" s="173" t="s">
        <v>225</v>
      </c>
      <c r="P1071" s="262" t="str">
        <f t="shared" si="1"/>
        <v>IN-BLR-ANANTA-VAV-643_4</v>
      </c>
      <c r="Q1071" s="173" t="s">
        <v>4737</v>
      </c>
      <c r="R1071" s="328" t="str">
        <f>IFS(C1071="","",C1071="n/a","N/A",LEN(C1071),Concatenate("{",char(34),"asset",char(34),":{",char(34),"guid",char(34),":",char(34),Q1071,char(34),",",char(34),"site",char(34),":",char(34),LOWER('2-Building'!$B$4),char(34),",",char(34),"name",char(34),":",char(34),LOWER(C1071),char(34),"}}"))</f>
        <v>{"asset":{"guid":"uuid://07dd8332-0e38-4c37-a25f-dc924fd4d8ba","site":"in-blr-ananta","name":"vav-643"}}</v>
      </c>
      <c r="S1071" s="237" t="s">
        <v>2866</v>
      </c>
      <c r="T1071" s="330"/>
      <c r="U1071" s="330"/>
      <c r="V1071" s="331"/>
      <c r="W1071" s="344"/>
      <c r="X1071" s="341"/>
      <c r="Y1071" s="33" t="s">
        <v>2867</v>
      </c>
      <c r="Z1071" s="258">
        <v>120643.0</v>
      </c>
      <c r="AA1071" s="334">
        <v>11563.0</v>
      </c>
      <c r="AB1071" s="341"/>
      <c r="AC1071" s="341"/>
      <c r="AD1071" s="343"/>
      <c r="AE1071" s="331"/>
      <c r="AF1071" s="348"/>
      <c r="AG1071" s="337"/>
      <c r="AH1071" s="341"/>
      <c r="AI1071" s="341"/>
      <c r="AJ1071" s="341"/>
      <c r="AK1071" s="341"/>
      <c r="AL1071" s="341"/>
      <c r="AM1071" s="338"/>
      <c r="AN1071" s="341"/>
      <c r="AO1071" s="341"/>
      <c r="AP1071" s="341"/>
      <c r="AQ1071" s="341"/>
      <c r="AR1071" s="341"/>
      <c r="AS1071" s="341"/>
      <c r="AT1071" s="341"/>
      <c r="AU1071" s="343"/>
      <c r="AV1071" s="341"/>
      <c r="AW1071" s="269" t="s">
        <v>2188</v>
      </c>
      <c r="AX1071" s="334" t="s">
        <v>2869</v>
      </c>
      <c r="AY1071" s="270" t="s">
        <v>695</v>
      </c>
      <c r="AZ1071" s="173" t="s">
        <v>2866</v>
      </c>
      <c r="BA1071" s="265">
        <v>10.0</v>
      </c>
      <c r="BB1071" s="174" t="s">
        <v>245</v>
      </c>
      <c r="BC1071" s="341"/>
      <c r="BD1071" s="308"/>
      <c r="BE1071" s="347"/>
      <c r="BF1071" s="274" t="str">
        <f>IFERROR(__xludf.DUMMYFUNCTION("LOWER(Regexreplace(to_text(E1071),""[^A-Za-z0-9]"","""")&amp;""_""&amp;Regexreplace(to_text(F1071),""[^A-Za-z0-9]"",""""))"),"neptronic_evcbseries")</f>
        <v>neptronic_evcbseries</v>
      </c>
      <c r="BG1071" s="275" t="str">
        <f>IFERROR(__xludf.DUMMYFUNCTION("upper(Regexreplace(to_text(E1071),""[^A-Za-z0-9]"","""")&amp;""-""&amp;Regexreplace(to_text(F1071),""[^A-Za-z0-9]"",""""))"),"NEPTRONIC-EVCBSERIES")</f>
        <v>NEPTRONIC-EVCBSERIES</v>
      </c>
    </row>
    <row r="1072" ht="30.0" customHeight="1">
      <c r="A1072" s="258">
        <v>1064.0</v>
      </c>
      <c r="B1072" s="237" t="s">
        <v>670</v>
      </c>
      <c r="C1072" s="257" t="s">
        <v>4738</v>
      </c>
      <c r="D1072" s="173" t="s">
        <v>4738</v>
      </c>
      <c r="E1072" s="174" t="s">
        <v>2861</v>
      </c>
      <c r="F1072" s="173" t="s">
        <v>2862</v>
      </c>
      <c r="G1072" s="328" t="s">
        <v>673</v>
      </c>
      <c r="H1072" s="328" t="s">
        <v>2863</v>
      </c>
      <c r="I1072" s="258" t="s">
        <v>2864</v>
      </c>
      <c r="J1072" s="259" t="s">
        <v>1026</v>
      </c>
      <c r="K1072" s="260" t="s">
        <v>4739</v>
      </c>
      <c r="L1072" s="328"/>
      <c r="M1072" s="343"/>
      <c r="N1072" s="173" t="s">
        <v>679</v>
      </c>
      <c r="O1072" s="173" t="s">
        <v>225</v>
      </c>
      <c r="P1072" s="262" t="str">
        <f t="shared" si="1"/>
        <v>IN-BLR-ANANTA-VAV-644_4</v>
      </c>
      <c r="Q1072" s="173" t="s">
        <v>4740</v>
      </c>
      <c r="R1072" s="328" t="str">
        <f>IFS(C1072="","",C1072="n/a","N/A",LEN(C1072),Concatenate("{",char(34),"asset",char(34),":{",char(34),"guid",char(34),":",char(34),Q1072,char(34),",",char(34),"site",char(34),":",char(34),LOWER('2-Building'!$B$4),char(34),",",char(34),"name",char(34),":",char(34),LOWER(C1072),char(34),"}}"))</f>
        <v>{"asset":{"guid":"uuid://9b3d633c-dbbf-4372-9dcd-f5512dd31166","site":"in-blr-ananta","name":"vav-644"}}</v>
      </c>
      <c r="S1072" s="237" t="s">
        <v>2866</v>
      </c>
      <c r="T1072" s="330"/>
      <c r="U1072" s="330"/>
      <c r="V1072" s="331"/>
      <c r="W1072" s="344"/>
      <c r="X1072" s="341"/>
      <c r="Y1072" s="33" t="s">
        <v>2867</v>
      </c>
      <c r="Z1072" s="258">
        <v>120644.0</v>
      </c>
      <c r="AA1072" s="334">
        <v>11563.0</v>
      </c>
      <c r="AB1072" s="341"/>
      <c r="AC1072" s="341"/>
      <c r="AD1072" s="343"/>
      <c r="AE1072" s="331"/>
      <c r="AF1072" s="348"/>
      <c r="AG1072" s="337"/>
      <c r="AH1072" s="341"/>
      <c r="AI1072" s="341"/>
      <c r="AJ1072" s="341"/>
      <c r="AK1072" s="341"/>
      <c r="AL1072" s="341"/>
      <c r="AM1072" s="338"/>
      <c r="AN1072" s="341"/>
      <c r="AO1072" s="341"/>
      <c r="AP1072" s="341"/>
      <c r="AQ1072" s="341"/>
      <c r="AR1072" s="341"/>
      <c r="AS1072" s="341"/>
      <c r="AT1072" s="341"/>
      <c r="AU1072" s="343"/>
      <c r="AV1072" s="341"/>
      <c r="AW1072" s="269" t="s">
        <v>2188</v>
      </c>
      <c r="AX1072" s="334" t="s">
        <v>2869</v>
      </c>
      <c r="AY1072" s="270" t="s">
        <v>695</v>
      </c>
      <c r="AZ1072" s="173" t="s">
        <v>2866</v>
      </c>
      <c r="BA1072" s="265">
        <v>10.0</v>
      </c>
      <c r="BB1072" s="174" t="s">
        <v>245</v>
      </c>
      <c r="BC1072" s="341"/>
      <c r="BD1072" s="308"/>
      <c r="BE1072" s="347"/>
      <c r="BF1072" s="274" t="str">
        <f>IFERROR(__xludf.DUMMYFUNCTION("LOWER(Regexreplace(to_text(E1072),""[^A-Za-z0-9]"","""")&amp;""_""&amp;Regexreplace(to_text(F1072),""[^A-Za-z0-9]"",""""))"),"neptronic_evcbseries")</f>
        <v>neptronic_evcbseries</v>
      </c>
      <c r="BG1072" s="275" t="str">
        <f>IFERROR(__xludf.DUMMYFUNCTION("upper(Regexreplace(to_text(E1072),""[^A-Za-z0-9]"","""")&amp;""-""&amp;Regexreplace(to_text(F1072),""[^A-Za-z0-9]"",""""))"),"NEPTRONIC-EVCBSERIES")</f>
        <v>NEPTRONIC-EVCBSERIES</v>
      </c>
    </row>
    <row r="1073" ht="30.0" customHeight="1">
      <c r="A1073" s="173">
        <v>1065.0</v>
      </c>
      <c r="B1073" s="237" t="s">
        <v>670</v>
      </c>
      <c r="C1073" s="257" t="s">
        <v>4741</v>
      </c>
      <c r="D1073" s="173" t="s">
        <v>4741</v>
      </c>
      <c r="E1073" s="174" t="s">
        <v>2861</v>
      </c>
      <c r="F1073" s="173" t="s">
        <v>2862</v>
      </c>
      <c r="G1073" s="328" t="s">
        <v>673</v>
      </c>
      <c r="H1073" s="328" t="s">
        <v>2863</v>
      </c>
      <c r="I1073" s="258" t="s">
        <v>2864</v>
      </c>
      <c r="J1073" s="259" t="s">
        <v>1026</v>
      </c>
      <c r="K1073" s="260" t="s">
        <v>4742</v>
      </c>
      <c r="L1073" s="328"/>
      <c r="M1073" s="343"/>
      <c r="N1073" s="173" t="s">
        <v>679</v>
      </c>
      <c r="O1073" s="173" t="s">
        <v>225</v>
      </c>
      <c r="P1073" s="262" t="str">
        <f t="shared" si="1"/>
        <v>IN-BLR-ANANTA-VAV-645_4</v>
      </c>
      <c r="Q1073" s="173" t="s">
        <v>4743</v>
      </c>
      <c r="R1073" s="328" t="str">
        <f>IFS(C1073="","",C1073="n/a","N/A",LEN(C1073),Concatenate("{",char(34),"asset",char(34),":{",char(34),"guid",char(34),":",char(34),Q1073,char(34),",",char(34),"site",char(34),":",char(34),LOWER('2-Building'!$B$4),char(34),",",char(34),"name",char(34),":",char(34),LOWER(C1073),char(34),"}}"))</f>
        <v>{"asset":{"guid":"uuid://042b013b-96c6-4ebb-a853-ccc29002a68e","site":"in-blr-ananta","name":"vav-645"}}</v>
      </c>
      <c r="S1073" s="237" t="s">
        <v>2866</v>
      </c>
      <c r="T1073" s="330"/>
      <c r="U1073" s="330"/>
      <c r="V1073" s="331"/>
      <c r="W1073" s="344"/>
      <c r="X1073" s="341"/>
      <c r="Y1073" s="33" t="s">
        <v>2867</v>
      </c>
      <c r="Z1073" s="258">
        <v>120645.0</v>
      </c>
      <c r="AA1073" s="334">
        <v>11563.0</v>
      </c>
      <c r="AB1073" s="341"/>
      <c r="AC1073" s="341"/>
      <c r="AD1073" s="343"/>
      <c r="AE1073" s="331"/>
      <c r="AF1073" s="348"/>
      <c r="AG1073" s="337"/>
      <c r="AH1073" s="341"/>
      <c r="AI1073" s="341"/>
      <c r="AJ1073" s="341"/>
      <c r="AK1073" s="341"/>
      <c r="AL1073" s="341"/>
      <c r="AM1073" s="338"/>
      <c r="AN1073" s="341"/>
      <c r="AO1073" s="341"/>
      <c r="AP1073" s="341"/>
      <c r="AQ1073" s="341"/>
      <c r="AR1073" s="341"/>
      <c r="AS1073" s="341"/>
      <c r="AT1073" s="341"/>
      <c r="AU1073" s="343"/>
      <c r="AV1073" s="341"/>
      <c r="AW1073" s="269" t="s">
        <v>2188</v>
      </c>
      <c r="AX1073" s="334" t="s">
        <v>2869</v>
      </c>
      <c r="AY1073" s="270" t="s">
        <v>695</v>
      </c>
      <c r="AZ1073" s="173" t="s">
        <v>2866</v>
      </c>
      <c r="BA1073" s="265">
        <v>10.0</v>
      </c>
      <c r="BB1073" s="174" t="s">
        <v>245</v>
      </c>
      <c r="BC1073" s="341"/>
      <c r="BD1073" s="308"/>
      <c r="BE1073" s="347"/>
      <c r="BF1073" s="274" t="str">
        <f>IFERROR(__xludf.DUMMYFUNCTION("LOWER(Regexreplace(to_text(E1073),""[^A-Za-z0-9]"","""")&amp;""_""&amp;Regexreplace(to_text(F1073),""[^A-Za-z0-9]"",""""))"),"neptronic_evcbseries")</f>
        <v>neptronic_evcbseries</v>
      </c>
      <c r="BG1073" s="275" t="str">
        <f>IFERROR(__xludf.DUMMYFUNCTION("upper(Regexreplace(to_text(E1073),""[^A-Za-z0-9]"","""")&amp;""-""&amp;Regexreplace(to_text(F1073),""[^A-Za-z0-9]"",""""))"),"NEPTRONIC-EVCBSERIES")</f>
        <v>NEPTRONIC-EVCBSERIES</v>
      </c>
    </row>
    <row r="1074" ht="30.0" customHeight="1">
      <c r="A1074" s="258">
        <v>1066.0</v>
      </c>
      <c r="B1074" s="237" t="s">
        <v>670</v>
      </c>
      <c r="C1074" s="257" t="s">
        <v>4744</v>
      </c>
      <c r="D1074" s="173" t="s">
        <v>4744</v>
      </c>
      <c r="E1074" s="174" t="s">
        <v>2861</v>
      </c>
      <c r="F1074" s="173" t="s">
        <v>2862</v>
      </c>
      <c r="G1074" s="328" t="s">
        <v>673</v>
      </c>
      <c r="H1074" s="328" t="s">
        <v>2863</v>
      </c>
      <c r="I1074" s="258" t="s">
        <v>2864</v>
      </c>
      <c r="J1074" s="259" t="s">
        <v>1026</v>
      </c>
      <c r="K1074" s="260" t="s">
        <v>4745</v>
      </c>
      <c r="L1074" s="328"/>
      <c r="M1074" s="343"/>
      <c r="N1074" s="173" t="s">
        <v>679</v>
      </c>
      <c r="O1074" s="173" t="s">
        <v>225</v>
      </c>
      <c r="P1074" s="262" t="str">
        <f t="shared" si="1"/>
        <v>IN-BLR-ANANTA-VAV-646_4</v>
      </c>
      <c r="Q1074" s="173" t="s">
        <v>4746</v>
      </c>
      <c r="R1074" s="328" t="str">
        <f>IFS(C1074="","",C1074="n/a","N/A",LEN(C1074),Concatenate("{",char(34),"asset",char(34),":{",char(34),"guid",char(34),":",char(34),Q1074,char(34),",",char(34),"site",char(34),":",char(34),LOWER('2-Building'!$B$4),char(34),",",char(34),"name",char(34),":",char(34),LOWER(C1074),char(34),"}}"))</f>
        <v>{"asset":{"guid":"uuid://7895fdaa-d221-4890-b188-f06b97ab7be2","site":"in-blr-ananta","name":"vav-646"}}</v>
      </c>
      <c r="S1074" s="237" t="s">
        <v>2866</v>
      </c>
      <c r="T1074" s="330"/>
      <c r="U1074" s="330"/>
      <c r="V1074" s="331"/>
      <c r="W1074" s="344"/>
      <c r="X1074" s="341"/>
      <c r="Y1074" s="33" t="s">
        <v>2867</v>
      </c>
      <c r="Z1074" s="258">
        <v>120646.0</v>
      </c>
      <c r="AA1074" s="334">
        <v>11563.0</v>
      </c>
      <c r="AB1074" s="341"/>
      <c r="AC1074" s="341"/>
      <c r="AD1074" s="343"/>
      <c r="AE1074" s="331"/>
      <c r="AF1074" s="348"/>
      <c r="AG1074" s="337"/>
      <c r="AH1074" s="341"/>
      <c r="AI1074" s="341"/>
      <c r="AJ1074" s="341"/>
      <c r="AK1074" s="341"/>
      <c r="AL1074" s="341"/>
      <c r="AM1074" s="338"/>
      <c r="AN1074" s="341"/>
      <c r="AO1074" s="341"/>
      <c r="AP1074" s="341"/>
      <c r="AQ1074" s="341"/>
      <c r="AR1074" s="341"/>
      <c r="AS1074" s="341"/>
      <c r="AT1074" s="341"/>
      <c r="AU1074" s="343"/>
      <c r="AV1074" s="341"/>
      <c r="AW1074" s="269" t="s">
        <v>2188</v>
      </c>
      <c r="AX1074" s="334" t="s">
        <v>2869</v>
      </c>
      <c r="AY1074" s="270" t="s">
        <v>695</v>
      </c>
      <c r="AZ1074" s="173" t="s">
        <v>2866</v>
      </c>
      <c r="BA1074" s="265">
        <v>10.0</v>
      </c>
      <c r="BB1074" s="174" t="s">
        <v>245</v>
      </c>
      <c r="BC1074" s="341"/>
      <c r="BD1074" s="308"/>
      <c r="BE1074" s="347"/>
      <c r="BF1074" s="274" t="str">
        <f>IFERROR(__xludf.DUMMYFUNCTION("LOWER(Regexreplace(to_text(E1074),""[^A-Za-z0-9]"","""")&amp;""_""&amp;Regexreplace(to_text(F1074),""[^A-Za-z0-9]"",""""))"),"neptronic_evcbseries")</f>
        <v>neptronic_evcbseries</v>
      </c>
      <c r="BG1074" s="275" t="str">
        <f>IFERROR(__xludf.DUMMYFUNCTION("upper(Regexreplace(to_text(E1074),""[^A-Za-z0-9]"","""")&amp;""-""&amp;Regexreplace(to_text(F1074),""[^A-Za-z0-9]"",""""))"),"NEPTRONIC-EVCBSERIES")</f>
        <v>NEPTRONIC-EVCBSERIES</v>
      </c>
    </row>
    <row r="1075" ht="30.0" customHeight="1">
      <c r="A1075" s="173">
        <v>1067.0</v>
      </c>
      <c r="B1075" s="237" t="s">
        <v>670</v>
      </c>
      <c r="C1075" s="257" t="s">
        <v>4747</v>
      </c>
      <c r="D1075" s="173" t="s">
        <v>4747</v>
      </c>
      <c r="E1075" s="174" t="s">
        <v>2861</v>
      </c>
      <c r="F1075" s="173" t="s">
        <v>2862</v>
      </c>
      <c r="G1075" s="328" t="s">
        <v>673</v>
      </c>
      <c r="H1075" s="328" t="s">
        <v>2863</v>
      </c>
      <c r="I1075" s="258" t="s">
        <v>2864</v>
      </c>
      <c r="J1075" s="259" t="s">
        <v>1026</v>
      </c>
      <c r="K1075" s="260" t="s">
        <v>4748</v>
      </c>
      <c r="L1075" s="328"/>
      <c r="M1075" s="343"/>
      <c r="N1075" s="173" t="s">
        <v>679</v>
      </c>
      <c r="O1075" s="173" t="s">
        <v>225</v>
      </c>
      <c r="P1075" s="262" t="str">
        <f t="shared" si="1"/>
        <v>IN-BLR-ANANTA-VAV-647_4</v>
      </c>
      <c r="Q1075" s="173" t="s">
        <v>4749</v>
      </c>
      <c r="R1075" s="328" t="str">
        <f>IFS(C1075="","",C1075="n/a","N/A",LEN(C1075),Concatenate("{",char(34),"asset",char(34),":{",char(34),"guid",char(34),":",char(34),Q1075,char(34),",",char(34),"site",char(34),":",char(34),LOWER('2-Building'!$B$4),char(34),",",char(34),"name",char(34),":",char(34),LOWER(C1075),char(34),"}}"))</f>
        <v>{"asset":{"guid":"uuid://edde7b20-2695-4359-b634-a1462ddf6ba9","site":"in-blr-ananta","name":"vav-647"}}</v>
      </c>
      <c r="S1075" s="237" t="s">
        <v>2866</v>
      </c>
      <c r="T1075" s="330"/>
      <c r="U1075" s="330"/>
      <c r="V1075" s="331"/>
      <c r="W1075" s="344"/>
      <c r="X1075" s="341"/>
      <c r="Y1075" s="33" t="s">
        <v>2867</v>
      </c>
      <c r="Z1075" s="258">
        <v>120647.0</v>
      </c>
      <c r="AA1075" s="334">
        <v>11563.0</v>
      </c>
      <c r="AB1075" s="341"/>
      <c r="AC1075" s="341"/>
      <c r="AD1075" s="343"/>
      <c r="AE1075" s="331"/>
      <c r="AF1075" s="348"/>
      <c r="AG1075" s="337"/>
      <c r="AH1075" s="341"/>
      <c r="AI1075" s="341"/>
      <c r="AJ1075" s="341"/>
      <c r="AK1075" s="341"/>
      <c r="AL1075" s="341"/>
      <c r="AM1075" s="338"/>
      <c r="AN1075" s="341"/>
      <c r="AO1075" s="341"/>
      <c r="AP1075" s="341"/>
      <c r="AQ1075" s="341"/>
      <c r="AR1075" s="341"/>
      <c r="AS1075" s="341"/>
      <c r="AT1075" s="341"/>
      <c r="AU1075" s="343"/>
      <c r="AV1075" s="341"/>
      <c r="AW1075" s="269" t="s">
        <v>2188</v>
      </c>
      <c r="AX1075" s="334" t="s">
        <v>2869</v>
      </c>
      <c r="AY1075" s="270" t="s">
        <v>695</v>
      </c>
      <c r="AZ1075" s="173" t="s">
        <v>2866</v>
      </c>
      <c r="BA1075" s="265">
        <v>10.0</v>
      </c>
      <c r="BB1075" s="174" t="s">
        <v>245</v>
      </c>
      <c r="BC1075" s="341"/>
      <c r="BD1075" s="308"/>
      <c r="BE1075" s="347"/>
      <c r="BF1075" s="274" t="str">
        <f>IFERROR(__xludf.DUMMYFUNCTION("LOWER(Regexreplace(to_text(E1075),""[^A-Za-z0-9]"","""")&amp;""_""&amp;Regexreplace(to_text(F1075),""[^A-Za-z0-9]"",""""))"),"neptronic_evcbseries")</f>
        <v>neptronic_evcbseries</v>
      </c>
      <c r="BG1075" s="275" t="str">
        <f>IFERROR(__xludf.DUMMYFUNCTION("upper(Regexreplace(to_text(E1075),""[^A-Za-z0-9]"","""")&amp;""-""&amp;Regexreplace(to_text(F1075),""[^A-Za-z0-9]"",""""))"),"NEPTRONIC-EVCBSERIES")</f>
        <v>NEPTRONIC-EVCBSERIES</v>
      </c>
    </row>
    <row r="1076" ht="30.0" customHeight="1">
      <c r="A1076" s="258">
        <v>1068.0</v>
      </c>
      <c r="B1076" s="237" t="s">
        <v>670</v>
      </c>
      <c r="C1076" s="257" t="s">
        <v>4750</v>
      </c>
      <c r="D1076" s="173" t="s">
        <v>4750</v>
      </c>
      <c r="E1076" s="174" t="s">
        <v>2861</v>
      </c>
      <c r="F1076" s="173" t="s">
        <v>2862</v>
      </c>
      <c r="G1076" s="328" t="s">
        <v>673</v>
      </c>
      <c r="H1076" s="328" t="s">
        <v>2863</v>
      </c>
      <c r="I1076" s="258" t="s">
        <v>2864</v>
      </c>
      <c r="J1076" s="259" t="s">
        <v>1026</v>
      </c>
      <c r="K1076" s="260" t="s">
        <v>4751</v>
      </c>
      <c r="L1076" s="328"/>
      <c r="M1076" s="343"/>
      <c r="N1076" s="173" t="s">
        <v>679</v>
      </c>
      <c r="O1076" s="173" t="s">
        <v>225</v>
      </c>
      <c r="P1076" s="262" t="str">
        <f t="shared" si="1"/>
        <v>IN-BLR-ANANTA-VAV-648_4</v>
      </c>
      <c r="Q1076" s="173" t="s">
        <v>4752</v>
      </c>
      <c r="R1076" s="328" t="str">
        <f>IFS(C1076="","",C1076="n/a","N/A",LEN(C1076),Concatenate("{",char(34),"asset",char(34),":{",char(34),"guid",char(34),":",char(34),Q1076,char(34),",",char(34),"site",char(34),":",char(34),LOWER('2-Building'!$B$4),char(34),",",char(34),"name",char(34),":",char(34),LOWER(C1076),char(34),"}}"))</f>
        <v>{"asset":{"guid":"uuid://85bc6024-593c-48cf-bd6a-b9b5c2e38341","site":"in-blr-ananta","name":"vav-648"}}</v>
      </c>
      <c r="S1076" s="237" t="s">
        <v>2866</v>
      </c>
      <c r="T1076" s="330"/>
      <c r="U1076" s="330"/>
      <c r="V1076" s="331"/>
      <c r="W1076" s="344"/>
      <c r="X1076" s="341"/>
      <c r="Y1076" s="33" t="s">
        <v>2867</v>
      </c>
      <c r="Z1076" s="258">
        <v>120648.0</v>
      </c>
      <c r="AA1076" s="334">
        <v>11563.0</v>
      </c>
      <c r="AB1076" s="341"/>
      <c r="AC1076" s="341"/>
      <c r="AD1076" s="343"/>
      <c r="AE1076" s="331"/>
      <c r="AF1076" s="348"/>
      <c r="AG1076" s="337"/>
      <c r="AH1076" s="341"/>
      <c r="AI1076" s="341"/>
      <c r="AJ1076" s="341"/>
      <c r="AK1076" s="341"/>
      <c r="AL1076" s="341"/>
      <c r="AM1076" s="338"/>
      <c r="AN1076" s="341"/>
      <c r="AO1076" s="341"/>
      <c r="AP1076" s="341"/>
      <c r="AQ1076" s="341"/>
      <c r="AR1076" s="341"/>
      <c r="AS1076" s="341"/>
      <c r="AT1076" s="341"/>
      <c r="AU1076" s="343"/>
      <c r="AV1076" s="341"/>
      <c r="AW1076" s="269" t="s">
        <v>2188</v>
      </c>
      <c r="AX1076" s="334" t="s">
        <v>2869</v>
      </c>
      <c r="AY1076" s="270" t="s">
        <v>695</v>
      </c>
      <c r="AZ1076" s="173" t="s">
        <v>2866</v>
      </c>
      <c r="BA1076" s="265">
        <v>10.0</v>
      </c>
      <c r="BB1076" s="174" t="s">
        <v>245</v>
      </c>
      <c r="BC1076" s="341"/>
      <c r="BD1076" s="308"/>
      <c r="BE1076" s="347"/>
      <c r="BF1076" s="274" t="str">
        <f>IFERROR(__xludf.DUMMYFUNCTION("LOWER(Regexreplace(to_text(E1076),""[^A-Za-z0-9]"","""")&amp;""_""&amp;Regexreplace(to_text(F1076),""[^A-Za-z0-9]"",""""))"),"neptronic_evcbseries")</f>
        <v>neptronic_evcbseries</v>
      </c>
      <c r="BG1076" s="275" t="str">
        <f>IFERROR(__xludf.DUMMYFUNCTION("upper(Regexreplace(to_text(E1076),""[^A-Za-z0-9]"","""")&amp;""-""&amp;Regexreplace(to_text(F1076),""[^A-Za-z0-9]"",""""))"),"NEPTRONIC-EVCBSERIES")</f>
        <v>NEPTRONIC-EVCBSERIES</v>
      </c>
    </row>
    <row r="1077" ht="30.0" customHeight="1">
      <c r="A1077" s="173">
        <v>1069.0</v>
      </c>
      <c r="B1077" s="237" t="s">
        <v>670</v>
      </c>
      <c r="C1077" s="257" t="s">
        <v>4753</v>
      </c>
      <c r="D1077" s="173" t="s">
        <v>4753</v>
      </c>
      <c r="E1077" s="174" t="s">
        <v>2861</v>
      </c>
      <c r="F1077" s="173" t="s">
        <v>2862</v>
      </c>
      <c r="G1077" s="328" t="s">
        <v>673</v>
      </c>
      <c r="H1077" s="328" t="s">
        <v>2863</v>
      </c>
      <c r="I1077" s="258" t="s">
        <v>2864</v>
      </c>
      <c r="J1077" s="259" t="s">
        <v>1026</v>
      </c>
      <c r="K1077" s="260" t="s">
        <v>4754</v>
      </c>
      <c r="L1077" s="328"/>
      <c r="M1077" s="343"/>
      <c r="N1077" s="173" t="s">
        <v>679</v>
      </c>
      <c r="O1077" s="173" t="s">
        <v>225</v>
      </c>
      <c r="P1077" s="262" t="str">
        <f t="shared" si="1"/>
        <v>IN-BLR-ANANTA-VAV-649_4</v>
      </c>
      <c r="Q1077" s="173" t="s">
        <v>4755</v>
      </c>
      <c r="R1077" s="328" t="str">
        <f>IFS(C1077="","",C1077="n/a","N/A",LEN(C1077),Concatenate("{",char(34),"asset",char(34),":{",char(34),"guid",char(34),":",char(34),Q1077,char(34),",",char(34),"site",char(34),":",char(34),LOWER('2-Building'!$B$4),char(34),",",char(34),"name",char(34),":",char(34),LOWER(C1077),char(34),"}}"))</f>
        <v>{"asset":{"guid":"uuid://710c6d2a-36c6-4402-9da3-7add1a4bf0b4","site":"in-blr-ananta","name":"vav-649"}}</v>
      </c>
      <c r="S1077" s="237" t="s">
        <v>2866</v>
      </c>
      <c r="T1077" s="330"/>
      <c r="U1077" s="330"/>
      <c r="V1077" s="331"/>
      <c r="W1077" s="344"/>
      <c r="X1077" s="341"/>
      <c r="Y1077" s="33" t="s">
        <v>2867</v>
      </c>
      <c r="Z1077" s="258">
        <v>120649.0</v>
      </c>
      <c r="AA1077" s="334">
        <v>11563.0</v>
      </c>
      <c r="AB1077" s="341"/>
      <c r="AC1077" s="341"/>
      <c r="AD1077" s="343"/>
      <c r="AE1077" s="331"/>
      <c r="AF1077" s="348"/>
      <c r="AG1077" s="337"/>
      <c r="AH1077" s="341"/>
      <c r="AI1077" s="341"/>
      <c r="AJ1077" s="341"/>
      <c r="AK1077" s="341"/>
      <c r="AL1077" s="341"/>
      <c r="AM1077" s="338"/>
      <c r="AN1077" s="341"/>
      <c r="AO1077" s="341"/>
      <c r="AP1077" s="341"/>
      <c r="AQ1077" s="341"/>
      <c r="AR1077" s="341"/>
      <c r="AS1077" s="341"/>
      <c r="AT1077" s="341"/>
      <c r="AU1077" s="343"/>
      <c r="AV1077" s="341"/>
      <c r="AW1077" s="269" t="s">
        <v>2188</v>
      </c>
      <c r="AX1077" s="334" t="s">
        <v>2869</v>
      </c>
      <c r="AY1077" s="270" t="s">
        <v>695</v>
      </c>
      <c r="AZ1077" s="173" t="s">
        <v>2866</v>
      </c>
      <c r="BA1077" s="265">
        <v>10.0</v>
      </c>
      <c r="BB1077" s="174" t="s">
        <v>245</v>
      </c>
      <c r="BC1077" s="341"/>
      <c r="BD1077" s="308"/>
      <c r="BE1077" s="347"/>
      <c r="BF1077" s="274" t="str">
        <f>IFERROR(__xludf.DUMMYFUNCTION("LOWER(Regexreplace(to_text(E1077),""[^A-Za-z0-9]"","""")&amp;""_""&amp;Regexreplace(to_text(F1077),""[^A-Za-z0-9]"",""""))"),"neptronic_evcbseries")</f>
        <v>neptronic_evcbseries</v>
      </c>
      <c r="BG1077" s="275" t="str">
        <f>IFERROR(__xludf.DUMMYFUNCTION("upper(Regexreplace(to_text(E1077),""[^A-Za-z0-9]"","""")&amp;""-""&amp;Regexreplace(to_text(F1077),""[^A-Za-z0-9]"",""""))"),"NEPTRONIC-EVCBSERIES")</f>
        <v>NEPTRONIC-EVCBSERIES</v>
      </c>
    </row>
    <row r="1078" ht="30.0" customHeight="1">
      <c r="A1078" s="258">
        <v>1070.0</v>
      </c>
      <c r="B1078" s="237" t="s">
        <v>670</v>
      </c>
      <c r="C1078" s="257" t="s">
        <v>4756</v>
      </c>
      <c r="D1078" s="173" t="s">
        <v>4756</v>
      </c>
      <c r="E1078" s="174" t="s">
        <v>2861</v>
      </c>
      <c r="F1078" s="173" t="s">
        <v>2862</v>
      </c>
      <c r="G1078" s="328" t="s">
        <v>673</v>
      </c>
      <c r="H1078" s="328" t="s">
        <v>2863</v>
      </c>
      <c r="I1078" s="258" t="s">
        <v>2864</v>
      </c>
      <c r="J1078" s="259" t="s">
        <v>1026</v>
      </c>
      <c r="K1078" s="260" t="s">
        <v>4757</v>
      </c>
      <c r="L1078" s="328"/>
      <c r="M1078" s="343"/>
      <c r="N1078" s="173" t="s">
        <v>679</v>
      </c>
      <c r="O1078" s="173" t="s">
        <v>225</v>
      </c>
      <c r="P1078" s="262" t="str">
        <f t="shared" si="1"/>
        <v>IN-BLR-ANANTA-VAV-650_4</v>
      </c>
      <c r="Q1078" s="173" t="s">
        <v>4758</v>
      </c>
      <c r="R1078" s="328" t="str">
        <f>IFS(C1078="","",C1078="n/a","N/A",LEN(C1078),Concatenate("{",char(34),"asset",char(34),":{",char(34),"guid",char(34),":",char(34),Q1078,char(34),",",char(34),"site",char(34),":",char(34),LOWER('2-Building'!$B$4),char(34),",",char(34),"name",char(34),":",char(34),LOWER(C1078),char(34),"}}"))</f>
        <v>{"asset":{"guid":"uuid://7d93e46c-0143-475d-b115-d794a49b6911","site":"in-blr-ananta","name":"vav-650"}}</v>
      </c>
      <c r="S1078" s="237" t="s">
        <v>2866</v>
      </c>
      <c r="T1078" s="330"/>
      <c r="U1078" s="330"/>
      <c r="V1078" s="331"/>
      <c r="W1078" s="344"/>
      <c r="X1078" s="341"/>
      <c r="Y1078" s="33" t="s">
        <v>2867</v>
      </c>
      <c r="Z1078" s="258">
        <v>120650.0</v>
      </c>
      <c r="AA1078" s="334">
        <v>11563.0</v>
      </c>
      <c r="AB1078" s="341"/>
      <c r="AC1078" s="341"/>
      <c r="AD1078" s="343"/>
      <c r="AE1078" s="331"/>
      <c r="AF1078" s="348"/>
      <c r="AG1078" s="337"/>
      <c r="AH1078" s="341"/>
      <c r="AI1078" s="341"/>
      <c r="AJ1078" s="341"/>
      <c r="AK1078" s="341"/>
      <c r="AL1078" s="341"/>
      <c r="AM1078" s="338"/>
      <c r="AN1078" s="341"/>
      <c r="AO1078" s="341"/>
      <c r="AP1078" s="341"/>
      <c r="AQ1078" s="341"/>
      <c r="AR1078" s="341"/>
      <c r="AS1078" s="341"/>
      <c r="AT1078" s="341"/>
      <c r="AU1078" s="343"/>
      <c r="AV1078" s="341"/>
      <c r="AW1078" s="269" t="s">
        <v>2188</v>
      </c>
      <c r="AX1078" s="334" t="s">
        <v>2869</v>
      </c>
      <c r="AY1078" s="270" t="s">
        <v>695</v>
      </c>
      <c r="AZ1078" s="173" t="s">
        <v>2866</v>
      </c>
      <c r="BA1078" s="265">
        <v>10.0</v>
      </c>
      <c r="BB1078" s="174" t="s">
        <v>245</v>
      </c>
      <c r="BC1078" s="341"/>
      <c r="BD1078" s="308"/>
      <c r="BE1078" s="347"/>
      <c r="BF1078" s="274" t="str">
        <f>IFERROR(__xludf.DUMMYFUNCTION("LOWER(Regexreplace(to_text(E1078),""[^A-Za-z0-9]"","""")&amp;""_""&amp;Regexreplace(to_text(F1078),""[^A-Za-z0-9]"",""""))"),"neptronic_evcbseries")</f>
        <v>neptronic_evcbseries</v>
      </c>
      <c r="BG1078" s="275" t="str">
        <f>IFERROR(__xludf.DUMMYFUNCTION("upper(Regexreplace(to_text(E1078),""[^A-Za-z0-9]"","""")&amp;""-""&amp;Regexreplace(to_text(F1078),""[^A-Za-z0-9]"",""""))"),"NEPTRONIC-EVCBSERIES")</f>
        <v>NEPTRONIC-EVCBSERIES</v>
      </c>
    </row>
    <row r="1079" ht="30.0" customHeight="1">
      <c r="A1079" s="173">
        <v>1071.0</v>
      </c>
      <c r="B1079" s="237" t="s">
        <v>670</v>
      </c>
      <c r="C1079" s="257" t="s">
        <v>4759</v>
      </c>
      <c r="D1079" s="173" t="s">
        <v>4759</v>
      </c>
      <c r="E1079" s="174" t="s">
        <v>2861</v>
      </c>
      <c r="F1079" s="173" t="s">
        <v>2862</v>
      </c>
      <c r="G1079" s="328" t="s">
        <v>673</v>
      </c>
      <c r="H1079" s="328" t="s">
        <v>2863</v>
      </c>
      <c r="I1079" s="258" t="s">
        <v>2864</v>
      </c>
      <c r="J1079" s="259" t="s">
        <v>1026</v>
      </c>
      <c r="K1079" s="260" t="s">
        <v>4760</v>
      </c>
      <c r="L1079" s="328"/>
      <c r="M1079" s="343"/>
      <c r="N1079" s="173" t="s">
        <v>679</v>
      </c>
      <c r="O1079" s="173" t="s">
        <v>225</v>
      </c>
      <c r="P1079" s="262" t="str">
        <f t="shared" si="1"/>
        <v>IN-BLR-ANANTA-VAV-651_4</v>
      </c>
      <c r="Q1079" s="173" t="s">
        <v>4761</v>
      </c>
      <c r="R1079" s="328" t="str">
        <f>IFS(C1079="","",C1079="n/a","N/A",LEN(C1079),Concatenate("{",char(34),"asset",char(34),":{",char(34),"guid",char(34),":",char(34),Q1079,char(34),",",char(34),"site",char(34),":",char(34),LOWER('2-Building'!$B$4),char(34),",",char(34),"name",char(34),":",char(34),LOWER(C1079),char(34),"}}"))</f>
        <v>{"asset":{"guid":"uuid://086ff60e-9ecf-4102-b33d-a39e0604bcb4","site":"in-blr-ananta","name":"vav-651"}}</v>
      </c>
      <c r="S1079" s="237" t="s">
        <v>2866</v>
      </c>
      <c r="T1079" s="330"/>
      <c r="U1079" s="330"/>
      <c r="V1079" s="331"/>
      <c r="W1079" s="344"/>
      <c r="X1079" s="341"/>
      <c r="Y1079" s="33" t="s">
        <v>2867</v>
      </c>
      <c r="Z1079" s="258">
        <v>120651.0</v>
      </c>
      <c r="AA1079" s="334">
        <v>11563.0</v>
      </c>
      <c r="AB1079" s="341"/>
      <c r="AC1079" s="341"/>
      <c r="AD1079" s="343"/>
      <c r="AE1079" s="331"/>
      <c r="AF1079" s="348"/>
      <c r="AG1079" s="337"/>
      <c r="AH1079" s="341"/>
      <c r="AI1079" s="341"/>
      <c r="AJ1079" s="341"/>
      <c r="AK1079" s="341"/>
      <c r="AL1079" s="341"/>
      <c r="AM1079" s="338"/>
      <c r="AN1079" s="341"/>
      <c r="AO1079" s="341"/>
      <c r="AP1079" s="341"/>
      <c r="AQ1079" s="341"/>
      <c r="AR1079" s="341"/>
      <c r="AS1079" s="341"/>
      <c r="AT1079" s="341"/>
      <c r="AU1079" s="343"/>
      <c r="AV1079" s="341"/>
      <c r="AW1079" s="269" t="s">
        <v>2188</v>
      </c>
      <c r="AX1079" s="334" t="s">
        <v>2869</v>
      </c>
      <c r="AY1079" s="270" t="s">
        <v>695</v>
      </c>
      <c r="AZ1079" s="173" t="s">
        <v>2866</v>
      </c>
      <c r="BA1079" s="265">
        <v>10.0</v>
      </c>
      <c r="BB1079" s="174" t="s">
        <v>245</v>
      </c>
      <c r="BC1079" s="341"/>
      <c r="BD1079" s="308"/>
      <c r="BE1079" s="347"/>
      <c r="BF1079" s="274" t="str">
        <f>IFERROR(__xludf.DUMMYFUNCTION("LOWER(Regexreplace(to_text(E1079),""[^A-Za-z0-9]"","""")&amp;""_""&amp;Regexreplace(to_text(F1079),""[^A-Za-z0-9]"",""""))"),"neptronic_evcbseries")</f>
        <v>neptronic_evcbseries</v>
      </c>
      <c r="BG1079" s="275" t="str">
        <f>IFERROR(__xludf.DUMMYFUNCTION("upper(Regexreplace(to_text(E1079),""[^A-Za-z0-9]"","""")&amp;""-""&amp;Regexreplace(to_text(F1079),""[^A-Za-z0-9]"",""""))"),"NEPTRONIC-EVCBSERIES")</f>
        <v>NEPTRONIC-EVCBSERIES</v>
      </c>
    </row>
    <row r="1080" ht="30.0" customHeight="1">
      <c r="A1080" s="258">
        <v>1072.0</v>
      </c>
      <c r="B1080" s="237" t="s">
        <v>670</v>
      </c>
      <c r="C1080" s="257" t="s">
        <v>4762</v>
      </c>
      <c r="D1080" s="173" t="s">
        <v>4762</v>
      </c>
      <c r="E1080" s="174" t="s">
        <v>2861</v>
      </c>
      <c r="F1080" s="173" t="s">
        <v>2862</v>
      </c>
      <c r="G1080" s="328" t="s">
        <v>673</v>
      </c>
      <c r="H1080" s="328" t="s">
        <v>2863</v>
      </c>
      <c r="I1080" s="258" t="s">
        <v>2864</v>
      </c>
      <c r="J1080" s="259" t="s">
        <v>1026</v>
      </c>
      <c r="K1080" s="260" t="s">
        <v>4763</v>
      </c>
      <c r="L1080" s="328"/>
      <c r="M1080" s="343"/>
      <c r="N1080" s="173" t="s">
        <v>679</v>
      </c>
      <c r="O1080" s="173" t="s">
        <v>225</v>
      </c>
      <c r="P1080" s="262" t="str">
        <f t="shared" si="1"/>
        <v>IN-BLR-ANANTA-VAV-652_4</v>
      </c>
      <c r="Q1080" s="173" t="s">
        <v>4764</v>
      </c>
      <c r="R1080" s="328" t="str">
        <f>IFS(C1080="","",C1080="n/a","N/A",LEN(C1080),Concatenate("{",char(34),"asset",char(34),":{",char(34),"guid",char(34),":",char(34),Q1080,char(34),",",char(34),"site",char(34),":",char(34),LOWER('2-Building'!$B$4),char(34),",",char(34),"name",char(34),":",char(34),LOWER(C1080),char(34),"}}"))</f>
        <v>{"asset":{"guid":"uuid://fe2e4fe0-1c6a-4d20-b3c6-0998f24747d2","site":"in-blr-ananta","name":"vav-652"}}</v>
      </c>
      <c r="S1080" s="237" t="s">
        <v>2866</v>
      </c>
      <c r="T1080" s="330"/>
      <c r="U1080" s="330"/>
      <c r="V1080" s="331"/>
      <c r="W1080" s="344"/>
      <c r="X1080" s="341"/>
      <c r="Y1080" s="33" t="s">
        <v>2867</v>
      </c>
      <c r="Z1080" s="258">
        <v>120652.0</v>
      </c>
      <c r="AA1080" s="334">
        <v>11563.0</v>
      </c>
      <c r="AB1080" s="341"/>
      <c r="AC1080" s="341"/>
      <c r="AD1080" s="343"/>
      <c r="AE1080" s="331"/>
      <c r="AF1080" s="348"/>
      <c r="AG1080" s="337"/>
      <c r="AH1080" s="341"/>
      <c r="AI1080" s="341"/>
      <c r="AJ1080" s="341"/>
      <c r="AK1080" s="341"/>
      <c r="AL1080" s="341"/>
      <c r="AM1080" s="338"/>
      <c r="AN1080" s="341"/>
      <c r="AO1080" s="341"/>
      <c r="AP1080" s="341"/>
      <c r="AQ1080" s="341"/>
      <c r="AR1080" s="341"/>
      <c r="AS1080" s="341"/>
      <c r="AT1080" s="341"/>
      <c r="AU1080" s="343"/>
      <c r="AV1080" s="341"/>
      <c r="AW1080" s="269" t="s">
        <v>2188</v>
      </c>
      <c r="AX1080" s="334" t="s">
        <v>2869</v>
      </c>
      <c r="AY1080" s="270" t="s">
        <v>695</v>
      </c>
      <c r="AZ1080" s="173" t="s">
        <v>2866</v>
      </c>
      <c r="BA1080" s="265">
        <v>10.0</v>
      </c>
      <c r="BB1080" s="174" t="s">
        <v>245</v>
      </c>
      <c r="BC1080" s="341"/>
      <c r="BD1080" s="308"/>
      <c r="BE1080" s="347"/>
      <c r="BF1080" s="274" t="str">
        <f>IFERROR(__xludf.DUMMYFUNCTION("LOWER(Regexreplace(to_text(E1080),""[^A-Za-z0-9]"","""")&amp;""_""&amp;Regexreplace(to_text(F1080),""[^A-Za-z0-9]"",""""))"),"neptronic_evcbseries")</f>
        <v>neptronic_evcbseries</v>
      </c>
      <c r="BG1080" s="275" t="str">
        <f>IFERROR(__xludf.DUMMYFUNCTION("upper(Regexreplace(to_text(E1080),""[^A-Za-z0-9]"","""")&amp;""-""&amp;Regexreplace(to_text(F1080),""[^A-Za-z0-9]"",""""))"),"NEPTRONIC-EVCBSERIES")</f>
        <v>NEPTRONIC-EVCBSERIES</v>
      </c>
    </row>
    <row r="1081" ht="30.0" customHeight="1">
      <c r="A1081" s="173">
        <v>1073.0</v>
      </c>
      <c r="B1081" s="237" t="s">
        <v>670</v>
      </c>
      <c r="C1081" s="257" t="s">
        <v>4765</v>
      </c>
      <c r="D1081" s="173" t="s">
        <v>4765</v>
      </c>
      <c r="E1081" s="174" t="s">
        <v>2861</v>
      </c>
      <c r="F1081" s="173" t="s">
        <v>2862</v>
      </c>
      <c r="G1081" s="328" t="s">
        <v>673</v>
      </c>
      <c r="H1081" s="328" t="s">
        <v>2863</v>
      </c>
      <c r="I1081" s="258" t="s">
        <v>2864</v>
      </c>
      <c r="J1081" s="259" t="s">
        <v>1026</v>
      </c>
      <c r="K1081" s="260" t="s">
        <v>4766</v>
      </c>
      <c r="L1081" s="328"/>
      <c r="M1081" s="343"/>
      <c r="N1081" s="173" t="s">
        <v>679</v>
      </c>
      <c r="O1081" s="173" t="s">
        <v>225</v>
      </c>
      <c r="P1081" s="262" t="str">
        <f t="shared" si="1"/>
        <v>IN-BLR-ANANTA-VAV-653_4</v>
      </c>
      <c r="Q1081" s="173" t="s">
        <v>4767</v>
      </c>
      <c r="R1081" s="328" t="str">
        <f>IFS(C1081="","",C1081="n/a","N/A",LEN(C1081),Concatenate("{",char(34),"asset",char(34),":{",char(34),"guid",char(34),":",char(34),Q1081,char(34),",",char(34),"site",char(34),":",char(34),LOWER('2-Building'!$B$4),char(34),",",char(34),"name",char(34),":",char(34),LOWER(C1081),char(34),"}}"))</f>
        <v>{"asset":{"guid":"uuid://530c6bc3-2bca-4de7-b79f-26d7065575cc","site":"in-blr-ananta","name":"vav-653"}}</v>
      </c>
      <c r="S1081" s="237" t="s">
        <v>2866</v>
      </c>
      <c r="T1081" s="330"/>
      <c r="U1081" s="330"/>
      <c r="V1081" s="331"/>
      <c r="W1081" s="344"/>
      <c r="X1081" s="341"/>
      <c r="Y1081" s="33" t="s">
        <v>2867</v>
      </c>
      <c r="Z1081" s="258">
        <v>120653.0</v>
      </c>
      <c r="AA1081" s="334">
        <v>11563.0</v>
      </c>
      <c r="AB1081" s="341"/>
      <c r="AC1081" s="341"/>
      <c r="AD1081" s="343"/>
      <c r="AE1081" s="331"/>
      <c r="AF1081" s="348"/>
      <c r="AG1081" s="337"/>
      <c r="AH1081" s="341"/>
      <c r="AI1081" s="341"/>
      <c r="AJ1081" s="341"/>
      <c r="AK1081" s="341"/>
      <c r="AL1081" s="341"/>
      <c r="AM1081" s="338"/>
      <c r="AN1081" s="341"/>
      <c r="AO1081" s="341"/>
      <c r="AP1081" s="341"/>
      <c r="AQ1081" s="341"/>
      <c r="AR1081" s="341"/>
      <c r="AS1081" s="341"/>
      <c r="AT1081" s="341"/>
      <c r="AU1081" s="343"/>
      <c r="AV1081" s="341"/>
      <c r="AW1081" s="269" t="s">
        <v>2188</v>
      </c>
      <c r="AX1081" s="334" t="s">
        <v>2869</v>
      </c>
      <c r="AY1081" s="270" t="s">
        <v>695</v>
      </c>
      <c r="AZ1081" s="173" t="s">
        <v>2866</v>
      </c>
      <c r="BA1081" s="265">
        <v>10.0</v>
      </c>
      <c r="BB1081" s="174" t="s">
        <v>245</v>
      </c>
      <c r="BC1081" s="341"/>
      <c r="BD1081" s="308"/>
      <c r="BE1081" s="347"/>
      <c r="BF1081" s="274" t="str">
        <f>IFERROR(__xludf.DUMMYFUNCTION("LOWER(Regexreplace(to_text(E1081),""[^A-Za-z0-9]"","""")&amp;""_""&amp;Regexreplace(to_text(F1081),""[^A-Za-z0-9]"",""""))"),"neptronic_evcbseries")</f>
        <v>neptronic_evcbseries</v>
      </c>
      <c r="BG1081" s="275" t="str">
        <f>IFERROR(__xludf.DUMMYFUNCTION("upper(Regexreplace(to_text(E1081),""[^A-Za-z0-9]"","""")&amp;""-""&amp;Regexreplace(to_text(F1081),""[^A-Za-z0-9]"",""""))"),"NEPTRONIC-EVCBSERIES")</f>
        <v>NEPTRONIC-EVCBSERIES</v>
      </c>
    </row>
    <row r="1082" ht="30.0" customHeight="1">
      <c r="A1082" s="258">
        <v>1074.0</v>
      </c>
      <c r="B1082" s="237" t="s">
        <v>670</v>
      </c>
      <c r="C1082" s="257" t="s">
        <v>4768</v>
      </c>
      <c r="D1082" s="173" t="s">
        <v>4768</v>
      </c>
      <c r="E1082" s="174" t="s">
        <v>2861</v>
      </c>
      <c r="F1082" s="173" t="s">
        <v>2862</v>
      </c>
      <c r="G1082" s="328" t="s">
        <v>673</v>
      </c>
      <c r="H1082" s="328" t="s">
        <v>2863</v>
      </c>
      <c r="I1082" s="258" t="s">
        <v>2864</v>
      </c>
      <c r="J1082" s="259" t="s">
        <v>1026</v>
      </c>
      <c r="K1082" s="260" t="s">
        <v>4769</v>
      </c>
      <c r="L1082" s="328"/>
      <c r="M1082" s="343"/>
      <c r="N1082" s="173" t="s">
        <v>679</v>
      </c>
      <c r="O1082" s="173" t="s">
        <v>225</v>
      </c>
      <c r="P1082" s="262" t="str">
        <f t="shared" si="1"/>
        <v>IN-BLR-ANANTA-VAV-654_4</v>
      </c>
      <c r="Q1082" s="173" t="s">
        <v>4770</v>
      </c>
      <c r="R1082" s="328" t="str">
        <f>IFS(C1082="","",C1082="n/a","N/A",LEN(C1082),Concatenate("{",char(34),"asset",char(34),":{",char(34),"guid",char(34),":",char(34),Q1082,char(34),",",char(34),"site",char(34),":",char(34),LOWER('2-Building'!$B$4),char(34),",",char(34),"name",char(34),":",char(34),LOWER(C1082),char(34),"}}"))</f>
        <v>{"asset":{"guid":"uuid://3fd582c5-b74f-4d12-aaf9-a29512eccead","site":"in-blr-ananta","name":"vav-654"}}</v>
      </c>
      <c r="S1082" s="237" t="s">
        <v>2866</v>
      </c>
      <c r="T1082" s="330"/>
      <c r="U1082" s="330"/>
      <c r="V1082" s="331"/>
      <c r="W1082" s="344"/>
      <c r="X1082" s="341"/>
      <c r="Y1082" s="33" t="s">
        <v>2867</v>
      </c>
      <c r="Z1082" s="258">
        <v>120654.0</v>
      </c>
      <c r="AA1082" s="334">
        <v>11563.0</v>
      </c>
      <c r="AB1082" s="341"/>
      <c r="AC1082" s="341"/>
      <c r="AD1082" s="343"/>
      <c r="AE1082" s="331"/>
      <c r="AF1082" s="348"/>
      <c r="AG1082" s="337"/>
      <c r="AH1082" s="341"/>
      <c r="AI1082" s="341"/>
      <c r="AJ1082" s="341"/>
      <c r="AK1082" s="341"/>
      <c r="AL1082" s="341"/>
      <c r="AM1082" s="338"/>
      <c r="AN1082" s="341"/>
      <c r="AO1082" s="341"/>
      <c r="AP1082" s="341"/>
      <c r="AQ1082" s="341"/>
      <c r="AR1082" s="341"/>
      <c r="AS1082" s="341"/>
      <c r="AT1082" s="341"/>
      <c r="AU1082" s="343"/>
      <c r="AV1082" s="341"/>
      <c r="AW1082" s="269" t="s">
        <v>2188</v>
      </c>
      <c r="AX1082" s="334" t="s">
        <v>2869</v>
      </c>
      <c r="AY1082" s="270" t="s">
        <v>695</v>
      </c>
      <c r="AZ1082" s="173" t="s">
        <v>2866</v>
      </c>
      <c r="BA1082" s="265">
        <v>10.0</v>
      </c>
      <c r="BB1082" s="174" t="s">
        <v>245</v>
      </c>
      <c r="BC1082" s="341"/>
      <c r="BD1082" s="308"/>
      <c r="BE1082" s="347"/>
      <c r="BF1082" s="274" t="str">
        <f>IFERROR(__xludf.DUMMYFUNCTION("LOWER(Regexreplace(to_text(E1082),""[^A-Za-z0-9]"","""")&amp;""_""&amp;Regexreplace(to_text(F1082),""[^A-Za-z0-9]"",""""))"),"neptronic_evcbseries")</f>
        <v>neptronic_evcbseries</v>
      </c>
      <c r="BG1082" s="275" t="str">
        <f>IFERROR(__xludf.DUMMYFUNCTION("upper(Regexreplace(to_text(E1082),""[^A-Za-z0-9]"","""")&amp;""-""&amp;Regexreplace(to_text(F1082),""[^A-Za-z0-9]"",""""))"),"NEPTRONIC-EVCBSERIES")</f>
        <v>NEPTRONIC-EVCBSERIES</v>
      </c>
    </row>
    <row r="1083" ht="30.0" customHeight="1">
      <c r="A1083" s="173">
        <v>1075.0</v>
      </c>
      <c r="B1083" s="237" t="s">
        <v>670</v>
      </c>
      <c r="C1083" s="257" t="s">
        <v>4771</v>
      </c>
      <c r="D1083" s="173" t="s">
        <v>4771</v>
      </c>
      <c r="E1083" s="174" t="s">
        <v>2861</v>
      </c>
      <c r="F1083" s="173" t="s">
        <v>2862</v>
      </c>
      <c r="G1083" s="328" t="s">
        <v>673</v>
      </c>
      <c r="H1083" s="328" t="s">
        <v>2863</v>
      </c>
      <c r="I1083" s="258" t="s">
        <v>2864</v>
      </c>
      <c r="J1083" s="259" t="s">
        <v>1026</v>
      </c>
      <c r="K1083" s="260" t="s">
        <v>4772</v>
      </c>
      <c r="L1083" s="328"/>
      <c r="M1083" s="343"/>
      <c r="N1083" s="173" t="s">
        <v>679</v>
      </c>
      <c r="O1083" s="173" t="s">
        <v>225</v>
      </c>
      <c r="P1083" s="262" t="str">
        <f t="shared" si="1"/>
        <v>IN-BLR-ANANTA-VAV-655_4</v>
      </c>
      <c r="Q1083" s="173" t="s">
        <v>4773</v>
      </c>
      <c r="R1083" s="328" t="str">
        <f>IFS(C1083="","",C1083="n/a","N/A",LEN(C1083),Concatenate("{",char(34),"asset",char(34),":{",char(34),"guid",char(34),":",char(34),Q1083,char(34),",",char(34),"site",char(34),":",char(34),LOWER('2-Building'!$B$4),char(34),",",char(34),"name",char(34),":",char(34),LOWER(C1083),char(34),"}}"))</f>
        <v>{"asset":{"guid":"uuid://97eb47cc-9365-44c2-8176-51383171e351","site":"in-blr-ananta","name":"vav-655"}}</v>
      </c>
      <c r="S1083" s="237" t="s">
        <v>2866</v>
      </c>
      <c r="T1083" s="330"/>
      <c r="U1083" s="330"/>
      <c r="V1083" s="331"/>
      <c r="W1083" s="344"/>
      <c r="X1083" s="341"/>
      <c r="Y1083" s="33" t="s">
        <v>2867</v>
      </c>
      <c r="Z1083" s="258">
        <v>120655.0</v>
      </c>
      <c r="AA1083" s="334">
        <v>11563.0</v>
      </c>
      <c r="AB1083" s="341"/>
      <c r="AC1083" s="341"/>
      <c r="AD1083" s="343"/>
      <c r="AE1083" s="331"/>
      <c r="AF1083" s="348"/>
      <c r="AG1083" s="337"/>
      <c r="AH1083" s="341"/>
      <c r="AI1083" s="341"/>
      <c r="AJ1083" s="341"/>
      <c r="AK1083" s="341"/>
      <c r="AL1083" s="341"/>
      <c r="AM1083" s="338"/>
      <c r="AN1083" s="341"/>
      <c r="AO1083" s="341"/>
      <c r="AP1083" s="341"/>
      <c r="AQ1083" s="341"/>
      <c r="AR1083" s="341"/>
      <c r="AS1083" s="341"/>
      <c r="AT1083" s="341"/>
      <c r="AU1083" s="343"/>
      <c r="AV1083" s="341"/>
      <c r="AW1083" s="269" t="s">
        <v>2188</v>
      </c>
      <c r="AX1083" s="334" t="s">
        <v>2869</v>
      </c>
      <c r="AY1083" s="270" t="s">
        <v>695</v>
      </c>
      <c r="AZ1083" s="173" t="s">
        <v>2866</v>
      </c>
      <c r="BA1083" s="265">
        <v>10.0</v>
      </c>
      <c r="BB1083" s="174" t="s">
        <v>245</v>
      </c>
      <c r="BC1083" s="341"/>
      <c r="BD1083" s="308"/>
      <c r="BE1083" s="347"/>
      <c r="BF1083" s="274" t="str">
        <f>IFERROR(__xludf.DUMMYFUNCTION("LOWER(Regexreplace(to_text(E1083),""[^A-Za-z0-9]"","""")&amp;""_""&amp;Regexreplace(to_text(F1083),""[^A-Za-z0-9]"",""""))"),"neptronic_evcbseries")</f>
        <v>neptronic_evcbseries</v>
      </c>
      <c r="BG1083" s="275" t="str">
        <f>IFERROR(__xludf.DUMMYFUNCTION("upper(Regexreplace(to_text(E1083),""[^A-Za-z0-9]"","""")&amp;""-""&amp;Regexreplace(to_text(F1083),""[^A-Za-z0-9]"",""""))"),"NEPTRONIC-EVCBSERIES")</f>
        <v>NEPTRONIC-EVCBSERIES</v>
      </c>
    </row>
    <row r="1084" ht="30.0" customHeight="1">
      <c r="A1084" s="258">
        <v>1076.0</v>
      </c>
      <c r="B1084" s="237" t="s">
        <v>670</v>
      </c>
      <c r="C1084" s="257" t="s">
        <v>4774</v>
      </c>
      <c r="D1084" s="173" t="s">
        <v>4774</v>
      </c>
      <c r="E1084" s="174" t="s">
        <v>2861</v>
      </c>
      <c r="F1084" s="173" t="s">
        <v>2862</v>
      </c>
      <c r="G1084" s="328" t="s">
        <v>673</v>
      </c>
      <c r="H1084" s="328" t="s">
        <v>2863</v>
      </c>
      <c r="I1084" s="258" t="s">
        <v>2864</v>
      </c>
      <c r="J1084" s="259" t="s">
        <v>1026</v>
      </c>
      <c r="K1084" s="260" t="s">
        <v>4775</v>
      </c>
      <c r="L1084" s="328"/>
      <c r="M1084" s="343"/>
      <c r="N1084" s="173" t="s">
        <v>679</v>
      </c>
      <c r="O1084" s="173" t="s">
        <v>225</v>
      </c>
      <c r="P1084" s="262" t="str">
        <f t="shared" si="1"/>
        <v>IN-BLR-ANANTA-VAV-656_4</v>
      </c>
      <c r="Q1084" s="173" t="s">
        <v>4776</v>
      </c>
      <c r="R1084" s="328" t="str">
        <f>IFS(C1084="","",C1084="n/a","N/A",LEN(C1084),Concatenate("{",char(34),"asset",char(34),":{",char(34),"guid",char(34),":",char(34),Q1084,char(34),",",char(34),"site",char(34),":",char(34),LOWER('2-Building'!$B$4),char(34),",",char(34),"name",char(34),":",char(34),LOWER(C1084),char(34),"}}"))</f>
        <v>{"asset":{"guid":"uuid://d9344aa0-173b-44d5-ad4a-ab12addaee9e","site":"in-blr-ananta","name":"vav-656"}}</v>
      </c>
      <c r="S1084" s="237" t="s">
        <v>2866</v>
      </c>
      <c r="T1084" s="330"/>
      <c r="U1084" s="330"/>
      <c r="V1084" s="331"/>
      <c r="W1084" s="344"/>
      <c r="X1084" s="341"/>
      <c r="Y1084" s="33" t="s">
        <v>2867</v>
      </c>
      <c r="Z1084" s="258">
        <v>120656.0</v>
      </c>
      <c r="AA1084" s="334">
        <v>11563.0</v>
      </c>
      <c r="AB1084" s="341"/>
      <c r="AC1084" s="341"/>
      <c r="AD1084" s="343"/>
      <c r="AE1084" s="331"/>
      <c r="AF1084" s="348"/>
      <c r="AG1084" s="337"/>
      <c r="AH1084" s="341"/>
      <c r="AI1084" s="341"/>
      <c r="AJ1084" s="341"/>
      <c r="AK1084" s="341"/>
      <c r="AL1084" s="341"/>
      <c r="AM1084" s="338"/>
      <c r="AN1084" s="341"/>
      <c r="AO1084" s="341"/>
      <c r="AP1084" s="341"/>
      <c r="AQ1084" s="341"/>
      <c r="AR1084" s="341"/>
      <c r="AS1084" s="341"/>
      <c r="AT1084" s="341"/>
      <c r="AU1084" s="343"/>
      <c r="AV1084" s="341"/>
      <c r="AW1084" s="269" t="s">
        <v>2188</v>
      </c>
      <c r="AX1084" s="334" t="s">
        <v>2869</v>
      </c>
      <c r="AY1084" s="270" t="s">
        <v>695</v>
      </c>
      <c r="AZ1084" s="173" t="s">
        <v>2866</v>
      </c>
      <c r="BA1084" s="265">
        <v>10.0</v>
      </c>
      <c r="BB1084" s="174" t="s">
        <v>245</v>
      </c>
      <c r="BC1084" s="341"/>
      <c r="BD1084" s="308"/>
      <c r="BE1084" s="347"/>
      <c r="BF1084" s="274" t="str">
        <f>IFERROR(__xludf.DUMMYFUNCTION("LOWER(Regexreplace(to_text(E1084),""[^A-Za-z0-9]"","""")&amp;""_""&amp;Regexreplace(to_text(F1084),""[^A-Za-z0-9]"",""""))"),"neptronic_evcbseries")</f>
        <v>neptronic_evcbseries</v>
      </c>
      <c r="BG1084" s="275" t="str">
        <f>IFERROR(__xludf.DUMMYFUNCTION("upper(Regexreplace(to_text(E1084),""[^A-Za-z0-9]"","""")&amp;""-""&amp;Regexreplace(to_text(F1084),""[^A-Za-z0-9]"",""""))"),"NEPTRONIC-EVCBSERIES")</f>
        <v>NEPTRONIC-EVCBSERIES</v>
      </c>
    </row>
    <row r="1085" ht="30.0" customHeight="1">
      <c r="A1085" s="173">
        <v>1077.0</v>
      </c>
      <c r="B1085" s="237" t="s">
        <v>670</v>
      </c>
      <c r="C1085" s="257" t="s">
        <v>4777</v>
      </c>
      <c r="D1085" s="173" t="s">
        <v>4777</v>
      </c>
      <c r="E1085" s="174" t="s">
        <v>2861</v>
      </c>
      <c r="F1085" s="173" t="s">
        <v>2862</v>
      </c>
      <c r="G1085" s="328" t="s">
        <v>673</v>
      </c>
      <c r="H1085" s="328" t="s">
        <v>2863</v>
      </c>
      <c r="I1085" s="258" t="s">
        <v>2864</v>
      </c>
      <c r="J1085" s="259" t="s">
        <v>1026</v>
      </c>
      <c r="K1085" s="260" t="s">
        <v>4778</v>
      </c>
      <c r="L1085" s="328"/>
      <c r="M1085" s="343"/>
      <c r="N1085" s="173" t="s">
        <v>679</v>
      </c>
      <c r="O1085" s="173" t="s">
        <v>225</v>
      </c>
      <c r="P1085" s="262" t="str">
        <f t="shared" si="1"/>
        <v>IN-BLR-ANANTA-VAV-657_4</v>
      </c>
      <c r="Q1085" s="173" t="s">
        <v>4779</v>
      </c>
      <c r="R1085" s="328" t="str">
        <f>IFS(C1085="","",C1085="n/a","N/A",LEN(C1085),Concatenate("{",char(34),"asset",char(34),":{",char(34),"guid",char(34),":",char(34),Q1085,char(34),",",char(34),"site",char(34),":",char(34),LOWER('2-Building'!$B$4),char(34),",",char(34),"name",char(34),":",char(34),LOWER(C1085),char(34),"}}"))</f>
        <v>{"asset":{"guid":"uuid://bef101a7-1e38-4a30-9991-4bbd8800bac9","site":"in-blr-ananta","name":"vav-657"}}</v>
      </c>
      <c r="S1085" s="237" t="s">
        <v>2866</v>
      </c>
      <c r="T1085" s="330"/>
      <c r="U1085" s="330"/>
      <c r="V1085" s="331"/>
      <c r="W1085" s="344"/>
      <c r="X1085" s="341"/>
      <c r="Y1085" s="33" t="s">
        <v>2867</v>
      </c>
      <c r="Z1085" s="258">
        <v>120657.0</v>
      </c>
      <c r="AA1085" s="334">
        <v>11563.0</v>
      </c>
      <c r="AB1085" s="341"/>
      <c r="AC1085" s="341"/>
      <c r="AD1085" s="343"/>
      <c r="AE1085" s="331"/>
      <c r="AF1085" s="348"/>
      <c r="AG1085" s="337"/>
      <c r="AH1085" s="341"/>
      <c r="AI1085" s="341"/>
      <c r="AJ1085" s="341"/>
      <c r="AK1085" s="341"/>
      <c r="AL1085" s="341"/>
      <c r="AM1085" s="338"/>
      <c r="AN1085" s="341"/>
      <c r="AO1085" s="341"/>
      <c r="AP1085" s="341"/>
      <c r="AQ1085" s="341"/>
      <c r="AR1085" s="341"/>
      <c r="AS1085" s="341"/>
      <c r="AT1085" s="341"/>
      <c r="AU1085" s="343"/>
      <c r="AV1085" s="341"/>
      <c r="AW1085" s="269" t="s">
        <v>2188</v>
      </c>
      <c r="AX1085" s="334" t="s">
        <v>2869</v>
      </c>
      <c r="AY1085" s="270" t="s">
        <v>695</v>
      </c>
      <c r="AZ1085" s="173" t="s">
        <v>2866</v>
      </c>
      <c r="BA1085" s="265">
        <v>10.0</v>
      </c>
      <c r="BB1085" s="174" t="s">
        <v>245</v>
      </c>
      <c r="BC1085" s="341"/>
      <c r="BD1085" s="308"/>
      <c r="BE1085" s="347"/>
      <c r="BF1085" s="274" t="str">
        <f>IFERROR(__xludf.DUMMYFUNCTION("LOWER(Regexreplace(to_text(E1085),""[^A-Za-z0-9]"","""")&amp;""_""&amp;Regexreplace(to_text(F1085),""[^A-Za-z0-9]"",""""))"),"neptronic_evcbseries")</f>
        <v>neptronic_evcbseries</v>
      </c>
      <c r="BG1085" s="275" t="str">
        <f>IFERROR(__xludf.DUMMYFUNCTION("upper(Regexreplace(to_text(E1085),""[^A-Za-z0-9]"","""")&amp;""-""&amp;Regexreplace(to_text(F1085),""[^A-Za-z0-9]"",""""))"),"NEPTRONIC-EVCBSERIES")</f>
        <v>NEPTRONIC-EVCBSERIES</v>
      </c>
    </row>
    <row r="1086" ht="30.0" customHeight="1">
      <c r="A1086" s="258">
        <v>1078.0</v>
      </c>
      <c r="B1086" s="237" t="s">
        <v>670</v>
      </c>
      <c r="C1086" s="257" t="s">
        <v>4780</v>
      </c>
      <c r="D1086" s="173" t="s">
        <v>4780</v>
      </c>
      <c r="E1086" s="174" t="s">
        <v>2861</v>
      </c>
      <c r="F1086" s="173" t="s">
        <v>2862</v>
      </c>
      <c r="G1086" s="328" t="s">
        <v>673</v>
      </c>
      <c r="H1086" s="328" t="s">
        <v>2863</v>
      </c>
      <c r="I1086" s="258" t="s">
        <v>2864</v>
      </c>
      <c r="J1086" s="259" t="s">
        <v>1026</v>
      </c>
      <c r="K1086" s="260" t="s">
        <v>4781</v>
      </c>
      <c r="L1086" s="328"/>
      <c r="M1086" s="343"/>
      <c r="N1086" s="173" t="s">
        <v>679</v>
      </c>
      <c r="O1086" s="173" t="s">
        <v>225</v>
      </c>
      <c r="P1086" s="262" t="str">
        <f t="shared" si="1"/>
        <v>IN-BLR-ANANTA-VAV-658_4</v>
      </c>
      <c r="Q1086" s="173" t="s">
        <v>4782</v>
      </c>
      <c r="R1086" s="328" t="str">
        <f>IFS(C1086="","",C1086="n/a","N/A",LEN(C1086),Concatenate("{",char(34),"asset",char(34),":{",char(34),"guid",char(34),":",char(34),Q1086,char(34),",",char(34),"site",char(34),":",char(34),LOWER('2-Building'!$B$4),char(34),",",char(34),"name",char(34),":",char(34),LOWER(C1086),char(34),"}}"))</f>
        <v>{"asset":{"guid":"uuid://5eb8d741-3d5d-415d-b27c-c46b16d88446","site":"in-blr-ananta","name":"vav-658"}}</v>
      </c>
      <c r="S1086" s="237" t="s">
        <v>2866</v>
      </c>
      <c r="T1086" s="330"/>
      <c r="U1086" s="330"/>
      <c r="V1086" s="331"/>
      <c r="W1086" s="344"/>
      <c r="X1086" s="341"/>
      <c r="Y1086" s="33" t="s">
        <v>2867</v>
      </c>
      <c r="Z1086" s="258">
        <v>120658.0</v>
      </c>
      <c r="AA1086" s="334">
        <v>11563.0</v>
      </c>
      <c r="AB1086" s="341"/>
      <c r="AC1086" s="341"/>
      <c r="AD1086" s="343"/>
      <c r="AE1086" s="331"/>
      <c r="AF1086" s="348"/>
      <c r="AG1086" s="337"/>
      <c r="AH1086" s="341"/>
      <c r="AI1086" s="341"/>
      <c r="AJ1086" s="341"/>
      <c r="AK1086" s="341"/>
      <c r="AL1086" s="341"/>
      <c r="AM1086" s="338"/>
      <c r="AN1086" s="341"/>
      <c r="AO1086" s="341"/>
      <c r="AP1086" s="341"/>
      <c r="AQ1086" s="341"/>
      <c r="AR1086" s="341"/>
      <c r="AS1086" s="341"/>
      <c r="AT1086" s="341"/>
      <c r="AU1086" s="343"/>
      <c r="AV1086" s="341"/>
      <c r="AW1086" s="269" t="s">
        <v>2188</v>
      </c>
      <c r="AX1086" s="334" t="s">
        <v>2869</v>
      </c>
      <c r="AY1086" s="270" t="s">
        <v>695</v>
      </c>
      <c r="AZ1086" s="173" t="s">
        <v>2866</v>
      </c>
      <c r="BA1086" s="265">
        <v>10.0</v>
      </c>
      <c r="BB1086" s="174" t="s">
        <v>245</v>
      </c>
      <c r="BC1086" s="341"/>
      <c r="BD1086" s="308"/>
      <c r="BE1086" s="347"/>
      <c r="BF1086" s="274" t="str">
        <f>IFERROR(__xludf.DUMMYFUNCTION("LOWER(Regexreplace(to_text(E1086),""[^A-Za-z0-9]"","""")&amp;""_""&amp;Regexreplace(to_text(F1086),""[^A-Za-z0-9]"",""""))"),"neptronic_evcbseries")</f>
        <v>neptronic_evcbseries</v>
      </c>
      <c r="BG1086" s="275" t="str">
        <f>IFERROR(__xludf.DUMMYFUNCTION("upper(Regexreplace(to_text(E1086),""[^A-Za-z0-9]"","""")&amp;""-""&amp;Regexreplace(to_text(F1086),""[^A-Za-z0-9]"",""""))"),"NEPTRONIC-EVCBSERIES")</f>
        <v>NEPTRONIC-EVCBSERIES</v>
      </c>
    </row>
    <row r="1087" ht="30.0" customHeight="1">
      <c r="A1087" s="173">
        <v>1079.0</v>
      </c>
      <c r="B1087" s="237" t="s">
        <v>670</v>
      </c>
      <c r="C1087" s="257" t="s">
        <v>4783</v>
      </c>
      <c r="D1087" s="173" t="s">
        <v>4783</v>
      </c>
      <c r="E1087" s="174" t="s">
        <v>2861</v>
      </c>
      <c r="F1087" s="173" t="s">
        <v>2862</v>
      </c>
      <c r="G1087" s="328" t="s">
        <v>673</v>
      </c>
      <c r="H1087" s="328" t="s">
        <v>2863</v>
      </c>
      <c r="I1087" s="258" t="s">
        <v>2864</v>
      </c>
      <c r="J1087" s="259" t="s">
        <v>1026</v>
      </c>
      <c r="K1087" s="260" t="s">
        <v>4784</v>
      </c>
      <c r="L1087" s="328"/>
      <c r="M1087" s="343"/>
      <c r="N1087" s="173" t="s">
        <v>679</v>
      </c>
      <c r="O1087" s="173" t="s">
        <v>225</v>
      </c>
      <c r="P1087" s="262" t="str">
        <f t="shared" si="1"/>
        <v>IN-BLR-ANANTA-VAV-659_4</v>
      </c>
      <c r="Q1087" s="173" t="s">
        <v>4785</v>
      </c>
      <c r="R1087" s="328" t="str">
        <f>IFS(C1087="","",C1087="n/a","N/A",LEN(C1087),Concatenate("{",char(34),"asset",char(34),":{",char(34),"guid",char(34),":",char(34),Q1087,char(34),",",char(34),"site",char(34),":",char(34),LOWER('2-Building'!$B$4),char(34),",",char(34),"name",char(34),":",char(34),LOWER(C1087),char(34),"}}"))</f>
        <v>{"asset":{"guid":"uuid://25dc513a-b589-4420-9dc9-c695cd738f99","site":"in-blr-ananta","name":"vav-659"}}</v>
      </c>
      <c r="S1087" s="237" t="s">
        <v>2866</v>
      </c>
      <c r="T1087" s="330"/>
      <c r="U1087" s="330"/>
      <c r="V1087" s="331"/>
      <c r="W1087" s="344"/>
      <c r="X1087" s="341"/>
      <c r="Y1087" s="33" t="s">
        <v>2867</v>
      </c>
      <c r="Z1087" s="258">
        <v>120659.0</v>
      </c>
      <c r="AA1087" s="334">
        <v>11563.0</v>
      </c>
      <c r="AB1087" s="341"/>
      <c r="AC1087" s="341"/>
      <c r="AD1087" s="343"/>
      <c r="AE1087" s="331"/>
      <c r="AF1087" s="348"/>
      <c r="AG1087" s="337"/>
      <c r="AH1087" s="341"/>
      <c r="AI1087" s="341"/>
      <c r="AJ1087" s="341"/>
      <c r="AK1087" s="341"/>
      <c r="AL1087" s="341"/>
      <c r="AM1087" s="338"/>
      <c r="AN1087" s="341"/>
      <c r="AO1087" s="341"/>
      <c r="AP1087" s="341"/>
      <c r="AQ1087" s="341"/>
      <c r="AR1087" s="341"/>
      <c r="AS1087" s="341"/>
      <c r="AT1087" s="341"/>
      <c r="AU1087" s="343"/>
      <c r="AV1087" s="341"/>
      <c r="AW1087" s="269" t="s">
        <v>2188</v>
      </c>
      <c r="AX1087" s="334" t="s">
        <v>2869</v>
      </c>
      <c r="AY1087" s="270" t="s">
        <v>695</v>
      </c>
      <c r="AZ1087" s="173" t="s">
        <v>2866</v>
      </c>
      <c r="BA1087" s="265">
        <v>10.0</v>
      </c>
      <c r="BB1087" s="174" t="s">
        <v>245</v>
      </c>
      <c r="BC1087" s="341"/>
      <c r="BD1087" s="308"/>
      <c r="BE1087" s="347"/>
      <c r="BF1087" s="274" t="str">
        <f>IFERROR(__xludf.DUMMYFUNCTION("LOWER(Regexreplace(to_text(E1087),""[^A-Za-z0-9]"","""")&amp;""_""&amp;Regexreplace(to_text(F1087),""[^A-Za-z0-9]"",""""))"),"neptronic_evcbseries")</f>
        <v>neptronic_evcbseries</v>
      </c>
      <c r="BG1087" s="275" t="str">
        <f>IFERROR(__xludf.DUMMYFUNCTION("upper(Regexreplace(to_text(E1087),""[^A-Za-z0-9]"","""")&amp;""-""&amp;Regexreplace(to_text(F1087),""[^A-Za-z0-9]"",""""))"),"NEPTRONIC-EVCBSERIES")</f>
        <v>NEPTRONIC-EVCBSERIES</v>
      </c>
    </row>
    <row r="1088" ht="30.0" customHeight="1">
      <c r="A1088" s="258">
        <v>1080.0</v>
      </c>
      <c r="B1088" s="237" t="s">
        <v>670</v>
      </c>
      <c r="C1088" s="257" t="s">
        <v>4786</v>
      </c>
      <c r="D1088" s="173" t="s">
        <v>4786</v>
      </c>
      <c r="E1088" s="174" t="s">
        <v>2861</v>
      </c>
      <c r="F1088" s="173" t="s">
        <v>2862</v>
      </c>
      <c r="G1088" s="328" t="s">
        <v>673</v>
      </c>
      <c r="H1088" s="328" t="s">
        <v>2863</v>
      </c>
      <c r="I1088" s="258" t="s">
        <v>2864</v>
      </c>
      <c r="J1088" s="259" t="s">
        <v>1026</v>
      </c>
      <c r="K1088" s="260" t="s">
        <v>3643</v>
      </c>
      <c r="L1088" s="328"/>
      <c r="M1088" s="343"/>
      <c r="N1088" s="173" t="s">
        <v>679</v>
      </c>
      <c r="O1088" s="173" t="s">
        <v>225</v>
      </c>
      <c r="P1088" s="262" t="str">
        <f t="shared" si="1"/>
        <v>IN-BLR-ANANTA-VAV-660_4</v>
      </c>
      <c r="Q1088" s="173" t="s">
        <v>4787</v>
      </c>
      <c r="R1088" s="328" t="str">
        <f>IFS(C1088="","",C1088="n/a","N/A",LEN(C1088),Concatenate("{",char(34),"asset",char(34),":{",char(34),"guid",char(34),":",char(34),Q1088,char(34),",",char(34),"site",char(34),":",char(34),LOWER('2-Building'!$B$4),char(34),",",char(34),"name",char(34),":",char(34),LOWER(C1088),char(34),"}}"))</f>
        <v>{"asset":{"guid":"uuid://efbf9918-0ced-4c37-90bd-c771f9e5f93c","site":"in-blr-ananta","name":"vav-660"}}</v>
      </c>
      <c r="S1088" s="237" t="s">
        <v>2866</v>
      </c>
      <c r="T1088" s="330"/>
      <c r="U1088" s="330"/>
      <c r="V1088" s="331"/>
      <c r="W1088" s="344"/>
      <c r="X1088" s="341"/>
      <c r="Y1088" s="33" t="s">
        <v>2867</v>
      </c>
      <c r="Z1088" s="258">
        <v>120660.0</v>
      </c>
      <c r="AA1088" s="334">
        <v>11560.0</v>
      </c>
      <c r="AB1088" s="341"/>
      <c r="AC1088" s="341"/>
      <c r="AD1088" s="343"/>
      <c r="AE1088" s="331"/>
      <c r="AF1088" s="348"/>
      <c r="AG1088" s="337"/>
      <c r="AH1088" s="341"/>
      <c r="AI1088" s="341"/>
      <c r="AJ1088" s="341"/>
      <c r="AK1088" s="341"/>
      <c r="AL1088" s="341"/>
      <c r="AM1088" s="338"/>
      <c r="AN1088" s="341"/>
      <c r="AO1088" s="341"/>
      <c r="AP1088" s="341"/>
      <c r="AQ1088" s="341"/>
      <c r="AR1088" s="341"/>
      <c r="AS1088" s="341"/>
      <c r="AT1088" s="341"/>
      <c r="AU1088" s="343"/>
      <c r="AV1088" s="341"/>
      <c r="AW1088" s="269" t="s">
        <v>2178</v>
      </c>
      <c r="AX1088" s="334" t="s">
        <v>2869</v>
      </c>
      <c r="AY1088" s="270" t="s">
        <v>695</v>
      </c>
      <c r="AZ1088" s="173" t="s">
        <v>2866</v>
      </c>
      <c r="BA1088" s="265">
        <v>10.0</v>
      </c>
      <c r="BB1088" s="174" t="s">
        <v>245</v>
      </c>
      <c r="BC1088" s="341"/>
      <c r="BD1088" s="308"/>
      <c r="BE1088" s="347"/>
      <c r="BF1088" s="274" t="str">
        <f>IFERROR(__xludf.DUMMYFUNCTION("LOWER(Regexreplace(to_text(E1088),""[^A-Za-z0-9]"","""")&amp;""_""&amp;Regexreplace(to_text(F1088),""[^A-Za-z0-9]"",""""))"),"neptronic_evcbseries")</f>
        <v>neptronic_evcbseries</v>
      </c>
      <c r="BG1088" s="275" t="str">
        <f>IFERROR(__xludf.DUMMYFUNCTION("upper(Regexreplace(to_text(E1088),""[^A-Za-z0-9]"","""")&amp;""-""&amp;Regexreplace(to_text(F1088),""[^A-Za-z0-9]"",""""))"),"NEPTRONIC-EVCBSERIES")</f>
        <v>NEPTRONIC-EVCBSERIES</v>
      </c>
    </row>
    <row r="1089" ht="30.0" customHeight="1">
      <c r="A1089" s="173">
        <v>1081.0</v>
      </c>
      <c r="B1089" s="237" t="s">
        <v>670</v>
      </c>
      <c r="C1089" s="257" t="s">
        <v>4788</v>
      </c>
      <c r="D1089" s="173" t="s">
        <v>4788</v>
      </c>
      <c r="E1089" s="174" t="s">
        <v>2861</v>
      </c>
      <c r="F1089" s="173" t="s">
        <v>2862</v>
      </c>
      <c r="G1089" s="328" t="s">
        <v>673</v>
      </c>
      <c r="H1089" s="328" t="s">
        <v>2863</v>
      </c>
      <c r="I1089" s="258" t="s">
        <v>2864</v>
      </c>
      <c r="J1089" s="259" t="s">
        <v>1026</v>
      </c>
      <c r="K1089" s="260" t="s">
        <v>4789</v>
      </c>
      <c r="L1089" s="328"/>
      <c r="M1089" s="343"/>
      <c r="N1089" s="173" t="s">
        <v>679</v>
      </c>
      <c r="O1089" s="173" t="s">
        <v>225</v>
      </c>
      <c r="P1089" s="262" t="str">
        <f t="shared" si="1"/>
        <v>IN-BLR-ANANTA-VAV-661_4</v>
      </c>
      <c r="Q1089" s="173" t="s">
        <v>4790</v>
      </c>
      <c r="R1089" s="328" t="str">
        <f>IFS(C1089="","",C1089="n/a","N/A",LEN(C1089),Concatenate("{",char(34),"asset",char(34),":{",char(34),"guid",char(34),":",char(34),Q1089,char(34),",",char(34),"site",char(34),":",char(34),LOWER('2-Building'!$B$4),char(34),",",char(34),"name",char(34),":",char(34),LOWER(C1089),char(34),"}}"))</f>
        <v>{"asset":{"guid":"uuid://0cef517b-1bd7-4621-903a-672193394495","site":"in-blr-ananta","name":"vav-661"}}</v>
      </c>
      <c r="S1089" s="237" t="s">
        <v>2866</v>
      </c>
      <c r="T1089" s="330"/>
      <c r="U1089" s="330"/>
      <c r="V1089" s="331"/>
      <c r="W1089" s="344"/>
      <c r="X1089" s="341"/>
      <c r="Y1089" s="33" t="s">
        <v>2867</v>
      </c>
      <c r="Z1089" s="258">
        <v>120661.0</v>
      </c>
      <c r="AA1089" s="334">
        <v>11560.0</v>
      </c>
      <c r="AB1089" s="341"/>
      <c r="AC1089" s="341"/>
      <c r="AD1089" s="343"/>
      <c r="AE1089" s="331"/>
      <c r="AF1089" s="348"/>
      <c r="AG1089" s="337"/>
      <c r="AH1089" s="341"/>
      <c r="AI1089" s="341"/>
      <c r="AJ1089" s="341"/>
      <c r="AK1089" s="341"/>
      <c r="AL1089" s="341"/>
      <c r="AM1089" s="338"/>
      <c r="AN1089" s="341"/>
      <c r="AO1089" s="341"/>
      <c r="AP1089" s="341"/>
      <c r="AQ1089" s="341"/>
      <c r="AR1089" s="341"/>
      <c r="AS1089" s="341"/>
      <c r="AT1089" s="341"/>
      <c r="AU1089" s="343"/>
      <c r="AV1089" s="341"/>
      <c r="AW1089" s="269" t="s">
        <v>2178</v>
      </c>
      <c r="AX1089" s="334" t="s">
        <v>2869</v>
      </c>
      <c r="AY1089" s="270" t="s">
        <v>695</v>
      </c>
      <c r="AZ1089" s="173" t="s">
        <v>2866</v>
      </c>
      <c r="BA1089" s="265">
        <v>10.0</v>
      </c>
      <c r="BB1089" s="174" t="s">
        <v>245</v>
      </c>
      <c r="BC1089" s="341"/>
      <c r="BD1089" s="308"/>
      <c r="BE1089" s="347"/>
      <c r="BF1089" s="274" t="str">
        <f>IFERROR(__xludf.DUMMYFUNCTION("LOWER(Regexreplace(to_text(E1089),""[^A-Za-z0-9]"","""")&amp;""_""&amp;Regexreplace(to_text(F1089),""[^A-Za-z0-9]"",""""))"),"neptronic_evcbseries")</f>
        <v>neptronic_evcbseries</v>
      </c>
      <c r="BG1089" s="275" t="str">
        <f>IFERROR(__xludf.DUMMYFUNCTION("upper(Regexreplace(to_text(E1089),""[^A-Za-z0-9]"","""")&amp;""-""&amp;Regexreplace(to_text(F1089),""[^A-Za-z0-9]"",""""))"),"NEPTRONIC-EVCBSERIES")</f>
        <v>NEPTRONIC-EVCBSERIES</v>
      </c>
    </row>
    <row r="1090" ht="30.0" customHeight="1">
      <c r="A1090" s="258">
        <v>1082.0</v>
      </c>
      <c r="B1090" s="237" t="s">
        <v>670</v>
      </c>
      <c r="C1090" s="257" t="s">
        <v>4791</v>
      </c>
      <c r="D1090" s="173" t="s">
        <v>4791</v>
      </c>
      <c r="E1090" s="174" t="s">
        <v>2861</v>
      </c>
      <c r="F1090" s="173" t="s">
        <v>2862</v>
      </c>
      <c r="G1090" s="328" t="s">
        <v>673</v>
      </c>
      <c r="H1090" s="328" t="s">
        <v>2863</v>
      </c>
      <c r="I1090" s="258" t="s">
        <v>2864</v>
      </c>
      <c r="J1090" s="259" t="s">
        <v>1026</v>
      </c>
      <c r="K1090" s="260" t="s">
        <v>4792</v>
      </c>
      <c r="L1090" s="328"/>
      <c r="M1090" s="343"/>
      <c r="N1090" s="173" t="s">
        <v>679</v>
      </c>
      <c r="O1090" s="173" t="s">
        <v>225</v>
      </c>
      <c r="P1090" s="262" t="str">
        <f t="shared" si="1"/>
        <v>IN-BLR-ANANTA-VAV-662_4</v>
      </c>
      <c r="Q1090" s="173" t="s">
        <v>4793</v>
      </c>
      <c r="R1090" s="328" t="str">
        <f>IFS(C1090="","",C1090="n/a","N/A",LEN(C1090),Concatenate("{",char(34),"asset",char(34),":{",char(34),"guid",char(34),":",char(34),Q1090,char(34),",",char(34),"site",char(34),":",char(34),LOWER('2-Building'!$B$4),char(34),",",char(34),"name",char(34),":",char(34),LOWER(C1090),char(34),"}}"))</f>
        <v>{"asset":{"guid":"uuid://ebbe3aa9-edbe-46ec-8f56-4eb026a17c62","site":"in-blr-ananta","name":"vav-662"}}</v>
      </c>
      <c r="S1090" s="237" t="s">
        <v>2866</v>
      </c>
      <c r="T1090" s="330"/>
      <c r="U1090" s="330"/>
      <c r="V1090" s="331"/>
      <c r="W1090" s="344"/>
      <c r="X1090" s="341"/>
      <c r="Y1090" s="33" t="s">
        <v>2867</v>
      </c>
      <c r="Z1090" s="258">
        <v>120662.0</v>
      </c>
      <c r="AA1090" s="334">
        <v>11560.0</v>
      </c>
      <c r="AB1090" s="341"/>
      <c r="AC1090" s="341"/>
      <c r="AD1090" s="343"/>
      <c r="AE1090" s="331"/>
      <c r="AF1090" s="348"/>
      <c r="AG1090" s="337"/>
      <c r="AH1090" s="341"/>
      <c r="AI1090" s="341"/>
      <c r="AJ1090" s="341"/>
      <c r="AK1090" s="341"/>
      <c r="AL1090" s="341"/>
      <c r="AM1090" s="338"/>
      <c r="AN1090" s="341"/>
      <c r="AO1090" s="341"/>
      <c r="AP1090" s="341"/>
      <c r="AQ1090" s="341"/>
      <c r="AR1090" s="341"/>
      <c r="AS1090" s="341"/>
      <c r="AT1090" s="341"/>
      <c r="AU1090" s="343"/>
      <c r="AV1090" s="341"/>
      <c r="AW1090" s="269" t="s">
        <v>2178</v>
      </c>
      <c r="AX1090" s="334" t="s">
        <v>2869</v>
      </c>
      <c r="AY1090" s="270" t="s">
        <v>695</v>
      </c>
      <c r="AZ1090" s="173" t="s">
        <v>2866</v>
      </c>
      <c r="BA1090" s="265">
        <v>10.0</v>
      </c>
      <c r="BB1090" s="174" t="s">
        <v>245</v>
      </c>
      <c r="BC1090" s="341"/>
      <c r="BD1090" s="308"/>
      <c r="BE1090" s="347"/>
      <c r="BF1090" s="274" t="str">
        <f>IFERROR(__xludf.DUMMYFUNCTION("LOWER(Regexreplace(to_text(E1090),""[^A-Za-z0-9]"","""")&amp;""_""&amp;Regexreplace(to_text(F1090),""[^A-Za-z0-9]"",""""))"),"neptronic_evcbseries")</f>
        <v>neptronic_evcbseries</v>
      </c>
      <c r="BG1090" s="275" t="str">
        <f>IFERROR(__xludf.DUMMYFUNCTION("upper(Regexreplace(to_text(E1090),""[^A-Za-z0-9]"","""")&amp;""-""&amp;Regexreplace(to_text(F1090),""[^A-Za-z0-9]"",""""))"),"NEPTRONIC-EVCBSERIES")</f>
        <v>NEPTRONIC-EVCBSERIES</v>
      </c>
    </row>
    <row r="1091" ht="30.0" customHeight="1">
      <c r="A1091" s="173">
        <v>1083.0</v>
      </c>
      <c r="B1091" s="237" t="s">
        <v>670</v>
      </c>
      <c r="C1091" s="257" t="s">
        <v>4794</v>
      </c>
      <c r="D1091" s="173" t="s">
        <v>4794</v>
      </c>
      <c r="E1091" s="174" t="s">
        <v>2861</v>
      </c>
      <c r="F1091" s="173" t="s">
        <v>2862</v>
      </c>
      <c r="G1091" s="328" t="s">
        <v>673</v>
      </c>
      <c r="H1091" s="328" t="s">
        <v>2863</v>
      </c>
      <c r="I1091" s="258" t="s">
        <v>2864</v>
      </c>
      <c r="J1091" s="259" t="s">
        <v>1026</v>
      </c>
      <c r="K1091" s="260" t="s">
        <v>4795</v>
      </c>
      <c r="L1091" s="328"/>
      <c r="M1091" s="343"/>
      <c r="N1091" s="173" t="s">
        <v>679</v>
      </c>
      <c r="O1091" s="173" t="s">
        <v>225</v>
      </c>
      <c r="P1091" s="262" t="str">
        <f t="shared" si="1"/>
        <v>IN-BLR-ANANTA-VAV-663_4</v>
      </c>
      <c r="Q1091" s="173" t="s">
        <v>4796</v>
      </c>
      <c r="R1091" s="328" t="str">
        <f>IFS(C1091="","",C1091="n/a","N/A",LEN(C1091),Concatenate("{",char(34),"asset",char(34),":{",char(34),"guid",char(34),":",char(34),Q1091,char(34),",",char(34),"site",char(34),":",char(34),LOWER('2-Building'!$B$4),char(34),",",char(34),"name",char(34),":",char(34),LOWER(C1091),char(34),"}}"))</f>
        <v>{"asset":{"guid":"uuid://bbc4fc05-84cd-4d98-bc2f-2ee70ed91bcb","site":"in-blr-ananta","name":"vav-663"}}</v>
      </c>
      <c r="S1091" s="237" t="s">
        <v>2866</v>
      </c>
      <c r="T1091" s="330"/>
      <c r="U1091" s="330"/>
      <c r="V1091" s="331"/>
      <c r="W1091" s="344"/>
      <c r="X1091" s="341"/>
      <c r="Y1091" s="33" t="s">
        <v>2867</v>
      </c>
      <c r="Z1091" s="258">
        <v>120663.0</v>
      </c>
      <c r="AA1091" s="334">
        <v>11560.0</v>
      </c>
      <c r="AB1091" s="341"/>
      <c r="AC1091" s="341"/>
      <c r="AD1091" s="343"/>
      <c r="AE1091" s="331"/>
      <c r="AF1091" s="348"/>
      <c r="AG1091" s="337"/>
      <c r="AH1091" s="341"/>
      <c r="AI1091" s="341"/>
      <c r="AJ1091" s="341"/>
      <c r="AK1091" s="341"/>
      <c r="AL1091" s="341"/>
      <c r="AM1091" s="338"/>
      <c r="AN1091" s="341"/>
      <c r="AO1091" s="341"/>
      <c r="AP1091" s="341"/>
      <c r="AQ1091" s="341"/>
      <c r="AR1091" s="341"/>
      <c r="AS1091" s="341"/>
      <c r="AT1091" s="341"/>
      <c r="AU1091" s="343"/>
      <c r="AV1091" s="341"/>
      <c r="AW1091" s="269" t="s">
        <v>2178</v>
      </c>
      <c r="AX1091" s="334" t="s">
        <v>2869</v>
      </c>
      <c r="AY1091" s="270" t="s">
        <v>695</v>
      </c>
      <c r="AZ1091" s="173" t="s">
        <v>2866</v>
      </c>
      <c r="BA1091" s="265">
        <v>10.0</v>
      </c>
      <c r="BB1091" s="174" t="s">
        <v>245</v>
      </c>
      <c r="BC1091" s="341"/>
      <c r="BD1091" s="308"/>
      <c r="BE1091" s="347"/>
      <c r="BF1091" s="274" t="str">
        <f>IFERROR(__xludf.DUMMYFUNCTION("LOWER(Regexreplace(to_text(E1091),""[^A-Za-z0-9]"","""")&amp;""_""&amp;Regexreplace(to_text(F1091),""[^A-Za-z0-9]"",""""))"),"neptronic_evcbseries")</f>
        <v>neptronic_evcbseries</v>
      </c>
      <c r="BG1091" s="275" t="str">
        <f>IFERROR(__xludf.DUMMYFUNCTION("upper(Regexreplace(to_text(E1091),""[^A-Za-z0-9]"","""")&amp;""-""&amp;Regexreplace(to_text(F1091),""[^A-Za-z0-9]"",""""))"),"NEPTRONIC-EVCBSERIES")</f>
        <v>NEPTRONIC-EVCBSERIES</v>
      </c>
    </row>
    <row r="1092" ht="30.0" customHeight="1">
      <c r="A1092" s="258">
        <v>1084.0</v>
      </c>
      <c r="B1092" s="237" t="s">
        <v>670</v>
      </c>
      <c r="C1092" s="257" t="s">
        <v>4797</v>
      </c>
      <c r="D1092" s="173" t="s">
        <v>4797</v>
      </c>
      <c r="E1092" s="174" t="s">
        <v>2861</v>
      </c>
      <c r="F1092" s="173" t="s">
        <v>2862</v>
      </c>
      <c r="G1092" s="328" t="s">
        <v>673</v>
      </c>
      <c r="H1092" s="328" t="s">
        <v>2863</v>
      </c>
      <c r="I1092" s="258" t="s">
        <v>2864</v>
      </c>
      <c r="J1092" s="259" t="s">
        <v>1026</v>
      </c>
      <c r="K1092" s="260" t="s">
        <v>4798</v>
      </c>
      <c r="L1092" s="328"/>
      <c r="M1092" s="343"/>
      <c r="N1092" s="173" t="s">
        <v>679</v>
      </c>
      <c r="O1092" s="173" t="s">
        <v>225</v>
      </c>
      <c r="P1092" s="262" t="str">
        <f t="shared" si="1"/>
        <v>IN-BLR-ANANTA-VAV-664_4</v>
      </c>
      <c r="Q1092" s="173" t="s">
        <v>4799</v>
      </c>
      <c r="R1092" s="328" t="str">
        <f>IFS(C1092="","",C1092="n/a","N/A",LEN(C1092),Concatenate("{",char(34),"asset",char(34),":{",char(34),"guid",char(34),":",char(34),Q1092,char(34),",",char(34),"site",char(34),":",char(34),LOWER('2-Building'!$B$4),char(34),",",char(34),"name",char(34),":",char(34),LOWER(C1092),char(34),"}}"))</f>
        <v>{"asset":{"guid":"uuid://9bb087c1-9692-47dc-b434-3e392784dc47","site":"in-blr-ananta","name":"vav-664"}}</v>
      </c>
      <c r="S1092" s="237" t="s">
        <v>2866</v>
      </c>
      <c r="T1092" s="330"/>
      <c r="U1092" s="330"/>
      <c r="V1092" s="331"/>
      <c r="W1092" s="344"/>
      <c r="X1092" s="341"/>
      <c r="Y1092" s="33" t="s">
        <v>2867</v>
      </c>
      <c r="Z1092" s="258">
        <v>120664.0</v>
      </c>
      <c r="AA1092" s="334">
        <v>11560.0</v>
      </c>
      <c r="AB1092" s="341"/>
      <c r="AC1092" s="341"/>
      <c r="AD1092" s="343"/>
      <c r="AE1092" s="331"/>
      <c r="AF1092" s="348"/>
      <c r="AG1092" s="337"/>
      <c r="AH1092" s="341"/>
      <c r="AI1092" s="341"/>
      <c r="AJ1092" s="341"/>
      <c r="AK1092" s="341"/>
      <c r="AL1092" s="341"/>
      <c r="AM1092" s="338"/>
      <c r="AN1092" s="341"/>
      <c r="AO1092" s="341"/>
      <c r="AP1092" s="341"/>
      <c r="AQ1092" s="341"/>
      <c r="AR1092" s="341"/>
      <c r="AS1092" s="341"/>
      <c r="AT1092" s="341"/>
      <c r="AU1092" s="343"/>
      <c r="AV1092" s="341"/>
      <c r="AW1092" s="269" t="s">
        <v>2178</v>
      </c>
      <c r="AX1092" s="334" t="s">
        <v>2869</v>
      </c>
      <c r="AY1092" s="270" t="s">
        <v>695</v>
      </c>
      <c r="AZ1092" s="173" t="s">
        <v>2866</v>
      </c>
      <c r="BA1092" s="265">
        <v>10.0</v>
      </c>
      <c r="BB1092" s="174" t="s">
        <v>245</v>
      </c>
      <c r="BC1092" s="341"/>
      <c r="BD1092" s="308"/>
      <c r="BE1092" s="347"/>
      <c r="BF1092" s="274" t="str">
        <f>IFERROR(__xludf.DUMMYFUNCTION("LOWER(Regexreplace(to_text(E1092),""[^A-Za-z0-9]"","""")&amp;""_""&amp;Regexreplace(to_text(F1092),""[^A-Za-z0-9]"",""""))"),"neptronic_evcbseries")</f>
        <v>neptronic_evcbseries</v>
      </c>
      <c r="BG1092" s="275" t="str">
        <f>IFERROR(__xludf.DUMMYFUNCTION("upper(Regexreplace(to_text(E1092),""[^A-Za-z0-9]"","""")&amp;""-""&amp;Regexreplace(to_text(F1092),""[^A-Za-z0-9]"",""""))"),"NEPTRONIC-EVCBSERIES")</f>
        <v>NEPTRONIC-EVCBSERIES</v>
      </c>
    </row>
    <row r="1093" ht="30.0" customHeight="1">
      <c r="A1093" s="173">
        <v>1085.0</v>
      </c>
      <c r="B1093" s="237" t="s">
        <v>670</v>
      </c>
      <c r="C1093" s="257" t="s">
        <v>4800</v>
      </c>
      <c r="D1093" s="173" t="s">
        <v>4800</v>
      </c>
      <c r="E1093" s="174" t="s">
        <v>2861</v>
      </c>
      <c r="F1093" s="173" t="s">
        <v>2862</v>
      </c>
      <c r="G1093" s="328" t="s">
        <v>673</v>
      </c>
      <c r="H1093" s="328" t="s">
        <v>2863</v>
      </c>
      <c r="I1093" s="258" t="s">
        <v>2864</v>
      </c>
      <c r="J1093" s="259" t="s">
        <v>1026</v>
      </c>
      <c r="K1093" s="260" t="s">
        <v>4801</v>
      </c>
      <c r="L1093" s="328"/>
      <c r="M1093" s="343"/>
      <c r="N1093" s="173" t="s">
        <v>679</v>
      </c>
      <c r="O1093" s="173" t="s">
        <v>225</v>
      </c>
      <c r="P1093" s="262" t="str">
        <f t="shared" si="1"/>
        <v>IN-BLR-ANANTA-VAV-665_4</v>
      </c>
      <c r="Q1093" s="173" t="s">
        <v>4802</v>
      </c>
      <c r="R1093" s="328" t="str">
        <f>IFS(C1093="","",C1093="n/a","N/A",LEN(C1093),Concatenate("{",char(34),"asset",char(34),":{",char(34),"guid",char(34),":",char(34),Q1093,char(34),",",char(34),"site",char(34),":",char(34),LOWER('2-Building'!$B$4),char(34),",",char(34),"name",char(34),":",char(34),LOWER(C1093),char(34),"}}"))</f>
        <v>{"asset":{"guid":"uuid://6600311b-5c77-4fdb-90f6-c349b41dab60","site":"in-blr-ananta","name":"vav-665"}}</v>
      </c>
      <c r="S1093" s="237" t="s">
        <v>2866</v>
      </c>
      <c r="T1093" s="330"/>
      <c r="U1093" s="330"/>
      <c r="V1093" s="331"/>
      <c r="W1093" s="344"/>
      <c r="X1093" s="341"/>
      <c r="Y1093" s="33" t="s">
        <v>2867</v>
      </c>
      <c r="Z1093" s="258">
        <v>120665.0</v>
      </c>
      <c r="AA1093" s="334">
        <v>11560.0</v>
      </c>
      <c r="AB1093" s="341"/>
      <c r="AC1093" s="341"/>
      <c r="AD1093" s="343"/>
      <c r="AE1093" s="331"/>
      <c r="AF1093" s="348"/>
      <c r="AG1093" s="337"/>
      <c r="AH1093" s="341"/>
      <c r="AI1093" s="341"/>
      <c r="AJ1093" s="341"/>
      <c r="AK1093" s="341"/>
      <c r="AL1093" s="341"/>
      <c r="AM1093" s="338"/>
      <c r="AN1093" s="341"/>
      <c r="AO1093" s="341"/>
      <c r="AP1093" s="341"/>
      <c r="AQ1093" s="341"/>
      <c r="AR1093" s="341"/>
      <c r="AS1093" s="341"/>
      <c r="AT1093" s="341"/>
      <c r="AU1093" s="343"/>
      <c r="AV1093" s="341"/>
      <c r="AW1093" s="269" t="s">
        <v>2178</v>
      </c>
      <c r="AX1093" s="334" t="s">
        <v>2869</v>
      </c>
      <c r="AY1093" s="270" t="s">
        <v>695</v>
      </c>
      <c r="AZ1093" s="173" t="s">
        <v>2866</v>
      </c>
      <c r="BA1093" s="265">
        <v>10.0</v>
      </c>
      <c r="BB1093" s="174" t="s">
        <v>245</v>
      </c>
      <c r="BC1093" s="341"/>
      <c r="BD1093" s="308"/>
      <c r="BE1093" s="347"/>
      <c r="BF1093" s="274" t="str">
        <f>IFERROR(__xludf.DUMMYFUNCTION("LOWER(Regexreplace(to_text(E1093),""[^A-Za-z0-9]"","""")&amp;""_""&amp;Regexreplace(to_text(F1093),""[^A-Za-z0-9]"",""""))"),"neptronic_evcbseries")</f>
        <v>neptronic_evcbseries</v>
      </c>
      <c r="BG1093" s="275" t="str">
        <f>IFERROR(__xludf.DUMMYFUNCTION("upper(Regexreplace(to_text(E1093),""[^A-Za-z0-9]"","""")&amp;""-""&amp;Regexreplace(to_text(F1093),""[^A-Za-z0-9]"",""""))"),"NEPTRONIC-EVCBSERIES")</f>
        <v>NEPTRONIC-EVCBSERIES</v>
      </c>
    </row>
    <row r="1094" ht="30.0" customHeight="1">
      <c r="A1094" s="258">
        <v>1086.0</v>
      </c>
      <c r="B1094" s="237" t="s">
        <v>670</v>
      </c>
      <c r="C1094" s="257" t="s">
        <v>4803</v>
      </c>
      <c r="D1094" s="173" t="s">
        <v>4803</v>
      </c>
      <c r="E1094" s="174" t="s">
        <v>2861</v>
      </c>
      <c r="F1094" s="173" t="s">
        <v>2862</v>
      </c>
      <c r="G1094" s="328" t="s">
        <v>673</v>
      </c>
      <c r="H1094" s="328" t="s">
        <v>2863</v>
      </c>
      <c r="I1094" s="258" t="s">
        <v>2864</v>
      </c>
      <c r="J1094" s="259" t="s">
        <v>1026</v>
      </c>
      <c r="K1094" s="260" t="s">
        <v>4804</v>
      </c>
      <c r="L1094" s="328"/>
      <c r="M1094" s="343"/>
      <c r="N1094" s="173" t="s">
        <v>679</v>
      </c>
      <c r="O1094" s="173" t="s">
        <v>225</v>
      </c>
      <c r="P1094" s="262" t="str">
        <f t="shared" si="1"/>
        <v>IN-BLR-ANANTA-VAV-666_4</v>
      </c>
      <c r="Q1094" s="173" t="s">
        <v>4805</v>
      </c>
      <c r="R1094" s="328" t="str">
        <f>IFS(C1094="","",C1094="n/a","N/A",LEN(C1094),Concatenate("{",char(34),"asset",char(34),":{",char(34),"guid",char(34),":",char(34),Q1094,char(34),",",char(34),"site",char(34),":",char(34),LOWER('2-Building'!$B$4),char(34),",",char(34),"name",char(34),":",char(34),LOWER(C1094),char(34),"}}"))</f>
        <v>{"asset":{"guid":"uuid://e44028d5-9788-4849-820e-05061074f3c5","site":"in-blr-ananta","name":"vav-666"}}</v>
      </c>
      <c r="S1094" s="237" t="s">
        <v>2866</v>
      </c>
      <c r="T1094" s="330"/>
      <c r="U1094" s="330"/>
      <c r="V1094" s="331"/>
      <c r="W1094" s="344"/>
      <c r="X1094" s="341"/>
      <c r="Y1094" s="33" t="s">
        <v>2867</v>
      </c>
      <c r="Z1094" s="258">
        <v>120666.0</v>
      </c>
      <c r="AA1094" s="334">
        <v>11560.0</v>
      </c>
      <c r="AB1094" s="341"/>
      <c r="AC1094" s="341"/>
      <c r="AD1094" s="343"/>
      <c r="AE1094" s="331"/>
      <c r="AF1094" s="348"/>
      <c r="AG1094" s="337"/>
      <c r="AH1094" s="341"/>
      <c r="AI1094" s="341"/>
      <c r="AJ1094" s="341"/>
      <c r="AK1094" s="341"/>
      <c r="AL1094" s="341"/>
      <c r="AM1094" s="338"/>
      <c r="AN1094" s="341"/>
      <c r="AO1094" s="341"/>
      <c r="AP1094" s="341"/>
      <c r="AQ1094" s="341"/>
      <c r="AR1094" s="341"/>
      <c r="AS1094" s="341"/>
      <c r="AT1094" s="341"/>
      <c r="AU1094" s="343"/>
      <c r="AV1094" s="341"/>
      <c r="AW1094" s="269" t="s">
        <v>2178</v>
      </c>
      <c r="AX1094" s="334" t="s">
        <v>2869</v>
      </c>
      <c r="AY1094" s="270" t="s">
        <v>695</v>
      </c>
      <c r="AZ1094" s="173" t="s">
        <v>2866</v>
      </c>
      <c r="BA1094" s="265">
        <v>10.0</v>
      </c>
      <c r="BB1094" s="174" t="s">
        <v>245</v>
      </c>
      <c r="BC1094" s="341"/>
      <c r="BD1094" s="308"/>
      <c r="BE1094" s="347"/>
      <c r="BF1094" s="274" t="str">
        <f>IFERROR(__xludf.DUMMYFUNCTION("LOWER(Regexreplace(to_text(E1094),""[^A-Za-z0-9]"","""")&amp;""_""&amp;Regexreplace(to_text(F1094),""[^A-Za-z0-9]"",""""))"),"neptronic_evcbseries")</f>
        <v>neptronic_evcbseries</v>
      </c>
      <c r="BG1094" s="275" t="str">
        <f>IFERROR(__xludf.DUMMYFUNCTION("upper(Regexreplace(to_text(E1094),""[^A-Za-z0-9]"","""")&amp;""-""&amp;Regexreplace(to_text(F1094),""[^A-Za-z0-9]"",""""))"),"NEPTRONIC-EVCBSERIES")</f>
        <v>NEPTRONIC-EVCBSERIES</v>
      </c>
    </row>
    <row r="1095" ht="30.0" customHeight="1">
      <c r="A1095" s="173">
        <v>1087.0</v>
      </c>
      <c r="B1095" s="237" t="s">
        <v>670</v>
      </c>
      <c r="C1095" s="257" t="s">
        <v>4806</v>
      </c>
      <c r="D1095" s="173" t="s">
        <v>4806</v>
      </c>
      <c r="E1095" s="174" t="s">
        <v>2861</v>
      </c>
      <c r="F1095" s="173" t="s">
        <v>2862</v>
      </c>
      <c r="G1095" s="328" t="s">
        <v>673</v>
      </c>
      <c r="H1095" s="328" t="s">
        <v>2863</v>
      </c>
      <c r="I1095" s="258" t="s">
        <v>2864</v>
      </c>
      <c r="J1095" s="259" t="s">
        <v>1026</v>
      </c>
      <c r="K1095" s="260" t="s">
        <v>4807</v>
      </c>
      <c r="L1095" s="328"/>
      <c r="M1095" s="343"/>
      <c r="N1095" s="173" t="s">
        <v>679</v>
      </c>
      <c r="O1095" s="173" t="s">
        <v>225</v>
      </c>
      <c r="P1095" s="262" t="str">
        <f t="shared" si="1"/>
        <v>IN-BLR-ANANTA-VAV-667_4</v>
      </c>
      <c r="Q1095" s="173" t="s">
        <v>4808</v>
      </c>
      <c r="R1095" s="328" t="str">
        <f>IFS(C1095="","",C1095="n/a","N/A",LEN(C1095),Concatenate("{",char(34),"asset",char(34),":{",char(34),"guid",char(34),":",char(34),Q1095,char(34),",",char(34),"site",char(34),":",char(34),LOWER('2-Building'!$B$4),char(34),",",char(34),"name",char(34),":",char(34),LOWER(C1095),char(34),"}}"))</f>
        <v>{"asset":{"guid":"uuid://863c42ca-d936-44b7-97d8-d2c3923ea4a3","site":"in-blr-ananta","name":"vav-667"}}</v>
      </c>
      <c r="S1095" s="237" t="s">
        <v>2866</v>
      </c>
      <c r="T1095" s="330"/>
      <c r="U1095" s="330"/>
      <c r="V1095" s="331"/>
      <c r="W1095" s="344"/>
      <c r="X1095" s="341"/>
      <c r="Y1095" s="33" t="s">
        <v>2867</v>
      </c>
      <c r="Z1095" s="258">
        <v>120667.0</v>
      </c>
      <c r="AA1095" s="334">
        <v>11560.0</v>
      </c>
      <c r="AB1095" s="341"/>
      <c r="AC1095" s="341"/>
      <c r="AD1095" s="343"/>
      <c r="AE1095" s="331"/>
      <c r="AF1095" s="348"/>
      <c r="AG1095" s="337"/>
      <c r="AH1095" s="341"/>
      <c r="AI1095" s="341"/>
      <c r="AJ1095" s="341"/>
      <c r="AK1095" s="341"/>
      <c r="AL1095" s="341"/>
      <c r="AM1095" s="338"/>
      <c r="AN1095" s="341"/>
      <c r="AO1095" s="341"/>
      <c r="AP1095" s="341"/>
      <c r="AQ1095" s="341"/>
      <c r="AR1095" s="341"/>
      <c r="AS1095" s="341"/>
      <c r="AT1095" s="341"/>
      <c r="AU1095" s="343"/>
      <c r="AV1095" s="341"/>
      <c r="AW1095" s="269" t="s">
        <v>2178</v>
      </c>
      <c r="AX1095" s="334" t="s">
        <v>2869</v>
      </c>
      <c r="AY1095" s="270" t="s">
        <v>695</v>
      </c>
      <c r="AZ1095" s="173" t="s">
        <v>2866</v>
      </c>
      <c r="BA1095" s="265">
        <v>10.0</v>
      </c>
      <c r="BB1095" s="174" t="s">
        <v>245</v>
      </c>
      <c r="BC1095" s="341"/>
      <c r="BD1095" s="308"/>
      <c r="BE1095" s="347"/>
      <c r="BF1095" s="274" t="str">
        <f>IFERROR(__xludf.DUMMYFUNCTION("LOWER(Regexreplace(to_text(E1095),""[^A-Za-z0-9]"","""")&amp;""_""&amp;Regexreplace(to_text(F1095),""[^A-Za-z0-9]"",""""))"),"neptronic_evcbseries")</f>
        <v>neptronic_evcbseries</v>
      </c>
      <c r="BG1095" s="275" t="str">
        <f>IFERROR(__xludf.DUMMYFUNCTION("upper(Regexreplace(to_text(E1095),""[^A-Za-z0-9]"","""")&amp;""-""&amp;Regexreplace(to_text(F1095),""[^A-Za-z0-9]"",""""))"),"NEPTRONIC-EVCBSERIES")</f>
        <v>NEPTRONIC-EVCBSERIES</v>
      </c>
    </row>
    <row r="1096" ht="30.0" customHeight="1">
      <c r="A1096" s="258">
        <v>1088.0</v>
      </c>
      <c r="B1096" s="237" t="s">
        <v>670</v>
      </c>
      <c r="C1096" s="257" t="s">
        <v>4809</v>
      </c>
      <c r="D1096" s="173" t="s">
        <v>4809</v>
      </c>
      <c r="E1096" s="174" t="s">
        <v>2861</v>
      </c>
      <c r="F1096" s="173" t="s">
        <v>2862</v>
      </c>
      <c r="G1096" s="328" t="s">
        <v>673</v>
      </c>
      <c r="H1096" s="328" t="s">
        <v>2863</v>
      </c>
      <c r="I1096" s="258" t="s">
        <v>2864</v>
      </c>
      <c r="J1096" s="259" t="s">
        <v>1026</v>
      </c>
      <c r="K1096" s="260" t="s">
        <v>4810</v>
      </c>
      <c r="L1096" s="328"/>
      <c r="M1096" s="343"/>
      <c r="N1096" s="173" t="s">
        <v>679</v>
      </c>
      <c r="O1096" s="173" t="s">
        <v>225</v>
      </c>
      <c r="P1096" s="262" t="str">
        <f t="shared" si="1"/>
        <v>IN-BLR-ANANTA-VAV-668_4</v>
      </c>
      <c r="Q1096" s="173" t="s">
        <v>4811</v>
      </c>
      <c r="R1096" s="328" t="str">
        <f>IFS(C1096="","",C1096="n/a","N/A",LEN(C1096),Concatenate("{",char(34),"asset",char(34),":{",char(34),"guid",char(34),":",char(34),Q1096,char(34),",",char(34),"site",char(34),":",char(34),LOWER('2-Building'!$B$4),char(34),",",char(34),"name",char(34),":",char(34),LOWER(C1096),char(34),"}}"))</f>
        <v>{"asset":{"guid":"uuid://d0e6a597-2ab9-46f0-a4ef-bc0171d8f00f","site":"in-blr-ananta","name":"vav-668"}}</v>
      </c>
      <c r="S1096" s="237" t="s">
        <v>2866</v>
      </c>
      <c r="T1096" s="330"/>
      <c r="U1096" s="330"/>
      <c r="V1096" s="331"/>
      <c r="W1096" s="344"/>
      <c r="X1096" s="341"/>
      <c r="Y1096" s="33" t="s">
        <v>2867</v>
      </c>
      <c r="Z1096" s="258">
        <v>120668.0</v>
      </c>
      <c r="AA1096" s="334">
        <v>11560.0</v>
      </c>
      <c r="AB1096" s="341"/>
      <c r="AC1096" s="341"/>
      <c r="AD1096" s="343"/>
      <c r="AE1096" s="331"/>
      <c r="AF1096" s="348"/>
      <c r="AG1096" s="337"/>
      <c r="AH1096" s="341"/>
      <c r="AI1096" s="341"/>
      <c r="AJ1096" s="341"/>
      <c r="AK1096" s="341"/>
      <c r="AL1096" s="341"/>
      <c r="AM1096" s="338"/>
      <c r="AN1096" s="341"/>
      <c r="AO1096" s="341"/>
      <c r="AP1096" s="341"/>
      <c r="AQ1096" s="341"/>
      <c r="AR1096" s="341"/>
      <c r="AS1096" s="341"/>
      <c r="AT1096" s="341"/>
      <c r="AU1096" s="343"/>
      <c r="AV1096" s="341"/>
      <c r="AW1096" s="269" t="s">
        <v>2178</v>
      </c>
      <c r="AX1096" s="334" t="s">
        <v>2869</v>
      </c>
      <c r="AY1096" s="270" t="s">
        <v>695</v>
      </c>
      <c r="AZ1096" s="173" t="s">
        <v>2866</v>
      </c>
      <c r="BA1096" s="265">
        <v>10.0</v>
      </c>
      <c r="BB1096" s="174" t="s">
        <v>245</v>
      </c>
      <c r="BC1096" s="341"/>
      <c r="BD1096" s="308"/>
      <c r="BE1096" s="347"/>
      <c r="BF1096" s="274" t="str">
        <f>IFERROR(__xludf.DUMMYFUNCTION("LOWER(Regexreplace(to_text(E1096),""[^A-Za-z0-9]"","""")&amp;""_""&amp;Regexreplace(to_text(F1096),""[^A-Za-z0-9]"",""""))"),"neptronic_evcbseries")</f>
        <v>neptronic_evcbseries</v>
      </c>
      <c r="BG1096" s="275" t="str">
        <f>IFERROR(__xludf.DUMMYFUNCTION("upper(Regexreplace(to_text(E1096),""[^A-Za-z0-9]"","""")&amp;""-""&amp;Regexreplace(to_text(F1096),""[^A-Za-z0-9]"",""""))"),"NEPTRONIC-EVCBSERIES")</f>
        <v>NEPTRONIC-EVCBSERIES</v>
      </c>
    </row>
    <row r="1097" ht="30.0" customHeight="1">
      <c r="A1097" s="173">
        <v>1089.0</v>
      </c>
      <c r="B1097" s="237" t="s">
        <v>670</v>
      </c>
      <c r="C1097" s="257" t="s">
        <v>4812</v>
      </c>
      <c r="D1097" s="173" t="s">
        <v>4812</v>
      </c>
      <c r="E1097" s="174" t="s">
        <v>2861</v>
      </c>
      <c r="F1097" s="173" t="s">
        <v>2862</v>
      </c>
      <c r="G1097" s="328" t="s">
        <v>673</v>
      </c>
      <c r="H1097" s="328" t="s">
        <v>2863</v>
      </c>
      <c r="I1097" s="258" t="s">
        <v>2864</v>
      </c>
      <c r="J1097" s="259" t="s">
        <v>1026</v>
      </c>
      <c r="K1097" s="260" t="s">
        <v>4813</v>
      </c>
      <c r="L1097" s="328"/>
      <c r="M1097" s="343"/>
      <c r="N1097" s="173" t="s">
        <v>679</v>
      </c>
      <c r="O1097" s="173" t="s">
        <v>225</v>
      </c>
      <c r="P1097" s="262" t="str">
        <f t="shared" si="1"/>
        <v>IN-BLR-ANANTA-VAV-669_4</v>
      </c>
      <c r="Q1097" s="173" t="s">
        <v>4814</v>
      </c>
      <c r="R1097" s="328" t="str">
        <f>IFS(C1097="","",C1097="n/a","N/A",LEN(C1097),Concatenate("{",char(34),"asset",char(34),":{",char(34),"guid",char(34),":",char(34),Q1097,char(34),",",char(34),"site",char(34),":",char(34),LOWER('2-Building'!$B$4),char(34),",",char(34),"name",char(34),":",char(34),LOWER(C1097),char(34),"}}"))</f>
        <v>{"asset":{"guid":"uuid://cebd90b9-9b3d-4872-a7d4-94982710e53f","site":"in-blr-ananta","name":"vav-669"}}</v>
      </c>
      <c r="S1097" s="237" t="s">
        <v>2866</v>
      </c>
      <c r="T1097" s="330"/>
      <c r="U1097" s="330"/>
      <c r="V1097" s="331"/>
      <c r="W1097" s="344"/>
      <c r="X1097" s="341"/>
      <c r="Y1097" s="33" t="s">
        <v>2867</v>
      </c>
      <c r="Z1097" s="258">
        <v>120669.0</v>
      </c>
      <c r="AA1097" s="334">
        <v>11560.0</v>
      </c>
      <c r="AB1097" s="341"/>
      <c r="AC1097" s="341"/>
      <c r="AD1097" s="343"/>
      <c r="AE1097" s="331"/>
      <c r="AF1097" s="348"/>
      <c r="AG1097" s="337"/>
      <c r="AH1097" s="341"/>
      <c r="AI1097" s="341"/>
      <c r="AJ1097" s="341"/>
      <c r="AK1097" s="341"/>
      <c r="AL1097" s="341"/>
      <c r="AM1097" s="338"/>
      <c r="AN1097" s="341"/>
      <c r="AO1097" s="341"/>
      <c r="AP1097" s="341"/>
      <c r="AQ1097" s="341"/>
      <c r="AR1097" s="341"/>
      <c r="AS1097" s="341"/>
      <c r="AT1097" s="341"/>
      <c r="AU1097" s="343"/>
      <c r="AV1097" s="341"/>
      <c r="AW1097" s="269" t="s">
        <v>2178</v>
      </c>
      <c r="AX1097" s="334" t="s">
        <v>2869</v>
      </c>
      <c r="AY1097" s="270" t="s">
        <v>695</v>
      </c>
      <c r="AZ1097" s="173" t="s">
        <v>2866</v>
      </c>
      <c r="BA1097" s="265">
        <v>10.0</v>
      </c>
      <c r="BB1097" s="174" t="s">
        <v>245</v>
      </c>
      <c r="BC1097" s="341"/>
      <c r="BD1097" s="308"/>
      <c r="BE1097" s="347"/>
      <c r="BF1097" s="274" t="str">
        <f>IFERROR(__xludf.DUMMYFUNCTION("LOWER(Regexreplace(to_text(E1097),""[^A-Za-z0-9]"","""")&amp;""_""&amp;Regexreplace(to_text(F1097),""[^A-Za-z0-9]"",""""))"),"neptronic_evcbseries")</f>
        <v>neptronic_evcbseries</v>
      </c>
      <c r="BG1097" s="275" t="str">
        <f>IFERROR(__xludf.DUMMYFUNCTION("upper(Regexreplace(to_text(E1097),""[^A-Za-z0-9]"","""")&amp;""-""&amp;Regexreplace(to_text(F1097),""[^A-Za-z0-9]"",""""))"),"NEPTRONIC-EVCBSERIES")</f>
        <v>NEPTRONIC-EVCBSERIES</v>
      </c>
    </row>
    <row r="1098" ht="30.0" customHeight="1">
      <c r="A1098" s="258">
        <v>1090.0</v>
      </c>
      <c r="B1098" s="237" t="s">
        <v>670</v>
      </c>
      <c r="C1098" s="257" t="s">
        <v>4815</v>
      </c>
      <c r="D1098" s="173" t="s">
        <v>4815</v>
      </c>
      <c r="E1098" s="174" t="s">
        <v>2861</v>
      </c>
      <c r="F1098" s="173" t="s">
        <v>2862</v>
      </c>
      <c r="G1098" s="328" t="s">
        <v>673</v>
      </c>
      <c r="H1098" s="328" t="s">
        <v>2863</v>
      </c>
      <c r="I1098" s="258" t="s">
        <v>2864</v>
      </c>
      <c r="J1098" s="259" t="s">
        <v>1026</v>
      </c>
      <c r="K1098" s="260" t="s">
        <v>4816</v>
      </c>
      <c r="L1098" s="328"/>
      <c r="M1098" s="343"/>
      <c r="N1098" s="173" t="s">
        <v>679</v>
      </c>
      <c r="O1098" s="173" t="s">
        <v>225</v>
      </c>
      <c r="P1098" s="262" t="str">
        <f t="shared" si="1"/>
        <v>IN-BLR-ANANTA-VAV-670_4</v>
      </c>
      <c r="Q1098" s="173" t="s">
        <v>4817</v>
      </c>
      <c r="R1098" s="328" t="str">
        <f>IFS(C1098="","",C1098="n/a","N/A",LEN(C1098),Concatenate("{",char(34),"asset",char(34),":{",char(34),"guid",char(34),":",char(34),Q1098,char(34),",",char(34),"site",char(34),":",char(34),LOWER('2-Building'!$B$4),char(34),",",char(34),"name",char(34),":",char(34),LOWER(C1098),char(34),"}}"))</f>
        <v>{"asset":{"guid":"uuid://1d36f76e-c7c7-4cb3-a178-efc8a38ea701","site":"in-blr-ananta","name":"vav-670"}}</v>
      </c>
      <c r="S1098" s="237" t="s">
        <v>2866</v>
      </c>
      <c r="T1098" s="330"/>
      <c r="U1098" s="330"/>
      <c r="V1098" s="331"/>
      <c r="W1098" s="344"/>
      <c r="X1098" s="341"/>
      <c r="Y1098" s="33" t="s">
        <v>2867</v>
      </c>
      <c r="Z1098" s="258">
        <v>120670.0</v>
      </c>
      <c r="AA1098" s="334">
        <v>11560.0</v>
      </c>
      <c r="AB1098" s="341"/>
      <c r="AC1098" s="341"/>
      <c r="AD1098" s="343"/>
      <c r="AE1098" s="331"/>
      <c r="AF1098" s="348"/>
      <c r="AG1098" s="337"/>
      <c r="AH1098" s="341"/>
      <c r="AI1098" s="341"/>
      <c r="AJ1098" s="341"/>
      <c r="AK1098" s="341"/>
      <c r="AL1098" s="341"/>
      <c r="AM1098" s="338"/>
      <c r="AN1098" s="341"/>
      <c r="AO1098" s="341"/>
      <c r="AP1098" s="341"/>
      <c r="AQ1098" s="341"/>
      <c r="AR1098" s="341"/>
      <c r="AS1098" s="341"/>
      <c r="AT1098" s="341"/>
      <c r="AU1098" s="343"/>
      <c r="AV1098" s="341"/>
      <c r="AW1098" s="269" t="s">
        <v>2178</v>
      </c>
      <c r="AX1098" s="334" t="s">
        <v>2869</v>
      </c>
      <c r="AY1098" s="270" t="s">
        <v>695</v>
      </c>
      <c r="AZ1098" s="173" t="s">
        <v>2866</v>
      </c>
      <c r="BA1098" s="265">
        <v>10.0</v>
      </c>
      <c r="BB1098" s="174" t="s">
        <v>245</v>
      </c>
      <c r="BC1098" s="341"/>
      <c r="BD1098" s="308"/>
      <c r="BE1098" s="347"/>
      <c r="BF1098" s="274" t="str">
        <f>IFERROR(__xludf.DUMMYFUNCTION("LOWER(Regexreplace(to_text(E1098),""[^A-Za-z0-9]"","""")&amp;""_""&amp;Regexreplace(to_text(F1098),""[^A-Za-z0-9]"",""""))"),"neptronic_evcbseries")</f>
        <v>neptronic_evcbseries</v>
      </c>
      <c r="BG1098" s="275" t="str">
        <f>IFERROR(__xludf.DUMMYFUNCTION("upper(Regexreplace(to_text(E1098),""[^A-Za-z0-9]"","""")&amp;""-""&amp;Regexreplace(to_text(F1098),""[^A-Za-z0-9]"",""""))"),"NEPTRONIC-EVCBSERIES")</f>
        <v>NEPTRONIC-EVCBSERIES</v>
      </c>
    </row>
    <row r="1099" ht="30.0" customHeight="1">
      <c r="A1099" s="173">
        <v>1091.0</v>
      </c>
      <c r="B1099" s="237" t="s">
        <v>670</v>
      </c>
      <c r="C1099" s="257" t="s">
        <v>4818</v>
      </c>
      <c r="D1099" s="173" t="s">
        <v>4818</v>
      </c>
      <c r="E1099" s="174" t="s">
        <v>2861</v>
      </c>
      <c r="F1099" s="173" t="s">
        <v>2862</v>
      </c>
      <c r="G1099" s="328" t="s">
        <v>673</v>
      </c>
      <c r="H1099" s="328" t="s">
        <v>2863</v>
      </c>
      <c r="I1099" s="258" t="s">
        <v>2864</v>
      </c>
      <c r="J1099" s="259" t="s">
        <v>1026</v>
      </c>
      <c r="K1099" s="260" t="s">
        <v>4819</v>
      </c>
      <c r="L1099" s="328"/>
      <c r="M1099" s="343"/>
      <c r="N1099" s="173" t="s">
        <v>679</v>
      </c>
      <c r="O1099" s="173" t="s">
        <v>225</v>
      </c>
      <c r="P1099" s="262" t="str">
        <f t="shared" si="1"/>
        <v>IN-BLR-ANANTA-VAV-671_4</v>
      </c>
      <c r="Q1099" s="173" t="s">
        <v>4820</v>
      </c>
      <c r="R1099" s="328" t="str">
        <f>IFS(C1099="","",C1099="n/a","N/A",LEN(C1099),Concatenate("{",char(34),"asset",char(34),":{",char(34),"guid",char(34),":",char(34),Q1099,char(34),",",char(34),"site",char(34),":",char(34),LOWER('2-Building'!$B$4),char(34),",",char(34),"name",char(34),":",char(34),LOWER(C1099),char(34),"}}"))</f>
        <v>{"asset":{"guid":"uuid://fc107fc2-b671-4c2b-85d7-0ab5703c5053","site":"in-blr-ananta","name":"vav-671"}}</v>
      </c>
      <c r="S1099" s="237" t="s">
        <v>2866</v>
      </c>
      <c r="T1099" s="330"/>
      <c r="U1099" s="330"/>
      <c r="V1099" s="331"/>
      <c r="W1099" s="344"/>
      <c r="X1099" s="341"/>
      <c r="Y1099" s="33" t="s">
        <v>2867</v>
      </c>
      <c r="Z1099" s="258">
        <v>120671.0</v>
      </c>
      <c r="AA1099" s="334">
        <v>11560.0</v>
      </c>
      <c r="AB1099" s="341"/>
      <c r="AC1099" s="341"/>
      <c r="AD1099" s="343"/>
      <c r="AE1099" s="331"/>
      <c r="AF1099" s="348"/>
      <c r="AG1099" s="337"/>
      <c r="AH1099" s="341"/>
      <c r="AI1099" s="341"/>
      <c r="AJ1099" s="341"/>
      <c r="AK1099" s="341"/>
      <c r="AL1099" s="341"/>
      <c r="AM1099" s="338"/>
      <c r="AN1099" s="341"/>
      <c r="AO1099" s="341"/>
      <c r="AP1099" s="341"/>
      <c r="AQ1099" s="341"/>
      <c r="AR1099" s="341"/>
      <c r="AS1099" s="341"/>
      <c r="AT1099" s="341"/>
      <c r="AU1099" s="343"/>
      <c r="AV1099" s="341"/>
      <c r="AW1099" s="269" t="s">
        <v>2178</v>
      </c>
      <c r="AX1099" s="334" t="s">
        <v>2869</v>
      </c>
      <c r="AY1099" s="270" t="s">
        <v>695</v>
      </c>
      <c r="AZ1099" s="173" t="s">
        <v>2866</v>
      </c>
      <c r="BA1099" s="265">
        <v>10.0</v>
      </c>
      <c r="BB1099" s="174" t="s">
        <v>245</v>
      </c>
      <c r="BC1099" s="341"/>
      <c r="BD1099" s="308"/>
      <c r="BE1099" s="347"/>
      <c r="BF1099" s="274" t="str">
        <f>IFERROR(__xludf.DUMMYFUNCTION("LOWER(Regexreplace(to_text(E1099),""[^A-Za-z0-9]"","""")&amp;""_""&amp;Regexreplace(to_text(F1099),""[^A-Za-z0-9]"",""""))"),"neptronic_evcbseries")</f>
        <v>neptronic_evcbseries</v>
      </c>
      <c r="BG1099" s="275" t="str">
        <f>IFERROR(__xludf.DUMMYFUNCTION("upper(Regexreplace(to_text(E1099),""[^A-Za-z0-9]"","""")&amp;""-""&amp;Regexreplace(to_text(F1099),""[^A-Za-z0-9]"",""""))"),"NEPTRONIC-EVCBSERIES")</f>
        <v>NEPTRONIC-EVCBSERIES</v>
      </c>
    </row>
    <row r="1100" ht="30.0" customHeight="1">
      <c r="A1100" s="258">
        <v>1092.0</v>
      </c>
      <c r="B1100" s="237" t="s">
        <v>670</v>
      </c>
      <c r="C1100" s="257" t="s">
        <v>4821</v>
      </c>
      <c r="D1100" s="173" t="s">
        <v>4821</v>
      </c>
      <c r="E1100" s="174" t="s">
        <v>2861</v>
      </c>
      <c r="F1100" s="173" t="s">
        <v>2862</v>
      </c>
      <c r="G1100" s="328" t="s">
        <v>673</v>
      </c>
      <c r="H1100" s="328" t="s">
        <v>2863</v>
      </c>
      <c r="I1100" s="258" t="s">
        <v>2864</v>
      </c>
      <c r="J1100" s="259" t="s">
        <v>1026</v>
      </c>
      <c r="K1100" s="260" t="s">
        <v>4822</v>
      </c>
      <c r="L1100" s="328"/>
      <c r="M1100" s="343"/>
      <c r="N1100" s="173" t="s">
        <v>679</v>
      </c>
      <c r="O1100" s="173" t="s">
        <v>225</v>
      </c>
      <c r="P1100" s="262" t="str">
        <f t="shared" si="1"/>
        <v>IN-BLR-ANANTA-VAV-672_4</v>
      </c>
      <c r="Q1100" s="173" t="s">
        <v>4823</v>
      </c>
      <c r="R1100" s="328" t="str">
        <f>IFS(C1100="","",C1100="n/a","N/A",LEN(C1100),Concatenate("{",char(34),"asset",char(34),":{",char(34),"guid",char(34),":",char(34),Q1100,char(34),",",char(34),"site",char(34),":",char(34),LOWER('2-Building'!$B$4),char(34),",",char(34),"name",char(34),":",char(34),LOWER(C1100),char(34),"}}"))</f>
        <v>{"asset":{"guid":"uuid://e4d40e3a-b1b8-40a3-b8a6-513bc81dbfdf","site":"in-blr-ananta","name":"vav-672"}}</v>
      </c>
      <c r="S1100" s="237" t="s">
        <v>2866</v>
      </c>
      <c r="T1100" s="330"/>
      <c r="U1100" s="330"/>
      <c r="V1100" s="331"/>
      <c r="W1100" s="344"/>
      <c r="X1100" s="341"/>
      <c r="Y1100" s="33" t="s">
        <v>2867</v>
      </c>
      <c r="Z1100" s="258">
        <v>120672.0</v>
      </c>
      <c r="AA1100" s="334">
        <v>11561.0</v>
      </c>
      <c r="AB1100" s="341"/>
      <c r="AC1100" s="341"/>
      <c r="AD1100" s="343"/>
      <c r="AE1100" s="331"/>
      <c r="AF1100" s="348"/>
      <c r="AG1100" s="337"/>
      <c r="AH1100" s="341"/>
      <c r="AI1100" s="341"/>
      <c r="AJ1100" s="341"/>
      <c r="AK1100" s="341"/>
      <c r="AL1100" s="341"/>
      <c r="AM1100" s="338"/>
      <c r="AN1100" s="341"/>
      <c r="AO1100" s="341"/>
      <c r="AP1100" s="341"/>
      <c r="AQ1100" s="341"/>
      <c r="AR1100" s="341"/>
      <c r="AS1100" s="341"/>
      <c r="AT1100" s="341"/>
      <c r="AU1100" s="343"/>
      <c r="AV1100" s="341"/>
      <c r="AW1100" s="269" t="s">
        <v>2178</v>
      </c>
      <c r="AX1100" s="334" t="s">
        <v>2869</v>
      </c>
      <c r="AY1100" s="270" t="s">
        <v>695</v>
      </c>
      <c r="AZ1100" s="173" t="s">
        <v>2866</v>
      </c>
      <c r="BA1100" s="265">
        <v>10.0</v>
      </c>
      <c r="BB1100" s="174" t="s">
        <v>245</v>
      </c>
      <c r="BC1100" s="341"/>
      <c r="BD1100" s="308"/>
      <c r="BE1100" s="347"/>
      <c r="BF1100" s="274" t="str">
        <f>IFERROR(__xludf.DUMMYFUNCTION("LOWER(Regexreplace(to_text(E1100),""[^A-Za-z0-9]"","""")&amp;""_""&amp;Regexreplace(to_text(F1100),""[^A-Za-z0-9]"",""""))"),"neptronic_evcbseries")</f>
        <v>neptronic_evcbseries</v>
      </c>
      <c r="BG1100" s="275" t="str">
        <f>IFERROR(__xludf.DUMMYFUNCTION("upper(Regexreplace(to_text(E1100),""[^A-Za-z0-9]"","""")&amp;""-""&amp;Regexreplace(to_text(F1100),""[^A-Za-z0-9]"",""""))"),"NEPTRONIC-EVCBSERIES")</f>
        <v>NEPTRONIC-EVCBSERIES</v>
      </c>
    </row>
    <row r="1101" ht="30.0" customHeight="1">
      <c r="A1101" s="173">
        <v>1093.0</v>
      </c>
      <c r="B1101" s="237" t="s">
        <v>670</v>
      </c>
      <c r="C1101" s="257" t="s">
        <v>4824</v>
      </c>
      <c r="D1101" s="173" t="s">
        <v>4824</v>
      </c>
      <c r="E1101" s="174" t="s">
        <v>2861</v>
      </c>
      <c r="F1101" s="173" t="s">
        <v>2862</v>
      </c>
      <c r="G1101" s="328" t="s">
        <v>673</v>
      </c>
      <c r="H1101" s="328" t="s">
        <v>2863</v>
      </c>
      <c r="I1101" s="258" t="s">
        <v>2864</v>
      </c>
      <c r="J1101" s="259" t="s">
        <v>1026</v>
      </c>
      <c r="K1101" s="260" t="s">
        <v>4825</v>
      </c>
      <c r="L1101" s="328"/>
      <c r="M1101" s="343"/>
      <c r="N1101" s="173" t="s">
        <v>679</v>
      </c>
      <c r="O1101" s="173" t="s">
        <v>225</v>
      </c>
      <c r="P1101" s="262" t="str">
        <f t="shared" si="1"/>
        <v>IN-BLR-ANANTA-VAV-673_4</v>
      </c>
      <c r="Q1101" s="173" t="s">
        <v>4826</v>
      </c>
      <c r="R1101" s="328" t="str">
        <f>IFS(C1101="","",C1101="n/a","N/A",LEN(C1101),Concatenate("{",char(34),"asset",char(34),":{",char(34),"guid",char(34),":",char(34),Q1101,char(34),",",char(34),"site",char(34),":",char(34),LOWER('2-Building'!$B$4),char(34),",",char(34),"name",char(34),":",char(34),LOWER(C1101),char(34),"}}"))</f>
        <v>{"asset":{"guid":"uuid://bdc68795-4011-4979-b685-885875dd9e13","site":"in-blr-ananta","name":"vav-673"}}</v>
      </c>
      <c r="S1101" s="237" t="s">
        <v>2866</v>
      </c>
      <c r="T1101" s="330"/>
      <c r="U1101" s="330"/>
      <c r="V1101" s="331"/>
      <c r="W1101" s="344"/>
      <c r="X1101" s="341"/>
      <c r="Y1101" s="33" t="s">
        <v>2867</v>
      </c>
      <c r="Z1101" s="258">
        <v>120673.0</v>
      </c>
      <c r="AA1101" s="334">
        <v>11561.0</v>
      </c>
      <c r="AB1101" s="341"/>
      <c r="AC1101" s="341"/>
      <c r="AD1101" s="343"/>
      <c r="AE1101" s="331"/>
      <c r="AF1101" s="348"/>
      <c r="AG1101" s="337"/>
      <c r="AH1101" s="341"/>
      <c r="AI1101" s="341"/>
      <c r="AJ1101" s="341"/>
      <c r="AK1101" s="341"/>
      <c r="AL1101" s="341"/>
      <c r="AM1101" s="338"/>
      <c r="AN1101" s="341"/>
      <c r="AO1101" s="341"/>
      <c r="AP1101" s="341"/>
      <c r="AQ1101" s="341"/>
      <c r="AR1101" s="341"/>
      <c r="AS1101" s="341"/>
      <c r="AT1101" s="341"/>
      <c r="AU1101" s="343"/>
      <c r="AV1101" s="341"/>
      <c r="AW1101" s="269" t="s">
        <v>2178</v>
      </c>
      <c r="AX1101" s="334" t="s">
        <v>2869</v>
      </c>
      <c r="AY1101" s="270" t="s">
        <v>695</v>
      </c>
      <c r="AZ1101" s="173" t="s">
        <v>2866</v>
      </c>
      <c r="BA1101" s="265">
        <v>10.0</v>
      </c>
      <c r="BB1101" s="174" t="s">
        <v>245</v>
      </c>
      <c r="BC1101" s="341"/>
      <c r="BD1101" s="308"/>
      <c r="BE1101" s="347"/>
      <c r="BF1101" s="274" t="str">
        <f>IFERROR(__xludf.DUMMYFUNCTION("LOWER(Regexreplace(to_text(E1101),""[^A-Za-z0-9]"","""")&amp;""_""&amp;Regexreplace(to_text(F1101),""[^A-Za-z0-9]"",""""))"),"neptronic_evcbseries")</f>
        <v>neptronic_evcbseries</v>
      </c>
      <c r="BG1101" s="275" t="str">
        <f>IFERROR(__xludf.DUMMYFUNCTION("upper(Regexreplace(to_text(E1101),""[^A-Za-z0-9]"","""")&amp;""-""&amp;Regexreplace(to_text(F1101),""[^A-Za-z0-9]"",""""))"),"NEPTRONIC-EVCBSERIES")</f>
        <v>NEPTRONIC-EVCBSERIES</v>
      </c>
    </row>
    <row r="1102" ht="30.0" customHeight="1">
      <c r="A1102" s="258">
        <v>1094.0</v>
      </c>
      <c r="B1102" s="237" t="s">
        <v>670</v>
      </c>
      <c r="C1102" s="257" t="s">
        <v>4827</v>
      </c>
      <c r="D1102" s="173" t="s">
        <v>4827</v>
      </c>
      <c r="E1102" s="174" t="s">
        <v>2861</v>
      </c>
      <c r="F1102" s="173" t="s">
        <v>2862</v>
      </c>
      <c r="G1102" s="328" t="s">
        <v>673</v>
      </c>
      <c r="H1102" s="328" t="s">
        <v>2863</v>
      </c>
      <c r="I1102" s="258" t="s">
        <v>2864</v>
      </c>
      <c r="J1102" s="259" t="s">
        <v>1026</v>
      </c>
      <c r="K1102" s="260" t="s">
        <v>4828</v>
      </c>
      <c r="L1102" s="328"/>
      <c r="M1102" s="343"/>
      <c r="N1102" s="173" t="s">
        <v>679</v>
      </c>
      <c r="O1102" s="173" t="s">
        <v>225</v>
      </c>
      <c r="P1102" s="262" t="str">
        <f t="shared" si="1"/>
        <v>IN-BLR-ANANTA-VAV-674_4</v>
      </c>
      <c r="Q1102" s="173" t="s">
        <v>4829</v>
      </c>
      <c r="R1102" s="328" t="str">
        <f>IFS(C1102="","",C1102="n/a","N/A",LEN(C1102),Concatenate("{",char(34),"asset",char(34),":{",char(34),"guid",char(34),":",char(34),Q1102,char(34),",",char(34),"site",char(34),":",char(34),LOWER('2-Building'!$B$4),char(34),",",char(34),"name",char(34),":",char(34),LOWER(C1102),char(34),"}}"))</f>
        <v>{"asset":{"guid":"uuid://c4d93e5a-411e-4bb8-8ce3-3bf90a399fc2","site":"in-blr-ananta","name":"vav-674"}}</v>
      </c>
      <c r="S1102" s="237" t="s">
        <v>2866</v>
      </c>
      <c r="T1102" s="330"/>
      <c r="U1102" s="330"/>
      <c r="V1102" s="331"/>
      <c r="W1102" s="344"/>
      <c r="X1102" s="341"/>
      <c r="Y1102" s="33" t="s">
        <v>2867</v>
      </c>
      <c r="Z1102" s="258">
        <v>120674.0</v>
      </c>
      <c r="AA1102" s="334">
        <v>11561.0</v>
      </c>
      <c r="AB1102" s="341"/>
      <c r="AC1102" s="341"/>
      <c r="AD1102" s="343"/>
      <c r="AE1102" s="331"/>
      <c r="AF1102" s="348"/>
      <c r="AG1102" s="337"/>
      <c r="AH1102" s="341"/>
      <c r="AI1102" s="341"/>
      <c r="AJ1102" s="341"/>
      <c r="AK1102" s="341"/>
      <c r="AL1102" s="341"/>
      <c r="AM1102" s="338"/>
      <c r="AN1102" s="341"/>
      <c r="AO1102" s="341"/>
      <c r="AP1102" s="341"/>
      <c r="AQ1102" s="341"/>
      <c r="AR1102" s="341"/>
      <c r="AS1102" s="341"/>
      <c r="AT1102" s="341"/>
      <c r="AU1102" s="343"/>
      <c r="AV1102" s="341"/>
      <c r="AW1102" s="269" t="s">
        <v>2178</v>
      </c>
      <c r="AX1102" s="334" t="s">
        <v>2869</v>
      </c>
      <c r="AY1102" s="270" t="s">
        <v>695</v>
      </c>
      <c r="AZ1102" s="173" t="s">
        <v>2866</v>
      </c>
      <c r="BA1102" s="265">
        <v>10.0</v>
      </c>
      <c r="BB1102" s="174" t="s">
        <v>245</v>
      </c>
      <c r="BC1102" s="341"/>
      <c r="BD1102" s="308"/>
      <c r="BE1102" s="347"/>
      <c r="BF1102" s="274" t="str">
        <f>IFERROR(__xludf.DUMMYFUNCTION("LOWER(Regexreplace(to_text(E1102),""[^A-Za-z0-9]"","""")&amp;""_""&amp;Regexreplace(to_text(F1102),""[^A-Za-z0-9]"",""""))"),"neptronic_evcbseries")</f>
        <v>neptronic_evcbseries</v>
      </c>
      <c r="BG1102" s="275" t="str">
        <f>IFERROR(__xludf.DUMMYFUNCTION("upper(Regexreplace(to_text(E1102),""[^A-Za-z0-9]"","""")&amp;""-""&amp;Regexreplace(to_text(F1102),""[^A-Za-z0-9]"",""""))"),"NEPTRONIC-EVCBSERIES")</f>
        <v>NEPTRONIC-EVCBSERIES</v>
      </c>
    </row>
    <row r="1103" ht="30.0" customHeight="1">
      <c r="A1103" s="173">
        <v>1095.0</v>
      </c>
      <c r="B1103" s="237" t="s">
        <v>670</v>
      </c>
      <c r="C1103" s="257" t="s">
        <v>4830</v>
      </c>
      <c r="D1103" s="173" t="s">
        <v>4830</v>
      </c>
      <c r="E1103" s="174" t="s">
        <v>2861</v>
      </c>
      <c r="F1103" s="173" t="s">
        <v>2862</v>
      </c>
      <c r="G1103" s="328" t="s">
        <v>673</v>
      </c>
      <c r="H1103" s="328" t="s">
        <v>2863</v>
      </c>
      <c r="I1103" s="258" t="s">
        <v>2864</v>
      </c>
      <c r="J1103" s="259" t="s">
        <v>1026</v>
      </c>
      <c r="K1103" s="260" t="s">
        <v>4831</v>
      </c>
      <c r="L1103" s="328"/>
      <c r="M1103" s="343"/>
      <c r="N1103" s="173" t="s">
        <v>679</v>
      </c>
      <c r="O1103" s="173" t="s">
        <v>225</v>
      </c>
      <c r="P1103" s="262" t="str">
        <f t="shared" si="1"/>
        <v>IN-BLR-ANANTA-VAV-675_4</v>
      </c>
      <c r="Q1103" s="173" t="s">
        <v>4832</v>
      </c>
      <c r="R1103" s="328" t="str">
        <f>IFS(C1103="","",C1103="n/a","N/A",LEN(C1103),Concatenate("{",char(34),"asset",char(34),":{",char(34),"guid",char(34),":",char(34),Q1103,char(34),",",char(34),"site",char(34),":",char(34),LOWER('2-Building'!$B$4),char(34),",",char(34),"name",char(34),":",char(34),LOWER(C1103),char(34),"}}"))</f>
        <v>{"asset":{"guid":"uuid://e8705cbf-3590-4028-a304-595b9d9aff9e","site":"in-blr-ananta","name":"vav-675"}}</v>
      </c>
      <c r="S1103" s="237" t="s">
        <v>2866</v>
      </c>
      <c r="T1103" s="330"/>
      <c r="U1103" s="330"/>
      <c r="V1103" s="331"/>
      <c r="W1103" s="344"/>
      <c r="X1103" s="341"/>
      <c r="Y1103" s="33" t="s">
        <v>2867</v>
      </c>
      <c r="Z1103" s="258">
        <v>120675.0</v>
      </c>
      <c r="AA1103" s="334">
        <v>11561.0</v>
      </c>
      <c r="AB1103" s="341"/>
      <c r="AC1103" s="341"/>
      <c r="AD1103" s="343"/>
      <c r="AE1103" s="331"/>
      <c r="AF1103" s="348"/>
      <c r="AG1103" s="337"/>
      <c r="AH1103" s="341"/>
      <c r="AI1103" s="341"/>
      <c r="AJ1103" s="341"/>
      <c r="AK1103" s="341"/>
      <c r="AL1103" s="341"/>
      <c r="AM1103" s="338"/>
      <c r="AN1103" s="341"/>
      <c r="AO1103" s="341"/>
      <c r="AP1103" s="341"/>
      <c r="AQ1103" s="341"/>
      <c r="AR1103" s="341"/>
      <c r="AS1103" s="341"/>
      <c r="AT1103" s="341"/>
      <c r="AU1103" s="343"/>
      <c r="AV1103" s="341"/>
      <c r="AW1103" s="269" t="s">
        <v>2178</v>
      </c>
      <c r="AX1103" s="334" t="s">
        <v>2869</v>
      </c>
      <c r="AY1103" s="270" t="s">
        <v>695</v>
      </c>
      <c r="AZ1103" s="173" t="s">
        <v>2866</v>
      </c>
      <c r="BA1103" s="265">
        <v>10.0</v>
      </c>
      <c r="BB1103" s="174" t="s">
        <v>245</v>
      </c>
      <c r="BC1103" s="341"/>
      <c r="BD1103" s="308"/>
      <c r="BE1103" s="347"/>
      <c r="BF1103" s="274" t="str">
        <f>IFERROR(__xludf.DUMMYFUNCTION("LOWER(Regexreplace(to_text(E1103),""[^A-Za-z0-9]"","""")&amp;""_""&amp;Regexreplace(to_text(F1103),""[^A-Za-z0-9]"",""""))"),"neptronic_evcbseries")</f>
        <v>neptronic_evcbseries</v>
      </c>
      <c r="BG1103" s="275" t="str">
        <f>IFERROR(__xludf.DUMMYFUNCTION("upper(Regexreplace(to_text(E1103),""[^A-Za-z0-9]"","""")&amp;""-""&amp;Regexreplace(to_text(F1103),""[^A-Za-z0-9]"",""""))"),"NEPTRONIC-EVCBSERIES")</f>
        <v>NEPTRONIC-EVCBSERIES</v>
      </c>
    </row>
    <row r="1104" ht="30.0" customHeight="1">
      <c r="A1104" s="258">
        <v>1096.0</v>
      </c>
      <c r="B1104" s="237" t="s">
        <v>670</v>
      </c>
      <c r="C1104" s="257" t="s">
        <v>4833</v>
      </c>
      <c r="D1104" s="173" t="s">
        <v>4833</v>
      </c>
      <c r="E1104" s="174" t="s">
        <v>2861</v>
      </c>
      <c r="F1104" s="173" t="s">
        <v>2862</v>
      </c>
      <c r="G1104" s="328" t="s">
        <v>673</v>
      </c>
      <c r="H1104" s="328" t="s">
        <v>2863</v>
      </c>
      <c r="I1104" s="258" t="s">
        <v>2864</v>
      </c>
      <c r="J1104" s="259" t="s">
        <v>1026</v>
      </c>
      <c r="K1104" s="260" t="s">
        <v>4834</v>
      </c>
      <c r="L1104" s="328"/>
      <c r="M1104" s="343"/>
      <c r="N1104" s="173" t="s">
        <v>679</v>
      </c>
      <c r="O1104" s="173" t="s">
        <v>225</v>
      </c>
      <c r="P1104" s="262" t="str">
        <f t="shared" si="1"/>
        <v>IN-BLR-ANANTA-VAV-676_4</v>
      </c>
      <c r="Q1104" s="173" t="s">
        <v>4835</v>
      </c>
      <c r="R1104" s="328" t="str">
        <f>IFS(C1104="","",C1104="n/a","N/A",LEN(C1104),Concatenate("{",char(34),"asset",char(34),":{",char(34),"guid",char(34),":",char(34),Q1104,char(34),",",char(34),"site",char(34),":",char(34),LOWER('2-Building'!$B$4),char(34),",",char(34),"name",char(34),":",char(34),LOWER(C1104),char(34),"}}"))</f>
        <v>{"asset":{"guid":"uuid://f822995c-a6cc-4811-bf2c-449124868fa0","site":"in-blr-ananta","name":"vav-676"}}</v>
      </c>
      <c r="S1104" s="237" t="s">
        <v>2866</v>
      </c>
      <c r="T1104" s="330"/>
      <c r="U1104" s="330"/>
      <c r="V1104" s="331"/>
      <c r="W1104" s="344"/>
      <c r="X1104" s="341"/>
      <c r="Y1104" s="33" t="s">
        <v>2867</v>
      </c>
      <c r="Z1104" s="258">
        <v>120676.0</v>
      </c>
      <c r="AA1104" s="334">
        <v>11561.0</v>
      </c>
      <c r="AB1104" s="341"/>
      <c r="AC1104" s="341"/>
      <c r="AD1104" s="343"/>
      <c r="AE1104" s="331"/>
      <c r="AF1104" s="348"/>
      <c r="AG1104" s="337"/>
      <c r="AH1104" s="341"/>
      <c r="AI1104" s="341"/>
      <c r="AJ1104" s="341"/>
      <c r="AK1104" s="341"/>
      <c r="AL1104" s="341"/>
      <c r="AM1104" s="338"/>
      <c r="AN1104" s="341"/>
      <c r="AO1104" s="341"/>
      <c r="AP1104" s="341"/>
      <c r="AQ1104" s="341"/>
      <c r="AR1104" s="341"/>
      <c r="AS1104" s="341"/>
      <c r="AT1104" s="341"/>
      <c r="AU1104" s="343"/>
      <c r="AV1104" s="341"/>
      <c r="AW1104" s="269" t="s">
        <v>2178</v>
      </c>
      <c r="AX1104" s="334" t="s">
        <v>2869</v>
      </c>
      <c r="AY1104" s="270" t="s">
        <v>695</v>
      </c>
      <c r="AZ1104" s="173" t="s">
        <v>2866</v>
      </c>
      <c r="BA1104" s="265">
        <v>10.0</v>
      </c>
      <c r="BB1104" s="174" t="s">
        <v>245</v>
      </c>
      <c r="BC1104" s="341"/>
      <c r="BD1104" s="308"/>
      <c r="BE1104" s="347"/>
      <c r="BF1104" s="274" t="str">
        <f>IFERROR(__xludf.DUMMYFUNCTION("LOWER(Regexreplace(to_text(E1104),""[^A-Za-z0-9]"","""")&amp;""_""&amp;Regexreplace(to_text(F1104),""[^A-Za-z0-9]"",""""))"),"neptronic_evcbseries")</f>
        <v>neptronic_evcbseries</v>
      </c>
      <c r="BG1104" s="275" t="str">
        <f>IFERROR(__xludf.DUMMYFUNCTION("upper(Regexreplace(to_text(E1104),""[^A-Za-z0-9]"","""")&amp;""-""&amp;Regexreplace(to_text(F1104),""[^A-Za-z0-9]"",""""))"),"NEPTRONIC-EVCBSERIES")</f>
        <v>NEPTRONIC-EVCBSERIES</v>
      </c>
    </row>
    <row r="1105" ht="30.0" customHeight="1">
      <c r="A1105" s="173">
        <v>1097.0</v>
      </c>
      <c r="B1105" s="237" t="s">
        <v>670</v>
      </c>
      <c r="C1105" s="257" t="s">
        <v>4836</v>
      </c>
      <c r="D1105" s="173" t="s">
        <v>4836</v>
      </c>
      <c r="E1105" s="174" t="s">
        <v>2861</v>
      </c>
      <c r="F1105" s="173" t="s">
        <v>2862</v>
      </c>
      <c r="G1105" s="328" t="s">
        <v>673</v>
      </c>
      <c r="H1105" s="328" t="s">
        <v>2863</v>
      </c>
      <c r="I1105" s="258" t="s">
        <v>2864</v>
      </c>
      <c r="J1105" s="259" t="s">
        <v>1026</v>
      </c>
      <c r="K1105" s="260" t="s">
        <v>4837</v>
      </c>
      <c r="L1105" s="328"/>
      <c r="M1105" s="343"/>
      <c r="N1105" s="173" t="s">
        <v>679</v>
      </c>
      <c r="O1105" s="173" t="s">
        <v>225</v>
      </c>
      <c r="P1105" s="262" t="str">
        <f t="shared" si="1"/>
        <v>IN-BLR-ANANTA-VAV-677_4</v>
      </c>
      <c r="Q1105" s="173" t="s">
        <v>4838</v>
      </c>
      <c r="R1105" s="328" t="str">
        <f>IFS(C1105="","",C1105="n/a","N/A",LEN(C1105),Concatenate("{",char(34),"asset",char(34),":{",char(34),"guid",char(34),":",char(34),Q1105,char(34),",",char(34),"site",char(34),":",char(34),LOWER('2-Building'!$B$4),char(34),",",char(34),"name",char(34),":",char(34),LOWER(C1105),char(34),"}}"))</f>
        <v>{"asset":{"guid":"uuid://0dfb262f-a71f-4ccf-9650-b038cec30629","site":"in-blr-ananta","name":"vav-677"}}</v>
      </c>
      <c r="S1105" s="237" t="s">
        <v>2866</v>
      </c>
      <c r="T1105" s="330"/>
      <c r="U1105" s="330"/>
      <c r="V1105" s="331"/>
      <c r="W1105" s="344"/>
      <c r="X1105" s="341"/>
      <c r="Y1105" s="33" t="s">
        <v>2867</v>
      </c>
      <c r="Z1105" s="258">
        <v>120677.0</v>
      </c>
      <c r="AA1105" s="334">
        <v>11561.0</v>
      </c>
      <c r="AB1105" s="341"/>
      <c r="AC1105" s="341"/>
      <c r="AD1105" s="343"/>
      <c r="AE1105" s="331"/>
      <c r="AF1105" s="348"/>
      <c r="AG1105" s="337"/>
      <c r="AH1105" s="341"/>
      <c r="AI1105" s="341"/>
      <c r="AJ1105" s="341"/>
      <c r="AK1105" s="341"/>
      <c r="AL1105" s="341"/>
      <c r="AM1105" s="338"/>
      <c r="AN1105" s="341"/>
      <c r="AO1105" s="341"/>
      <c r="AP1105" s="341"/>
      <c r="AQ1105" s="341"/>
      <c r="AR1105" s="341"/>
      <c r="AS1105" s="341"/>
      <c r="AT1105" s="341"/>
      <c r="AU1105" s="343"/>
      <c r="AV1105" s="341"/>
      <c r="AW1105" s="269" t="s">
        <v>2178</v>
      </c>
      <c r="AX1105" s="334" t="s">
        <v>2869</v>
      </c>
      <c r="AY1105" s="270" t="s">
        <v>695</v>
      </c>
      <c r="AZ1105" s="173" t="s">
        <v>2866</v>
      </c>
      <c r="BA1105" s="265">
        <v>10.0</v>
      </c>
      <c r="BB1105" s="174" t="s">
        <v>245</v>
      </c>
      <c r="BC1105" s="341"/>
      <c r="BD1105" s="308"/>
      <c r="BE1105" s="347"/>
      <c r="BF1105" s="274" t="str">
        <f>IFERROR(__xludf.DUMMYFUNCTION("LOWER(Regexreplace(to_text(E1105),""[^A-Za-z0-9]"","""")&amp;""_""&amp;Regexreplace(to_text(F1105),""[^A-Za-z0-9]"",""""))"),"neptronic_evcbseries")</f>
        <v>neptronic_evcbseries</v>
      </c>
      <c r="BG1105" s="275" t="str">
        <f>IFERROR(__xludf.DUMMYFUNCTION("upper(Regexreplace(to_text(E1105),""[^A-Za-z0-9]"","""")&amp;""-""&amp;Regexreplace(to_text(F1105),""[^A-Za-z0-9]"",""""))"),"NEPTRONIC-EVCBSERIES")</f>
        <v>NEPTRONIC-EVCBSERIES</v>
      </c>
    </row>
    <row r="1106" ht="30.0" customHeight="1">
      <c r="A1106" s="258">
        <v>1098.0</v>
      </c>
      <c r="B1106" s="237" t="s">
        <v>670</v>
      </c>
      <c r="C1106" s="257" t="s">
        <v>4839</v>
      </c>
      <c r="D1106" s="173" t="s">
        <v>4839</v>
      </c>
      <c r="E1106" s="174" t="s">
        <v>2861</v>
      </c>
      <c r="F1106" s="173" t="s">
        <v>2862</v>
      </c>
      <c r="G1106" s="328" t="s">
        <v>673</v>
      </c>
      <c r="H1106" s="328" t="s">
        <v>2863</v>
      </c>
      <c r="I1106" s="258" t="s">
        <v>2864</v>
      </c>
      <c r="J1106" s="259" t="s">
        <v>1026</v>
      </c>
      <c r="K1106" s="260" t="s">
        <v>4840</v>
      </c>
      <c r="L1106" s="328"/>
      <c r="M1106" s="343"/>
      <c r="N1106" s="173" t="s">
        <v>679</v>
      </c>
      <c r="O1106" s="173" t="s">
        <v>225</v>
      </c>
      <c r="P1106" s="262" t="str">
        <f t="shared" si="1"/>
        <v>IN-BLR-ANANTA-VAV-678_4</v>
      </c>
      <c r="Q1106" s="173" t="s">
        <v>4841</v>
      </c>
      <c r="R1106" s="328" t="str">
        <f>IFS(C1106="","",C1106="n/a","N/A",LEN(C1106),Concatenate("{",char(34),"asset",char(34),":{",char(34),"guid",char(34),":",char(34),Q1106,char(34),",",char(34),"site",char(34),":",char(34),LOWER('2-Building'!$B$4),char(34),",",char(34),"name",char(34),":",char(34),LOWER(C1106),char(34),"}}"))</f>
        <v>{"asset":{"guid":"uuid://9aeaf6a5-d360-4fb7-96e7-e470e2f03bbe","site":"in-blr-ananta","name":"vav-678"}}</v>
      </c>
      <c r="S1106" s="237" t="s">
        <v>2866</v>
      </c>
      <c r="T1106" s="330"/>
      <c r="U1106" s="330"/>
      <c r="V1106" s="331"/>
      <c r="W1106" s="344"/>
      <c r="X1106" s="341"/>
      <c r="Y1106" s="33" t="s">
        <v>2867</v>
      </c>
      <c r="Z1106" s="258">
        <v>120678.0</v>
      </c>
      <c r="AA1106" s="334">
        <v>11561.0</v>
      </c>
      <c r="AB1106" s="341"/>
      <c r="AC1106" s="341"/>
      <c r="AD1106" s="343"/>
      <c r="AE1106" s="331"/>
      <c r="AF1106" s="348"/>
      <c r="AG1106" s="337"/>
      <c r="AH1106" s="341"/>
      <c r="AI1106" s="341"/>
      <c r="AJ1106" s="341"/>
      <c r="AK1106" s="341"/>
      <c r="AL1106" s="341"/>
      <c r="AM1106" s="338"/>
      <c r="AN1106" s="341"/>
      <c r="AO1106" s="341"/>
      <c r="AP1106" s="341"/>
      <c r="AQ1106" s="341"/>
      <c r="AR1106" s="341"/>
      <c r="AS1106" s="341"/>
      <c r="AT1106" s="341"/>
      <c r="AU1106" s="343"/>
      <c r="AV1106" s="341"/>
      <c r="AW1106" s="269" t="s">
        <v>2178</v>
      </c>
      <c r="AX1106" s="334" t="s">
        <v>2869</v>
      </c>
      <c r="AY1106" s="270" t="s">
        <v>695</v>
      </c>
      <c r="AZ1106" s="173" t="s">
        <v>2866</v>
      </c>
      <c r="BA1106" s="265">
        <v>10.0</v>
      </c>
      <c r="BB1106" s="174" t="s">
        <v>245</v>
      </c>
      <c r="BC1106" s="341"/>
      <c r="BD1106" s="308"/>
      <c r="BE1106" s="347"/>
      <c r="BF1106" s="274" t="str">
        <f>IFERROR(__xludf.DUMMYFUNCTION("LOWER(Regexreplace(to_text(E1106),""[^A-Za-z0-9]"","""")&amp;""_""&amp;Regexreplace(to_text(F1106),""[^A-Za-z0-9]"",""""))"),"neptronic_evcbseries")</f>
        <v>neptronic_evcbseries</v>
      </c>
      <c r="BG1106" s="275" t="str">
        <f>IFERROR(__xludf.DUMMYFUNCTION("upper(Regexreplace(to_text(E1106),""[^A-Za-z0-9]"","""")&amp;""-""&amp;Regexreplace(to_text(F1106),""[^A-Za-z0-9]"",""""))"),"NEPTRONIC-EVCBSERIES")</f>
        <v>NEPTRONIC-EVCBSERIES</v>
      </c>
    </row>
    <row r="1107" ht="30.0" customHeight="1">
      <c r="A1107" s="173">
        <v>1099.0</v>
      </c>
      <c r="B1107" s="237" t="s">
        <v>670</v>
      </c>
      <c r="C1107" s="257" t="s">
        <v>4842</v>
      </c>
      <c r="D1107" s="173" t="s">
        <v>4842</v>
      </c>
      <c r="E1107" s="174" t="s">
        <v>2861</v>
      </c>
      <c r="F1107" s="173" t="s">
        <v>2862</v>
      </c>
      <c r="G1107" s="328" t="s">
        <v>673</v>
      </c>
      <c r="H1107" s="328" t="s">
        <v>2863</v>
      </c>
      <c r="I1107" s="258" t="s">
        <v>2864</v>
      </c>
      <c r="J1107" s="259" t="s">
        <v>1026</v>
      </c>
      <c r="K1107" s="260" t="s">
        <v>4843</v>
      </c>
      <c r="L1107" s="328"/>
      <c r="M1107" s="343"/>
      <c r="N1107" s="173" t="s">
        <v>679</v>
      </c>
      <c r="O1107" s="173" t="s">
        <v>225</v>
      </c>
      <c r="P1107" s="262" t="str">
        <f t="shared" si="1"/>
        <v>IN-BLR-ANANTA-VAV-679_4</v>
      </c>
      <c r="Q1107" s="173" t="s">
        <v>4844</v>
      </c>
      <c r="R1107" s="328" t="str">
        <f>IFS(C1107="","",C1107="n/a","N/A",LEN(C1107),Concatenate("{",char(34),"asset",char(34),":{",char(34),"guid",char(34),":",char(34),Q1107,char(34),",",char(34),"site",char(34),":",char(34),LOWER('2-Building'!$B$4),char(34),",",char(34),"name",char(34),":",char(34),LOWER(C1107),char(34),"}}"))</f>
        <v>{"asset":{"guid":"uuid://a976f0a4-ed49-47e9-91dc-6c2f7622c856","site":"in-blr-ananta","name":"vav-679"}}</v>
      </c>
      <c r="S1107" s="237" t="s">
        <v>2866</v>
      </c>
      <c r="T1107" s="330"/>
      <c r="U1107" s="330"/>
      <c r="V1107" s="331"/>
      <c r="W1107" s="344"/>
      <c r="X1107" s="341"/>
      <c r="Y1107" s="33" t="s">
        <v>2867</v>
      </c>
      <c r="Z1107" s="258">
        <v>120679.0</v>
      </c>
      <c r="AA1107" s="334">
        <v>11561.0</v>
      </c>
      <c r="AB1107" s="341"/>
      <c r="AC1107" s="341"/>
      <c r="AD1107" s="343"/>
      <c r="AE1107" s="331"/>
      <c r="AF1107" s="348"/>
      <c r="AG1107" s="337"/>
      <c r="AH1107" s="341"/>
      <c r="AI1107" s="341"/>
      <c r="AJ1107" s="341"/>
      <c r="AK1107" s="341"/>
      <c r="AL1107" s="341"/>
      <c r="AM1107" s="338"/>
      <c r="AN1107" s="341"/>
      <c r="AO1107" s="341"/>
      <c r="AP1107" s="341"/>
      <c r="AQ1107" s="341"/>
      <c r="AR1107" s="341"/>
      <c r="AS1107" s="341"/>
      <c r="AT1107" s="341"/>
      <c r="AU1107" s="343"/>
      <c r="AV1107" s="341"/>
      <c r="AW1107" s="269" t="s">
        <v>2178</v>
      </c>
      <c r="AX1107" s="334" t="s">
        <v>2869</v>
      </c>
      <c r="AY1107" s="270" t="s">
        <v>695</v>
      </c>
      <c r="AZ1107" s="173" t="s">
        <v>2866</v>
      </c>
      <c r="BA1107" s="265">
        <v>10.0</v>
      </c>
      <c r="BB1107" s="174" t="s">
        <v>245</v>
      </c>
      <c r="BC1107" s="341"/>
      <c r="BD1107" s="308"/>
      <c r="BE1107" s="347"/>
      <c r="BF1107" s="274" t="str">
        <f>IFERROR(__xludf.DUMMYFUNCTION("LOWER(Regexreplace(to_text(E1107),""[^A-Za-z0-9]"","""")&amp;""_""&amp;Regexreplace(to_text(F1107),""[^A-Za-z0-9]"",""""))"),"neptronic_evcbseries")</f>
        <v>neptronic_evcbseries</v>
      </c>
      <c r="BG1107" s="275" t="str">
        <f>IFERROR(__xludf.DUMMYFUNCTION("upper(Regexreplace(to_text(E1107),""[^A-Za-z0-9]"","""")&amp;""-""&amp;Regexreplace(to_text(F1107),""[^A-Za-z0-9]"",""""))"),"NEPTRONIC-EVCBSERIES")</f>
        <v>NEPTRONIC-EVCBSERIES</v>
      </c>
    </row>
    <row r="1108" ht="30.0" customHeight="1">
      <c r="A1108" s="258">
        <v>1100.0</v>
      </c>
      <c r="B1108" s="237" t="s">
        <v>670</v>
      </c>
      <c r="C1108" s="257" t="s">
        <v>4845</v>
      </c>
      <c r="D1108" s="173" t="s">
        <v>4845</v>
      </c>
      <c r="E1108" s="174" t="s">
        <v>2861</v>
      </c>
      <c r="F1108" s="173" t="s">
        <v>2862</v>
      </c>
      <c r="G1108" s="328" t="s">
        <v>673</v>
      </c>
      <c r="H1108" s="328" t="s">
        <v>2863</v>
      </c>
      <c r="I1108" s="258" t="s">
        <v>2864</v>
      </c>
      <c r="J1108" s="259" t="s">
        <v>1026</v>
      </c>
      <c r="K1108" s="260" t="s">
        <v>4846</v>
      </c>
      <c r="L1108" s="328"/>
      <c r="M1108" s="343"/>
      <c r="N1108" s="173" t="s">
        <v>679</v>
      </c>
      <c r="O1108" s="173" t="s">
        <v>225</v>
      </c>
      <c r="P1108" s="262" t="str">
        <f t="shared" si="1"/>
        <v>IN-BLR-ANANTA-VAV-680_4</v>
      </c>
      <c r="Q1108" s="173" t="s">
        <v>4847</v>
      </c>
      <c r="R1108" s="328" t="str">
        <f>IFS(C1108="","",C1108="n/a","N/A",LEN(C1108),Concatenate("{",char(34),"asset",char(34),":{",char(34),"guid",char(34),":",char(34),Q1108,char(34),",",char(34),"site",char(34),":",char(34),LOWER('2-Building'!$B$4),char(34),",",char(34),"name",char(34),":",char(34),LOWER(C1108),char(34),"}}"))</f>
        <v>{"asset":{"guid":"uuid://b63a6260-6cfc-4ae4-967a-ebbc04deb22a","site":"in-blr-ananta","name":"vav-680"}}</v>
      </c>
      <c r="S1108" s="237" t="s">
        <v>2866</v>
      </c>
      <c r="T1108" s="330"/>
      <c r="U1108" s="330"/>
      <c r="V1108" s="331"/>
      <c r="W1108" s="344"/>
      <c r="X1108" s="341"/>
      <c r="Y1108" s="33" t="s">
        <v>2867</v>
      </c>
      <c r="Z1108" s="258">
        <v>120680.0</v>
      </c>
      <c r="AA1108" s="334">
        <v>11561.0</v>
      </c>
      <c r="AB1108" s="341"/>
      <c r="AC1108" s="341"/>
      <c r="AD1108" s="343"/>
      <c r="AE1108" s="331"/>
      <c r="AF1108" s="348"/>
      <c r="AG1108" s="337"/>
      <c r="AH1108" s="341"/>
      <c r="AI1108" s="341"/>
      <c r="AJ1108" s="341"/>
      <c r="AK1108" s="341"/>
      <c r="AL1108" s="341"/>
      <c r="AM1108" s="338"/>
      <c r="AN1108" s="341"/>
      <c r="AO1108" s="341"/>
      <c r="AP1108" s="341"/>
      <c r="AQ1108" s="341"/>
      <c r="AR1108" s="341"/>
      <c r="AS1108" s="341"/>
      <c r="AT1108" s="341"/>
      <c r="AU1108" s="343"/>
      <c r="AV1108" s="341"/>
      <c r="AW1108" s="269" t="s">
        <v>2178</v>
      </c>
      <c r="AX1108" s="334" t="s">
        <v>2869</v>
      </c>
      <c r="AY1108" s="270" t="s">
        <v>695</v>
      </c>
      <c r="AZ1108" s="173" t="s">
        <v>2866</v>
      </c>
      <c r="BA1108" s="265">
        <v>10.0</v>
      </c>
      <c r="BB1108" s="174" t="s">
        <v>245</v>
      </c>
      <c r="BC1108" s="341"/>
      <c r="BD1108" s="308"/>
      <c r="BE1108" s="347"/>
      <c r="BF1108" s="274" t="str">
        <f>IFERROR(__xludf.DUMMYFUNCTION("LOWER(Regexreplace(to_text(E1108),""[^A-Za-z0-9]"","""")&amp;""_""&amp;Regexreplace(to_text(F1108),""[^A-Za-z0-9]"",""""))"),"neptronic_evcbseries")</f>
        <v>neptronic_evcbseries</v>
      </c>
      <c r="BG1108" s="275" t="str">
        <f>IFERROR(__xludf.DUMMYFUNCTION("upper(Regexreplace(to_text(E1108),""[^A-Za-z0-9]"","""")&amp;""-""&amp;Regexreplace(to_text(F1108),""[^A-Za-z0-9]"",""""))"),"NEPTRONIC-EVCBSERIES")</f>
        <v>NEPTRONIC-EVCBSERIES</v>
      </c>
    </row>
    <row r="1109" ht="30.0" customHeight="1">
      <c r="A1109" s="173">
        <v>1101.0</v>
      </c>
      <c r="B1109" s="237" t="s">
        <v>670</v>
      </c>
      <c r="C1109" s="257" t="s">
        <v>4848</v>
      </c>
      <c r="D1109" s="173" t="s">
        <v>4848</v>
      </c>
      <c r="E1109" s="174" t="s">
        <v>2861</v>
      </c>
      <c r="F1109" s="173" t="s">
        <v>2862</v>
      </c>
      <c r="G1109" s="328" t="s">
        <v>673</v>
      </c>
      <c r="H1109" s="328" t="s">
        <v>2863</v>
      </c>
      <c r="I1109" s="258" t="s">
        <v>2864</v>
      </c>
      <c r="J1109" s="259" t="s">
        <v>1026</v>
      </c>
      <c r="K1109" s="260" t="s">
        <v>4849</v>
      </c>
      <c r="L1109" s="328"/>
      <c r="M1109" s="343"/>
      <c r="N1109" s="173" t="s">
        <v>679</v>
      </c>
      <c r="O1109" s="173" t="s">
        <v>225</v>
      </c>
      <c r="P1109" s="262" t="str">
        <f t="shared" si="1"/>
        <v>IN-BLR-ANANTA-VAV-681_4</v>
      </c>
      <c r="Q1109" s="173" t="s">
        <v>4850</v>
      </c>
      <c r="R1109" s="328" t="str">
        <f>IFS(C1109="","",C1109="n/a","N/A",LEN(C1109),Concatenate("{",char(34),"asset",char(34),":{",char(34),"guid",char(34),":",char(34),Q1109,char(34),",",char(34),"site",char(34),":",char(34),LOWER('2-Building'!$B$4),char(34),",",char(34),"name",char(34),":",char(34),LOWER(C1109),char(34),"}}"))</f>
        <v>{"asset":{"guid":"uuid://77571221-3c6c-4fba-97d4-77e67a87392a","site":"in-blr-ananta","name":"vav-681"}}</v>
      </c>
      <c r="S1109" s="237" t="s">
        <v>2866</v>
      </c>
      <c r="T1109" s="330"/>
      <c r="U1109" s="330"/>
      <c r="V1109" s="331"/>
      <c r="W1109" s="344"/>
      <c r="X1109" s="341"/>
      <c r="Y1109" s="33" t="s">
        <v>2867</v>
      </c>
      <c r="Z1109" s="258">
        <v>120681.0</v>
      </c>
      <c r="AA1109" s="334">
        <v>11561.0</v>
      </c>
      <c r="AB1109" s="341"/>
      <c r="AC1109" s="341"/>
      <c r="AD1109" s="343"/>
      <c r="AE1109" s="331"/>
      <c r="AF1109" s="348"/>
      <c r="AG1109" s="337"/>
      <c r="AH1109" s="341"/>
      <c r="AI1109" s="341"/>
      <c r="AJ1109" s="341"/>
      <c r="AK1109" s="341"/>
      <c r="AL1109" s="341"/>
      <c r="AM1109" s="338"/>
      <c r="AN1109" s="341"/>
      <c r="AO1109" s="341"/>
      <c r="AP1109" s="341"/>
      <c r="AQ1109" s="341"/>
      <c r="AR1109" s="341"/>
      <c r="AS1109" s="341"/>
      <c r="AT1109" s="341"/>
      <c r="AU1109" s="343"/>
      <c r="AV1109" s="341"/>
      <c r="AW1109" s="269" t="s">
        <v>2178</v>
      </c>
      <c r="AX1109" s="334" t="s">
        <v>2869</v>
      </c>
      <c r="AY1109" s="270" t="s">
        <v>695</v>
      </c>
      <c r="AZ1109" s="173" t="s">
        <v>2866</v>
      </c>
      <c r="BA1109" s="265">
        <v>10.0</v>
      </c>
      <c r="BB1109" s="174" t="s">
        <v>245</v>
      </c>
      <c r="BC1109" s="341"/>
      <c r="BD1109" s="308"/>
      <c r="BE1109" s="347"/>
      <c r="BF1109" s="274" t="str">
        <f>IFERROR(__xludf.DUMMYFUNCTION("LOWER(Regexreplace(to_text(E1109),""[^A-Za-z0-9]"","""")&amp;""_""&amp;Regexreplace(to_text(F1109),""[^A-Za-z0-9]"",""""))"),"neptronic_evcbseries")</f>
        <v>neptronic_evcbseries</v>
      </c>
      <c r="BG1109" s="275" t="str">
        <f>IFERROR(__xludf.DUMMYFUNCTION("upper(Regexreplace(to_text(E1109),""[^A-Za-z0-9]"","""")&amp;""-""&amp;Regexreplace(to_text(F1109),""[^A-Za-z0-9]"",""""))"),"NEPTRONIC-EVCBSERIES")</f>
        <v>NEPTRONIC-EVCBSERIES</v>
      </c>
    </row>
    <row r="1110" ht="30.0" customHeight="1">
      <c r="A1110" s="258">
        <v>1102.0</v>
      </c>
      <c r="B1110" s="237" t="s">
        <v>670</v>
      </c>
      <c r="C1110" s="257" t="s">
        <v>4851</v>
      </c>
      <c r="D1110" s="173" t="s">
        <v>4851</v>
      </c>
      <c r="E1110" s="174" t="s">
        <v>2861</v>
      </c>
      <c r="F1110" s="173" t="s">
        <v>2862</v>
      </c>
      <c r="G1110" s="328" t="s">
        <v>673</v>
      </c>
      <c r="H1110" s="328" t="s">
        <v>2863</v>
      </c>
      <c r="I1110" s="258" t="s">
        <v>2864</v>
      </c>
      <c r="J1110" s="259" t="s">
        <v>1026</v>
      </c>
      <c r="K1110" s="260" t="s">
        <v>4852</v>
      </c>
      <c r="L1110" s="328"/>
      <c r="M1110" s="343"/>
      <c r="N1110" s="173" t="s">
        <v>679</v>
      </c>
      <c r="O1110" s="173" t="s">
        <v>225</v>
      </c>
      <c r="P1110" s="262" t="str">
        <f t="shared" si="1"/>
        <v>IN-BLR-ANANTA-VAV-682_4</v>
      </c>
      <c r="Q1110" s="173" t="s">
        <v>4853</v>
      </c>
      <c r="R1110" s="328" t="str">
        <f>IFS(C1110="","",C1110="n/a","N/A",LEN(C1110),Concatenate("{",char(34),"asset",char(34),":{",char(34),"guid",char(34),":",char(34),Q1110,char(34),",",char(34),"site",char(34),":",char(34),LOWER('2-Building'!$B$4),char(34),",",char(34),"name",char(34),":",char(34),LOWER(C1110),char(34),"}}"))</f>
        <v>{"asset":{"guid":"uuid://e0dbd577-b418-4cba-a2d5-deeb01a46e09","site":"in-blr-ananta","name":"vav-682"}}</v>
      </c>
      <c r="S1110" s="237" t="s">
        <v>2866</v>
      </c>
      <c r="T1110" s="330"/>
      <c r="U1110" s="330"/>
      <c r="V1110" s="331"/>
      <c r="W1110" s="344"/>
      <c r="X1110" s="341"/>
      <c r="Y1110" s="33" t="s">
        <v>2867</v>
      </c>
      <c r="Z1110" s="258">
        <v>120682.0</v>
      </c>
      <c r="AA1110" s="334">
        <v>11561.0</v>
      </c>
      <c r="AB1110" s="341"/>
      <c r="AC1110" s="341"/>
      <c r="AD1110" s="343"/>
      <c r="AE1110" s="331"/>
      <c r="AF1110" s="348"/>
      <c r="AG1110" s="337"/>
      <c r="AH1110" s="341"/>
      <c r="AI1110" s="341"/>
      <c r="AJ1110" s="341"/>
      <c r="AK1110" s="341"/>
      <c r="AL1110" s="341"/>
      <c r="AM1110" s="338"/>
      <c r="AN1110" s="341"/>
      <c r="AO1110" s="341"/>
      <c r="AP1110" s="341"/>
      <c r="AQ1110" s="341"/>
      <c r="AR1110" s="341"/>
      <c r="AS1110" s="341"/>
      <c r="AT1110" s="341"/>
      <c r="AU1110" s="343"/>
      <c r="AV1110" s="341"/>
      <c r="AW1110" s="269" t="s">
        <v>2178</v>
      </c>
      <c r="AX1110" s="334" t="s">
        <v>2869</v>
      </c>
      <c r="AY1110" s="270" t="s">
        <v>695</v>
      </c>
      <c r="AZ1110" s="173" t="s">
        <v>2866</v>
      </c>
      <c r="BA1110" s="265">
        <v>10.0</v>
      </c>
      <c r="BB1110" s="174" t="s">
        <v>245</v>
      </c>
      <c r="BC1110" s="341"/>
      <c r="BD1110" s="308"/>
      <c r="BE1110" s="347"/>
      <c r="BF1110" s="274" t="str">
        <f>IFERROR(__xludf.DUMMYFUNCTION("LOWER(Regexreplace(to_text(E1110),""[^A-Za-z0-9]"","""")&amp;""_""&amp;Regexreplace(to_text(F1110),""[^A-Za-z0-9]"",""""))"),"neptronic_evcbseries")</f>
        <v>neptronic_evcbseries</v>
      </c>
      <c r="BG1110" s="275" t="str">
        <f>IFERROR(__xludf.DUMMYFUNCTION("upper(Regexreplace(to_text(E1110),""[^A-Za-z0-9]"","""")&amp;""-""&amp;Regexreplace(to_text(F1110),""[^A-Za-z0-9]"",""""))"),"NEPTRONIC-EVCBSERIES")</f>
        <v>NEPTRONIC-EVCBSERIES</v>
      </c>
    </row>
    <row r="1111" ht="30.0" customHeight="1">
      <c r="A1111" s="173">
        <v>1103.0</v>
      </c>
      <c r="B1111" s="237" t="s">
        <v>670</v>
      </c>
      <c r="C1111" s="257" t="s">
        <v>4854</v>
      </c>
      <c r="D1111" s="173" t="s">
        <v>4854</v>
      </c>
      <c r="E1111" s="174" t="s">
        <v>2861</v>
      </c>
      <c r="F1111" s="173" t="s">
        <v>2862</v>
      </c>
      <c r="G1111" s="328" t="s">
        <v>673</v>
      </c>
      <c r="H1111" s="328" t="s">
        <v>2863</v>
      </c>
      <c r="I1111" s="258" t="s">
        <v>2864</v>
      </c>
      <c r="J1111" s="259" t="s">
        <v>1026</v>
      </c>
      <c r="K1111" s="260" t="s">
        <v>4855</v>
      </c>
      <c r="L1111" s="328"/>
      <c r="M1111" s="343"/>
      <c r="N1111" s="173" t="s">
        <v>679</v>
      </c>
      <c r="O1111" s="173" t="s">
        <v>225</v>
      </c>
      <c r="P1111" s="262" t="str">
        <f t="shared" si="1"/>
        <v>IN-BLR-ANANTA-VAV-683_4</v>
      </c>
      <c r="Q1111" s="173" t="s">
        <v>4856</v>
      </c>
      <c r="R1111" s="328" t="str">
        <f>IFS(C1111="","",C1111="n/a","N/A",LEN(C1111),Concatenate("{",char(34),"asset",char(34),":{",char(34),"guid",char(34),":",char(34),Q1111,char(34),",",char(34),"site",char(34),":",char(34),LOWER('2-Building'!$B$4),char(34),",",char(34),"name",char(34),":",char(34),LOWER(C1111),char(34),"}}"))</f>
        <v>{"asset":{"guid":"uuid://20a68802-9ca5-4c63-8702-ff556f8b93c3","site":"in-blr-ananta","name":"vav-683"}}</v>
      </c>
      <c r="S1111" s="237" t="s">
        <v>2866</v>
      </c>
      <c r="T1111" s="330"/>
      <c r="U1111" s="330"/>
      <c r="V1111" s="331"/>
      <c r="W1111" s="344"/>
      <c r="X1111" s="341"/>
      <c r="Y1111" s="33" t="s">
        <v>2867</v>
      </c>
      <c r="Z1111" s="258">
        <v>120683.0</v>
      </c>
      <c r="AA1111" s="334">
        <v>11561.0</v>
      </c>
      <c r="AB1111" s="341"/>
      <c r="AC1111" s="341"/>
      <c r="AD1111" s="343"/>
      <c r="AE1111" s="331"/>
      <c r="AF1111" s="348"/>
      <c r="AG1111" s="337"/>
      <c r="AH1111" s="341"/>
      <c r="AI1111" s="341"/>
      <c r="AJ1111" s="341"/>
      <c r="AK1111" s="341"/>
      <c r="AL1111" s="341"/>
      <c r="AM1111" s="338"/>
      <c r="AN1111" s="341"/>
      <c r="AO1111" s="341"/>
      <c r="AP1111" s="341"/>
      <c r="AQ1111" s="341"/>
      <c r="AR1111" s="341"/>
      <c r="AS1111" s="341"/>
      <c r="AT1111" s="341"/>
      <c r="AU1111" s="343"/>
      <c r="AV1111" s="341"/>
      <c r="AW1111" s="269" t="s">
        <v>2178</v>
      </c>
      <c r="AX1111" s="334" t="s">
        <v>2869</v>
      </c>
      <c r="AY1111" s="270" t="s">
        <v>695</v>
      </c>
      <c r="AZ1111" s="173" t="s">
        <v>2866</v>
      </c>
      <c r="BA1111" s="265">
        <v>10.0</v>
      </c>
      <c r="BB1111" s="174" t="s">
        <v>245</v>
      </c>
      <c r="BC1111" s="341"/>
      <c r="BD1111" s="308"/>
      <c r="BE1111" s="347"/>
      <c r="BF1111" s="274" t="str">
        <f>IFERROR(__xludf.DUMMYFUNCTION("LOWER(Regexreplace(to_text(E1111),""[^A-Za-z0-9]"","""")&amp;""_""&amp;Regexreplace(to_text(F1111),""[^A-Za-z0-9]"",""""))"),"neptronic_evcbseries")</f>
        <v>neptronic_evcbseries</v>
      </c>
      <c r="BG1111" s="275" t="str">
        <f>IFERROR(__xludf.DUMMYFUNCTION("upper(Regexreplace(to_text(E1111),""[^A-Za-z0-9]"","""")&amp;""-""&amp;Regexreplace(to_text(F1111),""[^A-Za-z0-9]"",""""))"),"NEPTRONIC-EVCBSERIES")</f>
        <v>NEPTRONIC-EVCBSERIES</v>
      </c>
    </row>
    <row r="1112" ht="30.0" customHeight="1">
      <c r="A1112" s="258">
        <v>1104.0</v>
      </c>
      <c r="B1112" s="237" t="s">
        <v>670</v>
      </c>
      <c r="C1112" s="257" t="s">
        <v>4857</v>
      </c>
      <c r="D1112" s="173" t="s">
        <v>4857</v>
      </c>
      <c r="E1112" s="174" t="s">
        <v>2861</v>
      </c>
      <c r="F1112" s="173" t="s">
        <v>2862</v>
      </c>
      <c r="G1112" s="328" t="s">
        <v>673</v>
      </c>
      <c r="H1112" s="328" t="s">
        <v>2863</v>
      </c>
      <c r="I1112" s="258" t="s">
        <v>2864</v>
      </c>
      <c r="J1112" s="259" t="s">
        <v>1026</v>
      </c>
      <c r="K1112" s="260" t="s">
        <v>4598</v>
      </c>
      <c r="L1112" s="328"/>
      <c r="M1112" s="343"/>
      <c r="N1112" s="173" t="s">
        <v>679</v>
      </c>
      <c r="O1112" s="173" t="s">
        <v>225</v>
      </c>
      <c r="P1112" s="262" t="str">
        <f t="shared" si="1"/>
        <v>IN-BLR-ANANTA-VAV-684_4</v>
      </c>
      <c r="Q1112" s="173" t="s">
        <v>4858</v>
      </c>
      <c r="R1112" s="328" t="str">
        <f>IFS(C1112="","",C1112="n/a","N/A",LEN(C1112),Concatenate("{",char(34),"asset",char(34),":{",char(34),"guid",char(34),":",char(34),Q1112,char(34),",",char(34),"site",char(34),":",char(34),LOWER('2-Building'!$B$4),char(34),",",char(34),"name",char(34),":",char(34),LOWER(C1112),char(34),"}}"))</f>
        <v>{"asset":{"guid":"uuid://dc9b85fc-434e-43f7-a1a9-6613f6a58cd6","site":"in-blr-ananta","name":"vav-684"}}</v>
      </c>
      <c r="S1112" s="237" t="s">
        <v>2866</v>
      </c>
      <c r="T1112" s="330"/>
      <c r="U1112" s="330"/>
      <c r="V1112" s="331"/>
      <c r="W1112" s="344"/>
      <c r="X1112" s="341"/>
      <c r="Y1112" s="33" t="s">
        <v>2867</v>
      </c>
      <c r="Z1112" s="258">
        <v>120684.0</v>
      </c>
      <c r="AA1112" s="334">
        <v>11561.0</v>
      </c>
      <c r="AB1112" s="341"/>
      <c r="AC1112" s="341"/>
      <c r="AD1112" s="343"/>
      <c r="AE1112" s="331"/>
      <c r="AF1112" s="348"/>
      <c r="AG1112" s="337"/>
      <c r="AH1112" s="341"/>
      <c r="AI1112" s="341"/>
      <c r="AJ1112" s="341"/>
      <c r="AK1112" s="341"/>
      <c r="AL1112" s="341"/>
      <c r="AM1112" s="338"/>
      <c r="AN1112" s="341"/>
      <c r="AO1112" s="341"/>
      <c r="AP1112" s="341"/>
      <c r="AQ1112" s="341"/>
      <c r="AR1112" s="341"/>
      <c r="AS1112" s="341"/>
      <c r="AT1112" s="341"/>
      <c r="AU1112" s="343"/>
      <c r="AV1112" s="341"/>
      <c r="AW1112" s="269" t="s">
        <v>2178</v>
      </c>
      <c r="AX1112" s="334" t="s">
        <v>2869</v>
      </c>
      <c r="AY1112" s="270" t="s">
        <v>695</v>
      </c>
      <c r="AZ1112" s="173" t="s">
        <v>2866</v>
      </c>
      <c r="BA1112" s="265">
        <v>10.0</v>
      </c>
      <c r="BB1112" s="174" t="s">
        <v>245</v>
      </c>
      <c r="BC1112" s="341"/>
      <c r="BD1112" s="308"/>
      <c r="BE1112" s="347"/>
      <c r="BF1112" s="274" t="str">
        <f>IFERROR(__xludf.DUMMYFUNCTION("LOWER(Regexreplace(to_text(E1112),""[^A-Za-z0-9]"","""")&amp;""_""&amp;Regexreplace(to_text(F1112),""[^A-Za-z0-9]"",""""))"),"neptronic_evcbseries")</f>
        <v>neptronic_evcbseries</v>
      </c>
      <c r="BG1112" s="275" t="str">
        <f>IFERROR(__xludf.DUMMYFUNCTION("upper(Regexreplace(to_text(E1112),""[^A-Za-z0-9]"","""")&amp;""-""&amp;Regexreplace(to_text(F1112),""[^A-Za-z0-9]"",""""))"),"NEPTRONIC-EVCBSERIES")</f>
        <v>NEPTRONIC-EVCBSERIES</v>
      </c>
    </row>
    <row r="1113" ht="30.0" customHeight="1">
      <c r="A1113" s="173">
        <v>1105.0</v>
      </c>
      <c r="B1113" s="237" t="s">
        <v>670</v>
      </c>
      <c r="C1113" s="257" t="s">
        <v>4859</v>
      </c>
      <c r="D1113" s="173" t="s">
        <v>4859</v>
      </c>
      <c r="E1113" s="174" t="s">
        <v>2861</v>
      </c>
      <c r="F1113" s="173" t="s">
        <v>2862</v>
      </c>
      <c r="G1113" s="328" t="s">
        <v>673</v>
      </c>
      <c r="H1113" s="328" t="s">
        <v>2863</v>
      </c>
      <c r="I1113" s="258" t="s">
        <v>2864</v>
      </c>
      <c r="J1113" s="259" t="s">
        <v>1026</v>
      </c>
      <c r="K1113" s="260" t="s">
        <v>4860</v>
      </c>
      <c r="L1113" s="328"/>
      <c r="M1113" s="343"/>
      <c r="N1113" s="173" t="s">
        <v>679</v>
      </c>
      <c r="O1113" s="173" t="s">
        <v>225</v>
      </c>
      <c r="P1113" s="262" t="str">
        <f t="shared" si="1"/>
        <v>IN-BLR-ANANTA-VAV-685_4</v>
      </c>
      <c r="Q1113" s="173" t="s">
        <v>4861</v>
      </c>
      <c r="R1113" s="328" t="str">
        <f>IFS(C1113="","",C1113="n/a","N/A",LEN(C1113),Concatenate("{",char(34),"asset",char(34),":{",char(34),"guid",char(34),":",char(34),Q1113,char(34),",",char(34),"site",char(34),":",char(34),LOWER('2-Building'!$B$4),char(34),",",char(34),"name",char(34),":",char(34),LOWER(C1113),char(34),"}}"))</f>
        <v>{"asset":{"guid":"uuid://78a0a142-547f-4fa4-be9c-1eddbbd06249","site":"in-blr-ananta","name":"vav-685"}}</v>
      </c>
      <c r="S1113" s="237" t="s">
        <v>2866</v>
      </c>
      <c r="T1113" s="330"/>
      <c r="U1113" s="330"/>
      <c r="V1113" s="331"/>
      <c r="W1113" s="344"/>
      <c r="X1113" s="341"/>
      <c r="Y1113" s="33" t="s">
        <v>2867</v>
      </c>
      <c r="Z1113" s="258">
        <v>120685.0</v>
      </c>
      <c r="AA1113" s="334">
        <v>11561.0</v>
      </c>
      <c r="AB1113" s="341"/>
      <c r="AC1113" s="341"/>
      <c r="AD1113" s="343"/>
      <c r="AE1113" s="331"/>
      <c r="AF1113" s="348"/>
      <c r="AG1113" s="337"/>
      <c r="AH1113" s="341"/>
      <c r="AI1113" s="341"/>
      <c r="AJ1113" s="341"/>
      <c r="AK1113" s="341"/>
      <c r="AL1113" s="341"/>
      <c r="AM1113" s="338"/>
      <c r="AN1113" s="341"/>
      <c r="AO1113" s="341"/>
      <c r="AP1113" s="341"/>
      <c r="AQ1113" s="341"/>
      <c r="AR1113" s="341"/>
      <c r="AS1113" s="341"/>
      <c r="AT1113" s="341"/>
      <c r="AU1113" s="343"/>
      <c r="AV1113" s="341"/>
      <c r="AW1113" s="269" t="s">
        <v>2178</v>
      </c>
      <c r="AX1113" s="334" t="s">
        <v>2869</v>
      </c>
      <c r="AY1113" s="270" t="s">
        <v>695</v>
      </c>
      <c r="AZ1113" s="173" t="s">
        <v>2866</v>
      </c>
      <c r="BA1113" s="265">
        <v>10.0</v>
      </c>
      <c r="BB1113" s="174" t="s">
        <v>245</v>
      </c>
      <c r="BC1113" s="341"/>
      <c r="BD1113" s="308"/>
      <c r="BE1113" s="347"/>
      <c r="BF1113" s="274" t="str">
        <f>IFERROR(__xludf.DUMMYFUNCTION("LOWER(Regexreplace(to_text(E1113),""[^A-Za-z0-9]"","""")&amp;""_""&amp;Regexreplace(to_text(F1113),""[^A-Za-z0-9]"",""""))"),"neptronic_evcbseries")</f>
        <v>neptronic_evcbseries</v>
      </c>
      <c r="BG1113" s="275" t="str">
        <f>IFERROR(__xludf.DUMMYFUNCTION("upper(Regexreplace(to_text(E1113),""[^A-Za-z0-9]"","""")&amp;""-""&amp;Regexreplace(to_text(F1113),""[^A-Za-z0-9]"",""""))"),"NEPTRONIC-EVCBSERIES")</f>
        <v>NEPTRONIC-EVCBSERIES</v>
      </c>
    </row>
    <row r="1114" ht="30.0" customHeight="1">
      <c r="A1114" s="258">
        <v>1106.0</v>
      </c>
      <c r="B1114" s="237" t="s">
        <v>670</v>
      </c>
      <c r="C1114" s="257" t="s">
        <v>4862</v>
      </c>
      <c r="D1114" s="173" t="s">
        <v>4862</v>
      </c>
      <c r="E1114" s="174" t="s">
        <v>2861</v>
      </c>
      <c r="F1114" s="173" t="s">
        <v>2862</v>
      </c>
      <c r="G1114" s="328" t="s">
        <v>673</v>
      </c>
      <c r="H1114" s="328" t="s">
        <v>2863</v>
      </c>
      <c r="I1114" s="258" t="s">
        <v>2864</v>
      </c>
      <c r="J1114" s="259" t="s">
        <v>1026</v>
      </c>
      <c r="K1114" s="260" t="s">
        <v>4598</v>
      </c>
      <c r="L1114" s="328"/>
      <c r="M1114" s="343"/>
      <c r="N1114" s="173" t="s">
        <v>679</v>
      </c>
      <c r="O1114" s="173" t="s">
        <v>225</v>
      </c>
      <c r="P1114" s="262" t="str">
        <f t="shared" si="1"/>
        <v>IN-BLR-ANANTA-VAV-686_4</v>
      </c>
      <c r="Q1114" s="173" t="s">
        <v>4863</v>
      </c>
      <c r="R1114" s="328" t="str">
        <f>IFS(C1114="","",C1114="n/a","N/A",LEN(C1114),Concatenate("{",char(34),"asset",char(34),":{",char(34),"guid",char(34),":",char(34),Q1114,char(34),",",char(34),"site",char(34),":",char(34),LOWER('2-Building'!$B$4),char(34),",",char(34),"name",char(34),":",char(34),LOWER(C1114),char(34),"}}"))</f>
        <v>{"asset":{"guid":"uuid://fe35fb16-f1ec-4923-87c8-b01f6246962b","site":"in-blr-ananta","name":"vav-686"}}</v>
      </c>
      <c r="S1114" s="237" t="s">
        <v>2866</v>
      </c>
      <c r="T1114" s="330"/>
      <c r="U1114" s="330"/>
      <c r="V1114" s="331"/>
      <c r="W1114" s="344"/>
      <c r="X1114" s="341"/>
      <c r="Y1114" s="33" t="s">
        <v>2867</v>
      </c>
      <c r="Z1114" s="258">
        <v>120686.0</v>
      </c>
      <c r="AA1114" s="334">
        <v>11561.0</v>
      </c>
      <c r="AB1114" s="341"/>
      <c r="AC1114" s="341"/>
      <c r="AD1114" s="343"/>
      <c r="AE1114" s="331"/>
      <c r="AF1114" s="348"/>
      <c r="AG1114" s="337"/>
      <c r="AH1114" s="341"/>
      <c r="AI1114" s="341"/>
      <c r="AJ1114" s="341"/>
      <c r="AK1114" s="341"/>
      <c r="AL1114" s="341"/>
      <c r="AM1114" s="338"/>
      <c r="AN1114" s="341"/>
      <c r="AO1114" s="341"/>
      <c r="AP1114" s="341"/>
      <c r="AQ1114" s="341"/>
      <c r="AR1114" s="341"/>
      <c r="AS1114" s="341"/>
      <c r="AT1114" s="341"/>
      <c r="AU1114" s="343"/>
      <c r="AV1114" s="341"/>
      <c r="AW1114" s="269" t="s">
        <v>2178</v>
      </c>
      <c r="AX1114" s="334" t="s">
        <v>2869</v>
      </c>
      <c r="AY1114" s="270" t="s">
        <v>695</v>
      </c>
      <c r="AZ1114" s="173" t="s">
        <v>2866</v>
      </c>
      <c r="BA1114" s="265">
        <v>10.0</v>
      </c>
      <c r="BB1114" s="174" t="s">
        <v>245</v>
      </c>
      <c r="BC1114" s="341"/>
      <c r="BD1114" s="308"/>
      <c r="BE1114" s="347"/>
      <c r="BF1114" s="274" t="str">
        <f>IFERROR(__xludf.DUMMYFUNCTION("LOWER(Regexreplace(to_text(E1114),""[^A-Za-z0-9]"","""")&amp;""_""&amp;Regexreplace(to_text(F1114),""[^A-Za-z0-9]"",""""))"),"neptronic_evcbseries")</f>
        <v>neptronic_evcbseries</v>
      </c>
      <c r="BG1114" s="275" t="str">
        <f>IFERROR(__xludf.DUMMYFUNCTION("upper(Regexreplace(to_text(E1114),""[^A-Za-z0-9]"","""")&amp;""-""&amp;Regexreplace(to_text(F1114),""[^A-Za-z0-9]"",""""))"),"NEPTRONIC-EVCBSERIES")</f>
        <v>NEPTRONIC-EVCBSERIES</v>
      </c>
    </row>
    <row r="1115" ht="30.0" customHeight="1">
      <c r="A1115" s="173">
        <v>1107.0</v>
      </c>
      <c r="B1115" s="237" t="s">
        <v>670</v>
      </c>
      <c r="C1115" s="257" t="s">
        <v>4864</v>
      </c>
      <c r="D1115" s="173" t="s">
        <v>4864</v>
      </c>
      <c r="E1115" s="174" t="s">
        <v>2861</v>
      </c>
      <c r="F1115" s="173" t="s">
        <v>2862</v>
      </c>
      <c r="G1115" s="328" t="s">
        <v>673</v>
      </c>
      <c r="H1115" s="328" t="s">
        <v>2863</v>
      </c>
      <c r="I1115" s="258" t="s">
        <v>2864</v>
      </c>
      <c r="J1115" s="259" t="s">
        <v>1026</v>
      </c>
      <c r="K1115" s="260" t="s">
        <v>4865</v>
      </c>
      <c r="L1115" s="328"/>
      <c r="M1115" s="343"/>
      <c r="N1115" s="173" t="s">
        <v>679</v>
      </c>
      <c r="O1115" s="173" t="s">
        <v>225</v>
      </c>
      <c r="P1115" s="262" t="str">
        <f t="shared" si="1"/>
        <v>IN-BLR-ANANTA-VAV-687_4</v>
      </c>
      <c r="Q1115" s="173" t="s">
        <v>4866</v>
      </c>
      <c r="R1115" s="328" t="str">
        <f>IFS(C1115="","",C1115="n/a","N/A",LEN(C1115),Concatenate("{",char(34),"asset",char(34),":{",char(34),"guid",char(34),":",char(34),Q1115,char(34),",",char(34),"site",char(34),":",char(34),LOWER('2-Building'!$B$4),char(34),",",char(34),"name",char(34),":",char(34),LOWER(C1115),char(34),"}}"))</f>
        <v>{"asset":{"guid":"uuid://9654cd19-ddf0-4913-b55b-17593ebcac7e","site":"in-blr-ananta","name":"vav-687"}}</v>
      </c>
      <c r="S1115" s="237" t="s">
        <v>2866</v>
      </c>
      <c r="T1115" s="330"/>
      <c r="U1115" s="330"/>
      <c r="V1115" s="331"/>
      <c r="W1115" s="344"/>
      <c r="X1115" s="341"/>
      <c r="Y1115" s="33" t="s">
        <v>2867</v>
      </c>
      <c r="Z1115" s="258">
        <v>120687.0</v>
      </c>
      <c r="AA1115" s="334">
        <v>11561.0</v>
      </c>
      <c r="AB1115" s="341"/>
      <c r="AC1115" s="341"/>
      <c r="AD1115" s="343"/>
      <c r="AE1115" s="331"/>
      <c r="AF1115" s="348"/>
      <c r="AG1115" s="337"/>
      <c r="AH1115" s="341"/>
      <c r="AI1115" s="341"/>
      <c r="AJ1115" s="341"/>
      <c r="AK1115" s="341"/>
      <c r="AL1115" s="341"/>
      <c r="AM1115" s="338"/>
      <c r="AN1115" s="341"/>
      <c r="AO1115" s="341"/>
      <c r="AP1115" s="341"/>
      <c r="AQ1115" s="341"/>
      <c r="AR1115" s="341"/>
      <c r="AS1115" s="341"/>
      <c r="AT1115" s="341"/>
      <c r="AU1115" s="343"/>
      <c r="AV1115" s="341"/>
      <c r="AW1115" s="269" t="s">
        <v>2178</v>
      </c>
      <c r="AX1115" s="334" t="s">
        <v>2869</v>
      </c>
      <c r="AY1115" s="270" t="s">
        <v>695</v>
      </c>
      <c r="AZ1115" s="173" t="s">
        <v>2866</v>
      </c>
      <c r="BA1115" s="265">
        <v>10.0</v>
      </c>
      <c r="BB1115" s="174" t="s">
        <v>245</v>
      </c>
      <c r="BC1115" s="341"/>
      <c r="BD1115" s="308"/>
      <c r="BE1115" s="347"/>
      <c r="BF1115" s="274" t="str">
        <f>IFERROR(__xludf.DUMMYFUNCTION("LOWER(Regexreplace(to_text(E1115),""[^A-Za-z0-9]"","""")&amp;""_""&amp;Regexreplace(to_text(F1115),""[^A-Za-z0-9]"",""""))"),"neptronic_evcbseries")</f>
        <v>neptronic_evcbseries</v>
      </c>
      <c r="BG1115" s="275" t="str">
        <f>IFERROR(__xludf.DUMMYFUNCTION("upper(Regexreplace(to_text(E1115),""[^A-Za-z0-9]"","""")&amp;""-""&amp;Regexreplace(to_text(F1115),""[^A-Za-z0-9]"",""""))"),"NEPTRONIC-EVCBSERIES")</f>
        <v>NEPTRONIC-EVCBSERIES</v>
      </c>
    </row>
    <row r="1116" ht="30.0" customHeight="1">
      <c r="A1116" s="258">
        <v>1108.0</v>
      </c>
      <c r="B1116" s="237" t="s">
        <v>670</v>
      </c>
      <c r="C1116" s="257" t="s">
        <v>4867</v>
      </c>
      <c r="D1116" s="173" t="s">
        <v>4867</v>
      </c>
      <c r="E1116" s="174" t="s">
        <v>2861</v>
      </c>
      <c r="F1116" s="173" t="s">
        <v>2862</v>
      </c>
      <c r="G1116" s="328" t="s">
        <v>673</v>
      </c>
      <c r="H1116" s="328" t="s">
        <v>2863</v>
      </c>
      <c r="I1116" s="258" t="s">
        <v>2864</v>
      </c>
      <c r="J1116" s="259" t="s">
        <v>1026</v>
      </c>
      <c r="K1116" s="260" t="s">
        <v>4868</v>
      </c>
      <c r="L1116" s="328"/>
      <c r="M1116" s="343"/>
      <c r="N1116" s="173" t="s">
        <v>679</v>
      </c>
      <c r="O1116" s="173" t="s">
        <v>225</v>
      </c>
      <c r="P1116" s="262" t="str">
        <f t="shared" si="1"/>
        <v>IN-BLR-ANANTA-VAV-688_4</v>
      </c>
      <c r="Q1116" s="173" t="s">
        <v>4869</v>
      </c>
      <c r="R1116" s="328" t="str">
        <f>IFS(C1116="","",C1116="n/a","N/A",LEN(C1116),Concatenate("{",char(34),"asset",char(34),":{",char(34),"guid",char(34),":",char(34),Q1116,char(34),",",char(34),"site",char(34),":",char(34),LOWER('2-Building'!$B$4),char(34),",",char(34),"name",char(34),":",char(34),LOWER(C1116),char(34),"}}"))</f>
        <v>{"asset":{"guid":"uuid://c9fbc6df-ac91-427f-8557-3a8bbec2e9d1","site":"in-blr-ananta","name":"vav-688"}}</v>
      </c>
      <c r="S1116" s="237" t="s">
        <v>2866</v>
      </c>
      <c r="T1116" s="330"/>
      <c r="U1116" s="330"/>
      <c r="V1116" s="331"/>
      <c r="W1116" s="344"/>
      <c r="X1116" s="341"/>
      <c r="Y1116" s="33" t="s">
        <v>2867</v>
      </c>
      <c r="Z1116" s="258">
        <v>120688.0</v>
      </c>
      <c r="AA1116" s="334">
        <v>11567.0</v>
      </c>
      <c r="AB1116" s="341"/>
      <c r="AC1116" s="341"/>
      <c r="AD1116" s="343"/>
      <c r="AE1116" s="331"/>
      <c r="AF1116" s="348"/>
      <c r="AG1116" s="337"/>
      <c r="AH1116" s="341"/>
      <c r="AI1116" s="341"/>
      <c r="AJ1116" s="341"/>
      <c r="AK1116" s="341"/>
      <c r="AL1116" s="341"/>
      <c r="AM1116" s="338"/>
      <c r="AN1116" s="341"/>
      <c r="AO1116" s="341"/>
      <c r="AP1116" s="341"/>
      <c r="AQ1116" s="341"/>
      <c r="AR1116" s="341"/>
      <c r="AS1116" s="341"/>
      <c r="AT1116" s="341"/>
      <c r="AU1116" s="343"/>
      <c r="AV1116" s="341"/>
      <c r="AW1116" s="269" t="s">
        <v>1082</v>
      </c>
      <c r="AX1116" s="334" t="s">
        <v>2869</v>
      </c>
      <c r="AY1116" s="270" t="s">
        <v>695</v>
      </c>
      <c r="AZ1116" s="173" t="s">
        <v>2866</v>
      </c>
      <c r="BA1116" s="265">
        <v>10.0</v>
      </c>
      <c r="BB1116" s="174" t="s">
        <v>245</v>
      </c>
      <c r="BC1116" s="341"/>
      <c r="BD1116" s="308"/>
      <c r="BE1116" s="347"/>
      <c r="BF1116" s="274" t="str">
        <f>IFERROR(__xludf.DUMMYFUNCTION("LOWER(Regexreplace(to_text(E1116),""[^A-Za-z0-9]"","""")&amp;""_""&amp;Regexreplace(to_text(F1116),""[^A-Za-z0-9]"",""""))"),"neptronic_evcbseries")</f>
        <v>neptronic_evcbseries</v>
      </c>
      <c r="BG1116" s="275" t="str">
        <f>IFERROR(__xludf.DUMMYFUNCTION("upper(Regexreplace(to_text(E1116),""[^A-Za-z0-9]"","""")&amp;""-""&amp;Regexreplace(to_text(F1116),""[^A-Za-z0-9]"",""""))"),"NEPTRONIC-EVCBSERIES")</f>
        <v>NEPTRONIC-EVCBSERIES</v>
      </c>
    </row>
    <row r="1117" ht="30.0" customHeight="1">
      <c r="A1117" s="173">
        <v>1109.0</v>
      </c>
      <c r="B1117" s="237" t="s">
        <v>670</v>
      </c>
      <c r="C1117" s="257" t="s">
        <v>4870</v>
      </c>
      <c r="D1117" s="173" t="s">
        <v>4870</v>
      </c>
      <c r="E1117" s="174" t="s">
        <v>2861</v>
      </c>
      <c r="F1117" s="173" t="s">
        <v>2862</v>
      </c>
      <c r="G1117" s="328" t="s">
        <v>673</v>
      </c>
      <c r="H1117" s="328" t="s">
        <v>2863</v>
      </c>
      <c r="I1117" s="258" t="s">
        <v>2864</v>
      </c>
      <c r="J1117" s="259" t="s">
        <v>1026</v>
      </c>
      <c r="K1117" s="260" t="s">
        <v>3551</v>
      </c>
      <c r="L1117" s="328"/>
      <c r="M1117" s="343"/>
      <c r="N1117" s="173" t="s">
        <v>679</v>
      </c>
      <c r="O1117" s="173" t="s">
        <v>225</v>
      </c>
      <c r="P1117" s="262" t="str">
        <f t="shared" si="1"/>
        <v>IN-BLR-ANANTA-VAV-689_4</v>
      </c>
      <c r="Q1117" s="173" t="s">
        <v>4871</v>
      </c>
      <c r="R1117" s="328" t="str">
        <f>IFS(C1117="","",C1117="n/a","N/A",LEN(C1117),Concatenate("{",char(34),"asset",char(34),":{",char(34),"guid",char(34),":",char(34),Q1117,char(34),",",char(34),"site",char(34),":",char(34),LOWER('2-Building'!$B$4),char(34),",",char(34),"name",char(34),":",char(34),LOWER(C1117),char(34),"}}"))</f>
        <v>{"asset":{"guid":"uuid://d85344ad-91dc-428d-8e46-199a6e898d1e","site":"in-blr-ananta","name":"vav-689"}}</v>
      </c>
      <c r="S1117" s="237" t="s">
        <v>2866</v>
      </c>
      <c r="T1117" s="330"/>
      <c r="U1117" s="330"/>
      <c r="V1117" s="331"/>
      <c r="W1117" s="344"/>
      <c r="X1117" s="341"/>
      <c r="Y1117" s="33" t="s">
        <v>2867</v>
      </c>
      <c r="Z1117" s="258">
        <v>120689.0</v>
      </c>
      <c r="AA1117" s="334">
        <v>11567.0</v>
      </c>
      <c r="AB1117" s="341"/>
      <c r="AC1117" s="341"/>
      <c r="AD1117" s="343"/>
      <c r="AE1117" s="331"/>
      <c r="AF1117" s="348"/>
      <c r="AG1117" s="337"/>
      <c r="AH1117" s="341"/>
      <c r="AI1117" s="341"/>
      <c r="AJ1117" s="341"/>
      <c r="AK1117" s="341"/>
      <c r="AL1117" s="341"/>
      <c r="AM1117" s="338"/>
      <c r="AN1117" s="341"/>
      <c r="AO1117" s="341"/>
      <c r="AP1117" s="341"/>
      <c r="AQ1117" s="341"/>
      <c r="AR1117" s="341"/>
      <c r="AS1117" s="341"/>
      <c r="AT1117" s="341"/>
      <c r="AU1117" s="343"/>
      <c r="AV1117" s="341"/>
      <c r="AW1117" s="269" t="s">
        <v>1082</v>
      </c>
      <c r="AX1117" s="334" t="s">
        <v>2869</v>
      </c>
      <c r="AY1117" s="270" t="s">
        <v>695</v>
      </c>
      <c r="AZ1117" s="173" t="s">
        <v>2866</v>
      </c>
      <c r="BA1117" s="265">
        <v>10.0</v>
      </c>
      <c r="BB1117" s="174" t="s">
        <v>245</v>
      </c>
      <c r="BC1117" s="341"/>
      <c r="BD1117" s="308"/>
      <c r="BE1117" s="347"/>
      <c r="BF1117" s="274" t="str">
        <f>IFERROR(__xludf.DUMMYFUNCTION("LOWER(Regexreplace(to_text(E1117),""[^A-Za-z0-9]"","""")&amp;""_""&amp;Regexreplace(to_text(F1117),""[^A-Za-z0-9]"",""""))"),"neptronic_evcbseries")</f>
        <v>neptronic_evcbseries</v>
      </c>
      <c r="BG1117" s="275" t="str">
        <f>IFERROR(__xludf.DUMMYFUNCTION("upper(Regexreplace(to_text(E1117),""[^A-Za-z0-9]"","""")&amp;""-""&amp;Regexreplace(to_text(F1117),""[^A-Za-z0-9]"",""""))"),"NEPTRONIC-EVCBSERIES")</f>
        <v>NEPTRONIC-EVCBSERIES</v>
      </c>
    </row>
    <row r="1118" ht="30.0" customHeight="1">
      <c r="A1118" s="258">
        <v>1110.0</v>
      </c>
      <c r="B1118" s="237" t="s">
        <v>670</v>
      </c>
      <c r="C1118" s="257" t="s">
        <v>4872</v>
      </c>
      <c r="D1118" s="173" t="s">
        <v>4872</v>
      </c>
      <c r="E1118" s="174" t="s">
        <v>2861</v>
      </c>
      <c r="F1118" s="173" t="s">
        <v>2862</v>
      </c>
      <c r="G1118" s="328" t="s">
        <v>673</v>
      </c>
      <c r="H1118" s="328" t="s">
        <v>2863</v>
      </c>
      <c r="I1118" s="258" t="s">
        <v>2864</v>
      </c>
      <c r="J1118" s="259" t="s">
        <v>1026</v>
      </c>
      <c r="K1118" s="260" t="s">
        <v>4598</v>
      </c>
      <c r="L1118" s="328"/>
      <c r="M1118" s="343"/>
      <c r="N1118" s="173" t="s">
        <v>679</v>
      </c>
      <c r="O1118" s="173" t="s">
        <v>225</v>
      </c>
      <c r="P1118" s="262" t="str">
        <f t="shared" si="1"/>
        <v>IN-BLR-ANANTA-VAV-690_4</v>
      </c>
      <c r="Q1118" s="173" t="s">
        <v>4873</v>
      </c>
      <c r="R1118" s="328" t="str">
        <f>IFS(C1118="","",C1118="n/a","N/A",LEN(C1118),Concatenate("{",char(34),"asset",char(34),":{",char(34),"guid",char(34),":",char(34),Q1118,char(34),",",char(34),"site",char(34),":",char(34),LOWER('2-Building'!$B$4),char(34),",",char(34),"name",char(34),":",char(34),LOWER(C1118),char(34),"}}"))</f>
        <v>{"asset":{"guid":"uuid://07208b5b-752f-40e9-b905-0408337da248","site":"in-blr-ananta","name":"vav-690"}}</v>
      </c>
      <c r="S1118" s="237" t="s">
        <v>2866</v>
      </c>
      <c r="T1118" s="330"/>
      <c r="U1118" s="330"/>
      <c r="V1118" s="331"/>
      <c r="W1118" s="344"/>
      <c r="X1118" s="341"/>
      <c r="Y1118" s="33" t="s">
        <v>2867</v>
      </c>
      <c r="Z1118" s="258">
        <v>120690.0</v>
      </c>
      <c r="AA1118" s="334">
        <v>11567.0</v>
      </c>
      <c r="AB1118" s="341"/>
      <c r="AC1118" s="341"/>
      <c r="AD1118" s="343"/>
      <c r="AE1118" s="331"/>
      <c r="AF1118" s="348"/>
      <c r="AG1118" s="337"/>
      <c r="AH1118" s="341"/>
      <c r="AI1118" s="341"/>
      <c r="AJ1118" s="341"/>
      <c r="AK1118" s="341"/>
      <c r="AL1118" s="341"/>
      <c r="AM1118" s="338"/>
      <c r="AN1118" s="341"/>
      <c r="AO1118" s="341"/>
      <c r="AP1118" s="341"/>
      <c r="AQ1118" s="341"/>
      <c r="AR1118" s="341"/>
      <c r="AS1118" s="341"/>
      <c r="AT1118" s="341"/>
      <c r="AU1118" s="343"/>
      <c r="AV1118" s="341"/>
      <c r="AW1118" s="269" t="s">
        <v>1082</v>
      </c>
      <c r="AX1118" s="334" t="s">
        <v>2869</v>
      </c>
      <c r="AY1118" s="270" t="s">
        <v>695</v>
      </c>
      <c r="AZ1118" s="173" t="s">
        <v>2866</v>
      </c>
      <c r="BA1118" s="265">
        <v>10.0</v>
      </c>
      <c r="BB1118" s="174" t="s">
        <v>245</v>
      </c>
      <c r="BC1118" s="341"/>
      <c r="BD1118" s="308"/>
      <c r="BE1118" s="347"/>
      <c r="BF1118" s="274" t="str">
        <f>IFERROR(__xludf.DUMMYFUNCTION("LOWER(Regexreplace(to_text(E1118),""[^A-Za-z0-9]"","""")&amp;""_""&amp;Regexreplace(to_text(F1118),""[^A-Za-z0-9]"",""""))"),"neptronic_evcbseries")</f>
        <v>neptronic_evcbseries</v>
      </c>
      <c r="BG1118" s="275" t="str">
        <f>IFERROR(__xludf.DUMMYFUNCTION("upper(Regexreplace(to_text(E1118),""[^A-Za-z0-9]"","""")&amp;""-""&amp;Regexreplace(to_text(F1118),""[^A-Za-z0-9]"",""""))"),"NEPTRONIC-EVCBSERIES")</f>
        <v>NEPTRONIC-EVCBSERIES</v>
      </c>
    </row>
    <row r="1119" ht="30.0" customHeight="1">
      <c r="A1119" s="173">
        <v>1111.0</v>
      </c>
      <c r="B1119" s="237" t="s">
        <v>670</v>
      </c>
      <c r="C1119" s="257" t="s">
        <v>4874</v>
      </c>
      <c r="D1119" s="173" t="s">
        <v>4874</v>
      </c>
      <c r="E1119" s="174" t="s">
        <v>2861</v>
      </c>
      <c r="F1119" s="173" t="s">
        <v>2862</v>
      </c>
      <c r="G1119" s="328" t="s">
        <v>673</v>
      </c>
      <c r="H1119" s="328" t="s">
        <v>2863</v>
      </c>
      <c r="I1119" s="258" t="s">
        <v>2864</v>
      </c>
      <c r="J1119" s="259" t="s">
        <v>1026</v>
      </c>
      <c r="K1119" s="260" t="s">
        <v>4875</v>
      </c>
      <c r="L1119" s="328"/>
      <c r="M1119" s="343"/>
      <c r="N1119" s="173" t="s">
        <v>679</v>
      </c>
      <c r="O1119" s="173" t="s">
        <v>225</v>
      </c>
      <c r="P1119" s="262" t="str">
        <f t="shared" si="1"/>
        <v>IN-BLR-ANANTA-VAV-691_4</v>
      </c>
      <c r="Q1119" s="173" t="s">
        <v>4876</v>
      </c>
      <c r="R1119" s="328" t="str">
        <f>IFS(C1119="","",C1119="n/a","N/A",LEN(C1119),Concatenate("{",char(34),"asset",char(34),":{",char(34),"guid",char(34),":",char(34),Q1119,char(34),",",char(34),"site",char(34),":",char(34),LOWER('2-Building'!$B$4),char(34),",",char(34),"name",char(34),":",char(34),LOWER(C1119),char(34),"}}"))</f>
        <v>{"asset":{"guid":"uuid://2c060f9e-4218-416e-874b-f66740627050","site":"in-blr-ananta","name":"vav-691"}}</v>
      </c>
      <c r="S1119" s="237" t="s">
        <v>2866</v>
      </c>
      <c r="T1119" s="330"/>
      <c r="U1119" s="330"/>
      <c r="V1119" s="331"/>
      <c r="W1119" s="344"/>
      <c r="X1119" s="341"/>
      <c r="Y1119" s="33" t="s">
        <v>2867</v>
      </c>
      <c r="Z1119" s="258">
        <v>120691.0</v>
      </c>
      <c r="AA1119" s="334">
        <v>11567.0</v>
      </c>
      <c r="AB1119" s="341"/>
      <c r="AC1119" s="341"/>
      <c r="AD1119" s="343"/>
      <c r="AE1119" s="331"/>
      <c r="AF1119" s="348"/>
      <c r="AG1119" s="337"/>
      <c r="AH1119" s="341"/>
      <c r="AI1119" s="341"/>
      <c r="AJ1119" s="341"/>
      <c r="AK1119" s="341"/>
      <c r="AL1119" s="341"/>
      <c r="AM1119" s="338"/>
      <c r="AN1119" s="341"/>
      <c r="AO1119" s="341"/>
      <c r="AP1119" s="341"/>
      <c r="AQ1119" s="341"/>
      <c r="AR1119" s="341"/>
      <c r="AS1119" s="341"/>
      <c r="AT1119" s="341"/>
      <c r="AU1119" s="343"/>
      <c r="AV1119" s="341"/>
      <c r="AW1119" s="269" t="s">
        <v>1082</v>
      </c>
      <c r="AX1119" s="334" t="s">
        <v>2869</v>
      </c>
      <c r="AY1119" s="270" t="s">
        <v>695</v>
      </c>
      <c r="AZ1119" s="173" t="s">
        <v>2866</v>
      </c>
      <c r="BA1119" s="265">
        <v>10.0</v>
      </c>
      <c r="BB1119" s="174" t="s">
        <v>245</v>
      </c>
      <c r="BC1119" s="341"/>
      <c r="BD1119" s="308"/>
      <c r="BE1119" s="347"/>
      <c r="BF1119" s="274" t="str">
        <f>IFERROR(__xludf.DUMMYFUNCTION("LOWER(Regexreplace(to_text(E1119),""[^A-Za-z0-9]"","""")&amp;""_""&amp;Regexreplace(to_text(F1119),""[^A-Za-z0-9]"",""""))"),"neptronic_evcbseries")</f>
        <v>neptronic_evcbseries</v>
      </c>
      <c r="BG1119" s="275" t="str">
        <f>IFERROR(__xludf.DUMMYFUNCTION("upper(Regexreplace(to_text(E1119),""[^A-Za-z0-9]"","""")&amp;""-""&amp;Regexreplace(to_text(F1119),""[^A-Za-z0-9]"",""""))"),"NEPTRONIC-EVCBSERIES")</f>
        <v>NEPTRONIC-EVCBSERIES</v>
      </c>
    </row>
    <row r="1120" ht="30.0" customHeight="1">
      <c r="A1120" s="258">
        <v>1112.0</v>
      </c>
      <c r="B1120" s="237" t="s">
        <v>670</v>
      </c>
      <c r="C1120" s="257" t="s">
        <v>4877</v>
      </c>
      <c r="D1120" s="173" t="s">
        <v>4877</v>
      </c>
      <c r="E1120" s="174" t="s">
        <v>2861</v>
      </c>
      <c r="F1120" s="173" t="s">
        <v>2862</v>
      </c>
      <c r="G1120" s="328" t="s">
        <v>673</v>
      </c>
      <c r="H1120" s="328" t="s">
        <v>2863</v>
      </c>
      <c r="I1120" s="258" t="s">
        <v>2864</v>
      </c>
      <c r="J1120" s="259" t="s">
        <v>1026</v>
      </c>
      <c r="K1120" s="260" t="s">
        <v>4878</v>
      </c>
      <c r="L1120" s="328"/>
      <c r="M1120" s="343"/>
      <c r="N1120" s="173" t="s">
        <v>679</v>
      </c>
      <c r="O1120" s="173" t="s">
        <v>225</v>
      </c>
      <c r="P1120" s="262" t="str">
        <f t="shared" si="1"/>
        <v>IN-BLR-ANANTA-VAV-692_4</v>
      </c>
      <c r="Q1120" s="173" t="s">
        <v>4879</v>
      </c>
      <c r="R1120" s="328" t="str">
        <f>IFS(C1120="","",C1120="n/a","N/A",LEN(C1120),Concatenate("{",char(34),"asset",char(34),":{",char(34),"guid",char(34),":",char(34),Q1120,char(34),",",char(34),"site",char(34),":",char(34),LOWER('2-Building'!$B$4),char(34),",",char(34),"name",char(34),":",char(34),LOWER(C1120),char(34),"}}"))</f>
        <v>{"asset":{"guid":"uuid://85bb4086-1f7a-4356-bb84-bee18556aa00","site":"in-blr-ananta","name":"vav-692"}}</v>
      </c>
      <c r="S1120" s="237" t="s">
        <v>2866</v>
      </c>
      <c r="T1120" s="330"/>
      <c r="U1120" s="330"/>
      <c r="V1120" s="331"/>
      <c r="W1120" s="344"/>
      <c r="X1120" s="341"/>
      <c r="Y1120" s="33" t="s">
        <v>2867</v>
      </c>
      <c r="Z1120" s="258">
        <v>120692.0</v>
      </c>
      <c r="AA1120" s="334">
        <v>11567.0</v>
      </c>
      <c r="AB1120" s="341"/>
      <c r="AC1120" s="341"/>
      <c r="AD1120" s="343"/>
      <c r="AE1120" s="331"/>
      <c r="AF1120" s="348"/>
      <c r="AG1120" s="337"/>
      <c r="AH1120" s="341"/>
      <c r="AI1120" s="341"/>
      <c r="AJ1120" s="341"/>
      <c r="AK1120" s="341"/>
      <c r="AL1120" s="341"/>
      <c r="AM1120" s="338"/>
      <c r="AN1120" s="341"/>
      <c r="AO1120" s="341"/>
      <c r="AP1120" s="341"/>
      <c r="AQ1120" s="341"/>
      <c r="AR1120" s="341"/>
      <c r="AS1120" s="341"/>
      <c r="AT1120" s="341"/>
      <c r="AU1120" s="343"/>
      <c r="AV1120" s="341"/>
      <c r="AW1120" s="269" t="s">
        <v>1082</v>
      </c>
      <c r="AX1120" s="334" t="s">
        <v>2869</v>
      </c>
      <c r="AY1120" s="270" t="s">
        <v>695</v>
      </c>
      <c r="AZ1120" s="173" t="s">
        <v>2866</v>
      </c>
      <c r="BA1120" s="265">
        <v>10.0</v>
      </c>
      <c r="BB1120" s="174" t="s">
        <v>245</v>
      </c>
      <c r="BC1120" s="341"/>
      <c r="BD1120" s="308"/>
      <c r="BE1120" s="347"/>
      <c r="BF1120" s="274" t="str">
        <f>IFERROR(__xludf.DUMMYFUNCTION("LOWER(Regexreplace(to_text(E1120),""[^A-Za-z0-9]"","""")&amp;""_""&amp;Regexreplace(to_text(F1120),""[^A-Za-z0-9]"",""""))"),"neptronic_evcbseries")</f>
        <v>neptronic_evcbseries</v>
      </c>
      <c r="BG1120" s="275" t="str">
        <f>IFERROR(__xludf.DUMMYFUNCTION("upper(Regexreplace(to_text(E1120),""[^A-Za-z0-9]"","""")&amp;""-""&amp;Regexreplace(to_text(F1120),""[^A-Za-z0-9]"",""""))"),"NEPTRONIC-EVCBSERIES")</f>
        <v>NEPTRONIC-EVCBSERIES</v>
      </c>
    </row>
    <row r="1121" ht="30.0" customHeight="1">
      <c r="A1121" s="173">
        <v>1113.0</v>
      </c>
      <c r="B1121" s="237" t="s">
        <v>670</v>
      </c>
      <c r="C1121" s="257" t="s">
        <v>4880</v>
      </c>
      <c r="D1121" s="173" t="s">
        <v>4880</v>
      </c>
      <c r="E1121" s="174" t="s">
        <v>2861</v>
      </c>
      <c r="F1121" s="173" t="s">
        <v>2862</v>
      </c>
      <c r="G1121" s="328" t="s">
        <v>673</v>
      </c>
      <c r="H1121" s="328" t="s">
        <v>2863</v>
      </c>
      <c r="I1121" s="258" t="s">
        <v>2864</v>
      </c>
      <c r="J1121" s="259" t="s">
        <v>1026</v>
      </c>
      <c r="K1121" s="260" t="s">
        <v>4881</v>
      </c>
      <c r="L1121" s="328"/>
      <c r="M1121" s="343"/>
      <c r="N1121" s="173" t="s">
        <v>679</v>
      </c>
      <c r="O1121" s="173" t="s">
        <v>225</v>
      </c>
      <c r="P1121" s="262" t="str">
        <f t="shared" si="1"/>
        <v>IN-BLR-ANANTA-VAV-693_4</v>
      </c>
      <c r="Q1121" s="173" t="s">
        <v>4882</v>
      </c>
      <c r="R1121" s="328" t="str">
        <f>IFS(C1121="","",C1121="n/a","N/A",LEN(C1121),Concatenate("{",char(34),"asset",char(34),":{",char(34),"guid",char(34),":",char(34),Q1121,char(34),",",char(34),"site",char(34),":",char(34),LOWER('2-Building'!$B$4),char(34),",",char(34),"name",char(34),":",char(34),LOWER(C1121),char(34),"}}"))</f>
        <v>{"asset":{"guid":"uuid://07379a83-9bd0-46c5-a1f7-2a0840900397","site":"in-blr-ananta","name":"vav-693"}}</v>
      </c>
      <c r="S1121" s="237" t="s">
        <v>2866</v>
      </c>
      <c r="T1121" s="330"/>
      <c r="U1121" s="330"/>
      <c r="V1121" s="331"/>
      <c r="W1121" s="344"/>
      <c r="X1121" s="341"/>
      <c r="Y1121" s="33" t="s">
        <v>2867</v>
      </c>
      <c r="Z1121" s="258">
        <v>120693.0</v>
      </c>
      <c r="AA1121" s="334">
        <v>11567.0</v>
      </c>
      <c r="AB1121" s="341"/>
      <c r="AC1121" s="341"/>
      <c r="AD1121" s="343"/>
      <c r="AE1121" s="331"/>
      <c r="AF1121" s="348"/>
      <c r="AG1121" s="337"/>
      <c r="AH1121" s="341"/>
      <c r="AI1121" s="341"/>
      <c r="AJ1121" s="341"/>
      <c r="AK1121" s="341"/>
      <c r="AL1121" s="341"/>
      <c r="AM1121" s="338"/>
      <c r="AN1121" s="341"/>
      <c r="AO1121" s="341"/>
      <c r="AP1121" s="341"/>
      <c r="AQ1121" s="341"/>
      <c r="AR1121" s="341"/>
      <c r="AS1121" s="341"/>
      <c r="AT1121" s="341"/>
      <c r="AU1121" s="343"/>
      <c r="AV1121" s="341"/>
      <c r="AW1121" s="269" t="s">
        <v>1082</v>
      </c>
      <c r="AX1121" s="334" t="s">
        <v>2869</v>
      </c>
      <c r="AY1121" s="270" t="s">
        <v>695</v>
      </c>
      <c r="AZ1121" s="173" t="s">
        <v>2866</v>
      </c>
      <c r="BA1121" s="265">
        <v>10.0</v>
      </c>
      <c r="BB1121" s="174" t="s">
        <v>245</v>
      </c>
      <c r="BC1121" s="341"/>
      <c r="BD1121" s="308"/>
      <c r="BE1121" s="347"/>
      <c r="BF1121" s="274" t="str">
        <f>IFERROR(__xludf.DUMMYFUNCTION("LOWER(Regexreplace(to_text(E1121),""[^A-Za-z0-9]"","""")&amp;""_""&amp;Regexreplace(to_text(F1121),""[^A-Za-z0-9]"",""""))"),"neptronic_evcbseries")</f>
        <v>neptronic_evcbseries</v>
      </c>
      <c r="BG1121" s="275" t="str">
        <f>IFERROR(__xludf.DUMMYFUNCTION("upper(Regexreplace(to_text(E1121),""[^A-Za-z0-9]"","""")&amp;""-""&amp;Regexreplace(to_text(F1121),""[^A-Za-z0-9]"",""""))"),"NEPTRONIC-EVCBSERIES")</f>
        <v>NEPTRONIC-EVCBSERIES</v>
      </c>
    </row>
    <row r="1122" ht="30.0" customHeight="1">
      <c r="A1122" s="258">
        <v>1114.0</v>
      </c>
      <c r="B1122" s="237" t="s">
        <v>670</v>
      </c>
      <c r="C1122" s="257" t="s">
        <v>4883</v>
      </c>
      <c r="D1122" s="173" t="s">
        <v>4883</v>
      </c>
      <c r="E1122" s="174" t="s">
        <v>2861</v>
      </c>
      <c r="F1122" s="173" t="s">
        <v>2862</v>
      </c>
      <c r="G1122" s="328" t="s">
        <v>673</v>
      </c>
      <c r="H1122" s="328" t="s">
        <v>2863</v>
      </c>
      <c r="I1122" s="258" t="s">
        <v>2864</v>
      </c>
      <c r="J1122" s="259" t="s">
        <v>1026</v>
      </c>
      <c r="K1122" s="260" t="s">
        <v>4884</v>
      </c>
      <c r="L1122" s="328"/>
      <c r="M1122" s="343"/>
      <c r="N1122" s="173" t="s">
        <v>679</v>
      </c>
      <c r="O1122" s="173" t="s">
        <v>225</v>
      </c>
      <c r="P1122" s="262" t="str">
        <f t="shared" si="1"/>
        <v>IN-BLR-ANANTA-VAV-694_4</v>
      </c>
      <c r="Q1122" s="173" t="s">
        <v>4885</v>
      </c>
      <c r="R1122" s="328" t="str">
        <f>IFS(C1122="","",C1122="n/a","N/A",LEN(C1122),Concatenate("{",char(34),"asset",char(34),":{",char(34),"guid",char(34),":",char(34),Q1122,char(34),",",char(34),"site",char(34),":",char(34),LOWER('2-Building'!$B$4),char(34),",",char(34),"name",char(34),":",char(34),LOWER(C1122),char(34),"}}"))</f>
        <v>{"asset":{"guid":"uuid://7ea4bbdc-18c9-45b9-a711-4889eedaf956","site":"in-blr-ananta","name":"vav-694"}}</v>
      </c>
      <c r="S1122" s="237" t="s">
        <v>2866</v>
      </c>
      <c r="T1122" s="330"/>
      <c r="U1122" s="330"/>
      <c r="V1122" s="331"/>
      <c r="W1122" s="344"/>
      <c r="X1122" s="341"/>
      <c r="Y1122" s="33" t="s">
        <v>2867</v>
      </c>
      <c r="Z1122" s="258">
        <v>120694.0</v>
      </c>
      <c r="AA1122" s="334">
        <v>11567.0</v>
      </c>
      <c r="AB1122" s="341"/>
      <c r="AC1122" s="341"/>
      <c r="AD1122" s="343"/>
      <c r="AE1122" s="331"/>
      <c r="AF1122" s="348"/>
      <c r="AG1122" s="337"/>
      <c r="AH1122" s="341"/>
      <c r="AI1122" s="341"/>
      <c r="AJ1122" s="341"/>
      <c r="AK1122" s="341"/>
      <c r="AL1122" s="341"/>
      <c r="AM1122" s="338"/>
      <c r="AN1122" s="341"/>
      <c r="AO1122" s="341"/>
      <c r="AP1122" s="341"/>
      <c r="AQ1122" s="341"/>
      <c r="AR1122" s="341"/>
      <c r="AS1122" s="341"/>
      <c r="AT1122" s="341"/>
      <c r="AU1122" s="343"/>
      <c r="AV1122" s="341"/>
      <c r="AW1122" s="269" t="s">
        <v>1082</v>
      </c>
      <c r="AX1122" s="334" t="s">
        <v>2869</v>
      </c>
      <c r="AY1122" s="270" t="s">
        <v>695</v>
      </c>
      <c r="AZ1122" s="173" t="s">
        <v>2866</v>
      </c>
      <c r="BA1122" s="265">
        <v>10.0</v>
      </c>
      <c r="BB1122" s="174" t="s">
        <v>245</v>
      </c>
      <c r="BC1122" s="341"/>
      <c r="BD1122" s="308"/>
      <c r="BE1122" s="347"/>
      <c r="BF1122" s="274" t="str">
        <f>IFERROR(__xludf.DUMMYFUNCTION("LOWER(Regexreplace(to_text(E1122),""[^A-Za-z0-9]"","""")&amp;""_""&amp;Regexreplace(to_text(F1122),""[^A-Za-z0-9]"",""""))"),"neptronic_evcbseries")</f>
        <v>neptronic_evcbseries</v>
      </c>
      <c r="BG1122" s="275" t="str">
        <f>IFERROR(__xludf.DUMMYFUNCTION("upper(Regexreplace(to_text(E1122),""[^A-Za-z0-9]"","""")&amp;""-""&amp;Regexreplace(to_text(F1122),""[^A-Za-z0-9]"",""""))"),"NEPTRONIC-EVCBSERIES")</f>
        <v>NEPTRONIC-EVCBSERIES</v>
      </c>
    </row>
    <row r="1123" ht="30.0" customHeight="1">
      <c r="A1123" s="173">
        <v>1115.0</v>
      </c>
      <c r="B1123" s="237" t="s">
        <v>670</v>
      </c>
      <c r="C1123" s="257" t="s">
        <v>4886</v>
      </c>
      <c r="D1123" s="173" t="s">
        <v>4886</v>
      </c>
      <c r="E1123" s="174" t="s">
        <v>2861</v>
      </c>
      <c r="F1123" s="173" t="s">
        <v>2862</v>
      </c>
      <c r="G1123" s="328" t="s">
        <v>673</v>
      </c>
      <c r="H1123" s="328" t="s">
        <v>2863</v>
      </c>
      <c r="I1123" s="258" t="s">
        <v>2864</v>
      </c>
      <c r="J1123" s="259" t="s">
        <v>1026</v>
      </c>
      <c r="K1123" s="260" t="s">
        <v>4887</v>
      </c>
      <c r="L1123" s="328"/>
      <c r="M1123" s="343"/>
      <c r="N1123" s="173" t="s">
        <v>679</v>
      </c>
      <c r="O1123" s="173" t="s">
        <v>225</v>
      </c>
      <c r="P1123" s="262" t="str">
        <f t="shared" si="1"/>
        <v>IN-BLR-ANANTA-VAV-695_4</v>
      </c>
      <c r="Q1123" s="173" t="s">
        <v>4888</v>
      </c>
      <c r="R1123" s="328" t="str">
        <f>IFS(C1123="","",C1123="n/a","N/A",LEN(C1123),Concatenate("{",char(34),"asset",char(34),":{",char(34),"guid",char(34),":",char(34),Q1123,char(34),",",char(34),"site",char(34),":",char(34),LOWER('2-Building'!$B$4),char(34),",",char(34),"name",char(34),":",char(34),LOWER(C1123),char(34),"}}"))</f>
        <v>{"asset":{"guid":"uuid://ec22171a-58eb-4dee-89a6-f3a443df9d78","site":"in-blr-ananta","name":"vav-695"}}</v>
      </c>
      <c r="S1123" s="237" t="s">
        <v>2866</v>
      </c>
      <c r="T1123" s="330"/>
      <c r="U1123" s="330"/>
      <c r="V1123" s="331"/>
      <c r="W1123" s="344"/>
      <c r="X1123" s="341"/>
      <c r="Y1123" s="33" t="s">
        <v>2867</v>
      </c>
      <c r="Z1123" s="258">
        <v>120695.0</v>
      </c>
      <c r="AA1123" s="334">
        <v>11567.0</v>
      </c>
      <c r="AB1123" s="341"/>
      <c r="AC1123" s="341"/>
      <c r="AD1123" s="343"/>
      <c r="AE1123" s="331"/>
      <c r="AF1123" s="348"/>
      <c r="AG1123" s="337"/>
      <c r="AH1123" s="341"/>
      <c r="AI1123" s="341"/>
      <c r="AJ1123" s="341"/>
      <c r="AK1123" s="341"/>
      <c r="AL1123" s="341"/>
      <c r="AM1123" s="338"/>
      <c r="AN1123" s="341"/>
      <c r="AO1123" s="341"/>
      <c r="AP1123" s="341"/>
      <c r="AQ1123" s="341"/>
      <c r="AR1123" s="341"/>
      <c r="AS1123" s="341"/>
      <c r="AT1123" s="341"/>
      <c r="AU1123" s="343"/>
      <c r="AV1123" s="341"/>
      <c r="AW1123" s="269" t="s">
        <v>1082</v>
      </c>
      <c r="AX1123" s="334" t="s">
        <v>2869</v>
      </c>
      <c r="AY1123" s="270" t="s">
        <v>695</v>
      </c>
      <c r="AZ1123" s="173" t="s">
        <v>2866</v>
      </c>
      <c r="BA1123" s="265">
        <v>10.0</v>
      </c>
      <c r="BB1123" s="174" t="s">
        <v>245</v>
      </c>
      <c r="BC1123" s="341"/>
      <c r="BD1123" s="308"/>
      <c r="BE1123" s="347"/>
      <c r="BF1123" s="274" t="str">
        <f>IFERROR(__xludf.DUMMYFUNCTION("LOWER(Regexreplace(to_text(E1123),""[^A-Za-z0-9]"","""")&amp;""_""&amp;Regexreplace(to_text(F1123),""[^A-Za-z0-9]"",""""))"),"neptronic_evcbseries")</f>
        <v>neptronic_evcbseries</v>
      </c>
      <c r="BG1123" s="275" t="str">
        <f>IFERROR(__xludf.DUMMYFUNCTION("upper(Regexreplace(to_text(E1123),""[^A-Za-z0-9]"","""")&amp;""-""&amp;Regexreplace(to_text(F1123),""[^A-Za-z0-9]"",""""))"),"NEPTRONIC-EVCBSERIES")</f>
        <v>NEPTRONIC-EVCBSERIES</v>
      </c>
    </row>
    <row r="1124" ht="30.0" customHeight="1">
      <c r="A1124" s="258">
        <v>1116.0</v>
      </c>
      <c r="B1124" s="237" t="s">
        <v>670</v>
      </c>
      <c r="C1124" s="257" t="s">
        <v>4889</v>
      </c>
      <c r="D1124" s="173" t="s">
        <v>4889</v>
      </c>
      <c r="E1124" s="174" t="s">
        <v>2861</v>
      </c>
      <c r="F1124" s="173" t="s">
        <v>2862</v>
      </c>
      <c r="G1124" s="328" t="s">
        <v>673</v>
      </c>
      <c r="H1124" s="328" t="s">
        <v>2863</v>
      </c>
      <c r="I1124" s="258" t="s">
        <v>2864</v>
      </c>
      <c r="J1124" s="259" t="s">
        <v>1026</v>
      </c>
      <c r="K1124" s="260" t="s">
        <v>4890</v>
      </c>
      <c r="L1124" s="328"/>
      <c r="M1124" s="343"/>
      <c r="N1124" s="173" t="s">
        <v>679</v>
      </c>
      <c r="O1124" s="173" t="s">
        <v>225</v>
      </c>
      <c r="P1124" s="262" t="str">
        <f t="shared" si="1"/>
        <v>IN-BLR-ANANTA-VAV-696_4</v>
      </c>
      <c r="Q1124" s="173" t="s">
        <v>4891</v>
      </c>
      <c r="R1124" s="328" t="str">
        <f>IFS(C1124="","",C1124="n/a","N/A",LEN(C1124),Concatenate("{",char(34),"asset",char(34),":{",char(34),"guid",char(34),":",char(34),Q1124,char(34),",",char(34),"site",char(34),":",char(34),LOWER('2-Building'!$B$4),char(34),",",char(34),"name",char(34),":",char(34),LOWER(C1124),char(34),"}}"))</f>
        <v>{"asset":{"guid":"uuid://b2e576a3-0560-4c23-8122-1ca0da3de0d1","site":"in-blr-ananta","name":"vav-696"}}</v>
      </c>
      <c r="S1124" s="237" t="s">
        <v>2866</v>
      </c>
      <c r="T1124" s="330"/>
      <c r="U1124" s="330"/>
      <c r="V1124" s="331"/>
      <c r="W1124" s="344"/>
      <c r="X1124" s="341"/>
      <c r="Y1124" s="33" t="s">
        <v>2867</v>
      </c>
      <c r="Z1124" s="258">
        <v>120696.0</v>
      </c>
      <c r="AA1124" s="334">
        <v>11567.0</v>
      </c>
      <c r="AB1124" s="341"/>
      <c r="AC1124" s="341"/>
      <c r="AD1124" s="343"/>
      <c r="AE1124" s="331"/>
      <c r="AF1124" s="348"/>
      <c r="AG1124" s="337"/>
      <c r="AH1124" s="341"/>
      <c r="AI1124" s="341"/>
      <c r="AJ1124" s="341"/>
      <c r="AK1124" s="341"/>
      <c r="AL1124" s="341"/>
      <c r="AM1124" s="338"/>
      <c r="AN1124" s="341"/>
      <c r="AO1124" s="341"/>
      <c r="AP1124" s="341"/>
      <c r="AQ1124" s="341"/>
      <c r="AR1124" s="341"/>
      <c r="AS1124" s="341"/>
      <c r="AT1124" s="341"/>
      <c r="AU1124" s="343"/>
      <c r="AV1124" s="341"/>
      <c r="AW1124" s="269" t="s">
        <v>1082</v>
      </c>
      <c r="AX1124" s="334" t="s">
        <v>2869</v>
      </c>
      <c r="AY1124" s="270" t="s">
        <v>695</v>
      </c>
      <c r="AZ1124" s="173" t="s">
        <v>2866</v>
      </c>
      <c r="BA1124" s="265">
        <v>10.0</v>
      </c>
      <c r="BB1124" s="174" t="s">
        <v>245</v>
      </c>
      <c r="BC1124" s="341"/>
      <c r="BD1124" s="308"/>
      <c r="BE1124" s="347"/>
      <c r="BF1124" s="274" t="str">
        <f>IFERROR(__xludf.DUMMYFUNCTION("LOWER(Regexreplace(to_text(E1124),""[^A-Za-z0-9]"","""")&amp;""_""&amp;Regexreplace(to_text(F1124),""[^A-Za-z0-9]"",""""))"),"neptronic_evcbseries")</f>
        <v>neptronic_evcbseries</v>
      </c>
      <c r="BG1124" s="275" t="str">
        <f>IFERROR(__xludf.DUMMYFUNCTION("upper(Regexreplace(to_text(E1124),""[^A-Za-z0-9]"","""")&amp;""-""&amp;Regexreplace(to_text(F1124),""[^A-Za-z0-9]"",""""))"),"NEPTRONIC-EVCBSERIES")</f>
        <v>NEPTRONIC-EVCBSERIES</v>
      </c>
    </row>
    <row r="1125" ht="30.0" customHeight="1">
      <c r="A1125" s="173">
        <v>1117.0</v>
      </c>
      <c r="B1125" s="237" t="s">
        <v>670</v>
      </c>
      <c r="C1125" s="257" t="s">
        <v>4892</v>
      </c>
      <c r="D1125" s="173" t="s">
        <v>4892</v>
      </c>
      <c r="E1125" s="174" t="s">
        <v>2861</v>
      </c>
      <c r="F1125" s="173" t="s">
        <v>2862</v>
      </c>
      <c r="G1125" s="328" t="s">
        <v>673</v>
      </c>
      <c r="H1125" s="328" t="s">
        <v>2863</v>
      </c>
      <c r="I1125" s="258" t="s">
        <v>2864</v>
      </c>
      <c r="J1125" s="259" t="s">
        <v>1026</v>
      </c>
      <c r="K1125" s="260" t="s">
        <v>4893</v>
      </c>
      <c r="L1125" s="328"/>
      <c r="M1125" s="343"/>
      <c r="N1125" s="173" t="s">
        <v>679</v>
      </c>
      <c r="O1125" s="173" t="s">
        <v>225</v>
      </c>
      <c r="P1125" s="262" t="str">
        <f t="shared" si="1"/>
        <v>IN-BLR-ANANTA-VAV-697_4</v>
      </c>
      <c r="Q1125" s="173" t="s">
        <v>4894</v>
      </c>
      <c r="R1125" s="328" t="str">
        <f>IFS(C1125="","",C1125="n/a","N/A",LEN(C1125),Concatenate("{",char(34),"asset",char(34),":{",char(34),"guid",char(34),":",char(34),Q1125,char(34),",",char(34),"site",char(34),":",char(34),LOWER('2-Building'!$B$4),char(34),",",char(34),"name",char(34),":",char(34),LOWER(C1125),char(34),"}}"))</f>
        <v>{"asset":{"guid":"uuid://e691fde1-017a-4c0b-a513-07853d4faa73","site":"in-blr-ananta","name":"vav-697"}}</v>
      </c>
      <c r="S1125" s="237" t="s">
        <v>2866</v>
      </c>
      <c r="T1125" s="330"/>
      <c r="U1125" s="330"/>
      <c r="V1125" s="331"/>
      <c r="W1125" s="344"/>
      <c r="X1125" s="341"/>
      <c r="Y1125" s="33" t="s">
        <v>2867</v>
      </c>
      <c r="Z1125" s="258">
        <v>120697.0</v>
      </c>
      <c r="AA1125" s="334">
        <v>11567.0</v>
      </c>
      <c r="AB1125" s="341"/>
      <c r="AC1125" s="341"/>
      <c r="AD1125" s="343"/>
      <c r="AE1125" s="331"/>
      <c r="AF1125" s="348"/>
      <c r="AG1125" s="337"/>
      <c r="AH1125" s="341"/>
      <c r="AI1125" s="341"/>
      <c r="AJ1125" s="341"/>
      <c r="AK1125" s="341"/>
      <c r="AL1125" s="341"/>
      <c r="AM1125" s="338"/>
      <c r="AN1125" s="341"/>
      <c r="AO1125" s="341"/>
      <c r="AP1125" s="341"/>
      <c r="AQ1125" s="341"/>
      <c r="AR1125" s="341"/>
      <c r="AS1125" s="341"/>
      <c r="AT1125" s="341"/>
      <c r="AU1125" s="343"/>
      <c r="AV1125" s="341"/>
      <c r="AW1125" s="269" t="s">
        <v>1082</v>
      </c>
      <c r="AX1125" s="334" t="s">
        <v>2869</v>
      </c>
      <c r="AY1125" s="270" t="s">
        <v>695</v>
      </c>
      <c r="AZ1125" s="173" t="s">
        <v>2866</v>
      </c>
      <c r="BA1125" s="265">
        <v>10.0</v>
      </c>
      <c r="BB1125" s="174" t="s">
        <v>245</v>
      </c>
      <c r="BC1125" s="341"/>
      <c r="BD1125" s="308"/>
      <c r="BE1125" s="347"/>
      <c r="BF1125" s="274" t="str">
        <f>IFERROR(__xludf.DUMMYFUNCTION("LOWER(Regexreplace(to_text(E1125),""[^A-Za-z0-9]"","""")&amp;""_""&amp;Regexreplace(to_text(F1125),""[^A-Za-z0-9]"",""""))"),"neptronic_evcbseries")</f>
        <v>neptronic_evcbseries</v>
      </c>
      <c r="BG1125" s="275" t="str">
        <f>IFERROR(__xludf.DUMMYFUNCTION("upper(Regexreplace(to_text(E1125),""[^A-Za-z0-9]"","""")&amp;""-""&amp;Regexreplace(to_text(F1125),""[^A-Za-z0-9]"",""""))"),"NEPTRONIC-EVCBSERIES")</f>
        <v>NEPTRONIC-EVCBSERIES</v>
      </c>
    </row>
    <row r="1126" ht="30.0" customHeight="1">
      <c r="A1126" s="258">
        <v>1118.0</v>
      </c>
      <c r="B1126" s="237" t="s">
        <v>670</v>
      </c>
      <c r="C1126" s="257" t="s">
        <v>4895</v>
      </c>
      <c r="D1126" s="173" t="s">
        <v>4895</v>
      </c>
      <c r="E1126" s="174" t="s">
        <v>2861</v>
      </c>
      <c r="F1126" s="173" t="s">
        <v>2862</v>
      </c>
      <c r="G1126" s="328" t="s">
        <v>673</v>
      </c>
      <c r="H1126" s="328" t="s">
        <v>2863</v>
      </c>
      <c r="I1126" s="258" t="s">
        <v>2864</v>
      </c>
      <c r="J1126" s="259" t="s">
        <v>1026</v>
      </c>
      <c r="K1126" s="260" t="s">
        <v>4896</v>
      </c>
      <c r="L1126" s="328"/>
      <c r="M1126" s="343"/>
      <c r="N1126" s="173" t="s">
        <v>679</v>
      </c>
      <c r="O1126" s="173" t="s">
        <v>225</v>
      </c>
      <c r="P1126" s="262" t="str">
        <f t="shared" si="1"/>
        <v>IN-BLR-ANANTA-VAV-698_4</v>
      </c>
      <c r="Q1126" s="173" t="s">
        <v>4897</v>
      </c>
      <c r="R1126" s="328" t="str">
        <f>IFS(C1126="","",C1126="n/a","N/A",LEN(C1126),Concatenate("{",char(34),"asset",char(34),":{",char(34),"guid",char(34),":",char(34),Q1126,char(34),",",char(34),"site",char(34),":",char(34),LOWER('2-Building'!$B$4),char(34),",",char(34),"name",char(34),":",char(34),LOWER(C1126),char(34),"}}"))</f>
        <v>{"asset":{"guid":"uuid://2027d208-b3d0-437c-98c3-f92c6ddee344","site":"in-blr-ananta","name":"vav-698"}}</v>
      </c>
      <c r="S1126" s="237" t="s">
        <v>2866</v>
      </c>
      <c r="T1126" s="330"/>
      <c r="U1126" s="330"/>
      <c r="V1126" s="331"/>
      <c r="W1126" s="344"/>
      <c r="X1126" s="341"/>
      <c r="Y1126" s="33" t="s">
        <v>2867</v>
      </c>
      <c r="Z1126" s="258">
        <v>120698.0</v>
      </c>
      <c r="AA1126" s="334">
        <v>11567.0</v>
      </c>
      <c r="AB1126" s="341"/>
      <c r="AC1126" s="341"/>
      <c r="AD1126" s="343"/>
      <c r="AE1126" s="331"/>
      <c r="AF1126" s="348"/>
      <c r="AG1126" s="337"/>
      <c r="AH1126" s="341"/>
      <c r="AI1126" s="341"/>
      <c r="AJ1126" s="341"/>
      <c r="AK1126" s="341"/>
      <c r="AL1126" s="341"/>
      <c r="AM1126" s="338"/>
      <c r="AN1126" s="341"/>
      <c r="AO1126" s="341"/>
      <c r="AP1126" s="341"/>
      <c r="AQ1126" s="341"/>
      <c r="AR1126" s="341"/>
      <c r="AS1126" s="341"/>
      <c r="AT1126" s="341"/>
      <c r="AU1126" s="343"/>
      <c r="AV1126" s="341"/>
      <c r="AW1126" s="269" t="s">
        <v>1082</v>
      </c>
      <c r="AX1126" s="334" t="s">
        <v>2869</v>
      </c>
      <c r="AY1126" s="270" t="s">
        <v>695</v>
      </c>
      <c r="AZ1126" s="173" t="s">
        <v>2866</v>
      </c>
      <c r="BA1126" s="265">
        <v>10.0</v>
      </c>
      <c r="BB1126" s="174" t="s">
        <v>245</v>
      </c>
      <c r="BC1126" s="341"/>
      <c r="BD1126" s="308"/>
      <c r="BE1126" s="347"/>
      <c r="BF1126" s="274" t="str">
        <f>IFERROR(__xludf.DUMMYFUNCTION("LOWER(Regexreplace(to_text(E1126),""[^A-Za-z0-9]"","""")&amp;""_""&amp;Regexreplace(to_text(F1126),""[^A-Za-z0-9]"",""""))"),"neptronic_evcbseries")</f>
        <v>neptronic_evcbseries</v>
      </c>
      <c r="BG1126" s="275" t="str">
        <f>IFERROR(__xludf.DUMMYFUNCTION("upper(Regexreplace(to_text(E1126),""[^A-Za-z0-9]"","""")&amp;""-""&amp;Regexreplace(to_text(F1126),""[^A-Za-z0-9]"",""""))"),"NEPTRONIC-EVCBSERIES")</f>
        <v>NEPTRONIC-EVCBSERIES</v>
      </c>
    </row>
    <row r="1127" ht="30.0" customHeight="1">
      <c r="A1127" s="173">
        <v>1119.0</v>
      </c>
      <c r="B1127" s="237" t="s">
        <v>670</v>
      </c>
      <c r="C1127" s="257" t="s">
        <v>4898</v>
      </c>
      <c r="D1127" s="173" t="s">
        <v>4898</v>
      </c>
      <c r="E1127" s="174" t="s">
        <v>2861</v>
      </c>
      <c r="F1127" s="173" t="s">
        <v>2862</v>
      </c>
      <c r="G1127" s="328" t="s">
        <v>673</v>
      </c>
      <c r="H1127" s="328" t="s">
        <v>2863</v>
      </c>
      <c r="I1127" s="258" t="s">
        <v>2864</v>
      </c>
      <c r="J1127" s="259" t="s">
        <v>1026</v>
      </c>
      <c r="K1127" s="260" t="s">
        <v>4899</v>
      </c>
      <c r="L1127" s="328"/>
      <c r="M1127" s="343"/>
      <c r="N1127" s="173" t="s">
        <v>679</v>
      </c>
      <c r="O1127" s="173" t="s">
        <v>225</v>
      </c>
      <c r="P1127" s="262" t="str">
        <f t="shared" si="1"/>
        <v>IN-BLR-ANANTA-VAV-699_4</v>
      </c>
      <c r="Q1127" s="173" t="s">
        <v>4900</v>
      </c>
      <c r="R1127" s="328" t="str">
        <f>IFS(C1127="","",C1127="n/a","N/A",LEN(C1127),Concatenate("{",char(34),"asset",char(34),":{",char(34),"guid",char(34),":",char(34),Q1127,char(34),",",char(34),"site",char(34),":",char(34),LOWER('2-Building'!$B$4),char(34),",",char(34),"name",char(34),":",char(34),LOWER(C1127),char(34),"}}"))</f>
        <v>{"asset":{"guid":"uuid://6c683c48-accc-4e06-a2eb-801e58cb2280","site":"in-blr-ananta","name":"vav-699"}}</v>
      </c>
      <c r="S1127" s="237" t="s">
        <v>2866</v>
      </c>
      <c r="T1127" s="330"/>
      <c r="U1127" s="330"/>
      <c r="V1127" s="331"/>
      <c r="W1127" s="344"/>
      <c r="X1127" s="341"/>
      <c r="Y1127" s="33" t="s">
        <v>2867</v>
      </c>
      <c r="Z1127" s="258">
        <v>120699.0</v>
      </c>
      <c r="AA1127" s="334">
        <v>11567.0</v>
      </c>
      <c r="AB1127" s="341"/>
      <c r="AC1127" s="341"/>
      <c r="AD1127" s="343"/>
      <c r="AE1127" s="331"/>
      <c r="AF1127" s="348"/>
      <c r="AG1127" s="337"/>
      <c r="AH1127" s="341"/>
      <c r="AI1127" s="341"/>
      <c r="AJ1127" s="341"/>
      <c r="AK1127" s="341"/>
      <c r="AL1127" s="341"/>
      <c r="AM1127" s="338"/>
      <c r="AN1127" s="341"/>
      <c r="AO1127" s="341"/>
      <c r="AP1127" s="341"/>
      <c r="AQ1127" s="341"/>
      <c r="AR1127" s="341"/>
      <c r="AS1127" s="341"/>
      <c r="AT1127" s="341"/>
      <c r="AU1127" s="343"/>
      <c r="AV1127" s="341"/>
      <c r="AW1127" s="269" t="s">
        <v>1082</v>
      </c>
      <c r="AX1127" s="334" t="s">
        <v>2869</v>
      </c>
      <c r="AY1127" s="270" t="s">
        <v>695</v>
      </c>
      <c r="AZ1127" s="173" t="s">
        <v>2866</v>
      </c>
      <c r="BA1127" s="265">
        <v>10.0</v>
      </c>
      <c r="BB1127" s="174" t="s">
        <v>245</v>
      </c>
      <c r="BC1127" s="341"/>
      <c r="BD1127" s="308"/>
      <c r="BE1127" s="347"/>
      <c r="BF1127" s="274" t="str">
        <f>IFERROR(__xludf.DUMMYFUNCTION("LOWER(Regexreplace(to_text(E1127),""[^A-Za-z0-9]"","""")&amp;""_""&amp;Regexreplace(to_text(F1127),""[^A-Za-z0-9]"",""""))"),"neptronic_evcbseries")</f>
        <v>neptronic_evcbseries</v>
      </c>
      <c r="BG1127" s="275" t="str">
        <f>IFERROR(__xludf.DUMMYFUNCTION("upper(Regexreplace(to_text(E1127),""[^A-Za-z0-9]"","""")&amp;""-""&amp;Regexreplace(to_text(F1127),""[^A-Za-z0-9]"",""""))"),"NEPTRONIC-EVCBSERIES")</f>
        <v>NEPTRONIC-EVCBSERIES</v>
      </c>
    </row>
    <row r="1128" ht="30.0" customHeight="1">
      <c r="A1128" s="258">
        <v>1120.0</v>
      </c>
      <c r="B1128" s="237" t="s">
        <v>670</v>
      </c>
      <c r="C1128" s="257" t="s">
        <v>4901</v>
      </c>
      <c r="D1128" s="173" t="s">
        <v>4901</v>
      </c>
      <c r="E1128" s="174" t="s">
        <v>2861</v>
      </c>
      <c r="F1128" s="173" t="s">
        <v>2862</v>
      </c>
      <c r="G1128" s="328" t="s">
        <v>673</v>
      </c>
      <c r="H1128" s="328" t="s">
        <v>2863</v>
      </c>
      <c r="I1128" s="258" t="s">
        <v>2864</v>
      </c>
      <c r="J1128" s="259" t="s">
        <v>1026</v>
      </c>
      <c r="K1128" s="260" t="s">
        <v>4902</v>
      </c>
      <c r="L1128" s="328"/>
      <c r="M1128" s="343"/>
      <c r="N1128" s="173" t="s">
        <v>679</v>
      </c>
      <c r="O1128" s="173" t="s">
        <v>225</v>
      </c>
      <c r="P1128" s="262" t="str">
        <f t="shared" si="1"/>
        <v>IN-BLR-ANANTA-VAV-700_4</v>
      </c>
      <c r="Q1128" s="173" t="s">
        <v>4903</v>
      </c>
      <c r="R1128" s="328" t="str">
        <f>IFS(C1128="","",C1128="n/a","N/A",LEN(C1128),Concatenate("{",char(34),"asset",char(34),":{",char(34),"guid",char(34),":",char(34),Q1128,char(34),",",char(34),"site",char(34),":",char(34),LOWER('2-Building'!$B$4),char(34),",",char(34),"name",char(34),":",char(34),LOWER(C1128),char(34),"}}"))</f>
        <v>{"asset":{"guid":"uuid://97419914-a88a-4cb3-92ea-bf4502ffae9c","site":"in-blr-ananta","name":"vav-700"}}</v>
      </c>
      <c r="S1128" s="237" t="s">
        <v>2866</v>
      </c>
      <c r="T1128" s="330"/>
      <c r="U1128" s="330"/>
      <c r="V1128" s="331"/>
      <c r="W1128" s="344"/>
      <c r="X1128" s="341"/>
      <c r="Y1128" s="33" t="s">
        <v>2867</v>
      </c>
      <c r="Z1128" s="258">
        <v>120700.0</v>
      </c>
      <c r="AA1128" s="334">
        <v>11567.0</v>
      </c>
      <c r="AB1128" s="341"/>
      <c r="AC1128" s="341"/>
      <c r="AD1128" s="343"/>
      <c r="AE1128" s="331"/>
      <c r="AF1128" s="348"/>
      <c r="AG1128" s="337"/>
      <c r="AH1128" s="341"/>
      <c r="AI1128" s="341"/>
      <c r="AJ1128" s="341"/>
      <c r="AK1128" s="341"/>
      <c r="AL1128" s="341"/>
      <c r="AM1128" s="338"/>
      <c r="AN1128" s="341"/>
      <c r="AO1128" s="341"/>
      <c r="AP1128" s="341"/>
      <c r="AQ1128" s="341"/>
      <c r="AR1128" s="341"/>
      <c r="AS1128" s="341"/>
      <c r="AT1128" s="341"/>
      <c r="AU1128" s="343"/>
      <c r="AV1128" s="341"/>
      <c r="AW1128" s="269" t="s">
        <v>1082</v>
      </c>
      <c r="AX1128" s="334" t="s">
        <v>2869</v>
      </c>
      <c r="AY1128" s="270" t="s">
        <v>695</v>
      </c>
      <c r="AZ1128" s="173" t="s">
        <v>2866</v>
      </c>
      <c r="BA1128" s="265">
        <v>10.0</v>
      </c>
      <c r="BB1128" s="174" t="s">
        <v>245</v>
      </c>
      <c r="BC1128" s="341"/>
      <c r="BD1128" s="308"/>
      <c r="BE1128" s="347"/>
      <c r="BF1128" s="274" t="str">
        <f>IFERROR(__xludf.DUMMYFUNCTION("LOWER(Regexreplace(to_text(E1128),""[^A-Za-z0-9]"","""")&amp;""_""&amp;Regexreplace(to_text(F1128),""[^A-Za-z0-9]"",""""))"),"neptronic_evcbseries")</f>
        <v>neptronic_evcbseries</v>
      </c>
      <c r="BG1128" s="275" t="str">
        <f>IFERROR(__xludf.DUMMYFUNCTION("upper(Regexreplace(to_text(E1128),""[^A-Za-z0-9]"","""")&amp;""-""&amp;Regexreplace(to_text(F1128),""[^A-Za-z0-9]"",""""))"),"NEPTRONIC-EVCBSERIES")</f>
        <v>NEPTRONIC-EVCBSERIES</v>
      </c>
    </row>
    <row r="1129" ht="30.0" customHeight="1">
      <c r="A1129" s="173">
        <v>1121.0</v>
      </c>
      <c r="B1129" s="237" t="s">
        <v>670</v>
      </c>
      <c r="C1129" s="257" t="s">
        <v>4904</v>
      </c>
      <c r="D1129" s="173" t="s">
        <v>4904</v>
      </c>
      <c r="E1129" s="174" t="s">
        <v>2861</v>
      </c>
      <c r="F1129" s="173" t="s">
        <v>2862</v>
      </c>
      <c r="G1129" s="328" t="s">
        <v>673</v>
      </c>
      <c r="H1129" s="328" t="s">
        <v>2863</v>
      </c>
      <c r="I1129" s="258" t="s">
        <v>2864</v>
      </c>
      <c r="J1129" s="259" t="s">
        <v>1026</v>
      </c>
      <c r="K1129" s="260" t="s">
        <v>4905</v>
      </c>
      <c r="L1129" s="328"/>
      <c r="M1129" s="343"/>
      <c r="N1129" s="173" t="s">
        <v>679</v>
      </c>
      <c r="O1129" s="173" t="s">
        <v>225</v>
      </c>
      <c r="P1129" s="262" t="str">
        <f t="shared" si="1"/>
        <v>IN-BLR-ANANTA-VAV-701_4</v>
      </c>
      <c r="Q1129" s="173" t="s">
        <v>4906</v>
      </c>
      <c r="R1129" s="328" t="str">
        <f>IFS(C1129="","",C1129="n/a","N/A",LEN(C1129),Concatenate("{",char(34),"asset",char(34),":{",char(34),"guid",char(34),":",char(34),Q1129,char(34),",",char(34),"site",char(34),":",char(34),LOWER('2-Building'!$B$4),char(34),",",char(34),"name",char(34),":",char(34),LOWER(C1129),char(34),"}}"))</f>
        <v>{"asset":{"guid":"uuid://67976b37-dd99-4e78-b6f4-f8e13d22e30b","site":"in-blr-ananta","name":"vav-701"}}</v>
      </c>
      <c r="S1129" s="237" t="s">
        <v>2866</v>
      </c>
      <c r="T1129" s="330"/>
      <c r="U1129" s="330"/>
      <c r="V1129" s="331"/>
      <c r="W1129" s="344"/>
      <c r="X1129" s="341"/>
      <c r="Y1129" s="33" t="s">
        <v>2867</v>
      </c>
      <c r="Z1129" s="258">
        <v>120701.0</v>
      </c>
      <c r="AA1129" s="334">
        <v>11567.0</v>
      </c>
      <c r="AB1129" s="341"/>
      <c r="AC1129" s="341"/>
      <c r="AD1129" s="343"/>
      <c r="AE1129" s="331"/>
      <c r="AF1129" s="348"/>
      <c r="AG1129" s="337"/>
      <c r="AH1129" s="341"/>
      <c r="AI1129" s="341"/>
      <c r="AJ1129" s="341"/>
      <c r="AK1129" s="341"/>
      <c r="AL1129" s="341"/>
      <c r="AM1129" s="338"/>
      <c r="AN1129" s="341"/>
      <c r="AO1129" s="341"/>
      <c r="AP1129" s="341"/>
      <c r="AQ1129" s="341"/>
      <c r="AR1129" s="341"/>
      <c r="AS1129" s="341"/>
      <c r="AT1129" s="341"/>
      <c r="AU1129" s="343"/>
      <c r="AV1129" s="341"/>
      <c r="AW1129" s="269" t="s">
        <v>1082</v>
      </c>
      <c r="AX1129" s="334" t="s">
        <v>2869</v>
      </c>
      <c r="AY1129" s="270" t="s">
        <v>695</v>
      </c>
      <c r="AZ1129" s="173" t="s">
        <v>2866</v>
      </c>
      <c r="BA1129" s="265">
        <v>10.0</v>
      </c>
      <c r="BB1129" s="174" t="s">
        <v>245</v>
      </c>
      <c r="BC1129" s="341"/>
      <c r="BD1129" s="308"/>
      <c r="BE1129" s="347"/>
      <c r="BF1129" s="274" t="str">
        <f>IFERROR(__xludf.DUMMYFUNCTION("LOWER(Regexreplace(to_text(E1129),""[^A-Za-z0-9]"","""")&amp;""_""&amp;Regexreplace(to_text(F1129),""[^A-Za-z0-9]"",""""))"),"neptronic_evcbseries")</f>
        <v>neptronic_evcbseries</v>
      </c>
      <c r="BG1129" s="275" t="str">
        <f>IFERROR(__xludf.DUMMYFUNCTION("upper(Regexreplace(to_text(E1129),""[^A-Za-z0-9]"","""")&amp;""-""&amp;Regexreplace(to_text(F1129),""[^A-Za-z0-9]"",""""))"),"NEPTRONIC-EVCBSERIES")</f>
        <v>NEPTRONIC-EVCBSERIES</v>
      </c>
    </row>
    <row r="1130" ht="30.0" customHeight="1">
      <c r="A1130" s="258">
        <v>1122.0</v>
      </c>
      <c r="B1130" s="237" t="s">
        <v>670</v>
      </c>
      <c r="C1130" s="257" t="s">
        <v>4907</v>
      </c>
      <c r="D1130" s="173" t="s">
        <v>4907</v>
      </c>
      <c r="E1130" s="174" t="s">
        <v>2861</v>
      </c>
      <c r="F1130" s="173" t="s">
        <v>2862</v>
      </c>
      <c r="G1130" s="328" t="s">
        <v>673</v>
      </c>
      <c r="H1130" s="328" t="s">
        <v>2863</v>
      </c>
      <c r="I1130" s="258" t="s">
        <v>2864</v>
      </c>
      <c r="J1130" s="259" t="s">
        <v>1026</v>
      </c>
      <c r="K1130" s="260" t="s">
        <v>4908</v>
      </c>
      <c r="L1130" s="328"/>
      <c r="M1130" s="343"/>
      <c r="N1130" s="173" t="s">
        <v>679</v>
      </c>
      <c r="O1130" s="173" t="s">
        <v>225</v>
      </c>
      <c r="P1130" s="262" t="str">
        <f t="shared" si="1"/>
        <v>IN-BLR-ANANTA-VAV-702_4</v>
      </c>
      <c r="Q1130" s="173" t="s">
        <v>4909</v>
      </c>
      <c r="R1130" s="328" t="str">
        <f>IFS(C1130="","",C1130="n/a","N/A",LEN(C1130),Concatenate("{",char(34),"asset",char(34),":{",char(34),"guid",char(34),":",char(34),Q1130,char(34),",",char(34),"site",char(34),":",char(34),LOWER('2-Building'!$B$4),char(34),",",char(34),"name",char(34),":",char(34),LOWER(C1130),char(34),"}}"))</f>
        <v>{"asset":{"guid":"uuid://673142d7-adf0-490f-ba7b-c8b4f01ec0ae","site":"in-blr-ananta","name":"vav-702"}}</v>
      </c>
      <c r="S1130" s="237" t="s">
        <v>2866</v>
      </c>
      <c r="T1130" s="330"/>
      <c r="U1130" s="330"/>
      <c r="V1130" s="331"/>
      <c r="W1130" s="344"/>
      <c r="X1130" s="341"/>
      <c r="Y1130" s="33" t="s">
        <v>2867</v>
      </c>
      <c r="Z1130" s="258">
        <v>120702.0</v>
      </c>
      <c r="AA1130" s="334">
        <v>11567.0</v>
      </c>
      <c r="AB1130" s="341"/>
      <c r="AC1130" s="341"/>
      <c r="AD1130" s="343"/>
      <c r="AE1130" s="331"/>
      <c r="AF1130" s="348"/>
      <c r="AG1130" s="337"/>
      <c r="AH1130" s="341"/>
      <c r="AI1130" s="341"/>
      <c r="AJ1130" s="341"/>
      <c r="AK1130" s="341"/>
      <c r="AL1130" s="341"/>
      <c r="AM1130" s="338"/>
      <c r="AN1130" s="341"/>
      <c r="AO1130" s="341"/>
      <c r="AP1130" s="341"/>
      <c r="AQ1130" s="341"/>
      <c r="AR1130" s="341"/>
      <c r="AS1130" s="341"/>
      <c r="AT1130" s="341"/>
      <c r="AU1130" s="343"/>
      <c r="AV1130" s="341"/>
      <c r="AW1130" s="269" t="s">
        <v>1082</v>
      </c>
      <c r="AX1130" s="334" t="s">
        <v>2869</v>
      </c>
      <c r="AY1130" s="270" t="s">
        <v>695</v>
      </c>
      <c r="AZ1130" s="173" t="s">
        <v>2866</v>
      </c>
      <c r="BA1130" s="265">
        <v>10.0</v>
      </c>
      <c r="BB1130" s="174" t="s">
        <v>245</v>
      </c>
      <c r="BC1130" s="341"/>
      <c r="BD1130" s="308"/>
      <c r="BE1130" s="347"/>
      <c r="BF1130" s="274" t="str">
        <f>IFERROR(__xludf.DUMMYFUNCTION("LOWER(Regexreplace(to_text(E1130),""[^A-Za-z0-9]"","""")&amp;""_""&amp;Regexreplace(to_text(F1130),""[^A-Za-z0-9]"",""""))"),"neptronic_evcbseries")</f>
        <v>neptronic_evcbseries</v>
      </c>
      <c r="BG1130" s="275" t="str">
        <f>IFERROR(__xludf.DUMMYFUNCTION("upper(Regexreplace(to_text(E1130),""[^A-Za-z0-9]"","""")&amp;""-""&amp;Regexreplace(to_text(F1130),""[^A-Za-z0-9]"",""""))"),"NEPTRONIC-EVCBSERIES")</f>
        <v>NEPTRONIC-EVCBSERIES</v>
      </c>
    </row>
    <row r="1131" ht="30.0" customHeight="1">
      <c r="A1131" s="173">
        <v>1123.0</v>
      </c>
      <c r="B1131" s="237" t="s">
        <v>670</v>
      </c>
      <c r="C1131" s="257" t="s">
        <v>4910</v>
      </c>
      <c r="D1131" s="173" t="s">
        <v>4910</v>
      </c>
      <c r="E1131" s="174" t="s">
        <v>2861</v>
      </c>
      <c r="F1131" s="173" t="s">
        <v>2862</v>
      </c>
      <c r="G1131" s="328" t="s">
        <v>673</v>
      </c>
      <c r="H1131" s="328" t="s">
        <v>2863</v>
      </c>
      <c r="I1131" s="258" t="s">
        <v>2864</v>
      </c>
      <c r="J1131" s="259" t="s">
        <v>1026</v>
      </c>
      <c r="K1131" s="260" t="s">
        <v>4911</v>
      </c>
      <c r="L1131" s="328"/>
      <c r="M1131" s="343"/>
      <c r="N1131" s="173" t="s">
        <v>679</v>
      </c>
      <c r="O1131" s="173" t="s">
        <v>225</v>
      </c>
      <c r="P1131" s="262" t="str">
        <f t="shared" si="1"/>
        <v>IN-BLR-ANANTA-VAV-703_4</v>
      </c>
      <c r="Q1131" s="173" t="s">
        <v>4912</v>
      </c>
      <c r="R1131" s="328" t="str">
        <f>IFS(C1131="","",C1131="n/a","N/A",LEN(C1131),Concatenate("{",char(34),"asset",char(34),":{",char(34),"guid",char(34),":",char(34),Q1131,char(34),",",char(34),"site",char(34),":",char(34),LOWER('2-Building'!$B$4),char(34),",",char(34),"name",char(34),":",char(34),LOWER(C1131),char(34),"}}"))</f>
        <v>{"asset":{"guid":"uuid://3504a5a7-66c7-437a-9b94-94237b7ce8b0","site":"in-blr-ananta","name":"vav-703"}}</v>
      </c>
      <c r="S1131" s="237" t="s">
        <v>2866</v>
      </c>
      <c r="T1131" s="330"/>
      <c r="U1131" s="330"/>
      <c r="V1131" s="331"/>
      <c r="W1131" s="344"/>
      <c r="X1131" s="341"/>
      <c r="Y1131" s="33" t="s">
        <v>2867</v>
      </c>
      <c r="Z1131" s="258">
        <v>120703.0</v>
      </c>
      <c r="AA1131" s="334">
        <v>11567.0</v>
      </c>
      <c r="AB1131" s="341"/>
      <c r="AC1131" s="341"/>
      <c r="AD1131" s="343"/>
      <c r="AE1131" s="331"/>
      <c r="AF1131" s="348"/>
      <c r="AG1131" s="337"/>
      <c r="AH1131" s="341"/>
      <c r="AI1131" s="341"/>
      <c r="AJ1131" s="341"/>
      <c r="AK1131" s="341"/>
      <c r="AL1131" s="341"/>
      <c r="AM1131" s="338"/>
      <c r="AN1131" s="341"/>
      <c r="AO1131" s="341"/>
      <c r="AP1131" s="341"/>
      <c r="AQ1131" s="341"/>
      <c r="AR1131" s="341"/>
      <c r="AS1131" s="341"/>
      <c r="AT1131" s="341"/>
      <c r="AU1131" s="343"/>
      <c r="AV1131" s="341"/>
      <c r="AW1131" s="269" t="s">
        <v>1082</v>
      </c>
      <c r="AX1131" s="334" t="s">
        <v>2869</v>
      </c>
      <c r="AY1131" s="270" t="s">
        <v>695</v>
      </c>
      <c r="AZ1131" s="173" t="s">
        <v>2866</v>
      </c>
      <c r="BA1131" s="265">
        <v>10.0</v>
      </c>
      <c r="BB1131" s="174" t="s">
        <v>245</v>
      </c>
      <c r="BC1131" s="341"/>
      <c r="BD1131" s="308"/>
      <c r="BE1131" s="347"/>
      <c r="BF1131" s="274" t="str">
        <f>IFERROR(__xludf.DUMMYFUNCTION("LOWER(Regexreplace(to_text(E1131),""[^A-Za-z0-9]"","""")&amp;""_""&amp;Regexreplace(to_text(F1131),""[^A-Za-z0-9]"",""""))"),"neptronic_evcbseries")</f>
        <v>neptronic_evcbseries</v>
      </c>
      <c r="BG1131" s="275" t="str">
        <f>IFERROR(__xludf.DUMMYFUNCTION("upper(Regexreplace(to_text(E1131),""[^A-Za-z0-9]"","""")&amp;""-""&amp;Regexreplace(to_text(F1131),""[^A-Za-z0-9]"",""""))"),"NEPTRONIC-EVCBSERIES")</f>
        <v>NEPTRONIC-EVCBSERIES</v>
      </c>
    </row>
    <row r="1132" ht="30.0" customHeight="1">
      <c r="A1132" s="258">
        <v>1124.0</v>
      </c>
      <c r="B1132" s="237" t="s">
        <v>670</v>
      </c>
      <c r="C1132" s="257" t="s">
        <v>4913</v>
      </c>
      <c r="D1132" s="173" t="s">
        <v>4913</v>
      </c>
      <c r="E1132" s="174" t="s">
        <v>2861</v>
      </c>
      <c r="F1132" s="173" t="s">
        <v>2862</v>
      </c>
      <c r="G1132" s="328" t="s">
        <v>673</v>
      </c>
      <c r="H1132" s="328" t="s">
        <v>2863</v>
      </c>
      <c r="I1132" s="258" t="s">
        <v>2864</v>
      </c>
      <c r="J1132" s="259" t="s">
        <v>1026</v>
      </c>
      <c r="K1132" s="260" t="s">
        <v>4914</v>
      </c>
      <c r="L1132" s="328"/>
      <c r="M1132" s="343"/>
      <c r="N1132" s="173" t="s">
        <v>679</v>
      </c>
      <c r="O1132" s="173" t="s">
        <v>225</v>
      </c>
      <c r="P1132" s="262" t="str">
        <f t="shared" si="1"/>
        <v>IN-BLR-ANANTA-VAV-704_4</v>
      </c>
      <c r="Q1132" s="173" t="s">
        <v>4915</v>
      </c>
      <c r="R1132" s="328" t="str">
        <f>IFS(C1132="","",C1132="n/a","N/A",LEN(C1132),Concatenate("{",char(34),"asset",char(34),":{",char(34),"guid",char(34),":",char(34),Q1132,char(34),",",char(34),"site",char(34),":",char(34),LOWER('2-Building'!$B$4),char(34),",",char(34),"name",char(34),":",char(34),LOWER(C1132),char(34),"}}"))</f>
        <v>{"asset":{"guid":"uuid://1940136b-2a2b-4922-b83b-d3565e1ed4b2","site":"in-blr-ananta","name":"vav-704"}}</v>
      </c>
      <c r="S1132" s="237" t="s">
        <v>2866</v>
      </c>
      <c r="T1132" s="330"/>
      <c r="U1132" s="330"/>
      <c r="V1132" s="331"/>
      <c r="W1132" s="344"/>
      <c r="X1132" s="341"/>
      <c r="Y1132" s="33" t="s">
        <v>2867</v>
      </c>
      <c r="Z1132" s="258">
        <v>120704.0</v>
      </c>
      <c r="AA1132" s="334">
        <v>11567.0</v>
      </c>
      <c r="AB1132" s="341"/>
      <c r="AC1132" s="341"/>
      <c r="AD1132" s="343"/>
      <c r="AE1132" s="331"/>
      <c r="AF1132" s="348"/>
      <c r="AG1132" s="337"/>
      <c r="AH1132" s="341"/>
      <c r="AI1132" s="341"/>
      <c r="AJ1132" s="341"/>
      <c r="AK1132" s="341"/>
      <c r="AL1132" s="341"/>
      <c r="AM1132" s="338"/>
      <c r="AN1132" s="341"/>
      <c r="AO1132" s="341"/>
      <c r="AP1132" s="341"/>
      <c r="AQ1132" s="341"/>
      <c r="AR1132" s="341"/>
      <c r="AS1132" s="341"/>
      <c r="AT1132" s="341"/>
      <c r="AU1132" s="343"/>
      <c r="AV1132" s="341"/>
      <c r="AW1132" s="269" t="s">
        <v>1082</v>
      </c>
      <c r="AX1132" s="334" t="s">
        <v>2869</v>
      </c>
      <c r="AY1132" s="270" t="s">
        <v>695</v>
      </c>
      <c r="AZ1132" s="173" t="s">
        <v>2866</v>
      </c>
      <c r="BA1132" s="265">
        <v>10.0</v>
      </c>
      <c r="BB1132" s="174" t="s">
        <v>245</v>
      </c>
      <c r="BC1132" s="341"/>
      <c r="BD1132" s="308"/>
      <c r="BE1132" s="347"/>
      <c r="BF1132" s="274" t="str">
        <f>IFERROR(__xludf.DUMMYFUNCTION("LOWER(Regexreplace(to_text(E1132),""[^A-Za-z0-9]"","""")&amp;""_""&amp;Regexreplace(to_text(F1132),""[^A-Za-z0-9]"",""""))"),"neptronic_evcbseries")</f>
        <v>neptronic_evcbseries</v>
      </c>
      <c r="BG1132" s="275" t="str">
        <f>IFERROR(__xludf.DUMMYFUNCTION("upper(Regexreplace(to_text(E1132),""[^A-Za-z0-9]"","""")&amp;""-""&amp;Regexreplace(to_text(F1132),""[^A-Za-z0-9]"",""""))"),"NEPTRONIC-EVCBSERIES")</f>
        <v>NEPTRONIC-EVCBSERIES</v>
      </c>
    </row>
    <row r="1133" ht="30.0" customHeight="1">
      <c r="A1133" s="173">
        <v>1125.0</v>
      </c>
      <c r="B1133" s="237" t="s">
        <v>670</v>
      </c>
      <c r="C1133" s="257" t="s">
        <v>4916</v>
      </c>
      <c r="D1133" s="173" t="s">
        <v>4916</v>
      </c>
      <c r="E1133" s="174" t="s">
        <v>2861</v>
      </c>
      <c r="F1133" s="173" t="s">
        <v>2862</v>
      </c>
      <c r="G1133" s="328" t="s">
        <v>673</v>
      </c>
      <c r="H1133" s="328" t="s">
        <v>2863</v>
      </c>
      <c r="I1133" s="258" t="s">
        <v>2864</v>
      </c>
      <c r="J1133" s="259" t="s">
        <v>1026</v>
      </c>
      <c r="K1133" s="260" t="s">
        <v>4917</v>
      </c>
      <c r="L1133" s="328"/>
      <c r="M1133" s="343"/>
      <c r="N1133" s="173" t="s">
        <v>679</v>
      </c>
      <c r="O1133" s="173" t="s">
        <v>225</v>
      </c>
      <c r="P1133" s="262" t="str">
        <f t="shared" si="1"/>
        <v>IN-BLR-ANANTA-VAV-705_4</v>
      </c>
      <c r="Q1133" s="173" t="s">
        <v>4918</v>
      </c>
      <c r="R1133" s="328" t="str">
        <f>IFS(C1133="","",C1133="n/a","N/A",LEN(C1133),Concatenate("{",char(34),"asset",char(34),":{",char(34),"guid",char(34),":",char(34),Q1133,char(34),",",char(34),"site",char(34),":",char(34),LOWER('2-Building'!$B$4),char(34),",",char(34),"name",char(34),":",char(34),LOWER(C1133),char(34),"}}"))</f>
        <v>{"asset":{"guid":"uuid://5f56dc75-ee69-44d4-8726-ffac54c78373","site":"in-blr-ananta","name":"vav-705"}}</v>
      </c>
      <c r="S1133" s="237" t="s">
        <v>2866</v>
      </c>
      <c r="T1133" s="330"/>
      <c r="U1133" s="330"/>
      <c r="V1133" s="331"/>
      <c r="W1133" s="344"/>
      <c r="X1133" s="341"/>
      <c r="Y1133" s="33" t="s">
        <v>2867</v>
      </c>
      <c r="Z1133" s="258">
        <v>120705.0</v>
      </c>
      <c r="AA1133" s="334">
        <v>11567.0</v>
      </c>
      <c r="AB1133" s="341"/>
      <c r="AC1133" s="341"/>
      <c r="AD1133" s="343"/>
      <c r="AE1133" s="331"/>
      <c r="AF1133" s="348"/>
      <c r="AG1133" s="337"/>
      <c r="AH1133" s="341"/>
      <c r="AI1133" s="341"/>
      <c r="AJ1133" s="341"/>
      <c r="AK1133" s="341"/>
      <c r="AL1133" s="341"/>
      <c r="AM1133" s="338"/>
      <c r="AN1133" s="341"/>
      <c r="AO1133" s="341"/>
      <c r="AP1133" s="341"/>
      <c r="AQ1133" s="341"/>
      <c r="AR1133" s="341"/>
      <c r="AS1133" s="341"/>
      <c r="AT1133" s="341"/>
      <c r="AU1133" s="343"/>
      <c r="AV1133" s="341"/>
      <c r="AW1133" s="269" t="s">
        <v>1082</v>
      </c>
      <c r="AX1133" s="334" t="s">
        <v>2869</v>
      </c>
      <c r="AY1133" s="270" t="s">
        <v>695</v>
      </c>
      <c r="AZ1133" s="173" t="s">
        <v>2866</v>
      </c>
      <c r="BA1133" s="265">
        <v>10.0</v>
      </c>
      <c r="BB1133" s="174" t="s">
        <v>245</v>
      </c>
      <c r="BC1133" s="341"/>
      <c r="BD1133" s="308"/>
      <c r="BE1133" s="347"/>
      <c r="BF1133" s="274" t="str">
        <f>IFERROR(__xludf.DUMMYFUNCTION("LOWER(Regexreplace(to_text(E1133),""[^A-Za-z0-9]"","""")&amp;""_""&amp;Regexreplace(to_text(F1133),""[^A-Za-z0-9]"",""""))"),"neptronic_evcbseries")</f>
        <v>neptronic_evcbseries</v>
      </c>
      <c r="BG1133" s="275" t="str">
        <f>IFERROR(__xludf.DUMMYFUNCTION("upper(Regexreplace(to_text(E1133),""[^A-Za-z0-9]"","""")&amp;""-""&amp;Regexreplace(to_text(F1133),""[^A-Za-z0-9]"",""""))"),"NEPTRONIC-EVCBSERIES")</f>
        <v>NEPTRONIC-EVCBSERIES</v>
      </c>
    </row>
    <row r="1134" ht="30.0" customHeight="1">
      <c r="A1134" s="258">
        <v>1126.0</v>
      </c>
      <c r="B1134" s="237" t="s">
        <v>670</v>
      </c>
      <c r="C1134" s="257" t="s">
        <v>4919</v>
      </c>
      <c r="D1134" s="173" t="s">
        <v>4919</v>
      </c>
      <c r="E1134" s="174" t="s">
        <v>2861</v>
      </c>
      <c r="F1134" s="173" t="s">
        <v>2862</v>
      </c>
      <c r="G1134" s="328" t="s">
        <v>673</v>
      </c>
      <c r="H1134" s="328" t="s">
        <v>2863</v>
      </c>
      <c r="I1134" s="258" t="s">
        <v>2864</v>
      </c>
      <c r="J1134" s="259" t="s">
        <v>1026</v>
      </c>
      <c r="K1134" s="260" t="s">
        <v>4920</v>
      </c>
      <c r="L1134" s="328"/>
      <c r="M1134" s="343"/>
      <c r="N1134" s="173" t="s">
        <v>679</v>
      </c>
      <c r="O1134" s="173" t="s">
        <v>225</v>
      </c>
      <c r="P1134" s="262" t="str">
        <f t="shared" si="1"/>
        <v>IN-BLR-ANANTA-VAV-706_4</v>
      </c>
      <c r="Q1134" s="173" t="s">
        <v>4921</v>
      </c>
      <c r="R1134" s="328" t="str">
        <f>IFS(C1134="","",C1134="n/a","N/A",LEN(C1134),Concatenate("{",char(34),"asset",char(34),":{",char(34),"guid",char(34),":",char(34),Q1134,char(34),",",char(34),"site",char(34),":",char(34),LOWER('2-Building'!$B$4),char(34),",",char(34),"name",char(34),":",char(34),LOWER(C1134),char(34),"}}"))</f>
        <v>{"asset":{"guid":"uuid://2a6d79df-5448-4938-b0a4-43285522763f","site":"in-blr-ananta","name":"vav-706"}}</v>
      </c>
      <c r="S1134" s="237" t="s">
        <v>2866</v>
      </c>
      <c r="T1134" s="330"/>
      <c r="U1134" s="330"/>
      <c r="V1134" s="331"/>
      <c r="W1134" s="344"/>
      <c r="X1134" s="341"/>
      <c r="Y1134" s="33" t="s">
        <v>2867</v>
      </c>
      <c r="Z1134" s="258">
        <v>120706.0</v>
      </c>
      <c r="AA1134" s="334">
        <v>11567.0</v>
      </c>
      <c r="AB1134" s="341"/>
      <c r="AC1134" s="341"/>
      <c r="AD1134" s="343"/>
      <c r="AE1134" s="331"/>
      <c r="AF1134" s="348"/>
      <c r="AG1134" s="337"/>
      <c r="AH1134" s="341"/>
      <c r="AI1134" s="341"/>
      <c r="AJ1134" s="341"/>
      <c r="AK1134" s="341"/>
      <c r="AL1134" s="341"/>
      <c r="AM1134" s="338"/>
      <c r="AN1134" s="341"/>
      <c r="AO1134" s="341"/>
      <c r="AP1134" s="341"/>
      <c r="AQ1134" s="341"/>
      <c r="AR1134" s="341"/>
      <c r="AS1134" s="341"/>
      <c r="AT1134" s="341"/>
      <c r="AU1134" s="343"/>
      <c r="AV1134" s="341"/>
      <c r="AW1134" s="269" t="s">
        <v>1082</v>
      </c>
      <c r="AX1134" s="334" t="s">
        <v>2869</v>
      </c>
      <c r="AY1134" s="270" t="s">
        <v>695</v>
      </c>
      <c r="AZ1134" s="173" t="s">
        <v>2866</v>
      </c>
      <c r="BA1134" s="265">
        <v>10.0</v>
      </c>
      <c r="BB1134" s="174" t="s">
        <v>245</v>
      </c>
      <c r="BC1134" s="341"/>
      <c r="BD1134" s="308"/>
      <c r="BE1134" s="347"/>
      <c r="BF1134" s="274" t="str">
        <f>IFERROR(__xludf.DUMMYFUNCTION("LOWER(Regexreplace(to_text(E1134),""[^A-Za-z0-9]"","""")&amp;""_""&amp;Regexreplace(to_text(F1134),""[^A-Za-z0-9]"",""""))"),"neptronic_evcbseries")</f>
        <v>neptronic_evcbseries</v>
      </c>
      <c r="BG1134" s="275" t="str">
        <f>IFERROR(__xludf.DUMMYFUNCTION("upper(Regexreplace(to_text(E1134),""[^A-Za-z0-9]"","""")&amp;""-""&amp;Regexreplace(to_text(F1134),""[^A-Za-z0-9]"",""""))"),"NEPTRONIC-EVCBSERIES")</f>
        <v>NEPTRONIC-EVCBSERIES</v>
      </c>
    </row>
    <row r="1135" ht="30.0" customHeight="1">
      <c r="A1135" s="173">
        <v>1127.0</v>
      </c>
      <c r="B1135" s="237" t="s">
        <v>670</v>
      </c>
      <c r="C1135" s="257" t="s">
        <v>4922</v>
      </c>
      <c r="D1135" s="173" t="s">
        <v>4922</v>
      </c>
      <c r="E1135" s="174" t="s">
        <v>2861</v>
      </c>
      <c r="F1135" s="173" t="s">
        <v>2862</v>
      </c>
      <c r="G1135" s="328" t="s">
        <v>673</v>
      </c>
      <c r="H1135" s="328" t="s">
        <v>2863</v>
      </c>
      <c r="I1135" s="258" t="s">
        <v>2864</v>
      </c>
      <c r="J1135" s="259" t="s">
        <v>1026</v>
      </c>
      <c r="K1135" s="260" t="s">
        <v>4923</v>
      </c>
      <c r="L1135" s="328"/>
      <c r="M1135" s="343"/>
      <c r="N1135" s="173" t="s">
        <v>679</v>
      </c>
      <c r="O1135" s="173" t="s">
        <v>225</v>
      </c>
      <c r="P1135" s="262" t="str">
        <f t="shared" si="1"/>
        <v>IN-BLR-ANANTA-VAV-707_4</v>
      </c>
      <c r="Q1135" s="173" t="s">
        <v>4924</v>
      </c>
      <c r="R1135" s="328" t="str">
        <f>IFS(C1135="","",C1135="n/a","N/A",LEN(C1135),Concatenate("{",char(34),"asset",char(34),":{",char(34),"guid",char(34),":",char(34),Q1135,char(34),",",char(34),"site",char(34),":",char(34),LOWER('2-Building'!$B$4),char(34),",",char(34),"name",char(34),":",char(34),LOWER(C1135),char(34),"}}"))</f>
        <v>{"asset":{"guid":"uuid://915379a1-c6fa-41a3-b523-55603a2751fd","site":"in-blr-ananta","name":"vav-707"}}</v>
      </c>
      <c r="S1135" s="237" t="s">
        <v>2866</v>
      </c>
      <c r="T1135" s="330"/>
      <c r="U1135" s="330"/>
      <c r="V1135" s="331"/>
      <c r="W1135" s="344"/>
      <c r="X1135" s="341"/>
      <c r="Y1135" s="33" t="s">
        <v>2867</v>
      </c>
      <c r="Z1135" s="258">
        <v>120707.0</v>
      </c>
      <c r="AA1135" s="334">
        <v>11567.0</v>
      </c>
      <c r="AB1135" s="341"/>
      <c r="AC1135" s="341"/>
      <c r="AD1135" s="343"/>
      <c r="AE1135" s="331"/>
      <c r="AF1135" s="348"/>
      <c r="AG1135" s="337"/>
      <c r="AH1135" s="341"/>
      <c r="AI1135" s="341"/>
      <c r="AJ1135" s="341"/>
      <c r="AK1135" s="341"/>
      <c r="AL1135" s="341"/>
      <c r="AM1135" s="338"/>
      <c r="AN1135" s="341"/>
      <c r="AO1135" s="341"/>
      <c r="AP1135" s="341"/>
      <c r="AQ1135" s="341"/>
      <c r="AR1135" s="341"/>
      <c r="AS1135" s="341"/>
      <c r="AT1135" s="341"/>
      <c r="AU1135" s="343"/>
      <c r="AV1135" s="341"/>
      <c r="AW1135" s="269" t="s">
        <v>1082</v>
      </c>
      <c r="AX1135" s="334" t="s">
        <v>2869</v>
      </c>
      <c r="AY1135" s="270" t="s">
        <v>695</v>
      </c>
      <c r="AZ1135" s="173" t="s">
        <v>2866</v>
      </c>
      <c r="BA1135" s="265">
        <v>10.0</v>
      </c>
      <c r="BB1135" s="174" t="s">
        <v>245</v>
      </c>
      <c r="BC1135" s="341"/>
      <c r="BD1135" s="308"/>
      <c r="BE1135" s="347"/>
      <c r="BF1135" s="274" t="str">
        <f>IFERROR(__xludf.DUMMYFUNCTION("LOWER(Regexreplace(to_text(E1135),""[^A-Za-z0-9]"","""")&amp;""_""&amp;Regexreplace(to_text(F1135),""[^A-Za-z0-9]"",""""))"),"neptronic_evcbseries")</f>
        <v>neptronic_evcbseries</v>
      </c>
      <c r="BG1135" s="275" t="str">
        <f>IFERROR(__xludf.DUMMYFUNCTION("upper(Regexreplace(to_text(E1135),""[^A-Za-z0-9]"","""")&amp;""-""&amp;Regexreplace(to_text(F1135),""[^A-Za-z0-9]"",""""))"),"NEPTRONIC-EVCBSERIES")</f>
        <v>NEPTRONIC-EVCBSERIES</v>
      </c>
    </row>
    <row r="1136" ht="30.0" customHeight="1">
      <c r="A1136" s="258">
        <v>1128.0</v>
      </c>
      <c r="B1136" s="237" t="s">
        <v>670</v>
      </c>
      <c r="C1136" s="257" t="s">
        <v>4925</v>
      </c>
      <c r="D1136" s="173" t="s">
        <v>4925</v>
      </c>
      <c r="E1136" s="174" t="s">
        <v>2861</v>
      </c>
      <c r="F1136" s="173" t="s">
        <v>2862</v>
      </c>
      <c r="G1136" s="328" t="s">
        <v>673</v>
      </c>
      <c r="H1136" s="328" t="s">
        <v>2863</v>
      </c>
      <c r="I1136" s="258" t="s">
        <v>2864</v>
      </c>
      <c r="J1136" s="259" t="s">
        <v>1026</v>
      </c>
      <c r="K1136" s="260" t="s">
        <v>4926</v>
      </c>
      <c r="L1136" s="328"/>
      <c r="M1136" s="343"/>
      <c r="N1136" s="173" t="s">
        <v>679</v>
      </c>
      <c r="O1136" s="173" t="s">
        <v>225</v>
      </c>
      <c r="P1136" s="262" t="str">
        <f t="shared" si="1"/>
        <v>IN-BLR-ANANTA-VAV-708_4</v>
      </c>
      <c r="Q1136" s="173" t="s">
        <v>4927</v>
      </c>
      <c r="R1136" s="328" t="str">
        <f>IFS(C1136="","",C1136="n/a","N/A",LEN(C1136),Concatenate("{",char(34),"asset",char(34),":{",char(34),"guid",char(34),":",char(34),Q1136,char(34),",",char(34),"site",char(34),":",char(34),LOWER('2-Building'!$B$4),char(34),",",char(34),"name",char(34),":",char(34),LOWER(C1136),char(34),"}}"))</f>
        <v>{"asset":{"guid":"uuid://e9ce5f02-9a23-4e38-9095-632e9a5a3b66","site":"in-blr-ananta","name":"vav-708"}}</v>
      </c>
      <c r="S1136" s="237" t="s">
        <v>2866</v>
      </c>
      <c r="T1136" s="330"/>
      <c r="U1136" s="330"/>
      <c r="V1136" s="331"/>
      <c r="W1136" s="344"/>
      <c r="X1136" s="341"/>
      <c r="Y1136" s="33" t="s">
        <v>2867</v>
      </c>
      <c r="Z1136" s="258">
        <v>120708.0</v>
      </c>
      <c r="AA1136" s="334">
        <v>11567.0</v>
      </c>
      <c r="AB1136" s="341"/>
      <c r="AC1136" s="341"/>
      <c r="AD1136" s="343"/>
      <c r="AE1136" s="331"/>
      <c r="AF1136" s="348"/>
      <c r="AG1136" s="337"/>
      <c r="AH1136" s="341"/>
      <c r="AI1136" s="341"/>
      <c r="AJ1136" s="341"/>
      <c r="AK1136" s="341"/>
      <c r="AL1136" s="341"/>
      <c r="AM1136" s="338"/>
      <c r="AN1136" s="341"/>
      <c r="AO1136" s="341"/>
      <c r="AP1136" s="341"/>
      <c r="AQ1136" s="341"/>
      <c r="AR1136" s="341"/>
      <c r="AS1136" s="341"/>
      <c r="AT1136" s="341"/>
      <c r="AU1136" s="343"/>
      <c r="AV1136" s="341"/>
      <c r="AW1136" s="269" t="s">
        <v>1082</v>
      </c>
      <c r="AX1136" s="334" t="s">
        <v>2869</v>
      </c>
      <c r="AY1136" s="270" t="s">
        <v>695</v>
      </c>
      <c r="AZ1136" s="173" t="s">
        <v>2866</v>
      </c>
      <c r="BA1136" s="265">
        <v>10.0</v>
      </c>
      <c r="BB1136" s="174" t="s">
        <v>245</v>
      </c>
      <c r="BC1136" s="341"/>
      <c r="BD1136" s="308"/>
      <c r="BE1136" s="347"/>
      <c r="BF1136" s="274" t="str">
        <f>IFERROR(__xludf.DUMMYFUNCTION("LOWER(Regexreplace(to_text(E1136),""[^A-Za-z0-9]"","""")&amp;""_""&amp;Regexreplace(to_text(F1136),""[^A-Za-z0-9]"",""""))"),"neptronic_evcbseries")</f>
        <v>neptronic_evcbseries</v>
      </c>
      <c r="BG1136" s="275" t="str">
        <f>IFERROR(__xludf.DUMMYFUNCTION("upper(Regexreplace(to_text(E1136),""[^A-Za-z0-9]"","""")&amp;""-""&amp;Regexreplace(to_text(F1136),""[^A-Za-z0-9]"",""""))"),"NEPTRONIC-EVCBSERIES")</f>
        <v>NEPTRONIC-EVCBSERIES</v>
      </c>
    </row>
    <row r="1137" ht="30.0" customHeight="1">
      <c r="A1137" s="173">
        <v>1129.0</v>
      </c>
      <c r="B1137" s="237" t="s">
        <v>670</v>
      </c>
      <c r="C1137" s="257" t="s">
        <v>4928</v>
      </c>
      <c r="D1137" s="173" t="s">
        <v>4928</v>
      </c>
      <c r="E1137" s="174" t="s">
        <v>2861</v>
      </c>
      <c r="F1137" s="173" t="s">
        <v>2862</v>
      </c>
      <c r="G1137" s="328" t="s">
        <v>673</v>
      </c>
      <c r="H1137" s="328" t="s">
        <v>2863</v>
      </c>
      <c r="I1137" s="258" t="s">
        <v>2864</v>
      </c>
      <c r="J1137" s="259" t="s">
        <v>1026</v>
      </c>
      <c r="K1137" s="260" t="s">
        <v>4929</v>
      </c>
      <c r="L1137" s="328"/>
      <c r="M1137" s="343"/>
      <c r="N1137" s="173" t="s">
        <v>679</v>
      </c>
      <c r="O1137" s="173" t="s">
        <v>225</v>
      </c>
      <c r="P1137" s="262" t="str">
        <f t="shared" si="1"/>
        <v>IN-BLR-ANANTA-VAV-709_4</v>
      </c>
      <c r="Q1137" s="173" t="s">
        <v>4930</v>
      </c>
      <c r="R1137" s="328" t="str">
        <f>IFS(C1137="","",C1137="n/a","N/A",LEN(C1137),Concatenate("{",char(34),"asset",char(34),":{",char(34),"guid",char(34),":",char(34),Q1137,char(34),",",char(34),"site",char(34),":",char(34),LOWER('2-Building'!$B$4),char(34),",",char(34),"name",char(34),":",char(34),LOWER(C1137),char(34),"}}"))</f>
        <v>{"asset":{"guid":"uuid://b0c66b5e-61a2-4a0e-af40-e1374b699fc2","site":"in-blr-ananta","name":"vav-709"}}</v>
      </c>
      <c r="S1137" s="237" t="s">
        <v>2866</v>
      </c>
      <c r="T1137" s="330"/>
      <c r="U1137" s="330"/>
      <c r="V1137" s="331"/>
      <c r="W1137" s="344"/>
      <c r="X1137" s="341"/>
      <c r="Y1137" s="33" t="s">
        <v>2867</v>
      </c>
      <c r="Z1137" s="258">
        <v>120709.0</v>
      </c>
      <c r="AA1137" s="334">
        <v>11661.0</v>
      </c>
      <c r="AB1137" s="341"/>
      <c r="AC1137" s="341"/>
      <c r="AD1137" s="343"/>
      <c r="AE1137" s="331"/>
      <c r="AF1137" s="348"/>
      <c r="AG1137" s="337"/>
      <c r="AH1137" s="341"/>
      <c r="AI1137" s="341"/>
      <c r="AJ1137" s="341"/>
      <c r="AK1137" s="341"/>
      <c r="AL1137" s="341"/>
      <c r="AM1137" s="338"/>
      <c r="AN1137" s="341"/>
      <c r="AO1137" s="341"/>
      <c r="AP1137" s="341"/>
      <c r="AQ1137" s="341"/>
      <c r="AR1137" s="341"/>
      <c r="AS1137" s="341"/>
      <c r="AT1137" s="341"/>
      <c r="AU1137" s="343"/>
      <c r="AV1137" s="341"/>
      <c r="AW1137" s="269" t="s">
        <v>2208</v>
      </c>
      <c r="AX1137" s="334" t="s">
        <v>2869</v>
      </c>
      <c r="AY1137" s="270" t="s">
        <v>695</v>
      </c>
      <c r="AZ1137" s="173" t="s">
        <v>2866</v>
      </c>
      <c r="BA1137" s="265">
        <v>10.0</v>
      </c>
      <c r="BB1137" s="174" t="s">
        <v>245</v>
      </c>
      <c r="BC1137" s="341"/>
      <c r="BD1137" s="308"/>
      <c r="BE1137" s="347"/>
      <c r="BF1137" s="274" t="str">
        <f>IFERROR(__xludf.DUMMYFUNCTION("LOWER(Regexreplace(to_text(E1137),""[^A-Za-z0-9]"","""")&amp;""_""&amp;Regexreplace(to_text(F1137),""[^A-Za-z0-9]"",""""))"),"neptronic_evcbseries")</f>
        <v>neptronic_evcbseries</v>
      </c>
      <c r="BG1137" s="275" t="str">
        <f>IFERROR(__xludf.DUMMYFUNCTION("upper(Regexreplace(to_text(E1137),""[^A-Za-z0-9]"","""")&amp;""-""&amp;Regexreplace(to_text(F1137),""[^A-Za-z0-9]"",""""))"),"NEPTRONIC-EVCBSERIES")</f>
        <v>NEPTRONIC-EVCBSERIES</v>
      </c>
    </row>
    <row r="1138" ht="30.0" customHeight="1">
      <c r="A1138" s="258">
        <v>1130.0</v>
      </c>
      <c r="B1138" s="237" t="s">
        <v>670</v>
      </c>
      <c r="C1138" s="257" t="s">
        <v>4931</v>
      </c>
      <c r="D1138" s="173" t="s">
        <v>4931</v>
      </c>
      <c r="E1138" s="174" t="s">
        <v>2861</v>
      </c>
      <c r="F1138" s="173" t="s">
        <v>2862</v>
      </c>
      <c r="G1138" s="328" t="s">
        <v>673</v>
      </c>
      <c r="H1138" s="328" t="s">
        <v>2863</v>
      </c>
      <c r="I1138" s="258" t="s">
        <v>2864</v>
      </c>
      <c r="J1138" s="259" t="s">
        <v>1026</v>
      </c>
      <c r="K1138" s="260" t="s">
        <v>4932</v>
      </c>
      <c r="L1138" s="328"/>
      <c r="M1138" s="343"/>
      <c r="N1138" s="173" t="s">
        <v>679</v>
      </c>
      <c r="O1138" s="173" t="s">
        <v>225</v>
      </c>
      <c r="P1138" s="262" t="str">
        <f t="shared" si="1"/>
        <v>IN-BLR-ANANTA-VAV-710_4</v>
      </c>
      <c r="Q1138" s="173" t="s">
        <v>4933</v>
      </c>
      <c r="R1138" s="328" t="str">
        <f>IFS(C1138="","",C1138="n/a","N/A",LEN(C1138),Concatenate("{",char(34),"asset",char(34),":{",char(34),"guid",char(34),":",char(34),Q1138,char(34),",",char(34),"site",char(34),":",char(34),LOWER('2-Building'!$B$4),char(34),",",char(34),"name",char(34),":",char(34),LOWER(C1138),char(34),"}}"))</f>
        <v>{"asset":{"guid":"uuid://5ecc446a-91d9-4088-aaf7-86d6adcff570","site":"in-blr-ananta","name":"vav-710"}}</v>
      </c>
      <c r="S1138" s="237" t="s">
        <v>2866</v>
      </c>
      <c r="T1138" s="330"/>
      <c r="U1138" s="330"/>
      <c r="V1138" s="331"/>
      <c r="W1138" s="344"/>
      <c r="X1138" s="341"/>
      <c r="Y1138" s="33" t="s">
        <v>2867</v>
      </c>
      <c r="Z1138" s="258">
        <v>120710.0</v>
      </c>
      <c r="AA1138" s="334">
        <v>11661.0</v>
      </c>
      <c r="AB1138" s="341"/>
      <c r="AC1138" s="341"/>
      <c r="AD1138" s="343"/>
      <c r="AE1138" s="331"/>
      <c r="AF1138" s="348"/>
      <c r="AG1138" s="337"/>
      <c r="AH1138" s="341"/>
      <c r="AI1138" s="341"/>
      <c r="AJ1138" s="341"/>
      <c r="AK1138" s="341"/>
      <c r="AL1138" s="341"/>
      <c r="AM1138" s="338"/>
      <c r="AN1138" s="341"/>
      <c r="AO1138" s="341"/>
      <c r="AP1138" s="341"/>
      <c r="AQ1138" s="341"/>
      <c r="AR1138" s="341"/>
      <c r="AS1138" s="341"/>
      <c r="AT1138" s="341"/>
      <c r="AU1138" s="343"/>
      <c r="AV1138" s="341"/>
      <c r="AW1138" s="269" t="s">
        <v>2208</v>
      </c>
      <c r="AX1138" s="334" t="s">
        <v>2869</v>
      </c>
      <c r="AY1138" s="270" t="s">
        <v>695</v>
      </c>
      <c r="AZ1138" s="173" t="s">
        <v>2866</v>
      </c>
      <c r="BA1138" s="265">
        <v>10.0</v>
      </c>
      <c r="BB1138" s="174" t="s">
        <v>245</v>
      </c>
      <c r="BC1138" s="341"/>
      <c r="BD1138" s="308"/>
      <c r="BE1138" s="347"/>
      <c r="BF1138" s="274" t="str">
        <f>IFERROR(__xludf.DUMMYFUNCTION("LOWER(Regexreplace(to_text(E1138),""[^A-Za-z0-9]"","""")&amp;""_""&amp;Regexreplace(to_text(F1138),""[^A-Za-z0-9]"",""""))"),"neptronic_evcbseries")</f>
        <v>neptronic_evcbseries</v>
      </c>
      <c r="BG1138" s="275" t="str">
        <f>IFERROR(__xludf.DUMMYFUNCTION("upper(Regexreplace(to_text(E1138),""[^A-Za-z0-9]"","""")&amp;""-""&amp;Regexreplace(to_text(F1138),""[^A-Za-z0-9]"",""""))"),"NEPTRONIC-EVCBSERIES")</f>
        <v>NEPTRONIC-EVCBSERIES</v>
      </c>
    </row>
    <row r="1139" ht="30.0" customHeight="1">
      <c r="A1139" s="173">
        <v>1131.0</v>
      </c>
      <c r="B1139" s="237" t="s">
        <v>670</v>
      </c>
      <c r="C1139" s="257" t="s">
        <v>4934</v>
      </c>
      <c r="D1139" s="173" t="s">
        <v>4934</v>
      </c>
      <c r="E1139" s="174" t="s">
        <v>2861</v>
      </c>
      <c r="F1139" s="173" t="s">
        <v>2862</v>
      </c>
      <c r="G1139" s="328" t="s">
        <v>673</v>
      </c>
      <c r="H1139" s="328" t="s">
        <v>2863</v>
      </c>
      <c r="I1139" s="258" t="s">
        <v>2864</v>
      </c>
      <c r="J1139" s="259" t="s">
        <v>1026</v>
      </c>
      <c r="K1139" s="260" t="s">
        <v>4935</v>
      </c>
      <c r="L1139" s="328"/>
      <c r="M1139" s="343"/>
      <c r="N1139" s="173" t="s">
        <v>679</v>
      </c>
      <c r="O1139" s="173" t="s">
        <v>225</v>
      </c>
      <c r="P1139" s="262" t="str">
        <f t="shared" si="1"/>
        <v>IN-BLR-ANANTA-VAV-711_4</v>
      </c>
      <c r="Q1139" s="173" t="s">
        <v>4936</v>
      </c>
      <c r="R1139" s="328" t="str">
        <f>IFS(C1139="","",C1139="n/a","N/A",LEN(C1139),Concatenate("{",char(34),"asset",char(34),":{",char(34),"guid",char(34),":",char(34),Q1139,char(34),",",char(34),"site",char(34),":",char(34),LOWER('2-Building'!$B$4),char(34),",",char(34),"name",char(34),":",char(34),LOWER(C1139),char(34),"}}"))</f>
        <v>{"asset":{"guid":"uuid://93308b57-8c85-411a-ab42-5b6bf2efb2e0","site":"in-blr-ananta","name":"vav-711"}}</v>
      </c>
      <c r="S1139" s="237" t="s">
        <v>2866</v>
      </c>
      <c r="T1139" s="330"/>
      <c r="U1139" s="330"/>
      <c r="V1139" s="331"/>
      <c r="W1139" s="344"/>
      <c r="X1139" s="341"/>
      <c r="Y1139" s="33" t="s">
        <v>2867</v>
      </c>
      <c r="Z1139" s="258">
        <v>120711.0</v>
      </c>
      <c r="AA1139" s="334">
        <v>11661.0</v>
      </c>
      <c r="AB1139" s="341"/>
      <c r="AC1139" s="341"/>
      <c r="AD1139" s="343"/>
      <c r="AE1139" s="331"/>
      <c r="AF1139" s="348"/>
      <c r="AG1139" s="337"/>
      <c r="AH1139" s="341"/>
      <c r="AI1139" s="341"/>
      <c r="AJ1139" s="341"/>
      <c r="AK1139" s="341"/>
      <c r="AL1139" s="341"/>
      <c r="AM1139" s="338"/>
      <c r="AN1139" s="341"/>
      <c r="AO1139" s="341"/>
      <c r="AP1139" s="341"/>
      <c r="AQ1139" s="341"/>
      <c r="AR1139" s="341"/>
      <c r="AS1139" s="341"/>
      <c r="AT1139" s="341"/>
      <c r="AU1139" s="343"/>
      <c r="AV1139" s="341"/>
      <c r="AW1139" s="269" t="s">
        <v>2208</v>
      </c>
      <c r="AX1139" s="334" t="s">
        <v>2869</v>
      </c>
      <c r="AY1139" s="270" t="s">
        <v>695</v>
      </c>
      <c r="AZ1139" s="173" t="s">
        <v>2866</v>
      </c>
      <c r="BA1139" s="265">
        <v>10.0</v>
      </c>
      <c r="BB1139" s="174" t="s">
        <v>245</v>
      </c>
      <c r="BC1139" s="341"/>
      <c r="BD1139" s="308"/>
      <c r="BE1139" s="347"/>
      <c r="BF1139" s="274" t="str">
        <f>IFERROR(__xludf.DUMMYFUNCTION("LOWER(Regexreplace(to_text(E1139),""[^A-Za-z0-9]"","""")&amp;""_""&amp;Regexreplace(to_text(F1139),""[^A-Za-z0-9]"",""""))"),"neptronic_evcbseries")</f>
        <v>neptronic_evcbseries</v>
      </c>
      <c r="BG1139" s="275" t="str">
        <f>IFERROR(__xludf.DUMMYFUNCTION("upper(Regexreplace(to_text(E1139),""[^A-Za-z0-9]"","""")&amp;""-""&amp;Regexreplace(to_text(F1139),""[^A-Za-z0-9]"",""""))"),"NEPTRONIC-EVCBSERIES")</f>
        <v>NEPTRONIC-EVCBSERIES</v>
      </c>
    </row>
    <row r="1140" ht="30.0" customHeight="1">
      <c r="A1140" s="258">
        <v>1132.0</v>
      </c>
      <c r="B1140" s="237" t="s">
        <v>670</v>
      </c>
      <c r="C1140" s="257" t="s">
        <v>4937</v>
      </c>
      <c r="D1140" s="173" t="s">
        <v>4937</v>
      </c>
      <c r="E1140" s="174" t="s">
        <v>2861</v>
      </c>
      <c r="F1140" s="173" t="s">
        <v>2862</v>
      </c>
      <c r="G1140" s="328" t="s">
        <v>673</v>
      </c>
      <c r="H1140" s="328" t="s">
        <v>2863</v>
      </c>
      <c r="I1140" s="258" t="s">
        <v>2864</v>
      </c>
      <c r="J1140" s="259" t="s">
        <v>1026</v>
      </c>
      <c r="K1140" s="260" t="s">
        <v>4938</v>
      </c>
      <c r="L1140" s="328"/>
      <c r="M1140" s="343"/>
      <c r="N1140" s="173" t="s">
        <v>679</v>
      </c>
      <c r="O1140" s="173" t="s">
        <v>225</v>
      </c>
      <c r="P1140" s="262" t="str">
        <f t="shared" si="1"/>
        <v>IN-BLR-ANANTA-VAV-712_4</v>
      </c>
      <c r="Q1140" s="173" t="s">
        <v>4939</v>
      </c>
      <c r="R1140" s="328" t="str">
        <f>IFS(C1140="","",C1140="n/a","N/A",LEN(C1140),Concatenate("{",char(34),"asset",char(34),":{",char(34),"guid",char(34),":",char(34),Q1140,char(34),",",char(34),"site",char(34),":",char(34),LOWER('2-Building'!$B$4),char(34),",",char(34),"name",char(34),":",char(34),LOWER(C1140),char(34),"}}"))</f>
        <v>{"asset":{"guid":"uuid://cb7931e2-18e4-48ea-8f96-3d0c16bee7e5","site":"in-blr-ananta","name":"vav-712"}}</v>
      </c>
      <c r="S1140" s="237" t="s">
        <v>2866</v>
      </c>
      <c r="T1140" s="330"/>
      <c r="U1140" s="330"/>
      <c r="V1140" s="331"/>
      <c r="W1140" s="344"/>
      <c r="X1140" s="341"/>
      <c r="Y1140" s="33" t="s">
        <v>2867</v>
      </c>
      <c r="Z1140" s="258">
        <v>120712.0</v>
      </c>
      <c r="AA1140" s="334">
        <v>11661.0</v>
      </c>
      <c r="AB1140" s="341"/>
      <c r="AC1140" s="341"/>
      <c r="AD1140" s="343"/>
      <c r="AE1140" s="331"/>
      <c r="AF1140" s="348"/>
      <c r="AG1140" s="337"/>
      <c r="AH1140" s="341"/>
      <c r="AI1140" s="341"/>
      <c r="AJ1140" s="341"/>
      <c r="AK1140" s="341"/>
      <c r="AL1140" s="341"/>
      <c r="AM1140" s="338"/>
      <c r="AN1140" s="341"/>
      <c r="AO1140" s="341"/>
      <c r="AP1140" s="341"/>
      <c r="AQ1140" s="341"/>
      <c r="AR1140" s="341"/>
      <c r="AS1140" s="341"/>
      <c r="AT1140" s="341"/>
      <c r="AU1140" s="343"/>
      <c r="AV1140" s="341"/>
      <c r="AW1140" s="269" t="s">
        <v>2208</v>
      </c>
      <c r="AX1140" s="334" t="s">
        <v>2869</v>
      </c>
      <c r="AY1140" s="270" t="s">
        <v>695</v>
      </c>
      <c r="AZ1140" s="173" t="s">
        <v>2866</v>
      </c>
      <c r="BA1140" s="265">
        <v>10.0</v>
      </c>
      <c r="BB1140" s="174" t="s">
        <v>245</v>
      </c>
      <c r="BC1140" s="341"/>
      <c r="BD1140" s="308"/>
      <c r="BE1140" s="347"/>
      <c r="BF1140" s="274" t="str">
        <f>IFERROR(__xludf.DUMMYFUNCTION("LOWER(Regexreplace(to_text(E1140),""[^A-Za-z0-9]"","""")&amp;""_""&amp;Regexreplace(to_text(F1140),""[^A-Za-z0-9]"",""""))"),"neptronic_evcbseries")</f>
        <v>neptronic_evcbseries</v>
      </c>
      <c r="BG1140" s="275" t="str">
        <f>IFERROR(__xludf.DUMMYFUNCTION("upper(Regexreplace(to_text(E1140),""[^A-Za-z0-9]"","""")&amp;""-""&amp;Regexreplace(to_text(F1140),""[^A-Za-z0-9]"",""""))"),"NEPTRONIC-EVCBSERIES")</f>
        <v>NEPTRONIC-EVCBSERIES</v>
      </c>
    </row>
    <row r="1141" ht="30.0" customHeight="1">
      <c r="A1141" s="173">
        <v>1133.0</v>
      </c>
      <c r="B1141" s="237" t="s">
        <v>670</v>
      </c>
      <c r="C1141" s="257" t="s">
        <v>4940</v>
      </c>
      <c r="D1141" s="173" t="s">
        <v>4940</v>
      </c>
      <c r="E1141" s="174" t="s">
        <v>2861</v>
      </c>
      <c r="F1141" s="173" t="s">
        <v>2862</v>
      </c>
      <c r="G1141" s="328" t="s">
        <v>673</v>
      </c>
      <c r="H1141" s="328" t="s">
        <v>2863</v>
      </c>
      <c r="I1141" s="258" t="s">
        <v>2864</v>
      </c>
      <c r="J1141" s="259" t="s">
        <v>1026</v>
      </c>
      <c r="K1141" s="260" t="s">
        <v>4941</v>
      </c>
      <c r="L1141" s="328"/>
      <c r="M1141" s="343"/>
      <c r="N1141" s="173" t="s">
        <v>679</v>
      </c>
      <c r="O1141" s="173" t="s">
        <v>225</v>
      </c>
      <c r="P1141" s="262" t="str">
        <f t="shared" si="1"/>
        <v>IN-BLR-ANANTA-VAV-713_4</v>
      </c>
      <c r="Q1141" s="173" t="s">
        <v>4942</v>
      </c>
      <c r="R1141" s="328" t="str">
        <f>IFS(C1141="","",C1141="n/a","N/A",LEN(C1141),Concatenate("{",char(34),"asset",char(34),":{",char(34),"guid",char(34),":",char(34),Q1141,char(34),",",char(34),"site",char(34),":",char(34),LOWER('2-Building'!$B$4),char(34),",",char(34),"name",char(34),":",char(34),LOWER(C1141),char(34),"}}"))</f>
        <v>{"asset":{"guid":"uuid://fef0ed9f-7a7d-49de-a2c8-f6f3aed0a274","site":"in-blr-ananta","name":"vav-713"}}</v>
      </c>
      <c r="S1141" s="237" t="s">
        <v>2866</v>
      </c>
      <c r="T1141" s="330"/>
      <c r="U1141" s="330"/>
      <c r="V1141" s="331"/>
      <c r="W1141" s="344"/>
      <c r="X1141" s="341"/>
      <c r="Y1141" s="33" t="s">
        <v>2867</v>
      </c>
      <c r="Z1141" s="258">
        <v>120713.0</v>
      </c>
      <c r="AA1141" s="334">
        <v>11661.0</v>
      </c>
      <c r="AB1141" s="341"/>
      <c r="AC1141" s="341"/>
      <c r="AD1141" s="343"/>
      <c r="AE1141" s="331"/>
      <c r="AF1141" s="348"/>
      <c r="AG1141" s="337"/>
      <c r="AH1141" s="341"/>
      <c r="AI1141" s="341"/>
      <c r="AJ1141" s="341"/>
      <c r="AK1141" s="341"/>
      <c r="AL1141" s="341"/>
      <c r="AM1141" s="338"/>
      <c r="AN1141" s="341"/>
      <c r="AO1141" s="341"/>
      <c r="AP1141" s="341"/>
      <c r="AQ1141" s="341"/>
      <c r="AR1141" s="341"/>
      <c r="AS1141" s="341"/>
      <c r="AT1141" s="341"/>
      <c r="AU1141" s="343"/>
      <c r="AV1141" s="341"/>
      <c r="AW1141" s="269" t="s">
        <v>2208</v>
      </c>
      <c r="AX1141" s="334" t="s">
        <v>2869</v>
      </c>
      <c r="AY1141" s="270" t="s">
        <v>695</v>
      </c>
      <c r="AZ1141" s="173" t="s">
        <v>2866</v>
      </c>
      <c r="BA1141" s="265">
        <v>10.0</v>
      </c>
      <c r="BB1141" s="174" t="s">
        <v>245</v>
      </c>
      <c r="BC1141" s="341"/>
      <c r="BD1141" s="308"/>
      <c r="BE1141" s="347"/>
      <c r="BF1141" s="274" t="str">
        <f>IFERROR(__xludf.DUMMYFUNCTION("LOWER(Regexreplace(to_text(E1141),""[^A-Za-z0-9]"","""")&amp;""_""&amp;Regexreplace(to_text(F1141),""[^A-Za-z0-9]"",""""))"),"neptronic_evcbseries")</f>
        <v>neptronic_evcbseries</v>
      </c>
      <c r="BG1141" s="275" t="str">
        <f>IFERROR(__xludf.DUMMYFUNCTION("upper(Regexreplace(to_text(E1141),""[^A-Za-z0-9]"","""")&amp;""-""&amp;Regexreplace(to_text(F1141),""[^A-Za-z0-9]"",""""))"),"NEPTRONIC-EVCBSERIES")</f>
        <v>NEPTRONIC-EVCBSERIES</v>
      </c>
    </row>
    <row r="1142" ht="30.0" customHeight="1">
      <c r="A1142" s="258">
        <v>1134.0</v>
      </c>
      <c r="B1142" s="237" t="s">
        <v>670</v>
      </c>
      <c r="C1142" s="257" t="s">
        <v>4943</v>
      </c>
      <c r="D1142" s="173" t="s">
        <v>4943</v>
      </c>
      <c r="E1142" s="174" t="s">
        <v>2861</v>
      </c>
      <c r="F1142" s="173" t="s">
        <v>2862</v>
      </c>
      <c r="G1142" s="328" t="s">
        <v>673</v>
      </c>
      <c r="H1142" s="328" t="s">
        <v>2863</v>
      </c>
      <c r="I1142" s="258" t="s">
        <v>2864</v>
      </c>
      <c r="J1142" s="259" t="s">
        <v>1026</v>
      </c>
      <c r="K1142" s="260" t="s">
        <v>4944</v>
      </c>
      <c r="L1142" s="328"/>
      <c r="M1142" s="343"/>
      <c r="N1142" s="173" t="s">
        <v>679</v>
      </c>
      <c r="O1142" s="173" t="s">
        <v>225</v>
      </c>
      <c r="P1142" s="262" t="str">
        <f t="shared" si="1"/>
        <v>IN-BLR-ANANTA-VAV-714_4</v>
      </c>
      <c r="Q1142" s="173" t="s">
        <v>4945</v>
      </c>
      <c r="R1142" s="328" t="str">
        <f>IFS(C1142="","",C1142="n/a","N/A",LEN(C1142),Concatenate("{",char(34),"asset",char(34),":{",char(34),"guid",char(34),":",char(34),Q1142,char(34),",",char(34),"site",char(34),":",char(34),LOWER('2-Building'!$B$4),char(34),",",char(34),"name",char(34),":",char(34),LOWER(C1142),char(34),"}}"))</f>
        <v>{"asset":{"guid":"uuid://da4033f6-457b-403b-8b29-ae312a5b3145","site":"in-blr-ananta","name":"vav-714"}}</v>
      </c>
      <c r="S1142" s="237" t="s">
        <v>2866</v>
      </c>
      <c r="T1142" s="330"/>
      <c r="U1142" s="330"/>
      <c r="V1142" s="331"/>
      <c r="W1142" s="344"/>
      <c r="X1142" s="341"/>
      <c r="Y1142" s="33" t="s">
        <v>2867</v>
      </c>
      <c r="Z1142" s="258">
        <v>120714.0</v>
      </c>
      <c r="AA1142" s="334">
        <v>11661.0</v>
      </c>
      <c r="AB1142" s="341"/>
      <c r="AC1142" s="341"/>
      <c r="AD1142" s="343"/>
      <c r="AE1142" s="331"/>
      <c r="AF1142" s="348"/>
      <c r="AG1142" s="337"/>
      <c r="AH1142" s="341"/>
      <c r="AI1142" s="341"/>
      <c r="AJ1142" s="341"/>
      <c r="AK1142" s="341"/>
      <c r="AL1142" s="341"/>
      <c r="AM1142" s="338"/>
      <c r="AN1142" s="341"/>
      <c r="AO1142" s="341"/>
      <c r="AP1142" s="341"/>
      <c r="AQ1142" s="341"/>
      <c r="AR1142" s="341"/>
      <c r="AS1142" s="341"/>
      <c r="AT1142" s="341"/>
      <c r="AU1142" s="343"/>
      <c r="AV1142" s="341"/>
      <c r="AW1142" s="269" t="s">
        <v>2208</v>
      </c>
      <c r="AX1142" s="334" t="s">
        <v>2869</v>
      </c>
      <c r="AY1142" s="270" t="s">
        <v>695</v>
      </c>
      <c r="AZ1142" s="173" t="s">
        <v>2866</v>
      </c>
      <c r="BA1142" s="265">
        <v>10.0</v>
      </c>
      <c r="BB1142" s="174" t="s">
        <v>245</v>
      </c>
      <c r="BC1142" s="341"/>
      <c r="BD1142" s="308"/>
      <c r="BE1142" s="347"/>
      <c r="BF1142" s="274" t="str">
        <f>IFERROR(__xludf.DUMMYFUNCTION("LOWER(Regexreplace(to_text(E1142),""[^A-Za-z0-9]"","""")&amp;""_""&amp;Regexreplace(to_text(F1142),""[^A-Za-z0-9]"",""""))"),"neptronic_evcbseries")</f>
        <v>neptronic_evcbseries</v>
      </c>
      <c r="BG1142" s="275" t="str">
        <f>IFERROR(__xludf.DUMMYFUNCTION("upper(Regexreplace(to_text(E1142),""[^A-Za-z0-9]"","""")&amp;""-""&amp;Regexreplace(to_text(F1142),""[^A-Za-z0-9]"",""""))"),"NEPTRONIC-EVCBSERIES")</f>
        <v>NEPTRONIC-EVCBSERIES</v>
      </c>
    </row>
    <row r="1143" ht="30.0" customHeight="1">
      <c r="A1143" s="173">
        <v>1135.0</v>
      </c>
      <c r="B1143" s="237" t="s">
        <v>670</v>
      </c>
      <c r="C1143" s="257" t="s">
        <v>4946</v>
      </c>
      <c r="D1143" s="173" t="s">
        <v>4946</v>
      </c>
      <c r="E1143" s="174" t="s">
        <v>2861</v>
      </c>
      <c r="F1143" s="173" t="s">
        <v>2862</v>
      </c>
      <c r="G1143" s="328" t="s">
        <v>673</v>
      </c>
      <c r="H1143" s="328" t="s">
        <v>2863</v>
      </c>
      <c r="I1143" s="258" t="s">
        <v>2864</v>
      </c>
      <c r="J1143" s="259" t="s">
        <v>1026</v>
      </c>
      <c r="K1143" s="260" t="s">
        <v>4947</v>
      </c>
      <c r="L1143" s="328"/>
      <c r="M1143" s="343"/>
      <c r="N1143" s="173" t="s">
        <v>679</v>
      </c>
      <c r="O1143" s="173" t="s">
        <v>225</v>
      </c>
      <c r="P1143" s="262" t="str">
        <f t="shared" si="1"/>
        <v>IN-BLR-ANANTA-VAV-715_4</v>
      </c>
      <c r="Q1143" s="173" t="s">
        <v>4948</v>
      </c>
      <c r="R1143" s="328" t="str">
        <f>IFS(C1143="","",C1143="n/a","N/A",LEN(C1143),Concatenate("{",char(34),"asset",char(34),":{",char(34),"guid",char(34),":",char(34),Q1143,char(34),",",char(34),"site",char(34),":",char(34),LOWER('2-Building'!$B$4),char(34),",",char(34),"name",char(34),":",char(34),LOWER(C1143),char(34),"}}"))</f>
        <v>{"asset":{"guid":"uuid://f0c244b2-37d4-463b-87ae-908f177298d9","site":"in-blr-ananta","name":"vav-715"}}</v>
      </c>
      <c r="S1143" s="237" t="s">
        <v>2866</v>
      </c>
      <c r="T1143" s="330"/>
      <c r="U1143" s="330"/>
      <c r="V1143" s="331"/>
      <c r="W1143" s="344"/>
      <c r="X1143" s="341"/>
      <c r="Y1143" s="33" t="s">
        <v>2867</v>
      </c>
      <c r="Z1143" s="258">
        <v>120715.0</v>
      </c>
      <c r="AA1143" s="334">
        <v>11661.0</v>
      </c>
      <c r="AB1143" s="341"/>
      <c r="AC1143" s="341"/>
      <c r="AD1143" s="343"/>
      <c r="AE1143" s="331"/>
      <c r="AF1143" s="348"/>
      <c r="AG1143" s="337"/>
      <c r="AH1143" s="341"/>
      <c r="AI1143" s="341"/>
      <c r="AJ1143" s="341"/>
      <c r="AK1143" s="341"/>
      <c r="AL1143" s="341"/>
      <c r="AM1143" s="338"/>
      <c r="AN1143" s="341"/>
      <c r="AO1143" s="341"/>
      <c r="AP1143" s="341"/>
      <c r="AQ1143" s="341"/>
      <c r="AR1143" s="341"/>
      <c r="AS1143" s="341"/>
      <c r="AT1143" s="341"/>
      <c r="AU1143" s="343"/>
      <c r="AV1143" s="341"/>
      <c r="AW1143" s="269" t="s">
        <v>2208</v>
      </c>
      <c r="AX1143" s="334" t="s">
        <v>2869</v>
      </c>
      <c r="AY1143" s="270" t="s">
        <v>695</v>
      </c>
      <c r="AZ1143" s="173" t="s">
        <v>2866</v>
      </c>
      <c r="BA1143" s="265">
        <v>10.0</v>
      </c>
      <c r="BB1143" s="174" t="s">
        <v>245</v>
      </c>
      <c r="BC1143" s="341"/>
      <c r="BD1143" s="308"/>
      <c r="BE1143" s="347"/>
      <c r="BF1143" s="274" t="str">
        <f>IFERROR(__xludf.DUMMYFUNCTION("LOWER(Regexreplace(to_text(E1143),""[^A-Za-z0-9]"","""")&amp;""_""&amp;Regexreplace(to_text(F1143),""[^A-Za-z0-9]"",""""))"),"neptronic_evcbseries")</f>
        <v>neptronic_evcbseries</v>
      </c>
      <c r="BG1143" s="275" t="str">
        <f>IFERROR(__xludf.DUMMYFUNCTION("upper(Regexreplace(to_text(E1143),""[^A-Za-z0-9]"","""")&amp;""-""&amp;Regexreplace(to_text(F1143),""[^A-Za-z0-9]"",""""))"),"NEPTRONIC-EVCBSERIES")</f>
        <v>NEPTRONIC-EVCBSERIES</v>
      </c>
    </row>
    <row r="1144" ht="30.0" customHeight="1">
      <c r="A1144" s="258">
        <v>1136.0</v>
      </c>
      <c r="B1144" s="237" t="s">
        <v>670</v>
      </c>
      <c r="C1144" s="257" t="s">
        <v>4949</v>
      </c>
      <c r="D1144" s="173" t="s">
        <v>4949</v>
      </c>
      <c r="E1144" s="174" t="s">
        <v>2861</v>
      </c>
      <c r="F1144" s="173" t="s">
        <v>2862</v>
      </c>
      <c r="G1144" s="328" t="s">
        <v>673</v>
      </c>
      <c r="H1144" s="328" t="s">
        <v>2863</v>
      </c>
      <c r="I1144" s="258" t="s">
        <v>2864</v>
      </c>
      <c r="J1144" s="259" t="s">
        <v>1026</v>
      </c>
      <c r="K1144" s="260" t="s">
        <v>4950</v>
      </c>
      <c r="L1144" s="328"/>
      <c r="M1144" s="343"/>
      <c r="N1144" s="173" t="s">
        <v>679</v>
      </c>
      <c r="O1144" s="173" t="s">
        <v>225</v>
      </c>
      <c r="P1144" s="262" t="str">
        <f t="shared" si="1"/>
        <v>IN-BLR-ANANTA-VAV-716_4</v>
      </c>
      <c r="Q1144" s="173" t="s">
        <v>4951</v>
      </c>
      <c r="R1144" s="328" t="str">
        <f>IFS(C1144="","",C1144="n/a","N/A",LEN(C1144),Concatenate("{",char(34),"asset",char(34),":{",char(34),"guid",char(34),":",char(34),Q1144,char(34),",",char(34),"site",char(34),":",char(34),LOWER('2-Building'!$B$4),char(34),",",char(34),"name",char(34),":",char(34),LOWER(C1144),char(34),"}}"))</f>
        <v>{"asset":{"guid":"uuid://7aaad882-44d0-4de9-836d-612ef1a11aee","site":"in-blr-ananta","name":"vav-716"}}</v>
      </c>
      <c r="S1144" s="237" t="s">
        <v>2866</v>
      </c>
      <c r="T1144" s="330"/>
      <c r="U1144" s="330"/>
      <c r="V1144" s="331"/>
      <c r="W1144" s="344"/>
      <c r="X1144" s="341"/>
      <c r="Y1144" s="33" t="s">
        <v>2867</v>
      </c>
      <c r="Z1144" s="258">
        <v>120716.0</v>
      </c>
      <c r="AA1144" s="334">
        <v>11661.0</v>
      </c>
      <c r="AB1144" s="341"/>
      <c r="AC1144" s="341"/>
      <c r="AD1144" s="343"/>
      <c r="AE1144" s="331"/>
      <c r="AF1144" s="348"/>
      <c r="AG1144" s="337"/>
      <c r="AH1144" s="341"/>
      <c r="AI1144" s="341"/>
      <c r="AJ1144" s="341"/>
      <c r="AK1144" s="341"/>
      <c r="AL1144" s="341"/>
      <c r="AM1144" s="338"/>
      <c r="AN1144" s="341"/>
      <c r="AO1144" s="341"/>
      <c r="AP1144" s="341"/>
      <c r="AQ1144" s="341"/>
      <c r="AR1144" s="341"/>
      <c r="AS1144" s="341"/>
      <c r="AT1144" s="341"/>
      <c r="AU1144" s="343"/>
      <c r="AV1144" s="341"/>
      <c r="AW1144" s="269" t="s">
        <v>2208</v>
      </c>
      <c r="AX1144" s="334" t="s">
        <v>2869</v>
      </c>
      <c r="AY1144" s="270" t="s">
        <v>695</v>
      </c>
      <c r="AZ1144" s="173" t="s">
        <v>2866</v>
      </c>
      <c r="BA1144" s="265">
        <v>10.0</v>
      </c>
      <c r="BB1144" s="174" t="s">
        <v>245</v>
      </c>
      <c r="BC1144" s="341"/>
      <c r="BD1144" s="308"/>
      <c r="BE1144" s="347"/>
      <c r="BF1144" s="274" t="str">
        <f>IFERROR(__xludf.DUMMYFUNCTION("LOWER(Regexreplace(to_text(E1144),""[^A-Za-z0-9]"","""")&amp;""_""&amp;Regexreplace(to_text(F1144),""[^A-Za-z0-9]"",""""))"),"neptronic_evcbseries")</f>
        <v>neptronic_evcbseries</v>
      </c>
      <c r="BG1144" s="275" t="str">
        <f>IFERROR(__xludf.DUMMYFUNCTION("upper(Regexreplace(to_text(E1144),""[^A-Za-z0-9]"","""")&amp;""-""&amp;Regexreplace(to_text(F1144),""[^A-Za-z0-9]"",""""))"),"NEPTRONIC-EVCBSERIES")</f>
        <v>NEPTRONIC-EVCBSERIES</v>
      </c>
    </row>
    <row r="1145" ht="30.0" customHeight="1">
      <c r="A1145" s="173">
        <v>1137.0</v>
      </c>
      <c r="B1145" s="237" t="s">
        <v>670</v>
      </c>
      <c r="C1145" s="257" t="s">
        <v>4952</v>
      </c>
      <c r="D1145" s="173" t="s">
        <v>4952</v>
      </c>
      <c r="E1145" s="174" t="s">
        <v>2861</v>
      </c>
      <c r="F1145" s="173" t="s">
        <v>2862</v>
      </c>
      <c r="G1145" s="328" t="s">
        <v>673</v>
      </c>
      <c r="H1145" s="328" t="s">
        <v>2863</v>
      </c>
      <c r="I1145" s="258" t="s">
        <v>2864</v>
      </c>
      <c r="J1145" s="259" t="s">
        <v>1026</v>
      </c>
      <c r="K1145" s="260" t="s">
        <v>4953</v>
      </c>
      <c r="L1145" s="328"/>
      <c r="M1145" s="343"/>
      <c r="N1145" s="173" t="s">
        <v>679</v>
      </c>
      <c r="O1145" s="173" t="s">
        <v>225</v>
      </c>
      <c r="P1145" s="262" t="str">
        <f t="shared" si="1"/>
        <v>IN-BLR-ANANTA-VAV-717_4</v>
      </c>
      <c r="Q1145" s="173" t="s">
        <v>4954</v>
      </c>
      <c r="R1145" s="328" t="str">
        <f>IFS(C1145="","",C1145="n/a","N/A",LEN(C1145),Concatenate("{",char(34),"asset",char(34),":{",char(34),"guid",char(34),":",char(34),Q1145,char(34),",",char(34),"site",char(34),":",char(34),LOWER('2-Building'!$B$4),char(34),",",char(34),"name",char(34),":",char(34),LOWER(C1145),char(34),"}}"))</f>
        <v>{"asset":{"guid":"uuid://135aec52-edcc-4154-a762-86592557a37a","site":"in-blr-ananta","name":"vav-717"}}</v>
      </c>
      <c r="S1145" s="237" t="s">
        <v>2866</v>
      </c>
      <c r="T1145" s="330"/>
      <c r="U1145" s="330"/>
      <c r="V1145" s="331"/>
      <c r="W1145" s="344"/>
      <c r="X1145" s="341"/>
      <c r="Y1145" s="33" t="s">
        <v>2867</v>
      </c>
      <c r="Z1145" s="258">
        <v>120717.0</v>
      </c>
      <c r="AA1145" s="334">
        <v>11661.0</v>
      </c>
      <c r="AB1145" s="341"/>
      <c r="AC1145" s="341"/>
      <c r="AD1145" s="343"/>
      <c r="AE1145" s="331"/>
      <c r="AF1145" s="348"/>
      <c r="AG1145" s="337"/>
      <c r="AH1145" s="341"/>
      <c r="AI1145" s="341"/>
      <c r="AJ1145" s="341"/>
      <c r="AK1145" s="341"/>
      <c r="AL1145" s="341"/>
      <c r="AM1145" s="338"/>
      <c r="AN1145" s="341"/>
      <c r="AO1145" s="341"/>
      <c r="AP1145" s="341"/>
      <c r="AQ1145" s="341"/>
      <c r="AR1145" s="341"/>
      <c r="AS1145" s="341"/>
      <c r="AT1145" s="341"/>
      <c r="AU1145" s="343"/>
      <c r="AV1145" s="341"/>
      <c r="AW1145" s="269" t="s">
        <v>2208</v>
      </c>
      <c r="AX1145" s="334" t="s">
        <v>2869</v>
      </c>
      <c r="AY1145" s="270" t="s">
        <v>695</v>
      </c>
      <c r="AZ1145" s="173" t="s">
        <v>2866</v>
      </c>
      <c r="BA1145" s="265">
        <v>10.0</v>
      </c>
      <c r="BB1145" s="174" t="s">
        <v>245</v>
      </c>
      <c r="BC1145" s="341"/>
      <c r="BD1145" s="308"/>
      <c r="BE1145" s="347"/>
      <c r="BF1145" s="274" t="str">
        <f>IFERROR(__xludf.DUMMYFUNCTION("LOWER(Regexreplace(to_text(E1145),""[^A-Za-z0-9]"","""")&amp;""_""&amp;Regexreplace(to_text(F1145),""[^A-Za-z0-9]"",""""))"),"neptronic_evcbseries")</f>
        <v>neptronic_evcbseries</v>
      </c>
      <c r="BG1145" s="275" t="str">
        <f>IFERROR(__xludf.DUMMYFUNCTION("upper(Regexreplace(to_text(E1145),""[^A-Za-z0-9]"","""")&amp;""-""&amp;Regexreplace(to_text(F1145),""[^A-Za-z0-9]"",""""))"),"NEPTRONIC-EVCBSERIES")</f>
        <v>NEPTRONIC-EVCBSERIES</v>
      </c>
    </row>
    <row r="1146" ht="30.0" customHeight="1">
      <c r="A1146" s="258">
        <v>1138.0</v>
      </c>
      <c r="B1146" s="237" t="s">
        <v>670</v>
      </c>
      <c r="C1146" s="257" t="s">
        <v>4955</v>
      </c>
      <c r="D1146" s="173" t="s">
        <v>4955</v>
      </c>
      <c r="E1146" s="174" t="s">
        <v>2861</v>
      </c>
      <c r="F1146" s="173" t="s">
        <v>2862</v>
      </c>
      <c r="G1146" s="328" t="s">
        <v>673</v>
      </c>
      <c r="H1146" s="328" t="s">
        <v>2863</v>
      </c>
      <c r="I1146" s="258" t="s">
        <v>2864</v>
      </c>
      <c r="J1146" s="259" t="s">
        <v>1026</v>
      </c>
      <c r="K1146" s="260" t="s">
        <v>4956</v>
      </c>
      <c r="L1146" s="328"/>
      <c r="M1146" s="343"/>
      <c r="N1146" s="173" t="s">
        <v>679</v>
      </c>
      <c r="O1146" s="173" t="s">
        <v>225</v>
      </c>
      <c r="P1146" s="262" t="str">
        <f t="shared" si="1"/>
        <v>IN-BLR-ANANTA-VAV-718_4</v>
      </c>
      <c r="Q1146" s="173" t="s">
        <v>4957</v>
      </c>
      <c r="R1146" s="328" t="str">
        <f>IFS(C1146="","",C1146="n/a","N/A",LEN(C1146),Concatenate("{",char(34),"asset",char(34),":{",char(34),"guid",char(34),":",char(34),Q1146,char(34),",",char(34),"site",char(34),":",char(34),LOWER('2-Building'!$B$4),char(34),",",char(34),"name",char(34),":",char(34),LOWER(C1146),char(34),"}}"))</f>
        <v>{"asset":{"guid":"uuid://b2eccf45-e4ee-4eef-9f15-a06a4cc0d028","site":"in-blr-ananta","name":"vav-718"}}</v>
      </c>
      <c r="S1146" s="237" t="s">
        <v>2866</v>
      </c>
      <c r="T1146" s="330"/>
      <c r="U1146" s="330"/>
      <c r="V1146" s="331"/>
      <c r="W1146" s="344"/>
      <c r="X1146" s="341"/>
      <c r="Y1146" s="33" t="s">
        <v>2867</v>
      </c>
      <c r="Z1146" s="258">
        <v>120718.0</v>
      </c>
      <c r="AA1146" s="334">
        <v>11661.0</v>
      </c>
      <c r="AB1146" s="341"/>
      <c r="AC1146" s="341"/>
      <c r="AD1146" s="343"/>
      <c r="AE1146" s="331"/>
      <c r="AF1146" s="348"/>
      <c r="AG1146" s="337"/>
      <c r="AH1146" s="341"/>
      <c r="AI1146" s="341"/>
      <c r="AJ1146" s="341"/>
      <c r="AK1146" s="341"/>
      <c r="AL1146" s="341"/>
      <c r="AM1146" s="338"/>
      <c r="AN1146" s="341"/>
      <c r="AO1146" s="341"/>
      <c r="AP1146" s="341"/>
      <c r="AQ1146" s="341"/>
      <c r="AR1146" s="341"/>
      <c r="AS1146" s="341"/>
      <c r="AT1146" s="341"/>
      <c r="AU1146" s="343"/>
      <c r="AV1146" s="341"/>
      <c r="AW1146" s="269" t="s">
        <v>2208</v>
      </c>
      <c r="AX1146" s="334" t="s">
        <v>2869</v>
      </c>
      <c r="AY1146" s="270" t="s">
        <v>695</v>
      </c>
      <c r="AZ1146" s="173" t="s">
        <v>2866</v>
      </c>
      <c r="BA1146" s="265">
        <v>10.0</v>
      </c>
      <c r="BB1146" s="174" t="s">
        <v>245</v>
      </c>
      <c r="BC1146" s="341"/>
      <c r="BD1146" s="308"/>
      <c r="BE1146" s="347"/>
      <c r="BF1146" s="274" t="str">
        <f>IFERROR(__xludf.DUMMYFUNCTION("LOWER(Regexreplace(to_text(E1146),""[^A-Za-z0-9]"","""")&amp;""_""&amp;Regexreplace(to_text(F1146),""[^A-Za-z0-9]"",""""))"),"neptronic_evcbseries")</f>
        <v>neptronic_evcbseries</v>
      </c>
      <c r="BG1146" s="275" t="str">
        <f>IFERROR(__xludf.DUMMYFUNCTION("upper(Regexreplace(to_text(E1146),""[^A-Za-z0-9]"","""")&amp;""-""&amp;Regexreplace(to_text(F1146),""[^A-Za-z0-9]"",""""))"),"NEPTRONIC-EVCBSERIES")</f>
        <v>NEPTRONIC-EVCBSERIES</v>
      </c>
    </row>
    <row r="1147" ht="30.0" customHeight="1">
      <c r="A1147" s="173">
        <v>1139.0</v>
      </c>
      <c r="B1147" s="237" t="s">
        <v>670</v>
      </c>
      <c r="C1147" s="257" t="s">
        <v>4958</v>
      </c>
      <c r="D1147" s="173" t="s">
        <v>4958</v>
      </c>
      <c r="E1147" s="174" t="s">
        <v>2861</v>
      </c>
      <c r="F1147" s="173" t="s">
        <v>2862</v>
      </c>
      <c r="G1147" s="328" t="s">
        <v>673</v>
      </c>
      <c r="H1147" s="328" t="s">
        <v>2863</v>
      </c>
      <c r="I1147" s="258" t="s">
        <v>2864</v>
      </c>
      <c r="J1147" s="259" t="s">
        <v>1026</v>
      </c>
      <c r="K1147" s="260" t="s">
        <v>4956</v>
      </c>
      <c r="L1147" s="328"/>
      <c r="M1147" s="343"/>
      <c r="N1147" s="173" t="s">
        <v>679</v>
      </c>
      <c r="O1147" s="173" t="s">
        <v>225</v>
      </c>
      <c r="P1147" s="262" t="str">
        <f t="shared" si="1"/>
        <v>IN-BLR-ANANTA-VAV-719_4</v>
      </c>
      <c r="Q1147" s="173" t="s">
        <v>4959</v>
      </c>
      <c r="R1147" s="328" t="str">
        <f>IFS(C1147="","",C1147="n/a","N/A",LEN(C1147),Concatenate("{",char(34),"asset",char(34),":{",char(34),"guid",char(34),":",char(34),Q1147,char(34),",",char(34),"site",char(34),":",char(34),LOWER('2-Building'!$B$4),char(34),",",char(34),"name",char(34),":",char(34),LOWER(C1147),char(34),"}}"))</f>
        <v>{"asset":{"guid":"uuid://0a3ce3f9-95af-491e-b7f5-46f67e7972b7","site":"in-blr-ananta","name":"vav-719"}}</v>
      </c>
      <c r="S1147" s="237" t="s">
        <v>2866</v>
      </c>
      <c r="T1147" s="330"/>
      <c r="U1147" s="330"/>
      <c r="V1147" s="331"/>
      <c r="W1147" s="344"/>
      <c r="X1147" s="341"/>
      <c r="Y1147" s="33" t="s">
        <v>2867</v>
      </c>
      <c r="Z1147" s="258">
        <v>120719.0</v>
      </c>
      <c r="AA1147" s="334">
        <v>11661.0</v>
      </c>
      <c r="AB1147" s="341"/>
      <c r="AC1147" s="341"/>
      <c r="AD1147" s="343"/>
      <c r="AE1147" s="331"/>
      <c r="AF1147" s="348"/>
      <c r="AG1147" s="337"/>
      <c r="AH1147" s="341"/>
      <c r="AI1147" s="341"/>
      <c r="AJ1147" s="341"/>
      <c r="AK1147" s="341"/>
      <c r="AL1147" s="341"/>
      <c r="AM1147" s="338"/>
      <c r="AN1147" s="341"/>
      <c r="AO1147" s="341"/>
      <c r="AP1147" s="341"/>
      <c r="AQ1147" s="341"/>
      <c r="AR1147" s="341"/>
      <c r="AS1147" s="341"/>
      <c r="AT1147" s="341"/>
      <c r="AU1147" s="343"/>
      <c r="AV1147" s="341"/>
      <c r="AW1147" s="269" t="s">
        <v>2208</v>
      </c>
      <c r="AX1147" s="334" t="s">
        <v>2869</v>
      </c>
      <c r="AY1147" s="270" t="s">
        <v>695</v>
      </c>
      <c r="AZ1147" s="173" t="s">
        <v>2866</v>
      </c>
      <c r="BA1147" s="265">
        <v>10.0</v>
      </c>
      <c r="BB1147" s="174" t="s">
        <v>245</v>
      </c>
      <c r="BC1147" s="341"/>
      <c r="BD1147" s="308"/>
      <c r="BE1147" s="347"/>
      <c r="BF1147" s="274" t="str">
        <f>IFERROR(__xludf.DUMMYFUNCTION("LOWER(Regexreplace(to_text(E1147),""[^A-Za-z0-9]"","""")&amp;""_""&amp;Regexreplace(to_text(F1147),""[^A-Za-z0-9]"",""""))"),"neptronic_evcbseries")</f>
        <v>neptronic_evcbseries</v>
      </c>
      <c r="BG1147" s="275" t="str">
        <f>IFERROR(__xludf.DUMMYFUNCTION("upper(Regexreplace(to_text(E1147),""[^A-Za-z0-9]"","""")&amp;""-""&amp;Regexreplace(to_text(F1147),""[^A-Za-z0-9]"",""""))"),"NEPTRONIC-EVCBSERIES")</f>
        <v>NEPTRONIC-EVCBSERIES</v>
      </c>
    </row>
    <row r="1148" ht="30.0" customHeight="1">
      <c r="A1148" s="258">
        <v>1140.0</v>
      </c>
      <c r="B1148" s="237" t="s">
        <v>670</v>
      </c>
      <c r="C1148" s="257" t="s">
        <v>4960</v>
      </c>
      <c r="D1148" s="173" t="s">
        <v>4960</v>
      </c>
      <c r="E1148" s="174" t="s">
        <v>2861</v>
      </c>
      <c r="F1148" s="173" t="s">
        <v>2862</v>
      </c>
      <c r="G1148" s="328" t="s">
        <v>673</v>
      </c>
      <c r="H1148" s="328" t="s">
        <v>2863</v>
      </c>
      <c r="I1148" s="258" t="s">
        <v>2864</v>
      </c>
      <c r="J1148" s="259" t="s">
        <v>1026</v>
      </c>
      <c r="K1148" s="260" t="s">
        <v>4961</v>
      </c>
      <c r="L1148" s="328"/>
      <c r="M1148" s="343"/>
      <c r="N1148" s="173" t="s">
        <v>679</v>
      </c>
      <c r="O1148" s="173" t="s">
        <v>225</v>
      </c>
      <c r="P1148" s="262" t="str">
        <f t="shared" si="1"/>
        <v>IN-BLR-ANANTA-VAV-720_4</v>
      </c>
      <c r="Q1148" s="173" t="s">
        <v>4962</v>
      </c>
      <c r="R1148" s="328" t="str">
        <f>IFS(C1148="","",C1148="n/a","N/A",LEN(C1148),Concatenate("{",char(34),"asset",char(34),":{",char(34),"guid",char(34),":",char(34),Q1148,char(34),",",char(34),"site",char(34),":",char(34),LOWER('2-Building'!$B$4),char(34),",",char(34),"name",char(34),":",char(34),LOWER(C1148),char(34),"}}"))</f>
        <v>{"asset":{"guid":"uuid://6e898530-b6e0-48d2-8785-eb433d8529c8","site":"in-blr-ananta","name":"vav-720"}}</v>
      </c>
      <c r="S1148" s="237" t="s">
        <v>2866</v>
      </c>
      <c r="T1148" s="330"/>
      <c r="U1148" s="330"/>
      <c r="V1148" s="331"/>
      <c r="W1148" s="344"/>
      <c r="X1148" s="341"/>
      <c r="Y1148" s="33" t="s">
        <v>2867</v>
      </c>
      <c r="Z1148" s="258">
        <v>120720.0</v>
      </c>
      <c r="AA1148" s="334">
        <v>11661.0</v>
      </c>
      <c r="AB1148" s="341"/>
      <c r="AC1148" s="341"/>
      <c r="AD1148" s="343"/>
      <c r="AE1148" s="331"/>
      <c r="AF1148" s="348"/>
      <c r="AG1148" s="337"/>
      <c r="AH1148" s="341"/>
      <c r="AI1148" s="341"/>
      <c r="AJ1148" s="341"/>
      <c r="AK1148" s="341"/>
      <c r="AL1148" s="341"/>
      <c r="AM1148" s="338"/>
      <c r="AN1148" s="341"/>
      <c r="AO1148" s="341"/>
      <c r="AP1148" s="341"/>
      <c r="AQ1148" s="341"/>
      <c r="AR1148" s="341"/>
      <c r="AS1148" s="341"/>
      <c r="AT1148" s="341"/>
      <c r="AU1148" s="343"/>
      <c r="AV1148" s="341"/>
      <c r="AW1148" s="269" t="s">
        <v>2208</v>
      </c>
      <c r="AX1148" s="334" t="s">
        <v>2869</v>
      </c>
      <c r="AY1148" s="270" t="s">
        <v>695</v>
      </c>
      <c r="AZ1148" s="173" t="s">
        <v>2866</v>
      </c>
      <c r="BA1148" s="265">
        <v>10.0</v>
      </c>
      <c r="BB1148" s="174" t="s">
        <v>245</v>
      </c>
      <c r="BC1148" s="341"/>
      <c r="BD1148" s="308"/>
      <c r="BE1148" s="347"/>
      <c r="BF1148" s="274" t="str">
        <f>IFERROR(__xludf.DUMMYFUNCTION("LOWER(Regexreplace(to_text(E1148),""[^A-Za-z0-9]"","""")&amp;""_""&amp;Regexreplace(to_text(F1148),""[^A-Za-z0-9]"",""""))"),"neptronic_evcbseries")</f>
        <v>neptronic_evcbseries</v>
      </c>
      <c r="BG1148" s="275" t="str">
        <f>IFERROR(__xludf.DUMMYFUNCTION("upper(Regexreplace(to_text(E1148),""[^A-Za-z0-9]"","""")&amp;""-""&amp;Regexreplace(to_text(F1148),""[^A-Za-z0-9]"",""""))"),"NEPTRONIC-EVCBSERIES")</f>
        <v>NEPTRONIC-EVCBSERIES</v>
      </c>
    </row>
    <row r="1149" ht="30.0" customHeight="1">
      <c r="A1149" s="173">
        <v>1141.0</v>
      </c>
      <c r="B1149" s="237" t="s">
        <v>670</v>
      </c>
      <c r="C1149" s="257" t="s">
        <v>4963</v>
      </c>
      <c r="D1149" s="173" t="s">
        <v>4963</v>
      </c>
      <c r="E1149" s="174" t="s">
        <v>2861</v>
      </c>
      <c r="F1149" s="173" t="s">
        <v>2862</v>
      </c>
      <c r="G1149" s="328" t="s">
        <v>673</v>
      </c>
      <c r="H1149" s="328" t="s">
        <v>2863</v>
      </c>
      <c r="I1149" s="258" t="s">
        <v>2864</v>
      </c>
      <c r="J1149" s="259" t="s">
        <v>1026</v>
      </c>
      <c r="K1149" s="260" t="s">
        <v>4964</v>
      </c>
      <c r="L1149" s="328"/>
      <c r="M1149" s="343"/>
      <c r="N1149" s="173" t="s">
        <v>679</v>
      </c>
      <c r="O1149" s="173" t="s">
        <v>225</v>
      </c>
      <c r="P1149" s="262" t="str">
        <f t="shared" si="1"/>
        <v>IN-BLR-ANANTA-VAV-721_4</v>
      </c>
      <c r="Q1149" s="173" t="s">
        <v>4965</v>
      </c>
      <c r="R1149" s="328" t="str">
        <f>IFS(C1149="","",C1149="n/a","N/A",LEN(C1149),Concatenate("{",char(34),"asset",char(34),":{",char(34),"guid",char(34),":",char(34),Q1149,char(34),",",char(34),"site",char(34),":",char(34),LOWER('2-Building'!$B$4),char(34),",",char(34),"name",char(34),":",char(34),LOWER(C1149),char(34),"}}"))</f>
        <v>{"asset":{"guid":"uuid://497f2559-79d5-48bc-a5ef-a8a967a99964","site":"in-blr-ananta","name":"vav-721"}}</v>
      </c>
      <c r="S1149" s="237" t="s">
        <v>2866</v>
      </c>
      <c r="T1149" s="330"/>
      <c r="U1149" s="330"/>
      <c r="V1149" s="331"/>
      <c r="W1149" s="344"/>
      <c r="X1149" s="341"/>
      <c r="Y1149" s="33" t="s">
        <v>2867</v>
      </c>
      <c r="Z1149" s="258">
        <v>120721.0</v>
      </c>
      <c r="AA1149" s="334">
        <v>11661.0</v>
      </c>
      <c r="AB1149" s="341"/>
      <c r="AC1149" s="341"/>
      <c r="AD1149" s="343"/>
      <c r="AE1149" s="331"/>
      <c r="AF1149" s="348"/>
      <c r="AG1149" s="337"/>
      <c r="AH1149" s="341"/>
      <c r="AI1149" s="341"/>
      <c r="AJ1149" s="341"/>
      <c r="AK1149" s="341"/>
      <c r="AL1149" s="341"/>
      <c r="AM1149" s="338"/>
      <c r="AN1149" s="341"/>
      <c r="AO1149" s="341"/>
      <c r="AP1149" s="341"/>
      <c r="AQ1149" s="341"/>
      <c r="AR1149" s="341"/>
      <c r="AS1149" s="341"/>
      <c r="AT1149" s="341"/>
      <c r="AU1149" s="343"/>
      <c r="AV1149" s="341"/>
      <c r="AW1149" s="269" t="s">
        <v>2208</v>
      </c>
      <c r="AX1149" s="334" t="s">
        <v>2869</v>
      </c>
      <c r="AY1149" s="270" t="s">
        <v>695</v>
      </c>
      <c r="AZ1149" s="173" t="s">
        <v>2866</v>
      </c>
      <c r="BA1149" s="265">
        <v>10.0</v>
      </c>
      <c r="BB1149" s="174" t="s">
        <v>245</v>
      </c>
      <c r="BC1149" s="341"/>
      <c r="BD1149" s="308"/>
      <c r="BE1149" s="347"/>
      <c r="BF1149" s="274" t="str">
        <f>IFERROR(__xludf.DUMMYFUNCTION("LOWER(Regexreplace(to_text(E1149),""[^A-Za-z0-9]"","""")&amp;""_""&amp;Regexreplace(to_text(F1149),""[^A-Za-z0-9]"",""""))"),"neptronic_evcbseries")</f>
        <v>neptronic_evcbseries</v>
      </c>
      <c r="BG1149" s="275" t="str">
        <f>IFERROR(__xludf.DUMMYFUNCTION("upper(Regexreplace(to_text(E1149),""[^A-Za-z0-9]"","""")&amp;""-""&amp;Regexreplace(to_text(F1149),""[^A-Za-z0-9]"",""""))"),"NEPTRONIC-EVCBSERIES")</f>
        <v>NEPTRONIC-EVCBSERIES</v>
      </c>
    </row>
    <row r="1150" ht="30.0" customHeight="1">
      <c r="A1150" s="258">
        <v>1142.0</v>
      </c>
      <c r="B1150" s="237" t="s">
        <v>670</v>
      </c>
      <c r="C1150" s="257" t="s">
        <v>4966</v>
      </c>
      <c r="D1150" s="173" t="s">
        <v>4966</v>
      </c>
      <c r="E1150" s="174" t="s">
        <v>2861</v>
      </c>
      <c r="F1150" s="173" t="s">
        <v>2862</v>
      </c>
      <c r="G1150" s="328" t="s">
        <v>673</v>
      </c>
      <c r="H1150" s="328" t="s">
        <v>2863</v>
      </c>
      <c r="I1150" s="258" t="s">
        <v>2864</v>
      </c>
      <c r="J1150" s="259" t="s">
        <v>1026</v>
      </c>
      <c r="K1150" s="260" t="s">
        <v>4967</v>
      </c>
      <c r="L1150" s="328"/>
      <c r="M1150" s="343"/>
      <c r="N1150" s="173" t="s">
        <v>679</v>
      </c>
      <c r="O1150" s="173" t="s">
        <v>225</v>
      </c>
      <c r="P1150" s="262" t="str">
        <f t="shared" si="1"/>
        <v>IN-BLR-ANANTA-VAV-722_4</v>
      </c>
      <c r="Q1150" s="173" t="s">
        <v>4968</v>
      </c>
      <c r="R1150" s="328" t="str">
        <f>IFS(C1150="","",C1150="n/a","N/A",LEN(C1150),Concatenate("{",char(34),"asset",char(34),":{",char(34),"guid",char(34),":",char(34),Q1150,char(34),",",char(34),"site",char(34),":",char(34),LOWER('2-Building'!$B$4),char(34),",",char(34),"name",char(34),":",char(34),LOWER(C1150),char(34),"}}"))</f>
        <v>{"asset":{"guid":"uuid://87c9c7b2-5c03-418b-ac2c-6cec04270e37","site":"in-blr-ananta","name":"vav-722"}}</v>
      </c>
      <c r="S1150" s="237" t="s">
        <v>2866</v>
      </c>
      <c r="T1150" s="330"/>
      <c r="U1150" s="330"/>
      <c r="V1150" s="331"/>
      <c r="W1150" s="344"/>
      <c r="X1150" s="341"/>
      <c r="Y1150" s="33" t="s">
        <v>2867</v>
      </c>
      <c r="Z1150" s="258">
        <v>120722.0</v>
      </c>
      <c r="AA1150" s="334">
        <v>11661.0</v>
      </c>
      <c r="AB1150" s="341"/>
      <c r="AC1150" s="341"/>
      <c r="AD1150" s="343"/>
      <c r="AE1150" s="331"/>
      <c r="AF1150" s="348"/>
      <c r="AG1150" s="337"/>
      <c r="AH1150" s="341"/>
      <c r="AI1150" s="341"/>
      <c r="AJ1150" s="341"/>
      <c r="AK1150" s="341"/>
      <c r="AL1150" s="341"/>
      <c r="AM1150" s="338"/>
      <c r="AN1150" s="341"/>
      <c r="AO1150" s="341"/>
      <c r="AP1150" s="341"/>
      <c r="AQ1150" s="341"/>
      <c r="AR1150" s="341"/>
      <c r="AS1150" s="341"/>
      <c r="AT1150" s="341"/>
      <c r="AU1150" s="343"/>
      <c r="AV1150" s="341"/>
      <c r="AW1150" s="269" t="s">
        <v>2208</v>
      </c>
      <c r="AX1150" s="334" t="s">
        <v>2869</v>
      </c>
      <c r="AY1150" s="270" t="s">
        <v>695</v>
      </c>
      <c r="AZ1150" s="173" t="s">
        <v>2866</v>
      </c>
      <c r="BA1150" s="265">
        <v>10.0</v>
      </c>
      <c r="BB1150" s="174" t="s">
        <v>245</v>
      </c>
      <c r="BC1150" s="341"/>
      <c r="BD1150" s="308"/>
      <c r="BE1150" s="347"/>
      <c r="BF1150" s="274" t="str">
        <f>IFERROR(__xludf.DUMMYFUNCTION("LOWER(Regexreplace(to_text(E1150),""[^A-Za-z0-9]"","""")&amp;""_""&amp;Regexreplace(to_text(F1150),""[^A-Za-z0-9]"",""""))"),"neptronic_evcbseries")</f>
        <v>neptronic_evcbseries</v>
      </c>
      <c r="BG1150" s="275" t="str">
        <f>IFERROR(__xludf.DUMMYFUNCTION("upper(Regexreplace(to_text(E1150),""[^A-Za-z0-9]"","""")&amp;""-""&amp;Regexreplace(to_text(F1150),""[^A-Za-z0-9]"",""""))"),"NEPTRONIC-EVCBSERIES")</f>
        <v>NEPTRONIC-EVCBSERIES</v>
      </c>
    </row>
    <row r="1151" ht="30.0" customHeight="1">
      <c r="A1151" s="173">
        <v>1143.0</v>
      </c>
      <c r="B1151" s="237" t="s">
        <v>670</v>
      </c>
      <c r="C1151" s="257" t="s">
        <v>4969</v>
      </c>
      <c r="D1151" s="173" t="s">
        <v>4969</v>
      </c>
      <c r="E1151" s="174" t="s">
        <v>2861</v>
      </c>
      <c r="F1151" s="173" t="s">
        <v>2862</v>
      </c>
      <c r="G1151" s="328" t="s">
        <v>673</v>
      </c>
      <c r="H1151" s="328" t="s">
        <v>2863</v>
      </c>
      <c r="I1151" s="258" t="s">
        <v>2864</v>
      </c>
      <c r="J1151" s="259" t="s">
        <v>1026</v>
      </c>
      <c r="K1151" s="260" t="s">
        <v>4970</v>
      </c>
      <c r="L1151" s="328"/>
      <c r="M1151" s="343"/>
      <c r="N1151" s="173" t="s">
        <v>679</v>
      </c>
      <c r="O1151" s="173" t="s">
        <v>225</v>
      </c>
      <c r="P1151" s="262" t="str">
        <f t="shared" si="1"/>
        <v>IN-BLR-ANANTA-VAV-723_4</v>
      </c>
      <c r="Q1151" s="173" t="s">
        <v>4971</v>
      </c>
      <c r="R1151" s="328" t="str">
        <f>IFS(C1151="","",C1151="n/a","N/A",LEN(C1151),Concatenate("{",char(34),"asset",char(34),":{",char(34),"guid",char(34),":",char(34),Q1151,char(34),",",char(34),"site",char(34),":",char(34),LOWER('2-Building'!$B$4),char(34),",",char(34),"name",char(34),":",char(34),LOWER(C1151),char(34),"}}"))</f>
        <v>{"asset":{"guid":"uuid://c0ec461e-2e18-4220-b4fc-e1d9e28df31c","site":"in-blr-ananta","name":"vav-723"}}</v>
      </c>
      <c r="S1151" s="237" t="s">
        <v>2866</v>
      </c>
      <c r="T1151" s="330"/>
      <c r="U1151" s="330"/>
      <c r="V1151" s="331"/>
      <c r="W1151" s="344"/>
      <c r="X1151" s="341"/>
      <c r="Y1151" s="33" t="s">
        <v>2867</v>
      </c>
      <c r="Z1151" s="258">
        <v>120723.0</v>
      </c>
      <c r="AA1151" s="334">
        <v>11661.0</v>
      </c>
      <c r="AB1151" s="341"/>
      <c r="AC1151" s="341"/>
      <c r="AD1151" s="343"/>
      <c r="AE1151" s="331"/>
      <c r="AF1151" s="348"/>
      <c r="AG1151" s="337"/>
      <c r="AH1151" s="341"/>
      <c r="AI1151" s="341"/>
      <c r="AJ1151" s="341"/>
      <c r="AK1151" s="341"/>
      <c r="AL1151" s="341"/>
      <c r="AM1151" s="338"/>
      <c r="AN1151" s="341"/>
      <c r="AO1151" s="341"/>
      <c r="AP1151" s="341"/>
      <c r="AQ1151" s="341"/>
      <c r="AR1151" s="341"/>
      <c r="AS1151" s="341"/>
      <c r="AT1151" s="341"/>
      <c r="AU1151" s="343"/>
      <c r="AV1151" s="341"/>
      <c r="AW1151" s="269" t="s">
        <v>2208</v>
      </c>
      <c r="AX1151" s="334" t="s">
        <v>2869</v>
      </c>
      <c r="AY1151" s="270" t="s">
        <v>695</v>
      </c>
      <c r="AZ1151" s="173" t="s">
        <v>2866</v>
      </c>
      <c r="BA1151" s="265">
        <v>10.0</v>
      </c>
      <c r="BB1151" s="174" t="s">
        <v>245</v>
      </c>
      <c r="BC1151" s="341"/>
      <c r="BD1151" s="308"/>
      <c r="BE1151" s="347"/>
      <c r="BF1151" s="274" t="str">
        <f>IFERROR(__xludf.DUMMYFUNCTION("LOWER(Regexreplace(to_text(E1151),""[^A-Za-z0-9]"","""")&amp;""_""&amp;Regexreplace(to_text(F1151),""[^A-Za-z0-9]"",""""))"),"neptronic_evcbseries")</f>
        <v>neptronic_evcbseries</v>
      </c>
      <c r="BG1151" s="275" t="str">
        <f>IFERROR(__xludf.DUMMYFUNCTION("upper(Regexreplace(to_text(E1151),""[^A-Za-z0-9]"","""")&amp;""-""&amp;Regexreplace(to_text(F1151),""[^A-Za-z0-9]"",""""))"),"NEPTRONIC-EVCBSERIES")</f>
        <v>NEPTRONIC-EVCBSERIES</v>
      </c>
    </row>
    <row r="1152" ht="30.0" customHeight="1">
      <c r="A1152" s="258">
        <v>1144.0</v>
      </c>
      <c r="B1152" s="237" t="s">
        <v>670</v>
      </c>
      <c r="C1152" s="257" t="s">
        <v>4972</v>
      </c>
      <c r="D1152" s="173" t="s">
        <v>4972</v>
      </c>
      <c r="E1152" s="174" t="s">
        <v>2861</v>
      </c>
      <c r="F1152" s="173" t="s">
        <v>2862</v>
      </c>
      <c r="G1152" s="328" t="s">
        <v>673</v>
      </c>
      <c r="H1152" s="328" t="s">
        <v>2863</v>
      </c>
      <c r="I1152" s="258" t="s">
        <v>2864</v>
      </c>
      <c r="J1152" s="259" t="s">
        <v>1026</v>
      </c>
      <c r="K1152" s="260" t="s">
        <v>4973</v>
      </c>
      <c r="L1152" s="328"/>
      <c r="M1152" s="343"/>
      <c r="N1152" s="173" t="s">
        <v>679</v>
      </c>
      <c r="O1152" s="173" t="s">
        <v>225</v>
      </c>
      <c r="P1152" s="262" t="str">
        <f t="shared" si="1"/>
        <v>IN-BLR-ANANTA-VAV-724_4</v>
      </c>
      <c r="Q1152" s="173" t="s">
        <v>4974</v>
      </c>
      <c r="R1152" s="328" t="str">
        <f>IFS(C1152="","",C1152="n/a","N/A",LEN(C1152),Concatenate("{",char(34),"asset",char(34),":{",char(34),"guid",char(34),":",char(34),Q1152,char(34),",",char(34),"site",char(34),":",char(34),LOWER('2-Building'!$B$4),char(34),",",char(34),"name",char(34),":",char(34),LOWER(C1152),char(34),"}}"))</f>
        <v>{"asset":{"guid":"uuid://16a01e6d-1d30-4ff9-914b-5dedc2bbe57c","site":"in-blr-ananta","name":"vav-724"}}</v>
      </c>
      <c r="S1152" s="237" t="s">
        <v>2866</v>
      </c>
      <c r="T1152" s="330"/>
      <c r="U1152" s="330"/>
      <c r="V1152" s="331"/>
      <c r="W1152" s="344"/>
      <c r="X1152" s="341"/>
      <c r="Y1152" s="33" t="s">
        <v>2867</v>
      </c>
      <c r="Z1152" s="258">
        <v>120724.0</v>
      </c>
      <c r="AA1152" s="334">
        <v>11661.0</v>
      </c>
      <c r="AB1152" s="341"/>
      <c r="AC1152" s="341"/>
      <c r="AD1152" s="343"/>
      <c r="AE1152" s="331"/>
      <c r="AF1152" s="348"/>
      <c r="AG1152" s="337"/>
      <c r="AH1152" s="341"/>
      <c r="AI1152" s="341"/>
      <c r="AJ1152" s="341"/>
      <c r="AK1152" s="341"/>
      <c r="AL1152" s="341"/>
      <c r="AM1152" s="338"/>
      <c r="AN1152" s="341"/>
      <c r="AO1152" s="341"/>
      <c r="AP1152" s="341"/>
      <c r="AQ1152" s="341"/>
      <c r="AR1152" s="341"/>
      <c r="AS1152" s="341"/>
      <c r="AT1152" s="341"/>
      <c r="AU1152" s="343"/>
      <c r="AV1152" s="341"/>
      <c r="AW1152" s="269" t="s">
        <v>2208</v>
      </c>
      <c r="AX1152" s="334" t="s">
        <v>2869</v>
      </c>
      <c r="AY1152" s="270" t="s">
        <v>695</v>
      </c>
      <c r="AZ1152" s="173" t="s">
        <v>2866</v>
      </c>
      <c r="BA1152" s="265">
        <v>10.0</v>
      </c>
      <c r="BB1152" s="174" t="s">
        <v>245</v>
      </c>
      <c r="BC1152" s="341"/>
      <c r="BD1152" s="308"/>
      <c r="BE1152" s="347"/>
      <c r="BF1152" s="274" t="str">
        <f>IFERROR(__xludf.DUMMYFUNCTION("LOWER(Regexreplace(to_text(E1152),""[^A-Za-z0-9]"","""")&amp;""_""&amp;Regexreplace(to_text(F1152),""[^A-Za-z0-9]"",""""))"),"neptronic_evcbseries")</f>
        <v>neptronic_evcbseries</v>
      </c>
      <c r="BG1152" s="275" t="str">
        <f>IFERROR(__xludf.DUMMYFUNCTION("upper(Regexreplace(to_text(E1152),""[^A-Za-z0-9]"","""")&amp;""-""&amp;Regexreplace(to_text(F1152),""[^A-Za-z0-9]"",""""))"),"NEPTRONIC-EVCBSERIES")</f>
        <v>NEPTRONIC-EVCBSERIES</v>
      </c>
    </row>
    <row r="1153" ht="30.0" customHeight="1">
      <c r="A1153" s="173">
        <v>1145.0</v>
      </c>
      <c r="B1153" s="237" t="s">
        <v>670</v>
      </c>
      <c r="C1153" s="257" t="s">
        <v>4975</v>
      </c>
      <c r="D1153" s="173" t="s">
        <v>4975</v>
      </c>
      <c r="E1153" s="174" t="s">
        <v>2861</v>
      </c>
      <c r="F1153" s="173" t="s">
        <v>2862</v>
      </c>
      <c r="G1153" s="328" t="s">
        <v>673</v>
      </c>
      <c r="H1153" s="328" t="s">
        <v>2863</v>
      </c>
      <c r="I1153" s="258" t="s">
        <v>2864</v>
      </c>
      <c r="J1153" s="259" t="s">
        <v>1026</v>
      </c>
      <c r="K1153" s="260" t="s">
        <v>4976</v>
      </c>
      <c r="L1153" s="328"/>
      <c r="M1153" s="343"/>
      <c r="N1153" s="173" t="s">
        <v>679</v>
      </c>
      <c r="O1153" s="173" t="s">
        <v>225</v>
      </c>
      <c r="P1153" s="262" t="str">
        <f t="shared" si="1"/>
        <v>IN-BLR-ANANTA-VAV-725_4</v>
      </c>
      <c r="Q1153" s="173" t="s">
        <v>4977</v>
      </c>
      <c r="R1153" s="328" t="str">
        <f>IFS(C1153="","",C1153="n/a","N/A",LEN(C1153),Concatenate("{",char(34),"asset",char(34),":{",char(34),"guid",char(34),":",char(34),Q1153,char(34),",",char(34),"site",char(34),":",char(34),LOWER('2-Building'!$B$4),char(34),",",char(34),"name",char(34),":",char(34),LOWER(C1153),char(34),"}}"))</f>
        <v>{"asset":{"guid":"uuid://a7fc5bb7-c539-49d2-89ed-86f11e50b45e","site":"in-blr-ananta","name":"vav-725"}}</v>
      </c>
      <c r="S1153" s="237" t="s">
        <v>2866</v>
      </c>
      <c r="T1153" s="330"/>
      <c r="U1153" s="330"/>
      <c r="V1153" s="331"/>
      <c r="W1153" s="344"/>
      <c r="X1153" s="341"/>
      <c r="Y1153" s="33" t="s">
        <v>2867</v>
      </c>
      <c r="Z1153" s="258">
        <v>120725.0</v>
      </c>
      <c r="AA1153" s="334">
        <v>11661.0</v>
      </c>
      <c r="AB1153" s="341"/>
      <c r="AC1153" s="341"/>
      <c r="AD1153" s="343"/>
      <c r="AE1153" s="331"/>
      <c r="AF1153" s="348"/>
      <c r="AG1153" s="337"/>
      <c r="AH1153" s="341"/>
      <c r="AI1153" s="341"/>
      <c r="AJ1153" s="341"/>
      <c r="AK1153" s="341"/>
      <c r="AL1153" s="341"/>
      <c r="AM1153" s="338"/>
      <c r="AN1153" s="341"/>
      <c r="AO1153" s="341"/>
      <c r="AP1153" s="341"/>
      <c r="AQ1153" s="341"/>
      <c r="AR1153" s="341"/>
      <c r="AS1153" s="341"/>
      <c r="AT1153" s="341"/>
      <c r="AU1153" s="343"/>
      <c r="AV1153" s="341"/>
      <c r="AW1153" s="269" t="s">
        <v>2208</v>
      </c>
      <c r="AX1153" s="334" t="s">
        <v>2869</v>
      </c>
      <c r="AY1153" s="270" t="s">
        <v>695</v>
      </c>
      <c r="AZ1153" s="173" t="s">
        <v>2866</v>
      </c>
      <c r="BA1153" s="265">
        <v>10.0</v>
      </c>
      <c r="BB1153" s="174" t="s">
        <v>245</v>
      </c>
      <c r="BC1153" s="341"/>
      <c r="BD1153" s="308"/>
      <c r="BE1153" s="347"/>
      <c r="BF1153" s="274" t="str">
        <f>IFERROR(__xludf.DUMMYFUNCTION("LOWER(Regexreplace(to_text(E1153),""[^A-Za-z0-9]"","""")&amp;""_""&amp;Regexreplace(to_text(F1153),""[^A-Za-z0-9]"",""""))"),"neptronic_evcbseries")</f>
        <v>neptronic_evcbseries</v>
      </c>
      <c r="BG1153" s="275" t="str">
        <f>IFERROR(__xludf.DUMMYFUNCTION("upper(Regexreplace(to_text(E1153),""[^A-Za-z0-9]"","""")&amp;""-""&amp;Regexreplace(to_text(F1153),""[^A-Za-z0-9]"",""""))"),"NEPTRONIC-EVCBSERIES")</f>
        <v>NEPTRONIC-EVCBSERIES</v>
      </c>
    </row>
    <row r="1154" ht="30.0" customHeight="1">
      <c r="A1154" s="258">
        <v>1146.0</v>
      </c>
      <c r="B1154" s="237" t="s">
        <v>670</v>
      </c>
      <c r="C1154" s="257" t="s">
        <v>4978</v>
      </c>
      <c r="D1154" s="173" t="s">
        <v>4978</v>
      </c>
      <c r="E1154" s="174" t="s">
        <v>2861</v>
      </c>
      <c r="F1154" s="173" t="s">
        <v>2862</v>
      </c>
      <c r="G1154" s="328" t="s">
        <v>673</v>
      </c>
      <c r="H1154" s="328" t="s">
        <v>2863</v>
      </c>
      <c r="I1154" s="258" t="s">
        <v>2864</v>
      </c>
      <c r="J1154" s="259" t="s">
        <v>1026</v>
      </c>
      <c r="K1154" s="260" t="s">
        <v>4979</v>
      </c>
      <c r="L1154" s="328"/>
      <c r="M1154" s="343"/>
      <c r="N1154" s="173" t="s">
        <v>679</v>
      </c>
      <c r="O1154" s="173" t="s">
        <v>225</v>
      </c>
      <c r="P1154" s="262" t="str">
        <f t="shared" si="1"/>
        <v>IN-BLR-ANANTA-VAV-726_4</v>
      </c>
      <c r="Q1154" s="173" t="s">
        <v>4980</v>
      </c>
      <c r="R1154" s="328" t="str">
        <f>IFS(C1154="","",C1154="n/a","N/A",LEN(C1154),Concatenate("{",char(34),"asset",char(34),":{",char(34),"guid",char(34),":",char(34),Q1154,char(34),",",char(34),"site",char(34),":",char(34),LOWER('2-Building'!$B$4),char(34),",",char(34),"name",char(34),":",char(34),LOWER(C1154),char(34),"}}"))</f>
        <v>{"asset":{"guid":"uuid://6744c704-7278-4018-8c3f-d940f2456c7c","site":"in-blr-ananta","name":"vav-726"}}</v>
      </c>
      <c r="S1154" s="237" t="s">
        <v>2866</v>
      </c>
      <c r="T1154" s="330"/>
      <c r="U1154" s="330"/>
      <c r="V1154" s="331"/>
      <c r="W1154" s="344"/>
      <c r="X1154" s="341"/>
      <c r="Y1154" s="33" t="s">
        <v>2867</v>
      </c>
      <c r="Z1154" s="258">
        <v>120726.0</v>
      </c>
      <c r="AA1154" s="334">
        <v>11661.0</v>
      </c>
      <c r="AB1154" s="341"/>
      <c r="AC1154" s="341"/>
      <c r="AD1154" s="343"/>
      <c r="AE1154" s="331"/>
      <c r="AF1154" s="348"/>
      <c r="AG1154" s="337"/>
      <c r="AH1154" s="341"/>
      <c r="AI1154" s="341"/>
      <c r="AJ1154" s="341"/>
      <c r="AK1154" s="341"/>
      <c r="AL1154" s="341"/>
      <c r="AM1154" s="338"/>
      <c r="AN1154" s="341"/>
      <c r="AO1154" s="341"/>
      <c r="AP1154" s="341"/>
      <c r="AQ1154" s="341"/>
      <c r="AR1154" s="341"/>
      <c r="AS1154" s="341"/>
      <c r="AT1154" s="341"/>
      <c r="AU1154" s="343"/>
      <c r="AV1154" s="341"/>
      <c r="AW1154" s="269" t="s">
        <v>2208</v>
      </c>
      <c r="AX1154" s="334" t="s">
        <v>2869</v>
      </c>
      <c r="AY1154" s="270" t="s">
        <v>695</v>
      </c>
      <c r="AZ1154" s="173" t="s">
        <v>2866</v>
      </c>
      <c r="BA1154" s="265">
        <v>10.0</v>
      </c>
      <c r="BB1154" s="174" t="s">
        <v>245</v>
      </c>
      <c r="BC1154" s="341"/>
      <c r="BD1154" s="308"/>
      <c r="BE1154" s="347"/>
      <c r="BF1154" s="274" t="str">
        <f>IFERROR(__xludf.DUMMYFUNCTION("LOWER(Regexreplace(to_text(E1154),""[^A-Za-z0-9]"","""")&amp;""_""&amp;Regexreplace(to_text(F1154),""[^A-Za-z0-9]"",""""))"),"neptronic_evcbseries")</f>
        <v>neptronic_evcbseries</v>
      </c>
      <c r="BG1154" s="275" t="str">
        <f>IFERROR(__xludf.DUMMYFUNCTION("upper(Regexreplace(to_text(E1154),""[^A-Za-z0-9]"","""")&amp;""-""&amp;Regexreplace(to_text(F1154),""[^A-Za-z0-9]"",""""))"),"NEPTRONIC-EVCBSERIES")</f>
        <v>NEPTRONIC-EVCBSERIES</v>
      </c>
    </row>
    <row r="1155" ht="30.0" customHeight="1">
      <c r="A1155" s="173">
        <v>1147.0</v>
      </c>
      <c r="B1155" s="237" t="s">
        <v>670</v>
      </c>
      <c r="C1155" s="257" t="s">
        <v>4981</v>
      </c>
      <c r="D1155" s="173" t="s">
        <v>4981</v>
      </c>
      <c r="E1155" s="174" t="s">
        <v>2861</v>
      </c>
      <c r="F1155" s="173" t="s">
        <v>2862</v>
      </c>
      <c r="G1155" s="328" t="s">
        <v>673</v>
      </c>
      <c r="H1155" s="328" t="s">
        <v>2863</v>
      </c>
      <c r="I1155" s="258" t="s">
        <v>2864</v>
      </c>
      <c r="J1155" s="259" t="s">
        <v>1026</v>
      </c>
      <c r="K1155" s="260" t="s">
        <v>4186</v>
      </c>
      <c r="L1155" s="328"/>
      <c r="M1155" s="343"/>
      <c r="N1155" s="173" t="s">
        <v>679</v>
      </c>
      <c r="O1155" s="173" t="s">
        <v>225</v>
      </c>
      <c r="P1155" s="262" t="str">
        <f t="shared" si="1"/>
        <v>IN-BLR-ANANTA-VAV-727_4</v>
      </c>
      <c r="Q1155" s="173" t="s">
        <v>4982</v>
      </c>
      <c r="R1155" s="328" t="str">
        <f>IFS(C1155="","",C1155="n/a","N/A",LEN(C1155),Concatenate("{",char(34),"asset",char(34),":{",char(34),"guid",char(34),":",char(34),Q1155,char(34),",",char(34),"site",char(34),":",char(34),LOWER('2-Building'!$B$4),char(34),",",char(34),"name",char(34),":",char(34),LOWER(C1155),char(34),"}}"))</f>
        <v>{"asset":{"guid":"uuid://b8843978-7572-4c45-80bb-357a744c2255","site":"in-blr-ananta","name":"vav-727"}}</v>
      </c>
      <c r="S1155" s="237" t="s">
        <v>2866</v>
      </c>
      <c r="T1155" s="330"/>
      <c r="U1155" s="330"/>
      <c r="V1155" s="331"/>
      <c r="W1155" s="344"/>
      <c r="X1155" s="341"/>
      <c r="Y1155" s="33" t="s">
        <v>2867</v>
      </c>
      <c r="Z1155" s="258">
        <v>120727.0</v>
      </c>
      <c r="AA1155" s="334">
        <v>11661.0</v>
      </c>
      <c r="AB1155" s="341"/>
      <c r="AC1155" s="341"/>
      <c r="AD1155" s="343"/>
      <c r="AE1155" s="331"/>
      <c r="AF1155" s="348"/>
      <c r="AG1155" s="337"/>
      <c r="AH1155" s="341"/>
      <c r="AI1155" s="341"/>
      <c r="AJ1155" s="341"/>
      <c r="AK1155" s="341"/>
      <c r="AL1155" s="341"/>
      <c r="AM1155" s="338"/>
      <c r="AN1155" s="341"/>
      <c r="AO1155" s="341"/>
      <c r="AP1155" s="341"/>
      <c r="AQ1155" s="341"/>
      <c r="AR1155" s="341"/>
      <c r="AS1155" s="341"/>
      <c r="AT1155" s="341"/>
      <c r="AU1155" s="343"/>
      <c r="AV1155" s="341"/>
      <c r="AW1155" s="269" t="s">
        <v>2208</v>
      </c>
      <c r="AX1155" s="334" t="s">
        <v>2869</v>
      </c>
      <c r="AY1155" s="270" t="s">
        <v>695</v>
      </c>
      <c r="AZ1155" s="173" t="s">
        <v>2866</v>
      </c>
      <c r="BA1155" s="265">
        <v>10.0</v>
      </c>
      <c r="BB1155" s="174" t="s">
        <v>245</v>
      </c>
      <c r="BC1155" s="341"/>
      <c r="BD1155" s="308"/>
      <c r="BE1155" s="347"/>
      <c r="BF1155" s="274" t="str">
        <f>IFERROR(__xludf.DUMMYFUNCTION("LOWER(Regexreplace(to_text(E1155),""[^A-Za-z0-9]"","""")&amp;""_""&amp;Regexreplace(to_text(F1155),""[^A-Za-z0-9]"",""""))"),"neptronic_evcbseries")</f>
        <v>neptronic_evcbseries</v>
      </c>
      <c r="BG1155" s="275" t="str">
        <f>IFERROR(__xludf.DUMMYFUNCTION("upper(Regexreplace(to_text(E1155),""[^A-Za-z0-9]"","""")&amp;""-""&amp;Regexreplace(to_text(F1155),""[^A-Za-z0-9]"",""""))"),"NEPTRONIC-EVCBSERIES")</f>
        <v>NEPTRONIC-EVCBSERIES</v>
      </c>
    </row>
    <row r="1156" ht="30.0" customHeight="1">
      <c r="A1156" s="258">
        <v>1148.0</v>
      </c>
      <c r="B1156" s="237" t="s">
        <v>670</v>
      </c>
      <c r="C1156" s="257" t="s">
        <v>4983</v>
      </c>
      <c r="D1156" s="173" t="s">
        <v>4983</v>
      </c>
      <c r="E1156" s="174" t="s">
        <v>2861</v>
      </c>
      <c r="F1156" s="173" t="s">
        <v>2862</v>
      </c>
      <c r="G1156" s="328" t="s">
        <v>673</v>
      </c>
      <c r="H1156" s="328" t="s">
        <v>2863</v>
      </c>
      <c r="I1156" s="258" t="s">
        <v>2864</v>
      </c>
      <c r="J1156" s="259" t="s">
        <v>1026</v>
      </c>
      <c r="K1156" s="260" t="s">
        <v>4984</v>
      </c>
      <c r="L1156" s="328"/>
      <c r="M1156" s="343"/>
      <c r="N1156" s="173" t="s">
        <v>679</v>
      </c>
      <c r="O1156" s="173" t="s">
        <v>225</v>
      </c>
      <c r="P1156" s="262" t="str">
        <f t="shared" si="1"/>
        <v>IN-BLR-ANANTA-VAV-728_4</v>
      </c>
      <c r="Q1156" s="173" t="s">
        <v>4985</v>
      </c>
      <c r="R1156" s="328" t="str">
        <f>IFS(C1156="","",C1156="n/a","N/A",LEN(C1156),Concatenate("{",char(34),"asset",char(34),":{",char(34),"guid",char(34),":",char(34),Q1156,char(34),",",char(34),"site",char(34),":",char(34),LOWER('2-Building'!$B$4),char(34),",",char(34),"name",char(34),":",char(34),LOWER(C1156),char(34),"}}"))</f>
        <v>{"asset":{"guid":"uuid://8b99d5c7-5e26-4586-991d-859c9d75b0f9","site":"in-blr-ananta","name":"vav-728"}}</v>
      </c>
      <c r="S1156" s="237" t="s">
        <v>2866</v>
      </c>
      <c r="T1156" s="330"/>
      <c r="U1156" s="330"/>
      <c r="V1156" s="331"/>
      <c r="W1156" s="344"/>
      <c r="X1156" s="341"/>
      <c r="Y1156" s="33" t="s">
        <v>2867</v>
      </c>
      <c r="Z1156" s="258">
        <v>120728.0</v>
      </c>
      <c r="AA1156" s="334">
        <v>11661.0</v>
      </c>
      <c r="AB1156" s="341"/>
      <c r="AC1156" s="341"/>
      <c r="AD1156" s="343"/>
      <c r="AE1156" s="331"/>
      <c r="AF1156" s="348"/>
      <c r="AG1156" s="337"/>
      <c r="AH1156" s="341"/>
      <c r="AI1156" s="341"/>
      <c r="AJ1156" s="341"/>
      <c r="AK1156" s="341"/>
      <c r="AL1156" s="341"/>
      <c r="AM1156" s="338"/>
      <c r="AN1156" s="341"/>
      <c r="AO1156" s="341"/>
      <c r="AP1156" s="341"/>
      <c r="AQ1156" s="341"/>
      <c r="AR1156" s="341"/>
      <c r="AS1156" s="341"/>
      <c r="AT1156" s="341"/>
      <c r="AU1156" s="343"/>
      <c r="AV1156" s="341"/>
      <c r="AW1156" s="269" t="s">
        <v>2208</v>
      </c>
      <c r="AX1156" s="334" t="s">
        <v>2869</v>
      </c>
      <c r="AY1156" s="270" t="s">
        <v>695</v>
      </c>
      <c r="AZ1156" s="173" t="s">
        <v>2866</v>
      </c>
      <c r="BA1156" s="265">
        <v>10.0</v>
      </c>
      <c r="BB1156" s="174" t="s">
        <v>245</v>
      </c>
      <c r="BC1156" s="341"/>
      <c r="BD1156" s="308"/>
      <c r="BE1156" s="347"/>
      <c r="BF1156" s="274" t="str">
        <f>IFERROR(__xludf.DUMMYFUNCTION("LOWER(Regexreplace(to_text(E1156),""[^A-Za-z0-9]"","""")&amp;""_""&amp;Regexreplace(to_text(F1156),""[^A-Za-z0-9]"",""""))"),"neptronic_evcbseries")</f>
        <v>neptronic_evcbseries</v>
      </c>
      <c r="BG1156" s="275" t="str">
        <f>IFERROR(__xludf.DUMMYFUNCTION("upper(Regexreplace(to_text(E1156),""[^A-Za-z0-9]"","""")&amp;""-""&amp;Regexreplace(to_text(F1156),""[^A-Za-z0-9]"",""""))"),"NEPTRONIC-EVCBSERIES")</f>
        <v>NEPTRONIC-EVCBSERIES</v>
      </c>
    </row>
    <row r="1157" ht="30.0" customHeight="1">
      <c r="A1157" s="173">
        <v>1149.0</v>
      </c>
      <c r="B1157" s="237" t="s">
        <v>670</v>
      </c>
      <c r="C1157" s="257" t="s">
        <v>4986</v>
      </c>
      <c r="D1157" s="173" t="s">
        <v>4986</v>
      </c>
      <c r="E1157" s="174" t="s">
        <v>2861</v>
      </c>
      <c r="F1157" s="173" t="s">
        <v>2862</v>
      </c>
      <c r="G1157" s="328" t="s">
        <v>673</v>
      </c>
      <c r="H1157" s="328" t="s">
        <v>2863</v>
      </c>
      <c r="I1157" s="258" t="s">
        <v>2864</v>
      </c>
      <c r="J1157" s="259" t="s">
        <v>1026</v>
      </c>
      <c r="K1157" s="260" t="s">
        <v>4987</v>
      </c>
      <c r="L1157" s="328"/>
      <c r="M1157" s="343"/>
      <c r="N1157" s="173" t="s">
        <v>679</v>
      </c>
      <c r="O1157" s="173" t="s">
        <v>225</v>
      </c>
      <c r="P1157" s="262" t="str">
        <f t="shared" si="1"/>
        <v>IN-BLR-ANANTA-VAV-729_4</v>
      </c>
      <c r="Q1157" s="173" t="s">
        <v>4988</v>
      </c>
      <c r="R1157" s="328" t="str">
        <f>IFS(C1157="","",C1157="n/a","N/A",LEN(C1157),Concatenate("{",char(34),"asset",char(34),":{",char(34),"guid",char(34),":",char(34),Q1157,char(34),",",char(34),"site",char(34),":",char(34),LOWER('2-Building'!$B$4),char(34),",",char(34),"name",char(34),":",char(34),LOWER(C1157),char(34),"}}"))</f>
        <v>{"asset":{"guid":"uuid://99def754-9a6d-4142-93d8-2ad4828dd00d","site":"in-blr-ananta","name":"vav-729"}}</v>
      </c>
      <c r="S1157" s="237" t="s">
        <v>2866</v>
      </c>
      <c r="T1157" s="330"/>
      <c r="U1157" s="330"/>
      <c r="V1157" s="331"/>
      <c r="W1157" s="344"/>
      <c r="X1157" s="341"/>
      <c r="Y1157" s="33" t="s">
        <v>2867</v>
      </c>
      <c r="Z1157" s="258">
        <v>120729.0</v>
      </c>
      <c r="AA1157" s="334">
        <v>11661.0</v>
      </c>
      <c r="AB1157" s="341"/>
      <c r="AC1157" s="341"/>
      <c r="AD1157" s="343"/>
      <c r="AE1157" s="331"/>
      <c r="AF1157" s="348"/>
      <c r="AG1157" s="337"/>
      <c r="AH1157" s="341"/>
      <c r="AI1157" s="341"/>
      <c r="AJ1157" s="341"/>
      <c r="AK1157" s="341"/>
      <c r="AL1157" s="341"/>
      <c r="AM1157" s="338"/>
      <c r="AN1157" s="341"/>
      <c r="AO1157" s="341"/>
      <c r="AP1157" s="341"/>
      <c r="AQ1157" s="341"/>
      <c r="AR1157" s="341"/>
      <c r="AS1157" s="341"/>
      <c r="AT1157" s="341"/>
      <c r="AU1157" s="343"/>
      <c r="AV1157" s="341"/>
      <c r="AW1157" s="269" t="s">
        <v>2208</v>
      </c>
      <c r="AX1157" s="334" t="s">
        <v>2869</v>
      </c>
      <c r="AY1157" s="270" t="s">
        <v>695</v>
      </c>
      <c r="AZ1157" s="173" t="s">
        <v>2866</v>
      </c>
      <c r="BA1157" s="265">
        <v>10.0</v>
      </c>
      <c r="BB1157" s="174" t="s">
        <v>245</v>
      </c>
      <c r="BC1157" s="341"/>
      <c r="BD1157" s="308"/>
      <c r="BE1157" s="347"/>
      <c r="BF1157" s="274" t="str">
        <f>IFERROR(__xludf.DUMMYFUNCTION("LOWER(Regexreplace(to_text(E1157),""[^A-Za-z0-9]"","""")&amp;""_""&amp;Regexreplace(to_text(F1157),""[^A-Za-z0-9]"",""""))"),"neptronic_evcbseries")</f>
        <v>neptronic_evcbseries</v>
      </c>
      <c r="BG1157" s="275" t="str">
        <f>IFERROR(__xludf.DUMMYFUNCTION("upper(Regexreplace(to_text(E1157),""[^A-Za-z0-9]"","""")&amp;""-""&amp;Regexreplace(to_text(F1157),""[^A-Za-z0-9]"",""""))"),"NEPTRONIC-EVCBSERIES")</f>
        <v>NEPTRONIC-EVCBSERIES</v>
      </c>
    </row>
    <row r="1158" ht="30.0" customHeight="1">
      <c r="A1158" s="258">
        <v>1150.0</v>
      </c>
      <c r="B1158" s="237" t="s">
        <v>670</v>
      </c>
      <c r="C1158" s="257" t="s">
        <v>4989</v>
      </c>
      <c r="D1158" s="173" t="s">
        <v>4989</v>
      </c>
      <c r="E1158" s="174" t="s">
        <v>2861</v>
      </c>
      <c r="F1158" s="173" t="s">
        <v>2862</v>
      </c>
      <c r="G1158" s="328" t="s">
        <v>673</v>
      </c>
      <c r="H1158" s="328" t="s">
        <v>2863</v>
      </c>
      <c r="I1158" s="258" t="s">
        <v>2864</v>
      </c>
      <c r="J1158" s="259" t="s">
        <v>1088</v>
      </c>
      <c r="K1158" s="260" t="s">
        <v>3643</v>
      </c>
      <c r="L1158" s="328"/>
      <c r="M1158" s="343"/>
      <c r="N1158" s="173" t="s">
        <v>679</v>
      </c>
      <c r="O1158" s="173" t="s">
        <v>225</v>
      </c>
      <c r="P1158" s="262" t="str">
        <f t="shared" si="1"/>
        <v>IN-BLR-ANANTA-VAV-730_5</v>
      </c>
      <c r="Q1158" s="173" t="s">
        <v>4990</v>
      </c>
      <c r="R1158" s="328" t="str">
        <f>IFS(C1158="","",C1158="n/a","N/A",LEN(C1158),Concatenate("{",char(34),"asset",char(34),":{",char(34),"guid",char(34),":",char(34),Q1158,char(34),",",char(34),"site",char(34),":",char(34),LOWER('2-Building'!$B$4),char(34),",",char(34),"name",char(34),":",char(34),LOWER(C1158),char(34),"}}"))</f>
        <v>{"asset":{"guid":"uuid://f7598356-d78d-4412-8d07-44ee481d5040","site":"in-blr-ananta","name":"vav-730"}}</v>
      </c>
      <c r="S1158" s="237" t="s">
        <v>2866</v>
      </c>
      <c r="T1158" s="330"/>
      <c r="U1158" s="330"/>
      <c r="V1158" s="331"/>
      <c r="W1158" s="344"/>
      <c r="X1158" s="341"/>
      <c r="Y1158" s="33" t="s">
        <v>2867</v>
      </c>
      <c r="Z1158" s="258">
        <v>120730.0</v>
      </c>
      <c r="AA1158" s="334">
        <v>11568.0</v>
      </c>
      <c r="AB1158" s="341"/>
      <c r="AC1158" s="341"/>
      <c r="AD1158" s="343"/>
      <c r="AE1158" s="331"/>
      <c r="AF1158" s="348"/>
      <c r="AG1158" s="337"/>
      <c r="AH1158" s="341"/>
      <c r="AI1158" s="341"/>
      <c r="AJ1158" s="341"/>
      <c r="AK1158" s="341"/>
      <c r="AL1158" s="341"/>
      <c r="AM1158" s="338"/>
      <c r="AN1158" s="341"/>
      <c r="AO1158" s="341"/>
      <c r="AP1158" s="341"/>
      <c r="AQ1158" s="341"/>
      <c r="AR1158" s="341"/>
      <c r="AS1158" s="341"/>
      <c r="AT1158" s="341"/>
      <c r="AU1158" s="343"/>
      <c r="AV1158" s="341"/>
      <c r="AW1158" s="269" t="s">
        <v>2218</v>
      </c>
      <c r="AX1158" s="334" t="s">
        <v>2869</v>
      </c>
      <c r="AY1158" s="270" t="s">
        <v>695</v>
      </c>
      <c r="AZ1158" s="173" t="s">
        <v>2866</v>
      </c>
      <c r="BA1158" s="265">
        <v>10.0</v>
      </c>
      <c r="BB1158" s="174" t="s">
        <v>245</v>
      </c>
      <c r="BC1158" s="341"/>
      <c r="BD1158" s="308"/>
      <c r="BE1158" s="347"/>
      <c r="BF1158" s="274" t="str">
        <f>IFERROR(__xludf.DUMMYFUNCTION("LOWER(Regexreplace(to_text(E1158),""[^A-Za-z0-9]"","""")&amp;""_""&amp;Regexreplace(to_text(F1158),""[^A-Za-z0-9]"",""""))"),"neptronic_evcbseries")</f>
        <v>neptronic_evcbseries</v>
      </c>
      <c r="BG1158" s="275" t="str">
        <f>IFERROR(__xludf.DUMMYFUNCTION("upper(Regexreplace(to_text(E1158),""[^A-Za-z0-9]"","""")&amp;""-""&amp;Regexreplace(to_text(F1158),""[^A-Za-z0-9]"",""""))"),"NEPTRONIC-EVCBSERIES")</f>
        <v>NEPTRONIC-EVCBSERIES</v>
      </c>
    </row>
    <row r="1159" ht="30.0" customHeight="1">
      <c r="A1159" s="173">
        <v>1151.0</v>
      </c>
      <c r="B1159" s="237" t="s">
        <v>670</v>
      </c>
      <c r="C1159" s="257" t="s">
        <v>4991</v>
      </c>
      <c r="D1159" s="173" t="s">
        <v>4991</v>
      </c>
      <c r="E1159" s="174" t="s">
        <v>2861</v>
      </c>
      <c r="F1159" s="173" t="s">
        <v>2862</v>
      </c>
      <c r="G1159" s="328" t="s">
        <v>673</v>
      </c>
      <c r="H1159" s="328" t="s">
        <v>2863</v>
      </c>
      <c r="I1159" s="258" t="s">
        <v>2864</v>
      </c>
      <c r="J1159" s="259" t="s">
        <v>1088</v>
      </c>
      <c r="K1159" s="260" t="s">
        <v>4992</v>
      </c>
      <c r="L1159" s="328"/>
      <c r="M1159" s="343"/>
      <c r="N1159" s="173" t="s">
        <v>679</v>
      </c>
      <c r="O1159" s="173" t="s">
        <v>225</v>
      </c>
      <c r="P1159" s="262" t="str">
        <f t="shared" si="1"/>
        <v>IN-BLR-ANANTA-VAV-731_5</v>
      </c>
      <c r="Q1159" s="173" t="s">
        <v>4993</v>
      </c>
      <c r="R1159" s="328" t="str">
        <f>IFS(C1159="","",C1159="n/a","N/A",LEN(C1159),Concatenate("{",char(34),"asset",char(34),":{",char(34),"guid",char(34),":",char(34),Q1159,char(34),",",char(34),"site",char(34),":",char(34),LOWER('2-Building'!$B$4),char(34),",",char(34),"name",char(34),":",char(34),LOWER(C1159),char(34),"}}"))</f>
        <v>{"asset":{"guid":"uuid://5b1296a7-aa7f-41a4-a349-a00525e9cba4","site":"in-blr-ananta","name":"vav-731"}}</v>
      </c>
      <c r="S1159" s="237" t="s">
        <v>2866</v>
      </c>
      <c r="T1159" s="330"/>
      <c r="U1159" s="330"/>
      <c r="V1159" s="331"/>
      <c r="W1159" s="344"/>
      <c r="X1159" s="341"/>
      <c r="Y1159" s="33" t="s">
        <v>2867</v>
      </c>
      <c r="Z1159" s="258">
        <v>120731.0</v>
      </c>
      <c r="AA1159" s="334">
        <v>11568.0</v>
      </c>
      <c r="AB1159" s="341"/>
      <c r="AC1159" s="341"/>
      <c r="AD1159" s="343"/>
      <c r="AE1159" s="331"/>
      <c r="AF1159" s="348"/>
      <c r="AG1159" s="337"/>
      <c r="AH1159" s="341"/>
      <c r="AI1159" s="341"/>
      <c r="AJ1159" s="341"/>
      <c r="AK1159" s="341"/>
      <c r="AL1159" s="341"/>
      <c r="AM1159" s="338"/>
      <c r="AN1159" s="341"/>
      <c r="AO1159" s="341"/>
      <c r="AP1159" s="341"/>
      <c r="AQ1159" s="341"/>
      <c r="AR1159" s="341"/>
      <c r="AS1159" s="341"/>
      <c r="AT1159" s="341"/>
      <c r="AU1159" s="343"/>
      <c r="AV1159" s="341"/>
      <c r="AW1159" s="269" t="s">
        <v>2218</v>
      </c>
      <c r="AX1159" s="334" t="s">
        <v>2869</v>
      </c>
      <c r="AY1159" s="270" t="s">
        <v>695</v>
      </c>
      <c r="AZ1159" s="173" t="s">
        <v>2866</v>
      </c>
      <c r="BA1159" s="265">
        <v>10.0</v>
      </c>
      <c r="BB1159" s="174" t="s">
        <v>245</v>
      </c>
      <c r="BC1159" s="341"/>
      <c r="BD1159" s="308"/>
      <c r="BE1159" s="347"/>
      <c r="BF1159" s="274" t="str">
        <f>IFERROR(__xludf.DUMMYFUNCTION("LOWER(Regexreplace(to_text(E1159),""[^A-Za-z0-9]"","""")&amp;""_""&amp;Regexreplace(to_text(F1159),""[^A-Za-z0-9]"",""""))"),"neptronic_evcbseries")</f>
        <v>neptronic_evcbseries</v>
      </c>
      <c r="BG1159" s="275" t="str">
        <f>IFERROR(__xludf.DUMMYFUNCTION("upper(Regexreplace(to_text(E1159),""[^A-Za-z0-9]"","""")&amp;""-""&amp;Regexreplace(to_text(F1159),""[^A-Za-z0-9]"",""""))"),"NEPTRONIC-EVCBSERIES")</f>
        <v>NEPTRONIC-EVCBSERIES</v>
      </c>
    </row>
    <row r="1160" ht="30.0" customHeight="1">
      <c r="A1160" s="258">
        <v>1152.0</v>
      </c>
      <c r="B1160" s="237" t="s">
        <v>670</v>
      </c>
      <c r="C1160" s="257" t="s">
        <v>4994</v>
      </c>
      <c r="D1160" s="173" t="s">
        <v>4994</v>
      </c>
      <c r="E1160" s="174" t="s">
        <v>2861</v>
      </c>
      <c r="F1160" s="173" t="s">
        <v>2862</v>
      </c>
      <c r="G1160" s="328" t="s">
        <v>673</v>
      </c>
      <c r="H1160" s="328" t="s">
        <v>2863</v>
      </c>
      <c r="I1160" s="258" t="s">
        <v>2864</v>
      </c>
      <c r="J1160" s="259" t="s">
        <v>1088</v>
      </c>
      <c r="K1160" s="260" t="s">
        <v>4995</v>
      </c>
      <c r="L1160" s="328"/>
      <c r="M1160" s="343"/>
      <c r="N1160" s="173" t="s">
        <v>679</v>
      </c>
      <c r="O1160" s="173" t="s">
        <v>225</v>
      </c>
      <c r="P1160" s="262" t="str">
        <f t="shared" si="1"/>
        <v>IN-BLR-ANANTA-VAV-732_5</v>
      </c>
      <c r="Q1160" s="173" t="s">
        <v>4996</v>
      </c>
      <c r="R1160" s="328" t="str">
        <f>IFS(C1160="","",C1160="n/a","N/A",LEN(C1160),Concatenate("{",char(34),"asset",char(34),":{",char(34),"guid",char(34),":",char(34),Q1160,char(34),",",char(34),"site",char(34),":",char(34),LOWER('2-Building'!$B$4),char(34),",",char(34),"name",char(34),":",char(34),LOWER(C1160),char(34),"}}"))</f>
        <v>{"asset":{"guid":"uuid://61f7c2c0-03b2-4c1f-9570-a7888dc04c6c","site":"in-blr-ananta","name":"vav-732"}}</v>
      </c>
      <c r="S1160" s="237" t="s">
        <v>2866</v>
      </c>
      <c r="T1160" s="330"/>
      <c r="U1160" s="330"/>
      <c r="V1160" s="331"/>
      <c r="W1160" s="344"/>
      <c r="X1160" s="341"/>
      <c r="Y1160" s="33" t="s">
        <v>2867</v>
      </c>
      <c r="Z1160" s="258">
        <v>120732.0</v>
      </c>
      <c r="AA1160" s="334">
        <v>11568.0</v>
      </c>
      <c r="AB1160" s="341"/>
      <c r="AC1160" s="341"/>
      <c r="AD1160" s="343"/>
      <c r="AE1160" s="331"/>
      <c r="AF1160" s="348"/>
      <c r="AG1160" s="337"/>
      <c r="AH1160" s="341"/>
      <c r="AI1160" s="341"/>
      <c r="AJ1160" s="341"/>
      <c r="AK1160" s="341"/>
      <c r="AL1160" s="341"/>
      <c r="AM1160" s="338"/>
      <c r="AN1160" s="341"/>
      <c r="AO1160" s="341"/>
      <c r="AP1160" s="341"/>
      <c r="AQ1160" s="341"/>
      <c r="AR1160" s="341"/>
      <c r="AS1160" s="341"/>
      <c r="AT1160" s="341"/>
      <c r="AU1160" s="343"/>
      <c r="AV1160" s="341"/>
      <c r="AW1160" s="269" t="s">
        <v>2218</v>
      </c>
      <c r="AX1160" s="334" t="s">
        <v>2869</v>
      </c>
      <c r="AY1160" s="270" t="s">
        <v>695</v>
      </c>
      <c r="AZ1160" s="173" t="s">
        <v>2866</v>
      </c>
      <c r="BA1160" s="265">
        <v>10.0</v>
      </c>
      <c r="BB1160" s="174" t="s">
        <v>245</v>
      </c>
      <c r="BC1160" s="341"/>
      <c r="BD1160" s="308"/>
      <c r="BE1160" s="347"/>
      <c r="BF1160" s="274" t="str">
        <f>IFERROR(__xludf.DUMMYFUNCTION("LOWER(Regexreplace(to_text(E1160),""[^A-Za-z0-9]"","""")&amp;""_""&amp;Regexreplace(to_text(F1160),""[^A-Za-z0-9]"",""""))"),"neptronic_evcbseries")</f>
        <v>neptronic_evcbseries</v>
      </c>
      <c r="BG1160" s="275" t="str">
        <f>IFERROR(__xludf.DUMMYFUNCTION("upper(Regexreplace(to_text(E1160),""[^A-Za-z0-9]"","""")&amp;""-""&amp;Regexreplace(to_text(F1160),""[^A-Za-z0-9]"",""""))"),"NEPTRONIC-EVCBSERIES")</f>
        <v>NEPTRONIC-EVCBSERIES</v>
      </c>
    </row>
    <row r="1161" ht="30.0" customHeight="1">
      <c r="A1161" s="173">
        <v>1153.0</v>
      </c>
      <c r="B1161" s="237" t="s">
        <v>670</v>
      </c>
      <c r="C1161" s="257" t="s">
        <v>4997</v>
      </c>
      <c r="D1161" s="173" t="s">
        <v>4997</v>
      </c>
      <c r="E1161" s="174" t="s">
        <v>2861</v>
      </c>
      <c r="F1161" s="173" t="s">
        <v>2862</v>
      </c>
      <c r="G1161" s="328" t="s">
        <v>673</v>
      </c>
      <c r="H1161" s="328" t="s">
        <v>2863</v>
      </c>
      <c r="I1161" s="258" t="s">
        <v>2864</v>
      </c>
      <c r="J1161" s="259" t="s">
        <v>1088</v>
      </c>
      <c r="K1161" s="260" t="s">
        <v>4998</v>
      </c>
      <c r="L1161" s="328"/>
      <c r="M1161" s="343"/>
      <c r="N1161" s="173" t="s">
        <v>679</v>
      </c>
      <c r="O1161" s="173" t="s">
        <v>225</v>
      </c>
      <c r="P1161" s="262" t="str">
        <f t="shared" si="1"/>
        <v>IN-BLR-ANANTA-VAV-733_5</v>
      </c>
      <c r="Q1161" s="173" t="s">
        <v>4999</v>
      </c>
      <c r="R1161" s="328" t="str">
        <f>IFS(C1161="","",C1161="n/a","N/A",LEN(C1161),Concatenate("{",char(34),"asset",char(34),":{",char(34),"guid",char(34),":",char(34),Q1161,char(34),",",char(34),"site",char(34),":",char(34),LOWER('2-Building'!$B$4),char(34),",",char(34),"name",char(34),":",char(34),LOWER(C1161),char(34),"}}"))</f>
        <v>{"asset":{"guid":"uuid://1109cba7-f10e-4ab8-9ec2-6e617a8c277e","site":"in-blr-ananta","name":"vav-733"}}</v>
      </c>
      <c r="S1161" s="237" t="s">
        <v>2866</v>
      </c>
      <c r="T1161" s="330"/>
      <c r="U1161" s="330"/>
      <c r="V1161" s="331"/>
      <c r="W1161" s="344"/>
      <c r="X1161" s="341"/>
      <c r="Y1161" s="33" t="s">
        <v>2867</v>
      </c>
      <c r="Z1161" s="258">
        <v>120733.0</v>
      </c>
      <c r="AA1161" s="334">
        <v>11568.0</v>
      </c>
      <c r="AB1161" s="341"/>
      <c r="AC1161" s="341"/>
      <c r="AD1161" s="343"/>
      <c r="AE1161" s="331"/>
      <c r="AF1161" s="348"/>
      <c r="AG1161" s="337"/>
      <c r="AH1161" s="341"/>
      <c r="AI1161" s="341"/>
      <c r="AJ1161" s="341"/>
      <c r="AK1161" s="341"/>
      <c r="AL1161" s="341"/>
      <c r="AM1161" s="338"/>
      <c r="AN1161" s="341"/>
      <c r="AO1161" s="341"/>
      <c r="AP1161" s="341"/>
      <c r="AQ1161" s="341"/>
      <c r="AR1161" s="341"/>
      <c r="AS1161" s="341"/>
      <c r="AT1161" s="341"/>
      <c r="AU1161" s="343"/>
      <c r="AV1161" s="341"/>
      <c r="AW1161" s="269" t="s">
        <v>2218</v>
      </c>
      <c r="AX1161" s="334" t="s">
        <v>2869</v>
      </c>
      <c r="AY1161" s="270" t="s">
        <v>695</v>
      </c>
      <c r="AZ1161" s="173" t="s">
        <v>2866</v>
      </c>
      <c r="BA1161" s="265">
        <v>10.0</v>
      </c>
      <c r="BB1161" s="174" t="s">
        <v>245</v>
      </c>
      <c r="BC1161" s="341"/>
      <c r="BD1161" s="308"/>
      <c r="BE1161" s="347"/>
      <c r="BF1161" s="274" t="str">
        <f>IFERROR(__xludf.DUMMYFUNCTION("LOWER(Regexreplace(to_text(E1161),""[^A-Za-z0-9]"","""")&amp;""_""&amp;Regexreplace(to_text(F1161),""[^A-Za-z0-9]"",""""))"),"neptronic_evcbseries")</f>
        <v>neptronic_evcbseries</v>
      </c>
      <c r="BG1161" s="275" t="str">
        <f>IFERROR(__xludf.DUMMYFUNCTION("upper(Regexreplace(to_text(E1161),""[^A-Za-z0-9]"","""")&amp;""-""&amp;Regexreplace(to_text(F1161),""[^A-Za-z0-9]"",""""))"),"NEPTRONIC-EVCBSERIES")</f>
        <v>NEPTRONIC-EVCBSERIES</v>
      </c>
    </row>
    <row r="1162" ht="30.0" customHeight="1">
      <c r="A1162" s="258">
        <v>1154.0</v>
      </c>
      <c r="B1162" s="237" t="s">
        <v>670</v>
      </c>
      <c r="C1162" s="257" t="s">
        <v>5000</v>
      </c>
      <c r="D1162" s="173" t="s">
        <v>5000</v>
      </c>
      <c r="E1162" s="174" t="s">
        <v>2861</v>
      </c>
      <c r="F1162" s="173" t="s">
        <v>2862</v>
      </c>
      <c r="G1162" s="328" t="s">
        <v>673</v>
      </c>
      <c r="H1162" s="328" t="s">
        <v>2863</v>
      </c>
      <c r="I1162" s="258" t="s">
        <v>2864</v>
      </c>
      <c r="J1162" s="259" t="s">
        <v>1088</v>
      </c>
      <c r="K1162" s="260" t="s">
        <v>5001</v>
      </c>
      <c r="L1162" s="328"/>
      <c r="M1162" s="343"/>
      <c r="N1162" s="173" t="s">
        <v>679</v>
      </c>
      <c r="O1162" s="173" t="s">
        <v>225</v>
      </c>
      <c r="P1162" s="262" t="str">
        <f t="shared" si="1"/>
        <v>IN-BLR-ANANTA-VAV-734_5</v>
      </c>
      <c r="Q1162" s="173" t="s">
        <v>5002</v>
      </c>
      <c r="R1162" s="328" t="str">
        <f>IFS(C1162="","",C1162="n/a","N/A",LEN(C1162),Concatenate("{",char(34),"asset",char(34),":{",char(34),"guid",char(34),":",char(34),Q1162,char(34),",",char(34),"site",char(34),":",char(34),LOWER('2-Building'!$B$4),char(34),",",char(34),"name",char(34),":",char(34),LOWER(C1162),char(34),"}}"))</f>
        <v>{"asset":{"guid":"uuid://0ebaf624-1200-4826-ae94-4c111fbfd11d","site":"in-blr-ananta","name":"vav-734"}}</v>
      </c>
      <c r="S1162" s="237" t="s">
        <v>2866</v>
      </c>
      <c r="T1162" s="330"/>
      <c r="U1162" s="330"/>
      <c r="V1162" s="331"/>
      <c r="W1162" s="344"/>
      <c r="X1162" s="341"/>
      <c r="Y1162" s="33" t="s">
        <v>2867</v>
      </c>
      <c r="Z1162" s="258">
        <v>120734.0</v>
      </c>
      <c r="AA1162" s="334">
        <v>11568.0</v>
      </c>
      <c r="AB1162" s="341"/>
      <c r="AC1162" s="341"/>
      <c r="AD1162" s="343"/>
      <c r="AE1162" s="331"/>
      <c r="AF1162" s="348"/>
      <c r="AG1162" s="337"/>
      <c r="AH1162" s="341"/>
      <c r="AI1162" s="341"/>
      <c r="AJ1162" s="341"/>
      <c r="AK1162" s="341"/>
      <c r="AL1162" s="341"/>
      <c r="AM1162" s="338"/>
      <c r="AN1162" s="341"/>
      <c r="AO1162" s="341"/>
      <c r="AP1162" s="341"/>
      <c r="AQ1162" s="341"/>
      <c r="AR1162" s="341"/>
      <c r="AS1162" s="341"/>
      <c r="AT1162" s="341"/>
      <c r="AU1162" s="343"/>
      <c r="AV1162" s="341"/>
      <c r="AW1162" s="269" t="s">
        <v>2218</v>
      </c>
      <c r="AX1162" s="334" t="s">
        <v>2869</v>
      </c>
      <c r="AY1162" s="270" t="s">
        <v>695</v>
      </c>
      <c r="AZ1162" s="173" t="s">
        <v>2866</v>
      </c>
      <c r="BA1162" s="265">
        <v>10.0</v>
      </c>
      <c r="BB1162" s="174" t="s">
        <v>245</v>
      </c>
      <c r="BC1162" s="341"/>
      <c r="BD1162" s="308"/>
      <c r="BE1162" s="347"/>
      <c r="BF1162" s="274" t="str">
        <f>IFERROR(__xludf.DUMMYFUNCTION("LOWER(Regexreplace(to_text(E1162),""[^A-Za-z0-9]"","""")&amp;""_""&amp;Regexreplace(to_text(F1162),""[^A-Za-z0-9]"",""""))"),"neptronic_evcbseries")</f>
        <v>neptronic_evcbseries</v>
      </c>
      <c r="BG1162" s="275" t="str">
        <f>IFERROR(__xludf.DUMMYFUNCTION("upper(Regexreplace(to_text(E1162),""[^A-Za-z0-9]"","""")&amp;""-""&amp;Regexreplace(to_text(F1162),""[^A-Za-z0-9]"",""""))"),"NEPTRONIC-EVCBSERIES")</f>
        <v>NEPTRONIC-EVCBSERIES</v>
      </c>
    </row>
    <row r="1163" ht="30.0" customHeight="1">
      <c r="A1163" s="173">
        <v>1155.0</v>
      </c>
      <c r="B1163" s="237" t="s">
        <v>670</v>
      </c>
      <c r="C1163" s="257" t="s">
        <v>5003</v>
      </c>
      <c r="D1163" s="173" t="s">
        <v>5003</v>
      </c>
      <c r="E1163" s="174" t="s">
        <v>2861</v>
      </c>
      <c r="F1163" s="173" t="s">
        <v>2862</v>
      </c>
      <c r="G1163" s="328" t="s">
        <v>673</v>
      </c>
      <c r="H1163" s="328" t="s">
        <v>2863</v>
      </c>
      <c r="I1163" s="258" t="s">
        <v>2864</v>
      </c>
      <c r="J1163" s="259" t="s">
        <v>1088</v>
      </c>
      <c r="K1163" s="260" t="s">
        <v>5004</v>
      </c>
      <c r="L1163" s="328"/>
      <c r="M1163" s="343"/>
      <c r="N1163" s="173" t="s">
        <v>679</v>
      </c>
      <c r="O1163" s="173" t="s">
        <v>225</v>
      </c>
      <c r="P1163" s="262" t="str">
        <f t="shared" si="1"/>
        <v>IN-BLR-ANANTA-VAV-735_5</v>
      </c>
      <c r="Q1163" s="173" t="s">
        <v>5005</v>
      </c>
      <c r="R1163" s="328" t="str">
        <f>IFS(C1163="","",C1163="n/a","N/A",LEN(C1163),Concatenate("{",char(34),"asset",char(34),":{",char(34),"guid",char(34),":",char(34),Q1163,char(34),",",char(34),"site",char(34),":",char(34),LOWER('2-Building'!$B$4),char(34),",",char(34),"name",char(34),":",char(34),LOWER(C1163),char(34),"}}"))</f>
        <v>{"asset":{"guid":"uuid://b8ad086c-d13d-4e7e-ae9d-f9fe6877fc38","site":"in-blr-ananta","name":"vav-735"}}</v>
      </c>
      <c r="S1163" s="237" t="s">
        <v>2866</v>
      </c>
      <c r="T1163" s="330"/>
      <c r="U1163" s="330"/>
      <c r="V1163" s="331"/>
      <c r="W1163" s="344"/>
      <c r="X1163" s="341"/>
      <c r="Y1163" s="33" t="s">
        <v>2867</v>
      </c>
      <c r="Z1163" s="258">
        <v>120735.0</v>
      </c>
      <c r="AA1163" s="334">
        <v>11568.0</v>
      </c>
      <c r="AB1163" s="341"/>
      <c r="AC1163" s="341"/>
      <c r="AD1163" s="343"/>
      <c r="AE1163" s="331"/>
      <c r="AF1163" s="348"/>
      <c r="AG1163" s="337"/>
      <c r="AH1163" s="341"/>
      <c r="AI1163" s="341"/>
      <c r="AJ1163" s="341"/>
      <c r="AK1163" s="341"/>
      <c r="AL1163" s="341"/>
      <c r="AM1163" s="338"/>
      <c r="AN1163" s="341"/>
      <c r="AO1163" s="341"/>
      <c r="AP1163" s="341"/>
      <c r="AQ1163" s="341"/>
      <c r="AR1163" s="341"/>
      <c r="AS1163" s="341"/>
      <c r="AT1163" s="341"/>
      <c r="AU1163" s="343"/>
      <c r="AV1163" s="341"/>
      <c r="AW1163" s="269" t="s">
        <v>2218</v>
      </c>
      <c r="AX1163" s="334" t="s">
        <v>2869</v>
      </c>
      <c r="AY1163" s="270" t="s">
        <v>695</v>
      </c>
      <c r="AZ1163" s="173" t="s">
        <v>2866</v>
      </c>
      <c r="BA1163" s="265">
        <v>10.0</v>
      </c>
      <c r="BB1163" s="174" t="s">
        <v>245</v>
      </c>
      <c r="BC1163" s="341"/>
      <c r="BD1163" s="308"/>
      <c r="BE1163" s="347"/>
      <c r="BF1163" s="274" t="str">
        <f>IFERROR(__xludf.DUMMYFUNCTION("LOWER(Regexreplace(to_text(E1163),""[^A-Za-z0-9]"","""")&amp;""_""&amp;Regexreplace(to_text(F1163),""[^A-Za-z0-9]"",""""))"),"neptronic_evcbseries")</f>
        <v>neptronic_evcbseries</v>
      </c>
      <c r="BG1163" s="275" t="str">
        <f>IFERROR(__xludf.DUMMYFUNCTION("upper(Regexreplace(to_text(E1163),""[^A-Za-z0-9]"","""")&amp;""-""&amp;Regexreplace(to_text(F1163),""[^A-Za-z0-9]"",""""))"),"NEPTRONIC-EVCBSERIES")</f>
        <v>NEPTRONIC-EVCBSERIES</v>
      </c>
    </row>
    <row r="1164" ht="30.0" customHeight="1">
      <c r="A1164" s="258">
        <v>1156.0</v>
      </c>
      <c r="B1164" s="237" t="s">
        <v>670</v>
      </c>
      <c r="C1164" s="257" t="s">
        <v>5006</v>
      </c>
      <c r="D1164" s="173" t="s">
        <v>5006</v>
      </c>
      <c r="E1164" s="174" t="s">
        <v>2861</v>
      </c>
      <c r="F1164" s="173" t="s">
        <v>2862</v>
      </c>
      <c r="G1164" s="328" t="s">
        <v>673</v>
      </c>
      <c r="H1164" s="328" t="s">
        <v>2863</v>
      </c>
      <c r="I1164" s="258" t="s">
        <v>2864</v>
      </c>
      <c r="J1164" s="259" t="s">
        <v>1088</v>
      </c>
      <c r="K1164" s="260" t="s">
        <v>5007</v>
      </c>
      <c r="L1164" s="328"/>
      <c r="M1164" s="343"/>
      <c r="N1164" s="173" t="s">
        <v>679</v>
      </c>
      <c r="O1164" s="173" t="s">
        <v>225</v>
      </c>
      <c r="P1164" s="262" t="str">
        <f t="shared" si="1"/>
        <v>IN-BLR-ANANTA-VAV-736_5</v>
      </c>
      <c r="Q1164" s="173" t="s">
        <v>5008</v>
      </c>
      <c r="R1164" s="328" t="str">
        <f>IFS(C1164="","",C1164="n/a","N/A",LEN(C1164),Concatenate("{",char(34),"asset",char(34),":{",char(34),"guid",char(34),":",char(34),Q1164,char(34),",",char(34),"site",char(34),":",char(34),LOWER('2-Building'!$B$4),char(34),",",char(34),"name",char(34),":",char(34),LOWER(C1164),char(34),"}}"))</f>
        <v>{"asset":{"guid":"uuid://14a07d18-e3ed-4b41-94e7-f6040e79c7b3","site":"in-blr-ananta","name":"vav-736"}}</v>
      </c>
      <c r="S1164" s="237" t="s">
        <v>2866</v>
      </c>
      <c r="T1164" s="330"/>
      <c r="U1164" s="330"/>
      <c r="V1164" s="331"/>
      <c r="W1164" s="344"/>
      <c r="X1164" s="341"/>
      <c r="Y1164" s="33" t="s">
        <v>2867</v>
      </c>
      <c r="Z1164" s="258">
        <v>120736.0</v>
      </c>
      <c r="AA1164" s="334">
        <v>11568.0</v>
      </c>
      <c r="AB1164" s="341"/>
      <c r="AC1164" s="341"/>
      <c r="AD1164" s="343"/>
      <c r="AE1164" s="331"/>
      <c r="AF1164" s="348"/>
      <c r="AG1164" s="337"/>
      <c r="AH1164" s="341"/>
      <c r="AI1164" s="341"/>
      <c r="AJ1164" s="341"/>
      <c r="AK1164" s="341"/>
      <c r="AL1164" s="341"/>
      <c r="AM1164" s="338"/>
      <c r="AN1164" s="341"/>
      <c r="AO1164" s="341"/>
      <c r="AP1164" s="341"/>
      <c r="AQ1164" s="341"/>
      <c r="AR1164" s="341"/>
      <c r="AS1164" s="341"/>
      <c r="AT1164" s="341"/>
      <c r="AU1164" s="343"/>
      <c r="AV1164" s="341"/>
      <c r="AW1164" s="269" t="s">
        <v>2218</v>
      </c>
      <c r="AX1164" s="334" t="s">
        <v>2869</v>
      </c>
      <c r="AY1164" s="270" t="s">
        <v>695</v>
      </c>
      <c r="AZ1164" s="173" t="s">
        <v>2866</v>
      </c>
      <c r="BA1164" s="265">
        <v>10.0</v>
      </c>
      <c r="BB1164" s="174" t="s">
        <v>245</v>
      </c>
      <c r="BC1164" s="341"/>
      <c r="BD1164" s="308"/>
      <c r="BE1164" s="347"/>
      <c r="BF1164" s="274" t="str">
        <f>IFERROR(__xludf.DUMMYFUNCTION("LOWER(Regexreplace(to_text(E1164),""[^A-Za-z0-9]"","""")&amp;""_""&amp;Regexreplace(to_text(F1164),""[^A-Za-z0-9]"",""""))"),"neptronic_evcbseries")</f>
        <v>neptronic_evcbseries</v>
      </c>
      <c r="BG1164" s="275" t="str">
        <f>IFERROR(__xludf.DUMMYFUNCTION("upper(Regexreplace(to_text(E1164),""[^A-Za-z0-9]"","""")&amp;""-""&amp;Regexreplace(to_text(F1164),""[^A-Za-z0-9]"",""""))"),"NEPTRONIC-EVCBSERIES")</f>
        <v>NEPTRONIC-EVCBSERIES</v>
      </c>
    </row>
    <row r="1165" ht="30.0" customHeight="1">
      <c r="A1165" s="173">
        <v>1157.0</v>
      </c>
      <c r="B1165" s="237" t="s">
        <v>670</v>
      </c>
      <c r="C1165" s="257" t="s">
        <v>5009</v>
      </c>
      <c r="D1165" s="173" t="s">
        <v>5009</v>
      </c>
      <c r="E1165" s="174" t="s">
        <v>2861</v>
      </c>
      <c r="F1165" s="173" t="s">
        <v>2862</v>
      </c>
      <c r="G1165" s="328" t="s">
        <v>673</v>
      </c>
      <c r="H1165" s="328" t="s">
        <v>2863</v>
      </c>
      <c r="I1165" s="258" t="s">
        <v>2864</v>
      </c>
      <c r="J1165" s="259" t="s">
        <v>1088</v>
      </c>
      <c r="K1165" s="260" t="s">
        <v>5010</v>
      </c>
      <c r="L1165" s="328"/>
      <c r="M1165" s="343"/>
      <c r="N1165" s="173" t="s">
        <v>679</v>
      </c>
      <c r="O1165" s="173" t="s">
        <v>225</v>
      </c>
      <c r="P1165" s="262" t="str">
        <f t="shared" si="1"/>
        <v>IN-BLR-ANANTA-VAV-737_5</v>
      </c>
      <c r="Q1165" s="173" t="s">
        <v>5011</v>
      </c>
      <c r="R1165" s="328" t="str">
        <f>IFS(C1165="","",C1165="n/a","N/A",LEN(C1165),Concatenate("{",char(34),"asset",char(34),":{",char(34),"guid",char(34),":",char(34),Q1165,char(34),",",char(34),"site",char(34),":",char(34),LOWER('2-Building'!$B$4),char(34),",",char(34),"name",char(34),":",char(34),LOWER(C1165),char(34),"}}"))</f>
        <v>{"asset":{"guid":"uuid://3aac20e4-3a8b-46f3-852a-aad762ceb7b8","site":"in-blr-ananta","name":"vav-737"}}</v>
      </c>
      <c r="S1165" s="237" t="s">
        <v>2866</v>
      </c>
      <c r="T1165" s="330"/>
      <c r="U1165" s="330"/>
      <c r="V1165" s="331"/>
      <c r="W1165" s="344"/>
      <c r="X1165" s="341"/>
      <c r="Y1165" s="33" t="s">
        <v>2867</v>
      </c>
      <c r="Z1165" s="258">
        <v>120737.0</v>
      </c>
      <c r="AA1165" s="334">
        <v>11568.0</v>
      </c>
      <c r="AB1165" s="341"/>
      <c r="AC1165" s="341"/>
      <c r="AD1165" s="343"/>
      <c r="AE1165" s="331"/>
      <c r="AF1165" s="348"/>
      <c r="AG1165" s="337"/>
      <c r="AH1165" s="341"/>
      <c r="AI1165" s="341"/>
      <c r="AJ1165" s="341"/>
      <c r="AK1165" s="341"/>
      <c r="AL1165" s="341"/>
      <c r="AM1165" s="338"/>
      <c r="AN1165" s="341"/>
      <c r="AO1165" s="341"/>
      <c r="AP1165" s="341"/>
      <c r="AQ1165" s="341"/>
      <c r="AR1165" s="341"/>
      <c r="AS1165" s="341"/>
      <c r="AT1165" s="341"/>
      <c r="AU1165" s="343"/>
      <c r="AV1165" s="341"/>
      <c r="AW1165" s="269" t="s">
        <v>2218</v>
      </c>
      <c r="AX1165" s="334" t="s">
        <v>2869</v>
      </c>
      <c r="AY1165" s="270" t="s">
        <v>695</v>
      </c>
      <c r="AZ1165" s="173" t="s">
        <v>2866</v>
      </c>
      <c r="BA1165" s="265">
        <v>10.0</v>
      </c>
      <c r="BB1165" s="174" t="s">
        <v>245</v>
      </c>
      <c r="BC1165" s="341"/>
      <c r="BD1165" s="308"/>
      <c r="BE1165" s="347"/>
      <c r="BF1165" s="274" t="str">
        <f>IFERROR(__xludf.DUMMYFUNCTION("LOWER(Regexreplace(to_text(E1165),""[^A-Za-z0-9]"","""")&amp;""_""&amp;Regexreplace(to_text(F1165),""[^A-Za-z0-9]"",""""))"),"neptronic_evcbseries")</f>
        <v>neptronic_evcbseries</v>
      </c>
      <c r="BG1165" s="275" t="str">
        <f>IFERROR(__xludf.DUMMYFUNCTION("upper(Regexreplace(to_text(E1165),""[^A-Za-z0-9]"","""")&amp;""-""&amp;Regexreplace(to_text(F1165),""[^A-Za-z0-9]"",""""))"),"NEPTRONIC-EVCBSERIES")</f>
        <v>NEPTRONIC-EVCBSERIES</v>
      </c>
    </row>
    <row r="1166" ht="30.0" customHeight="1">
      <c r="A1166" s="258">
        <v>1158.0</v>
      </c>
      <c r="B1166" s="237" t="s">
        <v>670</v>
      </c>
      <c r="C1166" s="257" t="s">
        <v>5012</v>
      </c>
      <c r="D1166" s="173" t="s">
        <v>5012</v>
      </c>
      <c r="E1166" s="174" t="s">
        <v>2861</v>
      </c>
      <c r="F1166" s="173" t="s">
        <v>2862</v>
      </c>
      <c r="G1166" s="328" t="s">
        <v>673</v>
      </c>
      <c r="H1166" s="328" t="s">
        <v>2863</v>
      </c>
      <c r="I1166" s="258" t="s">
        <v>2864</v>
      </c>
      <c r="J1166" s="259" t="s">
        <v>1088</v>
      </c>
      <c r="K1166" s="260" t="s">
        <v>5013</v>
      </c>
      <c r="L1166" s="328"/>
      <c r="M1166" s="343"/>
      <c r="N1166" s="173" t="s">
        <v>679</v>
      </c>
      <c r="O1166" s="173" t="s">
        <v>225</v>
      </c>
      <c r="P1166" s="262" t="str">
        <f t="shared" si="1"/>
        <v>IN-BLR-ANANTA-VAV-738_5</v>
      </c>
      <c r="Q1166" s="173" t="s">
        <v>5014</v>
      </c>
      <c r="R1166" s="328" t="str">
        <f>IFS(C1166="","",C1166="n/a","N/A",LEN(C1166),Concatenate("{",char(34),"asset",char(34),":{",char(34),"guid",char(34),":",char(34),Q1166,char(34),",",char(34),"site",char(34),":",char(34),LOWER('2-Building'!$B$4),char(34),",",char(34),"name",char(34),":",char(34),LOWER(C1166),char(34),"}}"))</f>
        <v>{"asset":{"guid":"uuid://d3a0fc9a-91d8-4ffb-8ab3-38cd69c1dccb","site":"in-blr-ananta","name":"vav-738"}}</v>
      </c>
      <c r="S1166" s="237" t="s">
        <v>2866</v>
      </c>
      <c r="T1166" s="330"/>
      <c r="U1166" s="330"/>
      <c r="V1166" s="331"/>
      <c r="W1166" s="344"/>
      <c r="X1166" s="341"/>
      <c r="Y1166" s="33" t="s">
        <v>2867</v>
      </c>
      <c r="Z1166" s="258">
        <v>120738.0</v>
      </c>
      <c r="AA1166" s="334">
        <v>11568.0</v>
      </c>
      <c r="AB1166" s="341"/>
      <c r="AC1166" s="341"/>
      <c r="AD1166" s="343"/>
      <c r="AE1166" s="331"/>
      <c r="AF1166" s="348"/>
      <c r="AG1166" s="337"/>
      <c r="AH1166" s="341"/>
      <c r="AI1166" s="341"/>
      <c r="AJ1166" s="341"/>
      <c r="AK1166" s="341"/>
      <c r="AL1166" s="341"/>
      <c r="AM1166" s="338"/>
      <c r="AN1166" s="341"/>
      <c r="AO1166" s="341"/>
      <c r="AP1166" s="341"/>
      <c r="AQ1166" s="341"/>
      <c r="AR1166" s="341"/>
      <c r="AS1166" s="341"/>
      <c r="AT1166" s="341"/>
      <c r="AU1166" s="343"/>
      <c r="AV1166" s="341"/>
      <c r="AW1166" s="269" t="s">
        <v>2218</v>
      </c>
      <c r="AX1166" s="334" t="s">
        <v>2869</v>
      </c>
      <c r="AY1166" s="270" t="s">
        <v>695</v>
      </c>
      <c r="AZ1166" s="173" t="s">
        <v>2866</v>
      </c>
      <c r="BA1166" s="265">
        <v>10.0</v>
      </c>
      <c r="BB1166" s="174" t="s">
        <v>245</v>
      </c>
      <c r="BC1166" s="341"/>
      <c r="BD1166" s="308"/>
      <c r="BE1166" s="347"/>
      <c r="BF1166" s="274" t="str">
        <f>IFERROR(__xludf.DUMMYFUNCTION("LOWER(Regexreplace(to_text(E1166),""[^A-Za-z0-9]"","""")&amp;""_""&amp;Regexreplace(to_text(F1166),""[^A-Za-z0-9]"",""""))"),"neptronic_evcbseries")</f>
        <v>neptronic_evcbseries</v>
      </c>
      <c r="BG1166" s="275" t="str">
        <f>IFERROR(__xludf.DUMMYFUNCTION("upper(Regexreplace(to_text(E1166),""[^A-Za-z0-9]"","""")&amp;""-""&amp;Regexreplace(to_text(F1166),""[^A-Za-z0-9]"",""""))"),"NEPTRONIC-EVCBSERIES")</f>
        <v>NEPTRONIC-EVCBSERIES</v>
      </c>
    </row>
    <row r="1167" ht="30.0" customHeight="1">
      <c r="A1167" s="173">
        <v>1159.0</v>
      </c>
      <c r="B1167" s="237" t="s">
        <v>670</v>
      </c>
      <c r="C1167" s="257" t="s">
        <v>5015</v>
      </c>
      <c r="D1167" s="173" t="s">
        <v>5015</v>
      </c>
      <c r="E1167" s="174" t="s">
        <v>2861</v>
      </c>
      <c r="F1167" s="173" t="s">
        <v>2862</v>
      </c>
      <c r="G1167" s="328" t="s">
        <v>673</v>
      </c>
      <c r="H1167" s="328" t="s">
        <v>2863</v>
      </c>
      <c r="I1167" s="258" t="s">
        <v>2864</v>
      </c>
      <c r="J1167" s="259" t="s">
        <v>1088</v>
      </c>
      <c r="K1167" s="260" t="s">
        <v>5016</v>
      </c>
      <c r="L1167" s="328"/>
      <c r="M1167" s="343"/>
      <c r="N1167" s="173" t="s">
        <v>679</v>
      </c>
      <c r="O1167" s="173" t="s">
        <v>225</v>
      </c>
      <c r="P1167" s="262" t="str">
        <f t="shared" si="1"/>
        <v>IN-BLR-ANANTA-VAV-739_5</v>
      </c>
      <c r="Q1167" s="173" t="s">
        <v>5017</v>
      </c>
      <c r="R1167" s="328" t="str">
        <f>IFS(C1167="","",C1167="n/a","N/A",LEN(C1167),Concatenate("{",char(34),"asset",char(34),":{",char(34),"guid",char(34),":",char(34),Q1167,char(34),",",char(34),"site",char(34),":",char(34),LOWER('2-Building'!$B$4),char(34),",",char(34),"name",char(34),":",char(34),LOWER(C1167),char(34),"}}"))</f>
        <v>{"asset":{"guid":"uuid://9c43dc78-0b74-4940-84fa-fa2d67942d41","site":"in-blr-ananta","name":"vav-739"}}</v>
      </c>
      <c r="S1167" s="237" t="s">
        <v>2866</v>
      </c>
      <c r="T1167" s="330"/>
      <c r="U1167" s="330"/>
      <c r="V1167" s="331"/>
      <c r="W1167" s="344"/>
      <c r="X1167" s="341"/>
      <c r="Y1167" s="33" t="s">
        <v>2867</v>
      </c>
      <c r="Z1167" s="258">
        <v>120739.0</v>
      </c>
      <c r="AA1167" s="334">
        <v>11568.0</v>
      </c>
      <c r="AB1167" s="341"/>
      <c r="AC1167" s="341"/>
      <c r="AD1167" s="343"/>
      <c r="AE1167" s="331"/>
      <c r="AF1167" s="348"/>
      <c r="AG1167" s="337"/>
      <c r="AH1167" s="341"/>
      <c r="AI1167" s="341"/>
      <c r="AJ1167" s="341"/>
      <c r="AK1167" s="341"/>
      <c r="AL1167" s="341"/>
      <c r="AM1167" s="338"/>
      <c r="AN1167" s="341"/>
      <c r="AO1167" s="341"/>
      <c r="AP1167" s="341"/>
      <c r="AQ1167" s="341"/>
      <c r="AR1167" s="341"/>
      <c r="AS1167" s="341"/>
      <c r="AT1167" s="341"/>
      <c r="AU1167" s="343"/>
      <c r="AV1167" s="341"/>
      <c r="AW1167" s="269" t="s">
        <v>2218</v>
      </c>
      <c r="AX1167" s="334" t="s">
        <v>2869</v>
      </c>
      <c r="AY1167" s="270" t="s">
        <v>695</v>
      </c>
      <c r="AZ1167" s="173" t="s">
        <v>2866</v>
      </c>
      <c r="BA1167" s="265">
        <v>10.0</v>
      </c>
      <c r="BB1167" s="174" t="s">
        <v>245</v>
      </c>
      <c r="BC1167" s="341"/>
      <c r="BD1167" s="308"/>
      <c r="BE1167" s="347"/>
      <c r="BF1167" s="274" t="str">
        <f>IFERROR(__xludf.DUMMYFUNCTION("LOWER(Regexreplace(to_text(E1167),""[^A-Za-z0-9]"","""")&amp;""_""&amp;Regexreplace(to_text(F1167),""[^A-Za-z0-9]"",""""))"),"neptronic_evcbseries")</f>
        <v>neptronic_evcbseries</v>
      </c>
      <c r="BG1167" s="275" t="str">
        <f>IFERROR(__xludf.DUMMYFUNCTION("upper(Regexreplace(to_text(E1167),""[^A-Za-z0-9]"","""")&amp;""-""&amp;Regexreplace(to_text(F1167),""[^A-Za-z0-9]"",""""))"),"NEPTRONIC-EVCBSERIES")</f>
        <v>NEPTRONIC-EVCBSERIES</v>
      </c>
    </row>
    <row r="1168" ht="30.0" customHeight="1">
      <c r="A1168" s="258">
        <v>1160.0</v>
      </c>
      <c r="B1168" s="237" t="s">
        <v>670</v>
      </c>
      <c r="C1168" s="257" t="s">
        <v>5018</v>
      </c>
      <c r="D1168" s="173" t="s">
        <v>5018</v>
      </c>
      <c r="E1168" s="174" t="s">
        <v>2861</v>
      </c>
      <c r="F1168" s="173" t="s">
        <v>2862</v>
      </c>
      <c r="G1168" s="328" t="s">
        <v>673</v>
      </c>
      <c r="H1168" s="328" t="s">
        <v>2863</v>
      </c>
      <c r="I1168" s="258" t="s">
        <v>2864</v>
      </c>
      <c r="J1168" s="259" t="s">
        <v>1088</v>
      </c>
      <c r="K1168" s="260" t="s">
        <v>5019</v>
      </c>
      <c r="L1168" s="328"/>
      <c r="M1168" s="343"/>
      <c r="N1168" s="173" t="s">
        <v>679</v>
      </c>
      <c r="O1168" s="173" t="s">
        <v>225</v>
      </c>
      <c r="P1168" s="262" t="str">
        <f t="shared" si="1"/>
        <v>IN-BLR-ANANTA-VAV-740_5</v>
      </c>
      <c r="Q1168" s="173" t="s">
        <v>5020</v>
      </c>
      <c r="R1168" s="328" t="str">
        <f>IFS(C1168="","",C1168="n/a","N/A",LEN(C1168),Concatenate("{",char(34),"asset",char(34),":{",char(34),"guid",char(34),":",char(34),Q1168,char(34),",",char(34),"site",char(34),":",char(34),LOWER('2-Building'!$B$4),char(34),",",char(34),"name",char(34),":",char(34),LOWER(C1168),char(34),"}}"))</f>
        <v>{"asset":{"guid":"uuid://04c974e4-bf73-4e79-882a-bfd80388eba4","site":"in-blr-ananta","name":"vav-740"}}</v>
      </c>
      <c r="S1168" s="237" t="s">
        <v>2866</v>
      </c>
      <c r="T1168" s="330"/>
      <c r="U1168" s="330"/>
      <c r="V1168" s="331"/>
      <c r="W1168" s="344"/>
      <c r="X1168" s="341"/>
      <c r="Y1168" s="33" t="s">
        <v>2867</v>
      </c>
      <c r="Z1168" s="258">
        <v>120740.0</v>
      </c>
      <c r="AA1168" s="334">
        <v>11568.0</v>
      </c>
      <c r="AB1168" s="341"/>
      <c r="AC1168" s="341"/>
      <c r="AD1168" s="343"/>
      <c r="AE1168" s="331"/>
      <c r="AF1168" s="348"/>
      <c r="AG1168" s="337"/>
      <c r="AH1168" s="341"/>
      <c r="AI1168" s="341"/>
      <c r="AJ1168" s="341"/>
      <c r="AK1168" s="341"/>
      <c r="AL1168" s="341"/>
      <c r="AM1168" s="338"/>
      <c r="AN1168" s="341"/>
      <c r="AO1168" s="341"/>
      <c r="AP1168" s="341"/>
      <c r="AQ1168" s="341"/>
      <c r="AR1168" s="341"/>
      <c r="AS1168" s="341"/>
      <c r="AT1168" s="341"/>
      <c r="AU1168" s="343"/>
      <c r="AV1168" s="341"/>
      <c r="AW1168" s="269" t="s">
        <v>2218</v>
      </c>
      <c r="AX1168" s="334" t="s">
        <v>2869</v>
      </c>
      <c r="AY1168" s="270" t="s">
        <v>695</v>
      </c>
      <c r="AZ1168" s="173" t="s">
        <v>2866</v>
      </c>
      <c r="BA1168" s="265">
        <v>10.0</v>
      </c>
      <c r="BB1168" s="174" t="s">
        <v>245</v>
      </c>
      <c r="BC1168" s="341"/>
      <c r="BD1168" s="308"/>
      <c r="BE1168" s="347"/>
      <c r="BF1168" s="274" t="str">
        <f>IFERROR(__xludf.DUMMYFUNCTION("LOWER(Regexreplace(to_text(E1168),""[^A-Za-z0-9]"","""")&amp;""_""&amp;Regexreplace(to_text(F1168),""[^A-Za-z0-9]"",""""))"),"neptronic_evcbseries")</f>
        <v>neptronic_evcbseries</v>
      </c>
      <c r="BG1168" s="275" t="str">
        <f>IFERROR(__xludf.DUMMYFUNCTION("upper(Regexreplace(to_text(E1168),""[^A-Za-z0-9]"","""")&amp;""-""&amp;Regexreplace(to_text(F1168),""[^A-Za-z0-9]"",""""))"),"NEPTRONIC-EVCBSERIES")</f>
        <v>NEPTRONIC-EVCBSERIES</v>
      </c>
    </row>
    <row r="1169" ht="30.0" customHeight="1">
      <c r="A1169" s="173">
        <v>1161.0</v>
      </c>
      <c r="B1169" s="237" t="s">
        <v>670</v>
      </c>
      <c r="C1169" s="257" t="s">
        <v>5021</v>
      </c>
      <c r="D1169" s="173" t="s">
        <v>5021</v>
      </c>
      <c r="E1169" s="174" t="s">
        <v>2861</v>
      </c>
      <c r="F1169" s="173" t="s">
        <v>2862</v>
      </c>
      <c r="G1169" s="328" t="s">
        <v>673</v>
      </c>
      <c r="H1169" s="328" t="s">
        <v>2863</v>
      </c>
      <c r="I1169" s="258" t="s">
        <v>2864</v>
      </c>
      <c r="J1169" s="259" t="s">
        <v>1088</v>
      </c>
      <c r="K1169" s="260" t="s">
        <v>5022</v>
      </c>
      <c r="L1169" s="328"/>
      <c r="M1169" s="343"/>
      <c r="N1169" s="173" t="s">
        <v>679</v>
      </c>
      <c r="O1169" s="173" t="s">
        <v>225</v>
      </c>
      <c r="P1169" s="262" t="str">
        <f t="shared" si="1"/>
        <v>IN-BLR-ANANTA-VAV-741_5</v>
      </c>
      <c r="Q1169" s="173" t="s">
        <v>5023</v>
      </c>
      <c r="R1169" s="328" t="str">
        <f>IFS(C1169="","",C1169="n/a","N/A",LEN(C1169),Concatenate("{",char(34),"asset",char(34),":{",char(34),"guid",char(34),":",char(34),Q1169,char(34),",",char(34),"site",char(34),":",char(34),LOWER('2-Building'!$B$4),char(34),",",char(34),"name",char(34),":",char(34),LOWER(C1169),char(34),"}}"))</f>
        <v>{"asset":{"guid":"uuid://65bcafdc-ee1b-463b-85e8-7fbc3d88af6b","site":"in-blr-ananta","name":"vav-741"}}</v>
      </c>
      <c r="S1169" s="237" t="s">
        <v>2866</v>
      </c>
      <c r="T1169" s="330"/>
      <c r="U1169" s="330"/>
      <c r="V1169" s="331"/>
      <c r="W1169" s="344"/>
      <c r="X1169" s="341"/>
      <c r="Y1169" s="33" t="s">
        <v>2867</v>
      </c>
      <c r="Z1169" s="258">
        <v>120741.0</v>
      </c>
      <c r="AA1169" s="334">
        <v>11568.0</v>
      </c>
      <c r="AB1169" s="341"/>
      <c r="AC1169" s="341"/>
      <c r="AD1169" s="343"/>
      <c r="AE1169" s="331"/>
      <c r="AF1169" s="348"/>
      <c r="AG1169" s="337"/>
      <c r="AH1169" s="341"/>
      <c r="AI1169" s="341"/>
      <c r="AJ1169" s="341"/>
      <c r="AK1169" s="341"/>
      <c r="AL1169" s="341"/>
      <c r="AM1169" s="338"/>
      <c r="AN1169" s="341"/>
      <c r="AO1169" s="341"/>
      <c r="AP1169" s="341"/>
      <c r="AQ1169" s="341"/>
      <c r="AR1169" s="341"/>
      <c r="AS1169" s="341"/>
      <c r="AT1169" s="341"/>
      <c r="AU1169" s="343"/>
      <c r="AV1169" s="341"/>
      <c r="AW1169" s="269" t="s">
        <v>2218</v>
      </c>
      <c r="AX1169" s="334" t="s">
        <v>2869</v>
      </c>
      <c r="AY1169" s="270" t="s">
        <v>695</v>
      </c>
      <c r="AZ1169" s="173" t="s">
        <v>2866</v>
      </c>
      <c r="BA1169" s="265">
        <v>10.0</v>
      </c>
      <c r="BB1169" s="174" t="s">
        <v>245</v>
      </c>
      <c r="BC1169" s="341"/>
      <c r="BD1169" s="308"/>
      <c r="BE1169" s="347"/>
      <c r="BF1169" s="274" t="str">
        <f>IFERROR(__xludf.DUMMYFUNCTION("LOWER(Regexreplace(to_text(E1169),""[^A-Za-z0-9]"","""")&amp;""_""&amp;Regexreplace(to_text(F1169),""[^A-Za-z0-9]"",""""))"),"neptronic_evcbseries")</f>
        <v>neptronic_evcbseries</v>
      </c>
      <c r="BG1169" s="275" t="str">
        <f>IFERROR(__xludf.DUMMYFUNCTION("upper(Regexreplace(to_text(E1169),""[^A-Za-z0-9]"","""")&amp;""-""&amp;Regexreplace(to_text(F1169),""[^A-Za-z0-9]"",""""))"),"NEPTRONIC-EVCBSERIES")</f>
        <v>NEPTRONIC-EVCBSERIES</v>
      </c>
    </row>
    <row r="1170" ht="30.0" customHeight="1">
      <c r="A1170" s="258">
        <v>1162.0</v>
      </c>
      <c r="B1170" s="237" t="s">
        <v>670</v>
      </c>
      <c r="C1170" s="257" t="s">
        <v>5024</v>
      </c>
      <c r="D1170" s="173" t="s">
        <v>5024</v>
      </c>
      <c r="E1170" s="174" t="s">
        <v>2861</v>
      </c>
      <c r="F1170" s="173" t="s">
        <v>2862</v>
      </c>
      <c r="G1170" s="328" t="s">
        <v>673</v>
      </c>
      <c r="H1170" s="328" t="s">
        <v>2863</v>
      </c>
      <c r="I1170" s="258" t="s">
        <v>2864</v>
      </c>
      <c r="J1170" s="259" t="s">
        <v>1088</v>
      </c>
      <c r="K1170" s="260" t="s">
        <v>5025</v>
      </c>
      <c r="L1170" s="328"/>
      <c r="M1170" s="343"/>
      <c r="N1170" s="173" t="s">
        <v>679</v>
      </c>
      <c r="O1170" s="173" t="s">
        <v>225</v>
      </c>
      <c r="P1170" s="262" t="str">
        <f t="shared" si="1"/>
        <v>IN-BLR-ANANTA-VAV-742_5</v>
      </c>
      <c r="Q1170" s="173" t="s">
        <v>5026</v>
      </c>
      <c r="R1170" s="328" t="str">
        <f>IFS(C1170="","",C1170="n/a","N/A",LEN(C1170),Concatenate("{",char(34),"asset",char(34),":{",char(34),"guid",char(34),":",char(34),Q1170,char(34),",",char(34),"site",char(34),":",char(34),LOWER('2-Building'!$B$4),char(34),",",char(34),"name",char(34),":",char(34),LOWER(C1170),char(34),"}}"))</f>
        <v>{"asset":{"guid":"uuid://c692c073-9960-4b93-80d2-d12d076c989e","site":"in-blr-ananta","name":"vav-742"}}</v>
      </c>
      <c r="S1170" s="237" t="s">
        <v>2866</v>
      </c>
      <c r="T1170" s="330"/>
      <c r="U1170" s="330"/>
      <c r="V1170" s="331"/>
      <c r="W1170" s="344"/>
      <c r="X1170" s="341"/>
      <c r="Y1170" s="33" t="s">
        <v>2867</v>
      </c>
      <c r="Z1170" s="258">
        <v>120742.0</v>
      </c>
      <c r="AA1170" s="334">
        <v>11568.0</v>
      </c>
      <c r="AB1170" s="341"/>
      <c r="AC1170" s="341"/>
      <c r="AD1170" s="343"/>
      <c r="AE1170" s="331"/>
      <c r="AF1170" s="348"/>
      <c r="AG1170" s="337"/>
      <c r="AH1170" s="341"/>
      <c r="AI1170" s="341"/>
      <c r="AJ1170" s="341"/>
      <c r="AK1170" s="341"/>
      <c r="AL1170" s="341"/>
      <c r="AM1170" s="338"/>
      <c r="AN1170" s="341"/>
      <c r="AO1170" s="341"/>
      <c r="AP1170" s="341"/>
      <c r="AQ1170" s="341"/>
      <c r="AR1170" s="341"/>
      <c r="AS1170" s="341"/>
      <c r="AT1170" s="341"/>
      <c r="AU1170" s="343"/>
      <c r="AV1170" s="341"/>
      <c r="AW1170" s="269" t="s">
        <v>2218</v>
      </c>
      <c r="AX1170" s="334" t="s">
        <v>2869</v>
      </c>
      <c r="AY1170" s="270" t="s">
        <v>695</v>
      </c>
      <c r="AZ1170" s="173" t="s">
        <v>2866</v>
      </c>
      <c r="BA1170" s="265">
        <v>10.0</v>
      </c>
      <c r="BB1170" s="174" t="s">
        <v>245</v>
      </c>
      <c r="BC1170" s="341"/>
      <c r="BD1170" s="308"/>
      <c r="BE1170" s="347"/>
      <c r="BF1170" s="274" t="str">
        <f>IFERROR(__xludf.DUMMYFUNCTION("LOWER(Regexreplace(to_text(E1170),""[^A-Za-z0-9]"","""")&amp;""_""&amp;Regexreplace(to_text(F1170),""[^A-Za-z0-9]"",""""))"),"neptronic_evcbseries")</f>
        <v>neptronic_evcbseries</v>
      </c>
      <c r="BG1170" s="275" t="str">
        <f>IFERROR(__xludf.DUMMYFUNCTION("upper(Regexreplace(to_text(E1170),""[^A-Za-z0-9]"","""")&amp;""-""&amp;Regexreplace(to_text(F1170),""[^A-Za-z0-9]"",""""))"),"NEPTRONIC-EVCBSERIES")</f>
        <v>NEPTRONIC-EVCBSERIES</v>
      </c>
    </row>
    <row r="1171" ht="30.0" customHeight="1">
      <c r="A1171" s="173">
        <v>1163.0</v>
      </c>
      <c r="B1171" s="237" t="s">
        <v>670</v>
      </c>
      <c r="C1171" s="257" t="s">
        <v>5027</v>
      </c>
      <c r="D1171" s="173" t="s">
        <v>5027</v>
      </c>
      <c r="E1171" s="174" t="s">
        <v>2861</v>
      </c>
      <c r="F1171" s="173" t="s">
        <v>2862</v>
      </c>
      <c r="G1171" s="328" t="s">
        <v>673</v>
      </c>
      <c r="H1171" s="328" t="s">
        <v>2863</v>
      </c>
      <c r="I1171" s="258" t="s">
        <v>2864</v>
      </c>
      <c r="J1171" s="259" t="s">
        <v>1088</v>
      </c>
      <c r="K1171" s="260" t="s">
        <v>5028</v>
      </c>
      <c r="L1171" s="328"/>
      <c r="M1171" s="343"/>
      <c r="N1171" s="173" t="s">
        <v>679</v>
      </c>
      <c r="O1171" s="173" t="s">
        <v>225</v>
      </c>
      <c r="P1171" s="262" t="str">
        <f t="shared" si="1"/>
        <v>IN-BLR-ANANTA-VAV-743_5</v>
      </c>
      <c r="Q1171" s="173" t="s">
        <v>5029</v>
      </c>
      <c r="R1171" s="328" t="str">
        <f>IFS(C1171="","",C1171="n/a","N/A",LEN(C1171),Concatenate("{",char(34),"asset",char(34),":{",char(34),"guid",char(34),":",char(34),Q1171,char(34),",",char(34),"site",char(34),":",char(34),LOWER('2-Building'!$B$4),char(34),",",char(34),"name",char(34),":",char(34),LOWER(C1171),char(34),"}}"))</f>
        <v>{"asset":{"guid":"uuid://8c32d08d-f60b-41e2-a500-09d6b99b2cf4","site":"in-blr-ananta","name":"vav-743"}}</v>
      </c>
      <c r="S1171" s="237" t="s">
        <v>2866</v>
      </c>
      <c r="T1171" s="330"/>
      <c r="U1171" s="330"/>
      <c r="V1171" s="331"/>
      <c r="W1171" s="344"/>
      <c r="X1171" s="341"/>
      <c r="Y1171" s="33" t="s">
        <v>2867</v>
      </c>
      <c r="Z1171" s="258">
        <v>120743.0</v>
      </c>
      <c r="AA1171" s="334">
        <v>11568.0</v>
      </c>
      <c r="AB1171" s="341"/>
      <c r="AC1171" s="341"/>
      <c r="AD1171" s="343"/>
      <c r="AE1171" s="331"/>
      <c r="AF1171" s="348"/>
      <c r="AG1171" s="337"/>
      <c r="AH1171" s="341"/>
      <c r="AI1171" s="341"/>
      <c r="AJ1171" s="341"/>
      <c r="AK1171" s="341"/>
      <c r="AL1171" s="341"/>
      <c r="AM1171" s="338"/>
      <c r="AN1171" s="341"/>
      <c r="AO1171" s="341"/>
      <c r="AP1171" s="341"/>
      <c r="AQ1171" s="341"/>
      <c r="AR1171" s="341"/>
      <c r="AS1171" s="341"/>
      <c r="AT1171" s="341"/>
      <c r="AU1171" s="343"/>
      <c r="AV1171" s="341"/>
      <c r="AW1171" s="269" t="s">
        <v>2218</v>
      </c>
      <c r="AX1171" s="334" t="s">
        <v>2869</v>
      </c>
      <c r="AY1171" s="270" t="s">
        <v>695</v>
      </c>
      <c r="AZ1171" s="173" t="s">
        <v>2866</v>
      </c>
      <c r="BA1171" s="265">
        <v>10.0</v>
      </c>
      <c r="BB1171" s="174" t="s">
        <v>245</v>
      </c>
      <c r="BC1171" s="341"/>
      <c r="BD1171" s="308"/>
      <c r="BE1171" s="347"/>
      <c r="BF1171" s="274" t="str">
        <f>IFERROR(__xludf.DUMMYFUNCTION("LOWER(Regexreplace(to_text(E1171),""[^A-Za-z0-9]"","""")&amp;""_""&amp;Regexreplace(to_text(F1171),""[^A-Za-z0-9]"",""""))"),"neptronic_evcbseries")</f>
        <v>neptronic_evcbseries</v>
      </c>
      <c r="BG1171" s="275" t="str">
        <f>IFERROR(__xludf.DUMMYFUNCTION("upper(Regexreplace(to_text(E1171),""[^A-Za-z0-9]"","""")&amp;""-""&amp;Regexreplace(to_text(F1171),""[^A-Za-z0-9]"",""""))"),"NEPTRONIC-EVCBSERIES")</f>
        <v>NEPTRONIC-EVCBSERIES</v>
      </c>
    </row>
    <row r="1172" ht="30.0" customHeight="1">
      <c r="A1172" s="258">
        <v>1164.0</v>
      </c>
      <c r="B1172" s="237" t="s">
        <v>670</v>
      </c>
      <c r="C1172" s="257" t="s">
        <v>5030</v>
      </c>
      <c r="D1172" s="173" t="s">
        <v>5030</v>
      </c>
      <c r="E1172" s="174" t="s">
        <v>2861</v>
      </c>
      <c r="F1172" s="173" t="s">
        <v>2862</v>
      </c>
      <c r="G1172" s="328" t="s">
        <v>673</v>
      </c>
      <c r="H1172" s="328" t="s">
        <v>2863</v>
      </c>
      <c r="I1172" s="258" t="s">
        <v>2864</v>
      </c>
      <c r="J1172" s="259" t="s">
        <v>1088</v>
      </c>
      <c r="K1172" s="260" t="s">
        <v>5031</v>
      </c>
      <c r="L1172" s="328"/>
      <c r="M1172" s="343"/>
      <c r="N1172" s="173" t="s">
        <v>679</v>
      </c>
      <c r="O1172" s="173" t="s">
        <v>225</v>
      </c>
      <c r="P1172" s="262" t="str">
        <f t="shared" si="1"/>
        <v>IN-BLR-ANANTA-VAV-744_5</v>
      </c>
      <c r="Q1172" s="173" t="s">
        <v>5032</v>
      </c>
      <c r="R1172" s="328" t="str">
        <f>IFS(C1172="","",C1172="n/a","N/A",LEN(C1172),Concatenate("{",char(34),"asset",char(34),":{",char(34),"guid",char(34),":",char(34),Q1172,char(34),",",char(34),"site",char(34),":",char(34),LOWER('2-Building'!$B$4),char(34),",",char(34),"name",char(34),":",char(34),LOWER(C1172),char(34),"}}"))</f>
        <v>{"asset":{"guid":"uuid://c314edea-0773-4346-a662-ea3711f5ebba","site":"in-blr-ananta","name":"vav-744"}}</v>
      </c>
      <c r="S1172" s="237" t="s">
        <v>2866</v>
      </c>
      <c r="T1172" s="330"/>
      <c r="U1172" s="330"/>
      <c r="V1172" s="331"/>
      <c r="W1172" s="344"/>
      <c r="X1172" s="341"/>
      <c r="Y1172" s="33" t="s">
        <v>2867</v>
      </c>
      <c r="Z1172" s="258">
        <v>120744.0</v>
      </c>
      <c r="AA1172" s="334">
        <v>11569.0</v>
      </c>
      <c r="AB1172" s="341"/>
      <c r="AC1172" s="341"/>
      <c r="AD1172" s="343"/>
      <c r="AE1172" s="331"/>
      <c r="AF1172" s="348"/>
      <c r="AG1172" s="337"/>
      <c r="AH1172" s="341"/>
      <c r="AI1172" s="341"/>
      <c r="AJ1172" s="341"/>
      <c r="AK1172" s="341"/>
      <c r="AL1172" s="341"/>
      <c r="AM1172" s="338"/>
      <c r="AN1172" s="341"/>
      <c r="AO1172" s="341"/>
      <c r="AP1172" s="341"/>
      <c r="AQ1172" s="341"/>
      <c r="AR1172" s="341"/>
      <c r="AS1172" s="341"/>
      <c r="AT1172" s="341"/>
      <c r="AU1172" s="343"/>
      <c r="AV1172" s="341"/>
      <c r="AW1172" s="269" t="s">
        <v>2218</v>
      </c>
      <c r="AX1172" s="334" t="s">
        <v>2869</v>
      </c>
      <c r="AY1172" s="270" t="s">
        <v>695</v>
      </c>
      <c r="AZ1172" s="173" t="s">
        <v>2866</v>
      </c>
      <c r="BA1172" s="265">
        <v>10.0</v>
      </c>
      <c r="BB1172" s="174" t="s">
        <v>245</v>
      </c>
      <c r="BC1172" s="341"/>
      <c r="BD1172" s="308"/>
      <c r="BE1172" s="347"/>
      <c r="BF1172" s="274" t="str">
        <f>IFERROR(__xludf.DUMMYFUNCTION("LOWER(Regexreplace(to_text(E1172),""[^A-Za-z0-9]"","""")&amp;""_""&amp;Regexreplace(to_text(F1172),""[^A-Za-z0-9]"",""""))"),"neptronic_evcbseries")</f>
        <v>neptronic_evcbseries</v>
      </c>
      <c r="BG1172" s="275" t="str">
        <f>IFERROR(__xludf.DUMMYFUNCTION("upper(Regexreplace(to_text(E1172),""[^A-Za-z0-9]"","""")&amp;""-""&amp;Regexreplace(to_text(F1172),""[^A-Za-z0-9]"",""""))"),"NEPTRONIC-EVCBSERIES")</f>
        <v>NEPTRONIC-EVCBSERIES</v>
      </c>
    </row>
    <row r="1173" ht="30.0" customHeight="1">
      <c r="A1173" s="173">
        <v>1165.0</v>
      </c>
      <c r="B1173" s="237" t="s">
        <v>670</v>
      </c>
      <c r="C1173" s="257" t="s">
        <v>5033</v>
      </c>
      <c r="D1173" s="173" t="s">
        <v>5033</v>
      </c>
      <c r="E1173" s="174" t="s">
        <v>2861</v>
      </c>
      <c r="F1173" s="173" t="s">
        <v>2862</v>
      </c>
      <c r="G1173" s="328" t="s">
        <v>673</v>
      </c>
      <c r="H1173" s="328" t="s">
        <v>2863</v>
      </c>
      <c r="I1173" s="258" t="s">
        <v>2864</v>
      </c>
      <c r="J1173" s="259" t="s">
        <v>1088</v>
      </c>
      <c r="K1173" s="260" t="s">
        <v>5034</v>
      </c>
      <c r="L1173" s="328"/>
      <c r="M1173" s="343"/>
      <c r="N1173" s="173" t="s">
        <v>679</v>
      </c>
      <c r="O1173" s="173" t="s">
        <v>225</v>
      </c>
      <c r="P1173" s="262" t="str">
        <f t="shared" si="1"/>
        <v>IN-BLR-ANANTA-VAV-745_5</v>
      </c>
      <c r="Q1173" s="173" t="s">
        <v>5035</v>
      </c>
      <c r="R1173" s="328" t="str">
        <f>IFS(C1173="","",C1173="n/a","N/A",LEN(C1173),Concatenate("{",char(34),"asset",char(34),":{",char(34),"guid",char(34),":",char(34),Q1173,char(34),",",char(34),"site",char(34),":",char(34),LOWER('2-Building'!$B$4),char(34),",",char(34),"name",char(34),":",char(34),LOWER(C1173),char(34),"}}"))</f>
        <v>{"asset":{"guid":"uuid://854fa997-8c3c-4d85-b046-4510dff988bb","site":"in-blr-ananta","name":"vav-745"}}</v>
      </c>
      <c r="S1173" s="237" t="s">
        <v>2866</v>
      </c>
      <c r="T1173" s="330"/>
      <c r="U1173" s="330"/>
      <c r="V1173" s="331"/>
      <c r="W1173" s="344"/>
      <c r="X1173" s="341"/>
      <c r="Y1173" s="33" t="s">
        <v>2867</v>
      </c>
      <c r="Z1173" s="258">
        <v>120745.0</v>
      </c>
      <c r="AA1173" s="334">
        <v>11569.0</v>
      </c>
      <c r="AB1173" s="341"/>
      <c r="AC1173" s="341"/>
      <c r="AD1173" s="343"/>
      <c r="AE1173" s="331"/>
      <c r="AF1173" s="348"/>
      <c r="AG1173" s="337"/>
      <c r="AH1173" s="341"/>
      <c r="AI1173" s="341"/>
      <c r="AJ1173" s="341"/>
      <c r="AK1173" s="341"/>
      <c r="AL1173" s="341"/>
      <c r="AM1173" s="338"/>
      <c r="AN1173" s="341"/>
      <c r="AO1173" s="341"/>
      <c r="AP1173" s="341"/>
      <c r="AQ1173" s="341"/>
      <c r="AR1173" s="341"/>
      <c r="AS1173" s="341"/>
      <c r="AT1173" s="341"/>
      <c r="AU1173" s="343"/>
      <c r="AV1173" s="341"/>
      <c r="AW1173" s="269" t="s">
        <v>2218</v>
      </c>
      <c r="AX1173" s="334" t="s">
        <v>2869</v>
      </c>
      <c r="AY1173" s="270" t="s">
        <v>695</v>
      </c>
      <c r="AZ1173" s="173" t="s">
        <v>2866</v>
      </c>
      <c r="BA1173" s="265">
        <v>10.0</v>
      </c>
      <c r="BB1173" s="174" t="s">
        <v>245</v>
      </c>
      <c r="BC1173" s="341"/>
      <c r="BD1173" s="308"/>
      <c r="BE1173" s="347"/>
      <c r="BF1173" s="274" t="str">
        <f>IFERROR(__xludf.DUMMYFUNCTION("LOWER(Regexreplace(to_text(E1173),""[^A-Za-z0-9]"","""")&amp;""_""&amp;Regexreplace(to_text(F1173),""[^A-Za-z0-9]"",""""))"),"neptronic_evcbseries")</f>
        <v>neptronic_evcbseries</v>
      </c>
      <c r="BG1173" s="275" t="str">
        <f>IFERROR(__xludf.DUMMYFUNCTION("upper(Regexreplace(to_text(E1173),""[^A-Za-z0-9]"","""")&amp;""-""&amp;Regexreplace(to_text(F1173),""[^A-Za-z0-9]"",""""))"),"NEPTRONIC-EVCBSERIES")</f>
        <v>NEPTRONIC-EVCBSERIES</v>
      </c>
    </row>
    <row r="1174" ht="30.0" customHeight="1">
      <c r="A1174" s="258">
        <v>1166.0</v>
      </c>
      <c r="B1174" s="237" t="s">
        <v>670</v>
      </c>
      <c r="C1174" s="257" t="s">
        <v>5036</v>
      </c>
      <c r="D1174" s="173" t="s">
        <v>5036</v>
      </c>
      <c r="E1174" s="174" t="s">
        <v>2861</v>
      </c>
      <c r="F1174" s="173" t="s">
        <v>2862</v>
      </c>
      <c r="G1174" s="328" t="s">
        <v>673</v>
      </c>
      <c r="H1174" s="328" t="s">
        <v>2863</v>
      </c>
      <c r="I1174" s="258" t="s">
        <v>2864</v>
      </c>
      <c r="J1174" s="259" t="s">
        <v>1088</v>
      </c>
      <c r="K1174" s="260" t="s">
        <v>5037</v>
      </c>
      <c r="L1174" s="328"/>
      <c r="M1174" s="343"/>
      <c r="N1174" s="173" t="s">
        <v>679</v>
      </c>
      <c r="O1174" s="173" t="s">
        <v>225</v>
      </c>
      <c r="P1174" s="262" t="str">
        <f t="shared" si="1"/>
        <v>IN-BLR-ANANTA-VAV-746_5</v>
      </c>
      <c r="Q1174" s="173" t="s">
        <v>5038</v>
      </c>
      <c r="R1174" s="328" t="str">
        <f>IFS(C1174="","",C1174="n/a","N/A",LEN(C1174),Concatenate("{",char(34),"asset",char(34),":{",char(34),"guid",char(34),":",char(34),Q1174,char(34),",",char(34),"site",char(34),":",char(34),LOWER('2-Building'!$B$4),char(34),",",char(34),"name",char(34),":",char(34),LOWER(C1174),char(34),"}}"))</f>
        <v>{"asset":{"guid":"uuid://efccfba7-4fc6-46ef-9231-d888ced74975","site":"in-blr-ananta","name":"vav-746"}}</v>
      </c>
      <c r="S1174" s="237" t="s">
        <v>2866</v>
      </c>
      <c r="T1174" s="330"/>
      <c r="U1174" s="330"/>
      <c r="V1174" s="331"/>
      <c r="W1174" s="344"/>
      <c r="X1174" s="341"/>
      <c r="Y1174" s="33" t="s">
        <v>2867</v>
      </c>
      <c r="Z1174" s="258">
        <v>120746.0</v>
      </c>
      <c r="AA1174" s="334">
        <v>11569.0</v>
      </c>
      <c r="AB1174" s="341"/>
      <c r="AC1174" s="341"/>
      <c r="AD1174" s="343"/>
      <c r="AE1174" s="331"/>
      <c r="AF1174" s="348"/>
      <c r="AG1174" s="337"/>
      <c r="AH1174" s="341"/>
      <c r="AI1174" s="341"/>
      <c r="AJ1174" s="341"/>
      <c r="AK1174" s="341"/>
      <c r="AL1174" s="341"/>
      <c r="AM1174" s="338"/>
      <c r="AN1174" s="341"/>
      <c r="AO1174" s="341"/>
      <c r="AP1174" s="341"/>
      <c r="AQ1174" s="341"/>
      <c r="AR1174" s="341"/>
      <c r="AS1174" s="341"/>
      <c r="AT1174" s="341"/>
      <c r="AU1174" s="343"/>
      <c r="AV1174" s="341"/>
      <c r="AW1174" s="269" t="s">
        <v>2218</v>
      </c>
      <c r="AX1174" s="334" t="s">
        <v>2869</v>
      </c>
      <c r="AY1174" s="270" t="s">
        <v>695</v>
      </c>
      <c r="AZ1174" s="173" t="s">
        <v>2866</v>
      </c>
      <c r="BA1174" s="265">
        <v>10.0</v>
      </c>
      <c r="BB1174" s="174" t="s">
        <v>245</v>
      </c>
      <c r="BC1174" s="341"/>
      <c r="BD1174" s="308"/>
      <c r="BE1174" s="347"/>
      <c r="BF1174" s="274" t="str">
        <f>IFERROR(__xludf.DUMMYFUNCTION("LOWER(Regexreplace(to_text(E1174),""[^A-Za-z0-9]"","""")&amp;""_""&amp;Regexreplace(to_text(F1174),""[^A-Za-z0-9]"",""""))"),"neptronic_evcbseries")</f>
        <v>neptronic_evcbseries</v>
      </c>
      <c r="BG1174" s="275" t="str">
        <f>IFERROR(__xludf.DUMMYFUNCTION("upper(Regexreplace(to_text(E1174),""[^A-Za-z0-9]"","""")&amp;""-""&amp;Regexreplace(to_text(F1174),""[^A-Za-z0-9]"",""""))"),"NEPTRONIC-EVCBSERIES")</f>
        <v>NEPTRONIC-EVCBSERIES</v>
      </c>
    </row>
    <row r="1175" ht="30.0" customHeight="1">
      <c r="A1175" s="173">
        <v>1167.0</v>
      </c>
      <c r="B1175" s="237" t="s">
        <v>670</v>
      </c>
      <c r="C1175" s="257" t="s">
        <v>5039</v>
      </c>
      <c r="D1175" s="173" t="s">
        <v>5039</v>
      </c>
      <c r="E1175" s="174" t="s">
        <v>2861</v>
      </c>
      <c r="F1175" s="173" t="s">
        <v>2862</v>
      </c>
      <c r="G1175" s="328" t="s">
        <v>673</v>
      </c>
      <c r="H1175" s="328" t="s">
        <v>2863</v>
      </c>
      <c r="I1175" s="258" t="s">
        <v>2864</v>
      </c>
      <c r="J1175" s="259" t="s">
        <v>1088</v>
      </c>
      <c r="K1175" s="260" t="s">
        <v>5040</v>
      </c>
      <c r="L1175" s="328"/>
      <c r="M1175" s="343"/>
      <c r="N1175" s="173" t="s">
        <v>679</v>
      </c>
      <c r="O1175" s="173" t="s">
        <v>225</v>
      </c>
      <c r="P1175" s="262" t="str">
        <f t="shared" si="1"/>
        <v>IN-BLR-ANANTA-VAV-747_5</v>
      </c>
      <c r="Q1175" s="173" t="s">
        <v>5041</v>
      </c>
      <c r="R1175" s="328" t="str">
        <f>IFS(C1175="","",C1175="n/a","N/A",LEN(C1175),Concatenate("{",char(34),"asset",char(34),":{",char(34),"guid",char(34),":",char(34),Q1175,char(34),",",char(34),"site",char(34),":",char(34),LOWER('2-Building'!$B$4),char(34),",",char(34),"name",char(34),":",char(34),LOWER(C1175),char(34),"}}"))</f>
        <v>{"asset":{"guid":"uuid://d4464256-c325-4e65-92e2-4e9fe2c0c358","site":"in-blr-ananta","name":"vav-747"}}</v>
      </c>
      <c r="S1175" s="237" t="s">
        <v>2866</v>
      </c>
      <c r="T1175" s="330"/>
      <c r="U1175" s="330"/>
      <c r="V1175" s="331"/>
      <c r="W1175" s="344"/>
      <c r="X1175" s="341"/>
      <c r="Y1175" s="33" t="s">
        <v>2867</v>
      </c>
      <c r="Z1175" s="258">
        <v>120747.0</v>
      </c>
      <c r="AA1175" s="334">
        <v>11569.0</v>
      </c>
      <c r="AB1175" s="341"/>
      <c r="AC1175" s="341"/>
      <c r="AD1175" s="343"/>
      <c r="AE1175" s="331"/>
      <c r="AF1175" s="348"/>
      <c r="AG1175" s="337"/>
      <c r="AH1175" s="341"/>
      <c r="AI1175" s="341"/>
      <c r="AJ1175" s="341"/>
      <c r="AK1175" s="341"/>
      <c r="AL1175" s="341"/>
      <c r="AM1175" s="338"/>
      <c r="AN1175" s="341"/>
      <c r="AO1175" s="341"/>
      <c r="AP1175" s="341"/>
      <c r="AQ1175" s="341"/>
      <c r="AR1175" s="341"/>
      <c r="AS1175" s="341"/>
      <c r="AT1175" s="341"/>
      <c r="AU1175" s="343"/>
      <c r="AV1175" s="341"/>
      <c r="AW1175" s="269" t="s">
        <v>2218</v>
      </c>
      <c r="AX1175" s="334" t="s">
        <v>2869</v>
      </c>
      <c r="AY1175" s="270" t="s">
        <v>695</v>
      </c>
      <c r="AZ1175" s="173" t="s">
        <v>2866</v>
      </c>
      <c r="BA1175" s="265">
        <v>10.0</v>
      </c>
      <c r="BB1175" s="174" t="s">
        <v>245</v>
      </c>
      <c r="BC1175" s="341"/>
      <c r="BD1175" s="308"/>
      <c r="BE1175" s="347"/>
      <c r="BF1175" s="274" t="str">
        <f>IFERROR(__xludf.DUMMYFUNCTION("LOWER(Regexreplace(to_text(E1175),""[^A-Za-z0-9]"","""")&amp;""_""&amp;Regexreplace(to_text(F1175),""[^A-Za-z0-9]"",""""))"),"neptronic_evcbseries")</f>
        <v>neptronic_evcbseries</v>
      </c>
      <c r="BG1175" s="275" t="str">
        <f>IFERROR(__xludf.DUMMYFUNCTION("upper(Regexreplace(to_text(E1175),""[^A-Za-z0-9]"","""")&amp;""-""&amp;Regexreplace(to_text(F1175),""[^A-Za-z0-9]"",""""))"),"NEPTRONIC-EVCBSERIES")</f>
        <v>NEPTRONIC-EVCBSERIES</v>
      </c>
    </row>
    <row r="1176" ht="30.0" customHeight="1">
      <c r="A1176" s="258">
        <v>1168.0</v>
      </c>
      <c r="B1176" s="237" t="s">
        <v>670</v>
      </c>
      <c r="C1176" s="257" t="s">
        <v>5042</v>
      </c>
      <c r="D1176" s="173" t="s">
        <v>5042</v>
      </c>
      <c r="E1176" s="174" t="s">
        <v>2861</v>
      </c>
      <c r="F1176" s="173" t="s">
        <v>2862</v>
      </c>
      <c r="G1176" s="328" t="s">
        <v>673</v>
      </c>
      <c r="H1176" s="328" t="s">
        <v>2863</v>
      </c>
      <c r="I1176" s="258" t="s">
        <v>2864</v>
      </c>
      <c r="J1176" s="259" t="s">
        <v>1088</v>
      </c>
      <c r="K1176" s="260" t="s">
        <v>5043</v>
      </c>
      <c r="L1176" s="328"/>
      <c r="M1176" s="343"/>
      <c r="N1176" s="173" t="s">
        <v>679</v>
      </c>
      <c r="O1176" s="173" t="s">
        <v>225</v>
      </c>
      <c r="P1176" s="262" t="str">
        <f t="shared" si="1"/>
        <v>IN-BLR-ANANTA-VAV-748_5</v>
      </c>
      <c r="Q1176" s="173" t="s">
        <v>5044</v>
      </c>
      <c r="R1176" s="328" t="str">
        <f>IFS(C1176="","",C1176="n/a","N/A",LEN(C1176),Concatenate("{",char(34),"asset",char(34),":{",char(34),"guid",char(34),":",char(34),Q1176,char(34),",",char(34),"site",char(34),":",char(34),LOWER('2-Building'!$B$4),char(34),",",char(34),"name",char(34),":",char(34),LOWER(C1176),char(34),"}}"))</f>
        <v>{"asset":{"guid":"uuid://685c2079-90da-4960-abce-7609f1528540","site":"in-blr-ananta","name":"vav-748"}}</v>
      </c>
      <c r="S1176" s="237" t="s">
        <v>2866</v>
      </c>
      <c r="T1176" s="330"/>
      <c r="U1176" s="330"/>
      <c r="V1176" s="331"/>
      <c r="W1176" s="344"/>
      <c r="X1176" s="341"/>
      <c r="Y1176" s="33" t="s">
        <v>2867</v>
      </c>
      <c r="Z1176" s="258">
        <v>120748.0</v>
      </c>
      <c r="AA1176" s="334">
        <v>11569.0</v>
      </c>
      <c r="AB1176" s="341"/>
      <c r="AC1176" s="341"/>
      <c r="AD1176" s="343"/>
      <c r="AE1176" s="331"/>
      <c r="AF1176" s="348"/>
      <c r="AG1176" s="337"/>
      <c r="AH1176" s="341"/>
      <c r="AI1176" s="341"/>
      <c r="AJ1176" s="341"/>
      <c r="AK1176" s="341"/>
      <c r="AL1176" s="341"/>
      <c r="AM1176" s="338"/>
      <c r="AN1176" s="341"/>
      <c r="AO1176" s="341"/>
      <c r="AP1176" s="341"/>
      <c r="AQ1176" s="341"/>
      <c r="AR1176" s="341"/>
      <c r="AS1176" s="341"/>
      <c r="AT1176" s="341"/>
      <c r="AU1176" s="343"/>
      <c r="AV1176" s="341"/>
      <c r="AW1176" s="269" t="s">
        <v>2218</v>
      </c>
      <c r="AX1176" s="334" t="s">
        <v>2869</v>
      </c>
      <c r="AY1176" s="270" t="s">
        <v>695</v>
      </c>
      <c r="AZ1176" s="173" t="s">
        <v>2866</v>
      </c>
      <c r="BA1176" s="265">
        <v>10.0</v>
      </c>
      <c r="BB1176" s="174" t="s">
        <v>245</v>
      </c>
      <c r="BC1176" s="341"/>
      <c r="BD1176" s="308"/>
      <c r="BE1176" s="347"/>
      <c r="BF1176" s="274" t="str">
        <f>IFERROR(__xludf.DUMMYFUNCTION("LOWER(Regexreplace(to_text(E1176),""[^A-Za-z0-9]"","""")&amp;""_""&amp;Regexreplace(to_text(F1176),""[^A-Za-z0-9]"",""""))"),"neptronic_evcbseries")</f>
        <v>neptronic_evcbseries</v>
      </c>
      <c r="BG1176" s="275" t="str">
        <f>IFERROR(__xludf.DUMMYFUNCTION("upper(Regexreplace(to_text(E1176),""[^A-Za-z0-9]"","""")&amp;""-""&amp;Regexreplace(to_text(F1176),""[^A-Za-z0-9]"",""""))"),"NEPTRONIC-EVCBSERIES")</f>
        <v>NEPTRONIC-EVCBSERIES</v>
      </c>
    </row>
    <row r="1177" ht="30.0" customHeight="1">
      <c r="A1177" s="173">
        <v>1169.0</v>
      </c>
      <c r="B1177" s="237" t="s">
        <v>670</v>
      </c>
      <c r="C1177" s="257" t="s">
        <v>5045</v>
      </c>
      <c r="D1177" s="173" t="s">
        <v>5045</v>
      </c>
      <c r="E1177" s="174" t="s">
        <v>2861</v>
      </c>
      <c r="F1177" s="173" t="s">
        <v>2862</v>
      </c>
      <c r="G1177" s="328" t="s">
        <v>673</v>
      </c>
      <c r="H1177" s="328" t="s">
        <v>2863</v>
      </c>
      <c r="I1177" s="258" t="s">
        <v>2864</v>
      </c>
      <c r="J1177" s="259" t="s">
        <v>1088</v>
      </c>
      <c r="K1177" s="260" t="s">
        <v>5046</v>
      </c>
      <c r="L1177" s="328"/>
      <c r="M1177" s="343"/>
      <c r="N1177" s="173" t="s">
        <v>679</v>
      </c>
      <c r="O1177" s="173" t="s">
        <v>225</v>
      </c>
      <c r="P1177" s="262" t="str">
        <f t="shared" si="1"/>
        <v>IN-BLR-ANANTA-VAV-749_5</v>
      </c>
      <c r="Q1177" s="173" t="s">
        <v>5047</v>
      </c>
      <c r="R1177" s="328" t="str">
        <f>IFS(C1177="","",C1177="n/a","N/A",LEN(C1177),Concatenate("{",char(34),"asset",char(34),":{",char(34),"guid",char(34),":",char(34),Q1177,char(34),",",char(34),"site",char(34),":",char(34),LOWER('2-Building'!$B$4),char(34),",",char(34),"name",char(34),":",char(34),LOWER(C1177),char(34),"}}"))</f>
        <v>{"asset":{"guid":"uuid://0c10f57e-203e-40ed-8788-a90f04fdaed4","site":"in-blr-ananta","name":"vav-749"}}</v>
      </c>
      <c r="S1177" s="237" t="s">
        <v>2866</v>
      </c>
      <c r="T1177" s="330"/>
      <c r="U1177" s="330"/>
      <c r="V1177" s="331"/>
      <c r="W1177" s="344"/>
      <c r="X1177" s="341"/>
      <c r="Y1177" s="33" t="s">
        <v>2867</v>
      </c>
      <c r="Z1177" s="258">
        <v>120749.0</v>
      </c>
      <c r="AA1177" s="334">
        <v>11569.0</v>
      </c>
      <c r="AB1177" s="341"/>
      <c r="AC1177" s="341"/>
      <c r="AD1177" s="343"/>
      <c r="AE1177" s="331"/>
      <c r="AF1177" s="348"/>
      <c r="AG1177" s="337"/>
      <c r="AH1177" s="341"/>
      <c r="AI1177" s="341"/>
      <c r="AJ1177" s="341"/>
      <c r="AK1177" s="341"/>
      <c r="AL1177" s="341"/>
      <c r="AM1177" s="338"/>
      <c r="AN1177" s="341"/>
      <c r="AO1177" s="341"/>
      <c r="AP1177" s="341"/>
      <c r="AQ1177" s="341"/>
      <c r="AR1177" s="341"/>
      <c r="AS1177" s="341"/>
      <c r="AT1177" s="341"/>
      <c r="AU1177" s="343"/>
      <c r="AV1177" s="341"/>
      <c r="AW1177" s="269" t="s">
        <v>2218</v>
      </c>
      <c r="AX1177" s="334" t="s">
        <v>2869</v>
      </c>
      <c r="AY1177" s="270" t="s">
        <v>695</v>
      </c>
      <c r="AZ1177" s="173" t="s">
        <v>2866</v>
      </c>
      <c r="BA1177" s="265">
        <v>10.0</v>
      </c>
      <c r="BB1177" s="174" t="s">
        <v>245</v>
      </c>
      <c r="BC1177" s="341"/>
      <c r="BD1177" s="308"/>
      <c r="BE1177" s="347"/>
      <c r="BF1177" s="274" t="str">
        <f>IFERROR(__xludf.DUMMYFUNCTION("LOWER(Regexreplace(to_text(E1177),""[^A-Za-z0-9]"","""")&amp;""_""&amp;Regexreplace(to_text(F1177),""[^A-Za-z0-9]"",""""))"),"neptronic_evcbseries")</f>
        <v>neptronic_evcbseries</v>
      </c>
      <c r="BG1177" s="275" t="str">
        <f>IFERROR(__xludf.DUMMYFUNCTION("upper(Regexreplace(to_text(E1177),""[^A-Za-z0-9]"","""")&amp;""-""&amp;Regexreplace(to_text(F1177),""[^A-Za-z0-9]"",""""))"),"NEPTRONIC-EVCBSERIES")</f>
        <v>NEPTRONIC-EVCBSERIES</v>
      </c>
    </row>
    <row r="1178" ht="30.0" customHeight="1">
      <c r="A1178" s="258">
        <v>1170.0</v>
      </c>
      <c r="B1178" s="237" t="s">
        <v>670</v>
      </c>
      <c r="C1178" s="257" t="s">
        <v>5048</v>
      </c>
      <c r="D1178" s="173" t="s">
        <v>5048</v>
      </c>
      <c r="E1178" s="174" t="s">
        <v>2861</v>
      </c>
      <c r="F1178" s="173" t="s">
        <v>2862</v>
      </c>
      <c r="G1178" s="328" t="s">
        <v>673</v>
      </c>
      <c r="H1178" s="328" t="s">
        <v>2863</v>
      </c>
      <c r="I1178" s="258" t="s">
        <v>2864</v>
      </c>
      <c r="J1178" s="259" t="s">
        <v>1088</v>
      </c>
      <c r="K1178" s="260" t="s">
        <v>5049</v>
      </c>
      <c r="L1178" s="328"/>
      <c r="M1178" s="343"/>
      <c r="N1178" s="173" t="s">
        <v>679</v>
      </c>
      <c r="O1178" s="173" t="s">
        <v>225</v>
      </c>
      <c r="P1178" s="262" t="str">
        <f t="shared" si="1"/>
        <v>IN-BLR-ANANTA-VAV-750_5</v>
      </c>
      <c r="Q1178" s="173" t="s">
        <v>5050</v>
      </c>
      <c r="R1178" s="328" t="str">
        <f>IFS(C1178="","",C1178="n/a","N/A",LEN(C1178),Concatenate("{",char(34),"asset",char(34),":{",char(34),"guid",char(34),":",char(34),Q1178,char(34),",",char(34),"site",char(34),":",char(34),LOWER('2-Building'!$B$4),char(34),",",char(34),"name",char(34),":",char(34),LOWER(C1178),char(34),"}}"))</f>
        <v>{"asset":{"guid":"uuid://5bc12f8d-de14-41d3-b7e8-7518b3c7c03b","site":"in-blr-ananta","name":"vav-750"}}</v>
      </c>
      <c r="S1178" s="237" t="s">
        <v>2866</v>
      </c>
      <c r="T1178" s="330"/>
      <c r="U1178" s="330"/>
      <c r="V1178" s="331"/>
      <c r="W1178" s="344"/>
      <c r="X1178" s="341"/>
      <c r="Y1178" s="33" t="s">
        <v>2867</v>
      </c>
      <c r="Z1178" s="258">
        <v>120750.0</v>
      </c>
      <c r="AA1178" s="334">
        <v>11569.0</v>
      </c>
      <c r="AB1178" s="341"/>
      <c r="AC1178" s="341"/>
      <c r="AD1178" s="343"/>
      <c r="AE1178" s="331"/>
      <c r="AF1178" s="348"/>
      <c r="AG1178" s="337"/>
      <c r="AH1178" s="341"/>
      <c r="AI1178" s="341"/>
      <c r="AJ1178" s="341"/>
      <c r="AK1178" s="341"/>
      <c r="AL1178" s="341"/>
      <c r="AM1178" s="338"/>
      <c r="AN1178" s="341"/>
      <c r="AO1178" s="341"/>
      <c r="AP1178" s="341"/>
      <c r="AQ1178" s="341"/>
      <c r="AR1178" s="341"/>
      <c r="AS1178" s="341"/>
      <c r="AT1178" s="341"/>
      <c r="AU1178" s="343"/>
      <c r="AV1178" s="341"/>
      <c r="AW1178" s="269" t="s">
        <v>2218</v>
      </c>
      <c r="AX1178" s="334" t="s">
        <v>2869</v>
      </c>
      <c r="AY1178" s="270" t="s">
        <v>695</v>
      </c>
      <c r="AZ1178" s="173" t="s">
        <v>2866</v>
      </c>
      <c r="BA1178" s="265">
        <v>10.0</v>
      </c>
      <c r="BB1178" s="174" t="s">
        <v>245</v>
      </c>
      <c r="BC1178" s="341"/>
      <c r="BD1178" s="308"/>
      <c r="BE1178" s="347"/>
      <c r="BF1178" s="274" t="str">
        <f>IFERROR(__xludf.DUMMYFUNCTION("LOWER(Regexreplace(to_text(E1178),""[^A-Za-z0-9]"","""")&amp;""_""&amp;Regexreplace(to_text(F1178),""[^A-Za-z0-9]"",""""))"),"neptronic_evcbseries")</f>
        <v>neptronic_evcbseries</v>
      </c>
      <c r="BG1178" s="275" t="str">
        <f>IFERROR(__xludf.DUMMYFUNCTION("upper(Regexreplace(to_text(E1178),""[^A-Za-z0-9]"","""")&amp;""-""&amp;Regexreplace(to_text(F1178),""[^A-Za-z0-9]"",""""))"),"NEPTRONIC-EVCBSERIES")</f>
        <v>NEPTRONIC-EVCBSERIES</v>
      </c>
    </row>
    <row r="1179" ht="30.0" customHeight="1">
      <c r="A1179" s="173">
        <v>1171.0</v>
      </c>
      <c r="B1179" s="237" t="s">
        <v>670</v>
      </c>
      <c r="C1179" s="257" t="s">
        <v>5051</v>
      </c>
      <c r="D1179" s="173" t="s">
        <v>5051</v>
      </c>
      <c r="E1179" s="174" t="s">
        <v>2861</v>
      </c>
      <c r="F1179" s="173" t="s">
        <v>2862</v>
      </c>
      <c r="G1179" s="328" t="s">
        <v>673</v>
      </c>
      <c r="H1179" s="328" t="s">
        <v>2863</v>
      </c>
      <c r="I1179" s="258" t="s">
        <v>2864</v>
      </c>
      <c r="J1179" s="259" t="s">
        <v>1088</v>
      </c>
      <c r="K1179" s="260" t="s">
        <v>5052</v>
      </c>
      <c r="L1179" s="328"/>
      <c r="M1179" s="343"/>
      <c r="N1179" s="173" t="s">
        <v>679</v>
      </c>
      <c r="O1179" s="173" t="s">
        <v>225</v>
      </c>
      <c r="P1179" s="262" t="str">
        <f t="shared" si="1"/>
        <v>IN-BLR-ANANTA-VAV-751_5</v>
      </c>
      <c r="Q1179" s="173" t="s">
        <v>5053</v>
      </c>
      <c r="R1179" s="328" t="str">
        <f>IFS(C1179="","",C1179="n/a","N/A",LEN(C1179),Concatenate("{",char(34),"asset",char(34),":{",char(34),"guid",char(34),":",char(34),Q1179,char(34),",",char(34),"site",char(34),":",char(34),LOWER('2-Building'!$B$4),char(34),",",char(34),"name",char(34),":",char(34),LOWER(C1179),char(34),"}}"))</f>
        <v>{"asset":{"guid":"uuid://8f2b5b6f-5af5-428a-b781-55dc800be79c","site":"in-blr-ananta","name":"vav-751"}}</v>
      </c>
      <c r="S1179" s="237" t="s">
        <v>2866</v>
      </c>
      <c r="T1179" s="330"/>
      <c r="U1179" s="330"/>
      <c r="V1179" s="331"/>
      <c r="W1179" s="344"/>
      <c r="X1179" s="341"/>
      <c r="Y1179" s="33" t="s">
        <v>2867</v>
      </c>
      <c r="Z1179" s="258">
        <v>120751.0</v>
      </c>
      <c r="AA1179" s="334">
        <v>11569.0</v>
      </c>
      <c r="AB1179" s="341"/>
      <c r="AC1179" s="341"/>
      <c r="AD1179" s="343"/>
      <c r="AE1179" s="331"/>
      <c r="AF1179" s="348"/>
      <c r="AG1179" s="337"/>
      <c r="AH1179" s="341"/>
      <c r="AI1179" s="341"/>
      <c r="AJ1179" s="341"/>
      <c r="AK1179" s="341"/>
      <c r="AL1179" s="341"/>
      <c r="AM1179" s="338"/>
      <c r="AN1179" s="341"/>
      <c r="AO1179" s="341"/>
      <c r="AP1179" s="341"/>
      <c r="AQ1179" s="341"/>
      <c r="AR1179" s="341"/>
      <c r="AS1179" s="341"/>
      <c r="AT1179" s="341"/>
      <c r="AU1179" s="343"/>
      <c r="AV1179" s="341"/>
      <c r="AW1179" s="269" t="s">
        <v>2218</v>
      </c>
      <c r="AX1179" s="334" t="s">
        <v>2869</v>
      </c>
      <c r="AY1179" s="270" t="s">
        <v>695</v>
      </c>
      <c r="AZ1179" s="173" t="s">
        <v>2866</v>
      </c>
      <c r="BA1179" s="265">
        <v>10.0</v>
      </c>
      <c r="BB1179" s="174" t="s">
        <v>245</v>
      </c>
      <c r="BC1179" s="341"/>
      <c r="BD1179" s="308"/>
      <c r="BE1179" s="347"/>
      <c r="BF1179" s="274" t="str">
        <f>IFERROR(__xludf.DUMMYFUNCTION("LOWER(Regexreplace(to_text(E1179),""[^A-Za-z0-9]"","""")&amp;""_""&amp;Regexreplace(to_text(F1179),""[^A-Za-z0-9]"",""""))"),"neptronic_evcbseries")</f>
        <v>neptronic_evcbseries</v>
      </c>
      <c r="BG1179" s="275" t="str">
        <f>IFERROR(__xludf.DUMMYFUNCTION("upper(Regexreplace(to_text(E1179),""[^A-Za-z0-9]"","""")&amp;""-""&amp;Regexreplace(to_text(F1179),""[^A-Za-z0-9]"",""""))"),"NEPTRONIC-EVCBSERIES")</f>
        <v>NEPTRONIC-EVCBSERIES</v>
      </c>
    </row>
    <row r="1180" ht="30.0" customHeight="1">
      <c r="A1180" s="258">
        <v>1172.0</v>
      </c>
      <c r="B1180" s="237" t="s">
        <v>670</v>
      </c>
      <c r="C1180" s="257" t="s">
        <v>5054</v>
      </c>
      <c r="D1180" s="173" t="s">
        <v>5054</v>
      </c>
      <c r="E1180" s="174" t="s">
        <v>2861</v>
      </c>
      <c r="F1180" s="173" t="s">
        <v>2862</v>
      </c>
      <c r="G1180" s="328" t="s">
        <v>673</v>
      </c>
      <c r="H1180" s="328" t="s">
        <v>2863</v>
      </c>
      <c r="I1180" s="258" t="s">
        <v>2864</v>
      </c>
      <c r="J1180" s="259" t="s">
        <v>1088</v>
      </c>
      <c r="K1180" s="260" t="s">
        <v>5055</v>
      </c>
      <c r="L1180" s="328"/>
      <c r="M1180" s="343"/>
      <c r="N1180" s="173" t="s">
        <v>679</v>
      </c>
      <c r="O1180" s="173" t="s">
        <v>225</v>
      </c>
      <c r="P1180" s="262" t="str">
        <f t="shared" si="1"/>
        <v>IN-BLR-ANANTA-VAV-752_5</v>
      </c>
      <c r="Q1180" s="173" t="s">
        <v>5056</v>
      </c>
      <c r="R1180" s="328" t="str">
        <f>IFS(C1180="","",C1180="n/a","N/A",LEN(C1180),Concatenate("{",char(34),"asset",char(34),":{",char(34),"guid",char(34),":",char(34),Q1180,char(34),",",char(34),"site",char(34),":",char(34),LOWER('2-Building'!$B$4),char(34),",",char(34),"name",char(34),":",char(34),LOWER(C1180),char(34),"}}"))</f>
        <v>{"asset":{"guid":"uuid://af126dfa-304a-4d6f-bdda-4657b0b83cad","site":"in-blr-ananta","name":"vav-752"}}</v>
      </c>
      <c r="S1180" s="237" t="s">
        <v>2866</v>
      </c>
      <c r="T1180" s="330"/>
      <c r="U1180" s="330"/>
      <c r="V1180" s="331"/>
      <c r="W1180" s="344"/>
      <c r="X1180" s="341"/>
      <c r="Y1180" s="33" t="s">
        <v>2867</v>
      </c>
      <c r="Z1180" s="258">
        <v>120752.0</v>
      </c>
      <c r="AA1180" s="334">
        <v>11569.0</v>
      </c>
      <c r="AB1180" s="341"/>
      <c r="AC1180" s="341"/>
      <c r="AD1180" s="343"/>
      <c r="AE1180" s="331"/>
      <c r="AF1180" s="348"/>
      <c r="AG1180" s="337"/>
      <c r="AH1180" s="341"/>
      <c r="AI1180" s="341"/>
      <c r="AJ1180" s="341"/>
      <c r="AK1180" s="341"/>
      <c r="AL1180" s="341"/>
      <c r="AM1180" s="338"/>
      <c r="AN1180" s="341"/>
      <c r="AO1180" s="341"/>
      <c r="AP1180" s="341"/>
      <c r="AQ1180" s="341"/>
      <c r="AR1180" s="341"/>
      <c r="AS1180" s="341"/>
      <c r="AT1180" s="341"/>
      <c r="AU1180" s="343"/>
      <c r="AV1180" s="341"/>
      <c r="AW1180" s="269" t="s">
        <v>2218</v>
      </c>
      <c r="AX1180" s="334" t="s">
        <v>2869</v>
      </c>
      <c r="AY1180" s="270" t="s">
        <v>695</v>
      </c>
      <c r="AZ1180" s="173" t="s">
        <v>2866</v>
      </c>
      <c r="BA1180" s="265">
        <v>10.0</v>
      </c>
      <c r="BB1180" s="174" t="s">
        <v>245</v>
      </c>
      <c r="BC1180" s="341"/>
      <c r="BD1180" s="308"/>
      <c r="BE1180" s="347"/>
      <c r="BF1180" s="274" t="str">
        <f>IFERROR(__xludf.DUMMYFUNCTION("LOWER(Regexreplace(to_text(E1180),""[^A-Za-z0-9]"","""")&amp;""_""&amp;Regexreplace(to_text(F1180),""[^A-Za-z0-9]"",""""))"),"neptronic_evcbseries")</f>
        <v>neptronic_evcbseries</v>
      </c>
      <c r="BG1180" s="275" t="str">
        <f>IFERROR(__xludf.DUMMYFUNCTION("upper(Regexreplace(to_text(E1180),""[^A-Za-z0-9]"","""")&amp;""-""&amp;Regexreplace(to_text(F1180),""[^A-Za-z0-9]"",""""))"),"NEPTRONIC-EVCBSERIES")</f>
        <v>NEPTRONIC-EVCBSERIES</v>
      </c>
    </row>
    <row r="1181" ht="30.0" customHeight="1">
      <c r="A1181" s="173">
        <v>1173.0</v>
      </c>
      <c r="B1181" s="237" t="s">
        <v>670</v>
      </c>
      <c r="C1181" s="257" t="s">
        <v>5057</v>
      </c>
      <c r="D1181" s="173" t="s">
        <v>5057</v>
      </c>
      <c r="E1181" s="174" t="s">
        <v>2861</v>
      </c>
      <c r="F1181" s="173" t="s">
        <v>2862</v>
      </c>
      <c r="G1181" s="328" t="s">
        <v>673</v>
      </c>
      <c r="H1181" s="328" t="s">
        <v>2863</v>
      </c>
      <c r="I1181" s="258" t="s">
        <v>2864</v>
      </c>
      <c r="J1181" s="259" t="s">
        <v>1088</v>
      </c>
      <c r="K1181" s="260" t="s">
        <v>5058</v>
      </c>
      <c r="L1181" s="328"/>
      <c r="M1181" s="343"/>
      <c r="N1181" s="173" t="s">
        <v>679</v>
      </c>
      <c r="O1181" s="173" t="s">
        <v>225</v>
      </c>
      <c r="P1181" s="262" t="str">
        <f t="shared" si="1"/>
        <v>IN-BLR-ANANTA-VAV-753_5</v>
      </c>
      <c r="Q1181" s="173" t="s">
        <v>5059</v>
      </c>
      <c r="R1181" s="328" t="str">
        <f>IFS(C1181="","",C1181="n/a","N/A",LEN(C1181),Concatenate("{",char(34),"asset",char(34),":{",char(34),"guid",char(34),":",char(34),Q1181,char(34),",",char(34),"site",char(34),":",char(34),LOWER('2-Building'!$B$4),char(34),",",char(34),"name",char(34),":",char(34),LOWER(C1181),char(34),"}}"))</f>
        <v>{"asset":{"guid":"uuid://75e73b73-c356-4eef-be30-93a7f5fe4425","site":"in-blr-ananta","name":"vav-753"}}</v>
      </c>
      <c r="S1181" s="237" t="s">
        <v>2866</v>
      </c>
      <c r="T1181" s="330"/>
      <c r="U1181" s="330"/>
      <c r="V1181" s="331"/>
      <c r="W1181" s="344"/>
      <c r="X1181" s="341"/>
      <c r="Y1181" s="33" t="s">
        <v>2867</v>
      </c>
      <c r="Z1181" s="258">
        <v>120753.0</v>
      </c>
      <c r="AA1181" s="334">
        <v>11569.0</v>
      </c>
      <c r="AB1181" s="341"/>
      <c r="AC1181" s="341"/>
      <c r="AD1181" s="343"/>
      <c r="AE1181" s="331"/>
      <c r="AF1181" s="348"/>
      <c r="AG1181" s="337"/>
      <c r="AH1181" s="341"/>
      <c r="AI1181" s="341"/>
      <c r="AJ1181" s="341"/>
      <c r="AK1181" s="341"/>
      <c r="AL1181" s="341"/>
      <c r="AM1181" s="338"/>
      <c r="AN1181" s="341"/>
      <c r="AO1181" s="341"/>
      <c r="AP1181" s="341"/>
      <c r="AQ1181" s="341"/>
      <c r="AR1181" s="341"/>
      <c r="AS1181" s="341"/>
      <c r="AT1181" s="341"/>
      <c r="AU1181" s="343"/>
      <c r="AV1181" s="341"/>
      <c r="AW1181" s="269" t="s">
        <v>2218</v>
      </c>
      <c r="AX1181" s="334" t="s">
        <v>2869</v>
      </c>
      <c r="AY1181" s="270" t="s">
        <v>695</v>
      </c>
      <c r="AZ1181" s="173" t="s">
        <v>2866</v>
      </c>
      <c r="BA1181" s="265">
        <v>10.0</v>
      </c>
      <c r="BB1181" s="174" t="s">
        <v>245</v>
      </c>
      <c r="BC1181" s="341"/>
      <c r="BD1181" s="308"/>
      <c r="BE1181" s="347"/>
      <c r="BF1181" s="274" t="str">
        <f>IFERROR(__xludf.DUMMYFUNCTION("LOWER(Regexreplace(to_text(E1181),""[^A-Za-z0-9]"","""")&amp;""_""&amp;Regexreplace(to_text(F1181),""[^A-Za-z0-9]"",""""))"),"neptronic_evcbseries")</f>
        <v>neptronic_evcbseries</v>
      </c>
      <c r="BG1181" s="275" t="str">
        <f>IFERROR(__xludf.DUMMYFUNCTION("upper(Regexreplace(to_text(E1181),""[^A-Za-z0-9]"","""")&amp;""-""&amp;Regexreplace(to_text(F1181),""[^A-Za-z0-9]"",""""))"),"NEPTRONIC-EVCBSERIES")</f>
        <v>NEPTRONIC-EVCBSERIES</v>
      </c>
    </row>
    <row r="1182" ht="30.0" customHeight="1">
      <c r="A1182" s="258">
        <v>1174.0</v>
      </c>
      <c r="B1182" s="237" t="s">
        <v>670</v>
      </c>
      <c r="C1182" s="257" t="s">
        <v>5060</v>
      </c>
      <c r="D1182" s="173" t="s">
        <v>5060</v>
      </c>
      <c r="E1182" s="174" t="s">
        <v>2861</v>
      </c>
      <c r="F1182" s="173" t="s">
        <v>2862</v>
      </c>
      <c r="G1182" s="328" t="s">
        <v>673</v>
      </c>
      <c r="H1182" s="328" t="s">
        <v>2863</v>
      </c>
      <c r="I1182" s="258" t="s">
        <v>2864</v>
      </c>
      <c r="J1182" s="259" t="s">
        <v>1088</v>
      </c>
      <c r="K1182" s="260" t="s">
        <v>5061</v>
      </c>
      <c r="L1182" s="328"/>
      <c r="M1182" s="343"/>
      <c r="N1182" s="173" t="s">
        <v>679</v>
      </c>
      <c r="O1182" s="173" t="s">
        <v>225</v>
      </c>
      <c r="P1182" s="262" t="str">
        <f t="shared" si="1"/>
        <v>IN-BLR-ANANTA-VAV-754_5</v>
      </c>
      <c r="Q1182" s="173" t="s">
        <v>5062</v>
      </c>
      <c r="R1182" s="328" t="str">
        <f>IFS(C1182="","",C1182="n/a","N/A",LEN(C1182),Concatenate("{",char(34),"asset",char(34),":{",char(34),"guid",char(34),":",char(34),Q1182,char(34),",",char(34),"site",char(34),":",char(34),LOWER('2-Building'!$B$4),char(34),",",char(34),"name",char(34),":",char(34),LOWER(C1182),char(34),"}}"))</f>
        <v>{"asset":{"guid":"uuid://9c4e1b8a-fb0d-4293-b2de-8e7cf745a477","site":"in-blr-ananta","name":"vav-754"}}</v>
      </c>
      <c r="S1182" s="237" t="s">
        <v>2866</v>
      </c>
      <c r="T1182" s="330"/>
      <c r="U1182" s="330"/>
      <c r="V1182" s="331"/>
      <c r="W1182" s="344"/>
      <c r="X1182" s="341"/>
      <c r="Y1182" s="33" t="s">
        <v>2867</v>
      </c>
      <c r="Z1182" s="258">
        <v>120754.0</v>
      </c>
      <c r="AA1182" s="334">
        <v>11569.0</v>
      </c>
      <c r="AB1182" s="341"/>
      <c r="AC1182" s="341"/>
      <c r="AD1182" s="343"/>
      <c r="AE1182" s="331"/>
      <c r="AF1182" s="348"/>
      <c r="AG1182" s="337"/>
      <c r="AH1182" s="341"/>
      <c r="AI1182" s="341"/>
      <c r="AJ1182" s="341"/>
      <c r="AK1182" s="341"/>
      <c r="AL1182" s="341"/>
      <c r="AM1182" s="338"/>
      <c r="AN1182" s="341"/>
      <c r="AO1182" s="341"/>
      <c r="AP1182" s="341"/>
      <c r="AQ1182" s="341"/>
      <c r="AR1182" s="341"/>
      <c r="AS1182" s="341"/>
      <c r="AT1182" s="341"/>
      <c r="AU1182" s="343"/>
      <c r="AV1182" s="341"/>
      <c r="AW1182" s="269" t="s">
        <v>2218</v>
      </c>
      <c r="AX1182" s="334" t="s">
        <v>2869</v>
      </c>
      <c r="AY1182" s="270" t="s">
        <v>695</v>
      </c>
      <c r="AZ1182" s="173" t="s">
        <v>2866</v>
      </c>
      <c r="BA1182" s="265">
        <v>10.0</v>
      </c>
      <c r="BB1182" s="174" t="s">
        <v>245</v>
      </c>
      <c r="BC1182" s="341"/>
      <c r="BD1182" s="308"/>
      <c r="BE1182" s="347"/>
      <c r="BF1182" s="274" t="str">
        <f>IFERROR(__xludf.DUMMYFUNCTION("LOWER(Regexreplace(to_text(E1182),""[^A-Za-z0-9]"","""")&amp;""_""&amp;Regexreplace(to_text(F1182),""[^A-Za-z0-9]"",""""))"),"neptronic_evcbseries")</f>
        <v>neptronic_evcbseries</v>
      </c>
      <c r="BG1182" s="275" t="str">
        <f>IFERROR(__xludf.DUMMYFUNCTION("upper(Regexreplace(to_text(E1182),""[^A-Za-z0-9]"","""")&amp;""-""&amp;Regexreplace(to_text(F1182),""[^A-Za-z0-9]"",""""))"),"NEPTRONIC-EVCBSERIES")</f>
        <v>NEPTRONIC-EVCBSERIES</v>
      </c>
    </row>
    <row r="1183" ht="30.0" customHeight="1">
      <c r="A1183" s="173">
        <v>1175.0</v>
      </c>
      <c r="B1183" s="237" t="s">
        <v>670</v>
      </c>
      <c r="C1183" s="257" t="s">
        <v>5063</v>
      </c>
      <c r="D1183" s="173" t="s">
        <v>5063</v>
      </c>
      <c r="E1183" s="174" t="s">
        <v>2861</v>
      </c>
      <c r="F1183" s="173" t="s">
        <v>2862</v>
      </c>
      <c r="G1183" s="328" t="s">
        <v>673</v>
      </c>
      <c r="H1183" s="328" t="s">
        <v>2863</v>
      </c>
      <c r="I1183" s="258" t="s">
        <v>2864</v>
      </c>
      <c r="J1183" s="259" t="s">
        <v>1088</v>
      </c>
      <c r="K1183" s="260" t="s">
        <v>5064</v>
      </c>
      <c r="L1183" s="328"/>
      <c r="M1183" s="343"/>
      <c r="N1183" s="173" t="s">
        <v>679</v>
      </c>
      <c r="O1183" s="173" t="s">
        <v>225</v>
      </c>
      <c r="P1183" s="262" t="str">
        <f t="shared" si="1"/>
        <v>IN-BLR-ANANTA-VAV-755_5</v>
      </c>
      <c r="Q1183" s="173" t="s">
        <v>5065</v>
      </c>
      <c r="R1183" s="328" t="str">
        <f>IFS(C1183="","",C1183="n/a","N/A",LEN(C1183),Concatenate("{",char(34),"asset",char(34),":{",char(34),"guid",char(34),":",char(34),Q1183,char(34),",",char(34),"site",char(34),":",char(34),LOWER('2-Building'!$B$4),char(34),",",char(34),"name",char(34),":",char(34),LOWER(C1183),char(34),"}}"))</f>
        <v>{"asset":{"guid":"uuid://e025d11d-0b48-461f-8859-25fbdaf06423","site":"in-blr-ananta","name":"vav-755"}}</v>
      </c>
      <c r="S1183" s="237" t="s">
        <v>2866</v>
      </c>
      <c r="T1183" s="330"/>
      <c r="U1183" s="330"/>
      <c r="V1183" s="331"/>
      <c r="W1183" s="344"/>
      <c r="X1183" s="341"/>
      <c r="Y1183" s="33" t="s">
        <v>2867</v>
      </c>
      <c r="Z1183" s="258">
        <v>120755.0</v>
      </c>
      <c r="AA1183" s="334">
        <v>11569.0</v>
      </c>
      <c r="AB1183" s="341"/>
      <c r="AC1183" s="341"/>
      <c r="AD1183" s="343"/>
      <c r="AE1183" s="331"/>
      <c r="AF1183" s="348"/>
      <c r="AG1183" s="337"/>
      <c r="AH1183" s="341"/>
      <c r="AI1183" s="341"/>
      <c r="AJ1183" s="341"/>
      <c r="AK1183" s="341"/>
      <c r="AL1183" s="341"/>
      <c r="AM1183" s="338"/>
      <c r="AN1183" s="341"/>
      <c r="AO1183" s="341"/>
      <c r="AP1183" s="341"/>
      <c r="AQ1183" s="341"/>
      <c r="AR1183" s="341"/>
      <c r="AS1183" s="341"/>
      <c r="AT1183" s="341"/>
      <c r="AU1183" s="343"/>
      <c r="AV1183" s="341"/>
      <c r="AW1183" s="269" t="s">
        <v>2218</v>
      </c>
      <c r="AX1183" s="334" t="s">
        <v>2869</v>
      </c>
      <c r="AY1183" s="270" t="s">
        <v>695</v>
      </c>
      <c r="AZ1183" s="173" t="s">
        <v>2866</v>
      </c>
      <c r="BA1183" s="265">
        <v>10.0</v>
      </c>
      <c r="BB1183" s="174" t="s">
        <v>245</v>
      </c>
      <c r="BC1183" s="341"/>
      <c r="BD1183" s="308"/>
      <c r="BE1183" s="347"/>
      <c r="BF1183" s="274" t="str">
        <f>IFERROR(__xludf.DUMMYFUNCTION("LOWER(Regexreplace(to_text(E1183),""[^A-Za-z0-9]"","""")&amp;""_""&amp;Regexreplace(to_text(F1183),""[^A-Za-z0-9]"",""""))"),"neptronic_evcbseries")</f>
        <v>neptronic_evcbseries</v>
      </c>
      <c r="BG1183" s="275" t="str">
        <f>IFERROR(__xludf.DUMMYFUNCTION("upper(Regexreplace(to_text(E1183),""[^A-Za-z0-9]"","""")&amp;""-""&amp;Regexreplace(to_text(F1183),""[^A-Za-z0-9]"",""""))"),"NEPTRONIC-EVCBSERIES")</f>
        <v>NEPTRONIC-EVCBSERIES</v>
      </c>
    </row>
    <row r="1184" ht="30.0" customHeight="1">
      <c r="A1184" s="258">
        <v>1176.0</v>
      </c>
      <c r="B1184" s="237" t="s">
        <v>670</v>
      </c>
      <c r="C1184" s="257" t="s">
        <v>5066</v>
      </c>
      <c r="D1184" s="173" t="s">
        <v>5066</v>
      </c>
      <c r="E1184" s="174" t="s">
        <v>2861</v>
      </c>
      <c r="F1184" s="173" t="s">
        <v>2862</v>
      </c>
      <c r="G1184" s="328" t="s">
        <v>673</v>
      </c>
      <c r="H1184" s="328" t="s">
        <v>2863</v>
      </c>
      <c r="I1184" s="258" t="s">
        <v>2864</v>
      </c>
      <c r="J1184" s="259" t="s">
        <v>1088</v>
      </c>
      <c r="K1184" s="260" t="s">
        <v>5067</v>
      </c>
      <c r="L1184" s="328"/>
      <c r="M1184" s="343"/>
      <c r="N1184" s="173" t="s">
        <v>679</v>
      </c>
      <c r="O1184" s="173" t="s">
        <v>225</v>
      </c>
      <c r="P1184" s="262" t="str">
        <f t="shared" si="1"/>
        <v>IN-BLR-ANANTA-VAV-756_5</v>
      </c>
      <c r="Q1184" s="173" t="s">
        <v>5068</v>
      </c>
      <c r="R1184" s="328" t="str">
        <f>IFS(C1184="","",C1184="n/a","N/A",LEN(C1184),Concatenate("{",char(34),"asset",char(34),":{",char(34),"guid",char(34),":",char(34),Q1184,char(34),",",char(34),"site",char(34),":",char(34),LOWER('2-Building'!$B$4),char(34),",",char(34),"name",char(34),":",char(34),LOWER(C1184),char(34),"}}"))</f>
        <v>{"asset":{"guid":"uuid://ee837ae4-485b-44d9-8195-8a7fd5bd88b2","site":"in-blr-ananta","name":"vav-756"}}</v>
      </c>
      <c r="S1184" s="237" t="s">
        <v>2866</v>
      </c>
      <c r="T1184" s="330"/>
      <c r="U1184" s="330"/>
      <c r="V1184" s="331"/>
      <c r="W1184" s="344"/>
      <c r="X1184" s="341"/>
      <c r="Y1184" s="33" t="s">
        <v>2867</v>
      </c>
      <c r="Z1184" s="258">
        <v>120756.0</v>
      </c>
      <c r="AA1184" s="334">
        <v>11569.0</v>
      </c>
      <c r="AB1184" s="341"/>
      <c r="AC1184" s="341"/>
      <c r="AD1184" s="343"/>
      <c r="AE1184" s="331"/>
      <c r="AF1184" s="348"/>
      <c r="AG1184" s="337"/>
      <c r="AH1184" s="341"/>
      <c r="AI1184" s="341"/>
      <c r="AJ1184" s="341"/>
      <c r="AK1184" s="341"/>
      <c r="AL1184" s="341"/>
      <c r="AM1184" s="338"/>
      <c r="AN1184" s="341"/>
      <c r="AO1184" s="341"/>
      <c r="AP1184" s="341"/>
      <c r="AQ1184" s="341"/>
      <c r="AR1184" s="341"/>
      <c r="AS1184" s="341"/>
      <c r="AT1184" s="341"/>
      <c r="AU1184" s="343"/>
      <c r="AV1184" s="341"/>
      <c r="AW1184" s="269" t="s">
        <v>2218</v>
      </c>
      <c r="AX1184" s="334" t="s">
        <v>2869</v>
      </c>
      <c r="AY1184" s="270" t="s">
        <v>695</v>
      </c>
      <c r="AZ1184" s="173" t="s">
        <v>2866</v>
      </c>
      <c r="BA1184" s="265">
        <v>10.0</v>
      </c>
      <c r="BB1184" s="174" t="s">
        <v>245</v>
      </c>
      <c r="BC1184" s="341"/>
      <c r="BD1184" s="308"/>
      <c r="BE1184" s="347"/>
      <c r="BF1184" s="274" t="str">
        <f>IFERROR(__xludf.DUMMYFUNCTION("LOWER(Regexreplace(to_text(E1184),""[^A-Za-z0-9]"","""")&amp;""_""&amp;Regexreplace(to_text(F1184),""[^A-Za-z0-9]"",""""))"),"neptronic_evcbseries")</f>
        <v>neptronic_evcbseries</v>
      </c>
      <c r="BG1184" s="275" t="str">
        <f>IFERROR(__xludf.DUMMYFUNCTION("upper(Regexreplace(to_text(E1184),""[^A-Za-z0-9]"","""")&amp;""-""&amp;Regexreplace(to_text(F1184),""[^A-Za-z0-9]"",""""))"),"NEPTRONIC-EVCBSERIES")</f>
        <v>NEPTRONIC-EVCBSERIES</v>
      </c>
    </row>
    <row r="1185" ht="30.0" customHeight="1">
      <c r="A1185" s="173">
        <v>1177.0</v>
      </c>
      <c r="B1185" s="237" t="s">
        <v>670</v>
      </c>
      <c r="C1185" s="257" t="s">
        <v>5069</v>
      </c>
      <c r="D1185" s="173" t="s">
        <v>5069</v>
      </c>
      <c r="E1185" s="174" t="s">
        <v>2861</v>
      </c>
      <c r="F1185" s="173" t="s">
        <v>2862</v>
      </c>
      <c r="G1185" s="328" t="s">
        <v>673</v>
      </c>
      <c r="H1185" s="328" t="s">
        <v>2863</v>
      </c>
      <c r="I1185" s="258" t="s">
        <v>2864</v>
      </c>
      <c r="J1185" s="259" t="s">
        <v>1088</v>
      </c>
      <c r="K1185" s="260" t="s">
        <v>5070</v>
      </c>
      <c r="L1185" s="328"/>
      <c r="M1185" s="343"/>
      <c r="N1185" s="173" t="s">
        <v>679</v>
      </c>
      <c r="O1185" s="173" t="s">
        <v>225</v>
      </c>
      <c r="P1185" s="262" t="str">
        <f t="shared" si="1"/>
        <v>IN-BLR-ANANTA-VAV-757_5</v>
      </c>
      <c r="Q1185" s="173" t="s">
        <v>5071</v>
      </c>
      <c r="R1185" s="328" t="str">
        <f>IFS(C1185="","",C1185="n/a","N/A",LEN(C1185),Concatenate("{",char(34),"asset",char(34),":{",char(34),"guid",char(34),":",char(34),Q1185,char(34),",",char(34),"site",char(34),":",char(34),LOWER('2-Building'!$B$4),char(34),",",char(34),"name",char(34),":",char(34),LOWER(C1185),char(34),"}}"))</f>
        <v>{"asset":{"guid":"uuid://5ad1f497-4b44-4011-859f-3019e82d7a85","site":"in-blr-ananta","name":"vav-757"}}</v>
      </c>
      <c r="S1185" s="237" t="s">
        <v>2866</v>
      </c>
      <c r="T1185" s="330"/>
      <c r="U1185" s="330"/>
      <c r="V1185" s="331"/>
      <c r="W1185" s="344"/>
      <c r="X1185" s="341"/>
      <c r="Y1185" s="33" t="s">
        <v>2867</v>
      </c>
      <c r="Z1185" s="258">
        <v>120757.0</v>
      </c>
      <c r="AA1185" s="334">
        <v>11569.0</v>
      </c>
      <c r="AB1185" s="341"/>
      <c r="AC1185" s="341"/>
      <c r="AD1185" s="343"/>
      <c r="AE1185" s="331"/>
      <c r="AF1185" s="348"/>
      <c r="AG1185" s="337"/>
      <c r="AH1185" s="341"/>
      <c r="AI1185" s="341"/>
      <c r="AJ1185" s="341"/>
      <c r="AK1185" s="341"/>
      <c r="AL1185" s="341"/>
      <c r="AM1185" s="338"/>
      <c r="AN1185" s="341"/>
      <c r="AO1185" s="341"/>
      <c r="AP1185" s="341"/>
      <c r="AQ1185" s="341"/>
      <c r="AR1185" s="341"/>
      <c r="AS1185" s="341"/>
      <c r="AT1185" s="341"/>
      <c r="AU1185" s="343"/>
      <c r="AV1185" s="341"/>
      <c r="AW1185" s="269" t="s">
        <v>2218</v>
      </c>
      <c r="AX1185" s="334" t="s">
        <v>2869</v>
      </c>
      <c r="AY1185" s="270" t="s">
        <v>695</v>
      </c>
      <c r="AZ1185" s="173" t="s">
        <v>2866</v>
      </c>
      <c r="BA1185" s="265">
        <v>10.0</v>
      </c>
      <c r="BB1185" s="174" t="s">
        <v>245</v>
      </c>
      <c r="BC1185" s="341"/>
      <c r="BD1185" s="308"/>
      <c r="BE1185" s="347"/>
      <c r="BF1185" s="274" t="str">
        <f>IFERROR(__xludf.DUMMYFUNCTION("LOWER(Regexreplace(to_text(E1185),""[^A-Za-z0-9]"","""")&amp;""_""&amp;Regexreplace(to_text(F1185),""[^A-Za-z0-9]"",""""))"),"neptronic_evcbseries")</f>
        <v>neptronic_evcbseries</v>
      </c>
      <c r="BG1185" s="275" t="str">
        <f>IFERROR(__xludf.DUMMYFUNCTION("upper(Regexreplace(to_text(E1185),""[^A-Za-z0-9]"","""")&amp;""-""&amp;Regexreplace(to_text(F1185),""[^A-Za-z0-9]"",""""))"),"NEPTRONIC-EVCBSERIES")</f>
        <v>NEPTRONIC-EVCBSERIES</v>
      </c>
    </row>
    <row r="1186" ht="30.0" customHeight="1">
      <c r="A1186" s="258">
        <v>1178.0</v>
      </c>
      <c r="B1186" s="237" t="s">
        <v>670</v>
      </c>
      <c r="C1186" s="257" t="s">
        <v>5072</v>
      </c>
      <c r="D1186" s="173" t="s">
        <v>5072</v>
      </c>
      <c r="E1186" s="174" t="s">
        <v>2861</v>
      </c>
      <c r="F1186" s="173" t="s">
        <v>2862</v>
      </c>
      <c r="G1186" s="328" t="s">
        <v>673</v>
      </c>
      <c r="H1186" s="328" t="s">
        <v>2863</v>
      </c>
      <c r="I1186" s="258" t="s">
        <v>2864</v>
      </c>
      <c r="J1186" s="259" t="s">
        <v>1088</v>
      </c>
      <c r="K1186" s="260" t="s">
        <v>3643</v>
      </c>
      <c r="L1186" s="328"/>
      <c r="M1186" s="343"/>
      <c r="N1186" s="173" t="s">
        <v>679</v>
      </c>
      <c r="O1186" s="173" t="s">
        <v>225</v>
      </c>
      <c r="P1186" s="262" t="str">
        <f t="shared" si="1"/>
        <v>IN-BLR-ANANTA-VAV-758_5</v>
      </c>
      <c r="Q1186" s="173" t="s">
        <v>5073</v>
      </c>
      <c r="R1186" s="328" t="str">
        <f>IFS(C1186="","",C1186="n/a","N/A",LEN(C1186),Concatenate("{",char(34),"asset",char(34),":{",char(34),"guid",char(34),":",char(34),Q1186,char(34),",",char(34),"site",char(34),":",char(34),LOWER('2-Building'!$B$4),char(34),",",char(34),"name",char(34),":",char(34),LOWER(C1186),char(34),"}}"))</f>
        <v>{"asset":{"guid":"uuid://b10dc91c-ccad-42c9-90d1-31bcc652194b","site":"in-blr-ananta","name":"vav-758"}}</v>
      </c>
      <c r="S1186" s="237" t="s">
        <v>2866</v>
      </c>
      <c r="T1186" s="330"/>
      <c r="U1186" s="330"/>
      <c r="V1186" s="331"/>
      <c r="W1186" s="344"/>
      <c r="X1186" s="341"/>
      <c r="Y1186" s="33" t="s">
        <v>2867</v>
      </c>
      <c r="Z1186" s="258">
        <v>120758.0</v>
      </c>
      <c r="AA1186" s="334">
        <v>11581.0</v>
      </c>
      <c r="AB1186" s="341"/>
      <c r="AC1186" s="341"/>
      <c r="AD1186" s="343"/>
      <c r="AE1186" s="331"/>
      <c r="AF1186" s="348"/>
      <c r="AG1186" s="337"/>
      <c r="AH1186" s="341"/>
      <c r="AI1186" s="341"/>
      <c r="AJ1186" s="341"/>
      <c r="AK1186" s="341"/>
      <c r="AL1186" s="341"/>
      <c r="AM1186" s="338"/>
      <c r="AN1186" s="341"/>
      <c r="AO1186" s="341"/>
      <c r="AP1186" s="341"/>
      <c r="AQ1186" s="341"/>
      <c r="AR1186" s="341"/>
      <c r="AS1186" s="341"/>
      <c r="AT1186" s="341"/>
      <c r="AU1186" s="343"/>
      <c r="AV1186" s="341"/>
      <c r="AW1186" s="269" t="s">
        <v>2237</v>
      </c>
      <c r="AX1186" s="334" t="s">
        <v>2869</v>
      </c>
      <c r="AY1186" s="270" t="s">
        <v>695</v>
      </c>
      <c r="AZ1186" s="173" t="s">
        <v>2866</v>
      </c>
      <c r="BA1186" s="265">
        <v>10.0</v>
      </c>
      <c r="BB1186" s="174" t="s">
        <v>245</v>
      </c>
      <c r="BC1186" s="341"/>
      <c r="BD1186" s="308"/>
      <c r="BE1186" s="347"/>
      <c r="BF1186" s="274" t="str">
        <f>IFERROR(__xludf.DUMMYFUNCTION("LOWER(Regexreplace(to_text(E1186),""[^A-Za-z0-9]"","""")&amp;""_""&amp;Regexreplace(to_text(F1186),""[^A-Za-z0-9]"",""""))"),"neptronic_evcbseries")</f>
        <v>neptronic_evcbseries</v>
      </c>
      <c r="BG1186" s="275" t="str">
        <f>IFERROR(__xludf.DUMMYFUNCTION("upper(Regexreplace(to_text(E1186),""[^A-Za-z0-9]"","""")&amp;""-""&amp;Regexreplace(to_text(F1186),""[^A-Za-z0-9]"",""""))"),"NEPTRONIC-EVCBSERIES")</f>
        <v>NEPTRONIC-EVCBSERIES</v>
      </c>
    </row>
    <row r="1187" ht="30.0" customHeight="1">
      <c r="A1187" s="173">
        <v>1179.0</v>
      </c>
      <c r="B1187" s="237" t="s">
        <v>670</v>
      </c>
      <c r="C1187" s="257" t="s">
        <v>5074</v>
      </c>
      <c r="D1187" s="173" t="s">
        <v>5074</v>
      </c>
      <c r="E1187" s="174" t="s">
        <v>2861</v>
      </c>
      <c r="F1187" s="173" t="s">
        <v>2862</v>
      </c>
      <c r="G1187" s="328" t="s">
        <v>673</v>
      </c>
      <c r="H1187" s="328" t="s">
        <v>2863</v>
      </c>
      <c r="I1187" s="258" t="s">
        <v>2864</v>
      </c>
      <c r="J1187" s="259" t="s">
        <v>1088</v>
      </c>
      <c r="K1187" s="260" t="s">
        <v>5075</v>
      </c>
      <c r="L1187" s="328"/>
      <c r="M1187" s="343"/>
      <c r="N1187" s="173" t="s">
        <v>679</v>
      </c>
      <c r="O1187" s="173" t="s">
        <v>225</v>
      </c>
      <c r="P1187" s="262" t="str">
        <f t="shared" si="1"/>
        <v>IN-BLR-ANANTA-VAV-759_5</v>
      </c>
      <c r="Q1187" s="173" t="s">
        <v>5076</v>
      </c>
      <c r="R1187" s="328" t="str">
        <f>IFS(C1187="","",C1187="n/a","N/A",LEN(C1187),Concatenate("{",char(34),"asset",char(34),":{",char(34),"guid",char(34),":",char(34),Q1187,char(34),",",char(34),"site",char(34),":",char(34),LOWER('2-Building'!$B$4),char(34),",",char(34),"name",char(34),":",char(34),LOWER(C1187),char(34),"}}"))</f>
        <v>{"asset":{"guid":"uuid://44e964b2-db6c-4254-850f-f29f7f5ff73a","site":"in-blr-ananta","name":"vav-759"}}</v>
      </c>
      <c r="S1187" s="237" t="s">
        <v>2866</v>
      </c>
      <c r="T1187" s="330"/>
      <c r="U1187" s="330"/>
      <c r="V1187" s="331"/>
      <c r="W1187" s="344"/>
      <c r="X1187" s="341"/>
      <c r="Y1187" s="33" t="s">
        <v>2867</v>
      </c>
      <c r="Z1187" s="258">
        <v>120759.0</v>
      </c>
      <c r="AA1187" s="334">
        <v>11581.0</v>
      </c>
      <c r="AB1187" s="341"/>
      <c r="AC1187" s="341"/>
      <c r="AD1187" s="343"/>
      <c r="AE1187" s="331"/>
      <c r="AF1187" s="348"/>
      <c r="AG1187" s="337"/>
      <c r="AH1187" s="341"/>
      <c r="AI1187" s="341"/>
      <c r="AJ1187" s="341"/>
      <c r="AK1187" s="341"/>
      <c r="AL1187" s="341"/>
      <c r="AM1187" s="338"/>
      <c r="AN1187" s="341"/>
      <c r="AO1187" s="341"/>
      <c r="AP1187" s="341"/>
      <c r="AQ1187" s="341"/>
      <c r="AR1187" s="341"/>
      <c r="AS1187" s="341"/>
      <c r="AT1187" s="341"/>
      <c r="AU1187" s="343"/>
      <c r="AV1187" s="341"/>
      <c r="AW1187" s="269" t="s">
        <v>2237</v>
      </c>
      <c r="AX1187" s="334" t="s">
        <v>2869</v>
      </c>
      <c r="AY1187" s="270" t="s">
        <v>695</v>
      </c>
      <c r="AZ1187" s="173" t="s">
        <v>2866</v>
      </c>
      <c r="BA1187" s="265">
        <v>10.0</v>
      </c>
      <c r="BB1187" s="174" t="s">
        <v>245</v>
      </c>
      <c r="BC1187" s="341"/>
      <c r="BD1187" s="308"/>
      <c r="BE1187" s="347"/>
      <c r="BF1187" s="274" t="str">
        <f>IFERROR(__xludf.DUMMYFUNCTION("LOWER(Regexreplace(to_text(E1187),""[^A-Za-z0-9]"","""")&amp;""_""&amp;Regexreplace(to_text(F1187),""[^A-Za-z0-9]"",""""))"),"neptronic_evcbseries")</f>
        <v>neptronic_evcbseries</v>
      </c>
      <c r="BG1187" s="275" t="str">
        <f>IFERROR(__xludf.DUMMYFUNCTION("upper(Regexreplace(to_text(E1187),""[^A-Za-z0-9]"","""")&amp;""-""&amp;Regexreplace(to_text(F1187),""[^A-Za-z0-9]"",""""))"),"NEPTRONIC-EVCBSERIES")</f>
        <v>NEPTRONIC-EVCBSERIES</v>
      </c>
    </row>
    <row r="1188" ht="30.0" customHeight="1">
      <c r="A1188" s="258">
        <v>1180.0</v>
      </c>
      <c r="B1188" s="237" t="s">
        <v>670</v>
      </c>
      <c r="C1188" s="257" t="s">
        <v>5077</v>
      </c>
      <c r="D1188" s="173" t="s">
        <v>5077</v>
      </c>
      <c r="E1188" s="174" t="s">
        <v>2861</v>
      </c>
      <c r="F1188" s="173" t="s">
        <v>2862</v>
      </c>
      <c r="G1188" s="328" t="s">
        <v>673</v>
      </c>
      <c r="H1188" s="328" t="s">
        <v>2863</v>
      </c>
      <c r="I1188" s="258" t="s">
        <v>2864</v>
      </c>
      <c r="J1188" s="259" t="s">
        <v>1088</v>
      </c>
      <c r="K1188" s="260" t="s">
        <v>5078</v>
      </c>
      <c r="L1188" s="328"/>
      <c r="M1188" s="343"/>
      <c r="N1188" s="173" t="s">
        <v>679</v>
      </c>
      <c r="O1188" s="173" t="s">
        <v>225</v>
      </c>
      <c r="P1188" s="262" t="str">
        <f t="shared" si="1"/>
        <v>IN-BLR-ANANTA-VAV-760_5</v>
      </c>
      <c r="Q1188" s="173" t="s">
        <v>5079</v>
      </c>
      <c r="R1188" s="328" t="str">
        <f>IFS(C1188="","",C1188="n/a","N/A",LEN(C1188),Concatenate("{",char(34),"asset",char(34),":{",char(34),"guid",char(34),":",char(34),Q1188,char(34),",",char(34),"site",char(34),":",char(34),LOWER('2-Building'!$B$4),char(34),",",char(34),"name",char(34),":",char(34),LOWER(C1188),char(34),"}}"))</f>
        <v>{"asset":{"guid":"uuid://005b43d6-8ab5-470f-968d-ac1badc65848","site":"in-blr-ananta","name":"vav-760"}}</v>
      </c>
      <c r="S1188" s="237" t="s">
        <v>2866</v>
      </c>
      <c r="T1188" s="330"/>
      <c r="U1188" s="330"/>
      <c r="V1188" s="331"/>
      <c r="W1188" s="344"/>
      <c r="X1188" s="341"/>
      <c r="Y1188" s="33" t="s">
        <v>2867</v>
      </c>
      <c r="Z1188" s="258">
        <v>120760.0</v>
      </c>
      <c r="AA1188" s="334">
        <v>11581.0</v>
      </c>
      <c r="AB1188" s="341"/>
      <c r="AC1188" s="341"/>
      <c r="AD1188" s="343"/>
      <c r="AE1188" s="331"/>
      <c r="AF1188" s="348"/>
      <c r="AG1188" s="337"/>
      <c r="AH1188" s="341"/>
      <c r="AI1188" s="341"/>
      <c r="AJ1188" s="341"/>
      <c r="AK1188" s="341"/>
      <c r="AL1188" s="341"/>
      <c r="AM1188" s="338"/>
      <c r="AN1188" s="341"/>
      <c r="AO1188" s="341"/>
      <c r="AP1188" s="341"/>
      <c r="AQ1188" s="341"/>
      <c r="AR1188" s="341"/>
      <c r="AS1188" s="341"/>
      <c r="AT1188" s="341"/>
      <c r="AU1188" s="343"/>
      <c r="AV1188" s="341"/>
      <c r="AW1188" s="269" t="s">
        <v>2237</v>
      </c>
      <c r="AX1188" s="334" t="s">
        <v>2869</v>
      </c>
      <c r="AY1188" s="270" t="s">
        <v>695</v>
      </c>
      <c r="AZ1188" s="173" t="s">
        <v>2866</v>
      </c>
      <c r="BA1188" s="265">
        <v>10.0</v>
      </c>
      <c r="BB1188" s="174" t="s">
        <v>245</v>
      </c>
      <c r="BC1188" s="341"/>
      <c r="BD1188" s="308"/>
      <c r="BE1188" s="347"/>
      <c r="BF1188" s="274" t="str">
        <f>IFERROR(__xludf.DUMMYFUNCTION("LOWER(Regexreplace(to_text(E1188),""[^A-Za-z0-9]"","""")&amp;""_""&amp;Regexreplace(to_text(F1188),""[^A-Za-z0-9]"",""""))"),"neptronic_evcbseries")</f>
        <v>neptronic_evcbseries</v>
      </c>
      <c r="BG1188" s="275" t="str">
        <f>IFERROR(__xludf.DUMMYFUNCTION("upper(Regexreplace(to_text(E1188),""[^A-Za-z0-9]"","""")&amp;""-""&amp;Regexreplace(to_text(F1188),""[^A-Za-z0-9]"",""""))"),"NEPTRONIC-EVCBSERIES")</f>
        <v>NEPTRONIC-EVCBSERIES</v>
      </c>
    </row>
    <row r="1189" ht="30.0" customHeight="1">
      <c r="A1189" s="173">
        <v>1181.0</v>
      </c>
      <c r="B1189" s="237" t="s">
        <v>670</v>
      </c>
      <c r="C1189" s="257" t="s">
        <v>5080</v>
      </c>
      <c r="D1189" s="173" t="s">
        <v>5080</v>
      </c>
      <c r="E1189" s="174" t="s">
        <v>2861</v>
      </c>
      <c r="F1189" s="173" t="s">
        <v>2862</v>
      </c>
      <c r="G1189" s="328" t="s">
        <v>673</v>
      </c>
      <c r="H1189" s="328" t="s">
        <v>2863</v>
      </c>
      <c r="I1189" s="258" t="s">
        <v>2864</v>
      </c>
      <c r="J1189" s="259" t="s">
        <v>1088</v>
      </c>
      <c r="K1189" s="260" t="s">
        <v>5081</v>
      </c>
      <c r="L1189" s="328"/>
      <c r="M1189" s="343"/>
      <c r="N1189" s="173" t="s">
        <v>679</v>
      </c>
      <c r="O1189" s="173" t="s">
        <v>225</v>
      </c>
      <c r="P1189" s="262" t="str">
        <f t="shared" si="1"/>
        <v>IN-BLR-ANANTA-VAV-761_5</v>
      </c>
      <c r="Q1189" s="173" t="s">
        <v>5082</v>
      </c>
      <c r="R1189" s="328" t="str">
        <f>IFS(C1189="","",C1189="n/a","N/A",LEN(C1189),Concatenate("{",char(34),"asset",char(34),":{",char(34),"guid",char(34),":",char(34),Q1189,char(34),",",char(34),"site",char(34),":",char(34),LOWER('2-Building'!$B$4),char(34),",",char(34),"name",char(34),":",char(34),LOWER(C1189),char(34),"}}"))</f>
        <v>{"asset":{"guid":"uuid://5a6d5cbc-b145-41c2-934e-0a896c0d47c4","site":"in-blr-ananta","name":"vav-761"}}</v>
      </c>
      <c r="S1189" s="237" t="s">
        <v>2866</v>
      </c>
      <c r="T1189" s="330"/>
      <c r="U1189" s="330"/>
      <c r="V1189" s="331"/>
      <c r="W1189" s="344"/>
      <c r="X1189" s="341"/>
      <c r="Y1189" s="33" t="s">
        <v>2867</v>
      </c>
      <c r="Z1189" s="258">
        <v>120761.0</v>
      </c>
      <c r="AA1189" s="334">
        <v>11581.0</v>
      </c>
      <c r="AB1189" s="341"/>
      <c r="AC1189" s="341"/>
      <c r="AD1189" s="343"/>
      <c r="AE1189" s="331"/>
      <c r="AF1189" s="348"/>
      <c r="AG1189" s="337"/>
      <c r="AH1189" s="341"/>
      <c r="AI1189" s="341"/>
      <c r="AJ1189" s="341"/>
      <c r="AK1189" s="341"/>
      <c r="AL1189" s="341"/>
      <c r="AM1189" s="338"/>
      <c r="AN1189" s="341"/>
      <c r="AO1189" s="341"/>
      <c r="AP1189" s="341"/>
      <c r="AQ1189" s="341"/>
      <c r="AR1189" s="341"/>
      <c r="AS1189" s="341"/>
      <c r="AT1189" s="341"/>
      <c r="AU1189" s="343"/>
      <c r="AV1189" s="341"/>
      <c r="AW1189" s="269" t="s">
        <v>2237</v>
      </c>
      <c r="AX1189" s="334" t="s">
        <v>2869</v>
      </c>
      <c r="AY1189" s="270" t="s">
        <v>695</v>
      </c>
      <c r="AZ1189" s="173" t="s">
        <v>2866</v>
      </c>
      <c r="BA1189" s="265">
        <v>10.0</v>
      </c>
      <c r="BB1189" s="174" t="s">
        <v>245</v>
      </c>
      <c r="BC1189" s="341"/>
      <c r="BD1189" s="308"/>
      <c r="BE1189" s="347"/>
      <c r="BF1189" s="274" t="str">
        <f>IFERROR(__xludf.DUMMYFUNCTION("LOWER(Regexreplace(to_text(E1189),""[^A-Za-z0-9]"","""")&amp;""_""&amp;Regexreplace(to_text(F1189),""[^A-Za-z0-9]"",""""))"),"neptronic_evcbseries")</f>
        <v>neptronic_evcbseries</v>
      </c>
      <c r="BG1189" s="275" t="str">
        <f>IFERROR(__xludf.DUMMYFUNCTION("upper(Regexreplace(to_text(E1189),""[^A-Za-z0-9]"","""")&amp;""-""&amp;Regexreplace(to_text(F1189),""[^A-Za-z0-9]"",""""))"),"NEPTRONIC-EVCBSERIES")</f>
        <v>NEPTRONIC-EVCBSERIES</v>
      </c>
    </row>
    <row r="1190" ht="30.0" customHeight="1">
      <c r="A1190" s="258">
        <v>1182.0</v>
      </c>
      <c r="B1190" s="237" t="s">
        <v>670</v>
      </c>
      <c r="C1190" s="257" t="s">
        <v>5083</v>
      </c>
      <c r="D1190" s="173" t="s">
        <v>5083</v>
      </c>
      <c r="E1190" s="174" t="s">
        <v>2861</v>
      </c>
      <c r="F1190" s="173" t="s">
        <v>2862</v>
      </c>
      <c r="G1190" s="328" t="s">
        <v>673</v>
      </c>
      <c r="H1190" s="328" t="s">
        <v>2863</v>
      </c>
      <c r="I1190" s="258" t="s">
        <v>2864</v>
      </c>
      <c r="J1190" s="259" t="s">
        <v>1088</v>
      </c>
      <c r="K1190" s="260" t="s">
        <v>5084</v>
      </c>
      <c r="L1190" s="328"/>
      <c r="M1190" s="343"/>
      <c r="N1190" s="173" t="s">
        <v>679</v>
      </c>
      <c r="O1190" s="173" t="s">
        <v>225</v>
      </c>
      <c r="P1190" s="262" t="str">
        <f t="shared" si="1"/>
        <v>IN-BLR-ANANTA-VAV-762_5</v>
      </c>
      <c r="Q1190" s="173" t="s">
        <v>5085</v>
      </c>
      <c r="R1190" s="328" t="str">
        <f>IFS(C1190="","",C1190="n/a","N/A",LEN(C1190),Concatenate("{",char(34),"asset",char(34),":{",char(34),"guid",char(34),":",char(34),Q1190,char(34),",",char(34),"site",char(34),":",char(34),LOWER('2-Building'!$B$4),char(34),",",char(34),"name",char(34),":",char(34),LOWER(C1190),char(34),"}}"))</f>
        <v>{"asset":{"guid":"uuid://55d53816-2ab3-4c19-94ab-6a261037094e","site":"in-blr-ananta","name":"vav-762"}}</v>
      </c>
      <c r="S1190" s="237" t="s">
        <v>2866</v>
      </c>
      <c r="T1190" s="330"/>
      <c r="U1190" s="330"/>
      <c r="V1190" s="331"/>
      <c r="W1190" s="344"/>
      <c r="X1190" s="341"/>
      <c r="Y1190" s="33" t="s">
        <v>2867</v>
      </c>
      <c r="Z1190" s="258">
        <v>120762.0</v>
      </c>
      <c r="AA1190" s="334">
        <v>11581.0</v>
      </c>
      <c r="AB1190" s="341"/>
      <c r="AC1190" s="341"/>
      <c r="AD1190" s="343"/>
      <c r="AE1190" s="331"/>
      <c r="AF1190" s="348"/>
      <c r="AG1190" s="337"/>
      <c r="AH1190" s="341"/>
      <c r="AI1190" s="341"/>
      <c r="AJ1190" s="341"/>
      <c r="AK1190" s="341"/>
      <c r="AL1190" s="341"/>
      <c r="AM1190" s="338"/>
      <c r="AN1190" s="341"/>
      <c r="AO1190" s="341"/>
      <c r="AP1190" s="341"/>
      <c r="AQ1190" s="341"/>
      <c r="AR1190" s="341"/>
      <c r="AS1190" s="341"/>
      <c r="AT1190" s="341"/>
      <c r="AU1190" s="343"/>
      <c r="AV1190" s="341"/>
      <c r="AW1190" s="269" t="s">
        <v>2237</v>
      </c>
      <c r="AX1190" s="334" t="s">
        <v>2869</v>
      </c>
      <c r="AY1190" s="270" t="s">
        <v>695</v>
      </c>
      <c r="AZ1190" s="173" t="s">
        <v>2866</v>
      </c>
      <c r="BA1190" s="265">
        <v>10.0</v>
      </c>
      <c r="BB1190" s="174" t="s">
        <v>245</v>
      </c>
      <c r="BC1190" s="341"/>
      <c r="BD1190" s="308"/>
      <c r="BE1190" s="347"/>
      <c r="BF1190" s="274" t="str">
        <f>IFERROR(__xludf.DUMMYFUNCTION("LOWER(Regexreplace(to_text(E1190),""[^A-Za-z0-9]"","""")&amp;""_""&amp;Regexreplace(to_text(F1190),""[^A-Za-z0-9]"",""""))"),"neptronic_evcbseries")</f>
        <v>neptronic_evcbseries</v>
      </c>
      <c r="BG1190" s="275" t="str">
        <f>IFERROR(__xludf.DUMMYFUNCTION("upper(Regexreplace(to_text(E1190),""[^A-Za-z0-9]"","""")&amp;""-""&amp;Regexreplace(to_text(F1190),""[^A-Za-z0-9]"",""""))"),"NEPTRONIC-EVCBSERIES")</f>
        <v>NEPTRONIC-EVCBSERIES</v>
      </c>
    </row>
    <row r="1191" ht="30.0" customHeight="1">
      <c r="A1191" s="173">
        <v>1183.0</v>
      </c>
      <c r="B1191" s="237" t="s">
        <v>670</v>
      </c>
      <c r="C1191" s="257" t="s">
        <v>5086</v>
      </c>
      <c r="D1191" s="173" t="s">
        <v>5086</v>
      </c>
      <c r="E1191" s="174" t="s">
        <v>2861</v>
      </c>
      <c r="F1191" s="173" t="s">
        <v>2862</v>
      </c>
      <c r="G1191" s="328" t="s">
        <v>673</v>
      </c>
      <c r="H1191" s="328" t="s">
        <v>2863</v>
      </c>
      <c r="I1191" s="258" t="s">
        <v>2864</v>
      </c>
      <c r="J1191" s="259" t="s">
        <v>1088</v>
      </c>
      <c r="K1191" s="260" t="s">
        <v>5087</v>
      </c>
      <c r="L1191" s="328"/>
      <c r="M1191" s="343"/>
      <c r="N1191" s="173" t="s">
        <v>679</v>
      </c>
      <c r="O1191" s="173" t="s">
        <v>225</v>
      </c>
      <c r="P1191" s="262" t="str">
        <f t="shared" si="1"/>
        <v>IN-BLR-ANANTA-VAV-763_5</v>
      </c>
      <c r="Q1191" s="173" t="s">
        <v>5088</v>
      </c>
      <c r="R1191" s="328" t="str">
        <f>IFS(C1191="","",C1191="n/a","N/A",LEN(C1191),Concatenate("{",char(34),"asset",char(34),":{",char(34),"guid",char(34),":",char(34),Q1191,char(34),",",char(34),"site",char(34),":",char(34),LOWER('2-Building'!$B$4),char(34),",",char(34),"name",char(34),":",char(34),LOWER(C1191),char(34),"}}"))</f>
        <v>{"asset":{"guid":"uuid://6288287f-7810-48eb-8ff1-6b9ea3440982","site":"in-blr-ananta","name":"vav-763"}}</v>
      </c>
      <c r="S1191" s="237" t="s">
        <v>2866</v>
      </c>
      <c r="T1191" s="330"/>
      <c r="U1191" s="330"/>
      <c r="V1191" s="331"/>
      <c r="W1191" s="344"/>
      <c r="X1191" s="341"/>
      <c r="Y1191" s="33" t="s">
        <v>2867</v>
      </c>
      <c r="Z1191" s="258">
        <v>120763.0</v>
      </c>
      <c r="AA1191" s="334">
        <v>11581.0</v>
      </c>
      <c r="AB1191" s="341"/>
      <c r="AC1191" s="341"/>
      <c r="AD1191" s="343"/>
      <c r="AE1191" s="331"/>
      <c r="AF1191" s="348"/>
      <c r="AG1191" s="337"/>
      <c r="AH1191" s="341"/>
      <c r="AI1191" s="341"/>
      <c r="AJ1191" s="341"/>
      <c r="AK1191" s="341"/>
      <c r="AL1191" s="341"/>
      <c r="AM1191" s="338"/>
      <c r="AN1191" s="341"/>
      <c r="AO1191" s="341"/>
      <c r="AP1191" s="341"/>
      <c r="AQ1191" s="341"/>
      <c r="AR1191" s="341"/>
      <c r="AS1191" s="341"/>
      <c r="AT1191" s="341"/>
      <c r="AU1191" s="343"/>
      <c r="AV1191" s="341"/>
      <c r="AW1191" s="269" t="s">
        <v>2237</v>
      </c>
      <c r="AX1191" s="334" t="s">
        <v>2869</v>
      </c>
      <c r="AY1191" s="270" t="s">
        <v>695</v>
      </c>
      <c r="AZ1191" s="173" t="s">
        <v>2866</v>
      </c>
      <c r="BA1191" s="265">
        <v>10.0</v>
      </c>
      <c r="BB1191" s="174" t="s">
        <v>245</v>
      </c>
      <c r="BC1191" s="341"/>
      <c r="BD1191" s="308"/>
      <c r="BE1191" s="347"/>
      <c r="BF1191" s="274" t="str">
        <f>IFERROR(__xludf.DUMMYFUNCTION("LOWER(Regexreplace(to_text(E1191),""[^A-Za-z0-9]"","""")&amp;""_""&amp;Regexreplace(to_text(F1191),""[^A-Za-z0-9]"",""""))"),"neptronic_evcbseries")</f>
        <v>neptronic_evcbseries</v>
      </c>
      <c r="BG1191" s="275" t="str">
        <f>IFERROR(__xludf.DUMMYFUNCTION("upper(Regexreplace(to_text(E1191),""[^A-Za-z0-9]"","""")&amp;""-""&amp;Regexreplace(to_text(F1191),""[^A-Za-z0-9]"",""""))"),"NEPTRONIC-EVCBSERIES")</f>
        <v>NEPTRONIC-EVCBSERIES</v>
      </c>
    </row>
    <row r="1192" ht="30.0" customHeight="1">
      <c r="A1192" s="258">
        <v>1184.0</v>
      </c>
      <c r="B1192" s="237" t="s">
        <v>670</v>
      </c>
      <c r="C1192" s="257" t="s">
        <v>5089</v>
      </c>
      <c r="D1192" s="173" t="s">
        <v>5089</v>
      </c>
      <c r="E1192" s="174" t="s">
        <v>2861</v>
      </c>
      <c r="F1192" s="173" t="s">
        <v>2862</v>
      </c>
      <c r="G1192" s="328" t="s">
        <v>673</v>
      </c>
      <c r="H1192" s="328" t="s">
        <v>2863</v>
      </c>
      <c r="I1192" s="258" t="s">
        <v>2864</v>
      </c>
      <c r="J1192" s="259" t="s">
        <v>1088</v>
      </c>
      <c r="K1192" s="260" t="s">
        <v>5090</v>
      </c>
      <c r="L1192" s="328"/>
      <c r="M1192" s="343"/>
      <c r="N1192" s="173" t="s">
        <v>679</v>
      </c>
      <c r="O1192" s="173" t="s">
        <v>225</v>
      </c>
      <c r="P1192" s="262" t="str">
        <f t="shared" si="1"/>
        <v>IN-BLR-ANANTA-VAV-764_5</v>
      </c>
      <c r="Q1192" s="173" t="s">
        <v>5091</v>
      </c>
      <c r="R1192" s="328" t="str">
        <f>IFS(C1192="","",C1192="n/a","N/A",LEN(C1192),Concatenate("{",char(34),"asset",char(34),":{",char(34),"guid",char(34),":",char(34),Q1192,char(34),",",char(34),"site",char(34),":",char(34),LOWER('2-Building'!$B$4),char(34),",",char(34),"name",char(34),":",char(34),LOWER(C1192),char(34),"}}"))</f>
        <v>{"asset":{"guid":"uuid://22f28398-1643-4a2a-b475-45d19646cc1a","site":"in-blr-ananta","name":"vav-764"}}</v>
      </c>
      <c r="S1192" s="237" t="s">
        <v>2866</v>
      </c>
      <c r="T1192" s="330"/>
      <c r="U1192" s="330"/>
      <c r="V1192" s="331"/>
      <c r="W1192" s="344"/>
      <c r="X1192" s="341"/>
      <c r="Y1192" s="33" t="s">
        <v>2867</v>
      </c>
      <c r="Z1192" s="258">
        <v>120764.0</v>
      </c>
      <c r="AA1192" s="334">
        <v>11581.0</v>
      </c>
      <c r="AB1192" s="341"/>
      <c r="AC1192" s="341"/>
      <c r="AD1192" s="343"/>
      <c r="AE1192" s="331"/>
      <c r="AF1192" s="348"/>
      <c r="AG1192" s="337"/>
      <c r="AH1192" s="341"/>
      <c r="AI1192" s="341"/>
      <c r="AJ1192" s="341"/>
      <c r="AK1192" s="341"/>
      <c r="AL1192" s="341"/>
      <c r="AM1192" s="338"/>
      <c r="AN1192" s="341"/>
      <c r="AO1192" s="341"/>
      <c r="AP1192" s="341"/>
      <c r="AQ1192" s="341"/>
      <c r="AR1192" s="341"/>
      <c r="AS1192" s="341"/>
      <c r="AT1192" s="341"/>
      <c r="AU1192" s="343"/>
      <c r="AV1192" s="341"/>
      <c r="AW1192" s="269" t="s">
        <v>2237</v>
      </c>
      <c r="AX1192" s="334" t="s">
        <v>2869</v>
      </c>
      <c r="AY1192" s="270" t="s">
        <v>695</v>
      </c>
      <c r="AZ1192" s="173" t="s">
        <v>2866</v>
      </c>
      <c r="BA1192" s="265">
        <v>10.0</v>
      </c>
      <c r="BB1192" s="174" t="s">
        <v>245</v>
      </c>
      <c r="BC1192" s="341"/>
      <c r="BD1192" s="308"/>
      <c r="BE1192" s="347"/>
      <c r="BF1192" s="274" t="str">
        <f>IFERROR(__xludf.DUMMYFUNCTION("LOWER(Regexreplace(to_text(E1192),""[^A-Za-z0-9]"","""")&amp;""_""&amp;Regexreplace(to_text(F1192),""[^A-Za-z0-9]"",""""))"),"neptronic_evcbseries")</f>
        <v>neptronic_evcbseries</v>
      </c>
      <c r="BG1192" s="275" t="str">
        <f>IFERROR(__xludf.DUMMYFUNCTION("upper(Regexreplace(to_text(E1192),""[^A-Za-z0-9]"","""")&amp;""-""&amp;Regexreplace(to_text(F1192),""[^A-Za-z0-9]"",""""))"),"NEPTRONIC-EVCBSERIES")</f>
        <v>NEPTRONIC-EVCBSERIES</v>
      </c>
    </row>
    <row r="1193" ht="30.0" customHeight="1">
      <c r="A1193" s="173">
        <v>1185.0</v>
      </c>
      <c r="B1193" s="237" t="s">
        <v>670</v>
      </c>
      <c r="C1193" s="257" t="s">
        <v>5092</v>
      </c>
      <c r="D1193" s="173" t="s">
        <v>5092</v>
      </c>
      <c r="E1193" s="174" t="s">
        <v>2861</v>
      </c>
      <c r="F1193" s="173" t="s">
        <v>2862</v>
      </c>
      <c r="G1193" s="328" t="s">
        <v>673</v>
      </c>
      <c r="H1193" s="328" t="s">
        <v>2863</v>
      </c>
      <c r="I1193" s="258" t="s">
        <v>2864</v>
      </c>
      <c r="J1193" s="259" t="s">
        <v>1088</v>
      </c>
      <c r="K1193" s="260" t="s">
        <v>5093</v>
      </c>
      <c r="L1193" s="328"/>
      <c r="M1193" s="343"/>
      <c r="N1193" s="173" t="s">
        <v>679</v>
      </c>
      <c r="O1193" s="173" t="s">
        <v>225</v>
      </c>
      <c r="P1193" s="262" t="str">
        <f t="shared" si="1"/>
        <v>IN-BLR-ANANTA-VAV-765_5</v>
      </c>
      <c r="Q1193" s="173" t="s">
        <v>5094</v>
      </c>
      <c r="R1193" s="328" t="str">
        <f>IFS(C1193="","",C1193="n/a","N/A",LEN(C1193),Concatenate("{",char(34),"asset",char(34),":{",char(34),"guid",char(34),":",char(34),Q1193,char(34),",",char(34),"site",char(34),":",char(34),LOWER('2-Building'!$B$4),char(34),",",char(34),"name",char(34),":",char(34),LOWER(C1193),char(34),"}}"))</f>
        <v>{"asset":{"guid":"uuid://e7916264-080f-4e81-aa6f-a165a2be1d67","site":"in-blr-ananta","name":"vav-765"}}</v>
      </c>
      <c r="S1193" s="237" t="s">
        <v>2866</v>
      </c>
      <c r="T1193" s="330"/>
      <c r="U1193" s="330"/>
      <c r="V1193" s="331"/>
      <c r="W1193" s="344"/>
      <c r="X1193" s="341"/>
      <c r="Y1193" s="33" t="s">
        <v>2867</v>
      </c>
      <c r="Z1193" s="258">
        <v>120765.0</v>
      </c>
      <c r="AA1193" s="334">
        <v>11581.0</v>
      </c>
      <c r="AB1193" s="341"/>
      <c r="AC1193" s="341"/>
      <c r="AD1193" s="343"/>
      <c r="AE1193" s="331"/>
      <c r="AF1193" s="348"/>
      <c r="AG1193" s="337"/>
      <c r="AH1193" s="341"/>
      <c r="AI1193" s="341"/>
      <c r="AJ1193" s="341"/>
      <c r="AK1193" s="341"/>
      <c r="AL1193" s="341"/>
      <c r="AM1193" s="338"/>
      <c r="AN1193" s="341"/>
      <c r="AO1193" s="341"/>
      <c r="AP1193" s="341"/>
      <c r="AQ1193" s="341"/>
      <c r="AR1193" s="341"/>
      <c r="AS1193" s="341"/>
      <c r="AT1193" s="341"/>
      <c r="AU1193" s="343"/>
      <c r="AV1193" s="341"/>
      <c r="AW1193" s="269" t="s">
        <v>2237</v>
      </c>
      <c r="AX1193" s="334" t="s">
        <v>2869</v>
      </c>
      <c r="AY1193" s="270" t="s">
        <v>695</v>
      </c>
      <c r="AZ1193" s="173" t="s">
        <v>2866</v>
      </c>
      <c r="BA1193" s="265">
        <v>10.0</v>
      </c>
      <c r="BB1193" s="174" t="s">
        <v>245</v>
      </c>
      <c r="BC1193" s="341"/>
      <c r="BD1193" s="308"/>
      <c r="BE1193" s="347"/>
      <c r="BF1193" s="274" t="str">
        <f>IFERROR(__xludf.DUMMYFUNCTION("LOWER(Regexreplace(to_text(E1193),""[^A-Za-z0-9]"","""")&amp;""_""&amp;Regexreplace(to_text(F1193),""[^A-Za-z0-9]"",""""))"),"neptronic_evcbseries")</f>
        <v>neptronic_evcbseries</v>
      </c>
      <c r="BG1193" s="275" t="str">
        <f>IFERROR(__xludf.DUMMYFUNCTION("upper(Regexreplace(to_text(E1193),""[^A-Za-z0-9]"","""")&amp;""-""&amp;Regexreplace(to_text(F1193),""[^A-Za-z0-9]"",""""))"),"NEPTRONIC-EVCBSERIES")</f>
        <v>NEPTRONIC-EVCBSERIES</v>
      </c>
    </row>
    <row r="1194" ht="30.0" customHeight="1">
      <c r="A1194" s="258">
        <v>1186.0</v>
      </c>
      <c r="B1194" s="237" t="s">
        <v>670</v>
      </c>
      <c r="C1194" s="257" t="s">
        <v>5095</v>
      </c>
      <c r="D1194" s="173" t="s">
        <v>5095</v>
      </c>
      <c r="E1194" s="174" t="s">
        <v>2861</v>
      </c>
      <c r="F1194" s="173" t="s">
        <v>2862</v>
      </c>
      <c r="G1194" s="328" t="s">
        <v>673</v>
      </c>
      <c r="H1194" s="328" t="s">
        <v>2863</v>
      </c>
      <c r="I1194" s="258" t="s">
        <v>2864</v>
      </c>
      <c r="J1194" s="259" t="s">
        <v>1088</v>
      </c>
      <c r="K1194" s="260" t="s">
        <v>5096</v>
      </c>
      <c r="L1194" s="328"/>
      <c r="M1194" s="343"/>
      <c r="N1194" s="173" t="s">
        <v>679</v>
      </c>
      <c r="O1194" s="173" t="s">
        <v>225</v>
      </c>
      <c r="P1194" s="262" t="str">
        <f t="shared" si="1"/>
        <v>IN-BLR-ANANTA-VAV-766_5</v>
      </c>
      <c r="Q1194" s="173" t="s">
        <v>5097</v>
      </c>
      <c r="R1194" s="328" t="str">
        <f>IFS(C1194="","",C1194="n/a","N/A",LEN(C1194),Concatenate("{",char(34),"asset",char(34),":{",char(34),"guid",char(34),":",char(34),Q1194,char(34),",",char(34),"site",char(34),":",char(34),LOWER('2-Building'!$B$4),char(34),",",char(34),"name",char(34),":",char(34),LOWER(C1194),char(34),"}}"))</f>
        <v>{"asset":{"guid":"uuid://8c63b00f-beda-4d52-bc4d-154272eb0078","site":"in-blr-ananta","name":"vav-766"}}</v>
      </c>
      <c r="S1194" s="237" t="s">
        <v>2866</v>
      </c>
      <c r="T1194" s="330"/>
      <c r="U1194" s="330"/>
      <c r="V1194" s="331"/>
      <c r="W1194" s="344"/>
      <c r="X1194" s="341"/>
      <c r="Y1194" s="33" t="s">
        <v>2867</v>
      </c>
      <c r="Z1194" s="258">
        <v>120766.0</v>
      </c>
      <c r="AA1194" s="334">
        <v>11581.0</v>
      </c>
      <c r="AB1194" s="341"/>
      <c r="AC1194" s="341"/>
      <c r="AD1194" s="343"/>
      <c r="AE1194" s="331"/>
      <c r="AF1194" s="348"/>
      <c r="AG1194" s="337"/>
      <c r="AH1194" s="341"/>
      <c r="AI1194" s="341"/>
      <c r="AJ1194" s="341"/>
      <c r="AK1194" s="341"/>
      <c r="AL1194" s="341"/>
      <c r="AM1194" s="338"/>
      <c r="AN1194" s="341"/>
      <c r="AO1194" s="341"/>
      <c r="AP1194" s="341"/>
      <c r="AQ1194" s="341"/>
      <c r="AR1194" s="341"/>
      <c r="AS1194" s="341"/>
      <c r="AT1194" s="341"/>
      <c r="AU1194" s="343"/>
      <c r="AV1194" s="341"/>
      <c r="AW1194" s="269" t="s">
        <v>2237</v>
      </c>
      <c r="AX1194" s="334" t="s">
        <v>2869</v>
      </c>
      <c r="AY1194" s="270" t="s">
        <v>695</v>
      </c>
      <c r="AZ1194" s="173" t="s">
        <v>2866</v>
      </c>
      <c r="BA1194" s="265">
        <v>10.0</v>
      </c>
      <c r="BB1194" s="174" t="s">
        <v>245</v>
      </c>
      <c r="BC1194" s="341"/>
      <c r="BD1194" s="308"/>
      <c r="BE1194" s="347"/>
      <c r="BF1194" s="274" t="str">
        <f>IFERROR(__xludf.DUMMYFUNCTION("LOWER(Regexreplace(to_text(E1194),""[^A-Za-z0-9]"","""")&amp;""_""&amp;Regexreplace(to_text(F1194),""[^A-Za-z0-9]"",""""))"),"neptronic_evcbseries")</f>
        <v>neptronic_evcbseries</v>
      </c>
      <c r="BG1194" s="275" t="str">
        <f>IFERROR(__xludf.DUMMYFUNCTION("upper(Regexreplace(to_text(E1194),""[^A-Za-z0-9]"","""")&amp;""-""&amp;Regexreplace(to_text(F1194),""[^A-Za-z0-9]"",""""))"),"NEPTRONIC-EVCBSERIES")</f>
        <v>NEPTRONIC-EVCBSERIES</v>
      </c>
    </row>
    <row r="1195" ht="30.0" customHeight="1">
      <c r="A1195" s="173">
        <v>1187.0</v>
      </c>
      <c r="B1195" s="237" t="s">
        <v>670</v>
      </c>
      <c r="C1195" s="257" t="s">
        <v>5098</v>
      </c>
      <c r="D1195" s="173" t="s">
        <v>5098</v>
      </c>
      <c r="E1195" s="174" t="s">
        <v>2861</v>
      </c>
      <c r="F1195" s="173" t="s">
        <v>2862</v>
      </c>
      <c r="G1195" s="328" t="s">
        <v>673</v>
      </c>
      <c r="H1195" s="328" t="s">
        <v>2863</v>
      </c>
      <c r="I1195" s="258" t="s">
        <v>2864</v>
      </c>
      <c r="J1195" s="259" t="s">
        <v>1088</v>
      </c>
      <c r="K1195" s="260" t="s">
        <v>5099</v>
      </c>
      <c r="L1195" s="328"/>
      <c r="M1195" s="343"/>
      <c r="N1195" s="173" t="s">
        <v>679</v>
      </c>
      <c r="O1195" s="173" t="s">
        <v>225</v>
      </c>
      <c r="P1195" s="262" t="str">
        <f t="shared" si="1"/>
        <v>IN-BLR-ANANTA-VAV-767_5</v>
      </c>
      <c r="Q1195" s="173" t="s">
        <v>5100</v>
      </c>
      <c r="R1195" s="328" t="str">
        <f>IFS(C1195="","",C1195="n/a","N/A",LEN(C1195),Concatenate("{",char(34),"asset",char(34),":{",char(34),"guid",char(34),":",char(34),Q1195,char(34),",",char(34),"site",char(34),":",char(34),LOWER('2-Building'!$B$4),char(34),",",char(34),"name",char(34),":",char(34),LOWER(C1195),char(34),"}}"))</f>
        <v>{"asset":{"guid":"uuid://e0b443aa-43c9-4f5b-8e98-bf99aa48c875","site":"in-blr-ananta","name":"vav-767"}}</v>
      </c>
      <c r="S1195" s="237" t="s">
        <v>2866</v>
      </c>
      <c r="T1195" s="330"/>
      <c r="U1195" s="330"/>
      <c r="V1195" s="331"/>
      <c r="W1195" s="344"/>
      <c r="X1195" s="341"/>
      <c r="Y1195" s="33" t="s">
        <v>2867</v>
      </c>
      <c r="Z1195" s="258">
        <v>120767.0</v>
      </c>
      <c r="AA1195" s="334">
        <v>11581.0</v>
      </c>
      <c r="AB1195" s="341"/>
      <c r="AC1195" s="341"/>
      <c r="AD1195" s="343"/>
      <c r="AE1195" s="331"/>
      <c r="AF1195" s="348"/>
      <c r="AG1195" s="337"/>
      <c r="AH1195" s="341"/>
      <c r="AI1195" s="341"/>
      <c r="AJ1195" s="341"/>
      <c r="AK1195" s="341"/>
      <c r="AL1195" s="341"/>
      <c r="AM1195" s="338"/>
      <c r="AN1195" s="341"/>
      <c r="AO1195" s="341"/>
      <c r="AP1195" s="341"/>
      <c r="AQ1195" s="341"/>
      <c r="AR1195" s="341"/>
      <c r="AS1195" s="341"/>
      <c r="AT1195" s="341"/>
      <c r="AU1195" s="343"/>
      <c r="AV1195" s="341"/>
      <c r="AW1195" s="269" t="s">
        <v>2237</v>
      </c>
      <c r="AX1195" s="334" t="s">
        <v>2869</v>
      </c>
      <c r="AY1195" s="270" t="s">
        <v>695</v>
      </c>
      <c r="AZ1195" s="173" t="s">
        <v>2866</v>
      </c>
      <c r="BA1195" s="265">
        <v>10.0</v>
      </c>
      <c r="BB1195" s="174" t="s">
        <v>245</v>
      </c>
      <c r="BC1195" s="341"/>
      <c r="BD1195" s="308"/>
      <c r="BE1195" s="347"/>
      <c r="BF1195" s="274" t="str">
        <f>IFERROR(__xludf.DUMMYFUNCTION("LOWER(Regexreplace(to_text(E1195),""[^A-Za-z0-9]"","""")&amp;""_""&amp;Regexreplace(to_text(F1195),""[^A-Za-z0-9]"",""""))"),"neptronic_evcbseries")</f>
        <v>neptronic_evcbseries</v>
      </c>
      <c r="BG1195" s="275" t="str">
        <f>IFERROR(__xludf.DUMMYFUNCTION("upper(Regexreplace(to_text(E1195),""[^A-Za-z0-9]"","""")&amp;""-""&amp;Regexreplace(to_text(F1195),""[^A-Za-z0-9]"",""""))"),"NEPTRONIC-EVCBSERIES")</f>
        <v>NEPTRONIC-EVCBSERIES</v>
      </c>
    </row>
    <row r="1196" ht="30.0" customHeight="1">
      <c r="A1196" s="258">
        <v>1188.0</v>
      </c>
      <c r="B1196" s="237" t="s">
        <v>670</v>
      </c>
      <c r="C1196" s="257" t="s">
        <v>5101</v>
      </c>
      <c r="D1196" s="173" t="s">
        <v>5101</v>
      </c>
      <c r="E1196" s="174" t="s">
        <v>2861</v>
      </c>
      <c r="F1196" s="173" t="s">
        <v>2862</v>
      </c>
      <c r="G1196" s="328" t="s">
        <v>673</v>
      </c>
      <c r="H1196" s="328" t="s">
        <v>2863</v>
      </c>
      <c r="I1196" s="258" t="s">
        <v>2864</v>
      </c>
      <c r="J1196" s="259" t="s">
        <v>1088</v>
      </c>
      <c r="K1196" s="260" t="s">
        <v>5102</v>
      </c>
      <c r="L1196" s="328"/>
      <c r="M1196" s="343"/>
      <c r="N1196" s="173" t="s">
        <v>679</v>
      </c>
      <c r="O1196" s="173" t="s">
        <v>225</v>
      </c>
      <c r="P1196" s="262" t="str">
        <f t="shared" si="1"/>
        <v>IN-BLR-ANANTA-VAV-768_5</v>
      </c>
      <c r="Q1196" s="173" t="s">
        <v>5103</v>
      </c>
      <c r="R1196" s="328" t="str">
        <f>IFS(C1196="","",C1196="n/a","N/A",LEN(C1196),Concatenate("{",char(34),"asset",char(34),":{",char(34),"guid",char(34),":",char(34),Q1196,char(34),",",char(34),"site",char(34),":",char(34),LOWER('2-Building'!$B$4),char(34),",",char(34),"name",char(34),":",char(34),LOWER(C1196),char(34),"}}"))</f>
        <v>{"asset":{"guid":"uuid://34ef4384-9d52-4c8c-ab1d-7bef970a3884","site":"in-blr-ananta","name":"vav-768"}}</v>
      </c>
      <c r="S1196" s="237" t="s">
        <v>2866</v>
      </c>
      <c r="T1196" s="330"/>
      <c r="U1196" s="330"/>
      <c r="V1196" s="331"/>
      <c r="W1196" s="344"/>
      <c r="X1196" s="341"/>
      <c r="Y1196" s="33" t="s">
        <v>2867</v>
      </c>
      <c r="Z1196" s="258">
        <v>120768.0</v>
      </c>
      <c r="AA1196" s="334">
        <v>11581.0</v>
      </c>
      <c r="AB1196" s="341"/>
      <c r="AC1196" s="341"/>
      <c r="AD1196" s="343"/>
      <c r="AE1196" s="331"/>
      <c r="AF1196" s="348"/>
      <c r="AG1196" s="337"/>
      <c r="AH1196" s="341"/>
      <c r="AI1196" s="341"/>
      <c r="AJ1196" s="341"/>
      <c r="AK1196" s="341"/>
      <c r="AL1196" s="341"/>
      <c r="AM1196" s="338"/>
      <c r="AN1196" s="341"/>
      <c r="AO1196" s="341"/>
      <c r="AP1196" s="341"/>
      <c r="AQ1196" s="341"/>
      <c r="AR1196" s="341"/>
      <c r="AS1196" s="341"/>
      <c r="AT1196" s="341"/>
      <c r="AU1196" s="343"/>
      <c r="AV1196" s="341"/>
      <c r="AW1196" s="269" t="s">
        <v>2237</v>
      </c>
      <c r="AX1196" s="334" t="s">
        <v>2869</v>
      </c>
      <c r="AY1196" s="270" t="s">
        <v>695</v>
      </c>
      <c r="AZ1196" s="173" t="s">
        <v>2866</v>
      </c>
      <c r="BA1196" s="265">
        <v>10.0</v>
      </c>
      <c r="BB1196" s="174" t="s">
        <v>245</v>
      </c>
      <c r="BC1196" s="341"/>
      <c r="BD1196" s="308"/>
      <c r="BE1196" s="347"/>
      <c r="BF1196" s="274" t="str">
        <f>IFERROR(__xludf.DUMMYFUNCTION("LOWER(Regexreplace(to_text(E1196),""[^A-Za-z0-9]"","""")&amp;""_""&amp;Regexreplace(to_text(F1196),""[^A-Za-z0-9]"",""""))"),"neptronic_evcbseries")</f>
        <v>neptronic_evcbseries</v>
      </c>
      <c r="BG1196" s="275" t="str">
        <f>IFERROR(__xludf.DUMMYFUNCTION("upper(Regexreplace(to_text(E1196),""[^A-Za-z0-9]"","""")&amp;""-""&amp;Regexreplace(to_text(F1196),""[^A-Za-z0-9]"",""""))"),"NEPTRONIC-EVCBSERIES")</f>
        <v>NEPTRONIC-EVCBSERIES</v>
      </c>
    </row>
    <row r="1197" ht="30.0" customHeight="1">
      <c r="A1197" s="173">
        <v>1189.0</v>
      </c>
      <c r="B1197" s="237" t="s">
        <v>670</v>
      </c>
      <c r="C1197" s="257" t="s">
        <v>5104</v>
      </c>
      <c r="D1197" s="173" t="s">
        <v>5104</v>
      </c>
      <c r="E1197" s="174" t="s">
        <v>2861</v>
      </c>
      <c r="F1197" s="173" t="s">
        <v>2862</v>
      </c>
      <c r="G1197" s="328" t="s">
        <v>673</v>
      </c>
      <c r="H1197" s="328" t="s">
        <v>2863</v>
      </c>
      <c r="I1197" s="258" t="s">
        <v>2864</v>
      </c>
      <c r="J1197" s="259" t="s">
        <v>1088</v>
      </c>
      <c r="K1197" s="260" t="s">
        <v>5105</v>
      </c>
      <c r="L1197" s="328"/>
      <c r="M1197" s="343"/>
      <c r="N1197" s="173" t="s">
        <v>679</v>
      </c>
      <c r="O1197" s="173" t="s">
        <v>225</v>
      </c>
      <c r="P1197" s="262" t="str">
        <f t="shared" si="1"/>
        <v>IN-BLR-ANANTA-VAV-769_5</v>
      </c>
      <c r="Q1197" s="173" t="s">
        <v>5106</v>
      </c>
      <c r="R1197" s="328" t="str">
        <f>IFS(C1197="","",C1197="n/a","N/A",LEN(C1197),Concatenate("{",char(34),"asset",char(34),":{",char(34),"guid",char(34),":",char(34),Q1197,char(34),",",char(34),"site",char(34),":",char(34),LOWER('2-Building'!$B$4),char(34),",",char(34),"name",char(34),":",char(34),LOWER(C1197),char(34),"}}"))</f>
        <v>{"asset":{"guid":"uuid://51438666-dbd2-4ddd-9641-3baa68442057","site":"in-blr-ananta","name":"vav-769"}}</v>
      </c>
      <c r="S1197" s="237" t="s">
        <v>2866</v>
      </c>
      <c r="T1197" s="330"/>
      <c r="U1197" s="330"/>
      <c r="V1197" s="331"/>
      <c r="W1197" s="344"/>
      <c r="X1197" s="341"/>
      <c r="Y1197" s="33" t="s">
        <v>2867</v>
      </c>
      <c r="Z1197" s="258">
        <v>120769.0</v>
      </c>
      <c r="AA1197" s="334">
        <v>11581.0</v>
      </c>
      <c r="AB1197" s="341"/>
      <c r="AC1197" s="341"/>
      <c r="AD1197" s="343"/>
      <c r="AE1197" s="331"/>
      <c r="AF1197" s="348"/>
      <c r="AG1197" s="337"/>
      <c r="AH1197" s="341"/>
      <c r="AI1197" s="341"/>
      <c r="AJ1197" s="341"/>
      <c r="AK1197" s="341"/>
      <c r="AL1197" s="341"/>
      <c r="AM1197" s="338"/>
      <c r="AN1197" s="341"/>
      <c r="AO1197" s="341"/>
      <c r="AP1197" s="341"/>
      <c r="AQ1197" s="341"/>
      <c r="AR1197" s="341"/>
      <c r="AS1197" s="341"/>
      <c r="AT1197" s="341"/>
      <c r="AU1197" s="343"/>
      <c r="AV1197" s="341"/>
      <c r="AW1197" s="269" t="s">
        <v>2237</v>
      </c>
      <c r="AX1197" s="334" t="s">
        <v>2869</v>
      </c>
      <c r="AY1197" s="270" t="s">
        <v>695</v>
      </c>
      <c r="AZ1197" s="173" t="s">
        <v>2866</v>
      </c>
      <c r="BA1197" s="265">
        <v>10.0</v>
      </c>
      <c r="BB1197" s="174" t="s">
        <v>245</v>
      </c>
      <c r="BC1197" s="341"/>
      <c r="BD1197" s="308"/>
      <c r="BE1197" s="347"/>
      <c r="BF1197" s="274" t="str">
        <f>IFERROR(__xludf.DUMMYFUNCTION("LOWER(Regexreplace(to_text(E1197),""[^A-Za-z0-9]"","""")&amp;""_""&amp;Regexreplace(to_text(F1197),""[^A-Za-z0-9]"",""""))"),"neptronic_evcbseries")</f>
        <v>neptronic_evcbseries</v>
      </c>
      <c r="BG1197" s="275" t="str">
        <f>IFERROR(__xludf.DUMMYFUNCTION("upper(Regexreplace(to_text(E1197),""[^A-Za-z0-9]"","""")&amp;""-""&amp;Regexreplace(to_text(F1197),""[^A-Za-z0-9]"",""""))"),"NEPTRONIC-EVCBSERIES")</f>
        <v>NEPTRONIC-EVCBSERIES</v>
      </c>
    </row>
    <row r="1198" ht="30.0" customHeight="1">
      <c r="A1198" s="258">
        <v>1190.0</v>
      </c>
      <c r="B1198" s="237" t="s">
        <v>670</v>
      </c>
      <c r="C1198" s="257" t="s">
        <v>5107</v>
      </c>
      <c r="D1198" s="173" t="s">
        <v>5107</v>
      </c>
      <c r="E1198" s="174" t="s">
        <v>2861</v>
      </c>
      <c r="F1198" s="173" t="s">
        <v>2862</v>
      </c>
      <c r="G1198" s="328" t="s">
        <v>673</v>
      </c>
      <c r="H1198" s="328" t="s">
        <v>2863</v>
      </c>
      <c r="I1198" s="258" t="s">
        <v>2864</v>
      </c>
      <c r="J1198" s="259" t="s">
        <v>1088</v>
      </c>
      <c r="K1198" s="260" t="s">
        <v>5108</v>
      </c>
      <c r="L1198" s="328"/>
      <c r="M1198" s="343"/>
      <c r="N1198" s="173" t="s">
        <v>679</v>
      </c>
      <c r="O1198" s="173" t="s">
        <v>225</v>
      </c>
      <c r="P1198" s="262" t="str">
        <f t="shared" si="1"/>
        <v>IN-BLR-ANANTA-VAV-770_5</v>
      </c>
      <c r="Q1198" s="173" t="s">
        <v>5109</v>
      </c>
      <c r="R1198" s="328" t="str">
        <f>IFS(C1198="","",C1198="n/a","N/A",LEN(C1198),Concatenate("{",char(34),"asset",char(34),":{",char(34),"guid",char(34),":",char(34),Q1198,char(34),",",char(34),"site",char(34),":",char(34),LOWER('2-Building'!$B$4),char(34),",",char(34),"name",char(34),":",char(34),LOWER(C1198),char(34),"}}"))</f>
        <v>{"asset":{"guid":"uuid://4613d5d3-f179-4c6e-a764-5cd7675a10c5","site":"in-blr-ananta","name":"vav-770"}}</v>
      </c>
      <c r="S1198" s="237" t="s">
        <v>2866</v>
      </c>
      <c r="T1198" s="330"/>
      <c r="U1198" s="330"/>
      <c r="V1198" s="331"/>
      <c r="W1198" s="344"/>
      <c r="X1198" s="341"/>
      <c r="Y1198" s="33" t="s">
        <v>2867</v>
      </c>
      <c r="Z1198" s="258">
        <v>120770.0</v>
      </c>
      <c r="AA1198" s="334">
        <v>11581.0</v>
      </c>
      <c r="AB1198" s="341"/>
      <c r="AC1198" s="341"/>
      <c r="AD1198" s="343"/>
      <c r="AE1198" s="331"/>
      <c r="AF1198" s="348"/>
      <c r="AG1198" s="337"/>
      <c r="AH1198" s="341"/>
      <c r="AI1198" s="341"/>
      <c r="AJ1198" s="341"/>
      <c r="AK1198" s="341"/>
      <c r="AL1198" s="341"/>
      <c r="AM1198" s="338"/>
      <c r="AN1198" s="341"/>
      <c r="AO1198" s="341"/>
      <c r="AP1198" s="341"/>
      <c r="AQ1198" s="341"/>
      <c r="AR1198" s="341"/>
      <c r="AS1198" s="341"/>
      <c r="AT1198" s="341"/>
      <c r="AU1198" s="343"/>
      <c r="AV1198" s="341"/>
      <c r="AW1198" s="269" t="s">
        <v>2237</v>
      </c>
      <c r="AX1198" s="334" t="s">
        <v>2869</v>
      </c>
      <c r="AY1198" s="270" t="s">
        <v>695</v>
      </c>
      <c r="AZ1198" s="173" t="s">
        <v>2866</v>
      </c>
      <c r="BA1198" s="265">
        <v>10.0</v>
      </c>
      <c r="BB1198" s="174" t="s">
        <v>245</v>
      </c>
      <c r="BC1198" s="341"/>
      <c r="BD1198" s="308"/>
      <c r="BE1198" s="347"/>
      <c r="BF1198" s="274" t="str">
        <f>IFERROR(__xludf.DUMMYFUNCTION("LOWER(Regexreplace(to_text(E1198),""[^A-Za-z0-9]"","""")&amp;""_""&amp;Regexreplace(to_text(F1198),""[^A-Za-z0-9]"",""""))"),"neptronic_evcbseries")</f>
        <v>neptronic_evcbseries</v>
      </c>
      <c r="BG1198" s="275" t="str">
        <f>IFERROR(__xludf.DUMMYFUNCTION("upper(Regexreplace(to_text(E1198),""[^A-Za-z0-9]"","""")&amp;""-""&amp;Regexreplace(to_text(F1198),""[^A-Za-z0-9]"",""""))"),"NEPTRONIC-EVCBSERIES")</f>
        <v>NEPTRONIC-EVCBSERIES</v>
      </c>
    </row>
    <row r="1199" ht="30.0" customHeight="1">
      <c r="A1199" s="173">
        <v>1191.0</v>
      </c>
      <c r="B1199" s="237" t="s">
        <v>670</v>
      </c>
      <c r="C1199" s="257" t="s">
        <v>5110</v>
      </c>
      <c r="D1199" s="173" t="s">
        <v>5110</v>
      </c>
      <c r="E1199" s="174" t="s">
        <v>2861</v>
      </c>
      <c r="F1199" s="173" t="s">
        <v>2862</v>
      </c>
      <c r="G1199" s="328" t="s">
        <v>673</v>
      </c>
      <c r="H1199" s="328" t="s">
        <v>2863</v>
      </c>
      <c r="I1199" s="258" t="s">
        <v>2864</v>
      </c>
      <c r="J1199" s="259" t="s">
        <v>1088</v>
      </c>
      <c r="K1199" s="260" t="s">
        <v>5111</v>
      </c>
      <c r="L1199" s="328"/>
      <c r="M1199" s="343"/>
      <c r="N1199" s="173" t="s">
        <v>679</v>
      </c>
      <c r="O1199" s="173" t="s">
        <v>225</v>
      </c>
      <c r="P1199" s="262" t="str">
        <f t="shared" si="1"/>
        <v>IN-BLR-ANANTA-VAV-771_5</v>
      </c>
      <c r="Q1199" s="173" t="s">
        <v>5112</v>
      </c>
      <c r="R1199" s="328" t="str">
        <f>IFS(C1199="","",C1199="n/a","N/A",LEN(C1199),Concatenate("{",char(34),"asset",char(34),":{",char(34),"guid",char(34),":",char(34),Q1199,char(34),",",char(34),"site",char(34),":",char(34),LOWER('2-Building'!$B$4),char(34),",",char(34),"name",char(34),":",char(34),LOWER(C1199),char(34),"}}"))</f>
        <v>{"asset":{"guid":"uuid://78a19404-3363-4a22-b600-9fa061ac8d9b","site":"in-blr-ananta","name":"vav-771"}}</v>
      </c>
      <c r="S1199" s="237" t="s">
        <v>2866</v>
      </c>
      <c r="T1199" s="330"/>
      <c r="U1199" s="330"/>
      <c r="V1199" s="331"/>
      <c r="W1199" s="344"/>
      <c r="X1199" s="341"/>
      <c r="Y1199" s="33" t="s">
        <v>2867</v>
      </c>
      <c r="Z1199" s="258">
        <v>120771.0</v>
      </c>
      <c r="AA1199" s="334">
        <v>11581.0</v>
      </c>
      <c r="AB1199" s="341"/>
      <c r="AC1199" s="341"/>
      <c r="AD1199" s="343"/>
      <c r="AE1199" s="331"/>
      <c r="AF1199" s="348"/>
      <c r="AG1199" s="337"/>
      <c r="AH1199" s="341"/>
      <c r="AI1199" s="341"/>
      <c r="AJ1199" s="341"/>
      <c r="AK1199" s="341"/>
      <c r="AL1199" s="341"/>
      <c r="AM1199" s="338"/>
      <c r="AN1199" s="341"/>
      <c r="AO1199" s="341"/>
      <c r="AP1199" s="341"/>
      <c r="AQ1199" s="341"/>
      <c r="AR1199" s="341"/>
      <c r="AS1199" s="341"/>
      <c r="AT1199" s="341"/>
      <c r="AU1199" s="343"/>
      <c r="AV1199" s="341"/>
      <c r="AW1199" s="269" t="s">
        <v>2237</v>
      </c>
      <c r="AX1199" s="334" t="s">
        <v>2869</v>
      </c>
      <c r="AY1199" s="270" t="s">
        <v>695</v>
      </c>
      <c r="AZ1199" s="173" t="s">
        <v>2866</v>
      </c>
      <c r="BA1199" s="265">
        <v>10.0</v>
      </c>
      <c r="BB1199" s="174" t="s">
        <v>245</v>
      </c>
      <c r="BC1199" s="341"/>
      <c r="BD1199" s="308"/>
      <c r="BE1199" s="347"/>
      <c r="BF1199" s="274" t="str">
        <f>IFERROR(__xludf.DUMMYFUNCTION("LOWER(Regexreplace(to_text(E1199),""[^A-Za-z0-9]"","""")&amp;""_""&amp;Regexreplace(to_text(F1199),""[^A-Za-z0-9]"",""""))"),"neptronic_evcbseries")</f>
        <v>neptronic_evcbseries</v>
      </c>
      <c r="BG1199" s="275" t="str">
        <f>IFERROR(__xludf.DUMMYFUNCTION("upper(Regexreplace(to_text(E1199),""[^A-Za-z0-9]"","""")&amp;""-""&amp;Regexreplace(to_text(F1199),""[^A-Za-z0-9]"",""""))"),"NEPTRONIC-EVCBSERIES")</f>
        <v>NEPTRONIC-EVCBSERIES</v>
      </c>
    </row>
    <row r="1200" ht="30.0" customHeight="1">
      <c r="A1200" s="258">
        <v>1192.0</v>
      </c>
      <c r="B1200" s="237" t="s">
        <v>670</v>
      </c>
      <c r="C1200" s="257" t="s">
        <v>5113</v>
      </c>
      <c r="D1200" s="173" t="s">
        <v>5113</v>
      </c>
      <c r="E1200" s="174" t="s">
        <v>2861</v>
      </c>
      <c r="F1200" s="173" t="s">
        <v>2862</v>
      </c>
      <c r="G1200" s="328" t="s">
        <v>673</v>
      </c>
      <c r="H1200" s="328" t="s">
        <v>2863</v>
      </c>
      <c r="I1200" s="258" t="s">
        <v>2864</v>
      </c>
      <c r="J1200" s="259" t="s">
        <v>1088</v>
      </c>
      <c r="K1200" s="260" t="s">
        <v>5114</v>
      </c>
      <c r="L1200" s="328"/>
      <c r="M1200" s="343"/>
      <c r="N1200" s="173" t="s">
        <v>679</v>
      </c>
      <c r="O1200" s="173" t="s">
        <v>225</v>
      </c>
      <c r="P1200" s="262" t="str">
        <f t="shared" si="1"/>
        <v>IN-BLR-ANANTA-VAV-772_5</v>
      </c>
      <c r="Q1200" s="173" t="s">
        <v>5115</v>
      </c>
      <c r="R1200" s="328" t="str">
        <f>IFS(C1200="","",C1200="n/a","N/A",LEN(C1200),Concatenate("{",char(34),"asset",char(34),":{",char(34),"guid",char(34),":",char(34),Q1200,char(34),",",char(34),"site",char(34),":",char(34),LOWER('2-Building'!$B$4),char(34),",",char(34),"name",char(34),":",char(34),LOWER(C1200),char(34),"}}"))</f>
        <v>{"asset":{"guid":"uuid://016516ec-834e-4785-baab-c6177e5f5816","site":"in-blr-ananta","name":"vav-772"}}</v>
      </c>
      <c r="S1200" s="237" t="s">
        <v>2866</v>
      </c>
      <c r="T1200" s="330"/>
      <c r="U1200" s="330"/>
      <c r="V1200" s="331"/>
      <c r="W1200" s="344"/>
      <c r="X1200" s="341"/>
      <c r="Y1200" s="33" t="s">
        <v>2867</v>
      </c>
      <c r="Z1200" s="258">
        <v>120772.0</v>
      </c>
      <c r="AA1200" s="334">
        <v>11582.0</v>
      </c>
      <c r="AB1200" s="341"/>
      <c r="AC1200" s="341"/>
      <c r="AD1200" s="343"/>
      <c r="AE1200" s="331"/>
      <c r="AF1200" s="348"/>
      <c r="AG1200" s="337"/>
      <c r="AH1200" s="341"/>
      <c r="AI1200" s="341"/>
      <c r="AJ1200" s="341"/>
      <c r="AK1200" s="341"/>
      <c r="AL1200" s="341"/>
      <c r="AM1200" s="338"/>
      <c r="AN1200" s="341"/>
      <c r="AO1200" s="341"/>
      <c r="AP1200" s="341"/>
      <c r="AQ1200" s="341"/>
      <c r="AR1200" s="341"/>
      <c r="AS1200" s="341"/>
      <c r="AT1200" s="341"/>
      <c r="AU1200" s="343"/>
      <c r="AV1200" s="341"/>
      <c r="AW1200" s="269" t="s">
        <v>2237</v>
      </c>
      <c r="AX1200" s="334" t="s">
        <v>2869</v>
      </c>
      <c r="AY1200" s="270" t="s">
        <v>695</v>
      </c>
      <c r="AZ1200" s="173" t="s">
        <v>2866</v>
      </c>
      <c r="BA1200" s="265">
        <v>10.0</v>
      </c>
      <c r="BB1200" s="174" t="s">
        <v>245</v>
      </c>
      <c r="BC1200" s="341"/>
      <c r="BD1200" s="308"/>
      <c r="BE1200" s="347"/>
      <c r="BF1200" s="274" t="str">
        <f>IFERROR(__xludf.DUMMYFUNCTION("LOWER(Regexreplace(to_text(E1200),""[^A-Za-z0-9]"","""")&amp;""_""&amp;Regexreplace(to_text(F1200),""[^A-Za-z0-9]"",""""))"),"neptronic_evcbseries")</f>
        <v>neptronic_evcbseries</v>
      </c>
      <c r="BG1200" s="275" t="str">
        <f>IFERROR(__xludf.DUMMYFUNCTION("upper(Regexreplace(to_text(E1200),""[^A-Za-z0-9]"","""")&amp;""-""&amp;Regexreplace(to_text(F1200),""[^A-Za-z0-9]"",""""))"),"NEPTRONIC-EVCBSERIES")</f>
        <v>NEPTRONIC-EVCBSERIES</v>
      </c>
    </row>
    <row r="1201" ht="30.0" customHeight="1">
      <c r="A1201" s="173">
        <v>1193.0</v>
      </c>
      <c r="B1201" s="237" t="s">
        <v>670</v>
      </c>
      <c r="C1201" s="257" t="s">
        <v>5116</v>
      </c>
      <c r="D1201" s="173" t="s">
        <v>5116</v>
      </c>
      <c r="E1201" s="174" t="s">
        <v>2861</v>
      </c>
      <c r="F1201" s="173" t="s">
        <v>2862</v>
      </c>
      <c r="G1201" s="328" t="s">
        <v>673</v>
      </c>
      <c r="H1201" s="328" t="s">
        <v>2863</v>
      </c>
      <c r="I1201" s="258" t="s">
        <v>2864</v>
      </c>
      <c r="J1201" s="259" t="s">
        <v>1088</v>
      </c>
      <c r="K1201" s="260" t="s">
        <v>5117</v>
      </c>
      <c r="L1201" s="328"/>
      <c r="M1201" s="343"/>
      <c r="N1201" s="173" t="s">
        <v>679</v>
      </c>
      <c r="O1201" s="173" t="s">
        <v>225</v>
      </c>
      <c r="P1201" s="262" t="str">
        <f t="shared" si="1"/>
        <v>IN-BLR-ANANTA-VAV-773_5</v>
      </c>
      <c r="Q1201" s="173" t="s">
        <v>5118</v>
      </c>
      <c r="R1201" s="328" t="str">
        <f>IFS(C1201="","",C1201="n/a","N/A",LEN(C1201),Concatenate("{",char(34),"asset",char(34),":{",char(34),"guid",char(34),":",char(34),Q1201,char(34),",",char(34),"site",char(34),":",char(34),LOWER('2-Building'!$B$4),char(34),",",char(34),"name",char(34),":",char(34),LOWER(C1201),char(34),"}}"))</f>
        <v>{"asset":{"guid":"uuid://5ec7533d-016d-49c0-93e9-c4d896364096","site":"in-blr-ananta","name":"vav-773"}}</v>
      </c>
      <c r="S1201" s="237" t="s">
        <v>2866</v>
      </c>
      <c r="T1201" s="330"/>
      <c r="U1201" s="330"/>
      <c r="V1201" s="331"/>
      <c r="W1201" s="344"/>
      <c r="X1201" s="341"/>
      <c r="Y1201" s="33" t="s">
        <v>2867</v>
      </c>
      <c r="Z1201" s="258">
        <v>120773.0</v>
      </c>
      <c r="AA1201" s="334">
        <v>11582.0</v>
      </c>
      <c r="AB1201" s="341"/>
      <c r="AC1201" s="341"/>
      <c r="AD1201" s="343"/>
      <c r="AE1201" s="331"/>
      <c r="AF1201" s="348"/>
      <c r="AG1201" s="337"/>
      <c r="AH1201" s="341"/>
      <c r="AI1201" s="341"/>
      <c r="AJ1201" s="341"/>
      <c r="AK1201" s="341"/>
      <c r="AL1201" s="341"/>
      <c r="AM1201" s="338"/>
      <c r="AN1201" s="341"/>
      <c r="AO1201" s="341"/>
      <c r="AP1201" s="341"/>
      <c r="AQ1201" s="341"/>
      <c r="AR1201" s="341"/>
      <c r="AS1201" s="341"/>
      <c r="AT1201" s="341"/>
      <c r="AU1201" s="343"/>
      <c r="AV1201" s="341"/>
      <c r="AW1201" s="269" t="s">
        <v>2237</v>
      </c>
      <c r="AX1201" s="334" t="s">
        <v>2869</v>
      </c>
      <c r="AY1201" s="270" t="s">
        <v>695</v>
      </c>
      <c r="AZ1201" s="173" t="s">
        <v>2866</v>
      </c>
      <c r="BA1201" s="265">
        <v>10.0</v>
      </c>
      <c r="BB1201" s="174" t="s">
        <v>245</v>
      </c>
      <c r="BC1201" s="341"/>
      <c r="BD1201" s="308"/>
      <c r="BE1201" s="347"/>
      <c r="BF1201" s="274" t="str">
        <f>IFERROR(__xludf.DUMMYFUNCTION("LOWER(Regexreplace(to_text(E1201),""[^A-Za-z0-9]"","""")&amp;""_""&amp;Regexreplace(to_text(F1201),""[^A-Za-z0-9]"",""""))"),"neptronic_evcbseries")</f>
        <v>neptronic_evcbseries</v>
      </c>
      <c r="BG1201" s="275" t="str">
        <f>IFERROR(__xludf.DUMMYFUNCTION("upper(Regexreplace(to_text(E1201),""[^A-Za-z0-9]"","""")&amp;""-""&amp;Regexreplace(to_text(F1201),""[^A-Za-z0-9]"",""""))"),"NEPTRONIC-EVCBSERIES")</f>
        <v>NEPTRONIC-EVCBSERIES</v>
      </c>
    </row>
    <row r="1202" ht="30.0" customHeight="1">
      <c r="A1202" s="258">
        <v>1194.0</v>
      </c>
      <c r="B1202" s="237" t="s">
        <v>670</v>
      </c>
      <c r="C1202" s="257" t="s">
        <v>5119</v>
      </c>
      <c r="D1202" s="173" t="s">
        <v>5119</v>
      </c>
      <c r="E1202" s="174" t="s">
        <v>2861</v>
      </c>
      <c r="F1202" s="173" t="s">
        <v>2862</v>
      </c>
      <c r="G1202" s="328" t="s">
        <v>673</v>
      </c>
      <c r="H1202" s="328" t="s">
        <v>2863</v>
      </c>
      <c r="I1202" s="258" t="s">
        <v>2864</v>
      </c>
      <c r="J1202" s="259" t="s">
        <v>1088</v>
      </c>
      <c r="K1202" s="260" t="s">
        <v>5120</v>
      </c>
      <c r="L1202" s="328"/>
      <c r="M1202" s="343"/>
      <c r="N1202" s="173" t="s">
        <v>679</v>
      </c>
      <c r="O1202" s="173" t="s">
        <v>225</v>
      </c>
      <c r="P1202" s="262" t="str">
        <f t="shared" si="1"/>
        <v>IN-BLR-ANANTA-VAV-774_5</v>
      </c>
      <c r="Q1202" s="173" t="s">
        <v>5121</v>
      </c>
      <c r="R1202" s="328" t="str">
        <f>IFS(C1202="","",C1202="n/a","N/A",LEN(C1202),Concatenate("{",char(34),"asset",char(34),":{",char(34),"guid",char(34),":",char(34),Q1202,char(34),",",char(34),"site",char(34),":",char(34),LOWER('2-Building'!$B$4),char(34),",",char(34),"name",char(34),":",char(34),LOWER(C1202),char(34),"}}"))</f>
        <v>{"asset":{"guid":"uuid://c5230b8d-c899-4da1-9fd9-f0dcc60859f2","site":"in-blr-ananta","name":"vav-774"}}</v>
      </c>
      <c r="S1202" s="237" t="s">
        <v>2866</v>
      </c>
      <c r="T1202" s="330"/>
      <c r="U1202" s="330"/>
      <c r="V1202" s="331"/>
      <c r="W1202" s="344"/>
      <c r="X1202" s="341"/>
      <c r="Y1202" s="33" t="s">
        <v>2867</v>
      </c>
      <c r="Z1202" s="258">
        <v>120774.0</v>
      </c>
      <c r="AA1202" s="334">
        <v>11582.0</v>
      </c>
      <c r="AB1202" s="341"/>
      <c r="AC1202" s="341"/>
      <c r="AD1202" s="343"/>
      <c r="AE1202" s="331"/>
      <c r="AF1202" s="348"/>
      <c r="AG1202" s="337"/>
      <c r="AH1202" s="341"/>
      <c r="AI1202" s="341"/>
      <c r="AJ1202" s="341"/>
      <c r="AK1202" s="341"/>
      <c r="AL1202" s="341"/>
      <c r="AM1202" s="338"/>
      <c r="AN1202" s="341"/>
      <c r="AO1202" s="341"/>
      <c r="AP1202" s="341"/>
      <c r="AQ1202" s="341"/>
      <c r="AR1202" s="341"/>
      <c r="AS1202" s="341"/>
      <c r="AT1202" s="341"/>
      <c r="AU1202" s="343"/>
      <c r="AV1202" s="341"/>
      <c r="AW1202" s="269" t="s">
        <v>2237</v>
      </c>
      <c r="AX1202" s="334" t="s">
        <v>2869</v>
      </c>
      <c r="AY1202" s="270" t="s">
        <v>695</v>
      </c>
      <c r="AZ1202" s="173" t="s">
        <v>2866</v>
      </c>
      <c r="BA1202" s="265">
        <v>10.0</v>
      </c>
      <c r="BB1202" s="174" t="s">
        <v>245</v>
      </c>
      <c r="BC1202" s="341"/>
      <c r="BD1202" s="308"/>
      <c r="BE1202" s="347"/>
      <c r="BF1202" s="274" t="str">
        <f>IFERROR(__xludf.DUMMYFUNCTION("LOWER(Regexreplace(to_text(E1202),""[^A-Za-z0-9]"","""")&amp;""_""&amp;Regexreplace(to_text(F1202),""[^A-Za-z0-9]"",""""))"),"neptronic_evcbseries")</f>
        <v>neptronic_evcbseries</v>
      </c>
      <c r="BG1202" s="275" t="str">
        <f>IFERROR(__xludf.DUMMYFUNCTION("upper(Regexreplace(to_text(E1202),""[^A-Za-z0-9]"","""")&amp;""-""&amp;Regexreplace(to_text(F1202),""[^A-Za-z0-9]"",""""))"),"NEPTRONIC-EVCBSERIES")</f>
        <v>NEPTRONIC-EVCBSERIES</v>
      </c>
    </row>
    <row r="1203" ht="30.0" customHeight="1">
      <c r="A1203" s="173">
        <v>1195.0</v>
      </c>
      <c r="B1203" s="237" t="s">
        <v>670</v>
      </c>
      <c r="C1203" s="257" t="s">
        <v>5122</v>
      </c>
      <c r="D1203" s="173" t="s">
        <v>5122</v>
      </c>
      <c r="E1203" s="174" t="s">
        <v>2861</v>
      </c>
      <c r="F1203" s="173" t="s">
        <v>2862</v>
      </c>
      <c r="G1203" s="328" t="s">
        <v>673</v>
      </c>
      <c r="H1203" s="328" t="s">
        <v>2863</v>
      </c>
      <c r="I1203" s="258" t="s">
        <v>2864</v>
      </c>
      <c r="J1203" s="259" t="s">
        <v>1088</v>
      </c>
      <c r="K1203" s="260" t="s">
        <v>5123</v>
      </c>
      <c r="L1203" s="328"/>
      <c r="M1203" s="343"/>
      <c r="N1203" s="173" t="s">
        <v>679</v>
      </c>
      <c r="O1203" s="173" t="s">
        <v>225</v>
      </c>
      <c r="P1203" s="262" t="str">
        <f t="shared" si="1"/>
        <v>IN-BLR-ANANTA-VAV-775_5</v>
      </c>
      <c r="Q1203" s="173" t="s">
        <v>5124</v>
      </c>
      <c r="R1203" s="328" t="str">
        <f>IFS(C1203="","",C1203="n/a","N/A",LEN(C1203),Concatenate("{",char(34),"asset",char(34),":{",char(34),"guid",char(34),":",char(34),Q1203,char(34),",",char(34),"site",char(34),":",char(34),LOWER('2-Building'!$B$4),char(34),",",char(34),"name",char(34),":",char(34),LOWER(C1203),char(34),"}}"))</f>
        <v>{"asset":{"guid":"uuid://f972cde4-cc50-4756-adbc-027fe89f0d9d","site":"in-blr-ananta","name":"vav-775"}}</v>
      </c>
      <c r="S1203" s="237" t="s">
        <v>2866</v>
      </c>
      <c r="T1203" s="330"/>
      <c r="U1203" s="330"/>
      <c r="V1203" s="331"/>
      <c r="W1203" s="344"/>
      <c r="X1203" s="341"/>
      <c r="Y1203" s="33" t="s">
        <v>2867</v>
      </c>
      <c r="Z1203" s="258">
        <v>120775.0</v>
      </c>
      <c r="AA1203" s="334">
        <v>11582.0</v>
      </c>
      <c r="AB1203" s="341"/>
      <c r="AC1203" s="341"/>
      <c r="AD1203" s="343"/>
      <c r="AE1203" s="331"/>
      <c r="AF1203" s="348"/>
      <c r="AG1203" s="337"/>
      <c r="AH1203" s="341"/>
      <c r="AI1203" s="341"/>
      <c r="AJ1203" s="341"/>
      <c r="AK1203" s="341"/>
      <c r="AL1203" s="341"/>
      <c r="AM1203" s="338"/>
      <c r="AN1203" s="341"/>
      <c r="AO1203" s="341"/>
      <c r="AP1203" s="341"/>
      <c r="AQ1203" s="341"/>
      <c r="AR1203" s="341"/>
      <c r="AS1203" s="341"/>
      <c r="AT1203" s="341"/>
      <c r="AU1203" s="343"/>
      <c r="AV1203" s="341"/>
      <c r="AW1203" s="269" t="s">
        <v>2237</v>
      </c>
      <c r="AX1203" s="334" t="s">
        <v>2869</v>
      </c>
      <c r="AY1203" s="270" t="s">
        <v>695</v>
      </c>
      <c r="AZ1203" s="173" t="s">
        <v>2866</v>
      </c>
      <c r="BA1203" s="265">
        <v>10.0</v>
      </c>
      <c r="BB1203" s="174" t="s">
        <v>245</v>
      </c>
      <c r="BC1203" s="341"/>
      <c r="BD1203" s="308"/>
      <c r="BE1203" s="347"/>
      <c r="BF1203" s="274" t="str">
        <f>IFERROR(__xludf.DUMMYFUNCTION("LOWER(Regexreplace(to_text(E1203),""[^A-Za-z0-9]"","""")&amp;""_""&amp;Regexreplace(to_text(F1203),""[^A-Za-z0-9]"",""""))"),"neptronic_evcbseries")</f>
        <v>neptronic_evcbseries</v>
      </c>
      <c r="BG1203" s="275" t="str">
        <f>IFERROR(__xludf.DUMMYFUNCTION("upper(Regexreplace(to_text(E1203),""[^A-Za-z0-9]"","""")&amp;""-""&amp;Regexreplace(to_text(F1203),""[^A-Za-z0-9]"",""""))"),"NEPTRONIC-EVCBSERIES")</f>
        <v>NEPTRONIC-EVCBSERIES</v>
      </c>
    </row>
    <row r="1204" ht="30.0" customHeight="1">
      <c r="A1204" s="258">
        <v>1196.0</v>
      </c>
      <c r="B1204" s="237" t="s">
        <v>670</v>
      </c>
      <c r="C1204" s="257" t="s">
        <v>5125</v>
      </c>
      <c r="D1204" s="173" t="s">
        <v>5125</v>
      </c>
      <c r="E1204" s="174" t="s">
        <v>2861</v>
      </c>
      <c r="F1204" s="173" t="s">
        <v>2862</v>
      </c>
      <c r="G1204" s="328" t="s">
        <v>673</v>
      </c>
      <c r="H1204" s="328" t="s">
        <v>2863</v>
      </c>
      <c r="I1204" s="258" t="s">
        <v>2864</v>
      </c>
      <c r="J1204" s="259" t="s">
        <v>1088</v>
      </c>
      <c r="K1204" s="260" t="s">
        <v>5126</v>
      </c>
      <c r="L1204" s="328"/>
      <c r="M1204" s="343"/>
      <c r="N1204" s="173" t="s">
        <v>679</v>
      </c>
      <c r="O1204" s="173" t="s">
        <v>225</v>
      </c>
      <c r="P1204" s="262" t="str">
        <f t="shared" si="1"/>
        <v>IN-BLR-ANANTA-VAV-776_5</v>
      </c>
      <c r="Q1204" s="173" t="s">
        <v>5127</v>
      </c>
      <c r="R1204" s="328" t="str">
        <f>IFS(C1204="","",C1204="n/a","N/A",LEN(C1204),Concatenate("{",char(34),"asset",char(34),":{",char(34),"guid",char(34),":",char(34),Q1204,char(34),",",char(34),"site",char(34),":",char(34),LOWER('2-Building'!$B$4),char(34),",",char(34),"name",char(34),":",char(34),LOWER(C1204),char(34),"}}"))</f>
        <v>{"asset":{"guid":"uuid://04ecbf86-7da3-435f-9e54-0b2b6c4da913","site":"in-blr-ananta","name":"vav-776"}}</v>
      </c>
      <c r="S1204" s="237" t="s">
        <v>2866</v>
      </c>
      <c r="T1204" s="330"/>
      <c r="U1204" s="330"/>
      <c r="V1204" s="331"/>
      <c r="W1204" s="344"/>
      <c r="X1204" s="341"/>
      <c r="Y1204" s="33" t="s">
        <v>2867</v>
      </c>
      <c r="Z1204" s="258">
        <v>120776.0</v>
      </c>
      <c r="AA1204" s="334">
        <v>11582.0</v>
      </c>
      <c r="AB1204" s="341"/>
      <c r="AC1204" s="341"/>
      <c r="AD1204" s="343"/>
      <c r="AE1204" s="331"/>
      <c r="AF1204" s="348"/>
      <c r="AG1204" s="337"/>
      <c r="AH1204" s="341"/>
      <c r="AI1204" s="341"/>
      <c r="AJ1204" s="341"/>
      <c r="AK1204" s="341"/>
      <c r="AL1204" s="341"/>
      <c r="AM1204" s="338"/>
      <c r="AN1204" s="341"/>
      <c r="AO1204" s="341"/>
      <c r="AP1204" s="341"/>
      <c r="AQ1204" s="341"/>
      <c r="AR1204" s="341"/>
      <c r="AS1204" s="341"/>
      <c r="AT1204" s="341"/>
      <c r="AU1204" s="343"/>
      <c r="AV1204" s="341"/>
      <c r="AW1204" s="269" t="s">
        <v>2237</v>
      </c>
      <c r="AX1204" s="334" t="s">
        <v>2869</v>
      </c>
      <c r="AY1204" s="270" t="s">
        <v>695</v>
      </c>
      <c r="AZ1204" s="173" t="s">
        <v>2866</v>
      </c>
      <c r="BA1204" s="265">
        <v>10.0</v>
      </c>
      <c r="BB1204" s="174" t="s">
        <v>245</v>
      </c>
      <c r="BC1204" s="341"/>
      <c r="BD1204" s="308"/>
      <c r="BE1204" s="347"/>
      <c r="BF1204" s="274" t="str">
        <f>IFERROR(__xludf.DUMMYFUNCTION("LOWER(Regexreplace(to_text(E1204),""[^A-Za-z0-9]"","""")&amp;""_""&amp;Regexreplace(to_text(F1204),""[^A-Za-z0-9]"",""""))"),"neptronic_evcbseries")</f>
        <v>neptronic_evcbseries</v>
      </c>
      <c r="BG1204" s="275" t="str">
        <f>IFERROR(__xludf.DUMMYFUNCTION("upper(Regexreplace(to_text(E1204),""[^A-Za-z0-9]"","""")&amp;""-""&amp;Regexreplace(to_text(F1204),""[^A-Za-z0-9]"",""""))"),"NEPTRONIC-EVCBSERIES")</f>
        <v>NEPTRONIC-EVCBSERIES</v>
      </c>
    </row>
    <row r="1205" ht="30.0" customHeight="1">
      <c r="A1205" s="173">
        <v>1197.0</v>
      </c>
      <c r="B1205" s="237" t="s">
        <v>670</v>
      </c>
      <c r="C1205" s="257" t="s">
        <v>5128</v>
      </c>
      <c r="D1205" s="173" t="s">
        <v>5128</v>
      </c>
      <c r="E1205" s="174" t="s">
        <v>2861</v>
      </c>
      <c r="F1205" s="173" t="s">
        <v>2862</v>
      </c>
      <c r="G1205" s="328" t="s">
        <v>673</v>
      </c>
      <c r="H1205" s="328" t="s">
        <v>2863</v>
      </c>
      <c r="I1205" s="258" t="s">
        <v>2864</v>
      </c>
      <c r="J1205" s="259" t="s">
        <v>1088</v>
      </c>
      <c r="K1205" s="260" t="s">
        <v>5129</v>
      </c>
      <c r="L1205" s="328"/>
      <c r="M1205" s="343"/>
      <c r="N1205" s="173" t="s">
        <v>679</v>
      </c>
      <c r="O1205" s="173" t="s">
        <v>225</v>
      </c>
      <c r="P1205" s="262" t="str">
        <f t="shared" si="1"/>
        <v>IN-BLR-ANANTA-VAV-777_5</v>
      </c>
      <c r="Q1205" s="173" t="s">
        <v>5130</v>
      </c>
      <c r="R1205" s="328" t="str">
        <f>IFS(C1205="","",C1205="n/a","N/A",LEN(C1205),Concatenate("{",char(34),"asset",char(34),":{",char(34),"guid",char(34),":",char(34),Q1205,char(34),",",char(34),"site",char(34),":",char(34),LOWER('2-Building'!$B$4),char(34),",",char(34),"name",char(34),":",char(34),LOWER(C1205),char(34),"}}"))</f>
        <v>{"asset":{"guid":"uuid://53ff7b3a-3bef-4bf9-8119-deb1f66e926a","site":"in-blr-ananta","name":"vav-777"}}</v>
      </c>
      <c r="S1205" s="237" t="s">
        <v>2866</v>
      </c>
      <c r="T1205" s="330"/>
      <c r="U1205" s="330"/>
      <c r="V1205" s="331"/>
      <c r="W1205" s="344"/>
      <c r="X1205" s="341"/>
      <c r="Y1205" s="33" t="s">
        <v>2867</v>
      </c>
      <c r="Z1205" s="258">
        <v>120777.0</v>
      </c>
      <c r="AA1205" s="334">
        <v>11582.0</v>
      </c>
      <c r="AB1205" s="341"/>
      <c r="AC1205" s="341"/>
      <c r="AD1205" s="343"/>
      <c r="AE1205" s="331"/>
      <c r="AF1205" s="348"/>
      <c r="AG1205" s="337"/>
      <c r="AH1205" s="341"/>
      <c r="AI1205" s="341"/>
      <c r="AJ1205" s="341"/>
      <c r="AK1205" s="341"/>
      <c r="AL1205" s="341"/>
      <c r="AM1205" s="338"/>
      <c r="AN1205" s="341"/>
      <c r="AO1205" s="341"/>
      <c r="AP1205" s="341"/>
      <c r="AQ1205" s="341"/>
      <c r="AR1205" s="341"/>
      <c r="AS1205" s="341"/>
      <c r="AT1205" s="341"/>
      <c r="AU1205" s="343"/>
      <c r="AV1205" s="341"/>
      <c r="AW1205" s="269" t="s">
        <v>2237</v>
      </c>
      <c r="AX1205" s="334" t="s">
        <v>2869</v>
      </c>
      <c r="AY1205" s="270" t="s">
        <v>695</v>
      </c>
      <c r="AZ1205" s="173" t="s">
        <v>2866</v>
      </c>
      <c r="BA1205" s="265">
        <v>10.0</v>
      </c>
      <c r="BB1205" s="174" t="s">
        <v>245</v>
      </c>
      <c r="BC1205" s="341"/>
      <c r="BD1205" s="308"/>
      <c r="BE1205" s="347"/>
      <c r="BF1205" s="274" t="str">
        <f>IFERROR(__xludf.DUMMYFUNCTION("LOWER(Regexreplace(to_text(E1205),""[^A-Za-z0-9]"","""")&amp;""_""&amp;Regexreplace(to_text(F1205),""[^A-Za-z0-9]"",""""))"),"neptronic_evcbseries")</f>
        <v>neptronic_evcbseries</v>
      </c>
      <c r="BG1205" s="275" t="str">
        <f>IFERROR(__xludf.DUMMYFUNCTION("upper(Regexreplace(to_text(E1205),""[^A-Za-z0-9]"","""")&amp;""-""&amp;Regexreplace(to_text(F1205),""[^A-Za-z0-9]"",""""))"),"NEPTRONIC-EVCBSERIES")</f>
        <v>NEPTRONIC-EVCBSERIES</v>
      </c>
    </row>
    <row r="1206" ht="30.0" customHeight="1">
      <c r="A1206" s="258">
        <v>1198.0</v>
      </c>
      <c r="B1206" s="237" t="s">
        <v>670</v>
      </c>
      <c r="C1206" s="257" t="s">
        <v>5131</v>
      </c>
      <c r="D1206" s="173" t="s">
        <v>5131</v>
      </c>
      <c r="E1206" s="174" t="s">
        <v>2861</v>
      </c>
      <c r="F1206" s="173" t="s">
        <v>2862</v>
      </c>
      <c r="G1206" s="328" t="s">
        <v>673</v>
      </c>
      <c r="H1206" s="328" t="s">
        <v>2863</v>
      </c>
      <c r="I1206" s="258" t="s">
        <v>2864</v>
      </c>
      <c r="J1206" s="259" t="s">
        <v>1088</v>
      </c>
      <c r="K1206" s="260" t="s">
        <v>5132</v>
      </c>
      <c r="L1206" s="328"/>
      <c r="M1206" s="343"/>
      <c r="N1206" s="173" t="s">
        <v>679</v>
      </c>
      <c r="O1206" s="173" t="s">
        <v>225</v>
      </c>
      <c r="P1206" s="262" t="str">
        <f t="shared" si="1"/>
        <v>IN-BLR-ANANTA-VAV-778_5</v>
      </c>
      <c r="Q1206" s="173" t="s">
        <v>5133</v>
      </c>
      <c r="R1206" s="328" t="str">
        <f>IFS(C1206="","",C1206="n/a","N/A",LEN(C1206),Concatenate("{",char(34),"asset",char(34),":{",char(34),"guid",char(34),":",char(34),Q1206,char(34),",",char(34),"site",char(34),":",char(34),LOWER('2-Building'!$B$4),char(34),",",char(34),"name",char(34),":",char(34),LOWER(C1206),char(34),"}}"))</f>
        <v>{"asset":{"guid":"uuid://a2ca465e-428c-409e-ad21-c17cf0a7ca92","site":"in-blr-ananta","name":"vav-778"}}</v>
      </c>
      <c r="S1206" s="237" t="s">
        <v>2866</v>
      </c>
      <c r="T1206" s="330"/>
      <c r="U1206" s="330"/>
      <c r="V1206" s="331"/>
      <c r="W1206" s="344"/>
      <c r="X1206" s="341"/>
      <c r="Y1206" s="33" t="s">
        <v>2867</v>
      </c>
      <c r="Z1206" s="258">
        <v>120778.0</v>
      </c>
      <c r="AA1206" s="334">
        <v>11582.0</v>
      </c>
      <c r="AB1206" s="341"/>
      <c r="AC1206" s="341"/>
      <c r="AD1206" s="343"/>
      <c r="AE1206" s="331"/>
      <c r="AF1206" s="348"/>
      <c r="AG1206" s="337"/>
      <c r="AH1206" s="341"/>
      <c r="AI1206" s="341"/>
      <c r="AJ1206" s="341"/>
      <c r="AK1206" s="341"/>
      <c r="AL1206" s="341"/>
      <c r="AM1206" s="338"/>
      <c r="AN1206" s="341"/>
      <c r="AO1206" s="341"/>
      <c r="AP1206" s="341"/>
      <c r="AQ1206" s="341"/>
      <c r="AR1206" s="341"/>
      <c r="AS1206" s="341"/>
      <c r="AT1206" s="341"/>
      <c r="AU1206" s="343"/>
      <c r="AV1206" s="341"/>
      <c r="AW1206" s="269" t="s">
        <v>2237</v>
      </c>
      <c r="AX1206" s="334" t="s">
        <v>2869</v>
      </c>
      <c r="AY1206" s="270" t="s">
        <v>695</v>
      </c>
      <c r="AZ1206" s="173" t="s">
        <v>2866</v>
      </c>
      <c r="BA1206" s="265">
        <v>10.0</v>
      </c>
      <c r="BB1206" s="174" t="s">
        <v>245</v>
      </c>
      <c r="BC1206" s="341"/>
      <c r="BD1206" s="308"/>
      <c r="BE1206" s="347"/>
      <c r="BF1206" s="274" t="str">
        <f>IFERROR(__xludf.DUMMYFUNCTION("LOWER(Regexreplace(to_text(E1206),""[^A-Za-z0-9]"","""")&amp;""_""&amp;Regexreplace(to_text(F1206),""[^A-Za-z0-9]"",""""))"),"neptronic_evcbseries")</f>
        <v>neptronic_evcbseries</v>
      </c>
      <c r="BG1206" s="275" t="str">
        <f>IFERROR(__xludf.DUMMYFUNCTION("upper(Regexreplace(to_text(E1206),""[^A-Za-z0-9]"","""")&amp;""-""&amp;Regexreplace(to_text(F1206),""[^A-Za-z0-9]"",""""))"),"NEPTRONIC-EVCBSERIES")</f>
        <v>NEPTRONIC-EVCBSERIES</v>
      </c>
    </row>
    <row r="1207" ht="30.0" customHeight="1">
      <c r="A1207" s="173">
        <v>1199.0</v>
      </c>
      <c r="B1207" s="237" t="s">
        <v>670</v>
      </c>
      <c r="C1207" s="257" t="s">
        <v>5134</v>
      </c>
      <c r="D1207" s="173" t="s">
        <v>5134</v>
      </c>
      <c r="E1207" s="174" t="s">
        <v>2861</v>
      </c>
      <c r="F1207" s="173" t="s">
        <v>2862</v>
      </c>
      <c r="G1207" s="328" t="s">
        <v>673</v>
      </c>
      <c r="H1207" s="328" t="s">
        <v>2863</v>
      </c>
      <c r="I1207" s="258" t="s">
        <v>2864</v>
      </c>
      <c r="J1207" s="259" t="s">
        <v>1088</v>
      </c>
      <c r="K1207" s="260" t="s">
        <v>5135</v>
      </c>
      <c r="L1207" s="328"/>
      <c r="M1207" s="343"/>
      <c r="N1207" s="173" t="s">
        <v>679</v>
      </c>
      <c r="O1207" s="173" t="s">
        <v>225</v>
      </c>
      <c r="P1207" s="262" t="str">
        <f t="shared" si="1"/>
        <v>IN-BLR-ANANTA-VAV-779_5</v>
      </c>
      <c r="Q1207" s="173" t="s">
        <v>5136</v>
      </c>
      <c r="R1207" s="328" t="str">
        <f>IFS(C1207="","",C1207="n/a","N/A",LEN(C1207),Concatenate("{",char(34),"asset",char(34),":{",char(34),"guid",char(34),":",char(34),Q1207,char(34),",",char(34),"site",char(34),":",char(34),LOWER('2-Building'!$B$4),char(34),",",char(34),"name",char(34),":",char(34),LOWER(C1207),char(34),"}}"))</f>
        <v>{"asset":{"guid":"uuid://2f0b43e1-9dbf-423d-9482-943b02886611","site":"in-blr-ananta","name":"vav-779"}}</v>
      </c>
      <c r="S1207" s="237" t="s">
        <v>2866</v>
      </c>
      <c r="T1207" s="330"/>
      <c r="U1207" s="330"/>
      <c r="V1207" s="331"/>
      <c r="W1207" s="344"/>
      <c r="X1207" s="341"/>
      <c r="Y1207" s="33" t="s">
        <v>2867</v>
      </c>
      <c r="Z1207" s="258">
        <v>120779.0</v>
      </c>
      <c r="AA1207" s="334">
        <v>11582.0</v>
      </c>
      <c r="AB1207" s="341"/>
      <c r="AC1207" s="341"/>
      <c r="AD1207" s="343"/>
      <c r="AE1207" s="331"/>
      <c r="AF1207" s="348"/>
      <c r="AG1207" s="337"/>
      <c r="AH1207" s="341"/>
      <c r="AI1207" s="341"/>
      <c r="AJ1207" s="341"/>
      <c r="AK1207" s="341"/>
      <c r="AL1207" s="341"/>
      <c r="AM1207" s="338"/>
      <c r="AN1207" s="341"/>
      <c r="AO1207" s="341"/>
      <c r="AP1207" s="341"/>
      <c r="AQ1207" s="341"/>
      <c r="AR1207" s="341"/>
      <c r="AS1207" s="341"/>
      <c r="AT1207" s="341"/>
      <c r="AU1207" s="343"/>
      <c r="AV1207" s="341"/>
      <c r="AW1207" s="269" t="s">
        <v>2237</v>
      </c>
      <c r="AX1207" s="334" t="s">
        <v>2869</v>
      </c>
      <c r="AY1207" s="270" t="s">
        <v>695</v>
      </c>
      <c r="AZ1207" s="173" t="s">
        <v>2866</v>
      </c>
      <c r="BA1207" s="265">
        <v>10.0</v>
      </c>
      <c r="BB1207" s="174" t="s">
        <v>245</v>
      </c>
      <c r="BC1207" s="341"/>
      <c r="BD1207" s="308"/>
      <c r="BE1207" s="347"/>
      <c r="BF1207" s="274" t="str">
        <f>IFERROR(__xludf.DUMMYFUNCTION("LOWER(Regexreplace(to_text(E1207),""[^A-Za-z0-9]"","""")&amp;""_""&amp;Regexreplace(to_text(F1207),""[^A-Za-z0-9]"",""""))"),"neptronic_evcbseries")</f>
        <v>neptronic_evcbseries</v>
      </c>
      <c r="BG1207" s="275" t="str">
        <f>IFERROR(__xludf.DUMMYFUNCTION("upper(Regexreplace(to_text(E1207),""[^A-Za-z0-9]"","""")&amp;""-""&amp;Regexreplace(to_text(F1207),""[^A-Za-z0-9]"",""""))"),"NEPTRONIC-EVCBSERIES")</f>
        <v>NEPTRONIC-EVCBSERIES</v>
      </c>
    </row>
    <row r="1208" ht="30.0" customHeight="1">
      <c r="A1208" s="258">
        <v>1200.0</v>
      </c>
      <c r="B1208" s="237" t="s">
        <v>670</v>
      </c>
      <c r="C1208" s="257" t="s">
        <v>5137</v>
      </c>
      <c r="D1208" s="173" t="s">
        <v>5137</v>
      </c>
      <c r="E1208" s="174" t="s">
        <v>2861</v>
      </c>
      <c r="F1208" s="173" t="s">
        <v>2862</v>
      </c>
      <c r="G1208" s="328" t="s">
        <v>673</v>
      </c>
      <c r="H1208" s="328" t="s">
        <v>2863</v>
      </c>
      <c r="I1208" s="258" t="s">
        <v>2864</v>
      </c>
      <c r="J1208" s="259" t="s">
        <v>1088</v>
      </c>
      <c r="K1208" s="260" t="s">
        <v>5138</v>
      </c>
      <c r="L1208" s="328"/>
      <c r="M1208" s="343"/>
      <c r="N1208" s="173" t="s">
        <v>679</v>
      </c>
      <c r="O1208" s="173" t="s">
        <v>225</v>
      </c>
      <c r="P1208" s="262" t="str">
        <f t="shared" si="1"/>
        <v>IN-BLR-ANANTA-VAV-780_5</v>
      </c>
      <c r="Q1208" s="173" t="s">
        <v>5139</v>
      </c>
      <c r="R1208" s="328" t="str">
        <f>IFS(C1208="","",C1208="n/a","N/A",LEN(C1208),Concatenate("{",char(34),"asset",char(34),":{",char(34),"guid",char(34),":",char(34),Q1208,char(34),",",char(34),"site",char(34),":",char(34),LOWER('2-Building'!$B$4),char(34),",",char(34),"name",char(34),":",char(34),LOWER(C1208),char(34),"}}"))</f>
        <v>{"asset":{"guid":"uuid://3184b5fd-caf7-46aa-b151-0e0cbcbbc13c","site":"in-blr-ananta","name":"vav-780"}}</v>
      </c>
      <c r="S1208" s="237" t="s">
        <v>2866</v>
      </c>
      <c r="T1208" s="330"/>
      <c r="U1208" s="330"/>
      <c r="V1208" s="331"/>
      <c r="W1208" s="344"/>
      <c r="X1208" s="341"/>
      <c r="Y1208" s="33" t="s">
        <v>2867</v>
      </c>
      <c r="Z1208" s="258">
        <v>120780.0</v>
      </c>
      <c r="AA1208" s="334">
        <v>11582.0</v>
      </c>
      <c r="AB1208" s="341"/>
      <c r="AC1208" s="341"/>
      <c r="AD1208" s="343"/>
      <c r="AE1208" s="331"/>
      <c r="AF1208" s="348"/>
      <c r="AG1208" s="337"/>
      <c r="AH1208" s="341"/>
      <c r="AI1208" s="341"/>
      <c r="AJ1208" s="341"/>
      <c r="AK1208" s="341"/>
      <c r="AL1208" s="341"/>
      <c r="AM1208" s="338"/>
      <c r="AN1208" s="341"/>
      <c r="AO1208" s="341"/>
      <c r="AP1208" s="341"/>
      <c r="AQ1208" s="341"/>
      <c r="AR1208" s="341"/>
      <c r="AS1208" s="341"/>
      <c r="AT1208" s="341"/>
      <c r="AU1208" s="343"/>
      <c r="AV1208" s="341"/>
      <c r="AW1208" s="269" t="s">
        <v>2237</v>
      </c>
      <c r="AX1208" s="334" t="s">
        <v>2869</v>
      </c>
      <c r="AY1208" s="270" t="s">
        <v>695</v>
      </c>
      <c r="AZ1208" s="173" t="s">
        <v>2866</v>
      </c>
      <c r="BA1208" s="265">
        <v>10.0</v>
      </c>
      <c r="BB1208" s="174" t="s">
        <v>245</v>
      </c>
      <c r="BC1208" s="341"/>
      <c r="BD1208" s="308"/>
      <c r="BE1208" s="347"/>
      <c r="BF1208" s="274" t="str">
        <f>IFERROR(__xludf.DUMMYFUNCTION("LOWER(Regexreplace(to_text(E1208),""[^A-Za-z0-9]"","""")&amp;""_""&amp;Regexreplace(to_text(F1208),""[^A-Za-z0-9]"",""""))"),"neptronic_evcbseries")</f>
        <v>neptronic_evcbseries</v>
      </c>
      <c r="BG1208" s="275" t="str">
        <f>IFERROR(__xludf.DUMMYFUNCTION("upper(Regexreplace(to_text(E1208),""[^A-Za-z0-9]"","""")&amp;""-""&amp;Regexreplace(to_text(F1208),""[^A-Za-z0-9]"",""""))"),"NEPTRONIC-EVCBSERIES")</f>
        <v>NEPTRONIC-EVCBSERIES</v>
      </c>
    </row>
    <row r="1209" ht="30.0" customHeight="1">
      <c r="A1209" s="173">
        <v>1201.0</v>
      </c>
      <c r="B1209" s="237" t="s">
        <v>670</v>
      </c>
      <c r="C1209" s="257" t="s">
        <v>5140</v>
      </c>
      <c r="D1209" s="173" t="s">
        <v>5140</v>
      </c>
      <c r="E1209" s="174" t="s">
        <v>2861</v>
      </c>
      <c r="F1209" s="173" t="s">
        <v>2862</v>
      </c>
      <c r="G1209" s="328" t="s">
        <v>673</v>
      </c>
      <c r="H1209" s="328" t="s">
        <v>2863</v>
      </c>
      <c r="I1209" s="258" t="s">
        <v>2864</v>
      </c>
      <c r="J1209" s="259" t="s">
        <v>1088</v>
      </c>
      <c r="K1209" s="260" t="s">
        <v>5141</v>
      </c>
      <c r="L1209" s="328"/>
      <c r="M1209" s="343"/>
      <c r="N1209" s="173" t="s">
        <v>679</v>
      </c>
      <c r="O1209" s="173" t="s">
        <v>225</v>
      </c>
      <c r="P1209" s="262" t="str">
        <f t="shared" si="1"/>
        <v>IN-BLR-ANANTA-VAV-781_5</v>
      </c>
      <c r="Q1209" s="173" t="s">
        <v>5142</v>
      </c>
      <c r="R1209" s="328" t="str">
        <f>IFS(C1209="","",C1209="n/a","N/A",LEN(C1209),Concatenate("{",char(34),"asset",char(34),":{",char(34),"guid",char(34),":",char(34),Q1209,char(34),",",char(34),"site",char(34),":",char(34),LOWER('2-Building'!$B$4),char(34),",",char(34),"name",char(34),":",char(34),LOWER(C1209),char(34),"}}"))</f>
        <v>{"asset":{"guid":"uuid://852a92f2-7acd-432f-91fb-6b9abc213222","site":"in-blr-ananta","name":"vav-781"}}</v>
      </c>
      <c r="S1209" s="237" t="s">
        <v>2866</v>
      </c>
      <c r="T1209" s="330"/>
      <c r="U1209" s="330"/>
      <c r="V1209" s="331"/>
      <c r="W1209" s="344"/>
      <c r="X1209" s="341"/>
      <c r="Y1209" s="33" t="s">
        <v>2867</v>
      </c>
      <c r="Z1209" s="258">
        <v>120781.0</v>
      </c>
      <c r="AA1209" s="334">
        <v>11582.0</v>
      </c>
      <c r="AB1209" s="341"/>
      <c r="AC1209" s="341"/>
      <c r="AD1209" s="343"/>
      <c r="AE1209" s="331"/>
      <c r="AF1209" s="348"/>
      <c r="AG1209" s="337"/>
      <c r="AH1209" s="341"/>
      <c r="AI1209" s="341"/>
      <c r="AJ1209" s="341"/>
      <c r="AK1209" s="341"/>
      <c r="AL1209" s="341"/>
      <c r="AM1209" s="338"/>
      <c r="AN1209" s="341"/>
      <c r="AO1209" s="341"/>
      <c r="AP1209" s="341"/>
      <c r="AQ1209" s="341"/>
      <c r="AR1209" s="341"/>
      <c r="AS1209" s="341"/>
      <c r="AT1209" s="341"/>
      <c r="AU1209" s="343"/>
      <c r="AV1209" s="341"/>
      <c r="AW1209" s="269" t="s">
        <v>2237</v>
      </c>
      <c r="AX1209" s="334" t="s">
        <v>2869</v>
      </c>
      <c r="AY1209" s="270" t="s">
        <v>695</v>
      </c>
      <c r="AZ1209" s="173" t="s">
        <v>2866</v>
      </c>
      <c r="BA1209" s="265">
        <v>10.0</v>
      </c>
      <c r="BB1209" s="174" t="s">
        <v>245</v>
      </c>
      <c r="BC1209" s="341"/>
      <c r="BD1209" s="308"/>
      <c r="BE1209" s="347"/>
      <c r="BF1209" s="274" t="str">
        <f>IFERROR(__xludf.DUMMYFUNCTION("LOWER(Regexreplace(to_text(E1209),""[^A-Za-z0-9]"","""")&amp;""_""&amp;Regexreplace(to_text(F1209),""[^A-Za-z0-9]"",""""))"),"neptronic_evcbseries")</f>
        <v>neptronic_evcbseries</v>
      </c>
      <c r="BG1209" s="275" t="str">
        <f>IFERROR(__xludf.DUMMYFUNCTION("upper(Regexreplace(to_text(E1209),""[^A-Za-z0-9]"","""")&amp;""-""&amp;Regexreplace(to_text(F1209),""[^A-Za-z0-9]"",""""))"),"NEPTRONIC-EVCBSERIES")</f>
        <v>NEPTRONIC-EVCBSERIES</v>
      </c>
    </row>
    <row r="1210" ht="30.0" customHeight="1">
      <c r="A1210" s="258">
        <v>1202.0</v>
      </c>
      <c r="B1210" s="237" t="s">
        <v>670</v>
      </c>
      <c r="C1210" s="257" t="s">
        <v>5143</v>
      </c>
      <c r="D1210" s="173" t="s">
        <v>5143</v>
      </c>
      <c r="E1210" s="174" t="s">
        <v>2861</v>
      </c>
      <c r="F1210" s="173" t="s">
        <v>2862</v>
      </c>
      <c r="G1210" s="328" t="s">
        <v>673</v>
      </c>
      <c r="H1210" s="328" t="s">
        <v>2863</v>
      </c>
      <c r="I1210" s="258" t="s">
        <v>2864</v>
      </c>
      <c r="J1210" s="259" t="s">
        <v>1088</v>
      </c>
      <c r="K1210" s="260" t="s">
        <v>5144</v>
      </c>
      <c r="L1210" s="328"/>
      <c r="M1210" s="343"/>
      <c r="N1210" s="173" t="s">
        <v>679</v>
      </c>
      <c r="O1210" s="173" t="s">
        <v>225</v>
      </c>
      <c r="P1210" s="262" t="str">
        <f t="shared" si="1"/>
        <v>IN-BLR-ANANTA-VAV-782_5</v>
      </c>
      <c r="Q1210" s="173" t="s">
        <v>5145</v>
      </c>
      <c r="R1210" s="328" t="str">
        <f>IFS(C1210="","",C1210="n/a","N/A",LEN(C1210),Concatenate("{",char(34),"asset",char(34),":{",char(34),"guid",char(34),":",char(34),Q1210,char(34),",",char(34),"site",char(34),":",char(34),LOWER('2-Building'!$B$4),char(34),",",char(34),"name",char(34),":",char(34),LOWER(C1210),char(34),"}}"))</f>
        <v>{"asset":{"guid":"uuid://80a8e57b-2dd9-4660-8eb4-1a8cb0c79281","site":"in-blr-ananta","name":"vav-782"}}</v>
      </c>
      <c r="S1210" s="237" t="s">
        <v>2866</v>
      </c>
      <c r="T1210" s="330"/>
      <c r="U1210" s="330"/>
      <c r="V1210" s="331"/>
      <c r="W1210" s="344"/>
      <c r="X1210" s="341"/>
      <c r="Y1210" s="33" t="s">
        <v>2867</v>
      </c>
      <c r="Z1210" s="258">
        <v>120782.0</v>
      </c>
      <c r="AA1210" s="334">
        <v>11582.0</v>
      </c>
      <c r="AB1210" s="341"/>
      <c r="AC1210" s="341"/>
      <c r="AD1210" s="343"/>
      <c r="AE1210" s="331"/>
      <c r="AF1210" s="348"/>
      <c r="AG1210" s="337"/>
      <c r="AH1210" s="341"/>
      <c r="AI1210" s="341"/>
      <c r="AJ1210" s="341"/>
      <c r="AK1210" s="341"/>
      <c r="AL1210" s="341"/>
      <c r="AM1210" s="338"/>
      <c r="AN1210" s="341"/>
      <c r="AO1210" s="341"/>
      <c r="AP1210" s="341"/>
      <c r="AQ1210" s="341"/>
      <c r="AR1210" s="341"/>
      <c r="AS1210" s="341"/>
      <c r="AT1210" s="341"/>
      <c r="AU1210" s="343"/>
      <c r="AV1210" s="341"/>
      <c r="AW1210" s="269" t="s">
        <v>2237</v>
      </c>
      <c r="AX1210" s="334" t="s">
        <v>2869</v>
      </c>
      <c r="AY1210" s="270" t="s">
        <v>695</v>
      </c>
      <c r="AZ1210" s="173" t="s">
        <v>2866</v>
      </c>
      <c r="BA1210" s="265">
        <v>10.0</v>
      </c>
      <c r="BB1210" s="174" t="s">
        <v>245</v>
      </c>
      <c r="BC1210" s="341"/>
      <c r="BD1210" s="308"/>
      <c r="BE1210" s="347"/>
      <c r="BF1210" s="274" t="str">
        <f>IFERROR(__xludf.DUMMYFUNCTION("LOWER(Regexreplace(to_text(E1210),""[^A-Za-z0-9]"","""")&amp;""_""&amp;Regexreplace(to_text(F1210),""[^A-Za-z0-9]"",""""))"),"neptronic_evcbseries")</f>
        <v>neptronic_evcbseries</v>
      </c>
      <c r="BG1210" s="275" t="str">
        <f>IFERROR(__xludf.DUMMYFUNCTION("upper(Regexreplace(to_text(E1210),""[^A-Za-z0-9]"","""")&amp;""-""&amp;Regexreplace(to_text(F1210),""[^A-Za-z0-9]"",""""))"),"NEPTRONIC-EVCBSERIES")</f>
        <v>NEPTRONIC-EVCBSERIES</v>
      </c>
    </row>
    <row r="1211" ht="30.0" customHeight="1">
      <c r="A1211" s="173">
        <v>1203.0</v>
      </c>
      <c r="B1211" s="237" t="s">
        <v>670</v>
      </c>
      <c r="C1211" s="257" t="s">
        <v>5146</v>
      </c>
      <c r="D1211" s="173" t="s">
        <v>5146</v>
      </c>
      <c r="E1211" s="174" t="s">
        <v>2861</v>
      </c>
      <c r="F1211" s="173" t="s">
        <v>2862</v>
      </c>
      <c r="G1211" s="328" t="s">
        <v>673</v>
      </c>
      <c r="H1211" s="328" t="s">
        <v>2863</v>
      </c>
      <c r="I1211" s="258" t="s">
        <v>2864</v>
      </c>
      <c r="J1211" s="259" t="s">
        <v>1088</v>
      </c>
      <c r="K1211" s="260" t="s">
        <v>5147</v>
      </c>
      <c r="L1211" s="328"/>
      <c r="M1211" s="343"/>
      <c r="N1211" s="173" t="s">
        <v>679</v>
      </c>
      <c r="O1211" s="173" t="s">
        <v>225</v>
      </c>
      <c r="P1211" s="262" t="str">
        <f t="shared" si="1"/>
        <v>IN-BLR-ANANTA-VAV-783_5</v>
      </c>
      <c r="Q1211" s="173" t="s">
        <v>5148</v>
      </c>
      <c r="R1211" s="328" t="str">
        <f>IFS(C1211="","",C1211="n/a","N/A",LEN(C1211),Concatenate("{",char(34),"asset",char(34),":{",char(34),"guid",char(34),":",char(34),Q1211,char(34),",",char(34),"site",char(34),":",char(34),LOWER('2-Building'!$B$4),char(34),",",char(34),"name",char(34),":",char(34),LOWER(C1211),char(34),"}}"))</f>
        <v>{"asset":{"guid":"uuid://007948cb-1a0a-480e-a87d-f7ee15045026","site":"in-blr-ananta","name":"vav-783"}}</v>
      </c>
      <c r="S1211" s="237" t="s">
        <v>2866</v>
      </c>
      <c r="T1211" s="330"/>
      <c r="U1211" s="330"/>
      <c r="V1211" s="331"/>
      <c r="W1211" s="344"/>
      <c r="X1211" s="341"/>
      <c r="Y1211" s="33" t="s">
        <v>2867</v>
      </c>
      <c r="Z1211" s="258">
        <v>120783.0</v>
      </c>
      <c r="AA1211" s="334">
        <v>11582.0</v>
      </c>
      <c r="AB1211" s="341"/>
      <c r="AC1211" s="341"/>
      <c r="AD1211" s="343"/>
      <c r="AE1211" s="331"/>
      <c r="AF1211" s="348"/>
      <c r="AG1211" s="337"/>
      <c r="AH1211" s="341"/>
      <c r="AI1211" s="341"/>
      <c r="AJ1211" s="341"/>
      <c r="AK1211" s="341"/>
      <c r="AL1211" s="341"/>
      <c r="AM1211" s="338"/>
      <c r="AN1211" s="341"/>
      <c r="AO1211" s="341"/>
      <c r="AP1211" s="341"/>
      <c r="AQ1211" s="341"/>
      <c r="AR1211" s="341"/>
      <c r="AS1211" s="341"/>
      <c r="AT1211" s="341"/>
      <c r="AU1211" s="343"/>
      <c r="AV1211" s="341"/>
      <c r="AW1211" s="269" t="s">
        <v>2237</v>
      </c>
      <c r="AX1211" s="334" t="s">
        <v>2869</v>
      </c>
      <c r="AY1211" s="270" t="s">
        <v>695</v>
      </c>
      <c r="AZ1211" s="173" t="s">
        <v>2866</v>
      </c>
      <c r="BA1211" s="265">
        <v>10.0</v>
      </c>
      <c r="BB1211" s="174" t="s">
        <v>245</v>
      </c>
      <c r="BC1211" s="341"/>
      <c r="BD1211" s="308"/>
      <c r="BE1211" s="347"/>
      <c r="BF1211" s="274" t="str">
        <f>IFERROR(__xludf.DUMMYFUNCTION("LOWER(Regexreplace(to_text(E1211),""[^A-Za-z0-9]"","""")&amp;""_""&amp;Regexreplace(to_text(F1211),""[^A-Za-z0-9]"",""""))"),"neptronic_evcbseries")</f>
        <v>neptronic_evcbseries</v>
      </c>
      <c r="BG1211" s="275" t="str">
        <f>IFERROR(__xludf.DUMMYFUNCTION("upper(Regexreplace(to_text(E1211),""[^A-Za-z0-9]"","""")&amp;""-""&amp;Regexreplace(to_text(F1211),""[^A-Za-z0-9]"",""""))"),"NEPTRONIC-EVCBSERIES")</f>
        <v>NEPTRONIC-EVCBSERIES</v>
      </c>
    </row>
    <row r="1212" ht="30.0" customHeight="1">
      <c r="A1212" s="258">
        <v>1204.0</v>
      </c>
      <c r="B1212" s="237" t="s">
        <v>670</v>
      </c>
      <c r="C1212" s="257" t="s">
        <v>5149</v>
      </c>
      <c r="D1212" s="173" t="s">
        <v>5149</v>
      </c>
      <c r="E1212" s="174" t="s">
        <v>2861</v>
      </c>
      <c r="F1212" s="173" t="s">
        <v>2862</v>
      </c>
      <c r="G1212" s="328" t="s">
        <v>673</v>
      </c>
      <c r="H1212" s="328" t="s">
        <v>2863</v>
      </c>
      <c r="I1212" s="258" t="s">
        <v>2864</v>
      </c>
      <c r="J1212" s="259" t="s">
        <v>1088</v>
      </c>
      <c r="K1212" s="260" t="s">
        <v>5144</v>
      </c>
      <c r="L1212" s="328"/>
      <c r="M1212" s="343"/>
      <c r="N1212" s="173" t="s">
        <v>679</v>
      </c>
      <c r="O1212" s="173" t="s">
        <v>225</v>
      </c>
      <c r="P1212" s="262" t="str">
        <f t="shared" si="1"/>
        <v>IN-BLR-ANANTA-VAV-784_5</v>
      </c>
      <c r="Q1212" s="173" t="s">
        <v>5150</v>
      </c>
      <c r="R1212" s="328" t="str">
        <f>IFS(C1212="","",C1212="n/a","N/A",LEN(C1212),Concatenate("{",char(34),"asset",char(34),":{",char(34),"guid",char(34),":",char(34),Q1212,char(34),",",char(34),"site",char(34),":",char(34),LOWER('2-Building'!$B$4),char(34),",",char(34),"name",char(34),":",char(34),LOWER(C1212),char(34),"}}"))</f>
        <v>{"asset":{"guid":"uuid://a8fc35ca-4fc5-459f-abb4-fdef04c20cbe","site":"in-blr-ananta","name":"vav-784"}}</v>
      </c>
      <c r="S1212" s="237" t="s">
        <v>2866</v>
      </c>
      <c r="T1212" s="330"/>
      <c r="U1212" s="330"/>
      <c r="V1212" s="331"/>
      <c r="W1212" s="344"/>
      <c r="X1212" s="341"/>
      <c r="Y1212" s="33" t="s">
        <v>2867</v>
      </c>
      <c r="Z1212" s="258">
        <v>120784.0</v>
      </c>
      <c r="AA1212" s="334">
        <v>11582.0</v>
      </c>
      <c r="AB1212" s="341"/>
      <c r="AC1212" s="341"/>
      <c r="AD1212" s="343"/>
      <c r="AE1212" s="331"/>
      <c r="AF1212" s="348"/>
      <c r="AG1212" s="337"/>
      <c r="AH1212" s="341"/>
      <c r="AI1212" s="341"/>
      <c r="AJ1212" s="341"/>
      <c r="AK1212" s="341"/>
      <c r="AL1212" s="341"/>
      <c r="AM1212" s="338"/>
      <c r="AN1212" s="341"/>
      <c r="AO1212" s="341"/>
      <c r="AP1212" s="341"/>
      <c r="AQ1212" s="341"/>
      <c r="AR1212" s="341"/>
      <c r="AS1212" s="341"/>
      <c r="AT1212" s="341"/>
      <c r="AU1212" s="343"/>
      <c r="AV1212" s="341"/>
      <c r="AW1212" s="269" t="s">
        <v>2237</v>
      </c>
      <c r="AX1212" s="334" t="s">
        <v>2869</v>
      </c>
      <c r="AY1212" s="270" t="s">
        <v>695</v>
      </c>
      <c r="AZ1212" s="173" t="s">
        <v>2866</v>
      </c>
      <c r="BA1212" s="265">
        <v>10.0</v>
      </c>
      <c r="BB1212" s="174" t="s">
        <v>245</v>
      </c>
      <c r="BC1212" s="341"/>
      <c r="BD1212" s="308"/>
      <c r="BE1212" s="347"/>
      <c r="BF1212" s="274" t="str">
        <f>IFERROR(__xludf.DUMMYFUNCTION("LOWER(Regexreplace(to_text(E1212),""[^A-Za-z0-9]"","""")&amp;""_""&amp;Regexreplace(to_text(F1212),""[^A-Za-z0-9]"",""""))"),"neptronic_evcbseries")</f>
        <v>neptronic_evcbseries</v>
      </c>
      <c r="BG1212" s="275" t="str">
        <f>IFERROR(__xludf.DUMMYFUNCTION("upper(Regexreplace(to_text(E1212),""[^A-Za-z0-9]"","""")&amp;""-""&amp;Regexreplace(to_text(F1212),""[^A-Za-z0-9]"",""""))"),"NEPTRONIC-EVCBSERIES")</f>
        <v>NEPTRONIC-EVCBSERIES</v>
      </c>
    </row>
    <row r="1213" ht="30.0" customHeight="1">
      <c r="A1213" s="173">
        <v>1205.0</v>
      </c>
      <c r="B1213" s="237" t="s">
        <v>670</v>
      </c>
      <c r="C1213" s="257" t="s">
        <v>5151</v>
      </c>
      <c r="D1213" s="173" t="s">
        <v>5151</v>
      </c>
      <c r="E1213" s="174" t="s">
        <v>2861</v>
      </c>
      <c r="F1213" s="173" t="s">
        <v>2862</v>
      </c>
      <c r="G1213" s="328" t="s">
        <v>673</v>
      </c>
      <c r="H1213" s="328" t="s">
        <v>2863</v>
      </c>
      <c r="I1213" s="258" t="s">
        <v>2864</v>
      </c>
      <c r="J1213" s="259" t="s">
        <v>1088</v>
      </c>
      <c r="K1213" s="260" t="s">
        <v>5152</v>
      </c>
      <c r="L1213" s="328"/>
      <c r="M1213" s="343"/>
      <c r="N1213" s="173" t="s">
        <v>679</v>
      </c>
      <c r="O1213" s="173" t="s">
        <v>225</v>
      </c>
      <c r="P1213" s="262" t="str">
        <f t="shared" si="1"/>
        <v>IN-BLR-ANANTA-VAV-785_5</v>
      </c>
      <c r="Q1213" s="173" t="s">
        <v>5153</v>
      </c>
      <c r="R1213" s="328" t="str">
        <f>IFS(C1213="","",C1213="n/a","N/A",LEN(C1213),Concatenate("{",char(34),"asset",char(34),":{",char(34),"guid",char(34),":",char(34),Q1213,char(34),",",char(34),"site",char(34),":",char(34),LOWER('2-Building'!$B$4),char(34),",",char(34),"name",char(34),":",char(34),LOWER(C1213),char(34),"}}"))</f>
        <v>{"asset":{"guid":"uuid://1bd010dc-bb73-4ce6-a68f-41d3547533cd","site":"in-blr-ananta","name":"vav-785"}}</v>
      </c>
      <c r="S1213" s="237" t="s">
        <v>2866</v>
      </c>
      <c r="T1213" s="330"/>
      <c r="U1213" s="330"/>
      <c r="V1213" s="331"/>
      <c r="W1213" s="344"/>
      <c r="X1213" s="341"/>
      <c r="Y1213" s="33" t="s">
        <v>2867</v>
      </c>
      <c r="Z1213" s="258">
        <v>120785.0</v>
      </c>
      <c r="AA1213" s="334">
        <v>11503.0</v>
      </c>
      <c r="AB1213" s="341"/>
      <c r="AC1213" s="341"/>
      <c r="AD1213" s="343"/>
      <c r="AE1213" s="331"/>
      <c r="AF1213" s="348"/>
      <c r="AG1213" s="337"/>
      <c r="AH1213" s="341"/>
      <c r="AI1213" s="341"/>
      <c r="AJ1213" s="341"/>
      <c r="AK1213" s="341"/>
      <c r="AL1213" s="341"/>
      <c r="AM1213" s="338"/>
      <c r="AN1213" s="341"/>
      <c r="AO1213" s="341"/>
      <c r="AP1213" s="341"/>
      <c r="AQ1213" s="341"/>
      <c r="AR1213" s="341"/>
      <c r="AS1213" s="341"/>
      <c r="AT1213" s="341"/>
      <c r="AU1213" s="343"/>
      <c r="AV1213" s="341"/>
      <c r="AW1213" s="269" t="s">
        <v>2277</v>
      </c>
      <c r="AX1213" s="334" t="s">
        <v>2869</v>
      </c>
      <c r="AY1213" s="270" t="s">
        <v>695</v>
      </c>
      <c r="AZ1213" s="173" t="s">
        <v>2866</v>
      </c>
      <c r="BA1213" s="265">
        <v>10.0</v>
      </c>
      <c r="BB1213" s="174" t="s">
        <v>245</v>
      </c>
      <c r="BC1213" s="341"/>
      <c r="BD1213" s="308"/>
      <c r="BE1213" s="347"/>
      <c r="BF1213" s="274" t="str">
        <f>IFERROR(__xludf.DUMMYFUNCTION("LOWER(Regexreplace(to_text(E1213),""[^A-Za-z0-9]"","""")&amp;""_""&amp;Regexreplace(to_text(F1213),""[^A-Za-z0-9]"",""""))"),"neptronic_evcbseries")</f>
        <v>neptronic_evcbseries</v>
      </c>
      <c r="BG1213" s="275" t="str">
        <f>IFERROR(__xludf.DUMMYFUNCTION("upper(Regexreplace(to_text(E1213),""[^A-Za-z0-9]"","""")&amp;""-""&amp;Regexreplace(to_text(F1213),""[^A-Za-z0-9]"",""""))"),"NEPTRONIC-EVCBSERIES")</f>
        <v>NEPTRONIC-EVCBSERIES</v>
      </c>
    </row>
    <row r="1214" ht="30.0" customHeight="1">
      <c r="A1214" s="258">
        <v>1206.0</v>
      </c>
      <c r="B1214" s="237" t="s">
        <v>670</v>
      </c>
      <c r="C1214" s="257" t="s">
        <v>5154</v>
      </c>
      <c r="D1214" s="173" t="s">
        <v>5154</v>
      </c>
      <c r="E1214" s="174" t="s">
        <v>2861</v>
      </c>
      <c r="F1214" s="173" t="s">
        <v>2862</v>
      </c>
      <c r="G1214" s="328" t="s">
        <v>673</v>
      </c>
      <c r="H1214" s="328" t="s">
        <v>2863</v>
      </c>
      <c r="I1214" s="258" t="s">
        <v>2864</v>
      </c>
      <c r="J1214" s="259" t="s">
        <v>1088</v>
      </c>
      <c r="K1214" s="260" t="s">
        <v>5155</v>
      </c>
      <c r="L1214" s="328"/>
      <c r="M1214" s="343"/>
      <c r="N1214" s="173" t="s">
        <v>679</v>
      </c>
      <c r="O1214" s="173" t="s">
        <v>225</v>
      </c>
      <c r="P1214" s="262" t="str">
        <f t="shared" si="1"/>
        <v>IN-BLR-ANANTA-VAV-786_5</v>
      </c>
      <c r="Q1214" s="173" t="s">
        <v>5156</v>
      </c>
      <c r="R1214" s="328" t="str">
        <f>IFS(C1214="","",C1214="n/a","N/A",LEN(C1214),Concatenate("{",char(34),"asset",char(34),":{",char(34),"guid",char(34),":",char(34),Q1214,char(34),",",char(34),"site",char(34),":",char(34),LOWER('2-Building'!$B$4),char(34),",",char(34),"name",char(34),":",char(34),LOWER(C1214),char(34),"}}"))</f>
        <v>{"asset":{"guid":"uuid://f6598954-7d51-4bd4-bcde-764930489d4e","site":"in-blr-ananta","name":"vav-786"}}</v>
      </c>
      <c r="S1214" s="237" t="s">
        <v>2866</v>
      </c>
      <c r="T1214" s="330"/>
      <c r="U1214" s="330"/>
      <c r="V1214" s="331"/>
      <c r="W1214" s="344"/>
      <c r="X1214" s="341"/>
      <c r="Y1214" s="33" t="s">
        <v>2867</v>
      </c>
      <c r="Z1214" s="258">
        <v>120786.0</v>
      </c>
      <c r="AA1214" s="334">
        <v>11503.0</v>
      </c>
      <c r="AB1214" s="341"/>
      <c r="AC1214" s="341"/>
      <c r="AD1214" s="343"/>
      <c r="AE1214" s="331"/>
      <c r="AF1214" s="348"/>
      <c r="AG1214" s="337"/>
      <c r="AH1214" s="341"/>
      <c r="AI1214" s="341"/>
      <c r="AJ1214" s="341"/>
      <c r="AK1214" s="341"/>
      <c r="AL1214" s="341"/>
      <c r="AM1214" s="338"/>
      <c r="AN1214" s="341"/>
      <c r="AO1214" s="341"/>
      <c r="AP1214" s="341"/>
      <c r="AQ1214" s="341"/>
      <c r="AR1214" s="341"/>
      <c r="AS1214" s="341"/>
      <c r="AT1214" s="341"/>
      <c r="AU1214" s="343"/>
      <c r="AV1214" s="341"/>
      <c r="AW1214" s="269" t="s">
        <v>2277</v>
      </c>
      <c r="AX1214" s="334" t="s">
        <v>2869</v>
      </c>
      <c r="AY1214" s="270" t="s">
        <v>695</v>
      </c>
      <c r="AZ1214" s="173" t="s">
        <v>2866</v>
      </c>
      <c r="BA1214" s="265">
        <v>10.0</v>
      </c>
      <c r="BB1214" s="174" t="s">
        <v>245</v>
      </c>
      <c r="BC1214" s="341"/>
      <c r="BD1214" s="308"/>
      <c r="BE1214" s="347"/>
      <c r="BF1214" s="274" t="str">
        <f>IFERROR(__xludf.DUMMYFUNCTION("LOWER(Regexreplace(to_text(E1214),""[^A-Za-z0-9]"","""")&amp;""_""&amp;Regexreplace(to_text(F1214),""[^A-Za-z0-9]"",""""))"),"neptronic_evcbseries")</f>
        <v>neptronic_evcbseries</v>
      </c>
      <c r="BG1214" s="275" t="str">
        <f>IFERROR(__xludf.DUMMYFUNCTION("upper(Regexreplace(to_text(E1214),""[^A-Za-z0-9]"","""")&amp;""-""&amp;Regexreplace(to_text(F1214),""[^A-Za-z0-9]"",""""))"),"NEPTRONIC-EVCBSERIES")</f>
        <v>NEPTRONIC-EVCBSERIES</v>
      </c>
    </row>
    <row r="1215" ht="30.0" customHeight="1">
      <c r="A1215" s="173">
        <v>1207.0</v>
      </c>
      <c r="B1215" s="237" t="s">
        <v>670</v>
      </c>
      <c r="C1215" s="257" t="s">
        <v>5157</v>
      </c>
      <c r="D1215" s="173" t="s">
        <v>5157</v>
      </c>
      <c r="E1215" s="174" t="s">
        <v>2861</v>
      </c>
      <c r="F1215" s="173" t="s">
        <v>2862</v>
      </c>
      <c r="G1215" s="328" t="s">
        <v>673</v>
      </c>
      <c r="H1215" s="328" t="s">
        <v>2863</v>
      </c>
      <c r="I1215" s="258" t="s">
        <v>2864</v>
      </c>
      <c r="J1215" s="259" t="s">
        <v>1088</v>
      </c>
      <c r="K1215" s="260" t="s">
        <v>5158</v>
      </c>
      <c r="L1215" s="328"/>
      <c r="M1215" s="343"/>
      <c r="N1215" s="173" t="s">
        <v>679</v>
      </c>
      <c r="O1215" s="173" t="s">
        <v>225</v>
      </c>
      <c r="P1215" s="262" t="str">
        <f t="shared" si="1"/>
        <v>IN-BLR-ANANTA-VAV-787_5</v>
      </c>
      <c r="Q1215" s="173" t="s">
        <v>5159</v>
      </c>
      <c r="R1215" s="328" t="str">
        <f>IFS(C1215="","",C1215="n/a","N/A",LEN(C1215),Concatenate("{",char(34),"asset",char(34),":{",char(34),"guid",char(34),":",char(34),Q1215,char(34),",",char(34),"site",char(34),":",char(34),LOWER('2-Building'!$B$4),char(34),",",char(34),"name",char(34),":",char(34),LOWER(C1215),char(34),"}}"))</f>
        <v>{"asset":{"guid":"uuid://3d09d4b7-0fd6-4626-ad73-80f9369c5159","site":"in-blr-ananta","name":"vav-787"}}</v>
      </c>
      <c r="S1215" s="237" t="s">
        <v>2866</v>
      </c>
      <c r="T1215" s="330"/>
      <c r="U1215" s="330"/>
      <c r="V1215" s="331"/>
      <c r="W1215" s="344"/>
      <c r="X1215" s="341"/>
      <c r="Y1215" s="33" t="s">
        <v>2867</v>
      </c>
      <c r="Z1215" s="258">
        <v>120787.0</v>
      </c>
      <c r="AA1215" s="334">
        <v>11503.0</v>
      </c>
      <c r="AB1215" s="341"/>
      <c r="AC1215" s="341"/>
      <c r="AD1215" s="343"/>
      <c r="AE1215" s="331"/>
      <c r="AF1215" s="348"/>
      <c r="AG1215" s="337"/>
      <c r="AH1215" s="341"/>
      <c r="AI1215" s="341"/>
      <c r="AJ1215" s="341"/>
      <c r="AK1215" s="341"/>
      <c r="AL1215" s="341"/>
      <c r="AM1215" s="338"/>
      <c r="AN1215" s="341"/>
      <c r="AO1215" s="341"/>
      <c r="AP1215" s="341"/>
      <c r="AQ1215" s="341"/>
      <c r="AR1215" s="341"/>
      <c r="AS1215" s="341"/>
      <c r="AT1215" s="341"/>
      <c r="AU1215" s="343"/>
      <c r="AV1215" s="341"/>
      <c r="AW1215" s="269" t="s">
        <v>2277</v>
      </c>
      <c r="AX1215" s="334" t="s">
        <v>2869</v>
      </c>
      <c r="AY1215" s="270" t="s">
        <v>695</v>
      </c>
      <c r="AZ1215" s="173" t="s">
        <v>2866</v>
      </c>
      <c r="BA1215" s="265">
        <v>10.0</v>
      </c>
      <c r="BB1215" s="174" t="s">
        <v>245</v>
      </c>
      <c r="BC1215" s="341"/>
      <c r="BD1215" s="308"/>
      <c r="BE1215" s="347"/>
      <c r="BF1215" s="274" t="str">
        <f>IFERROR(__xludf.DUMMYFUNCTION("LOWER(Regexreplace(to_text(E1215),""[^A-Za-z0-9]"","""")&amp;""_""&amp;Regexreplace(to_text(F1215),""[^A-Za-z0-9]"",""""))"),"neptronic_evcbseries")</f>
        <v>neptronic_evcbseries</v>
      </c>
      <c r="BG1215" s="275" t="str">
        <f>IFERROR(__xludf.DUMMYFUNCTION("upper(Regexreplace(to_text(E1215),""[^A-Za-z0-9]"","""")&amp;""-""&amp;Regexreplace(to_text(F1215),""[^A-Za-z0-9]"",""""))"),"NEPTRONIC-EVCBSERIES")</f>
        <v>NEPTRONIC-EVCBSERIES</v>
      </c>
    </row>
    <row r="1216" ht="30.0" customHeight="1">
      <c r="A1216" s="258">
        <v>1208.0</v>
      </c>
      <c r="B1216" s="237" t="s">
        <v>670</v>
      </c>
      <c r="C1216" s="257" t="s">
        <v>5160</v>
      </c>
      <c r="D1216" s="173" t="s">
        <v>5160</v>
      </c>
      <c r="E1216" s="174" t="s">
        <v>2861</v>
      </c>
      <c r="F1216" s="173" t="s">
        <v>2862</v>
      </c>
      <c r="G1216" s="328" t="s">
        <v>673</v>
      </c>
      <c r="H1216" s="328" t="s">
        <v>2863</v>
      </c>
      <c r="I1216" s="258" t="s">
        <v>2864</v>
      </c>
      <c r="J1216" s="259" t="s">
        <v>1088</v>
      </c>
      <c r="K1216" s="260" t="s">
        <v>5161</v>
      </c>
      <c r="L1216" s="328"/>
      <c r="M1216" s="343"/>
      <c r="N1216" s="173" t="s">
        <v>679</v>
      </c>
      <c r="O1216" s="173" t="s">
        <v>225</v>
      </c>
      <c r="P1216" s="262" t="str">
        <f t="shared" si="1"/>
        <v>IN-BLR-ANANTA-VAV-788_5</v>
      </c>
      <c r="Q1216" s="173" t="s">
        <v>5162</v>
      </c>
      <c r="R1216" s="328" t="str">
        <f>IFS(C1216="","",C1216="n/a","N/A",LEN(C1216),Concatenate("{",char(34),"asset",char(34),":{",char(34),"guid",char(34),":",char(34),Q1216,char(34),",",char(34),"site",char(34),":",char(34),LOWER('2-Building'!$B$4),char(34),",",char(34),"name",char(34),":",char(34),LOWER(C1216),char(34),"}}"))</f>
        <v>{"asset":{"guid":"uuid://ae9a3cfa-6f5d-430b-b171-b14a8e9601a2","site":"in-blr-ananta","name":"vav-788"}}</v>
      </c>
      <c r="S1216" s="237" t="s">
        <v>2866</v>
      </c>
      <c r="T1216" s="330"/>
      <c r="U1216" s="330"/>
      <c r="V1216" s="331"/>
      <c r="W1216" s="344"/>
      <c r="X1216" s="341"/>
      <c r="Y1216" s="33" t="s">
        <v>2867</v>
      </c>
      <c r="Z1216" s="258">
        <v>120788.0</v>
      </c>
      <c r="AA1216" s="334">
        <v>11503.0</v>
      </c>
      <c r="AB1216" s="341"/>
      <c r="AC1216" s="341"/>
      <c r="AD1216" s="343"/>
      <c r="AE1216" s="331"/>
      <c r="AF1216" s="348"/>
      <c r="AG1216" s="337"/>
      <c r="AH1216" s="341"/>
      <c r="AI1216" s="341"/>
      <c r="AJ1216" s="341"/>
      <c r="AK1216" s="341"/>
      <c r="AL1216" s="341"/>
      <c r="AM1216" s="338"/>
      <c r="AN1216" s="341"/>
      <c r="AO1216" s="341"/>
      <c r="AP1216" s="341"/>
      <c r="AQ1216" s="341"/>
      <c r="AR1216" s="341"/>
      <c r="AS1216" s="341"/>
      <c r="AT1216" s="341"/>
      <c r="AU1216" s="343"/>
      <c r="AV1216" s="341"/>
      <c r="AW1216" s="269" t="s">
        <v>2277</v>
      </c>
      <c r="AX1216" s="334" t="s">
        <v>2869</v>
      </c>
      <c r="AY1216" s="270" t="s">
        <v>695</v>
      </c>
      <c r="AZ1216" s="173" t="s">
        <v>2866</v>
      </c>
      <c r="BA1216" s="265">
        <v>10.0</v>
      </c>
      <c r="BB1216" s="174" t="s">
        <v>245</v>
      </c>
      <c r="BC1216" s="341"/>
      <c r="BD1216" s="308"/>
      <c r="BE1216" s="347"/>
      <c r="BF1216" s="274" t="str">
        <f>IFERROR(__xludf.DUMMYFUNCTION("LOWER(Regexreplace(to_text(E1216),""[^A-Za-z0-9]"","""")&amp;""_""&amp;Regexreplace(to_text(F1216),""[^A-Za-z0-9]"",""""))"),"neptronic_evcbseries")</f>
        <v>neptronic_evcbseries</v>
      </c>
      <c r="BG1216" s="275" t="str">
        <f>IFERROR(__xludf.DUMMYFUNCTION("upper(Regexreplace(to_text(E1216),""[^A-Za-z0-9]"","""")&amp;""-""&amp;Regexreplace(to_text(F1216),""[^A-Za-z0-9]"",""""))"),"NEPTRONIC-EVCBSERIES")</f>
        <v>NEPTRONIC-EVCBSERIES</v>
      </c>
    </row>
    <row r="1217" ht="30.0" customHeight="1">
      <c r="A1217" s="173">
        <v>1209.0</v>
      </c>
      <c r="B1217" s="237" t="s">
        <v>670</v>
      </c>
      <c r="C1217" s="257" t="s">
        <v>5163</v>
      </c>
      <c r="D1217" s="173" t="s">
        <v>5163</v>
      </c>
      <c r="E1217" s="174" t="s">
        <v>2861</v>
      </c>
      <c r="F1217" s="173" t="s">
        <v>2862</v>
      </c>
      <c r="G1217" s="328" t="s">
        <v>673</v>
      </c>
      <c r="H1217" s="328" t="s">
        <v>2863</v>
      </c>
      <c r="I1217" s="258" t="s">
        <v>2864</v>
      </c>
      <c r="J1217" s="259" t="s">
        <v>1088</v>
      </c>
      <c r="K1217" s="260" t="s">
        <v>5164</v>
      </c>
      <c r="L1217" s="328"/>
      <c r="M1217" s="343"/>
      <c r="N1217" s="173" t="s">
        <v>679</v>
      </c>
      <c r="O1217" s="173" t="s">
        <v>225</v>
      </c>
      <c r="P1217" s="262" t="str">
        <f t="shared" si="1"/>
        <v>IN-BLR-ANANTA-VAV-789_5</v>
      </c>
      <c r="Q1217" s="173" t="s">
        <v>5165</v>
      </c>
      <c r="R1217" s="328" t="str">
        <f>IFS(C1217="","",C1217="n/a","N/A",LEN(C1217),Concatenate("{",char(34),"asset",char(34),":{",char(34),"guid",char(34),":",char(34),Q1217,char(34),",",char(34),"site",char(34),":",char(34),LOWER('2-Building'!$B$4),char(34),",",char(34),"name",char(34),":",char(34),LOWER(C1217),char(34),"}}"))</f>
        <v>{"asset":{"guid":"uuid://7ca0603f-fd28-4846-9869-b3c3be6da04a","site":"in-blr-ananta","name":"vav-789"}}</v>
      </c>
      <c r="S1217" s="237" t="s">
        <v>2866</v>
      </c>
      <c r="T1217" s="330"/>
      <c r="U1217" s="330"/>
      <c r="V1217" s="331"/>
      <c r="W1217" s="344"/>
      <c r="X1217" s="341"/>
      <c r="Y1217" s="33" t="s">
        <v>2867</v>
      </c>
      <c r="Z1217" s="258">
        <v>120789.0</v>
      </c>
      <c r="AA1217" s="334">
        <v>11503.0</v>
      </c>
      <c r="AB1217" s="341"/>
      <c r="AC1217" s="341"/>
      <c r="AD1217" s="343"/>
      <c r="AE1217" s="331"/>
      <c r="AF1217" s="348"/>
      <c r="AG1217" s="337"/>
      <c r="AH1217" s="341"/>
      <c r="AI1217" s="341"/>
      <c r="AJ1217" s="341"/>
      <c r="AK1217" s="341"/>
      <c r="AL1217" s="341"/>
      <c r="AM1217" s="338"/>
      <c r="AN1217" s="341"/>
      <c r="AO1217" s="341"/>
      <c r="AP1217" s="341"/>
      <c r="AQ1217" s="341"/>
      <c r="AR1217" s="341"/>
      <c r="AS1217" s="341"/>
      <c r="AT1217" s="341"/>
      <c r="AU1217" s="343"/>
      <c r="AV1217" s="341"/>
      <c r="AW1217" s="269" t="s">
        <v>2277</v>
      </c>
      <c r="AX1217" s="334" t="s">
        <v>2869</v>
      </c>
      <c r="AY1217" s="270" t="s">
        <v>695</v>
      </c>
      <c r="AZ1217" s="173" t="s">
        <v>2866</v>
      </c>
      <c r="BA1217" s="265">
        <v>10.0</v>
      </c>
      <c r="BB1217" s="174" t="s">
        <v>245</v>
      </c>
      <c r="BC1217" s="341"/>
      <c r="BD1217" s="308"/>
      <c r="BE1217" s="347"/>
      <c r="BF1217" s="274" t="str">
        <f>IFERROR(__xludf.DUMMYFUNCTION("LOWER(Regexreplace(to_text(E1217),""[^A-Za-z0-9]"","""")&amp;""_""&amp;Regexreplace(to_text(F1217),""[^A-Za-z0-9]"",""""))"),"neptronic_evcbseries")</f>
        <v>neptronic_evcbseries</v>
      </c>
      <c r="BG1217" s="275" t="str">
        <f>IFERROR(__xludf.DUMMYFUNCTION("upper(Regexreplace(to_text(E1217),""[^A-Za-z0-9]"","""")&amp;""-""&amp;Regexreplace(to_text(F1217),""[^A-Za-z0-9]"",""""))"),"NEPTRONIC-EVCBSERIES")</f>
        <v>NEPTRONIC-EVCBSERIES</v>
      </c>
    </row>
    <row r="1218" ht="30.0" customHeight="1">
      <c r="A1218" s="258">
        <v>1210.0</v>
      </c>
      <c r="B1218" s="237" t="s">
        <v>670</v>
      </c>
      <c r="C1218" s="257" t="s">
        <v>5166</v>
      </c>
      <c r="D1218" s="173" t="s">
        <v>5166</v>
      </c>
      <c r="E1218" s="174" t="s">
        <v>2861</v>
      </c>
      <c r="F1218" s="173" t="s">
        <v>2862</v>
      </c>
      <c r="G1218" s="328" t="s">
        <v>673</v>
      </c>
      <c r="H1218" s="328" t="s">
        <v>2863</v>
      </c>
      <c r="I1218" s="258" t="s">
        <v>2864</v>
      </c>
      <c r="J1218" s="259" t="s">
        <v>1088</v>
      </c>
      <c r="K1218" s="260" t="s">
        <v>5167</v>
      </c>
      <c r="L1218" s="328"/>
      <c r="M1218" s="343"/>
      <c r="N1218" s="173" t="s">
        <v>679</v>
      </c>
      <c r="O1218" s="173" t="s">
        <v>225</v>
      </c>
      <c r="P1218" s="262" t="str">
        <f t="shared" si="1"/>
        <v>IN-BLR-ANANTA-VAV-790_5</v>
      </c>
      <c r="Q1218" s="173" t="s">
        <v>5168</v>
      </c>
      <c r="R1218" s="328" t="str">
        <f>IFS(C1218="","",C1218="n/a","N/A",LEN(C1218),Concatenate("{",char(34),"asset",char(34),":{",char(34),"guid",char(34),":",char(34),Q1218,char(34),",",char(34),"site",char(34),":",char(34),LOWER('2-Building'!$B$4),char(34),",",char(34),"name",char(34),":",char(34),LOWER(C1218),char(34),"}}"))</f>
        <v>{"asset":{"guid":"uuid://4fe8d136-5c0f-4e52-bd3e-28e7ae027954","site":"in-blr-ananta","name":"vav-790"}}</v>
      </c>
      <c r="S1218" s="237" t="s">
        <v>2866</v>
      </c>
      <c r="T1218" s="330"/>
      <c r="U1218" s="330"/>
      <c r="V1218" s="331"/>
      <c r="W1218" s="344"/>
      <c r="X1218" s="341"/>
      <c r="Y1218" s="33" t="s">
        <v>2867</v>
      </c>
      <c r="Z1218" s="258">
        <v>120790.0</v>
      </c>
      <c r="AA1218" s="334">
        <v>11503.0</v>
      </c>
      <c r="AB1218" s="341"/>
      <c r="AC1218" s="341"/>
      <c r="AD1218" s="343"/>
      <c r="AE1218" s="331"/>
      <c r="AF1218" s="348"/>
      <c r="AG1218" s="337"/>
      <c r="AH1218" s="341"/>
      <c r="AI1218" s="341"/>
      <c r="AJ1218" s="341"/>
      <c r="AK1218" s="341"/>
      <c r="AL1218" s="341"/>
      <c r="AM1218" s="338"/>
      <c r="AN1218" s="341"/>
      <c r="AO1218" s="341"/>
      <c r="AP1218" s="341"/>
      <c r="AQ1218" s="341"/>
      <c r="AR1218" s="341"/>
      <c r="AS1218" s="341"/>
      <c r="AT1218" s="341"/>
      <c r="AU1218" s="343"/>
      <c r="AV1218" s="341"/>
      <c r="AW1218" s="269" t="s">
        <v>2277</v>
      </c>
      <c r="AX1218" s="334" t="s">
        <v>2869</v>
      </c>
      <c r="AY1218" s="270" t="s">
        <v>695</v>
      </c>
      <c r="AZ1218" s="173" t="s">
        <v>2866</v>
      </c>
      <c r="BA1218" s="265">
        <v>10.0</v>
      </c>
      <c r="BB1218" s="174" t="s">
        <v>245</v>
      </c>
      <c r="BC1218" s="341"/>
      <c r="BD1218" s="308"/>
      <c r="BE1218" s="347"/>
      <c r="BF1218" s="274" t="str">
        <f>IFERROR(__xludf.DUMMYFUNCTION("LOWER(Regexreplace(to_text(E1218),""[^A-Za-z0-9]"","""")&amp;""_""&amp;Regexreplace(to_text(F1218),""[^A-Za-z0-9]"",""""))"),"neptronic_evcbseries")</f>
        <v>neptronic_evcbseries</v>
      </c>
      <c r="BG1218" s="275" t="str">
        <f>IFERROR(__xludf.DUMMYFUNCTION("upper(Regexreplace(to_text(E1218),""[^A-Za-z0-9]"","""")&amp;""-""&amp;Regexreplace(to_text(F1218),""[^A-Za-z0-9]"",""""))"),"NEPTRONIC-EVCBSERIES")</f>
        <v>NEPTRONIC-EVCBSERIES</v>
      </c>
    </row>
    <row r="1219" ht="30.0" customHeight="1">
      <c r="A1219" s="173">
        <v>1211.0</v>
      </c>
      <c r="B1219" s="237" t="s">
        <v>670</v>
      </c>
      <c r="C1219" s="257" t="s">
        <v>5169</v>
      </c>
      <c r="D1219" s="173" t="s">
        <v>5169</v>
      </c>
      <c r="E1219" s="174" t="s">
        <v>2861</v>
      </c>
      <c r="F1219" s="173" t="s">
        <v>2862</v>
      </c>
      <c r="G1219" s="328" t="s">
        <v>673</v>
      </c>
      <c r="H1219" s="328" t="s">
        <v>2863</v>
      </c>
      <c r="I1219" s="258" t="s">
        <v>2864</v>
      </c>
      <c r="J1219" s="259" t="s">
        <v>1088</v>
      </c>
      <c r="K1219" s="260" t="s">
        <v>5170</v>
      </c>
      <c r="L1219" s="328"/>
      <c r="M1219" s="343"/>
      <c r="N1219" s="173" t="s">
        <v>679</v>
      </c>
      <c r="O1219" s="173" t="s">
        <v>225</v>
      </c>
      <c r="P1219" s="262" t="str">
        <f t="shared" si="1"/>
        <v>IN-BLR-ANANTA-VAV-791_5</v>
      </c>
      <c r="Q1219" s="173" t="s">
        <v>5171</v>
      </c>
      <c r="R1219" s="328" t="str">
        <f>IFS(C1219="","",C1219="n/a","N/A",LEN(C1219),Concatenate("{",char(34),"asset",char(34),":{",char(34),"guid",char(34),":",char(34),Q1219,char(34),",",char(34),"site",char(34),":",char(34),LOWER('2-Building'!$B$4),char(34),",",char(34),"name",char(34),":",char(34),LOWER(C1219),char(34),"}}"))</f>
        <v>{"asset":{"guid":"uuid://0f3c2121-db2f-4370-9bc6-d1759b0c9926","site":"in-blr-ananta","name":"vav-791"}}</v>
      </c>
      <c r="S1219" s="237" t="s">
        <v>2866</v>
      </c>
      <c r="T1219" s="330"/>
      <c r="U1219" s="330"/>
      <c r="V1219" s="331"/>
      <c r="W1219" s="344"/>
      <c r="X1219" s="341"/>
      <c r="Y1219" s="33" t="s">
        <v>2867</v>
      </c>
      <c r="Z1219" s="258">
        <v>120791.0</v>
      </c>
      <c r="AA1219" s="334">
        <v>11503.0</v>
      </c>
      <c r="AB1219" s="341"/>
      <c r="AC1219" s="341"/>
      <c r="AD1219" s="343"/>
      <c r="AE1219" s="331"/>
      <c r="AF1219" s="348"/>
      <c r="AG1219" s="337"/>
      <c r="AH1219" s="341"/>
      <c r="AI1219" s="341"/>
      <c r="AJ1219" s="341"/>
      <c r="AK1219" s="341"/>
      <c r="AL1219" s="341"/>
      <c r="AM1219" s="338"/>
      <c r="AN1219" s="341"/>
      <c r="AO1219" s="341"/>
      <c r="AP1219" s="341"/>
      <c r="AQ1219" s="341"/>
      <c r="AR1219" s="341"/>
      <c r="AS1219" s="341"/>
      <c r="AT1219" s="341"/>
      <c r="AU1219" s="343"/>
      <c r="AV1219" s="341"/>
      <c r="AW1219" s="269" t="s">
        <v>2277</v>
      </c>
      <c r="AX1219" s="334" t="s">
        <v>2869</v>
      </c>
      <c r="AY1219" s="270" t="s">
        <v>695</v>
      </c>
      <c r="AZ1219" s="173" t="s">
        <v>2866</v>
      </c>
      <c r="BA1219" s="265">
        <v>10.0</v>
      </c>
      <c r="BB1219" s="174" t="s">
        <v>245</v>
      </c>
      <c r="BC1219" s="341"/>
      <c r="BD1219" s="308"/>
      <c r="BE1219" s="347"/>
      <c r="BF1219" s="274" t="str">
        <f>IFERROR(__xludf.DUMMYFUNCTION("LOWER(Regexreplace(to_text(E1219),""[^A-Za-z0-9]"","""")&amp;""_""&amp;Regexreplace(to_text(F1219),""[^A-Za-z0-9]"",""""))"),"neptronic_evcbseries")</f>
        <v>neptronic_evcbseries</v>
      </c>
      <c r="BG1219" s="275" t="str">
        <f>IFERROR(__xludf.DUMMYFUNCTION("upper(Regexreplace(to_text(E1219),""[^A-Za-z0-9]"","""")&amp;""-""&amp;Regexreplace(to_text(F1219),""[^A-Za-z0-9]"",""""))"),"NEPTRONIC-EVCBSERIES")</f>
        <v>NEPTRONIC-EVCBSERIES</v>
      </c>
    </row>
    <row r="1220" ht="30.0" customHeight="1">
      <c r="A1220" s="258">
        <v>1212.0</v>
      </c>
      <c r="B1220" s="237" t="s">
        <v>670</v>
      </c>
      <c r="C1220" s="257" t="s">
        <v>5172</v>
      </c>
      <c r="D1220" s="173" t="s">
        <v>5172</v>
      </c>
      <c r="E1220" s="174" t="s">
        <v>2861</v>
      </c>
      <c r="F1220" s="173" t="s">
        <v>2862</v>
      </c>
      <c r="G1220" s="328" t="s">
        <v>673</v>
      </c>
      <c r="H1220" s="328" t="s">
        <v>2863</v>
      </c>
      <c r="I1220" s="258" t="s">
        <v>2864</v>
      </c>
      <c r="J1220" s="259" t="s">
        <v>1088</v>
      </c>
      <c r="K1220" s="260" t="s">
        <v>5173</v>
      </c>
      <c r="L1220" s="328"/>
      <c r="M1220" s="343"/>
      <c r="N1220" s="173" t="s">
        <v>679</v>
      </c>
      <c r="O1220" s="173" t="s">
        <v>225</v>
      </c>
      <c r="P1220" s="262" t="str">
        <f t="shared" si="1"/>
        <v>IN-BLR-ANANTA-VAV-792_5</v>
      </c>
      <c r="Q1220" s="173" t="s">
        <v>5174</v>
      </c>
      <c r="R1220" s="328" t="str">
        <f>IFS(C1220="","",C1220="n/a","N/A",LEN(C1220),Concatenate("{",char(34),"asset",char(34),":{",char(34),"guid",char(34),":",char(34),Q1220,char(34),",",char(34),"site",char(34),":",char(34),LOWER('2-Building'!$B$4),char(34),",",char(34),"name",char(34),":",char(34),LOWER(C1220),char(34),"}}"))</f>
        <v>{"asset":{"guid":"uuid://7058f2a5-31c0-42ee-af86-1d6bbc0815bf","site":"in-blr-ananta","name":"vav-792"}}</v>
      </c>
      <c r="S1220" s="237" t="s">
        <v>2866</v>
      </c>
      <c r="T1220" s="330"/>
      <c r="U1220" s="330"/>
      <c r="V1220" s="331"/>
      <c r="W1220" s="344"/>
      <c r="X1220" s="341"/>
      <c r="Y1220" s="33" t="s">
        <v>2867</v>
      </c>
      <c r="Z1220" s="258">
        <v>120792.0</v>
      </c>
      <c r="AA1220" s="334">
        <v>11503.0</v>
      </c>
      <c r="AB1220" s="341"/>
      <c r="AC1220" s="341"/>
      <c r="AD1220" s="343"/>
      <c r="AE1220" s="331"/>
      <c r="AF1220" s="348"/>
      <c r="AG1220" s="337"/>
      <c r="AH1220" s="341"/>
      <c r="AI1220" s="341"/>
      <c r="AJ1220" s="341"/>
      <c r="AK1220" s="341"/>
      <c r="AL1220" s="341"/>
      <c r="AM1220" s="338"/>
      <c r="AN1220" s="341"/>
      <c r="AO1220" s="341"/>
      <c r="AP1220" s="341"/>
      <c r="AQ1220" s="341"/>
      <c r="AR1220" s="341"/>
      <c r="AS1220" s="341"/>
      <c r="AT1220" s="341"/>
      <c r="AU1220" s="343"/>
      <c r="AV1220" s="341"/>
      <c r="AW1220" s="269" t="s">
        <v>2277</v>
      </c>
      <c r="AX1220" s="334" t="s">
        <v>2869</v>
      </c>
      <c r="AY1220" s="270" t="s">
        <v>695</v>
      </c>
      <c r="AZ1220" s="173" t="s">
        <v>2866</v>
      </c>
      <c r="BA1220" s="265">
        <v>10.0</v>
      </c>
      <c r="BB1220" s="174" t="s">
        <v>245</v>
      </c>
      <c r="BC1220" s="341"/>
      <c r="BD1220" s="308"/>
      <c r="BE1220" s="347"/>
      <c r="BF1220" s="274" t="str">
        <f>IFERROR(__xludf.DUMMYFUNCTION("LOWER(Regexreplace(to_text(E1220),""[^A-Za-z0-9]"","""")&amp;""_""&amp;Regexreplace(to_text(F1220),""[^A-Za-z0-9]"",""""))"),"neptronic_evcbseries")</f>
        <v>neptronic_evcbseries</v>
      </c>
      <c r="BG1220" s="275" t="str">
        <f>IFERROR(__xludf.DUMMYFUNCTION("upper(Regexreplace(to_text(E1220),""[^A-Za-z0-9]"","""")&amp;""-""&amp;Regexreplace(to_text(F1220),""[^A-Za-z0-9]"",""""))"),"NEPTRONIC-EVCBSERIES")</f>
        <v>NEPTRONIC-EVCBSERIES</v>
      </c>
    </row>
    <row r="1221" ht="30.0" customHeight="1">
      <c r="A1221" s="173">
        <v>1213.0</v>
      </c>
      <c r="B1221" s="237" t="s">
        <v>670</v>
      </c>
      <c r="C1221" s="257" t="s">
        <v>5175</v>
      </c>
      <c r="D1221" s="173" t="s">
        <v>5175</v>
      </c>
      <c r="E1221" s="174" t="s">
        <v>2861</v>
      </c>
      <c r="F1221" s="173" t="s">
        <v>2862</v>
      </c>
      <c r="G1221" s="328" t="s">
        <v>673</v>
      </c>
      <c r="H1221" s="328" t="s">
        <v>2863</v>
      </c>
      <c r="I1221" s="258" t="s">
        <v>2864</v>
      </c>
      <c r="J1221" s="259" t="s">
        <v>1088</v>
      </c>
      <c r="K1221" s="260" t="s">
        <v>5176</v>
      </c>
      <c r="L1221" s="328"/>
      <c r="M1221" s="343"/>
      <c r="N1221" s="173" t="s">
        <v>679</v>
      </c>
      <c r="O1221" s="173" t="s">
        <v>225</v>
      </c>
      <c r="P1221" s="262" t="str">
        <f t="shared" si="1"/>
        <v>IN-BLR-ANANTA-VAV-793_5</v>
      </c>
      <c r="Q1221" s="173" t="s">
        <v>5177</v>
      </c>
      <c r="R1221" s="328" t="str">
        <f>IFS(C1221="","",C1221="n/a","N/A",LEN(C1221),Concatenate("{",char(34),"asset",char(34),":{",char(34),"guid",char(34),":",char(34),Q1221,char(34),",",char(34),"site",char(34),":",char(34),LOWER('2-Building'!$B$4),char(34),",",char(34),"name",char(34),":",char(34),LOWER(C1221),char(34),"}}"))</f>
        <v>{"asset":{"guid":"uuid://effcd09f-4180-45cc-b7bf-5cc333c04435","site":"in-blr-ananta","name":"vav-793"}}</v>
      </c>
      <c r="S1221" s="237" t="s">
        <v>2866</v>
      </c>
      <c r="T1221" s="330"/>
      <c r="U1221" s="330"/>
      <c r="V1221" s="331"/>
      <c r="W1221" s="344"/>
      <c r="X1221" s="341"/>
      <c r="Y1221" s="33" t="s">
        <v>2867</v>
      </c>
      <c r="Z1221" s="258">
        <v>120793.0</v>
      </c>
      <c r="AA1221" s="334">
        <v>11503.0</v>
      </c>
      <c r="AB1221" s="341"/>
      <c r="AC1221" s="341"/>
      <c r="AD1221" s="343"/>
      <c r="AE1221" s="331"/>
      <c r="AF1221" s="348"/>
      <c r="AG1221" s="337"/>
      <c r="AH1221" s="341"/>
      <c r="AI1221" s="341"/>
      <c r="AJ1221" s="341"/>
      <c r="AK1221" s="341"/>
      <c r="AL1221" s="341"/>
      <c r="AM1221" s="338"/>
      <c r="AN1221" s="341"/>
      <c r="AO1221" s="341"/>
      <c r="AP1221" s="341"/>
      <c r="AQ1221" s="341"/>
      <c r="AR1221" s="341"/>
      <c r="AS1221" s="341"/>
      <c r="AT1221" s="341"/>
      <c r="AU1221" s="343"/>
      <c r="AV1221" s="341"/>
      <c r="AW1221" s="269" t="s">
        <v>2277</v>
      </c>
      <c r="AX1221" s="334" t="s">
        <v>2869</v>
      </c>
      <c r="AY1221" s="270" t="s">
        <v>695</v>
      </c>
      <c r="AZ1221" s="173" t="s">
        <v>2866</v>
      </c>
      <c r="BA1221" s="265">
        <v>10.0</v>
      </c>
      <c r="BB1221" s="174" t="s">
        <v>245</v>
      </c>
      <c r="BC1221" s="341"/>
      <c r="BD1221" s="308"/>
      <c r="BE1221" s="347"/>
      <c r="BF1221" s="274" t="str">
        <f>IFERROR(__xludf.DUMMYFUNCTION("LOWER(Regexreplace(to_text(E1221),""[^A-Za-z0-9]"","""")&amp;""_""&amp;Regexreplace(to_text(F1221),""[^A-Za-z0-9]"",""""))"),"neptronic_evcbseries")</f>
        <v>neptronic_evcbseries</v>
      </c>
      <c r="BG1221" s="275" t="str">
        <f>IFERROR(__xludf.DUMMYFUNCTION("upper(Regexreplace(to_text(E1221),""[^A-Za-z0-9]"","""")&amp;""-""&amp;Regexreplace(to_text(F1221),""[^A-Za-z0-9]"",""""))"),"NEPTRONIC-EVCBSERIES")</f>
        <v>NEPTRONIC-EVCBSERIES</v>
      </c>
    </row>
    <row r="1222" ht="30.0" customHeight="1">
      <c r="A1222" s="258">
        <v>1214.0</v>
      </c>
      <c r="B1222" s="237" t="s">
        <v>670</v>
      </c>
      <c r="C1222" s="257" t="s">
        <v>5178</v>
      </c>
      <c r="D1222" s="173" t="s">
        <v>5178</v>
      </c>
      <c r="E1222" s="174" t="s">
        <v>2861</v>
      </c>
      <c r="F1222" s="173" t="s">
        <v>2862</v>
      </c>
      <c r="G1222" s="328" t="s">
        <v>673</v>
      </c>
      <c r="H1222" s="328" t="s">
        <v>2863</v>
      </c>
      <c r="I1222" s="258" t="s">
        <v>2864</v>
      </c>
      <c r="J1222" s="259" t="s">
        <v>1088</v>
      </c>
      <c r="K1222" s="260" t="s">
        <v>5179</v>
      </c>
      <c r="L1222" s="328"/>
      <c r="M1222" s="343"/>
      <c r="N1222" s="173" t="s">
        <v>679</v>
      </c>
      <c r="O1222" s="173" t="s">
        <v>225</v>
      </c>
      <c r="P1222" s="262" t="str">
        <f t="shared" si="1"/>
        <v>IN-BLR-ANANTA-VAV-794_5</v>
      </c>
      <c r="Q1222" s="173" t="s">
        <v>5180</v>
      </c>
      <c r="R1222" s="328" t="str">
        <f>IFS(C1222="","",C1222="n/a","N/A",LEN(C1222),Concatenate("{",char(34),"asset",char(34),":{",char(34),"guid",char(34),":",char(34),Q1222,char(34),",",char(34),"site",char(34),":",char(34),LOWER('2-Building'!$B$4),char(34),",",char(34),"name",char(34),":",char(34),LOWER(C1222),char(34),"}}"))</f>
        <v>{"asset":{"guid":"uuid://b13645b3-16cb-4f9b-a86c-de8212dccb3e","site":"in-blr-ananta","name":"vav-794"}}</v>
      </c>
      <c r="S1222" s="237" t="s">
        <v>2866</v>
      </c>
      <c r="T1222" s="330"/>
      <c r="U1222" s="330"/>
      <c r="V1222" s="331"/>
      <c r="W1222" s="344"/>
      <c r="X1222" s="341"/>
      <c r="Y1222" s="33" t="s">
        <v>2867</v>
      </c>
      <c r="Z1222" s="258">
        <v>120794.0</v>
      </c>
      <c r="AA1222" s="334">
        <v>11503.0</v>
      </c>
      <c r="AB1222" s="341"/>
      <c r="AC1222" s="341"/>
      <c r="AD1222" s="343"/>
      <c r="AE1222" s="331"/>
      <c r="AF1222" s="348"/>
      <c r="AG1222" s="337"/>
      <c r="AH1222" s="341"/>
      <c r="AI1222" s="341"/>
      <c r="AJ1222" s="341"/>
      <c r="AK1222" s="341"/>
      <c r="AL1222" s="341"/>
      <c r="AM1222" s="338"/>
      <c r="AN1222" s="341"/>
      <c r="AO1222" s="341"/>
      <c r="AP1222" s="341"/>
      <c r="AQ1222" s="341"/>
      <c r="AR1222" s="341"/>
      <c r="AS1222" s="341"/>
      <c r="AT1222" s="341"/>
      <c r="AU1222" s="343"/>
      <c r="AV1222" s="341"/>
      <c r="AW1222" s="269" t="s">
        <v>2277</v>
      </c>
      <c r="AX1222" s="334" t="s">
        <v>2869</v>
      </c>
      <c r="AY1222" s="270" t="s">
        <v>695</v>
      </c>
      <c r="AZ1222" s="173" t="s">
        <v>2866</v>
      </c>
      <c r="BA1222" s="265">
        <v>10.0</v>
      </c>
      <c r="BB1222" s="174" t="s">
        <v>245</v>
      </c>
      <c r="BC1222" s="341"/>
      <c r="BD1222" s="308"/>
      <c r="BE1222" s="347"/>
      <c r="BF1222" s="274" t="str">
        <f>IFERROR(__xludf.DUMMYFUNCTION("LOWER(Regexreplace(to_text(E1222),""[^A-Za-z0-9]"","""")&amp;""_""&amp;Regexreplace(to_text(F1222),""[^A-Za-z0-9]"",""""))"),"neptronic_evcbseries")</f>
        <v>neptronic_evcbseries</v>
      </c>
      <c r="BG1222" s="275" t="str">
        <f>IFERROR(__xludf.DUMMYFUNCTION("upper(Regexreplace(to_text(E1222),""[^A-Za-z0-9]"","""")&amp;""-""&amp;Regexreplace(to_text(F1222),""[^A-Za-z0-9]"",""""))"),"NEPTRONIC-EVCBSERIES")</f>
        <v>NEPTRONIC-EVCBSERIES</v>
      </c>
    </row>
    <row r="1223" ht="30.0" customHeight="1">
      <c r="A1223" s="173">
        <v>1215.0</v>
      </c>
      <c r="B1223" s="237" t="s">
        <v>670</v>
      </c>
      <c r="C1223" s="257" t="s">
        <v>5181</v>
      </c>
      <c r="D1223" s="173" t="s">
        <v>5181</v>
      </c>
      <c r="E1223" s="174" t="s">
        <v>2861</v>
      </c>
      <c r="F1223" s="173" t="s">
        <v>2862</v>
      </c>
      <c r="G1223" s="328" t="s">
        <v>673</v>
      </c>
      <c r="H1223" s="328" t="s">
        <v>2863</v>
      </c>
      <c r="I1223" s="258" t="s">
        <v>2864</v>
      </c>
      <c r="J1223" s="259" t="s">
        <v>1088</v>
      </c>
      <c r="K1223" s="260" t="s">
        <v>5182</v>
      </c>
      <c r="L1223" s="328"/>
      <c r="M1223" s="343"/>
      <c r="N1223" s="173" t="s">
        <v>679</v>
      </c>
      <c r="O1223" s="173" t="s">
        <v>225</v>
      </c>
      <c r="P1223" s="262" t="str">
        <f t="shared" si="1"/>
        <v>IN-BLR-ANANTA-VAV-795_5</v>
      </c>
      <c r="Q1223" s="173" t="s">
        <v>5183</v>
      </c>
      <c r="R1223" s="328" t="str">
        <f>IFS(C1223="","",C1223="n/a","N/A",LEN(C1223),Concatenate("{",char(34),"asset",char(34),":{",char(34),"guid",char(34),":",char(34),Q1223,char(34),",",char(34),"site",char(34),":",char(34),LOWER('2-Building'!$B$4),char(34),",",char(34),"name",char(34),":",char(34),LOWER(C1223),char(34),"}}"))</f>
        <v>{"asset":{"guid":"uuid://6ff7f279-b32a-4211-aceb-7c633858de78","site":"in-blr-ananta","name":"vav-795"}}</v>
      </c>
      <c r="S1223" s="237" t="s">
        <v>2866</v>
      </c>
      <c r="T1223" s="330"/>
      <c r="U1223" s="330"/>
      <c r="V1223" s="331"/>
      <c r="W1223" s="344"/>
      <c r="X1223" s="341"/>
      <c r="Y1223" s="33" t="s">
        <v>2867</v>
      </c>
      <c r="Z1223" s="258">
        <v>120795.0</v>
      </c>
      <c r="AA1223" s="334">
        <v>11503.0</v>
      </c>
      <c r="AB1223" s="341"/>
      <c r="AC1223" s="341"/>
      <c r="AD1223" s="343"/>
      <c r="AE1223" s="331"/>
      <c r="AF1223" s="348"/>
      <c r="AG1223" s="337"/>
      <c r="AH1223" s="341"/>
      <c r="AI1223" s="341"/>
      <c r="AJ1223" s="341"/>
      <c r="AK1223" s="341"/>
      <c r="AL1223" s="341"/>
      <c r="AM1223" s="338"/>
      <c r="AN1223" s="341"/>
      <c r="AO1223" s="341"/>
      <c r="AP1223" s="341"/>
      <c r="AQ1223" s="341"/>
      <c r="AR1223" s="341"/>
      <c r="AS1223" s="341"/>
      <c r="AT1223" s="341"/>
      <c r="AU1223" s="343"/>
      <c r="AV1223" s="341"/>
      <c r="AW1223" s="269" t="s">
        <v>2277</v>
      </c>
      <c r="AX1223" s="334" t="s">
        <v>2869</v>
      </c>
      <c r="AY1223" s="270" t="s">
        <v>695</v>
      </c>
      <c r="AZ1223" s="173" t="s">
        <v>2866</v>
      </c>
      <c r="BA1223" s="265">
        <v>10.0</v>
      </c>
      <c r="BB1223" s="174" t="s">
        <v>245</v>
      </c>
      <c r="BC1223" s="341"/>
      <c r="BD1223" s="308"/>
      <c r="BE1223" s="347"/>
      <c r="BF1223" s="274" t="str">
        <f>IFERROR(__xludf.DUMMYFUNCTION("LOWER(Regexreplace(to_text(E1223),""[^A-Za-z0-9]"","""")&amp;""_""&amp;Regexreplace(to_text(F1223),""[^A-Za-z0-9]"",""""))"),"neptronic_evcbseries")</f>
        <v>neptronic_evcbseries</v>
      </c>
      <c r="BG1223" s="275" t="str">
        <f>IFERROR(__xludf.DUMMYFUNCTION("upper(Regexreplace(to_text(E1223),""[^A-Za-z0-9]"","""")&amp;""-""&amp;Regexreplace(to_text(F1223),""[^A-Za-z0-9]"",""""))"),"NEPTRONIC-EVCBSERIES")</f>
        <v>NEPTRONIC-EVCBSERIES</v>
      </c>
    </row>
    <row r="1224" ht="30.0" customHeight="1">
      <c r="A1224" s="258">
        <v>1216.0</v>
      </c>
      <c r="B1224" s="237" t="s">
        <v>670</v>
      </c>
      <c r="C1224" s="257" t="s">
        <v>5184</v>
      </c>
      <c r="D1224" s="173" t="s">
        <v>5184</v>
      </c>
      <c r="E1224" s="174" t="s">
        <v>2861</v>
      </c>
      <c r="F1224" s="173" t="s">
        <v>2862</v>
      </c>
      <c r="G1224" s="328" t="s">
        <v>673</v>
      </c>
      <c r="H1224" s="328" t="s">
        <v>2863</v>
      </c>
      <c r="I1224" s="258" t="s">
        <v>2864</v>
      </c>
      <c r="J1224" s="259" t="s">
        <v>1088</v>
      </c>
      <c r="K1224" s="260" t="s">
        <v>5185</v>
      </c>
      <c r="L1224" s="328"/>
      <c r="M1224" s="343"/>
      <c r="N1224" s="173" t="s">
        <v>679</v>
      </c>
      <c r="O1224" s="173" t="s">
        <v>225</v>
      </c>
      <c r="P1224" s="262" t="str">
        <f t="shared" si="1"/>
        <v>IN-BLR-ANANTA-VAV-796_5</v>
      </c>
      <c r="Q1224" s="173" t="s">
        <v>5186</v>
      </c>
      <c r="R1224" s="328" t="str">
        <f>IFS(C1224="","",C1224="n/a","N/A",LEN(C1224),Concatenate("{",char(34),"asset",char(34),":{",char(34),"guid",char(34),":",char(34),Q1224,char(34),",",char(34),"site",char(34),":",char(34),LOWER('2-Building'!$B$4),char(34),",",char(34),"name",char(34),":",char(34),LOWER(C1224),char(34),"}}"))</f>
        <v>{"asset":{"guid":"uuid://dfe3085d-065c-434a-a60a-418b72e7c789","site":"in-blr-ananta","name":"vav-796"}}</v>
      </c>
      <c r="S1224" s="237" t="s">
        <v>2866</v>
      </c>
      <c r="T1224" s="330"/>
      <c r="U1224" s="330"/>
      <c r="V1224" s="331"/>
      <c r="W1224" s="344"/>
      <c r="X1224" s="341"/>
      <c r="Y1224" s="33" t="s">
        <v>2867</v>
      </c>
      <c r="Z1224" s="258">
        <v>120796.0</v>
      </c>
      <c r="AA1224" s="334">
        <v>11503.0</v>
      </c>
      <c r="AB1224" s="341"/>
      <c r="AC1224" s="341"/>
      <c r="AD1224" s="343"/>
      <c r="AE1224" s="331"/>
      <c r="AF1224" s="348"/>
      <c r="AG1224" s="337"/>
      <c r="AH1224" s="341"/>
      <c r="AI1224" s="341"/>
      <c r="AJ1224" s="341"/>
      <c r="AK1224" s="341"/>
      <c r="AL1224" s="341"/>
      <c r="AM1224" s="338"/>
      <c r="AN1224" s="341"/>
      <c r="AO1224" s="341"/>
      <c r="AP1224" s="341"/>
      <c r="AQ1224" s="341"/>
      <c r="AR1224" s="341"/>
      <c r="AS1224" s="341"/>
      <c r="AT1224" s="341"/>
      <c r="AU1224" s="343"/>
      <c r="AV1224" s="341"/>
      <c r="AW1224" s="269" t="s">
        <v>2277</v>
      </c>
      <c r="AX1224" s="334" t="s">
        <v>2869</v>
      </c>
      <c r="AY1224" s="270" t="s">
        <v>695</v>
      </c>
      <c r="AZ1224" s="173" t="s">
        <v>2866</v>
      </c>
      <c r="BA1224" s="265">
        <v>10.0</v>
      </c>
      <c r="BB1224" s="174" t="s">
        <v>245</v>
      </c>
      <c r="BC1224" s="341"/>
      <c r="BD1224" s="308"/>
      <c r="BE1224" s="347"/>
      <c r="BF1224" s="274" t="str">
        <f>IFERROR(__xludf.DUMMYFUNCTION("LOWER(Regexreplace(to_text(E1224),""[^A-Za-z0-9]"","""")&amp;""_""&amp;Regexreplace(to_text(F1224),""[^A-Za-z0-9]"",""""))"),"neptronic_evcbseries")</f>
        <v>neptronic_evcbseries</v>
      </c>
      <c r="BG1224" s="275" t="str">
        <f>IFERROR(__xludf.DUMMYFUNCTION("upper(Regexreplace(to_text(E1224),""[^A-Za-z0-9]"","""")&amp;""-""&amp;Regexreplace(to_text(F1224),""[^A-Za-z0-9]"",""""))"),"NEPTRONIC-EVCBSERIES")</f>
        <v>NEPTRONIC-EVCBSERIES</v>
      </c>
    </row>
    <row r="1225" ht="30.0" customHeight="1">
      <c r="A1225" s="173">
        <v>1217.0</v>
      </c>
      <c r="B1225" s="237" t="s">
        <v>670</v>
      </c>
      <c r="C1225" s="257" t="s">
        <v>5187</v>
      </c>
      <c r="D1225" s="173" t="s">
        <v>5187</v>
      </c>
      <c r="E1225" s="174" t="s">
        <v>2861</v>
      </c>
      <c r="F1225" s="173" t="s">
        <v>2862</v>
      </c>
      <c r="G1225" s="328" t="s">
        <v>673</v>
      </c>
      <c r="H1225" s="328" t="s">
        <v>2863</v>
      </c>
      <c r="I1225" s="258" t="s">
        <v>2864</v>
      </c>
      <c r="J1225" s="259" t="s">
        <v>1088</v>
      </c>
      <c r="K1225" s="260" t="s">
        <v>5188</v>
      </c>
      <c r="L1225" s="328"/>
      <c r="M1225" s="343"/>
      <c r="N1225" s="173" t="s">
        <v>679</v>
      </c>
      <c r="O1225" s="173" t="s">
        <v>225</v>
      </c>
      <c r="P1225" s="262" t="str">
        <f t="shared" si="1"/>
        <v>IN-BLR-ANANTA-VAV-797_5</v>
      </c>
      <c r="Q1225" s="173" t="s">
        <v>5189</v>
      </c>
      <c r="R1225" s="328" t="str">
        <f>IFS(C1225="","",C1225="n/a","N/A",LEN(C1225),Concatenate("{",char(34),"asset",char(34),":{",char(34),"guid",char(34),":",char(34),Q1225,char(34),",",char(34),"site",char(34),":",char(34),LOWER('2-Building'!$B$4),char(34),",",char(34),"name",char(34),":",char(34),LOWER(C1225),char(34),"}}"))</f>
        <v>{"asset":{"guid":"uuid://b1091594-d2db-472d-bd5f-b531e32eb1d8","site":"in-blr-ananta","name":"vav-797"}}</v>
      </c>
      <c r="S1225" s="237" t="s">
        <v>2866</v>
      </c>
      <c r="T1225" s="330"/>
      <c r="U1225" s="330"/>
      <c r="V1225" s="331"/>
      <c r="W1225" s="344"/>
      <c r="X1225" s="341"/>
      <c r="Y1225" s="33" t="s">
        <v>2867</v>
      </c>
      <c r="Z1225" s="258">
        <v>120797.0</v>
      </c>
      <c r="AA1225" s="334">
        <v>11503.0</v>
      </c>
      <c r="AB1225" s="341"/>
      <c r="AC1225" s="341"/>
      <c r="AD1225" s="343"/>
      <c r="AE1225" s="331"/>
      <c r="AF1225" s="348"/>
      <c r="AG1225" s="337"/>
      <c r="AH1225" s="341"/>
      <c r="AI1225" s="341"/>
      <c r="AJ1225" s="341"/>
      <c r="AK1225" s="341"/>
      <c r="AL1225" s="341"/>
      <c r="AM1225" s="338"/>
      <c r="AN1225" s="341"/>
      <c r="AO1225" s="341"/>
      <c r="AP1225" s="341"/>
      <c r="AQ1225" s="341"/>
      <c r="AR1225" s="341"/>
      <c r="AS1225" s="341"/>
      <c r="AT1225" s="341"/>
      <c r="AU1225" s="343"/>
      <c r="AV1225" s="341"/>
      <c r="AW1225" s="269" t="s">
        <v>2277</v>
      </c>
      <c r="AX1225" s="334" t="s">
        <v>2869</v>
      </c>
      <c r="AY1225" s="270" t="s">
        <v>695</v>
      </c>
      <c r="AZ1225" s="173" t="s">
        <v>2866</v>
      </c>
      <c r="BA1225" s="265">
        <v>10.0</v>
      </c>
      <c r="BB1225" s="174" t="s">
        <v>245</v>
      </c>
      <c r="BC1225" s="341"/>
      <c r="BD1225" s="308"/>
      <c r="BE1225" s="347"/>
      <c r="BF1225" s="274" t="str">
        <f>IFERROR(__xludf.DUMMYFUNCTION("LOWER(Regexreplace(to_text(E1225),""[^A-Za-z0-9]"","""")&amp;""_""&amp;Regexreplace(to_text(F1225),""[^A-Za-z0-9]"",""""))"),"neptronic_evcbseries")</f>
        <v>neptronic_evcbseries</v>
      </c>
      <c r="BG1225" s="275" t="str">
        <f>IFERROR(__xludf.DUMMYFUNCTION("upper(Regexreplace(to_text(E1225),""[^A-Za-z0-9]"","""")&amp;""-""&amp;Regexreplace(to_text(F1225),""[^A-Za-z0-9]"",""""))"),"NEPTRONIC-EVCBSERIES")</f>
        <v>NEPTRONIC-EVCBSERIES</v>
      </c>
    </row>
    <row r="1226" ht="30.0" customHeight="1">
      <c r="A1226" s="258">
        <v>1218.0</v>
      </c>
      <c r="B1226" s="237" t="s">
        <v>670</v>
      </c>
      <c r="C1226" s="257" t="s">
        <v>5190</v>
      </c>
      <c r="D1226" s="173" t="s">
        <v>5190</v>
      </c>
      <c r="E1226" s="174" t="s">
        <v>2861</v>
      </c>
      <c r="F1226" s="173" t="s">
        <v>2862</v>
      </c>
      <c r="G1226" s="328" t="s">
        <v>673</v>
      </c>
      <c r="H1226" s="328" t="s">
        <v>2863</v>
      </c>
      <c r="I1226" s="258" t="s">
        <v>2864</v>
      </c>
      <c r="J1226" s="259" t="s">
        <v>1088</v>
      </c>
      <c r="K1226" s="260" t="s">
        <v>5191</v>
      </c>
      <c r="L1226" s="328"/>
      <c r="M1226" s="343"/>
      <c r="N1226" s="173" t="s">
        <v>679</v>
      </c>
      <c r="O1226" s="173" t="s">
        <v>225</v>
      </c>
      <c r="P1226" s="262" t="str">
        <f t="shared" si="1"/>
        <v>IN-BLR-ANANTA-VAV-798_5</v>
      </c>
      <c r="Q1226" s="173" t="s">
        <v>5192</v>
      </c>
      <c r="R1226" s="328" t="str">
        <f>IFS(C1226="","",C1226="n/a","N/A",LEN(C1226),Concatenate("{",char(34),"asset",char(34),":{",char(34),"guid",char(34),":",char(34),Q1226,char(34),",",char(34),"site",char(34),":",char(34),LOWER('2-Building'!$B$4),char(34),",",char(34),"name",char(34),":",char(34),LOWER(C1226),char(34),"}}"))</f>
        <v>{"asset":{"guid":"uuid://70c04f3d-a266-49b0-9512-f197b48269e8","site":"in-blr-ananta","name":"vav-798"}}</v>
      </c>
      <c r="S1226" s="237" t="s">
        <v>2866</v>
      </c>
      <c r="T1226" s="330"/>
      <c r="U1226" s="330"/>
      <c r="V1226" s="331"/>
      <c r="W1226" s="344"/>
      <c r="X1226" s="341"/>
      <c r="Y1226" s="33" t="s">
        <v>2867</v>
      </c>
      <c r="Z1226" s="258">
        <v>120798.0</v>
      </c>
      <c r="AA1226" s="334">
        <v>11503.0</v>
      </c>
      <c r="AB1226" s="341"/>
      <c r="AC1226" s="341"/>
      <c r="AD1226" s="343"/>
      <c r="AE1226" s="331"/>
      <c r="AF1226" s="348"/>
      <c r="AG1226" s="337"/>
      <c r="AH1226" s="341"/>
      <c r="AI1226" s="341"/>
      <c r="AJ1226" s="341"/>
      <c r="AK1226" s="341"/>
      <c r="AL1226" s="341"/>
      <c r="AM1226" s="338"/>
      <c r="AN1226" s="341"/>
      <c r="AO1226" s="341"/>
      <c r="AP1226" s="341"/>
      <c r="AQ1226" s="341"/>
      <c r="AR1226" s="341"/>
      <c r="AS1226" s="341"/>
      <c r="AT1226" s="341"/>
      <c r="AU1226" s="343"/>
      <c r="AV1226" s="341"/>
      <c r="AW1226" s="269" t="s">
        <v>2277</v>
      </c>
      <c r="AX1226" s="334" t="s">
        <v>2869</v>
      </c>
      <c r="AY1226" s="270" t="s">
        <v>695</v>
      </c>
      <c r="AZ1226" s="173" t="s">
        <v>2866</v>
      </c>
      <c r="BA1226" s="265">
        <v>10.0</v>
      </c>
      <c r="BB1226" s="174" t="s">
        <v>245</v>
      </c>
      <c r="BC1226" s="341"/>
      <c r="BD1226" s="308"/>
      <c r="BE1226" s="347"/>
      <c r="BF1226" s="274" t="str">
        <f>IFERROR(__xludf.DUMMYFUNCTION("LOWER(Regexreplace(to_text(E1226),""[^A-Za-z0-9]"","""")&amp;""_""&amp;Regexreplace(to_text(F1226),""[^A-Za-z0-9]"",""""))"),"neptronic_evcbseries")</f>
        <v>neptronic_evcbseries</v>
      </c>
      <c r="BG1226" s="275" t="str">
        <f>IFERROR(__xludf.DUMMYFUNCTION("upper(Regexreplace(to_text(E1226),""[^A-Za-z0-9]"","""")&amp;""-""&amp;Regexreplace(to_text(F1226),""[^A-Za-z0-9]"",""""))"),"NEPTRONIC-EVCBSERIES")</f>
        <v>NEPTRONIC-EVCBSERIES</v>
      </c>
    </row>
    <row r="1227" ht="30.0" customHeight="1">
      <c r="A1227" s="173">
        <v>1219.0</v>
      </c>
      <c r="B1227" s="237" t="s">
        <v>670</v>
      </c>
      <c r="C1227" s="257" t="s">
        <v>5193</v>
      </c>
      <c r="D1227" s="173" t="s">
        <v>5193</v>
      </c>
      <c r="E1227" s="174" t="s">
        <v>2861</v>
      </c>
      <c r="F1227" s="173" t="s">
        <v>2862</v>
      </c>
      <c r="G1227" s="328" t="s">
        <v>673</v>
      </c>
      <c r="H1227" s="328" t="s">
        <v>2863</v>
      </c>
      <c r="I1227" s="258" t="s">
        <v>2864</v>
      </c>
      <c r="J1227" s="259" t="s">
        <v>1088</v>
      </c>
      <c r="K1227" s="260" t="s">
        <v>5194</v>
      </c>
      <c r="L1227" s="328"/>
      <c r="M1227" s="343"/>
      <c r="N1227" s="173" t="s">
        <v>679</v>
      </c>
      <c r="O1227" s="173" t="s">
        <v>225</v>
      </c>
      <c r="P1227" s="262" t="str">
        <f t="shared" si="1"/>
        <v>IN-BLR-ANANTA-VAV-799_5</v>
      </c>
      <c r="Q1227" s="173" t="s">
        <v>5195</v>
      </c>
      <c r="R1227" s="328" t="str">
        <f>IFS(C1227="","",C1227="n/a","N/A",LEN(C1227),Concatenate("{",char(34),"asset",char(34),":{",char(34),"guid",char(34),":",char(34),Q1227,char(34),",",char(34),"site",char(34),":",char(34),LOWER('2-Building'!$B$4),char(34),",",char(34),"name",char(34),":",char(34),LOWER(C1227),char(34),"}}"))</f>
        <v>{"asset":{"guid":"uuid://69db2b1d-4193-4c0a-a660-eb91c3e19814","site":"in-blr-ananta","name":"vav-799"}}</v>
      </c>
      <c r="S1227" s="237" t="s">
        <v>2866</v>
      </c>
      <c r="T1227" s="330"/>
      <c r="U1227" s="330"/>
      <c r="V1227" s="331"/>
      <c r="W1227" s="344"/>
      <c r="X1227" s="341"/>
      <c r="Y1227" s="33" t="s">
        <v>2867</v>
      </c>
      <c r="Z1227" s="258">
        <v>120799.0</v>
      </c>
      <c r="AA1227" s="334">
        <v>11503.0</v>
      </c>
      <c r="AB1227" s="341"/>
      <c r="AC1227" s="341"/>
      <c r="AD1227" s="343"/>
      <c r="AE1227" s="331"/>
      <c r="AF1227" s="348"/>
      <c r="AG1227" s="337"/>
      <c r="AH1227" s="341"/>
      <c r="AI1227" s="341"/>
      <c r="AJ1227" s="341"/>
      <c r="AK1227" s="341"/>
      <c r="AL1227" s="341"/>
      <c r="AM1227" s="338"/>
      <c r="AN1227" s="341"/>
      <c r="AO1227" s="341"/>
      <c r="AP1227" s="341"/>
      <c r="AQ1227" s="341"/>
      <c r="AR1227" s="341"/>
      <c r="AS1227" s="341"/>
      <c r="AT1227" s="341"/>
      <c r="AU1227" s="343"/>
      <c r="AV1227" s="341"/>
      <c r="AW1227" s="269" t="s">
        <v>2277</v>
      </c>
      <c r="AX1227" s="334" t="s">
        <v>2869</v>
      </c>
      <c r="AY1227" s="270" t="s">
        <v>695</v>
      </c>
      <c r="AZ1227" s="173" t="s">
        <v>2866</v>
      </c>
      <c r="BA1227" s="265">
        <v>10.0</v>
      </c>
      <c r="BB1227" s="174" t="s">
        <v>245</v>
      </c>
      <c r="BC1227" s="341"/>
      <c r="BD1227" s="308"/>
      <c r="BE1227" s="347"/>
      <c r="BF1227" s="274" t="str">
        <f>IFERROR(__xludf.DUMMYFUNCTION("LOWER(Regexreplace(to_text(E1227),""[^A-Za-z0-9]"","""")&amp;""_""&amp;Regexreplace(to_text(F1227),""[^A-Za-z0-9]"",""""))"),"neptronic_evcbseries")</f>
        <v>neptronic_evcbseries</v>
      </c>
      <c r="BG1227" s="275" t="str">
        <f>IFERROR(__xludf.DUMMYFUNCTION("upper(Regexreplace(to_text(E1227),""[^A-Za-z0-9]"","""")&amp;""-""&amp;Regexreplace(to_text(F1227),""[^A-Za-z0-9]"",""""))"),"NEPTRONIC-EVCBSERIES")</f>
        <v>NEPTRONIC-EVCBSERIES</v>
      </c>
    </row>
    <row r="1228" ht="30.0" customHeight="1">
      <c r="A1228" s="258">
        <v>1220.0</v>
      </c>
      <c r="B1228" s="237" t="s">
        <v>670</v>
      </c>
      <c r="C1228" s="257" t="s">
        <v>5196</v>
      </c>
      <c r="D1228" s="173" t="s">
        <v>5196</v>
      </c>
      <c r="E1228" s="174" t="s">
        <v>2861</v>
      </c>
      <c r="F1228" s="173" t="s">
        <v>2862</v>
      </c>
      <c r="G1228" s="328" t="s">
        <v>673</v>
      </c>
      <c r="H1228" s="328" t="s">
        <v>2863</v>
      </c>
      <c r="I1228" s="258" t="s">
        <v>2864</v>
      </c>
      <c r="J1228" s="259" t="s">
        <v>1088</v>
      </c>
      <c r="K1228" s="260" t="s">
        <v>5197</v>
      </c>
      <c r="L1228" s="328"/>
      <c r="M1228" s="343"/>
      <c r="N1228" s="173" t="s">
        <v>679</v>
      </c>
      <c r="O1228" s="173" t="s">
        <v>225</v>
      </c>
      <c r="P1228" s="262" t="str">
        <f t="shared" si="1"/>
        <v>IN-BLR-ANANTA-VAV-800_5</v>
      </c>
      <c r="Q1228" s="173" t="s">
        <v>5198</v>
      </c>
      <c r="R1228" s="328" t="str">
        <f>IFS(C1228="","",C1228="n/a","N/A",LEN(C1228),Concatenate("{",char(34),"asset",char(34),":{",char(34),"guid",char(34),":",char(34),Q1228,char(34),",",char(34),"site",char(34),":",char(34),LOWER('2-Building'!$B$4),char(34),",",char(34),"name",char(34),":",char(34),LOWER(C1228),char(34),"}}"))</f>
        <v>{"asset":{"guid":"uuid://f44e284b-bcf8-428e-9f71-67cd37cc6b9b","site":"in-blr-ananta","name":"vav-800"}}</v>
      </c>
      <c r="S1228" s="237" t="s">
        <v>2866</v>
      </c>
      <c r="T1228" s="330"/>
      <c r="U1228" s="330"/>
      <c r="V1228" s="331"/>
      <c r="W1228" s="344"/>
      <c r="X1228" s="341"/>
      <c r="Y1228" s="33" t="s">
        <v>2867</v>
      </c>
      <c r="Z1228" s="258">
        <v>120800.0</v>
      </c>
      <c r="AA1228" s="334">
        <v>11503.0</v>
      </c>
      <c r="AB1228" s="341"/>
      <c r="AC1228" s="341"/>
      <c r="AD1228" s="343"/>
      <c r="AE1228" s="331"/>
      <c r="AF1228" s="348"/>
      <c r="AG1228" s="337"/>
      <c r="AH1228" s="341"/>
      <c r="AI1228" s="341"/>
      <c r="AJ1228" s="341"/>
      <c r="AK1228" s="341"/>
      <c r="AL1228" s="341"/>
      <c r="AM1228" s="338"/>
      <c r="AN1228" s="341"/>
      <c r="AO1228" s="341"/>
      <c r="AP1228" s="341"/>
      <c r="AQ1228" s="341"/>
      <c r="AR1228" s="341"/>
      <c r="AS1228" s="341"/>
      <c r="AT1228" s="341"/>
      <c r="AU1228" s="343"/>
      <c r="AV1228" s="341"/>
      <c r="AW1228" s="269" t="s">
        <v>2277</v>
      </c>
      <c r="AX1228" s="334" t="s">
        <v>2869</v>
      </c>
      <c r="AY1228" s="270" t="s">
        <v>695</v>
      </c>
      <c r="AZ1228" s="173" t="s">
        <v>2866</v>
      </c>
      <c r="BA1228" s="265">
        <v>10.0</v>
      </c>
      <c r="BB1228" s="174" t="s">
        <v>245</v>
      </c>
      <c r="BC1228" s="341"/>
      <c r="BD1228" s="308"/>
      <c r="BE1228" s="347"/>
      <c r="BF1228" s="274" t="str">
        <f>IFERROR(__xludf.DUMMYFUNCTION("LOWER(Regexreplace(to_text(E1228),""[^A-Za-z0-9]"","""")&amp;""_""&amp;Regexreplace(to_text(F1228),""[^A-Za-z0-9]"",""""))"),"neptronic_evcbseries")</f>
        <v>neptronic_evcbseries</v>
      </c>
      <c r="BG1228" s="275" t="str">
        <f>IFERROR(__xludf.DUMMYFUNCTION("upper(Regexreplace(to_text(E1228),""[^A-Za-z0-9]"","""")&amp;""-""&amp;Regexreplace(to_text(F1228),""[^A-Za-z0-9]"",""""))"),"NEPTRONIC-EVCBSERIES")</f>
        <v>NEPTRONIC-EVCBSERIES</v>
      </c>
    </row>
    <row r="1229" ht="30.0" customHeight="1">
      <c r="A1229" s="173">
        <v>1221.0</v>
      </c>
      <c r="B1229" s="237" t="s">
        <v>670</v>
      </c>
      <c r="C1229" s="257" t="s">
        <v>5199</v>
      </c>
      <c r="D1229" s="173" t="s">
        <v>5199</v>
      </c>
      <c r="E1229" s="174" t="s">
        <v>2861</v>
      </c>
      <c r="F1229" s="173" t="s">
        <v>2862</v>
      </c>
      <c r="G1229" s="328" t="s">
        <v>673</v>
      </c>
      <c r="H1229" s="328" t="s">
        <v>2863</v>
      </c>
      <c r="I1229" s="258" t="s">
        <v>2864</v>
      </c>
      <c r="J1229" s="259" t="s">
        <v>1088</v>
      </c>
      <c r="K1229" s="260" t="s">
        <v>5200</v>
      </c>
      <c r="L1229" s="328"/>
      <c r="M1229" s="343"/>
      <c r="N1229" s="173" t="s">
        <v>679</v>
      </c>
      <c r="O1229" s="173" t="s">
        <v>225</v>
      </c>
      <c r="P1229" s="262" t="str">
        <f t="shared" si="1"/>
        <v>IN-BLR-ANANTA-VAV-801_5</v>
      </c>
      <c r="Q1229" s="173" t="s">
        <v>5201</v>
      </c>
      <c r="R1229" s="328" t="str">
        <f>IFS(C1229="","",C1229="n/a","N/A",LEN(C1229),Concatenate("{",char(34),"asset",char(34),":{",char(34),"guid",char(34),":",char(34),Q1229,char(34),",",char(34),"site",char(34),":",char(34),LOWER('2-Building'!$B$4),char(34),",",char(34),"name",char(34),":",char(34),LOWER(C1229),char(34),"}}"))</f>
        <v>{"asset":{"guid":"uuid://fb60ff5b-370d-44d5-b106-05e9322aa224","site":"in-blr-ananta","name":"vav-801"}}</v>
      </c>
      <c r="S1229" s="237" t="s">
        <v>2866</v>
      </c>
      <c r="T1229" s="330"/>
      <c r="U1229" s="330"/>
      <c r="V1229" s="331"/>
      <c r="W1229" s="344"/>
      <c r="X1229" s="341"/>
      <c r="Y1229" s="33" t="s">
        <v>2867</v>
      </c>
      <c r="Z1229" s="258">
        <v>120801.0</v>
      </c>
      <c r="AA1229" s="334">
        <v>11503.0</v>
      </c>
      <c r="AB1229" s="341"/>
      <c r="AC1229" s="341"/>
      <c r="AD1229" s="343"/>
      <c r="AE1229" s="331"/>
      <c r="AF1229" s="348"/>
      <c r="AG1229" s="337"/>
      <c r="AH1229" s="341"/>
      <c r="AI1229" s="341"/>
      <c r="AJ1229" s="341"/>
      <c r="AK1229" s="341"/>
      <c r="AL1229" s="341"/>
      <c r="AM1229" s="338"/>
      <c r="AN1229" s="341"/>
      <c r="AO1229" s="341"/>
      <c r="AP1229" s="341"/>
      <c r="AQ1229" s="341"/>
      <c r="AR1229" s="341"/>
      <c r="AS1229" s="341"/>
      <c r="AT1229" s="341"/>
      <c r="AU1229" s="343"/>
      <c r="AV1229" s="341"/>
      <c r="AW1229" s="269" t="s">
        <v>2277</v>
      </c>
      <c r="AX1229" s="334" t="s">
        <v>2869</v>
      </c>
      <c r="AY1229" s="270" t="s">
        <v>695</v>
      </c>
      <c r="AZ1229" s="173" t="s">
        <v>2866</v>
      </c>
      <c r="BA1229" s="265">
        <v>10.0</v>
      </c>
      <c r="BB1229" s="174" t="s">
        <v>245</v>
      </c>
      <c r="BC1229" s="341"/>
      <c r="BD1229" s="308"/>
      <c r="BE1229" s="347"/>
      <c r="BF1229" s="274" t="str">
        <f>IFERROR(__xludf.DUMMYFUNCTION("LOWER(Regexreplace(to_text(E1229),""[^A-Za-z0-9]"","""")&amp;""_""&amp;Regexreplace(to_text(F1229),""[^A-Za-z0-9]"",""""))"),"neptronic_evcbseries")</f>
        <v>neptronic_evcbseries</v>
      </c>
      <c r="BG1229" s="275" t="str">
        <f>IFERROR(__xludf.DUMMYFUNCTION("upper(Regexreplace(to_text(E1229),""[^A-Za-z0-9]"","""")&amp;""-""&amp;Regexreplace(to_text(F1229),""[^A-Za-z0-9]"",""""))"),"NEPTRONIC-EVCBSERIES")</f>
        <v>NEPTRONIC-EVCBSERIES</v>
      </c>
    </row>
    <row r="1230" ht="30.0" customHeight="1">
      <c r="A1230" s="258">
        <v>1222.0</v>
      </c>
      <c r="B1230" s="237" t="s">
        <v>670</v>
      </c>
      <c r="C1230" s="257" t="s">
        <v>5202</v>
      </c>
      <c r="D1230" s="173" t="s">
        <v>5202</v>
      </c>
      <c r="E1230" s="174" t="s">
        <v>2861</v>
      </c>
      <c r="F1230" s="173" t="s">
        <v>2862</v>
      </c>
      <c r="G1230" s="328" t="s">
        <v>673</v>
      </c>
      <c r="H1230" s="328" t="s">
        <v>2863</v>
      </c>
      <c r="I1230" s="258" t="s">
        <v>2864</v>
      </c>
      <c r="J1230" s="259" t="s">
        <v>1088</v>
      </c>
      <c r="K1230" s="260" t="s">
        <v>3643</v>
      </c>
      <c r="L1230" s="328"/>
      <c r="M1230" s="343"/>
      <c r="N1230" s="173" t="s">
        <v>679</v>
      </c>
      <c r="O1230" s="173" t="s">
        <v>225</v>
      </c>
      <c r="P1230" s="262" t="str">
        <f t="shared" si="1"/>
        <v>IN-BLR-ANANTA-VAV-802_5</v>
      </c>
      <c r="Q1230" s="173" t="s">
        <v>5203</v>
      </c>
      <c r="R1230" s="328" t="str">
        <f>IFS(C1230="","",C1230="n/a","N/A",LEN(C1230),Concatenate("{",char(34),"asset",char(34),":{",char(34),"guid",char(34),":",char(34),Q1230,char(34),",",char(34),"site",char(34),":",char(34),LOWER('2-Building'!$B$4),char(34),",",char(34),"name",char(34),":",char(34),LOWER(C1230),char(34),"}}"))</f>
        <v>{"asset":{"guid":"uuid://8b7296f9-ec4d-4c9a-a778-f19f51a63ba4","site":"in-blr-ananta","name":"vav-802"}}</v>
      </c>
      <c r="S1230" s="237" t="s">
        <v>2866</v>
      </c>
      <c r="T1230" s="330"/>
      <c r="U1230" s="330"/>
      <c r="V1230" s="331"/>
      <c r="W1230" s="344"/>
      <c r="X1230" s="341"/>
      <c r="Y1230" s="33" t="s">
        <v>2867</v>
      </c>
      <c r="Z1230" s="258">
        <v>120802.0</v>
      </c>
      <c r="AA1230" s="334">
        <v>11504.0</v>
      </c>
      <c r="AB1230" s="341"/>
      <c r="AC1230" s="341"/>
      <c r="AD1230" s="343"/>
      <c r="AE1230" s="331"/>
      <c r="AF1230" s="348"/>
      <c r="AG1230" s="337"/>
      <c r="AH1230" s="341"/>
      <c r="AI1230" s="341"/>
      <c r="AJ1230" s="341"/>
      <c r="AK1230" s="341"/>
      <c r="AL1230" s="341"/>
      <c r="AM1230" s="338"/>
      <c r="AN1230" s="341"/>
      <c r="AO1230" s="341"/>
      <c r="AP1230" s="341"/>
      <c r="AQ1230" s="341"/>
      <c r="AR1230" s="341"/>
      <c r="AS1230" s="341"/>
      <c r="AT1230" s="341"/>
      <c r="AU1230" s="343"/>
      <c r="AV1230" s="341"/>
      <c r="AW1230" s="269" t="s">
        <v>2277</v>
      </c>
      <c r="AX1230" s="334" t="s">
        <v>2869</v>
      </c>
      <c r="AY1230" s="270" t="s">
        <v>695</v>
      </c>
      <c r="AZ1230" s="173" t="s">
        <v>2866</v>
      </c>
      <c r="BA1230" s="265">
        <v>10.0</v>
      </c>
      <c r="BB1230" s="174" t="s">
        <v>245</v>
      </c>
      <c r="BC1230" s="341"/>
      <c r="BD1230" s="308"/>
      <c r="BE1230" s="347"/>
      <c r="BF1230" s="274" t="str">
        <f>IFERROR(__xludf.DUMMYFUNCTION("LOWER(Regexreplace(to_text(E1230),""[^A-Za-z0-9]"","""")&amp;""_""&amp;Regexreplace(to_text(F1230),""[^A-Za-z0-9]"",""""))"),"neptronic_evcbseries")</f>
        <v>neptronic_evcbseries</v>
      </c>
      <c r="BG1230" s="275" t="str">
        <f>IFERROR(__xludf.DUMMYFUNCTION("upper(Regexreplace(to_text(E1230),""[^A-Za-z0-9]"","""")&amp;""-""&amp;Regexreplace(to_text(F1230),""[^A-Za-z0-9]"",""""))"),"NEPTRONIC-EVCBSERIES")</f>
        <v>NEPTRONIC-EVCBSERIES</v>
      </c>
    </row>
    <row r="1231" ht="30.0" customHeight="1">
      <c r="A1231" s="173">
        <v>1223.0</v>
      </c>
      <c r="B1231" s="237" t="s">
        <v>670</v>
      </c>
      <c r="C1231" s="257" t="s">
        <v>5204</v>
      </c>
      <c r="D1231" s="173" t="s">
        <v>5204</v>
      </c>
      <c r="E1231" s="174" t="s">
        <v>2861</v>
      </c>
      <c r="F1231" s="173" t="s">
        <v>2862</v>
      </c>
      <c r="G1231" s="328" t="s">
        <v>673</v>
      </c>
      <c r="H1231" s="328" t="s">
        <v>2863</v>
      </c>
      <c r="I1231" s="258" t="s">
        <v>2864</v>
      </c>
      <c r="J1231" s="259" t="s">
        <v>1088</v>
      </c>
      <c r="K1231" s="260" t="s">
        <v>5205</v>
      </c>
      <c r="L1231" s="328"/>
      <c r="M1231" s="343"/>
      <c r="N1231" s="173" t="s">
        <v>679</v>
      </c>
      <c r="O1231" s="173" t="s">
        <v>225</v>
      </c>
      <c r="P1231" s="262" t="str">
        <f t="shared" si="1"/>
        <v>IN-BLR-ANANTA-VAV-803_5</v>
      </c>
      <c r="Q1231" s="173" t="s">
        <v>5206</v>
      </c>
      <c r="R1231" s="328" t="str">
        <f>IFS(C1231="","",C1231="n/a","N/A",LEN(C1231),Concatenate("{",char(34),"asset",char(34),":{",char(34),"guid",char(34),":",char(34),Q1231,char(34),",",char(34),"site",char(34),":",char(34),LOWER('2-Building'!$B$4),char(34),",",char(34),"name",char(34),":",char(34),LOWER(C1231),char(34),"}}"))</f>
        <v>{"asset":{"guid":"uuid://79939184-7e62-4b51-be5b-6ef065ec3870","site":"in-blr-ananta","name":"vav-803"}}</v>
      </c>
      <c r="S1231" s="237" t="s">
        <v>2866</v>
      </c>
      <c r="T1231" s="330"/>
      <c r="U1231" s="330"/>
      <c r="V1231" s="331"/>
      <c r="W1231" s="344"/>
      <c r="X1231" s="341"/>
      <c r="Y1231" s="33" t="s">
        <v>2867</v>
      </c>
      <c r="Z1231" s="258">
        <v>120803.0</v>
      </c>
      <c r="AA1231" s="334">
        <v>11504.0</v>
      </c>
      <c r="AB1231" s="341"/>
      <c r="AC1231" s="341"/>
      <c r="AD1231" s="343"/>
      <c r="AE1231" s="331"/>
      <c r="AF1231" s="348"/>
      <c r="AG1231" s="337"/>
      <c r="AH1231" s="341"/>
      <c r="AI1231" s="341"/>
      <c r="AJ1231" s="341"/>
      <c r="AK1231" s="341"/>
      <c r="AL1231" s="341"/>
      <c r="AM1231" s="338"/>
      <c r="AN1231" s="341"/>
      <c r="AO1231" s="341"/>
      <c r="AP1231" s="341"/>
      <c r="AQ1231" s="341"/>
      <c r="AR1231" s="341"/>
      <c r="AS1231" s="341"/>
      <c r="AT1231" s="341"/>
      <c r="AU1231" s="343"/>
      <c r="AV1231" s="341"/>
      <c r="AW1231" s="269" t="s">
        <v>2277</v>
      </c>
      <c r="AX1231" s="334" t="s">
        <v>2869</v>
      </c>
      <c r="AY1231" s="270" t="s">
        <v>695</v>
      </c>
      <c r="AZ1231" s="173" t="s">
        <v>2866</v>
      </c>
      <c r="BA1231" s="265">
        <v>10.0</v>
      </c>
      <c r="BB1231" s="174" t="s">
        <v>245</v>
      </c>
      <c r="BC1231" s="341"/>
      <c r="BD1231" s="308"/>
      <c r="BE1231" s="347"/>
      <c r="BF1231" s="274" t="str">
        <f>IFERROR(__xludf.DUMMYFUNCTION("LOWER(Regexreplace(to_text(E1231),""[^A-Za-z0-9]"","""")&amp;""_""&amp;Regexreplace(to_text(F1231),""[^A-Za-z0-9]"",""""))"),"neptronic_evcbseries")</f>
        <v>neptronic_evcbseries</v>
      </c>
      <c r="BG1231" s="275" t="str">
        <f>IFERROR(__xludf.DUMMYFUNCTION("upper(Regexreplace(to_text(E1231),""[^A-Za-z0-9]"","""")&amp;""-""&amp;Regexreplace(to_text(F1231),""[^A-Za-z0-9]"",""""))"),"NEPTRONIC-EVCBSERIES")</f>
        <v>NEPTRONIC-EVCBSERIES</v>
      </c>
    </row>
    <row r="1232" ht="30.0" customHeight="1">
      <c r="A1232" s="258">
        <v>1224.0</v>
      </c>
      <c r="B1232" s="237" t="s">
        <v>670</v>
      </c>
      <c r="C1232" s="257" t="s">
        <v>5207</v>
      </c>
      <c r="D1232" s="173" t="s">
        <v>5207</v>
      </c>
      <c r="E1232" s="174" t="s">
        <v>2861</v>
      </c>
      <c r="F1232" s="173" t="s">
        <v>2862</v>
      </c>
      <c r="G1232" s="328" t="s">
        <v>673</v>
      </c>
      <c r="H1232" s="328" t="s">
        <v>2863</v>
      </c>
      <c r="I1232" s="258" t="s">
        <v>2864</v>
      </c>
      <c r="J1232" s="259" t="s">
        <v>1088</v>
      </c>
      <c r="K1232" s="260" t="s">
        <v>5208</v>
      </c>
      <c r="L1232" s="328"/>
      <c r="M1232" s="343"/>
      <c r="N1232" s="173" t="s">
        <v>679</v>
      </c>
      <c r="O1232" s="173" t="s">
        <v>225</v>
      </c>
      <c r="P1232" s="262" t="str">
        <f t="shared" si="1"/>
        <v>IN-BLR-ANANTA-VAV-804_5</v>
      </c>
      <c r="Q1232" s="173" t="s">
        <v>5209</v>
      </c>
      <c r="R1232" s="328" t="str">
        <f>IFS(C1232="","",C1232="n/a","N/A",LEN(C1232),Concatenate("{",char(34),"asset",char(34),":{",char(34),"guid",char(34),":",char(34),Q1232,char(34),",",char(34),"site",char(34),":",char(34),LOWER('2-Building'!$B$4),char(34),",",char(34),"name",char(34),":",char(34),LOWER(C1232),char(34),"}}"))</f>
        <v>{"asset":{"guid":"uuid://992a3c3d-c45d-48e8-bf2b-510b938e417e","site":"in-blr-ananta","name":"vav-804"}}</v>
      </c>
      <c r="S1232" s="237" t="s">
        <v>2866</v>
      </c>
      <c r="T1232" s="330"/>
      <c r="U1232" s="330"/>
      <c r="V1232" s="331"/>
      <c r="W1232" s="344"/>
      <c r="X1232" s="341"/>
      <c r="Y1232" s="33" t="s">
        <v>2867</v>
      </c>
      <c r="Z1232" s="258">
        <v>120804.0</v>
      </c>
      <c r="AA1232" s="334">
        <v>11504.0</v>
      </c>
      <c r="AB1232" s="341"/>
      <c r="AC1232" s="341"/>
      <c r="AD1232" s="343"/>
      <c r="AE1232" s="331"/>
      <c r="AF1232" s="348"/>
      <c r="AG1232" s="337"/>
      <c r="AH1232" s="341"/>
      <c r="AI1232" s="341"/>
      <c r="AJ1232" s="341"/>
      <c r="AK1232" s="341"/>
      <c r="AL1232" s="341"/>
      <c r="AM1232" s="338"/>
      <c r="AN1232" s="341"/>
      <c r="AO1232" s="341"/>
      <c r="AP1232" s="341"/>
      <c r="AQ1232" s="341"/>
      <c r="AR1232" s="341"/>
      <c r="AS1232" s="341"/>
      <c r="AT1232" s="341"/>
      <c r="AU1232" s="343"/>
      <c r="AV1232" s="341"/>
      <c r="AW1232" s="269" t="s">
        <v>2277</v>
      </c>
      <c r="AX1232" s="334" t="s">
        <v>2869</v>
      </c>
      <c r="AY1232" s="270" t="s">
        <v>695</v>
      </c>
      <c r="AZ1232" s="173" t="s">
        <v>2866</v>
      </c>
      <c r="BA1232" s="265">
        <v>10.0</v>
      </c>
      <c r="BB1232" s="174" t="s">
        <v>245</v>
      </c>
      <c r="BC1232" s="341"/>
      <c r="BD1232" s="308"/>
      <c r="BE1232" s="347"/>
      <c r="BF1232" s="274" t="str">
        <f>IFERROR(__xludf.DUMMYFUNCTION("LOWER(Regexreplace(to_text(E1232),""[^A-Za-z0-9]"","""")&amp;""_""&amp;Regexreplace(to_text(F1232),""[^A-Za-z0-9]"",""""))"),"neptronic_evcbseries")</f>
        <v>neptronic_evcbseries</v>
      </c>
      <c r="BG1232" s="275" t="str">
        <f>IFERROR(__xludf.DUMMYFUNCTION("upper(Regexreplace(to_text(E1232),""[^A-Za-z0-9]"","""")&amp;""-""&amp;Regexreplace(to_text(F1232),""[^A-Za-z0-9]"",""""))"),"NEPTRONIC-EVCBSERIES")</f>
        <v>NEPTRONIC-EVCBSERIES</v>
      </c>
    </row>
    <row r="1233" ht="30.0" customHeight="1">
      <c r="A1233" s="173">
        <v>1225.0</v>
      </c>
      <c r="B1233" s="237" t="s">
        <v>670</v>
      </c>
      <c r="C1233" s="257" t="s">
        <v>5210</v>
      </c>
      <c r="D1233" s="173" t="s">
        <v>5210</v>
      </c>
      <c r="E1233" s="174" t="s">
        <v>2861</v>
      </c>
      <c r="F1233" s="173" t="s">
        <v>2862</v>
      </c>
      <c r="G1233" s="328" t="s">
        <v>673</v>
      </c>
      <c r="H1233" s="328" t="s">
        <v>2863</v>
      </c>
      <c r="I1233" s="258" t="s">
        <v>2864</v>
      </c>
      <c r="J1233" s="259" t="s">
        <v>1088</v>
      </c>
      <c r="K1233" s="260" t="s">
        <v>5211</v>
      </c>
      <c r="L1233" s="328"/>
      <c r="M1233" s="343"/>
      <c r="N1233" s="173" t="s">
        <v>679</v>
      </c>
      <c r="O1233" s="173" t="s">
        <v>225</v>
      </c>
      <c r="P1233" s="262" t="str">
        <f t="shared" si="1"/>
        <v>IN-BLR-ANANTA-VAV-805_5</v>
      </c>
      <c r="Q1233" s="173" t="s">
        <v>5212</v>
      </c>
      <c r="R1233" s="328" t="str">
        <f>IFS(C1233="","",C1233="n/a","N/A",LEN(C1233),Concatenate("{",char(34),"asset",char(34),":{",char(34),"guid",char(34),":",char(34),Q1233,char(34),",",char(34),"site",char(34),":",char(34),LOWER('2-Building'!$B$4),char(34),",",char(34),"name",char(34),":",char(34),LOWER(C1233),char(34),"}}"))</f>
        <v>{"asset":{"guid":"uuid://69a5c84e-6155-4a65-a6d7-f44d7ee39667","site":"in-blr-ananta","name":"vav-805"}}</v>
      </c>
      <c r="S1233" s="237" t="s">
        <v>2866</v>
      </c>
      <c r="T1233" s="330"/>
      <c r="U1233" s="330"/>
      <c r="V1233" s="331"/>
      <c r="W1233" s="344"/>
      <c r="X1233" s="341"/>
      <c r="Y1233" s="33" t="s">
        <v>2867</v>
      </c>
      <c r="Z1233" s="258">
        <v>120805.0</v>
      </c>
      <c r="AA1233" s="334">
        <v>11504.0</v>
      </c>
      <c r="AB1233" s="341"/>
      <c r="AC1233" s="341"/>
      <c r="AD1233" s="343"/>
      <c r="AE1233" s="331"/>
      <c r="AF1233" s="348"/>
      <c r="AG1233" s="337"/>
      <c r="AH1233" s="341"/>
      <c r="AI1233" s="341"/>
      <c r="AJ1233" s="341"/>
      <c r="AK1233" s="341"/>
      <c r="AL1233" s="341"/>
      <c r="AM1233" s="338"/>
      <c r="AN1233" s="341"/>
      <c r="AO1233" s="341"/>
      <c r="AP1233" s="341"/>
      <c r="AQ1233" s="341"/>
      <c r="AR1233" s="341"/>
      <c r="AS1233" s="341"/>
      <c r="AT1233" s="341"/>
      <c r="AU1233" s="343"/>
      <c r="AV1233" s="341"/>
      <c r="AW1233" s="269" t="s">
        <v>2277</v>
      </c>
      <c r="AX1233" s="334" t="s">
        <v>2869</v>
      </c>
      <c r="AY1233" s="270" t="s">
        <v>695</v>
      </c>
      <c r="AZ1233" s="173" t="s">
        <v>2866</v>
      </c>
      <c r="BA1233" s="265">
        <v>10.0</v>
      </c>
      <c r="BB1233" s="174" t="s">
        <v>245</v>
      </c>
      <c r="BC1233" s="341"/>
      <c r="BD1233" s="308"/>
      <c r="BE1233" s="347"/>
      <c r="BF1233" s="274" t="str">
        <f>IFERROR(__xludf.DUMMYFUNCTION("LOWER(Regexreplace(to_text(E1233),""[^A-Za-z0-9]"","""")&amp;""_""&amp;Regexreplace(to_text(F1233),""[^A-Za-z0-9]"",""""))"),"neptronic_evcbseries")</f>
        <v>neptronic_evcbseries</v>
      </c>
      <c r="BG1233" s="275" t="str">
        <f>IFERROR(__xludf.DUMMYFUNCTION("upper(Regexreplace(to_text(E1233),""[^A-Za-z0-9]"","""")&amp;""-""&amp;Regexreplace(to_text(F1233),""[^A-Za-z0-9]"",""""))"),"NEPTRONIC-EVCBSERIES")</f>
        <v>NEPTRONIC-EVCBSERIES</v>
      </c>
    </row>
    <row r="1234" ht="30.0" customHeight="1">
      <c r="A1234" s="258">
        <v>1226.0</v>
      </c>
      <c r="B1234" s="237" t="s">
        <v>670</v>
      </c>
      <c r="C1234" s="257" t="s">
        <v>5213</v>
      </c>
      <c r="D1234" s="173" t="s">
        <v>5213</v>
      </c>
      <c r="E1234" s="174" t="s">
        <v>2861</v>
      </c>
      <c r="F1234" s="173" t="s">
        <v>2862</v>
      </c>
      <c r="G1234" s="328" t="s">
        <v>673</v>
      </c>
      <c r="H1234" s="328" t="s">
        <v>2863</v>
      </c>
      <c r="I1234" s="258" t="s">
        <v>2864</v>
      </c>
      <c r="J1234" s="259" t="s">
        <v>1088</v>
      </c>
      <c r="K1234" s="260" t="s">
        <v>5214</v>
      </c>
      <c r="L1234" s="328"/>
      <c r="M1234" s="343"/>
      <c r="N1234" s="173" t="s">
        <v>679</v>
      </c>
      <c r="O1234" s="173" t="s">
        <v>225</v>
      </c>
      <c r="P1234" s="262" t="str">
        <f t="shared" si="1"/>
        <v>IN-BLR-ANANTA-VAV-806_5</v>
      </c>
      <c r="Q1234" s="173" t="s">
        <v>5215</v>
      </c>
      <c r="R1234" s="328" t="str">
        <f>IFS(C1234="","",C1234="n/a","N/A",LEN(C1234),Concatenate("{",char(34),"asset",char(34),":{",char(34),"guid",char(34),":",char(34),Q1234,char(34),",",char(34),"site",char(34),":",char(34),LOWER('2-Building'!$B$4),char(34),",",char(34),"name",char(34),":",char(34),LOWER(C1234),char(34),"}}"))</f>
        <v>{"asset":{"guid":"uuid://3b0049eb-a343-4e7b-979e-9b680f275e23","site":"in-blr-ananta","name":"vav-806"}}</v>
      </c>
      <c r="S1234" s="237" t="s">
        <v>2866</v>
      </c>
      <c r="T1234" s="330"/>
      <c r="U1234" s="330"/>
      <c r="V1234" s="331"/>
      <c r="W1234" s="344"/>
      <c r="X1234" s="341"/>
      <c r="Y1234" s="33" t="s">
        <v>2867</v>
      </c>
      <c r="Z1234" s="258">
        <v>120806.0</v>
      </c>
      <c r="AA1234" s="334">
        <v>11504.0</v>
      </c>
      <c r="AB1234" s="341"/>
      <c r="AC1234" s="341"/>
      <c r="AD1234" s="343"/>
      <c r="AE1234" s="331"/>
      <c r="AF1234" s="348"/>
      <c r="AG1234" s="337"/>
      <c r="AH1234" s="341"/>
      <c r="AI1234" s="341"/>
      <c r="AJ1234" s="341"/>
      <c r="AK1234" s="341"/>
      <c r="AL1234" s="341"/>
      <c r="AM1234" s="338"/>
      <c r="AN1234" s="341"/>
      <c r="AO1234" s="341"/>
      <c r="AP1234" s="341"/>
      <c r="AQ1234" s="341"/>
      <c r="AR1234" s="341"/>
      <c r="AS1234" s="341"/>
      <c r="AT1234" s="341"/>
      <c r="AU1234" s="343"/>
      <c r="AV1234" s="341"/>
      <c r="AW1234" s="269" t="s">
        <v>2277</v>
      </c>
      <c r="AX1234" s="334" t="s">
        <v>2869</v>
      </c>
      <c r="AY1234" s="270" t="s">
        <v>695</v>
      </c>
      <c r="AZ1234" s="173" t="s">
        <v>2866</v>
      </c>
      <c r="BA1234" s="265">
        <v>10.0</v>
      </c>
      <c r="BB1234" s="174" t="s">
        <v>245</v>
      </c>
      <c r="BC1234" s="341"/>
      <c r="BD1234" s="308"/>
      <c r="BE1234" s="347"/>
      <c r="BF1234" s="274" t="str">
        <f>IFERROR(__xludf.DUMMYFUNCTION("LOWER(Regexreplace(to_text(E1234),""[^A-Za-z0-9]"","""")&amp;""_""&amp;Regexreplace(to_text(F1234),""[^A-Za-z0-9]"",""""))"),"neptronic_evcbseries")</f>
        <v>neptronic_evcbseries</v>
      </c>
      <c r="BG1234" s="275" t="str">
        <f>IFERROR(__xludf.DUMMYFUNCTION("upper(Regexreplace(to_text(E1234),""[^A-Za-z0-9]"","""")&amp;""-""&amp;Regexreplace(to_text(F1234),""[^A-Za-z0-9]"",""""))"),"NEPTRONIC-EVCBSERIES")</f>
        <v>NEPTRONIC-EVCBSERIES</v>
      </c>
    </row>
    <row r="1235" ht="30.0" customHeight="1">
      <c r="A1235" s="173">
        <v>1227.0</v>
      </c>
      <c r="B1235" s="237" t="s">
        <v>670</v>
      </c>
      <c r="C1235" s="257" t="s">
        <v>5216</v>
      </c>
      <c r="D1235" s="173" t="s">
        <v>5216</v>
      </c>
      <c r="E1235" s="174" t="s">
        <v>2861</v>
      </c>
      <c r="F1235" s="173" t="s">
        <v>2862</v>
      </c>
      <c r="G1235" s="328" t="s">
        <v>673</v>
      </c>
      <c r="H1235" s="328" t="s">
        <v>2863</v>
      </c>
      <c r="I1235" s="258" t="s">
        <v>2864</v>
      </c>
      <c r="J1235" s="259" t="s">
        <v>1088</v>
      </c>
      <c r="K1235" s="260" t="s">
        <v>5217</v>
      </c>
      <c r="L1235" s="328"/>
      <c r="M1235" s="343"/>
      <c r="N1235" s="173" t="s">
        <v>679</v>
      </c>
      <c r="O1235" s="173" t="s">
        <v>225</v>
      </c>
      <c r="P1235" s="262" t="str">
        <f t="shared" si="1"/>
        <v>IN-BLR-ANANTA-VAV-807_5</v>
      </c>
      <c r="Q1235" s="173" t="s">
        <v>5218</v>
      </c>
      <c r="R1235" s="328" t="str">
        <f>IFS(C1235="","",C1235="n/a","N/A",LEN(C1235),Concatenate("{",char(34),"asset",char(34),":{",char(34),"guid",char(34),":",char(34),Q1235,char(34),",",char(34),"site",char(34),":",char(34),LOWER('2-Building'!$B$4),char(34),",",char(34),"name",char(34),":",char(34),LOWER(C1235),char(34),"}}"))</f>
        <v>{"asset":{"guid":"uuid://6aba8d85-0c03-44c9-ad93-7a84127d51ae","site":"in-blr-ananta","name":"vav-807"}}</v>
      </c>
      <c r="S1235" s="237" t="s">
        <v>2866</v>
      </c>
      <c r="T1235" s="330"/>
      <c r="U1235" s="330"/>
      <c r="V1235" s="331"/>
      <c r="W1235" s="344"/>
      <c r="X1235" s="341"/>
      <c r="Y1235" s="33" t="s">
        <v>2867</v>
      </c>
      <c r="Z1235" s="258">
        <v>120807.0</v>
      </c>
      <c r="AA1235" s="334">
        <v>11504.0</v>
      </c>
      <c r="AB1235" s="341"/>
      <c r="AC1235" s="341"/>
      <c r="AD1235" s="343"/>
      <c r="AE1235" s="331"/>
      <c r="AF1235" s="348"/>
      <c r="AG1235" s="337"/>
      <c r="AH1235" s="341"/>
      <c r="AI1235" s="341"/>
      <c r="AJ1235" s="341"/>
      <c r="AK1235" s="341"/>
      <c r="AL1235" s="341"/>
      <c r="AM1235" s="338"/>
      <c r="AN1235" s="341"/>
      <c r="AO1235" s="341"/>
      <c r="AP1235" s="341"/>
      <c r="AQ1235" s="341"/>
      <c r="AR1235" s="341"/>
      <c r="AS1235" s="341"/>
      <c r="AT1235" s="341"/>
      <c r="AU1235" s="343"/>
      <c r="AV1235" s="341"/>
      <c r="AW1235" s="269" t="s">
        <v>2277</v>
      </c>
      <c r="AX1235" s="334" t="s">
        <v>2869</v>
      </c>
      <c r="AY1235" s="270" t="s">
        <v>695</v>
      </c>
      <c r="AZ1235" s="173" t="s">
        <v>2866</v>
      </c>
      <c r="BA1235" s="265">
        <v>10.0</v>
      </c>
      <c r="BB1235" s="174" t="s">
        <v>245</v>
      </c>
      <c r="BC1235" s="341"/>
      <c r="BD1235" s="308"/>
      <c r="BE1235" s="347"/>
      <c r="BF1235" s="274" t="str">
        <f>IFERROR(__xludf.DUMMYFUNCTION("LOWER(Regexreplace(to_text(E1235),""[^A-Za-z0-9]"","""")&amp;""_""&amp;Regexreplace(to_text(F1235),""[^A-Za-z0-9]"",""""))"),"neptronic_evcbseries")</f>
        <v>neptronic_evcbseries</v>
      </c>
      <c r="BG1235" s="275" t="str">
        <f>IFERROR(__xludf.DUMMYFUNCTION("upper(Regexreplace(to_text(E1235),""[^A-Za-z0-9]"","""")&amp;""-""&amp;Regexreplace(to_text(F1235),""[^A-Za-z0-9]"",""""))"),"NEPTRONIC-EVCBSERIES")</f>
        <v>NEPTRONIC-EVCBSERIES</v>
      </c>
    </row>
    <row r="1236" ht="30.0" customHeight="1">
      <c r="A1236" s="258">
        <v>1228.0</v>
      </c>
      <c r="B1236" s="237" t="s">
        <v>670</v>
      </c>
      <c r="C1236" s="257" t="s">
        <v>5219</v>
      </c>
      <c r="D1236" s="173" t="s">
        <v>5219</v>
      </c>
      <c r="E1236" s="174" t="s">
        <v>2861</v>
      </c>
      <c r="F1236" s="173" t="s">
        <v>2862</v>
      </c>
      <c r="G1236" s="328" t="s">
        <v>673</v>
      </c>
      <c r="H1236" s="328" t="s">
        <v>2863</v>
      </c>
      <c r="I1236" s="258" t="s">
        <v>2864</v>
      </c>
      <c r="J1236" s="259" t="s">
        <v>1088</v>
      </c>
      <c r="K1236" s="260" t="s">
        <v>5220</v>
      </c>
      <c r="L1236" s="328"/>
      <c r="M1236" s="343"/>
      <c r="N1236" s="173" t="s">
        <v>679</v>
      </c>
      <c r="O1236" s="173" t="s">
        <v>225</v>
      </c>
      <c r="P1236" s="262" t="str">
        <f t="shared" si="1"/>
        <v>IN-BLR-ANANTA-VAV-808_5</v>
      </c>
      <c r="Q1236" s="173" t="s">
        <v>5221</v>
      </c>
      <c r="R1236" s="328" t="str">
        <f>IFS(C1236="","",C1236="n/a","N/A",LEN(C1236),Concatenate("{",char(34),"asset",char(34),":{",char(34),"guid",char(34),":",char(34),Q1236,char(34),",",char(34),"site",char(34),":",char(34),LOWER('2-Building'!$B$4),char(34),",",char(34),"name",char(34),":",char(34),LOWER(C1236),char(34),"}}"))</f>
        <v>{"asset":{"guid":"uuid://ff510cb4-20a3-4165-b762-c475730a9d4a","site":"in-blr-ananta","name":"vav-808"}}</v>
      </c>
      <c r="S1236" s="237" t="s">
        <v>2866</v>
      </c>
      <c r="T1236" s="330"/>
      <c r="U1236" s="330"/>
      <c r="V1236" s="331"/>
      <c r="W1236" s="344"/>
      <c r="X1236" s="341"/>
      <c r="Y1236" s="33" t="s">
        <v>2867</v>
      </c>
      <c r="Z1236" s="258">
        <v>120808.0</v>
      </c>
      <c r="AA1236" s="334">
        <v>11504.0</v>
      </c>
      <c r="AB1236" s="341"/>
      <c r="AC1236" s="341"/>
      <c r="AD1236" s="343"/>
      <c r="AE1236" s="331"/>
      <c r="AF1236" s="348"/>
      <c r="AG1236" s="337"/>
      <c r="AH1236" s="341"/>
      <c r="AI1236" s="341"/>
      <c r="AJ1236" s="341"/>
      <c r="AK1236" s="341"/>
      <c r="AL1236" s="341"/>
      <c r="AM1236" s="338"/>
      <c r="AN1236" s="341"/>
      <c r="AO1236" s="341"/>
      <c r="AP1236" s="341"/>
      <c r="AQ1236" s="341"/>
      <c r="AR1236" s="341"/>
      <c r="AS1236" s="341"/>
      <c r="AT1236" s="341"/>
      <c r="AU1236" s="343"/>
      <c r="AV1236" s="341"/>
      <c r="AW1236" s="269" t="s">
        <v>2277</v>
      </c>
      <c r="AX1236" s="334" t="s">
        <v>2869</v>
      </c>
      <c r="AY1236" s="270" t="s">
        <v>695</v>
      </c>
      <c r="AZ1236" s="173" t="s">
        <v>2866</v>
      </c>
      <c r="BA1236" s="265">
        <v>10.0</v>
      </c>
      <c r="BB1236" s="174" t="s">
        <v>245</v>
      </c>
      <c r="BC1236" s="341"/>
      <c r="BD1236" s="308"/>
      <c r="BE1236" s="347"/>
      <c r="BF1236" s="274" t="str">
        <f>IFERROR(__xludf.DUMMYFUNCTION("LOWER(Regexreplace(to_text(E1236),""[^A-Za-z0-9]"","""")&amp;""_""&amp;Regexreplace(to_text(F1236),""[^A-Za-z0-9]"",""""))"),"neptronic_evcbseries")</f>
        <v>neptronic_evcbseries</v>
      </c>
      <c r="BG1236" s="275" t="str">
        <f>IFERROR(__xludf.DUMMYFUNCTION("upper(Regexreplace(to_text(E1236),""[^A-Za-z0-9]"","""")&amp;""-""&amp;Regexreplace(to_text(F1236),""[^A-Za-z0-9]"",""""))"),"NEPTRONIC-EVCBSERIES")</f>
        <v>NEPTRONIC-EVCBSERIES</v>
      </c>
    </row>
    <row r="1237" ht="30.0" customHeight="1">
      <c r="A1237" s="173">
        <v>1229.0</v>
      </c>
      <c r="B1237" s="237" t="s">
        <v>670</v>
      </c>
      <c r="C1237" s="257" t="s">
        <v>5222</v>
      </c>
      <c r="D1237" s="173" t="s">
        <v>5222</v>
      </c>
      <c r="E1237" s="174" t="s">
        <v>2861</v>
      </c>
      <c r="F1237" s="173" t="s">
        <v>2862</v>
      </c>
      <c r="G1237" s="328" t="s">
        <v>673</v>
      </c>
      <c r="H1237" s="328" t="s">
        <v>2863</v>
      </c>
      <c r="I1237" s="258" t="s">
        <v>2864</v>
      </c>
      <c r="J1237" s="259" t="s">
        <v>1088</v>
      </c>
      <c r="K1237" s="260" t="s">
        <v>5223</v>
      </c>
      <c r="L1237" s="328"/>
      <c r="M1237" s="343"/>
      <c r="N1237" s="173" t="s">
        <v>679</v>
      </c>
      <c r="O1237" s="173" t="s">
        <v>225</v>
      </c>
      <c r="P1237" s="262" t="str">
        <f t="shared" si="1"/>
        <v>IN-BLR-ANANTA-VAV-809_5</v>
      </c>
      <c r="Q1237" s="173" t="s">
        <v>5224</v>
      </c>
      <c r="R1237" s="328" t="str">
        <f>IFS(C1237="","",C1237="n/a","N/A",LEN(C1237),Concatenate("{",char(34),"asset",char(34),":{",char(34),"guid",char(34),":",char(34),Q1237,char(34),",",char(34),"site",char(34),":",char(34),LOWER('2-Building'!$B$4),char(34),",",char(34),"name",char(34),":",char(34),LOWER(C1237),char(34),"}}"))</f>
        <v>{"asset":{"guid":"uuid://eff16b47-3f23-4cbb-8ae1-4e63c6c1953f","site":"in-blr-ananta","name":"vav-809"}}</v>
      </c>
      <c r="S1237" s="237" t="s">
        <v>2866</v>
      </c>
      <c r="T1237" s="330"/>
      <c r="U1237" s="330"/>
      <c r="V1237" s="331"/>
      <c r="W1237" s="344"/>
      <c r="X1237" s="341"/>
      <c r="Y1237" s="33" t="s">
        <v>2867</v>
      </c>
      <c r="Z1237" s="258">
        <v>120809.0</v>
      </c>
      <c r="AA1237" s="334">
        <v>11504.0</v>
      </c>
      <c r="AB1237" s="341"/>
      <c r="AC1237" s="341"/>
      <c r="AD1237" s="343"/>
      <c r="AE1237" s="331"/>
      <c r="AF1237" s="348"/>
      <c r="AG1237" s="337"/>
      <c r="AH1237" s="341"/>
      <c r="AI1237" s="341"/>
      <c r="AJ1237" s="341"/>
      <c r="AK1237" s="341"/>
      <c r="AL1237" s="341"/>
      <c r="AM1237" s="338"/>
      <c r="AN1237" s="341"/>
      <c r="AO1237" s="341"/>
      <c r="AP1237" s="341"/>
      <c r="AQ1237" s="341"/>
      <c r="AR1237" s="341"/>
      <c r="AS1237" s="341"/>
      <c r="AT1237" s="341"/>
      <c r="AU1237" s="343"/>
      <c r="AV1237" s="341"/>
      <c r="AW1237" s="269" t="s">
        <v>2277</v>
      </c>
      <c r="AX1237" s="334" t="s">
        <v>2869</v>
      </c>
      <c r="AY1237" s="270" t="s">
        <v>695</v>
      </c>
      <c r="AZ1237" s="173" t="s">
        <v>2866</v>
      </c>
      <c r="BA1237" s="265">
        <v>10.0</v>
      </c>
      <c r="BB1237" s="174" t="s">
        <v>245</v>
      </c>
      <c r="BC1237" s="341"/>
      <c r="BD1237" s="308"/>
      <c r="BE1237" s="347"/>
      <c r="BF1237" s="274" t="str">
        <f>IFERROR(__xludf.DUMMYFUNCTION("LOWER(Regexreplace(to_text(E1237),""[^A-Za-z0-9]"","""")&amp;""_""&amp;Regexreplace(to_text(F1237),""[^A-Za-z0-9]"",""""))"),"neptronic_evcbseries")</f>
        <v>neptronic_evcbseries</v>
      </c>
      <c r="BG1237" s="275" t="str">
        <f>IFERROR(__xludf.DUMMYFUNCTION("upper(Regexreplace(to_text(E1237),""[^A-Za-z0-9]"","""")&amp;""-""&amp;Regexreplace(to_text(F1237),""[^A-Za-z0-9]"",""""))"),"NEPTRONIC-EVCBSERIES")</f>
        <v>NEPTRONIC-EVCBSERIES</v>
      </c>
    </row>
    <row r="1238" ht="30.0" customHeight="1">
      <c r="A1238" s="258">
        <v>1230.0</v>
      </c>
      <c r="B1238" s="237" t="s">
        <v>670</v>
      </c>
      <c r="C1238" s="257" t="s">
        <v>5225</v>
      </c>
      <c r="D1238" s="173" t="s">
        <v>5225</v>
      </c>
      <c r="E1238" s="174" t="s">
        <v>2861</v>
      </c>
      <c r="F1238" s="173" t="s">
        <v>2862</v>
      </c>
      <c r="G1238" s="328" t="s">
        <v>673</v>
      </c>
      <c r="H1238" s="328" t="s">
        <v>2863</v>
      </c>
      <c r="I1238" s="258" t="s">
        <v>2864</v>
      </c>
      <c r="J1238" s="259" t="s">
        <v>1088</v>
      </c>
      <c r="K1238" s="260" t="s">
        <v>5226</v>
      </c>
      <c r="L1238" s="328"/>
      <c r="M1238" s="343"/>
      <c r="N1238" s="173" t="s">
        <v>679</v>
      </c>
      <c r="O1238" s="173" t="s">
        <v>225</v>
      </c>
      <c r="P1238" s="262" t="str">
        <f t="shared" si="1"/>
        <v>IN-BLR-ANANTA-VAV-810_5</v>
      </c>
      <c r="Q1238" s="173" t="s">
        <v>5227</v>
      </c>
      <c r="R1238" s="328" t="str">
        <f>IFS(C1238="","",C1238="n/a","N/A",LEN(C1238),Concatenate("{",char(34),"asset",char(34),":{",char(34),"guid",char(34),":",char(34),Q1238,char(34),",",char(34),"site",char(34),":",char(34),LOWER('2-Building'!$B$4),char(34),",",char(34),"name",char(34),":",char(34),LOWER(C1238),char(34),"}}"))</f>
        <v>{"asset":{"guid":"uuid://2a549f72-a7d3-4c07-afa2-3fa8e4fcdebb","site":"in-blr-ananta","name":"vav-810"}}</v>
      </c>
      <c r="S1238" s="237" t="s">
        <v>2866</v>
      </c>
      <c r="T1238" s="330"/>
      <c r="U1238" s="330"/>
      <c r="V1238" s="331"/>
      <c r="W1238" s="344"/>
      <c r="X1238" s="341"/>
      <c r="Y1238" s="33" t="s">
        <v>2867</v>
      </c>
      <c r="Z1238" s="258">
        <v>120810.0</v>
      </c>
      <c r="AA1238" s="334">
        <v>11504.0</v>
      </c>
      <c r="AB1238" s="341"/>
      <c r="AC1238" s="341"/>
      <c r="AD1238" s="343"/>
      <c r="AE1238" s="331"/>
      <c r="AF1238" s="348"/>
      <c r="AG1238" s="337"/>
      <c r="AH1238" s="341"/>
      <c r="AI1238" s="341"/>
      <c r="AJ1238" s="341"/>
      <c r="AK1238" s="341"/>
      <c r="AL1238" s="341"/>
      <c r="AM1238" s="338"/>
      <c r="AN1238" s="341"/>
      <c r="AO1238" s="341"/>
      <c r="AP1238" s="341"/>
      <c r="AQ1238" s="341"/>
      <c r="AR1238" s="341"/>
      <c r="AS1238" s="341"/>
      <c r="AT1238" s="341"/>
      <c r="AU1238" s="343"/>
      <c r="AV1238" s="341"/>
      <c r="AW1238" s="269" t="s">
        <v>2277</v>
      </c>
      <c r="AX1238" s="334" t="s">
        <v>2869</v>
      </c>
      <c r="AY1238" s="270" t="s">
        <v>695</v>
      </c>
      <c r="AZ1238" s="173" t="s">
        <v>2866</v>
      </c>
      <c r="BA1238" s="265">
        <v>10.0</v>
      </c>
      <c r="BB1238" s="174" t="s">
        <v>245</v>
      </c>
      <c r="BC1238" s="341"/>
      <c r="BD1238" s="308"/>
      <c r="BE1238" s="347"/>
      <c r="BF1238" s="274" t="str">
        <f>IFERROR(__xludf.DUMMYFUNCTION("LOWER(Regexreplace(to_text(E1238),""[^A-Za-z0-9]"","""")&amp;""_""&amp;Regexreplace(to_text(F1238),""[^A-Za-z0-9]"",""""))"),"neptronic_evcbseries")</f>
        <v>neptronic_evcbseries</v>
      </c>
      <c r="BG1238" s="275" t="str">
        <f>IFERROR(__xludf.DUMMYFUNCTION("upper(Regexreplace(to_text(E1238),""[^A-Za-z0-9]"","""")&amp;""-""&amp;Regexreplace(to_text(F1238),""[^A-Za-z0-9]"",""""))"),"NEPTRONIC-EVCBSERIES")</f>
        <v>NEPTRONIC-EVCBSERIES</v>
      </c>
    </row>
    <row r="1239" ht="30.0" customHeight="1">
      <c r="A1239" s="173">
        <v>1231.0</v>
      </c>
      <c r="B1239" s="237" t="s">
        <v>670</v>
      </c>
      <c r="C1239" s="257" t="s">
        <v>5228</v>
      </c>
      <c r="D1239" s="173" t="s">
        <v>5228</v>
      </c>
      <c r="E1239" s="174" t="s">
        <v>2861</v>
      </c>
      <c r="F1239" s="173" t="s">
        <v>2862</v>
      </c>
      <c r="G1239" s="328" t="s">
        <v>673</v>
      </c>
      <c r="H1239" s="328" t="s">
        <v>2863</v>
      </c>
      <c r="I1239" s="258" t="s">
        <v>2864</v>
      </c>
      <c r="J1239" s="259" t="s">
        <v>1088</v>
      </c>
      <c r="K1239" s="260" t="s">
        <v>5229</v>
      </c>
      <c r="L1239" s="328"/>
      <c r="M1239" s="343"/>
      <c r="N1239" s="173" t="s">
        <v>679</v>
      </c>
      <c r="O1239" s="173" t="s">
        <v>225</v>
      </c>
      <c r="P1239" s="262" t="str">
        <f t="shared" si="1"/>
        <v>IN-BLR-ANANTA-VAV-811_5</v>
      </c>
      <c r="Q1239" s="173" t="s">
        <v>5230</v>
      </c>
      <c r="R1239" s="328" t="str">
        <f>IFS(C1239="","",C1239="n/a","N/A",LEN(C1239),Concatenate("{",char(34),"asset",char(34),":{",char(34),"guid",char(34),":",char(34),Q1239,char(34),",",char(34),"site",char(34),":",char(34),LOWER('2-Building'!$B$4),char(34),",",char(34),"name",char(34),":",char(34),LOWER(C1239),char(34),"}}"))</f>
        <v>{"asset":{"guid":"uuid://b67f78a1-de94-4fb9-8d2a-4b11cbf32f70","site":"in-blr-ananta","name":"vav-811"}}</v>
      </c>
      <c r="S1239" s="237" t="s">
        <v>2866</v>
      </c>
      <c r="T1239" s="330"/>
      <c r="U1239" s="330"/>
      <c r="V1239" s="331"/>
      <c r="W1239" s="344"/>
      <c r="X1239" s="341"/>
      <c r="Y1239" s="33" t="s">
        <v>2867</v>
      </c>
      <c r="Z1239" s="258">
        <v>120811.0</v>
      </c>
      <c r="AA1239" s="334">
        <v>11504.0</v>
      </c>
      <c r="AB1239" s="341"/>
      <c r="AC1239" s="341"/>
      <c r="AD1239" s="343"/>
      <c r="AE1239" s="331"/>
      <c r="AF1239" s="348"/>
      <c r="AG1239" s="337"/>
      <c r="AH1239" s="341"/>
      <c r="AI1239" s="341"/>
      <c r="AJ1239" s="341"/>
      <c r="AK1239" s="341"/>
      <c r="AL1239" s="341"/>
      <c r="AM1239" s="338"/>
      <c r="AN1239" s="341"/>
      <c r="AO1239" s="341"/>
      <c r="AP1239" s="341"/>
      <c r="AQ1239" s="341"/>
      <c r="AR1239" s="341"/>
      <c r="AS1239" s="341"/>
      <c r="AT1239" s="341"/>
      <c r="AU1239" s="343"/>
      <c r="AV1239" s="341"/>
      <c r="AW1239" s="269" t="s">
        <v>2277</v>
      </c>
      <c r="AX1239" s="334" t="s">
        <v>2869</v>
      </c>
      <c r="AY1239" s="270" t="s">
        <v>695</v>
      </c>
      <c r="AZ1239" s="173" t="s">
        <v>2866</v>
      </c>
      <c r="BA1239" s="265">
        <v>10.0</v>
      </c>
      <c r="BB1239" s="174" t="s">
        <v>245</v>
      </c>
      <c r="BC1239" s="341"/>
      <c r="BD1239" s="308"/>
      <c r="BE1239" s="347"/>
      <c r="BF1239" s="274" t="str">
        <f>IFERROR(__xludf.DUMMYFUNCTION("LOWER(Regexreplace(to_text(E1239),""[^A-Za-z0-9]"","""")&amp;""_""&amp;Regexreplace(to_text(F1239),""[^A-Za-z0-9]"",""""))"),"neptronic_evcbseries")</f>
        <v>neptronic_evcbseries</v>
      </c>
      <c r="BG1239" s="275" t="str">
        <f>IFERROR(__xludf.DUMMYFUNCTION("upper(Regexreplace(to_text(E1239),""[^A-Za-z0-9]"","""")&amp;""-""&amp;Regexreplace(to_text(F1239),""[^A-Za-z0-9]"",""""))"),"NEPTRONIC-EVCBSERIES")</f>
        <v>NEPTRONIC-EVCBSERIES</v>
      </c>
    </row>
    <row r="1240" ht="30.0" customHeight="1">
      <c r="A1240" s="258">
        <v>1232.0</v>
      </c>
      <c r="B1240" s="237" t="s">
        <v>670</v>
      </c>
      <c r="C1240" s="257" t="s">
        <v>5231</v>
      </c>
      <c r="D1240" s="173" t="s">
        <v>5231</v>
      </c>
      <c r="E1240" s="174" t="s">
        <v>2861</v>
      </c>
      <c r="F1240" s="173" t="s">
        <v>2862</v>
      </c>
      <c r="G1240" s="328" t="s">
        <v>673</v>
      </c>
      <c r="H1240" s="328" t="s">
        <v>2863</v>
      </c>
      <c r="I1240" s="258" t="s">
        <v>2864</v>
      </c>
      <c r="J1240" s="259" t="s">
        <v>1088</v>
      </c>
      <c r="K1240" s="260" t="s">
        <v>5232</v>
      </c>
      <c r="L1240" s="328"/>
      <c r="M1240" s="343"/>
      <c r="N1240" s="173" t="s">
        <v>679</v>
      </c>
      <c r="O1240" s="173" t="s">
        <v>225</v>
      </c>
      <c r="P1240" s="262" t="str">
        <f t="shared" si="1"/>
        <v>IN-BLR-ANANTA-VAV-812_5</v>
      </c>
      <c r="Q1240" s="173" t="s">
        <v>5233</v>
      </c>
      <c r="R1240" s="328" t="str">
        <f>IFS(C1240="","",C1240="n/a","N/A",LEN(C1240),Concatenate("{",char(34),"asset",char(34),":{",char(34),"guid",char(34),":",char(34),Q1240,char(34),",",char(34),"site",char(34),":",char(34),LOWER('2-Building'!$B$4),char(34),",",char(34),"name",char(34),":",char(34),LOWER(C1240),char(34),"}}"))</f>
        <v>{"asset":{"guid":"uuid://023a9186-7f62-44e4-b7bf-0b6d920881b3","site":"in-blr-ananta","name":"vav-812"}}</v>
      </c>
      <c r="S1240" s="237" t="s">
        <v>2866</v>
      </c>
      <c r="T1240" s="330"/>
      <c r="U1240" s="330"/>
      <c r="V1240" s="331"/>
      <c r="W1240" s="344"/>
      <c r="X1240" s="341"/>
      <c r="Y1240" s="33" t="s">
        <v>2867</v>
      </c>
      <c r="Z1240" s="258">
        <v>120812.0</v>
      </c>
      <c r="AA1240" s="334">
        <v>11504.0</v>
      </c>
      <c r="AB1240" s="341"/>
      <c r="AC1240" s="341"/>
      <c r="AD1240" s="343"/>
      <c r="AE1240" s="331"/>
      <c r="AF1240" s="348"/>
      <c r="AG1240" s="337"/>
      <c r="AH1240" s="341"/>
      <c r="AI1240" s="341"/>
      <c r="AJ1240" s="341"/>
      <c r="AK1240" s="341"/>
      <c r="AL1240" s="341"/>
      <c r="AM1240" s="338"/>
      <c r="AN1240" s="341"/>
      <c r="AO1240" s="341"/>
      <c r="AP1240" s="341"/>
      <c r="AQ1240" s="341"/>
      <c r="AR1240" s="341"/>
      <c r="AS1240" s="341"/>
      <c r="AT1240" s="341"/>
      <c r="AU1240" s="343"/>
      <c r="AV1240" s="341"/>
      <c r="AW1240" s="269" t="s">
        <v>2277</v>
      </c>
      <c r="AX1240" s="334" t="s">
        <v>2869</v>
      </c>
      <c r="AY1240" s="270" t="s">
        <v>695</v>
      </c>
      <c r="AZ1240" s="173" t="s">
        <v>2866</v>
      </c>
      <c r="BA1240" s="265">
        <v>10.0</v>
      </c>
      <c r="BB1240" s="174" t="s">
        <v>245</v>
      </c>
      <c r="BC1240" s="341"/>
      <c r="BD1240" s="308"/>
      <c r="BE1240" s="347"/>
      <c r="BF1240" s="274" t="str">
        <f>IFERROR(__xludf.DUMMYFUNCTION("LOWER(Regexreplace(to_text(E1240),""[^A-Za-z0-9]"","""")&amp;""_""&amp;Regexreplace(to_text(F1240),""[^A-Za-z0-9]"",""""))"),"neptronic_evcbseries")</f>
        <v>neptronic_evcbseries</v>
      </c>
      <c r="BG1240" s="275" t="str">
        <f>IFERROR(__xludf.DUMMYFUNCTION("upper(Regexreplace(to_text(E1240),""[^A-Za-z0-9]"","""")&amp;""-""&amp;Regexreplace(to_text(F1240),""[^A-Za-z0-9]"",""""))"),"NEPTRONIC-EVCBSERIES")</f>
        <v>NEPTRONIC-EVCBSERIES</v>
      </c>
    </row>
    <row r="1241" ht="30.0" customHeight="1">
      <c r="A1241" s="173">
        <v>1233.0</v>
      </c>
      <c r="B1241" s="237" t="s">
        <v>670</v>
      </c>
      <c r="C1241" s="257" t="s">
        <v>5234</v>
      </c>
      <c r="D1241" s="173" t="s">
        <v>5234</v>
      </c>
      <c r="E1241" s="174" t="s">
        <v>2861</v>
      </c>
      <c r="F1241" s="173" t="s">
        <v>2862</v>
      </c>
      <c r="G1241" s="328" t="s">
        <v>673</v>
      </c>
      <c r="H1241" s="328" t="s">
        <v>2863</v>
      </c>
      <c r="I1241" s="258" t="s">
        <v>2864</v>
      </c>
      <c r="J1241" s="259" t="s">
        <v>1088</v>
      </c>
      <c r="K1241" s="260" t="s">
        <v>5235</v>
      </c>
      <c r="L1241" s="328"/>
      <c r="M1241" s="343"/>
      <c r="N1241" s="173" t="s">
        <v>679</v>
      </c>
      <c r="O1241" s="173" t="s">
        <v>225</v>
      </c>
      <c r="P1241" s="262" t="str">
        <f t="shared" si="1"/>
        <v>IN-BLR-ANANTA-VAV-813_5</v>
      </c>
      <c r="Q1241" s="173" t="s">
        <v>5236</v>
      </c>
      <c r="R1241" s="328" t="str">
        <f>IFS(C1241="","",C1241="n/a","N/A",LEN(C1241),Concatenate("{",char(34),"asset",char(34),":{",char(34),"guid",char(34),":",char(34),Q1241,char(34),",",char(34),"site",char(34),":",char(34),LOWER('2-Building'!$B$4),char(34),",",char(34),"name",char(34),":",char(34),LOWER(C1241),char(34),"}}"))</f>
        <v>{"asset":{"guid":"uuid://4e78f852-c1a4-4d5d-8318-97c921dee351","site":"in-blr-ananta","name":"vav-813"}}</v>
      </c>
      <c r="S1241" s="237" t="s">
        <v>2866</v>
      </c>
      <c r="T1241" s="330"/>
      <c r="U1241" s="330"/>
      <c r="V1241" s="331"/>
      <c r="W1241" s="344"/>
      <c r="X1241" s="341"/>
      <c r="Y1241" s="33" t="s">
        <v>2867</v>
      </c>
      <c r="Z1241" s="258">
        <v>120813.0</v>
      </c>
      <c r="AA1241" s="334">
        <v>11504.0</v>
      </c>
      <c r="AB1241" s="341"/>
      <c r="AC1241" s="341"/>
      <c r="AD1241" s="343"/>
      <c r="AE1241" s="331"/>
      <c r="AF1241" s="348"/>
      <c r="AG1241" s="337"/>
      <c r="AH1241" s="341"/>
      <c r="AI1241" s="341"/>
      <c r="AJ1241" s="341"/>
      <c r="AK1241" s="341"/>
      <c r="AL1241" s="341"/>
      <c r="AM1241" s="338"/>
      <c r="AN1241" s="341"/>
      <c r="AO1241" s="341"/>
      <c r="AP1241" s="341"/>
      <c r="AQ1241" s="341"/>
      <c r="AR1241" s="341"/>
      <c r="AS1241" s="341"/>
      <c r="AT1241" s="341"/>
      <c r="AU1241" s="343"/>
      <c r="AV1241" s="341"/>
      <c r="AW1241" s="269" t="s">
        <v>2277</v>
      </c>
      <c r="AX1241" s="334" t="s">
        <v>2869</v>
      </c>
      <c r="AY1241" s="270" t="s">
        <v>695</v>
      </c>
      <c r="AZ1241" s="173" t="s">
        <v>2866</v>
      </c>
      <c r="BA1241" s="265">
        <v>10.0</v>
      </c>
      <c r="BB1241" s="174" t="s">
        <v>245</v>
      </c>
      <c r="BC1241" s="341"/>
      <c r="BD1241" s="308"/>
      <c r="BE1241" s="347"/>
      <c r="BF1241" s="274" t="str">
        <f>IFERROR(__xludf.DUMMYFUNCTION("LOWER(Regexreplace(to_text(E1241),""[^A-Za-z0-9]"","""")&amp;""_""&amp;Regexreplace(to_text(F1241),""[^A-Za-z0-9]"",""""))"),"neptronic_evcbseries")</f>
        <v>neptronic_evcbseries</v>
      </c>
      <c r="BG1241" s="275" t="str">
        <f>IFERROR(__xludf.DUMMYFUNCTION("upper(Regexreplace(to_text(E1241),""[^A-Za-z0-9]"","""")&amp;""-""&amp;Regexreplace(to_text(F1241),""[^A-Za-z0-9]"",""""))"),"NEPTRONIC-EVCBSERIES")</f>
        <v>NEPTRONIC-EVCBSERIES</v>
      </c>
    </row>
    <row r="1242" ht="30.0" customHeight="1">
      <c r="A1242" s="258">
        <v>1234.0</v>
      </c>
      <c r="B1242" s="237" t="s">
        <v>670</v>
      </c>
      <c r="C1242" s="257" t="s">
        <v>5237</v>
      </c>
      <c r="D1242" s="173" t="s">
        <v>5237</v>
      </c>
      <c r="E1242" s="174" t="s">
        <v>2861</v>
      </c>
      <c r="F1242" s="173" t="s">
        <v>2862</v>
      </c>
      <c r="G1242" s="328" t="s">
        <v>673</v>
      </c>
      <c r="H1242" s="328" t="s">
        <v>2863</v>
      </c>
      <c r="I1242" s="258" t="s">
        <v>2864</v>
      </c>
      <c r="J1242" s="259" t="s">
        <v>1088</v>
      </c>
      <c r="K1242" s="260" t="s">
        <v>5238</v>
      </c>
      <c r="L1242" s="328"/>
      <c r="M1242" s="343"/>
      <c r="N1242" s="173" t="s">
        <v>679</v>
      </c>
      <c r="O1242" s="173" t="s">
        <v>225</v>
      </c>
      <c r="P1242" s="262" t="str">
        <f t="shared" si="1"/>
        <v>IN-BLR-ANANTA-VAV-814_5</v>
      </c>
      <c r="Q1242" s="173" t="s">
        <v>5239</v>
      </c>
      <c r="R1242" s="328" t="str">
        <f>IFS(C1242="","",C1242="n/a","N/A",LEN(C1242),Concatenate("{",char(34),"asset",char(34),":{",char(34),"guid",char(34),":",char(34),Q1242,char(34),",",char(34),"site",char(34),":",char(34),LOWER('2-Building'!$B$4),char(34),",",char(34),"name",char(34),":",char(34),LOWER(C1242),char(34),"}}"))</f>
        <v>{"asset":{"guid":"uuid://d8caf4b0-ec64-43ec-b520-ad037dad7b73","site":"in-blr-ananta","name":"vav-814"}}</v>
      </c>
      <c r="S1242" s="237" t="s">
        <v>2866</v>
      </c>
      <c r="T1242" s="330"/>
      <c r="U1242" s="330"/>
      <c r="V1242" s="331"/>
      <c r="W1242" s="344"/>
      <c r="X1242" s="341"/>
      <c r="Y1242" s="33" t="s">
        <v>2867</v>
      </c>
      <c r="Z1242" s="258">
        <v>120814.0</v>
      </c>
      <c r="AA1242" s="334">
        <v>11504.0</v>
      </c>
      <c r="AB1242" s="341"/>
      <c r="AC1242" s="341"/>
      <c r="AD1242" s="343"/>
      <c r="AE1242" s="331"/>
      <c r="AF1242" s="348"/>
      <c r="AG1242" s="337"/>
      <c r="AH1242" s="341"/>
      <c r="AI1242" s="341"/>
      <c r="AJ1242" s="341"/>
      <c r="AK1242" s="341"/>
      <c r="AL1242" s="341"/>
      <c r="AM1242" s="338"/>
      <c r="AN1242" s="341"/>
      <c r="AO1242" s="341"/>
      <c r="AP1242" s="341"/>
      <c r="AQ1242" s="341"/>
      <c r="AR1242" s="341"/>
      <c r="AS1242" s="341"/>
      <c r="AT1242" s="341"/>
      <c r="AU1242" s="343"/>
      <c r="AV1242" s="341"/>
      <c r="AW1242" s="269" t="s">
        <v>2277</v>
      </c>
      <c r="AX1242" s="334" t="s">
        <v>2869</v>
      </c>
      <c r="AY1242" s="270" t="s">
        <v>695</v>
      </c>
      <c r="AZ1242" s="173" t="s">
        <v>2866</v>
      </c>
      <c r="BA1242" s="265">
        <v>10.0</v>
      </c>
      <c r="BB1242" s="174" t="s">
        <v>245</v>
      </c>
      <c r="BC1242" s="341"/>
      <c r="BD1242" s="308"/>
      <c r="BE1242" s="347"/>
      <c r="BF1242" s="274" t="str">
        <f>IFERROR(__xludf.DUMMYFUNCTION("LOWER(Regexreplace(to_text(E1242),""[^A-Za-z0-9]"","""")&amp;""_""&amp;Regexreplace(to_text(F1242),""[^A-Za-z0-9]"",""""))"),"neptronic_evcbseries")</f>
        <v>neptronic_evcbseries</v>
      </c>
      <c r="BG1242" s="275" t="str">
        <f>IFERROR(__xludf.DUMMYFUNCTION("upper(Regexreplace(to_text(E1242),""[^A-Za-z0-9]"","""")&amp;""-""&amp;Regexreplace(to_text(F1242),""[^A-Za-z0-9]"",""""))"),"NEPTRONIC-EVCBSERIES")</f>
        <v>NEPTRONIC-EVCBSERIES</v>
      </c>
    </row>
    <row r="1243" ht="30.0" customHeight="1">
      <c r="A1243" s="173">
        <v>1235.0</v>
      </c>
      <c r="B1243" s="237" t="s">
        <v>670</v>
      </c>
      <c r="C1243" s="257" t="s">
        <v>5240</v>
      </c>
      <c r="D1243" s="173" t="s">
        <v>5240</v>
      </c>
      <c r="E1243" s="174" t="s">
        <v>2861</v>
      </c>
      <c r="F1243" s="173" t="s">
        <v>2862</v>
      </c>
      <c r="G1243" s="328" t="s">
        <v>673</v>
      </c>
      <c r="H1243" s="328" t="s">
        <v>2863</v>
      </c>
      <c r="I1243" s="258" t="s">
        <v>2864</v>
      </c>
      <c r="J1243" s="259" t="s">
        <v>1088</v>
      </c>
      <c r="K1243" s="260" t="s">
        <v>5241</v>
      </c>
      <c r="L1243" s="328"/>
      <c r="M1243" s="343"/>
      <c r="N1243" s="173" t="s">
        <v>679</v>
      </c>
      <c r="O1243" s="173" t="s">
        <v>225</v>
      </c>
      <c r="P1243" s="262" t="str">
        <f t="shared" si="1"/>
        <v>IN-BLR-ANANTA-VAV-815_5</v>
      </c>
      <c r="Q1243" s="173" t="s">
        <v>5242</v>
      </c>
      <c r="R1243" s="328" t="str">
        <f>IFS(C1243="","",C1243="n/a","N/A",LEN(C1243),Concatenate("{",char(34),"asset",char(34),":{",char(34),"guid",char(34),":",char(34),Q1243,char(34),",",char(34),"site",char(34),":",char(34),LOWER('2-Building'!$B$4),char(34),",",char(34),"name",char(34),":",char(34),LOWER(C1243),char(34),"}}"))</f>
        <v>{"asset":{"guid":"uuid://b9ab9ac5-c095-4b24-bb1d-9c906c9cb6f1","site":"in-blr-ananta","name":"vav-815"}}</v>
      </c>
      <c r="S1243" s="237" t="s">
        <v>2866</v>
      </c>
      <c r="T1243" s="330"/>
      <c r="U1243" s="330"/>
      <c r="V1243" s="331"/>
      <c r="W1243" s="344"/>
      <c r="X1243" s="341"/>
      <c r="Y1243" s="33" t="s">
        <v>2867</v>
      </c>
      <c r="Z1243" s="258">
        <v>120815.0</v>
      </c>
      <c r="AA1243" s="334">
        <v>11504.0</v>
      </c>
      <c r="AB1243" s="341"/>
      <c r="AC1243" s="341"/>
      <c r="AD1243" s="343"/>
      <c r="AE1243" s="331"/>
      <c r="AF1243" s="348"/>
      <c r="AG1243" s="337"/>
      <c r="AH1243" s="341"/>
      <c r="AI1243" s="341"/>
      <c r="AJ1243" s="341"/>
      <c r="AK1243" s="341"/>
      <c r="AL1243" s="341"/>
      <c r="AM1243" s="338"/>
      <c r="AN1243" s="341"/>
      <c r="AO1243" s="341"/>
      <c r="AP1243" s="341"/>
      <c r="AQ1243" s="341"/>
      <c r="AR1243" s="341"/>
      <c r="AS1243" s="341"/>
      <c r="AT1243" s="341"/>
      <c r="AU1243" s="343"/>
      <c r="AV1243" s="341"/>
      <c r="AW1243" s="269" t="s">
        <v>2277</v>
      </c>
      <c r="AX1243" s="334" t="s">
        <v>2869</v>
      </c>
      <c r="AY1243" s="270" t="s">
        <v>695</v>
      </c>
      <c r="AZ1243" s="173" t="s">
        <v>2866</v>
      </c>
      <c r="BA1243" s="265">
        <v>10.0</v>
      </c>
      <c r="BB1243" s="174" t="s">
        <v>245</v>
      </c>
      <c r="BC1243" s="341"/>
      <c r="BD1243" s="308"/>
      <c r="BE1243" s="347"/>
      <c r="BF1243" s="274" t="str">
        <f>IFERROR(__xludf.DUMMYFUNCTION("LOWER(Regexreplace(to_text(E1243),""[^A-Za-z0-9]"","""")&amp;""_""&amp;Regexreplace(to_text(F1243),""[^A-Za-z0-9]"",""""))"),"neptronic_evcbseries")</f>
        <v>neptronic_evcbseries</v>
      </c>
      <c r="BG1243" s="275" t="str">
        <f>IFERROR(__xludf.DUMMYFUNCTION("upper(Regexreplace(to_text(E1243),""[^A-Za-z0-9]"","""")&amp;""-""&amp;Regexreplace(to_text(F1243),""[^A-Za-z0-9]"",""""))"),"NEPTRONIC-EVCBSERIES")</f>
        <v>NEPTRONIC-EVCBSERIES</v>
      </c>
    </row>
    <row r="1244" ht="30.0" customHeight="1">
      <c r="A1244" s="258">
        <v>1236.0</v>
      </c>
      <c r="B1244" s="237" t="s">
        <v>670</v>
      </c>
      <c r="C1244" s="257" t="s">
        <v>5243</v>
      </c>
      <c r="D1244" s="173" t="s">
        <v>5243</v>
      </c>
      <c r="E1244" s="174" t="s">
        <v>2861</v>
      </c>
      <c r="F1244" s="173" t="s">
        <v>2862</v>
      </c>
      <c r="G1244" s="328" t="s">
        <v>673</v>
      </c>
      <c r="H1244" s="328" t="s">
        <v>2863</v>
      </c>
      <c r="I1244" s="258" t="s">
        <v>2864</v>
      </c>
      <c r="J1244" s="259" t="s">
        <v>1088</v>
      </c>
      <c r="K1244" s="260" t="s">
        <v>5244</v>
      </c>
      <c r="L1244" s="328"/>
      <c r="M1244" s="343"/>
      <c r="N1244" s="173" t="s">
        <v>679</v>
      </c>
      <c r="O1244" s="173" t="s">
        <v>225</v>
      </c>
      <c r="P1244" s="262" t="str">
        <f t="shared" si="1"/>
        <v>IN-BLR-ANANTA-VAV-816_5</v>
      </c>
      <c r="Q1244" s="173" t="s">
        <v>5245</v>
      </c>
      <c r="R1244" s="328" t="str">
        <f>IFS(C1244="","",C1244="n/a","N/A",LEN(C1244),Concatenate("{",char(34),"asset",char(34),":{",char(34),"guid",char(34),":",char(34),Q1244,char(34),",",char(34),"site",char(34),":",char(34),LOWER('2-Building'!$B$4),char(34),",",char(34),"name",char(34),":",char(34),LOWER(C1244),char(34),"}}"))</f>
        <v>{"asset":{"guid":"uuid://4d52b313-be09-4cae-a020-a0d74998930a","site":"in-blr-ananta","name":"vav-816"}}</v>
      </c>
      <c r="S1244" s="237" t="s">
        <v>2866</v>
      </c>
      <c r="T1244" s="330"/>
      <c r="U1244" s="330"/>
      <c r="V1244" s="331"/>
      <c r="W1244" s="344"/>
      <c r="X1244" s="341"/>
      <c r="Y1244" s="33" t="s">
        <v>2867</v>
      </c>
      <c r="Z1244" s="258">
        <v>120816.0</v>
      </c>
      <c r="AA1244" s="334">
        <v>11504.0</v>
      </c>
      <c r="AB1244" s="341"/>
      <c r="AC1244" s="341"/>
      <c r="AD1244" s="343"/>
      <c r="AE1244" s="331"/>
      <c r="AF1244" s="348"/>
      <c r="AG1244" s="337"/>
      <c r="AH1244" s="341"/>
      <c r="AI1244" s="341"/>
      <c r="AJ1244" s="341"/>
      <c r="AK1244" s="341"/>
      <c r="AL1244" s="341"/>
      <c r="AM1244" s="338"/>
      <c r="AN1244" s="341"/>
      <c r="AO1244" s="341"/>
      <c r="AP1244" s="341"/>
      <c r="AQ1244" s="341"/>
      <c r="AR1244" s="341"/>
      <c r="AS1244" s="341"/>
      <c r="AT1244" s="341"/>
      <c r="AU1244" s="343"/>
      <c r="AV1244" s="341"/>
      <c r="AW1244" s="269" t="s">
        <v>2277</v>
      </c>
      <c r="AX1244" s="334" t="s">
        <v>2869</v>
      </c>
      <c r="AY1244" s="270" t="s">
        <v>695</v>
      </c>
      <c r="AZ1244" s="173" t="s">
        <v>2866</v>
      </c>
      <c r="BA1244" s="265">
        <v>10.0</v>
      </c>
      <c r="BB1244" s="174" t="s">
        <v>245</v>
      </c>
      <c r="BC1244" s="341"/>
      <c r="BD1244" s="308"/>
      <c r="BE1244" s="347"/>
      <c r="BF1244" s="274" t="str">
        <f>IFERROR(__xludf.DUMMYFUNCTION("LOWER(Regexreplace(to_text(E1244),""[^A-Za-z0-9]"","""")&amp;""_""&amp;Regexreplace(to_text(F1244),""[^A-Za-z0-9]"",""""))"),"neptronic_evcbseries")</f>
        <v>neptronic_evcbseries</v>
      </c>
      <c r="BG1244" s="275" t="str">
        <f>IFERROR(__xludf.DUMMYFUNCTION("upper(Regexreplace(to_text(E1244),""[^A-Za-z0-9]"","""")&amp;""-""&amp;Regexreplace(to_text(F1244),""[^A-Za-z0-9]"",""""))"),"NEPTRONIC-EVCBSERIES")</f>
        <v>NEPTRONIC-EVCBSERIES</v>
      </c>
    </row>
    <row r="1245" ht="30.0" customHeight="1">
      <c r="A1245" s="173">
        <v>1237.0</v>
      </c>
      <c r="B1245" s="237" t="s">
        <v>670</v>
      </c>
      <c r="C1245" s="257" t="s">
        <v>5246</v>
      </c>
      <c r="D1245" s="173" t="s">
        <v>5246</v>
      </c>
      <c r="E1245" s="174" t="s">
        <v>2861</v>
      </c>
      <c r="F1245" s="173" t="s">
        <v>2862</v>
      </c>
      <c r="G1245" s="328" t="s">
        <v>673</v>
      </c>
      <c r="H1245" s="328" t="s">
        <v>2863</v>
      </c>
      <c r="I1245" s="258" t="s">
        <v>2864</v>
      </c>
      <c r="J1245" s="259" t="s">
        <v>1088</v>
      </c>
      <c r="K1245" s="260" t="s">
        <v>5247</v>
      </c>
      <c r="L1245" s="328"/>
      <c r="M1245" s="343"/>
      <c r="N1245" s="173" t="s">
        <v>679</v>
      </c>
      <c r="O1245" s="173" t="s">
        <v>225</v>
      </c>
      <c r="P1245" s="262" t="str">
        <f t="shared" si="1"/>
        <v>IN-BLR-ANANTA-VAV-817_5</v>
      </c>
      <c r="Q1245" s="173" t="s">
        <v>5248</v>
      </c>
      <c r="R1245" s="328" t="str">
        <f>IFS(C1245="","",C1245="n/a","N/A",LEN(C1245),Concatenate("{",char(34),"asset",char(34),":{",char(34),"guid",char(34),":",char(34),Q1245,char(34),",",char(34),"site",char(34),":",char(34),LOWER('2-Building'!$B$4),char(34),",",char(34),"name",char(34),":",char(34),LOWER(C1245),char(34),"}}"))</f>
        <v>{"asset":{"guid":"uuid://b4cb1692-1884-427b-8b90-18d84f1361c7","site":"in-blr-ananta","name":"vav-817"}}</v>
      </c>
      <c r="S1245" s="237" t="s">
        <v>2866</v>
      </c>
      <c r="T1245" s="330"/>
      <c r="U1245" s="330"/>
      <c r="V1245" s="331"/>
      <c r="W1245" s="344"/>
      <c r="X1245" s="341"/>
      <c r="Y1245" s="33" t="s">
        <v>2867</v>
      </c>
      <c r="Z1245" s="258">
        <v>120817.0</v>
      </c>
      <c r="AA1245" s="334">
        <v>11504.0</v>
      </c>
      <c r="AB1245" s="341"/>
      <c r="AC1245" s="341"/>
      <c r="AD1245" s="343"/>
      <c r="AE1245" s="331"/>
      <c r="AF1245" s="348"/>
      <c r="AG1245" s="337"/>
      <c r="AH1245" s="341"/>
      <c r="AI1245" s="341"/>
      <c r="AJ1245" s="341"/>
      <c r="AK1245" s="341"/>
      <c r="AL1245" s="341"/>
      <c r="AM1245" s="338"/>
      <c r="AN1245" s="341"/>
      <c r="AO1245" s="341"/>
      <c r="AP1245" s="341"/>
      <c r="AQ1245" s="341"/>
      <c r="AR1245" s="341"/>
      <c r="AS1245" s="341"/>
      <c r="AT1245" s="341"/>
      <c r="AU1245" s="343"/>
      <c r="AV1245" s="341"/>
      <c r="AW1245" s="269" t="s">
        <v>2277</v>
      </c>
      <c r="AX1245" s="334" t="s">
        <v>2869</v>
      </c>
      <c r="AY1245" s="270" t="s">
        <v>695</v>
      </c>
      <c r="AZ1245" s="173" t="s">
        <v>2866</v>
      </c>
      <c r="BA1245" s="265">
        <v>10.0</v>
      </c>
      <c r="BB1245" s="174" t="s">
        <v>245</v>
      </c>
      <c r="BC1245" s="341"/>
      <c r="BD1245" s="308"/>
      <c r="BE1245" s="347"/>
      <c r="BF1245" s="274" t="str">
        <f>IFERROR(__xludf.DUMMYFUNCTION("LOWER(Regexreplace(to_text(E1245),""[^A-Za-z0-9]"","""")&amp;""_""&amp;Regexreplace(to_text(F1245),""[^A-Za-z0-9]"",""""))"),"neptronic_evcbseries")</f>
        <v>neptronic_evcbseries</v>
      </c>
      <c r="BG1245" s="275" t="str">
        <f>IFERROR(__xludf.DUMMYFUNCTION("upper(Regexreplace(to_text(E1245),""[^A-Za-z0-9]"","""")&amp;""-""&amp;Regexreplace(to_text(F1245),""[^A-Za-z0-9]"",""""))"),"NEPTRONIC-EVCBSERIES")</f>
        <v>NEPTRONIC-EVCBSERIES</v>
      </c>
    </row>
    <row r="1246" ht="30.0" customHeight="1">
      <c r="A1246" s="258">
        <v>1238.0</v>
      </c>
      <c r="B1246" s="237" t="s">
        <v>670</v>
      </c>
      <c r="C1246" s="257" t="s">
        <v>5249</v>
      </c>
      <c r="D1246" s="173" t="s">
        <v>5249</v>
      </c>
      <c r="E1246" s="174" t="s">
        <v>2861</v>
      </c>
      <c r="F1246" s="173" t="s">
        <v>2862</v>
      </c>
      <c r="G1246" s="328" t="s">
        <v>673</v>
      </c>
      <c r="H1246" s="328" t="s">
        <v>2863</v>
      </c>
      <c r="I1246" s="258" t="s">
        <v>2864</v>
      </c>
      <c r="J1246" s="259" t="s">
        <v>1088</v>
      </c>
      <c r="K1246" s="260" t="s">
        <v>5250</v>
      </c>
      <c r="L1246" s="328"/>
      <c r="M1246" s="343"/>
      <c r="N1246" s="173" t="s">
        <v>679</v>
      </c>
      <c r="O1246" s="173" t="s">
        <v>225</v>
      </c>
      <c r="P1246" s="262" t="str">
        <f t="shared" si="1"/>
        <v>IN-BLR-ANANTA-VAV-818_5</v>
      </c>
      <c r="Q1246" s="173" t="s">
        <v>5251</v>
      </c>
      <c r="R1246" s="328" t="str">
        <f>IFS(C1246="","",C1246="n/a","N/A",LEN(C1246),Concatenate("{",char(34),"asset",char(34),":{",char(34),"guid",char(34),":",char(34),Q1246,char(34),",",char(34),"site",char(34),":",char(34),LOWER('2-Building'!$B$4),char(34),",",char(34),"name",char(34),":",char(34),LOWER(C1246),char(34),"}}"))</f>
        <v>{"asset":{"guid":"uuid://42f09cd5-51bd-4220-8b51-303062f88e78","site":"in-blr-ananta","name":"vav-818"}}</v>
      </c>
      <c r="S1246" s="237" t="s">
        <v>2866</v>
      </c>
      <c r="T1246" s="330"/>
      <c r="U1246" s="330"/>
      <c r="V1246" s="331"/>
      <c r="W1246" s="344"/>
      <c r="X1246" s="341"/>
      <c r="Y1246" s="33" t="s">
        <v>2867</v>
      </c>
      <c r="Z1246" s="258">
        <v>120818.0</v>
      </c>
      <c r="AA1246" s="334">
        <v>11572.0</v>
      </c>
      <c r="AB1246" s="341"/>
      <c r="AC1246" s="341"/>
      <c r="AD1246" s="343"/>
      <c r="AE1246" s="331"/>
      <c r="AF1246" s="348"/>
      <c r="AG1246" s="337"/>
      <c r="AH1246" s="341"/>
      <c r="AI1246" s="341"/>
      <c r="AJ1246" s="341"/>
      <c r="AK1246" s="341"/>
      <c r="AL1246" s="341"/>
      <c r="AM1246" s="338"/>
      <c r="AN1246" s="341"/>
      <c r="AO1246" s="341"/>
      <c r="AP1246" s="341"/>
      <c r="AQ1246" s="341"/>
      <c r="AR1246" s="341"/>
      <c r="AS1246" s="341"/>
      <c r="AT1246" s="341"/>
      <c r="AU1246" s="343"/>
      <c r="AV1246" s="341"/>
      <c r="AW1246" s="269" t="s">
        <v>2257</v>
      </c>
      <c r="AX1246" s="334" t="s">
        <v>2869</v>
      </c>
      <c r="AY1246" s="270" t="s">
        <v>695</v>
      </c>
      <c r="AZ1246" s="173" t="s">
        <v>2866</v>
      </c>
      <c r="BA1246" s="265">
        <v>10.0</v>
      </c>
      <c r="BB1246" s="174" t="s">
        <v>245</v>
      </c>
      <c r="BC1246" s="341"/>
      <c r="BD1246" s="308"/>
      <c r="BE1246" s="347"/>
      <c r="BF1246" s="274" t="str">
        <f>IFERROR(__xludf.DUMMYFUNCTION("LOWER(Regexreplace(to_text(E1246),""[^A-Za-z0-9]"","""")&amp;""_""&amp;Regexreplace(to_text(F1246),""[^A-Za-z0-9]"",""""))"),"neptronic_evcbseries")</f>
        <v>neptronic_evcbseries</v>
      </c>
      <c r="BG1246" s="275" t="str">
        <f>IFERROR(__xludf.DUMMYFUNCTION("upper(Regexreplace(to_text(E1246),""[^A-Za-z0-9]"","""")&amp;""-""&amp;Regexreplace(to_text(F1246),""[^A-Za-z0-9]"",""""))"),"NEPTRONIC-EVCBSERIES")</f>
        <v>NEPTRONIC-EVCBSERIES</v>
      </c>
    </row>
    <row r="1247" ht="30.0" customHeight="1">
      <c r="A1247" s="173">
        <v>1239.0</v>
      </c>
      <c r="B1247" s="237" t="s">
        <v>670</v>
      </c>
      <c r="C1247" s="257" t="s">
        <v>5252</v>
      </c>
      <c r="D1247" s="173" t="s">
        <v>5252</v>
      </c>
      <c r="E1247" s="174" t="s">
        <v>2861</v>
      </c>
      <c r="F1247" s="173" t="s">
        <v>2862</v>
      </c>
      <c r="G1247" s="328" t="s">
        <v>673</v>
      </c>
      <c r="H1247" s="328" t="s">
        <v>2863</v>
      </c>
      <c r="I1247" s="258" t="s">
        <v>2864</v>
      </c>
      <c r="J1247" s="259" t="s">
        <v>1088</v>
      </c>
      <c r="K1247" s="260" t="s">
        <v>5253</v>
      </c>
      <c r="L1247" s="328"/>
      <c r="M1247" s="343"/>
      <c r="N1247" s="173" t="s">
        <v>679</v>
      </c>
      <c r="O1247" s="173" t="s">
        <v>225</v>
      </c>
      <c r="P1247" s="262" t="str">
        <f t="shared" si="1"/>
        <v>IN-BLR-ANANTA-VAV-819_5</v>
      </c>
      <c r="Q1247" s="173" t="s">
        <v>5254</v>
      </c>
      <c r="R1247" s="328" t="str">
        <f>IFS(C1247="","",C1247="n/a","N/A",LEN(C1247),Concatenate("{",char(34),"asset",char(34),":{",char(34),"guid",char(34),":",char(34),Q1247,char(34),",",char(34),"site",char(34),":",char(34),LOWER('2-Building'!$B$4),char(34),",",char(34),"name",char(34),":",char(34),LOWER(C1247),char(34),"}}"))</f>
        <v>{"asset":{"guid":"uuid://fdfe6088-f9f0-4940-b038-3cca86c0acf3","site":"in-blr-ananta","name":"vav-819"}}</v>
      </c>
      <c r="S1247" s="237" t="s">
        <v>2866</v>
      </c>
      <c r="T1247" s="330"/>
      <c r="U1247" s="330"/>
      <c r="V1247" s="331"/>
      <c r="W1247" s="344"/>
      <c r="X1247" s="341"/>
      <c r="Y1247" s="33" t="s">
        <v>2867</v>
      </c>
      <c r="Z1247" s="258">
        <v>120819.0</v>
      </c>
      <c r="AA1247" s="334">
        <v>11572.0</v>
      </c>
      <c r="AB1247" s="341"/>
      <c r="AC1247" s="341"/>
      <c r="AD1247" s="343"/>
      <c r="AE1247" s="331"/>
      <c r="AF1247" s="348"/>
      <c r="AG1247" s="337"/>
      <c r="AH1247" s="341"/>
      <c r="AI1247" s="341"/>
      <c r="AJ1247" s="341"/>
      <c r="AK1247" s="341"/>
      <c r="AL1247" s="341"/>
      <c r="AM1247" s="338"/>
      <c r="AN1247" s="341"/>
      <c r="AO1247" s="341"/>
      <c r="AP1247" s="341"/>
      <c r="AQ1247" s="341"/>
      <c r="AR1247" s="341"/>
      <c r="AS1247" s="341"/>
      <c r="AT1247" s="341"/>
      <c r="AU1247" s="343"/>
      <c r="AV1247" s="341"/>
      <c r="AW1247" s="269" t="s">
        <v>2257</v>
      </c>
      <c r="AX1247" s="334" t="s">
        <v>2869</v>
      </c>
      <c r="AY1247" s="270" t="s">
        <v>695</v>
      </c>
      <c r="AZ1247" s="173" t="s">
        <v>2866</v>
      </c>
      <c r="BA1247" s="265">
        <v>10.0</v>
      </c>
      <c r="BB1247" s="174" t="s">
        <v>245</v>
      </c>
      <c r="BC1247" s="341"/>
      <c r="BD1247" s="308"/>
      <c r="BE1247" s="347"/>
      <c r="BF1247" s="274" t="str">
        <f>IFERROR(__xludf.DUMMYFUNCTION("LOWER(Regexreplace(to_text(E1247),""[^A-Za-z0-9]"","""")&amp;""_""&amp;Regexreplace(to_text(F1247),""[^A-Za-z0-9]"",""""))"),"neptronic_evcbseries")</f>
        <v>neptronic_evcbseries</v>
      </c>
      <c r="BG1247" s="275" t="str">
        <f>IFERROR(__xludf.DUMMYFUNCTION("upper(Regexreplace(to_text(E1247),""[^A-Za-z0-9]"","""")&amp;""-""&amp;Regexreplace(to_text(F1247),""[^A-Za-z0-9]"",""""))"),"NEPTRONIC-EVCBSERIES")</f>
        <v>NEPTRONIC-EVCBSERIES</v>
      </c>
    </row>
    <row r="1248" ht="30.0" customHeight="1">
      <c r="A1248" s="258">
        <v>1240.0</v>
      </c>
      <c r="B1248" s="237" t="s">
        <v>670</v>
      </c>
      <c r="C1248" s="257" t="s">
        <v>5255</v>
      </c>
      <c r="D1248" s="173" t="s">
        <v>5255</v>
      </c>
      <c r="E1248" s="174" t="s">
        <v>2861</v>
      </c>
      <c r="F1248" s="173" t="s">
        <v>2862</v>
      </c>
      <c r="G1248" s="328" t="s">
        <v>673</v>
      </c>
      <c r="H1248" s="328" t="s">
        <v>2863</v>
      </c>
      <c r="I1248" s="258" t="s">
        <v>2864</v>
      </c>
      <c r="J1248" s="259" t="s">
        <v>1088</v>
      </c>
      <c r="K1248" s="260" t="s">
        <v>5256</v>
      </c>
      <c r="L1248" s="328"/>
      <c r="M1248" s="343"/>
      <c r="N1248" s="173" t="s">
        <v>679</v>
      </c>
      <c r="O1248" s="173" t="s">
        <v>225</v>
      </c>
      <c r="P1248" s="262" t="str">
        <f t="shared" si="1"/>
        <v>IN-BLR-ANANTA-VAV-820_5</v>
      </c>
      <c r="Q1248" s="173" t="s">
        <v>5257</v>
      </c>
      <c r="R1248" s="328" t="str">
        <f>IFS(C1248="","",C1248="n/a","N/A",LEN(C1248),Concatenate("{",char(34),"asset",char(34),":{",char(34),"guid",char(34),":",char(34),Q1248,char(34),",",char(34),"site",char(34),":",char(34),LOWER('2-Building'!$B$4),char(34),",",char(34),"name",char(34),":",char(34),LOWER(C1248),char(34),"}}"))</f>
        <v>{"asset":{"guid":"uuid://5080658b-f44b-4aea-8258-c89ad748c96d","site":"in-blr-ananta","name":"vav-820"}}</v>
      </c>
      <c r="S1248" s="237" t="s">
        <v>2866</v>
      </c>
      <c r="T1248" s="330"/>
      <c r="U1248" s="330"/>
      <c r="V1248" s="331"/>
      <c r="W1248" s="344"/>
      <c r="X1248" s="341"/>
      <c r="Y1248" s="33" t="s">
        <v>2867</v>
      </c>
      <c r="Z1248" s="258">
        <v>120820.0</v>
      </c>
      <c r="AA1248" s="334">
        <v>11572.0</v>
      </c>
      <c r="AB1248" s="341"/>
      <c r="AC1248" s="341"/>
      <c r="AD1248" s="343"/>
      <c r="AE1248" s="331"/>
      <c r="AF1248" s="348"/>
      <c r="AG1248" s="337"/>
      <c r="AH1248" s="341"/>
      <c r="AI1248" s="341"/>
      <c r="AJ1248" s="341"/>
      <c r="AK1248" s="341"/>
      <c r="AL1248" s="341"/>
      <c r="AM1248" s="338"/>
      <c r="AN1248" s="341"/>
      <c r="AO1248" s="341"/>
      <c r="AP1248" s="341"/>
      <c r="AQ1248" s="341"/>
      <c r="AR1248" s="341"/>
      <c r="AS1248" s="341"/>
      <c r="AT1248" s="341"/>
      <c r="AU1248" s="343"/>
      <c r="AV1248" s="341"/>
      <c r="AW1248" s="269" t="s">
        <v>2257</v>
      </c>
      <c r="AX1248" s="334" t="s">
        <v>2869</v>
      </c>
      <c r="AY1248" s="270" t="s">
        <v>695</v>
      </c>
      <c r="AZ1248" s="173" t="s">
        <v>2866</v>
      </c>
      <c r="BA1248" s="265">
        <v>10.0</v>
      </c>
      <c r="BB1248" s="174" t="s">
        <v>245</v>
      </c>
      <c r="BC1248" s="341"/>
      <c r="BD1248" s="308"/>
      <c r="BE1248" s="347"/>
      <c r="BF1248" s="274" t="str">
        <f>IFERROR(__xludf.DUMMYFUNCTION("LOWER(Regexreplace(to_text(E1248),""[^A-Za-z0-9]"","""")&amp;""_""&amp;Regexreplace(to_text(F1248),""[^A-Za-z0-9]"",""""))"),"neptronic_evcbseries")</f>
        <v>neptronic_evcbseries</v>
      </c>
      <c r="BG1248" s="275" t="str">
        <f>IFERROR(__xludf.DUMMYFUNCTION("upper(Regexreplace(to_text(E1248),""[^A-Za-z0-9]"","""")&amp;""-""&amp;Regexreplace(to_text(F1248),""[^A-Za-z0-9]"",""""))"),"NEPTRONIC-EVCBSERIES")</f>
        <v>NEPTRONIC-EVCBSERIES</v>
      </c>
    </row>
    <row r="1249" ht="30.0" customHeight="1">
      <c r="A1249" s="173">
        <v>1241.0</v>
      </c>
      <c r="B1249" s="237" t="s">
        <v>670</v>
      </c>
      <c r="C1249" s="257" t="s">
        <v>5258</v>
      </c>
      <c r="D1249" s="173" t="s">
        <v>5258</v>
      </c>
      <c r="E1249" s="174" t="s">
        <v>2861</v>
      </c>
      <c r="F1249" s="173" t="s">
        <v>2862</v>
      </c>
      <c r="G1249" s="328" t="s">
        <v>673</v>
      </c>
      <c r="H1249" s="328" t="s">
        <v>2863</v>
      </c>
      <c r="I1249" s="258" t="s">
        <v>2864</v>
      </c>
      <c r="J1249" s="259" t="s">
        <v>1088</v>
      </c>
      <c r="K1249" s="260" t="s">
        <v>5259</v>
      </c>
      <c r="L1249" s="328"/>
      <c r="M1249" s="343"/>
      <c r="N1249" s="173" t="s">
        <v>679</v>
      </c>
      <c r="O1249" s="173" t="s">
        <v>225</v>
      </c>
      <c r="P1249" s="262" t="str">
        <f t="shared" si="1"/>
        <v>IN-BLR-ANANTA-VAV-821_5</v>
      </c>
      <c r="Q1249" s="173" t="s">
        <v>5260</v>
      </c>
      <c r="R1249" s="328" t="str">
        <f>IFS(C1249="","",C1249="n/a","N/A",LEN(C1249),Concatenate("{",char(34),"asset",char(34),":{",char(34),"guid",char(34),":",char(34),Q1249,char(34),",",char(34),"site",char(34),":",char(34),LOWER('2-Building'!$B$4),char(34),",",char(34),"name",char(34),":",char(34),LOWER(C1249),char(34),"}}"))</f>
        <v>{"asset":{"guid":"uuid://84c2812e-3938-4a4e-adf9-7e88f02a71f5","site":"in-blr-ananta","name":"vav-821"}}</v>
      </c>
      <c r="S1249" s="237" t="s">
        <v>2866</v>
      </c>
      <c r="T1249" s="330"/>
      <c r="U1249" s="330"/>
      <c r="V1249" s="331"/>
      <c r="W1249" s="344"/>
      <c r="X1249" s="341"/>
      <c r="Y1249" s="33" t="s">
        <v>2867</v>
      </c>
      <c r="Z1249" s="258">
        <v>120821.0</v>
      </c>
      <c r="AA1249" s="334">
        <v>11572.0</v>
      </c>
      <c r="AB1249" s="341"/>
      <c r="AC1249" s="341"/>
      <c r="AD1249" s="343"/>
      <c r="AE1249" s="331"/>
      <c r="AF1249" s="348"/>
      <c r="AG1249" s="337"/>
      <c r="AH1249" s="341"/>
      <c r="AI1249" s="341"/>
      <c r="AJ1249" s="341"/>
      <c r="AK1249" s="341"/>
      <c r="AL1249" s="341"/>
      <c r="AM1249" s="338"/>
      <c r="AN1249" s="341"/>
      <c r="AO1249" s="341"/>
      <c r="AP1249" s="341"/>
      <c r="AQ1249" s="341"/>
      <c r="AR1249" s="341"/>
      <c r="AS1249" s="341"/>
      <c r="AT1249" s="341"/>
      <c r="AU1249" s="343"/>
      <c r="AV1249" s="341"/>
      <c r="AW1249" s="269" t="s">
        <v>2257</v>
      </c>
      <c r="AX1249" s="334" t="s">
        <v>2869</v>
      </c>
      <c r="AY1249" s="270" t="s">
        <v>695</v>
      </c>
      <c r="AZ1249" s="173" t="s">
        <v>2866</v>
      </c>
      <c r="BA1249" s="265">
        <v>10.0</v>
      </c>
      <c r="BB1249" s="174" t="s">
        <v>245</v>
      </c>
      <c r="BC1249" s="341"/>
      <c r="BD1249" s="308"/>
      <c r="BE1249" s="347"/>
      <c r="BF1249" s="274" t="str">
        <f>IFERROR(__xludf.DUMMYFUNCTION("LOWER(Regexreplace(to_text(E1249),""[^A-Za-z0-9]"","""")&amp;""_""&amp;Regexreplace(to_text(F1249),""[^A-Za-z0-9]"",""""))"),"neptronic_evcbseries")</f>
        <v>neptronic_evcbseries</v>
      </c>
      <c r="BG1249" s="275" t="str">
        <f>IFERROR(__xludf.DUMMYFUNCTION("upper(Regexreplace(to_text(E1249),""[^A-Za-z0-9]"","""")&amp;""-""&amp;Regexreplace(to_text(F1249),""[^A-Za-z0-9]"",""""))"),"NEPTRONIC-EVCBSERIES")</f>
        <v>NEPTRONIC-EVCBSERIES</v>
      </c>
    </row>
    <row r="1250" ht="30.0" customHeight="1">
      <c r="A1250" s="258">
        <v>1242.0</v>
      </c>
      <c r="B1250" s="237" t="s">
        <v>670</v>
      </c>
      <c r="C1250" s="257" t="s">
        <v>5261</v>
      </c>
      <c r="D1250" s="173" t="s">
        <v>5261</v>
      </c>
      <c r="E1250" s="174" t="s">
        <v>2861</v>
      </c>
      <c r="F1250" s="173" t="s">
        <v>2862</v>
      </c>
      <c r="G1250" s="328" t="s">
        <v>673</v>
      </c>
      <c r="H1250" s="328" t="s">
        <v>2863</v>
      </c>
      <c r="I1250" s="258" t="s">
        <v>2864</v>
      </c>
      <c r="J1250" s="259" t="s">
        <v>1088</v>
      </c>
      <c r="K1250" s="260" t="s">
        <v>5262</v>
      </c>
      <c r="L1250" s="328"/>
      <c r="M1250" s="343"/>
      <c r="N1250" s="173" t="s">
        <v>679</v>
      </c>
      <c r="O1250" s="173" t="s">
        <v>225</v>
      </c>
      <c r="P1250" s="262" t="str">
        <f t="shared" si="1"/>
        <v>IN-BLR-ANANTA-VAV-822_5</v>
      </c>
      <c r="Q1250" s="173" t="s">
        <v>5263</v>
      </c>
      <c r="R1250" s="328" t="str">
        <f>IFS(C1250="","",C1250="n/a","N/A",LEN(C1250),Concatenate("{",char(34),"asset",char(34),":{",char(34),"guid",char(34),":",char(34),Q1250,char(34),",",char(34),"site",char(34),":",char(34),LOWER('2-Building'!$B$4),char(34),",",char(34),"name",char(34),":",char(34),LOWER(C1250),char(34),"}}"))</f>
        <v>{"asset":{"guid":"uuid://8b89cee2-73ea-44e1-86cf-38761402c29f","site":"in-blr-ananta","name":"vav-822"}}</v>
      </c>
      <c r="S1250" s="237" t="s">
        <v>2866</v>
      </c>
      <c r="T1250" s="330"/>
      <c r="U1250" s="330"/>
      <c r="V1250" s="331"/>
      <c r="W1250" s="344"/>
      <c r="X1250" s="341"/>
      <c r="Y1250" s="33" t="s">
        <v>2867</v>
      </c>
      <c r="Z1250" s="258">
        <v>120822.0</v>
      </c>
      <c r="AA1250" s="334">
        <v>11572.0</v>
      </c>
      <c r="AB1250" s="341"/>
      <c r="AC1250" s="341"/>
      <c r="AD1250" s="343"/>
      <c r="AE1250" s="331"/>
      <c r="AF1250" s="348"/>
      <c r="AG1250" s="337"/>
      <c r="AH1250" s="341"/>
      <c r="AI1250" s="341"/>
      <c r="AJ1250" s="341"/>
      <c r="AK1250" s="341"/>
      <c r="AL1250" s="341"/>
      <c r="AM1250" s="338"/>
      <c r="AN1250" s="341"/>
      <c r="AO1250" s="341"/>
      <c r="AP1250" s="341"/>
      <c r="AQ1250" s="341"/>
      <c r="AR1250" s="341"/>
      <c r="AS1250" s="341"/>
      <c r="AT1250" s="341"/>
      <c r="AU1250" s="343"/>
      <c r="AV1250" s="341"/>
      <c r="AW1250" s="269" t="s">
        <v>2257</v>
      </c>
      <c r="AX1250" s="334" t="s">
        <v>2869</v>
      </c>
      <c r="AY1250" s="270" t="s">
        <v>695</v>
      </c>
      <c r="AZ1250" s="173" t="s">
        <v>2866</v>
      </c>
      <c r="BA1250" s="265">
        <v>10.0</v>
      </c>
      <c r="BB1250" s="174" t="s">
        <v>245</v>
      </c>
      <c r="BC1250" s="341"/>
      <c r="BD1250" s="308"/>
      <c r="BE1250" s="347"/>
      <c r="BF1250" s="274" t="str">
        <f>IFERROR(__xludf.DUMMYFUNCTION("LOWER(Regexreplace(to_text(E1250),""[^A-Za-z0-9]"","""")&amp;""_""&amp;Regexreplace(to_text(F1250),""[^A-Za-z0-9]"",""""))"),"neptronic_evcbseries")</f>
        <v>neptronic_evcbseries</v>
      </c>
      <c r="BG1250" s="275" t="str">
        <f>IFERROR(__xludf.DUMMYFUNCTION("upper(Regexreplace(to_text(E1250),""[^A-Za-z0-9]"","""")&amp;""-""&amp;Regexreplace(to_text(F1250),""[^A-Za-z0-9]"",""""))"),"NEPTRONIC-EVCBSERIES")</f>
        <v>NEPTRONIC-EVCBSERIES</v>
      </c>
    </row>
    <row r="1251" ht="30.0" customHeight="1">
      <c r="A1251" s="173">
        <v>1243.0</v>
      </c>
      <c r="B1251" s="237" t="s">
        <v>670</v>
      </c>
      <c r="C1251" s="257" t="s">
        <v>5264</v>
      </c>
      <c r="D1251" s="173" t="s">
        <v>5264</v>
      </c>
      <c r="E1251" s="174" t="s">
        <v>2861</v>
      </c>
      <c r="F1251" s="173" t="s">
        <v>2862</v>
      </c>
      <c r="G1251" s="328" t="s">
        <v>673</v>
      </c>
      <c r="H1251" s="328" t="s">
        <v>2863</v>
      </c>
      <c r="I1251" s="258" t="s">
        <v>2864</v>
      </c>
      <c r="J1251" s="259" t="s">
        <v>1088</v>
      </c>
      <c r="K1251" s="260" t="s">
        <v>5265</v>
      </c>
      <c r="L1251" s="328"/>
      <c r="M1251" s="343"/>
      <c r="N1251" s="173" t="s">
        <v>679</v>
      </c>
      <c r="O1251" s="173" t="s">
        <v>225</v>
      </c>
      <c r="P1251" s="262" t="str">
        <f t="shared" si="1"/>
        <v>IN-BLR-ANANTA-VAV-823_5</v>
      </c>
      <c r="Q1251" s="173" t="s">
        <v>5266</v>
      </c>
      <c r="R1251" s="328" t="str">
        <f>IFS(C1251="","",C1251="n/a","N/A",LEN(C1251),Concatenate("{",char(34),"asset",char(34),":{",char(34),"guid",char(34),":",char(34),Q1251,char(34),",",char(34),"site",char(34),":",char(34),LOWER('2-Building'!$B$4),char(34),",",char(34),"name",char(34),":",char(34),LOWER(C1251),char(34),"}}"))</f>
        <v>{"asset":{"guid":"uuid://01a358e1-cfe2-44e6-83c4-1d2c1fa44f79","site":"in-blr-ananta","name":"vav-823"}}</v>
      </c>
      <c r="S1251" s="237" t="s">
        <v>2866</v>
      </c>
      <c r="T1251" s="330"/>
      <c r="U1251" s="330"/>
      <c r="V1251" s="331"/>
      <c r="W1251" s="344"/>
      <c r="X1251" s="341"/>
      <c r="Y1251" s="33" t="s">
        <v>2867</v>
      </c>
      <c r="Z1251" s="258">
        <v>120823.0</v>
      </c>
      <c r="AA1251" s="334">
        <v>11572.0</v>
      </c>
      <c r="AB1251" s="341"/>
      <c r="AC1251" s="341"/>
      <c r="AD1251" s="343"/>
      <c r="AE1251" s="331"/>
      <c r="AF1251" s="348"/>
      <c r="AG1251" s="337"/>
      <c r="AH1251" s="341"/>
      <c r="AI1251" s="341"/>
      <c r="AJ1251" s="341"/>
      <c r="AK1251" s="341"/>
      <c r="AL1251" s="341"/>
      <c r="AM1251" s="338"/>
      <c r="AN1251" s="341"/>
      <c r="AO1251" s="341"/>
      <c r="AP1251" s="341"/>
      <c r="AQ1251" s="341"/>
      <c r="AR1251" s="341"/>
      <c r="AS1251" s="341"/>
      <c r="AT1251" s="341"/>
      <c r="AU1251" s="343"/>
      <c r="AV1251" s="341"/>
      <c r="AW1251" s="269" t="s">
        <v>2257</v>
      </c>
      <c r="AX1251" s="334" t="s">
        <v>2869</v>
      </c>
      <c r="AY1251" s="270" t="s">
        <v>695</v>
      </c>
      <c r="AZ1251" s="173" t="s">
        <v>2866</v>
      </c>
      <c r="BA1251" s="265">
        <v>10.0</v>
      </c>
      <c r="BB1251" s="174" t="s">
        <v>245</v>
      </c>
      <c r="BC1251" s="341"/>
      <c r="BD1251" s="308"/>
      <c r="BE1251" s="347"/>
      <c r="BF1251" s="274" t="str">
        <f>IFERROR(__xludf.DUMMYFUNCTION("LOWER(Regexreplace(to_text(E1251),""[^A-Za-z0-9]"","""")&amp;""_""&amp;Regexreplace(to_text(F1251),""[^A-Za-z0-9]"",""""))"),"neptronic_evcbseries")</f>
        <v>neptronic_evcbseries</v>
      </c>
      <c r="BG1251" s="275" t="str">
        <f>IFERROR(__xludf.DUMMYFUNCTION("upper(Regexreplace(to_text(E1251),""[^A-Za-z0-9]"","""")&amp;""-""&amp;Regexreplace(to_text(F1251),""[^A-Za-z0-9]"",""""))"),"NEPTRONIC-EVCBSERIES")</f>
        <v>NEPTRONIC-EVCBSERIES</v>
      </c>
    </row>
    <row r="1252" ht="30.0" customHeight="1">
      <c r="A1252" s="258">
        <v>1244.0</v>
      </c>
      <c r="B1252" s="237" t="s">
        <v>670</v>
      </c>
      <c r="C1252" s="257" t="s">
        <v>5267</v>
      </c>
      <c r="D1252" s="173" t="s">
        <v>5267</v>
      </c>
      <c r="E1252" s="174" t="s">
        <v>2861</v>
      </c>
      <c r="F1252" s="173" t="s">
        <v>2862</v>
      </c>
      <c r="G1252" s="328" t="s">
        <v>673</v>
      </c>
      <c r="H1252" s="328" t="s">
        <v>2863</v>
      </c>
      <c r="I1252" s="258" t="s">
        <v>2864</v>
      </c>
      <c r="J1252" s="259" t="s">
        <v>1088</v>
      </c>
      <c r="K1252" s="260" t="s">
        <v>5268</v>
      </c>
      <c r="L1252" s="328"/>
      <c r="M1252" s="343"/>
      <c r="N1252" s="173" t="s">
        <v>679</v>
      </c>
      <c r="O1252" s="173" t="s">
        <v>225</v>
      </c>
      <c r="P1252" s="262" t="str">
        <f t="shared" si="1"/>
        <v>IN-BLR-ANANTA-VAV-824_5</v>
      </c>
      <c r="Q1252" s="173" t="s">
        <v>5269</v>
      </c>
      <c r="R1252" s="328" t="str">
        <f>IFS(C1252="","",C1252="n/a","N/A",LEN(C1252),Concatenate("{",char(34),"asset",char(34),":{",char(34),"guid",char(34),":",char(34),Q1252,char(34),",",char(34),"site",char(34),":",char(34),LOWER('2-Building'!$B$4),char(34),",",char(34),"name",char(34),":",char(34),LOWER(C1252),char(34),"}}"))</f>
        <v>{"asset":{"guid":"uuid://91daf9e6-e36b-4e4e-9fa2-28c7a27ad79d","site":"in-blr-ananta","name":"vav-824"}}</v>
      </c>
      <c r="S1252" s="237" t="s">
        <v>2866</v>
      </c>
      <c r="T1252" s="330"/>
      <c r="U1252" s="330"/>
      <c r="V1252" s="331"/>
      <c r="W1252" s="344"/>
      <c r="X1252" s="341"/>
      <c r="Y1252" s="33" t="s">
        <v>2867</v>
      </c>
      <c r="Z1252" s="258">
        <v>120824.0</v>
      </c>
      <c r="AA1252" s="334">
        <v>11572.0</v>
      </c>
      <c r="AB1252" s="341"/>
      <c r="AC1252" s="341"/>
      <c r="AD1252" s="343"/>
      <c r="AE1252" s="331"/>
      <c r="AF1252" s="348"/>
      <c r="AG1252" s="337"/>
      <c r="AH1252" s="341"/>
      <c r="AI1252" s="341"/>
      <c r="AJ1252" s="341"/>
      <c r="AK1252" s="341"/>
      <c r="AL1252" s="341"/>
      <c r="AM1252" s="338"/>
      <c r="AN1252" s="341"/>
      <c r="AO1252" s="341"/>
      <c r="AP1252" s="341"/>
      <c r="AQ1252" s="341"/>
      <c r="AR1252" s="341"/>
      <c r="AS1252" s="341"/>
      <c r="AT1252" s="341"/>
      <c r="AU1252" s="343"/>
      <c r="AV1252" s="341"/>
      <c r="AW1252" s="269" t="s">
        <v>2257</v>
      </c>
      <c r="AX1252" s="334" t="s">
        <v>2869</v>
      </c>
      <c r="AY1252" s="270" t="s">
        <v>695</v>
      </c>
      <c r="AZ1252" s="173" t="s">
        <v>2866</v>
      </c>
      <c r="BA1252" s="265">
        <v>10.0</v>
      </c>
      <c r="BB1252" s="174" t="s">
        <v>245</v>
      </c>
      <c r="BC1252" s="341"/>
      <c r="BD1252" s="308"/>
      <c r="BE1252" s="347"/>
      <c r="BF1252" s="274" t="str">
        <f>IFERROR(__xludf.DUMMYFUNCTION("LOWER(Regexreplace(to_text(E1252),""[^A-Za-z0-9]"","""")&amp;""_""&amp;Regexreplace(to_text(F1252),""[^A-Za-z0-9]"",""""))"),"neptronic_evcbseries")</f>
        <v>neptronic_evcbseries</v>
      </c>
      <c r="BG1252" s="275" t="str">
        <f>IFERROR(__xludf.DUMMYFUNCTION("upper(Regexreplace(to_text(E1252),""[^A-Za-z0-9]"","""")&amp;""-""&amp;Regexreplace(to_text(F1252),""[^A-Za-z0-9]"",""""))"),"NEPTRONIC-EVCBSERIES")</f>
        <v>NEPTRONIC-EVCBSERIES</v>
      </c>
    </row>
    <row r="1253" ht="30.0" customHeight="1">
      <c r="A1253" s="173">
        <v>1245.0</v>
      </c>
      <c r="B1253" s="237" t="s">
        <v>670</v>
      </c>
      <c r="C1253" s="257" t="s">
        <v>5270</v>
      </c>
      <c r="D1253" s="173" t="s">
        <v>5270</v>
      </c>
      <c r="E1253" s="174" t="s">
        <v>2861</v>
      </c>
      <c r="F1253" s="173" t="s">
        <v>2862</v>
      </c>
      <c r="G1253" s="328" t="s">
        <v>673</v>
      </c>
      <c r="H1253" s="328" t="s">
        <v>2863</v>
      </c>
      <c r="I1253" s="258" t="s">
        <v>2864</v>
      </c>
      <c r="J1253" s="259" t="s">
        <v>1088</v>
      </c>
      <c r="K1253" s="260" t="s">
        <v>5271</v>
      </c>
      <c r="L1253" s="328"/>
      <c r="M1253" s="343"/>
      <c r="N1253" s="173" t="s">
        <v>679</v>
      </c>
      <c r="O1253" s="173" t="s">
        <v>225</v>
      </c>
      <c r="P1253" s="262" t="str">
        <f t="shared" si="1"/>
        <v>IN-BLR-ANANTA-VAV-825_5</v>
      </c>
      <c r="Q1253" s="173" t="s">
        <v>5272</v>
      </c>
      <c r="R1253" s="328" t="str">
        <f>IFS(C1253="","",C1253="n/a","N/A",LEN(C1253),Concatenate("{",char(34),"asset",char(34),":{",char(34),"guid",char(34),":",char(34),Q1253,char(34),",",char(34),"site",char(34),":",char(34),LOWER('2-Building'!$B$4),char(34),",",char(34),"name",char(34),":",char(34),LOWER(C1253),char(34),"}}"))</f>
        <v>{"asset":{"guid":"uuid://94b4b3c2-5a2f-4bed-92c4-d88f8a98b3a8","site":"in-blr-ananta","name":"vav-825"}}</v>
      </c>
      <c r="S1253" s="237" t="s">
        <v>2866</v>
      </c>
      <c r="T1253" s="330"/>
      <c r="U1253" s="330"/>
      <c r="V1253" s="331"/>
      <c r="W1253" s="344"/>
      <c r="X1253" s="341"/>
      <c r="Y1253" s="33" t="s">
        <v>2867</v>
      </c>
      <c r="Z1253" s="258">
        <v>120825.0</v>
      </c>
      <c r="AA1253" s="334">
        <v>11572.0</v>
      </c>
      <c r="AB1253" s="341"/>
      <c r="AC1253" s="341"/>
      <c r="AD1253" s="343"/>
      <c r="AE1253" s="331"/>
      <c r="AF1253" s="348"/>
      <c r="AG1253" s="337"/>
      <c r="AH1253" s="341"/>
      <c r="AI1253" s="341"/>
      <c r="AJ1253" s="341"/>
      <c r="AK1253" s="341"/>
      <c r="AL1253" s="341"/>
      <c r="AM1253" s="338"/>
      <c r="AN1253" s="341"/>
      <c r="AO1253" s="341"/>
      <c r="AP1253" s="341"/>
      <c r="AQ1253" s="341"/>
      <c r="AR1253" s="341"/>
      <c r="AS1253" s="341"/>
      <c r="AT1253" s="341"/>
      <c r="AU1253" s="343"/>
      <c r="AV1253" s="341"/>
      <c r="AW1253" s="269" t="s">
        <v>2257</v>
      </c>
      <c r="AX1253" s="334" t="s">
        <v>2869</v>
      </c>
      <c r="AY1253" s="270" t="s">
        <v>695</v>
      </c>
      <c r="AZ1253" s="173" t="s">
        <v>2866</v>
      </c>
      <c r="BA1253" s="265">
        <v>10.0</v>
      </c>
      <c r="BB1253" s="174" t="s">
        <v>245</v>
      </c>
      <c r="BC1253" s="341"/>
      <c r="BD1253" s="308"/>
      <c r="BE1253" s="347"/>
      <c r="BF1253" s="274" t="str">
        <f>IFERROR(__xludf.DUMMYFUNCTION("LOWER(Regexreplace(to_text(E1253),""[^A-Za-z0-9]"","""")&amp;""_""&amp;Regexreplace(to_text(F1253),""[^A-Za-z0-9]"",""""))"),"neptronic_evcbseries")</f>
        <v>neptronic_evcbseries</v>
      </c>
      <c r="BG1253" s="275" t="str">
        <f>IFERROR(__xludf.DUMMYFUNCTION("upper(Regexreplace(to_text(E1253),""[^A-Za-z0-9]"","""")&amp;""-""&amp;Regexreplace(to_text(F1253),""[^A-Za-z0-9]"",""""))"),"NEPTRONIC-EVCBSERIES")</f>
        <v>NEPTRONIC-EVCBSERIES</v>
      </c>
    </row>
    <row r="1254" ht="30.0" customHeight="1">
      <c r="A1254" s="258">
        <v>1246.0</v>
      </c>
      <c r="B1254" s="237" t="s">
        <v>670</v>
      </c>
      <c r="C1254" s="257" t="s">
        <v>5273</v>
      </c>
      <c r="D1254" s="173" t="s">
        <v>5273</v>
      </c>
      <c r="E1254" s="174" t="s">
        <v>2861</v>
      </c>
      <c r="F1254" s="173" t="s">
        <v>2862</v>
      </c>
      <c r="G1254" s="328" t="s">
        <v>673</v>
      </c>
      <c r="H1254" s="328" t="s">
        <v>2863</v>
      </c>
      <c r="I1254" s="258" t="s">
        <v>2864</v>
      </c>
      <c r="J1254" s="259" t="s">
        <v>1088</v>
      </c>
      <c r="K1254" s="260" t="s">
        <v>5274</v>
      </c>
      <c r="L1254" s="328"/>
      <c r="M1254" s="343"/>
      <c r="N1254" s="173" t="s">
        <v>679</v>
      </c>
      <c r="O1254" s="173" t="s">
        <v>225</v>
      </c>
      <c r="P1254" s="262" t="str">
        <f t="shared" si="1"/>
        <v>IN-BLR-ANANTA-VAV-826_5</v>
      </c>
      <c r="Q1254" s="173" t="s">
        <v>5275</v>
      </c>
      <c r="R1254" s="328" t="str">
        <f>IFS(C1254="","",C1254="n/a","N/A",LEN(C1254),Concatenate("{",char(34),"asset",char(34),":{",char(34),"guid",char(34),":",char(34),Q1254,char(34),",",char(34),"site",char(34),":",char(34),LOWER('2-Building'!$B$4),char(34),",",char(34),"name",char(34),":",char(34),LOWER(C1254),char(34),"}}"))</f>
        <v>{"asset":{"guid":"uuid://48b34db0-d381-476f-9c33-c7b15c246791","site":"in-blr-ananta","name":"vav-826"}}</v>
      </c>
      <c r="S1254" s="237" t="s">
        <v>2866</v>
      </c>
      <c r="T1254" s="330"/>
      <c r="U1254" s="330"/>
      <c r="V1254" s="331"/>
      <c r="W1254" s="344"/>
      <c r="X1254" s="341"/>
      <c r="Y1254" s="33" t="s">
        <v>2867</v>
      </c>
      <c r="Z1254" s="258">
        <v>120826.0</v>
      </c>
      <c r="AA1254" s="334">
        <v>11572.0</v>
      </c>
      <c r="AB1254" s="341"/>
      <c r="AC1254" s="341"/>
      <c r="AD1254" s="343"/>
      <c r="AE1254" s="331"/>
      <c r="AF1254" s="348"/>
      <c r="AG1254" s="337"/>
      <c r="AH1254" s="341"/>
      <c r="AI1254" s="341"/>
      <c r="AJ1254" s="341"/>
      <c r="AK1254" s="341"/>
      <c r="AL1254" s="341"/>
      <c r="AM1254" s="338"/>
      <c r="AN1254" s="341"/>
      <c r="AO1254" s="341"/>
      <c r="AP1254" s="341"/>
      <c r="AQ1254" s="341"/>
      <c r="AR1254" s="341"/>
      <c r="AS1254" s="341"/>
      <c r="AT1254" s="341"/>
      <c r="AU1254" s="343"/>
      <c r="AV1254" s="341"/>
      <c r="AW1254" s="269" t="s">
        <v>2257</v>
      </c>
      <c r="AX1254" s="334" t="s">
        <v>2869</v>
      </c>
      <c r="AY1254" s="270" t="s">
        <v>695</v>
      </c>
      <c r="AZ1254" s="173" t="s">
        <v>2866</v>
      </c>
      <c r="BA1254" s="265">
        <v>10.0</v>
      </c>
      <c r="BB1254" s="174" t="s">
        <v>245</v>
      </c>
      <c r="BC1254" s="341"/>
      <c r="BD1254" s="308"/>
      <c r="BE1254" s="347"/>
      <c r="BF1254" s="274" t="str">
        <f>IFERROR(__xludf.DUMMYFUNCTION("LOWER(Regexreplace(to_text(E1254),""[^A-Za-z0-9]"","""")&amp;""_""&amp;Regexreplace(to_text(F1254),""[^A-Za-z0-9]"",""""))"),"neptronic_evcbseries")</f>
        <v>neptronic_evcbseries</v>
      </c>
      <c r="BG1254" s="275" t="str">
        <f>IFERROR(__xludf.DUMMYFUNCTION("upper(Regexreplace(to_text(E1254),""[^A-Za-z0-9]"","""")&amp;""-""&amp;Regexreplace(to_text(F1254),""[^A-Za-z0-9]"",""""))"),"NEPTRONIC-EVCBSERIES")</f>
        <v>NEPTRONIC-EVCBSERIES</v>
      </c>
    </row>
    <row r="1255" ht="30.0" customHeight="1">
      <c r="A1255" s="173">
        <v>1247.0</v>
      </c>
      <c r="B1255" s="237" t="s">
        <v>670</v>
      </c>
      <c r="C1255" s="257" t="s">
        <v>5276</v>
      </c>
      <c r="D1255" s="173" t="s">
        <v>5276</v>
      </c>
      <c r="E1255" s="174" t="s">
        <v>2861</v>
      </c>
      <c r="F1255" s="173" t="s">
        <v>2862</v>
      </c>
      <c r="G1255" s="328" t="s">
        <v>673</v>
      </c>
      <c r="H1255" s="328" t="s">
        <v>2863</v>
      </c>
      <c r="I1255" s="258" t="s">
        <v>2864</v>
      </c>
      <c r="J1255" s="259" t="s">
        <v>1088</v>
      </c>
      <c r="K1255" s="260" t="s">
        <v>5277</v>
      </c>
      <c r="L1255" s="328"/>
      <c r="M1255" s="343"/>
      <c r="N1255" s="173" t="s">
        <v>679</v>
      </c>
      <c r="O1255" s="173" t="s">
        <v>225</v>
      </c>
      <c r="P1255" s="262" t="str">
        <f t="shared" si="1"/>
        <v>IN-BLR-ANANTA-VAV-827_5</v>
      </c>
      <c r="Q1255" s="173" t="s">
        <v>5278</v>
      </c>
      <c r="R1255" s="328" t="str">
        <f>IFS(C1255="","",C1255="n/a","N/A",LEN(C1255),Concatenate("{",char(34),"asset",char(34),":{",char(34),"guid",char(34),":",char(34),Q1255,char(34),",",char(34),"site",char(34),":",char(34),LOWER('2-Building'!$B$4),char(34),",",char(34),"name",char(34),":",char(34),LOWER(C1255),char(34),"}}"))</f>
        <v>{"asset":{"guid":"uuid://e05b859b-982c-4459-b1af-2ae2f0e6121e","site":"in-blr-ananta","name":"vav-827"}}</v>
      </c>
      <c r="S1255" s="237" t="s">
        <v>2866</v>
      </c>
      <c r="T1255" s="330"/>
      <c r="U1255" s="330"/>
      <c r="V1255" s="331"/>
      <c r="W1255" s="344"/>
      <c r="X1255" s="341"/>
      <c r="Y1255" s="33" t="s">
        <v>2867</v>
      </c>
      <c r="Z1255" s="258">
        <v>120827.0</v>
      </c>
      <c r="AA1255" s="334">
        <v>11572.0</v>
      </c>
      <c r="AB1255" s="341"/>
      <c r="AC1255" s="341"/>
      <c r="AD1255" s="343"/>
      <c r="AE1255" s="331"/>
      <c r="AF1255" s="348"/>
      <c r="AG1255" s="337"/>
      <c r="AH1255" s="341"/>
      <c r="AI1255" s="341"/>
      <c r="AJ1255" s="341"/>
      <c r="AK1255" s="341"/>
      <c r="AL1255" s="341"/>
      <c r="AM1255" s="338"/>
      <c r="AN1255" s="341"/>
      <c r="AO1255" s="341"/>
      <c r="AP1255" s="341"/>
      <c r="AQ1255" s="341"/>
      <c r="AR1255" s="341"/>
      <c r="AS1255" s="341"/>
      <c r="AT1255" s="341"/>
      <c r="AU1255" s="343"/>
      <c r="AV1255" s="341"/>
      <c r="AW1255" s="269" t="s">
        <v>2257</v>
      </c>
      <c r="AX1255" s="334" t="s">
        <v>2869</v>
      </c>
      <c r="AY1255" s="270" t="s">
        <v>695</v>
      </c>
      <c r="AZ1255" s="173" t="s">
        <v>2866</v>
      </c>
      <c r="BA1255" s="265">
        <v>10.0</v>
      </c>
      <c r="BB1255" s="174" t="s">
        <v>245</v>
      </c>
      <c r="BC1255" s="341"/>
      <c r="BD1255" s="308"/>
      <c r="BE1255" s="347"/>
      <c r="BF1255" s="274" t="str">
        <f>IFERROR(__xludf.DUMMYFUNCTION("LOWER(Regexreplace(to_text(E1255),""[^A-Za-z0-9]"","""")&amp;""_""&amp;Regexreplace(to_text(F1255),""[^A-Za-z0-9]"",""""))"),"neptronic_evcbseries")</f>
        <v>neptronic_evcbseries</v>
      </c>
      <c r="BG1255" s="275" t="str">
        <f>IFERROR(__xludf.DUMMYFUNCTION("upper(Regexreplace(to_text(E1255),""[^A-Za-z0-9]"","""")&amp;""-""&amp;Regexreplace(to_text(F1255),""[^A-Za-z0-9]"",""""))"),"NEPTRONIC-EVCBSERIES")</f>
        <v>NEPTRONIC-EVCBSERIES</v>
      </c>
    </row>
    <row r="1256" ht="30.0" customHeight="1">
      <c r="A1256" s="258">
        <v>1248.0</v>
      </c>
      <c r="B1256" s="237" t="s">
        <v>670</v>
      </c>
      <c r="C1256" s="257" t="s">
        <v>5279</v>
      </c>
      <c r="D1256" s="173" t="s">
        <v>5279</v>
      </c>
      <c r="E1256" s="174" t="s">
        <v>2861</v>
      </c>
      <c r="F1256" s="173" t="s">
        <v>2862</v>
      </c>
      <c r="G1256" s="328" t="s">
        <v>673</v>
      </c>
      <c r="H1256" s="328" t="s">
        <v>2863</v>
      </c>
      <c r="I1256" s="258" t="s">
        <v>2864</v>
      </c>
      <c r="J1256" s="259" t="s">
        <v>1088</v>
      </c>
      <c r="K1256" s="260" t="s">
        <v>5280</v>
      </c>
      <c r="L1256" s="328"/>
      <c r="M1256" s="343"/>
      <c r="N1256" s="173" t="s">
        <v>679</v>
      </c>
      <c r="O1256" s="173" t="s">
        <v>225</v>
      </c>
      <c r="P1256" s="262" t="str">
        <f t="shared" si="1"/>
        <v>IN-BLR-ANANTA-VAV-828_5</v>
      </c>
      <c r="Q1256" s="173" t="s">
        <v>5281</v>
      </c>
      <c r="R1256" s="328" t="str">
        <f>IFS(C1256="","",C1256="n/a","N/A",LEN(C1256),Concatenate("{",char(34),"asset",char(34),":{",char(34),"guid",char(34),":",char(34),Q1256,char(34),",",char(34),"site",char(34),":",char(34),LOWER('2-Building'!$B$4),char(34),",",char(34),"name",char(34),":",char(34),LOWER(C1256),char(34),"}}"))</f>
        <v>{"asset":{"guid":"uuid://130db8a2-a123-488a-afbc-f02a4f714a6d","site":"in-blr-ananta","name":"vav-828"}}</v>
      </c>
      <c r="S1256" s="237" t="s">
        <v>2866</v>
      </c>
      <c r="T1256" s="330"/>
      <c r="U1256" s="330"/>
      <c r="V1256" s="331"/>
      <c r="W1256" s="344"/>
      <c r="X1256" s="341"/>
      <c r="Y1256" s="33" t="s">
        <v>2867</v>
      </c>
      <c r="Z1256" s="258">
        <v>120828.0</v>
      </c>
      <c r="AA1256" s="334">
        <v>11572.0</v>
      </c>
      <c r="AB1256" s="341"/>
      <c r="AC1256" s="341"/>
      <c r="AD1256" s="343"/>
      <c r="AE1256" s="331"/>
      <c r="AF1256" s="348"/>
      <c r="AG1256" s="337"/>
      <c r="AH1256" s="341"/>
      <c r="AI1256" s="341"/>
      <c r="AJ1256" s="341"/>
      <c r="AK1256" s="341"/>
      <c r="AL1256" s="341"/>
      <c r="AM1256" s="338"/>
      <c r="AN1256" s="341"/>
      <c r="AO1256" s="341"/>
      <c r="AP1256" s="341"/>
      <c r="AQ1256" s="341"/>
      <c r="AR1256" s="341"/>
      <c r="AS1256" s="341"/>
      <c r="AT1256" s="341"/>
      <c r="AU1256" s="343"/>
      <c r="AV1256" s="341"/>
      <c r="AW1256" s="269" t="s">
        <v>2257</v>
      </c>
      <c r="AX1256" s="334" t="s">
        <v>2869</v>
      </c>
      <c r="AY1256" s="270" t="s">
        <v>695</v>
      </c>
      <c r="AZ1256" s="173" t="s">
        <v>2866</v>
      </c>
      <c r="BA1256" s="265">
        <v>10.0</v>
      </c>
      <c r="BB1256" s="174" t="s">
        <v>245</v>
      </c>
      <c r="BC1256" s="341"/>
      <c r="BD1256" s="308"/>
      <c r="BE1256" s="347"/>
      <c r="BF1256" s="274" t="str">
        <f>IFERROR(__xludf.DUMMYFUNCTION("LOWER(Regexreplace(to_text(E1256),""[^A-Za-z0-9]"","""")&amp;""_""&amp;Regexreplace(to_text(F1256),""[^A-Za-z0-9]"",""""))"),"neptronic_evcbseries")</f>
        <v>neptronic_evcbseries</v>
      </c>
      <c r="BG1256" s="275" t="str">
        <f>IFERROR(__xludf.DUMMYFUNCTION("upper(Regexreplace(to_text(E1256),""[^A-Za-z0-9]"","""")&amp;""-""&amp;Regexreplace(to_text(F1256),""[^A-Za-z0-9]"",""""))"),"NEPTRONIC-EVCBSERIES")</f>
        <v>NEPTRONIC-EVCBSERIES</v>
      </c>
    </row>
    <row r="1257" ht="30.0" customHeight="1">
      <c r="A1257" s="173">
        <v>1249.0</v>
      </c>
      <c r="B1257" s="237" t="s">
        <v>670</v>
      </c>
      <c r="C1257" s="257" t="s">
        <v>5282</v>
      </c>
      <c r="D1257" s="173" t="s">
        <v>5282</v>
      </c>
      <c r="E1257" s="174" t="s">
        <v>2861</v>
      </c>
      <c r="F1257" s="173" t="s">
        <v>2862</v>
      </c>
      <c r="G1257" s="328" t="s">
        <v>673</v>
      </c>
      <c r="H1257" s="328" t="s">
        <v>2863</v>
      </c>
      <c r="I1257" s="258" t="s">
        <v>2864</v>
      </c>
      <c r="J1257" s="259" t="s">
        <v>1088</v>
      </c>
      <c r="K1257" s="260" t="s">
        <v>5283</v>
      </c>
      <c r="L1257" s="328"/>
      <c r="M1257" s="343"/>
      <c r="N1257" s="173" t="s">
        <v>679</v>
      </c>
      <c r="O1257" s="173" t="s">
        <v>225</v>
      </c>
      <c r="P1257" s="262" t="str">
        <f t="shared" si="1"/>
        <v>IN-BLR-ANANTA-VAV-829_5</v>
      </c>
      <c r="Q1257" s="173" t="s">
        <v>5284</v>
      </c>
      <c r="R1257" s="328" t="str">
        <f>IFS(C1257="","",C1257="n/a","N/A",LEN(C1257),Concatenate("{",char(34),"asset",char(34),":{",char(34),"guid",char(34),":",char(34),Q1257,char(34),",",char(34),"site",char(34),":",char(34),LOWER('2-Building'!$B$4),char(34),",",char(34),"name",char(34),":",char(34),LOWER(C1257),char(34),"}}"))</f>
        <v>{"asset":{"guid":"uuid://e8eb96ac-d62b-4720-834d-8ef2209cc933","site":"in-blr-ananta","name":"vav-829"}}</v>
      </c>
      <c r="S1257" s="237" t="s">
        <v>2866</v>
      </c>
      <c r="T1257" s="330"/>
      <c r="U1257" s="330"/>
      <c r="V1257" s="331"/>
      <c r="W1257" s="344"/>
      <c r="X1257" s="341"/>
      <c r="Y1257" s="33" t="s">
        <v>2867</v>
      </c>
      <c r="Z1257" s="258">
        <v>120829.0</v>
      </c>
      <c r="AA1257" s="334">
        <v>11572.0</v>
      </c>
      <c r="AB1257" s="341"/>
      <c r="AC1257" s="341"/>
      <c r="AD1257" s="343"/>
      <c r="AE1257" s="331"/>
      <c r="AF1257" s="348"/>
      <c r="AG1257" s="337"/>
      <c r="AH1257" s="341"/>
      <c r="AI1257" s="341"/>
      <c r="AJ1257" s="341"/>
      <c r="AK1257" s="341"/>
      <c r="AL1257" s="341"/>
      <c r="AM1257" s="338"/>
      <c r="AN1257" s="341"/>
      <c r="AO1257" s="341"/>
      <c r="AP1257" s="341"/>
      <c r="AQ1257" s="341"/>
      <c r="AR1257" s="341"/>
      <c r="AS1257" s="341"/>
      <c r="AT1257" s="341"/>
      <c r="AU1257" s="343"/>
      <c r="AV1257" s="341"/>
      <c r="AW1257" s="269" t="s">
        <v>2257</v>
      </c>
      <c r="AX1257" s="334" t="s">
        <v>2869</v>
      </c>
      <c r="AY1257" s="270" t="s">
        <v>695</v>
      </c>
      <c r="AZ1257" s="173" t="s">
        <v>2866</v>
      </c>
      <c r="BA1257" s="265">
        <v>10.0</v>
      </c>
      <c r="BB1257" s="174" t="s">
        <v>245</v>
      </c>
      <c r="BC1257" s="341"/>
      <c r="BD1257" s="308"/>
      <c r="BE1257" s="347"/>
      <c r="BF1257" s="274" t="str">
        <f>IFERROR(__xludf.DUMMYFUNCTION("LOWER(Regexreplace(to_text(E1257),""[^A-Za-z0-9]"","""")&amp;""_""&amp;Regexreplace(to_text(F1257),""[^A-Za-z0-9]"",""""))"),"neptronic_evcbseries")</f>
        <v>neptronic_evcbseries</v>
      </c>
      <c r="BG1257" s="275" t="str">
        <f>IFERROR(__xludf.DUMMYFUNCTION("upper(Regexreplace(to_text(E1257),""[^A-Za-z0-9]"","""")&amp;""-""&amp;Regexreplace(to_text(F1257),""[^A-Za-z0-9]"",""""))"),"NEPTRONIC-EVCBSERIES")</f>
        <v>NEPTRONIC-EVCBSERIES</v>
      </c>
    </row>
    <row r="1258" ht="30.0" customHeight="1">
      <c r="A1258" s="258">
        <v>1250.0</v>
      </c>
      <c r="B1258" s="237" t="s">
        <v>670</v>
      </c>
      <c r="C1258" s="257" t="s">
        <v>5285</v>
      </c>
      <c r="D1258" s="173" t="s">
        <v>5285</v>
      </c>
      <c r="E1258" s="174" t="s">
        <v>2861</v>
      </c>
      <c r="F1258" s="173" t="s">
        <v>2862</v>
      </c>
      <c r="G1258" s="328" t="s">
        <v>673</v>
      </c>
      <c r="H1258" s="328" t="s">
        <v>2863</v>
      </c>
      <c r="I1258" s="258" t="s">
        <v>2864</v>
      </c>
      <c r="J1258" s="259" t="s">
        <v>1088</v>
      </c>
      <c r="K1258" s="260" t="s">
        <v>5286</v>
      </c>
      <c r="L1258" s="328"/>
      <c r="M1258" s="343"/>
      <c r="N1258" s="173" t="s">
        <v>679</v>
      </c>
      <c r="O1258" s="173" t="s">
        <v>225</v>
      </c>
      <c r="P1258" s="262" t="str">
        <f t="shared" si="1"/>
        <v>IN-BLR-ANANTA-VAV-830_5</v>
      </c>
      <c r="Q1258" s="173" t="s">
        <v>5287</v>
      </c>
      <c r="R1258" s="328" t="str">
        <f>IFS(C1258="","",C1258="n/a","N/A",LEN(C1258),Concatenate("{",char(34),"asset",char(34),":{",char(34),"guid",char(34),":",char(34),Q1258,char(34),",",char(34),"site",char(34),":",char(34),LOWER('2-Building'!$B$4),char(34),",",char(34),"name",char(34),":",char(34),LOWER(C1258),char(34),"}}"))</f>
        <v>{"asset":{"guid":"uuid://531d69fa-6ed7-4d99-91bd-a5495bb32637","site":"in-blr-ananta","name":"vav-830"}}</v>
      </c>
      <c r="S1258" s="237" t="s">
        <v>2866</v>
      </c>
      <c r="T1258" s="330"/>
      <c r="U1258" s="330"/>
      <c r="V1258" s="331"/>
      <c r="W1258" s="344"/>
      <c r="X1258" s="341"/>
      <c r="Y1258" s="33" t="s">
        <v>2867</v>
      </c>
      <c r="Z1258" s="258">
        <v>120830.0</v>
      </c>
      <c r="AA1258" s="334">
        <v>11572.0</v>
      </c>
      <c r="AB1258" s="341"/>
      <c r="AC1258" s="341"/>
      <c r="AD1258" s="343"/>
      <c r="AE1258" s="331"/>
      <c r="AF1258" s="348"/>
      <c r="AG1258" s="337"/>
      <c r="AH1258" s="341"/>
      <c r="AI1258" s="341"/>
      <c r="AJ1258" s="341"/>
      <c r="AK1258" s="341"/>
      <c r="AL1258" s="341"/>
      <c r="AM1258" s="338"/>
      <c r="AN1258" s="341"/>
      <c r="AO1258" s="341"/>
      <c r="AP1258" s="341"/>
      <c r="AQ1258" s="341"/>
      <c r="AR1258" s="341"/>
      <c r="AS1258" s="341"/>
      <c r="AT1258" s="341"/>
      <c r="AU1258" s="343"/>
      <c r="AV1258" s="341"/>
      <c r="AW1258" s="269" t="s">
        <v>2257</v>
      </c>
      <c r="AX1258" s="334" t="s">
        <v>2869</v>
      </c>
      <c r="AY1258" s="270" t="s">
        <v>695</v>
      </c>
      <c r="AZ1258" s="173" t="s">
        <v>2866</v>
      </c>
      <c r="BA1258" s="265">
        <v>10.0</v>
      </c>
      <c r="BB1258" s="174" t="s">
        <v>245</v>
      </c>
      <c r="BC1258" s="341"/>
      <c r="BD1258" s="308"/>
      <c r="BE1258" s="347"/>
      <c r="BF1258" s="274" t="str">
        <f>IFERROR(__xludf.DUMMYFUNCTION("LOWER(Regexreplace(to_text(E1258),""[^A-Za-z0-9]"","""")&amp;""_""&amp;Regexreplace(to_text(F1258),""[^A-Za-z0-9]"",""""))"),"neptronic_evcbseries")</f>
        <v>neptronic_evcbseries</v>
      </c>
      <c r="BG1258" s="275" t="str">
        <f>IFERROR(__xludf.DUMMYFUNCTION("upper(Regexreplace(to_text(E1258),""[^A-Za-z0-9]"","""")&amp;""-""&amp;Regexreplace(to_text(F1258),""[^A-Za-z0-9]"",""""))"),"NEPTRONIC-EVCBSERIES")</f>
        <v>NEPTRONIC-EVCBSERIES</v>
      </c>
    </row>
    <row r="1259" ht="30.0" customHeight="1">
      <c r="A1259" s="173">
        <v>1251.0</v>
      </c>
      <c r="B1259" s="237" t="s">
        <v>670</v>
      </c>
      <c r="C1259" s="257" t="s">
        <v>5288</v>
      </c>
      <c r="D1259" s="173" t="s">
        <v>5288</v>
      </c>
      <c r="E1259" s="174" t="s">
        <v>2861</v>
      </c>
      <c r="F1259" s="173" t="s">
        <v>2862</v>
      </c>
      <c r="G1259" s="328" t="s">
        <v>673</v>
      </c>
      <c r="H1259" s="328" t="s">
        <v>2863</v>
      </c>
      <c r="I1259" s="258" t="s">
        <v>2864</v>
      </c>
      <c r="J1259" s="259" t="s">
        <v>1088</v>
      </c>
      <c r="K1259" s="260" t="s">
        <v>5289</v>
      </c>
      <c r="L1259" s="328"/>
      <c r="M1259" s="343"/>
      <c r="N1259" s="173" t="s">
        <v>679</v>
      </c>
      <c r="O1259" s="173" t="s">
        <v>225</v>
      </c>
      <c r="P1259" s="262" t="str">
        <f t="shared" si="1"/>
        <v>IN-BLR-ANANTA-VAV-831_5</v>
      </c>
      <c r="Q1259" s="173" t="s">
        <v>5290</v>
      </c>
      <c r="R1259" s="328" t="str">
        <f>IFS(C1259="","",C1259="n/a","N/A",LEN(C1259),Concatenate("{",char(34),"asset",char(34),":{",char(34),"guid",char(34),":",char(34),Q1259,char(34),",",char(34),"site",char(34),":",char(34),LOWER('2-Building'!$B$4),char(34),",",char(34),"name",char(34),":",char(34),LOWER(C1259),char(34),"}}"))</f>
        <v>{"asset":{"guid":"uuid://20bfca37-5639-4d16-88fe-aef9c3d48e76","site":"in-blr-ananta","name":"vav-831"}}</v>
      </c>
      <c r="S1259" s="237" t="s">
        <v>2866</v>
      </c>
      <c r="T1259" s="330"/>
      <c r="U1259" s="330"/>
      <c r="V1259" s="331"/>
      <c r="W1259" s="344"/>
      <c r="X1259" s="341"/>
      <c r="Y1259" s="33" t="s">
        <v>2867</v>
      </c>
      <c r="Z1259" s="258">
        <v>120831.0</v>
      </c>
      <c r="AA1259" s="334">
        <v>11572.0</v>
      </c>
      <c r="AB1259" s="341"/>
      <c r="AC1259" s="341"/>
      <c r="AD1259" s="343"/>
      <c r="AE1259" s="331"/>
      <c r="AF1259" s="348"/>
      <c r="AG1259" s="337"/>
      <c r="AH1259" s="341"/>
      <c r="AI1259" s="341"/>
      <c r="AJ1259" s="341"/>
      <c r="AK1259" s="341"/>
      <c r="AL1259" s="341"/>
      <c r="AM1259" s="338"/>
      <c r="AN1259" s="341"/>
      <c r="AO1259" s="341"/>
      <c r="AP1259" s="341"/>
      <c r="AQ1259" s="341"/>
      <c r="AR1259" s="341"/>
      <c r="AS1259" s="341"/>
      <c r="AT1259" s="341"/>
      <c r="AU1259" s="343"/>
      <c r="AV1259" s="341"/>
      <c r="AW1259" s="269" t="s">
        <v>2257</v>
      </c>
      <c r="AX1259" s="334" t="s">
        <v>2869</v>
      </c>
      <c r="AY1259" s="270" t="s">
        <v>695</v>
      </c>
      <c r="AZ1259" s="173" t="s">
        <v>2866</v>
      </c>
      <c r="BA1259" s="265">
        <v>10.0</v>
      </c>
      <c r="BB1259" s="174" t="s">
        <v>245</v>
      </c>
      <c r="BC1259" s="341"/>
      <c r="BD1259" s="308"/>
      <c r="BE1259" s="347"/>
      <c r="BF1259" s="274" t="str">
        <f>IFERROR(__xludf.DUMMYFUNCTION("LOWER(Regexreplace(to_text(E1259),""[^A-Za-z0-9]"","""")&amp;""_""&amp;Regexreplace(to_text(F1259),""[^A-Za-z0-9]"",""""))"),"neptronic_evcbseries")</f>
        <v>neptronic_evcbseries</v>
      </c>
      <c r="BG1259" s="275" t="str">
        <f>IFERROR(__xludf.DUMMYFUNCTION("upper(Regexreplace(to_text(E1259),""[^A-Za-z0-9]"","""")&amp;""-""&amp;Regexreplace(to_text(F1259),""[^A-Za-z0-9]"",""""))"),"NEPTRONIC-EVCBSERIES")</f>
        <v>NEPTRONIC-EVCBSERIES</v>
      </c>
    </row>
    <row r="1260" ht="30.0" customHeight="1">
      <c r="A1260" s="258">
        <v>1252.0</v>
      </c>
      <c r="B1260" s="237" t="s">
        <v>670</v>
      </c>
      <c r="C1260" s="257" t="s">
        <v>5291</v>
      </c>
      <c r="D1260" s="173" t="s">
        <v>5291</v>
      </c>
      <c r="E1260" s="174" t="s">
        <v>2861</v>
      </c>
      <c r="F1260" s="173" t="s">
        <v>2862</v>
      </c>
      <c r="G1260" s="328" t="s">
        <v>673</v>
      </c>
      <c r="H1260" s="328" t="s">
        <v>2863</v>
      </c>
      <c r="I1260" s="258" t="s">
        <v>2864</v>
      </c>
      <c r="J1260" s="259" t="s">
        <v>1088</v>
      </c>
      <c r="K1260" s="260" t="s">
        <v>5292</v>
      </c>
      <c r="L1260" s="328"/>
      <c r="M1260" s="343"/>
      <c r="N1260" s="173" t="s">
        <v>679</v>
      </c>
      <c r="O1260" s="173" t="s">
        <v>225</v>
      </c>
      <c r="P1260" s="262" t="str">
        <f t="shared" si="1"/>
        <v>IN-BLR-ANANTA-VAV-832_5</v>
      </c>
      <c r="Q1260" s="173" t="s">
        <v>5293</v>
      </c>
      <c r="R1260" s="328" t="str">
        <f>IFS(C1260="","",C1260="n/a","N/A",LEN(C1260),Concatenate("{",char(34),"asset",char(34),":{",char(34),"guid",char(34),":",char(34),Q1260,char(34),",",char(34),"site",char(34),":",char(34),LOWER('2-Building'!$B$4),char(34),",",char(34),"name",char(34),":",char(34),LOWER(C1260),char(34),"}}"))</f>
        <v>{"asset":{"guid":"uuid://1c02e04c-c651-476d-9866-bd6d6072eea3","site":"in-blr-ananta","name":"vav-832"}}</v>
      </c>
      <c r="S1260" s="237" t="s">
        <v>2866</v>
      </c>
      <c r="T1260" s="330"/>
      <c r="U1260" s="330"/>
      <c r="V1260" s="331"/>
      <c r="W1260" s="344"/>
      <c r="X1260" s="341"/>
      <c r="Y1260" s="33" t="s">
        <v>2867</v>
      </c>
      <c r="Z1260" s="258">
        <v>120832.0</v>
      </c>
      <c r="AA1260" s="334">
        <v>11572.0</v>
      </c>
      <c r="AB1260" s="341"/>
      <c r="AC1260" s="341"/>
      <c r="AD1260" s="343"/>
      <c r="AE1260" s="331"/>
      <c r="AF1260" s="348"/>
      <c r="AG1260" s="337"/>
      <c r="AH1260" s="341"/>
      <c r="AI1260" s="341"/>
      <c r="AJ1260" s="341"/>
      <c r="AK1260" s="341"/>
      <c r="AL1260" s="341"/>
      <c r="AM1260" s="338"/>
      <c r="AN1260" s="341"/>
      <c r="AO1260" s="341"/>
      <c r="AP1260" s="341"/>
      <c r="AQ1260" s="341"/>
      <c r="AR1260" s="341"/>
      <c r="AS1260" s="341"/>
      <c r="AT1260" s="341"/>
      <c r="AU1260" s="343"/>
      <c r="AV1260" s="341"/>
      <c r="AW1260" s="269" t="s">
        <v>2257</v>
      </c>
      <c r="AX1260" s="334" t="s">
        <v>2869</v>
      </c>
      <c r="AY1260" s="270" t="s">
        <v>695</v>
      </c>
      <c r="AZ1260" s="173" t="s">
        <v>2866</v>
      </c>
      <c r="BA1260" s="265">
        <v>10.0</v>
      </c>
      <c r="BB1260" s="174" t="s">
        <v>245</v>
      </c>
      <c r="BC1260" s="341"/>
      <c r="BD1260" s="308"/>
      <c r="BE1260" s="347"/>
      <c r="BF1260" s="274" t="str">
        <f>IFERROR(__xludf.DUMMYFUNCTION("LOWER(Regexreplace(to_text(E1260),""[^A-Za-z0-9]"","""")&amp;""_""&amp;Regexreplace(to_text(F1260),""[^A-Za-z0-9]"",""""))"),"neptronic_evcbseries")</f>
        <v>neptronic_evcbseries</v>
      </c>
      <c r="BG1260" s="275" t="str">
        <f>IFERROR(__xludf.DUMMYFUNCTION("upper(Regexreplace(to_text(E1260),""[^A-Za-z0-9]"","""")&amp;""-""&amp;Regexreplace(to_text(F1260),""[^A-Za-z0-9]"",""""))"),"NEPTRONIC-EVCBSERIES")</f>
        <v>NEPTRONIC-EVCBSERIES</v>
      </c>
    </row>
    <row r="1261" ht="30.0" customHeight="1">
      <c r="A1261" s="173">
        <v>1253.0</v>
      </c>
      <c r="B1261" s="237" t="s">
        <v>670</v>
      </c>
      <c r="C1261" s="257" t="s">
        <v>5294</v>
      </c>
      <c r="D1261" s="173" t="s">
        <v>5294</v>
      </c>
      <c r="E1261" s="174" t="s">
        <v>2861</v>
      </c>
      <c r="F1261" s="173" t="s">
        <v>2862</v>
      </c>
      <c r="G1261" s="328" t="s">
        <v>673</v>
      </c>
      <c r="H1261" s="328" t="s">
        <v>2863</v>
      </c>
      <c r="I1261" s="258" t="s">
        <v>2864</v>
      </c>
      <c r="J1261" s="259" t="s">
        <v>1088</v>
      </c>
      <c r="K1261" s="260" t="s">
        <v>5295</v>
      </c>
      <c r="L1261" s="328"/>
      <c r="M1261" s="343"/>
      <c r="N1261" s="173" t="s">
        <v>679</v>
      </c>
      <c r="O1261" s="173" t="s">
        <v>225</v>
      </c>
      <c r="P1261" s="262" t="str">
        <f t="shared" si="1"/>
        <v>IN-BLR-ANANTA-VAV-833_5</v>
      </c>
      <c r="Q1261" s="173" t="s">
        <v>5296</v>
      </c>
      <c r="R1261" s="328" t="str">
        <f>IFS(C1261="","",C1261="n/a","N/A",LEN(C1261),Concatenate("{",char(34),"asset",char(34),":{",char(34),"guid",char(34),":",char(34),Q1261,char(34),",",char(34),"site",char(34),":",char(34),LOWER('2-Building'!$B$4),char(34),",",char(34),"name",char(34),":",char(34),LOWER(C1261),char(34),"}}"))</f>
        <v>{"asset":{"guid":"uuid://2cb63841-2e14-462c-8298-1a4aeb194e50","site":"in-blr-ananta","name":"vav-833"}}</v>
      </c>
      <c r="S1261" s="237" t="s">
        <v>2866</v>
      </c>
      <c r="T1261" s="330"/>
      <c r="U1261" s="330"/>
      <c r="V1261" s="331"/>
      <c r="W1261" s="344"/>
      <c r="X1261" s="341"/>
      <c r="Y1261" s="33" t="s">
        <v>2867</v>
      </c>
      <c r="Z1261" s="258">
        <v>120833.0</v>
      </c>
      <c r="AA1261" s="334">
        <v>11572.0</v>
      </c>
      <c r="AB1261" s="341"/>
      <c r="AC1261" s="341"/>
      <c r="AD1261" s="343"/>
      <c r="AE1261" s="331"/>
      <c r="AF1261" s="348"/>
      <c r="AG1261" s="337"/>
      <c r="AH1261" s="341"/>
      <c r="AI1261" s="341"/>
      <c r="AJ1261" s="341"/>
      <c r="AK1261" s="341"/>
      <c r="AL1261" s="341"/>
      <c r="AM1261" s="338"/>
      <c r="AN1261" s="341"/>
      <c r="AO1261" s="341"/>
      <c r="AP1261" s="341"/>
      <c r="AQ1261" s="341"/>
      <c r="AR1261" s="341"/>
      <c r="AS1261" s="341"/>
      <c r="AT1261" s="341"/>
      <c r="AU1261" s="343"/>
      <c r="AV1261" s="341"/>
      <c r="AW1261" s="269" t="s">
        <v>2257</v>
      </c>
      <c r="AX1261" s="334" t="s">
        <v>2869</v>
      </c>
      <c r="AY1261" s="270" t="s">
        <v>695</v>
      </c>
      <c r="AZ1261" s="173" t="s">
        <v>2866</v>
      </c>
      <c r="BA1261" s="265">
        <v>10.0</v>
      </c>
      <c r="BB1261" s="174" t="s">
        <v>245</v>
      </c>
      <c r="BC1261" s="341"/>
      <c r="BD1261" s="308"/>
      <c r="BE1261" s="347"/>
      <c r="BF1261" s="274" t="str">
        <f>IFERROR(__xludf.DUMMYFUNCTION("LOWER(Regexreplace(to_text(E1261),""[^A-Za-z0-9]"","""")&amp;""_""&amp;Regexreplace(to_text(F1261),""[^A-Za-z0-9]"",""""))"),"neptronic_evcbseries")</f>
        <v>neptronic_evcbseries</v>
      </c>
      <c r="BG1261" s="275" t="str">
        <f>IFERROR(__xludf.DUMMYFUNCTION("upper(Regexreplace(to_text(E1261),""[^A-Za-z0-9]"","""")&amp;""-""&amp;Regexreplace(to_text(F1261),""[^A-Za-z0-9]"",""""))"),"NEPTRONIC-EVCBSERIES")</f>
        <v>NEPTRONIC-EVCBSERIES</v>
      </c>
    </row>
    <row r="1262" ht="30.0" customHeight="1">
      <c r="A1262" s="258">
        <v>1254.0</v>
      </c>
      <c r="B1262" s="237" t="s">
        <v>670</v>
      </c>
      <c r="C1262" s="257" t="s">
        <v>5297</v>
      </c>
      <c r="D1262" s="173" t="s">
        <v>5297</v>
      </c>
      <c r="E1262" s="174" t="s">
        <v>2861</v>
      </c>
      <c r="F1262" s="173" t="s">
        <v>2862</v>
      </c>
      <c r="G1262" s="328" t="s">
        <v>673</v>
      </c>
      <c r="H1262" s="328" t="s">
        <v>2863</v>
      </c>
      <c r="I1262" s="258" t="s">
        <v>2864</v>
      </c>
      <c r="J1262" s="259" t="s">
        <v>1088</v>
      </c>
      <c r="K1262" s="260" t="s">
        <v>3643</v>
      </c>
      <c r="L1262" s="328"/>
      <c r="M1262" s="343"/>
      <c r="N1262" s="173" t="s">
        <v>679</v>
      </c>
      <c r="O1262" s="173" t="s">
        <v>225</v>
      </c>
      <c r="P1262" s="262" t="str">
        <f t="shared" si="1"/>
        <v>IN-BLR-ANANTA-VAV-834_5</v>
      </c>
      <c r="Q1262" s="173" t="s">
        <v>5298</v>
      </c>
      <c r="R1262" s="328" t="str">
        <f>IFS(C1262="","",C1262="n/a","N/A",LEN(C1262),Concatenate("{",char(34),"asset",char(34),":{",char(34),"guid",char(34),":",char(34),Q1262,char(34),",",char(34),"site",char(34),":",char(34),LOWER('2-Building'!$B$4),char(34),",",char(34),"name",char(34),":",char(34),LOWER(C1262),char(34),"}}"))</f>
        <v>{"asset":{"guid":"uuid://476c1e81-f8cb-49e4-86c2-62628b7ff046","site":"in-blr-ananta","name":"vav-834"}}</v>
      </c>
      <c r="S1262" s="237" t="s">
        <v>2866</v>
      </c>
      <c r="T1262" s="330"/>
      <c r="U1262" s="330"/>
      <c r="V1262" s="331"/>
      <c r="W1262" s="344"/>
      <c r="X1262" s="341"/>
      <c r="Y1262" s="33" t="s">
        <v>2867</v>
      </c>
      <c r="Z1262" s="258">
        <v>120834.0</v>
      </c>
      <c r="AA1262" s="334">
        <v>11572.0</v>
      </c>
      <c r="AB1262" s="341"/>
      <c r="AC1262" s="341"/>
      <c r="AD1262" s="343"/>
      <c r="AE1262" s="331"/>
      <c r="AF1262" s="348"/>
      <c r="AG1262" s="337"/>
      <c r="AH1262" s="341"/>
      <c r="AI1262" s="341"/>
      <c r="AJ1262" s="341"/>
      <c r="AK1262" s="341"/>
      <c r="AL1262" s="341"/>
      <c r="AM1262" s="338"/>
      <c r="AN1262" s="341"/>
      <c r="AO1262" s="341"/>
      <c r="AP1262" s="341"/>
      <c r="AQ1262" s="341"/>
      <c r="AR1262" s="341"/>
      <c r="AS1262" s="341"/>
      <c r="AT1262" s="341"/>
      <c r="AU1262" s="343"/>
      <c r="AV1262" s="341"/>
      <c r="AW1262" s="269" t="s">
        <v>2257</v>
      </c>
      <c r="AX1262" s="334" t="s">
        <v>2869</v>
      </c>
      <c r="AY1262" s="270" t="s">
        <v>695</v>
      </c>
      <c r="AZ1262" s="173" t="s">
        <v>2866</v>
      </c>
      <c r="BA1262" s="265">
        <v>10.0</v>
      </c>
      <c r="BB1262" s="174" t="s">
        <v>245</v>
      </c>
      <c r="BC1262" s="341"/>
      <c r="BD1262" s="308"/>
      <c r="BE1262" s="347"/>
      <c r="BF1262" s="274" t="str">
        <f>IFERROR(__xludf.DUMMYFUNCTION("LOWER(Regexreplace(to_text(E1262),""[^A-Za-z0-9]"","""")&amp;""_""&amp;Regexreplace(to_text(F1262),""[^A-Za-z0-9]"",""""))"),"neptronic_evcbseries")</f>
        <v>neptronic_evcbseries</v>
      </c>
      <c r="BG1262" s="275" t="str">
        <f>IFERROR(__xludf.DUMMYFUNCTION("upper(Regexreplace(to_text(E1262),""[^A-Za-z0-9]"","""")&amp;""-""&amp;Regexreplace(to_text(F1262),""[^A-Za-z0-9]"",""""))"),"NEPTRONIC-EVCBSERIES")</f>
        <v>NEPTRONIC-EVCBSERIES</v>
      </c>
    </row>
    <row r="1263" ht="30.0" customHeight="1">
      <c r="A1263" s="173">
        <v>1255.0</v>
      </c>
      <c r="B1263" s="237" t="s">
        <v>670</v>
      </c>
      <c r="C1263" s="257" t="s">
        <v>5299</v>
      </c>
      <c r="D1263" s="173" t="s">
        <v>5299</v>
      </c>
      <c r="E1263" s="174" t="s">
        <v>2861</v>
      </c>
      <c r="F1263" s="173" t="s">
        <v>2862</v>
      </c>
      <c r="G1263" s="328" t="s">
        <v>673</v>
      </c>
      <c r="H1263" s="328" t="s">
        <v>2863</v>
      </c>
      <c r="I1263" s="258" t="s">
        <v>2864</v>
      </c>
      <c r="J1263" s="259" t="s">
        <v>1088</v>
      </c>
      <c r="K1263" s="260" t="s">
        <v>5300</v>
      </c>
      <c r="L1263" s="328"/>
      <c r="M1263" s="343"/>
      <c r="N1263" s="173" t="s">
        <v>679</v>
      </c>
      <c r="O1263" s="173" t="s">
        <v>225</v>
      </c>
      <c r="P1263" s="262" t="str">
        <f t="shared" si="1"/>
        <v>IN-BLR-ANANTA-VAV-835_5</v>
      </c>
      <c r="Q1263" s="173" t="s">
        <v>5301</v>
      </c>
      <c r="R1263" s="328" t="str">
        <f>IFS(C1263="","",C1263="n/a","N/A",LEN(C1263),Concatenate("{",char(34),"asset",char(34),":{",char(34),"guid",char(34),":",char(34),Q1263,char(34),",",char(34),"site",char(34),":",char(34),LOWER('2-Building'!$B$4),char(34),",",char(34),"name",char(34),":",char(34),LOWER(C1263),char(34),"}}"))</f>
        <v>{"asset":{"guid":"uuid://fb632438-6476-40db-80c8-9ab32f477056","site":"in-blr-ananta","name":"vav-835"}}</v>
      </c>
      <c r="S1263" s="237" t="s">
        <v>2866</v>
      </c>
      <c r="T1263" s="330"/>
      <c r="U1263" s="330"/>
      <c r="V1263" s="331"/>
      <c r="W1263" s="344"/>
      <c r="X1263" s="341"/>
      <c r="Y1263" s="33" t="s">
        <v>2867</v>
      </c>
      <c r="Z1263" s="258">
        <v>120835.0</v>
      </c>
      <c r="AA1263" s="334">
        <v>11572.0</v>
      </c>
      <c r="AB1263" s="341"/>
      <c r="AC1263" s="341"/>
      <c r="AD1263" s="343"/>
      <c r="AE1263" s="331"/>
      <c r="AF1263" s="348"/>
      <c r="AG1263" s="337"/>
      <c r="AH1263" s="341"/>
      <c r="AI1263" s="341"/>
      <c r="AJ1263" s="341"/>
      <c r="AK1263" s="341"/>
      <c r="AL1263" s="341"/>
      <c r="AM1263" s="338"/>
      <c r="AN1263" s="341"/>
      <c r="AO1263" s="341"/>
      <c r="AP1263" s="341"/>
      <c r="AQ1263" s="341"/>
      <c r="AR1263" s="341"/>
      <c r="AS1263" s="341"/>
      <c r="AT1263" s="341"/>
      <c r="AU1263" s="343"/>
      <c r="AV1263" s="341"/>
      <c r="AW1263" s="269" t="s">
        <v>2257</v>
      </c>
      <c r="AX1263" s="334" t="s">
        <v>2869</v>
      </c>
      <c r="AY1263" s="270" t="s">
        <v>695</v>
      </c>
      <c r="AZ1263" s="173" t="s">
        <v>2866</v>
      </c>
      <c r="BA1263" s="265">
        <v>10.0</v>
      </c>
      <c r="BB1263" s="174" t="s">
        <v>245</v>
      </c>
      <c r="BC1263" s="341"/>
      <c r="BD1263" s="308"/>
      <c r="BE1263" s="347"/>
      <c r="BF1263" s="274" t="str">
        <f>IFERROR(__xludf.DUMMYFUNCTION("LOWER(Regexreplace(to_text(E1263),""[^A-Za-z0-9]"","""")&amp;""_""&amp;Regexreplace(to_text(F1263),""[^A-Za-z0-9]"",""""))"),"neptronic_evcbseries")</f>
        <v>neptronic_evcbseries</v>
      </c>
      <c r="BG1263" s="275" t="str">
        <f>IFERROR(__xludf.DUMMYFUNCTION("upper(Regexreplace(to_text(E1263),""[^A-Za-z0-9]"","""")&amp;""-""&amp;Regexreplace(to_text(F1263),""[^A-Za-z0-9]"",""""))"),"NEPTRONIC-EVCBSERIES")</f>
        <v>NEPTRONIC-EVCBSERIES</v>
      </c>
    </row>
    <row r="1264" ht="30.0" customHeight="1">
      <c r="A1264" s="258">
        <v>1256.0</v>
      </c>
      <c r="B1264" s="237" t="s">
        <v>670</v>
      </c>
      <c r="C1264" s="257" t="s">
        <v>5302</v>
      </c>
      <c r="D1264" s="173" t="s">
        <v>5302</v>
      </c>
      <c r="E1264" s="174" t="s">
        <v>2861</v>
      </c>
      <c r="F1264" s="173" t="s">
        <v>2862</v>
      </c>
      <c r="G1264" s="328" t="s">
        <v>673</v>
      </c>
      <c r="H1264" s="328" t="s">
        <v>2863</v>
      </c>
      <c r="I1264" s="258" t="s">
        <v>2864</v>
      </c>
      <c r="J1264" s="259" t="s">
        <v>1088</v>
      </c>
      <c r="K1264" s="260" t="s">
        <v>5300</v>
      </c>
      <c r="L1264" s="328"/>
      <c r="M1264" s="343"/>
      <c r="N1264" s="173" t="s">
        <v>679</v>
      </c>
      <c r="O1264" s="173" t="s">
        <v>225</v>
      </c>
      <c r="P1264" s="262" t="str">
        <f t="shared" si="1"/>
        <v>IN-BLR-ANANTA-VAV-836_5</v>
      </c>
      <c r="Q1264" s="173" t="s">
        <v>5303</v>
      </c>
      <c r="R1264" s="328" t="str">
        <f>IFS(C1264="","",C1264="n/a","N/A",LEN(C1264),Concatenate("{",char(34),"asset",char(34),":{",char(34),"guid",char(34),":",char(34),Q1264,char(34),",",char(34),"site",char(34),":",char(34),LOWER('2-Building'!$B$4),char(34),",",char(34),"name",char(34),":",char(34),LOWER(C1264),char(34),"}}"))</f>
        <v>{"asset":{"guid":"uuid://bceadbd2-9318-4102-9a4f-a29e1f111168","site":"in-blr-ananta","name":"vav-836"}}</v>
      </c>
      <c r="S1264" s="237" t="s">
        <v>2866</v>
      </c>
      <c r="T1264" s="330"/>
      <c r="U1264" s="330"/>
      <c r="V1264" s="331"/>
      <c r="W1264" s="344"/>
      <c r="X1264" s="341"/>
      <c r="Y1264" s="33" t="s">
        <v>2867</v>
      </c>
      <c r="Z1264" s="258">
        <v>120836.0</v>
      </c>
      <c r="AA1264" s="334">
        <v>11572.0</v>
      </c>
      <c r="AB1264" s="341"/>
      <c r="AC1264" s="341"/>
      <c r="AD1264" s="343"/>
      <c r="AE1264" s="331"/>
      <c r="AF1264" s="348"/>
      <c r="AG1264" s="337"/>
      <c r="AH1264" s="341"/>
      <c r="AI1264" s="341"/>
      <c r="AJ1264" s="341"/>
      <c r="AK1264" s="341"/>
      <c r="AL1264" s="341"/>
      <c r="AM1264" s="338"/>
      <c r="AN1264" s="341"/>
      <c r="AO1264" s="341"/>
      <c r="AP1264" s="341"/>
      <c r="AQ1264" s="341"/>
      <c r="AR1264" s="341"/>
      <c r="AS1264" s="341"/>
      <c r="AT1264" s="341"/>
      <c r="AU1264" s="343"/>
      <c r="AV1264" s="341"/>
      <c r="AW1264" s="269" t="s">
        <v>2257</v>
      </c>
      <c r="AX1264" s="334" t="s">
        <v>2869</v>
      </c>
      <c r="AY1264" s="270" t="s">
        <v>695</v>
      </c>
      <c r="AZ1264" s="173" t="s">
        <v>2866</v>
      </c>
      <c r="BA1264" s="265">
        <v>10.0</v>
      </c>
      <c r="BB1264" s="174" t="s">
        <v>245</v>
      </c>
      <c r="BC1264" s="341"/>
      <c r="BD1264" s="308"/>
      <c r="BE1264" s="347"/>
      <c r="BF1264" s="274" t="str">
        <f>IFERROR(__xludf.DUMMYFUNCTION("LOWER(Regexreplace(to_text(E1264),""[^A-Za-z0-9]"","""")&amp;""_""&amp;Regexreplace(to_text(F1264),""[^A-Za-z0-9]"",""""))"),"neptronic_evcbseries")</f>
        <v>neptronic_evcbseries</v>
      </c>
      <c r="BG1264" s="275" t="str">
        <f>IFERROR(__xludf.DUMMYFUNCTION("upper(Regexreplace(to_text(E1264),""[^A-Za-z0-9]"","""")&amp;""-""&amp;Regexreplace(to_text(F1264),""[^A-Za-z0-9]"",""""))"),"NEPTRONIC-EVCBSERIES")</f>
        <v>NEPTRONIC-EVCBSERIES</v>
      </c>
    </row>
    <row r="1265" ht="30.0" customHeight="1">
      <c r="A1265" s="173">
        <v>1257.0</v>
      </c>
      <c r="B1265" s="237" t="s">
        <v>670</v>
      </c>
      <c r="C1265" s="257" t="s">
        <v>5304</v>
      </c>
      <c r="D1265" s="173" t="s">
        <v>5304</v>
      </c>
      <c r="E1265" s="174" t="s">
        <v>2861</v>
      </c>
      <c r="F1265" s="173" t="s">
        <v>2862</v>
      </c>
      <c r="G1265" s="328" t="s">
        <v>673</v>
      </c>
      <c r="H1265" s="328" t="s">
        <v>2863</v>
      </c>
      <c r="I1265" s="258" t="s">
        <v>2864</v>
      </c>
      <c r="J1265" s="259" t="s">
        <v>1088</v>
      </c>
      <c r="K1265" s="260" t="s">
        <v>5305</v>
      </c>
      <c r="L1265" s="328"/>
      <c r="M1265" s="343"/>
      <c r="N1265" s="173" t="s">
        <v>679</v>
      </c>
      <c r="O1265" s="173" t="s">
        <v>225</v>
      </c>
      <c r="P1265" s="262" t="str">
        <f t="shared" si="1"/>
        <v>IN-BLR-ANANTA-VAV-837_5</v>
      </c>
      <c r="Q1265" s="173" t="s">
        <v>5306</v>
      </c>
      <c r="R1265" s="328" t="str">
        <f>IFS(C1265="","",C1265="n/a","N/A",LEN(C1265),Concatenate("{",char(34),"asset",char(34),":{",char(34),"guid",char(34),":",char(34),Q1265,char(34),",",char(34),"site",char(34),":",char(34),LOWER('2-Building'!$B$4),char(34),",",char(34),"name",char(34),":",char(34),LOWER(C1265),char(34),"}}"))</f>
        <v>{"asset":{"guid":"uuid://d04782e9-dc6c-482c-98a2-228bd2c2b4c0","site":"in-blr-ananta","name":"vav-837"}}</v>
      </c>
      <c r="S1265" s="237" t="s">
        <v>2866</v>
      </c>
      <c r="T1265" s="330"/>
      <c r="U1265" s="330"/>
      <c r="V1265" s="331"/>
      <c r="W1265" s="344"/>
      <c r="X1265" s="341"/>
      <c r="Y1265" s="33" t="s">
        <v>2867</v>
      </c>
      <c r="Z1265" s="258">
        <v>120837.0</v>
      </c>
      <c r="AA1265" s="334">
        <v>11572.0</v>
      </c>
      <c r="AB1265" s="341"/>
      <c r="AC1265" s="341"/>
      <c r="AD1265" s="343"/>
      <c r="AE1265" s="331"/>
      <c r="AF1265" s="348"/>
      <c r="AG1265" s="337"/>
      <c r="AH1265" s="341"/>
      <c r="AI1265" s="341"/>
      <c r="AJ1265" s="341"/>
      <c r="AK1265" s="341"/>
      <c r="AL1265" s="341"/>
      <c r="AM1265" s="338"/>
      <c r="AN1265" s="341"/>
      <c r="AO1265" s="341"/>
      <c r="AP1265" s="341"/>
      <c r="AQ1265" s="341"/>
      <c r="AR1265" s="341"/>
      <c r="AS1265" s="341"/>
      <c r="AT1265" s="341"/>
      <c r="AU1265" s="343"/>
      <c r="AV1265" s="341"/>
      <c r="AW1265" s="269" t="s">
        <v>2257</v>
      </c>
      <c r="AX1265" s="334" t="s">
        <v>2869</v>
      </c>
      <c r="AY1265" s="270" t="s">
        <v>695</v>
      </c>
      <c r="AZ1265" s="173" t="s">
        <v>2866</v>
      </c>
      <c r="BA1265" s="265">
        <v>10.0</v>
      </c>
      <c r="BB1265" s="174" t="s">
        <v>245</v>
      </c>
      <c r="BC1265" s="341"/>
      <c r="BD1265" s="308"/>
      <c r="BE1265" s="347"/>
      <c r="BF1265" s="274" t="str">
        <f>IFERROR(__xludf.DUMMYFUNCTION("LOWER(Regexreplace(to_text(E1265),""[^A-Za-z0-9]"","""")&amp;""_""&amp;Regexreplace(to_text(F1265),""[^A-Za-z0-9]"",""""))"),"neptronic_evcbseries")</f>
        <v>neptronic_evcbseries</v>
      </c>
      <c r="BG1265" s="275" t="str">
        <f>IFERROR(__xludf.DUMMYFUNCTION("upper(Regexreplace(to_text(E1265),""[^A-Za-z0-9]"","""")&amp;""-""&amp;Regexreplace(to_text(F1265),""[^A-Za-z0-9]"",""""))"),"NEPTRONIC-EVCBSERIES")</f>
        <v>NEPTRONIC-EVCBSERIES</v>
      </c>
    </row>
    <row r="1266" ht="30.0" customHeight="1">
      <c r="A1266" s="258">
        <v>1258.0</v>
      </c>
      <c r="B1266" s="237" t="s">
        <v>670</v>
      </c>
      <c r="C1266" s="257" t="s">
        <v>5307</v>
      </c>
      <c r="D1266" s="173" t="s">
        <v>5307</v>
      </c>
      <c r="E1266" s="174" t="s">
        <v>2861</v>
      </c>
      <c r="F1266" s="173" t="s">
        <v>2862</v>
      </c>
      <c r="G1266" s="328" t="s">
        <v>673</v>
      </c>
      <c r="H1266" s="328" t="s">
        <v>2863</v>
      </c>
      <c r="I1266" s="258" t="s">
        <v>2864</v>
      </c>
      <c r="J1266" s="259" t="s">
        <v>1088</v>
      </c>
      <c r="K1266" s="260" t="s">
        <v>5308</v>
      </c>
      <c r="L1266" s="328"/>
      <c r="M1266" s="343"/>
      <c r="N1266" s="173" t="s">
        <v>679</v>
      </c>
      <c r="O1266" s="173" t="s">
        <v>225</v>
      </c>
      <c r="P1266" s="262" t="str">
        <f t="shared" si="1"/>
        <v>IN-BLR-ANANTA-VAV-838_5</v>
      </c>
      <c r="Q1266" s="173" t="s">
        <v>5309</v>
      </c>
      <c r="R1266" s="328" t="str">
        <f>IFS(C1266="","",C1266="n/a","N/A",LEN(C1266),Concatenate("{",char(34),"asset",char(34),":{",char(34),"guid",char(34),":",char(34),Q1266,char(34),",",char(34),"site",char(34),":",char(34),LOWER('2-Building'!$B$4),char(34),",",char(34),"name",char(34),":",char(34),LOWER(C1266),char(34),"}}"))</f>
        <v>{"asset":{"guid":"uuid://f09830ad-4400-4c13-b1a3-7b810a48f0df","site":"in-blr-ananta","name":"vav-838"}}</v>
      </c>
      <c r="S1266" s="237" t="s">
        <v>2866</v>
      </c>
      <c r="T1266" s="330"/>
      <c r="U1266" s="330"/>
      <c r="V1266" s="331"/>
      <c r="W1266" s="344"/>
      <c r="X1266" s="341"/>
      <c r="Y1266" s="33" t="s">
        <v>2867</v>
      </c>
      <c r="Z1266" s="258">
        <v>120838.0</v>
      </c>
      <c r="AA1266" s="334">
        <v>11572.0</v>
      </c>
      <c r="AB1266" s="341"/>
      <c r="AC1266" s="341"/>
      <c r="AD1266" s="343"/>
      <c r="AE1266" s="331"/>
      <c r="AF1266" s="348"/>
      <c r="AG1266" s="337"/>
      <c r="AH1266" s="341"/>
      <c r="AI1266" s="341"/>
      <c r="AJ1266" s="341"/>
      <c r="AK1266" s="341"/>
      <c r="AL1266" s="341"/>
      <c r="AM1266" s="338"/>
      <c r="AN1266" s="341"/>
      <c r="AO1266" s="341"/>
      <c r="AP1266" s="341"/>
      <c r="AQ1266" s="341"/>
      <c r="AR1266" s="341"/>
      <c r="AS1266" s="341"/>
      <c r="AT1266" s="341"/>
      <c r="AU1266" s="343"/>
      <c r="AV1266" s="341"/>
      <c r="AW1266" s="269" t="s">
        <v>2257</v>
      </c>
      <c r="AX1266" s="334" t="s">
        <v>2869</v>
      </c>
      <c r="AY1266" s="270" t="s">
        <v>695</v>
      </c>
      <c r="AZ1266" s="173" t="s">
        <v>2866</v>
      </c>
      <c r="BA1266" s="265">
        <v>10.0</v>
      </c>
      <c r="BB1266" s="174" t="s">
        <v>245</v>
      </c>
      <c r="BC1266" s="341"/>
      <c r="BD1266" s="308"/>
      <c r="BE1266" s="347"/>
      <c r="BF1266" s="274" t="str">
        <f>IFERROR(__xludf.DUMMYFUNCTION("LOWER(Regexreplace(to_text(E1266),""[^A-Za-z0-9]"","""")&amp;""_""&amp;Regexreplace(to_text(F1266),""[^A-Za-z0-9]"",""""))"),"neptronic_evcbseries")</f>
        <v>neptronic_evcbseries</v>
      </c>
      <c r="BG1266" s="275" t="str">
        <f>IFERROR(__xludf.DUMMYFUNCTION("upper(Regexreplace(to_text(E1266),""[^A-Za-z0-9]"","""")&amp;""-""&amp;Regexreplace(to_text(F1266),""[^A-Za-z0-9]"",""""))"),"NEPTRONIC-EVCBSERIES")</f>
        <v>NEPTRONIC-EVCBSERIES</v>
      </c>
    </row>
    <row r="1267" ht="30.0" customHeight="1">
      <c r="A1267" s="173">
        <v>1259.0</v>
      </c>
      <c r="B1267" s="237" t="s">
        <v>670</v>
      </c>
      <c r="C1267" s="257" t="s">
        <v>5310</v>
      </c>
      <c r="D1267" s="173" t="s">
        <v>5310</v>
      </c>
      <c r="E1267" s="174" t="s">
        <v>2861</v>
      </c>
      <c r="F1267" s="173" t="s">
        <v>2862</v>
      </c>
      <c r="G1267" s="328" t="s">
        <v>673</v>
      </c>
      <c r="H1267" s="328" t="s">
        <v>2863</v>
      </c>
      <c r="I1267" s="258" t="s">
        <v>2864</v>
      </c>
      <c r="J1267" s="259" t="s">
        <v>1088</v>
      </c>
      <c r="K1267" s="260" t="s">
        <v>5311</v>
      </c>
      <c r="L1267" s="328"/>
      <c r="M1267" s="343"/>
      <c r="N1267" s="173" t="s">
        <v>679</v>
      </c>
      <c r="O1267" s="173" t="s">
        <v>225</v>
      </c>
      <c r="P1267" s="262" t="str">
        <f t="shared" si="1"/>
        <v>IN-BLR-ANANTA-VAV-839_5</v>
      </c>
      <c r="Q1267" s="173" t="s">
        <v>5312</v>
      </c>
      <c r="R1267" s="328" t="str">
        <f>IFS(C1267="","",C1267="n/a","N/A",LEN(C1267),Concatenate("{",char(34),"asset",char(34),":{",char(34),"guid",char(34),":",char(34),Q1267,char(34),",",char(34),"site",char(34),":",char(34),LOWER('2-Building'!$B$4),char(34),",",char(34),"name",char(34),":",char(34),LOWER(C1267),char(34),"}}"))</f>
        <v>{"asset":{"guid":"uuid://967c38e4-c71e-4524-a2e4-a77b3a6ef106","site":"in-blr-ananta","name":"vav-839"}}</v>
      </c>
      <c r="S1267" s="237" t="s">
        <v>2866</v>
      </c>
      <c r="T1267" s="330"/>
      <c r="U1267" s="330"/>
      <c r="V1267" s="331"/>
      <c r="W1267" s="344"/>
      <c r="X1267" s="341"/>
      <c r="Y1267" s="33" t="s">
        <v>2867</v>
      </c>
      <c r="Z1267" s="258">
        <v>120839.0</v>
      </c>
      <c r="AA1267" s="334">
        <v>11572.0</v>
      </c>
      <c r="AB1267" s="341"/>
      <c r="AC1267" s="341"/>
      <c r="AD1267" s="343"/>
      <c r="AE1267" s="331"/>
      <c r="AF1267" s="348"/>
      <c r="AG1267" s="337"/>
      <c r="AH1267" s="341"/>
      <c r="AI1267" s="341"/>
      <c r="AJ1267" s="341"/>
      <c r="AK1267" s="341"/>
      <c r="AL1267" s="341"/>
      <c r="AM1267" s="338"/>
      <c r="AN1267" s="341"/>
      <c r="AO1267" s="341"/>
      <c r="AP1267" s="341"/>
      <c r="AQ1267" s="341"/>
      <c r="AR1267" s="341"/>
      <c r="AS1267" s="341"/>
      <c r="AT1267" s="341"/>
      <c r="AU1267" s="343"/>
      <c r="AV1267" s="341"/>
      <c r="AW1267" s="269" t="s">
        <v>2257</v>
      </c>
      <c r="AX1267" s="334" t="s">
        <v>2869</v>
      </c>
      <c r="AY1267" s="270" t="s">
        <v>695</v>
      </c>
      <c r="AZ1267" s="173" t="s">
        <v>2866</v>
      </c>
      <c r="BA1267" s="265">
        <v>10.0</v>
      </c>
      <c r="BB1267" s="174" t="s">
        <v>245</v>
      </c>
      <c r="BC1267" s="341"/>
      <c r="BD1267" s="308"/>
      <c r="BE1267" s="347"/>
      <c r="BF1267" s="274" t="str">
        <f>IFERROR(__xludf.DUMMYFUNCTION("LOWER(Regexreplace(to_text(E1267),""[^A-Za-z0-9]"","""")&amp;""_""&amp;Regexreplace(to_text(F1267),""[^A-Za-z0-9]"",""""))"),"neptronic_evcbseries")</f>
        <v>neptronic_evcbseries</v>
      </c>
      <c r="BG1267" s="275" t="str">
        <f>IFERROR(__xludf.DUMMYFUNCTION("upper(Regexreplace(to_text(E1267),""[^A-Za-z0-9]"","""")&amp;""-""&amp;Regexreplace(to_text(F1267),""[^A-Za-z0-9]"",""""))"),"NEPTRONIC-EVCBSERIES")</f>
        <v>NEPTRONIC-EVCBSERIES</v>
      </c>
    </row>
    <row r="1268" ht="30.0" customHeight="1">
      <c r="A1268" s="258">
        <v>1260.0</v>
      </c>
      <c r="B1268" s="237" t="s">
        <v>670</v>
      </c>
      <c r="C1268" s="257" t="s">
        <v>5313</v>
      </c>
      <c r="D1268" s="173" t="s">
        <v>5313</v>
      </c>
      <c r="E1268" s="174" t="s">
        <v>2861</v>
      </c>
      <c r="F1268" s="173" t="s">
        <v>2862</v>
      </c>
      <c r="G1268" s="328" t="s">
        <v>673</v>
      </c>
      <c r="H1268" s="328" t="s">
        <v>2863</v>
      </c>
      <c r="I1268" s="258" t="s">
        <v>2864</v>
      </c>
      <c r="J1268" s="259" t="s">
        <v>1088</v>
      </c>
      <c r="K1268" s="260" t="s">
        <v>5314</v>
      </c>
      <c r="L1268" s="328"/>
      <c r="M1268" s="343"/>
      <c r="N1268" s="173" t="s">
        <v>679</v>
      </c>
      <c r="O1268" s="173" t="s">
        <v>225</v>
      </c>
      <c r="P1268" s="262" t="str">
        <f t="shared" si="1"/>
        <v>IN-BLR-ANANTA-VAV-840_5</v>
      </c>
      <c r="Q1268" s="173" t="s">
        <v>5315</v>
      </c>
      <c r="R1268" s="328" t="str">
        <f>IFS(C1268="","",C1268="n/a","N/A",LEN(C1268),Concatenate("{",char(34),"asset",char(34),":{",char(34),"guid",char(34),":",char(34),Q1268,char(34),",",char(34),"site",char(34),":",char(34),LOWER('2-Building'!$B$4),char(34),",",char(34),"name",char(34),":",char(34),LOWER(C1268),char(34),"}}"))</f>
        <v>{"asset":{"guid":"uuid://70fc53e6-392b-42b6-8860-3663e4e43289","site":"in-blr-ananta","name":"vav-840"}}</v>
      </c>
      <c r="S1268" s="237" t="s">
        <v>2866</v>
      </c>
      <c r="T1268" s="330"/>
      <c r="U1268" s="330"/>
      <c r="V1268" s="331"/>
      <c r="W1268" s="344"/>
      <c r="X1268" s="341"/>
      <c r="Y1268" s="33" t="s">
        <v>2867</v>
      </c>
      <c r="Z1268" s="258">
        <v>120840.0</v>
      </c>
      <c r="AA1268" s="334">
        <v>11572.0</v>
      </c>
      <c r="AB1268" s="341"/>
      <c r="AC1268" s="341"/>
      <c r="AD1268" s="343"/>
      <c r="AE1268" s="331"/>
      <c r="AF1268" s="348"/>
      <c r="AG1268" s="337"/>
      <c r="AH1268" s="341"/>
      <c r="AI1268" s="341"/>
      <c r="AJ1268" s="341"/>
      <c r="AK1268" s="341"/>
      <c r="AL1268" s="341"/>
      <c r="AM1268" s="338"/>
      <c r="AN1268" s="341"/>
      <c r="AO1268" s="341"/>
      <c r="AP1268" s="341"/>
      <c r="AQ1268" s="341"/>
      <c r="AR1268" s="341"/>
      <c r="AS1268" s="341"/>
      <c r="AT1268" s="341"/>
      <c r="AU1268" s="343"/>
      <c r="AV1268" s="341"/>
      <c r="AW1268" s="269" t="s">
        <v>2257</v>
      </c>
      <c r="AX1268" s="334" t="s">
        <v>2869</v>
      </c>
      <c r="AY1268" s="270" t="s">
        <v>695</v>
      </c>
      <c r="AZ1268" s="173" t="s">
        <v>2866</v>
      </c>
      <c r="BA1268" s="265">
        <v>10.0</v>
      </c>
      <c r="BB1268" s="174" t="s">
        <v>245</v>
      </c>
      <c r="BC1268" s="341"/>
      <c r="BD1268" s="308"/>
      <c r="BE1268" s="347"/>
      <c r="BF1268" s="274" t="str">
        <f>IFERROR(__xludf.DUMMYFUNCTION("LOWER(Regexreplace(to_text(E1268),""[^A-Za-z0-9]"","""")&amp;""_""&amp;Regexreplace(to_text(F1268),""[^A-Za-z0-9]"",""""))"),"neptronic_evcbseries")</f>
        <v>neptronic_evcbseries</v>
      </c>
      <c r="BG1268" s="275" t="str">
        <f>IFERROR(__xludf.DUMMYFUNCTION("upper(Regexreplace(to_text(E1268),""[^A-Za-z0-9]"","""")&amp;""-""&amp;Regexreplace(to_text(F1268),""[^A-Za-z0-9]"",""""))"),"NEPTRONIC-EVCBSERIES")</f>
        <v>NEPTRONIC-EVCBSERIES</v>
      </c>
    </row>
    <row r="1269" ht="30.0" customHeight="1">
      <c r="A1269" s="173">
        <v>1261.0</v>
      </c>
      <c r="B1269" s="237" t="s">
        <v>670</v>
      </c>
      <c r="C1269" s="257" t="s">
        <v>5316</v>
      </c>
      <c r="D1269" s="173" t="s">
        <v>5316</v>
      </c>
      <c r="E1269" s="174" t="s">
        <v>2861</v>
      </c>
      <c r="F1269" s="173" t="s">
        <v>2862</v>
      </c>
      <c r="G1269" s="328" t="s">
        <v>673</v>
      </c>
      <c r="H1269" s="328" t="s">
        <v>2863</v>
      </c>
      <c r="I1269" s="258" t="s">
        <v>2864</v>
      </c>
      <c r="J1269" s="259" t="s">
        <v>1088</v>
      </c>
      <c r="K1269" s="260" t="s">
        <v>5317</v>
      </c>
      <c r="L1269" s="328"/>
      <c r="M1269" s="343"/>
      <c r="N1269" s="173" t="s">
        <v>679</v>
      </c>
      <c r="O1269" s="173" t="s">
        <v>225</v>
      </c>
      <c r="P1269" s="262" t="str">
        <f t="shared" si="1"/>
        <v>IN-BLR-ANANTA-VAV-841_5</v>
      </c>
      <c r="Q1269" s="173" t="s">
        <v>5318</v>
      </c>
      <c r="R1269" s="328" t="str">
        <f>IFS(C1269="","",C1269="n/a","N/A",LEN(C1269),Concatenate("{",char(34),"asset",char(34),":{",char(34),"guid",char(34),":",char(34),Q1269,char(34),",",char(34),"site",char(34),":",char(34),LOWER('2-Building'!$B$4),char(34),",",char(34),"name",char(34),":",char(34),LOWER(C1269),char(34),"}}"))</f>
        <v>{"asset":{"guid":"uuid://a79844fe-af7a-4e12-a016-9e526f813093","site":"in-blr-ananta","name":"vav-841"}}</v>
      </c>
      <c r="S1269" s="237" t="s">
        <v>2866</v>
      </c>
      <c r="T1269" s="330"/>
      <c r="U1269" s="330"/>
      <c r="V1269" s="331"/>
      <c r="W1269" s="344"/>
      <c r="X1269" s="341"/>
      <c r="Y1269" s="33" t="s">
        <v>2867</v>
      </c>
      <c r="Z1269" s="258">
        <v>120841.0</v>
      </c>
      <c r="AA1269" s="334">
        <v>11572.0</v>
      </c>
      <c r="AB1269" s="341"/>
      <c r="AC1269" s="341"/>
      <c r="AD1269" s="343"/>
      <c r="AE1269" s="331"/>
      <c r="AF1269" s="348"/>
      <c r="AG1269" s="337"/>
      <c r="AH1269" s="341"/>
      <c r="AI1269" s="341"/>
      <c r="AJ1269" s="341"/>
      <c r="AK1269" s="341"/>
      <c r="AL1269" s="341"/>
      <c r="AM1269" s="338"/>
      <c r="AN1269" s="341"/>
      <c r="AO1269" s="341"/>
      <c r="AP1269" s="341"/>
      <c r="AQ1269" s="341"/>
      <c r="AR1269" s="341"/>
      <c r="AS1269" s="341"/>
      <c r="AT1269" s="341"/>
      <c r="AU1269" s="343"/>
      <c r="AV1269" s="341"/>
      <c r="AW1269" s="269" t="s">
        <v>2257</v>
      </c>
      <c r="AX1269" s="334" t="s">
        <v>2869</v>
      </c>
      <c r="AY1269" s="270" t="s">
        <v>695</v>
      </c>
      <c r="AZ1269" s="173" t="s">
        <v>2866</v>
      </c>
      <c r="BA1269" s="265">
        <v>10.0</v>
      </c>
      <c r="BB1269" s="174" t="s">
        <v>245</v>
      </c>
      <c r="BC1269" s="341"/>
      <c r="BD1269" s="308"/>
      <c r="BE1269" s="347"/>
      <c r="BF1269" s="274" t="str">
        <f>IFERROR(__xludf.DUMMYFUNCTION("LOWER(Regexreplace(to_text(E1269),""[^A-Za-z0-9]"","""")&amp;""_""&amp;Regexreplace(to_text(F1269),""[^A-Za-z0-9]"",""""))"),"neptronic_evcbseries")</f>
        <v>neptronic_evcbseries</v>
      </c>
      <c r="BG1269" s="275" t="str">
        <f>IFERROR(__xludf.DUMMYFUNCTION("upper(Regexreplace(to_text(E1269),""[^A-Za-z0-9]"","""")&amp;""-""&amp;Regexreplace(to_text(F1269),""[^A-Za-z0-9]"",""""))"),"NEPTRONIC-EVCBSERIES")</f>
        <v>NEPTRONIC-EVCBSERIES</v>
      </c>
    </row>
    <row r="1270" ht="30.0" customHeight="1">
      <c r="A1270" s="258">
        <v>1262.0</v>
      </c>
      <c r="B1270" s="237" t="s">
        <v>670</v>
      </c>
      <c r="C1270" s="257" t="s">
        <v>5319</v>
      </c>
      <c r="D1270" s="173" t="s">
        <v>5319</v>
      </c>
      <c r="E1270" s="174" t="s">
        <v>2861</v>
      </c>
      <c r="F1270" s="173" t="s">
        <v>2862</v>
      </c>
      <c r="G1270" s="328" t="s">
        <v>673</v>
      </c>
      <c r="H1270" s="328" t="s">
        <v>2863</v>
      </c>
      <c r="I1270" s="258" t="s">
        <v>2864</v>
      </c>
      <c r="J1270" s="259" t="s">
        <v>1088</v>
      </c>
      <c r="K1270" s="260" t="s">
        <v>5320</v>
      </c>
      <c r="L1270" s="328"/>
      <c r="M1270" s="343"/>
      <c r="N1270" s="173" t="s">
        <v>679</v>
      </c>
      <c r="O1270" s="173" t="s">
        <v>225</v>
      </c>
      <c r="P1270" s="262" t="str">
        <f t="shared" si="1"/>
        <v>IN-BLR-ANANTA-VAV-842_5</v>
      </c>
      <c r="Q1270" s="173" t="s">
        <v>5321</v>
      </c>
      <c r="R1270" s="328" t="str">
        <f>IFS(C1270="","",C1270="n/a","N/A",LEN(C1270),Concatenate("{",char(34),"asset",char(34),":{",char(34),"guid",char(34),":",char(34),Q1270,char(34),",",char(34),"site",char(34),":",char(34),LOWER('2-Building'!$B$4),char(34),",",char(34),"name",char(34),":",char(34),LOWER(C1270),char(34),"}}"))</f>
        <v>{"asset":{"guid":"uuid://a1145976-d47f-4dcc-92c2-da00f3fe4ae8","site":"in-blr-ananta","name":"vav-842"}}</v>
      </c>
      <c r="S1270" s="237" t="s">
        <v>2866</v>
      </c>
      <c r="T1270" s="330"/>
      <c r="U1270" s="330"/>
      <c r="V1270" s="331"/>
      <c r="W1270" s="344"/>
      <c r="X1270" s="341"/>
      <c r="Y1270" s="33" t="s">
        <v>2867</v>
      </c>
      <c r="Z1270" s="258">
        <v>120842.0</v>
      </c>
      <c r="AA1270" s="334">
        <v>11572.0</v>
      </c>
      <c r="AB1270" s="341"/>
      <c r="AC1270" s="341"/>
      <c r="AD1270" s="343"/>
      <c r="AE1270" s="331"/>
      <c r="AF1270" s="348"/>
      <c r="AG1270" s="337"/>
      <c r="AH1270" s="341"/>
      <c r="AI1270" s="341"/>
      <c r="AJ1270" s="341"/>
      <c r="AK1270" s="341"/>
      <c r="AL1270" s="341"/>
      <c r="AM1270" s="338"/>
      <c r="AN1270" s="341"/>
      <c r="AO1270" s="341"/>
      <c r="AP1270" s="341"/>
      <c r="AQ1270" s="341"/>
      <c r="AR1270" s="341"/>
      <c r="AS1270" s="341"/>
      <c r="AT1270" s="341"/>
      <c r="AU1270" s="343"/>
      <c r="AV1270" s="341"/>
      <c r="AW1270" s="269" t="s">
        <v>2257</v>
      </c>
      <c r="AX1270" s="334" t="s">
        <v>2869</v>
      </c>
      <c r="AY1270" s="270" t="s">
        <v>695</v>
      </c>
      <c r="AZ1270" s="173" t="s">
        <v>2866</v>
      </c>
      <c r="BA1270" s="265">
        <v>10.0</v>
      </c>
      <c r="BB1270" s="174" t="s">
        <v>245</v>
      </c>
      <c r="BC1270" s="341"/>
      <c r="BD1270" s="308"/>
      <c r="BE1270" s="347"/>
      <c r="BF1270" s="274" t="str">
        <f>IFERROR(__xludf.DUMMYFUNCTION("LOWER(Regexreplace(to_text(E1270),""[^A-Za-z0-9]"","""")&amp;""_""&amp;Regexreplace(to_text(F1270),""[^A-Za-z0-9]"",""""))"),"neptronic_evcbseries")</f>
        <v>neptronic_evcbseries</v>
      </c>
      <c r="BG1270" s="275" t="str">
        <f>IFERROR(__xludf.DUMMYFUNCTION("upper(Regexreplace(to_text(E1270),""[^A-Za-z0-9]"","""")&amp;""-""&amp;Regexreplace(to_text(F1270),""[^A-Za-z0-9]"",""""))"),"NEPTRONIC-EVCBSERIES")</f>
        <v>NEPTRONIC-EVCBSERIES</v>
      </c>
    </row>
    <row r="1271" ht="30.0" customHeight="1">
      <c r="A1271" s="173">
        <v>1263.0</v>
      </c>
      <c r="B1271" s="237" t="s">
        <v>670</v>
      </c>
      <c r="C1271" s="257" t="s">
        <v>5322</v>
      </c>
      <c r="D1271" s="173" t="s">
        <v>5322</v>
      </c>
      <c r="E1271" s="174" t="s">
        <v>2861</v>
      </c>
      <c r="F1271" s="173" t="s">
        <v>2862</v>
      </c>
      <c r="G1271" s="328" t="s">
        <v>673</v>
      </c>
      <c r="H1271" s="328" t="s">
        <v>2863</v>
      </c>
      <c r="I1271" s="258" t="s">
        <v>2864</v>
      </c>
      <c r="J1271" s="259" t="s">
        <v>1088</v>
      </c>
      <c r="K1271" s="260" t="s">
        <v>5323</v>
      </c>
      <c r="L1271" s="328"/>
      <c r="M1271" s="343"/>
      <c r="N1271" s="173" t="s">
        <v>679</v>
      </c>
      <c r="O1271" s="173" t="s">
        <v>225</v>
      </c>
      <c r="P1271" s="262" t="str">
        <f t="shared" si="1"/>
        <v>IN-BLR-ANANTA-VAV-843_5</v>
      </c>
      <c r="Q1271" s="173" t="s">
        <v>5324</v>
      </c>
      <c r="R1271" s="328" t="str">
        <f>IFS(C1271="","",C1271="n/a","N/A",LEN(C1271),Concatenate("{",char(34),"asset",char(34),":{",char(34),"guid",char(34),":",char(34),Q1271,char(34),",",char(34),"site",char(34),":",char(34),LOWER('2-Building'!$B$4),char(34),",",char(34),"name",char(34),":",char(34),LOWER(C1271),char(34),"}}"))</f>
        <v>{"asset":{"guid":"uuid://07b42c43-4572-4ed6-b810-75c0aca4c180","site":"in-blr-ananta","name":"vav-843"}}</v>
      </c>
      <c r="S1271" s="237" t="s">
        <v>2866</v>
      </c>
      <c r="T1271" s="330"/>
      <c r="U1271" s="330"/>
      <c r="V1271" s="331"/>
      <c r="W1271" s="344"/>
      <c r="X1271" s="341"/>
      <c r="Y1271" s="33" t="s">
        <v>2867</v>
      </c>
      <c r="Z1271" s="258">
        <v>120843.0</v>
      </c>
      <c r="AA1271" s="334">
        <v>11572.0</v>
      </c>
      <c r="AB1271" s="341"/>
      <c r="AC1271" s="341"/>
      <c r="AD1271" s="343"/>
      <c r="AE1271" s="331"/>
      <c r="AF1271" s="348"/>
      <c r="AG1271" s="337"/>
      <c r="AH1271" s="341"/>
      <c r="AI1271" s="341"/>
      <c r="AJ1271" s="341"/>
      <c r="AK1271" s="341"/>
      <c r="AL1271" s="341"/>
      <c r="AM1271" s="338"/>
      <c r="AN1271" s="341"/>
      <c r="AO1271" s="341"/>
      <c r="AP1271" s="341"/>
      <c r="AQ1271" s="341"/>
      <c r="AR1271" s="341"/>
      <c r="AS1271" s="341"/>
      <c r="AT1271" s="341"/>
      <c r="AU1271" s="343"/>
      <c r="AV1271" s="341"/>
      <c r="AW1271" s="269" t="s">
        <v>2257</v>
      </c>
      <c r="AX1271" s="334" t="s">
        <v>2869</v>
      </c>
      <c r="AY1271" s="270" t="s">
        <v>695</v>
      </c>
      <c r="AZ1271" s="173" t="s">
        <v>2866</v>
      </c>
      <c r="BA1271" s="265">
        <v>10.0</v>
      </c>
      <c r="BB1271" s="174" t="s">
        <v>245</v>
      </c>
      <c r="BC1271" s="341"/>
      <c r="BD1271" s="308"/>
      <c r="BE1271" s="347"/>
      <c r="BF1271" s="274" t="str">
        <f>IFERROR(__xludf.DUMMYFUNCTION("LOWER(Regexreplace(to_text(E1271),""[^A-Za-z0-9]"","""")&amp;""_""&amp;Regexreplace(to_text(F1271),""[^A-Za-z0-9]"",""""))"),"neptronic_evcbseries")</f>
        <v>neptronic_evcbseries</v>
      </c>
      <c r="BG1271" s="275" t="str">
        <f>IFERROR(__xludf.DUMMYFUNCTION("upper(Regexreplace(to_text(E1271),""[^A-Za-z0-9]"","""")&amp;""-""&amp;Regexreplace(to_text(F1271),""[^A-Za-z0-9]"",""""))"),"NEPTRONIC-EVCBSERIES")</f>
        <v>NEPTRONIC-EVCBSERIES</v>
      </c>
    </row>
    <row r="1272" ht="30.0" customHeight="1">
      <c r="A1272" s="258">
        <v>1264.0</v>
      </c>
      <c r="B1272" s="237" t="s">
        <v>670</v>
      </c>
      <c r="C1272" s="257" t="s">
        <v>5325</v>
      </c>
      <c r="D1272" s="173" t="s">
        <v>5325</v>
      </c>
      <c r="E1272" s="174" t="s">
        <v>2861</v>
      </c>
      <c r="F1272" s="173" t="s">
        <v>2862</v>
      </c>
      <c r="G1272" s="328" t="s">
        <v>673</v>
      </c>
      <c r="H1272" s="328" t="s">
        <v>2863</v>
      </c>
      <c r="I1272" s="258" t="s">
        <v>2864</v>
      </c>
      <c r="J1272" s="259" t="s">
        <v>1088</v>
      </c>
      <c r="K1272" s="260" t="s">
        <v>5326</v>
      </c>
      <c r="L1272" s="328"/>
      <c r="M1272" s="343"/>
      <c r="N1272" s="173" t="s">
        <v>679</v>
      </c>
      <c r="O1272" s="173" t="s">
        <v>225</v>
      </c>
      <c r="P1272" s="262" t="str">
        <f t="shared" si="1"/>
        <v>IN-BLR-ANANTA-VAV-844_5</v>
      </c>
      <c r="Q1272" s="173" t="s">
        <v>5327</v>
      </c>
      <c r="R1272" s="328" t="str">
        <f>IFS(C1272="","",C1272="n/a","N/A",LEN(C1272),Concatenate("{",char(34),"asset",char(34),":{",char(34),"guid",char(34),":",char(34),Q1272,char(34),",",char(34),"site",char(34),":",char(34),LOWER('2-Building'!$B$4),char(34),",",char(34),"name",char(34),":",char(34),LOWER(C1272),char(34),"}}"))</f>
        <v>{"asset":{"guid":"uuid://63d327ee-3b5a-4304-b6fe-a024695fa1ae","site":"in-blr-ananta","name":"vav-844"}}</v>
      </c>
      <c r="S1272" s="237" t="s">
        <v>2866</v>
      </c>
      <c r="T1272" s="330"/>
      <c r="U1272" s="330"/>
      <c r="V1272" s="331"/>
      <c r="W1272" s="344"/>
      <c r="X1272" s="341"/>
      <c r="Y1272" s="33" t="s">
        <v>2867</v>
      </c>
      <c r="Z1272" s="258">
        <v>120844.0</v>
      </c>
      <c r="AA1272" s="334">
        <v>11572.0</v>
      </c>
      <c r="AB1272" s="341"/>
      <c r="AC1272" s="341"/>
      <c r="AD1272" s="343"/>
      <c r="AE1272" s="331"/>
      <c r="AF1272" s="348"/>
      <c r="AG1272" s="337"/>
      <c r="AH1272" s="341"/>
      <c r="AI1272" s="341"/>
      <c r="AJ1272" s="341"/>
      <c r="AK1272" s="341"/>
      <c r="AL1272" s="341"/>
      <c r="AM1272" s="338"/>
      <c r="AN1272" s="341"/>
      <c r="AO1272" s="341"/>
      <c r="AP1272" s="341"/>
      <c r="AQ1272" s="341"/>
      <c r="AR1272" s="341"/>
      <c r="AS1272" s="341"/>
      <c r="AT1272" s="341"/>
      <c r="AU1272" s="343"/>
      <c r="AV1272" s="341"/>
      <c r="AW1272" s="269" t="s">
        <v>2257</v>
      </c>
      <c r="AX1272" s="334" t="s">
        <v>2869</v>
      </c>
      <c r="AY1272" s="270" t="s">
        <v>695</v>
      </c>
      <c r="AZ1272" s="173" t="s">
        <v>2866</v>
      </c>
      <c r="BA1272" s="265">
        <v>10.0</v>
      </c>
      <c r="BB1272" s="174" t="s">
        <v>245</v>
      </c>
      <c r="BC1272" s="341"/>
      <c r="BD1272" s="308"/>
      <c r="BE1272" s="347"/>
      <c r="BF1272" s="274" t="str">
        <f>IFERROR(__xludf.DUMMYFUNCTION("LOWER(Regexreplace(to_text(E1272),""[^A-Za-z0-9]"","""")&amp;""_""&amp;Regexreplace(to_text(F1272),""[^A-Za-z0-9]"",""""))"),"neptronic_evcbseries")</f>
        <v>neptronic_evcbseries</v>
      </c>
      <c r="BG1272" s="275" t="str">
        <f>IFERROR(__xludf.DUMMYFUNCTION("upper(Regexreplace(to_text(E1272),""[^A-Za-z0-9]"","""")&amp;""-""&amp;Regexreplace(to_text(F1272),""[^A-Za-z0-9]"",""""))"),"NEPTRONIC-EVCBSERIES")</f>
        <v>NEPTRONIC-EVCBSERIES</v>
      </c>
    </row>
    <row r="1273" ht="30.0" customHeight="1">
      <c r="A1273" s="173">
        <v>1265.0</v>
      </c>
      <c r="B1273" s="237" t="s">
        <v>670</v>
      </c>
      <c r="C1273" s="257" t="s">
        <v>5328</v>
      </c>
      <c r="D1273" s="173" t="s">
        <v>5328</v>
      </c>
      <c r="E1273" s="174" t="s">
        <v>2861</v>
      </c>
      <c r="F1273" s="173" t="s">
        <v>2862</v>
      </c>
      <c r="G1273" s="328" t="s">
        <v>673</v>
      </c>
      <c r="H1273" s="328" t="s">
        <v>2863</v>
      </c>
      <c r="I1273" s="258" t="s">
        <v>2864</v>
      </c>
      <c r="J1273" s="259" t="s">
        <v>1088</v>
      </c>
      <c r="K1273" s="260" t="s">
        <v>5329</v>
      </c>
      <c r="L1273" s="328"/>
      <c r="M1273" s="343"/>
      <c r="N1273" s="173" t="s">
        <v>679</v>
      </c>
      <c r="O1273" s="173" t="s">
        <v>225</v>
      </c>
      <c r="P1273" s="262" t="str">
        <f t="shared" si="1"/>
        <v>IN-BLR-ANANTA-VAV-845_5</v>
      </c>
      <c r="Q1273" s="173" t="s">
        <v>5330</v>
      </c>
      <c r="R1273" s="328" t="str">
        <f>IFS(C1273="","",C1273="n/a","N/A",LEN(C1273),Concatenate("{",char(34),"asset",char(34),":{",char(34),"guid",char(34),":",char(34),Q1273,char(34),",",char(34),"site",char(34),":",char(34),LOWER('2-Building'!$B$4),char(34),",",char(34),"name",char(34),":",char(34),LOWER(C1273),char(34),"}}"))</f>
        <v>{"asset":{"guid":"uuid://b244e111-362b-435e-9d00-16db66dd976c","site":"in-blr-ananta","name":"vav-845"}}</v>
      </c>
      <c r="S1273" s="237" t="s">
        <v>2866</v>
      </c>
      <c r="T1273" s="330"/>
      <c r="U1273" s="330"/>
      <c r="V1273" s="331"/>
      <c r="W1273" s="344"/>
      <c r="X1273" s="341"/>
      <c r="Y1273" s="33" t="s">
        <v>2867</v>
      </c>
      <c r="Z1273" s="258">
        <v>120845.0</v>
      </c>
      <c r="AA1273" s="334">
        <v>11572.0</v>
      </c>
      <c r="AB1273" s="341"/>
      <c r="AC1273" s="341"/>
      <c r="AD1273" s="343"/>
      <c r="AE1273" s="331"/>
      <c r="AF1273" s="348"/>
      <c r="AG1273" s="337"/>
      <c r="AH1273" s="341"/>
      <c r="AI1273" s="341"/>
      <c r="AJ1273" s="341"/>
      <c r="AK1273" s="341"/>
      <c r="AL1273" s="341"/>
      <c r="AM1273" s="338"/>
      <c r="AN1273" s="341"/>
      <c r="AO1273" s="341"/>
      <c r="AP1273" s="341"/>
      <c r="AQ1273" s="341"/>
      <c r="AR1273" s="341"/>
      <c r="AS1273" s="341"/>
      <c r="AT1273" s="341"/>
      <c r="AU1273" s="343"/>
      <c r="AV1273" s="341"/>
      <c r="AW1273" s="269" t="s">
        <v>2257</v>
      </c>
      <c r="AX1273" s="334" t="s">
        <v>2869</v>
      </c>
      <c r="AY1273" s="270" t="s">
        <v>695</v>
      </c>
      <c r="AZ1273" s="173" t="s">
        <v>2866</v>
      </c>
      <c r="BA1273" s="265">
        <v>10.0</v>
      </c>
      <c r="BB1273" s="174" t="s">
        <v>245</v>
      </c>
      <c r="BC1273" s="341"/>
      <c r="BD1273" s="308"/>
      <c r="BE1273" s="347"/>
      <c r="BF1273" s="274" t="str">
        <f>IFERROR(__xludf.DUMMYFUNCTION("LOWER(Regexreplace(to_text(E1273),""[^A-Za-z0-9]"","""")&amp;""_""&amp;Regexreplace(to_text(F1273),""[^A-Za-z0-9]"",""""))"),"neptronic_evcbseries")</f>
        <v>neptronic_evcbseries</v>
      </c>
      <c r="BG1273" s="275" t="str">
        <f>IFERROR(__xludf.DUMMYFUNCTION("upper(Regexreplace(to_text(E1273),""[^A-Za-z0-9]"","""")&amp;""-""&amp;Regexreplace(to_text(F1273),""[^A-Za-z0-9]"",""""))"),"NEPTRONIC-EVCBSERIES")</f>
        <v>NEPTRONIC-EVCBSERIES</v>
      </c>
    </row>
    <row r="1274" ht="30.0" customHeight="1">
      <c r="A1274" s="258">
        <v>1266.0</v>
      </c>
      <c r="B1274" s="237" t="s">
        <v>670</v>
      </c>
      <c r="C1274" s="257" t="s">
        <v>5331</v>
      </c>
      <c r="D1274" s="173" t="s">
        <v>5331</v>
      </c>
      <c r="E1274" s="174" t="s">
        <v>2861</v>
      </c>
      <c r="F1274" s="173" t="s">
        <v>2862</v>
      </c>
      <c r="G1274" s="328" t="s">
        <v>673</v>
      </c>
      <c r="H1274" s="328" t="s">
        <v>2863</v>
      </c>
      <c r="I1274" s="258" t="s">
        <v>2864</v>
      </c>
      <c r="J1274" s="259" t="s">
        <v>1088</v>
      </c>
      <c r="K1274" s="260" t="s">
        <v>5332</v>
      </c>
      <c r="L1274" s="328"/>
      <c r="M1274" s="343"/>
      <c r="N1274" s="173" t="s">
        <v>679</v>
      </c>
      <c r="O1274" s="173" t="s">
        <v>225</v>
      </c>
      <c r="P1274" s="262" t="str">
        <f t="shared" si="1"/>
        <v>IN-BLR-ANANTA-VAV-846_5</v>
      </c>
      <c r="Q1274" s="173" t="s">
        <v>5333</v>
      </c>
      <c r="R1274" s="328" t="str">
        <f>IFS(C1274="","",C1274="n/a","N/A",LEN(C1274),Concatenate("{",char(34),"asset",char(34),":{",char(34),"guid",char(34),":",char(34),Q1274,char(34),",",char(34),"site",char(34),":",char(34),LOWER('2-Building'!$B$4),char(34),",",char(34),"name",char(34),":",char(34),LOWER(C1274),char(34),"}}"))</f>
        <v>{"asset":{"guid":"uuid://c0d866c4-23eb-4b1c-961b-14f1406cda21","site":"in-blr-ananta","name":"vav-846"}}</v>
      </c>
      <c r="S1274" s="237" t="s">
        <v>2866</v>
      </c>
      <c r="T1274" s="330"/>
      <c r="U1274" s="330"/>
      <c r="V1274" s="331"/>
      <c r="W1274" s="344"/>
      <c r="X1274" s="341"/>
      <c r="Y1274" s="33" t="s">
        <v>2867</v>
      </c>
      <c r="Z1274" s="258">
        <v>120846.0</v>
      </c>
      <c r="AA1274" s="334">
        <v>11572.0</v>
      </c>
      <c r="AB1274" s="341"/>
      <c r="AC1274" s="341"/>
      <c r="AD1274" s="343"/>
      <c r="AE1274" s="331"/>
      <c r="AF1274" s="348"/>
      <c r="AG1274" s="337"/>
      <c r="AH1274" s="341"/>
      <c r="AI1274" s="341"/>
      <c r="AJ1274" s="341"/>
      <c r="AK1274" s="341"/>
      <c r="AL1274" s="341"/>
      <c r="AM1274" s="338"/>
      <c r="AN1274" s="341"/>
      <c r="AO1274" s="341"/>
      <c r="AP1274" s="341"/>
      <c r="AQ1274" s="341"/>
      <c r="AR1274" s="341"/>
      <c r="AS1274" s="341"/>
      <c r="AT1274" s="341"/>
      <c r="AU1274" s="343"/>
      <c r="AV1274" s="341"/>
      <c r="AW1274" s="269" t="s">
        <v>2257</v>
      </c>
      <c r="AX1274" s="334" t="s">
        <v>2869</v>
      </c>
      <c r="AY1274" s="270" t="s">
        <v>695</v>
      </c>
      <c r="AZ1274" s="173" t="s">
        <v>2866</v>
      </c>
      <c r="BA1274" s="265">
        <v>10.0</v>
      </c>
      <c r="BB1274" s="174" t="s">
        <v>245</v>
      </c>
      <c r="BC1274" s="341"/>
      <c r="BD1274" s="308"/>
      <c r="BE1274" s="347"/>
      <c r="BF1274" s="274" t="str">
        <f>IFERROR(__xludf.DUMMYFUNCTION("LOWER(Regexreplace(to_text(E1274),""[^A-Za-z0-9]"","""")&amp;""_""&amp;Regexreplace(to_text(F1274),""[^A-Za-z0-9]"",""""))"),"neptronic_evcbseries")</f>
        <v>neptronic_evcbseries</v>
      </c>
      <c r="BG1274" s="275" t="str">
        <f>IFERROR(__xludf.DUMMYFUNCTION("upper(Regexreplace(to_text(E1274),""[^A-Za-z0-9]"","""")&amp;""-""&amp;Regexreplace(to_text(F1274),""[^A-Za-z0-9]"",""""))"),"NEPTRONIC-EVCBSERIES")</f>
        <v>NEPTRONIC-EVCBSERIES</v>
      </c>
    </row>
    <row r="1275" ht="30.0" customHeight="1">
      <c r="A1275" s="173">
        <v>1267.0</v>
      </c>
      <c r="B1275" s="237" t="s">
        <v>670</v>
      </c>
      <c r="C1275" s="257" t="s">
        <v>5334</v>
      </c>
      <c r="D1275" s="173" t="s">
        <v>5334</v>
      </c>
      <c r="E1275" s="174" t="s">
        <v>2861</v>
      </c>
      <c r="F1275" s="173" t="s">
        <v>2862</v>
      </c>
      <c r="G1275" s="328" t="s">
        <v>673</v>
      </c>
      <c r="H1275" s="328" t="s">
        <v>2863</v>
      </c>
      <c r="I1275" s="258" t="s">
        <v>2864</v>
      </c>
      <c r="J1275" s="259" t="s">
        <v>1088</v>
      </c>
      <c r="K1275" s="260" t="s">
        <v>5335</v>
      </c>
      <c r="L1275" s="328"/>
      <c r="M1275" s="343"/>
      <c r="N1275" s="173" t="s">
        <v>679</v>
      </c>
      <c r="O1275" s="173" t="s">
        <v>225</v>
      </c>
      <c r="P1275" s="262" t="str">
        <f t="shared" si="1"/>
        <v>IN-BLR-ANANTA-VAV-847_5</v>
      </c>
      <c r="Q1275" s="173" t="s">
        <v>5336</v>
      </c>
      <c r="R1275" s="328" t="str">
        <f>IFS(C1275="","",C1275="n/a","N/A",LEN(C1275),Concatenate("{",char(34),"asset",char(34),":{",char(34),"guid",char(34),":",char(34),Q1275,char(34),",",char(34),"site",char(34),":",char(34),LOWER('2-Building'!$B$4),char(34),",",char(34),"name",char(34),":",char(34),LOWER(C1275),char(34),"}}"))</f>
        <v>{"asset":{"guid":"uuid://2b2d0e18-562f-4ffa-beb2-9393218d2df6","site":"in-blr-ananta","name":"vav-847"}}</v>
      </c>
      <c r="S1275" s="237" t="s">
        <v>2866</v>
      </c>
      <c r="T1275" s="330"/>
      <c r="U1275" s="330"/>
      <c r="V1275" s="331"/>
      <c r="W1275" s="344"/>
      <c r="X1275" s="341"/>
      <c r="Y1275" s="33" t="s">
        <v>2867</v>
      </c>
      <c r="Z1275" s="258">
        <v>120847.0</v>
      </c>
      <c r="AA1275" s="334">
        <v>11572.0</v>
      </c>
      <c r="AB1275" s="341"/>
      <c r="AC1275" s="341"/>
      <c r="AD1275" s="343"/>
      <c r="AE1275" s="331"/>
      <c r="AF1275" s="348"/>
      <c r="AG1275" s="337"/>
      <c r="AH1275" s="341"/>
      <c r="AI1275" s="341"/>
      <c r="AJ1275" s="341"/>
      <c r="AK1275" s="341"/>
      <c r="AL1275" s="341"/>
      <c r="AM1275" s="338"/>
      <c r="AN1275" s="341"/>
      <c r="AO1275" s="341"/>
      <c r="AP1275" s="341"/>
      <c r="AQ1275" s="341"/>
      <c r="AR1275" s="341"/>
      <c r="AS1275" s="341"/>
      <c r="AT1275" s="341"/>
      <c r="AU1275" s="343"/>
      <c r="AV1275" s="341"/>
      <c r="AW1275" s="269" t="s">
        <v>2257</v>
      </c>
      <c r="AX1275" s="334" t="s">
        <v>2869</v>
      </c>
      <c r="AY1275" s="270" t="s">
        <v>695</v>
      </c>
      <c r="AZ1275" s="173" t="s">
        <v>2866</v>
      </c>
      <c r="BA1275" s="265">
        <v>10.0</v>
      </c>
      <c r="BB1275" s="174" t="s">
        <v>245</v>
      </c>
      <c r="BC1275" s="341"/>
      <c r="BD1275" s="308"/>
      <c r="BE1275" s="347"/>
      <c r="BF1275" s="274" t="str">
        <f>IFERROR(__xludf.DUMMYFUNCTION("LOWER(Regexreplace(to_text(E1275),""[^A-Za-z0-9]"","""")&amp;""_""&amp;Regexreplace(to_text(F1275),""[^A-Za-z0-9]"",""""))"),"neptronic_evcbseries")</f>
        <v>neptronic_evcbseries</v>
      </c>
      <c r="BG1275" s="275" t="str">
        <f>IFERROR(__xludf.DUMMYFUNCTION("upper(Regexreplace(to_text(E1275),""[^A-Za-z0-9]"","""")&amp;""-""&amp;Regexreplace(to_text(F1275),""[^A-Za-z0-9]"",""""))"),"NEPTRONIC-EVCBSERIES")</f>
        <v>NEPTRONIC-EVCBSERIES</v>
      </c>
    </row>
    <row r="1276" ht="30.0" customHeight="1">
      <c r="A1276" s="258">
        <v>1268.0</v>
      </c>
      <c r="B1276" s="237" t="s">
        <v>670</v>
      </c>
      <c r="C1276" s="257" t="s">
        <v>5337</v>
      </c>
      <c r="D1276" s="173" t="s">
        <v>5337</v>
      </c>
      <c r="E1276" s="174" t="s">
        <v>2861</v>
      </c>
      <c r="F1276" s="173" t="s">
        <v>2862</v>
      </c>
      <c r="G1276" s="328" t="s">
        <v>673</v>
      </c>
      <c r="H1276" s="328" t="s">
        <v>2863</v>
      </c>
      <c r="I1276" s="258" t="s">
        <v>2864</v>
      </c>
      <c r="J1276" s="259" t="s">
        <v>1088</v>
      </c>
      <c r="K1276" s="260" t="s">
        <v>5338</v>
      </c>
      <c r="L1276" s="328"/>
      <c r="M1276" s="343"/>
      <c r="N1276" s="173" t="s">
        <v>679</v>
      </c>
      <c r="O1276" s="173" t="s">
        <v>225</v>
      </c>
      <c r="P1276" s="262" t="str">
        <f t="shared" si="1"/>
        <v>IN-BLR-ANANTA-VAV-848_5</v>
      </c>
      <c r="Q1276" s="173" t="s">
        <v>5339</v>
      </c>
      <c r="R1276" s="328" t="str">
        <f>IFS(C1276="","",C1276="n/a","N/A",LEN(C1276),Concatenate("{",char(34),"asset",char(34),":{",char(34),"guid",char(34),":",char(34),Q1276,char(34),",",char(34),"site",char(34),":",char(34),LOWER('2-Building'!$B$4),char(34),",",char(34),"name",char(34),":",char(34),LOWER(C1276),char(34),"}}"))</f>
        <v>{"asset":{"guid":"uuid://944f7f10-245e-46be-9d78-a0edef852868","site":"in-blr-ananta","name":"vav-848"}}</v>
      </c>
      <c r="S1276" s="237" t="s">
        <v>2866</v>
      </c>
      <c r="T1276" s="330"/>
      <c r="U1276" s="330"/>
      <c r="V1276" s="331"/>
      <c r="W1276" s="344"/>
      <c r="X1276" s="341"/>
      <c r="Y1276" s="33" t="s">
        <v>2867</v>
      </c>
      <c r="Z1276" s="258">
        <v>120848.0</v>
      </c>
      <c r="AA1276" s="334">
        <v>11572.0</v>
      </c>
      <c r="AB1276" s="341"/>
      <c r="AC1276" s="341"/>
      <c r="AD1276" s="343"/>
      <c r="AE1276" s="331"/>
      <c r="AF1276" s="348"/>
      <c r="AG1276" s="337"/>
      <c r="AH1276" s="341"/>
      <c r="AI1276" s="341"/>
      <c r="AJ1276" s="341"/>
      <c r="AK1276" s="341"/>
      <c r="AL1276" s="341"/>
      <c r="AM1276" s="338"/>
      <c r="AN1276" s="341"/>
      <c r="AO1276" s="341"/>
      <c r="AP1276" s="341"/>
      <c r="AQ1276" s="341"/>
      <c r="AR1276" s="341"/>
      <c r="AS1276" s="341"/>
      <c r="AT1276" s="341"/>
      <c r="AU1276" s="343"/>
      <c r="AV1276" s="341"/>
      <c r="AW1276" s="269" t="s">
        <v>2257</v>
      </c>
      <c r="AX1276" s="334" t="s">
        <v>2869</v>
      </c>
      <c r="AY1276" s="270" t="s">
        <v>695</v>
      </c>
      <c r="AZ1276" s="173" t="s">
        <v>2866</v>
      </c>
      <c r="BA1276" s="265">
        <v>10.0</v>
      </c>
      <c r="BB1276" s="174" t="s">
        <v>245</v>
      </c>
      <c r="BC1276" s="341"/>
      <c r="BD1276" s="308"/>
      <c r="BE1276" s="347"/>
      <c r="BF1276" s="274" t="str">
        <f>IFERROR(__xludf.DUMMYFUNCTION("LOWER(Regexreplace(to_text(E1276),""[^A-Za-z0-9]"","""")&amp;""_""&amp;Regexreplace(to_text(F1276),""[^A-Za-z0-9]"",""""))"),"neptronic_evcbseries")</f>
        <v>neptronic_evcbseries</v>
      </c>
      <c r="BG1276" s="275" t="str">
        <f>IFERROR(__xludf.DUMMYFUNCTION("upper(Regexreplace(to_text(E1276),""[^A-Za-z0-9]"","""")&amp;""-""&amp;Regexreplace(to_text(F1276),""[^A-Za-z0-9]"",""""))"),"NEPTRONIC-EVCBSERIES")</f>
        <v>NEPTRONIC-EVCBSERIES</v>
      </c>
    </row>
    <row r="1277" ht="30.0" customHeight="1">
      <c r="A1277" s="173">
        <v>1269.0</v>
      </c>
      <c r="B1277" s="237" t="s">
        <v>670</v>
      </c>
      <c r="C1277" s="257" t="s">
        <v>5340</v>
      </c>
      <c r="D1277" s="173" t="s">
        <v>5340</v>
      </c>
      <c r="E1277" s="174" t="s">
        <v>2861</v>
      </c>
      <c r="F1277" s="173" t="s">
        <v>2862</v>
      </c>
      <c r="G1277" s="328" t="s">
        <v>673</v>
      </c>
      <c r="H1277" s="328" t="s">
        <v>2863</v>
      </c>
      <c r="I1277" s="258" t="s">
        <v>2864</v>
      </c>
      <c r="J1277" s="259" t="s">
        <v>1088</v>
      </c>
      <c r="K1277" s="260" t="s">
        <v>3643</v>
      </c>
      <c r="L1277" s="328"/>
      <c r="M1277" s="343"/>
      <c r="N1277" s="173" t="s">
        <v>679</v>
      </c>
      <c r="O1277" s="173" t="s">
        <v>225</v>
      </c>
      <c r="P1277" s="262" t="str">
        <f t="shared" si="1"/>
        <v>IN-BLR-ANANTA-VAV-849_5</v>
      </c>
      <c r="Q1277" s="173" t="s">
        <v>5341</v>
      </c>
      <c r="R1277" s="328" t="str">
        <f>IFS(C1277="","",C1277="n/a","N/A",LEN(C1277),Concatenate("{",char(34),"asset",char(34),":{",char(34),"guid",char(34),":",char(34),Q1277,char(34),",",char(34),"site",char(34),":",char(34),LOWER('2-Building'!$B$4),char(34),",",char(34),"name",char(34),":",char(34),LOWER(C1277),char(34),"}}"))</f>
        <v>{"asset":{"guid":"uuid://ace9b8a9-ae31-4fb2-8bdd-5bb33c0fafa9","site":"in-blr-ananta","name":"vav-849"}}</v>
      </c>
      <c r="S1277" s="237" t="s">
        <v>2866</v>
      </c>
      <c r="T1277" s="330"/>
      <c r="U1277" s="330"/>
      <c r="V1277" s="331"/>
      <c r="W1277" s="344"/>
      <c r="X1277" s="341"/>
      <c r="Y1277" s="33" t="s">
        <v>2867</v>
      </c>
      <c r="Z1277" s="258">
        <v>120849.0</v>
      </c>
      <c r="AA1277" s="334">
        <v>11601.0</v>
      </c>
      <c r="AB1277" s="341"/>
      <c r="AC1277" s="341"/>
      <c r="AD1277" s="343"/>
      <c r="AE1277" s="331"/>
      <c r="AF1277" s="348"/>
      <c r="AG1277" s="337"/>
      <c r="AH1277" s="341"/>
      <c r="AI1277" s="341"/>
      <c r="AJ1277" s="341"/>
      <c r="AK1277" s="341"/>
      <c r="AL1277" s="341"/>
      <c r="AM1277" s="338"/>
      <c r="AN1277" s="341"/>
      <c r="AO1277" s="341"/>
      <c r="AP1277" s="341"/>
      <c r="AQ1277" s="341"/>
      <c r="AR1277" s="341"/>
      <c r="AS1277" s="341"/>
      <c r="AT1277" s="341"/>
      <c r="AU1277" s="343"/>
      <c r="AV1277" s="341"/>
      <c r="AW1277" s="269" t="s">
        <v>2247</v>
      </c>
      <c r="AX1277" s="334" t="s">
        <v>2869</v>
      </c>
      <c r="AY1277" s="270" t="s">
        <v>695</v>
      </c>
      <c r="AZ1277" s="173" t="s">
        <v>2866</v>
      </c>
      <c r="BA1277" s="265">
        <v>10.0</v>
      </c>
      <c r="BB1277" s="174" t="s">
        <v>245</v>
      </c>
      <c r="BC1277" s="341"/>
      <c r="BD1277" s="308"/>
      <c r="BE1277" s="347"/>
      <c r="BF1277" s="274" t="str">
        <f>IFERROR(__xludf.DUMMYFUNCTION("LOWER(Regexreplace(to_text(E1277),""[^A-Za-z0-9]"","""")&amp;""_""&amp;Regexreplace(to_text(F1277),""[^A-Za-z0-9]"",""""))"),"neptronic_evcbseries")</f>
        <v>neptronic_evcbseries</v>
      </c>
      <c r="BG1277" s="275" t="str">
        <f>IFERROR(__xludf.DUMMYFUNCTION("upper(Regexreplace(to_text(E1277),""[^A-Za-z0-9]"","""")&amp;""-""&amp;Regexreplace(to_text(F1277),""[^A-Za-z0-9]"",""""))"),"NEPTRONIC-EVCBSERIES")</f>
        <v>NEPTRONIC-EVCBSERIES</v>
      </c>
    </row>
    <row r="1278" ht="30.0" customHeight="1">
      <c r="A1278" s="258">
        <v>1270.0</v>
      </c>
      <c r="B1278" s="237" t="s">
        <v>670</v>
      </c>
      <c r="C1278" s="257" t="s">
        <v>5342</v>
      </c>
      <c r="D1278" s="173" t="s">
        <v>5342</v>
      </c>
      <c r="E1278" s="174" t="s">
        <v>2861</v>
      </c>
      <c r="F1278" s="173" t="s">
        <v>2862</v>
      </c>
      <c r="G1278" s="328" t="s">
        <v>673</v>
      </c>
      <c r="H1278" s="328" t="s">
        <v>2863</v>
      </c>
      <c r="I1278" s="258" t="s">
        <v>2864</v>
      </c>
      <c r="J1278" s="259" t="s">
        <v>1088</v>
      </c>
      <c r="K1278" s="260" t="s">
        <v>5343</v>
      </c>
      <c r="L1278" s="328"/>
      <c r="M1278" s="343"/>
      <c r="N1278" s="173" t="s">
        <v>679</v>
      </c>
      <c r="O1278" s="173" t="s">
        <v>225</v>
      </c>
      <c r="P1278" s="262" t="str">
        <f t="shared" si="1"/>
        <v>IN-BLR-ANANTA-VAV-850_5</v>
      </c>
      <c r="Q1278" s="173" t="s">
        <v>5344</v>
      </c>
      <c r="R1278" s="328" t="str">
        <f>IFS(C1278="","",C1278="n/a","N/A",LEN(C1278),Concatenate("{",char(34),"asset",char(34),":{",char(34),"guid",char(34),":",char(34),Q1278,char(34),",",char(34),"site",char(34),":",char(34),LOWER('2-Building'!$B$4),char(34),",",char(34),"name",char(34),":",char(34),LOWER(C1278),char(34),"}}"))</f>
        <v>{"asset":{"guid":"uuid://516cb30a-e5b3-4181-bd8b-42f509636812","site":"in-blr-ananta","name":"vav-850"}}</v>
      </c>
      <c r="S1278" s="237" t="s">
        <v>2866</v>
      </c>
      <c r="T1278" s="330"/>
      <c r="U1278" s="330"/>
      <c r="V1278" s="331"/>
      <c r="W1278" s="344"/>
      <c r="X1278" s="341"/>
      <c r="Y1278" s="33" t="s">
        <v>2867</v>
      </c>
      <c r="Z1278" s="258">
        <v>120850.0</v>
      </c>
      <c r="AA1278" s="334">
        <v>11601.0</v>
      </c>
      <c r="AB1278" s="341"/>
      <c r="AC1278" s="341"/>
      <c r="AD1278" s="343"/>
      <c r="AE1278" s="331"/>
      <c r="AF1278" s="348"/>
      <c r="AG1278" s="337"/>
      <c r="AH1278" s="341"/>
      <c r="AI1278" s="341"/>
      <c r="AJ1278" s="341"/>
      <c r="AK1278" s="341"/>
      <c r="AL1278" s="341"/>
      <c r="AM1278" s="338"/>
      <c r="AN1278" s="341"/>
      <c r="AO1278" s="341"/>
      <c r="AP1278" s="341"/>
      <c r="AQ1278" s="341"/>
      <c r="AR1278" s="341"/>
      <c r="AS1278" s="341"/>
      <c r="AT1278" s="341"/>
      <c r="AU1278" s="343"/>
      <c r="AV1278" s="341"/>
      <c r="AW1278" s="269" t="s">
        <v>2247</v>
      </c>
      <c r="AX1278" s="334" t="s">
        <v>2869</v>
      </c>
      <c r="AY1278" s="270" t="s">
        <v>695</v>
      </c>
      <c r="AZ1278" s="173" t="s">
        <v>2866</v>
      </c>
      <c r="BA1278" s="265">
        <v>10.0</v>
      </c>
      <c r="BB1278" s="174" t="s">
        <v>245</v>
      </c>
      <c r="BC1278" s="341"/>
      <c r="BD1278" s="308"/>
      <c r="BE1278" s="347"/>
      <c r="BF1278" s="274" t="str">
        <f>IFERROR(__xludf.DUMMYFUNCTION("LOWER(Regexreplace(to_text(E1278),""[^A-Za-z0-9]"","""")&amp;""_""&amp;Regexreplace(to_text(F1278),""[^A-Za-z0-9]"",""""))"),"neptronic_evcbseries")</f>
        <v>neptronic_evcbseries</v>
      </c>
      <c r="BG1278" s="275" t="str">
        <f>IFERROR(__xludf.DUMMYFUNCTION("upper(Regexreplace(to_text(E1278),""[^A-Za-z0-9]"","""")&amp;""-""&amp;Regexreplace(to_text(F1278),""[^A-Za-z0-9]"",""""))"),"NEPTRONIC-EVCBSERIES")</f>
        <v>NEPTRONIC-EVCBSERIES</v>
      </c>
    </row>
    <row r="1279" ht="30.0" customHeight="1">
      <c r="A1279" s="173">
        <v>1271.0</v>
      </c>
      <c r="B1279" s="237" t="s">
        <v>670</v>
      </c>
      <c r="C1279" s="257" t="s">
        <v>5345</v>
      </c>
      <c r="D1279" s="173" t="s">
        <v>5345</v>
      </c>
      <c r="E1279" s="174" t="s">
        <v>2861</v>
      </c>
      <c r="F1279" s="173" t="s">
        <v>2862</v>
      </c>
      <c r="G1279" s="328" t="s">
        <v>673</v>
      </c>
      <c r="H1279" s="328" t="s">
        <v>2863</v>
      </c>
      <c r="I1279" s="258" t="s">
        <v>2864</v>
      </c>
      <c r="J1279" s="259" t="s">
        <v>1088</v>
      </c>
      <c r="K1279" s="260" t="s">
        <v>5346</v>
      </c>
      <c r="L1279" s="328"/>
      <c r="M1279" s="343"/>
      <c r="N1279" s="173" t="s">
        <v>679</v>
      </c>
      <c r="O1279" s="173" t="s">
        <v>225</v>
      </c>
      <c r="P1279" s="262" t="str">
        <f t="shared" si="1"/>
        <v>IN-BLR-ANANTA-VAV-851_5</v>
      </c>
      <c r="Q1279" s="173" t="s">
        <v>5347</v>
      </c>
      <c r="R1279" s="328" t="str">
        <f>IFS(C1279="","",C1279="n/a","N/A",LEN(C1279),Concatenate("{",char(34),"asset",char(34),":{",char(34),"guid",char(34),":",char(34),Q1279,char(34),",",char(34),"site",char(34),":",char(34),LOWER('2-Building'!$B$4),char(34),",",char(34),"name",char(34),":",char(34),LOWER(C1279),char(34),"}}"))</f>
        <v>{"asset":{"guid":"uuid://42905ce9-3cff-448b-840e-a28545786bcc","site":"in-blr-ananta","name":"vav-851"}}</v>
      </c>
      <c r="S1279" s="237" t="s">
        <v>2866</v>
      </c>
      <c r="T1279" s="330"/>
      <c r="U1279" s="330"/>
      <c r="V1279" s="331"/>
      <c r="W1279" s="344"/>
      <c r="X1279" s="341"/>
      <c r="Y1279" s="33" t="s">
        <v>2867</v>
      </c>
      <c r="Z1279" s="258">
        <v>120851.0</v>
      </c>
      <c r="AA1279" s="334">
        <v>11601.0</v>
      </c>
      <c r="AB1279" s="341"/>
      <c r="AC1279" s="341"/>
      <c r="AD1279" s="343"/>
      <c r="AE1279" s="331"/>
      <c r="AF1279" s="348"/>
      <c r="AG1279" s="337"/>
      <c r="AH1279" s="341"/>
      <c r="AI1279" s="341"/>
      <c r="AJ1279" s="341"/>
      <c r="AK1279" s="341"/>
      <c r="AL1279" s="341"/>
      <c r="AM1279" s="338"/>
      <c r="AN1279" s="341"/>
      <c r="AO1279" s="341"/>
      <c r="AP1279" s="341"/>
      <c r="AQ1279" s="341"/>
      <c r="AR1279" s="341"/>
      <c r="AS1279" s="341"/>
      <c r="AT1279" s="341"/>
      <c r="AU1279" s="343"/>
      <c r="AV1279" s="341"/>
      <c r="AW1279" s="269" t="s">
        <v>2247</v>
      </c>
      <c r="AX1279" s="334" t="s">
        <v>2869</v>
      </c>
      <c r="AY1279" s="270" t="s">
        <v>695</v>
      </c>
      <c r="AZ1279" s="173" t="s">
        <v>2866</v>
      </c>
      <c r="BA1279" s="265">
        <v>10.0</v>
      </c>
      <c r="BB1279" s="174" t="s">
        <v>245</v>
      </c>
      <c r="BC1279" s="341"/>
      <c r="BD1279" s="308"/>
      <c r="BE1279" s="347"/>
      <c r="BF1279" s="274" t="str">
        <f>IFERROR(__xludf.DUMMYFUNCTION("LOWER(Regexreplace(to_text(E1279),""[^A-Za-z0-9]"","""")&amp;""_""&amp;Regexreplace(to_text(F1279),""[^A-Za-z0-9]"",""""))"),"neptronic_evcbseries")</f>
        <v>neptronic_evcbseries</v>
      </c>
      <c r="BG1279" s="275" t="str">
        <f>IFERROR(__xludf.DUMMYFUNCTION("upper(Regexreplace(to_text(E1279),""[^A-Za-z0-9]"","""")&amp;""-""&amp;Regexreplace(to_text(F1279),""[^A-Za-z0-9]"",""""))"),"NEPTRONIC-EVCBSERIES")</f>
        <v>NEPTRONIC-EVCBSERIES</v>
      </c>
    </row>
    <row r="1280" ht="30.0" customHeight="1">
      <c r="A1280" s="258">
        <v>1272.0</v>
      </c>
      <c r="B1280" s="237" t="s">
        <v>670</v>
      </c>
      <c r="C1280" s="257" t="s">
        <v>5348</v>
      </c>
      <c r="D1280" s="173" t="s">
        <v>5348</v>
      </c>
      <c r="E1280" s="174" t="s">
        <v>2861</v>
      </c>
      <c r="F1280" s="173" t="s">
        <v>2862</v>
      </c>
      <c r="G1280" s="328" t="s">
        <v>673</v>
      </c>
      <c r="H1280" s="328" t="s">
        <v>2863</v>
      </c>
      <c r="I1280" s="258" t="s">
        <v>2864</v>
      </c>
      <c r="J1280" s="259" t="s">
        <v>1088</v>
      </c>
      <c r="K1280" s="260" t="s">
        <v>5349</v>
      </c>
      <c r="L1280" s="328"/>
      <c r="M1280" s="343"/>
      <c r="N1280" s="173" t="s">
        <v>679</v>
      </c>
      <c r="O1280" s="173" t="s">
        <v>225</v>
      </c>
      <c r="P1280" s="262" t="str">
        <f t="shared" si="1"/>
        <v>IN-BLR-ANANTA-VAV-852_5</v>
      </c>
      <c r="Q1280" s="173" t="s">
        <v>5350</v>
      </c>
      <c r="R1280" s="328" t="str">
        <f>IFS(C1280="","",C1280="n/a","N/A",LEN(C1280),Concatenate("{",char(34),"asset",char(34),":{",char(34),"guid",char(34),":",char(34),Q1280,char(34),",",char(34),"site",char(34),":",char(34),LOWER('2-Building'!$B$4),char(34),",",char(34),"name",char(34),":",char(34),LOWER(C1280),char(34),"}}"))</f>
        <v>{"asset":{"guid":"uuid://e2f0b5ff-b568-49b6-8d8b-293cedf8832d","site":"in-blr-ananta","name":"vav-852"}}</v>
      </c>
      <c r="S1280" s="237" t="s">
        <v>2866</v>
      </c>
      <c r="T1280" s="330"/>
      <c r="U1280" s="330"/>
      <c r="V1280" s="331"/>
      <c r="W1280" s="344"/>
      <c r="X1280" s="341"/>
      <c r="Y1280" s="33" t="s">
        <v>2867</v>
      </c>
      <c r="Z1280" s="258">
        <v>120852.0</v>
      </c>
      <c r="AA1280" s="334">
        <v>11601.0</v>
      </c>
      <c r="AB1280" s="341"/>
      <c r="AC1280" s="341"/>
      <c r="AD1280" s="343"/>
      <c r="AE1280" s="331"/>
      <c r="AF1280" s="348"/>
      <c r="AG1280" s="337"/>
      <c r="AH1280" s="341"/>
      <c r="AI1280" s="341"/>
      <c r="AJ1280" s="341"/>
      <c r="AK1280" s="341"/>
      <c r="AL1280" s="341"/>
      <c r="AM1280" s="338"/>
      <c r="AN1280" s="341"/>
      <c r="AO1280" s="341"/>
      <c r="AP1280" s="341"/>
      <c r="AQ1280" s="341"/>
      <c r="AR1280" s="341"/>
      <c r="AS1280" s="341"/>
      <c r="AT1280" s="341"/>
      <c r="AU1280" s="343"/>
      <c r="AV1280" s="341"/>
      <c r="AW1280" s="269" t="s">
        <v>2247</v>
      </c>
      <c r="AX1280" s="334" t="s">
        <v>2869</v>
      </c>
      <c r="AY1280" s="270" t="s">
        <v>695</v>
      </c>
      <c r="AZ1280" s="173" t="s">
        <v>2866</v>
      </c>
      <c r="BA1280" s="265">
        <v>10.0</v>
      </c>
      <c r="BB1280" s="174" t="s">
        <v>245</v>
      </c>
      <c r="BC1280" s="341"/>
      <c r="BD1280" s="308"/>
      <c r="BE1280" s="347"/>
      <c r="BF1280" s="274" t="str">
        <f>IFERROR(__xludf.DUMMYFUNCTION("LOWER(Regexreplace(to_text(E1280),""[^A-Za-z0-9]"","""")&amp;""_""&amp;Regexreplace(to_text(F1280),""[^A-Za-z0-9]"",""""))"),"neptronic_evcbseries")</f>
        <v>neptronic_evcbseries</v>
      </c>
      <c r="BG1280" s="275" t="str">
        <f>IFERROR(__xludf.DUMMYFUNCTION("upper(Regexreplace(to_text(E1280),""[^A-Za-z0-9]"","""")&amp;""-""&amp;Regexreplace(to_text(F1280),""[^A-Za-z0-9]"",""""))"),"NEPTRONIC-EVCBSERIES")</f>
        <v>NEPTRONIC-EVCBSERIES</v>
      </c>
    </row>
    <row r="1281" ht="30.0" customHeight="1">
      <c r="A1281" s="173">
        <v>1273.0</v>
      </c>
      <c r="B1281" s="237" t="s">
        <v>670</v>
      </c>
      <c r="C1281" s="257" t="s">
        <v>5351</v>
      </c>
      <c r="D1281" s="173" t="s">
        <v>5351</v>
      </c>
      <c r="E1281" s="174" t="s">
        <v>2861</v>
      </c>
      <c r="F1281" s="173" t="s">
        <v>2862</v>
      </c>
      <c r="G1281" s="328" t="s">
        <v>673</v>
      </c>
      <c r="H1281" s="328" t="s">
        <v>2863</v>
      </c>
      <c r="I1281" s="258" t="s">
        <v>2864</v>
      </c>
      <c r="J1281" s="259" t="s">
        <v>1088</v>
      </c>
      <c r="K1281" s="260" t="s">
        <v>5352</v>
      </c>
      <c r="L1281" s="328"/>
      <c r="M1281" s="343"/>
      <c r="N1281" s="173" t="s">
        <v>679</v>
      </c>
      <c r="O1281" s="173" t="s">
        <v>225</v>
      </c>
      <c r="P1281" s="262" t="str">
        <f t="shared" si="1"/>
        <v>IN-BLR-ANANTA-VAV-853_5</v>
      </c>
      <c r="Q1281" s="173" t="s">
        <v>5353</v>
      </c>
      <c r="R1281" s="328" t="str">
        <f>IFS(C1281="","",C1281="n/a","N/A",LEN(C1281),Concatenate("{",char(34),"asset",char(34),":{",char(34),"guid",char(34),":",char(34),Q1281,char(34),",",char(34),"site",char(34),":",char(34),LOWER('2-Building'!$B$4),char(34),",",char(34),"name",char(34),":",char(34),LOWER(C1281),char(34),"}}"))</f>
        <v>{"asset":{"guid":"uuid://bda1c040-3992-46bb-a4b5-89333e79f766","site":"in-blr-ananta","name":"vav-853"}}</v>
      </c>
      <c r="S1281" s="237" t="s">
        <v>2866</v>
      </c>
      <c r="T1281" s="330"/>
      <c r="U1281" s="330"/>
      <c r="V1281" s="331"/>
      <c r="W1281" s="344"/>
      <c r="X1281" s="341"/>
      <c r="Y1281" s="33" t="s">
        <v>2867</v>
      </c>
      <c r="Z1281" s="258">
        <v>120853.0</v>
      </c>
      <c r="AA1281" s="334">
        <v>11601.0</v>
      </c>
      <c r="AB1281" s="341"/>
      <c r="AC1281" s="341"/>
      <c r="AD1281" s="343"/>
      <c r="AE1281" s="331"/>
      <c r="AF1281" s="348"/>
      <c r="AG1281" s="337"/>
      <c r="AH1281" s="341"/>
      <c r="AI1281" s="341"/>
      <c r="AJ1281" s="341"/>
      <c r="AK1281" s="341"/>
      <c r="AL1281" s="341"/>
      <c r="AM1281" s="338"/>
      <c r="AN1281" s="341"/>
      <c r="AO1281" s="341"/>
      <c r="AP1281" s="341"/>
      <c r="AQ1281" s="341"/>
      <c r="AR1281" s="341"/>
      <c r="AS1281" s="341"/>
      <c r="AT1281" s="341"/>
      <c r="AU1281" s="343"/>
      <c r="AV1281" s="341"/>
      <c r="AW1281" s="269" t="s">
        <v>2247</v>
      </c>
      <c r="AX1281" s="334" t="s">
        <v>2869</v>
      </c>
      <c r="AY1281" s="270" t="s">
        <v>695</v>
      </c>
      <c r="AZ1281" s="173" t="s">
        <v>2866</v>
      </c>
      <c r="BA1281" s="265">
        <v>10.0</v>
      </c>
      <c r="BB1281" s="174" t="s">
        <v>245</v>
      </c>
      <c r="BC1281" s="341"/>
      <c r="BD1281" s="308"/>
      <c r="BE1281" s="347"/>
      <c r="BF1281" s="274" t="str">
        <f>IFERROR(__xludf.DUMMYFUNCTION("LOWER(Regexreplace(to_text(E1281),""[^A-Za-z0-9]"","""")&amp;""_""&amp;Regexreplace(to_text(F1281),""[^A-Za-z0-9]"",""""))"),"neptronic_evcbseries")</f>
        <v>neptronic_evcbseries</v>
      </c>
      <c r="BG1281" s="275" t="str">
        <f>IFERROR(__xludf.DUMMYFUNCTION("upper(Regexreplace(to_text(E1281),""[^A-Za-z0-9]"","""")&amp;""-""&amp;Regexreplace(to_text(F1281),""[^A-Za-z0-9]"",""""))"),"NEPTRONIC-EVCBSERIES")</f>
        <v>NEPTRONIC-EVCBSERIES</v>
      </c>
    </row>
    <row r="1282" ht="30.0" customHeight="1">
      <c r="A1282" s="258">
        <v>1274.0</v>
      </c>
      <c r="B1282" s="237" t="s">
        <v>670</v>
      </c>
      <c r="C1282" s="257" t="s">
        <v>5354</v>
      </c>
      <c r="D1282" s="173" t="s">
        <v>5354</v>
      </c>
      <c r="E1282" s="174" t="s">
        <v>2861</v>
      </c>
      <c r="F1282" s="173" t="s">
        <v>2862</v>
      </c>
      <c r="G1282" s="328" t="s">
        <v>673</v>
      </c>
      <c r="H1282" s="328" t="s">
        <v>2863</v>
      </c>
      <c r="I1282" s="258" t="s">
        <v>2864</v>
      </c>
      <c r="J1282" s="259" t="s">
        <v>1088</v>
      </c>
      <c r="K1282" s="260" t="s">
        <v>5355</v>
      </c>
      <c r="L1282" s="328"/>
      <c r="M1282" s="343"/>
      <c r="N1282" s="173" t="s">
        <v>679</v>
      </c>
      <c r="O1282" s="173" t="s">
        <v>225</v>
      </c>
      <c r="P1282" s="262" t="str">
        <f t="shared" si="1"/>
        <v>IN-BLR-ANANTA-VAV-854_5</v>
      </c>
      <c r="Q1282" s="173" t="s">
        <v>5356</v>
      </c>
      <c r="R1282" s="328" t="str">
        <f>IFS(C1282="","",C1282="n/a","N/A",LEN(C1282),Concatenate("{",char(34),"asset",char(34),":{",char(34),"guid",char(34),":",char(34),Q1282,char(34),",",char(34),"site",char(34),":",char(34),LOWER('2-Building'!$B$4),char(34),",",char(34),"name",char(34),":",char(34),LOWER(C1282),char(34),"}}"))</f>
        <v>{"asset":{"guid":"uuid://b37079c7-60d3-423a-b1a8-f1afdbed2562","site":"in-blr-ananta","name":"vav-854"}}</v>
      </c>
      <c r="S1282" s="237" t="s">
        <v>2866</v>
      </c>
      <c r="T1282" s="330"/>
      <c r="U1282" s="330"/>
      <c r="V1282" s="331"/>
      <c r="W1282" s="344"/>
      <c r="X1282" s="341"/>
      <c r="Y1282" s="33" t="s">
        <v>2867</v>
      </c>
      <c r="Z1282" s="258">
        <v>120854.0</v>
      </c>
      <c r="AA1282" s="334">
        <v>11601.0</v>
      </c>
      <c r="AB1282" s="341"/>
      <c r="AC1282" s="341"/>
      <c r="AD1282" s="343"/>
      <c r="AE1282" s="331"/>
      <c r="AF1282" s="348"/>
      <c r="AG1282" s="337"/>
      <c r="AH1282" s="341"/>
      <c r="AI1282" s="341"/>
      <c r="AJ1282" s="341"/>
      <c r="AK1282" s="341"/>
      <c r="AL1282" s="341"/>
      <c r="AM1282" s="338"/>
      <c r="AN1282" s="341"/>
      <c r="AO1282" s="341"/>
      <c r="AP1282" s="341"/>
      <c r="AQ1282" s="341"/>
      <c r="AR1282" s="341"/>
      <c r="AS1282" s="341"/>
      <c r="AT1282" s="341"/>
      <c r="AU1282" s="343"/>
      <c r="AV1282" s="341"/>
      <c r="AW1282" s="269" t="s">
        <v>2247</v>
      </c>
      <c r="AX1282" s="334" t="s">
        <v>2869</v>
      </c>
      <c r="AY1282" s="270" t="s">
        <v>695</v>
      </c>
      <c r="AZ1282" s="173" t="s">
        <v>2866</v>
      </c>
      <c r="BA1282" s="265">
        <v>10.0</v>
      </c>
      <c r="BB1282" s="174" t="s">
        <v>245</v>
      </c>
      <c r="BC1282" s="341"/>
      <c r="BD1282" s="308"/>
      <c r="BE1282" s="347"/>
      <c r="BF1282" s="274" t="str">
        <f>IFERROR(__xludf.DUMMYFUNCTION("LOWER(Regexreplace(to_text(E1282),""[^A-Za-z0-9]"","""")&amp;""_""&amp;Regexreplace(to_text(F1282),""[^A-Za-z0-9]"",""""))"),"neptronic_evcbseries")</f>
        <v>neptronic_evcbseries</v>
      </c>
      <c r="BG1282" s="275" t="str">
        <f>IFERROR(__xludf.DUMMYFUNCTION("upper(Regexreplace(to_text(E1282),""[^A-Za-z0-9]"","""")&amp;""-""&amp;Regexreplace(to_text(F1282),""[^A-Za-z0-9]"",""""))"),"NEPTRONIC-EVCBSERIES")</f>
        <v>NEPTRONIC-EVCBSERIES</v>
      </c>
    </row>
    <row r="1283" ht="30.0" customHeight="1">
      <c r="A1283" s="173">
        <v>1275.0</v>
      </c>
      <c r="B1283" s="237" t="s">
        <v>670</v>
      </c>
      <c r="C1283" s="257" t="s">
        <v>5357</v>
      </c>
      <c r="D1283" s="173" t="s">
        <v>5357</v>
      </c>
      <c r="E1283" s="174" t="s">
        <v>2861</v>
      </c>
      <c r="F1283" s="173" t="s">
        <v>2862</v>
      </c>
      <c r="G1283" s="328" t="s">
        <v>673</v>
      </c>
      <c r="H1283" s="328" t="s">
        <v>2863</v>
      </c>
      <c r="I1283" s="258" t="s">
        <v>2864</v>
      </c>
      <c r="J1283" s="259" t="s">
        <v>1088</v>
      </c>
      <c r="K1283" s="260" t="s">
        <v>5358</v>
      </c>
      <c r="L1283" s="328"/>
      <c r="M1283" s="343"/>
      <c r="N1283" s="173" t="s">
        <v>679</v>
      </c>
      <c r="O1283" s="173" t="s">
        <v>225</v>
      </c>
      <c r="P1283" s="262" t="str">
        <f t="shared" si="1"/>
        <v>IN-BLR-ANANTA-VAV-855_5</v>
      </c>
      <c r="Q1283" s="173" t="s">
        <v>5359</v>
      </c>
      <c r="R1283" s="328" t="str">
        <f>IFS(C1283="","",C1283="n/a","N/A",LEN(C1283),Concatenate("{",char(34),"asset",char(34),":{",char(34),"guid",char(34),":",char(34),Q1283,char(34),",",char(34),"site",char(34),":",char(34),LOWER('2-Building'!$B$4),char(34),",",char(34),"name",char(34),":",char(34),LOWER(C1283),char(34),"}}"))</f>
        <v>{"asset":{"guid":"uuid://8536de1d-fa0e-466f-bcfc-349fcaaaff66","site":"in-blr-ananta","name":"vav-855"}}</v>
      </c>
      <c r="S1283" s="237" t="s">
        <v>2866</v>
      </c>
      <c r="T1283" s="330"/>
      <c r="U1283" s="330"/>
      <c r="V1283" s="331"/>
      <c r="W1283" s="344"/>
      <c r="X1283" s="341"/>
      <c r="Y1283" s="33" t="s">
        <v>2867</v>
      </c>
      <c r="Z1283" s="258">
        <v>120855.0</v>
      </c>
      <c r="AA1283" s="334">
        <v>11601.0</v>
      </c>
      <c r="AB1283" s="341"/>
      <c r="AC1283" s="341"/>
      <c r="AD1283" s="343"/>
      <c r="AE1283" s="331"/>
      <c r="AF1283" s="348"/>
      <c r="AG1283" s="337"/>
      <c r="AH1283" s="341"/>
      <c r="AI1283" s="341"/>
      <c r="AJ1283" s="341"/>
      <c r="AK1283" s="341"/>
      <c r="AL1283" s="341"/>
      <c r="AM1283" s="338"/>
      <c r="AN1283" s="341"/>
      <c r="AO1283" s="341"/>
      <c r="AP1283" s="341"/>
      <c r="AQ1283" s="341"/>
      <c r="AR1283" s="341"/>
      <c r="AS1283" s="341"/>
      <c r="AT1283" s="341"/>
      <c r="AU1283" s="343"/>
      <c r="AV1283" s="341"/>
      <c r="AW1283" s="269" t="s">
        <v>2247</v>
      </c>
      <c r="AX1283" s="334" t="s">
        <v>2869</v>
      </c>
      <c r="AY1283" s="270" t="s">
        <v>695</v>
      </c>
      <c r="AZ1283" s="173" t="s">
        <v>2866</v>
      </c>
      <c r="BA1283" s="265">
        <v>10.0</v>
      </c>
      <c r="BB1283" s="174" t="s">
        <v>245</v>
      </c>
      <c r="BC1283" s="341"/>
      <c r="BD1283" s="308"/>
      <c r="BE1283" s="347"/>
      <c r="BF1283" s="274" t="str">
        <f>IFERROR(__xludf.DUMMYFUNCTION("LOWER(Regexreplace(to_text(E1283),""[^A-Za-z0-9]"","""")&amp;""_""&amp;Regexreplace(to_text(F1283),""[^A-Za-z0-9]"",""""))"),"neptronic_evcbseries")</f>
        <v>neptronic_evcbseries</v>
      </c>
      <c r="BG1283" s="275" t="str">
        <f>IFERROR(__xludf.DUMMYFUNCTION("upper(Regexreplace(to_text(E1283),""[^A-Za-z0-9]"","""")&amp;""-""&amp;Regexreplace(to_text(F1283),""[^A-Za-z0-9]"",""""))"),"NEPTRONIC-EVCBSERIES")</f>
        <v>NEPTRONIC-EVCBSERIES</v>
      </c>
    </row>
    <row r="1284" ht="30.0" customHeight="1">
      <c r="A1284" s="258">
        <v>1276.0</v>
      </c>
      <c r="B1284" s="237" t="s">
        <v>670</v>
      </c>
      <c r="C1284" s="257" t="s">
        <v>5360</v>
      </c>
      <c r="D1284" s="173" t="s">
        <v>5360</v>
      </c>
      <c r="E1284" s="174" t="s">
        <v>2861</v>
      </c>
      <c r="F1284" s="173" t="s">
        <v>2862</v>
      </c>
      <c r="G1284" s="328" t="s">
        <v>673</v>
      </c>
      <c r="H1284" s="328" t="s">
        <v>2863</v>
      </c>
      <c r="I1284" s="258" t="s">
        <v>2864</v>
      </c>
      <c r="J1284" s="259" t="s">
        <v>1088</v>
      </c>
      <c r="K1284" s="260" t="s">
        <v>5361</v>
      </c>
      <c r="L1284" s="328"/>
      <c r="M1284" s="343"/>
      <c r="N1284" s="173" t="s">
        <v>679</v>
      </c>
      <c r="O1284" s="173" t="s">
        <v>225</v>
      </c>
      <c r="P1284" s="262" t="str">
        <f t="shared" si="1"/>
        <v>IN-BLR-ANANTA-VAV-856_5</v>
      </c>
      <c r="Q1284" s="173" t="s">
        <v>5362</v>
      </c>
      <c r="R1284" s="328" t="str">
        <f>IFS(C1284="","",C1284="n/a","N/A",LEN(C1284),Concatenate("{",char(34),"asset",char(34),":{",char(34),"guid",char(34),":",char(34),Q1284,char(34),",",char(34),"site",char(34),":",char(34),LOWER('2-Building'!$B$4),char(34),",",char(34),"name",char(34),":",char(34),LOWER(C1284),char(34),"}}"))</f>
        <v>{"asset":{"guid":"uuid://31b8b6e9-b3ef-4a1c-b9f6-bcf5e31da2b6","site":"in-blr-ananta","name":"vav-856"}}</v>
      </c>
      <c r="S1284" s="237" t="s">
        <v>2866</v>
      </c>
      <c r="T1284" s="330"/>
      <c r="U1284" s="330"/>
      <c r="V1284" s="331"/>
      <c r="W1284" s="344"/>
      <c r="X1284" s="341"/>
      <c r="Y1284" s="33" t="s">
        <v>2867</v>
      </c>
      <c r="Z1284" s="258">
        <v>120856.0</v>
      </c>
      <c r="AA1284" s="334">
        <v>11601.0</v>
      </c>
      <c r="AB1284" s="341"/>
      <c r="AC1284" s="341"/>
      <c r="AD1284" s="343"/>
      <c r="AE1284" s="331"/>
      <c r="AF1284" s="348"/>
      <c r="AG1284" s="337"/>
      <c r="AH1284" s="341"/>
      <c r="AI1284" s="341"/>
      <c r="AJ1284" s="341"/>
      <c r="AK1284" s="341"/>
      <c r="AL1284" s="341"/>
      <c r="AM1284" s="338"/>
      <c r="AN1284" s="341"/>
      <c r="AO1284" s="341"/>
      <c r="AP1284" s="341"/>
      <c r="AQ1284" s="341"/>
      <c r="AR1284" s="341"/>
      <c r="AS1284" s="341"/>
      <c r="AT1284" s="341"/>
      <c r="AU1284" s="343"/>
      <c r="AV1284" s="341"/>
      <c r="AW1284" s="269" t="s">
        <v>2247</v>
      </c>
      <c r="AX1284" s="334" t="s">
        <v>2869</v>
      </c>
      <c r="AY1284" s="270" t="s">
        <v>695</v>
      </c>
      <c r="AZ1284" s="173" t="s">
        <v>2866</v>
      </c>
      <c r="BA1284" s="265">
        <v>10.0</v>
      </c>
      <c r="BB1284" s="174" t="s">
        <v>245</v>
      </c>
      <c r="BC1284" s="341"/>
      <c r="BD1284" s="308"/>
      <c r="BE1284" s="347"/>
      <c r="BF1284" s="274" t="str">
        <f>IFERROR(__xludf.DUMMYFUNCTION("LOWER(Regexreplace(to_text(E1284),""[^A-Za-z0-9]"","""")&amp;""_""&amp;Regexreplace(to_text(F1284),""[^A-Za-z0-9]"",""""))"),"neptronic_evcbseries")</f>
        <v>neptronic_evcbseries</v>
      </c>
      <c r="BG1284" s="275" t="str">
        <f>IFERROR(__xludf.DUMMYFUNCTION("upper(Regexreplace(to_text(E1284),""[^A-Za-z0-9]"","""")&amp;""-""&amp;Regexreplace(to_text(F1284),""[^A-Za-z0-9]"",""""))"),"NEPTRONIC-EVCBSERIES")</f>
        <v>NEPTRONIC-EVCBSERIES</v>
      </c>
    </row>
    <row r="1285" ht="30.0" customHeight="1">
      <c r="A1285" s="173">
        <v>1277.0</v>
      </c>
      <c r="B1285" s="237" t="s">
        <v>670</v>
      </c>
      <c r="C1285" s="257" t="s">
        <v>5363</v>
      </c>
      <c r="D1285" s="173" t="s">
        <v>5363</v>
      </c>
      <c r="E1285" s="174" t="s">
        <v>2861</v>
      </c>
      <c r="F1285" s="173" t="s">
        <v>2862</v>
      </c>
      <c r="G1285" s="328" t="s">
        <v>673</v>
      </c>
      <c r="H1285" s="328" t="s">
        <v>2863</v>
      </c>
      <c r="I1285" s="258" t="s">
        <v>2864</v>
      </c>
      <c r="J1285" s="259" t="s">
        <v>1088</v>
      </c>
      <c r="K1285" s="260" t="s">
        <v>5364</v>
      </c>
      <c r="L1285" s="328"/>
      <c r="M1285" s="343"/>
      <c r="N1285" s="173" t="s">
        <v>679</v>
      </c>
      <c r="O1285" s="173" t="s">
        <v>225</v>
      </c>
      <c r="P1285" s="262" t="str">
        <f t="shared" si="1"/>
        <v>IN-BLR-ANANTA-VAV-857_5</v>
      </c>
      <c r="Q1285" s="173" t="s">
        <v>5365</v>
      </c>
      <c r="R1285" s="328" t="str">
        <f>IFS(C1285="","",C1285="n/a","N/A",LEN(C1285),Concatenate("{",char(34),"asset",char(34),":{",char(34),"guid",char(34),":",char(34),Q1285,char(34),",",char(34),"site",char(34),":",char(34),LOWER('2-Building'!$B$4),char(34),",",char(34),"name",char(34),":",char(34),LOWER(C1285),char(34),"}}"))</f>
        <v>{"asset":{"guid":"uuid://abe44948-b952-488e-bf6c-afe14ab548b5","site":"in-blr-ananta","name":"vav-857"}}</v>
      </c>
      <c r="S1285" s="237" t="s">
        <v>2866</v>
      </c>
      <c r="T1285" s="330"/>
      <c r="U1285" s="330"/>
      <c r="V1285" s="331"/>
      <c r="W1285" s="344"/>
      <c r="X1285" s="341"/>
      <c r="Y1285" s="33" t="s">
        <v>2867</v>
      </c>
      <c r="Z1285" s="258">
        <v>120857.0</v>
      </c>
      <c r="AA1285" s="334">
        <v>11601.0</v>
      </c>
      <c r="AB1285" s="341"/>
      <c r="AC1285" s="341"/>
      <c r="AD1285" s="343"/>
      <c r="AE1285" s="331"/>
      <c r="AF1285" s="348"/>
      <c r="AG1285" s="337"/>
      <c r="AH1285" s="341"/>
      <c r="AI1285" s="341"/>
      <c r="AJ1285" s="341"/>
      <c r="AK1285" s="341"/>
      <c r="AL1285" s="341"/>
      <c r="AM1285" s="338"/>
      <c r="AN1285" s="341"/>
      <c r="AO1285" s="341"/>
      <c r="AP1285" s="341"/>
      <c r="AQ1285" s="341"/>
      <c r="AR1285" s="341"/>
      <c r="AS1285" s="341"/>
      <c r="AT1285" s="341"/>
      <c r="AU1285" s="343"/>
      <c r="AV1285" s="341"/>
      <c r="AW1285" s="269" t="s">
        <v>2247</v>
      </c>
      <c r="AX1285" s="334" t="s">
        <v>2869</v>
      </c>
      <c r="AY1285" s="270" t="s">
        <v>695</v>
      </c>
      <c r="AZ1285" s="173" t="s">
        <v>2866</v>
      </c>
      <c r="BA1285" s="265">
        <v>10.0</v>
      </c>
      <c r="BB1285" s="174" t="s">
        <v>245</v>
      </c>
      <c r="BC1285" s="341"/>
      <c r="BD1285" s="308"/>
      <c r="BE1285" s="347"/>
      <c r="BF1285" s="274" t="str">
        <f>IFERROR(__xludf.DUMMYFUNCTION("LOWER(Regexreplace(to_text(E1285),""[^A-Za-z0-9]"","""")&amp;""_""&amp;Regexreplace(to_text(F1285),""[^A-Za-z0-9]"",""""))"),"neptronic_evcbseries")</f>
        <v>neptronic_evcbseries</v>
      </c>
      <c r="BG1285" s="275" t="str">
        <f>IFERROR(__xludf.DUMMYFUNCTION("upper(Regexreplace(to_text(E1285),""[^A-Za-z0-9]"","""")&amp;""-""&amp;Regexreplace(to_text(F1285),""[^A-Za-z0-9]"",""""))"),"NEPTRONIC-EVCBSERIES")</f>
        <v>NEPTRONIC-EVCBSERIES</v>
      </c>
    </row>
    <row r="1286" ht="30.0" customHeight="1">
      <c r="A1286" s="258">
        <v>1278.0</v>
      </c>
      <c r="B1286" s="237" t="s">
        <v>670</v>
      </c>
      <c r="C1286" s="257" t="s">
        <v>5366</v>
      </c>
      <c r="D1286" s="173" t="s">
        <v>5366</v>
      </c>
      <c r="E1286" s="174" t="s">
        <v>2861</v>
      </c>
      <c r="F1286" s="173" t="s">
        <v>2862</v>
      </c>
      <c r="G1286" s="328" t="s">
        <v>673</v>
      </c>
      <c r="H1286" s="328" t="s">
        <v>2863</v>
      </c>
      <c r="I1286" s="258" t="s">
        <v>2864</v>
      </c>
      <c r="J1286" s="259" t="s">
        <v>1088</v>
      </c>
      <c r="K1286" s="260" t="s">
        <v>5367</v>
      </c>
      <c r="L1286" s="328"/>
      <c r="M1286" s="343"/>
      <c r="N1286" s="173" t="s">
        <v>679</v>
      </c>
      <c r="O1286" s="173" t="s">
        <v>225</v>
      </c>
      <c r="P1286" s="262" t="str">
        <f t="shared" si="1"/>
        <v>IN-BLR-ANANTA-VAV-858_5</v>
      </c>
      <c r="Q1286" s="173" t="s">
        <v>5368</v>
      </c>
      <c r="R1286" s="328" t="str">
        <f>IFS(C1286="","",C1286="n/a","N/A",LEN(C1286),Concatenate("{",char(34),"asset",char(34),":{",char(34),"guid",char(34),":",char(34),Q1286,char(34),",",char(34),"site",char(34),":",char(34),LOWER('2-Building'!$B$4),char(34),",",char(34),"name",char(34),":",char(34),LOWER(C1286),char(34),"}}"))</f>
        <v>{"asset":{"guid":"uuid://e06705a3-58c8-4a33-9f81-67aac987f87e","site":"in-blr-ananta","name":"vav-858"}}</v>
      </c>
      <c r="S1286" s="237" t="s">
        <v>2866</v>
      </c>
      <c r="T1286" s="330"/>
      <c r="U1286" s="330"/>
      <c r="V1286" s="331"/>
      <c r="W1286" s="344"/>
      <c r="X1286" s="341"/>
      <c r="Y1286" s="33" t="s">
        <v>2867</v>
      </c>
      <c r="Z1286" s="258">
        <v>120858.0</v>
      </c>
      <c r="AA1286" s="334">
        <v>11601.0</v>
      </c>
      <c r="AB1286" s="341"/>
      <c r="AC1286" s="341"/>
      <c r="AD1286" s="343"/>
      <c r="AE1286" s="331"/>
      <c r="AF1286" s="348"/>
      <c r="AG1286" s="337"/>
      <c r="AH1286" s="341"/>
      <c r="AI1286" s="341"/>
      <c r="AJ1286" s="341"/>
      <c r="AK1286" s="341"/>
      <c r="AL1286" s="341"/>
      <c r="AM1286" s="338"/>
      <c r="AN1286" s="341"/>
      <c r="AO1286" s="341"/>
      <c r="AP1286" s="341"/>
      <c r="AQ1286" s="341"/>
      <c r="AR1286" s="341"/>
      <c r="AS1286" s="341"/>
      <c r="AT1286" s="341"/>
      <c r="AU1286" s="343"/>
      <c r="AV1286" s="341"/>
      <c r="AW1286" s="269" t="s">
        <v>2247</v>
      </c>
      <c r="AX1286" s="334" t="s">
        <v>2869</v>
      </c>
      <c r="AY1286" s="270" t="s">
        <v>695</v>
      </c>
      <c r="AZ1286" s="173" t="s">
        <v>2866</v>
      </c>
      <c r="BA1286" s="265">
        <v>10.0</v>
      </c>
      <c r="BB1286" s="174" t="s">
        <v>245</v>
      </c>
      <c r="BC1286" s="341"/>
      <c r="BD1286" s="308"/>
      <c r="BE1286" s="347"/>
      <c r="BF1286" s="274" t="str">
        <f>IFERROR(__xludf.DUMMYFUNCTION("LOWER(Regexreplace(to_text(E1286),""[^A-Za-z0-9]"","""")&amp;""_""&amp;Regexreplace(to_text(F1286),""[^A-Za-z0-9]"",""""))"),"neptronic_evcbseries")</f>
        <v>neptronic_evcbseries</v>
      </c>
      <c r="BG1286" s="275" t="str">
        <f>IFERROR(__xludf.DUMMYFUNCTION("upper(Regexreplace(to_text(E1286),""[^A-Za-z0-9]"","""")&amp;""-""&amp;Regexreplace(to_text(F1286),""[^A-Za-z0-9]"",""""))"),"NEPTRONIC-EVCBSERIES")</f>
        <v>NEPTRONIC-EVCBSERIES</v>
      </c>
    </row>
    <row r="1287" ht="30.0" customHeight="1">
      <c r="A1287" s="173">
        <v>1279.0</v>
      </c>
      <c r="B1287" s="237" t="s">
        <v>670</v>
      </c>
      <c r="C1287" s="257" t="s">
        <v>5369</v>
      </c>
      <c r="D1287" s="173" t="s">
        <v>5369</v>
      </c>
      <c r="E1287" s="174" t="s">
        <v>2861</v>
      </c>
      <c r="F1287" s="173" t="s">
        <v>2862</v>
      </c>
      <c r="G1287" s="328" t="s">
        <v>673</v>
      </c>
      <c r="H1287" s="328" t="s">
        <v>2863</v>
      </c>
      <c r="I1287" s="258" t="s">
        <v>2864</v>
      </c>
      <c r="J1287" s="259" t="s">
        <v>1088</v>
      </c>
      <c r="K1287" s="260" t="s">
        <v>5370</v>
      </c>
      <c r="L1287" s="328"/>
      <c r="M1287" s="343"/>
      <c r="N1287" s="173" t="s">
        <v>679</v>
      </c>
      <c r="O1287" s="173" t="s">
        <v>225</v>
      </c>
      <c r="P1287" s="262" t="str">
        <f t="shared" si="1"/>
        <v>IN-BLR-ANANTA-VAV-859_5</v>
      </c>
      <c r="Q1287" s="173" t="s">
        <v>5371</v>
      </c>
      <c r="R1287" s="328" t="str">
        <f>IFS(C1287="","",C1287="n/a","N/A",LEN(C1287),Concatenate("{",char(34),"asset",char(34),":{",char(34),"guid",char(34),":",char(34),Q1287,char(34),",",char(34),"site",char(34),":",char(34),LOWER('2-Building'!$B$4),char(34),",",char(34),"name",char(34),":",char(34),LOWER(C1287),char(34),"}}"))</f>
        <v>{"asset":{"guid":"uuid://bd513b9b-5502-496a-9d7e-8eb2869861de","site":"in-blr-ananta","name":"vav-859"}}</v>
      </c>
      <c r="S1287" s="237" t="s">
        <v>2866</v>
      </c>
      <c r="T1287" s="330"/>
      <c r="U1287" s="330"/>
      <c r="V1287" s="331"/>
      <c r="W1287" s="344"/>
      <c r="X1287" s="341"/>
      <c r="Y1287" s="33" t="s">
        <v>2867</v>
      </c>
      <c r="Z1287" s="258">
        <v>120859.0</v>
      </c>
      <c r="AA1287" s="334">
        <v>11601.0</v>
      </c>
      <c r="AB1287" s="341"/>
      <c r="AC1287" s="341"/>
      <c r="AD1287" s="343"/>
      <c r="AE1287" s="331"/>
      <c r="AF1287" s="348"/>
      <c r="AG1287" s="337"/>
      <c r="AH1287" s="341"/>
      <c r="AI1287" s="341"/>
      <c r="AJ1287" s="341"/>
      <c r="AK1287" s="341"/>
      <c r="AL1287" s="341"/>
      <c r="AM1287" s="338"/>
      <c r="AN1287" s="341"/>
      <c r="AO1287" s="341"/>
      <c r="AP1287" s="341"/>
      <c r="AQ1287" s="341"/>
      <c r="AR1287" s="341"/>
      <c r="AS1287" s="341"/>
      <c r="AT1287" s="341"/>
      <c r="AU1287" s="343"/>
      <c r="AV1287" s="341"/>
      <c r="AW1287" s="269" t="s">
        <v>2247</v>
      </c>
      <c r="AX1287" s="334" t="s">
        <v>2869</v>
      </c>
      <c r="AY1287" s="270" t="s">
        <v>695</v>
      </c>
      <c r="AZ1287" s="173" t="s">
        <v>2866</v>
      </c>
      <c r="BA1287" s="265">
        <v>10.0</v>
      </c>
      <c r="BB1287" s="174" t="s">
        <v>245</v>
      </c>
      <c r="BC1287" s="341"/>
      <c r="BD1287" s="308"/>
      <c r="BE1287" s="347"/>
      <c r="BF1287" s="274" t="str">
        <f>IFERROR(__xludf.DUMMYFUNCTION("LOWER(Regexreplace(to_text(E1287),""[^A-Za-z0-9]"","""")&amp;""_""&amp;Regexreplace(to_text(F1287),""[^A-Za-z0-9]"",""""))"),"neptronic_evcbseries")</f>
        <v>neptronic_evcbseries</v>
      </c>
      <c r="BG1287" s="275" t="str">
        <f>IFERROR(__xludf.DUMMYFUNCTION("upper(Regexreplace(to_text(E1287),""[^A-Za-z0-9]"","""")&amp;""-""&amp;Regexreplace(to_text(F1287),""[^A-Za-z0-9]"",""""))"),"NEPTRONIC-EVCBSERIES")</f>
        <v>NEPTRONIC-EVCBSERIES</v>
      </c>
    </row>
    <row r="1288" ht="30.0" customHeight="1">
      <c r="A1288" s="258">
        <v>1280.0</v>
      </c>
      <c r="B1288" s="237" t="s">
        <v>670</v>
      </c>
      <c r="C1288" s="257" t="s">
        <v>5372</v>
      </c>
      <c r="D1288" s="173" t="s">
        <v>5372</v>
      </c>
      <c r="E1288" s="174" t="s">
        <v>2861</v>
      </c>
      <c r="F1288" s="173" t="s">
        <v>2862</v>
      </c>
      <c r="G1288" s="328" t="s">
        <v>673</v>
      </c>
      <c r="H1288" s="328" t="s">
        <v>2863</v>
      </c>
      <c r="I1288" s="258" t="s">
        <v>2864</v>
      </c>
      <c r="J1288" s="259" t="s">
        <v>1088</v>
      </c>
      <c r="K1288" s="260" t="s">
        <v>5373</v>
      </c>
      <c r="L1288" s="328"/>
      <c r="M1288" s="343"/>
      <c r="N1288" s="173" t="s">
        <v>679</v>
      </c>
      <c r="O1288" s="173" t="s">
        <v>225</v>
      </c>
      <c r="P1288" s="262" t="str">
        <f t="shared" si="1"/>
        <v>IN-BLR-ANANTA-VAV-860_5</v>
      </c>
      <c r="Q1288" s="173" t="s">
        <v>5374</v>
      </c>
      <c r="R1288" s="328" t="str">
        <f>IFS(C1288="","",C1288="n/a","N/A",LEN(C1288),Concatenate("{",char(34),"asset",char(34),":{",char(34),"guid",char(34),":",char(34),Q1288,char(34),",",char(34),"site",char(34),":",char(34),LOWER('2-Building'!$B$4),char(34),",",char(34),"name",char(34),":",char(34),LOWER(C1288),char(34),"}}"))</f>
        <v>{"asset":{"guid":"uuid://fab3a723-89e5-45c0-a376-026d42eecf1f","site":"in-blr-ananta","name":"vav-860"}}</v>
      </c>
      <c r="S1288" s="237" t="s">
        <v>2866</v>
      </c>
      <c r="T1288" s="330"/>
      <c r="U1288" s="330"/>
      <c r="V1288" s="331"/>
      <c r="W1288" s="344"/>
      <c r="X1288" s="341"/>
      <c r="Y1288" s="33" t="s">
        <v>2867</v>
      </c>
      <c r="Z1288" s="258">
        <v>120860.0</v>
      </c>
      <c r="AA1288" s="334">
        <v>11601.0</v>
      </c>
      <c r="AB1288" s="341"/>
      <c r="AC1288" s="341"/>
      <c r="AD1288" s="343"/>
      <c r="AE1288" s="331"/>
      <c r="AF1288" s="348"/>
      <c r="AG1288" s="337"/>
      <c r="AH1288" s="341"/>
      <c r="AI1288" s="341"/>
      <c r="AJ1288" s="341"/>
      <c r="AK1288" s="341"/>
      <c r="AL1288" s="341"/>
      <c r="AM1288" s="338"/>
      <c r="AN1288" s="341"/>
      <c r="AO1288" s="341"/>
      <c r="AP1288" s="341"/>
      <c r="AQ1288" s="341"/>
      <c r="AR1288" s="341"/>
      <c r="AS1288" s="341"/>
      <c r="AT1288" s="341"/>
      <c r="AU1288" s="343"/>
      <c r="AV1288" s="341"/>
      <c r="AW1288" s="269" t="s">
        <v>2247</v>
      </c>
      <c r="AX1288" s="334" t="s">
        <v>2869</v>
      </c>
      <c r="AY1288" s="270" t="s">
        <v>695</v>
      </c>
      <c r="AZ1288" s="173" t="s">
        <v>2866</v>
      </c>
      <c r="BA1288" s="265">
        <v>10.0</v>
      </c>
      <c r="BB1288" s="174" t="s">
        <v>245</v>
      </c>
      <c r="BC1288" s="341"/>
      <c r="BD1288" s="308"/>
      <c r="BE1288" s="347"/>
      <c r="BF1288" s="274" t="str">
        <f>IFERROR(__xludf.DUMMYFUNCTION("LOWER(Regexreplace(to_text(E1288),""[^A-Za-z0-9]"","""")&amp;""_""&amp;Regexreplace(to_text(F1288),""[^A-Za-z0-9]"",""""))"),"neptronic_evcbseries")</f>
        <v>neptronic_evcbseries</v>
      </c>
      <c r="BG1288" s="275" t="str">
        <f>IFERROR(__xludf.DUMMYFUNCTION("upper(Regexreplace(to_text(E1288),""[^A-Za-z0-9]"","""")&amp;""-""&amp;Regexreplace(to_text(F1288),""[^A-Za-z0-9]"",""""))"),"NEPTRONIC-EVCBSERIES")</f>
        <v>NEPTRONIC-EVCBSERIES</v>
      </c>
    </row>
    <row r="1289" ht="30.0" customHeight="1">
      <c r="A1289" s="173">
        <v>1281.0</v>
      </c>
      <c r="B1289" s="237" t="s">
        <v>670</v>
      </c>
      <c r="C1289" s="257" t="s">
        <v>5375</v>
      </c>
      <c r="D1289" s="173" t="s">
        <v>5375</v>
      </c>
      <c r="E1289" s="174" t="s">
        <v>2861</v>
      </c>
      <c r="F1289" s="173" t="s">
        <v>2862</v>
      </c>
      <c r="G1289" s="328" t="s">
        <v>673</v>
      </c>
      <c r="H1289" s="328" t="s">
        <v>2863</v>
      </c>
      <c r="I1289" s="258" t="s">
        <v>2864</v>
      </c>
      <c r="J1289" s="259" t="s">
        <v>1088</v>
      </c>
      <c r="K1289" s="260" t="s">
        <v>5376</v>
      </c>
      <c r="L1289" s="328"/>
      <c r="M1289" s="343"/>
      <c r="N1289" s="173" t="s">
        <v>679</v>
      </c>
      <c r="O1289" s="173" t="s">
        <v>225</v>
      </c>
      <c r="P1289" s="262" t="str">
        <f t="shared" si="1"/>
        <v>IN-BLR-ANANTA-VAV-861_5</v>
      </c>
      <c r="Q1289" s="173" t="s">
        <v>5377</v>
      </c>
      <c r="R1289" s="328" t="str">
        <f>IFS(C1289="","",C1289="n/a","N/A",LEN(C1289),Concatenate("{",char(34),"asset",char(34),":{",char(34),"guid",char(34),":",char(34),Q1289,char(34),",",char(34),"site",char(34),":",char(34),LOWER('2-Building'!$B$4),char(34),",",char(34),"name",char(34),":",char(34),LOWER(C1289),char(34),"}}"))</f>
        <v>{"asset":{"guid":"uuid://59b4a6b3-9ccf-400b-86e2-f1ddb04475b1","site":"in-blr-ananta","name":"vav-861"}}</v>
      </c>
      <c r="S1289" s="237" t="s">
        <v>2866</v>
      </c>
      <c r="T1289" s="330"/>
      <c r="U1289" s="330"/>
      <c r="V1289" s="331"/>
      <c r="W1289" s="344"/>
      <c r="X1289" s="341"/>
      <c r="Y1289" s="33" t="s">
        <v>2867</v>
      </c>
      <c r="Z1289" s="258">
        <v>120861.0</v>
      </c>
      <c r="AA1289" s="334">
        <v>11601.0</v>
      </c>
      <c r="AB1289" s="341"/>
      <c r="AC1289" s="341"/>
      <c r="AD1289" s="343"/>
      <c r="AE1289" s="331"/>
      <c r="AF1289" s="348"/>
      <c r="AG1289" s="337"/>
      <c r="AH1289" s="341"/>
      <c r="AI1289" s="341"/>
      <c r="AJ1289" s="341"/>
      <c r="AK1289" s="341"/>
      <c r="AL1289" s="341"/>
      <c r="AM1289" s="338"/>
      <c r="AN1289" s="341"/>
      <c r="AO1289" s="341"/>
      <c r="AP1289" s="341"/>
      <c r="AQ1289" s="341"/>
      <c r="AR1289" s="341"/>
      <c r="AS1289" s="341"/>
      <c r="AT1289" s="341"/>
      <c r="AU1289" s="343"/>
      <c r="AV1289" s="341"/>
      <c r="AW1289" s="269" t="s">
        <v>2247</v>
      </c>
      <c r="AX1289" s="334" t="s">
        <v>2869</v>
      </c>
      <c r="AY1289" s="270" t="s">
        <v>695</v>
      </c>
      <c r="AZ1289" s="173" t="s">
        <v>2866</v>
      </c>
      <c r="BA1289" s="265">
        <v>10.0</v>
      </c>
      <c r="BB1289" s="174" t="s">
        <v>245</v>
      </c>
      <c r="BC1289" s="341"/>
      <c r="BD1289" s="308"/>
      <c r="BE1289" s="347"/>
      <c r="BF1289" s="274" t="str">
        <f>IFERROR(__xludf.DUMMYFUNCTION("LOWER(Regexreplace(to_text(E1289),""[^A-Za-z0-9]"","""")&amp;""_""&amp;Regexreplace(to_text(F1289),""[^A-Za-z0-9]"",""""))"),"neptronic_evcbseries")</f>
        <v>neptronic_evcbseries</v>
      </c>
      <c r="BG1289" s="275" t="str">
        <f>IFERROR(__xludf.DUMMYFUNCTION("upper(Regexreplace(to_text(E1289),""[^A-Za-z0-9]"","""")&amp;""-""&amp;Regexreplace(to_text(F1289),""[^A-Za-z0-9]"",""""))"),"NEPTRONIC-EVCBSERIES")</f>
        <v>NEPTRONIC-EVCBSERIES</v>
      </c>
    </row>
    <row r="1290" ht="30.0" customHeight="1">
      <c r="A1290" s="258">
        <v>1282.0</v>
      </c>
      <c r="B1290" s="237" t="s">
        <v>670</v>
      </c>
      <c r="C1290" s="257" t="s">
        <v>5378</v>
      </c>
      <c r="D1290" s="173" t="s">
        <v>5378</v>
      </c>
      <c r="E1290" s="174" t="s">
        <v>2861</v>
      </c>
      <c r="F1290" s="173" t="s">
        <v>2862</v>
      </c>
      <c r="G1290" s="328" t="s">
        <v>673</v>
      </c>
      <c r="H1290" s="328" t="s">
        <v>2863</v>
      </c>
      <c r="I1290" s="258" t="s">
        <v>2864</v>
      </c>
      <c r="J1290" s="259" t="s">
        <v>1088</v>
      </c>
      <c r="K1290" s="260" t="s">
        <v>5379</v>
      </c>
      <c r="L1290" s="328"/>
      <c r="M1290" s="343"/>
      <c r="N1290" s="173" t="s">
        <v>679</v>
      </c>
      <c r="O1290" s="173" t="s">
        <v>225</v>
      </c>
      <c r="P1290" s="262" t="str">
        <f t="shared" si="1"/>
        <v>IN-BLR-ANANTA-VAV-862_5</v>
      </c>
      <c r="Q1290" s="173" t="s">
        <v>5380</v>
      </c>
      <c r="R1290" s="328" t="str">
        <f>IFS(C1290="","",C1290="n/a","N/A",LEN(C1290),Concatenate("{",char(34),"asset",char(34),":{",char(34),"guid",char(34),":",char(34),Q1290,char(34),",",char(34),"site",char(34),":",char(34),LOWER('2-Building'!$B$4),char(34),",",char(34),"name",char(34),":",char(34),LOWER(C1290),char(34),"}}"))</f>
        <v>{"asset":{"guid":"uuid://710c5ed7-c608-4b5e-ade6-a9a938441b43","site":"in-blr-ananta","name":"vav-862"}}</v>
      </c>
      <c r="S1290" s="237" t="s">
        <v>2866</v>
      </c>
      <c r="T1290" s="330"/>
      <c r="U1290" s="330"/>
      <c r="V1290" s="331"/>
      <c r="W1290" s="344"/>
      <c r="X1290" s="341"/>
      <c r="Y1290" s="33" t="s">
        <v>2867</v>
      </c>
      <c r="Z1290" s="258">
        <v>120862.0</v>
      </c>
      <c r="AA1290" s="334">
        <v>11601.0</v>
      </c>
      <c r="AB1290" s="341"/>
      <c r="AC1290" s="341"/>
      <c r="AD1290" s="343"/>
      <c r="AE1290" s="331"/>
      <c r="AF1290" s="348"/>
      <c r="AG1290" s="337"/>
      <c r="AH1290" s="341"/>
      <c r="AI1290" s="341"/>
      <c r="AJ1290" s="341"/>
      <c r="AK1290" s="341"/>
      <c r="AL1290" s="341"/>
      <c r="AM1290" s="338"/>
      <c r="AN1290" s="341"/>
      <c r="AO1290" s="341"/>
      <c r="AP1290" s="341"/>
      <c r="AQ1290" s="341"/>
      <c r="AR1290" s="341"/>
      <c r="AS1290" s="341"/>
      <c r="AT1290" s="341"/>
      <c r="AU1290" s="343"/>
      <c r="AV1290" s="341"/>
      <c r="AW1290" s="269" t="s">
        <v>2247</v>
      </c>
      <c r="AX1290" s="334" t="s">
        <v>2869</v>
      </c>
      <c r="AY1290" s="270" t="s">
        <v>695</v>
      </c>
      <c r="AZ1290" s="173" t="s">
        <v>2866</v>
      </c>
      <c r="BA1290" s="265">
        <v>10.0</v>
      </c>
      <c r="BB1290" s="174" t="s">
        <v>245</v>
      </c>
      <c r="BC1290" s="341"/>
      <c r="BD1290" s="308"/>
      <c r="BE1290" s="347"/>
      <c r="BF1290" s="274" t="str">
        <f>IFERROR(__xludf.DUMMYFUNCTION("LOWER(Regexreplace(to_text(E1290),""[^A-Za-z0-9]"","""")&amp;""_""&amp;Regexreplace(to_text(F1290),""[^A-Za-z0-9]"",""""))"),"neptronic_evcbseries")</f>
        <v>neptronic_evcbseries</v>
      </c>
      <c r="BG1290" s="275" t="str">
        <f>IFERROR(__xludf.DUMMYFUNCTION("upper(Regexreplace(to_text(E1290),""[^A-Za-z0-9]"","""")&amp;""-""&amp;Regexreplace(to_text(F1290),""[^A-Za-z0-9]"",""""))"),"NEPTRONIC-EVCBSERIES")</f>
        <v>NEPTRONIC-EVCBSERIES</v>
      </c>
    </row>
    <row r="1291" ht="30.0" customHeight="1">
      <c r="A1291" s="173">
        <v>1283.0</v>
      </c>
      <c r="B1291" s="237" t="s">
        <v>670</v>
      </c>
      <c r="C1291" s="257" t="s">
        <v>5381</v>
      </c>
      <c r="D1291" s="173" t="s">
        <v>5381</v>
      </c>
      <c r="E1291" s="174" t="s">
        <v>2861</v>
      </c>
      <c r="F1291" s="173" t="s">
        <v>2862</v>
      </c>
      <c r="G1291" s="328" t="s">
        <v>673</v>
      </c>
      <c r="H1291" s="328" t="s">
        <v>2863</v>
      </c>
      <c r="I1291" s="258" t="s">
        <v>2864</v>
      </c>
      <c r="J1291" s="259" t="s">
        <v>1088</v>
      </c>
      <c r="K1291" s="260" t="s">
        <v>5382</v>
      </c>
      <c r="L1291" s="328"/>
      <c r="M1291" s="343"/>
      <c r="N1291" s="173" t="s">
        <v>679</v>
      </c>
      <c r="O1291" s="173" t="s">
        <v>225</v>
      </c>
      <c r="P1291" s="262" t="str">
        <f t="shared" si="1"/>
        <v>IN-BLR-ANANTA-VAV-863_5</v>
      </c>
      <c r="Q1291" s="173" t="s">
        <v>5383</v>
      </c>
      <c r="R1291" s="328" t="str">
        <f>IFS(C1291="","",C1291="n/a","N/A",LEN(C1291),Concatenate("{",char(34),"asset",char(34),":{",char(34),"guid",char(34),":",char(34),Q1291,char(34),",",char(34),"site",char(34),":",char(34),LOWER('2-Building'!$B$4),char(34),",",char(34),"name",char(34),":",char(34),LOWER(C1291),char(34),"}}"))</f>
        <v>{"asset":{"guid":"uuid://4e41e948-26c7-499c-a269-c280b1491d73","site":"in-blr-ananta","name":"vav-863"}}</v>
      </c>
      <c r="S1291" s="237" t="s">
        <v>2866</v>
      </c>
      <c r="T1291" s="330"/>
      <c r="U1291" s="330"/>
      <c r="V1291" s="331"/>
      <c r="W1291" s="344"/>
      <c r="X1291" s="341"/>
      <c r="Y1291" s="33" t="s">
        <v>2867</v>
      </c>
      <c r="Z1291" s="258">
        <v>120863.0</v>
      </c>
      <c r="AA1291" s="334">
        <v>11601.0</v>
      </c>
      <c r="AB1291" s="341"/>
      <c r="AC1291" s="341"/>
      <c r="AD1291" s="343"/>
      <c r="AE1291" s="331"/>
      <c r="AF1291" s="348"/>
      <c r="AG1291" s="337"/>
      <c r="AH1291" s="341"/>
      <c r="AI1291" s="341"/>
      <c r="AJ1291" s="341"/>
      <c r="AK1291" s="341"/>
      <c r="AL1291" s="341"/>
      <c r="AM1291" s="338"/>
      <c r="AN1291" s="341"/>
      <c r="AO1291" s="341"/>
      <c r="AP1291" s="341"/>
      <c r="AQ1291" s="341"/>
      <c r="AR1291" s="341"/>
      <c r="AS1291" s="341"/>
      <c r="AT1291" s="341"/>
      <c r="AU1291" s="343"/>
      <c r="AV1291" s="341"/>
      <c r="AW1291" s="269" t="s">
        <v>2247</v>
      </c>
      <c r="AX1291" s="334" t="s">
        <v>2869</v>
      </c>
      <c r="AY1291" s="270" t="s">
        <v>695</v>
      </c>
      <c r="AZ1291" s="173" t="s">
        <v>2866</v>
      </c>
      <c r="BA1291" s="265">
        <v>10.0</v>
      </c>
      <c r="BB1291" s="174" t="s">
        <v>245</v>
      </c>
      <c r="BC1291" s="341"/>
      <c r="BD1291" s="308"/>
      <c r="BE1291" s="347"/>
      <c r="BF1291" s="274" t="str">
        <f>IFERROR(__xludf.DUMMYFUNCTION("LOWER(Regexreplace(to_text(E1291),""[^A-Za-z0-9]"","""")&amp;""_""&amp;Regexreplace(to_text(F1291),""[^A-Za-z0-9]"",""""))"),"neptronic_evcbseries")</f>
        <v>neptronic_evcbseries</v>
      </c>
      <c r="BG1291" s="275" t="str">
        <f>IFERROR(__xludf.DUMMYFUNCTION("upper(Regexreplace(to_text(E1291),""[^A-Za-z0-9]"","""")&amp;""-""&amp;Regexreplace(to_text(F1291),""[^A-Za-z0-9]"",""""))"),"NEPTRONIC-EVCBSERIES")</f>
        <v>NEPTRONIC-EVCBSERIES</v>
      </c>
    </row>
    <row r="1292" ht="30.0" customHeight="1">
      <c r="A1292" s="258">
        <v>1284.0</v>
      </c>
      <c r="B1292" s="237" t="s">
        <v>670</v>
      </c>
      <c r="C1292" s="257" t="s">
        <v>5384</v>
      </c>
      <c r="D1292" s="173" t="s">
        <v>5384</v>
      </c>
      <c r="E1292" s="174" t="s">
        <v>2861</v>
      </c>
      <c r="F1292" s="173" t="s">
        <v>2862</v>
      </c>
      <c r="G1292" s="328" t="s">
        <v>673</v>
      </c>
      <c r="H1292" s="328" t="s">
        <v>2863</v>
      </c>
      <c r="I1292" s="258" t="s">
        <v>2864</v>
      </c>
      <c r="J1292" s="259" t="s">
        <v>1088</v>
      </c>
      <c r="K1292" s="260" t="s">
        <v>5385</v>
      </c>
      <c r="L1292" s="328"/>
      <c r="M1292" s="343"/>
      <c r="N1292" s="173" t="s">
        <v>679</v>
      </c>
      <c r="O1292" s="173" t="s">
        <v>225</v>
      </c>
      <c r="P1292" s="262" t="str">
        <f t="shared" si="1"/>
        <v>IN-BLR-ANANTA-VAV-864_5</v>
      </c>
      <c r="Q1292" s="173" t="s">
        <v>5386</v>
      </c>
      <c r="R1292" s="328" t="str">
        <f>IFS(C1292="","",C1292="n/a","N/A",LEN(C1292),Concatenate("{",char(34),"asset",char(34),":{",char(34),"guid",char(34),":",char(34),Q1292,char(34),",",char(34),"site",char(34),":",char(34),LOWER('2-Building'!$B$4),char(34),",",char(34),"name",char(34),":",char(34),LOWER(C1292),char(34),"}}"))</f>
        <v>{"asset":{"guid":"uuid://f4f8651f-0785-4a2a-a2b8-f2dd0c4acc1b","site":"in-blr-ananta","name":"vav-864"}}</v>
      </c>
      <c r="S1292" s="237" t="s">
        <v>2866</v>
      </c>
      <c r="T1292" s="330"/>
      <c r="U1292" s="330"/>
      <c r="V1292" s="331"/>
      <c r="W1292" s="344"/>
      <c r="X1292" s="341"/>
      <c r="Y1292" s="33" t="s">
        <v>2867</v>
      </c>
      <c r="Z1292" s="258">
        <v>120864.0</v>
      </c>
      <c r="AA1292" s="334">
        <v>11601.0</v>
      </c>
      <c r="AB1292" s="341"/>
      <c r="AC1292" s="341"/>
      <c r="AD1292" s="343"/>
      <c r="AE1292" s="331"/>
      <c r="AF1292" s="348"/>
      <c r="AG1292" s="337"/>
      <c r="AH1292" s="341"/>
      <c r="AI1292" s="341"/>
      <c r="AJ1292" s="341"/>
      <c r="AK1292" s="341"/>
      <c r="AL1292" s="341"/>
      <c r="AM1292" s="338"/>
      <c r="AN1292" s="341"/>
      <c r="AO1292" s="341"/>
      <c r="AP1292" s="341"/>
      <c r="AQ1292" s="341"/>
      <c r="AR1292" s="341"/>
      <c r="AS1292" s="341"/>
      <c r="AT1292" s="341"/>
      <c r="AU1292" s="343"/>
      <c r="AV1292" s="341"/>
      <c r="AW1292" s="269" t="s">
        <v>2247</v>
      </c>
      <c r="AX1292" s="334" t="s">
        <v>2869</v>
      </c>
      <c r="AY1292" s="270" t="s">
        <v>695</v>
      </c>
      <c r="AZ1292" s="173" t="s">
        <v>2866</v>
      </c>
      <c r="BA1292" s="265">
        <v>10.0</v>
      </c>
      <c r="BB1292" s="174" t="s">
        <v>245</v>
      </c>
      <c r="BC1292" s="341"/>
      <c r="BD1292" s="308"/>
      <c r="BE1292" s="347"/>
      <c r="BF1292" s="274" t="str">
        <f>IFERROR(__xludf.DUMMYFUNCTION("LOWER(Regexreplace(to_text(E1292),""[^A-Za-z0-9]"","""")&amp;""_""&amp;Regexreplace(to_text(F1292),""[^A-Za-z0-9]"",""""))"),"neptronic_evcbseries")</f>
        <v>neptronic_evcbseries</v>
      </c>
      <c r="BG1292" s="275" t="str">
        <f>IFERROR(__xludf.DUMMYFUNCTION("upper(Regexreplace(to_text(E1292),""[^A-Za-z0-9]"","""")&amp;""-""&amp;Regexreplace(to_text(F1292),""[^A-Za-z0-9]"",""""))"),"NEPTRONIC-EVCBSERIES")</f>
        <v>NEPTRONIC-EVCBSERIES</v>
      </c>
    </row>
    <row r="1293" ht="30.0" customHeight="1">
      <c r="A1293" s="173">
        <v>1285.0</v>
      </c>
      <c r="B1293" s="237" t="s">
        <v>670</v>
      </c>
      <c r="C1293" s="257" t="s">
        <v>5387</v>
      </c>
      <c r="D1293" s="173" t="s">
        <v>5387</v>
      </c>
      <c r="E1293" s="174" t="s">
        <v>2861</v>
      </c>
      <c r="F1293" s="173" t="s">
        <v>2862</v>
      </c>
      <c r="G1293" s="328" t="s">
        <v>673</v>
      </c>
      <c r="H1293" s="328" t="s">
        <v>2863</v>
      </c>
      <c r="I1293" s="258" t="s">
        <v>2864</v>
      </c>
      <c r="J1293" s="259" t="s">
        <v>1088</v>
      </c>
      <c r="K1293" s="260" t="s">
        <v>5388</v>
      </c>
      <c r="L1293" s="328"/>
      <c r="M1293" s="343"/>
      <c r="N1293" s="173" t="s">
        <v>679</v>
      </c>
      <c r="O1293" s="173" t="s">
        <v>225</v>
      </c>
      <c r="P1293" s="262" t="str">
        <f t="shared" si="1"/>
        <v>IN-BLR-ANANTA-VAV-865_5</v>
      </c>
      <c r="Q1293" s="173" t="s">
        <v>5389</v>
      </c>
      <c r="R1293" s="328" t="str">
        <f>IFS(C1293="","",C1293="n/a","N/A",LEN(C1293),Concatenate("{",char(34),"asset",char(34),":{",char(34),"guid",char(34),":",char(34),Q1293,char(34),",",char(34),"site",char(34),":",char(34),LOWER('2-Building'!$B$4),char(34),",",char(34),"name",char(34),":",char(34),LOWER(C1293),char(34),"}}"))</f>
        <v>{"asset":{"guid":"uuid://32572c73-7989-47f5-8926-faa8b25b1af9","site":"in-blr-ananta","name":"vav-865"}}</v>
      </c>
      <c r="S1293" s="237" t="s">
        <v>2866</v>
      </c>
      <c r="T1293" s="330"/>
      <c r="U1293" s="330"/>
      <c r="V1293" s="331"/>
      <c r="W1293" s="344"/>
      <c r="X1293" s="341"/>
      <c r="Y1293" s="33" t="s">
        <v>2867</v>
      </c>
      <c r="Z1293" s="258">
        <v>120865.0</v>
      </c>
      <c r="AA1293" s="334">
        <v>11601.0</v>
      </c>
      <c r="AB1293" s="341"/>
      <c r="AC1293" s="341"/>
      <c r="AD1293" s="343"/>
      <c r="AE1293" s="331"/>
      <c r="AF1293" s="348"/>
      <c r="AG1293" s="337"/>
      <c r="AH1293" s="341"/>
      <c r="AI1293" s="341"/>
      <c r="AJ1293" s="341"/>
      <c r="AK1293" s="341"/>
      <c r="AL1293" s="341"/>
      <c r="AM1293" s="338"/>
      <c r="AN1293" s="341"/>
      <c r="AO1293" s="341"/>
      <c r="AP1293" s="341"/>
      <c r="AQ1293" s="341"/>
      <c r="AR1293" s="341"/>
      <c r="AS1293" s="341"/>
      <c r="AT1293" s="341"/>
      <c r="AU1293" s="343"/>
      <c r="AV1293" s="341"/>
      <c r="AW1293" s="269" t="s">
        <v>2247</v>
      </c>
      <c r="AX1293" s="334" t="s">
        <v>2869</v>
      </c>
      <c r="AY1293" s="270" t="s">
        <v>695</v>
      </c>
      <c r="AZ1293" s="173" t="s">
        <v>2866</v>
      </c>
      <c r="BA1293" s="265">
        <v>10.0</v>
      </c>
      <c r="BB1293" s="174" t="s">
        <v>245</v>
      </c>
      <c r="BC1293" s="341"/>
      <c r="BD1293" s="308"/>
      <c r="BE1293" s="347"/>
      <c r="BF1293" s="274" t="str">
        <f>IFERROR(__xludf.DUMMYFUNCTION("LOWER(Regexreplace(to_text(E1293),""[^A-Za-z0-9]"","""")&amp;""_""&amp;Regexreplace(to_text(F1293),""[^A-Za-z0-9]"",""""))"),"neptronic_evcbseries")</f>
        <v>neptronic_evcbseries</v>
      </c>
      <c r="BG1293" s="275" t="str">
        <f>IFERROR(__xludf.DUMMYFUNCTION("upper(Regexreplace(to_text(E1293),""[^A-Za-z0-9]"","""")&amp;""-""&amp;Regexreplace(to_text(F1293),""[^A-Za-z0-9]"",""""))"),"NEPTRONIC-EVCBSERIES")</f>
        <v>NEPTRONIC-EVCBSERIES</v>
      </c>
    </row>
    <row r="1294" ht="30.0" customHeight="1">
      <c r="A1294" s="258">
        <v>1286.0</v>
      </c>
      <c r="B1294" s="237" t="s">
        <v>670</v>
      </c>
      <c r="C1294" s="257" t="s">
        <v>5390</v>
      </c>
      <c r="D1294" s="173" t="s">
        <v>5390</v>
      </c>
      <c r="E1294" s="174" t="s">
        <v>2861</v>
      </c>
      <c r="F1294" s="173" t="s">
        <v>2862</v>
      </c>
      <c r="G1294" s="328" t="s">
        <v>673</v>
      </c>
      <c r="H1294" s="328" t="s">
        <v>2863</v>
      </c>
      <c r="I1294" s="258" t="s">
        <v>2864</v>
      </c>
      <c r="J1294" s="259" t="s">
        <v>1088</v>
      </c>
      <c r="K1294" s="260" t="s">
        <v>5391</v>
      </c>
      <c r="L1294" s="328"/>
      <c r="M1294" s="343"/>
      <c r="N1294" s="173" t="s">
        <v>679</v>
      </c>
      <c r="O1294" s="173" t="s">
        <v>225</v>
      </c>
      <c r="P1294" s="262" t="str">
        <f t="shared" si="1"/>
        <v>IN-BLR-ANANTA-VAV-866_5</v>
      </c>
      <c r="Q1294" s="173" t="s">
        <v>5392</v>
      </c>
      <c r="R1294" s="328" t="str">
        <f>IFS(C1294="","",C1294="n/a","N/A",LEN(C1294),Concatenate("{",char(34),"asset",char(34),":{",char(34),"guid",char(34),":",char(34),Q1294,char(34),",",char(34),"site",char(34),":",char(34),LOWER('2-Building'!$B$4),char(34),",",char(34),"name",char(34),":",char(34),LOWER(C1294),char(34),"}}"))</f>
        <v>{"asset":{"guid":"uuid://0bcc8d78-8536-4bca-9276-f8a95b2a37cf","site":"in-blr-ananta","name":"vav-866"}}</v>
      </c>
      <c r="S1294" s="237" t="s">
        <v>2866</v>
      </c>
      <c r="T1294" s="330"/>
      <c r="U1294" s="330"/>
      <c r="V1294" s="331"/>
      <c r="W1294" s="344"/>
      <c r="X1294" s="341"/>
      <c r="Y1294" s="33" t="s">
        <v>2867</v>
      </c>
      <c r="Z1294" s="258">
        <v>120866.0</v>
      </c>
      <c r="AA1294" s="334">
        <v>11601.0</v>
      </c>
      <c r="AB1294" s="341"/>
      <c r="AC1294" s="341"/>
      <c r="AD1294" s="343"/>
      <c r="AE1294" s="331"/>
      <c r="AF1294" s="348"/>
      <c r="AG1294" s="337"/>
      <c r="AH1294" s="341"/>
      <c r="AI1294" s="341"/>
      <c r="AJ1294" s="341"/>
      <c r="AK1294" s="341"/>
      <c r="AL1294" s="341"/>
      <c r="AM1294" s="338"/>
      <c r="AN1294" s="341"/>
      <c r="AO1294" s="341"/>
      <c r="AP1294" s="341"/>
      <c r="AQ1294" s="341"/>
      <c r="AR1294" s="341"/>
      <c r="AS1294" s="341"/>
      <c r="AT1294" s="341"/>
      <c r="AU1294" s="343"/>
      <c r="AV1294" s="341"/>
      <c r="AW1294" s="269" t="s">
        <v>2247</v>
      </c>
      <c r="AX1294" s="334" t="s">
        <v>2869</v>
      </c>
      <c r="AY1294" s="270" t="s">
        <v>695</v>
      </c>
      <c r="AZ1294" s="173" t="s">
        <v>2866</v>
      </c>
      <c r="BA1294" s="265">
        <v>10.0</v>
      </c>
      <c r="BB1294" s="174" t="s">
        <v>245</v>
      </c>
      <c r="BC1294" s="341"/>
      <c r="BD1294" s="308"/>
      <c r="BE1294" s="347"/>
      <c r="BF1294" s="274" t="str">
        <f>IFERROR(__xludf.DUMMYFUNCTION("LOWER(Regexreplace(to_text(E1294),""[^A-Za-z0-9]"","""")&amp;""_""&amp;Regexreplace(to_text(F1294),""[^A-Za-z0-9]"",""""))"),"neptronic_evcbseries")</f>
        <v>neptronic_evcbseries</v>
      </c>
      <c r="BG1294" s="275" t="str">
        <f>IFERROR(__xludf.DUMMYFUNCTION("upper(Regexreplace(to_text(E1294),""[^A-Za-z0-9]"","""")&amp;""-""&amp;Regexreplace(to_text(F1294),""[^A-Za-z0-9]"",""""))"),"NEPTRONIC-EVCBSERIES")</f>
        <v>NEPTRONIC-EVCBSERIES</v>
      </c>
    </row>
    <row r="1295" ht="30.0" customHeight="1">
      <c r="A1295" s="173">
        <v>1287.0</v>
      </c>
      <c r="B1295" s="237" t="s">
        <v>670</v>
      </c>
      <c r="C1295" s="257" t="s">
        <v>5393</v>
      </c>
      <c r="D1295" s="173" t="s">
        <v>5393</v>
      </c>
      <c r="E1295" s="174" t="s">
        <v>2861</v>
      </c>
      <c r="F1295" s="173" t="s">
        <v>2862</v>
      </c>
      <c r="G1295" s="328" t="s">
        <v>673</v>
      </c>
      <c r="H1295" s="328" t="s">
        <v>2863</v>
      </c>
      <c r="I1295" s="258" t="s">
        <v>2864</v>
      </c>
      <c r="J1295" s="259" t="s">
        <v>1088</v>
      </c>
      <c r="K1295" s="260" t="s">
        <v>5394</v>
      </c>
      <c r="L1295" s="328"/>
      <c r="M1295" s="343"/>
      <c r="N1295" s="173" t="s">
        <v>679</v>
      </c>
      <c r="O1295" s="173" t="s">
        <v>225</v>
      </c>
      <c r="P1295" s="262" t="str">
        <f t="shared" si="1"/>
        <v>IN-BLR-ANANTA-VAV-867_5</v>
      </c>
      <c r="Q1295" s="173" t="s">
        <v>5395</v>
      </c>
      <c r="R1295" s="328" t="str">
        <f>IFS(C1295="","",C1295="n/a","N/A",LEN(C1295),Concatenate("{",char(34),"asset",char(34),":{",char(34),"guid",char(34),":",char(34),Q1295,char(34),",",char(34),"site",char(34),":",char(34),LOWER('2-Building'!$B$4),char(34),",",char(34),"name",char(34),":",char(34),LOWER(C1295),char(34),"}}"))</f>
        <v>{"asset":{"guid":"uuid://8f148e72-c196-4aca-a45e-630a2646ad46","site":"in-blr-ananta","name":"vav-867"}}</v>
      </c>
      <c r="S1295" s="237" t="s">
        <v>2866</v>
      </c>
      <c r="T1295" s="330"/>
      <c r="U1295" s="330"/>
      <c r="V1295" s="331"/>
      <c r="W1295" s="344"/>
      <c r="X1295" s="341"/>
      <c r="Y1295" s="33" t="s">
        <v>2867</v>
      </c>
      <c r="Z1295" s="258">
        <v>120867.0</v>
      </c>
      <c r="AA1295" s="334">
        <v>11644.0</v>
      </c>
      <c r="AB1295" s="341"/>
      <c r="AC1295" s="341"/>
      <c r="AD1295" s="343"/>
      <c r="AE1295" s="331"/>
      <c r="AF1295" s="348"/>
      <c r="AG1295" s="337"/>
      <c r="AH1295" s="341"/>
      <c r="AI1295" s="341"/>
      <c r="AJ1295" s="341"/>
      <c r="AK1295" s="341"/>
      <c r="AL1295" s="341"/>
      <c r="AM1295" s="338"/>
      <c r="AN1295" s="341"/>
      <c r="AO1295" s="341"/>
      <c r="AP1295" s="341"/>
      <c r="AQ1295" s="341"/>
      <c r="AR1295" s="341"/>
      <c r="AS1295" s="341"/>
      <c r="AT1295" s="341"/>
      <c r="AU1295" s="343"/>
      <c r="AV1295" s="341"/>
      <c r="AW1295" s="269" t="s">
        <v>2267</v>
      </c>
      <c r="AX1295" s="334" t="s">
        <v>2869</v>
      </c>
      <c r="AY1295" s="270" t="s">
        <v>695</v>
      </c>
      <c r="AZ1295" s="173" t="s">
        <v>2866</v>
      </c>
      <c r="BA1295" s="265">
        <v>10.0</v>
      </c>
      <c r="BB1295" s="174" t="s">
        <v>245</v>
      </c>
      <c r="BC1295" s="341"/>
      <c r="BD1295" s="308"/>
      <c r="BE1295" s="347"/>
      <c r="BF1295" s="274" t="str">
        <f>IFERROR(__xludf.DUMMYFUNCTION("LOWER(Regexreplace(to_text(E1295),""[^A-Za-z0-9]"","""")&amp;""_""&amp;Regexreplace(to_text(F1295),""[^A-Za-z0-9]"",""""))"),"neptronic_evcbseries")</f>
        <v>neptronic_evcbseries</v>
      </c>
      <c r="BG1295" s="275" t="str">
        <f>IFERROR(__xludf.DUMMYFUNCTION("upper(Regexreplace(to_text(E1295),""[^A-Za-z0-9]"","""")&amp;""-""&amp;Regexreplace(to_text(F1295),""[^A-Za-z0-9]"",""""))"),"NEPTRONIC-EVCBSERIES")</f>
        <v>NEPTRONIC-EVCBSERIES</v>
      </c>
    </row>
    <row r="1296" ht="30.0" customHeight="1">
      <c r="A1296" s="258">
        <v>1288.0</v>
      </c>
      <c r="B1296" s="237" t="s">
        <v>670</v>
      </c>
      <c r="C1296" s="257" t="s">
        <v>5396</v>
      </c>
      <c r="D1296" s="173" t="s">
        <v>5396</v>
      </c>
      <c r="E1296" s="174" t="s">
        <v>2861</v>
      </c>
      <c r="F1296" s="173" t="s">
        <v>2862</v>
      </c>
      <c r="G1296" s="328" t="s">
        <v>673</v>
      </c>
      <c r="H1296" s="328" t="s">
        <v>2863</v>
      </c>
      <c r="I1296" s="258" t="s">
        <v>2864</v>
      </c>
      <c r="J1296" s="259" t="s">
        <v>1088</v>
      </c>
      <c r="K1296" s="260" t="s">
        <v>3643</v>
      </c>
      <c r="L1296" s="328"/>
      <c r="M1296" s="343"/>
      <c r="N1296" s="173" t="s">
        <v>679</v>
      </c>
      <c r="O1296" s="173" t="s">
        <v>225</v>
      </c>
      <c r="P1296" s="262" t="str">
        <f t="shared" si="1"/>
        <v>IN-BLR-ANANTA-VAV-868_5</v>
      </c>
      <c r="Q1296" s="173" t="s">
        <v>5397</v>
      </c>
      <c r="R1296" s="328" t="str">
        <f>IFS(C1296="","",C1296="n/a","N/A",LEN(C1296),Concatenate("{",char(34),"asset",char(34),":{",char(34),"guid",char(34),":",char(34),Q1296,char(34),",",char(34),"site",char(34),":",char(34),LOWER('2-Building'!$B$4),char(34),",",char(34),"name",char(34),":",char(34),LOWER(C1296),char(34),"}}"))</f>
        <v>{"asset":{"guid":"uuid://46d56b3c-ba2e-4295-b87c-157e841fcbd2","site":"in-blr-ananta","name":"vav-868"}}</v>
      </c>
      <c r="S1296" s="237" t="s">
        <v>2866</v>
      </c>
      <c r="T1296" s="330"/>
      <c r="U1296" s="330"/>
      <c r="V1296" s="331"/>
      <c r="W1296" s="344"/>
      <c r="X1296" s="341"/>
      <c r="Y1296" s="33" t="s">
        <v>2867</v>
      </c>
      <c r="Z1296" s="258">
        <v>120868.0</v>
      </c>
      <c r="AA1296" s="334">
        <v>11644.0</v>
      </c>
      <c r="AB1296" s="341"/>
      <c r="AC1296" s="341"/>
      <c r="AD1296" s="343"/>
      <c r="AE1296" s="331"/>
      <c r="AF1296" s="348"/>
      <c r="AG1296" s="337"/>
      <c r="AH1296" s="341"/>
      <c r="AI1296" s="341"/>
      <c r="AJ1296" s="341"/>
      <c r="AK1296" s="341"/>
      <c r="AL1296" s="341"/>
      <c r="AM1296" s="338"/>
      <c r="AN1296" s="341"/>
      <c r="AO1296" s="341"/>
      <c r="AP1296" s="341"/>
      <c r="AQ1296" s="341"/>
      <c r="AR1296" s="341"/>
      <c r="AS1296" s="341"/>
      <c r="AT1296" s="341"/>
      <c r="AU1296" s="343"/>
      <c r="AV1296" s="341"/>
      <c r="AW1296" s="269" t="s">
        <v>2267</v>
      </c>
      <c r="AX1296" s="334" t="s">
        <v>2869</v>
      </c>
      <c r="AY1296" s="270" t="s">
        <v>695</v>
      </c>
      <c r="AZ1296" s="173" t="s">
        <v>2866</v>
      </c>
      <c r="BA1296" s="265">
        <v>10.0</v>
      </c>
      <c r="BB1296" s="174" t="s">
        <v>245</v>
      </c>
      <c r="BC1296" s="341"/>
      <c r="BD1296" s="308"/>
      <c r="BE1296" s="347"/>
      <c r="BF1296" s="274" t="str">
        <f>IFERROR(__xludf.DUMMYFUNCTION("LOWER(Regexreplace(to_text(E1296),""[^A-Za-z0-9]"","""")&amp;""_""&amp;Regexreplace(to_text(F1296),""[^A-Za-z0-9]"",""""))"),"neptronic_evcbseries")</f>
        <v>neptronic_evcbseries</v>
      </c>
      <c r="BG1296" s="275" t="str">
        <f>IFERROR(__xludf.DUMMYFUNCTION("upper(Regexreplace(to_text(E1296),""[^A-Za-z0-9]"","""")&amp;""-""&amp;Regexreplace(to_text(F1296),""[^A-Za-z0-9]"",""""))"),"NEPTRONIC-EVCBSERIES")</f>
        <v>NEPTRONIC-EVCBSERIES</v>
      </c>
    </row>
    <row r="1297" ht="30.0" customHeight="1">
      <c r="A1297" s="173">
        <v>1289.0</v>
      </c>
      <c r="B1297" s="237" t="s">
        <v>670</v>
      </c>
      <c r="C1297" s="257" t="s">
        <v>5398</v>
      </c>
      <c r="D1297" s="173" t="s">
        <v>5398</v>
      </c>
      <c r="E1297" s="174" t="s">
        <v>2861</v>
      </c>
      <c r="F1297" s="173" t="s">
        <v>2862</v>
      </c>
      <c r="G1297" s="328" t="s">
        <v>673</v>
      </c>
      <c r="H1297" s="328" t="s">
        <v>2863</v>
      </c>
      <c r="I1297" s="258" t="s">
        <v>2864</v>
      </c>
      <c r="J1297" s="259" t="s">
        <v>1088</v>
      </c>
      <c r="K1297" s="260" t="s">
        <v>5399</v>
      </c>
      <c r="L1297" s="328"/>
      <c r="M1297" s="343"/>
      <c r="N1297" s="173" t="s">
        <v>679</v>
      </c>
      <c r="O1297" s="173" t="s">
        <v>225</v>
      </c>
      <c r="P1297" s="262" t="str">
        <f t="shared" si="1"/>
        <v>IN-BLR-ANANTA-VAV-869_5</v>
      </c>
      <c r="Q1297" s="173" t="s">
        <v>5400</v>
      </c>
      <c r="R1297" s="328" t="str">
        <f>IFS(C1297="","",C1297="n/a","N/A",LEN(C1297),Concatenate("{",char(34),"asset",char(34),":{",char(34),"guid",char(34),":",char(34),Q1297,char(34),",",char(34),"site",char(34),":",char(34),LOWER('2-Building'!$B$4),char(34),",",char(34),"name",char(34),":",char(34),LOWER(C1297),char(34),"}}"))</f>
        <v>{"asset":{"guid":"uuid://44cc482c-cf71-4e96-8964-479b3ae2457a","site":"in-blr-ananta","name":"vav-869"}}</v>
      </c>
      <c r="S1297" s="237" t="s">
        <v>2866</v>
      </c>
      <c r="T1297" s="330"/>
      <c r="U1297" s="330"/>
      <c r="V1297" s="331"/>
      <c r="W1297" s="344"/>
      <c r="X1297" s="341"/>
      <c r="Y1297" s="33" t="s">
        <v>2867</v>
      </c>
      <c r="Z1297" s="258">
        <v>120869.0</v>
      </c>
      <c r="AA1297" s="334">
        <v>11644.0</v>
      </c>
      <c r="AB1297" s="341"/>
      <c r="AC1297" s="341"/>
      <c r="AD1297" s="343"/>
      <c r="AE1297" s="331"/>
      <c r="AF1297" s="348"/>
      <c r="AG1297" s="337"/>
      <c r="AH1297" s="341"/>
      <c r="AI1297" s="341"/>
      <c r="AJ1297" s="341"/>
      <c r="AK1297" s="341"/>
      <c r="AL1297" s="341"/>
      <c r="AM1297" s="338"/>
      <c r="AN1297" s="341"/>
      <c r="AO1297" s="341"/>
      <c r="AP1297" s="341"/>
      <c r="AQ1297" s="341"/>
      <c r="AR1297" s="341"/>
      <c r="AS1297" s="341"/>
      <c r="AT1297" s="341"/>
      <c r="AU1297" s="343"/>
      <c r="AV1297" s="341"/>
      <c r="AW1297" s="269" t="s">
        <v>2267</v>
      </c>
      <c r="AX1297" s="334" t="s">
        <v>2869</v>
      </c>
      <c r="AY1297" s="270" t="s">
        <v>695</v>
      </c>
      <c r="AZ1297" s="173" t="s">
        <v>2866</v>
      </c>
      <c r="BA1297" s="265">
        <v>10.0</v>
      </c>
      <c r="BB1297" s="174" t="s">
        <v>245</v>
      </c>
      <c r="BC1297" s="341"/>
      <c r="BD1297" s="308"/>
      <c r="BE1297" s="347"/>
      <c r="BF1297" s="274" t="str">
        <f>IFERROR(__xludf.DUMMYFUNCTION("LOWER(Regexreplace(to_text(E1297),""[^A-Za-z0-9]"","""")&amp;""_""&amp;Regexreplace(to_text(F1297),""[^A-Za-z0-9]"",""""))"),"neptronic_evcbseries")</f>
        <v>neptronic_evcbseries</v>
      </c>
      <c r="BG1297" s="275" t="str">
        <f>IFERROR(__xludf.DUMMYFUNCTION("upper(Regexreplace(to_text(E1297),""[^A-Za-z0-9]"","""")&amp;""-""&amp;Regexreplace(to_text(F1297),""[^A-Za-z0-9]"",""""))"),"NEPTRONIC-EVCBSERIES")</f>
        <v>NEPTRONIC-EVCBSERIES</v>
      </c>
    </row>
    <row r="1298" ht="30.0" customHeight="1">
      <c r="A1298" s="258">
        <v>1290.0</v>
      </c>
      <c r="B1298" s="237" t="s">
        <v>670</v>
      </c>
      <c r="C1298" s="257" t="s">
        <v>5401</v>
      </c>
      <c r="D1298" s="173" t="s">
        <v>5401</v>
      </c>
      <c r="E1298" s="174" t="s">
        <v>2861</v>
      </c>
      <c r="F1298" s="173" t="s">
        <v>2862</v>
      </c>
      <c r="G1298" s="328" t="s">
        <v>673</v>
      </c>
      <c r="H1298" s="328" t="s">
        <v>2863</v>
      </c>
      <c r="I1298" s="258" t="s">
        <v>2864</v>
      </c>
      <c r="J1298" s="259" t="s">
        <v>1088</v>
      </c>
      <c r="K1298" s="260" t="s">
        <v>5402</v>
      </c>
      <c r="L1298" s="328"/>
      <c r="M1298" s="343"/>
      <c r="N1298" s="173" t="s">
        <v>679</v>
      </c>
      <c r="O1298" s="173" t="s">
        <v>225</v>
      </c>
      <c r="P1298" s="262" t="str">
        <f t="shared" si="1"/>
        <v>IN-BLR-ANANTA-VAV-870_5</v>
      </c>
      <c r="Q1298" s="173" t="s">
        <v>5403</v>
      </c>
      <c r="R1298" s="328" t="str">
        <f>IFS(C1298="","",C1298="n/a","N/A",LEN(C1298),Concatenate("{",char(34),"asset",char(34),":{",char(34),"guid",char(34),":",char(34),Q1298,char(34),",",char(34),"site",char(34),":",char(34),LOWER('2-Building'!$B$4),char(34),",",char(34),"name",char(34),":",char(34),LOWER(C1298),char(34),"}}"))</f>
        <v>{"asset":{"guid":"uuid://0ab2772a-e67a-4ddb-a902-8ae3eb8d24b2","site":"in-blr-ananta","name":"vav-870"}}</v>
      </c>
      <c r="S1298" s="237" t="s">
        <v>2866</v>
      </c>
      <c r="T1298" s="330"/>
      <c r="U1298" s="330"/>
      <c r="V1298" s="331"/>
      <c r="W1298" s="344"/>
      <c r="X1298" s="341"/>
      <c r="Y1298" s="33" t="s">
        <v>2867</v>
      </c>
      <c r="Z1298" s="258">
        <v>120870.0</v>
      </c>
      <c r="AA1298" s="334">
        <v>11644.0</v>
      </c>
      <c r="AB1298" s="341"/>
      <c r="AC1298" s="341"/>
      <c r="AD1298" s="343"/>
      <c r="AE1298" s="331"/>
      <c r="AF1298" s="348"/>
      <c r="AG1298" s="337"/>
      <c r="AH1298" s="341"/>
      <c r="AI1298" s="341"/>
      <c r="AJ1298" s="341"/>
      <c r="AK1298" s="341"/>
      <c r="AL1298" s="341"/>
      <c r="AM1298" s="338"/>
      <c r="AN1298" s="341"/>
      <c r="AO1298" s="341"/>
      <c r="AP1298" s="341"/>
      <c r="AQ1298" s="341"/>
      <c r="AR1298" s="341"/>
      <c r="AS1298" s="341"/>
      <c r="AT1298" s="341"/>
      <c r="AU1298" s="343"/>
      <c r="AV1298" s="341"/>
      <c r="AW1298" s="269" t="s">
        <v>2267</v>
      </c>
      <c r="AX1298" s="334" t="s">
        <v>2869</v>
      </c>
      <c r="AY1298" s="270" t="s">
        <v>695</v>
      </c>
      <c r="AZ1298" s="173" t="s">
        <v>2866</v>
      </c>
      <c r="BA1298" s="265">
        <v>10.0</v>
      </c>
      <c r="BB1298" s="174" t="s">
        <v>245</v>
      </c>
      <c r="BC1298" s="341"/>
      <c r="BD1298" s="308"/>
      <c r="BE1298" s="347"/>
      <c r="BF1298" s="274" t="str">
        <f>IFERROR(__xludf.DUMMYFUNCTION("LOWER(Regexreplace(to_text(E1298),""[^A-Za-z0-9]"","""")&amp;""_""&amp;Regexreplace(to_text(F1298),""[^A-Za-z0-9]"",""""))"),"neptronic_evcbseries")</f>
        <v>neptronic_evcbseries</v>
      </c>
      <c r="BG1298" s="275" t="str">
        <f>IFERROR(__xludf.DUMMYFUNCTION("upper(Regexreplace(to_text(E1298),""[^A-Za-z0-9]"","""")&amp;""-""&amp;Regexreplace(to_text(F1298),""[^A-Za-z0-9]"",""""))"),"NEPTRONIC-EVCBSERIES")</f>
        <v>NEPTRONIC-EVCBSERIES</v>
      </c>
    </row>
    <row r="1299" ht="30.0" customHeight="1">
      <c r="A1299" s="173">
        <v>1291.0</v>
      </c>
      <c r="B1299" s="237" t="s">
        <v>670</v>
      </c>
      <c r="C1299" s="257" t="s">
        <v>5404</v>
      </c>
      <c r="D1299" s="173" t="s">
        <v>5404</v>
      </c>
      <c r="E1299" s="174" t="s">
        <v>2861</v>
      </c>
      <c r="F1299" s="173" t="s">
        <v>2862</v>
      </c>
      <c r="G1299" s="328" t="s">
        <v>673</v>
      </c>
      <c r="H1299" s="328" t="s">
        <v>2863</v>
      </c>
      <c r="I1299" s="258" t="s">
        <v>2864</v>
      </c>
      <c r="J1299" s="259" t="s">
        <v>1088</v>
      </c>
      <c r="K1299" s="260" t="s">
        <v>5405</v>
      </c>
      <c r="L1299" s="328"/>
      <c r="M1299" s="343"/>
      <c r="N1299" s="173" t="s">
        <v>679</v>
      </c>
      <c r="O1299" s="173" t="s">
        <v>225</v>
      </c>
      <c r="P1299" s="262" t="str">
        <f t="shared" si="1"/>
        <v>IN-BLR-ANANTA-VAV-871_5</v>
      </c>
      <c r="Q1299" s="173" t="s">
        <v>5406</v>
      </c>
      <c r="R1299" s="328" t="str">
        <f>IFS(C1299="","",C1299="n/a","N/A",LEN(C1299),Concatenate("{",char(34),"asset",char(34),":{",char(34),"guid",char(34),":",char(34),Q1299,char(34),",",char(34),"site",char(34),":",char(34),LOWER('2-Building'!$B$4),char(34),",",char(34),"name",char(34),":",char(34),LOWER(C1299),char(34),"}}"))</f>
        <v>{"asset":{"guid":"uuid://f10a3f10-2946-4b48-a62f-eb544ae78ed5","site":"in-blr-ananta","name":"vav-871"}}</v>
      </c>
      <c r="S1299" s="237" t="s">
        <v>2866</v>
      </c>
      <c r="T1299" s="330"/>
      <c r="U1299" s="330"/>
      <c r="V1299" s="331"/>
      <c r="W1299" s="344"/>
      <c r="X1299" s="341"/>
      <c r="Y1299" s="33" t="s">
        <v>2867</v>
      </c>
      <c r="Z1299" s="258">
        <v>120871.0</v>
      </c>
      <c r="AA1299" s="334">
        <v>11644.0</v>
      </c>
      <c r="AB1299" s="341"/>
      <c r="AC1299" s="341"/>
      <c r="AD1299" s="343"/>
      <c r="AE1299" s="331"/>
      <c r="AF1299" s="348"/>
      <c r="AG1299" s="337"/>
      <c r="AH1299" s="341"/>
      <c r="AI1299" s="341"/>
      <c r="AJ1299" s="341"/>
      <c r="AK1299" s="341"/>
      <c r="AL1299" s="341"/>
      <c r="AM1299" s="338"/>
      <c r="AN1299" s="341"/>
      <c r="AO1299" s="341"/>
      <c r="AP1299" s="341"/>
      <c r="AQ1299" s="341"/>
      <c r="AR1299" s="341"/>
      <c r="AS1299" s="341"/>
      <c r="AT1299" s="341"/>
      <c r="AU1299" s="343"/>
      <c r="AV1299" s="341"/>
      <c r="AW1299" s="269" t="s">
        <v>2267</v>
      </c>
      <c r="AX1299" s="334" t="s">
        <v>2869</v>
      </c>
      <c r="AY1299" s="270" t="s">
        <v>695</v>
      </c>
      <c r="AZ1299" s="173" t="s">
        <v>2866</v>
      </c>
      <c r="BA1299" s="265">
        <v>10.0</v>
      </c>
      <c r="BB1299" s="174" t="s">
        <v>245</v>
      </c>
      <c r="BC1299" s="341"/>
      <c r="BD1299" s="308"/>
      <c r="BE1299" s="347"/>
      <c r="BF1299" s="274" t="str">
        <f>IFERROR(__xludf.DUMMYFUNCTION("LOWER(Regexreplace(to_text(E1299),""[^A-Za-z0-9]"","""")&amp;""_""&amp;Regexreplace(to_text(F1299),""[^A-Za-z0-9]"",""""))"),"neptronic_evcbseries")</f>
        <v>neptronic_evcbseries</v>
      </c>
      <c r="BG1299" s="275" t="str">
        <f>IFERROR(__xludf.DUMMYFUNCTION("upper(Regexreplace(to_text(E1299),""[^A-Za-z0-9]"","""")&amp;""-""&amp;Regexreplace(to_text(F1299),""[^A-Za-z0-9]"",""""))"),"NEPTRONIC-EVCBSERIES")</f>
        <v>NEPTRONIC-EVCBSERIES</v>
      </c>
    </row>
    <row r="1300" ht="30.0" customHeight="1">
      <c r="A1300" s="258">
        <v>1292.0</v>
      </c>
      <c r="B1300" s="237" t="s">
        <v>670</v>
      </c>
      <c r="C1300" s="257" t="s">
        <v>5407</v>
      </c>
      <c r="D1300" s="173" t="s">
        <v>5407</v>
      </c>
      <c r="E1300" s="174" t="s">
        <v>2861</v>
      </c>
      <c r="F1300" s="173" t="s">
        <v>2862</v>
      </c>
      <c r="G1300" s="328" t="s">
        <v>673</v>
      </c>
      <c r="H1300" s="328" t="s">
        <v>2863</v>
      </c>
      <c r="I1300" s="258" t="s">
        <v>2864</v>
      </c>
      <c r="J1300" s="259" t="s">
        <v>1088</v>
      </c>
      <c r="K1300" s="260" t="s">
        <v>5408</v>
      </c>
      <c r="L1300" s="328"/>
      <c r="M1300" s="343"/>
      <c r="N1300" s="173" t="s">
        <v>679</v>
      </c>
      <c r="O1300" s="173" t="s">
        <v>225</v>
      </c>
      <c r="P1300" s="262" t="str">
        <f t="shared" si="1"/>
        <v>IN-BLR-ANANTA-VAV-872_5</v>
      </c>
      <c r="Q1300" s="173" t="s">
        <v>5409</v>
      </c>
      <c r="R1300" s="328" t="str">
        <f>IFS(C1300="","",C1300="n/a","N/A",LEN(C1300),Concatenate("{",char(34),"asset",char(34),":{",char(34),"guid",char(34),":",char(34),Q1300,char(34),",",char(34),"site",char(34),":",char(34),LOWER('2-Building'!$B$4),char(34),",",char(34),"name",char(34),":",char(34),LOWER(C1300),char(34),"}}"))</f>
        <v>{"asset":{"guid":"uuid://fa28ccbd-ec91-4716-8ac0-6fe12e01994c","site":"in-blr-ananta","name":"vav-872"}}</v>
      </c>
      <c r="S1300" s="237" t="s">
        <v>2866</v>
      </c>
      <c r="T1300" s="330"/>
      <c r="U1300" s="330"/>
      <c r="V1300" s="331"/>
      <c r="W1300" s="344"/>
      <c r="X1300" s="341"/>
      <c r="Y1300" s="33" t="s">
        <v>2867</v>
      </c>
      <c r="Z1300" s="258">
        <v>120872.0</v>
      </c>
      <c r="AA1300" s="334">
        <v>11644.0</v>
      </c>
      <c r="AB1300" s="341"/>
      <c r="AC1300" s="341"/>
      <c r="AD1300" s="343"/>
      <c r="AE1300" s="331"/>
      <c r="AF1300" s="348"/>
      <c r="AG1300" s="337"/>
      <c r="AH1300" s="341"/>
      <c r="AI1300" s="341"/>
      <c r="AJ1300" s="341"/>
      <c r="AK1300" s="341"/>
      <c r="AL1300" s="341"/>
      <c r="AM1300" s="338"/>
      <c r="AN1300" s="341"/>
      <c r="AO1300" s="341"/>
      <c r="AP1300" s="341"/>
      <c r="AQ1300" s="341"/>
      <c r="AR1300" s="341"/>
      <c r="AS1300" s="341"/>
      <c r="AT1300" s="341"/>
      <c r="AU1300" s="343"/>
      <c r="AV1300" s="341"/>
      <c r="AW1300" s="269" t="s">
        <v>2267</v>
      </c>
      <c r="AX1300" s="334" t="s">
        <v>2869</v>
      </c>
      <c r="AY1300" s="270" t="s">
        <v>695</v>
      </c>
      <c r="AZ1300" s="173" t="s">
        <v>2866</v>
      </c>
      <c r="BA1300" s="265">
        <v>10.0</v>
      </c>
      <c r="BB1300" s="174" t="s">
        <v>245</v>
      </c>
      <c r="BC1300" s="341"/>
      <c r="BD1300" s="308"/>
      <c r="BE1300" s="347"/>
      <c r="BF1300" s="274" t="str">
        <f>IFERROR(__xludf.DUMMYFUNCTION("LOWER(Regexreplace(to_text(E1300),""[^A-Za-z0-9]"","""")&amp;""_""&amp;Regexreplace(to_text(F1300),""[^A-Za-z0-9]"",""""))"),"neptronic_evcbseries")</f>
        <v>neptronic_evcbseries</v>
      </c>
      <c r="BG1300" s="275" t="str">
        <f>IFERROR(__xludf.DUMMYFUNCTION("upper(Regexreplace(to_text(E1300),""[^A-Za-z0-9]"","""")&amp;""-""&amp;Regexreplace(to_text(F1300),""[^A-Za-z0-9]"",""""))"),"NEPTRONIC-EVCBSERIES")</f>
        <v>NEPTRONIC-EVCBSERIES</v>
      </c>
    </row>
    <row r="1301" ht="30.0" customHeight="1">
      <c r="A1301" s="173">
        <v>1293.0</v>
      </c>
      <c r="B1301" s="237" t="s">
        <v>670</v>
      </c>
      <c r="C1301" s="257" t="s">
        <v>5410</v>
      </c>
      <c r="D1301" s="173" t="s">
        <v>5410</v>
      </c>
      <c r="E1301" s="174" t="s">
        <v>2861</v>
      </c>
      <c r="F1301" s="173" t="s">
        <v>2862</v>
      </c>
      <c r="G1301" s="328" t="s">
        <v>673</v>
      </c>
      <c r="H1301" s="328" t="s">
        <v>2863</v>
      </c>
      <c r="I1301" s="258" t="s">
        <v>2864</v>
      </c>
      <c r="J1301" s="259" t="s">
        <v>1088</v>
      </c>
      <c r="K1301" s="260" t="s">
        <v>5411</v>
      </c>
      <c r="L1301" s="328"/>
      <c r="M1301" s="343"/>
      <c r="N1301" s="173" t="s">
        <v>679</v>
      </c>
      <c r="O1301" s="173" t="s">
        <v>225</v>
      </c>
      <c r="P1301" s="262" t="str">
        <f t="shared" si="1"/>
        <v>IN-BLR-ANANTA-VAV-873_5</v>
      </c>
      <c r="Q1301" s="173" t="s">
        <v>5412</v>
      </c>
      <c r="R1301" s="328" t="str">
        <f>IFS(C1301="","",C1301="n/a","N/A",LEN(C1301),Concatenate("{",char(34),"asset",char(34),":{",char(34),"guid",char(34),":",char(34),Q1301,char(34),",",char(34),"site",char(34),":",char(34),LOWER('2-Building'!$B$4),char(34),",",char(34),"name",char(34),":",char(34),LOWER(C1301),char(34),"}}"))</f>
        <v>{"asset":{"guid":"uuid://0113a168-546b-4375-acb0-d89416345afb","site":"in-blr-ananta","name":"vav-873"}}</v>
      </c>
      <c r="S1301" s="237" t="s">
        <v>2866</v>
      </c>
      <c r="T1301" s="330"/>
      <c r="U1301" s="330"/>
      <c r="V1301" s="331"/>
      <c r="W1301" s="344"/>
      <c r="X1301" s="341"/>
      <c r="Y1301" s="33" t="s">
        <v>2867</v>
      </c>
      <c r="Z1301" s="258">
        <v>120873.0</v>
      </c>
      <c r="AA1301" s="334">
        <v>11644.0</v>
      </c>
      <c r="AB1301" s="341"/>
      <c r="AC1301" s="341"/>
      <c r="AD1301" s="343"/>
      <c r="AE1301" s="331"/>
      <c r="AF1301" s="348"/>
      <c r="AG1301" s="337"/>
      <c r="AH1301" s="341"/>
      <c r="AI1301" s="341"/>
      <c r="AJ1301" s="341"/>
      <c r="AK1301" s="341"/>
      <c r="AL1301" s="341"/>
      <c r="AM1301" s="338"/>
      <c r="AN1301" s="341"/>
      <c r="AO1301" s="341"/>
      <c r="AP1301" s="341"/>
      <c r="AQ1301" s="341"/>
      <c r="AR1301" s="341"/>
      <c r="AS1301" s="341"/>
      <c r="AT1301" s="341"/>
      <c r="AU1301" s="343"/>
      <c r="AV1301" s="341"/>
      <c r="AW1301" s="269" t="s">
        <v>2267</v>
      </c>
      <c r="AX1301" s="334" t="s">
        <v>2869</v>
      </c>
      <c r="AY1301" s="270" t="s">
        <v>695</v>
      </c>
      <c r="AZ1301" s="173" t="s">
        <v>2866</v>
      </c>
      <c r="BA1301" s="265">
        <v>10.0</v>
      </c>
      <c r="BB1301" s="174" t="s">
        <v>245</v>
      </c>
      <c r="BC1301" s="341"/>
      <c r="BD1301" s="308"/>
      <c r="BE1301" s="347"/>
      <c r="BF1301" s="274" t="str">
        <f>IFERROR(__xludf.DUMMYFUNCTION("LOWER(Regexreplace(to_text(E1301),""[^A-Za-z0-9]"","""")&amp;""_""&amp;Regexreplace(to_text(F1301),""[^A-Za-z0-9]"",""""))"),"neptronic_evcbseries")</f>
        <v>neptronic_evcbseries</v>
      </c>
      <c r="BG1301" s="275" t="str">
        <f>IFERROR(__xludf.DUMMYFUNCTION("upper(Regexreplace(to_text(E1301),""[^A-Za-z0-9]"","""")&amp;""-""&amp;Regexreplace(to_text(F1301),""[^A-Za-z0-9]"",""""))"),"NEPTRONIC-EVCBSERIES")</f>
        <v>NEPTRONIC-EVCBSERIES</v>
      </c>
    </row>
    <row r="1302" ht="30.0" customHeight="1">
      <c r="A1302" s="258">
        <v>1294.0</v>
      </c>
      <c r="B1302" s="237" t="s">
        <v>670</v>
      </c>
      <c r="C1302" s="257" t="s">
        <v>5413</v>
      </c>
      <c r="D1302" s="173" t="s">
        <v>5413</v>
      </c>
      <c r="E1302" s="174" t="s">
        <v>2861</v>
      </c>
      <c r="F1302" s="173" t="s">
        <v>2862</v>
      </c>
      <c r="G1302" s="328" t="s">
        <v>673</v>
      </c>
      <c r="H1302" s="328" t="s">
        <v>2863</v>
      </c>
      <c r="I1302" s="258" t="s">
        <v>2864</v>
      </c>
      <c r="J1302" s="259" t="s">
        <v>1088</v>
      </c>
      <c r="K1302" s="260" t="s">
        <v>5414</v>
      </c>
      <c r="L1302" s="328"/>
      <c r="M1302" s="343"/>
      <c r="N1302" s="173" t="s">
        <v>679</v>
      </c>
      <c r="O1302" s="173" t="s">
        <v>225</v>
      </c>
      <c r="P1302" s="262" t="str">
        <f t="shared" si="1"/>
        <v>IN-BLR-ANANTA-VAV-874_5</v>
      </c>
      <c r="Q1302" s="173" t="s">
        <v>5415</v>
      </c>
      <c r="R1302" s="328" t="str">
        <f>IFS(C1302="","",C1302="n/a","N/A",LEN(C1302),Concatenate("{",char(34),"asset",char(34),":{",char(34),"guid",char(34),":",char(34),Q1302,char(34),",",char(34),"site",char(34),":",char(34),LOWER('2-Building'!$B$4),char(34),",",char(34),"name",char(34),":",char(34),LOWER(C1302),char(34),"}}"))</f>
        <v>{"asset":{"guid":"uuid://d8823aa4-1a4e-4534-a52e-40189788be51","site":"in-blr-ananta","name":"vav-874"}}</v>
      </c>
      <c r="S1302" s="237" t="s">
        <v>2866</v>
      </c>
      <c r="T1302" s="330"/>
      <c r="U1302" s="330"/>
      <c r="V1302" s="331"/>
      <c r="W1302" s="344"/>
      <c r="X1302" s="341"/>
      <c r="Y1302" s="33" t="s">
        <v>2867</v>
      </c>
      <c r="Z1302" s="258">
        <v>120874.0</v>
      </c>
      <c r="AA1302" s="334">
        <v>11644.0</v>
      </c>
      <c r="AB1302" s="341"/>
      <c r="AC1302" s="341"/>
      <c r="AD1302" s="343"/>
      <c r="AE1302" s="331"/>
      <c r="AF1302" s="348"/>
      <c r="AG1302" s="337"/>
      <c r="AH1302" s="341"/>
      <c r="AI1302" s="341"/>
      <c r="AJ1302" s="341"/>
      <c r="AK1302" s="341"/>
      <c r="AL1302" s="341"/>
      <c r="AM1302" s="338"/>
      <c r="AN1302" s="341"/>
      <c r="AO1302" s="341"/>
      <c r="AP1302" s="341"/>
      <c r="AQ1302" s="341"/>
      <c r="AR1302" s="341"/>
      <c r="AS1302" s="341"/>
      <c r="AT1302" s="341"/>
      <c r="AU1302" s="343"/>
      <c r="AV1302" s="341"/>
      <c r="AW1302" s="269" t="s">
        <v>2267</v>
      </c>
      <c r="AX1302" s="334" t="s">
        <v>2869</v>
      </c>
      <c r="AY1302" s="270" t="s">
        <v>695</v>
      </c>
      <c r="AZ1302" s="173" t="s">
        <v>2866</v>
      </c>
      <c r="BA1302" s="265">
        <v>10.0</v>
      </c>
      <c r="BB1302" s="174" t="s">
        <v>245</v>
      </c>
      <c r="BC1302" s="341"/>
      <c r="BD1302" s="308"/>
      <c r="BE1302" s="347"/>
      <c r="BF1302" s="274" t="str">
        <f>IFERROR(__xludf.DUMMYFUNCTION("LOWER(Regexreplace(to_text(E1302),""[^A-Za-z0-9]"","""")&amp;""_""&amp;Regexreplace(to_text(F1302),""[^A-Za-z0-9]"",""""))"),"neptronic_evcbseries")</f>
        <v>neptronic_evcbseries</v>
      </c>
      <c r="BG1302" s="275" t="str">
        <f>IFERROR(__xludf.DUMMYFUNCTION("upper(Regexreplace(to_text(E1302),""[^A-Za-z0-9]"","""")&amp;""-""&amp;Regexreplace(to_text(F1302),""[^A-Za-z0-9]"",""""))"),"NEPTRONIC-EVCBSERIES")</f>
        <v>NEPTRONIC-EVCBSERIES</v>
      </c>
    </row>
    <row r="1303" ht="30.0" customHeight="1">
      <c r="A1303" s="173">
        <v>1295.0</v>
      </c>
      <c r="B1303" s="237" t="s">
        <v>670</v>
      </c>
      <c r="C1303" s="257" t="s">
        <v>5416</v>
      </c>
      <c r="D1303" s="173" t="s">
        <v>5416</v>
      </c>
      <c r="E1303" s="174" t="s">
        <v>2861</v>
      </c>
      <c r="F1303" s="173" t="s">
        <v>2862</v>
      </c>
      <c r="G1303" s="328" t="s">
        <v>673</v>
      </c>
      <c r="H1303" s="328" t="s">
        <v>2863</v>
      </c>
      <c r="I1303" s="258" t="s">
        <v>2864</v>
      </c>
      <c r="J1303" s="259" t="s">
        <v>1088</v>
      </c>
      <c r="K1303" s="260" t="s">
        <v>5417</v>
      </c>
      <c r="L1303" s="328"/>
      <c r="M1303" s="343"/>
      <c r="N1303" s="173" t="s">
        <v>679</v>
      </c>
      <c r="O1303" s="173" t="s">
        <v>225</v>
      </c>
      <c r="P1303" s="262" t="str">
        <f t="shared" si="1"/>
        <v>IN-BLR-ANANTA-VAV-875_5</v>
      </c>
      <c r="Q1303" s="173" t="s">
        <v>5418</v>
      </c>
      <c r="R1303" s="328" t="str">
        <f>IFS(C1303="","",C1303="n/a","N/A",LEN(C1303),Concatenate("{",char(34),"asset",char(34),":{",char(34),"guid",char(34),":",char(34),Q1303,char(34),",",char(34),"site",char(34),":",char(34),LOWER('2-Building'!$B$4),char(34),",",char(34),"name",char(34),":",char(34),LOWER(C1303),char(34),"}}"))</f>
        <v>{"asset":{"guid":"uuid://7d2160d1-ef45-4046-a6d6-3f0bea9d4833","site":"in-blr-ananta","name":"vav-875"}}</v>
      </c>
      <c r="S1303" s="237" t="s">
        <v>2866</v>
      </c>
      <c r="T1303" s="330"/>
      <c r="U1303" s="330"/>
      <c r="V1303" s="331"/>
      <c r="W1303" s="344"/>
      <c r="X1303" s="341"/>
      <c r="Y1303" s="33" t="s">
        <v>2867</v>
      </c>
      <c r="Z1303" s="258">
        <v>120875.0</v>
      </c>
      <c r="AA1303" s="334">
        <v>11644.0</v>
      </c>
      <c r="AB1303" s="341"/>
      <c r="AC1303" s="341"/>
      <c r="AD1303" s="343"/>
      <c r="AE1303" s="331"/>
      <c r="AF1303" s="348"/>
      <c r="AG1303" s="337"/>
      <c r="AH1303" s="341"/>
      <c r="AI1303" s="341"/>
      <c r="AJ1303" s="341"/>
      <c r="AK1303" s="341"/>
      <c r="AL1303" s="341"/>
      <c r="AM1303" s="338"/>
      <c r="AN1303" s="341"/>
      <c r="AO1303" s="341"/>
      <c r="AP1303" s="341"/>
      <c r="AQ1303" s="341"/>
      <c r="AR1303" s="341"/>
      <c r="AS1303" s="341"/>
      <c r="AT1303" s="341"/>
      <c r="AU1303" s="343"/>
      <c r="AV1303" s="341"/>
      <c r="AW1303" s="269" t="s">
        <v>2267</v>
      </c>
      <c r="AX1303" s="334" t="s">
        <v>2869</v>
      </c>
      <c r="AY1303" s="270" t="s">
        <v>695</v>
      </c>
      <c r="AZ1303" s="173" t="s">
        <v>2866</v>
      </c>
      <c r="BA1303" s="265">
        <v>10.0</v>
      </c>
      <c r="BB1303" s="174" t="s">
        <v>245</v>
      </c>
      <c r="BC1303" s="341"/>
      <c r="BD1303" s="308"/>
      <c r="BE1303" s="347"/>
      <c r="BF1303" s="274" t="str">
        <f>IFERROR(__xludf.DUMMYFUNCTION("LOWER(Regexreplace(to_text(E1303),""[^A-Za-z0-9]"","""")&amp;""_""&amp;Regexreplace(to_text(F1303),""[^A-Za-z0-9]"",""""))"),"neptronic_evcbseries")</f>
        <v>neptronic_evcbseries</v>
      </c>
      <c r="BG1303" s="275" t="str">
        <f>IFERROR(__xludf.DUMMYFUNCTION("upper(Regexreplace(to_text(E1303),""[^A-Za-z0-9]"","""")&amp;""-""&amp;Regexreplace(to_text(F1303),""[^A-Za-z0-9]"",""""))"),"NEPTRONIC-EVCBSERIES")</f>
        <v>NEPTRONIC-EVCBSERIES</v>
      </c>
    </row>
    <row r="1304" ht="30.0" customHeight="1">
      <c r="A1304" s="258">
        <v>1296.0</v>
      </c>
      <c r="B1304" s="237" t="s">
        <v>670</v>
      </c>
      <c r="C1304" s="257" t="s">
        <v>5419</v>
      </c>
      <c r="D1304" s="173" t="s">
        <v>5419</v>
      </c>
      <c r="E1304" s="174" t="s">
        <v>2861</v>
      </c>
      <c r="F1304" s="173" t="s">
        <v>2862</v>
      </c>
      <c r="G1304" s="328" t="s">
        <v>673</v>
      </c>
      <c r="H1304" s="328" t="s">
        <v>2863</v>
      </c>
      <c r="I1304" s="258" t="s">
        <v>2864</v>
      </c>
      <c r="J1304" s="259" t="s">
        <v>1088</v>
      </c>
      <c r="K1304" s="260" t="s">
        <v>5420</v>
      </c>
      <c r="L1304" s="328"/>
      <c r="M1304" s="343"/>
      <c r="N1304" s="173" t="s">
        <v>679</v>
      </c>
      <c r="O1304" s="173" t="s">
        <v>225</v>
      </c>
      <c r="P1304" s="262" t="str">
        <f t="shared" si="1"/>
        <v>IN-BLR-ANANTA-VAV-876_5</v>
      </c>
      <c r="Q1304" s="173" t="s">
        <v>5421</v>
      </c>
      <c r="R1304" s="328" t="str">
        <f>IFS(C1304="","",C1304="n/a","N/A",LEN(C1304),Concatenate("{",char(34),"asset",char(34),":{",char(34),"guid",char(34),":",char(34),Q1304,char(34),",",char(34),"site",char(34),":",char(34),LOWER('2-Building'!$B$4),char(34),",",char(34),"name",char(34),":",char(34),LOWER(C1304),char(34),"}}"))</f>
        <v>{"asset":{"guid":"uuid://3aa419b8-3ccd-4650-896b-02ca3f19dadc","site":"in-blr-ananta","name":"vav-876"}}</v>
      </c>
      <c r="S1304" s="237" t="s">
        <v>2866</v>
      </c>
      <c r="T1304" s="330"/>
      <c r="U1304" s="330"/>
      <c r="V1304" s="331"/>
      <c r="W1304" s="344"/>
      <c r="X1304" s="341"/>
      <c r="Y1304" s="33" t="s">
        <v>2867</v>
      </c>
      <c r="Z1304" s="258">
        <v>120876.0</v>
      </c>
      <c r="AA1304" s="334">
        <v>11644.0</v>
      </c>
      <c r="AB1304" s="341"/>
      <c r="AC1304" s="341"/>
      <c r="AD1304" s="343"/>
      <c r="AE1304" s="331"/>
      <c r="AF1304" s="348"/>
      <c r="AG1304" s="337"/>
      <c r="AH1304" s="341"/>
      <c r="AI1304" s="341"/>
      <c r="AJ1304" s="341"/>
      <c r="AK1304" s="341"/>
      <c r="AL1304" s="341"/>
      <c r="AM1304" s="338"/>
      <c r="AN1304" s="341"/>
      <c r="AO1304" s="341"/>
      <c r="AP1304" s="341"/>
      <c r="AQ1304" s="341"/>
      <c r="AR1304" s="341"/>
      <c r="AS1304" s="341"/>
      <c r="AT1304" s="341"/>
      <c r="AU1304" s="343"/>
      <c r="AV1304" s="341"/>
      <c r="AW1304" s="269" t="s">
        <v>2267</v>
      </c>
      <c r="AX1304" s="334" t="s">
        <v>2869</v>
      </c>
      <c r="AY1304" s="270" t="s">
        <v>695</v>
      </c>
      <c r="AZ1304" s="173" t="s">
        <v>2866</v>
      </c>
      <c r="BA1304" s="265">
        <v>10.0</v>
      </c>
      <c r="BB1304" s="174" t="s">
        <v>245</v>
      </c>
      <c r="BC1304" s="341"/>
      <c r="BD1304" s="308"/>
      <c r="BE1304" s="347"/>
      <c r="BF1304" s="274" t="str">
        <f>IFERROR(__xludf.DUMMYFUNCTION("LOWER(Regexreplace(to_text(E1304),""[^A-Za-z0-9]"","""")&amp;""_""&amp;Regexreplace(to_text(F1304),""[^A-Za-z0-9]"",""""))"),"neptronic_evcbseries")</f>
        <v>neptronic_evcbseries</v>
      </c>
      <c r="BG1304" s="275" t="str">
        <f>IFERROR(__xludf.DUMMYFUNCTION("upper(Regexreplace(to_text(E1304),""[^A-Za-z0-9]"","""")&amp;""-""&amp;Regexreplace(to_text(F1304),""[^A-Za-z0-9]"",""""))"),"NEPTRONIC-EVCBSERIES")</f>
        <v>NEPTRONIC-EVCBSERIES</v>
      </c>
    </row>
    <row r="1305" ht="30.0" customHeight="1">
      <c r="A1305" s="173">
        <v>1297.0</v>
      </c>
      <c r="B1305" s="237" t="s">
        <v>670</v>
      </c>
      <c r="C1305" s="257" t="s">
        <v>5422</v>
      </c>
      <c r="D1305" s="173" t="s">
        <v>5422</v>
      </c>
      <c r="E1305" s="174" t="s">
        <v>2861</v>
      </c>
      <c r="F1305" s="173" t="s">
        <v>2862</v>
      </c>
      <c r="G1305" s="328" t="s">
        <v>673</v>
      </c>
      <c r="H1305" s="328" t="s">
        <v>2863</v>
      </c>
      <c r="I1305" s="258" t="s">
        <v>2864</v>
      </c>
      <c r="J1305" s="259" t="s">
        <v>1088</v>
      </c>
      <c r="K1305" s="260" t="s">
        <v>5423</v>
      </c>
      <c r="L1305" s="328"/>
      <c r="M1305" s="343"/>
      <c r="N1305" s="173" t="s">
        <v>679</v>
      </c>
      <c r="O1305" s="173" t="s">
        <v>225</v>
      </c>
      <c r="P1305" s="262" t="str">
        <f t="shared" si="1"/>
        <v>IN-BLR-ANANTA-VAV-877_5</v>
      </c>
      <c r="Q1305" s="173" t="s">
        <v>5424</v>
      </c>
      <c r="R1305" s="328" t="str">
        <f>IFS(C1305="","",C1305="n/a","N/A",LEN(C1305),Concatenate("{",char(34),"asset",char(34),":{",char(34),"guid",char(34),":",char(34),Q1305,char(34),",",char(34),"site",char(34),":",char(34),LOWER('2-Building'!$B$4),char(34),",",char(34),"name",char(34),":",char(34),LOWER(C1305),char(34),"}}"))</f>
        <v>{"asset":{"guid":"uuid://7da86d25-da94-4f3d-afd3-e52344f9eab6","site":"in-blr-ananta","name":"vav-877"}}</v>
      </c>
      <c r="S1305" s="237" t="s">
        <v>2866</v>
      </c>
      <c r="T1305" s="330"/>
      <c r="U1305" s="330"/>
      <c r="V1305" s="331"/>
      <c r="W1305" s="344"/>
      <c r="X1305" s="341"/>
      <c r="Y1305" s="33" t="s">
        <v>2867</v>
      </c>
      <c r="Z1305" s="258">
        <v>120877.0</v>
      </c>
      <c r="AA1305" s="334">
        <v>11644.0</v>
      </c>
      <c r="AB1305" s="341"/>
      <c r="AC1305" s="341"/>
      <c r="AD1305" s="343"/>
      <c r="AE1305" s="331"/>
      <c r="AF1305" s="348"/>
      <c r="AG1305" s="337"/>
      <c r="AH1305" s="341"/>
      <c r="AI1305" s="341"/>
      <c r="AJ1305" s="341"/>
      <c r="AK1305" s="341"/>
      <c r="AL1305" s="341"/>
      <c r="AM1305" s="338"/>
      <c r="AN1305" s="341"/>
      <c r="AO1305" s="341"/>
      <c r="AP1305" s="341"/>
      <c r="AQ1305" s="341"/>
      <c r="AR1305" s="341"/>
      <c r="AS1305" s="341"/>
      <c r="AT1305" s="341"/>
      <c r="AU1305" s="343"/>
      <c r="AV1305" s="341"/>
      <c r="AW1305" s="269" t="s">
        <v>2267</v>
      </c>
      <c r="AX1305" s="334" t="s">
        <v>2869</v>
      </c>
      <c r="AY1305" s="270" t="s">
        <v>695</v>
      </c>
      <c r="AZ1305" s="173" t="s">
        <v>2866</v>
      </c>
      <c r="BA1305" s="265">
        <v>10.0</v>
      </c>
      <c r="BB1305" s="174" t="s">
        <v>245</v>
      </c>
      <c r="BC1305" s="341"/>
      <c r="BD1305" s="308"/>
      <c r="BE1305" s="347"/>
      <c r="BF1305" s="274" t="str">
        <f>IFERROR(__xludf.DUMMYFUNCTION("LOWER(Regexreplace(to_text(E1305),""[^A-Za-z0-9]"","""")&amp;""_""&amp;Regexreplace(to_text(F1305),""[^A-Za-z0-9]"",""""))"),"neptronic_evcbseries")</f>
        <v>neptronic_evcbseries</v>
      </c>
      <c r="BG1305" s="275" t="str">
        <f>IFERROR(__xludf.DUMMYFUNCTION("upper(Regexreplace(to_text(E1305),""[^A-Za-z0-9]"","""")&amp;""-""&amp;Regexreplace(to_text(F1305),""[^A-Za-z0-9]"",""""))"),"NEPTRONIC-EVCBSERIES")</f>
        <v>NEPTRONIC-EVCBSERIES</v>
      </c>
    </row>
    <row r="1306" ht="30.0" customHeight="1">
      <c r="A1306" s="258">
        <v>1298.0</v>
      </c>
      <c r="B1306" s="237" t="s">
        <v>670</v>
      </c>
      <c r="C1306" s="257" t="s">
        <v>5425</v>
      </c>
      <c r="D1306" s="173" t="s">
        <v>5425</v>
      </c>
      <c r="E1306" s="174" t="s">
        <v>2861</v>
      </c>
      <c r="F1306" s="173" t="s">
        <v>2862</v>
      </c>
      <c r="G1306" s="328" t="s">
        <v>673</v>
      </c>
      <c r="H1306" s="328" t="s">
        <v>2863</v>
      </c>
      <c r="I1306" s="258" t="s">
        <v>2864</v>
      </c>
      <c r="J1306" s="259" t="s">
        <v>1088</v>
      </c>
      <c r="K1306" s="260" t="s">
        <v>5426</v>
      </c>
      <c r="L1306" s="328"/>
      <c r="M1306" s="343"/>
      <c r="N1306" s="173" t="s">
        <v>679</v>
      </c>
      <c r="O1306" s="173" t="s">
        <v>225</v>
      </c>
      <c r="P1306" s="262" t="str">
        <f t="shared" si="1"/>
        <v>IN-BLR-ANANTA-VAV-878_5</v>
      </c>
      <c r="Q1306" s="173" t="s">
        <v>5427</v>
      </c>
      <c r="R1306" s="328" t="str">
        <f>IFS(C1306="","",C1306="n/a","N/A",LEN(C1306),Concatenate("{",char(34),"asset",char(34),":{",char(34),"guid",char(34),":",char(34),Q1306,char(34),",",char(34),"site",char(34),":",char(34),LOWER('2-Building'!$B$4),char(34),",",char(34),"name",char(34),":",char(34),LOWER(C1306),char(34),"}}"))</f>
        <v>{"asset":{"guid":"uuid://f64be95d-3e55-4119-9470-b074f07d2865","site":"in-blr-ananta","name":"vav-878"}}</v>
      </c>
      <c r="S1306" s="237" t="s">
        <v>2866</v>
      </c>
      <c r="T1306" s="330"/>
      <c r="U1306" s="330"/>
      <c r="V1306" s="331"/>
      <c r="W1306" s="344"/>
      <c r="X1306" s="341"/>
      <c r="Y1306" s="33" t="s">
        <v>2867</v>
      </c>
      <c r="Z1306" s="258">
        <v>120878.0</v>
      </c>
      <c r="AA1306" s="334">
        <v>11644.0</v>
      </c>
      <c r="AB1306" s="341"/>
      <c r="AC1306" s="341"/>
      <c r="AD1306" s="343"/>
      <c r="AE1306" s="331"/>
      <c r="AF1306" s="348"/>
      <c r="AG1306" s="337"/>
      <c r="AH1306" s="341"/>
      <c r="AI1306" s="341"/>
      <c r="AJ1306" s="341"/>
      <c r="AK1306" s="341"/>
      <c r="AL1306" s="341"/>
      <c r="AM1306" s="338"/>
      <c r="AN1306" s="341"/>
      <c r="AO1306" s="341"/>
      <c r="AP1306" s="341"/>
      <c r="AQ1306" s="341"/>
      <c r="AR1306" s="341"/>
      <c r="AS1306" s="341"/>
      <c r="AT1306" s="341"/>
      <c r="AU1306" s="343"/>
      <c r="AV1306" s="341"/>
      <c r="AW1306" s="269" t="s">
        <v>2267</v>
      </c>
      <c r="AX1306" s="334" t="s">
        <v>2869</v>
      </c>
      <c r="AY1306" s="270" t="s">
        <v>695</v>
      </c>
      <c r="AZ1306" s="173" t="s">
        <v>2866</v>
      </c>
      <c r="BA1306" s="265">
        <v>10.0</v>
      </c>
      <c r="BB1306" s="174" t="s">
        <v>245</v>
      </c>
      <c r="BC1306" s="341"/>
      <c r="BD1306" s="308"/>
      <c r="BE1306" s="347"/>
      <c r="BF1306" s="274" t="str">
        <f>IFERROR(__xludf.DUMMYFUNCTION("LOWER(Regexreplace(to_text(E1306),""[^A-Za-z0-9]"","""")&amp;""_""&amp;Regexreplace(to_text(F1306),""[^A-Za-z0-9]"",""""))"),"neptronic_evcbseries")</f>
        <v>neptronic_evcbseries</v>
      </c>
      <c r="BG1306" s="275" t="str">
        <f>IFERROR(__xludf.DUMMYFUNCTION("upper(Regexreplace(to_text(E1306),""[^A-Za-z0-9]"","""")&amp;""-""&amp;Regexreplace(to_text(F1306),""[^A-Za-z0-9]"",""""))"),"NEPTRONIC-EVCBSERIES")</f>
        <v>NEPTRONIC-EVCBSERIES</v>
      </c>
    </row>
    <row r="1307" ht="30.0" customHeight="1">
      <c r="A1307" s="173">
        <v>1299.0</v>
      </c>
      <c r="B1307" s="237" t="s">
        <v>670</v>
      </c>
      <c r="C1307" s="257" t="s">
        <v>5428</v>
      </c>
      <c r="D1307" s="173" t="s">
        <v>5428</v>
      </c>
      <c r="E1307" s="174" t="s">
        <v>2861</v>
      </c>
      <c r="F1307" s="173" t="s">
        <v>2862</v>
      </c>
      <c r="G1307" s="328" t="s">
        <v>673</v>
      </c>
      <c r="H1307" s="328" t="s">
        <v>2863</v>
      </c>
      <c r="I1307" s="258" t="s">
        <v>2864</v>
      </c>
      <c r="J1307" s="259" t="s">
        <v>1088</v>
      </c>
      <c r="K1307" s="260" t="s">
        <v>5429</v>
      </c>
      <c r="L1307" s="328"/>
      <c r="M1307" s="343"/>
      <c r="N1307" s="173" t="s">
        <v>679</v>
      </c>
      <c r="O1307" s="173" t="s">
        <v>225</v>
      </c>
      <c r="P1307" s="262" t="str">
        <f t="shared" si="1"/>
        <v>IN-BLR-ANANTA-VAV-879_5</v>
      </c>
      <c r="Q1307" s="173" t="s">
        <v>5430</v>
      </c>
      <c r="R1307" s="328" t="str">
        <f>IFS(C1307="","",C1307="n/a","N/A",LEN(C1307),Concatenate("{",char(34),"asset",char(34),":{",char(34),"guid",char(34),":",char(34),Q1307,char(34),",",char(34),"site",char(34),":",char(34),LOWER('2-Building'!$B$4),char(34),",",char(34),"name",char(34),":",char(34),LOWER(C1307),char(34),"}}"))</f>
        <v>{"asset":{"guid":"uuid://370d1209-b7e9-4109-ab6f-cca87a612915","site":"in-blr-ananta","name":"vav-879"}}</v>
      </c>
      <c r="S1307" s="237" t="s">
        <v>2866</v>
      </c>
      <c r="T1307" s="330"/>
      <c r="U1307" s="330"/>
      <c r="V1307" s="331"/>
      <c r="W1307" s="344"/>
      <c r="X1307" s="341"/>
      <c r="Y1307" s="33" t="s">
        <v>2867</v>
      </c>
      <c r="Z1307" s="258">
        <v>120879.0</v>
      </c>
      <c r="AA1307" s="334">
        <v>11644.0</v>
      </c>
      <c r="AB1307" s="341"/>
      <c r="AC1307" s="341"/>
      <c r="AD1307" s="343"/>
      <c r="AE1307" s="331"/>
      <c r="AF1307" s="348"/>
      <c r="AG1307" s="337"/>
      <c r="AH1307" s="341"/>
      <c r="AI1307" s="341"/>
      <c r="AJ1307" s="341"/>
      <c r="AK1307" s="341"/>
      <c r="AL1307" s="341"/>
      <c r="AM1307" s="338"/>
      <c r="AN1307" s="341"/>
      <c r="AO1307" s="341"/>
      <c r="AP1307" s="341"/>
      <c r="AQ1307" s="341"/>
      <c r="AR1307" s="341"/>
      <c r="AS1307" s="341"/>
      <c r="AT1307" s="341"/>
      <c r="AU1307" s="343"/>
      <c r="AV1307" s="341"/>
      <c r="AW1307" s="269" t="s">
        <v>2267</v>
      </c>
      <c r="AX1307" s="334" t="s">
        <v>2869</v>
      </c>
      <c r="AY1307" s="270" t="s">
        <v>695</v>
      </c>
      <c r="AZ1307" s="173" t="s">
        <v>2866</v>
      </c>
      <c r="BA1307" s="265">
        <v>10.0</v>
      </c>
      <c r="BB1307" s="174" t="s">
        <v>245</v>
      </c>
      <c r="BC1307" s="341"/>
      <c r="BD1307" s="308"/>
      <c r="BE1307" s="347"/>
      <c r="BF1307" s="274" t="str">
        <f>IFERROR(__xludf.DUMMYFUNCTION("LOWER(Regexreplace(to_text(E1307),""[^A-Za-z0-9]"","""")&amp;""_""&amp;Regexreplace(to_text(F1307),""[^A-Za-z0-9]"",""""))"),"neptronic_evcbseries")</f>
        <v>neptronic_evcbseries</v>
      </c>
      <c r="BG1307" s="275" t="str">
        <f>IFERROR(__xludf.DUMMYFUNCTION("upper(Regexreplace(to_text(E1307),""[^A-Za-z0-9]"","""")&amp;""-""&amp;Regexreplace(to_text(F1307),""[^A-Za-z0-9]"",""""))"),"NEPTRONIC-EVCBSERIES")</f>
        <v>NEPTRONIC-EVCBSERIES</v>
      </c>
    </row>
    <row r="1308" ht="30.0" customHeight="1">
      <c r="A1308" s="258">
        <v>1300.0</v>
      </c>
      <c r="B1308" s="237" t="s">
        <v>670</v>
      </c>
      <c r="C1308" s="257" t="s">
        <v>5431</v>
      </c>
      <c r="D1308" s="173" t="s">
        <v>5431</v>
      </c>
      <c r="E1308" s="174" t="s">
        <v>2861</v>
      </c>
      <c r="F1308" s="173" t="s">
        <v>2862</v>
      </c>
      <c r="G1308" s="328" t="s">
        <v>673</v>
      </c>
      <c r="H1308" s="328" t="s">
        <v>2863</v>
      </c>
      <c r="I1308" s="258" t="s">
        <v>2864</v>
      </c>
      <c r="J1308" s="259" t="s">
        <v>1088</v>
      </c>
      <c r="K1308" s="260" t="s">
        <v>5432</v>
      </c>
      <c r="L1308" s="328"/>
      <c r="M1308" s="343"/>
      <c r="N1308" s="173" t="s">
        <v>679</v>
      </c>
      <c r="O1308" s="173" t="s">
        <v>225</v>
      </c>
      <c r="P1308" s="262" t="str">
        <f t="shared" si="1"/>
        <v>IN-BLR-ANANTA-VAV-880_5</v>
      </c>
      <c r="Q1308" s="173" t="s">
        <v>5433</v>
      </c>
      <c r="R1308" s="328" t="str">
        <f>IFS(C1308="","",C1308="n/a","N/A",LEN(C1308),Concatenate("{",char(34),"asset",char(34),":{",char(34),"guid",char(34),":",char(34),Q1308,char(34),",",char(34),"site",char(34),":",char(34),LOWER('2-Building'!$B$4),char(34),",",char(34),"name",char(34),":",char(34),LOWER(C1308),char(34),"}}"))</f>
        <v>{"asset":{"guid":"uuid://7a44bacd-98d4-4a0e-b899-612f0144b35e","site":"in-blr-ananta","name":"vav-880"}}</v>
      </c>
      <c r="S1308" s="237" t="s">
        <v>2866</v>
      </c>
      <c r="T1308" s="330"/>
      <c r="U1308" s="330"/>
      <c r="V1308" s="331"/>
      <c r="W1308" s="344"/>
      <c r="X1308" s="341"/>
      <c r="Y1308" s="33" t="s">
        <v>2867</v>
      </c>
      <c r="Z1308" s="258">
        <v>120880.0</v>
      </c>
      <c r="AA1308" s="334">
        <v>11644.0</v>
      </c>
      <c r="AB1308" s="341"/>
      <c r="AC1308" s="341"/>
      <c r="AD1308" s="343"/>
      <c r="AE1308" s="331"/>
      <c r="AF1308" s="348"/>
      <c r="AG1308" s="337"/>
      <c r="AH1308" s="341"/>
      <c r="AI1308" s="341"/>
      <c r="AJ1308" s="341"/>
      <c r="AK1308" s="341"/>
      <c r="AL1308" s="341"/>
      <c r="AM1308" s="338"/>
      <c r="AN1308" s="341"/>
      <c r="AO1308" s="341"/>
      <c r="AP1308" s="341"/>
      <c r="AQ1308" s="341"/>
      <c r="AR1308" s="341"/>
      <c r="AS1308" s="341"/>
      <c r="AT1308" s="341"/>
      <c r="AU1308" s="343"/>
      <c r="AV1308" s="341"/>
      <c r="AW1308" s="269" t="s">
        <v>2267</v>
      </c>
      <c r="AX1308" s="334" t="s">
        <v>2869</v>
      </c>
      <c r="AY1308" s="270" t="s">
        <v>695</v>
      </c>
      <c r="AZ1308" s="173" t="s">
        <v>2866</v>
      </c>
      <c r="BA1308" s="265">
        <v>10.0</v>
      </c>
      <c r="BB1308" s="174" t="s">
        <v>245</v>
      </c>
      <c r="BC1308" s="341"/>
      <c r="BD1308" s="308"/>
      <c r="BE1308" s="347"/>
      <c r="BF1308" s="274" t="str">
        <f>IFERROR(__xludf.DUMMYFUNCTION("LOWER(Regexreplace(to_text(E1308),""[^A-Za-z0-9]"","""")&amp;""_""&amp;Regexreplace(to_text(F1308),""[^A-Za-z0-9]"",""""))"),"neptronic_evcbseries")</f>
        <v>neptronic_evcbseries</v>
      </c>
      <c r="BG1308" s="275" t="str">
        <f>IFERROR(__xludf.DUMMYFUNCTION("upper(Regexreplace(to_text(E1308),""[^A-Za-z0-9]"","""")&amp;""-""&amp;Regexreplace(to_text(F1308),""[^A-Za-z0-9]"",""""))"),"NEPTRONIC-EVCBSERIES")</f>
        <v>NEPTRONIC-EVCBSERIES</v>
      </c>
    </row>
    <row r="1309" ht="30.0" customHeight="1">
      <c r="A1309" s="173">
        <v>1301.0</v>
      </c>
      <c r="B1309" s="237" t="s">
        <v>670</v>
      </c>
      <c r="C1309" s="257" t="s">
        <v>5434</v>
      </c>
      <c r="D1309" s="173" t="s">
        <v>5434</v>
      </c>
      <c r="E1309" s="174" t="s">
        <v>2861</v>
      </c>
      <c r="F1309" s="173" t="s">
        <v>2862</v>
      </c>
      <c r="G1309" s="328" t="s">
        <v>673</v>
      </c>
      <c r="H1309" s="328" t="s">
        <v>2863</v>
      </c>
      <c r="I1309" s="258" t="s">
        <v>2864</v>
      </c>
      <c r="J1309" s="259" t="s">
        <v>1088</v>
      </c>
      <c r="K1309" s="260" t="s">
        <v>5432</v>
      </c>
      <c r="L1309" s="328"/>
      <c r="M1309" s="343"/>
      <c r="N1309" s="173" t="s">
        <v>679</v>
      </c>
      <c r="O1309" s="173" t="s">
        <v>225</v>
      </c>
      <c r="P1309" s="262" t="str">
        <f t="shared" si="1"/>
        <v>IN-BLR-ANANTA-VAV-881_5</v>
      </c>
      <c r="Q1309" s="173" t="s">
        <v>5435</v>
      </c>
      <c r="R1309" s="328" t="str">
        <f>IFS(C1309="","",C1309="n/a","N/A",LEN(C1309),Concatenate("{",char(34),"asset",char(34),":{",char(34),"guid",char(34),":",char(34),Q1309,char(34),",",char(34),"site",char(34),":",char(34),LOWER('2-Building'!$B$4),char(34),",",char(34),"name",char(34),":",char(34),LOWER(C1309),char(34),"}}"))</f>
        <v>{"asset":{"guid":"uuid://3d1c9911-baaf-41a4-8081-06abbea4e95d","site":"in-blr-ananta","name":"vav-881"}}</v>
      </c>
      <c r="S1309" s="237" t="s">
        <v>2866</v>
      </c>
      <c r="T1309" s="330"/>
      <c r="U1309" s="330"/>
      <c r="V1309" s="331"/>
      <c r="W1309" s="344"/>
      <c r="X1309" s="341"/>
      <c r="Y1309" s="33" t="s">
        <v>2867</v>
      </c>
      <c r="Z1309" s="258">
        <v>120881.0</v>
      </c>
      <c r="AA1309" s="334">
        <v>11644.0</v>
      </c>
      <c r="AB1309" s="341"/>
      <c r="AC1309" s="341"/>
      <c r="AD1309" s="343"/>
      <c r="AE1309" s="331"/>
      <c r="AF1309" s="348"/>
      <c r="AG1309" s="337"/>
      <c r="AH1309" s="341"/>
      <c r="AI1309" s="341"/>
      <c r="AJ1309" s="341"/>
      <c r="AK1309" s="341"/>
      <c r="AL1309" s="341"/>
      <c r="AM1309" s="338"/>
      <c r="AN1309" s="341"/>
      <c r="AO1309" s="341"/>
      <c r="AP1309" s="341"/>
      <c r="AQ1309" s="341"/>
      <c r="AR1309" s="341"/>
      <c r="AS1309" s="341"/>
      <c r="AT1309" s="341"/>
      <c r="AU1309" s="343"/>
      <c r="AV1309" s="341"/>
      <c r="AW1309" s="269" t="s">
        <v>2267</v>
      </c>
      <c r="AX1309" s="334" t="s">
        <v>2869</v>
      </c>
      <c r="AY1309" s="270" t="s">
        <v>695</v>
      </c>
      <c r="AZ1309" s="173" t="s">
        <v>2866</v>
      </c>
      <c r="BA1309" s="265">
        <v>10.0</v>
      </c>
      <c r="BB1309" s="174" t="s">
        <v>245</v>
      </c>
      <c r="BC1309" s="341"/>
      <c r="BD1309" s="308"/>
      <c r="BE1309" s="347"/>
      <c r="BF1309" s="274" t="str">
        <f>IFERROR(__xludf.DUMMYFUNCTION("LOWER(Regexreplace(to_text(E1309),""[^A-Za-z0-9]"","""")&amp;""_""&amp;Regexreplace(to_text(F1309),""[^A-Za-z0-9]"",""""))"),"neptronic_evcbseries")</f>
        <v>neptronic_evcbseries</v>
      </c>
      <c r="BG1309" s="275" t="str">
        <f>IFERROR(__xludf.DUMMYFUNCTION("upper(Regexreplace(to_text(E1309),""[^A-Za-z0-9]"","""")&amp;""-""&amp;Regexreplace(to_text(F1309),""[^A-Za-z0-9]"",""""))"),"NEPTRONIC-EVCBSERIES")</f>
        <v>NEPTRONIC-EVCBSERIES</v>
      </c>
    </row>
    <row r="1310" ht="30.0" customHeight="1">
      <c r="A1310" s="258">
        <v>1302.0</v>
      </c>
      <c r="B1310" s="237" t="s">
        <v>670</v>
      </c>
      <c r="C1310" s="257" t="s">
        <v>5436</v>
      </c>
      <c r="D1310" s="173" t="s">
        <v>5436</v>
      </c>
      <c r="E1310" s="174" t="s">
        <v>2861</v>
      </c>
      <c r="F1310" s="173" t="s">
        <v>2862</v>
      </c>
      <c r="G1310" s="328" t="s">
        <v>673</v>
      </c>
      <c r="H1310" s="328" t="s">
        <v>2863</v>
      </c>
      <c r="I1310" s="258" t="s">
        <v>2864</v>
      </c>
      <c r="J1310" s="259" t="s">
        <v>1088</v>
      </c>
      <c r="K1310" s="260" t="s">
        <v>5437</v>
      </c>
      <c r="L1310" s="328"/>
      <c r="M1310" s="343"/>
      <c r="N1310" s="173" t="s">
        <v>679</v>
      </c>
      <c r="O1310" s="173" t="s">
        <v>225</v>
      </c>
      <c r="P1310" s="262" t="str">
        <f t="shared" si="1"/>
        <v>IN-BLR-ANANTA-VAV-882_5</v>
      </c>
      <c r="Q1310" s="173" t="s">
        <v>5438</v>
      </c>
      <c r="R1310" s="328" t="str">
        <f>IFS(C1310="","",C1310="n/a","N/A",LEN(C1310),Concatenate("{",char(34),"asset",char(34),":{",char(34),"guid",char(34),":",char(34),Q1310,char(34),",",char(34),"site",char(34),":",char(34),LOWER('2-Building'!$B$4),char(34),",",char(34),"name",char(34),":",char(34),LOWER(C1310),char(34),"}}"))</f>
        <v>{"asset":{"guid":"uuid://2a80724f-00e6-4166-bdfd-fada043320f7","site":"in-blr-ananta","name":"vav-882"}}</v>
      </c>
      <c r="S1310" s="237" t="s">
        <v>2866</v>
      </c>
      <c r="T1310" s="330"/>
      <c r="U1310" s="330"/>
      <c r="V1310" s="331"/>
      <c r="W1310" s="344"/>
      <c r="X1310" s="341"/>
      <c r="Y1310" s="33" t="s">
        <v>2867</v>
      </c>
      <c r="Z1310" s="258">
        <v>120882.0</v>
      </c>
      <c r="AA1310" s="334">
        <v>11644.0</v>
      </c>
      <c r="AB1310" s="341"/>
      <c r="AC1310" s="341"/>
      <c r="AD1310" s="343"/>
      <c r="AE1310" s="331"/>
      <c r="AF1310" s="348"/>
      <c r="AG1310" s="337"/>
      <c r="AH1310" s="341"/>
      <c r="AI1310" s="341"/>
      <c r="AJ1310" s="341"/>
      <c r="AK1310" s="341"/>
      <c r="AL1310" s="341"/>
      <c r="AM1310" s="338"/>
      <c r="AN1310" s="341"/>
      <c r="AO1310" s="341"/>
      <c r="AP1310" s="341"/>
      <c r="AQ1310" s="341"/>
      <c r="AR1310" s="341"/>
      <c r="AS1310" s="341"/>
      <c r="AT1310" s="341"/>
      <c r="AU1310" s="343"/>
      <c r="AV1310" s="341"/>
      <c r="AW1310" s="269" t="s">
        <v>2267</v>
      </c>
      <c r="AX1310" s="334" t="s">
        <v>2869</v>
      </c>
      <c r="AY1310" s="270" t="s">
        <v>695</v>
      </c>
      <c r="AZ1310" s="173" t="s">
        <v>2866</v>
      </c>
      <c r="BA1310" s="265">
        <v>10.0</v>
      </c>
      <c r="BB1310" s="174" t="s">
        <v>245</v>
      </c>
      <c r="BC1310" s="341"/>
      <c r="BD1310" s="308"/>
      <c r="BE1310" s="347"/>
      <c r="BF1310" s="274" t="str">
        <f>IFERROR(__xludf.DUMMYFUNCTION("LOWER(Regexreplace(to_text(E1310),""[^A-Za-z0-9]"","""")&amp;""_""&amp;Regexreplace(to_text(F1310),""[^A-Za-z0-9]"",""""))"),"neptronic_evcbseries")</f>
        <v>neptronic_evcbseries</v>
      </c>
      <c r="BG1310" s="275" t="str">
        <f>IFERROR(__xludf.DUMMYFUNCTION("upper(Regexreplace(to_text(E1310),""[^A-Za-z0-9]"","""")&amp;""-""&amp;Regexreplace(to_text(F1310),""[^A-Za-z0-9]"",""""))"),"NEPTRONIC-EVCBSERIES")</f>
        <v>NEPTRONIC-EVCBSERIES</v>
      </c>
    </row>
    <row r="1311" ht="30.0" customHeight="1">
      <c r="A1311" s="173">
        <v>1303.0</v>
      </c>
      <c r="B1311" s="237" t="s">
        <v>670</v>
      </c>
      <c r="C1311" s="257" t="s">
        <v>5439</v>
      </c>
      <c r="D1311" s="173" t="s">
        <v>5439</v>
      </c>
      <c r="E1311" s="174" t="s">
        <v>2861</v>
      </c>
      <c r="F1311" s="173" t="s">
        <v>2862</v>
      </c>
      <c r="G1311" s="328" t="s">
        <v>673</v>
      </c>
      <c r="H1311" s="328" t="s">
        <v>2863</v>
      </c>
      <c r="I1311" s="258" t="s">
        <v>2864</v>
      </c>
      <c r="J1311" s="259" t="s">
        <v>1088</v>
      </c>
      <c r="K1311" s="260" t="s">
        <v>5440</v>
      </c>
      <c r="L1311" s="328"/>
      <c r="M1311" s="343"/>
      <c r="N1311" s="173" t="s">
        <v>679</v>
      </c>
      <c r="O1311" s="173" t="s">
        <v>225</v>
      </c>
      <c r="P1311" s="262" t="str">
        <f t="shared" si="1"/>
        <v>IN-BLR-ANANTA-VAV-883_5</v>
      </c>
      <c r="Q1311" s="173" t="s">
        <v>5441</v>
      </c>
      <c r="R1311" s="328" t="str">
        <f>IFS(C1311="","",C1311="n/a","N/A",LEN(C1311),Concatenate("{",char(34),"asset",char(34),":{",char(34),"guid",char(34),":",char(34),Q1311,char(34),",",char(34),"site",char(34),":",char(34),LOWER('2-Building'!$B$4),char(34),",",char(34),"name",char(34),":",char(34),LOWER(C1311),char(34),"}}"))</f>
        <v>{"asset":{"guid":"uuid://eaf44ef4-37ad-46f9-ab76-d35e22acfeba","site":"in-blr-ananta","name":"vav-883"}}</v>
      </c>
      <c r="S1311" s="237" t="s">
        <v>2866</v>
      </c>
      <c r="T1311" s="330"/>
      <c r="U1311" s="330"/>
      <c r="V1311" s="331"/>
      <c r="W1311" s="344"/>
      <c r="X1311" s="341"/>
      <c r="Y1311" s="33" t="s">
        <v>2867</v>
      </c>
      <c r="Z1311" s="258">
        <v>120883.0</v>
      </c>
      <c r="AA1311" s="334">
        <v>11644.0</v>
      </c>
      <c r="AB1311" s="341"/>
      <c r="AC1311" s="341"/>
      <c r="AD1311" s="343"/>
      <c r="AE1311" s="331"/>
      <c r="AF1311" s="348"/>
      <c r="AG1311" s="337"/>
      <c r="AH1311" s="341"/>
      <c r="AI1311" s="341"/>
      <c r="AJ1311" s="341"/>
      <c r="AK1311" s="341"/>
      <c r="AL1311" s="341"/>
      <c r="AM1311" s="338"/>
      <c r="AN1311" s="341"/>
      <c r="AO1311" s="341"/>
      <c r="AP1311" s="341"/>
      <c r="AQ1311" s="341"/>
      <c r="AR1311" s="341"/>
      <c r="AS1311" s="341"/>
      <c r="AT1311" s="341"/>
      <c r="AU1311" s="343"/>
      <c r="AV1311" s="341"/>
      <c r="AW1311" s="269" t="s">
        <v>2267</v>
      </c>
      <c r="AX1311" s="334" t="s">
        <v>2869</v>
      </c>
      <c r="AY1311" s="270" t="s">
        <v>695</v>
      </c>
      <c r="AZ1311" s="173" t="s">
        <v>2866</v>
      </c>
      <c r="BA1311" s="265">
        <v>10.0</v>
      </c>
      <c r="BB1311" s="174" t="s">
        <v>245</v>
      </c>
      <c r="BC1311" s="341"/>
      <c r="BD1311" s="308"/>
      <c r="BE1311" s="347"/>
      <c r="BF1311" s="274" t="str">
        <f>IFERROR(__xludf.DUMMYFUNCTION("LOWER(Regexreplace(to_text(E1311),""[^A-Za-z0-9]"","""")&amp;""_""&amp;Regexreplace(to_text(F1311),""[^A-Za-z0-9]"",""""))"),"neptronic_evcbseries")</f>
        <v>neptronic_evcbseries</v>
      </c>
      <c r="BG1311" s="275" t="str">
        <f>IFERROR(__xludf.DUMMYFUNCTION("upper(Regexreplace(to_text(E1311),""[^A-Za-z0-9]"","""")&amp;""-""&amp;Regexreplace(to_text(F1311),""[^A-Za-z0-9]"",""""))"),"NEPTRONIC-EVCBSERIES")</f>
        <v>NEPTRONIC-EVCBSERIES</v>
      </c>
    </row>
    <row r="1312" ht="30.0" customHeight="1">
      <c r="A1312" s="258">
        <v>1304.0</v>
      </c>
      <c r="B1312" s="237" t="s">
        <v>670</v>
      </c>
      <c r="C1312" s="257" t="s">
        <v>5442</v>
      </c>
      <c r="D1312" s="173" t="s">
        <v>5442</v>
      </c>
      <c r="E1312" s="174" t="s">
        <v>2861</v>
      </c>
      <c r="F1312" s="173" t="s">
        <v>2862</v>
      </c>
      <c r="G1312" s="328" t="s">
        <v>673</v>
      </c>
      <c r="H1312" s="328" t="s">
        <v>2863</v>
      </c>
      <c r="I1312" s="258" t="s">
        <v>2864</v>
      </c>
      <c r="J1312" s="259" t="s">
        <v>1088</v>
      </c>
      <c r="K1312" s="260" t="s">
        <v>5443</v>
      </c>
      <c r="L1312" s="328"/>
      <c r="M1312" s="343"/>
      <c r="N1312" s="173" t="s">
        <v>679</v>
      </c>
      <c r="O1312" s="173" t="s">
        <v>225</v>
      </c>
      <c r="P1312" s="262" t="str">
        <f t="shared" si="1"/>
        <v>IN-BLR-ANANTA-VAV-884_5</v>
      </c>
      <c r="Q1312" s="173" t="s">
        <v>5444</v>
      </c>
      <c r="R1312" s="328" t="str">
        <f>IFS(C1312="","",C1312="n/a","N/A",LEN(C1312),Concatenate("{",char(34),"asset",char(34),":{",char(34),"guid",char(34),":",char(34),Q1312,char(34),",",char(34),"site",char(34),":",char(34),LOWER('2-Building'!$B$4),char(34),",",char(34),"name",char(34),":",char(34),LOWER(C1312),char(34),"}}"))</f>
        <v>{"asset":{"guid":"uuid://c9362344-c8e4-4c3b-a1bc-be9f1215d1c1","site":"in-blr-ananta","name":"vav-884"}}</v>
      </c>
      <c r="S1312" s="237" t="s">
        <v>2866</v>
      </c>
      <c r="T1312" s="330"/>
      <c r="U1312" s="330"/>
      <c r="V1312" s="331"/>
      <c r="W1312" s="344"/>
      <c r="X1312" s="341"/>
      <c r="Y1312" s="33" t="s">
        <v>2867</v>
      </c>
      <c r="Z1312" s="258">
        <v>120884.0</v>
      </c>
      <c r="AA1312" s="334">
        <v>11644.0</v>
      </c>
      <c r="AB1312" s="341"/>
      <c r="AC1312" s="341"/>
      <c r="AD1312" s="343"/>
      <c r="AE1312" s="331"/>
      <c r="AF1312" s="348"/>
      <c r="AG1312" s="337"/>
      <c r="AH1312" s="341"/>
      <c r="AI1312" s="341"/>
      <c r="AJ1312" s="341"/>
      <c r="AK1312" s="341"/>
      <c r="AL1312" s="341"/>
      <c r="AM1312" s="338"/>
      <c r="AN1312" s="341"/>
      <c r="AO1312" s="341"/>
      <c r="AP1312" s="341"/>
      <c r="AQ1312" s="341"/>
      <c r="AR1312" s="341"/>
      <c r="AS1312" s="341"/>
      <c r="AT1312" s="341"/>
      <c r="AU1312" s="343"/>
      <c r="AV1312" s="341"/>
      <c r="AW1312" s="269" t="s">
        <v>2267</v>
      </c>
      <c r="AX1312" s="334" t="s">
        <v>2869</v>
      </c>
      <c r="AY1312" s="270" t="s">
        <v>695</v>
      </c>
      <c r="AZ1312" s="173" t="s">
        <v>2866</v>
      </c>
      <c r="BA1312" s="265">
        <v>10.0</v>
      </c>
      <c r="BB1312" s="174" t="s">
        <v>245</v>
      </c>
      <c r="BC1312" s="341"/>
      <c r="BD1312" s="308"/>
      <c r="BE1312" s="347"/>
      <c r="BF1312" s="274" t="str">
        <f>IFERROR(__xludf.DUMMYFUNCTION("LOWER(Regexreplace(to_text(E1312),""[^A-Za-z0-9]"","""")&amp;""_""&amp;Regexreplace(to_text(F1312),""[^A-Za-z0-9]"",""""))"),"neptronic_evcbseries")</f>
        <v>neptronic_evcbseries</v>
      </c>
      <c r="BG1312" s="275" t="str">
        <f>IFERROR(__xludf.DUMMYFUNCTION("upper(Regexreplace(to_text(E1312),""[^A-Za-z0-9]"","""")&amp;""-""&amp;Regexreplace(to_text(F1312),""[^A-Za-z0-9]"",""""))"),"NEPTRONIC-EVCBSERIES")</f>
        <v>NEPTRONIC-EVCBSERIES</v>
      </c>
    </row>
    <row r="1313" ht="30.0" customHeight="1">
      <c r="A1313" s="173">
        <v>1305.0</v>
      </c>
      <c r="B1313" s="237" t="s">
        <v>670</v>
      </c>
      <c r="C1313" s="257" t="s">
        <v>5445</v>
      </c>
      <c r="D1313" s="173" t="s">
        <v>5445</v>
      </c>
      <c r="E1313" s="174" t="s">
        <v>2861</v>
      </c>
      <c r="F1313" s="173" t="s">
        <v>2862</v>
      </c>
      <c r="G1313" s="328" t="s">
        <v>673</v>
      </c>
      <c r="H1313" s="328" t="s">
        <v>2863</v>
      </c>
      <c r="I1313" s="258" t="s">
        <v>2864</v>
      </c>
      <c r="J1313" s="259" t="s">
        <v>1088</v>
      </c>
      <c r="K1313" s="260" t="s">
        <v>5446</v>
      </c>
      <c r="L1313" s="328"/>
      <c r="M1313" s="343"/>
      <c r="N1313" s="173" t="s">
        <v>679</v>
      </c>
      <c r="O1313" s="173" t="s">
        <v>225</v>
      </c>
      <c r="P1313" s="262" t="str">
        <f t="shared" si="1"/>
        <v>IN-BLR-ANANTA-VAV-885_5</v>
      </c>
      <c r="Q1313" s="173" t="s">
        <v>5447</v>
      </c>
      <c r="R1313" s="328" t="str">
        <f>IFS(C1313="","",C1313="n/a","N/A",LEN(C1313),Concatenate("{",char(34),"asset",char(34),":{",char(34),"guid",char(34),":",char(34),Q1313,char(34),",",char(34),"site",char(34),":",char(34),LOWER('2-Building'!$B$4),char(34),",",char(34),"name",char(34),":",char(34),LOWER(C1313),char(34),"}}"))</f>
        <v>{"asset":{"guid":"uuid://cddd89ab-70a9-4244-bb62-6c7d8ad20b40","site":"in-blr-ananta","name":"vav-885"}}</v>
      </c>
      <c r="S1313" s="237" t="s">
        <v>2866</v>
      </c>
      <c r="T1313" s="330"/>
      <c r="U1313" s="330"/>
      <c r="V1313" s="331"/>
      <c r="W1313" s="344"/>
      <c r="X1313" s="341"/>
      <c r="Y1313" s="33" t="s">
        <v>2867</v>
      </c>
      <c r="Z1313" s="258">
        <v>120885.0</v>
      </c>
      <c r="AA1313" s="334">
        <v>11574.0</v>
      </c>
      <c r="AB1313" s="341"/>
      <c r="AC1313" s="341"/>
      <c r="AD1313" s="343"/>
      <c r="AE1313" s="331"/>
      <c r="AF1313" s="348"/>
      <c r="AG1313" s="337"/>
      <c r="AH1313" s="341"/>
      <c r="AI1313" s="341"/>
      <c r="AJ1313" s="341"/>
      <c r="AK1313" s="341"/>
      <c r="AL1313" s="341"/>
      <c r="AM1313" s="338"/>
      <c r="AN1313" s="341"/>
      <c r="AO1313" s="341"/>
      <c r="AP1313" s="341"/>
      <c r="AQ1313" s="341"/>
      <c r="AR1313" s="341"/>
      <c r="AS1313" s="341"/>
      <c r="AT1313" s="341"/>
      <c r="AU1313" s="343"/>
      <c r="AV1313" s="341"/>
      <c r="AW1313" s="269" t="s">
        <v>2267</v>
      </c>
      <c r="AX1313" s="334" t="s">
        <v>2869</v>
      </c>
      <c r="AY1313" s="270" t="s">
        <v>695</v>
      </c>
      <c r="AZ1313" s="173" t="s">
        <v>2866</v>
      </c>
      <c r="BA1313" s="265">
        <v>10.0</v>
      </c>
      <c r="BB1313" s="174" t="s">
        <v>245</v>
      </c>
      <c r="BC1313" s="341"/>
      <c r="BD1313" s="308"/>
      <c r="BE1313" s="347"/>
      <c r="BF1313" s="274" t="str">
        <f>IFERROR(__xludf.DUMMYFUNCTION("LOWER(Regexreplace(to_text(E1313),""[^A-Za-z0-9]"","""")&amp;""_""&amp;Regexreplace(to_text(F1313),""[^A-Za-z0-9]"",""""))"),"neptronic_evcbseries")</f>
        <v>neptronic_evcbseries</v>
      </c>
      <c r="BG1313" s="275" t="str">
        <f>IFERROR(__xludf.DUMMYFUNCTION("upper(Regexreplace(to_text(E1313),""[^A-Za-z0-9]"","""")&amp;""-""&amp;Regexreplace(to_text(F1313),""[^A-Za-z0-9]"",""""))"),"NEPTRONIC-EVCBSERIES")</f>
        <v>NEPTRONIC-EVCBSERIES</v>
      </c>
    </row>
    <row r="1314" ht="30.0" customHeight="1">
      <c r="A1314" s="258">
        <v>1306.0</v>
      </c>
      <c r="B1314" s="237" t="s">
        <v>670</v>
      </c>
      <c r="C1314" s="257" t="s">
        <v>5448</v>
      </c>
      <c r="D1314" s="173" t="s">
        <v>5448</v>
      </c>
      <c r="E1314" s="174" t="s">
        <v>2861</v>
      </c>
      <c r="F1314" s="173" t="s">
        <v>2862</v>
      </c>
      <c r="G1314" s="328" t="s">
        <v>673</v>
      </c>
      <c r="H1314" s="328" t="s">
        <v>2863</v>
      </c>
      <c r="I1314" s="258" t="s">
        <v>2864</v>
      </c>
      <c r="J1314" s="259" t="s">
        <v>1088</v>
      </c>
      <c r="K1314" s="260" t="s">
        <v>5429</v>
      </c>
      <c r="L1314" s="328"/>
      <c r="M1314" s="343"/>
      <c r="N1314" s="173" t="s">
        <v>679</v>
      </c>
      <c r="O1314" s="173" t="s">
        <v>225</v>
      </c>
      <c r="P1314" s="262" t="str">
        <f t="shared" si="1"/>
        <v>IN-BLR-ANANTA-VAV-886_5</v>
      </c>
      <c r="Q1314" s="173" t="s">
        <v>5449</v>
      </c>
      <c r="R1314" s="328" t="str">
        <f>IFS(C1314="","",C1314="n/a","N/A",LEN(C1314),Concatenate("{",char(34),"asset",char(34),":{",char(34),"guid",char(34),":",char(34),Q1314,char(34),",",char(34),"site",char(34),":",char(34),LOWER('2-Building'!$B$4),char(34),",",char(34),"name",char(34),":",char(34),LOWER(C1314),char(34),"}}"))</f>
        <v>{"asset":{"guid":"uuid://ad768997-cca1-43b9-89d8-e544390fa666","site":"in-blr-ananta","name":"vav-886"}}</v>
      </c>
      <c r="S1314" s="237" t="s">
        <v>2866</v>
      </c>
      <c r="T1314" s="330"/>
      <c r="U1314" s="330"/>
      <c r="V1314" s="331"/>
      <c r="W1314" s="344"/>
      <c r="X1314" s="341"/>
      <c r="Y1314" s="33" t="s">
        <v>2867</v>
      </c>
      <c r="Z1314" s="258">
        <v>120886.0</v>
      </c>
      <c r="AA1314" s="334">
        <v>11574.0</v>
      </c>
      <c r="AB1314" s="341"/>
      <c r="AC1314" s="341"/>
      <c r="AD1314" s="343"/>
      <c r="AE1314" s="331"/>
      <c r="AF1314" s="348"/>
      <c r="AG1314" s="337"/>
      <c r="AH1314" s="341"/>
      <c r="AI1314" s="341"/>
      <c r="AJ1314" s="341"/>
      <c r="AK1314" s="341"/>
      <c r="AL1314" s="341"/>
      <c r="AM1314" s="338"/>
      <c r="AN1314" s="341"/>
      <c r="AO1314" s="341"/>
      <c r="AP1314" s="341"/>
      <c r="AQ1314" s="341"/>
      <c r="AR1314" s="341"/>
      <c r="AS1314" s="341"/>
      <c r="AT1314" s="341"/>
      <c r="AU1314" s="343"/>
      <c r="AV1314" s="341"/>
      <c r="AW1314" s="269" t="s">
        <v>2267</v>
      </c>
      <c r="AX1314" s="334" t="s">
        <v>2869</v>
      </c>
      <c r="AY1314" s="270" t="s">
        <v>695</v>
      </c>
      <c r="AZ1314" s="173" t="s">
        <v>2866</v>
      </c>
      <c r="BA1314" s="265">
        <v>10.0</v>
      </c>
      <c r="BB1314" s="174" t="s">
        <v>245</v>
      </c>
      <c r="BC1314" s="341"/>
      <c r="BD1314" s="308"/>
      <c r="BE1314" s="347"/>
      <c r="BF1314" s="274" t="str">
        <f>IFERROR(__xludf.DUMMYFUNCTION("LOWER(Regexreplace(to_text(E1314),""[^A-Za-z0-9]"","""")&amp;""_""&amp;Regexreplace(to_text(F1314),""[^A-Za-z0-9]"",""""))"),"neptronic_evcbseries")</f>
        <v>neptronic_evcbseries</v>
      </c>
      <c r="BG1314" s="275" t="str">
        <f>IFERROR(__xludf.DUMMYFUNCTION("upper(Regexreplace(to_text(E1314),""[^A-Za-z0-9]"","""")&amp;""-""&amp;Regexreplace(to_text(F1314),""[^A-Za-z0-9]"",""""))"),"NEPTRONIC-EVCBSERIES")</f>
        <v>NEPTRONIC-EVCBSERIES</v>
      </c>
    </row>
    <row r="1315" ht="30.0" customHeight="1">
      <c r="A1315" s="173">
        <v>1307.0</v>
      </c>
      <c r="B1315" s="237" t="s">
        <v>670</v>
      </c>
      <c r="C1315" s="257" t="s">
        <v>5450</v>
      </c>
      <c r="D1315" s="173" t="s">
        <v>5450</v>
      </c>
      <c r="E1315" s="174" t="s">
        <v>2861</v>
      </c>
      <c r="F1315" s="173" t="s">
        <v>2862</v>
      </c>
      <c r="G1315" s="328" t="s">
        <v>673</v>
      </c>
      <c r="H1315" s="328" t="s">
        <v>2863</v>
      </c>
      <c r="I1315" s="258" t="s">
        <v>2864</v>
      </c>
      <c r="J1315" s="259" t="s">
        <v>1088</v>
      </c>
      <c r="K1315" s="260" t="s">
        <v>5451</v>
      </c>
      <c r="L1315" s="328"/>
      <c r="M1315" s="343"/>
      <c r="N1315" s="173" t="s">
        <v>679</v>
      </c>
      <c r="O1315" s="173" t="s">
        <v>225</v>
      </c>
      <c r="P1315" s="262" t="str">
        <f t="shared" si="1"/>
        <v>IN-BLR-ANANTA-VAV-887_5</v>
      </c>
      <c r="Q1315" s="173" t="s">
        <v>5452</v>
      </c>
      <c r="R1315" s="328" t="str">
        <f>IFS(C1315="","",C1315="n/a","N/A",LEN(C1315),Concatenate("{",char(34),"asset",char(34),":{",char(34),"guid",char(34),":",char(34),Q1315,char(34),",",char(34),"site",char(34),":",char(34),LOWER('2-Building'!$B$4),char(34),",",char(34),"name",char(34),":",char(34),LOWER(C1315),char(34),"}}"))</f>
        <v>{"asset":{"guid":"uuid://95c88ed0-3304-48d4-93b0-9bc56b2c3c00","site":"in-blr-ananta","name":"vav-887"}}</v>
      </c>
      <c r="S1315" s="237" t="s">
        <v>2866</v>
      </c>
      <c r="T1315" s="330"/>
      <c r="U1315" s="330"/>
      <c r="V1315" s="331"/>
      <c r="W1315" s="344"/>
      <c r="X1315" s="341"/>
      <c r="Y1315" s="33" t="s">
        <v>2867</v>
      </c>
      <c r="Z1315" s="258">
        <v>120887.0</v>
      </c>
      <c r="AA1315" s="334">
        <v>11574.0</v>
      </c>
      <c r="AB1315" s="341"/>
      <c r="AC1315" s="341"/>
      <c r="AD1315" s="343"/>
      <c r="AE1315" s="331"/>
      <c r="AF1315" s="348"/>
      <c r="AG1315" s="337"/>
      <c r="AH1315" s="341"/>
      <c r="AI1315" s="341"/>
      <c r="AJ1315" s="341"/>
      <c r="AK1315" s="341"/>
      <c r="AL1315" s="341"/>
      <c r="AM1315" s="338"/>
      <c r="AN1315" s="341"/>
      <c r="AO1315" s="341"/>
      <c r="AP1315" s="341"/>
      <c r="AQ1315" s="341"/>
      <c r="AR1315" s="341"/>
      <c r="AS1315" s="341"/>
      <c r="AT1315" s="341"/>
      <c r="AU1315" s="343"/>
      <c r="AV1315" s="341"/>
      <c r="AW1315" s="269" t="s">
        <v>2267</v>
      </c>
      <c r="AX1315" s="334" t="s">
        <v>2869</v>
      </c>
      <c r="AY1315" s="270" t="s">
        <v>695</v>
      </c>
      <c r="AZ1315" s="173" t="s">
        <v>2866</v>
      </c>
      <c r="BA1315" s="265">
        <v>10.0</v>
      </c>
      <c r="BB1315" s="174" t="s">
        <v>245</v>
      </c>
      <c r="BC1315" s="341"/>
      <c r="BD1315" s="308"/>
      <c r="BE1315" s="347"/>
      <c r="BF1315" s="274" t="str">
        <f>IFERROR(__xludf.DUMMYFUNCTION("LOWER(Regexreplace(to_text(E1315),""[^A-Za-z0-9]"","""")&amp;""_""&amp;Regexreplace(to_text(F1315),""[^A-Za-z0-9]"",""""))"),"neptronic_evcbseries")</f>
        <v>neptronic_evcbseries</v>
      </c>
      <c r="BG1315" s="275" t="str">
        <f>IFERROR(__xludf.DUMMYFUNCTION("upper(Regexreplace(to_text(E1315),""[^A-Za-z0-9]"","""")&amp;""-""&amp;Regexreplace(to_text(F1315),""[^A-Za-z0-9]"",""""))"),"NEPTRONIC-EVCBSERIES")</f>
        <v>NEPTRONIC-EVCBSERIES</v>
      </c>
    </row>
    <row r="1316" ht="30.0" customHeight="1">
      <c r="A1316" s="258">
        <v>1308.0</v>
      </c>
      <c r="B1316" s="237" t="s">
        <v>670</v>
      </c>
      <c r="C1316" s="257" t="s">
        <v>5453</v>
      </c>
      <c r="D1316" s="173" t="s">
        <v>5453</v>
      </c>
      <c r="E1316" s="174" t="s">
        <v>2861</v>
      </c>
      <c r="F1316" s="173" t="s">
        <v>2862</v>
      </c>
      <c r="G1316" s="328" t="s">
        <v>673</v>
      </c>
      <c r="H1316" s="328" t="s">
        <v>2863</v>
      </c>
      <c r="I1316" s="258" t="s">
        <v>2864</v>
      </c>
      <c r="J1316" s="259" t="s">
        <v>1088</v>
      </c>
      <c r="K1316" s="260" t="s">
        <v>5454</v>
      </c>
      <c r="L1316" s="328"/>
      <c r="M1316" s="343"/>
      <c r="N1316" s="173" t="s">
        <v>679</v>
      </c>
      <c r="O1316" s="173" t="s">
        <v>225</v>
      </c>
      <c r="P1316" s="262" t="str">
        <f t="shared" si="1"/>
        <v>IN-BLR-ANANTA-VAV-888_5</v>
      </c>
      <c r="Q1316" s="173" t="s">
        <v>5455</v>
      </c>
      <c r="R1316" s="328" t="str">
        <f>IFS(C1316="","",C1316="n/a","N/A",LEN(C1316),Concatenate("{",char(34),"asset",char(34),":{",char(34),"guid",char(34),":",char(34),Q1316,char(34),",",char(34),"site",char(34),":",char(34),LOWER('2-Building'!$B$4),char(34),",",char(34),"name",char(34),":",char(34),LOWER(C1316),char(34),"}}"))</f>
        <v>{"asset":{"guid":"uuid://81475a49-4f5a-4475-abdf-d217f28108dc","site":"in-blr-ananta","name":"vav-888"}}</v>
      </c>
      <c r="S1316" s="237" t="s">
        <v>2866</v>
      </c>
      <c r="T1316" s="330"/>
      <c r="U1316" s="330"/>
      <c r="V1316" s="331"/>
      <c r="W1316" s="344"/>
      <c r="X1316" s="341"/>
      <c r="Y1316" s="33" t="s">
        <v>2867</v>
      </c>
      <c r="Z1316" s="258">
        <v>120888.0</v>
      </c>
      <c r="AA1316" s="334">
        <v>11574.0</v>
      </c>
      <c r="AB1316" s="341"/>
      <c r="AC1316" s="341"/>
      <c r="AD1316" s="343"/>
      <c r="AE1316" s="331"/>
      <c r="AF1316" s="348"/>
      <c r="AG1316" s="337"/>
      <c r="AH1316" s="341"/>
      <c r="AI1316" s="341"/>
      <c r="AJ1316" s="341"/>
      <c r="AK1316" s="341"/>
      <c r="AL1316" s="341"/>
      <c r="AM1316" s="338"/>
      <c r="AN1316" s="341"/>
      <c r="AO1316" s="341"/>
      <c r="AP1316" s="341"/>
      <c r="AQ1316" s="341"/>
      <c r="AR1316" s="341"/>
      <c r="AS1316" s="341"/>
      <c r="AT1316" s="341"/>
      <c r="AU1316" s="343"/>
      <c r="AV1316" s="341"/>
      <c r="AW1316" s="269" t="s">
        <v>2267</v>
      </c>
      <c r="AX1316" s="334" t="s">
        <v>2869</v>
      </c>
      <c r="AY1316" s="270" t="s">
        <v>695</v>
      </c>
      <c r="AZ1316" s="173" t="s">
        <v>2866</v>
      </c>
      <c r="BA1316" s="265">
        <v>10.0</v>
      </c>
      <c r="BB1316" s="174" t="s">
        <v>245</v>
      </c>
      <c r="BC1316" s="341"/>
      <c r="BD1316" s="308"/>
      <c r="BE1316" s="347"/>
      <c r="BF1316" s="274" t="str">
        <f>IFERROR(__xludf.DUMMYFUNCTION("LOWER(Regexreplace(to_text(E1316),""[^A-Za-z0-9]"","""")&amp;""_""&amp;Regexreplace(to_text(F1316),""[^A-Za-z0-9]"",""""))"),"neptronic_evcbseries")</f>
        <v>neptronic_evcbseries</v>
      </c>
      <c r="BG1316" s="275" t="str">
        <f>IFERROR(__xludf.DUMMYFUNCTION("upper(Regexreplace(to_text(E1316),""[^A-Za-z0-9]"","""")&amp;""-""&amp;Regexreplace(to_text(F1316),""[^A-Za-z0-9]"",""""))"),"NEPTRONIC-EVCBSERIES")</f>
        <v>NEPTRONIC-EVCBSERIES</v>
      </c>
    </row>
    <row r="1317" ht="30.0" customHeight="1">
      <c r="A1317" s="173">
        <v>1309.0</v>
      </c>
      <c r="B1317" s="237" t="s">
        <v>670</v>
      </c>
      <c r="C1317" s="257" t="s">
        <v>5456</v>
      </c>
      <c r="D1317" s="173" t="s">
        <v>5456</v>
      </c>
      <c r="E1317" s="174" t="s">
        <v>2861</v>
      </c>
      <c r="F1317" s="173" t="s">
        <v>2862</v>
      </c>
      <c r="G1317" s="328" t="s">
        <v>673</v>
      </c>
      <c r="H1317" s="328" t="s">
        <v>2863</v>
      </c>
      <c r="I1317" s="258" t="s">
        <v>2864</v>
      </c>
      <c r="J1317" s="259" t="s">
        <v>1088</v>
      </c>
      <c r="K1317" s="260" t="s">
        <v>5457</v>
      </c>
      <c r="L1317" s="328"/>
      <c r="M1317" s="343"/>
      <c r="N1317" s="173" t="s">
        <v>679</v>
      </c>
      <c r="O1317" s="173" t="s">
        <v>225</v>
      </c>
      <c r="P1317" s="262" t="str">
        <f t="shared" si="1"/>
        <v>IN-BLR-ANANTA-VAV-889_5</v>
      </c>
      <c r="Q1317" s="173" t="s">
        <v>5458</v>
      </c>
      <c r="R1317" s="328" t="str">
        <f>IFS(C1317="","",C1317="n/a","N/A",LEN(C1317),Concatenate("{",char(34),"asset",char(34),":{",char(34),"guid",char(34),":",char(34),Q1317,char(34),",",char(34),"site",char(34),":",char(34),LOWER('2-Building'!$B$4),char(34),",",char(34),"name",char(34),":",char(34),LOWER(C1317),char(34),"}}"))</f>
        <v>{"asset":{"guid":"uuid://0e4a0934-fcc4-4ea4-bbb7-d8ee94930999","site":"in-blr-ananta","name":"vav-889"}}</v>
      </c>
      <c r="S1317" s="237" t="s">
        <v>2866</v>
      </c>
      <c r="T1317" s="330"/>
      <c r="U1317" s="330"/>
      <c r="V1317" s="331"/>
      <c r="W1317" s="344"/>
      <c r="X1317" s="341"/>
      <c r="Y1317" s="33" t="s">
        <v>2867</v>
      </c>
      <c r="Z1317" s="258">
        <v>120889.0</v>
      </c>
      <c r="AA1317" s="334">
        <v>11574.0</v>
      </c>
      <c r="AB1317" s="341"/>
      <c r="AC1317" s="341"/>
      <c r="AD1317" s="343"/>
      <c r="AE1317" s="331"/>
      <c r="AF1317" s="348"/>
      <c r="AG1317" s="337"/>
      <c r="AH1317" s="341"/>
      <c r="AI1317" s="341"/>
      <c r="AJ1317" s="341"/>
      <c r="AK1317" s="341"/>
      <c r="AL1317" s="341"/>
      <c r="AM1317" s="338"/>
      <c r="AN1317" s="341"/>
      <c r="AO1317" s="341"/>
      <c r="AP1317" s="341"/>
      <c r="AQ1317" s="341"/>
      <c r="AR1317" s="341"/>
      <c r="AS1317" s="341"/>
      <c r="AT1317" s="341"/>
      <c r="AU1317" s="343"/>
      <c r="AV1317" s="341"/>
      <c r="AW1317" s="269" t="s">
        <v>2267</v>
      </c>
      <c r="AX1317" s="334" t="s">
        <v>2869</v>
      </c>
      <c r="AY1317" s="270" t="s">
        <v>695</v>
      </c>
      <c r="AZ1317" s="173" t="s">
        <v>2866</v>
      </c>
      <c r="BA1317" s="265">
        <v>10.0</v>
      </c>
      <c r="BB1317" s="174" t="s">
        <v>245</v>
      </c>
      <c r="BC1317" s="341"/>
      <c r="BD1317" s="308"/>
      <c r="BE1317" s="347"/>
      <c r="BF1317" s="274" t="str">
        <f>IFERROR(__xludf.DUMMYFUNCTION("LOWER(Regexreplace(to_text(E1317),""[^A-Za-z0-9]"","""")&amp;""_""&amp;Regexreplace(to_text(F1317),""[^A-Za-z0-9]"",""""))"),"neptronic_evcbseries")</f>
        <v>neptronic_evcbseries</v>
      </c>
      <c r="BG1317" s="275" t="str">
        <f>IFERROR(__xludf.DUMMYFUNCTION("upper(Regexreplace(to_text(E1317),""[^A-Za-z0-9]"","""")&amp;""-""&amp;Regexreplace(to_text(F1317),""[^A-Za-z0-9]"",""""))"),"NEPTRONIC-EVCBSERIES")</f>
        <v>NEPTRONIC-EVCBSERIES</v>
      </c>
    </row>
    <row r="1318" ht="30.0" customHeight="1">
      <c r="A1318" s="258">
        <v>1310.0</v>
      </c>
      <c r="B1318" s="237" t="s">
        <v>670</v>
      </c>
      <c r="C1318" s="257" t="s">
        <v>5459</v>
      </c>
      <c r="D1318" s="173" t="s">
        <v>5459</v>
      </c>
      <c r="E1318" s="174" t="s">
        <v>2861</v>
      </c>
      <c r="F1318" s="173" t="s">
        <v>2862</v>
      </c>
      <c r="G1318" s="328" t="s">
        <v>673</v>
      </c>
      <c r="H1318" s="328" t="s">
        <v>2863</v>
      </c>
      <c r="I1318" s="258" t="s">
        <v>2864</v>
      </c>
      <c r="J1318" s="259" t="s">
        <v>1088</v>
      </c>
      <c r="K1318" s="260" t="s">
        <v>5460</v>
      </c>
      <c r="L1318" s="328"/>
      <c r="M1318" s="343"/>
      <c r="N1318" s="173" t="s">
        <v>679</v>
      </c>
      <c r="O1318" s="173" t="s">
        <v>225</v>
      </c>
      <c r="P1318" s="262" t="str">
        <f t="shared" si="1"/>
        <v>IN-BLR-ANANTA-VAV-890_5</v>
      </c>
      <c r="Q1318" s="173" t="s">
        <v>5461</v>
      </c>
      <c r="R1318" s="328" t="str">
        <f>IFS(C1318="","",C1318="n/a","N/A",LEN(C1318),Concatenate("{",char(34),"asset",char(34),":{",char(34),"guid",char(34),":",char(34),Q1318,char(34),",",char(34),"site",char(34),":",char(34),LOWER('2-Building'!$B$4),char(34),",",char(34),"name",char(34),":",char(34),LOWER(C1318),char(34),"}}"))</f>
        <v>{"asset":{"guid":"uuid://b58bf5b2-efac-49f4-ac53-3a87f17db74e","site":"in-blr-ananta","name":"vav-890"}}</v>
      </c>
      <c r="S1318" s="237" t="s">
        <v>2866</v>
      </c>
      <c r="T1318" s="330"/>
      <c r="U1318" s="330"/>
      <c r="V1318" s="331"/>
      <c r="W1318" s="344"/>
      <c r="X1318" s="341"/>
      <c r="Y1318" s="33" t="s">
        <v>2867</v>
      </c>
      <c r="Z1318" s="258">
        <v>120890.0</v>
      </c>
      <c r="AA1318" s="334">
        <v>11574.0</v>
      </c>
      <c r="AB1318" s="341"/>
      <c r="AC1318" s="341"/>
      <c r="AD1318" s="343"/>
      <c r="AE1318" s="331"/>
      <c r="AF1318" s="348"/>
      <c r="AG1318" s="337"/>
      <c r="AH1318" s="341"/>
      <c r="AI1318" s="341"/>
      <c r="AJ1318" s="341"/>
      <c r="AK1318" s="341"/>
      <c r="AL1318" s="341"/>
      <c r="AM1318" s="338"/>
      <c r="AN1318" s="341"/>
      <c r="AO1318" s="341"/>
      <c r="AP1318" s="341"/>
      <c r="AQ1318" s="341"/>
      <c r="AR1318" s="341"/>
      <c r="AS1318" s="341"/>
      <c r="AT1318" s="341"/>
      <c r="AU1318" s="343"/>
      <c r="AV1318" s="341"/>
      <c r="AW1318" s="269" t="s">
        <v>2267</v>
      </c>
      <c r="AX1318" s="334" t="s">
        <v>2869</v>
      </c>
      <c r="AY1318" s="270" t="s">
        <v>695</v>
      </c>
      <c r="AZ1318" s="173" t="s">
        <v>2866</v>
      </c>
      <c r="BA1318" s="265">
        <v>10.0</v>
      </c>
      <c r="BB1318" s="174" t="s">
        <v>245</v>
      </c>
      <c r="BC1318" s="341"/>
      <c r="BD1318" s="308"/>
      <c r="BE1318" s="347"/>
      <c r="BF1318" s="274" t="str">
        <f>IFERROR(__xludf.DUMMYFUNCTION("LOWER(Regexreplace(to_text(E1318),""[^A-Za-z0-9]"","""")&amp;""_""&amp;Regexreplace(to_text(F1318),""[^A-Za-z0-9]"",""""))"),"neptronic_evcbseries")</f>
        <v>neptronic_evcbseries</v>
      </c>
      <c r="BG1318" s="275" t="str">
        <f>IFERROR(__xludf.DUMMYFUNCTION("upper(Regexreplace(to_text(E1318),""[^A-Za-z0-9]"","""")&amp;""-""&amp;Regexreplace(to_text(F1318),""[^A-Za-z0-9]"",""""))"),"NEPTRONIC-EVCBSERIES")</f>
        <v>NEPTRONIC-EVCBSERIES</v>
      </c>
    </row>
    <row r="1319" ht="30.0" customHeight="1">
      <c r="A1319" s="173">
        <v>1311.0</v>
      </c>
      <c r="B1319" s="237" t="s">
        <v>670</v>
      </c>
      <c r="C1319" s="257" t="s">
        <v>5462</v>
      </c>
      <c r="D1319" s="173" t="s">
        <v>5462</v>
      </c>
      <c r="E1319" s="174" t="s">
        <v>2861</v>
      </c>
      <c r="F1319" s="173" t="s">
        <v>2862</v>
      </c>
      <c r="G1319" s="328" t="s">
        <v>673</v>
      </c>
      <c r="H1319" s="328" t="s">
        <v>2863</v>
      </c>
      <c r="I1319" s="258" t="s">
        <v>2864</v>
      </c>
      <c r="J1319" s="259" t="s">
        <v>1088</v>
      </c>
      <c r="K1319" s="260" t="s">
        <v>5463</v>
      </c>
      <c r="L1319" s="328"/>
      <c r="M1319" s="343"/>
      <c r="N1319" s="173" t="s">
        <v>679</v>
      </c>
      <c r="O1319" s="173" t="s">
        <v>225</v>
      </c>
      <c r="P1319" s="262" t="str">
        <f t="shared" si="1"/>
        <v>IN-BLR-ANANTA-VAV-891_5</v>
      </c>
      <c r="Q1319" s="173" t="s">
        <v>5464</v>
      </c>
      <c r="R1319" s="328" t="str">
        <f>IFS(C1319="","",C1319="n/a","N/A",LEN(C1319),Concatenate("{",char(34),"asset",char(34),":{",char(34),"guid",char(34),":",char(34),Q1319,char(34),",",char(34),"site",char(34),":",char(34),LOWER('2-Building'!$B$4),char(34),",",char(34),"name",char(34),":",char(34),LOWER(C1319),char(34),"}}"))</f>
        <v>{"asset":{"guid":"uuid://6e5c9d2d-8c9b-4c83-91d5-9dc4076eb990","site":"in-blr-ananta","name":"vav-891"}}</v>
      </c>
      <c r="S1319" s="237" t="s">
        <v>2866</v>
      </c>
      <c r="T1319" s="330"/>
      <c r="U1319" s="330"/>
      <c r="V1319" s="331"/>
      <c r="W1319" s="344"/>
      <c r="X1319" s="341"/>
      <c r="Y1319" s="33" t="s">
        <v>2867</v>
      </c>
      <c r="Z1319" s="258">
        <v>120891.0</v>
      </c>
      <c r="AA1319" s="334">
        <v>11574.0</v>
      </c>
      <c r="AB1319" s="341"/>
      <c r="AC1319" s="341"/>
      <c r="AD1319" s="343"/>
      <c r="AE1319" s="331"/>
      <c r="AF1319" s="348"/>
      <c r="AG1319" s="337"/>
      <c r="AH1319" s="341"/>
      <c r="AI1319" s="341"/>
      <c r="AJ1319" s="341"/>
      <c r="AK1319" s="341"/>
      <c r="AL1319" s="341"/>
      <c r="AM1319" s="338"/>
      <c r="AN1319" s="341"/>
      <c r="AO1319" s="341"/>
      <c r="AP1319" s="341"/>
      <c r="AQ1319" s="341"/>
      <c r="AR1319" s="341"/>
      <c r="AS1319" s="341"/>
      <c r="AT1319" s="341"/>
      <c r="AU1319" s="343"/>
      <c r="AV1319" s="341"/>
      <c r="AW1319" s="269" t="s">
        <v>2267</v>
      </c>
      <c r="AX1319" s="334" t="s">
        <v>2869</v>
      </c>
      <c r="AY1319" s="270" t="s">
        <v>695</v>
      </c>
      <c r="AZ1319" s="173" t="s">
        <v>2866</v>
      </c>
      <c r="BA1319" s="265">
        <v>10.0</v>
      </c>
      <c r="BB1319" s="174" t="s">
        <v>245</v>
      </c>
      <c r="BC1319" s="341"/>
      <c r="BD1319" s="308"/>
      <c r="BE1319" s="347"/>
      <c r="BF1319" s="274" t="str">
        <f>IFERROR(__xludf.DUMMYFUNCTION("LOWER(Regexreplace(to_text(E1319),""[^A-Za-z0-9]"","""")&amp;""_""&amp;Regexreplace(to_text(F1319),""[^A-Za-z0-9]"",""""))"),"neptronic_evcbseries")</f>
        <v>neptronic_evcbseries</v>
      </c>
      <c r="BG1319" s="275" t="str">
        <f>IFERROR(__xludf.DUMMYFUNCTION("upper(Regexreplace(to_text(E1319),""[^A-Za-z0-9]"","""")&amp;""-""&amp;Regexreplace(to_text(F1319),""[^A-Za-z0-9]"",""""))"),"NEPTRONIC-EVCBSERIES")</f>
        <v>NEPTRONIC-EVCBSERIES</v>
      </c>
    </row>
    <row r="1320" ht="30.0" customHeight="1">
      <c r="A1320" s="258">
        <v>1312.0</v>
      </c>
      <c r="B1320" s="237" t="s">
        <v>670</v>
      </c>
      <c r="C1320" s="257" t="s">
        <v>5465</v>
      </c>
      <c r="D1320" s="173" t="s">
        <v>5465</v>
      </c>
      <c r="E1320" s="174" t="s">
        <v>2861</v>
      </c>
      <c r="F1320" s="173" t="s">
        <v>2862</v>
      </c>
      <c r="G1320" s="328" t="s">
        <v>673</v>
      </c>
      <c r="H1320" s="328" t="s">
        <v>2863</v>
      </c>
      <c r="I1320" s="258" t="s">
        <v>2864</v>
      </c>
      <c r="J1320" s="259" t="s">
        <v>1088</v>
      </c>
      <c r="K1320" s="260" t="s">
        <v>5466</v>
      </c>
      <c r="L1320" s="328"/>
      <c r="M1320" s="343"/>
      <c r="N1320" s="173" t="s">
        <v>679</v>
      </c>
      <c r="O1320" s="173" t="s">
        <v>225</v>
      </c>
      <c r="P1320" s="262" t="str">
        <f t="shared" si="1"/>
        <v>IN-BLR-ANANTA-VAV-892_5</v>
      </c>
      <c r="Q1320" s="173" t="s">
        <v>5467</v>
      </c>
      <c r="R1320" s="328" t="str">
        <f>IFS(C1320="","",C1320="n/a","N/A",LEN(C1320),Concatenate("{",char(34),"asset",char(34),":{",char(34),"guid",char(34),":",char(34),Q1320,char(34),",",char(34),"site",char(34),":",char(34),LOWER('2-Building'!$B$4),char(34),",",char(34),"name",char(34),":",char(34),LOWER(C1320),char(34),"}}"))</f>
        <v>{"asset":{"guid":"uuid://3752c60f-fd60-4659-8f50-f3c20becc260","site":"in-blr-ananta","name":"vav-892"}}</v>
      </c>
      <c r="S1320" s="237" t="s">
        <v>2866</v>
      </c>
      <c r="T1320" s="330"/>
      <c r="U1320" s="330"/>
      <c r="V1320" s="331"/>
      <c r="W1320" s="344"/>
      <c r="X1320" s="341"/>
      <c r="Y1320" s="33" t="s">
        <v>2867</v>
      </c>
      <c r="Z1320" s="258">
        <v>120892.0</v>
      </c>
      <c r="AA1320" s="334">
        <v>11574.0</v>
      </c>
      <c r="AB1320" s="341"/>
      <c r="AC1320" s="341"/>
      <c r="AD1320" s="343"/>
      <c r="AE1320" s="331"/>
      <c r="AF1320" s="348"/>
      <c r="AG1320" s="337"/>
      <c r="AH1320" s="341"/>
      <c r="AI1320" s="341"/>
      <c r="AJ1320" s="341"/>
      <c r="AK1320" s="341"/>
      <c r="AL1320" s="341"/>
      <c r="AM1320" s="338"/>
      <c r="AN1320" s="341"/>
      <c r="AO1320" s="341"/>
      <c r="AP1320" s="341"/>
      <c r="AQ1320" s="341"/>
      <c r="AR1320" s="341"/>
      <c r="AS1320" s="341"/>
      <c r="AT1320" s="341"/>
      <c r="AU1320" s="343"/>
      <c r="AV1320" s="341"/>
      <c r="AW1320" s="269" t="s">
        <v>2267</v>
      </c>
      <c r="AX1320" s="334" t="s">
        <v>2869</v>
      </c>
      <c r="AY1320" s="270" t="s">
        <v>695</v>
      </c>
      <c r="AZ1320" s="173" t="s">
        <v>2866</v>
      </c>
      <c r="BA1320" s="265">
        <v>10.0</v>
      </c>
      <c r="BB1320" s="174" t="s">
        <v>245</v>
      </c>
      <c r="BC1320" s="341"/>
      <c r="BD1320" s="308"/>
      <c r="BE1320" s="347"/>
      <c r="BF1320" s="274" t="str">
        <f>IFERROR(__xludf.DUMMYFUNCTION("LOWER(Regexreplace(to_text(E1320),""[^A-Za-z0-9]"","""")&amp;""_""&amp;Regexreplace(to_text(F1320),""[^A-Za-z0-9]"",""""))"),"neptronic_evcbseries")</f>
        <v>neptronic_evcbseries</v>
      </c>
      <c r="BG1320" s="275" t="str">
        <f>IFERROR(__xludf.DUMMYFUNCTION("upper(Regexreplace(to_text(E1320),""[^A-Za-z0-9]"","""")&amp;""-""&amp;Regexreplace(to_text(F1320),""[^A-Za-z0-9]"",""""))"),"NEPTRONIC-EVCBSERIES")</f>
        <v>NEPTRONIC-EVCBSERIES</v>
      </c>
    </row>
    <row r="1321" ht="30.0" customHeight="1">
      <c r="A1321" s="173">
        <v>1313.0</v>
      </c>
      <c r="B1321" s="237" t="s">
        <v>670</v>
      </c>
      <c r="C1321" s="257" t="s">
        <v>5468</v>
      </c>
      <c r="D1321" s="173" t="s">
        <v>5468</v>
      </c>
      <c r="E1321" s="174" t="s">
        <v>2861</v>
      </c>
      <c r="F1321" s="173" t="s">
        <v>2862</v>
      </c>
      <c r="G1321" s="328" t="s">
        <v>673</v>
      </c>
      <c r="H1321" s="328" t="s">
        <v>2863</v>
      </c>
      <c r="I1321" s="258" t="s">
        <v>2864</v>
      </c>
      <c r="J1321" s="259" t="s">
        <v>1088</v>
      </c>
      <c r="K1321" s="260" t="s">
        <v>5469</v>
      </c>
      <c r="L1321" s="328"/>
      <c r="M1321" s="343"/>
      <c r="N1321" s="173" t="s">
        <v>679</v>
      </c>
      <c r="O1321" s="173" t="s">
        <v>225</v>
      </c>
      <c r="P1321" s="262" t="str">
        <f t="shared" si="1"/>
        <v>IN-BLR-ANANTA-VAV-893_5</v>
      </c>
      <c r="Q1321" s="173" t="s">
        <v>5470</v>
      </c>
      <c r="R1321" s="328" t="str">
        <f>IFS(C1321="","",C1321="n/a","N/A",LEN(C1321),Concatenate("{",char(34),"asset",char(34),":{",char(34),"guid",char(34),":",char(34),Q1321,char(34),",",char(34),"site",char(34),":",char(34),LOWER('2-Building'!$B$4),char(34),",",char(34),"name",char(34),":",char(34),LOWER(C1321),char(34),"}}"))</f>
        <v>{"asset":{"guid":"uuid://ca879102-c434-486b-8656-b029a69e8df2","site":"in-blr-ananta","name":"vav-893"}}</v>
      </c>
      <c r="S1321" s="237" t="s">
        <v>2866</v>
      </c>
      <c r="T1321" s="330"/>
      <c r="U1321" s="330"/>
      <c r="V1321" s="331"/>
      <c r="W1321" s="344"/>
      <c r="X1321" s="341"/>
      <c r="Y1321" s="33" t="s">
        <v>2867</v>
      </c>
      <c r="Z1321" s="258">
        <v>120893.0</v>
      </c>
      <c r="AA1321" s="334">
        <v>11574.0</v>
      </c>
      <c r="AB1321" s="341"/>
      <c r="AC1321" s="341"/>
      <c r="AD1321" s="343"/>
      <c r="AE1321" s="331"/>
      <c r="AF1321" s="348"/>
      <c r="AG1321" s="337"/>
      <c r="AH1321" s="341"/>
      <c r="AI1321" s="341"/>
      <c r="AJ1321" s="341"/>
      <c r="AK1321" s="341"/>
      <c r="AL1321" s="341"/>
      <c r="AM1321" s="338"/>
      <c r="AN1321" s="341"/>
      <c r="AO1321" s="341"/>
      <c r="AP1321" s="341"/>
      <c r="AQ1321" s="341"/>
      <c r="AR1321" s="341"/>
      <c r="AS1321" s="341"/>
      <c r="AT1321" s="341"/>
      <c r="AU1321" s="343"/>
      <c r="AV1321" s="341"/>
      <c r="AW1321" s="269" t="s">
        <v>2267</v>
      </c>
      <c r="AX1321" s="334" t="s">
        <v>2869</v>
      </c>
      <c r="AY1321" s="270" t="s">
        <v>695</v>
      </c>
      <c r="AZ1321" s="173" t="s">
        <v>2866</v>
      </c>
      <c r="BA1321" s="265">
        <v>10.0</v>
      </c>
      <c r="BB1321" s="174" t="s">
        <v>245</v>
      </c>
      <c r="BC1321" s="341"/>
      <c r="BD1321" s="308"/>
      <c r="BE1321" s="347"/>
      <c r="BF1321" s="274" t="str">
        <f>IFERROR(__xludf.DUMMYFUNCTION("LOWER(Regexreplace(to_text(E1321),""[^A-Za-z0-9]"","""")&amp;""_""&amp;Regexreplace(to_text(F1321),""[^A-Za-z0-9]"",""""))"),"neptronic_evcbseries")</f>
        <v>neptronic_evcbseries</v>
      </c>
      <c r="BG1321" s="275" t="str">
        <f>IFERROR(__xludf.DUMMYFUNCTION("upper(Regexreplace(to_text(E1321),""[^A-Za-z0-9]"","""")&amp;""-""&amp;Regexreplace(to_text(F1321),""[^A-Za-z0-9]"",""""))"),"NEPTRONIC-EVCBSERIES")</f>
        <v>NEPTRONIC-EVCBSERIES</v>
      </c>
    </row>
    <row r="1322" ht="30.0" customHeight="1">
      <c r="A1322" s="258">
        <v>1314.0</v>
      </c>
      <c r="B1322" s="237" t="s">
        <v>670</v>
      </c>
      <c r="C1322" s="257" t="s">
        <v>5471</v>
      </c>
      <c r="D1322" s="173" t="s">
        <v>5471</v>
      </c>
      <c r="E1322" s="174" t="s">
        <v>2861</v>
      </c>
      <c r="F1322" s="173" t="s">
        <v>2862</v>
      </c>
      <c r="G1322" s="328" t="s">
        <v>673</v>
      </c>
      <c r="H1322" s="328" t="s">
        <v>2863</v>
      </c>
      <c r="I1322" s="258" t="s">
        <v>2864</v>
      </c>
      <c r="J1322" s="259" t="s">
        <v>1088</v>
      </c>
      <c r="K1322" s="260" t="s">
        <v>5472</v>
      </c>
      <c r="L1322" s="328"/>
      <c r="M1322" s="343"/>
      <c r="N1322" s="173" t="s">
        <v>679</v>
      </c>
      <c r="O1322" s="173" t="s">
        <v>225</v>
      </c>
      <c r="P1322" s="262" t="str">
        <f t="shared" si="1"/>
        <v>IN-BLR-ANANTA-VAV-894_5</v>
      </c>
      <c r="Q1322" s="173" t="s">
        <v>5473</v>
      </c>
      <c r="R1322" s="328" t="str">
        <f>IFS(C1322="","",C1322="n/a","N/A",LEN(C1322),Concatenate("{",char(34),"asset",char(34),":{",char(34),"guid",char(34),":",char(34),Q1322,char(34),",",char(34),"site",char(34),":",char(34),LOWER('2-Building'!$B$4),char(34),",",char(34),"name",char(34),":",char(34),LOWER(C1322),char(34),"}}"))</f>
        <v>{"asset":{"guid":"uuid://cb507ede-f7dd-4b6e-ad0d-fd211ff8c070","site":"in-blr-ananta","name":"vav-894"}}</v>
      </c>
      <c r="S1322" s="237" t="s">
        <v>2866</v>
      </c>
      <c r="T1322" s="330"/>
      <c r="U1322" s="330"/>
      <c r="V1322" s="331"/>
      <c r="W1322" s="344"/>
      <c r="X1322" s="341"/>
      <c r="Y1322" s="33" t="s">
        <v>2867</v>
      </c>
      <c r="Z1322" s="258">
        <v>120894.0</v>
      </c>
      <c r="AA1322" s="334">
        <v>11574.0</v>
      </c>
      <c r="AB1322" s="341"/>
      <c r="AC1322" s="341"/>
      <c r="AD1322" s="343"/>
      <c r="AE1322" s="331"/>
      <c r="AF1322" s="348"/>
      <c r="AG1322" s="337"/>
      <c r="AH1322" s="341"/>
      <c r="AI1322" s="341"/>
      <c r="AJ1322" s="341"/>
      <c r="AK1322" s="341"/>
      <c r="AL1322" s="341"/>
      <c r="AM1322" s="338"/>
      <c r="AN1322" s="341"/>
      <c r="AO1322" s="341"/>
      <c r="AP1322" s="341"/>
      <c r="AQ1322" s="341"/>
      <c r="AR1322" s="341"/>
      <c r="AS1322" s="341"/>
      <c r="AT1322" s="341"/>
      <c r="AU1322" s="343"/>
      <c r="AV1322" s="341"/>
      <c r="AW1322" s="269" t="s">
        <v>2267</v>
      </c>
      <c r="AX1322" s="334" t="s">
        <v>2869</v>
      </c>
      <c r="AY1322" s="270" t="s">
        <v>695</v>
      </c>
      <c r="AZ1322" s="173" t="s">
        <v>2866</v>
      </c>
      <c r="BA1322" s="265">
        <v>10.0</v>
      </c>
      <c r="BB1322" s="174" t="s">
        <v>245</v>
      </c>
      <c r="BC1322" s="341"/>
      <c r="BD1322" s="308"/>
      <c r="BE1322" s="347"/>
      <c r="BF1322" s="274" t="str">
        <f>IFERROR(__xludf.DUMMYFUNCTION("LOWER(Regexreplace(to_text(E1322),""[^A-Za-z0-9]"","""")&amp;""_""&amp;Regexreplace(to_text(F1322),""[^A-Za-z0-9]"",""""))"),"neptronic_evcbseries")</f>
        <v>neptronic_evcbseries</v>
      </c>
      <c r="BG1322" s="275" t="str">
        <f>IFERROR(__xludf.DUMMYFUNCTION("upper(Regexreplace(to_text(E1322),""[^A-Za-z0-9]"","""")&amp;""-""&amp;Regexreplace(to_text(F1322),""[^A-Za-z0-9]"",""""))"),"NEPTRONIC-EVCBSERIES")</f>
        <v>NEPTRONIC-EVCBSERIES</v>
      </c>
    </row>
    <row r="1323" ht="30.0" customHeight="1">
      <c r="A1323" s="173">
        <v>1315.0</v>
      </c>
      <c r="B1323" s="237" t="s">
        <v>670</v>
      </c>
      <c r="C1323" s="257" t="s">
        <v>5474</v>
      </c>
      <c r="D1323" s="173" t="s">
        <v>5474</v>
      </c>
      <c r="E1323" s="174" t="s">
        <v>2861</v>
      </c>
      <c r="F1323" s="173" t="s">
        <v>2862</v>
      </c>
      <c r="G1323" s="328" t="s">
        <v>673</v>
      </c>
      <c r="H1323" s="328" t="s">
        <v>2863</v>
      </c>
      <c r="I1323" s="258" t="s">
        <v>2864</v>
      </c>
      <c r="J1323" s="259" t="s">
        <v>1088</v>
      </c>
      <c r="K1323" s="260" t="s">
        <v>5475</v>
      </c>
      <c r="L1323" s="328"/>
      <c r="M1323" s="343"/>
      <c r="N1323" s="173" t="s">
        <v>679</v>
      </c>
      <c r="O1323" s="173" t="s">
        <v>225</v>
      </c>
      <c r="P1323" s="262" t="str">
        <f t="shared" si="1"/>
        <v>IN-BLR-ANANTA-VAV-895_5</v>
      </c>
      <c r="Q1323" s="173" t="s">
        <v>5476</v>
      </c>
      <c r="R1323" s="328" t="str">
        <f>IFS(C1323="","",C1323="n/a","N/A",LEN(C1323),Concatenate("{",char(34),"asset",char(34),":{",char(34),"guid",char(34),":",char(34),Q1323,char(34),",",char(34),"site",char(34),":",char(34),LOWER('2-Building'!$B$4),char(34),",",char(34),"name",char(34),":",char(34),LOWER(C1323),char(34),"}}"))</f>
        <v>{"asset":{"guid":"uuid://481cf5f3-ad1f-427f-af34-cddaa5de629a","site":"in-blr-ananta","name":"vav-895"}}</v>
      </c>
      <c r="S1323" s="237" t="s">
        <v>2866</v>
      </c>
      <c r="T1323" s="330"/>
      <c r="U1323" s="330"/>
      <c r="V1323" s="331"/>
      <c r="W1323" s="344"/>
      <c r="X1323" s="341"/>
      <c r="Y1323" s="33" t="s">
        <v>2867</v>
      </c>
      <c r="Z1323" s="258">
        <v>120895.0</v>
      </c>
      <c r="AA1323" s="334">
        <v>11574.0</v>
      </c>
      <c r="AB1323" s="341"/>
      <c r="AC1323" s="341"/>
      <c r="AD1323" s="343"/>
      <c r="AE1323" s="331"/>
      <c r="AF1323" s="348"/>
      <c r="AG1323" s="337"/>
      <c r="AH1323" s="341"/>
      <c r="AI1323" s="341"/>
      <c r="AJ1323" s="341"/>
      <c r="AK1323" s="341"/>
      <c r="AL1323" s="341"/>
      <c r="AM1323" s="338"/>
      <c r="AN1323" s="341"/>
      <c r="AO1323" s="341"/>
      <c r="AP1323" s="341"/>
      <c r="AQ1323" s="341"/>
      <c r="AR1323" s="341"/>
      <c r="AS1323" s="341"/>
      <c r="AT1323" s="341"/>
      <c r="AU1323" s="343"/>
      <c r="AV1323" s="341"/>
      <c r="AW1323" s="269" t="s">
        <v>2267</v>
      </c>
      <c r="AX1323" s="334" t="s">
        <v>2869</v>
      </c>
      <c r="AY1323" s="270" t="s">
        <v>695</v>
      </c>
      <c r="AZ1323" s="173" t="s">
        <v>2866</v>
      </c>
      <c r="BA1323" s="265">
        <v>10.0</v>
      </c>
      <c r="BB1323" s="174" t="s">
        <v>245</v>
      </c>
      <c r="BC1323" s="341"/>
      <c r="BD1323" s="308"/>
      <c r="BE1323" s="347"/>
      <c r="BF1323" s="274" t="str">
        <f>IFERROR(__xludf.DUMMYFUNCTION("LOWER(Regexreplace(to_text(E1323),""[^A-Za-z0-9]"","""")&amp;""_""&amp;Regexreplace(to_text(F1323),""[^A-Za-z0-9]"",""""))"),"neptronic_evcbseries")</f>
        <v>neptronic_evcbseries</v>
      </c>
      <c r="BG1323" s="275" t="str">
        <f>IFERROR(__xludf.DUMMYFUNCTION("upper(Regexreplace(to_text(E1323),""[^A-Za-z0-9]"","""")&amp;""-""&amp;Regexreplace(to_text(F1323),""[^A-Za-z0-9]"",""""))"),"NEPTRONIC-EVCBSERIES")</f>
        <v>NEPTRONIC-EVCBSERIES</v>
      </c>
    </row>
    <row r="1324" ht="30.0" customHeight="1">
      <c r="A1324" s="258">
        <v>1316.0</v>
      </c>
      <c r="B1324" s="237" t="s">
        <v>670</v>
      </c>
      <c r="C1324" s="257" t="s">
        <v>5477</v>
      </c>
      <c r="D1324" s="173" t="s">
        <v>5477</v>
      </c>
      <c r="E1324" s="174" t="s">
        <v>2861</v>
      </c>
      <c r="F1324" s="173" t="s">
        <v>2862</v>
      </c>
      <c r="G1324" s="328" t="s">
        <v>673</v>
      </c>
      <c r="H1324" s="328" t="s">
        <v>2863</v>
      </c>
      <c r="I1324" s="258" t="s">
        <v>2864</v>
      </c>
      <c r="J1324" s="259" t="s">
        <v>1088</v>
      </c>
      <c r="K1324" s="260" t="s">
        <v>5478</v>
      </c>
      <c r="L1324" s="328"/>
      <c r="M1324" s="343"/>
      <c r="N1324" s="173" t="s">
        <v>679</v>
      </c>
      <c r="O1324" s="173" t="s">
        <v>225</v>
      </c>
      <c r="P1324" s="262" t="str">
        <f t="shared" si="1"/>
        <v>IN-BLR-ANANTA-VAV-896_5</v>
      </c>
      <c r="Q1324" s="173" t="s">
        <v>5479</v>
      </c>
      <c r="R1324" s="328" t="str">
        <f>IFS(C1324="","",C1324="n/a","N/A",LEN(C1324),Concatenate("{",char(34),"asset",char(34),":{",char(34),"guid",char(34),":",char(34),Q1324,char(34),",",char(34),"site",char(34),":",char(34),LOWER('2-Building'!$B$4),char(34),",",char(34),"name",char(34),":",char(34),LOWER(C1324),char(34),"}}"))</f>
        <v>{"asset":{"guid":"uuid://433716f9-5fdb-46ea-ad60-b5c845a27636","site":"in-blr-ananta","name":"vav-896"}}</v>
      </c>
      <c r="S1324" s="237" t="s">
        <v>2866</v>
      </c>
      <c r="T1324" s="330"/>
      <c r="U1324" s="330"/>
      <c r="V1324" s="331"/>
      <c r="W1324" s="344"/>
      <c r="X1324" s="341"/>
      <c r="Y1324" s="33" t="s">
        <v>2867</v>
      </c>
      <c r="Z1324" s="258">
        <v>120896.0</v>
      </c>
      <c r="AA1324" s="334">
        <v>11574.0</v>
      </c>
      <c r="AB1324" s="341"/>
      <c r="AC1324" s="341"/>
      <c r="AD1324" s="343"/>
      <c r="AE1324" s="331"/>
      <c r="AF1324" s="348"/>
      <c r="AG1324" s="337"/>
      <c r="AH1324" s="341"/>
      <c r="AI1324" s="341"/>
      <c r="AJ1324" s="341"/>
      <c r="AK1324" s="341"/>
      <c r="AL1324" s="341"/>
      <c r="AM1324" s="338"/>
      <c r="AN1324" s="341"/>
      <c r="AO1324" s="341"/>
      <c r="AP1324" s="341"/>
      <c r="AQ1324" s="341"/>
      <c r="AR1324" s="341"/>
      <c r="AS1324" s="341"/>
      <c r="AT1324" s="341"/>
      <c r="AU1324" s="343"/>
      <c r="AV1324" s="341"/>
      <c r="AW1324" s="269" t="s">
        <v>2267</v>
      </c>
      <c r="AX1324" s="334" t="s">
        <v>2869</v>
      </c>
      <c r="AY1324" s="270" t="s">
        <v>695</v>
      </c>
      <c r="AZ1324" s="173" t="s">
        <v>2866</v>
      </c>
      <c r="BA1324" s="265">
        <v>10.0</v>
      </c>
      <c r="BB1324" s="174" t="s">
        <v>245</v>
      </c>
      <c r="BC1324" s="341"/>
      <c r="BD1324" s="308"/>
      <c r="BE1324" s="347"/>
      <c r="BF1324" s="274" t="str">
        <f>IFERROR(__xludf.DUMMYFUNCTION("LOWER(Regexreplace(to_text(E1324),""[^A-Za-z0-9]"","""")&amp;""_""&amp;Regexreplace(to_text(F1324),""[^A-Za-z0-9]"",""""))"),"neptronic_evcbseries")</f>
        <v>neptronic_evcbseries</v>
      </c>
      <c r="BG1324" s="275" t="str">
        <f>IFERROR(__xludf.DUMMYFUNCTION("upper(Regexreplace(to_text(E1324),""[^A-Za-z0-9]"","""")&amp;""-""&amp;Regexreplace(to_text(F1324),""[^A-Za-z0-9]"",""""))"),"NEPTRONIC-EVCBSERIES")</f>
        <v>NEPTRONIC-EVCBSERIES</v>
      </c>
    </row>
    <row r="1325" ht="30.0" customHeight="1">
      <c r="A1325" s="173">
        <v>1317.0</v>
      </c>
      <c r="B1325" s="237" t="s">
        <v>670</v>
      </c>
      <c r="C1325" s="257" t="s">
        <v>5480</v>
      </c>
      <c r="D1325" s="173" t="s">
        <v>5480</v>
      </c>
      <c r="E1325" s="174" t="s">
        <v>2861</v>
      </c>
      <c r="F1325" s="173" t="s">
        <v>2862</v>
      </c>
      <c r="G1325" s="328" t="s">
        <v>673</v>
      </c>
      <c r="H1325" s="328" t="s">
        <v>2863</v>
      </c>
      <c r="I1325" s="258" t="s">
        <v>2864</v>
      </c>
      <c r="J1325" s="259" t="s">
        <v>1088</v>
      </c>
      <c r="K1325" s="260" t="s">
        <v>5481</v>
      </c>
      <c r="L1325" s="328"/>
      <c r="M1325" s="343"/>
      <c r="N1325" s="173" t="s">
        <v>679</v>
      </c>
      <c r="O1325" s="173" t="s">
        <v>225</v>
      </c>
      <c r="P1325" s="262" t="str">
        <f t="shared" si="1"/>
        <v>IN-BLR-ANANTA-VAV-897_5</v>
      </c>
      <c r="Q1325" s="173" t="s">
        <v>5482</v>
      </c>
      <c r="R1325" s="328" t="str">
        <f>IFS(C1325="","",C1325="n/a","N/A",LEN(C1325),Concatenate("{",char(34),"asset",char(34),":{",char(34),"guid",char(34),":",char(34),Q1325,char(34),",",char(34),"site",char(34),":",char(34),LOWER('2-Building'!$B$4),char(34),",",char(34),"name",char(34),":",char(34),LOWER(C1325),char(34),"}}"))</f>
        <v>{"asset":{"guid":"uuid://beddc9b0-0256-4d5e-9b1d-2c4b6561adf4","site":"in-blr-ananta","name":"vav-897"}}</v>
      </c>
      <c r="S1325" s="237" t="s">
        <v>2866</v>
      </c>
      <c r="T1325" s="330"/>
      <c r="U1325" s="330"/>
      <c r="V1325" s="331"/>
      <c r="W1325" s="344"/>
      <c r="X1325" s="341"/>
      <c r="Y1325" s="33" t="s">
        <v>2867</v>
      </c>
      <c r="Z1325" s="258">
        <v>120897.0</v>
      </c>
      <c r="AA1325" s="334">
        <v>11574.0</v>
      </c>
      <c r="AB1325" s="341"/>
      <c r="AC1325" s="341"/>
      <c r="AD1325" s="343"/>
      <c r="AE1325" s="331"/>
      <c r="AF1325" s="348"/>
      <c r="AG1325" s="337"/>
      <c r="AH1325" s="341"/>
      <c r="AI1325" s="341"/>
      <c r="AJ1325" s="341"/>
      <c r="AK1325" s="341"/>
      <c r="AL1325" s="341"/>
      <c r="AM1325" s="338"/>
      <c r="AN1325" s="341"/>
      <c r="AO1325" s="341"/>
      <c r="AP1325" s="341"/>
      <c r="AQ1325" s="341"/>
      <c r="AR1325" s="341"/>
      <c r="AS1325" s="341"/>
      <c r="AT1325" s="341"/>
      <c r="AU1325" s="343"/>
      <c r="AV1325" s="341"/>
      <c r="AW1325" s="269" t="s">
        <v>2267</v>
      </c>
      <c r="AX1325" s="334" t="s">
        <v>2869</v>
      </c>
      <c r="AY1325" s="270" t="s">
        <v>695</v>
      </c>
      <c r="AZ1325" s="173" t="s">
        <v>2866</v>
      </c>
      <c r="BA1325" s="265">
        <v>10.0</v>
      </c>
      <c r="BB1325" s="174" t="s">
        <v>245</v>
      </c>
      <c r="BC1325" s="341"/>
      <c r="BD1325" s="308"/>
      <c r="BE1325" s="347"/>
      <c r="BF1325" s="274" t="str">
        <f>IFERROR(__xludf.DUMMYFUNCTION("LOWER(Regexreplace(to_text(E1325),""[^A-Za-z0-9]"","""")&amp;""_""&amp;Regexreplace(to_text(F1325),""[^A-Za-z0-9]"",""""))"),"neptronic_evcbseries")</f>
        <v>neptronic_evcbseries</v>
      </c>
      <c r="BG1325" s="275" t="str">
        <f>IFERROR(__xludf.DUMMYFUNCTION("upper(Regexreplace(to_text(E1325),""[^A-Za-z0-9]"","""")&amp;""-""&amp;Regexreplace(to_text(F1325),""[^A-Za-z0-9]"",""""))"),"NEPTRONIC-EVCBSERIES")</f>
        <v>NEPTRONIC-EVCBSERIES</v>
      </c>
    </row>
    <row r="1326" ht="30.0" customHeight="1">
      <c r="A1326" s="258">
        <v>1318.0</v>
      </c>
      <c r="B1326" s="237" t="s">
        <v>670</v>
      </c>
      <c r="C1326" s="257" t="s">
        <v>5483</v>
      </c>
      <c r="D1326" s="173" t="s">
        <v>5483</v>
      </c>
      <c r="E1326" s="174" t="s">
        <v>2861</v>
      </c>
      <c r="F1326" s="173" t="s">
        <v>2862</v>
      </c>
      <c r="G1326" s="328" t="s">
        <v>673</v>
      </c>
      <c r="H1326" s="328" t="s">
        <v>2863</v>
      </c>
      <c r="I1326" s="258" t="s">
        <v>2864</v>
      </c>
      <c r="J1326" s="259" t="s">
        <v>1088</v>
      </c>
      <c r="K1326" s="260" t="s">
        <v>5484</v>
      </c>
      <c r="L1326" s="328"/>
      <c r="M1326" s="343"/>
      <c r="N1326" s="173" t="s">
        <v>679</v>
      </c>
      <c r="O1326" s="173" t="s">
        <v>225</v>
      </c>
      <c r="P1326" s="262" t="str">
        <f t="shared" si="1"/>
        <v>IN-BLR-ANANTA-VAV-898_5</v>
      </c>
      <c r="Q1326" s="173" t="s">
        <v>5485</v>
      </c>
      <c r="R1326" s="328" t="str">
        <f>IFS(C1326="","",C1326="n/a","N/A",LEN(C1326),Concatenate("{",char(34),"asset",char(34),":{",char(34),"guid",char(34),":",char(34),Q1326,char(34),",",char(34),"site",char(34),":",char(34),LOWER('2-Building'!$B$4),char(34),",",char(34),"name",char(34),":",char(34),LOWER(C1326),char(34),"}}"))</f>
        <v>{"asset":{"guid":"uuid://f9697063-5222-4255-9d1b-4548cc4a6bbf","site":"in-blr-ananta","name":"vav-898"}}</v>
      </c>
      <c r="S1326" s="237" t="s">
        <v>2866</v>
      </c>
      <c r="T1326" s="330"/>
      <c r="U1326" s="330"/>
      <c r="V1326" s="331"/>
      <c r="W1326" s="344"/>
      <c r="X1326" s="341"/>
      <c r="Y1326" s="33" t="s">
        <v>2867</v>
      </c>
      <c r="Z1326" s="258">
        <v>120898.0</v>
      </c>
      <c r="AA1326" s="334">
        <v>11574.0</v>
      </c>
      <c r="AB1326" s="341"/>
      <c r="AC1326" s="341"/>
      <c r="AD1326" s="343"/>
      <c r="AE1326" s="331"/>
      <c r="AF1326" s="348"/>
      <c r="AG1326" s="337"/>
      <c r="AH1326" s="341"/>
      <c r="AI1326" s="341"/>
      <c r="AJ1326" s="341"/>
      <c r="AK1326" s="341"/>
      <c r="AL1326" s="341"/>
      <c r="AM1326" s="338"/>
      <c r="AN1326" s="341"/>
      <c r="AO1326" s="341"/>
      <c r="AP1326" s="341"/>
      <c r="AQ1326" s="341"/>
      <c r="AR1326" s="341"/>
      <c r="AS1326" s="341"/>
      <c r="AT1326" s="341"/>
      <c r="AU1326" s="343"/>
      <c r="AV1326" s="341"/>
      <c r="AW1326" s="269" t="s">
        <v>2267</v>
      </c>
      <c r="AX1326" s="334" t="s">
        <v>2869</v>
      </c>
      <c r="AY1326" s="270" t="s">
        <v>695</v>
      </c>
      <c r="AZ1326" s="173" t="s">
        <v>2866</v>
      </c>
      <c r="BA1326" s="265">
        <v>10.0</v>
      </c>
      <c r="BB1326" s="174" t="s">
        <v>245</v>
      </c>
      <c r="BC1326" s="341"/>
      <c r="BD1326" s="308"/>
      <c r="BE1326" s="347"/>
      <c r="BF1326" s="274" t="str">
        <f>IFERROR(__xludf.DUMMYFUNCTION("LOWER(Regexreplace(to_text(E1326),""[^A-Za-z0-9]"","""")&amp;""_""&amp;Regexreplace(to_text(F1326),""[^A-Za-z0-9]"",""""))"),"neptronic_evcbseries")</f>
        <v>neptronic_evcbseries</v>
      </c>
      <c r="BG1326" s="275" t="str">
        <f>IFERROR(__xludf.DUMMYFUNCTION("upper(Regexreplace(to_text(E1326),""[^A-Za-z0-9]"","""")&amp;""-""&amp;Regexreplace(to_text(F1326),""[^A-Za-z0-9]"",""""))"),"NEPTRONIC-EVCBSERIES")</f>
        <v>NEPTRONIC-EVCBSERIES</v>
      </c>
    </row>
    <row r="1327" ht="30.0" customHeight="1">
      <c r="A1327" s="173">
        <v>1319.0</v>
      </c>
      <c r="B1327" s="237" t="s">
        <v>670</v>
      </c>
      <c r="C1327" s="257" t="s">
        <v>5486</v>
      </c>
      <c r="D1327" s="173" t="s">
        <v>5486</v>
      </c>
      <c r="E1327" s="174" t="s">
        <v>2861</v>
      </c>
      <c r="F1327" s="173" t="s">
        <v>2862</v>
      </c>
      <c r="G1327" s="328" t="s">
        <v>673</v>
      </c>
      <c r="H1327" s="328" t="s">
        <v>2863</v>
      </c>
      <c r="I1327" s="258" t="s">
        <v>2864</v>
      </c>
      <c r="J1327" s="259" t="s">
        <v>1088</v>
      </c>
      <c r="K1327" s="260" t="s">
        <v>5487</v>
      </c>
      <c r="L1327" s="328"/>
      <c r="M1327" s="343"/>
      <c r="N1327" s="173" t="s">
        <v>679</v>
      </c>
      <c r="O1327" s="173" t="s">
        <v>225</v>
      </c>
      <c r="P1327" s="262" t="str">
        <f t="shared" si="1"/>
        <v>IN-BLR-ANANTA-VAV-899_5</v>
      </c>
      <c r="Q1327" s="173" t="s">
        <v>5488</v>
      </c>
      <c r="R1327" s="328" t="str">
        <f>IFS(C1327="","",C1327="n/a","N/A",LEN(C1327),Concatenate("{",char(34),"asset",char(34),":{",char(34),"guid",char(34),":",char(34),Q1327,char(34),",",char(34),"site",char(34),":",char(34),LOWER('2-Building'!$B$4),char(34),",",char(34),"name",char(34),":",char(34),LOWER(C1327),char(34),"}}"))</f>
        <v>{"asset":{"guid":"uuid://131e6fc3-b46f-4f00-8105-905a29fef731","site":"in-blr-ananta","name":"vav-899"}}</v>
      </c>
      <c r="S1327" s="237" t="s">
        <v>2866</v>
      </c>
      <c r="T1327" s="330"/>
      <c r="U1327" s="330"/>
      <c r="V1327" s="331"/>
      <c r="W1327" s="344"/>
      <c r="X1327" s="341"/>
      <c r="Y1327" s="33" t="s">
        <v>2867</v>
      </c>
      <c r="Z1327" s="258">
        <v>120899.0</v>
      </c>
      <c r="AA1327" s="334">
        <v>11574.0</v>
      </c>
      <c r="AB1327" s="341"/>
      <c r="AC1327" s="341"/>
      <c r="AD1327" s="343"/>
      <c r="AE1327" s="331"/>
      <c r="AF1327" s="348"/>
      <c r="AG1327" s="337"/>
      <c r="AH1327" s="341"/>
      <c r="AI1327" s="341"/>
      <c r="AJ1327" s="341"/>
      <c r="AK1327" s="341"/>
      <c r="AL1327" s="341"/>
      <c r="AM1327" s="338"/>
      <c r="AN1327" s="341"/>
      <c r="AO1327" s="341"/>
      <c r="AP1327" s="341"/>
      <c r="AQ1327" s="341"/>
      <c r="AR1327" s="341"/>
      <c r="AS1327" s="341"/>
      <c r="AT1327" s="341"/>
      <c r="AU1327" s="343"/>
      <c r="AV1327" s="341"/>
      <c r="AW1327" s="269" t="s">
        <v>2267</v>
      </c>
      <c r="AX1327" s="334" t="s">
        <v>2869</v>
      </c>
      <c r="AY1327" s="270" t="s">
        <v>695</v>
      </c>
      <c r="AZ1327" s="173" t="s">
        <v>2866</v>
      </c>
      <c r="BA1327" s="265">
        <v>10.0</v>
      </c>
      <c r="BB1327" s="174" t="s">
        <v>245</v>
      </c>
      <c r="BC1327" s="341"/>
      <c r="BD1327" s="308"/>
      <c r="BE1327" s="347"/>
      <c r="BF1327" s="274" t="str">
        <f>IFERROR(__xludf.DUMMYFUNCTION("LOWER(Regexreplace(to_text(E1327),""[^A-Za-z0-9]"","""")&amp;""_""&amp;Regexreplace(to_text(F1327),""[^A-Za-z0-9]"",""""))"),"neptronic_evcbseries")</f>
        <v>neptronic_evcbseries</v>
      </c>
      <c r="BG1327" s="275" t="str">
        <f>IFERROR(__xludf.DUMMYFUNCTION("upper(Regexreplace(to_text(E1327),""[^A-Za-z0-9]"","""")&amp;""-""&amp;Regexreplace(to_text(F1327),""[^A-Za-z0-9]"",""""))"),"NEPTRONIC-EVCBSERIES")</f>
        <v>NEPTRONIC-EVCBSERIES</v>
      </c>
    </row>
    <row r="1328" ht="30.0" customHeight="1">
      <c r="A1328" s="258">
        <v>1320.0</v>
      </c>
      <c r="B1328" s="237" t="s">
        <v>670</v>
      </c>
      <c r="C1328" s="257" t="s">
        <v>5489</v>
      </c>
      <c r="D1328" s="173" t="s">
        <v>5489</v>
      </c>
      <c r="E1328" s="174" t="s">
        <v>2861</v>
      </c>
      <c r="F1328" s="173" t="s">
        <v>2862</v>
      </c>
      <c r="G1328" s="328" t="s">
        <v>673</v>
      </c>
      <c r="H1328" s="328" t="s">
        <v>2863</v>
      </c>
      <c r="I1328" s="258" t="s">
        <v>2864</v>
      </c>
      <c r="J1328" s="259" t="s">
        <v>1088</v>
      </c>
      <c r="K1328" s="260" t="s">
        <v>5490</v>
      </c>
      <c r="L1328" s="328"/>
      <c r="M1328" s="343"/>
      <c r="N1328" s="173" t="s">
        <v>679</v>
      </c>
      <c r="O1328" s="173" t="s">
        <v>225</v>
      </c>
      <c r="P1328" s="262" t="str">
        <f t="shared" si="1"/>
        <v>IN-BLR-ANANTA-VAV-900_5</v>
      </c>
      <c r="Q1328" s="173" t="s">
        <v>5491</v>
      </c>
      <c r="R1328" s="328" t="str">
        <f>IFS(C1328="","",C1328="n/a","N/A",LEN(C1328),Concatenate("{",char(34),"asset",char(34),":{",char(34),"guid",char(34),":",char(34),Q1328,char(34),",",char(34),"site",char(34),":",char(34),LOWER('2-Building'!$B$4),char(34),",",char(34),"name",char(34),":",char(34),LOWER(C1328),char(34),"}}"))</f>
        <v>{"asset":{"guid":"uuid://4b56ceb5-a89f-4988-ae87-f45a09dede42","site":"in-blr-ananta","name":"vav-900"}}</v>
      </c>
      <c r="S1328" s="237" t="s">
        <v>2866</v>
      </c>
      <c r="T1328" s="330"/>
      <c r="U1328" s="330"/>
      <c r="V1328" s="331"/>
      <c r="W1328" s="344"/>
      <c r="X1328" s="341"/>
      <c r="Y1328" s="33" t="s">
        <v>2867</v>
      </c>
      <c r="Z1328" s="258">
        <v>120900.0</v>
      </c>
      <c r="AA1328" s="334">
        <v>11574.0</v>
      </c>
      <c r="AB1328" s="341"/>
      <c r="AC1328" s="341"/>
      <c r="AD1328" s="343"/>
      <c r="AE1328" s="331"/>
      <c r="AF1328" s="348"/>
      <c r="AG1328" s="337"/>
      <c r="AH1328" s="341"/>
      <c r="AI1328" s="341"/>
      <c r="AJ1328" s="341"/>
      <c r="AK1328" s="341"/>
      <c r="AL1328" s="341"/>
      <c r="AM1328" s="338"/>
      <c r="AN1328" s="341"/>
      <c r="AO1328" s="341"/>
      <c r="AP1328" s="341"/>
      <c r="AQ1328" s="341"/>
      <c r="AR1328" s="341"/>
      <c r="AS1328" s="341"/>
      <c r="AT1328" s="341"/>
      <c r="AU1328" s="343"/>
      <c r="AV1328" s="341"/>
      <c r="AW1328" s="269" t="s">
        <v>2267</v>
      </c>
      <c r="AX1328" s="334" t="s">
        <v>2869</v>
      </c>
      <c r="AY1328" s="270" t="s">
        <v>695</v>
      </c>
      <c r="AZ1328" s="173" t="s">
        <v>2866</v>
      </c>
      <c r="BA1328" s="265">
        <v>10.0</v>
      </c>
      <c r="BB1328" s="174" t="s">
        <v>245</v>
      </c>
      <c r="BC1328" s="341"/>
      <c r="BD1328" s="308"/>
      <c r="BE1328" s="347"/>
      <c r="BF1328" s="274" t="str">
        <f>IFERROR(__xludf.DUMMYFUNCTION("LOWER(Regexreplace(to_text(E1328),""[^A-Za-z0-9]"","""")&amp;""_""&amp;Regexreplace(to_text(F1328),""[^A-Za-z0-9]"",""""))"),"neptronic_evcbseries")</f>
        <v>neptronic_evcbseries</v>
      </c>
      <c r="BG1328" s="275" t="str">
        <f>IFERROR(__xludf.DUMMYFUNCTION("upper(Regexreplace(to_text(E1328),""[^A-Za-z0-9]"","""")&amp;""-""&amp;Regexreplace(to_text(F1328),""[^A-Za-z0-9]"",""""))"),"NEPTRONIC-EVCBSERIES")</f>
        <v>NEPTRONIC-EVCBSERIES</v>
      </c>
    </row>
    <row r="1329" ht="30.0" customHeight="1">
      <c r="A1329" s="173">
        <v>1321.0</v>
      </c>
      <c r="B1329" s="237" t="s">
        <v>670</v>
      </c>
      <c r="C1329" s="257" t="s">
        <v>5492</v>
      </c>
      <c r="D1329" s="173" t="s">
        <v>5492</v>
      </c>
      <c r="E1329" s="174" t="s">
        <v>2861</v>
      </c>
      <c r="F1329" s="173" t="s">
        <v>2862</v>
      </c>
      <c r="G1329" s="328" t="s">
        <v>673</v>
      </c>
      <c r="H1329" s="328" t="s">
        <v>2863</v>
      </c>
      <c r="I1329" s="258" t="s">
        <v>2864</v>
      </c>
      <c r="J1329" s="259" t="s">
        <v>1088</v>
      </c>
      <c r="K1329" s="260" t="s">
        <v>5493</v>
      </c>
      <c r="L1329" s="328"/>
      <c r="M1329" s="343"/>
      <c r="N1329" s="173" t="s">
        <v>679</v>
      </c>
      <c r="O1329" s="173" t="s">
        <v>225</v>
      </c>
      <c r="P1329" s="262" t="str">
        <f t="shared" si="1"/>
        <v>IN-BLR-ANANTA-VAV-901_5</v>
      </c>
      <c r="Q1329" s="173" t="s">
        <v>5494</v>
      </c>
      <c r="R1329" s="328" t="str">
        <f>IFS(C1329="","",C1329="n/a","N/A",LEN(C1329),Concatenate("{",char(34),"asset",char(34),":{",char(34),"guid",char(34),":",char(34),Q1329,char(34),",",char(34),"site",char(34),":",char(34),LOWER('2-Building'!$B$4),char(34),",",char(34),"name",char(34),":",char(34),LOWER(C1329),char(34),"}}"))</f>
        <v>{"asset":{"guid":"uuid://02f32ee2-116d-4ca5-a545-772752eae651","site":"in-blr-ananta","name":"vav-901"}}</v>
      </c>
      <c r="S1329" s="237" t="s">
        <v>2866</v>
      </c>
      <c r="T1329" s="330"/>
      <c r="U1329" s="330"/>
      <c r="V1329" s="331"/>
      <c r="W1329" s="344"/>
      <c r="X1329" s="341"/>
      <c r="Y1329" s="33" t="s">
        <v>2867</v>
      </c>
      <c r="Z1329" s="258">
        <v>120901.0</v>
      </c>
      <c r="AA1329" s="334">
        <v>11574.0</v>
      </c>
      <c r="AB1329" s="341"/>
      <c r="AC1329" s="341"/>
      <c r="AD1329" s="343"/>
      <c r="AE1329" s="331"/>
      <c r="AF1329" s="348"/>
      <c r="AG1329" s="337"/>
      <c r="AH1329" s="341"/>
      <c r="AI1329" s="341"/>
      <c r="AJ1329" s="341"/>
      <c r="AK1329" s="341"/>
      <c r="AL1329" s="341"/>
      <c r="AM1329" s="338"/>
      <c r="AN1329" s="341"/>
      <c r="AO1329" s="341"/>
      <c r="AP1329" s="341"/>
      <c r="AQ1329" s="341"/>
      <c r="AR1329" s="341"/>
      <c r="AS1329" s="341"/>
      <c r="AT1329" s="341"/>
      <c r="AU1329" s="343"/>
      <c r="AV1329" s="341"/>
      <c r="AW1329" s="269" t="s">
        <v>2267</v>
      </c>
      <c r="AX1329" s="334" t="s">
        <v>2869</v>
      </c>
      <c r="AY1329" s="270" t="s">
        <v>695</v>
      </c>
      <c r="AZ1329" s="173" t="s">
        <v>2866</v>
      </c>
      <c r="BA1329" s="265">
        <v>10.0</v>
      </c>
      <c r="BB1329" s="174" t="s">
        <v>245</v>
      </c>
      <c r="BC1329" s="341"/>
      <c r="BD1329" s="308"/>
      <c r="BE1329" s="347"/>
      <c r="BF1329" s="274" t="str">
        <f>IFERROR(__xludf.DUMMYFUNCTION("LOWER(Regexreplace(to_text(E1329),""[^A-Za-z0-9]"","""")&amp;""_""&amp;Regexreplace(to_text(F1329),""[^A-Za-z0-9]"",""""))"),"neptronic_evcbseries")</f>
        <v>neptronic_evcbseries</v>
      </c>
      <c r="BG1329" s="275" t="str">
        <f>IFERROR(__xludf.DUMMYFUNCTION("upper(Regexreplace(to_text(E1329),""[^A-Za-z0-9]"","""")&amp;""-""&amp;Regexreplace(to_text(F1329),""[^A-Za-z0-9]"",""""))"),"NEPTRONIC-EVCBSERIES")</f>
        <v>NEPTRONIC-EVCBSERIES</v>
      </c>
    </row>
    <row r="1330" ht="30.0" customHeight="1">
      <c r="A1330" s="258">
        <v>1322.0</v>
      </c>
      <c r="B1330" s="237" t="s">
        <v>670</v>
      </c>
      <c r="C1330" s="257" t="s">
        <v>5495</v>
      </c>
      <c r="D1330" s="173" t="s">
        <v>5495</v>
      </c>
      <c r="E1330" s="174" t="s">
        <v>2861</v>
      </c>
      <c r="F1330" s="173" t="s">
        <v>2862</v>
      </c>
      <c r="G1330" s="328" t="s">
        <v>673</v>
      </c>
      <c r="H1330" s="328" t="s">
        <v>2863</v>
      </c>
      <c r="I1330" s="258" t="s">
        <v>2864</v>
      </c>
      <c r="J1330" s="259" t="s">
        <v>1088</v>
      </c>
      <c r="K1330" s="260" t="s">
        <v>5496</v>
      </c>
      <c r="L1330" s="328"/>
      <c r="M1330" s="343"/>
      <c r="N1330" s="173" t="s">
        <v>679</v>
      </c>
      <c r="O1330" s="173" t="s">
        <v>225</v>
      </c>
      <c r="P1330" s="262" t="str">
        <f t="shared" si="1"/>
        <v>IN-BLR-ANANTA-VAV-902_5</v>
      </c>
      <c r="Q1330" s="173" t="s">
        <v>5497</v>
      </c>
      <c r="R1330" s="328" t="str">
        <f>IFS(C1330="","",C1330="n/a","N/A",LEN(C1330),Concatenate("{",char(34),"asset",char(34),":{",char(34),"guid",char(34),":",char(34),Q1330,char(34),",",char(34),"site",char(34),":",char(34),LOWER('2-Building'!$B$4),char(34),",",char(34),"name",char(34),":",char(34),LOWER(C1330),char(34),"}}"))</f>
        <v>{"asset":{"guid":"uuid://f4b93b07-ef28-43da-9545-afb6f9107965","site":"in-blr-ananta","name":"vav-902"}}</v>
      </c>
      <c r="S1330" s="237" t="s">
        <v>2866</v>
      </c>
      <c r="T1330" s="330"/>
      <c r="U1330" s="330"/>
      <c r="V1330" s="331"/>
      <c r="W1330" s="344"/>
      <c r="X1330" s="341"/>
      <c r="Y1330" s="33" t="s">
        <v>2867</v>
      </c>
      <c r="Z1330" s="258">
        <v>120902.0</v>
      </c>
      <c r="AA1330" s="334">
        <v>11574.0</v>
      </c>
      <c r="AB1330" s="341"/>
      <c r="AC1330" s="341"/>
      <c r="AD1330" s="343"/>
      <c r="AE1330" s="331"/>
      <c r="AF1330" s="348"/>
      <c r="AG1330" s="337"/>
      <c r="AH1330" s="341"/>
      <c r="AI1330" s="341"/>
      <c r="AJ1330" s="341"/>
      <c r="AK1330" s="341"/>
      <c r="AL1330" s="341"/>
      <c r="AM1330" s="338"/>
      <c r="AN1330" s="341"/>
      <c r="AO1330" s="341"/>
      <c r="AP1330" s="341"/>
      <c r="AQ1330" s="341"/>
      <c r="AR1330" s="341"/>
      <c r="AS1330" s="341"/>
      <c r="AT1330" s="341"/>
      <c r="AU1330" s="343"/>
      <c r="AV1330" s="341"/>
      <c r="AW1330" s="269" t="s">
        <v>2267</v>
      </c>
      <c r="AX1330" s="334" t="s">
        <v>2869</v>
      </c>
      <c r="AY1330" s="270" t="s">
        <v>695</v>
      </c>
      <c r="AZ1330" s="173" t="s">
        <v>2866</v>
      </c>
      <c r="BA1330" s="265">
        <v>10.0</v>
      </c>
      <c r="BB1330" s="174" t="s">
        <v>245</v>
      </c>
      <c r="BC1330" s="341"/>
      <c r="BD1330" s="308"/>
      <c r="BE1330" s="347"/>
      <c r="BF1330" s="274" t="str">
        <f>IFERROR(__xludf.DUMMYFUNCTION("LOWER(Regexreplace(to_text(E1330),""[^A-Za-z0-9]"","""")&amp;""_""&amp;Regexreplace(to_text(F1330),""[^A-Za-z0-9]"",""""))"),"neptronic_evcbseries")</f>
        <v>neptronic_evcbseries</v>
      </c>
      <c r="BG1330" s="275" t="str">
        <f>IFERROR(__xludf.DUMMYFUNCTION("upper(Regexreplace(to_text(E1330),""[^A-Za-z0-9]"","""")&amp;""-""&amp;Regexreplace(to_text(F1330),""[^A-Za-z0-9]"",""""))"),"NEPTRONIC-EVCBSERIES")</f>
        <v>NEPTRONIC-EVCBSERIES</v>
      </c>
    </row>
    <row r="1331" ht="30.0" customHeight="1">
      <c r="A1331" s="173">
        <v>1323.0</v>
      </c>
      <c r="B1331" s="237" t="s">
        <v>670</v>
      </c>
      <c r="C1331" s="257" t="s">
        <v>5498</v>
      </c>
      <c r="D1331" s="173" t="s">
        <v>5498</v>
      </c>
      <c r="E1331" s="174" t="s">
        <v>2861</v>
      </c>
      <c r="F1331" s="173" t="s">
        <v>2862</v>
      </c>
      <c r="G1331" s="328" t="s">
        <v>673</v>
      </c>
      <c r="H1331" s="328" t="s">
        <v>2863</v>
      </c>
      <c r="I1331" s="258" t="s">
        <v>2864</v>
      </c>
      <c r="J1331" s="259" t="s">
        <v>1088</v>
      </c>
      <c r="K1331" s="260" t="s">
        <v>5499</v>
      </c>
      <c r="L1331" s="328"/>
      <c r="M1331" s="343"/>
      <c r="N1331" s="173" t="s">
        <v>679</v>
      </c>
      <c r="O1331" s="173" t="s">
        <v>225</v>
      </c>
      <c r="P1331" s="262" t="str">
        <f t="shared" si="1"/>
        <v>IN-BLR-ANANTA-VAV-903_5</v>
      </c>
      <c r="Q1331" s="173" t="s">
        <v>5500</v>
      </c>
      <c r="R1331" s="328" t="str">
        <f>IFS(C1331="","",C1331="n/a","N/A",LEN(C1331),Concatenate("{",char(34),"asset",char(34),":{",char(34),"guid",char(34),":",char(34),Q1331,char(34),",",char(34),"site",char(34),":",char(34),LOWER('2-Building'!$B$4),char(34),",",char(34),"name",char(34),":",char(34),LOWER(C1331),char(34),"}}"))</f>
        <v>{"asset":{"guid":"uuid://1b3e22c1-e55d-4c98-8b85-a55da86eb9c5","site":"in-blr-ananta","name":"vav-903"}}</v>
      </c>
      <c r="S1331" s="237" t="s">
        <v>2866</v>
      </c>
      <c r="T1331" s="330"/>
      <c r="U1331" s="330"/>
      <c r="V1331" s="331"/>
      <c r="W1331" s="344"/>
      <c r="X1331" s="341"/>
      <c r="Y1331" s="33" t="s">
        <v>2867</v>
      </c>
      <c r="Z1331" s="258">
        <v>120903.0</v>
      </c>
      <c r="AA1331" s="334">
        <v>11574.0</v>
      </c>
      <c r="AB1331" s="341"/>
      <c r="AC1331" s="341"/>
      <c r="AD1331" s="343"/>
      <c r="AE1331" s="331"/>
      <c r="AF1331" s="348"/>
      <c r="AG1331" s="337"/>
      <c r="AH1331" s="341"/>
      <c r="AI1331" s="341"/>
      <c r="AJ1331" s="341"/>
      <c r="AK1331" s="341"/>
      <c r="AL1331" s="341"/>
      <c r="AM1331" s="338"/>
      <c r="AN1331" s="341"/>
      <c r="AO1331" s="341"/>
      <c r="AP1331" s="341"/>
      <c r="AQ1331" s="341"/>
      <c r="AR1331" s="341"/>
      <c r="AS1331" s="341"/>
      <c r="AT1331" s="341"/>
      <c r="AU1331" s="343"/>
      <c r="AV1331" s="341"/>
      <c r="AW1331" s="269" t="s">
        <v>2267</v>
      </c>
      <c r="AX1331" s="334" t="s">
        <v>2869</v>
      </c>
      <c r="AY1331" s="270" t="s">
        <v>695</v>
      </c>
      <c r="AZ1331" s="173" t="s">
        <v>2866</v>
      </c>
      <c r="BA1331" s="265">
        <v>10.0</v>
      </c>
      <c r="BB1331" s="174" t="s">
        <v>245</v>
      </c>
      <c r="BC1331" s="341"/>
      <c r="BD1331" s="308"/>
      <c r="BE1331" s="347"/>
      <c r="BF1331" s="274" t="str">
        <f>IFERROR(__xludf.DUMMYFUNCTION("LOWER(Regexreplace(to_text(E1331),""[^A-Za-z0-9]"","""")&amp;""_""&amp;Regexreplace(to_text(F1331),""[^A-Za-z0-9]"",""""))"),"neptronic_evcbseries")</f>
        <v>neptronic_evcbseries</v>
      </c>
      <c r="BG1331" s="275" t="str">
        <f>IFERROR(__xludf.DUMMYFUNCTION("upper(Regexreplace(to_text(E1331),""[^A-Za-z0-9]"","""")&amp;""-""&amp;Regexreplace(to_text(F1331),""[^A-Za-z0-9]"",""""))"),"NEPTRONIC-EVCBSERIES")</f>
        <v>NEPTRONIC-EVCBSERIES</v>
      </c>
    </row>
    <row r="1332" ht="30.0" customHeight="1">
      <c r="A1332" s="258">
        <v>1324.0</v>
      </c>
      <c r="B1332" s="237" t="s">
        <v>670</v>
      </c>
      <c r="C1332" s="257" t="s">
        <v>5501</v>
      </c>
      <c r="D1332" s="173" t="s">
        <v>5501</v>
      </c>
      <c r="E1332" s="174" t="s">
        <v>2861</v>
      </c>
      <c r="F1332" s="173" t="s">
        <v>2862</v>
      </c>
      <c r="G1332" s="328" t="s">
        <v>673</v>
      </c>
      <c r="H1332" s="328" t="s">
        <v>2863</v>
      </c>
      <c r="I1332" s="258" t="s">
        <v>2864</v>
      </c>
      <c r="J1332" s="259" t="s">
        <v>2839</v>
      </c>
      <c r="K1332" s="260"/>
      <c r="L1332" s="328"/>
      <c r="M1332" s="343"/>
      <c r="N1332" s="173" t="s">
        <v>679</v>
      </c>
      <c r="O1332" s="173" t="s">
        <v>225</v>
      </c>
      <c r="P1332" s="262" t="str">
        <f t="shared" si="1"/>
        <v>IN-BLR-ANANTA-VAV-904_M</v>
      </c>
      <c r="Q1332" s="173" t="s">
        <v>5502</v>
      </c>
      <c r="R1332" s="328" t="str">
        <f>IFS(C1332="","",C1332="n/a","N/A",LEN(C1332),Concatenate("{",char(34),"asset",char(34),":{",char(34),"guid",char(34),":",char(34),Q1332,char(34),",",char(34),"site",char(34),":",char(34),LOWER('2-Building'!$B$4),char(34),",",char(34),"name",char(34),":",char(34),LOWER(C1332),char(34),"}}"))</f>
        <v>{"asset":{"guid":"uuid://8402d3b0-d350-41d7-9a86-0ee258e3b24d","site":"in-blr-ananta","name":"vav-904"}}</v>
      </c>
      <c r="S1332" s="237" t="s">
        <v>2866</v>
      </c>
      <c r="T1332" s="330"/>
      <c r="U1332" s="330"/>
      <c r="V1332" s="331"/>
      <c r="W1332" s="344"/>
      <c r="X1332" s="341"/>
      <c r="Y1332" s="33" t="s">
        <v>2867</v>
      </c>
      <c r="Z1332" s="258">
        <v>120904.0</v>
      </c>
      <c r="AA1332" s="334">
        <v>11693.0</v>
      </c>
      <c r="AB1332" s="341"/>
      <c r="AC1332" s="341"/>
      <c r="AD1332" s="343"/>
      <c r="AE1332" s="331"/>
      <c r="AF1332" s="348"/>
      <c r="AG1332" s="337"/>
      <c r="AH1332" s="341"/>
      <c r="AI1332" s="341"/>
      <c r="AJ1332" s="341"/>
      <c r="AK1332" s="341"/>
      <c r="AL1332" s="341"/>
      <c r="AM1332" s="338"/>
      <c r="AN1332" s="341"/>
      <c r="AO1332" s="341"/>
      <c r="AP1332" s="341"/>
      <c r="AQ1332" s="341"/>
      <c r="AR1332" s="341"/>
      <c r="AS1332" s="341"/>
      <c r="AT1332" s="341"/>
      <c r="AU1332" s="343"/>
      <c r="AV1332" s="341"/>
      <c r="AW1332" s="269" t="s">
        <v>702</v>
      </c>
      <c r="AX1332" s="334" t="s">
        <v>2869</v>
      </c>
      <c r="AY1332" s="270" t="s">
        <v>695</v>
      </c>
      <c r="AZ1332" s="173" t="s">
        <v>2866</v>
      </c>
      <c r="BA1332" s="265">
        <v>10.0</v>
      </c>
      <c r="BB1332" s="174" t="s">
        <v>245</v>
      </c>
      <c r="BC1332" s="341"/>
      <c r="BD1332" s="308"/>
      <c r="BE1332" s="347"/>
      <c r="BF1332" s="274" t="str">
        <f>IFERROR(__xludf.DUMMYFUNCTION("LOWER(Regexreplace(to_text(E1332),""[^A-Za-z0-9]"","""")&amp;""_""&amp;Regexreplace(to_text(F1332),""[^A-Za-z0-9]"",""""))"),"neptronic_evcbseries")</f>
        <v>neptronic_evcbseries</v>
      </c>
      <c r="BG1332" s="275" t="str">
        <f>IFERROR(__xludf.DUMMYFUNCTION("upper(Regexreplace(to_text(E1332),""[^A-Za-z0-9]"","""")&amp;""-""&amp;Regexreplace(to_text(F1332),""[^A-Za-z0-9]"",""""))"),"NEPTRONIC-EVCBSERIES")</f>
        <v>NEPTRONIC-EVCBSERIES</v>
      </c>
    </row>
    <row r="1333" ht="30.0" customHeight="1">
      <c r="A1333" s="173">
        <v>1325.0</v>
      </c>
      <c r="B1333" s="237" t="s">
        <v>670</v>
      </c>
      <c r="C1333" s="257" t="s">
        <v>5503</v>
      </c>
      <c r="D1333" s="173" t="s">
        <v>5503</v>
      </c>
      <c r="E1333" s="174" t="s">
        <v>2861</v>
      </c>
      <c r="F1333" s="173" t="s">
        <v>2862</v>
      </c>
      <c r="G1333" s="328" t="s">
        <v>673</v>
      </c>
      <c r="H1333" s="328" t="s">
        <v>2863</v>
      </c>
      <c r="I1333" s="258" t="s">
        <v>2864</v>
      </c>
      <c r="J1333" s="259" t="s">
        <v>2839</v>
      </c>
      <c r="K1333" s="260"/>
      <c r="L1333" s="328"/>
      <c r="M1333" s="343"/>
      <c r="N1333" s="173" t="s">
        <v>679</v>
      </c>
      <c r="O1333" s="173" t="s">
        <v>225</v>
      </c>
      <c r="P1333" s="262" t="str">
        <f t="shared" si="1"/>
        <v>IN-BLR-ANANTA-VAV-905_M</v>
      </c>
      <c r="Q1333" s="173" t="s">
        <v>5504</v>
      </c>
      <c r="R1333" s="328" t="str">
        <f>IFS(C1333="","",C1333="n/a","N/A",LEN(C1333),Concatenate("{",char(34),"asset",char(34),":{",char(34),"guid",char(34),":",char(34),Q1333,char(34),",",char(34),"site",char(34),":",char(34),LOWER('2-Building'!$B$4),char(34),",",char(34),"name",char(34),":",char(34),LOWER(C1333),char(34),"}}"))</f>
        <v>{"asset":{"guid":"uuid://e48b4d49-4d62-4c4b-9ec4-61c63f51cb78","site":"in-blr-ananta","name":"vav-905"}}</v>
      </c>
      <c r="S1333" s="237" t="s">
        <v>2866</v>
      </c>
      <c r="T1333" s="330"/>
      <c r="U1333" s="330"/>
      <c r="V1333" s="331"/>
      <c r="W1333" s="344"/>
      <c r="X1333" s="341"/>
      <c r="Y1333" s="33" t="s">
        <v>2867</v>
      </c>
      <c r="Z1333" s="258">
        <v>120905.0</v>
      </c>
      <c r="AA1333" s="334">
        <v>11693.0</v>
      </c>
      <c r="AB1333" s="341"/>
      <c r="AC1333" s="341"/>
      <c r="AD1333" s="343"/>
      <c r="AE1333" s="331"/>
      <c r="AF1333" s="348"/>
      <c r="AG1333" s="337"/>
      <c r="AH1333" s="341"/>
      <c r="AI1333" s="341"/>
      <c r="AJ1333" s="341"/>
      <c r="AK1333" s="341"/>
      <c r="AL1333" s="341"/>
      <c r="AM1333" s="338"/>
      <c r="AN1333" s="341"/>
      <c r="AO1333" s="341"/>
      <c r="AP1333" s="341"/>
      <c r="AQ1333" s="341"/>
      <c r="AR1333" s="341"/>
      <c r="AS1333" s="341"/>
      <c r="AT1333" s="341"/>
      <c r="AU1333" s="343"/>
      <c r="AV1333" s="341"/>
      <c r="AW1333" s="269" t="s">
        <v>702</v>
      </c>
      <c r="AX1333" s="334" t="s">
        <v>2869</v>
      </c>
      <c r="AY1333" s="270" t="s">
        <v>695</v>
      </c>
      <c r="AZ1333" s="173" t="s">
        <v>2866</v>
      </c>
      <c r="BA1333" s="265">
        <v>10.0</v>
      </c>
      <c r="BB1333" s="174" t="s">
        <v>245</v>
      </c>
      <c r="BC1333" s="341"/>
      <c r="BD1333" s="308"/>
      <c r="BE1333" s="347"/>
      <c r="BF1333" s="274" t="str">
        <f>IFERROR(__xludf.DUMMYFUNCTION("LOWER(Regexreplace(to_text(E1333),""[^A-Za-z0-9]"","""")&amp;""_""&amp;Regexreplace(to_text(F1333),""[^A-Za-z0-9]"",""""))"),"neptronic_evcbseries")</f>
        <v>neptronic_evcbseries</v>
      </c>
      <c r="BG1333" s="275" t="str">
        <f>IFERROR(__xludf.DUMMYFUNCTION("upper(Regexreplace(to_text(E1333),""[^A-Za-z0-9]"","""")&amp;""-""&amp;Regexreplace(to_text(F1333),""[^A-Za-z0-9]"",""""))"),"NEPTRONIC-EVCBSERIES")</f>
        <v>NEPTRONIC-EVCBSERIES</v>
      </c>
    </row>
    <row r="1334" ht="30.0" customHeight="1">
      <c r="A1334" s="258">
        <v>1326.0</v>
      </c>
      <c r="B1334" s="237" t="s">
        <v>670</v>
      </c>
      <c r="C1334" s="257" t="s">
        <v>5505</v>
      </c>
      <c r="D1334" s="173" t="s">
        <v>5505</v>
      </c>
      <c r="E1334" s="174" t="s">
        <v>2861</v>
      </c>
      <c r="F1334" s="173" t="s">
        <v>2862</v>
      </c>
      <c r="G1334" s="328" t="s">
        <v>673</v>
      </c>
      <c r="H1334" s="328" t="s">
        <v>2863</v>
      </c>
      <c r="I1334" s="258" t="s">
        <v>2864</v>
      </c>
      <c r="J1334" s="259" t="s">
        <v>2839</v>
      </c>
      <c r="K1334" s="260"/>
      <c r="L1334" s="328"/>
      <c r="M1334" s="343"/>
      <c r="N1334" s="173" t="s">
        <v>679</v>
      </c>
      <c r="O1334" s="173" t="s">
        <v>225</v>
      </c>
      <c r="P1334" s="262" t="str">
        <f t="shared" si="1"/>
        <v>IN-BLR-ANANTA-VAV-906_M</v>
      </c>
      <c r="Q1334" s="173" t="s">
        <v>5506</v>
      </c>
      <c r="R1334" s="328" t="str">
        <f>IFS(C1334="","",C1334="n/a","N/A",LEN(C1334),Concatenate("{",char(34),"asset",char(34),":{",char(34),"guid",char(34),":",char(34),Q1334,char(34),",",char(34),"site",char(34),":",char(34),LOWER('2-Building'!$B$4),char(34),",",char(34),"name",char(34),":",char(34),LOWER(C1334),char(34),"}}"))</f>
        <v>{"asset":{"guid":"uuid://27e7d5eb-732c-4583-8bde-d96a7087e67e","site":"in-blr-ananta","name":"vav-906"}}</v>
      </c>
      <c r="S1334" s="237" t="s">
        <v>2866</v>
      </c>
      <c r="T1334" s="330"/>
      <c r="U1334" s="330"/>
      <c r="V1334" s="331"/>
      <c r="W1334" s="344"/>
      <c r="X1334" s="341"/>
      <c r="Y1334" s="33" t="s">
        <v>2867</v>
      </c>
      <c r="Z1334" s="258">
        <v>120906.0</v>
      </c>
      <c r="AA1334" s="334">
        <v>11693.0</v>
      </c>
      <c r="AB1334" s="341"/>
      <c r="AC1334" s="341"/>
      <c r="AD1334" s="343"/>
      <c r="AE1334" s="331"/>
      <c r="AF1334" s="348"/>
      <c r="AG1334" s="337"/>
      <c r="AH1334" s="341"/>
      <c r="AI1334" s="341"/>
      <c r="AJ1334" s="341"/>
      <c r="AK1334" s="341"/>
      <c r="AL1334" s="341"/>
      <c r="AM1334" s="338"/>
      <c r="AN1334" s="341"/>
      <c r="AO1334" s="341"/>
      <c r="AP1334" s="341"/>
      <c r="AQ1334" s="341"/>
      <c r="AR1334" s="341"/>
      <c r="AS1334" s="341"/>
      <c r="AT1334" s="341"/>
      <c r="AU1334" s="343"/>
      <c r="AV1334" s="341"/>
      <c r="AW1334" s="269" t="s">
        <v>702</v>
      </c>
      <c r="AX1334" s="334" t="s">
        <v>2869</v>
      </c>
      <c r="AY1334" s="270" t="s">
        <v>695</v>
      </c>
      <c r="AZ1334" s="173" t="s">
        <v>2866</v>
      </c>
      <c r="BA1334" s="265">
        <v>10.0</v>
      </c>
      <c r="BB1334" s="174" t="s">
        <v>245</v>
      </c>
      <c r="BC1334" s="341"/>
      <c r="BD1334" s="308"/>
      <c r="BE1334" s="347"/>
      <c r="BF1334" s="274" t="str">
        <f>IFERROR(__xludf.DUMMYFUNCTION("LOWER(Regexreplace(to_text(E1334),""[^A-Za-z0-9]"","""")&amp;""_""&amp;Regexreplace(to_text(F1334),""[^A-Za-z0-9]"",""""))"),"neptronic_evcbseries")</f>
        <v>neptronic_evcbseries</v>
      </c>
      <c r="BG1334" s="275" t="str">
        <f>IFERROR(__xludf.DUMMYFUNCTION("upper(Regexreplace(to_text(E1334),""[^A-Za-z0-9]"","""")&amp;""-""&amp;Regexreplace(to_text(F1334),""[^A-Za-z0-9]"",""""))"),"NEPTRONIC-EVCBSERIES")</f>
        <v>NEPTRONIC-EVCBSERIES</v>
      </c>
    </row>
    <row r="1335" ht="30.0" customHeight="1">
      <c r="A1335" s="173">
        <v>1327.0</v>
      </c>
      <c r="B1335" s="237" t="s">
        <v>670</v>
      </c>
      <c r="C1335" s="257" t="s">
        <v>5507</v>
      </c>
      <c r="D1335" s="173" t="s">
        <v>5507</v>
      </c>
      <c r="E1335" s="174" t="s">
        <v>2861</v>
      </c>
      <c r="F1335" s="173" t="s">
        <v>2862</v>
      </c>
      <c r="G1335" s="328" t="s">
        <v>673</v>
      </c>
      <c r="H1335" s="328" t="s">
        <v>2863</v>
      </c>
      <c r="I1335" s="258" t="s">
        <v>2864</v>
      </c>
      <c r="J1335" s="259" t="s">
        <v>2839</v>
      </c>
      <c r="K1335" s="260"/>
      <c r="L1335" s="328"/>
      <c r="M1335" s="343"/>
      <c r="N1335" s="173" t="s">
        <v>679</v>
      </c>
      <c r="O1335" s="173" t="s">
        <v>225</v>
      </c>
      <c r="P1335" s="262" t="str">
        <f t="shared" si="1"/>
        <v>IN-BLR-ANANTA-VAV-907_M</v>
      </c>
      <c r="Q1335" s="173" t="s">
        <v>5508</v>
      </c>
      <c r="R1335" s="328" t="str">
        <f>IFS(C1335="","",C1335="n/a","N/A",LEN(C1335),Concatenate("{",char(34),"asset",char(34),":{",char(34),"guid",char(34),":",char(34),Q1335,char(34),",",char(34),"site",char(34),":",char(34),LOWER('2-Building'!$B$4),char(34),",",char(34),"name",char(34),":",char(34),LOWER(C1335),char(34),"}}"))</f>
        <v>{"asset":{"guid":"uuid://4c58d863-5439-4f58-881b-5d38039f0fa8","site":"in-blr-ananta","name":"vav-907"}}</v>
      </c>
      <c r="S1335" s="237" t="s">
        <v>2866</v>
      </c>
      <c r="T1335" s="330"/>
      <c r="U1335" s="330"/>
      <c r="V1335" s="331"/>
      <c r="W1335" s="344"/>
      <c r="X1335" s="341"/>
      <c r="Y1335" s="33" t="s">
        <v>2867</v>
      </c>
      <c r="Z1335" s="258">
        <v>120907.0</v>
      </c>
      <c r="AA1335" s="334">
        <v>11693.0</v>
      </c>
      <c r="AB1335" s="341"/>
      <c r="AC1335" s="341"/>
      <c r="AD1335" s="343"/>
      <c r="AE1335" s="331"/>
      <c r="AF1335" s="348"/>
      <c r="AG1335" s="337"/>
      <c r="AH1335" s="341"/>
      <c r="AI1335" s="341"/>
      <c r="AJ1335" s="341"/>
      <c r="AK1335" s="341"/>
      <c r="AL1335" s="341"/>
      <c r="AM1335" s="338"/>
      <c r="AN1335" s="341"/>
      <c r="AO1335" s="341"/>
      <c r="AP1335" s="341"/>
      <c r="AQ1335" s="341"/>
      <c r="AR1335" s="341"/>
      <c r="AS1335" s="341"/>
      <c r="AT1335" s="341"/>
      <c r="AU1335" s="343"/>
      <c r="AV1335" s="341"/>
      <c r="AW1335" s="269" t="s">
        <v>702</v>
      </c>
      <c r="AX1335" s="334" t="s">
        <v>2869</v>
      </c>
      <c r="AY1335" s="270" t="s">
        <v>695</v>
      </c>
      <c r="AZ1335" s="173" t="s">
        <v>2866</v>
      </c>
      <c r="BA1335" s="265">
        <v>10.0</v>
      </c>
      <c r="BB1335" s="174" t="s">
        <v>245</v>
      </c>
      <c r="BC1335" s="341"/>
      <c r="BD1335" s="308"/>
      <c r="BE1335" s="347"/>
      <c r="BF1335" s="274" t="str">
        <f>IFERROR(__xludf.DUMMYFUNCTION("LOWER(Regexreplace(to_text(E1335),""[^A-Za-z0-9]"","""")&amp;""_""&amp;Regexreplace(to_text(F1335),""[^A-Za-z0-9]"",""""))"),"neptronic_evcbseries")</f>
        <v>neptronic_evcbseries</v>
      </c>
      <c r="BG1335" s="275" t="str">
        <f>IFERROR(__xludf.DUMMYFUNCTION("upper(Regexreplace(to_text(E1335),""[^A-Za-z0-9]"","""")&amp;""-""&amp;Regexreplace(to_text(F1335),""[^A-Za-z0-9]"",""""))"),"NEPTRONIC-EVCBSERIES")</f>
        <v>NEPTRONIC-EVCBSERIES</v>
      </c>
    </row>
    <row r="1336" ht="30.0" customHeight="1">
      <c r="A1336" s="258">
        <v>1328.0</v>
      </c>
      <c r="B1336" s="237" t="s">
        <v>670</v>
      </c>
      <c r="C1336" s="257" t="s">
        <v>5509</v>
      </c>
      <c r="D1336" s="173" t="s">
        <v>5509</v>
      </c>
      <c r="E1336" s="174" t="s">
        <v>2861</v>
      </c>
      <c r="F1336" s="173" t="s">
        <v>2862</v>
      </c>
      <c r="G1336" s="328" t="s">
        <v>673</v>
      </c>
      <c r="H1336" s="328" t="s">
        <v>2863</v>
      </c>
      <c r="I1336" s="258" t="s">
        <v>2864</v>
      </c>
      <c r="J1336" s="259" t="s">
        <v>2839</v>
      </c>
      <c r="K1336" s="260"/>
      <c r="L1336" s="328"/>
      <c r="M1336" s="343"/>
      <c r="N1336" s="173" t="s">
        <v>679</v>
      </c>
      <c r="O1336" s="173" t="s">
        <v>225</v>
      </c>
      <c r="P1336" s="262" t="str">
        <f t="shared" si="1"/>
        <v>IN-BLR-ANANTA-VAV-908_M</v>
      </c>
      <c r="Q1336" s="173" t="s">
        <v>5510</v>
      </c>
      <c r="R1336" s="328" t="str">
        <f>IFS(C1336="","",C1336="n/a","N/A",LEN(C1336),Concatenate("{",char(34),"asset",char(34),":{",char(34),"guid",char(34),":",char(34),Q1336,char(34),",",char(34),"site",char(34),":",char(34),LOWER('2-Building'!$B$4),char(34),",",char(34),"name",char(34),":",char(34),LOWER(C1336),char(34),"}}"))</f>
        <v>{"asset":{"guid":"uuid://7b4522d0-2ab1-4943-b30e-f4eb8c15e526","site":"in-blr-ananta","name":"vav-908"}}</v>
      </c>
      <c r="S1336" s="237" t="s">
        <v>2866</v>
      </c>
      <c r="T1336" s="330"/>
      <c r="U1336" s="330"/>
      <c r="V1336" s="331"/>
      <c r="W1336" s="344"/>
      <c r="X1336" s="341"/>
      <c r="Y1336" s="33" t="s">
        <v>2867</v>
      </c>
      <c r="Z1336" s="258">
        <v>120908.0</v>
      </c>
      <c r="AA1336" s="334">
        <v>11693.0</v>
      </c>
      <c r="AB1336" s="341"/>
      <c r="AC1336" s="341"/>
      <c r="AD1336" s="343"/>
      <c r="AE1336" s="331"/>
      <c r="AF1336" s="348"/>
      <c r="AG1336" s="337"/>
      <c r="AH1336" s="341"/>
      <c r="AI1336" s="341"/>
      <c r="AJ1336" s="341"/>
      <c r="AK1336" s="341"/>
      <c r="AL1336" s="341"/>
      <c r="AM1336" s="338"/>
      <c r="AN1336" s="341"/>
      <c r="AO1336" s="341"/>
      <c r="AP1336" s="341"/>
      <c r="AQ1336" s="341"/>
      <c r="AR1336" s="341"/>
      <c r="AS1336" s="341"/>
      <c r="AT1336" s="341"/>
      <c r="AU1336" s="343"/>
      <c r="AV1336" s="341"/>
      <c r="AW1336" s="269" t="s">
        <v>702</v>
      </c>
      <c r="AX1336" s="334" t="s">
        <v>2869</v>
      </c>
      <c r="AY1336" s="270" t="s">
        <v>695</v>
      </c>
      <c r="AZ1336" s="173" t="s">
        <v>2866</v>
      </c>
      <c r="BA1336" s="265">
        <v>10.0</v>
      </c>
      <c r="BB1336" s="174" t="s">
        <v>245</v>
      </c>
      <c r="BC1336" s="341"/>
      <c r="BD1336" s="308"/>
      <c r="BE1336" s="347"/>
      <c r="BF1336" s="274" t="str">
        <f>IFERROR(__xludf.DUMMYFUNCTION("LOWER(Regexreplace(to_text(E1336),""[^A-Za-z0-9]"","""")&amp;""_""&amp;Regexreplace(to_text(F1336),""[^A-Za-z0-9]"",""""))"),"neptronic_evcbseries")</f>
        <v>neptronic_evcbseries</v>
      </c>
      <c r="BG1336" s="275" t="str">
        <f>IFERROR(__xludf.DUMMYFUNCTION("upper(Regexreplace(to_text(E1336),""[^A-Za-z0-9]"","""")&amp;""-""&amp;Regexreplace(to_text(F1336),""[^A-Za-z0-9]"",""""))"),"NEPTRONIC-EVCBSERIES")</f>
        <v>NEPTRONIC-EVCBSERIES</v>
      </c>
    </row>
    <row r="1337" ht="30.0" customHeight="1">
      <c r="A1337" s="173">
        <v>1329.0</v>
      </c>
      <c r="B1337" s="237" t="s">
        <v>670</v>
      </c>
      <c r="C1337" s="257" t="s">
        <v>5511</v>
      </c>
      <c r="D1337" s="173" t="s">
        <v>5511</v>
      </c>
      <c r="E1337" s="174" t="s">
        <v>2861</v>
      </c>
      <c r="F1337" s="173" t="s">
        <v>2862</v>
      </c>
      <c r="G1337" s="328" t="s">
        <v>673</v>
      </c>
      <c r="H1337" s="328" t="s">
        <v>2863</v>
      </c>
      <c r="I1337" s="258" t="s">
        <v>2864</v>
      </c>
      <c r="J1337" s="259" t="s">
        <v>2839</v>
      </c>
      <c r="K1337" s="260"/>
      <c r="L1337" s="328"/>
      <c r="M1337" s="343"/>
      <c r="N1337" s="173" t="s">
        <v>679</v>
      </c>
      <c r="O1337" s="173" t="s">
        <v>225</v>
      </c>
      <c r="P1337" s="262" t="str">
        <f t="shared" si="1"/>
        <v>IN-BLR-ANANTA-VAV-909_M</v>
      </c>
      <c r="Q1337" s="173" t="s">
        <v>5512</v>
      </c>
      <c r="R1337" s="328" t="str">
        <f>IFS(C1337="","",C1337="n/a","N/A",LEN(C1337),Concatenate("{",char(34),"asset",char(34),":{",char(34),"guid",char(34),":",char(34),Q1337,char(34),",",char(34),"site",char(34),":",char(34),LOWER('2-Building'!$B$4),char(34),",",char(34),"name",char(34),":",char(34),LOWER(C1337),char(34),"}}"))</f>
        <v>{"asset":{"guid":"uuid://22a1a332-cb7f-44df-9c81-f2bd038e8d89","site":"in-blr-ananta","name":"vav-909"}}</v>
      </c>
      <c r="S1337" s="237" t="s">
        <v>2866</v>
      </c>
      <c r="T1337" s="330"/>
      <c r="U1337" s="330"/>
      <c r="V1337" s="331"/>
      <c r="W1337" s="344"/>
      <c r="X1337" s="341"/>
      <c r="Y1337" s="33" t="s">
        <v>2867</v>
      </c>
      <c r="Z1337" s="258">
        <v>120909.0</v>
      </c>
      <c r="AA1337" s="334">
        <v>11693.0</v>
      </c>
      <c r="AB1337" s="341"/>
      <c r="AC1337" s="341"/>
      <c r="AD1337" s="343"/>
      <c r="AE1337" s="331"/>
      <c r="AF1337" s="348"/>
      <c r="AG1337" s="337"/>
      <c r="AH1337" s="341"/>
      <c r="AI1337" s="341"/>
      <c r="AJ1337" s="341"/>
      <c r="AK1337" s="341"/>
      <c r="AL1337" s="341"/>
      <c r="AM1337" s="338"/>
      <c r="AN1337" s="341"/>
      <c r="AO1337" s="341"/>
      <c r="AP1337" s="341"/>
      <c r="AQ1337" s="341"/>
      <c r="AR1337" s="341"/>
      <c r="AS1337" s="341"/>
      <c r="AT1337" s="341"/>
      <c r="AU1337" s="343"/>
      <c r="AV1337" s="341"/>
      <c r="AW1337" s="269" t="s">
        <v>702</v>
      </c>
      <c r="AX1337" s="334" t="s">
        <v>2869</v>
      </c>
      <c r="AY1337" s="270" t="s">
        <v>695</v>
      </c>
      <c r="AZ1337" s="173" t="s">
        <v>2866</v>
      </c>
      <c r="BA1337" s="265">
        <v>10.0</v>
      </c>
      <c r="BB1337" s="174" t="s">
        <v>245</v>
      </c>
      <c r="BC1337" s="341"/>
      <c r="BD1337" s="308"/>
      <c r="BE1337" s="347"/>
      <c r="BF1337" s="274" t="str">
        <f>IFERROR(__xludf.DUMMYFUNCTION("LOWER(Regexreplace(to_text(E1337),""[^A-Za-z0-9]"","""")&amp;""_""&amp;Regexreplace(to_text(F1337),""[^A-Za-z0-9]"",""""))"),"neptronic_evcbseries")</f>
        <v>neptronic_evcbseries</v>
      </c>
      <c r="BG1337" s="275" t="str">
        <f>IFERROR(__xludf.DUMMYFUNCTION("upper(Regexreplace(to_text(E1337),""[^A-Za-z0-9]"","""")&amp;""-""&amp;Regexreplace(to_text(F1337),""[^A-Za-z0-9]"",""""))"),"NEPTRONIC-EVCBSERIES")</f>
        <v>NEPTRONIC-EVCBSERIES</v>
      </c>
    </row>
    <row r="1338" ht="30.0" customHeight="1">
      <c r="A1338" s="258">
        <v>1330.0</v>
      </c>
      <c r="B1338" s="237" t="s">
        <v>670</v>
      </c>
      <c r="C1338" s="257" t="s">
        <v>5513</v>
      </c>
      <c r="D1338" s="173" t="s">
        <v>5513</v>
      </c>
      <c r="E1338" s="174" t="s">
        <v>2861</v>
      </c>
      <c r="F1338" s="173" t="s">
        <v>2862</v>
      </c>
      <c r="G1338" s="328" t="s">
        <v>673</v>
      </c>
      <c r="H1338" s="328" t="s">
        <v>2863</v>
      </c>
      <c r="I1338" s="258" t="s">
        <v>2864</v>
      </c>
      <c r="J1338" s="259" t="s">
        <v>1149</v>
      </c>
      <c r="K1338" s="260" t="s">
        <v>5514</v>
      </c>
      <c r="L1338" s="359"/>
      <c r="M1338" s="343"/>
      <c r="N1338" s="173" t="s">
        <v>679</v>
      </c>
      <c r="O1338" s="173" t="s">
        <v>225</v>
      </c>
      <c r="P1338" s="262" t="str">
        <f t="shared" si="1"/>
        <v>IN-BLR-ANANTA-VAV-910_6</v>
      </c>
      <c r="Q1338" s="173" t="s">
        <v>5515</v>
      </c>
      <c r="R1338" s="328" t="str">
        <f>IFS(C1338="","",C1338="n/a","N/A",LEN(C1338),Concatenate("{",char(34),"asset",char(34),":{",char(34),"guid",char(34),":",char(34),Q1338,char(34),",",char(34),"site",char(34),":",char(34),LOWER('2-Building'!$B$4),char(34),",",char(34),"name",char(34),":",char(34),LOWER(C1338),char(34),"}}"))</f>
        <v>{"asset":{"guid":"uuid://6c408452-98aa-4c2b-8f06-42af89425597","site":"in-blr-ananta","name":"vav-910"}}</v>
      </c>
      <c r="S1338" s="360" t="s">
        <v>5516</v>
      </c>
      <c r="T1338" s="330"/>
      <c r="U1338" s="330"/>
      <c r="V1338" s="331"/>
      <c r="W1338" s="344"/>
      <c r="X1338" s="341"/>
      <c r="Y1338" s="33" t="s">
        <v>2867</v>
      </c>
      <c r="Z1338" s="258">
        <v>120910.0</v>
      </c>
      <c r="AA1338" s="334">
        <v>11618.0</v>
      </c>
      <c r="AB1338" s="341"/>
      <c r="AC1338" s="341"/>
      <c r="AD1338" s="343"/>
      <c r="AE1338" s="331"/>
      <c r="AF1338" s="348"/>
      <c r="AG1338" s="337"/>
      <c r="AH1338" s="341"/>
      <c r="AI1338" s="341"/>
      <c r="AJ1338" s="341"/>
      <c r="AK1338" s="341"/>
      <c r="AL1338" s="341"/>
      <c r="AM1338" s="338"/>
      <c r="AN1338" s="341"/>
      <c r="AO1338" s="341"/>
      <c r="AP1338" s="341"/>
      <c r="AQ1338" s="341"/>
      <c r="AR1338" s="341"/>
      <c r="AS1338" s="341"/>
      <c r="AT1338" s="341"/>
      <c r="AU1338" s="343"/>
      <c r="AV1338" s="341"/>
      <c r="AW1338" s="269" t="s">
        <v>2356</v>
      </c>
      <c r="AX1338" s="334" t="s">
        <v>2869</v>
      </c>
      <c r="AY1338" s="270" t="s">
        <v>695</v>
      </c>
      <c r="AZ1338" s="173" t="s">
        <v>5516</v>
      </c>
      <c r="BA1338" s="265">
        <v>10.0</v>
      </c>
      <c r="BB1338" s="174" t="s">
        <v>245</v>
      </c>
      <c r="BC1338" s="341"/>
      <c r="BD1338" s="308"/>
      <c r="BE1338" s="347"/>
      <c r="BF1338" s="274" t="str">
        <f>IFERROR(__xludf.DUMMYFUNCTION("LOWER(Regexreplace(to_text(E1338),""[^A-Za-z0-9]"","""")&amp;""_""&amp;Regexreplace(to_text(F1338),""[^A-Za-z0-9]"",""""))"),"neptronic_evcbseries")</f>
        <v>neptronic_evcbseries</v>
      </c>
      <c r="BG1338" s="275" t="str">
        <f>IFERROR(__xludf.DUMMYFUNCTION("upper(Regexreplace(to_text(E1338),""[^A-Za-z0-9]"","""")&amp;""-""&amp;Regexreplace(to_text(F1338),""[^A-Za-z0-9]"",""""))"),"NEPTRONIC-EVCBSERIES")</f>
        <v>NEPTRONIC-EVCBSERIES</v>
      </c>
    </row>
    <row r="1339" ht="30.0" customHeight="1">
      <c r="A1339" s="173">
        <v>1331.0</v>
      </c>
      <c r="B1339" s="237" t="s">
        <v>670</v>
      </c>
      <c r="C1339" s="257" t="s">
        <v>5517</v>
      </c>
      <c r="D1339" s="173" t="s">
        <v>5517</v>
      </c>
      <c r="E1339" s="174" t="s">
        <v>2861</v>
      </c>
      <c r="F1339" s="173" t="s">
        <v>2862</v>
      </c>
      <c r="G1339" s="328" t="s">
        <v>673</v>
      </c>
      <c r="H1339" s="328" t="s">
        <v>2863</v>
      </c>
      <c r="I1339" s="258" t="s">
        <v>2864</v>
      </c>
      <c r="J1339" s="259" t="s">
        <v>1149</v>
      </c>
      <c r="K1339" s="260" t="s">
        <v>5518</v>
      </c>
      <c r="L1339" s="359"/>
      <c r="M1339" s="359"/>
      <c r="N1339" s="173" t="s">
        <v>679</v>
      </c>
      <c r="O1339" s="173" t="s">
        <v>225</v>
      </c>
      <c r="P1339" s="262" t="str">
        <f t="shared" si="1"/>
        <v>IN-BLR-ANANTA-VAV-911_6</v>
      </c>
      <c r="Q1339" s="173" t="s">
        <v>5519</v>
      </c>
      <c r="R1339" s="328" t="str">
        <f>IFS(C1339="","",C1339="n/a","N/A",LEN(C1339),Concatenate("{",char(34),"asset",char(34),":{",char(34),"guid",char(34),":",char(34),Q1339,char(34),",",char(34),"site",char(34),":",char(34),LOWER('2-Building'!$B$4),char(34),",",char(34),"name",char(34),":",char(34),LOWER(C1339),char(34),"}}"))</f>
        <v>{"asset":{"guid":"uuid://045598dc-9681-4db0-93c0-01c1ec1f822c","site":"in-blr-ananta","name":"vav-911"}}</v>
      </c>
      <c r="S1339" s="360" t="s">
        <v>5516</v>
      </c>
      <c r="T1339" s="330"/>
      <c r="U1339" s="330"/>
      <c r="V1339" s="331"/>
      <c r="W1339" s="344"/>
      <c r="X1339" s="341"/>
      <c r="Y1339" s="33" t="s">
        <v>2867</v>
      </c>
      <c r="Z1339" s="258">
        <v>120911.0</v>
      </c>
      <c r="AA1339" s="334">
        <v>11617.0</v>
      </c>
      <c r="AB1339" s="341"/>
      <c r="AC1339" s="341"/>
      <c r="AD1339" s="343"/>
      <c r="AE1339" s="331"/>
      <c r="AF1339" s="348"/>
      <c r="AG1339" s="337"/>
      <c r="AH1339" s="341"/>
      <c r="AI1339" s="341"/>
      <c r="AJ1339" s="341"/>
      <c r="AK1339" s="341"/>
      <c r="AL1339" s="341"/>
      <c r="AM1339" s="338"/>
      <c r="AN1339" s="341"/>
      <c r="AO1339" s="341"/>
      <c r="AP1339" s="341"/>
      <c r="AQ1339" s="341"/>
      <c r="AR1339" s="341"/>
      <c r="AS1339" s="341"/>
      <c r="AT1339" s="341"/>
      <c r="AU1339" s="343"/>
      <c r="AV1339" s="341"/>
      <c r="AW1339" s="269" t="s">
        <v>2356</v>
      </c>
      <c r="AX1339" s="334" t="s">
        <v>2869</v>
      </c>
      <c r="AY1339" s="270" t="s">
        <v>695</v>
      </c>
      <c r="AZ1339" s="173" t="s">
        <v>5516</v>
      </c>
      <c r="BA1339" s="265">
        <v>10.0</v>
      </c>
      <c r="BB1339" s="174" t="s">
        <v>245</v>
      </c>
      <c r="BC1339" s="341"/>
      <c r="BD1339" s="308"/>
      <c r="BE1339" s="347"/>
      <c r="BF1339" s="274" t="str">
        <f>IFERROR(__xludf.DUMMYFUNCTION("LOWER(Regexreplace(to_text(E1339),""[^A-Za-z0-9]"","""")&amp;""_""&amp;Regexreplace(to_text(F1339),""[^A-Za-z0-9]"",""""))"),"neptronic_evcbseries")</f>
        <v>neptronic_evcbseries</v>
      </c>
      <c r="BG1339" s="275" t="str">
        <f>IFERROR(__xludf.DUMMYFUNCTION("upper(Regexreplace(to_text(E1339),""[^A-Za-z0-9]"","""")&amp;""-""&amp;Regexreplace(to_text(F1339),""[^A-Za-z0-9]"",""""))"),"NEPTRONIC-EVCBSERIES")</f>
        <v>NEPTRONIC-EVCBSERIES</v>
      </c>
    </row>
    <row r="1340" ht="30.0" customHeight="1">
      <c r="A1340" s="258">
        <v>1332.0</v>
      </c>
      <c r="B1340" s="237" t="s">
        <v>670</v>
      </c>
      <c r="C1340" s="257" t="s">
        <v>5520</v>
      </c>
      <c r="D1340" s="173" t="s">
        <v>5520</v>
      </c>
      <c r="E1340" s="174" t="s">
        <v>2861</v>
      </c>
      <c r="F1340" s="173" t="s">
        <v>2862</v>
      </c>
      <c r="G1340" s="328" t="s">
        <v>673</v>
      </c>
      <c r="H1340" s="328" t="s">
        <v>2863</v>
      </c>
      <c r="I1340" s="258" t="s">
        <v>2864</v>
      </c>
      <c r="J1340" s="259" t="s">
        <v>1149</v>
      </c>
      <c r="K1340" s="260" t="s">
        <v>5521</v>
      </c>
      <c r="L1340" s="359"/>
      <c r="M1340" s="359"/>
      <c r="N1340" s="173" t="s">
        <v>679</v>
      </c>
      <c r="O1340" s="173" t="s">
        <v>225</v>
      </c>
      <c r="P1340" s="262" t="str">
        <f t="shared" si="1"/>
        <v>IN-BLR-ANANTA-VAV-912_6</v>
      </c>
      <c r="Q1340" s="173" t="s">
        <v>5522</v>
      </c>
      <c r="R1340" s="328" t="str">
        <f>IFS(C1340="","",C1340="n/a","N/A",LEN(C1340),Concatenate("{",char(34),"asset",char(34),":{",char(34),"guid",char(34),":",char(34),Q1340,char(34),",",char(34),"site",char(34),":",char(34),LOWER('2-Building'!$B$4),char(34),",",char(34),"name",char(34),":",char(34),LOWER(C1340),char(34),"}}"))</f>
        <v>{"asset":{"guid":"uuid://25e1fb42-3131-4c1d-a865-a108b72c8ce9","site":"in-blr-ananta","name":"vav-912"}}</v>
      </c>
      <c r="S1340" s="360" t="s">
        <v>5516</v>
      </c>
      <c r="T1340" s="330"/>
      <c r="U1340" s="330"/>
      <c r="V1340" s="331"/>
      <c r="W1340" s="344"/>
      <c r="X1340" s="341"/>
      <c r="Y1340" s="33" t="s">
        <v>2867</v>
      </c>
      <c r="Z1340" s="258">
        <v>120912.0</v>
      </c>
      <c r="AA1340" s="334">
        <v>11618.0</v>
      </c>
      <c r="AB1340" s="341"/>
      <c r="AC1340" s="341"/>
      <c r="AD1340" s="343"/>
      <c r="AE1340" s="331"/>
      <c r="AF1340" s="348"/>
      <c r="AG1340" s="337"/>
      <c r="AH1340" s="341"/>
      <c r="AI1340" s="341"/>
      <c r="AJ1340" s="341"/>
      <c r="AK1340" s="341"/>
      <c r="AL1340" s="341"/>
      <c r="AM1340" s="338"/>
      <c r="AN1340" s="341"/>
      <c r="AO1340" s="341"/>
      <c r="AP1340" s="341"/>
      <c r="AQ1340" s="341"/>
      <c r="AR1340" s="341"/>
      <c r="AS1340" s="341"/>
      <c r="AT1340" s="341"/>
      <c r="AU1340" s="343"/>
      <c r="AV1340" s="341"/>
      <c r="AW1340" s="269" t="s">
        <v>2356</v>
      </c>
      <c r="AX1340" s="334" t="s">
        <v>2869</v>
      </c>
      <c r="AY1340" s="270" t="s">
        <v>695</v>
      </c>
      <c r="AZ1340" s="173" t="s">
        <v>5516</v>
      </c>
      <c r="BA1340" s="265">
        <v>10.0</v>
      </c>
      <c r="BB1340" s="174" t="s">
        <v>245</v>
      </c>
      <c r="BC1340" s="341"/>
      <c r="BD1340" s="308"/>
      <c r="BE1340" s="347"/>
      <c r="BF1340" s="274" t="str">
        <f>IFERROR(__xludf.DUMMYFUNCTION("LOWER(Regexreplace(to_text(E1340),""[^A-Za-z0-9]"","""")&amp;""_""&amp;Regexreplace(to_text(F1340),""[^A-Za-z0-9]"",""""))"),"neptronic_evcbseries")</f>
        <v>neptronic_evcbseries</v>
      </c>
      <c r="BG1340" s="275" t="str">
        <f>IFERROR(__xludf.DUMMYFUNCTION("upper(Regexreplace(to_text(E1340),""[^A-Za-z0-9]"","""")&amp;""-""&amp;Regexreplace(to_text(F1340),""[^A-Za-z0-9]"",""""))"),"NEPTRONIC-EVCBSERIES")</f>
        <v>NEPTRONIC-EVCBSERIES</v>
      </c>
    </row>
    <row r="1341" ht="30.0" customHeight="1">
      <c r="A1341" s="173">
        <v>1333.0</v>
      </c>
      <c r="B1341" s="237" t="s">
        <v>670</v>
      </c>
      <c r="C1341" s="257" t="s">
        <v>5523</v>
      </c>
      <c r="D1341" s="173" t="s">
        <v>5523</v>
      </c>
      <c r="E1341" s="174" t="s">
        <v>2861</v>
      </c>
      <c r="F1341" s="173" t="s">
        <v>2862</v>
      </c>
      <c r="G1341" s="328" t="s">
        <v>673</v>
      </c>
      <c r="H1341" s="328" t="s">
        <v>2863</v>
      </c>
      <c r="I1341" s="258" t="s">
        <v>2864</v>
      </c>
      <c r="J1341" s="259" t="s">
        <v>1149</v>
      </c>
      <c r="K1341" s="260" t="s">
        <v>5524</v>
      </c>
      <c r="L1341" s="359"/>
      <c r="M1341" s="359"/>
      <c r="N1341" s="173" t="s">
        <v>679</v>
      </c>
      <c r="O1341" s="173" t="s">
        <v>225</v>
      </c>
      <c r="P1341" s="262" t="str">
        <f t="shared" si="1"/>
        <v>IN-BLR-ANANTA-VAV-913_6</v>
      </c>
      <c r="Q1341" s="173" t="s">
        <v>5525</v>
      </c>
      <c r="R1341" s="328" t="str">
        <f>IFS(C1341="","",C1341="n/a","N/A",LEN(C1341),Concatenate("{",char(34),"asset",char(34),":{",char(34),"guid",char(34),":",char(34),Q1341,char(34),",",char(34),"site",char(34),":",char(34),LOWER('2-Building'!$B$4),char(34),",",char(34),"name",char(34),":",char(34),LOWER(C1341),char(34),"}}"))</f>
        <v>{"asset":{"guid":"uuid://20c798b4-0a7d-44be-a3ad-1d7731164380","site":"in-blr-ananta","name":"vav-913"}}</v>
      </c>
      <c r="S1341" s="360" t="s">
        <v>5516</v>
      </c>
      <c r="T1341" s="330"/>
      <c r="U1341" s="330"/>
      <c r="V1341" s="331"/>
      <c r="W1341" s="344"/>
      <c r="X1341" s="341"/>
      <c r="Y1341" s="33" t="s">
        <v>2867</v>
      </c>
      <c r="Z1341" s="258">
        <v>120913.0</v>
      </c>
      <c r="AA1341" s="334">
        <v>11617.0</v>
      </c>
      <c r="AB1341" s="341"/>
      <c r="AC1341" s="341"/>
      <c r="AD1341" s="343"/>
      <c r="AE1341" s="331"/>
      <c r="AF1341" s="348"/>
      <c r="AG1341" s="337"/>
      <c r="AH1341" s="341"/>
      <c r="AI1341" s="341"/>
      <c r="AJ1341" s="341"/>
      <c r="AK1341" s="341"/>
      <c r="AL1341" s="341"/>
      <c r="AM1341" s="338"/>
      <c r="AN1341" s="341"/>
      <c r="AO1341" s="341"/>
      <c r="AP1341" s="341"/>
      <c r="AQ1341" s="341"/>
      <c r="AR1341" s="341"/>
      <c r="AS1341" s="341"/>
      <c r="AT1341" s="341"/>
      <c r="AU1341" s="343"/>
      <c r="AV1341" s="341"/>
      <c r="AW1341" s="269" t="s">
        <v>2356</v>
      </c>
      <c r="AX1341" s="334" t="s">
        <v>2869</v>
      </c>
      <c r="AY1341" s="270" t="s">
        <v>695</v>
      </c>
      <c r="AZ1341" s="173" t="s">
        <v>5516</v>
      </c>
      <c r="BA1341" s="265">
        <v>10.0</v>
      </c>
      <c r="BB1341" s="174" t="s">
        <v>245</v>
      </c>
      <c r="BC1341" s="341"/>
      <c r="BD1341" s="308"/>
      <c r="BE1341" s="347"/>
      <c r="BF1341" s="274" t="str">
        <f>IFERROR(__xludf.DUMMYFUNCTION("LOWER(Regexreplace(to_text(E1341),""[^A-Za-z0-9]"","""")&amp;""_""&amp;Regexreplace(to_text(F1341),""[^A-Za-z0-9]"",""""))"),"neptronic_evcbseries")</f>
        <v>neptronic_evcbseries</v>
      </c>
      <c r="BG1341" s="275" t="str">
        <f>IFERROR(__xludf.DUMMYFUNCTION("upper(Regexreplace(to_text(E1341),""[^A-Za-z0-9]"","""")&amp;""-""&amp;Regexreplace(to_text(F1341),""[^A-Za-z0-9]"",""""))"),"NEPTRONIC-EVCBSERIES")</f>
        <v>NEPTRONIC-EVCBSERIES</v>
      </c>
    </row>
    <row r="1342" ht="30.0" customHeight="1">
      <c r="A1342" s="258">
        <v>1334.0</v>
      </c>
      <c r="B1342" s="237" t="s">
        <v>670</v>
      </c>
      <c r="C1342" s="257" t="s">
        <v>5526</v>
      </c>
      <c r="D1342" s="173" t="s">
        <v>5526</v>
      </c>
      <c r="E1342" s="174" t="s">
        <v>2861</v>
      </c>
      <c r="F1342" s="173" t="s">
        <v>2862</v>
      </c>
      <c r="G1342" s="328" t="s">
        <v>673</v>
      </c>
      <c r="H1342" s="328" t="s">
        <v>2863</v>
      </c>
      <c r="I1342" s="258" t="s">
        <v>2864</v>
      </c>
      <c r="J1342" s="259" t="s">
        <v>1149</v>
      </c>
      <c r="K1342" s="260" t="s">
        <v>5527</v>
      </c>
      <c r="L1342" s="359"/>
      <c r="M1342" s="359"/>
      <c r="N1342" s="173" t="s">
        <v>679</v>
      </c>
      <c r="O1342" s="173" t="s">
        <v>225</v>
      </c>
      <c r="P1342" s="262" t="str">
        <f t="shared" si="1"/>
        <v>IN-BLR-ANANTA-VAV-914_6</v>
      </c>
      <c r="Q1342" s="173" t="s">
        <v>5528</v>
      </c>
      <c r="R1342" s="328" t="str">
        <f>IFS(C1342="","",C1342="n/a","N/A",LEN(C1342),Concatenate("{",char(34),"asset",char(34),":{",char(34),"guid",char(34),":",char(34),Q1342,char(34),",",char(34),"site",char(34),":",char(34),LOWER('2-Building'!$B$4),char(34),",",char(34),"name",char(34),":",char(34),LOWER(C1342),char(34),"}}"))</f>
        <v>{"asset":{"guid":"uuid://a88fde70-5d7d-4338-ba7d-946a94a372cd","site":"in-blr-ananta","name":"vav-914"}}</v>
      </c>
      <c r="S1342" s="360" t="s">
        <v>5516</v>
      </c>
      <c r="T1342" s="330"/>
      <c r="U1342" s="330"/>
      <c r="V1342" s="331"/>
      <c r="W1342" s="344"/>
      <c r="X1342" s="341"/>
      <c r="Y1342" s="33" t="s">
        <v>2867</v>
      </c>
      <c r="Z1342" s="258">
        <v>120914.0</v>
      </c>
      <c r="AA1342" s="334">
        <v>11617.0</v>
      </c>
      <c r="AB1342" s="341"/>
      <c r="AC1342" s="341"/>
      <c r="AD1342" s="343"/>
      <c r="AE1342" s="331"/>
      <c r="AF1342" s="348"/>
      <c r="AG1342" s="337"/>
      <c r="AH1342" s="341"/>
      <c r="AI1342" s="341"/>
      <c r="AJ1342" s="341"/>
      <c r="AK1342" s="341"/>
      <c r="AL1342" s="341"/>
      <c r="AM1342" s="338"/>
      <c r="AN1342" s="341"/>
      <c r="AO1342" s="341"/>
      <c r="AP1342" s="341"/>
      <c r="AQ1342" s="341"/>
      <c r="AR1342" s="341"/>
      <c r="AS1342" s="341"/>
      <c r="AT1342" s="341"/>
      <c r="AU1342" s="343"/>
      <c r="AV1342" s="341"/>
      <c r="AW1342" s="269" t="s">
        <v>2356</v>
      </c>
      <c r="AX1342" s="334" t="s">
        <v>2869</v>
      </c>
      <c r="AY1342" s="270" t="s">
        <v>695</v>
      </c>
      <c r="AZ1342" s="173" t="s">
        <v>5516</v>
      </c>
      <c r="BA1342" s="265">
        <v>10.0</v>
      </c>
      <c r="BB1342" s="174" t="s">
        <v>245</v>
      </c>
      <c r="BC1342" s="341"/>
      <c r="BD1342" s="308"/>
      <c r="BE1342" s="347"/>
      <c r="BF1342" s="274" t="str">
        <f>IFERROR(__xludf.DUMMYFUNCTION("LOWER(Regexreplace(to_text(E1342),""[^A-Za-z0-9]"","""")&amp;""_""&amp;Regexreplace(to_text(F1342),""[^A-Za-z0-9]"",""""))"),"neptronic_evcbseries")</f>
        <v>neptronic_evcbseries</v>
      </c>
      <c r="BG1342" s="275" t="str">
        <f>IFERROR(__xludf.DUMMYFUNCTION("upper(Regexreplace(to_text(E1342),""[^A-Za-z0-9]"","""")&amp;""-""&amp;Regexreplace(to_text(F1342),""[^A-Za-z0-9]"",""""))"),"NEPTRONIC-EVCBSERIES")</f>
        <v>NEPTRONIC-EVCBSERIES</v>
      </c>
    </row>
    <row r="1343" ht="30.0" customHeight="1">
      <c r="A1343" s="173">
        <v>1335.0</v>
      </c>
      <c r="B1343" s="237" t="s">
        <v>670</v>
      </c>
      <c r="C1343" s="257" t="s">
        <v>5529</v>
      </c>
      <c r="D1343" s="173" t="s">
        <v>5529</v>
      </c>
      <c r="E1343" s="174" t="s">
        <v>2861</v>
      </c>
      <c r="F1343" s="173" t="s">
        <v>2862</v>
      </c>
      <c r="G1343" s="328" t="s">
        <v>673</v>
      </c>
      <c r="H1343" s="328" t="s">
        <v>2863</v>
      </c>
      <c r="I1343" s="258" t="s">
        <v>2864</v>
      </c>
      <c r="J1343" s="259" t="s">
        <v>1149</v>
      </c>
      <c r="K1343" s="260" t="s">
        <v>5530</v>
      </c>
      <c r="L1343" s="359"/>
      <c r="M1343" s="359"/>
      <c r="N1343" s="173" t="s">
        <v>679</v>
      </c>
      <c r="O1343" s="173" t="s">
        <v>225</v>
      </c>
      <c r="P1343" s="262" t="str">
        <f t="shared" si="1"/>
        <v>IN-BLR-ANANTA-VAV-915_6</v>
      </c>
      <c r="Q1343" s="173" t="s">
        <v>5531</v>
      </c>
      <c r="R1343" s="328" t="str">
        <f>IFS(C1343="","",C1343="n/a","N/A",LEN(C1343),Concatenate("{",char(34),"asset",char(34),":{",char(34),"guid",char(34),":",char(34),Q1343,char(34),",",char(34),"site",char(34),":",char(34),LOWER('2-Building'!$B$4),char(34),",",char(34),"name",char(34),":",char(34),LOWER(C1343),char(34),"}}"))</f>
        <v>{"asset":{"guid":"uuid://0a4a6aef-0ffb-4797-9fcc-9f3a2d7175c2","site":"in-blr-ananta","name":"vav-915"}}</v>
      </c>
      <c r="S1343" s="360" t="s">
        <v>5516</v>
      </c>
      <c r="T1343" s="330"/>
      <c r="U1343" s="330"/>
      <c r="V1343" s="331"/>
      <c r="W1343" s="344"/>
      <c r="X1343" s="341"/>
      <c r="Y1343" s="33" t="s">
        <v>2867</v>
      </c>
      <c r="Z1343" s="258">
        <v>120915.0</v>
      </c>
      <c r="AA1343" s="334">
        <v>11617.0</v>
      </c>
      <c r="AB1343" s="341"/>
      <c r="AC1343" s="341"/>
      <c r="AD1343" s="343"/>
      <c r="AE1343" s="331"/>
      <c r="AF1343" s="348"/>
      <c r="AG1343" s="337"/>
      <c r="AH1343" s="341"/>
      <c r="AI1343" s="341"/>
      <c r="AJ1343" s="341"/>
      <c r="AK1343" s="341"/>
      <c r="AL1343" s="341"/>
      <c r="AM1343" s="338"/>
      <c r="AN1343" s="341"/>
      <c r="AO1343" s="341"/>
      <c r="AP1343" s="341"/>
      <c r="AQ1343" s="341"/>
      <c r="AR1343" s="341"/>
      <c r="AS1343" s="341"/>
      <c r="AT1343" s="341"/>
      <c r="AU1343" s="343"/>
      <c r="AV1343" s="341"/>
      <c r="AW1343" s="269" t="s">
        <v>2356</v>
      </c>
      <c r="AX1343" s="334" t="s">
        <v>2869</v>
      </c>
      <c r="AY1343" s="270" t="s">
        <v>695</v>
      </c>
      <c r="AZ1343" s="173" t="s">
        <v>5516</v>
      </c>
      <c r="BA1343" s="265">
        <v>10.0</v>
      </c>
      <c r="BB1343" s="174" t="s">
        <v>245</v>
      </c>
      <c r="BC1343" s="341"/>
      <c r="BD1343" s="308"/>
      <c r="BE1343" s="347"/>
      <c r="BF1343" s="274" t="str">
        <f>IFERROR(__xludf.DUMMYFUNCTION("LOWER(Regexreplace(to_text(E1343),""[^A-Za-z0-9]"","""")&amp;""_""&amp;Regexreplace(to_text(F1343),""[^A-Za-z0-9]"",""""))"),"neptronic_evcbseries")</f>
        <v>neptronic_evcbseries</v>
      </c>
      <c r="BG1343" s="275" t="str">
        <f>IFERROR(__xludf.DUMMYFUNCTION("upper(Regexreplace(to_text(E1343),""[^A-Za-z0-9]"","""")&amp;""-""&amp;Regexreplace(to_text(F1343),""[^A-Za-z0-9]"",""""))"),"NEPTRONIC-EVCBSERIES")</f>
        <v>NEPTRONIC-EVCBSERIES</v>
      </c>
    </row>
    <row r="1344" ht="30.0" customHeight="1">
      <c r="A1344" s="258">
        <v>1336.0</v>
      </c>
      <c r="B1344" s="237" t="s">
        <v>670</v>
      </c>
      <c r="C1344" s="257" t="s">
        <v>5532</v>
      </c>
      <c r="D1344" s="173" t="s">
        <v>5532</v>
      </c>
      <c r="E1344" s="174" t="s">
        <v>2861</v>
      </c>
      <c r="F1344" s="173" t="s">
        <v>2862</v>
      </c>
      <c r="G1344" s="328" t="s">
        <v>673</v>
      </c>
      <c r="H1344" s="328" t="s">
        <v>2863</v>
      </c>
      <c r="I1344" s="258" t="s">
        <v>2864</v>
      </c>
      <c r="J1344" s="259" t="s">
        <v>1149</v>
      </c>
      <c r="K1344" s="260" t="s">
        <v>5533</v>
      </c>
      <c r="L1344" s="359"/>
      <c r="M1344" s="359"/>
      <c r="N1344" s="173" t="s">
        <v>679</v>
      </c>
      <c r="O1344" s="173" t="s">
        <v>225</v>
      </c>
      <c r="P1344" s="262" t="str">
        <f t="shared" si="1"/>
        <v>IN-BLR-ANANTA-VAV-916_6</v>
      </c>
      <c r="Q1344" s="173" t="s">
        <v>5534</v>
      </c>
      <c r="R1344" s="328" t="str">
        <f>IFS(C1344="","",C1344="n/a","N/A",LEN(C1344),Concatenate("{",char(34),"asset",char(34),":{",char(34),"guid",char(34),":",char(34),Q1344,char(34),",",char(34),"site",char(34),":",char(34),LOWER('2-Building'!$B$4),char(34),",",char(34),"name",char(34),":",char(34),LOWER(C1344),char(34),"}}"))</f>
        <v>{"asset":{"guid":"uuid://caa25792-1edd-4eb5-a517-f90c56d7889d","site":"in-blr-ananta","name":"vav-916"}}</v>
      </c>
      <c r="S1344" s="360" t="s">
        <v>5516</v>
      </c>
      <c r="T1344" s="330"/>
      <c r="U1344" s="330"/>
      <c r="V1344" s="331"/>
      <c r="W1344" s="344"/>
      <c r="X1344" s="341"/>
      <c r="Y1344" s="33" t="s">
        <v>2867</v>
      </c>
      <c r="Z1344" s="258">
        <v>120916.0</v>
      </c>
      <c r="AA1344" s="334">
        <v>11617.0</v>
      </c>
      <c r="AB1344" s="341"/>
      <c r="AC1344" s="341"/>
      <c r="AD1344" s="343"/>
      <c r="AE1344" s="331"/>
      <c r="AF1344" s="348"/>
      <c r="AG1344" s="337"/>
      <c r="AH1344" s="341"/>
      <c r="AI1344" s="341"/>
      <c r="AJ1344" s="341"/>
      <c r="AK1344" s="341"/>
      <c r="AL1344" s="341"/>
      <c r="AM1344" s="338"/>
      <c r="AN1344" s="341"/>
      <c r="AO1344" s="341"/>
      <c r="AP1344" s="341"/>
      <c r="AQ1344" s="341"/>
      <c r="AR1344" s="341"/>
      <c r="AS1344" s="341"/>
      <c r="AT1344" s="341"/>
      <c r="AU1344" s="343"/>
      <c r="AV1344" s="341"/>
      <c r="AW1344" s="269" t="s">
        <v>2356</v>
      </c>
      <c r="AX1344" s="334" t="s">
        <v>2869</v>
      </c>
      <c r="AY1344" s="270" t="s">
        <v>695</v>
      </c>
      <c r="AZ1344" s="173" t="s">
        <v>5516</v>
      </c>
      <c r="BA1344" s="265">
        <v>10.0</v>
      </c>
      <c r="BB1344" s="174" t="s">
        <v>245</v>
      </c>
      <c r="BC1344" s="341"/>
      <c r="BD1344" s="308"/>
      <c r="BE1344" s="347"/>
      <c r="BF1344" s="274" t="str">
        <f>IFERROR(__xludf.DUMMYFUNCTION("LOWER(Regexreplace(to_text(E1344),""[^A-Za-z0-9]"","""")&amp;""_""&amp;Regexreplace(to_text(F1344),""[^A-Za-z0-9]"",""""))"),"neptronic_evcbseries")</f>
        <v>neptronic_evcbseries</v>
      </c>
      <c r="BG1344" s="275" t="str">
        <f>IFERROR(__xludf.DUMMYFUNCTION("upper(Regexreplace(to_text(E1344),""[^A-Za-z0-9]"","""")&amp;""-""&amp;Regexreplace(to_text(F1344),""[^A-Za-z0-9]"",""""))"),"NEPTRONIC-EVCBSERIES")</f>
        <v>NEPTRONIC-EVCBSERIES</v>
      </c>
    </row>
    <row r="1345" ht="30.0" customHeight="1">
      <c r="A1345" s="173">
        <v>1337.0</v>
      </c>
      <c r="B1345" s="237" t="s">
        <v>670</v>
      </c>
      <c r="C1345" s="257" t="s">
        <v>5535</v>
      </c>
      <c r="D1345" s="173" t="s">
        <v>5535</v>
      </c>
      <c r="E1345" s="174" t="s">
        <v>2861</v>
      </c>
      <c r="F1345" s="173" t="s">
        <v>2862</v>
      </c>
      <c r="G1345" s="328" t="s">
        <v>673</v>
      </c>
      <c r="H1345" s="328" t="s">
        <v>2863</v>
      </c>
      <c r="I1345" s="258" t="s">
        <v>2864</v>
      </c>
      <c r="J1345" s="259" t="s">
        <v>1149</v>
      </c>
      <c r="K1345" s="260" t="s">
        <v>5536</v>
      </c>
      <c r="L1345" s="359"/>
      <c r="M1345" s="359"/>
      <c r="N1345" s="173" t="s">
        <v>679</v>
      </c>
      <c r="O1345" s="173" t="s">
        <v>225</v>
      </c>
      <c r="P1345" s="262" t="str">
        <f t="shared" si="1"/>
        <v>IN-BLR-ANANTA-VAV-917_6</v>
      </c>
      <c r="Q1345" s="173" t="s">
        <v>5537</v>
      </c>
      <c r="R1345" s="328" t="str">
        <f>IFS(C1345="","",C1345="n/a","N/A",LEN(C1345),Concatenate("{",char(34),"asset",char(34),":{",char(34),"guid",char(34),":",char(34),Q1345,char(34),",",char(34),"site",char(34),":",char(34),LOWER('2-Building'!$B$4),char(34),",",char(34),"name",char(34),":",char(34),LOWER(C1345),char(34),"}}"))</f>
        <v>{"asset":{"guid":"uuid://7c25b213-dc06-4ac0-b882-9a707ddb7b71","site":"in-blr-ananta","name":"vav-917"}}</v>
      </c>
      <c r="S1345" s="360" t="s">
        <v>5516</v>
      </c>
      <c r="T1345" s="330"/>
      <c r="U1345" s="330"/>
      <c r="V1345" s="331"/>
      <c r="W1345" s="344"/>
      <c r="X1345" s="341"/>
      <c r="Y1345" s="33" t="s">
        <v>2867</v>
      </c>
      <c r="Z1345" s="258">
        <v>120917.0</v>
      </c>
      <c r="AA1345" s="334">
        <v>11617.0</v>
      </c>
      <c r="AB1345" s="341"/>
      <c r="AC1345" s="341"/>
      <c r="AD1345" s="343"/>
      <c r="AE1345" s="331"/>
      <c r="AF1345" s="348"/>
      <c r="AG1345" s="337"/>
      <c r="AH1345" s="341"/>
      <c r="AI1345" s="341"/>
      <c r="AJ1345" s="341"/>
      <c r="AK1345" s="341"/>
      <c r="AL1345" s="341"/>
      <c r="AM1345" s="338"/>
      <c r="AN1345" s="341"/>
      <c r="AO1345" s="341"/>
      <c r="AP1345" s="341"/>
      <c r="AQ1345" s="341"/>
      <c r="AR1345" s="341"/>
      <c r="AS1345" s="341"/>
      <c r="AT1345" s="341"/>
      <c r="AU1345" s="343"/>
      <c r="AV1345" s="341"/>
      <c r="AW1345" s="269" t="s">
        <v>2356</v>
      </c>
      <c r="AX1345" s="334" t="s">
        <v>2869</v>
      </c>
      <c r="AY1345" s="270" t="s">
        <v>695</v>
      </c>
      <c r="AZ1345" s="173" t="s">
        <v>5516</v>
      </c>
      <c r="BA1345" s="265">
        <v>10.0</v>
      </c>
      <c r="BB1345" s="174" t="s">
        <v>245</v>
      </c>
      <c r="BC1345" s="341"/>
      <c r="BD1345" s="308"/>
      <c r="BE1345" s="347"/>
      <c r="BF1345" s="274" t="str">
        <f>IFERROR(__xludf.DUMMYFUNCTION("LOWER(Regexreplace(to_text(E1345),""[^A-Za-z0-9]"","""")&amp;""_""&amp;Regexreplace(to_text(F1345),""[^A-Za-z0-9]"",""""))"),"neptronic_evcbseries")</f>
        <v>neptronic_evcbseries</v>
      </c>
      <c r="BG1345" s="275" t="str">
        <f>IFERROR(__xludf.DUMMYFUNCTION("upper(Regexreplace(to_text(E1345),""[^A-Za-z0-9]"","""")&amp;""-""&amp;Regexreplace(to_text(F1345),""[^A-Za-z0-9]"",""""))"),"NEPTRONIC-EVCBSERIES")</f>
        <v>NEPTRONIC-EVCBSERIES</v>
      </c>
    </row>
    <row r="1346" ht="30.0" customHeight="1">
      <c r="A1346" s="258">
        <v>1338.0</v>
      </c>
      <c r="B1346" s="237" t="s">
        <v>670</v>
      </c>
      <c r="C1346" s="257" t="s">
        <v>5538</v>
      </c>
      <c r="D1346" s="173" t="s">
        <v>5538</v>
      </c>
      <c r="E1346" s="174" t="s">
        <v>2861</v>
      </c>
      <c r="F1346" s="173" t="s">
        <v>2862</v>
      </c>
      <c r="G1346" s="328" t="s">
        <v>673</v>
      </c>
      <c r="H1346" s="328" t="s">
        <v>2863</v>
      </c>
      <c r="I1346" s="258" t="s">
        <v>2864</v>
      </c>
      <c r="J1346" s="259" t="s">
        <v>1149</v>
      </c>
      <c r="K1346" s="260" t="s">
        <v>5539</v>
      </c>
      <c r="L1346" s="359"/>
      <c r="M1346" s="359"/>
      <c r="N1346" s="173" t="s">
        <v>679</v>
      </c>
      <c r="O1346" s="173" t="s">
        <v>225</v>
      </c>
      <c r="P1346" s="262" t="str">
        <f t="shared" si="1"/>
        <v>IN-BLR-ANANTA-VAV-918_6</v>
      </c>
      <c r="Q1346" s="173" t="s">
        <v>5540</v>
      </c>
      <c r="R1346" s="328" t="str">
        <f>IFS(C1346="","",C1346="n/a","N/A",LEN(C1346),Concatenate("{",char(34),"asset",char(34),":{",char(34),"guid",char(34),":",char(34),Q1346,char(34),",",char(34),"site",char(34),":",char(34),LOWER('2-Building'!$B$4),char(34),",",char(34),"name",char(34),":",char(34),LOWER(C1346),char(34),"}}"))</f>
        <v>{"asset":{"guid":"uuid://3eedd337-2979-4b08-bdca-52380f27d18f","site":"in-blr-ananta","name":"vav-918"}}</v>
      </c>
      <c r="S1346" s="360" t="s">
        <v>5516</v>
      </c>
      <c r="T1346" s="330"/>
      <c r="U1346" s="330"/>
      <c r="V1346" s="331"/>
      <c r="W1346" s="344"/>
      <c r="X1346" s="341"/>
      <c r="Y1346" s="33" t="s">
        <v>2867</v>
      </c>
      <c r="Z1346" s="258">
        <v>120918.0</v>
      </c>
      <c r="AA1346" s="334">
        <v>11617.0</v>
      </c>
      <c r="AB1346" s="341"/>
      <c r="AC1346" s="341"/>
      <c r="AD1346" s="343"/>
      <c r="AE1346" s="331"/>
      <c r="AF1346" s="348"/>
      <c r="AG1346" s="337"/>
      <c r="AH1346" s="341"/>
      <c r="AI1346" s="341"/>
      <c r="AJ1346" s="341"/>
      <c r="AK1346" s="341"/>
      <c r="AL1346" s="341"/>
      <c r="AM1346" s="338"/>
      <c r="AN1346" s="341"/>
      <c r="AO1346" s="341"/>
      <c r="AP1346" s="341"/>
      <c r="AQ1346" s="341"/>
      <c r="AR1346" s="341"/>
      <c r="AS1346" s="341"/>
      <c r="AT1346" s="341"/>
      <c r="AU1346" s="343"/>
      <c r="AV1346" s="341"/>
      <c r="AW1346" s="269" t="s">
        <v>2356</v>
      </c>
      <c r="AX1346" s="334" t="s">
        <v>2869</v>
      </c>
      <c r="AY1346" s="270" t="s">
        <v>695</v>
      </c>
      <c r="AZ1346" s="173" t="s">
        <v>5516</v>
      </c>
      <c r="BA1346" s="265">
        <v>10.0</v>
      </c>
      <c r="BB1346" s="174" t="s">
        <v>245</v>
      </c>
      <c r="BC1346" s="341"/>
      <c r="BD1346" s="308"/>
      <c r="BE1346" s="347"/>
      <c r="BF1346" s="274" t="str">
        <f>IFERROR(__xludf.DUMMYFUNCTION("LOWER(Regexreplace(to_text(E1346),""[^A-Za-z0-9]"","""")&amp;""_""&amp;Regexreplace(to_text(F1346),""[^A-Za-z0-9]"",""""))"),"neptronic_evcbseries")</f>
        <v>neptronic_evcbseries</v>
      </c>
      <c r="BG1346" s="275" t="str">
        <f>IFERROR(__xludf.DUMMYFUNCTION("upper(Regexreplace(to_text(E1346),""[^A-Za-z0-9]"","""")&amp;""-""&amp;Regexreplace(to_text(F1346),""[^A-Za-z0-9]"",""""))"),"NEPTRONIC-EVCBSERIES")</f>
        <v>NEPTRONIC-EVCBSERIES</v>
      </c>
    </row>
    <row r="1347" ht="30.0" customHeight="1">
      <c r="A1347" s="173">
        <v>1339.0</v>
      </c>
      <c r="B1347" s="237" t="s">
        <v>670</v>
      </c>
      <c r="C1347" s="257" t="s">
        <v>5541</v>
      </c>
      <c r="D1347" s="173" t="s">
        <v>5541</v>
      </c>
      <c r="E1347" s="174" t="s">
        <v>2861</v>
      </c>
      <c r="F1347" s="173" t="s">
        <v>2862</v>
      </c>
      <c r="G1347" s="328" t="s">
        <v>673</v>
      </c>
      <c r="H1347" s="328" t="s">
        <v>2863</v>
      </c>
      <c r="I1347" s="258" t="s">
        <v>2864</v>
      </c>
      <c r="J1347" s="259" t="s">
        <v>1149</v>
      </c>
      <c r="K1347" s="260" t="s">
        <v>5542</v>
      </c>
      <c r="L1347" s="359"/>
      <c r="M1347" s="359"/>
      <c r="N1347" s="173" t="s">
        <v>679</v>
      </c>
      <c r="O1347" s="173" t="s">
        <v>225</v>
      </c>
      <c r="P1347" s="262" t="str">
        <f t="shared" si="1"/>
        <v>IN-BLR-ANANTA-VAV-919_6</v>
      </c>
      <c r="Q1347" s="173" t="s">
        <v>5543</v>
      </c>
      <c r="R1347" s="328" t="str">
        <f>IFS(C1347="","",C1347="n/a","N/A",LEN(C1347),Concatenate("{",char(34),"asset",char(34),":{",char(34),"guid",char(34),":",char(34),Q1347,char(34),",",char(34),"site",char(34),":",char(34),LOWER('2-Building'!$B$4),char(34),",",char(34),"name",char(34),":",char(34),LOWER(C1347),char(34),"}}"))</f>
        <v>{"asset":{"guid":"uuid://56a800e9-fcf2-47b2-9473-39b47d163a22","site":"in-blr-ananta","name":"vav-919"}}</v>
      </c>
      <c r="S1347" s="360" t="s">
        <v>5516</v>
      </c>
      <c r="T1347" s="330"/>
      <c r="U1347" s="330"/>
      <c r="V1347" s="331"/>
      <c r="W1347" s="344"/>
      <c r="X1347" s="341"/>
      <c r="Y1347" s="33" t="s">
        <v>2867</v>
      </c>
      <c r="Z1347" s="258">
        <v>120919.0</v>
      </c>
      <c r="AA1347" s="334">
        <v>11617.0</v>
      </c>
      <c r="AB1347" s="341"/>
      <c r="AC1347" s="341"/>
      <c r="AD1347" s="343"/>
      <c r="AE1347" s="331"/>
      <c r="AF1347" s="348"/>
      <c r="AG1347" s="337"/>
      <c r="AH1347" s="341"/>
      <c r="AI1347" s="341"/>
      <c r="AJ1347" s="341"/>
      <c r="AK1347" s="341"/>
      <c r="AL1347" s="341"/>
      <c r="AM1347" s="338"/>
      <c r="AN1347" s="341"/>
      <c r="AO1347" s="341"/>
      <c r="AP1347" s="341"/>
      <c r="AQ1347" s="341"/>
      <c r="AR1347" s="341"/>
      <c r="AS1347" s="341"/>
      <c r="AT1347" s="341"/>
      <c r="AU1347" s="343"/>
      <c r="AV1347" s="341"/>
      <c r="AW1347" s="269" t="s">
        <v>2356</v>
      </c>
      <c r="AX1347" s="334" t="s">
        <v>2869</v>
      </c>
      <c r="AY1347" s="270" t="s">
        <v>695</v>
      </c>
      <c r="AZ1347" s="173" t="s">
        <v>5516</v>
      </c>
      <c r="BA1347" s="265">
        <v>10.0</v>
      </c>
      <c r="BB1347" s="174" t="s">
        <v>245</v>
      </c>
      <c r="BC1347" s="341"/>
      <c r="BD1347" s="308"/>
      <c r="BE1347" s="347"/>
      <c r="BF1347" s="274" t="str">
        <f>IFERROR(__xludf.DUMMYFUNCTION("LOWER(Regexreplace(to_text(E1347),""[^A-Za-z0-9]"","""")&amp;""_""&amp;Regexreplace(to_text(F1347),""[^A-Za-z0-9]"",""""))"),"neptronic_evcbseries")</f>
        <v>neptronic_evcbseries</v>
      </c>
      <c r="BG1347" s="275" t="str">
        <f>IFERROR(__xludf.DUMMYFUNCTION("upper(Regexreplace(to_text(E1347),""[^A-Za-z0-9]"","""")&amp;""-""&amp;Regexreplace(to_text(F1347),""[^A-Za-z0-9]"",""""))"),"NEPTRONIC-EVCBSERIES")</f>
        <v>NEPTRONIC-EVCBSERIES</v>
      </c>
    </row>
    <row r="1348" ht="30.0" customHeight="1">
      <c r="A1348" s="258">
        <v>1340.0</v>
      </c>
      <c r="B1348" s="237" t="s">
        <v>670</v>
      </c>
      <c r="C1348" s="257" t="s">
        <v>5544</v>
      </c>
      <c r="D1348" s="173" t="s">
        <v>5544</v>
      </c>
      <c r="E1348" s="174" t="s">
        <v>2861</v>
      </c>
      <c r="F1348" s="173" t="s">
        <v>2862</v>
      </c>
      <c r="G1348" s="328" t="s">
        <v>673</v>
      </c>
      <c r="H1348" s="328" t="s">
        <v>2863</v>
      </c>
      <c r="I1348" s="258" t="s">
        <v>2864</v>
      </c>
      <c r="J1348" s="259" t="s">
        <v>1149</v>
      </c>
      <c r="K1348" s="260" t="s">
        <v>5530</v>
      </c>
      <c r="L1348" s="359"/>
      <c r="M1348" s="359"/>
      <c r="N1348" s="173" t="s">
        <v>679</v>
      </c>
      <c r="O1348" s="173" t="s">
        <v>225</v>
      </c>
      <c r="P1348" s="262" t="str">
        <f t="shared" si="1"/>
        <v>IN-BLR-ANANTA-VAV-920_6</v>
      </c>
      <c r="Q1348" s="173" t="s">
        <v>5545</v>
      </c>
      <c r="R1348" s="328" t="str">
        <f>IFS(C1348="","",C1348="n/a","N/A",LEN(C1348),Concatenate("{",char(34),"asset",char(34),":{",char(34),"guid",char(34),":",char(34),Q1348,char(34),",",char(34),"site",char(34),":",char(34),LOWER('2-Building'!$B$4),char(34),",",char(34),"name",char(34),":",char(34),LOWER(C1348),char(34),"}}"))</f>
        <v>{"asset":{"guid":"uuid://01c58f97-74da-4f78-a025-116198945908","site":"in-blr-ananta","name":"vav-920"}}</v>
      </c>
      <c r="S1348" s="360" t="s">
        <v>5516</v>
      </c>
      <c r="T1348" s="330"/>
      <c r="U1348" s="330"/>
      <c r="V1348" s="331"/>
      <c r="W1348" s="344"/>
      <c r="X1348" s="341"/>
      <c r="Y1348" s="33" t="s">
        <v>2867</v>
      </c>
      <c r="Z1348" s="258">
        <v>120920.0</v>
      </c>
      <c r="AA1348" s="334">
        <v>11617.0</v>
      </c>
      <c r="AB1348" s="341"/>
      <c r="AC1348" s="341"/>
      <c r="AD1348" s="343"/>
      <c r="AE1348" s="331"/>
      <c r="AF1348" s="348"/>
      <c r="AG1348" s="337"/>
      <c r="AH1348" s="341"/>
      <c r="AI1348" s="341"/>
      <c r="AJ1348" s="341"/>
      <c r="AK1348" s="341"/>
      <c r="AL1348" s="341"/>
      <c r="AM1348" s="338"/>
      <c r="AN1348" s="341"/>
      <c r="AO1348" s="341"/>
      <c r="AP1348" s="341"/>
      <c r="AQ1348" s="341"/>
      <c r="AR1348" s="341"/>
      <c r="AS1348" s="341"/>
      <c r="AT1348" s="341"/>
      <c r="AU1348" s="343"/>
      <c r="AV1348" s="341"/>
      <c r="AW1348" s="269" t="s">
        <v>2356</v>
      </c>
      <c r="AX1348" s="334" t="s">
        <v>2869</v>
      </c>
      <c r="AY1348" s="270" t="s">
        <v>695</v>
      </c>
      <c r="AZ1348" s="173" t="s">
        <v>5516</v>
      </c>
      <c r="BA1348" s="265">
        <v>10.0</v>
      </c>
      <c r="BB1348" s="174" t="s">
        <v>245</v>
      </c>
      <c r="BC1348" s="341"/>
      <c r="BD1348" s="308"/>
      <c r="BE1348" s="347"/>
      <c r="BF1348" s="274" t="str">
        <f>IFERROR(__xludf.DUMMYFUNCTION("LOWER(Regexreplace(to_text(E1348),""[^A-Za-z0-9]"","""")&amp;""_""&amp;Regexreplace(to_text(F1348),""[^A-Za-z0-9]"",""""))"),"neptronic_evcbseries")</f>
        <v>neptronic_evcbseries</v>
      </c>
      <c r="BG1348" s="275" t="str">
        <f>IFERROR(__xludf.DUMMYFUNCTION("upper(Regexreplace(to_text(E1348),""[^A-Za-z0-9]"","""")&amp;""-""&amp;Regexreplace(to_text(F1348),""[^A-Za-z0-9]"",""""))"),"NEPTRONIC-EVCBSERIES")</f>
        <v>NEPTRONIC-EVCBSERIES</v>
      </c>
    </row>
    <row r="1349" ht="30.0" customHeight="1">
      <c r="A1349" s="173">
        <v>1341.0</v>
      </c>
      <c r="B1349" s="237" t="s">
        <v>670</v>
      </c>
      <c r="C1349" s="257" t="s">
        <v>5546</v>
      </c>
      <c r="D1349" s="173" t="s">
        <v>5546</v>
      </c>
      <c r="E1349" s="174" t="s">
        <v>2861</v>
      </c>
      <c r="F1349" s="173" t="s">
        <v>2862</v>
      </c>
      <c r="G1349" s="328" t="s">
        <v>673</v>
      </c>
      <c r="H1349" s="328" t="s">
        <v>2863</v>
      </c>
      <c r="I1349" s="258" t="s">
        <v>2864</v>
      </c>
      <c r="J1349" s="259" t="s">
        <v>1149</v>
      </c>
      <c r="K1349" s="260" t="s">
        <v>5547</v>
      </c>
      <c r="L1349" s="359"/>
      <c r="M1349" s="359"/>
      <c r="N1349" s="173" t="s">
        <v>679</v>
      </c>
      <c r="O1349" s="173" t="s">
        <v>225</v>
      </c>
      <c r="P1349" s="262" t="str">
        <f t="shared" si="1"/>
        <v>IN-BLR-ANANTA-VAV-921_6</v>
      </c>
      <c r="Q1349" s="173" t="s">
        <v>5548</v>
      </c>
      <c r="R1349" s="328" t="str">
        <f>IFS(C1349="","",C1349="n/a","N/A",LEN(C1349),Concatenate("{",char(34),"asset",char(34),":{",char(34),"guid",char(34),":",char(34),Q1349,char(34),",",char(34),"site",char(34),":",char(34),LOWER('2-Building'!$B$4),char(34),",",char(34),"name",char(34),":",char(34),LOWER(C1349),char(34),"}}"))</f>
        <v>{"asset":{"guid":"uuid://00fa3a04-caa8-45c6-8f97-d5dff1e17cf7","site":"in-blr-ananta","name":"vav-921"}}</v>
      </c>
      <c r="S1349" s="360" t="s">
        <v>5516</v>
      </c>
      <c r="T1349" s="330"/>
      <c r="U1349" s="330"/>
      <c r="V1349" s="331"/>
      <c r="W1349" s="344"/>
      <c r="X1349" s="341"/>
      <c r="Y1349" s="33" t="s">
        <v>2867</v>
      </c>
      <c r="Z1349" s="258">
        <v>120921.0</v>
      </c>
      <c r="AA1349" s="334">
        <v>11617.0</v>
      </c>
      <c r="AB1349" s="341"/>
      <c r="AC1349" s="341"/>
      <c r="AD1349" s="343"/>
      <c r="AE1349" s="331"/>
      <c r="AF1349" s="348"/>
      <c r="AG1349" s="337"/>
      <c r="AH1349" s="341"/>
      <c r="AI1349" s="341"/>
      <c r="AJ1349" s="341"/>
      <c r="AK1349" s="341"/>
      <c r="AL1349" s="341"/>
      <c r="AM1349" s="338"/>
      <c r="AN1349" s="341"/>
      <c r="AO1349" s="341"/>
      <c r="AP1349" s="341"/>
      <c r="AQ1349" s="341"/>
      <c r="AR1349" s="341"/>
      <c r="AS1349" s="341"/>
      <c r="AT1349" s="341"/>
      <c r="AU1349" s="343"/>
      <c r="AV1349" s="341"/>
      <c r="AW1349" s="269" t="s">
        <v>2356</v>
      </c>
      <c r="AX1349" s="334" t="s">
        <v>2869</v>
      </c>
      <c r="AY1349" s="270" t="s">
        <v>695</v>
      </c>
      <c r="AZ1349" s="173" t="s">
        <v>5516</v>
      </c>
      <c r="BA1349" s="265">
        <v>10.0</v>
      </c>
      <c r="BB1349" s="174" t="s">
        <v>245</v>
      </c>
      <c r="BC1349" s="341"/>
      <c r="BD1349" s="308"/>
      <c r="BE1349" s="347"/>
      <c r="BF1349" s="274" t="str">
        <f>IFERROR(__xludf.DUMMYFUNCTION("LOWER(Regexreplace(to_text(E1349),""[^A-Za-z0-9]"","""")&amp;""_""&amp;Regexreplace(to_text(F1349),""[^A-Za-z0-9]"",""""))"),"neptronic_evcbseries")</f>
        <v>neptronic_evcbseries</v>
      </c>
      <c r="BG1349" s="275" t="str">
        <f>IFERROR(__xludf.DUMMYFUNCTION("upper(Regexreplace(to_text(E1349),""[^A-Za-z0-9]"","""")&amp;""-""&amp;Regexreplace(to_text(F1349),""[^A-Za-z0-9]"",""""))"),"NEPTRONIC-EVCBSERIES")</f>
        <v>NEPTRONIC-EVCBSERIES</v>
      </c>
    </row>
    <row r="1350" ht="30.0" customHeight="1">
      <c r="A1350" s="258">
        <v>1342.0</v>
      </c>
      <c r="B1350" s="237" t="s">
        <v>670</v>
      </c>
      <c r="C1350" s="257" t="s">
        <v>5549</v>
      </c>
      <c r="D1350" s="173" t="s">
        <v>5549</v>
      </c>
      <c r="E1350" s="174" t="s">
        <v>2861</v>
      </c>
      <c r="F1350" s="173" t="s">
        <v>2862</v>
      </c>
      <c r="G1350" s="328" t="s">
        <v>673</v>
      </c>
      <c r="H1350" s="328" t="s">
        <v>2863</v>
      </c>
      <c r="I1350" s="258" t="s">
        <v>2864</v>
      </c>
      <c r="J1350" s="259" t="s">
        <v>1149</v>
      </c>
      <c r="K1350" s="260" t="s">
        <v>5550</v>
      </c>
      <c r="L1350" s="359"/>
      <c r="M1350" s="359"/>
      <c r="N1350" s="173" t="s">
        <v>679</v>
      </c>
      <c r="O1350" s="173" t="s">
        <v>225</v>
      </c>
      <c r="P1350" s="262" t="str">
        <f t="shared" si="1"/>
        <v>IN-BLR-ANANTA-VAV-922_6</v>
      </c>
      <c r="Q1350" s="173" t="s">
        <v>5551</v>
      </c>
      <c r="R1350" s="328" t="str">
        <f>IFS(C1350="","",C1350="n/a","N/A",LEN(C1350),Concatenate("{",char(34),"asset",char(34),":{",char(34),"guid",char(34),":",char(34),Q1350,char(34),",",char(34),"site",char(34),":",char(34),LOWER('2-Building'!$B$4),char(34),",",char(34),"name",char(34),":",char(34),LOWER(C1350),char(34),"}}"))</f>
        <v>{"asset":{"guid":"uuid://9c670faa-7b30-4c66-bc02-34d0ff470130","site":"in-blr-ananta","name":"vav-922"}}</v>
      </c>
      <c r="S1350" s="360" t="s">
        <v>5516</v>
      </c>
      <c r="T1350" s="330"/>
      <c r="U1350" s="330"/>
      <c r="V1350" s="331"/>
      <c r="W1350" s="344"/>
      <c r="X1350" s="341"/>
      <c r="Y1350" s="33" t="s">
        <v>2867</v>
      </c>
      <c r="Z1350" s="258">
        <v>120922.0</v>
      </c>
      <c r="AA1350" s="334">
        <v>11617.0</v>
      </c>
      <c r="AB1350" s="341"/>
      <c r="AC1350" s="341"/>
      <c r="AD1350" s="343"/>
      <c r="AE1350" s="331"/>
      <c r="AF1350" s="348"/>
      <c r="AG1350" s="337"/>
      <c r="AH1350" s="341"/>
      <c r="AI1350" s="341"/>
      <c r="AJ1350" s="341"/>
      <c r="AK1350" s="341"/>
      <c r="AL1350" s="341"/>
      <c r="AM1350" s="338"/>
      <c r="AN1350" s="341"/>
      <c r="AO1350" s="341"/>
      <c r="AP1350" s="341"/>
      <c r="AQ1350" s="341"/>
      <c r="AR1350" s="341"/>
      <c r="AS1350" s="341"/>
      <c r="AT1350" s="341"/>
      <c r="AU1350" s="343"/>
      <c r="AV1350" s="341"/>
      <c r="AW1350" s="269" t="s">
        <v>2356</v>
      </c>
      <c r="AX1350" s="334" t="s">
        <v>2869</v>
      </c>
      <c r="AY1350" s="270" t="s">
        <v>695</v>
      </c>
      <c r="AZ1350" s="173" t="s">
        <v>5516</v>
      </c>
      <c r="BA1350" s="265">
        <v>10.0</v>
      </c>
      <c r="BB1350" s="174" t="s">
        <v>245</v>
      </c>
      <c r="BC1350" s="341"/>
      <c r="BD1350" s="308"/>
      <c r="BE1350" s="347"/>
      <c r="BF1350" s="274" t="str">
        <f>IFERROR(__xludf.DUMMYFUNCTION("LOWER(Regexreplace(to_text(E1350),""[^A-Za-z0-9]"","""")&amp;""_""&amp;Regexreplace(to_text(F1350),""[^A-Za-z0-9]"",""""))"),"neptronic_evcbseries")</f>
        <v>neptronic_evcbseries</v>
      </c>
      <c r="BG1350" s="275" t="str">
        <f>IFERROR(__xludf.DUMMYFUNCTION("upper(Regexreplace(to_text(E1350),""[^A-Za-z0-9]"","""")&amp;""-""&amp;Regexreplace(to_text(F1350),""[^A-Za-z0-9]"",""""))"),"NEPTRONIC-EVCBSERIES")</f>
        <v>NEPTRONIC-EVCBSERIES</v>
      </c>
    </row>
    <row r="1351" ht="30.0" customHeight="1">
      <c r="A1351" s="173">
        <v>1343.0</v>
      </c>
      <c r="B1351" s="237" t="s">
        <v>670</v>
      </c>
      <c r="C1351" s="257" t="s">
        <v>5552</v>
      </c>
      <c r="D1351" s="173" t="s">
        <v>5552</v>
      </c>
      <c r="E1351" s="174" t="s">
        <v>2861</v>
      </c>
      <c r="F1351" s="173" t="s">
        <v>2862</v>
      </c>
      <c r="G1351" s="328" t="s">
        <v>673</v>
      </c>
      <c r="H1351" s="328" t="s">
        <v>2863</v>
      </c>
      <c r="I1351" s="258" t="s">
        <v>2864</v>
      </c>
      <c r="J1351" s="259" t="s">
        <v>1149</v>
      </c>
      <c r="K1351" s="260" t="s">
        <v>5553</v>
      </c>
      <c r="L1351" s="359"/>
      <c r="M1351" s="359"/>
      <c r="N1351" s="173" t="s">
        <v>679</v>
      </c>
      <c r="O1351" s="173" t="s">
        <v>225</v>
      </c>
      <c r="P1351" s="262" t="str">
        <f t="shared" si="1"/>
        <v>IN-BLR-ANANTA-VAV-923_6</v>
      </c>
      <c r="Q1351" s="173" t="s">
        <v>5554</v>
      </c>
      <c r="R1351" s="328" t="str">
        <f>IFS(C1351="","",C1351="n/a","N/A",LEN(C1351),Concatenate("{",char(34),"asset",char(34),":{",char(34),"guid",char(34),":",char(34),Q1351,char(34),",",char(34),"site",char(34),":",char(34),LOWER('2-Building'!$B$4),char(34),",",char(34),"name",char(34),":",char(34),LOWER(C1351),char(34),"}}"))</f>
        <v>{"asset":{"guid":"uuid://1df77fcc-f33b-401c-8b90-32b33bb07f42","site":"in-blr-ananta","name":"vav-923"}}</v>
      </c>
      <c r="S1351" s="360" t="s">
        <v>5516</v>
      </c>
      <c r="T1351" s="330"/>
      <c r="U1351" s="330"/>
      <c r="V1351" s="331"/>
      <c r="W1351" s="344"/>
      <c r="X1351" s="341"/>
      <c r="Y1351" s="33" t="s">
        <v>2867</v>
      </c>
      <c r="Z1351" s="258">
        <v>120923.0</v>
      </c>
      <c r="AA1351" s="334">
        <v>11617.0</v>
      </c>
      <c r="AB1351" s="341"/>
      <c r="AC1351" s="341"/>
      <c r="AD1351" s="343"/>
      <c r="AE1351" s="331"/>
      <c r="AF1351" s="348"/>
      <c r="AG1351" s="337"/>
      <c r="AH1351" s="341"/>
      <c r="AI1351" s="341"/>
      <c r="AJ1351" s="341"/>
      <c r="AK1351" s="341"/>
      <c r="AL1351" s="341"/>
      <c r="AM1351" s="338"/>
      <c r="AN1351" s="341"/>
      <c r="AO1351" s="341"/>
      <c r="AP1351" s="341"/>
      <c r="AQ1351" s="341"/>
      <c r="AR1351" s="341"/>
      <c r="AS1351" s="341"/>
      <c r="AT1351" s="341"/>
      <c r="AU1351" s="343"/>
      <c r="AV1351" s="341"/>
      <c r="AW1351" s="269" t="s">
        <v>2356</v>
      </c>
      <c r="AX1351" s="334" t="s">
        <v>2869</v>
      </c>
      <c r="AY1351" s="270" t="s">
        <v>695</v>
      </c>
      <c r="AZ1351" s="173" t="s">
        <v>5516</v>
      </c>
      <c r="BA1351" s="265">
        <v>10.0</v>
      </c>
      <c r="BB1351" s="174" t="s">
        <v>245</v>
      </c>
      <c r="BC1351" s="341"/>
      <c r="BD1351" s="308"/>
      <c r="BE1351" s="347"/>
      <c r="BF1351" s="274" t="str">
        <f>IFERROR(__xludf.DUMMYFUNCTION("LOWER(Regexreplace(to_text(E1351),""[^A-Za-z0-9]"","""")&amp;""_""&amp;Regexreplace(to_text(F1351),""[^A-Za-z0-9]"",""""))"),"neptronic_evcbseries")</f>
        <v>neptronic_evcbseries</v>
      </c>
      <c r="BG1351" s="275" t="str">
        <f>IFERROR(__xludf.DUMMYFUNCTION("upper(Regexreplace(to_text(E1351),""[^A-Za-z0-9]"","""")&amp;""-""&amp;Regexreplace(to_text(F1351),""[^A-Za-z0-9]"",""""))"),"NEPTRONIC-EVCBSERIES")</f>
        <v>NEPTRONIC-EVCBSERIES</v>
      </c>
    </row>
    <row r="1352" ht="30.0" customHeight="1">
      <c r="A1352" s="258">
        <v>1344.0</v>
      </c>
      <c r="B1352" s="237" t="s">
        <v>670</v>
      </c>
      <c r="C1352" s="257" t="s">
        <v>5555</v>
      </c>
      <c r="D1352" s="173" t="s">
        <v>5555</v>
      </c>
      <c r="E1352" s="174" t="s">
        <v>2861</v>
      </c>
      <c r="F1352" s="173" t="s">
        <v>2862</v>
      </c>
      <c r="G1352" s="328" t="s">
        <v>673</v>
      </c>
      <c r="H1352" s="328" t="s">
        <v>2863</v>
      </c>
      <c r="I1352" s="258" t="s">
        <v>2864</v>
      </c>
      <c r="J1352" s="259" t="s">
        <v>1149</v>
      </c>
      <c r="K1352" s="260" t="s">
        <v>5556</v>
      </c>
      <c r="L1352" s="359"/>
      <c r="M1352" s="359"/>
      <c r="N1352" s="173" t="s">
        <v>679</v>
      </c>
      <c r="O1352" s="173" t="s">
        <v>225</v>
      </c>
      <c r="P1352" s="262" t="str">
        <f t="shared" si="1"/>
        <v>IN-BLR-ANANTA-VAV-924_6</v>
      </c>
      <c r="Q1352" s="173" t="s">
        <v>5557</v>
      </c>
      <c r="R1352" s="328" t="str">
        <f>IFS(C1352="","",C1352="n/a","N/A",LEN(C1352),Concatenate("{",char(34),"asset",char(34),":{",char(34),"guid",char(34),":",char(34),Q1352,char(34),",",char(34),"site",char(34),":",char(34),LOWER('2-Building'!$B$4),char(34),",",char(34),"name",char(34),":",char(34),LOWER(C1352),char(34),"}}"))</f>
        <v>{"asset":{"guid":"uuid://fac434db-d4be-4a6c-981f-3ff58e71c00e","site":"in-blr-ananta","name":"vav-924"}}</v>
      </c>
      <c r="S1352" s="360" t="s">
        <v>5516</v>
      </c>
      <c r="T1352" s="330"/>
      <c r="U1352" s="330"/>
      <c r="V1352" s="331"/>
      <c r="W1352" s="344"/>
      <c r="X1352" s="341"/>
      <c r="Y1352" s="33" t="s">
        <v>2867</v>
      </c>
      <c r="Z1352" s="258">
        <v>120924.0</v>
      </c>
      <c r="AA1352" s="334">
        <v>11617.0</v>
      </c>
      <c r="AB1352" s="341"/>
      <c r="AC1352" s="341"/>
      <c r="AD1352" s="343"/>
      <c r="AE1352" s="331"/>
      <c r="AF1352" s="348"/>
      <c r="AG1352" s="337"/>
      <c r="AH1352" s="341"/>
      <c r="AI1352" s="341"/>
      <c r="AJ1352" s="341"/>
      <c r="AK1352" s="341"/>
      <c r="AL1352" s="341"/>
      <c r="AM1352" s="338"/>
      <c r="AN1352" s="341"/>
      <c r="AO1352" s="341"/>
      <c r="AP1352" s="341"/>
      <c r="AQ1352" s="341"/>
      <c r="AR1352" s="341"/>
      <c r="AS1352" s="341"/>
      <c r="AT1352" s="341"/>
      <c r="AU1352" s="343"/>
      <c r="AV1352" s="341"/>
      <c r="AW1352" s="269" t="s">
        <v>2356</v>
      </c>
      <c r="AX1352" s="334" t="s">
        <v>2869</v>
      </c>
      <c r="AY1352" s="270" t="s">
        <v>695</v>
      </c>
      <c r="AZ1352" s="173" t="s">
        <v>5516</v>
      </c>
      <c r="BA1352" s="265">
        <v>10.0</v>
      </c>
      <c r="BB1352" s="174" t="s">
        <v>245</v>
      </c>
      <c r="BC1352" s="341"/>
      <c r="BD1352" s="308"/>
      <c r="BE1352" s="347"/>
      <c r="BF1352" s="274" t="str">
        <f>IFERROR(__xludf.DUMMYFUNCTION("LOWER(Regexreplace(to_text(E1352),""[^A-Za-z0-9]"","""")&amp;""_""&amp;Regexreplace(to_text(F1352),""[^A-Za-z0-9]"",""""))"),"neptronic_evcbseries")</f>
        <v>neptronic_evcbseries</v>
      </c>
      <c r="BG1352" s="275" t="str">
        <f>IFERROR(__xludf.DUMMYFUNCTION("upper(Regexreplace(to_text(E1352),""[^A-Za-z0-9]"","""")&amp;""-""&amp;Regexreplace(to_text(F1352),""[^A-Za-z0-9]"",""""))"),"NEPTRONIC-EVCBSERIES")</f>
        <v>NEPTRONIC-EVCBSERIES</v>
      </c>
    </row>
    <row r="1353" ht="30.0" customHeight="1">
      <c r="A1353" s="173">
        <v>1345.0</v>
      </c>
      <c r="B1353" s="237" t="s">
        <v>670</v>
      </c>
      <c r="C1353" s="257" t="s">
        <v>5558</v>
      </c>
      <c r="D1353" s="173" t="s">
        <v>5558</v>
      </c>
      <c r="E1353" s="174" t="s">
        <v>2861</v>
      </c>
      <c r="F1353" s="173" t="s">
        <v>2862</v>
      </c>
      <c r="G1353" s="328" t="s">
        <v>673</v>
      </c>
      <c r="H1353" s="328" t="s">
        <v>2863</v>
      </c>
      <c r="I1353" s="258" t="s">
        <v>2864</v>
      </c>
      <c r="J1353" s="259" t="s">
        <v>1149</v>
      </c>
      <c r="K1353" s="260" t="s">
        <v>5559</v>
      </c>
      <c r="L1353" s="359"/>
      <c r="M1353" s="359"/>
      <c r="N1353" s="173" t="s">
        <v>679</v>
      </c>
      <c r="O1353" s="173" t="s">
        <v>225</v>
      </c>
      <c r="P1353" s="262" t="str">
        <f t="shared" si="1"/>
        <v>IN-BLR-ANANTA-VAV-925_6</v>
      </c>
      <c r="Q1353" s="173" t="s">
        <v>5560</v>
      </c>
      <c r="R1353" s="328" t="str">
        <f>IFS(C1353="","",C1353="n/a","N/A",LEN(C1353),Concatenate("{",char(34),"asset",char(34),":{",char(34),"guid",char(34),":",char(34),Q1353,char(34),",",char(34),"site",char(34),":",char(34),LOWER('2-Building'!$B$4),char(34),",",char(34),"name",char(34),":",char(34),LOWER(C1353),char(34),"}}"))</f>
        <v>{"asset":{"guid":"uuid://35e4c04b-cc1f-4298-a225-b65ce8e56344","site":"in-blr-ananta","name":"vav-925"}}</v>
      </c>
      <c r="S1353" s="360" t="s">
        <v>5516</v>
      </c>
      <c r="T1353" s="330"/>
      <c r="U1353" s="330"/>
      <c r="V1353" s="331"/>
      <c r="W1353" s="344"/>
      <c r="X1353" s="341"/>
      <c r="Y1353" s="33" t="s">
        <v>2867</v>
      </c>
      <c r="Z1353" s="258">
        <v>120925.0</v>
      </c>
      <c r="AA1353" s="334">
        <v>11617.0</v>
      </c>
      <c r="AB1353" s="341"/>
      <c r="AC1353" s="341"/>
      <c r="AD1353" s="343"/>
      <c r="AE1353" s="331"/>
      <c r="AF1353" s="348"/>
      <c r="AG1353" s="337"/>
      <c r="AH1353" s="341"/>
      <c r="AI1353" s="341"/>
      <c r="AJ1353" s="341"/>
      <c r="AK1353" s="341"/>
      <c r="AL1353" s="341"/>
      <c r="AM1353" s="338"/>
      <c r="AN1353" s="341"/>
      <c r="AO1353" s="341"/>
      <c r="AP1353" s="341"/>
      <c r="AQ1353" s="341"/>
      <c r="AR1353" s="341"/>
      <c r="AS1353" s="341"/>
      <c r="AT1353" s="341"/>
      <c r="AU1353" s="343"/>
      <c r="AV1353" s="341"/>
      <c r="AW1353" s="269" t="s">
        <v>2356</v>
      </c>
      <c r="AX1353" s="334" t="s">
        <v>2869</v>
      </c>
      <c r="AY1353" s="270" t="s">
        <v>695</v>
      </c>
      <c r="AZ1353" s="173" t="s">
        <v>5516</v>
      </c>
      <c r="BA1353" s="265">
        <v>10.0</v>
      </c>
      <c r="BB1353" s="174" t="s">
        <v>245</v>
      </c>
      <c r="BC1353" s="341"/>
      <c r="BD1353" s="308"/>
      <c r="BE1353" s="347"/>
      <c r="BF1353" s="274" t="str">
        <f>IFERROR(__xludf.DUMMYFUNCTION("LOWER(Regexreplace(to_text(E1353),""[^A-Za-z0-9]"","""")&amp;""_""&amp;Regexreplace(to_text(F1353),""[^A-Za-z0-9]"",""""))"),"neptronic_evcbseries")</f>
        <v>neptronic_evcbseries</v>
      </c>
      <c r="BG1353" s="275" t="str">
        <f>IFERROR(__xludf.DUMMYFUNCTION("upper(Regexreplace(to_text(E1353),""[^A-Za-z0-9]"","""")&amp;""-""&amp;Regexreplace(to_text(F1353),""[^A-Za-z0-9]"",""""))"),"NEPTRONIC-EVCBSERIES")</f>
        <v>NEPTRONIC-EVCBSERIES</v>
      </c>
    </row>
    <row r="1354" ht="30.0" customHeight="1">
      <c r="A1354" s="258">
        <v>1346.0</v>
      </c>
      <c r="B1354" s="237" t="s">
        <v>670</v>
      </c>
      <c r="C1354" s="257" t="s">
        <v>5561</v>
      </c>
      <c r="D1354" s="173" t="s">
        <v>5561</v>
      </c>
      <c r="E1354" s="174" t="s">
        <v>2861</v>
      </c>
      <c r="F1354" s="173" t="s">
        <v>2862</v>
      </c>
      <c r="G1354" s="328" t="s">
        <v>673</v>
      </c>
      <c r="H1354" s="328" t="s">
        <v>2863</v>
      </c>
      <c r="I1354" s="258" t="s">
        <v>2864</v>
      </c>
      <c r="J1354" s="259" t="s">
        <v>1149</v>
      </c>
      <c r="K1354" s="260" t="s">
        <v>5562</v>
      </c>
      <c r="L1354" s="359"/>
      <c r="M1354" s="359"/>
      <c r="N1354" s="173" t="s">
        <v>679</v>
      </c>
      <c r="O1354" s="173" t="s">
        <v>225</v>
      </c>
      <c r="P1354" s="262" t="str">
        <f t="shared" si="1"/>
        <v>IN-BLR-ANANTA-VAV-926_6</v>
      </c>
      <c r="Q1354" s="173" t="s">
        <v>5563</v>
      </c>
      <c r="R1354" s="328" t="str">
        <f>IFS(C1354="","",C1354="n/a","N/A",LEN(C1354),Concatenate("{",char(34),"asset",char(34),":{",char(34),"guid",char(34),":",char(34),Q1354,char(34),",",char(34),"site",char(34),":",char(34),LOWER('2-Building'!$B$4),char(34),",",char(34),"name",char(34),":",char(34),LOWER(C1354),char(34),"}}"))</f>
        <v>{"asset":{"guid":"uuid://004c0853-e256-447f-9995-8e124c7fda64","site":"in-blr-ananta","name":"vav-926"}}</v>
      </c>
      <c r="S1354" s="360" t="s">
        <v>5516</v>
      </c>
      <c r="T1354" s="330"/>
      <c r="U1354" s="330"/>
      <c r="V1354" s="331"/>
      <c r="W1354" s="344"/>
      <c r="X1354" s="341"/>
      <c r="Y1354" s="33" t="s">
        <v>2867</v>
      </c>
      <c r="Z1354" s="258">
        <v>120926.0</v>
      </c>
      <c r="AA1354" s="334">
        <v>11617.0</v>
      </c>
      <c r="AB1354" s="341"/>
      <c r="AC1354" s="341"/>
      <c r="AD1354" s="343"/>
      <c r="AE1354" s="331"/>
      <c r="AF1354" s="348"/>
      <c r="AG1354" s="337"/>
      <c r="AH1354" s="341"/>
      <c r="AI1354" s="341"/>
      <c r="AJ1354" s="341"/>
      <c r="AK1354" s="341"/>
      <c r="AL1354" s="341"/>
      <c r="AM1354" s="338"/>
      <c r="AN1354" s="341"/>
      <c r="AO1354" s="341"/>
      <c r="AP1354" s="341"/>
      <c r="AQ1354" s="341"/>
      <c r="AR1354" s="341"/>
      <c r="AS1354" s="341"/>
      <c r="AT1354" s="341"/>
      <c r="AU1354" s="343"/>
      <c r="AV1354" s="341"/>
      <c r="AW1354" s="269" t="s">
        <v>2356</v>
      </c>
      <c r="AX1354" s="334" t="s">
        <v>2869</v>
      </c>
      <c r="AY1354" s="270" t="s">
        <v>695</v>
      </c>
      <c r="AZ1354" s="173" t="s">
        <v>5516</v>
      </c>
      <c r="BA1354" s="265">
        <v>10.0</v>
      </c>
      <c r="BB1354" s="174" t="s">
        <v>245</v>
      </c>
      <c r="BC1354" s="341"/>
      <c r="BD1354" s="308"/>
      <c r="BE1354" s="347"/>
      <c r="BF1354" s="274" t="str">
        <f>IFERROR(__xludf.DUMMYFUNCTION("LOWER(Regexreplace(to_text(E1354),""[^A-Za-z0-9]"","""")&amp;""_""&amp;Regexreplace(to_text(F1354),""[^A-Za-z0-9]"",""""))"),"neptronic_evcbseries")</f>
        <v>neptronic_evcbseries</v>
      </c>
      <c r="BG1354" s="275" t="str">
        <f>IFERROR(__xludf.DUMMYFUNCTION("upper(Regexreplace(to_text(E1354),""[^A-Za-z0-9]"","""")&amp;""-""&amp;Regexreplace(to_text(F1354),""[^A-Za-z0-9]"",""""))"),"NEPTRONIC-EVCBSERIES")</f>
        <v>NEPTRONIC-EVCBSERIES</v>
      </c>
    </row>
    <row r="1355" ht="30.0" customHeight="1">
      <c r="A1355" s="173">
        <v>1347.0</v>
      </c>
      <c r="B1355" s="237" t="s">
        <v>670</v>
      </c>
      <c r="C1355" s="257" t="s">
        <v>5564</v>
      </c>
      <c r="D1355" s="173" t="s">
        <v>5564</v>
      </c>
      <c r="E1355" s="174" t="s">
        <v>2861</v>
      </c>
      <c r="F1355" s="173" t="s">
        <v>2862</v>
      </c>
      <c r="G1355" s="328" t="s">
        <v>673</v>
      </c>
      <c r="H1355" s="328" t="s">
        <v>2863</v>
      </c>
      <c r="I1355" s="258" t="s">
        <v>2864</v>
      </c>
      <c r="J1355" s="259" t="s">
        <v>1149</v>
      </c>
      <c r="K1355" s="260" t="s">
        <v>5565</v>
      </c>
      <c r="L1355" s="359"/>
      <c r="M1355" s="359"/>
      <c r="N1355" s="173" t="s">
        <v>679</v>
      </c>
      <c r="O1355" s="173" t="s">
        <v>225</v>
      </c>
      <c r="P1355" s="262" t="str">
        <f t="shared" si="1"/>
        <v>IN-BLR-ANANTA-VAV-927_6</v>
      </c>
      <c r="Q1355" s="173" t="s">
        <v>5566</v>
      </c>
      <c r="R1355" s="328" t="str">
        <f>IFS(C1355="","",C1355="n/a","N/A",LEN(C1355),Concatenate("{",char(34),"asset",char(34),":{",char(34),"guid",char(34),":",char(34),Q1355,char(34),",",char(34),"site",char(34),":",char(34),LOWER('2-Building'!$B$4),char(34),",",char(34),"name",char(34),":",char(34),LOWER(C1355),char(34),"}}"))</f>
        <v>{"asset":{"guid":"uuid://ddc1f165-7e2d-481e-a4f9-cd23a7497fea","site":"in-blr-ananta","name":"vav-927"}}</v>
      </c>
      <c r="S1355" s="360" t="s">
        <v>5516</v>
      </c>
      <c r="T1355" s="330"/>
      <c r="U1355" s="330"/>
      <c r="V1355" s="331"/>
      <c r="W1355" s="344"/>
      <c r="X1355" s="341"/>
      <c r="Y1355" s="33" t="s">
        <v>2867</v>
      </c>
      <c r="Z1355" s="258">
        <v>120927.0</v>
      </c>
      <c r="AA1355" s="334">
        <v>11617.0</v>
      </c>
      <c r="AB1355" s="341"/>
      <c r="AC1355" s="341"/>
      <c r="AD1355" s="343"/>
      <c r="AE1355" s="331"/>
      <c r="AF1355" s="348"/>
      <c r="AG1355" s="337"/>
      <c r="AH1355" s="341"/>
      <c r="AI1355" s="341"/>
      <c r="AJ1355" s="341"/>
      <c r="AK1355" s="341"/>
      <c r="AL1355" s="341"/>
      <c r="AM1355" s="338"/>
      <c r="AN1355" s="341"/>
      <c r="AO1355" s="341"/>
      <c r="AP1355" s="341"/>
      <c r="AQ1355" s="341"/>
      <c r="AR1355" s="341"/>
      <c r="AS1355" s="341"/>
      <c r="AT1355" s="341"/>
      <c r="AU1355" s="343"/>
      <c r="AV1355" s="341"/>
      <c r="AW1355" s="269" t="s">
        <v>2356</v>
      </c>
      <c r="AX1355" s="334" t="s">
        <v>2869</v>
      </c>
      <c r="AY1355" s="270" t="s">
        <v>695</v>
      </c>
      <c r="AZ1355" s="173" t="s">
        <v>5516</v>
      </c>
      <c r="BA1355" s="265">
        <v>10.0</v>
      </c>
      <c r="BB1355" s="174" t="s">
        <v>245</v>
      </c>
      <c r="BC1355" s="341"/>
      <c r="BD1355" s="308"/>
      <c r="BE1355" s="347"/>
      <c r="BF1355" s="274" t="str">
        <f>IFERROR(__xludf.DUMMYFUNCTION("LOWER(Regexreplace(to_text(E1355),""[^A-Za-z0-9]"","""")&amp;""_""&amp;Regexreplace(to_text(F1355),""[^A-Za-z0-9]"",""""))"),"neptronic_evcbseries")</f>
        <v>neptronic_evcbseries</v>
      </c>
      <c r="BG1355" s="275" t="str">
        <f>IFERROR(__xludf.DUMMYFUNCTION("upper(Regexreplace(to_text(E1355),""[^A-Za-z0-9]"","""")&amp;""-""&amp;Regexreplace(to_text(F1355),""[^A-Za-z0-9]"",""""))"),"NEPTRONIC-EVCBSERIES")</f>
        <v>NEPTRONIC-EVCBSERIES</v>
      </c>
    </row>
    <row r="1356" ht="30.0" customHeight="1">
      <c r="A1356" s="258">
        <v>1348.0</v>
      </c>
      <c r="B1356" s="237" t="s">
        <v>670</v>
      </c>
      <c r="C1356" s="257" t="s">
        <v>5567</v>
      </c>
      <c r="D1356" s="173" t="s">
        <v>5567</v>
      </c>
      <c r="E1356" s="174" t="s">
        <v>2861</v>
      </c>
      <c r="F1356" s="173" t="s">
        <v>2862</v>
      </c>
      <c r="G1356" s="328" t="s">
        <v>673</v>
      </c>
      <c r="H1356" s="328" t="s">
        <v>2863</v>
      </c>
      <c r="I1356" s="258" t="s">
        <v>2864</v>
      </c>
      <c r="J1356" s="259" t="s">
        <v>1149</v>
      </c>
      <c r="K1356" s="260" t="s">
        <v>5568</v>
      </c>
      <c r="L1356" s="359"/>
      <c r="M1356" s="359"/>
      <c r="N1356" s="173" t="s">
        <v>679</v>
      </c>
      <c r="O1356" s="173" t="s">
        <v>225</v>
      </c>
      <c r="P1356" s="262" t="str">
        <f t="shared" si="1"/>
        <v>IN-BLR-ANANTA-VAV-928_6</v>
      </c>
      <c r="Q1356" s="173" t="s">
        <v>5569</v>
      </c>
      <c r="R1356" s="328" t="str">
        <f>IFS(C1356="","",C1356="n/a","N/A",LEN(C1356),Concatenate("{",char(34),"asset",char(34),":{",char(34),"guid",char(34),":",char(34),Q1356,char(34),",",char(34),"site",char(34),":",char(34),LOWER('2-Building'!$B$4),char(34),",",char(34),"name",char(34),":",char(34),LOWER(C1356),char(34),"}}"))</f>
        <v>{"asset":{"guid":"uuid://29891655-e421-4697-a6c3-2fdf73e9ab19","site":"in-blr-ananta","name":"vav-928"}}</v>
      </c>
      <c r="S1356" s="360" t="s">
        <v>5516</v>
      </c>
      <c r="T1356" s="330"/>
      <c r="U1356" s="330"/>
      <c r="V1356" s="331"/>
      <c r="W1356" s="344"/>
      <c r="X1356" s="341"/>
      <c r="Y1356" s="33" t="s">
        <v>2867</v>
      </c>
      <c r="Z1356" s="258">
        <v>120928.0</v>
      </c>
      <c r="AA1356" s="334">
        <v>11618.0</v>
      </c>
      <c r="AB1356" s="341"/>
      <c r="AC1356" s="341"/>
      <c r="AD1356" s="343"/>
      <c r="AE1356" s="331"/>
      <c r="AF1356" s="348"/>
      <c r="AG1356" s="337"/>
      <c r="AH1356" s="341"/>
      <c r="AI1356" s="341"/>
      <c r="AJ1356" s="341"/>
      <c r="AK1356" s="341"/>
      <c r="AL1356" s="341"/>
      <c r="AM1356" s="338"/>
      <c r="AN1356" s="341"/>
      <c r="AO1356" s="341"/>
      <c r="AP1356" s="341"/>
      <c r="AQ1356" s="341"/>
      <c r="AR1356" s="341"/>
      <c r="AS1356" s="341"/>
      <c r="AT1356" s="341"/>
      <c r="AU1356" s="343"/>
      <c r="AV1356" s="341"/>
      <c r="AW1356" s="269" t="s">
        <v>2356</v>
      </c>
      <c r="AX1356" s="334" t="s">
        <v>2869</v>
      </c>
      <c r="AY1356" s="270" t="s">
        <v>695</v>
      </c>
      <c r="AZ1356" s="173" t="s">
        <v>5516</v>
      </c>
      <c r="BA1356" s="265">
        <v>10.0</v>
      </c>
      <c r="BB1356" s="174" t="s">
        <v>245</v>
      </c>
      <c r="BC1356" s="341"/>
      <c r="BD1356" s="308"/>
      <c r="BE1356" s="347"/>
      <c r="BF1356" s="274" t="str">
        <f>IFERROR(__xludf.DUMMYFUNCTION("LOWER(Regexreplace(to_text(E1356),""[^A-Za-z0-9]"","""")&amp;""_""&amp;Regexreplace(to_text(F1356),""[^A-Za-z0-9]"",""""))"),"neptronic_evcbseries")</f>
        <v>neptronic_evcbseries</v>
      </c>
      <c r="BG1356" s="275" t="str">
        <f>IFERROR(__xludf.DUMMYFUNCTION("upper(Regexreplace(to_text(E1356),""[^A-Za-z0-9]"","""")&amp;""-""&amp;Regexreplace(to_text(F1356),""[^A-Za-z0-9]"",""""))"),"NEPTRONIC-EVCBSERIES")</f>
        <v>NEPTRONIC-EVCBSERIES</v>
      </c>
    </row>
    <row r="1357" ht="30.0" customHeight="1">
      <c r="A1357" s="173">
        <v>1349.0</v>
      </c>
      <c r="B1357" s="237" t="s">
        <v>670</v>
      </c>
      <c r="C1357" s="257" t="s">
        <v>5570</v>
      </c>
      <c r="D1357" s="173" t="s">
        <v>5570</v>
      </c>
      <c r="E1357" s="174" t="s">
        <v>2861</v>
      </c>
      <c r="F1357" s="173" t="s">
        <v>2862</v>
      </c>
      <c r="G1357" s="328" t="s">
        <v>673</v>
      </c>
      <c r="H1357" s="328" t="s">
        <v>2863</v>
      </c>
      <c r="I1357" s="258" t="s">
        <v>2864</v>
      </c>
      <c r="J1357" s="259" t="s">
        <v>1149</v>
      </c>
      <c r="K1357" s="260" t="s">
        <v>5571</v>
      </c>
      <c r="L1357" s="359"/>
      <c r="M1357" s="359"/>
      <c r="N1357" s="173" t="s">
        <v>679</v>
      </c>
      <c r="O1357" s="173" t="s">
        <v>225</v>
      </c>
      <c r="P1357" s="262" t="str">
        <f t="shared" si="1"/>
        <v>IN-BLR-ANANTA-VAV-929_6</v>
      </c>
      <c r="Q1357" s="173" t="s">
        <v>5572</v>
      </c>
      <c r="R1357" s="328" t="str">
        <f>IFS(C1357="","",C1357="n/a","N/A",LEN(C1357),Concatenate("{",char(34),"asset",char(34),":{",char(34),"guid",char(34),":",char(34),Q1357,char(34),",",char(34),"site",char(34),":",char(34),LOWER('2-Building'!$B$4),char(34),",",char(34),"name",char(34),":",char(34),LOWER(C1357),char(34),"}}"))</f>
        <v>{"asset":{"guid":"uuid://9b4a20c6-d1a1-4eae-b8f8-a46d458d3263","site":"in-blr-ananta","name":"vav-929"}}</v>
      </c>
      <c r="S1357" s="360" t="s">
        <v>5516</v>
      </c>
      <c r="T1357" s="330"/>
      <c r="U1357" s="330"/>
      <c r="V1357" s="331"/>
      <c r="W1357" s="344"/>
      <c r="X1357" s="341"/>
      <c r="Y1357" s="33" t="s">
        <v>2867</v>
      </c>
      <c r="Z1357" s="258">
        <v>120929.0</v>
      </c>
      <c r="AA1357" s="334">
        <v>11618.0</v>
      </c>
      <c r="AB1357" s="341"/>
      <c r="AC1357" s="341"/>
      <c r="AD1357" s="343"/>
      <c r="AE1357" s="331"/>
      <c r="AF1357" s="348"/>
      <c r="AG1357" s="337"/>
      <c r="AH1357" s="341"/>
      <c r="AI1357" s="341"/>
      <c r="AJ1357" s="341"/>
      <c r="AK1357" s="341"/>
      <c r="AL1357" s="341"/>
      <c r="AM1357" s="338"/>
      <c r="AN1357" s="341"/>
      <c r="AO1357" s="341"/>
      <c r="AP1357" s="341"/>
      <c r="AQ1357" s="341"/>
      <c r="AR1357" s="341"/>
      <c r="AS1357" s="341"/>
      <c r="AT1357" s="341"/>
      <c r="AU1357" s="343"/>
      <c r="AV1357" s="341"/>
      <c r="AW1357" s="269" t="s">
        <v>2356</v>
      </c>
      <c r="AX1357" s="334" t="s">
        <v>2869</v>
      </c>
      <c r="AY1357" s="270" t="s">
        <v>695</v>
      </c>
      <c r="AZ1357" s="173" t="s">
        <v>5516</v>
      </c>
      <c r="BA1357" s="265">
        <v>10.0</v>
      </c>
      <c r="BB1357" s="174" t="s">
        <v>245</v>
      </c>
      <c r="BC1357" s="341"/>
      <c r="BD1357" s="308"/>
      <c r="BE1357" s="347"/>
      <c r="BF1357" s="274" t="str">
        <f>IFERROR(__xludf.DUMMYFUNCTION("LOWER(Regexreplace(to_text(E1357),""[^A-Za-z0-9]"","""")&amp;""_""&amp;Regexreplace(to_text(F1357),""[^A-Za-z0-9]"",""""))"),"neptronic_evcbseries")</f>
        <v>neptronic_evcbseries</v>
      </c>
      <c r="BG1357" s="275" t="str">
        <f>IFERROR(__xludf.DUMMYFUNCTION("upper(Regexreplace(to_text(E1357),""[^A-Za-z0-9]"","""")&amp;""-""&amp;Regexreplace(to_text(F1357),""[^A-Za-z0-9]"",""""))"),"NEPTRONIC-EVCBSERIES")</f>
        <v>NEPTRONIC-EVCBSERIES</v>
      </c>
    </row>
    <row r="1358" ht="30.0" customHeight="1">
      <c r="A1358" s="258">
        <v>1350.0</v>
      </c>
      <c r="B1358" s="237" t="s">
        <v>670</v>
      </c>
      <c r="C1358" s="257" t="s">
        <v>5573</v>
      </c>
      <c r="D1358" s="173" t="s">
        <v>5573</v>
      </c>
      <c r="E1358" s="174" t="s">
        <v>2861</v>
      </c>
      <c r="F1358" s="173" t="s">
        <v>2862</v>
      </c>
      <c r="G1358" s="328" t="s">
        <v>673</v>
      </c>
      <c r="H1358" s="328" t="s">
        <v>2863</v>
      </c>
      <c r="I1358" s="258" t="s">
        <v>2864</v>
      </c>
      <c r="J1358" s="259" t="s">
        <v>1149</v>
      </c>
      <c r="K1358" s="260" t="s">
        <v>5574</v>
      </c>
      <c r="L1358" s="359"/>
      <c r="M1358" s="359"/>
      <c r="N1358" s="173" t="s">
        <v>679</v>
      </c>
      <c r="O1358" s="173" t="s">
        <v>225</v>
      </c>
      <c r="P1358" s="262" t="str">
        <f t="shared" si="1"/>
        <v>IN-BLR-ANANTA-VAV-930_6</v>
      </c>
      <c r="Q1358" s="173" t="s">
        <v>5575</v>
      </c>
      <c r="R1358" s="328" t="str">
        <f>IFS(C1358="","",C1358="n/a","N/A",LEN(C1358),Concatenate("{",char(34),"asset",char(34),":{",char(34),"guid",char(34),":",char(34),Q1358,char(34),",",char(34),"site",char(34),":",char(34),LOWER('2-Building'!$B$4),char(34),",",char(34),"name",char(34),":",char(34),LOWER(C1358),char(34),"}}"))</f>
        <v>{"asset":{"guid":"uuid://c0068241-0cb1-4c02-a5a1-06c61b18ac5d","site":"in-blr-ananta","name":"vav-930"}}</v>
      </c>
      <c r="S1358" s="360" t="s">
        <v>5516</v>
      </c>
      <c r="T1358" s="330"/>
      <c r="U1358" s="330"/>
      <c r="V1358" s="331"/>
      <c r="W1358" s="344"/>
      <c r="X1358" s="341"/>
      <c r="Y1358" s="33" t="s">
        <v>2867</v>
      </c>
      <c r="Z1358" s="258">
        <v>120930.0</v>
      </c>
      <c r="AA1358" s="334">
        <v>11618.0</v>
      </c>
      <c r="AB1358" s="341"/>
      <c r="AC1358" s="341"/>
      <c r="AD1358" s="343"/>
      <c r="AE1358" s="331"/>
      <c r="AF1358" s="348"/>
      <c r="AG1358" s="337"/>
      <c r="AH1358" s="341"/>
      <c r="AI1358" s="341"/>
      <c r="AJ1358" s="341"/>
      <c r="AK1358" s="341"/>
      <c r="AL1358" s="341"/>
      <c r="AM1358" s="338"/>
      <c r="AN1358" s="341"/>
      <c r="AO1358" s="341"/>
      <c r="AP1358" s="341"/>
      <c r="AQ1358" s="341"/>
      <c r="AR1358" s="341"/>
      <c r="AS1358" s="341"/>
      <c r="AT1358" s="341"/>
      <c r="AU1358" s="343"/>
      <c r="AV1358" s="341"/>
      <c r="AW1358" s="269" t="s">
        <v>2356</v>
      </c>
      <c r="AX1358" s="334" t="s">
        <v>2869</v>
      </c>
      <c r="AY1358" s="270" t="s">
        <v>695</v>
      </c>
      <c r="AZ1358" s="173" t="s">
        <v>5516</v>
      </c>
      <c r="BA1358" s="265">
        <v>10.0</v>
      </c>
      <c r="BB1358" s="174" t="s">
        <v>245</v>
      </c>
      <c r="BC1358" s="341"/>
      <c r="BD1358" s="308"/>
      <c r="BE1358" s="347"/>
      <c r="BF1358" s="274" t="str">
        <f>IFERROR(__xludf.DUMMYFUNCTION("LOWER(Regexreplace(to_text(E1358),""[^A-Za-z0-9]"","""")&amp;""_""&amp;Regexreplace(to_text(F1358),""[^A-Za-z0-9]"",""""))"),"neptronic_evcbseries")</f>
        <v>neptronic_evcbseries</v>
      </c>
      <c r="BG1358" s="275" t="str">
        <f>IFERROR(__xludf.DUMMYFUNCTION("upper(Regexreplace(to_text(E1358),""[^A-Za-z0-9]"","""")&amp;""-""&amp;Regexreplace(to_text(F1358),""[^A-Za-z0-9]"",""""))"),"NEPTRONIC-EVCBSERIES")</f>
        <v>NEPTRONIC-EVCBSERIES</v>
      </c>
    </row>
    <row r="1359" ht="30.0" customHeight="1">
      <c r="A1359" s="173">
        <v>1351.0</v>
      </c>
      <c r="B1359" s="237" t="s">
        <v>670</v>
      </c>
      <c r="C1359" s="257" t="s">
        <v>5576</v>
      </c>
      <c r="D1359" s="173" t="s">
        <v>5576</v>
      </c>
      <c r="E1359" s="174" t="s">
        <v>2861</v>
      </c>
      <c r="F1359" s="173" t="s">
        <v>2862</v>
      </c>
      <c r="G1359" s="328" t="s">
        <v>673</v>
      </c>
      <c r="H1359" s="328" t="s">
        <v>2863</v>
      </c>
      <c r="I1359" s="258" t="s">
        <v>2864</v>
      </c>
      <c r="J1359" s="259" t="s">
        <v>1149</v>
      </c>
      <c r="K1359" s="260" t="s">
        <v>5577</v>
      </c>
      <c r="L1359" s="359"/>
      <c r="M1359" s="359"/>
      <c r="N1359" s="173" t="s">
        <v>679</v>
      </c>
      <c r="O1359" s="173" t="s">
        <v>225</v>
      </c>
      <c r="P1359" s="262" t="str">
        <f t="shared" si="1"/>
        <v>IN-BLR-ANANTA-VAV-931_6</v>
      </c>
      <c r="Q1359" s="173" t="s">
        <v>5578</v>
      </c>
      <c r="R1359" s="328" t="str">
        <f>IFS(C1359="","",C1359="n/a","N/A",LEN(C1359),Concatenate("{",char(34),"asset",char(34),":{",char(34),"guid",char(34),":",char(34),Q1359,char(34),",",char(34),"site",char(34),":",char(34),LOWER('2-Building'!$B$4),char(34),",",char(34),"name",char(34),":",char(34),LOWER(C1359),char(34),"}}"))</f>
        <v>{"asset":{"guid":"uuid://91e47987-aee2-43db-9f51-c010f161a13b","site":"in-blr-ananta","name":"vav-931"}}</v>
      </c>
      <c r="S1359" s="360" t="s">
        <v>5516</v>
      </c>
      <c r="T1359" s="330"/>
      <c r="U1359" s="330"/>
      <c r="V1359" s="331"/>
      <c r="W1359" s="344"/>
      <c r="X1359" s="341"/>
      <c r="Y1359" s="33" t="s">
        <v>2867</v>
      </c>
      <c r="Z1359" s="258">
        <v>120931.0</v>
      </c>
      <c r="AA1359" s="334">
        <v>11618.0</v>
      </c>
      <c r="AB1359" s="341"/>
      <c r="AC1359" s="341"/>
      <c r="AD1359" s="343"/>
      <c r="AE1359" s="331"/>
      <c r="AF1359" s="348"/>
      <c r="AG1359" s="337"/>
      <c r="AH1359" s="341"/>
      <c r="AI1359" s="341"/>
      <c r="AJ1359" s="341"/>
      <c r="AK1359" s="341"/>
      <c r="AL1359" s="341"/>
      <c r="AM1359" s="338"/>
      <c r="AN1359" s="341"/>
      <c r="AO1359" s="341"/>
      <c r="AP1359" s="341"/>
      <c r="AQ1359" s="341"/>
      <c r="AR1359" s="341"/>
      <c r="AS1359" s="341"/>
      <c r="AT1359" s="341"/>
      <c r="AU1359" s="343"/>
      <c r="AV1359" s="341"/>
      <c r="AW1359" s="269" t="s">
        <v>2356</v>
      </c>
      <c r="AX1359" s="334" t="s">
        <v>2869</v>
      </c>
      <c r="AY1359" s="270" t="s">
        <v>695</v>
      </c>
      <c r="AZ1359" s="173" t="s">
        <v>5516</v>
      </c>
      <c r="BA1359" s="265">
        <v>10.0</v>
      </c>
      <c r="BB1359" s="174" t="s">
        <v>245</v>
      </c>
      <c r="BC1359" s="341"/>
      <c r="BD1359" s="308"/>
      <c r="BE1359" s="347"/>
      <c r="BF1359" s="274" t="str">
        <f>IFERROR(__xludf.DUMMYFUNCTION("LOWER(Regexreplace(to_text(E1359),""[^A-Za-z0-9]"","""")&amp;""_""&amp;Regexreplace(to_text(F1359),""[^A-Za-z0-9]"",""""))"),"neptronic_evcbseries")</f>
        <v>neptronic_evcbseries</v>
      </c>
      <c r="BG1359" s="275" t="str">
        <f>IFERROR(__xludf.DUMMYFUNCTION("upper(Regexreplace(to_text(E1359),""[^A-Za-z0-9]"","""")&amp;""-""&amp;Regexreplace(to_text(F1359),""[^A-Za-z0-9]"",""""))"),"NEPTRONIC-EVCBSERIES")</f>
        <v>NEPTRONIC-EVCBSERIES</v>
      </c>
    </row>
    <row r="1360" ht="30.0" customHeight="1">
      <c r="A1360" s="258">
        <v>1352.0</v>
      </c>
      <c r="B1360" s="237" t="s">
        <v>670</v>
      </c>
      <c r="C1360" s="257" t="s">
        <v>5579</v>
      </c>
      <c r="D1360" s="173" t="s">
        <v>5579</v>
      </c>
      <c r="E1360" s="174" t="s">
        <v>2861</v>
      </c>
      <c r="F1360" s="173" t="s">
        <v>2862</v>
      </c>
      <c r="G1360" s="328" t="s">
        <v>673</v>
      </c>
      <c r="H1360" s="328" t="s">
        <v>2863</v>
      </c>
      <c r="I1360" s="258" t="s">
        <v>2864</v>
      </c>
      <c r="J1360" s="259" t="s">
        <v>1149</v>
      </c>
      <c r="K1360" s="260" t="s">
        <v>5580</v>
      </c>
      <c r="L1360" s="359"/>
      <c r="M1360" s="359"/>
      <c r="N1360" s="173" t="s">
        <v>679</v>
      </c>
      <c r="O1360" s="173" t="s">
        <v>225</v>
      </c>
      <c r="P1360" s="262" t="str">
        <f t="shared" si="1"/>
        <v>IN-BLR-ANANTA-VAV-932_6</v>
      </c>
      <c r="Q1360" s="173" t="s">
        <v>5581</v>
      </c>
      <c r="R1360" s="328" t="str">
        <f>IFS(C1360="","",C1360="n/a","N/A",LEN(C1360),Concatenate("{",char(34),"asset",char(34),":{",char(34),"guid",char(34),":",char(34),Q1360,char(34),",",char(34),"site",char(34),":",char(34),LOWER('2-Building'!$B$4),char(34),",",char(34),"name",char(34),":",char(34),LOWER(C1360),char(34),"}}"))</f>
        <v>{"asset":{"guid":"uuid://cc258f7d-ef88-4115-91f5-9cd8ceabd083","site":"in-blr-ananta","name":"vav-932"}}</v>
      </c>
      <c r="S1360" s="360" t="s">
        <v>5516</v>
      </c>
      <c r="T1360" s="330"/>
      <c r="U1360" s="330"/>
      <c r="V1360" s="331"/>
      <c r="W1360" s="344"/>
      <c r="X1360" s="341"/>
      <c r="Y1360" s="33" t="s">
        <v>2867</v>
      </c>
      <c r="Z1360" s="258">
        <v>120932.0</v>
      </c>
      <c r="AA1360" s="334">
        <v>11618.0</v>
      </c>
      <c r="AB1360" s="341"/>
      <c r="AC1360" s="341"/>
      <c r="AD1360" s="343"/>
      <c r="AE1360" s="331"/>
      <c r="AF1360" s="348"/>
      <c r="AG1360" s="337"/>
      <c r="AH1360" s="341"/>
      <c r="AI1360" s="341"/>
      <c r="AJ1360" s="341"/>
      <c r="AK1360" s="341"/>
      <c r="AL1360" s="341"/>
      <c r="AM1360" s="338"/>
      <c r="AN1360" s="341"/>
      <c r="AO1360" s="341"/>
      <c r="AP1360" s="341"/>
      <c r="AQ1360" s="341"/>
      <c r="AR1360" s="341"/>
      <c r="AS1360" s="341"/>
      <c r="AT1360" s="341"/>
      <c r="AU1360" s="343"/>
      <c r="AV1360" s="341"/>
      <c r="AW1360" s="269" t="s">
        <v>2356</v>
      </c>
      <c r="AX1360" s="334" t="s">
        <v>2869</v>
      </c>
      <c r="AY1360" s="270" t="s">
        <v>695</v>
      </c>
      <c r="AZ1360" s="173" t="s">
        <v>5516</v>
      </c>
      <c r="BA1360" s="265">
        <v>10.0</v>
      </c>
      <c r="BB1360" s="174" t="s">
        <v>245</v>
      </c>
      <c r="BC1360" s="341"/>
      <c r="BD1360" s="308"/>
      <c r="BE1360" s="347"/>
      <c r="BF1360" s="274" t="str">
        <f>IFERROR(__xludf.DUMMYFUNCTION("LOWER(Regexreplace(to_text(E1360),""[^A-Za-z0-9]"","""")&amp;""_""&amp;Regexreplace(to_text(F1360),""[^A-Za-z0-9]"",""""))"),"neptronic_evcbseries")</f>
        <v>neptronic_evcbseries</v>
      </c>
      <c r="BG1360" s="275" t="str">
        <f>IFERROR(__xludf.DUMMYFUNCTION("upper(Regexreplace(to_text(E1360),""[^A-Za-z0-9]"","""")&amp;""-""&amp;Regexreplace(to_text(F1360),""[^A-Za-z0-9]"",""""))"),"NEPTRONIC-EVCBSERIES")</f>
        <v>NEPTRONIC-EVCBSERIES</v>
      </c>
    </row>
    <row r="1361" ht="30.0" customHeight="1">
      <c r="A1361" s="173">
        <v>1353.0</v>
      </c>
      <c r="B1361" s="237" t="s">
        <v>670</v>
      </c>
      <c r="C1361" s="257" t="s">
        <v>5582</v>
      </c>
      <c r="D1361" s="173" t="s">
        <v>5582</v>
      </c>
      <c r="E1361" s="174" t="s">
        <v>2861</v>
      </c>
      <c r="F1361" s="173" t="s">
        <v>2862</v>
      </c>
      <c r="G1361" s="328" t="s">
        <v>673</v>
      </c>
      <c r="H1361" s="328" t="s">
        <v>2863</v>
      </c>
      <c r="I1361" s="258" t="s">
        <v>2864</v>
      </c>
      <c r="J1361" s="259" t="s">
        <v>1149</v>
      </c>
      <c r="K1361" s="260" t="s">
        <v>5583</v>
      </c>
      <c r="L1361" s="359"/>
      <c r="M1361" s="359"/>
      <c r="N1361" s="173" t="s">
        <v>679</v>
      </c>
      <c r="O1361" s="173" t="s">
        <v>225</v>
      </c>
      <c r="P1361" s="262" t="str">
        <f t="shared" si="1"/>
        <v>IN-BLR-ANANTA-VAV-933_6</v>
      </c>
      <c r="Q1361" s="173" t="s">
        <v>5584</v>
      </c>
      <c r="R1361" s="328" t="str">
        <f>IFS(C1361="","",C1361="n/a","N/A",LEN(C1361),Concatenate("{",char(34),"asset",char(34),":{",char(34),"guid",char(34),":",char(34),Q1361,char(34),",",char(34),"site",char(34),":",char(34),LOWER('2-Building'!$B$4),char(34),",",char(34),"name",char(34),":",char(34),LOWER(C1361),char(34),"}}"))</f>
        <v>{"asset":{"guid":"uuid://8c1cf90c-be58-4bc4-9ae5-f4d1ef03e30e","site":"in-blr-ananta","name":"vav-933"}}</v>
      </c>
      <c r="S1361" s="360" t="s">
        <v>5516</v>
      </c>
      <c r="T1361" s="330"/>
      <c r="U1361" s="330"/>
      <c r="V1361" s="331"/>
      <c r="W1361" s="344"/>
      <c r="X1361" s="341"/>
      <c r="Y1361" s="33" t="s">
        <v>2867</v>
      </c>
      <c r="Z1361" s="258">
        <v>120933.0</v>
      </c>
      <c r="AA1361" s="334">
        <v>11618.0</v>
      </c>
      <c r="AB1361" s="341"/>
      <c r="AC1361" s="341"/>
      <c r="AD1361" s="343"/>
      <c r="AE1361" s="331"/>
      <c r="AF1361" s="348"/>
      <c r="AG1361" s="337"/>
      <c r="AH1361" s="341"/>
      <c r="AI1361" s="341"/>
      <c r="AJ1361" s="341"/>
      <c r="AK1361" s="341"/>
      <c r="AL1361" s="341"/>
      <c r="AM1361" s="338"/>
      <c r="AN1361" s="341"/>
      <c r="AO1361" s="341"/>
      <c r="AP1361" s="341"/>
      <c r="AQ1361" s="341"/>
      <c r="AR1361" s="341"/>
      <c r="AS1361" s="341"/>
      <c r="AT1361" s="341"/>
      <c r="AU1361" s="343"/>
      <c r="AV1361" s="341"/>
      <c r="AW1361" s="269" t="s">
        <v>2356</v>
      </c>
      <c r="AX1361" s="334" t="s">
        <v>2869</v>
      </c>
      <c r="AY1361" s="270" t="s">
        <v>695</v>
      </c>
      <c r="AZ1361" s="173" t="s">
        <v>5516</v>
      </c>
      <c r="BA1361" s="265">
        <v>10.0</v>
      </c>
      <c r="BB1361" s="174" t="s">
        <v>245</v>
      </c>
      <c r="BC1361" s="341"/>
      <c r="BD1361" s="308"/>
      <c r="BE1361" s="347"/>
      <c r="BF1361" s="274" t="str">
        <f>IFERROR(__xludf.DUMMYFUNCTION("LOWER(Regexreplace(to_text(E1361),""[^A-Za-z0-9]"","""")&amp;""_""&amp;Regexreplace(to_text(F1361),""[^A-Za-z0-9]"",""""))"),"neptronic_evcbseries")</f>
        <v>neptronic_evcbseries</v>
      </c>
      <c r="BG1361" s="275" t="str">
        <f>IFERROR(__xludf.DUMMYFUNCTION("upper(Regexreplace(to_text(E1361),""[^A-Za-z0-9]"","""")&amp;""-""&amp;Regexreplace(to_text(F1361),""[^A-Za-z0-9]"",""""))"),"NEPTRONIC-EVCBSERIES")</f>
        <v>NEPTRONIC-EVCBSERIES</v>
      </c>
    </row>
    <row r="1362" ht="30.0" customHeight="1">
      <c r="A1362" s="258">
        <v>1354.0</v>
      </c>
      <c r="B1362" s="237" t="s">
        <v>670</v>
      </c>
      <c r="C1362" s="257" t="s">
        <v>5585</v>
      </c>
      <c r="D1362" s="173" t="s">
        <v>5585</v>
      </c>
      <c r="E1362" s="174" t="s">
        <v>2861</v>
      </c>
      <c r="F1362" s="173" t="s">
        <v>2862</v>
      </c>
      <c r="G1362" s="328" t="s">
        <v>673</v>
      </c>
      <c r="H1362" s="328" t="s">
        <v>2863</v>
      </c>
      <c r="I1362" s="258" t="s">
        <v>2864</v>
      </c>
      <c r="J1362" s="259" t="s">
        <v>1149</v>
      </c>
      <c r="K1362" s="260" t="s">
        <v>5586</v>
      </c>
      <c r="L1362" s="359"/>
      <c r="M1362" s="359"/>
      <c r="N1362" s="173" t="s">
        <v>679</v>
      </c>
      <c r="O1362" s="173" t="s">
        <v>225</v>
      </c>
      <c r="P1362" s="262" t="str">
        <f t="shared" si="1"/>
        <v>IN-BLR-ANANTA-VAV-934_6</v>
      </c>
      <c r="Q1362" s="173" t="s">
        <v>5587</v>
      </c>
      <c r="R1362" s="328" t="str">
        <f>IFS(C1362="","",C1362="n/a","N/A",LEN(C1362),Concatenate("{",char(34),"asset",char(34),":{",char(34),"guid",char(34),":",char(34),Q1362,char(34),",",char(34),"site",char(34),":",char(34),LOWER('2-Building'!$B$4),char(34),",",char(34),"name",char(34),":",char(34),LOWER(C1362),char(34),"}}"))</f>
        <v>{"asset":{"guid":"uuid://7bdc1aed-c2f1-4784-8744-036abddaaffd","site":"in-blr-ananta","name":"vav-934"}}</v>
      </c>
      <c r="S1362" s="360" t="s">
        <v>5516</v>
      </c>
      <c r="T1362" s="330"/>
      <c r="U1362" s="330"/>
      <c r="V1362" s="331"/>
      <c r="W1362" s="344"/>
      <c r="X1362" s="341"/>
      <c r="Y1362" s="33" t="s">
        <v>2867</v>
      </c>
      <c r="Z1362" s="258">
        <v>120934.0</v>
      </c>
      <c r="AA1362" s="334">
        <v>11618.0</v>
      </c>
      <c r="AB1362" s="341"/>
      <c r="AC1362" s="341"/>
      <c r="AD1362" s="343"/>
      <c r="AE1362" s="331"/>
      <c r="AF1362" s="348"/>
      <c r="AG1362" s="337"/>
      <c r="AH1362" s="341"/>
      <c r="AI1362" s="341"/>
      <c r="AJ1362" s="341"/>
      <c r="AK1362" s="341"/>
      <c r="AL1362" s="341"/>
      <c r="AM1362" s="338"/>
      <c r="AN1362" s="341"/>
      <c r="AO1362" s="341"/>
      <c r="AP1362" s="341"/>
      <c r="AQ1362" s="341"/>
      <c r="AR1362" s="341"/>
      <c r="AS1362" s="341"/>
      <c r="AT1362" s="341"/>
      <c r="AU1362" s="343"/>
      <c r="AV1362" s="341"/>
      <c r="AW1362" s="269" t="s">
        <v>2356</v>
      </c>
      <c r="AX1362" s="334" t="s">
        <v>2869</v>
      </c>
      <c r="AY1362" s="270" t="s">
        <v>695</v>
      </c>
      <c r="AZ1362" s="173" t="s">
        <v>5516</v>
      </c>
      <c r="BA1362" s="265">
        <v>10.0</v>
      </c>
      <c r="BB1362" s="174" t="s">
        <v>245</v>
      </c>
      <c r="BC1362" s="341"/>
      <c r="BD1362" s="308"/>
      <c r="BE1362" s="347"/>
      <c r="BF1362" s="274" t="str">
        <f>IFERROR(__xludf.DUMMYFUNCTION("LOWER(Regexreplace(to_text(E1362),""[^A-Za-z0-9]"","""")&amp;""_""&amp;Regexreplace(to_text(F1362),""[^A-Za-z0-9]"",""""))"),"neptronic_evcbseries")</f>
        <v>neptronic_evcbseries</v>
      </c>
      <c r="BG1362" s="275" t="str">
        <f>IFERROR(__xludf.DUMMYFUNCTION("upper(Regexreplace(to_text(E1362),""[^A-Za-z0-9]"","""")&amp;""-""&amp;Regexreplace(to_text(F1362),""[^A-Za-z0-9]"",""""))"),"NEPTRONIC-EVCBSERIES")</f>
        <v>NEPTRONIC-EVCBSERIES</v>
      </c>
    </row>
    <row r="1363" ht="30.0" customHeight="1">
      <c r="A1363" s="173">
        <v>1355.0</v>
      </c>
      <c r="B1363" s="237" t="s">
        <v>670</v>
      </c>
      <c r="C1363" s="257" t="s">
        <v>5588</v>
      </c>
      <c r="D1363" s="173" t="s">
        <v>5588</v>
      </c>
      <c r="E1363" s="174" t="s">
        <v>2861</v>
      </c>
      <c r="F1363" s="173" t="s">
        <v>2862</v>
      </c>
      <c r="G1363" s="328" t="s">
        <v>673</v>
      </c>
      <c r="H1363" s="328" t="s">
        <v>2863</v>
      </c>
      <c r="I1363" s="258" t="s">
        <v>2864</v>
      </c>
      <c r="J1363" s="259" t="s">
        <v>1149</v>
      </c>
      <c r="K1363" s="260" t="s">
        <v>5589</v>
      </c>
      <c r="L1363" s="359"/>
      <c r="M1363" s="359"/>
      <c r="N1363" s="173" t="s">
        <v>679</v>
      </c>
      <c r="O1363" s="173" t="s">
        <v>225</v>
      </c>
      <c r="P1363" s="262" t="str">
        <f t="shared" si="1"/>
        <v>IN-BLR-ANANTA-VAV-935_6</v>
      </c>
      <c r="Q1363" s="173" t="s">
        <v>5590</v>
      </c>
      <c r="R1363" s="328" t="str">
        <f>IFS(C1363="","",C1363="n/a","N/A",LEN(C1363),Concatenate("{",char(34),"asset",char(34),":{",char(34),"guid",char(34),":",char(34),Q1363,char(34),",",char(34),"site",char(34),":",char(34),LOWER('2-Building'!$B$4),char(34),",",char(34),"name",char(34),":",char(34),LOWER(C1363),char(34),"}}"))</f>
        <v>{"asset":{"guid":"uuid://0786828e-a2ec-47e5-8894-6e1e84859bb5","site":"in-blr-ananta","name":"vav-935"}}</v>
      </c>
      <c r="S1363" s="360" t="s">
        <v>5516</v>
      </c>
      <c r="T1363" s="330"/>
      <c r="U1363" s="330"/>
      <c r="V1363" s="331"/>
      <c r="W1363" s="344"/>
      <c r="X1363" s="341"/>
      <c r="Y1363" s="33" t="s">
        <v>2867</v>
      </c>
      <c r="Z1363" s="258">
        <v>120935.0</v>
      </c>
      <c r="AA1363" s="334">
        <v>11618.0</v>
      </c>
      <c r="AB1363" s="341"/>
      <c r="AC1363" s="341"/>
      <c r="AD1363" s="343"/>
      <c r="AE1363" s="331"/>
      <c r="AF1363" s="348"/>
      <c r="AG1363" s="337"/>
      <c r="AH1363" s="341"/>
      <c r="AI1363" s="341"/>
      <c r="AJ1363" s="341"/>
      <c r="AK1363" s="341"/>
      <c r="AL1363" s="341"/>
      <c r="AM1363" s="338"/>
      <c r="AN1363" s="341"/>
      <c r="AO1363" s="341"/>
      <c r="AP1363" s="341"/>
      <c r="AQ1363" s="341"/>
      <c r="AR1363" s="341"/>
      <c r="AS1363" s="341"/>
      <c r="AT1363" s="341"/>
      <c r="AU1363" s="343"/>
      <c r="AV1363" s="341"/>
      <c r="AW1363" s="269" t="s">
        <v>2356</v>
      </c>
      <c r="AX1363" s="334" t="s">
        <v>2869</v>
      </c>
      <c r="AY1363" s="270" t="s">
        <v>695</v>
      </c>
      <c r="AZ1363" s="173" t="s">
        <v>5516</v>
      </c>
      <c r="BA1363" s="265">
        <v>10.0</v>
      </c>
      <c r="BB1363" s="174" t="s">
        <v>245</v>
      </c>
      <c r="BC1363" s="341"/>
      <c r="BD1363" s="308"/>
      <c r="BE1363" s="347"/>
      <c r="BF1363" s="274" t="str">
        <f>IFERROR(__xludf.DUMMYFUNCTION("LOWER(Regexreplace(to_text(E1363),""[^A-Za-z0-9]"","""")&amp;""_""&amp;Regexreplace(to_text(F1363),""[^A-Za-z0-9]"",""""))"),"neptronic_evcbseries")</f>
        <v>neptronic_evcbseries</v>
      </c>
      <c r="BG1363" s="275" t="str">
        <f>IFERROR(__xludf.DUMMYFUNCTION("upper(Regexreplace(to_text(E1363),""[^A-Za-z0-9]"","""")&amp;""-""&amp;Regexreplace(to_text(F1363),""[^A-Za-z0-9]"",""""))"),"NEPTRONIC-EVCBSERIES")</f>
        <v>NEPTRONIC-EVCBSERIES</v>
      </c>
    </row>
    <row r="1364" ht="30.0" customHeight="1">
      <c r="A1364" s="258">
        <v>1356.0</v>
      </c>
      <c r="B1364" s="237" t="s">
        <v>670</v>
      </c>
      <c r="C1364" s="257" t="s">
        <v>5591</v>
      </c>
      <c r="D1364" s="173" t="s">
        <v>5591</v>
      </c>
      <c r="E1364" s="174" t="s">
        <v>2861</v>
      </c>
      <c r="F1364" s="173" t="s">
        <v>2862</v>
      </c>
      <c r="G1364" s="328" t="s">
        <v>673</v>
      </c>
      <c r="H1364" s="328" t="s">
        <v>2863</v>
      </c>
      <c r="I1364" s="258" t="s">
        <v>2864</v>
      </c>
      <c r="J1364" s="259" t="s">
        <v>1149</v>
      </c>
      <c r="K1364" s="260" t="s">
        <v>5592</v>
      </c>
      <c r="L1364" s="359"/>
      <c r="M1364" s="359"/>
      <c r="N1364" s="173" t="s">
        <v>679</v>
      </c>
      <c r="O1364" s="173" t="s">
        <v>225</v>
      </c>
      <c r="P1364" s="262" t="str">
        <f t="shared" si="1"/>
        <v>IN-BLR-ANANTA-VAV-936_6</v>
      </c>
      <c r="Q1364" s="173" t="s">
        <v>5593</v>
      </c>
      <c r="R1364" s="328" t="str">
        <f>IFS(C1364="","",C1364="n/a","N/A",LEN(C1364),Concatenate("{",char(34),"asset",char(34),":{",char(34),"guid",char(34),":",char(34),Q1364,char(34),",",char(34),"site",char(34),":",char(34),LOWER('2-Building'!$B$4),char(34),",",char(34),"name",char(34),":",char(34),LOWER(C1364),char(34),"}}"))</f>
        <v>{"asset":{"guid":"uuid://48778f90-fe02-404c-92bb-778a71d95133","site":"in-blr-ananta","name":"vav-936"}}</v>
      </c>
      <c r="S1364" s="360" t="s">
        <v>5516</v>
      </c>
      <c r="T1364" s="330"/>
      <c r="U1364" s="330"/>
      <c r="V1364" s="331"/>
      <c r="W1364" s="344"/>
      <c r="X1364" s="341"/>
      <c r="Y1364" s="33" t="s">
        <v>2867</v>
      </c>
      <c r="Z1364" s="258">
        <v>120936.0</v>
      </c>
      <c r="AA1364" s="334">
        <v>11618.0</v>
      </c>
      <c r="AB1364" s="341"/>
      <c r="AC1364" s="341"/>
      <c r="AD1364" s="343"/>
      <c r="AE1364" s="331"/>
      <c r="AF1364" s="348"/>
      <c r="AG1364" s="337"/>
      <c r="AH1364" s="341"/>
      <c r="AI1364" s="341"/>
      <c r="AJ1364" s="341"/>
      <c r="AK1364" s="341"/>
      <c r="AL1364" s="341"/>
      <c r="AM1364" s="338"/>
      <c r="AN1364" s="341"/>
      <c r="AO1364" s="341"/>
      <c r="AP1364" s="341"/>
      <c r="AQ1364" s="341"/>
      <c r="AR1364" s="341"/>
      <c r="AS1364" s="341"/>
      <c r="AT1364" s="341"/>
      <c r="AU1364" s="343"/>
      <c r="AV1364" s="341"/>
      <c r="AW1364" s="269" t="s">
        <v>2356</v>
      </c>
      <c r="AX1364" s="334" t="s">
        <v>2869</v>
      </c>
      <c r="AY1364" s="270" t="s">
        <v>695</v>
      </c>
      <c r="AZ1364" s="173" t="s">
        <v>5516</v>
      </c>
      <c r="BA1364" s="265">
        <v>10.0</v>
      </c>
      <c r="BB1364" s="174" t="s">
        <v>245</v>
      </c>
      <c r="BC1364" s="341"/>
      <c r="BD1364" s="308"/>
      <c r="BE1364" s="347"/>
      <c r="BF1364" s="274" t="str">
        <f>IFERROR(__xludf.DUMMYFUNCTION("LOWER(Regexreplace(to_text(E1364),""[^A-Za-z0-9]"","""")&amp;""_""&amp;Regexreplace(to_text(F1364),""[^A-Za-z0-9]"",""""))"),"neptronic_evcbseries")</f>
        <v>neptronic_evcbseries</v>
      </c>
      <c r="BG1364" s="275" t="str">
        <f>IFERROR(__xludf.DUMMYFUNCTION("upper(Regexreplace(to_text(E1364),""[^A-Za-z0-9]"","""")&amp;""-""&amp;Regexreplace(to_text(F1364),""[^A-Za-z0-9]"",""""))"),"NEPTRONIC-EVCBSERIES")</f>
        <v>NEPTRONIC-EVCBSERIES</v>
      </c>
    </row>
    <row r="1365" ht="30.0" customHeight="1">
      <c r="A1365" s="173">
        <v>1357.0</v>
      </c>
      <c r="B1365" s="237" t="s">
        <v>670</v>
      </c>
      <c r="C1365" s="257" t="s">
        <v>5594</v>
      </c>
      <c r="D1365" s="173" t="s">
        <v>5594</v>
      </c>
      <c r="E1365" s="174" t="s">
        <v>2861</v>
      </c>
      <c r="F1365" s="173" t="s">
        <v>2862</v>
      </c>
      <c r="G1365" s="328" t="s">
        <v>673</v>
      </c>
      <c r="H1365" s="328" t="s">
        <v>2863</v>
      </c>
      <c r="I1365" s="258" t="s">
        <v>2864</v>
      </c>
      <c r="J1365" s="259" t="s">
        <v>1149</v>
      </c>
      <c r="K1365" s="260" t="s">
        <v>5595</v>
      </c>
      <c r="L1365" s="359"/>
      <c r="M1365" s="359"/>
      <c r="N1365" s="173" t="s">
        <v>679</v>
      </c>
      <c r="O1365" s="173" t="s">
        <v>225</v>
      </c>
      <c r="P1365" s="262" t="str">
        <f t="shared" si="1"/>
        <v>IN-BLR-ANANTA-VAV-937_6</v>
      </c>
      <c r="Q1365" s="173" t="s">
        <v>5596</v>
      </c>
      <c r="R1365" s="328" t="str">
        <f>IFS(C1365="","",C1365="n/a","N/A",LEN(C1365),Concatenate("{",char(34),"asset",char(34),":{",char(34),"guid",char(34),":",char(34),Q1365,char(34),",",char(34),"site",char(34),":",char(34),LOWER('2-Building'!$B$4),char(34),",",char(34),"name",char(34),":",char(34),LOWER(C1365),char(34),"}}"))</f>
        <v>{"asset":{"guid":"uuid://912e9f49-796b-4c7c-99e6-50e570dc7af1","site":"in-blr-ananta","name":"vav-937"}}</v>
      </c>
      <c r="S1365" s="360" t="s">
        <v>5516</v>
      </c>
      <c r="T1365" s="330"/>
      <c r="U1365" s="330"/>
      <c r="V1365" s="331"/>
      <c r="W1365" s="344"/>
      <c r="X1365" s="341"/>
      <c r="Y1365" s="33" t="s">
        <v>2867</v>
      </c>
      <c r="Z1365" s="258">
        <v>120937.0</v>
      </c>
      <c r="AA1365" s="334">
        <v>11618.0</v>
      </c>
      <c r="AB1365" s="341"/>
      <c r="AC1365" s="341"/>
      <c r="AD1365" s="343"/>
      <c r="AE1365" s="331"/>
      <c r="AF1365" s="348"/>
      <c r="AG1365" s="337"/>
      <c r="AH1365" s="341"/>
      <c r="AI1365" s="341"/>
      <c r="AJ1365" s="341"/>
      <c r="AK1365" s="341"/>
      <c r="AL1365" s="341"/>
      <c r="AM1365" s="338"/>
      <c r="AN1365" s="341"/>
      <c r="AO1365" s="341"/>
      <c r="AP1365" s="341"/>
      <c r="AQ1365" s="341"/>
      <c r="AR1365" s="341"/>
      <c r="AS1365" s="341"/>
      <c r="AT1365" s="341"/>
      <c r="AU1365" s="343"/>
      <c r="AV1365" s="341"/>
      <c r="AW1365" s="269" t="s">
        <v>2356</v>
      </c>
      <c r="AX1365" s="334" t="s">
        <v>2869</v>
      </c>
      <c r="AY1365" s="270" t="s">
        <v>695</v>
      </c>
      <c r="AZ1365" s="173" t="s">
        <v>5516</v>
      </c>
      <c r="BA1365" s="265">
        <v>10.0</v>
      </c>
      <c r="BB1365" s="174" t="s">
        <v>245</v>
      </c>
      <c r="BC1365" s="341"/>
      <c r="BD1365" s="308"/>
      <c r="BE1365" s="347"/>
      <c r="BF1365" s="274" t="str">
        <f>IFERROR(__xludf.DUMMYFUNCTION("LOWER(Regexreplace(to_text(E1365),""[^A-Za-z0-9]"","""")&amp;""_""&amp;Regexreplace(to_text(F1365),""[^A-Za-z0-9]"",""""))"),"neptronic_evcbseries")</f>
        <v>neptronic_evcbseries</v>
      </c>
      <c r="BG1365" s="275" t="str">
        <f>IFERROR(__xludf.DUMMYFUNCTION("upper(Regexreplace(to_text(E1365),""[^A-Za-z0-9]"","""")&amp;""-""&amp;Regexreplace(to_text(F1365),""[^A-Za-z0-9]"",""""))"),"NEPTRONIC-EVCBSERIES")</f>
        <v>NEPTRONIC-EVCBSERIES</v>
      </c>
    </row>
    <row r="1366" ht="30.0" customHeight="1">
      <c r="A1366" s="258">
        <v>1358.0</v>
      </c>
      <c r="B1366" s="237" t="s">
        <v>670</v>
      </c>
      <c r="C1366" s="257" t="s">
        <v>5597</v>
      </c>
      <c r="D1366" s="173" t="s">
        <v>5597</v>
      </c>
      <c r="E1366" s="174" t="s">
        <v>2861</v>
      </c>
      <c r="F1366" s="173" t="s">
        <v>2862</v>
      </c>
      <c r="G1366" s="328" t="s">
        <v>673</v>
      </c>
      <c r="H1366" s="328" t="s">
        <v>2863</v>
      </c>
      <c r="I1366" s="258" t="s">
        <v>2864</v>
      </c>
      <c r="J1366" s="259" t="s">
        <v>1149</v>
      </c>
      <c r="K1366" s="260" t="s">
        <v>5598</v>
      </c>
      <c r="L1366" s="359"/>
      <c r="M1366" s="359"/>
      <c r="N1366" s="173" t="s">
        <v>679</v>
      </c>
      <c r="O1366" s="173" t="s">
        <v>225</v>
      </c>
      <c r="P1366" s="262" t="str">
        <f t="shared" si="1"/>
        <v>IN-BLR-ANANTA-VAV-938_6</v>
      </c>
      <c r="Q1366" s="173" t="s">
        <v>5599</v>
      </c>
      <c r="R1366" s="328" t="str">
        <f>IFS(C1366="","",C1366="n/a","N/A",LEN(C1366),Concatenate("{",char(34),"asset",char(34),":{",char(34),"guid",char(34),":",char(34),Q1366,char(34),",",char(34),"site",char(34),":",char(34),LOWER('2-Building'!$B$4),char(34),",",char(34),"name",char(34),":",char(34),LOWER(C1366),char(34),"}}"))</f>
        <v>{"asset":{"guid":"uuid://105f22d4-813d-4d47-8a9a-56e78a4706a2","site":"in-blr-ananta","name":"vav-938"}}</v>
      </c>
      <c r="S1366" s="360" t="s">
        <v>5516</v>
      </c>
      <c r="T1366" s="330"/>
      <c r="U1366" s="330"/>
      <c r="V1366" s="331"/>
      <c r="W1366" s="344"/>
      <c r="X1366" s="341"/>
      <c r="Y1366" s="33" t="s">
        <v>2867</v>
      </c>
      <c r="Z1366" s="258">
        <v>120938.0</v>
      </c>
      <c r="AA1366" s="334">
        <v>11618.0</v>
      </c>
      <c r="AB1366" s="341"/>
      <c r="AC1366" s="341"/>
      <c r="AD1366" s="343"/>
      <c r="AE1366" s="331"/>
      <c r="AF1366" s="348"/>
      <c r="AG1366" s="337"/>
      <c r="AH1366" s="341"/>
      <c r="AI1366" s="341"/>
      <c r="AJ1366" s="341"/>
      <c r="AK1366" s="341"/>
      <c r="AL1366" s="341"/>
      <c r="AM1366" s="338"/>
      <c r="AN1366" s="341"/>
      <c r="AO1366" s="341"/>
      <c r="AP1366" s="341"/>
      <c r="AQ1366" s="341"/>
      <c r="AR1366" s="341"/>
      <c r="AS1366" s="341"/>
      <c r="AT1366" s="341"/>
      <c r="AU1366" s="343"/>
      <c r="AV1366" s="341"/>
      <c r="AW1366" s="269" t="s">
        <v>2356</v>
      </c>
      <c r="AX1366" s="334" t="s">
        <v>2869</v>
      </c>
      <c r="AY1366" s="270" t="s">
        <v>695</v>
      </c>
      <c r="AZ1366" s="173" t="s">
        <v>5516</v>
      </c>
      <c r="BA1366" s="265">
        <v>10.0</v>
      </c>
      <c r="BB1366" s="174" t="s">
        <v>245</v>
      </c>
      <c r="BC1366" s="341"/>
      <c r="BD1366" s="308"/>
      <c r="BE1366" s="347"/>
      <c r="BF1366" s="274" t="str">
        <f>IFERROR(__xludf.DUMMYFUNCTION("LOWER(Regexreplace(to_text(E1366),""[^A-Za-z0-9]"","""")&amp;""_""&amp;Regexreplace(to_text(F1366),""[^A-Za-z0-9]"",""""))"),"neptronic_evcbseries")</f>
        <v>neptronic_evcbseries</v>
      </c>
      <c r="BG1366" s="275" t="str">
        <f>IFERROR(__xludf.DUMMYFUNCTION("upper(Regexreplace(to_text(E1366),""[^A-Za-z0-9]"","""")&amp;""-""&amp;Regexreplace(to_text(F1366),""[^A-Za-z0-9]"",""""))"),"NEPTRONIC-EVCBSERIES")</f>
        <v>NEPTRONIC-EVCBSERIES</v>
      </c>
    </row>
    <row r="1367" ht="30.0" customHeight="1">
      <c r="A1367" s="173">
        <v>1359.0</v>
      </c>
      <c r="B1367" s="237" t="s">
        <v>670</v>
      </c>
      <c r="C1367" s="257" t="s">
        <v>5600</v>
      </c>
      <c r="D1367" s="173" t="s">
        <v>5600</v>
      </c>
      <c r="E1367" s="174" t="s">
        <v>2861</v>
      </c>
      <c r="F1367" s="173" t="s">
        <v>2862</v>
      </c>
      <c r="G1367" s="328" t="s">
        <v>673</v>
      </c>
      <c r="H1367" s="328" t="s">
        <v>2863</v>
      </c>
      <c r="I1367" s="258" t="s">
        <v>2864</v>
      </c>
      <c r="J1367" s="259" t="s">
        <v>1149</v>
      </c>
      <c r="K1367" s="260" t="s">
        <v>5601</v>
      </c>
      <c r="L1367" s="359"/>
      <c r="M1367" s="359"/>
      <c r="N1367" s="173" t="s">
        <v>679</v>
      </c>
      <c r="O1367" s="173" t="s">
        <v>225</v>
      </c>
      <c r="P1367" s="262" t="str">
        <f t="shared" si="1"/>
        <v>IN-BLR-ANANTA-VAV-939_6</v>
      </c>
      <c r="Q1367" s="173" t="s">
        <v>5602</v>
      </c>
      <c r="R1367" s="328" t="str">
        <f>IFS(C1367="","",C1367="n/a","N/A",LEN(C1367),Concatenate("{",char(34),"asset",char(34),":{",char(34),"guid",char(34),":",char(34),Q1367,char(34),",",char(34),"site",char(34),":",char(34),LOWER('2-Building'!$B$4),char(34),",",char(34),"name",char(34),":",char(34),LOWER(C1367),char(34),"}}"))</f>
        <v>{"asset":{"guid":"uuid://b9b3358a-966e-43a2-b044-c897e09a1cf3","site":"in-blr-ananta","name":"vav-939"}}</v>
      </c>
      <c r="S1367" s="360" t="s">
        <v>5516</v>
      </c>
      <c r="T1367" s="330"/>
      <c r="U1367" s="330"/>
      <c r="V1367" s="331"/>
      <c r="W1367" s="344"/>
      <c r="X1367" s="341"/>
      <c r="Y1367" s="33" t="s">
        <v>2867</v>
      </c>
      <c r="Z1367" s="258">
        <v>120939.0</v>
      </c>
      <c r="AA1367" s="334">
        <v>11618.0</v>
      </c>
      <c r="AB1367" s="341"/>
      <c r="AC1367" s="341"/>
      <c r="AD1367" s="343"/>
      <c r="AE1367" s="331"/>
      <c r="AF1367" s="348"/>
      <c r="AG1367" s="337"/>
      <c r="AH1367" s="341"/>
      <c r="AI1367" s="341"/>
      <c r="AJ1367" s="341"/>
      <c r="AK1367" s="341"/>
      <c r="AL1367" s="341"/>
      <c r="AM1367" s="338"/>
      <c r="AN1367" s="341"/>
      <c r="AO1367" s="341"/>
      <c r="AP1367" s="341"/>
      <c r="AQ1367" s="341"/>
      <c r="AR1367" s="341"/>
      <c r="AS1367" s="341"/>
      <c r="AT1367" s="341"/>
      <c r="AU1367" s="343"/>
      <c r="AV1367" s="341"/>
      <c r="AW1367" s="269" t="s">
        <v>2356</v>
      </c>
      <c r="AX1367" s="334" t="s">
        <v>2869</v>
      </c>
      <c r="AY1367" s="270" t="s">
        <v>695</v>
      </c>
      <c r="AZ1367" s="173" t="s">
        <v>5516</v>
      </c>
      <c r="BA1367" s="265">
        <v>10.0</v>
      </c>
      <c r="BB1367" s="174" t="s">
        <v>245</v>
      </c>
      <c r="BC1367" s="341"/>
      <c r="BD1367" s="308"/>
      <c r="BE1367" s="347"/>
      <c r="BF1367" s="274" t="str">
        <f>IFERROR(__xludf.DUMMYFUNCTION("LOWER(Regexreplace(to_text(E1367),""[^A-Za-z0-9]"","""")&amp;""_""&amp;Regexreplace(to_text(F1367),""[^A-Za-z0-9]"",""""))"),"neptronic_evcbseries")</f>
        <v>neptronic_evcbseries</v>
      </c>
      <c r="BG1367" s="275" t="str">
        <f>IFERROR(__xludf.DUMMYFUNCTION("upper(Regexreplace(to_text(E1367),""[^A-Za-z0-9]"","""")&amp;""-""&amp;Regexreplace(to_text(F1367),""[^A-Za-z0-9]"",""""))"),"NEPTRONIC-EVCBSERIES")</f>
        <v>NEPTRONIC-EVCBSERIES</v>
      </c>
    </row>
    <row r="1368" ht="30.0" customHeight="1">
      <c r="A1368" s="258">
        <v>1360.0</v>
      </c>
      <c r="B1368" s="237" t="s">
        <v>670</v>
      </c>
      <c r="C1368" s="257" t="s">
        <v>5603</v>
      </c>
      <c r="D1368" s="173" t="s">
        <v>5603</v>
      </c>
      <c r="E1368" s="174" t="s">
        <v>2861</v>
      </c>
      <c r="F1368" s="173" t="s">
        <v>2862</v>
      </c>
      <c r="G1368" s="328" t="s">
        <v>673</v>
      </c>
      <c r="H1368" s="328" t="s">
        <v>2863</v>
      </c>
      <c r="I1368" s="258" t="s">
        <v>2864</v>
      </c>
      <c r="J1368" s="259" t="s">
        <v>1149</v>
      </c>
      <c r="K1368" s="260" t="s">
        <v>5604</v>
      </c>
      <c r="L1368" s="359"/>
      <c r="M1368" s="359"/>
      <c r="N1368" s="173" t="s">
        <v>679</v>
      </c>
      <c r="O1368" s="173" t="s">
        <v>225</v>
      </c>
      <c r="P1368" s="262" t="str">
        <f t="shared" si="1"/>
        <v>IN-BLR-ANANTA-VAV-940_6</v>
      </c>
      <c r="Q1368" s="173" t="s">
        <v>5605</v>
      </c>
      <c r="R1368" s="328" t="str">
        <f>IFS(C1368="","",C1368="n/a","N/A",LEN(C1368),Concatenate("{",char(34),"asset",char(34),":{",char(34),"guid",char(34),":",char(34),Q1368,char(34),",",char(34),"site",char(34),":",char(34),LOWER('2-Building'!$B$4),char(34),",",char(34),"name",char(34),":",char(34),LOWER(C1368),char(34),"}}"))</f>
        <v>{"asset":{"guid":"uuid://a6475ee9-f3a6-4120-89f4-d9b0604ad61e","site":"in-blr-ananta","name":"vav-940"}}</v>
      </c>
      <c r="S1368" s="360" t="s">
        <v>5516</v>
      </c>
      <c r="T1368" s="330"/>
      <c r="U1368" s="330"/>
      <c r="V1368" s="331"/>
      <c r="W1368" s="344"/>
      <c r="X1368" s="341"/>
      <c r="Y1368" s="33" t="s">
        <v>2867</v>
      </c>
      <c r="Z1368" s="258">
        <v>120940.0</v>
      </c>
      <c r="AA1368" s="334">
        <v>11618.0</v>
      </c>
      <c r="AB1368" s="341"/>
      <c r="AC1368" s="341"/>
      <c r="AD1368" s="343"/>
      <c r="AE1368" s="331"/>
      <c r="AF1368" s="348"/>
      <c r="AG1368" s="337"/>
      <c r="AH1368" s="341"/>
      <c r="AI1368" s="341"/>
      <c r="AJ1368" s="341"/>
      <c r="AK1368" s="341"/>
      <c r="AL1368" s="341"/>
      <c r="AM1368" s="338"/>
      <c r="AN1368" s="341"/>
      <c r="AO1368" s="341"/>
      <c r="AP1368" s="341"/>
      <c r="AQ1368" s="341"/>
      <c r="AR1368" s="341"/>
      <c r="AS1368" s="341"/>
      <c r="AT1368" s="341"/>
      <c r="AU1368" s="343"/>
      <c r="AV1368" s="341"/>
      <c r="AW1368" s="269" t="s">
        <v>2356</v>
      </c>
      <c r="AX1368" s="334" t="s">
        <v>2869</v>
      </c>
      <c r="AY1368" s="270" t="s">
        <v>695</v>
      </c>
      <c r="AZ1368" s="173" t="s">
        <v>5516</v>
      </c>
      <c r="BA1368" s="265">
        <v>10.0</v>
      </c>
      <c r="BB1368" s="174" t="s">
        <v>245</v>
      </c>
      <c r="BC1368" s="341"/>
      <c r="BD1368" s="308"/>
      <c r="BE1368" s="347"/>
      <c r="BF1368" s="274" t="str">
        <f>IFERROR(__xludf.DUMMYFUNCTION("LOWER(Regexreplace(to_text(E1368),""[^A-Za-z0-9]"","""")&amp;""_""&amp;Regexreplace(to_text(F1368),""[^A-Za-z0-9]"",""""))"),"neptronic_evcbseries")</f>
        <v>neptronic_evcbseries</v>
      </c>
      <c r="BG1368" s="275" t="str">
        <f>IFERROR(__xludf.DUMMYFUNCTION("upper(Regexreplace(to_text(E1368),""[^A-Za-z0-9]"","""")&amp;""-""&amp;Regexreplace(to_text(F1368),""[^A-Za-z0-9]"",""""))"),"NEPTRONIC-EVCBSERIES")</f>
        <v>NEPTRONIC-EVCBSERIES</v>
      </c>
    </row>
    <row r="1369" ht="30.0" customHeight="1">
      <c r="A1369" s="173">
        <v>1361.0</v>
      </c>
      <c r="B1369" s="237" t="s">
        <v>670</v>
      </c>
      <c r="C1369" s="257" t="s">
        <v>5606</v>
      </c>
      <c r="D1369" s="173" t="s">
        <v>5606</v>
      </c>
      <c r="E1369" s="174" t="s">
        <v>2861</v>
      </c>
      <c r="F1369" s="173" t="s">
        <v>2862</v>
      </c>
      <c r="G1369" s="328" t="s">
        <v>673</v>
      </c>
      <c r="H1369" s="328" t="s">
        <v>2863</v>
      </c>
      <c r="I1369" s="258" t="s">
        <v>2864</v>
      </c>
      <c r="J1369" s="259" t="s">
        <v>1149</v>
      </c>
      <c r="K1369" s="260" t="s">
        <v>5607</v>
      </c>
      <c r="L1369" s="359"/>
      <c r="M1369" s="359"/>
      <c r="N1369" s="173" t="s">
        <v>679</v>
      </c>
      <c r="O1369" s="173" t="s">
        <v>225</v>
      </c>
      <c r="P1369" s="262" t="str">
        <f t="shared" si="1"/>
        <v>IN-BLR-ANANTA-VAV-941_6</v>
      </c>
      <c r="Q1369" s="173" t="s">
        <v>5608</v>
      </c>
      <c r="R1369" s="328" t="str">
        <f>IFS(C1369="","",C1369="n/a","N/A",LEN(C1369),Concatenate("{",char(34),"asset",char(34),":{",char(34),"guid",char(34),":",char(34),Q1369,char(34),",",char(34),"site",char(34),":",char(34),LOWER('2-Building'!$B$4),char(34),",",char(34),"name",char(34),":",char(34),LOWER(C1369),char(34),"}}"))</f>
        <v>{"asset":{"guid":"uuid://18f9c395-904b-4094-9acd-181a00b75154","site":"in-blr-ananta","name":"vav-941"}}</v>
      </c>
      <c r="S1369" s="360" t="s">
        <v>5516</v>
      </c>
      <c r="T1369" s="330"/>
      <c r="U1369" s="330"/>
      <c r="V1369" s="331"/>
      <c r="W1369" s="344"/>
      <c r="X1369" s="341"/>
      <c r="Y1369" s="33" t="s">
        <v>2867</v>
      </c>
      <c r="Z1369" s="258">
        <v>120941.0</v>
      </c>
      <c r="AA1369" s="334">
        <v>11618.0</v>
      </c>
      <c r="AB1369" s="341"/>
      <c r="AC1369" s="341"/>
      <c r="AD1369" s="343"/>
      <c r="AE1369" s="331"/>
      <c r="AF1369" s="348"/>
      <c r="AG1369" s="337"/>
      <c r="AH1369" s="341"/>
      <c r="AI1369" s="341"/>
      <c r="AJ1369" s="341"/>
      <c r="AK1369" s="341"/>
      <c r="AL1369" s="341"/>
      <c r="AM1369" s="338"/>
      <c r="AN1369" s="341"/>
      <c r="AO1369" s="341"/>
      <c r="AP1369" s="341"/>
      <c r="AQ1369" s="341"/>
      <c r="AR1369" s="341"/>
      <c r="AS1369" s="341"/>
      <c r="AT1369" s="341"/>
      <c r="AU1369" s="343"/>
      <c r="AV1369" s="341"/>
      <c r="AW1369" s="269" t="s">
        <v>2356</v>
      </c>
      <c r="AX1369" s="334" t="s">
        <v>2869</v>
      </c>
      <c r="AY1369" s="270" t="s">
        <v>695</v>
      </c>
      <c r="AZ1369" s="173" t="s">
        <v>5516</v>
      </c>
      <c r="BA1369" s="265">
        <v>10.0</v>
      </c>
      <c r="BB1369" s="174" t="s">
        <v>245</v>
      </c>
      <c r="BC1369" s="341"/>
      <c r="BD1369" s="308"/>
      <c r="BE1369" s="347"/>
      <c r="BF1369" s="274" t="str">
        <f>IFERROR(__xludf.DUMMYFUNCTION("LOWER(Regexreplace(to_text(E1369),""[^A-Za-z0-9]"","""")&amp;""_""&amp;Regexreplace(to_text(F1369),""[^A-Za-z0-9]"",""""))"),"neptronic_evcbseries")</f>
        <v>neptronic_evcbseries</v>
      </c>
      <c r="BG1369" s="275" t="str">
        <f>IFERROR(__xludf.DUMMYFUNCTION("upper(Regexreplace(to_text(E1369),""[^A-Za-z0-9]"","""")&amp;""-""&amp;Regexreplace(to_text(F1369),""[^A-Za-z0-9]"",""""))"),"NEPTRONIC-EVCBSERIES")</f>
        <v>NEPTRONIC-EVCBSERIES</v>
      </c>
    </row>
    <row r="1370" ht="30.0" customHeight="1">
      <c r="A1370" s="258">
        <v>1362.0</v>
      </c>
      <c r="B1370" s="237" t="s">
        <v>670</v>
      </c>
      <c r="C1370" s="257" t="s">
        <v>5609</v>
      </c>
      <c r="D1370" s="173" t="s">
        <v>5609</v>
      </c>
      <c r="E1370" s="174" t="s">
        <v>2861</v>
      </c>
      <c r="F1370" s="173" t="s">
        <v>2862</v>
      </c>
      <c r="G1370" s="328" t="s">
        <v>673</v>
      </c>
      <c r="H1370" s="328" t="s">
        <v>2863</v>
      </c>
      <c r="I1370" s="258" t="s">
        <v>2864</v>
      </c>
      <c r="J1370" s="259" t="s">
        <v>1149</v>
      </c>
      <c r="K1370" s="260" t="s">
        <v>5610</v>
      </c>
      <c r="L1370" s="359"/>
      <c r="M1370" s="359"/>
      <c r="N1370" s="173" t="s">
        <v>679</v>
      </c>
      <c r="O1370" s="173" t="s">
        <v>225</v>
      </c>
      <c r="P1370" s="262" t="str">
        <f t="shared" si="1"/>
        <v>IN-BLR-ANANTA-VAV-942_6</v>
      </c>
      <c r="Q1370" s="173" t="s">
        <v>5611</v>
      </c>
      <c r="R1370" s="328" t="str">
        <f>IFS(C1370="","",C1370="n/a","N/A",LEN(C1370),Concatenate("{",char(34),"asset",char(34),":{",char(34),"guid",char(34),":",char(34),Q1370,char(34),",",char(34),"site",char(34),":",char(34),LOWER('2-Building'!$B$4),char(34),",",char(34),"name",char(34),":",char(34),LOWER(C1370),char(34),"}}"))</f>
        <v>{"asset":{"guid":"uuid://4caf4f13-3739-43b7-9a1d-8b819bdf6f39","site":"in-blr-ananta","name":"vav-942"}}</v>
      </c>
      <c r="S1370" s="360" t="s">
        <v>5516</v>
      </c>
      <c r="T1370" s="330"/>
      <c r="U1370" s="330"/>
      <c r="V1370" s="331"/>
      <c r="W1370" s="344"/>
      <c r="X1370" s="341"/>
      <c r="Y1370" s="33" t="s">
        <v>2867</v>
      </c>
      <c r="Z1370" s="258">
        <v>120942.0</v>
      </c>
      <c r="AA1370" s="334">
        <v>11618.0</v>
      </c>
      <c r="AB1370" s="341"/>
      <c r="AC1370" s="341"/>
      <c r="AD1370" s="343"/>
      <c r="AE1370" s="331"/>
      <c r="AF1370" s="348"/>
      <c r="AG1370" s="337"/>
      <c r="AH1370" s="341"/>
      <c r="AI1370" s="341"/>
      <c r="AJ1370" s="341"/>
      <c r="AK1370" s="341"/>
      <c r="AL1370" s="341"/>
      <c r="AM1370" s="338"/>
      <c r="AN1370" s="341"/>
      <c r="AO1370" s="341"/>
      <c r="AP1370" s="341"/>
      <c r="AQ1370" s="341"/>
      <c r="AR1370" s="341"/>
      <c r="AS1370" s="341"/>
      <c r="AT1370" s="341"/>
      <c r="AU1370" s="343"/>
      <c r="AV1370" s="341"/>
      <c r="AW1370" s="269" t="s">
        <v>2356</v>
      </c>
      <c r="AX1370" s="334" t="s">
        <v>2869</v>
      </c>
      <c r="AY1370" s="270" t="s">
        <v>695</v>
      </c>
      <c r="AZ1370" s="173" t="s">
        <v>5516</v>
      </c>
      <c r="BA1370" s="265">
        <v>10.0</v>
      </c>
      <c r="BB1370" s="174" t="s">
        <v>245</v>
      </c>
      <c r="BC1370" s="341"/>
      <c r="BD1370" s="308"/>
      <c r="BE1370" s="347"/>
      <c r="BF1370" s="274" t="str">
        <f>IFERROR(__xludf.DUMMYFUNCTION("LOWER(Regexreplace(to_text(E1370),""[^A-Za-z0-9]"","""")&amp;""_""&amp;Regexreplace(to_text(F1370),""[^A-Za-z0-9]"",""""))"),"neptronic_evcbseries")</f>
        <v>neptronic_evcbseries</v>
      </c>
      <c r="BG1370" s="275" t="str">
        <f>IFERROR(__xludf.DUMMYFUNCTION("upper(Regexreplace(to_text(E1370),""[^A-Za-z0-9]"","""")&amp;""-""&amp;Regexreplace(to_text(F1370),""[^A-Za-z0-9]"",""""))"),"NEPTRONIC-EVCBSERIES")</f>
        <v>NEPTRONIC-EVCBSERIES</v>
      </c>
    </row>
    <row r="1371" ht="30.0" customHeight="1">
      <c r="A1371" s="173">
        <v>1363.0</v>
      </c>
      <c r="B1371" s="237" t="s">
        <v>670</v>
      </c>
      <c r="C1371" s="257" t="s">
        <v>5612</v>
      </c>
      <c r="D1371" s="173" t="s">
        <v>5612</v>
      </c>
      <c r="E1371" s="174" t="s">
        <v>2861</v>
      </c>
      <c r="F1371" s="173" t="s">
        <v>2862</v>
      </c>
      <c r="G1371" s="328" t="s">
        <v>673</v>
      </c>
      <c r="H1371" s="328" t="s">
        <v>2863</v>
      </c>
      <c r="I1371" s="258" t="s">
        <v>2864</v>
      </c>
      <c r="J1371" s="259" t="s">
        <v>1149</v>
      </c>
      <c r="K1371" s="260" t="s">
        <v>5613</v>
      </c>
      <c r="L1371" s="359"/>
      <c r="M1371" s="359"/>
      <c r="N1371" s="173" t="s">
        <v>679</v>
      </c>
      <c r="O1371" s="173" t="s">
        <v>225</v>
      </c>
      <c r="P1371" s="262" t="str">
        <f t="shared" si="1"/>
        <v>IN-BLR-ANANTA-VAV-943_6</v>
      </c>
      <c r="Q1371" s="173" t="s">
        <v>5614</v>
      </c>
      <c r="R1371" s="328" t="str">
        <f>IFS(C1371="","",C1371="n/a","N/A",LEN(C1371),Concatenate("{",char(34),"asset",char(34),":{",char(34),"guid",char(34),":",char(34),Q1371,char(34),",",char(34),"site",char(34),":",char(34),LOWER('2-Building'!$B$4),char(34),",",char(34),"name",char(34),":",char(34),LOWER(C1371),char(34),"}}"))</f>
        <v>{"asset":{"guid":"uuid://b606a9b5-062e-4a8b-975e-31e64565dc8a","site":"in-blr-ananta","name":"vav-943"}}</v>
      </c>
      <c r="S1371" s="360" t="s">
        <v>5516</v>
      </c>
      <c r="T1371" s="330"/>
      <c r="U1371" s="330"/>
      <c r="V1371" s="331"/>
      <c r="W1371" s="344"/>
      <c r="X1371" s="341"/>
      <c r="Y1371" s="33" t="s">
        <v>2867</v>
      </c>
      <c r="Z1371" s="258">
        <v>120943.0</v>
      </c>
      <c r="AA1371" s="334">
        <v>11618.0</v>
      </c>
      <c r="AB1371" s="341"/>
      <c r="AC1371" s="341"/>
      <c r="AD1371" s="343"/>
      <c r="AE1371" s="331"/>
      <c r="AF1371" s="348"/>
      <c r="AG1371" s="337"/>
      <c r="AH1371" s="341"/>
      <c r="AI1371" s="341"/>
      <c r="AJ1371" s="341"/>
      <c r="AK1371" s="341"/>
      <c r="AL1371" s="341"/>
      <c r="AM1371" s="338"/>
      <c r="AN1371" s="341"/>
      <c r="AO1371" s="341"/>
      <c r="AP1371" s="341"/>
      <c r="AQ1371" s="341"/>
      <c r="AR1371" s="341"/>
      <c r="AS1371" s="341"/>
      <c r="AT1371" s="341"/>
      <c r="AU1371" s="343"/>
      <c r="AV1371" s="341"/>
      <c r="AW1371" s="269" t="s">
        <v>2356</v>
      </c>
      <c r="AX1371" s="334" t="s">
        <v>2869</v>
      </c>
      <c r="AY1371" s="270" t="s">
        <v>695</v>
      </c>
      <c r="AZ1371" s="173" t="s">
        <v>5516</v>
      </c>
      <c r="BA1371" s="265">
        <v>10.0</v>
      </c>
      <c r="BB1371" s="174" t="s">
        <v>245</v>
      </c>
      <c r="BC1371" s="341"/>
      <c r="BD1371" s="308"/>
      <c r="BE1371" s="347"/>
      <c r="BF1371" s="274" t="str">
        <f>IFERROR(__xludf.DUMMYFUNCTION("LOWER(Regexreplace(to_text(E1371),""[^A-Za-z0-9]"","""")&amp;""_""&amp;Regexreplace(to_text(F1371),""[^A-Za-z0-9]"",""""))"),"neptronic_evcbseries")</f>
        <v>neptronic_evcbseries</v>
      </c>
      <c r="BG1371" s="275" t="str">
        <f>IFERROR(__xludf.DUMMYFUNCTION("upper(Regexreplace(to_text(E1371),""[^A-Za-z0-9]"","""")&amp;""-""&amp;Regexreplace(to_text(F1371),""[^A-Za-z0-9]"",""""))"),"NEPTRONIC-EVCBSERIES")</f>
        <v>NEPTRONIC-EVCBSERIES</v>
      </c>
    </row>
    <row r="1372" ht="30.0" customHeight="1">
      <c r="A1372" s="258">
        <v>1364.0</v>
      </c>
      <c r="B1372" s="237" t="s">
        <v>670</v>
      </c>
      <c r="C1372" s="257" t="s">
        <v>5615</v>
      </c>
      <c r="D1372" s="173" t="s">
        <v>5615</v>
      </c>
      <c r="E1372" s="174" t="s">
        <v>2861</v>
      </c>
      <c r="F1372" s="173" t="s">
        <v>2862</v>
      </c>
      <c r="G1372" s="328" t="s">
        <v>673</v>
      </c>
      <c r="H1372" s="328" t="s">
        <v>2863</v>
      </c>
      <c r="I1372" s="258" t="s">
        <v>2864</v>
      </c>
      <c r="J1372" s="259" t="s">
        <v>1149</v>
      </c>
      <c r="K1372" s="260" t="s">
        <v>5616</v>
      </c>
      <c r="L1372" s="359"/>
      <c r="M1372" s="359"/>
      <c r="N1372" s="173" t="s">
        <v>679</v>
      </c>
      <c r="O1372" s="173" t="s">
        <v>225</v>
      </c>
      <c r="P1372" s="262" t="str">
        <f t="shared" si="1"/>
        <v>IN-BLR-ANANTA-VAV-944_6</v>
      </c>
      <c r="Q1372" s="173" t="s">
        <v>5617</v>
      </c>
      <c r="R1372" s="328" t="str">
        <f>IFS(C1372="","",C1372="n/a","N/A",LEN(C1372),Concatenate("{",char(34),"asset",char(34),":{",char(34),"guid",char(34),":",char(34),Q1372,char(34),",",char(34),"site",char(34),":",char(34),LOWER('2-Building'!$B$4),char(34),",",char(34),"name",char(34),":",char(34),LOWER(C1372),char(34),"}}"))</f>
        <v>{"asset":{"guid":"uuid://a30f9cdc-749d-4ea3-8487-55247f480073","site":"in-blr-ananta","name":"vav-944"}}</v>
      </c>
      <c r="S1372" s="360" t="s">
        <v>5516</v>
      </c>
      <c r="T1372" s="330"/>
      <c r="U1372" s="330"/>
      <c r="V1372" s="331"/>
      <c r="W1372" s="344"/>
      <c r="X1372" s="341"/>
      <c r="Y1372" s="33" t="s">
        <v>2867</v>
      </c>
      <c r="Z1372" s="258">
        <v>120944.0</v>
      </c>
      <c r="AA1372" s="334">
        <v>11618.0</v>
      </c>
      <c r="AB1372" s="341"/>
      <c r="AC1372" s="341"/>
      <c r="AD1372" s="343"/>
      <c r="AE1372" s="331"/>
      <c r="AF1372" s="348"/>
      <c r="AG1372" s="337"/>
      <c r="AH1372" s="341"/>
      <c r="AI1372" s="341"/>
      <c r="AJ1372" s="341"/>
      <c r="AK1372" s="341"/>
      <c r="AL1372" s="341"/>
      <c r="AM1372" s="338"/>
      <c r="AN1372" s="341"/>
      <c r="AO1372" s="341"/>
      <c r="AP1372" s="341"/>
      <c r="AQ1372" s="341"/>
      <c r="AR1372" s="341"/>
      <c r="AS1372" s="341"/>
      <c r="AT1372" s="341"/>
      <c r="AU1372" s="343"/>
      <c r="AV1372" s="341"/>
      <c r="AW1372" s="269" t="s">
        <v>2356</v>
      </c>
      <c r="AX1372" s="334" t="s">
        <v>2869</v>
      </c>
      <c r="AY1372" s="270" t="s">
        <v>695</v>
      </c>
      <c r="AZ1372" s="173" t="s">
        <v>5516</v>
      </c>
      <c r="BA1372" s="265">
        <v>10.0</v>
      </c>
      <c r="BB1372" s="174" t="s">
        <v>245</v>
      </c>
      <c r="BC1372" s="341"/>
      <c r="BD1372" s="308"/>
      <c r="BE1372" s="347"/>
      <c r="BF1372" s="274" t="str">
        <f>IFERROR(__xludf.DUMMYFUNCTION("LOWER(Regexreplace(to_text(E1372),""[^A-Za-z0-9]"","""")&amp;""_""&amp;Regexreplace(to_text(F1372),""[^A-Za-z0-9]"",""""))"),"neptronic_evcbseries")</f>
        <v>neptronic_evcbseries</v>
      </c>
      <c r="BG1372" s="275" t="str">
        <f>IFERROR(__xludf.DUMMYFUNCTION("upper(Regexreplace(to_text(E1372),""[^A-Za-z0-9]"","""")&amp;""-""&amp;Regexreplace(to_text(F1372),""[^A-Za-z0-9]"",""""))"),"NEPTRONIC-EVCBSERIES")</f>
        <v>NEPTRONIC-EVCBSERIES</v>
      </c>
    </row>
    <row r="1373" ht="30.0" customHeight="1">
      <c r="A1373" s="173">
        <v>1365.0</v>
      </c>
      <c r="B1373" s="237" t="s">
        <v>670</v>
      </c>
      <c r="C1373" s="257" t="s">
        <v>5618</v>
      </c>
      <c r="D1373" s="173" t="s">
        <v>5618</v>
      </c>
      <c r="E1373" s="174" t="s">
        <v>2861</v>
      </c>
      <c r="F1373" s="173" t="s">
        <v>2862</v>
      </c>
      <c r="G1373" s="328" t="s">
        <v>673</v>
      </c>
      <c r="H1373" s="328" t="s">
        <v>2863</v>
      </c>
      <c r="I1373" s="258" t="s">
        <v>2864</v>
      </c>
      <c r="J1373" s="259" t="s">
        <v>1149</v>
      </c>
      <c r="K1373" s="260" t="s">
        <v>5619</v>
      </c>
      <c r="L1373" s="359"/>
      <c r="M1373" s="359"/>
      <c r="N1373" s="173" t="s">
        <v>679</v>
      </c>
      <c r="O1373" s="173" t="s">
        <v>225</v>
      </c>
      <c r="P1373" s="262" t="str">
        <f t="shared" si="1"/>
        <v>IN-BLR-ANANTA-VAV-945_6</v>
      </c>
      <c r="Q1373" s="173" t="s">
        <v>5620</v>
      </c>
      <c r="R1373" s="328" t="str">
        <f>IFS(C1373="","",C1373="n/a","N/A",LEN(C1373),Concatenate("{",char(34),"asset",char(34),":{",char(34),"guid",char(34),":",char(34),Q1373,char(34),",",char(34),"site",char(34),":",char(34),LOWER('2-Building'!$B$4),char(34),",",char(34),"name",char(34),":",char(34),LOWER(C1373),char(34),"}}"))</f>
        <v>{"asset":{"guid":"uuid://c4182b56-657d-4855-8aec-0e1024120cfb","site":"in-blr-ananta","name":"vav-945"}}</v>
      </c>
      <c r="S1373" s="360" t="s">
        <v>5516</v>
      </c>
      <c r="T1373" s="330"/>
      <c r="U1373" s="330"/>
      <c r="V1373" s="331"/>
      <c r="W1373" s="344"/>
      <c r="X1373" s="341"/>
      <c r="Y1373" s="33" t="s">
        <v>2867</v>
      </c>
      <c r="Z1373" s="258">
        <v>120945.0</v>
      </c>
      <c r="AA1373" s="334">
        <v>11618.0</v>
      </c>
      <c r="AB1373" s="341"/>
      <c r="AC1373" s="341"/>
      <c r="AD1373" s="343"/>
      <c r="AE1373" s="331"/>
      <c r="AF1373" s="348"/>
      <c r="AG1373" s="337"/>
      <c r="AH1373" s="341"/>
      <c r="AI1373" s="341"/>
      <c r="AJ1373" s="341"/>
      <c r="AK1373" s="341"/>
      <c r="AL1373" s="341"/>
      <c r="AM1373" s="338"/>
      <c r="AN1373" s="341"/>
      <c r="AO1373" s="341"/>
      <c r="AP1373" s="341"/>
      <c r="AQ1373" s="341"/>
      <c r="AR1373" s="341"/>
      <c r="AS1373" s="341"/>
      <c r="AT1373" s="341"/>
      <c r="AU1373" s="343"/>
      <c r="AV1373" s="341"/>
      <c r="AW1373" s="269" t="s">
        <v>2356</v>
      </c>
      <c r="AX1373" s="334" t="s">
        <v>2869</v>
      </c>
      <c r="AY1373" s="270" t="s">
        <v>695</v>
      </c>
      <c r="AZ1373" s="173" t="s">
        <v>5516</v>
      </c>
      <c r="BA1373" s="265">
        <v>10.0</v>
      </c>
      <c r="BB1373" s="174" t="s">
        <v>245</v>
      </c>
      <c r="BC1373" s="341"/>
      <c r="BD1373" s="308"/>
      <c r="BE1373" s="347"/>
      <c r="BF1373" s="274" t="str">
        <f>IFERROR(__xludf.DUMMYFUNCTION("LOWER(Regexreplace(to_text(E1373),""[^A-Za-z0-9]"","""")&amp;""_""&amp;Regexreplace(to_text(F1373),""[^A-Za-z0-9]"",""""))"),"neptronic_evcbseries")</f>
        <v>neptronic_evcbseries</v>
      </c>
      <c r="BG1373" s="275" t="str">
        <f>IFERROR(__xludf.DUMMYFUNCTION("upper(Regexreplace(to_text(E1373),""[^A-Za-z0-9]"","""")&amp;""-""&amp;Regexreplace(to_text(F1373),""[^A-Za-z0-9]"",""""))"),"NEPTRONIC-EVCBSERIES")</f>
        <v>NEPTRONIC-EVCBSERIES</v>
      </c>
    </row>
    <row r="1374" ht="30.0" customHeight="1">
      <c r="A1374" s="258">
        <v>1366.0</v>
      </c>
      <c r="B1374" s="237" t="s">
        <v>670</v>
      </c>
      <c r="C1374" s="257" t="s">
        <v>5621</v>
      </c>
      <c r="D1374" s="173" t="s">
        <v>5621</v>
      </c>
      <c r="E1374" s="174" t="s">
        <v>2861</v>
      </c>
      <c r="F1374" s="173" t="s">
        <v>2862</v>
      </c>
      <c r="G1374" s="328" t="s">
        <v>673</v>
      </c>
      <c r="H1374" s="328" t="s">
        <v>2863</v>
      </c>
      <c r="I1374" s="258" t="s">
        <v>2864</v>
      </c>
      <c r="J1374" s="259" t="s">
        <v>1149</v>
      </c>
      <c r="K1374" s="260" t="s">
        <v>5622</v>
      </c>
      <c r="L1374" s="359"/>
      <c r="M1374" s="359"/>
      <c r="N1374" s="173" t="s">
        <v>679</v>
      </c>
      <c r="O1374" s="173" t="s">
        <v>225</v>
      </c>
      <c r="P1374" s="262" t="str">
        <f t="shared" si="1"/>
        <v>IN-BLR-ANANTA-VAV-946_6</v>
      </c>
      <c r="Q1374" s="173" t="s">
        <v>5623</v>
      </c>
      <c r="R1374" s="328" t="str">
        <f>IFS(C1374="","",C1374="n/a","N/A",LEN(C1374),Concatenate("{",char(34),"asset",char(34),":{",char(34),"guid",char(34),":",char(34),Q1374,char(34),",",char(34),"site",char(34),":",char(34),LOWER('2-Building'!$B$4),char(34),",",char(34),"name",char(34),":",char(34),LOWER(C1374),char(34),"}}"))</f>
        <v>{"asset":{"guid":"uuid://49c070f3-8951-4805-bcfe-6645e404b618","site":"in-blr-ananta","name":"vav-946"}}</v>
      </c>
      <c r="S1374" s="360" t="s">
        <v>5516</v>
      </c>
      <c r="T1374" s="330"/>
      <c r="U1374" s="330"/>
      <c r="V1374" s="331"/>
      <c r="W1374" s="344"/>
      <c r="X1374" s="341"/>
      <c r="Y1374" s="33" t="s">
        <v>2867</v>
      </c>
      <c r="Z1374" s="258">
        <v>120946.0</v>
      </c>
      <c r="AA1374" s="334">
        <v>11618.0</v>
      </c>
      <c r="AB1374" s="341"/>
      <c r="AC1374" s="341"/>
      <c r="AD1374" s="343"/>
      <c r="AE1374" s="331"/>
      <c r="AF1374" s="348"/>
      <c r="AG1374" s="337"/>
      <c r="AH1374" s="341"/>
      <c r="AI1374" s="341"/>
      <c r="AJ1374" s="341"/>
      <c r="AK1374" s="341"/>
      <c r="AL1374" s="341"/>
      <c r="AM1374" s="338"/>
      <c r="AN1374" s="341"/>
      <c r="AO1374" s="341"/>
      <c r="AP1374" s="341"/>
      <c r="AQ1374" s="341"/>
      <c r="AR1374" s="341"/>
      <c r="AS1374" s="341"/>
      <c r="AT1374" s="341"/>
      <c r="AU1374" s="343"/>
      <c r="AV1374" s="341"/>
      <c r="AW1374" s="269" t="s">
        <v>2356</v>
      </c>
      <c r="AX1374" s="334" t="s">
        <v>2869</v>
      </c>
      <c r="AY1374" s="270" t="s">
        <v>695</v>
      </c>
      <c r="AZ1374" s="173" t="s">
        <v>5516</v>
      </c>
      <c r="BA1374" s="265">
        <v>10.0</v>
      </c>
      <c r="BB1374" s="174" t="s">
        <v>245</v>
      </c>
      <c r="BC1374" s="341"/>
      <c r="BD1374" s="308"/>
      <c r="BE1374" s="347"/>
      <c r="BF1374" s="274" t="str">
        <f>IFERROR(__xludf.DUMMYFUNCTION("LOWER(Regexreplace(to_text(E1374),""[^A-Za-z0-9]"","""")&amp;""_""&amp;Regexreplace(to_text(F1374),""[^A-Za-z0-9]"",""""))"),"neptronic_evcbseries")</f>
        <v>neptronic_evcbseries</v>
      </c>
      <c r="BG1374" s="275" t="str">
        <f>IFERROR(__xludf.DUMMYFUNCTION("upper(Regexreplace(to_text(E1374),""[^A-Za-z0-9]"","""")&amp;""-""&amp;Regexreplace(to_text(F1374),""[^A-Za-z0-9]"",""""))"),"NEPTRONIC-EVCBSERIES")</f>
        <v>NEPTRONIC-EVCBSERIES</v>
      </c>
    </row>
    <row r="1375" ht="30.0" customHeight="1">
      <c r="A1375" s="173">
        <v>1367.0</v>
      </c>
      <c r="B1375" s="237" t="s">
        <v>670</v>
      </c>
      <c r="C1375" s="257" t="s">
        <v>5624</v>
      </c>
      <c r="D1375" s="173" t="s">
        <v>5624</v>
      </c>
      <c r="E1375" s="174" t="s">
        <v>2861</v>
      </c>
      <c r="F1375" s="173" t="s">
        <v>2862</v>
      </c>
      <c r="G1375" s="328" t="s">
        <v>673</v>
      </c>
      <c r="H1375" s="328" t="s">
        <v>2863</v>
      </c>
      <c r="I1375" s="258" t="s">
        <v>2864</v>
      </c>
      <c r="J1375" s="259" t="s">
        <v>1149</v>
      </c>
      <c r="K1375" s="260" t="s">
        <v>5625</v>
      </c>
      <c r="L1375" s="359"/>
      <c r="M1375" s="359"/>
      <c r="N1375" s="173" t="s">
        <v>679</v>
      </c>
      <c r="O1375" s="173" t="s">
        <v>225</v>
      </c>
      <c r="P1375" s="262" t="str">
        <f t="shared" si="1"/>
        <v>IN-BLR-ANANTA-VAV-947_6</v>
      </c>
      <c r="Q1375" s="173" t="s">
        <v>5626</v>
      </c>
      <c r="R1375" s="328" t="str">
        <f>IFS(C1375="","",C1375="n/a","N/A",LEN(C1375),Concatenate("{",char(34),"asset",char(34),":{",char(34),"guid",char(34),":",char(34),Q1375,char(34),",",char(34),"site",char(34),":",char(34),LOWER('2-Building'!$B$4),char(34),",",char(34),"name",char(34),":",char(34),LOWER(C1375),char(34),"}}"))</f>
        <v>{"asset":{"guid":"uuid://f4acd108-c19e-4ea4-9879-b24fc0f3b90f","site":"in-blr-ananta","name":"vav-947"}}</v>
      </c>
      <c r="S1375" s="360" t="s">
        <v>5516</v>
      </c>
      <c r="T1375" s="330"/>
      <c r="U1375" s="330"/>
      <c r="V1375" s="331"/>
      <c r="W1375" s="344"/>
      <c r="X1375" s="341"/>
      <c r="Y1375" s="33" t="s">
        <v>2867</v>
      </c>
      <c r="Z1375" s="258">
        <v>120947.0</v>
      </c>
      <c r="AA1375" s="334">
        <v>11616.0</v>
      </c>
      <c r="AB1375" s="341"/>
      <c r="AC1375" s="341"/>
      <c r="AD1375" s="343"/>
      <c r="AE1375" s="331"/>
      <c r="AF1375" s="348"/>
      <c r="AG1375" s="337"/>
      <c r="AH1375" s="341"/>
      <c r="AI1375" s="341"/>
      <c r="AJ1375" s="341"/>
      <c r="AK1375" s="341"/>
      <c r="AL1375" s="341"/>
      <c r="AM1375" s="338"/>
      <c r="AN1375" s="341"/>
      <c r="AO1375" s="341"/>
      <c r="AP1375" s="341"/>
      <c r="AQ1375" s="341"/>
      <c r="AR1375" s="341"/>
      <c r="AS1375" s="341"/>
      <c r="AT1375" s="341"/>
      <c r="AU1375" s="343"/>
      <c r="AV1375" s="341"/>
      <c r="AW1375" s="269" t="s">
        <v>2346</v>
      </c>
      <c r="AX1375" s="334" t="s">
        <v>2869</v>
      </c>
      <c r="AY1375" s="270" t="s">
        <v>695</v>
      </c>
      <c r="AZ1375" s="173" t="s">
        <v>5516</v>
      </c>
      <c r="BA1375" s="265">
        <v>10.0</v>
      </c>
      <c r="BB1375" s="174" t="s">
        <v>245</v>
      </c>
      <c r="BC1375" s="341"/>
      <c r="BD1375" s="308"/>
      <c r="BE1375" s="347"/>
      <c r="BF1375" s="274" t="str">
        <f>IFERROR(__xludf.DUMMYFUNCTION("LOWER(Regexreplace(to_text(E1375),""[^A-Za-z0-9]"","""")&amp;""_""&amp;Regexreplace(to_text(F1375),""[^A-Za-z0-9]"",""""))"),"neptronic_evcbseries")</f>
        <v>neptronic_evcbseries</v>
      </c>
      <c r="BG1375" s="275" t="str">
        <f>IFERROR(__xludf.DUMMYFUNCTION("upper(Regexreplace(to_text(E1375),""[^A-Za-z0-9]"","""")&amp;""-""&amp;Regexreplace(to_text(F1375),""[^A-Za-z0-9]"",""""))"),"NEPTRONIC-EVCBSERIES")</f>
        <v>NEPTRONIC-EVCBSERIES</v>
      </c>
    </row>
    <row r="1376" ht="30.0" customHeight="1">
      <c r="A1376" s="258">
        <v>1368.0</v>
      </c>
      <c r="B1376" s="237" t="s">
        <v>670</v>
      </c>
      <c r="C1376" s="257" t="s">
        <v>5627</v>
      </c>
      <c r="D1376" s="173" t="s">
        <v>5627</v>
      </c>
      <c r="E1376" s="174" t="s">
        <v>2861</v>
      </c>
      <c r="F1376" s="173" t="s">
        <v>2862</v>
      </c>
      <c r="G1376" s="328" t="s">
        <v>673</v>
      </c>
      <c r="H1376" s="328" t="s">
        <v>2863</v>
      </c>
      <c r="I1376" s="258" t="s">
        <v>2864</v>
      </c>
      <c r="J1376" s="259" t="s">
        <v>1149</v>
      </c>
      <c r="K1376" s="260" t="s">
        <v>5628</v>
      </c>
      <c r="L1376" s="359"/>
      <c r="M1376" s="359"/>
      <c r="N1376" s="173" t="s">
        <v>679</v>
      </c>
      <c r="O1376" s="173" t="s">
        <v>225</v>
      </c>
      <c r="P1376" s="262" t="str">
        <f t="shared" si="1"/>
        <v>IN-BLR-ANANTA-VAV-948_6</v>
      </c>
      <c r="Q1376" s="173" t="s">
        <v>5629</v>
      </c>
      <c r="R1376" s="328" t="str">
        <f>IFS(C1376="","",C1376="n/a","N/A",LEN(C1376),Concatenate("{",char(34),"asset",char(34),":{",char(34),"guid",char(34),":",char(34),Q1376,char(34),",",char(34),"site",char(34),":",char(34),LOWER('2-Building'!$B$4),char(34),",",char(34),"name",char(34),":",char(34),LOWER(C1376),char(34),"}}"))</f>
        <v>{"asset":{"guid":"uuid://0645bd8a-7797-4558-b8f4-6859fce7d738","site":"in-blr-ananta","name":"vav-948"}}</v>
      </c>
      <c r="S1376" s="360" t="s">
        <v>5516</v>
      </c>
      <c r="T1376" s="330"/>
      <c r="U1376" s="330"/>
      <c r="V1376" s="331"/>
      <c r="W1376" s="344"/>
      <c r="X1376" s="341"/>
      <c r="Y1376" s="33" t="s">
        <v>2867</v>
      </c>
      <c r="Z1376" s="258">
        <v>120948.0</v>
      </c>
      <c r="AA1376" s="334">
        <v>11616.0</v>
      </c>
      <c r="AB1376" s="341"/>
      <c r="AC1376" s="341"/>
      <c r="AD1376" s="343"/>
      <c r="AE1376" s="331"/>
      <c r="AF1376" s="348"/>
      <c r="AG1376" s="337"/>
      <c r="AH1376" s="341"/>
      <c r="AI1376" s="341"/>
      <c r="AJ1376" s="341"/>
      <c r="AK1376" s="341"/>
      <c r="AL1376" s="341"/>
      <c r="AM1376" s="338"/>
      <c r="AN1376" s="341"/>
      <c r="AO1376" s="341"/>
      <c r="AP1376" s="341"/>
      <c r="AQ1376" s="341"/>
      <c r="AR1376" s="341"/>
      <c r="AS1376" s="341"/>
      <c r="AT1376" s="341"/>
      <c r="AU1376" s="343"/>
      <c r="AV1376" s="341"/>
      <c r="AW1376" s="269" t="s">
        <v>2346</v>
      </c>
      <c r="AX1376" s="334" t="s">
        <v>2869</v>
      </c>
      <c r="AY1376" s="270" t="s">
        <v>695</v>
      </c>
      <c r="AZ1376" s="173" t="s">
        <v>5516</v>
      </c>
      <c r="BA1376" s="265">
        <v>10.0</v>
      </c>
      <c r="BB1376" s="174" t="s">
        <v>245</v>
      </c>
      <c r="BC1376" s="341"/>
      <c r="BD1376" s="308"/>
      <c r="BE1376" s="347"/>
      <c r="BF1376" s="274" t="str">
        <f>IFERROR(__xludf.DUMMYFUNCTION("LOWER(Regexreplace(to_text(E1376),""[^A-Za-z0-9]"","""")&amp;""_""&amp;Regexreplace(to_text(F1376),""[^A-Za-z0-9]"",""""))"),"neptronic_evcbseries")</f>
        <v>neptronic_evcbseries</v>
      </c>
      <c r="BG1376" s="275" t="str">
        <f>IFERROR(__xludf.DUMMYFUNCTION("upper(Regexreplace(to_text(E1376),""[^A-Za-z0-9]"","""")&amp;""-""&amp;Regexreplace(to_text(F1376),""[^A-Za-z0-9]"",""""))"),"NEPTRONIC-EVCBSERIES")</f>
        <v>NEPTRONIC-EVCBSERIES</v>
      </c>
    </row>
    <row r="1377" ht="30.0" customHeight="1">
      <c r="A1377" s="173">
        <v>1369.0</v>
      </c>
      <c r="B1377" s="237" t="s">
        <v>670</v>
      </c>
      <c r="C1377" s="257" t="s">
        <v>5630</v>
      </c>
      <c r="D1377" s="173" t="s">
        <v>5630</v>
      </c>
      <c r="E1377" s="174" t="s">
        <v>2861</v>
      </c>
      <c r="F1377" s="173" t="s">
        <v>2862</v>
      </c>
      <c r="G1377" s="328" t="s">
        <v>673</v>
      </c>
      <c r="H1377" s="328" t="s">
        <v>2863</v>
      </c>
      <c r="I1377" s="258" t="s">
        <v>2864</v>
      </c>
      <c r="J1377" s="259" t="s">
        <v>1149</v>
      </c>
      <c r="K1377" s="260" t="s">
        <v>5631</v>
      </c>
      <c r="L1377" s="359"/>
      <c r="M1377" s="359"/>
      <c r="N1377" s="173" t="s">
        <v>679</v>
      </c>
      <c r="O1377" s="173" t="s">
        <v>225</v>
      </c>
      <c r="P1377" s="262" t="str">
        <f t="shared" si="1"/>
        <v>IN-BLR-ANANTA-VAV-949_6</v>
      </c>
      <c r="Q1377" s="173" t="s">
        <v>5632</v>
      </c>
      <c r="R1377" s="328" t="str">
        <f>IFS(C1377="","",C1377="n/a","N/A",LEN(C1377),Concatenate("{",char(34),"asset",char(34),":{",char(34),"guid",char(34),":",char(34),Q1377,char(34),",",char(34),"site",char(34),":",char(34),LOWER('2-Building'!$B$4),char(34),",",char(34),"name",char(34),":",char(34),LOWER(C1377),char(34),"}}"))</f>
        <v>{"asset":{"guid":"uuid://85b1cd5b-ae51-45ea-81cf-00c9cce421bd","site":"in-blr-ananta","name":"vav-949"}}</v>
      </c>
      <c r="S1377" s="360" t="s">
        <v>5516</v>
      </c>
      <c r="T1377" s="330"/>
      <c r="U1377" s="330"/>
      <c r="V1377" s="331"/>
      <c r="W1377" s="344"/>
      <c r="X1377" s="341"/>
      <c r="Y1377" s="33" t="s">
        <v>2867</v>
      </c>
      <c r="Z1377" s="258">
        <v>120949.0</v>
      </c>
      <c r="AA1377" s="334">
        <v>11616.0</v>
      </c>
      <c r="AB1377" s="341"/>
      <c r="AC1377" s="341"/>
      <c r="AD1377" s="343"/>
      <c r="AE1377" s="331"/>
      <c r="AF1377" s="348"/>
      <c r="AG1377" s="337"/>
      <c r="AH1377" s="341"/>
      <c r="AI1377" s="341"/>
      <c r="AJ1377" s="341"/>
      <c r="AK1377" s="341"/>
      <c r="AL1377" s="341"/>
      <c r="AM1377" s="338"/>
      <c r="AN1377" s="341"/>
      <c r="AO1377" s="341"/>
      <c r="AP1377" s="341"/>
      <c r="AQ1377" s="341"/>
      <c r="AR1377" s="341"/>
      <c r="AS1377" s="341"/>
      <c r="AT1377" s="341"/>
      <c r="AU1377" s="343"/>
      <c r="AV1377" s="341"/>
      <c r="AW1377" s="269" t="s">
        <v>2346</v>
      </c>
      <c r="AX1377" s="334" t="s">
        <v>2869</v>
      </c>
      <c r="AY1377" s="270" t="s">
        <v>695</v>
      </c>
      <c r="AZ1377" s="173" t="s">
        <v>5516</v>
      </c>
      <c r="BA1377" s="265">
        <v>10.0</v>
      </c>
      <c r="BB1377" s="174" t="s">
        <v>245</v>
      </c>
      <c r="BC1377" s="341"/>
      <c r="BD1377" s="308"/>
      <c r="BE1377" s="347"/>
      <c r="BF1377" s="274" t="str">
        <f>IFERROR(__xludf.DUMMYFUNCTION("LOWER(Regexreplace(to_text(E1377),""[^A-Za-z0-9]"","""")&amp;""_""&amp;Regexreplace(to_text(F1377),""[^A-Za-z0-9]"",""""))"),"neptronic_evcbseries")</f>
        <v>neptronic_evcbseries</v>
      </c>
      <c r="BG1377" s="275" t="str">
        <f>IFERROR(__xludf.DUMMYFUNCTION("upper(Regexreplace(to_text(E1377),""[^A-Za-z0-9]"","""")&amp;""-""&amp;Regexreplace(to_text(F1377),""[^A-Za-z0-9]"",""""))"),"NEPTRONIC-EVCBSERIES")</f>
        <v>NEPTRONIC-EVCBSERIES</v>
      </c>
    </row>
    <row r="1378" ht="30.0" customHeight="1">
      <c r="A1378" s="258">
        <v>1370.0</v>
      </c>
      <c r="B1378" s="237" t="s">
        <v>670</v>
      </c>
      <c r="C1378" s="257" t="s">
        <v>5633</v>
      </c>
      <c r="D1378" s="173" t="s">
        <v>5633</v>
      </c>
      <c r="E1378" s="174" t="s">
        <v>2861</v>
      </c>
      <c r="F1378" s="173" t="s">
        <v>2862</v>
      </c>
      <c r="G1378" s="328" t="s">
        <v>673</v>
      </c>
      <c r="H1378" s="328" t="s">
        <v>2863</v>
      </c>
      <c r="I1378" s="258" t="s">
        <v>2864</v>
      </c>
      <c r="J1378" s="259" t="s">
        <v>1149</v>
      </c>
      <c r="K1378" s="260" t="s">
        <v>5634</v>
      </c>
      <c r="L1378" s="359"/>
      <c r="M1378" s="359"/>
      <c r="N1378" s="173" t="s">
        <v>679</v>
      </c>
      <c r="O1378" s="173" t="s">
        <v>225</v>
      </c>
      <c r="P1378" s="262" t="str">
        <f t="shared" si="1"/>
        <v>IN-BLR-ANANTA-VAV-950_6</v>
      </c>
      <c r="Q1378" s="173" t="s">
        <v>5635</v>
      </c>
      <c r="R1378" s="328" t="str">
        <f>IFS(C1378="","",C1378="n/a","N/A",LEN(C1378),Concatenate("{",char(34),"asset",char(34),":{",char(34),"guid",char(34),":",char(34),Q1378,char(34),",",char(34),"site",char(34),":",char(34),LOWER('2-Building'!$B$4),char(34),",",char(34),"name",char(34),":",char(34),LOWER(C1378),char(34),"}}"))</f>
        <v>{"asset":{"guid":"uuid://b68e6010-8b54-4375-b7e7-e8207e213165","site":"in-blr-ananta","name":"vav-950"}}</v>
      </c>
      <c r="S1378" s="360" t="s">
        <v>5516</v>
      </c>
      <c r="T1378" s="330"/>
      <c r="U1378" s="330"/>
      <c r="V1378" s="331"/>
      <c r="W1378" s="344"/>
      <c r="X1378" s="341"/>
      <c r="Y1378" s="33" t="s">
        <v>2867</v>
      </c>
      <c r="Z1378" s="258">
        <v>120950.0</v>
      </c>
      <c r="AA1378" s="334">
        <v>11616.0</v>
      </c>
      <c r="AB1378" s="341"/>
      <c r="AC1378" s="341"/>
      <c r="AD1378" s="343"/>
      <c r="AE1378" s="331"/>
      <c r="AF1378" s="348"/>
      <c r="AG1378" s="337"/>
      <c r="AH1378" s="341"/>
      <c r="AI1378" s="341"/>
      <c r="AJ1378" s="341"/>
      <c r="AK1378" s="341"/>
      <c r="AL1378" s="341"/>
      <c r="AM1378" s="338"/>
      <c r="AN1378" s="341"/>
      <c r="AO1378" s="341"/>
      <c r="AP1378" s="341"/>
      <c r="AQ1378" s="341"/>
      <c r="AR1378" s="341"/>
      <c r="AS1378" s="341"/>
      <c r="AT1378" s="341"/>
      <c r="AU1378" s="343"/>
      <c r="AV1378" s="341"/>
      <c r="AW1378" s="269" t="s">
        <v>2346</v>
      </c>
      <c r="AX1378" s="334" t="s">
        <v>2869</v>
      </c>
      <c r="AY1378" s="270" t="s">
        <v>695</v>
      </c>
      <c r="AZ1378" s="173" t="s">
        <v>5516</v>
      </c>
      <c r="BA1378" s="265">
        <v>10.0</v>
      </c>
      <c r="BB1378" s="174" t="s">
        <v>245</v>
      </c>
      <c r="BC1378" s="341"/>
      <c r="BD1378" s="308"/>
      <c r="BE1378" s="347"/>
      <c r="BF1378" s="274" t="str">
        <f>IFERROR(__xludf.DUMMYFUNCTION("LOWER(Regexreplace(to_text(E1378),""[^A-Za-z0-9]"","""")&amp;""_""&amp;Regexreplace(to_text(F1378),""[^A-Za-z0-9]"",""""))"),"neptronic_evcbseries")</f>
        <v>neptronic_evcbseries</v>
      </c>
      <c r="BG1378" s="275" t="str">
        <f>IFERROR(__xludf.DUMMYFUNCTION("upper(Regexreplace(to_text(E1378),""[^A-Za-z0-9]"","""")&amp;""-""&amp;Regexreplace(to_text(F1378),""[^A-Za-z0-9]"",""""))"),"NEPTRONIC-EVCBSERIES")</f>
        <v>NEPTRONIC-EVCBSERIES</v>
      </c>
    </row>
    <row r="1379" ht="30.0" customHeight="1">
      <c r="A1379" s="173">
        <v>1371.0</v>
      </c>
      <c r="B1379" s="237" t="s">
        <v>670</v>
      </c>
      <c r="C1379" s="257" t="s">
        <v>5636</v>
      </c>
      <c r="D1379" s="173" t="s">
        <v>5636</v>
      </c>
      <c r="E1379" s="174" t="s">
        <v>2861</v>
      </c>
      <c r="F1379" s="173" t="s">
        <v>2862</v>
      </c>
      <c r="G1379" s="328" t="s">
        <v>673</v>
      </c>
      <c r="H1379" s="328" t="s">
        <v>2863</v>
      </c>
      <c r="I1379" s="258" t="s">
        <v>2864</v>
      </c>
      <c r="J1379" s="259" t="s">
        <v>1149</v>
      </c>
      <c r="K1379" s="260" t="s">
        <v>5637</v>
      </c>
      <c r="L1379" s="359"/>
      <c r="M1379" s="359"/>
      <c r="N1379" s="173" t="s">
        <v>679</v>
      </c>
      <c r="O1379" s="173" t="s">
        <v>225</v>
      </c>
      <c r="P1379" s="262" t="str">
        <f t="shared" si="1"/>
        <v>IN-BLR-ANANTA-VAV-951_6</v>
      </c>
      <c r="Q1379" s="173" t="s">
        <v>5638</v>
      </c>
      <c r="R1379" s="328" t="str">
        <f>IFS(C1379="","",C1379="n/a","N/A",LEN(C1379),Concatenate("{",char(34),"asset",char(34),":{",char(34),"guid",char(34),":",char(34),Q1379,char(34),",",char(34),"site",char(34),":",char(34),LOWER('2-Building'!$B$4),char(34),",",char(34),"name",char(34),":",char(34),LOWER(C1379),char(34),"}}"))</f>
        <v>{"asset":{"guid":"uuid://ec40d58a-779d-4f45-a0e5-c4b20ddaa0d8","site":"in-blr-ananta","name":"vav-951"}}</v>
      </c>
      <c r="S1379" s="360" t="s">
        <v>5516</v>
      </c>
      <c r="T1379" s="330"/>
      <c r="U1379" s="330"/>
      <c r="V1379" s="331"/>
      <c r="W1379" s="344"/>
      <c r="X1379" s="341"/>
      <c r="Y1379" s="33" t="s">
        <v>2867</v>
      </c>
      <c r="Z1379" s="258">
        <v>120951.0</v>
      </c>
      <c r="AA1379" s="334">
        <v>11616.0</v>
      </c>
      <c r="AB1379" s="341"/>
      <c r="AC1379" s="341"/>
      <c r="AD1379" s="343"/>
      <c r="AE1379" s="331"/>
      <c r="AF1379" s="348"/>
      <c r="AG1379" s="337"/>
      <c r="AH1379" s="341"/>
      <c r="AI1379" s="341"/>
      <c r="AJ1379" s="341"/>
      <c r="AK1379" s="341"/>
      <c r="AL1379" s="341"/>
      <c r="AM1379" s="338"/>
      <c r="AN1379" s="341"/>
      <c r="AO1379" s="341"/>
      <c r="AP1379" s="341"/>
      <c r="AQ1379" s="341"/>
      <c r="AR1379" s="341"/>
      <c r="AS1379" s="341"/>
      <c r="AT1379" s="341"/>
      <c r="AU1379" s="343"/>
      <c r="AV1379" s="341"/>
      <c r="AW1379" s="269" t="s">
        <v>2346</v>
      </c>
      <c r="AX1379" s="334" t="s">
        <v>2869</v>
      </c>
      <c r="AY1379" s="270" t="s">
        <v>695</v>
      </c>
      <c r="AZ1379" s="173" t="s">
        <v>5516</v>
      </c>
      <c r="BA1379" s="265">
        <v>10.0</v>
      </c>
      <c r="BB1379" s="174" t="s">
        <v>245</v>
      </c>
      <c r="BC1379" s="341"/>
      <c r="BD1379" s="308"/>
      <c r="BE1379" s="347"/>
      <c r="BF1379" s="274" t="str">
        <f>IFERROR(__xludf.DUMMYFUNCTION("LOWER(Regexreplace(to_text(E1379),""[^A-Za-z0-9]"","""")&amp;""_""&amp;Regexreplace(to_text(F1379),""[^A-Za-z0-9]"",""""))"),"neptronic_evcbseries")</f>
        <v>neptronic_evcbseries</v>
      </c>
      <c r="BG1379" s="275" t="str">
        <f>IFERROR(__xludf.DUMMYFUNCTION("upper(Regexreplace(to_text(E1379),""[^A-Za-z0-9]"","""")&amp;""-""&amp;Regexreplace(to_text(F1379),""[^A-Za-z0-9]"",""""))"),"NEPTRONIC-EVCBSERIES")</f>
        <v>NEPTRONIC-EVCBSERIES</v>
      </c>
    </row>
    <row r="1380" ht="30.0" customHeight="1">
      <c r="A1380" s="258">
        <v>1372.0</v>
      </c>
      <c r="B1380" s="237" t="s">
        <v>670</v>
      </c>
      <c r="C1380" s="257" t="s">
        <v>5639</v>
      </c>
      <c r="D1380" s="173" t="s">
        <v>5639</v>
      </c>
      <c r="E1380" s="174" t="s">
        <v>2861</v>
      </c>
      <c r="F1380" s="173" t="s">
        <v>2862</v>
      </c>
      <c r="G1380" s="328" t="s">
        <v>673</v>
      </c>
      <c r="H1380" s="328" t="s">
        <v>2863</v>
      </c>
      <c r="I1380" s="258" t="s">
        <v>2864</v>
      </c>
      <c r="J1380" s="259" t="s">
        <v>1149</v>
      </c>
      <c r="K1380" s="260" t="s">
        <v>5640</v>
      </c>
      <c r="L1380" s="359"/>
      <c r="M1380" s="359"/>
      <c r="N1380" s="173" t="s">
        <v>679</v>
      </c>
      <c r="O1380" s="173" t="s">
        <v>225</v>
      </c>
      <c r="P1380" s="262" t="str">
        <f t="shared" si="1"/>
        <v>IN-BLR-ANANTA-VAV-952_6</v>
      </c>
      <c r="Q1380" s="173" t="s">
        <v>5641</v>
      </c>
      <c r="R1380" s="328" t="str">
        <f>IFS(C1380="","",C1380="n/a","N/A",LEN(C1380),Concatenate("{",char(34),"asset",char(34),":{",char(34),"guid",char(34),":",char(34),Q1380,char(34),",",char(34),"site",char(34),":",char(34),LOWER('2-Building'!$B$4),char(34),",",char(34),"name",char(34),":",char(34),LOWER(C1380),char(34),"}}"))</f>
        <v>{"asset":{"guid":"uuid://a1fe2f5f-7555-441e-b201-b749e49c6733","site":"in-blr-ananta","name":"vav-952"}}</v>
      </c>
      <c r="S1380" s="360" t="s">
        <v>5516</v>
      </c>
      <c r="T1380" s="330"/>
      <c r="U1380" s="330"/>
      <c r="V1380" s="331"/>
      <c r="W1380" s="344"/>
      <c r="X1380" s="341"/>
      <c r="Y1380" s="33" t="s">
        <v>2867</v>
      </c>
      <c r="Z1380" s="258">
        <v>120952.0</v>
      </c>
      <c r="AA1380" s="334">
        <v>11616.0</v>
      </c>
      <c r="AB1380" s="341"/>
      <c r="AC1380" s="341"/>
      <c r="AD1380" s="343"/>
      <c r="AE1380" s="331"/>
      <c r="AF1380" s="348"/>
      <c r="AG1380" s="337"/>
      <c r="AH1380" s="341"/>
      <c r="AI1380" s="341"/>
      <c r="AJ1380" s="341"/>
      <c r="AK1380" s="341"/>
      <c r="AL1380" s="341"/>
      <c r="AM1380" s="338"/>
      <c r="AN1380" s="341"/>
      <c r="AO1380" s="341"/>
      <c r="AP1380" s="341"/>
      <c r="AQ1380" s="341"/>
      <c r="AR1380" s="341"/>
      <c r="AS1380" s="341"/>
      <c r="AT1380" s="341"/>
      <c r="AU1380" s="343"/>
      <c r="AV1380" s="341"/>
      <c r="AW1380" s="269" t="s">
        <v>2346</v>
      </c>
      <c r="AX1380" s="334" t="s">
        <v>2869</v>
      </c>
      <c r="AY1380" s="270" t="s">
        <v>695</v>
      </c>
      <c r="AZ1380" s="173" t="s">
        <v>5516</v>
      </c>
      <c r="BA1380" s="265">
        <v>10.0</v>
      </c>
      <c r="BB1380" s="174" t="s">
        <v>245</v>
      </c>
      <c r="BC1380" s="341"/>
      <c r="BD1380" s="308"/>
      <c r="BE1380" s="347"/>
      <c r="BF1380" s="274" t="str">
        <f>IFERROR(__xludf.DUMMYFUNCTION("LOWER(Regexreplace(to_text(E1380),""[^A-Za-z0-9]"","""")&amp;""_""&amp;Regexreplace(to_text(F1380),""[^A-Za-z0-9]"",""""))"),"neptronic_evcbseries")</f>
        <v>neptronic_evcbseries</v>
      </c>
      <c r="BG1380" s="275" t="str">
        <f>IFERROR(__xludf.DUMMYFUNCTION("upper(Regexreplace(to_text(E1380),""[^A-Za-z0-9]"","""")&amp;""-""&amp;Regexreplace(to_text(F1380),""[^A-Za-z0-9]"",""""))"),"NEPTRONIC-EVCBSERIES")</f>
        <v>NEPTRONIC-EVCBSERIES</v>
      </c>
    </row>
    <row r="1381" ht="30.0" customHeight="1">
      <c r="A1381" s="173">
        <v>1373.0</v>
      </c>
      <c r="B1381" s="237" t="s">
        <v>670</v>
      </c>
      <c r="C1381" s="257" t="s">
        <v>5642</v>
      </c>
      <c r="D1381" s="173" t="s">
        <v>5642</v>
      </c>
      <c r="E1381" s="174" t="s">
        <v>2861</v>
      </c>
      <c r="F1381" s="173" t="s">
        <v>2862</v>
      </c>
      <c r="G1381" s="328" t="s">
        <v>673</v>
      </c>
      <c r="H1381" s="328" t="s">
        <v>2863</v>
      </c>
      <c r="I1381" s="258" t="s">
        <v>2864</v>
      </c>
      <c r="J1381" s="259" t="s">
        <v>1149</v>
      </c>
      <c r="K1381" s="260" t="s">
        <v>5643</v>
      </c>
      <c r="L1381" s="359"/>
      <c r="M1381" s="359"/>
      <c r="N1381" s="173" t="s">
        <v>679</v>
      </c>
      <c r="O1381" s="173" t="s">
        <v>225</v>
      </c>
      <c r="P1381" s="262" t="str">
        <f t="shared" si="1"/>
        <v>IN-BLR-ANANTA-VAV-953_6</v>
      </c>
      <c r="Q1381" s="173" t="s">
        <v>5644</v>
      </c>
      <c r="R1381" s="328" t="str">
        <f>IFS(C1381="","",C1381="n/a","N/A",LEN(C1381),Concatenate("{",char(34),"asset",char(34),":{",char(34),"guid",char(34),":",char(34),Q1381,char(34),",",char(34),"site",char(34),":",char(34),LOWER('2-Building'!$B$4),char(34),",",char(34),"name",char(34),":",char(34),LOWER(C1381),char(34),"}}"))</f>
        <v>{"asset":{"guid":"uuid://0c9f565e-f822-417c-9637-e150c442f330","site":"in-blr-ananta","name":"vav-953"}}</v>
      </c>
      <c r="S1381" s="360" t="s">
        <v>5516</v>
      </c>
      <c r="T1381" s="330"/>
      <c r="U1381" s="330"/>
      <c r="V1381" s="331"/>
      <c r="W1381" s="344"/>
      <c r="X1381" s="341"/>
      <c r="Y1381" s="33" t="s">
        <v>2867</v>
      </c>
      <c r="Z1381" s="258">
        <v>120953.0</v>
      </c>
      <c r="AA1381" s="334">
        <v>11616.0</v>
      </c>
      <c r="AB1381" s="341"/>
      <c r="AC1381" s="341"/>
      <c r="AD1381" s="343"/>
      <c r="AE1381" s="331"/>
      <c r="AF1381" s="348"/>
      <c r="AG1381" s="337"/>
      <c r="AH1381" s="341"/>
      <c r="AI1381" s="341"/>
      <c r="AJ1381" s="341"/>
      <c r="AK1381" s="341"/>
      <c r="AL1381" s="341"/>
      <c r="AM1381" s="338"/>
      <c r="AN1381" s="341"/>
      <c r="AO1381" s="341"/>
      <c r="AP1381" s="341"/>
      <c r="AQ1381" s="341"/>
      <c r="AR1381" s="341"/>
      <c r="AS1381" s="341"/>
      <c r="AT1381" s="341"/>
      <c r="AU1381" s="343"/>
      <c r="AV1381" s="341"/>
      <c r="AW1381" s="269" t="s">
        <v>2346</v>
      </c>
      <c r="AX1381" s="334" t="s">
        <v>2869</v>
      </c>
      <c r="AY1381" s="270" t="s">
        <v>695</v>
      </c>
      <c r="AZ1381" s="173" t="s">
        <v>5516</v>
      </c>
      <c r="BA1381" s="265">
        <v>10.0</v>
      </c>
      <c r="BB1381" s="174" t="s">
        <v>245</v>
      </c>
      <c r="BC1381" s="341"/>
      <c r="BD1381" s="308"/>
      <c r="BE1381" s="347"/>
      <c r="BF1381" s="274" t="str">
        <f>IFERROR(__xludf.DUMMYFUNCTION("LOWER(Regexreplace(to_text(E1381),""[^A-Za-z0-9]"","""")&amp;""_""&amp;Regexreplace(to_text(F1381),""[^A-Za-z0-9]"",""""))"),"neptronic_evcbseries")</f>
        <v>neptronic_evcbseries</v>
      </c>
      <c r="BG1381" s="275" t="str">
        <f>IFERROR(__xludf.DUMMYFUNCTION("upper(Regexreplace(to_text(E1381),""[^A-Za-z0-9]"","""")&amp;""-""&amp;Regexreplace(to_text(F1381),""[^A-Za-z0-9]"",""""))"),"NEPTRONIC-EVCBSERIES")</f>
        <v>NEPTRONIC-EVCBSERIES</v>
      </c>
    </row>
    <row r="1382" ht="30.0" customHeight="1">
      <c r="A1382" s="258">
        <v>1374.0</v>
      </c>
      <c r="B1382" s="237" t="s">
        <v>670</v>
      </c>
      <c r="C1382" s="257" t="s">
        <v>5645</v>
      </c>
      <c r="D1382" s="173" t="s">
        <v>5645</v>
      </c>
      <c r="E1382" s="174" t="s">
        <v>2861</v>
      </c>
      <c r="F1382" s="173" t="s">
        <v>2862</v>
      </c>
      <c r="G1382" s="328" t="s">
        <v>673</v>
      </c>
      <c r="H1382" s="328" t="s">
        <v>2863</v>
      </c>
      <c r="I1382" s="258" t="s">
        <v>2864</v>
      </c>
      <c r="J1382" s="259" t="s">
        <v>1149</v>
      </c>
      <c r="K1382" s="260" t="s">
        <v>5646</v>
      </c>
      <c r="L1382" s="359"/>
      <c r="M1382" s="359"/>
      <c r="N1382" s="173" t="s">
        <v>679</v>
      </c>
      <c r="O1382" s="173" t="s">
        <v>225</v>
      </c>
      <c r="P1382" s="262" t="str">
        <f t="shared" si="1"/>
        <v>IN-BLR-ANANTA-VAV-954_6</v>
      </c>
      <c r="Q1382" s="173" t="s">
        <v>5647</v>
      </c>
      <c r="R1382" s="328" t="str">
        <f>IFS(C1382="","",C1382="n/a","N/A",LEN(C1382),Concatenate("{",char(34),"asset",char(34),":{",char(34),"guid",char(34),":",char(34),Q1382,char(34),",",char(34),"site",char(34),":",char(34),LOWER('2-Building'!$B$4),char(34),",",char(34),"name",char(34),":",char(34),LOWER(C1382),char(34),"}}"))</f>
        <v>{"asset":{"guid":"uuid://7aa6c52a-0642-447d-baa2-d787da0f7aca","site":"in-blr-ananta","name":"vav-954"}}</v>
      </c>
      <c r="S1382" s="360" t="s">
        <v>5516</v>
      </c>
      <c r="T1382" s="330"/>
      <c r="U1382" s="330"/>
      <c r="V1382" s="331"/>
      <c r="W1382" s="344"/>
      <c r="X1382" s="341"/>
      <c r="Y1382" s="33" t="s">
        <v>2867</v>
      </c>
      <c r="Z1382" s="258">
        <v>120954.0</v>
      </c>
      <c r="AA1382" s="334">
        <v>11616.0</v>
      </c>
      <c r="AB1382" s="341"/>
      <c r="AC1382" s="341"/>
      <c r="AD1382" s="343"/>
      <c r="AE1382" s="331"/>
      <c r="AF1382" s="348"/>
      <c r="AG1382" s="337"/>
      <c r="AH1382" s="341"/>
      <c r="AI1382" s="341"/>
      <c r="AJ1382" s="341"/>
      <c r="AK1382" s="341"/>
      <c r="AL1382" s="341"/>
      <c r="AM1382" s="338"/>
      <c r="AN1382" s="341"/>
      <c r="AO1382" s="341"/>
      <c r="AP1382" s="341"/>
      <c r="AQ1382" s="341"/>
      <c r="AR1382" s="341"/>
      <c r="AS1382" s="341"/>
      <c r="AT1382" s="341"/>
      <c r="AU1382" s="343"/>
      <c r="AV1382" s="341"/>
      <c r="AW1382" s="269" t="s">
        <v>2346</v>
      </c>
      <c r="AX1382" s="334" t="s">
        <v>2869</v>
      </c>
      <c r="AY1382" s="270" t="s">
        <v>695</v>
      </c>
      <c r="AZ1382" s="173" t="s">
        <v>5516</v>
      </c>
      <c r="BA1382" s="265">
        <v>10.0</v>
      </c>
      <c r="BB1382" s="174" t="s">
        <v>245</v>
      </c>
      <c r="BC1382" s="341"/>
      <c r="BD1382" s="308"/>
      <c r="BE1382" s="347"/>
      <c r="BF1382" s="274" t="str">
        <f>IFERROR(__xludf.DUMMYFUNCTION("LOWER(Regexreplace(to_text(E1382),""[^A-Za-z0-9]"","""")&amp;""_""&amp;Regexreplace(to_text(F1382),""[^A-Za-z0-9]"",""""))"),"neptronic_evcbseries")</f>
        <v>neptronic_evcbseries</v>
      </c>
      <c r="BG1382" s="275" t="str">
        <f>IFERROR(__xludf.DUMMYFUNCTION("upper(Regexreplace(to_text(E1382),""[^A-Za-z0-9]"","""")&amp;""-""&amp;Regexreplace(to_text(F1382),""[^A-Za-z0-9]"",""""))"),"NEPTRONIC-EVCBSERIES")</f>
        <v>NEPTRONIC-EVCBSERIES</v>
      </c>
    </row>
    <row r="1383" ht="30.0" customHeight="1">
      <c r="A1383" s="173">
        <v>1375.0</v>
      </c>
      <c r="B1383" s="237" t="s">
        <v>670</v>
      </c>
      <c r="C1383" s="257" t="s">
        <v>5648</v>
      </c>
      <c r="D1383" s="173" t="s">
        <v>5648</v>
      </c>
      <c r="E1383" s="174" t="s">
        <v>2861</v>
      </c>
      <c r="F1383" s="173" t="s">
        <v>2862</v>
      </c>
      <c r="G1383" s="328" t="s">
        <v>673</v>
      </c>
      <c r="H1383" s="328" t="s">
        <v>2863</v>
      </c>
      <c r="I1383" s="258" t="s">
        <v>2864</v>
      </c>
      <c r="J1383" s="259" t="s">
        <v>1149</v>
      </c>
      <c r="K1383" s="260" t="s">
        <v>5649</v>
      </c>
      <c r="L1383" s="359"/>
      <c r="M1383" s="359"/>
      <c r="N1383" s="173" t="s">
        <v>679</v>
      </c>
      <c r="O1383" s="173" t="s">
        <v>225</v>
      </c>
      <c r="P1383" s="262" t="str">
        <f t="shared" si="1"/>
        <v>IN-BLR-ANANTA-VAV-955_6</v>
      </c>
      <c r="Q1383" s="173" t="s">
        <v>5650</v>
      </c>
      <c r="R1383" s="328" t="str">
        <f>IFS(C1383="","",C1383="n/a","N/A",LEN(C1383),Concatenate("{",char(34),"asset",char(34),":{",char(34),"guid",char(34),":",char(34),Q1383,char(34),",",char(34),"site",char(34),":",char(34),LOWER('2-Building'!$B$4),char(34),",",char(34),"name",char(34),":",char(34),LOWER(C1383),char(34),"}}"))</f>
        <v>{"asset":{"guid":"uuid://a94b7966-c8d5-4725-a12e-fd75570d2bd0","site":"in-blr-ananta","name":"vav-955"}}</v>
      </c>
      <c r="S1383" s="360" t="s">
        <v>5516</v>
      </c>
      <c r="T1383" s="330"/>
      <c r="U1383" s="330"/>
      <c r="V1383" s="331"/>
      <c r="W1383" s="344"/>
      <c r="X1383" s="341"/>
      <c r="Y1383" s="33" t="s">
        <v>2867</v>
      </c>
      <c r="Z1383" s="258">
        <v>120955.0</v>
      </c>
      <c r="AA1383" s="334">
        <v>11616.0</v>
      </c>
      <c r="AB1383" s="341"/>
      <c r="AC1383" s="341"/>
      <c r="AD1383" s="343"/>
      <c r="AE1383" s="331"/>
      <c r="AF1383" s="348"/>
      <c r="AG1383" s="337"/>
      <c r="AH1383" s="341"/>
      <c r="AI1383" s="341"/>
      <c r="AJ1383" s="341"/>
      <c r="AK1383" s="341"/>
      <c r="AL1383" s="341"/>
      <c r="AM1383" s="338"/>
      <c r="AN1383" s="341"/>
      <c r="AO1383" s="341"/>
      <c r="AP1383" s="341"/>
      <c r="AQ1383" s="341"/>
      <c r="AR1383" s="341"/>
      <c r="AS1383" s="341"/>
      <c r="AT1383" s="341"/>
      <c r="AU1383" s="343"/>
      <c r="AV1383" s="341"/>
      <c r="AW1383" s="269" t="s">
        <v>2346</v>
      </c>
      <c r="AX1383" s="334" t="s">
        <v>2869</v>
      </c>
      <c r="AY1383" s="270" t="s">
        <v>695</v>
      </c>
      <c r="AZ1383" s="173" t="s">
        <v>5516</v>
      </c>
      <c r="BA1383" s="265">
        <v>10.0</v>
      </c>
      <c r="BB1383" s="174" t="s">
        <v>245</v>
      </c>
      <c r="BC1383" s="341"/>
      <c r="BD1383" s="308"/>
      <c r="BE1383" s="347"/>
      <c r="BF1383" s="274" t="str">
        <f>IFERROR(__xludf.DUMMYFUNCTION("LOWER(Regexreplace(to_text(E1383),""[^A-Za-z0-9]"","""")&amp;""_""&amp;Regexreplace(to_text(F1383),""[^A-Za-z0-9]"",""""))"),"neptronic_evcbseries")</f>
        <v>neptronic_evcbseries</v>
      </c>
      <c r="BG1383" s="275" t="str">
        <f>IFERROR(__xludf.DUMMYFUNCTION("upper(Regexreplace(to_text(E1383),""[^A-Za-z0-9]"","""")&amp;""-""&amp;Regexreplace(to_text(F1383),""[^A-Za-z0-9]"",""""))"),"NEPTRONIC-EVCBSERIES")</f>
        <v>NEPTRONIC-EVCBSERIES</v>
      </c>
    </row>
    <row r="1384" ht="30.0" customHeight="1">
      <c r="A1384" s="258">
        <v>1376.0</v>
      </c>
      <c r="B1384" s="237" t="s">
        <v>670</v>
      </c>
      <c r="C1384" s="257" t="s">
        <v>5651</v>
      </c>
      <c r="D1384" s="173" t="s">
        <v>5651</v>
      </c>
      <c r="E1384" s="174" t="s">
        <v>2861</v>
      </c>
      <c r="F1384" s="173" t="s">
        <v>2862</v>
      </c>
      <c r="G1384" s="328" t="s">
        <v>673</v>
      </c>
      <c r="H1384" s="328" t="s">
        <v>2863</v>
      </c>
      <c r="I1384" s="258" t="s">
        <v>2864</v>
      </c>
      <c r="J1384" s="259" t="s">
        <v>1149</v>
      </c>
      <c r="K1384" s="260" t="s">
        <v>5652</v>
      </c>
      <c r="L1384" s="359"/>
      <c r="M1384" s="359"/>
      <c r="N1384" s="173" t="s">
        <v>679</v>
      </c>
      <c r="O1384" s="173" t="s">
        <v>225</v>
      </c>
      <c r="P1384" s="262" t="str">
        <f t="shared" si="1"/>
        <v>IN-BLR-ANANTA-VAV-956_6</v>
      </c>
      <c r="Q1384" s="173" t="s">
        <v>5653</v>
      </c>
      <c r="R1384" s="328" t="str">
        <f>IFS(C1384="","",C1384="n/a","N/A",LEN(C1384),Concatenate("{",char(34),"asset",char(34),":{",char(34),"guid",char(34),":",char(34),Q1384,char(34),",",char(34),"site",char(34),":",char(34),LOWER('2-Building'!$B$4),char(34),",",char(34),"name",char(34),":",char(34),LOWER(C1384),char(34),"}}"))</f>
        <v>{"asset":{"guid":"uuid://16893f4b-b9e8-4a8b-a70b-e92ed20c36bb","site":"in-blr-ananta","name":"vav-956"}}</v>
      </c>
      <c r="S1384" s="360" t="s">
        <v>5516</v>
      </c>
      <c r="T1384" s="330"/>
      <c r="U1384" s="330"/>
      <c r="V1384" s="331"/>
      <c r="W1384" s="344"/>
      <c r="X1384" s="341"/>
      <c r="Y1384" s="33" t="s">
        <v>2867</v>
      </c>
      <c r="Z1384" s="258">
        <v>120956.0</v>
      </c>
      <c r="AA1384" s="334">
        <v>11616.0</v>
      </c>
      <c r="AB1384" s="341"/>
      <c r="AC1384" s="341"/>
      <c r="AD1384" s="343"/>
      <c r="AE1384" s="331"/>
      <c r="AF1384" s="348"/>
      <c r="AG1384" s="337"/>
      <c r="AH1384" s="341"/>
      <c r="AI1384" s="341"/>
      <c r="AJ1384" s="341"/>
      <c r="AK1384" s="341"/>
      <c r="AL1384" s="341"/>
      <c r="AM1384" s="338"/>
      <c r="AN1384" s="341"/>
      <c r="AO1384" s="341"/>
      <c r="AP1384" s="341"/>
      <c r="AQ1384" s="341"/>
      <c r="AR1384" s="341"/>
      <c r="AS1384" s="341"/>
      <c r="AT1384" s="341"/>
      <c r="AU1384" s="343"/>
      <c r="AV1384" s="341"/>
      <c r="AW1384" s="269" t="s">
        <v>2346</v>
      </c>
      <c r="AX1384" s="334" t="s">
        <v>2869</v>
      </c>
      <c r="AY1384" s="270" t="s">
        <v>695</v>
      </c>
      <c r="AZ1384" s="173" t="s">
        <v>5516</v>
      </c>
      <c r="BA1384" s="265">
        <v>10.0</v>
      </c>
      <c r="BB1384" s="174" t="s">
        <v>245</v>
      </c>
      <c r="BC1384" s="341"/>
      <c r="BD1384" s="308"/>
      <c r="BE1384" s="347"/>
      <c r="BF1384" s="274" t="str">
        <f>IFERROR(__xludf.DUMMYFUNCTION("LOWER(Regexreplace(to_text(E1384),""[^A-Za-z0-9]"","""")&amp;""_""&amp;Regexreplace(to_text(F1384),""[^A-Za-z0-9]"",""""))"),"neptronic_evcbseries")</f>
        <v>neptronic_evcbseries</v>
      </c>
      <c r="BG1384" s="275" t="str">
        <f>IFERROR(__xludf.DUMMYFUNCTION("upper(Regexreplace(to_text(E1384),""[^A-Za-z0-9]"","""")&amp;""-""&amp;Regexreplace(to_text(F1384),""[^A-Za-z0-9]"",""""))"),"NEPTRONIC-EVCBSERIES")</f>
        <v>NEPTRONIC-EVCBSERIES</v>
      </c>
    </row>
    <row r="1385" ht="30.0" customHeight="1">
      <c r="A1385" s="173">
        <v>1377.0</v>
      </c>
      <c r="B1385" s="237" t="s">
        <v>670</v>
      </c>
      <c r="C1385" s="257" t="s">
        <v>5654</v>
      </c>
      <c r="D1385" s="173" t="s">
        <v>5654</v>
      </c>
      <c r="E1385" s="174" t="s">
        <v>2861</v>
      </c>
      <c r="F1385" s="173" t="s">
        <v>2862</v>
      </c>
      <c r="G1385" s="328" t="s">
        <v>673</v>
      </c>
      <c r="H1385" s="328" t="s">
        <v>2863</v>
      </c>
      <c r="I1385" s="258" t="s">
        <v>2864</v>
      </c>
      <c r="J1385" s="259" t="s">
        <v>1149</v>
      </c>
      <c r="K1385" s="260" t="s">
        <v>5655</v>
      </c>
      <c r="L1385" s="359"/>
      <c r="M1385" s="359"/>
      <c r="N1385" s="173" t="s">
        <v>679</v>
      </c>
      <c r="O1385" s="173" t="s">
        <v>225</v>
      </c>
      <c r="P1385" s="262" t="str">
        <f t="shared" si="1"/>
        <v>IN-BLR-ANANTA-VAV-957_6</v>
      </c>
      <c r="Q1385" s="173" t="s">
        <v>5656</v>
      </c>
      <c r="R1385" s="328" t="str">
        <f>IFS(C1385="","",C1385="n/a","N/A",LEN(C1385),Concatenate("{",char(34),"asset",char(34),":{",char(34),"guid",char(34),":",char(34),Q1385,char(34),",",char(34),"site",char(34),":",char(34),LOWER('2-Building'!$B$4),char(34),",",char(34),"name",char(34),":",char(34),LOWER(C1385),char(34),"}}"))</f>
        <v>{"asset":{"guid":"uuid://c0cb12c6-479f-4087-9b87-de2ab7515463","site":"in-blr-ananta","name":"vav-957"}}</v>
      </c>
      <c r="S1385" s="360" t="s">
        <v>5516</v>
      </c>
      <c r="T1385" s="330"/>
      <c r="U1385" s="330"/>
      <c r="V1385" s="331"/>
      <c r="W1385" s="344"/>
      <c r="X1385" s="341"/>
      <c r="Y1385" s="33" t="s">
        <v>2867</v>
      </c>
      <c r="Z1385" s="258">
        <v>120957.0</v>
      </c>
      <c r="AA1385" s="334">
        <v>11616.0</v>
      </c>
      <c r="AB1385" s="341"/>
      <c r="AC1385" s="341"/>
      <c r="AD1385" s="343"/>
      <c r="AE1385" s="331"/>
      <c r="AF1385" s="348"/>
      <c r="AG1385" s="337"/>
      <c r="AH1385" s="341"/>
      <c r="AI1385" s="341"/>
      <c r="AJ1385" s="341"/>
      <c r="AK1385" s="341"/>
      <c r="AL1385" s="341"/>
      <c r="AM1385" s="338"/>
      <c r="AN1385" s="341"/>
      <c r="AO1385" s="341"/>
      <c r="AP1385" s="341"/>
      <c r="AQ1385" s="341"/>
      <c r="AR1385" s="341"/>
      <c r="AS1385" s="341"/>
      <c r="AT1385" s="341"/>
      <c r="AU1385" s="343"/>
      <c r="AV1385" s="341"/>
      <c r="AW1385" s="269" t="s">
        <v>2346</v>
      </c>
      <c r="AX1385" s="334" t="s">
        <v>2869</v>
      </c>
      <c r="AY1385" s="270" t="s">
        <v>695</v>
      </c>
      <c r="AZ1385" s="173" t="s">
        <v>5516</v>
      </c>
      <c r="BA1385" s="265">
        <v>10.0</v>
      </c>
      <c r="BB1385" s="174" t="s">
        <v>245</v>
      </c>
      <c r="BC1385" s="341"/>
      <c r="BD1385" s="308"/>
      <c r="BE1385" s="347"/>
      <c r="BF1385" s="274" t="str">
        <f>IFERROR(__xludf.DUMMYFUNCTION("LOWER(Regexreplace(to_text(E1385),""[^A-Za-z0-9]"","""")&amp;""_""&amp;Regexreplace(to_text(F1385),""[^A-Za-z0-9]"",""""))"),"neptronic_evcbseries")</f>
        <v>neptronic_evcbseries</v>
      </c>
      <c r="BG1385" s="275" t="str">
        <f>IFERROR(__xludf.DUMMYFUNCTION("upper(Regexreplace(to_text(E1385),""[^A-Za-z0-9]"","""")&amp;""-""&amp;Regexreplace(to_text(F1385),""[^A-Za-z0-9]"",""""))"),"NEPTRONIC-EVCBSERIES")</f>
        <v>NEPTRONIC-EVCBSERIES</v>
      </c>
    </row>
    <row r="1386" ht="30.0" customHeight="1">
      <c r="A1386" s="258">
        <v>1378.0</v>
      </c>
      <c r="B1386" s="237" t="s">
        <v>670</v>
      </c>
      <c r="C1386" s="257" t="s">
        <v>5657</v>
      </c>
      <c r="D1386" s="173" t="s">
        <v>5657</v>
      </c>
      <c r="E1386" s="174" t="s">
        <v>2861</v>
      </c>
      <c r="F1386" s="173" t="s">
        <v>2862</v>
      </c>
      <c r="G1386" s="328" t="s">
        <v>673</v>
      </c>
      <c r="H1386" s="328" t="s">
        <v>2863</v>
      </c>
      <c r="I1386" s="258" t="s">
        <v>2864</v>
      </c>
      <c r="J1386" s="259" t="s">
        <v>1149</v>
      </c>
      <c r="K1386" s="260" t="s">
        <v>5658</v>
      </c>
      <c r="L1386" s="359"/>
      <c r="M1386" s="359"/>
      <c r="N1386" s="173" t="s">
        <v>679</v>
      </c>
      <c r="O1386" s="173" t="s">
        <v>225</v>
      </c>
      <c r="P1386" s="262" t="str">
        <f t="shared" si="1"/>
        <v>IN-BLR-ANANTA-VAV-958_6</v>
      </c>
      <c r="Q1386" s="173" t="s">
        <v>5659</v>
      </c>
      <c r="R1386" s="328" t="str">
        <f>IFS(C1386="","",C1386="n/a","N/A",LEN(C1386),Concatenate("{",char(34),"asset",char(34),":{",char(34),"guid",char(34),":",char(34),Q1386,char(34),",",char(34),"site",char(34),":",char(34),LOWER('2-Building'!$B$4),char(34),",",char(34),"name",char(34),":",char(34),LOWER(C1386),char(34),"}}"))</f>
        <v>{"asset":{"guid":"uuid://b615c480-69c3-4d1d-82e7-89dcfef9a3a6","site":"in-blr-ananta","name":"vav-958"}}</v>
      </c>
      <c r="S1386" s="360" t="s">
        <v>5516</v>
      </c>
      <c r="T1386" s="330"/>
      <c r="U1386" s="330"/>
      <c r="V1386" s="331"/>
      <c r="W1386" s="344"/>
      <c r="X1386" s="341"/>
      <c r="Y1386" s="33" t="s">
        <v>2867</v>
      </c>
      <c r="Z1386" s="258">
        <v>120958.0</v>
      </c>
      <c r="AA1386" s="334">
        <v>11616.0</v>
      </c>
      <c r="AB1386" s="341"/>
      <c r="AC1386" s="341"/>
      <c r="AD1386" s="343"/>
      <c r="AE1386" s="331"/>
      <c r="AF1386" s="348"/>
      <c r="AG1386" s="337"/>
      <c r="AH1386" s="341"/>
      <c r="AI1386" s="341"/>
      <c r="AJ1386" s="341"/>
      <c r="AK1386" s="341"/>
      <c r="AL1386" s="341"/>
      <c r="AM1386" s="338"/>
      <c r="AN1386" s="341"/>
      <c r="AO1386" s="341"/>
      <c r="AP1386" s="341"/>
      <c r="AQ1386" s="341"/>
      <c r="AR1386" s="341"/>
      <c r="AS1386" s="341"/>
      <c r="AT1386" s="341"/>
      <c r="AU1386" s="343"/>
      <c r="AV1386" s="341"/>
      <c r="AW1386" s="269" t="s">
        <v>2346</v>
      </c>
      <c r="AX1386" s="334" t="s">
        <v>2869</v>
      </c>
      <c r="AY1386" s="270" t="s">
        <v>695</v>
      </c>
      <c r="AZ1386" s="173" t="s">
        <v>5516</v>
      </c>
      <c r="BA1386" s="265">
        <v>10.0</v>
      </c>
      <c r="BB1386" s="174" t="s">
        <v>245</v>
      </c>
      <c r="BC1386" s="341"/>
      <c r="BD1386" s="308"/>
      <c r="BE1386" s="347"/>
      <c r="BF1386" s="274" t="str">
        <f>IFERROR(__xludf.DUMMYFUNCTION("LOWER(Regexreplace(to_text(E1386),""[^A-Za-z0-9]"","""")&amp;""_""&amp;Regexreplace(to_text(F1386),""[^A-Za-z0-9]"",""""))"),"neptronic_evcbseries")</f>
        <v>neptronic_evcbseries</v>
      </c>
      <c r="BG1386" s="275" t="str">
        <f>IFERROR(__xludf.DUMMYFUNCTION("upper(Regexreplace(to_text(E1386),""[^A-Za-z0-9]"","""")&amp;""-""&amp;Regexreplace(to_text(F1386),""[^A-Za-z0-9]"",""""))"),"NEPTRONIC-EVCBSERIES")</f>
        <v>NEPTRONIC-EVCBSERIES</v>
      </c>
    </row>
    <row r="1387" ht="30.0" customHeight="1">
      <c r="A1387" s="173">
        <v>1379.0</v>
      </c>
      <c r="B1387" s="237" t="s">
        <v>670</v>
      </c>
      <c r="C1387" s="257" t="s">
        <v>5660</v>
      </c>
      <c r="D1387" s="173" t="s">
        <v>5660</v>
      </c>
      <c r="E1387" s="174" t="s">
        <v>2861</v>
      </c>
      <c r="F1387" s="173" t="s">
        <v>2862</v>
      </c>
      <c r="G1387" s="328" t="s">
        <v>673</v>
      </c>
      <c r="H1387" s="328" t="s">
        <v>2863</v>
      </c>
      <c r="I1387" s="258" t="s">
        <v>2864</v>
      </c>
      <c r="J1387" s="259" t="s">
        <v>1149</v>
      </c>
      <c r="K1387" s="260" t="s">
        <v>5661</v>
      </c>
      <c r="L1387" s="359"/>
      <c r="M1387" s="359"/>
      <c r="N1387" s="173" t="s">
        <v>679</v>
      </c>
      <c r="O1387" s="173" t="s">
        <v>225</v>
      </c>
      <c r="P1387" s="262" t="str">
        <f t="shared" si="1"/>
        <v>IN-BLR-ANANTA-VAV-959_6</v>
      </c>
      <c r="Q1387" s="173" t="s">
        <v>5662</v>
      </c>
      <c r="R1387" s="328" t="str">
        <f>IFS(C1387="","",C1387="n/a","N/A",LEN(C1387),Concatenate("{",char(34),"asset",char(34),":{",char(34),"guid",char(34),":",char(34),Q1387,char(34),",",char(34),"site",char(34),":",char(34),LOWER('2-Building'!$B$4),char(34),",",char(34),"name",char(34),":",char(34),LOWER(C1387),char(34),"}}"))</f>
        <v>{"asset":{"guid":"uuid://c5477bf7-66ed-4dfc-a715-39c04393119f","site":"in-blr-ananta","name":"vav-959"}}</v>
      </c>
      <c r="S1387" s="360" t="s">
        <v>5516</v>
      </c>
      <c r="T1387" s="330"/>
      <c r="U1387" s="330"/>
      <c r="V1387" s="331"/>
      <c r="W1387" s="344"/>
      <c r="X1387" s="341"/>
      <c r="Y1387" s="33" t="s">
        <v>2867</v>
      </c>
      <c r="Z1387" s="258">
        <v>120959.0</v>
      </c>
      <c r="AA1387" s="334">
        <v>11616.0</v>
      </c>
      <c r="AB1387" s="341"/>
      <c r="AC1387" s="341"/>
      <c r="AD1387" s="343"/>
      <c r="AE1387" s="331"/>
      <c r="AF1387" s="348"/>
      <c r="AG1387" s="337"/>
      <c r="AH1387" s="341"/>
      <c r="AI1387" s="341"/>
      <c r="AJ1387" s="341"/>
      <c r="AK1387" s="341"/>
      <c r="AL1387" s="341"/>
      <c r="AM1387" s="338"/>
      <c r="AN1387" s="341"/>
      <c r="AO1387" s="341"/>
      <c r="AP1387" s="341"/>
      <c r="AQ1387" s="341"/>
      <c r="AR1387" s="341"/>
      <c r="AS1387" s="341"/>
      <c r="AT1387" s="341"/>
      <c r="AU1387" s="343"/>
      <c r="AV1387" s="341"/>
      <c r="AW1387" s="269" t="s">
        <v>2346</v>
      </c>
      <c r="AX1387" s="334" t="s">
        <v>2869</v>
      </c>
      <c r="AY1387" s="270" t="s">
        <v>695</v>
      </c>
      <c r="AZ1387" s="173" t="s">
        <v>5516</v>
      </c>
      <c r="BA1387" s="265">
        <v>10.0</v>
      </c>
      <c r="BB1387" s="174" t="s">
        <v>245</v>
      </c>
      <c r="BC1387" s="341"/>
      <c r="BD1387" s="308"/>
      <c r="BE1387" s="347"/>
      <c r="BF1387" s="274" t="str">
        <f>IFERROR(__xludf.DUMMYFUNCTION("LOWER(Regexreplace(to_text(E1387),""[^A-Za-z0-9]"","""")&amp;""_""&amp;Regexreplace(to_text(F1387),""[^A-Za-z0-9]"",""""))"),"neptronic_evcbseries")</f>
        <v>neptronic_evcbseries</v>
      </c>
      <c r="BG1387" s="275" t="str">
        <f>IFERROR(__xludf.DUMMYFUNCTION("upper(Regexreplace(to_text(E1387),""[^A-Za-z0-9]"","""")&amp;""-""&amp;Regexreplace(to_text(F1387),""[^A-Za-z0-9]"",""""))"),"NEPTRONIC-EVCBSERIES")</f>
        <v>NEPTRONIC-EVCBSERIES</v>
      </c>
    </row>
    <row r="1388" ht="30.0" customHeight="1">
      <c r="A1388" s="258">
        <v>1380.0</v>
      </c>
      <c r="B1388" s="237" t="s">
        <v>670</v>
      </c>
      <c r="C1388" s="257" t="s">
        <v>5663</v>
      </c>
      <c r="D1388" s="173" t="s">
        <v>5663</v>
      </c>
      <c r="E1388" s="174" t="s">
        <v>2861</v>
      </c>
      <c r="F1388" s="173" t="s">
        <v>2862</v>
      </c>
      <c r="G1388" s="328" t="s">
        <v>673</v>
      </c>
      <c r="H1388" s="328" t="s">
        <v>2863</v>
      </c>
      <c r="I1388" s="258" t="s">
        <v>2864</v>
      </c>
      <c r="J1388" s="259" t="s">
        <v>1149</v>
      </c>
      <c r="K1388" s="260" t="s">
        <v>5565</v>
      </c>
      <c r="L1388" s="359"/>
      <c r="M1388" s="359"/>
      <c r="N1388" s="173" t="s">
        <v>679</v>
      </c>
      <c r="O1388" s="173" t="s">
        <v>225</v>
      </c>
      <c r="P1388" s="262" t="str">
        <f t="shared" si="1"/>
        <v>IN-BLR-ANANTA-VAV-960_6</v>
      </c>
      <c r="Q1388" s="173" t="s">
        <v>5664</v>
      </c>
      <c r="R1388" s="328" t="str">
        <f>IFS(C1388="","",C1388="n/a","N/A",LEN(C1388),Concatenate("{",char(34),"asset",char(34),":{",char(34),"guid",char(34),":",char(34),Q1388,char(34),",",char(34),"site",char(34),":",char(34),LOWER('2-Building'!$B$4),char(34),",",char(34),"name",char(34),":",char(34),LOWER(C1388),char(34),"}}"))</f>
        <v>{"asset":{"guid":"uuid://9f613467-059c-402e-b1b2-c29d58b7b400","site":"in-blr-ananta","name":"vav-960"}}</v>
      </c>
      <c r="S1388" s="360" t="s">
        <v>5516</v>
      </c>
      <c r="T1388" s="330"/>
      <c r="U1388" s="330"/>
      <c r="V1388" s="331"/>
      <c r="W1388" s="344"/>
      <c r="X1388" s="341"/>
      <c r="Y1388" s="33" t="s">
        <v>2867</v>
      </c>
      <c r="Z1388" s="258">
        <v>120960.0</v>
      </c>
      <c r="AA1388" s="334">
        <v>11616.0</v>
      </c>
      <c r="AB1388" s="341"/>
      <c r="AC1388" s="341"/>
      <c r="AD1388" s="343"/>
      <c r="AE1388" s="331"/>
      <c r="AF1388" s="348"/>
      <c r="AG1388" s="337"/>
      <c r="AH1388" s="341"/>
      <c r="AI1388" s="341"/>
      <c r="AJ1388" s="341"/>
      <c r="AK1388" s="341"/>
      <c r="AL1388" s="341"/>
      <c r="AM1388" s="338"/>
      <c r="AN1388" s="341"/>
      <c r="AO1388" s="341"/>
      <c r="AP1388" s="341"/>
      <c r="AQ1388" s="341"/>
      <c r="AR1388" s="341"/>
      <c r="AS1388" s="341"/>
      <c r="AT1388" s="341"/>
      <c r="AU1388" s="343"/>
      <c r="AV1388" s="341"/>
      <c r="AW1388" s="269" t="s">
        <v>2346</v>
      </c>
      <c r="AX1388" s="334" t="s">
        <v>2869</v>
      </c>
      <c r="AY1388" s="270" t="s">
        <v>695</v>
      </c>
      <c r="AZ1388" s="173" t="s">
        <v>5516</v>
      </c>
      <c r="BA1388" s="265">
        <v>10.0</v>
      </c>
      <c r="BB1388" s="174" t="s">
        <v>245</v>
      </c>
      <c r="BC1388" s="341"/>
      <c r="BD1388" s="308"/>
      <c r="BE1388" s="347"/>
      <c r="BF1388" s="274" t="str">
        <f>IFERROR(__xludf.DUMMYFUNCTION("LOWER(Regexreplace(to_text(E1388),""[^A-Za-z0-9]"","""")&amp;""_""&amp;Regexreplace(to_text(F1388),""[^A-Za-z0-9]"",""""))"),"neptronic_evcbseries")</f>
        <v>neptronic_evcbseries</v>
      </c>
      <c r="BG1388" s="275" t="str">
        <f>IFERROR(__xludf.DUMMYFUNCTION("upper(Regexreplace(to_text(E1388),""[^A-Za-z0-9]"","""")&amp;""-""&amp;Regexreplace(to_text(F1388),""[^A-Za-z0-9]"",""""))"),"NEPTRONIC-EVCBSERIES")</f>
        <v>NEPTRONIC-EVCBSERIES</v>
      </c>
    </row>
    <row r="1389" ht="30.0" customHeight="1">
      <c r="A1389" s="173">
        <v>1381.0</v>
      </c>
      <c r="B1389" s="237" t="s">
        <v>670</v>
      </c>
      <c r="C1389" s="257" t="s">
        <v>5665</v>
      </c>
      <c r="D1389" s="173" t="s">
        <v>5665</v>
      </c>
      <c r="E1389" s="174" t="s">
        <v>2861</v>
      </c>
      <c r="F1389" s="173" t="s">
        <v>2862</v>
      </c>
      <c r="G1389" s="328" t="s">
        <v>673</v>
      </c>
      <c r="H1389" s="328" t="s">
        <v>2863</v>
      </c>
      <c r="I1389" s="258" t="s">
        <v>2864</v>
      </c>
      <c r="J1389" s="259" t="s">
        <v>1149</v>
      </c>
      <c r="K1389" s="260" t="s">
        <v>5666</v>
      </c>
      <c r="L1389" s="359"/>
      <c r="M1389" s="359"/>
      <c r="N1389" s="173" t="s">
        <v>679</v>
      </c>
      <c r="O1389" s="173" t="s">
        <v>225</v>
      </c>
      <c r="P1389" s="262" t="str">
        <f t="shared" si="1"/>
        <v>IN-BLR-ANANTA-VAV-961_6</v>
      </c>
      <c r="Q1389" s="173" t="s">
        <v>5667</v>
      </c>
      <c r="R1389" s="328" t="str">
        <f>IFS(C1389="","",C1389="n/a","N/A",LEN(C1389),Concatenate("{",char(34),"asset",char(34),":{",char(34),"guid",char(34),":",char(34),Q1389,char(34),",",char(34),"site",char(34),":",char(34),LOWER('2-Building'!$B$4),char(34),",",char(34),"name",char(34),":",char(34),LOWER(C1389),char(34),"}}"))</f>
        <v>{"asset":{"guid":"uuid://15493146-6765-415a-8a9f-265f3030c56f","site":"in-blr-ananta","name":"vav-961"}}</v>
      </c>
      <c r="S1389" s="360" t="s">
        <v>5516</v>
      </c>
      <c r="T1389" s="330"/>
      <c r="U1389" s="330"/>
      <c r="V1389" s="331"/>
      <c r="W1389" s="344"/>
      <c r="X1389" s="341"/>
      <c r="Y1389" s="33" t="s">
        <v>2867</v>
      </c>
      <c r="Z1389" s="258">
        <v>120961.0</v>
      </c>
      <c r="AA1389" s="334">
        <v>11615.0</v>
      </c>
      <c r="AB1389" s="341"/>
      <c r="AC1389" s="341"/>
      <c r="AD1389" s="343"/>
      <c r="AE1389" s="331"/>
      <c r="AF1389" s="348"/>
      <c r="AG1389" s="337"/>
      <c r="AH1389" s="341"/>
      <c r="AI1389" s="341"/>
      <c r="AJ1389" s="341"/>
      <c r="AK1389" s="341"/>
      <c r="AL1389" s="341"/>
      <c r="AM1389" s="338"/>
      <c r="AN1389" s="341"/>
      <c r="AO1389" s="341"/>
      <c r="AP1389" s="341"/>
      <c r="AQ1389" s="341"/>
      <c r="AR1389" s="341"/>
      <c r="AS1389" s="341"/>
      <c r="AT1389" s="341"/>
      <c r="AU1389" s="343"/>
      <c r="AV1389" s="341"/>
      <c r="AW1389" s="269" t="s">
        <v>2346</v>
      </c>
      <c r="AX1389" s="334" t="s">
        <v>2869</v>
      </c>
      <c r="AY1389" s="270" t="s">
        <v>695</v>
      </c>
      <c r="AZ1389" s="173" t="s">
        <v>5516</v>
      </c>
      <c r="BA1389" s="265">
        <v>10.0</v>
      </c>
      <c r="BB1389" s="174" t="s">
        <v>245</v>
      </c>
      <c r="BC1389" s="341"/>
      <c r="BD1389" s="308"/>
      <c r="BE1389" s="347"/>
      <c r="BF1389" s="274" t="str">
        <f>IFERROR(__xludf.DUMMYFUNCTION("LOWER(Regexreplace(to_text(E1389),""[^A-Za-z0-9]"","""")&amp;""_""&amp;Regexreplace(to_text(F1389),""[^A-Za-z0-9]"",""""))"),"neptronic_evcbseries")</f>
        <v>neptronic_evcbseries</v>
      </c>
      <c r="BG1389" s="275" t="str">
        <f>IFERROR(__xludf.DUMMYFUNCTION("upper(Regexreplace(to_text(E1389),""[^A-Za-z0-9]"","""")&amp;""-""&amp;Regexreplace(to_text(F1389),""[^A-Za-z0-9]"",""""))"),"NEPTRONIC-EVCBSERIES")</f>
        <v>NEPTRONIC-EVCBSERIES</v>
      </c>
    </row>
    <row r="1390" ht="30.0" customHeight="1">
      <c r="A1390" s="258">
        <v>1382.0</v>
      </c>
      <c r="B1390" s="237" t="s">
        <v>670</v>
      </c>
      <c r="C1390" s="257" t="s">
        <v>5668</v>
      </c>
      <c r="D1390" s="173" t="s">
        <v>5668</v>
      </c>
      <c r="E1390" s="174" t="s">
        <v>2861</v>
      </c>
      <c r="F1390" s="173" t="s">
        <v>2862</v>
      </c>
      <c r="G1390" s="328" t="s">
        <v>673</v>
      </c>
      <c r="H1390" s="328" t="s">
        <v>2863</v>
      </c>
      <c r="I1390" s="258" t="s">
        <v>2864</v>
      </c>
      <c r="J1390" s="259" t="s">
        <v>1149</v>
      </c>
      <c r="K1390" s="260" t="s">
        <v>5669</v>
      </c>
      <c r="L1390" s="359"/>
      <c r="M1390" s="359"/>
      <c r="N1390" s="173" t="s">
        <v>679</v>
      </c>
      <c r="O1390" s="173" t="s">
        <v>225</v>
      </c>
      <c r="P1390" s="262" t="str">
        <f t="shared" si="1"/>
        <v>IN-BLR-ANANTA-VAV-962_6</v>
      </c>
      <c r="Q1390" s="173" t="s">
        <v>5670</v>
      </c>
      <c r="R1390" s="328" t="str">
        <f>IFS(C1390="","",C1390="n/a","N/A",LEN(C1390),Concatenate("{",char(34),"asset",char(34),":{",char(34),"guid",char(34),":",char(34),Q1390,char(34),",",char(34),"site",char(34),":",char(34),LOWER('2-Building'!$B$4),char(34),",",char(34),"name",char(34),":",char(34),LOWER(C1390),char(34),"}}"))</f>
        <v>{"asset":{"guid":"uuid://41a59ae3-be20-4b0c-bcf7-1cd26abc9b97","site":"in-blr-ananta","name":"vav-962"}}</v>
      </c>
      <c r="S1390" s="360" t="s">
        <v>5516</v>
      </c>
      <c r="T1390" s="330"/>
      <c r="U1390" s="330"/>
      <c r="V1390" s="331"/>
      <c r="W1390" s="344"/>
      <c r="X1390" s="341"/>
      <c r="Y1390" s="33" t="s">
        <v>2867</v>
      </c>
      <c r="Z1390" s="258">
        <v>120962.0</v>
      </c>
      <c r="AA1390" s="334">
        <v>11615.0</v>
      </c>
      <c r="AB1390" s="341"/>
      <c r="AC1390" s="341"/>
      <c r="AD1390" s="343"/>
      <c r="AE1390" s="331"/>
      <c r="AF1390" s="348"/>
      <c r="AG1390" s="337"/>
      <c r="AH1390" s="341"/>
      <c r="AI1390" s="341"/>
      <c r="AJ1390" s="341"/>
      <c r="AK1390" s="341"/>
      <c r="AL1390" s="341"/>
      <c r="AM1390" s="338"/>
      <c r="AN1390" s="341"/>
      <c r="AO1390" s="341"/>
      <c r="AP1390" s="341"/>
      <c r="AQ1390" s="341"/>
      <c r="AR1390" s="341"/>
      <c r="AS1390" s="341"/>
      <c r="AT1390" s="341"/>
      <c r="AU1390" s="343"/>
      <c r="AV1390" s="341"/>
      <c r="AW1390" s="269" t="s">
        <v>2346</v>
      </c>
      <c r="AX1390" s="334" t="s">
        <v>2869</v>
      </c>
      <c r="AY1390" s="270" t="s">
        <v>695</v>
      </c>
      <c r="AZ1390" s="173" t="s">
        <v>5516</v>
      </c>
      <c r="BA1390" s="265">
        <v>10.0</v>
      </c>
      <c r="BB1390" s="174" t="s">
        <v>245</v>
      </c>
      <c r="BC1390" s="341"/>
      <c r="BD1390" s="308"/>
      <c r="BE1390" s="347"/>
      <c r="BF1390" s="274" t="str">
        <f>IFERROR(__xludf.DUMMYFUNCTION("LOWER(Regexreplace(to_text(E1390),""[^A-Za-z0-9]"","""")&amp;""_""&amp;Regexreplace(to_text(F1390),""[^A-Za-z0-9]"",""""))"),"neptronic_evcbseries")</f>
        <v>neptronic_evcbseries</v>
      </c>
      <c r="BG1390" s="275" t="str">
        <f>IFERROR(__xludf.DUMMYFUNCTION("upper(Regexreplace(to_text(E1390),""[^A-Za-z0-9]"","""")&amp;""-""&amp;Regexreplace(to_text(F1390),""[^A-Za-z0-9]"",""""))"),"NEPTRONIC-EVCBSERIES")</f>
        <v>NEPTRONIC-EVCBSERIES</v>
      </c>
    </row>
    <row r="1391" ht="30.0" customHeight="1">
      <c r="A1391" s="173">
        <v>1383.0</v>
      </c>
      <c r="B1391" s="237" t="s">
        <v>670</v>
      </c>
      <c r="C1391" s="257" t="s">
        <v>5671</v>
      </c>
      <c r="D1391" s="173" t="s">
        <v>5671</v>
      </c>
      <c r="E1391" s="174" t="s">
        <v>2861</v>
      </c>
      <c r="F1391" s="173" t="s">
        <v>2862</v>
      </c>
      <c r="G1391" s="328" t="s">
        <v>673</v>
      </c>
      <c r="H1391" s="328" t="s">
        <v>2863</v>
      </c>
      <c r="I1391" s="258" t="s">
        <v>2864</v>
      </c>
      <c r="J1391" s="259" t="s">
        <v>1149</v>
      </c>
      <c r="K1391" s="260" t="s">
        <v>4598</v>
      </c>
      <c r="L1391" s="359"/>
      <c r="M1391" s="359"/>
      <c r="N1391" s="173" t="s">
        <v>679</v>
      </c>
      <c r="O1391" s="173" t="s">
        <v>225</v>
      </c>
      <c r="P1391" s="262" t="str">
        <f t="shared" si="1"/>
        <v>IN-BLR-ANANTA-VAV-963_6</v>
      </c>
      <c r="Q1391" s="173" t="s">
        <v>5672</v>
      </c>
      <c r="R1391" s="328" t="str">
        <f>IFS(C1391="","",C1391="n/a","N/A",LEN(C1391),Concatenate("{",char(34),"asset",char(34),":{",char(34),"guid",char(34),":",char(34),Q1391,char(34),",",char(34),"site",char(34),":",char(34),LOWER('2-Building'!$B$4),char(34),",",char(34),"name",char(34),":",char(34),LOWER(C1391),char(34),"}}"))</f>
        <v>{"asset":{"guid":"uuid://b803498a-4f18-451b-b15a-5bcd4e06726b","site":"in-blr-ananta","name":"vav-963"}}</v>
      </c>
      <c r="S1391" s="360" t="s">
        <v>5516</v>
      </c>
      <c r="T1391" s="330"/>
      <c r="U1391" s="330"/>
      <c r="V1391" s="331"/>
      <c r="W1391" s="344"/>
      <c r="X1391" s="341"/>
      <c r="Y1391" s="33" t="s">
        <v>2867</v>
      </c>
      <c r="Z1391" s="258">
        <v>120963.0</v>
      </c>
      <c r="AA1391" s="334">
        <v>11615.0</v>
      </c>
      <c r="AB1391" s="341"/>
      <c r="AC1391" s="341"/>
      <c r="AD1391" s="343"/>
      <c r="AE1391" s="331"/>
      <c r="AF1391" s="348"/>
      <c r="AG1391" s="337"/>
      <c r="AH1391" s="341"/>
      <c r="AI1391" s="341"/>
      <c r="AJ1391" s="341"/>
      <c r="AK1391" s="341"/>
      <c r="AL1391" s="341"/>
      <c r="AM1391" s="338"/>
      <c r="AN1391" s="341"/>
      <c r="AO1391" s="341"/>
      <c r="AP1391" s="341"/>
      <c r="AQ1391" s="341"/>
      <c r="AR1391" s="341"/>
      <c r="AS1391" s="341"/>
      <c r="AT1391" s="341"/>
      <c r="AU1391" s="343"/>
      <c r="AV1391" s="341"/>
      <c r="AW1391" s="269" t="s">
        <v>2346</v>
      </c>
      <c r="AX1391" s="334" t="s">
        <v>2869</v>
      </c>
      <c r="AY1391" s="270" t="s">
        <v>695</v>
      </c>
      <c r="AZ1391" s="173" t="s">
        <v>5516</v>
      </c>
      <c r="BA1391" s="265">
        <v>10.0</v>
      </c>
      <c r="BB1391" s="174" t="s">
        <v>245</v>
      </c>
      <c r="BC1391" s="341"/>
      <c r="BD1391" s="308"/>
      <c r="BE1391" s="347"/>
      <c r="BF1391" s="274" t="str">
        <f>IFERROR(__xludf.DUMMYFUNCTION("LOWER(Regexreplace(to_text(E1391),""[^A-Za-z0-9]"","""")&amp;""_""&amp;Regexreplace(to_text(F1391),""[^A-Za-z0-9]"",""""))"),"neptronic_evcbseries")</f>
        <v>neptronic_evcbseries</v>
      </c>
      <c r="BG1391" s="275" t="str">
        <f>IFERROR(__xludf.DUMMYFUNCTION("upper(Regexreplace(to_text(E1391),""[^A-Za-z0-9]"","""")&amp;""-""&amp;Regexreplace(to_text(F1391),""[^A-Za-z0-9]"",""""))"),"NEPTRONIC-EVCBSERIES")</f>
        <v>NEPTRONIC-EVCBSERIES</v>
      </c>
    </row>
    <row r="1392" ht="30.0" customHeight="1">
      <c r="A1392" s="258">
        <v>1384.0</v>
      </c>
      <c r="B1392" s="237" t="s">
        <v>670</v>
      </c>
      <c r="C1392" s="257" t="s">
        <v>5673</v>
      </c>
      <c r="D1392" s="173" t="s">
        <v>5673</v>
      </c>
      <c r="E1392" s="174" t="s">
        <v>2861</v>
      </c>
      <c r="F1392" s="173" t="s">
        <v>2862</v>
      </c>
      <c r="G1392" s="328" t="s">
        <v>673</v>
      </c>
      <c r="H1392" s="328" t="s">
        <v>2863</v>
      </c>
      <c r="I1392" s="258" t="s">
        <v>2864</v>
      </c>
      <c r="J1392" s="259" t="s">
        <v>1149</v>
      </c>
      <c r="K1392" s="260" t="s">
        <v>5674</v>
      </c>
      <c r="L1392" s="359"/>
      <c r="M1392" s="359"/>
      <c r="N1392" s="173" t="s">
        <v>679</v>
      </c>
      <c r="O1392" s="173" t="s">
        <v>225</v>
      </c>
      <c r="P1392" s="262" t="str">
        <f t="shared" si="1"/>
        <v>IN-BLR-ANANTA-VAV-964_6</v>
      </c>
      <c r="Q1392" s="173" t="s">
        <v>5675</v>
      </c>
      <c r="R1392" s="328" t="str">
        <f>IFS(C1392="","",C1392="n/a","N/A",LEN(C1392),Concatenate("{",char(34),"asset",char(34),":{",char(34),"guid",char(34),":",char(34),Q1392,char(34),",",char(34),"site",char(34),":",char(34),LOWER('2-Building'!$B$4),char(34),",",char(34),"name",char(34),":",char(34),LOWER(C1392),char(34),"}}"))</f>
        <v>{"asset":{"guid":"uuid://e71e41e5-3bf1-490e-bc8d-b422cae4e728","site":"in-blr-ananta","name":"vav-964"}}</v>
      </c>
      <c r="S1392" s="360" t="s">
        <v>5516</v>
      </c>
      <c r="T1392" s="330"/>
      <c r="U1392" s="330"/>
      <c r="V1392" s="331"/>
      <c r="W1392" s="344"/>
      <c r="X1392" s="341"/>
      <c r="Y1392" s="33" t="s">
        <v>2867</v>
      </c>
      <c r="Z1392" s="258">
        <v>120964.0</v>
      </c>
      <c r="AA1392" s="334">
        <v>11615.0</v>
      </c>
      <c r="AB1392" s="341"/>
      <c r="AC1392" s="341"/>
      <c r="AD1392" s="343"/>
      <c r="AE1392" s="331"/>
      <c r="AF1392" s="348"/>
      <c r="AG1392" s="337"/>
      <c r="AH1392" s="341"/>
      <c r="AI1392" s="341"/>
      <c r="AJ1392" s="341"/>
      <c r="AK1392" s="341"/>
      <c r="AL1392" s="341"/>
      <c r="AM1392" s="338"/>
      <c r="AN1392" s="341"/>
      <c r="AO1392" s="341"/>
      <c r="AP1392" s="341"/>
      <c r="AQ1392" s="341"/>
      <c r="AR1392" s="341"/>
      <c r="AS1392" s="341"/>
      <c r="AT1392" s="341"/>
      <c r="AU1392" s="343"/>
      <c r="AV1392" s="341"/>
      <c r="AW1392" s="269" t="s">
        <v>2346</v>
      </c>
      <c r="AX1392" s="334" t="s">
        <v>2869</v>
      </c>
      <c r="AY1392" s="270" t="s">
        <v>695</v>
      </c>
      <c r="AZ1392" s="173" t="s">
        <v>5516</v>
      </c>
      <c r="BA1392" s="265">
        <v>10.0</v>
      </c>
      <c r="BB1392" s="174" t="s">
        <v>245</v>
      </c>
      <c r="BC1392" s="341"/>
      <c r="BD1392" s="308"/>
      <c r="BE1392" s="347"/>
      <c r="BF1392" s="274" t="str">
        <f>IFERROR(__xludf.DUMMYFUNCTION("LOWER(Regexreplace(to_text(E1392),""[^A-Za-z0-9]"","""")&amp;""_""&amp;Regexreplace(to_text(F1392),""[^A-Za-z0-9]"",""""))"),"neptronic_evcbseries")</f>
        <v>neptronic_evcbseries</v>
      </c>
      <c r="BG1392" s="275" t="str">
        <f>IFERROR(__xludf.DUMMYFUNCTION("upper(Regexreplace(to_text(E1392),""[^A-Za-z0-9]"","""")&amp;""-""&amp;Regexreplace(to_text(F1392),""[^A-Za-z0-9]"",""""))"),"NEPTRONIC-EVCBSERIES")</f>
        <v>NEPTRONIC-EVCBSERIES</v>
      </c>
    </row>
    <row r="1393" ht="30.0" customHeight="1">
      <c r="A1393" s="173">
        <v>1385.0</v>
      </c>
      <c r="B1393" s="237" t="s">
        <v>670</v>
      </c>
      <c r="C1393" s="257" t="s">
        <v>5676</v>
      </c>
      <c r="D1393" s="173" t="s">
        <v>5676</v>
      </c>
      <c r="E1393" s="174" t="s">
        <v>2861</v>
      </c>
      <c r="F1393" s="173" t="s">
        <v>2862</v>
      </c>
      <c r="G1393" s="328" t="s">
        <v>673</v>
      </c>
      <c r="H1393" s="328" t="s">
        <v>2863</v>
      </c>
      <c r="I1393" s="258" t="s">
        <v>2864</v>
      </c>
      <c r="J1393" s="259" t="s">
        <v>1149</v>
      </c>
      <c r="K1393" s="260" t="s">
        <v>5677</v>
      </c>
      <c r="L1393" s="359"/>
      <c r="M1393" s="359"/>
      <c r="N1393" s="173" t="s">
        <v>679</v>
      </c>
      <c r="O1393" s="173" t="s">
        <v>225</v>
      </c>
      <c r="P1393" s="262" t="str">
        <f t="shared" si="1"/>
        <v>IN-BLR-ANANTA-VAV-965_6</v>
      </c>
      <c r="Q1393" s="173" t="s">
        <v>5678</v>
      </c>
      <c r="R1393" s="328" t="str">
        <f>IFS(C1393="","",C1393="n/a","N/A",LEN(C1393),Concatenate("{",char(34),"asset",char(34),":{",char(34),"guid",char(34),":",char(34),Q1393,char(34),",",char(34),"site",char(34),":",char(34),LOWER('2-Building'!$B$4),char(34),",",char(34),"name",char(34),":",char(34),LOWER(C1393),char(34),"}}"))</f>
        <v>{"asset":{"guid":"uuid://86a9e3eb-0374-4f61-86a8-5f704858f57c","site":"in-blr-ananta","name":"vav-965"}}</v>
      </c>
      <c r="S1393" s="360" t="s">
        <v>5516</v>
      </c>
      <c r="T1393" s="330"/>
      <c r="U1393" s="330"/>
      <c r="V1393" s="331"/>
      <c r="W1393" s="344"/>
      <c r="X1393" s="341"/>
      <c r="Y1393" s="33" t="s">
        <v>2867</v>
      </c>
      <c r="Z1393" s="258">
        <v>120965.0</v>
      </c>
      <c r="AA1393" s="334">
        <v>11615.0</v>
      </c>
      <c r="AB1393" s="341"/>
      <c r="AC1393" s="341"/>
      <c r="AD1393" s="343"/>
      <c r="AE1393" s="331"/>
      <c r="AF1393" s="348"/>
      <c r="AG1393" s="337"/>
      <c r="AH1393" s="341"/>
      <c r="AI1393" s="341"/>
      <c r="AJ1393" s="341"/>
      <c r="AK1393" s="341"/>
      <c r="AL1393" s="341"/>
      <c r="AM1393" s="338"/>
      <c r="AN1393" s="341"/>
      <c r="AO1393" s="341"/>
      <c r="AP1393" s="341"/>
      <c r="AQ1393" s="341"/>
      <c r="AR1393" s="341"/>
      <c r="AS1393" s="341"/>
      <c r="AT1393" s="341"/>
      <c r="AU1393" s="343"/>
      <c r="AV1393" s="341"/>
      <c r="AW1393" s="269" t="s">
        <v>2346</v>
      </c>
      <c r="AX1393" s="334" t="s">
        <v>2869</v>
      </c>
      <c r="AY1393" s="270" t="s">
        <v>695</v>
      </c>
      <c r="AZ1393" s="173" t="s">
        <v>5516</v>
      </c>
      <c r="BA1393" s="265">
        <v>10.0</v>
      </c>
      <c r="BB1393" s="174" t="s">
        <v>245</v>
      </c>
      <c r="BC1393" s="341"/>
      <c r="BD1393" s="308"/>
      <c r="BE1393" s="347"/>
      <c r="BF1393" s="274" t="str">
        <f>IFERROR(__xludf.DUMMYFUNCTION("LOWER(Regexreplace(to_text(E1393),""[^A-Za-z0-9]"","""")&amp;""_""&amp;Regexreplace(to_text(F1393),""[^A-Za-z0-9]"",""""))"),"neptronic_evcbseries")</f>
        <v>neptronic_evcbseries</v>
      </c>
      <c r="BG1393" s="275" t="str">
        <f>IFERROR(__xludf.DUMMYFUNCTION("upper(Regexreplace(to_text(E1393),""[^A-Za-z0-9]"","""")&amp;""-""&amp;Regexreplace(to_text(F1393),""[^A-Za-z0-9]"",""""))"),"NEPTRONIC-EVCBSERIES")</f>
        <v>NEPTRONIC-EVCBSERIES</v>
      </c>
    </row>
    <row r="1394" ht="30.0" customHeight="1">
      <c r="A1394" s="258">
        <v>1386.0</v>
      </c>
      <c r="B1394" s="237" t="s">
        <v>670</v>
      </c>
      <c r="C1394" s="257" t="s">
        <v>5679</v>
      </c>
      <c r="D1394" s="173" t="s">
        <v>5679</v>
      </c>
      <c r="E1394" s="174" t="s">
        <v>2861</v>
      </c>
      <c r="F1394" s="173" t="s">
        <v>2862</v>
      </c>
      <c r="G1394" s="328" t="s">
        <v>673</v>
      </c>
      <c r="H1394" s="328" t="s">
        <v>2863</v>
      </c>
      <c r="I1394" s="258" t="s">
        <v>2864</v>
      </c>
      <c r="J1394" s="259" t="s">
        <v>1149</v>
      </c>
      <c r="K1394" s="260" t="s">
        <v>4598</v>
      </c>
      <c r="L1394" s="359"/>
      <c r="M1394" s="359"/>
      <c r="N1394" s="173" t="s">
        <v>679</v>
      </c>
      <c r="O1394" s="173" t="s">
        <v>225</v>
      </c>
      <c r="P1394" s="262" t="str">
        <f t="shared" si="1"/>
        <v>IN-BLR-ANANTA-VAV-966_6</v>
      </c>
      <c r="Q1394" s="173" t="s">
        <v>5680</v>
      </c>
      <c r="R1394" s="328" t="str">
        <f>IFS(C1394="","",C1394="n/a","N/A",LEN(C1394),Concatenate("{",char(34),"asset",char(34),":{",char(34),"guid",char(34),":",char(34),Q1394,char(34),",",char(34),"site",char(34),":",char(34),LOWER('2-Building'!$B$4),char(34),",",char(34),"name",char(34),":",char(34),LOWER(C1394),char(34),"}}"))</f>
        <v>{"asset":{"guid":"uuid://bfde87d6-3b3f-475e-a753-0317137bd5ee","site":"in-blr-ananta","name":"vav-966"}}</v>
      </c>
      <c r="S1394" s="360" t="s">
        <v>5516</v>
      </c>
      <c r="T1394" s="330"/>
      <c r="U1394" s="330"/>
      <c r="V1394" s="331"/>
      <c r="W1394" s="344"/>
      <c r="X1394" s="341"/>
      <c r="Y1394" s="33" t="s">
        <v>2867</v>
      </c>
      <c r="Z1394" s="258">
        <v>120966.0</v>
      </c>
      <c r="AA1394" s="334">
        <v>11615.0</v>
      </c>
      <c r="AB1394" s="341"/>
      <c r="AC1394" s="341"/>
      <c r="AD1394" s="343"/>
      <c r="AE1394" s="331"/>
      <c r="AF1394" s="348"/>
      <c r="AG1394" s="337"/>
      <c r="AH1394" s="341"/>
      <c r="AI1394" s="341"/>
      <c r="AJ1394" s="341"/>
      <c r="AK1394" s="341"/>
      <c r="AL1394" s="341"/>
      <c r="AM1394" s="338"/>
      <c r="AN1394" s="341"/>
      <c r="AO1394" s="341"/>
      <c r="AP1394" s="341"/>
      <c r="AQ1394" s="341"/>
      <c r="AR1394" s="341"/>
      <c r="AS1394" s="341"/>
      <c r="AT1394" s="341"/>
      <c r="AU1394" s="343"/>
      <c r="AV1394" s="341"/>
      <c r="AW1394" s="269" t="s">
        <v>2346</v>
      </c>
      <c r="AX1394" s="334" t="s">
        <v>2869</v>
      </c>
      <c r="AY1394" s="270" t="s">
        <v>695</v>
      </c>
      <c r="AZ1394" s="173" t="s">
        <v>5516</v>
      </c>
      <c r="BA1394" s="265">
        <v>10.0</v>
      </c>
      <c r="BB1394" s="174" t="s">
        <v>245</v>
      </c>
      <c r="BC1394" s="341"/>
      <c r="BD1394" s="308"/>
      <c r="BE1394" s="347"/>
      <c r="BF1394" s="274" t="str">
        <f>IFERROR(__xludf.DUMMYFUNCTION("LOWER(Regexreplace(to_text(E1394),""[^A-Za-z0-9]"","""")&amp;""_""&amp;Regexreplace(to_text(F1394),""[^A-Za-z0-9]"",""""))"),"neptronic_evcbseries")</f>
        <v>neptronic_evcbseries</v>
      </c>
      <c r="BG1394" s="275" t="str">
        <f>IFERROR(__xludf.DUMMYFUNCTION("upper(Regexreplace(to_text(E1394),""[^A-Za-z0-9]"","""")&amp;""-""&amp;Regexreplace(to_text(F1394),""[^A-Za-z0-9]"",""""))"),"NEPTRONIC-EVCBSERIES")</f>
        <v>NEPTRONIC-EVCBSERIES</v>
      </c>
    </row>
    <row r="1395" ht="30.0" customHeight="1">
      <c r="A1395" s="173">
        <v>1387.0</v>
      </c>
      <c r="B1395" s="237" t="s">
        <v>670</v>
      </c>
      <c r="C1395" s="257" t="s">
        <v>5681</v>
      </c>
      <c r="D1395" s="173" t="s">
        <v>5681</v>
      </c>
      <c r="E1395" s="174" t="s">
        <v>2861</v>
      </c>
      <c r="F1395" s="173" t="s">
        <v>2862</v>
      </c>
      <c r="G1395" s="328" t="s">
        <v>673</v>
      </c>
      <c r="H1395" s="328" t="s">
        <v>2863</v>
      </c>
      <c r="I1395" s="258" t="s">
        <v>2864</v>
      </c>
      <c r="J1395" s="259" t="s">
        <v>1149</v>
      </c>
      <c r="K1395" s="260" t="s">
        <v>5682</v>
      </c>
      <c r="L1395" s="359"/>
      <c r="M1395" s="359"/>
      <c r="N1395" s="173" t="s">
        <v>679</v>
      </c>
      <c r="O1395" s="173" t="s">
        <v>225</v>
      </c>
      <c r="P1395" s="262" t="str">
        <f t="shared" si="1"/>
        <v>IN-BLR-ANANTA-VAV-967_6</v>
      </c>
      <c r="Q1395" s="173" t="s">
        <v>5683</v>
      </c>
      <c r="R1395" s="328" t="str">
        <f>IFS(C1395="","",C1395="n/a","N/A",LEN(C1395),Concatenate("{",char(34),"asset",char(34),":{",char(34),"guid",char(34),":",char(34),Q1395,char(34),",",char(34),"site",char(34),":",char(34),LOWER('2-Building'!$B$4),char(34),",",char(34),"name",char(34),":",char(34),LOWER(C1395),char(34),"}}"))</f>
        <v>{"asset":{"guid":"uuid://63b770f9-73bf-40b2-9fff-0caa08456c30","site":"in-blr-ananta","name":"vav-967"}}</v>
      </c>
      <c r="S1395" s="360" t="s">
        <v>5516</v>
      </c>
      <c r="T1395" s="330"/>
      <c r="U1395" s="330"/>
      <c r="V1395" s="331"/>
      <c r="W1395" s="344"/>
      <c r="X1395" s="341"/>
      <c r="Y1395" s="33" t="s">
        <v>2867</v>
      </c>
      <c r="Z1395" s="258">
        <v>120967.0</v>
      </c>
      <c r="AA1395" s="334">
        <v>11615.0</v>
      </c>
      <c r="AB1395" s="341"/>
      <c r="AC1395" s="341"/>
      <c r="AD1395" s="343"/>
      <c r="AE1395" s="331"/>
      <c r="AF1395" s="348"/>
      <c r="AG1395" s="337"/>
      <c r="AH1395" s="341"/>
      <c r="AI1395" s="341"/>
      <c r="AJ1395" s="341"/>
      <c r="AK1395" s="341"/>
      <c r="AL1395" s="341"/>
      <c r="AM1395" s="338"/>
      <c r="AN1395" s="341"/>
      <c r="AO1395" s="341"/>
      <c r="AP1395" s="341"/>
      <c r="AQ1395" s="341"/>
      <c r="AR1395" s="341"/>
      <c r="AS1395" s="341"/>
      <c r="AT1395" s="341"/>
      <c r="AU1395" s="343"/>
      <c r="AV1395" s="341"/>
      <c r="AW1395" s="269" t="s">
        <v>2346</v>
      </c>
      <c r="AX1395" s="334" t="s">
        <v>2869</v>
      </c>
      <c r="AY1395" s="270" t="s">
        <v>695</v>
      </c>
      <c r="AZ1395" s="173" t="s">
        <v>5516</v>
      </c>
      <c r="BA1395" s="265">
        <v>10.0</v>
      </c>
      <c r="BB1395" s="174" t="s">
        <v>245</v>
      </c>
      <c r="BC1395" s="341"/>
      <c r="BD1395" s="308"/>
      <c r="BE1395" s="347"/>
      <c r="BF1395" s="274" t="str">
        <f>IFERROR(__xludf.DUMMYFUNCTION("LOWER(Regexreplace(to_text(E1395),""[^A-Za-z0-9]"","""")&amp;""_""&amp;Regexreplace(to_text(F1395),""[^A-Za-z0-9]"",""""))"),"neptronic_evcbseries")</f>
        <v>neptronic_evcbseries</v>
      </c>
      <c r="BG1395" s="275" t="str">
        <f>IFERROR(__xludf.DUMMYFUNCTION("upper(Regexreplace(to_text(E1395),""[^A-Za-z0-9]"","""")&amp;""-""&amp;Regexreplace(to_text(F1395),""[^A-Za-z0-9]"",""""))"),"NEPTRONIC-EVCBSERIES")</f>
        <v>NEPTRONIC-EVCBSERIES</v>
      </c>
    </row>
    <row r="1396" ht="30.0" customHeight="1">
      <c r="A1396" s="258">
        <v>1388.0</v>
      </c>
      <c r="B1396" s="237" t="s">
        <v>670</v>
      </c>
      <c r="C1396" s="257" t="s">
        <v>5684</v>
      </c>
      <c r="D1396" s="173" t="s">
        <v>5684</v>
      </c>
      <c r="E1396" s="174" t="s">
        <v>2861</v>
      </c>
      <c r="F1396" s="173" t="s">
        <v>2862</v>
      </c>
      <c r="G1396" s="328" t="s">
        <v>673</v>
      </c>
      <c r="H1396" s="328" t="s">
        <v>2863</v>
      </c>
      <c r="I1396" s="258" t="s">
        <v>2864</v>
      </c>
      <c r="J1396" s="259" t="s">
        <v>1149</v>
      </c>
      <c r="K1396" s="260" t="s">
        <v>5685</v>
      </c>
      <c r="L1396" s="359"/>
      <c r="M1396" s="359"/>
      <c r="N1396" s="173" t="s">
        <v>679</v>
      </c>
      <c r="O1396" s="173" t="s">
        <v>225</v>
      </c>
      <c r="P1396" s="262" t="str">
        <f t="shared" si="1"/>
        <v>IN-BLR-ANANTA-VAV-968_6</v>
      </c>
      <c r="Q1396" s="173" t="s">
        <v>5686</v>
      </c>
      <c r="R1396" s="328" t="str">
        <f>IFS(C1396="","",C1396="n/a","N/A",LEN(C1396),Concatenate("{",char(34),"asset",char(34),":{",char(34),"guid",char(34),":",char(34),Q1396,char(34),",",char(34),"site",char(34),":",char(34),LOWER('2-Building'!$B$4),char(34),",",char(34),"name",char(34),":",char(34),LOWER(C1396),char(34),"}}"))</f>
        <v>{"asset":{"guid":"uuid://207fdbe0-0f9f-493d-a2e5-ef349f4b3219","site":"in-blr-ananta","name":"vav-968"}}</v>
      </c>
      <c r="S1396" s="360" t="s">
        <v>5516</v>
      </c>
      <c r="T1396" s="330"/>
      <c r="U1396" s="330"/>
      <c r="V1396" s="331"/>
      <c r="W1396" s="344"/>
      <c r="X1396" s="341"/>
      <c r="Y1396" s="33" t="s">
        <v>2867</v>
      </c>
      <c r="Z1396" s="258">
        <v>120968.0</v>
      </c>
      <c r="AA1396" s="334">
        <v>11615.0</v>
      </c>
      <c r="AB1396" s="341"/>
      <c r="AC1396" s="341"/>
      <c r="AD1396" s="343"/>
      <c r="AE1396" s="331"/>
      <c r="AF1396" s="348"/>
      <c r="AG1396" s="337"/>
      <c r="AH1396" s="341"/>
      <c r="AI1396" s="341"/>
      <c r="AJ1396" s="341"/>
      <c r="AK1396" s="341"/>
      <c r="AL1396" s="341"/>
      <c r="AM1396" s="338"/>
      <c r="AN1396" s="341"/>
      <c r="AO1396" s="341"/>
      <c r="AP1396" s="341"/>
      <c r="AQ1396" s="341"/>
      <c r="AR1396" s="341"/>
      <c r="AS1396" s="341"/>
      <c r="AT1396" s="341"/>
      <c r="AU1396" s="343"/>
      <c r="AV1396" s="341"/>
      <c r="AW1396" s="269" t="s">
        <v>2346</v>
      </c>
      <c r="AX1396" s="334" t="s">
        <v>2869</v>
      </c>
      <c r="AY1396" s="270" t="s">
        <v>695</v>
      </c>
      <c r="AZ1396" s="173" t="s">
        <v>5516</v>
      </c>
      <c r="BA1396" s="265">
        <v>10.0</v>
      </c>
      <c r="BB1396" s="174" t="s">
        <v>245</v>
      </c>
      <c r="BC1396" s="341"/>
      <c r="BD1396" s="308"/>
      <c r="BE1396" s="347"/>
      <c r="BF1396" s="274" t="str">
        <f>IFERROR(__xludf.DUMMYFUNCTION("LOWER(Regexreplace(to_text(E1396),""[^A-Za-z0-9]"","""")&amp;""_""&amp;Regexreplace(to_text(F1396),""[^A-Za-z0-9]"",""""))"),"neptronic_evcbseries")</f>
        <v>neptronic_evcbseries</v>
      </c>
      <c r="BG1396" s="275" t="str">
        <f>IFERROR(__xludf.DUMMYFUNCTION("upper(Regexreplace(to_text(E1396),""[^A-Za-z0-9]"","""")&amp;""-""&amp;Regexreplace(to_text(F1396),""[^A-Za-z0-9]"",""""))"),"NEPTRONIC-EVCBSERIES")</f>
        <v>NEPTRONIC-EVCBSERIES</v>
      </c>
    </row>
    <row r="1397" ht="30.0" customHeight="1">
      <c r="A1397" s="173">
        <v>1389.0</v>
      </c>
      <c r="B1397" s="237" t="s">
        <v>670</v>
      </c>
      <c r="C1397" s="257" t="s">
        <v>5687</v>
      </c>
      <c r="D1397" s="173" t="s">
        <v>5687</v>
      </c>
      <c r="E1397" s="174" t="s">
        <v>2861</v>
      </c>
      <c r="F1397" s="173" t="s">
        <v>2862</v>
      </c>
      <c r="G1397" s="328" t="s">
        <v>673</v>
      </c>
      <c r="H1397" s="328" t="s">
        <v>2863</v>
      </c>
      <c r="I1397" s="258" t="s">
        <v>2864</v>
      </c>
      <c r="J1397" s="259" t="s">
        <v>1149</v>
      </c>
      <c r="K1397" s="260" t="s">
        <v>5688</v>
      </c>
      <c r="L1397" s="359"/>
      <c r="M1397" s="359"/>
      <c r="N1397" s="173" t="s">
        <v>679</v>
      </c>
      <c r="O1397" s="173" t="s">
        <v>225</v>
      </c>
      <c r="P1397" s="262" t="str">
        <f t="shared" si="1"/>
        <v>IN-BLR-ANANTA-VAV-969_6</v>
      </c>
      <c r="Q1397" s="173" t="s">
        <v>5689</v>
      </c>
      <c r="R1397" s="328" t="str">
        <f>IFS(C1397="","",C1397="n/a","N/A",LEN(C1397),Concatenate("{",char(34),"asset",char(34),":{",char(34),"guid",char(34),":",char(34),Q1397,char(34),",",char(34),"site",char(34),":",char(34),LOWER('2-Building'!$B$4),char(34),",",char(34),"name",char(34),":",char(34),LOWER(C1397),char(34),"}}"))</f>
        <v>{"asset":{"guid":"uuid://f8bca6dd-0bd4-4ddb-bbf3-f8a8e6b1daa6","site":"in-blr-ananta","name":"vav-969"}}</v>
      </c>
      <c r="S1397" s="360" t="s">
        <v>5516</v>
      </c>
      <c r="T1397" s="330"/>
      <c r="U1397" s="330"/>
      <c r="V1397" s="331"/>
      <c r="W1397" s="344"/>
      <c r="X1397" s="341"/>
      <c r="Y1397" s="33" t="s">
        <v>2867</v>
      </c>
      <c r="Z1397" s="258">
        <v>120969.0</v>
      </c>
      <c r="AA1397" s="334">
        <v>11615.0</v>
      </c>
      <c r="AB1397" s="341"/>
      <c r="AC1397" s="341"/>
      <c r="AD1397" s="343"/>
      <c r="AE1397" s="331"/>
      <c r="AF1397" s="348"/>
      <c r="AG1397" s="337"/>
      <c r="AH1397" s="341"/>
      <c r="AI1397" s="341"/>
      <c r="AJ1397" s="341"/>
      <c r="AK1397" s="341"/>
      <c r="AL1397" s="341"/>
      <c r="AM1397" s="338"/>
      <c r="AN1397" s="341"/>
      <c r="AO1397" s="341"/>
      <c r="AP1397" s="341"/>
      <c r="AQ1397" s="341"/>
      <c r="AR1397" s="341"/>
      <c r="AS1397" s="341"/>
      <c r="AT1397" s="341"/>
      <c r="AU1397" s="343"/>
      <c r="AV1397" s="341"/>
      <c r="AW1397" s="269" t="s">
        <v>2346</v>
      </c>
      <c r="AX1397" s="334" t="s">
        <v>2869</v>
      </c>
      <c r="AY1397" s="270" t="s">
        <v>695</v>
      </c>
      <c r="AZ1397" s="173" t="s">
        <v>5516</v>
      </c>
      <c r="BA1397" s="265">
        <v>10.0</v>
      </c>
      <c r="BB1397" s="174" t="s">
        <v>245</v>
      </c>
      <c r="BC1397" s="341"/>
      <c r="BD1397" s="308"/>
      <c r="BE1397" s="347"/>
      <c r="BF1397" s="274" t="str">
        <f>IFERROR(__xludf.DUMMYFUNCTION("LOWER(Regexreplace(to_text(E1397),""[^A-Za-z0-9]"","""")&amp;""_""&amp;Regexreplace(to_text(F1397),""[^A-Za-z0-9]"",""""))"),"neptronic_evcbseries")</f>
        <v>neptronic_evcbseries</v>
      </c>
      <c r="BG1397" s="275" t="str">
        <f>IFERROR(__xludf.DUMMYFUNCTION("upper(Regexreplace(to_text(E1397),""[^A-Za-z0-9]"","""")&amp;""-""&amp;Regexreplace(to_text(F1397),""[^A-Za-z0-9]"",""""))"),"NEPTRONIC-EVCBSERIES")</f>
        <v>NEPTRONIC-EVCBSERIES</v>
      </c>
    </row>
    <row r="1398" ht="30.0" customHeight="1">
      <c r="A1398" s="258">
        <v>1390.0</v>
      </c>
      <c r="B1398" s="237" t="s">
        <v>670</v>
      </c>
      <c r="C1398" s="257" t="s">
        <v>5690</v>
      </c>
      <c r="D1398" s="173" t="s">
        <v>5690</v>
      </c>
      <c r="E1398" s="174" t="s">
        <v>2861</v>
      </c>
      <c r="F1398" s="173" t="s">
        <v>2862</v>
      </c>
      <c r="G1398" s="328" t="s">
        <v>673</v>
      </c>
      <c r="H1398" s="328" t="s">
        <v>2863</v>
      </c>
      <c r="I1398" s="258" t="s">
        <v>2864</v>
      </c>
      <c r="J1398" s="259" t="s">
        <v>1149</v>
      </c>
      <c r="K1398" s="260" t="s">
        <v>5691</v>
      </c>
      <c r="L1398" s="359"/>
      <c r="M1398" s="359"/>
      <c r="N1398" s="173" t="s">
        <v>679</v>
      </c>
      <c r="O1398" s="173" t="s">
        <v>225</v>
      </c>
      <c r="P1398" s="262" t="str">
        <f t="shared" si="1"/>
        <v>IN-BLR-ANANTA-VAV-970_6</v>
      </c>
      <c r="Q1398" s="173" t="s">
        <v>5692</v>
      </c>
      <c r="R1398" s="328" t="str">
        <f>IFS(C1398="","",C1398="n/a","N/A",LEN(C1398),Concatenate("{",char(34),"asset",char(34),":{",char(34),"guid",char(34),":",char(34),Q1398,char(34),",",char(34),"site",char(34),":",char(34),LOWER('2-Building'!$B$4),char(34),",",char(34),"name",char(34),":",char(34),LOWER(C1398),char(34),"}}"))</f>
        <v>{"asset":{"guid":"uuid://db49e1a9-dc4a-483c-967a-4b0d318ebcd0","site":"in-blr-ananta","name":"vav-970"}}</v>
      </c>
      <c r="S1398" s="360" t="s">
        <v>5516</v>
      </c>
      <c r="T1398" s="330"/>
      <c r="U1398" s="330"/>
      <c r="V1398" s="331"/>
      <c r="W1398" s="344"/>
      <c r="X1398" s="341"/>
      <c r="Y1398" s="33" t="s">
        <v>2867</v>
      </c>
      <c r="Z1398" s="258">
        <v>120970.0</v>
      </c>
      <c r="AA1398" s="334">
        <v>11615.0</v>
      </c>
      <c r="AB1398" s="341"/>
      <c r="AC1398" s="341"/>
      <c r="AD1398" s="343"/>
      <c r="AE1398" s="331"/>
      <c r="AF1398" s="348"/>
      <c r="AG1398" s="337"/>
      <c r="AH1398" s="341"/>
      <c r="AI1398" s="341"/>
      <c r="AJ1398" s="341"/>
      <c r="AK1398" s="341"/>
      <c r="AL1398" s="341"/>
      <c r="AM1398" s="338"/>
      <c r="AN1398" s="341"/>
      <c r="AO1398" s="341"/>
      <c r="AP1398" s="341"/>
      <c r="AQ1398" s="341"/>
      <c r="AR1398" s="341"/>
      <c r="AS1398" s="341"/>
      <c r="AT1398" s="341"/>
      <c r="AU1398" s="343"/>
      <c r="AV1398" s="341"/>
      <c r="AW1398" s="269" t="s">
        <v>2346</v>
      </c>
      <c r="AX1398" s="334" t="s">
        <v>2869</v>
      </c>
      <c r="AY1398" s="270" t="s">
        <v>695</v>
      </c>
      <c r="AZ1398" s="173" t="s">
        <v>5516</v>
      </c>
      <c r="BA1398" s="265">
        <v>10.0</v>
      </c>
      <c r="BB1398" s="174" t="s">
        <v>245</v>
      </c>
      <c r="BC1398" s="341"/>
      <c r="BD1398" s="308"/>
      <c r="BE1398" s="347"/>
      <c r="BF1398" s="274" t="str">
        <f>IFERROR(__xludf.DUMMYFUNCTION("LOWER(Regexreplace(to_text(E1398),""[^A-Za-z0-9]"","""")&amp;""_""&amp;Regexreplace(to_text(F1398),""[^A-Za-z0-9]"",""""))"),"neptronic_evcbseries")</f>
        <v>neptronic_evcbseries</v>
      </c>
      <c r="BG1398" s="275" t="str">
        <f>IFERROR(__xludf.DUMMYFUNCTION("upper(Regexreplace(to_text(E1398),""[^A-Za-z0-9]"","""")&amp;""-""&amp;Regexreplace(to_text(F1398),""[^A-Za-z0-9]"",""""))"),"NEPTRONIC-EVCBSERIES")</f>
        <v>NEPTRONIC-EVCBSERIES</v>
      </c>
    </row>
    <row r="1399" ht="30.0" customHeight="1">
      <c r="A1399" s="173">
        <v>1391.0</v>
      </c>
      <c r="B1399" s="237" t="s">
        <v>670</v>
      </c>
      <c r="C1399" s="257" t="s">
        <v>5693</v>
      </c>
      <c r="D1399" s="173" t="s">
        <v>5693</v>
      </c>
      <c r="E1399" s="174" t="s">
        <v>2861</v>
      </c>
      <c r="F1399" s="173" t="s">
        <v>2862</v>
      </c>
      <c r="G1399" s="328" t="s">
        <v>673</v>
      </c>
      <c r="H1399" s="328" t="s">
        <v>2863</v>
      </c>
      <c r="I1399" s="258" t="s">
        <v>2864</v>
      </c>
      <c r="J1399" s="259" t="s">
        <v>1149</v>
      </c>
      <c r="K1399" s="260" t="s">
        <v>5694</v>
      </c>
      <c r="L1399" s="359"/>
      <c r="M1399" s="359"/>
      <c r="N1399" s="173" t="s">
        <v>679</v>
      </c>
      <c r="O1399" s="173" t="s">
        <v>225</v>
      </c>
      <c r="P1399" s="262" t="str">
        <f t="shared" si="1"/>
        <v>IN-BLR-ANANTA-VAV-971_6</v>
      </c>
      <c r="Q1399" s="173" t="s">
        <v>5695</v>
      </c>
      <c r="R1399" s="328" t="str">
        <f>IFS(C1399="","",C1399="n/a","N/A",LEN(C1399),Concatenate("{",char(34),"asset",char(34),":{",char(34),"guid",char(34),":",char(34),Q1399,char(34),",",char(34),"site",char(34),":",char(34),LOWER('2-Building'!$B$4),char(34),",",char(34),"name",char(34),":",char(34),LOWER(C1399),char(34),"}}"))</f>
        <v>{"asset":{"guid":"uuid://975d8be1-e0a6-4478-89fd-86a4d698cfb7","site":"in-blr-ananta","name":"vav-971"}}</v>
      </c>
      <c r="S1399" s="360" t="s">
        <v>5516</v>
      </c>
      <c r="T1399" s="330"/>
      <c r="U1399" s="330"/>
      <c r="V1399" s="331"/>
      <c r="W1399" s="344"/>
      <c r="X1399" s="341"/>
      <c r="Y1399" s="33" t="s">
        <v>2867</v>
      </c>
      <c r="Z1399" s="258">
        <v>120971.0</v>
      </c>
      <c r="AA1399" s="334">
        <v>11615.0</v>
      </c>
      <c r="AB1399" s="341"/>
      <c r="AC1399" s="341"/>
      <c r="AD1399" s="343"/>
      <c r="AE1399" s="331"/>
      <c r="AF1399" s="348"/>
      <c r="AG1399" s="337"/>
      <c r="AH1399" s="341"/>
      <c r="AI1399" s="341"/>
      <c r="AJ1399" s="341"/>
      <c r="AK1399" s="341"/>
      <c r="AL1399" s="341"/>
      <c r="AM1399" s="338"/>
      <c r="AN1399" s="341"/>
      <c r="AO1399" s="341"/>
      <c r="AP1399" s="341"/>
      <c r="AQ1399" s="341"/>
      <c r="AR1399" s="341"/>
      <c r="AS1399" s="341"/>
      <c r="AT1399" s="341"/>
      <c r="AU1399" s="343"/>
      <c r="AV1399" s="341"/>
      <c r="AW1399" s="269" t="s">
        <v>2346</v>
      </c>
      <c r="AX1399" s="334" t="s">
        <v>2869</v>
      </c>
      <c r="AY1399" s="270" t="s">
        <v>695</v>
      </c>
      <c r="AZ1399" s="173" t="s">
        <v>5516</v>
      </c>
      <c r="BA1399" s="265">
        <v>10.0</v>
      </c>
      <c r="BB1399" s="174" t="s">
        <v>245</v>
      </c>
      <c r="BC1399" s="341"/>
      <c r="BD1399" s="308"/>
      <c r="BE1399" s="347"/>
      <c r="BF1399" s="274" t="str">
        <f>IFERROR(__xludf.DUMMYFUNCTION("LOWER(Regexreplace(to_text(E1399),""[^A-Za-z0-9]"","""")&amp;""_""&amp;Regexreplace(to_text(F1399),""[^A-Za-z0-9]"",""""))"),"neptronic_evcbseries")</f>
        <v>neptronic_evcbseries</v>
      </c>
      <c r="BG1399" s="275" t="str">
        <f>IFERROR(__xludf.DUMMYFUNCTION("upper(Regexreplace(to_text(E1399),""[^A-Za-z0-9]"","""")&amp;""-""&amp;Regexreplace(to_text(F1399),""[^A-Za-z0-9]"",""""))"),"NEPTRONIC-EVCBSERIES")</f>
        <v>NEPTRONIC-EVCBSERIES</v>
      </c>
    </row>
    <row r="1400" ht="30.0" customHeight="1">
      <c r="A1400" s="258">
        <v>1392.0</v>
      </c>
      <c r="B1400" s="237" t="s">
        <v>670</v>
      </c>
      <c r="C1400" s="257" t="s">
        <v>5696</v>
      </c>
      <c r="D1400" s="173" t="s">
        <v>5696</v>
      </c>
      <c r="E1400" s="174" t="s">
        <v>2861</v>
      </c>
      <c r="F1400" s="173" t="s">
        <v>2862</v>
      </c>
      <c r="G1400" s="328" t="s">
        <v>673</v>
      </c>
      <c r="H1400" s="328" t="s">
        <v>2863</v>
      </c>
      <c r="I1400" s="258" t="s">
        <v>2864</v>
      </c>
      <c r="J1400" s="259" t="s">
        <v>1149</v>
      </c>
      <c r="K1400" s="260" t="s">
        <v>5694</v>
      </c>
      <c r="L1400" s="359"/>
      <c r="M1400" s="359"/>
      <c r="N1400" s="173" t="s">
        <v>679</v>
      </c>
      <c r="O1400" s="173" t="s">
        <v>225</v>
      </c>
      <c r="P1400" s="262" t="str">
        <f t="shared" si="1"/>
        <v>IN-BLR-ANANTA-VAV-972_6</v>
      </c>
      <c r="Q1400" s="173" t="s">
        <v>5697</v>
      </c>
      <c r="R1400" s="328" t="str">
        <f>IFS(C1400="","",C1400="n/a","N/A",LEN(C1400),Concatenate("{",char(34),"asset",char(34),":{",char(34),"guid",char(34),":",char(34),Q1400,char(34),",",char(34),"site",char(34),":",char(34),LOWER('2-Building'!$B$4),char(34),",",char(34),"name",char(34),":",char(34),LOWER(C1400),char(34),"}}"))</f>
        <v>{"asset":{"guid":"uuid://b81db653-803d-4223-a414-4bb13f86d5e0","site":"in-blr-ananta","name":"vav-972"}}</v>
      </c>
      <c r="S1400" s="360" t="s">
        <v>5516</v>
      </c>
      <c r="T1400" s="330"/>
      <c r="U1400" s="330"/>
      <c r="V1400" s="331"/>
      <c r="W1400" s="344"/>
      <c r="X1400" s="341"/>
      <c r="Y1400" s="33" t="s">
        <v>2867</v>
      </c>
      <c r="Z1400" s="258">
        <v>120972.0</v>
      </c>
      <c r="AA1400" s="334">
        <v>11615.0</v>
      </c>
      <c r="AB1400" s="341"/>
      <c r="AC1400" s="341"/>
      <c r="AD1400" s="343"/>
      <c r="AE1400" s="331"/>
      <c r="AF1400" s="348"/>
      <c r="AG1400" s="337"/>
      <c r="AH1400" s="341"/>
      <c r="AI1400" s="341"/>
      <c r="AJ1400" s="341"/>
      <c r="AK1400" s="341"/>
      <c r="AL1400" s="341"/>
      <c r="AM1400" s="338"/>
      <c r="AN1400" s="341"/>
      <c r="AO1400" s="341"/>
      <c r="AP1400" s="341"/>
      <c r="AQ1400" s="341"/>
      <c r="AR1400" s="341"/>
      <c r="AS1400" s="341"/>
      <c r="AT1400" s="341"/>
      <c r="AU1400" s="343"/>
      <c r="AV1400" s="341"/>
      <c r="AW1400" s="269" t="s">
        <v>2346</v>
      </c>
      <c r="AX1400" s="334" t="s">
        <v>2869</v>
      </c>
      <c r="AY1400" s="270" t="s">
        <v>695</v>
      </c>
      <c r="AZ1400" s="173" t="s">
        <v>5516</v>
      </c>
      <c r="BA1400" s="265">
        <v>10.0</v>
      </c>
      <c r="BB1400" s="174" t="s">
        <v>245</v>
      </c>
      <c r="BC1400" s="341"/>
      <c r="BD1400" s="308"/>
      <c r="BE1400" s="347"/>
      <c r="BF1400" s="274" t="str">
        <f>IFERROR(__xludf.DUMMYFUNCTION("LOWER(Regexreplace(to_text(E1400),""[^A-Za-z0-9]"","""")&amp;""_""&amp;Regexreplace(to_text(F1400),""[^A-Za-z0-9]"",""""))"),"neptronic_evcbseries")</f>
        <v>neptronic_evcbseries</v>
      </c>
      <c r="BG1400" s="275" t="str">
        <f>IFERROR(__xludf.DUMMYFUNCTION("upper(Regexreplace(to_text(E1400),""[^A-Za-z0-9]"","""")&amp;""-""&amp;Regexreplace(to_text(F1400),""[^A-Za-z0-9]"",""""))"),"NEPTRONIC-EVCBSERIES")</f>
        <v>NEPTRONIC-EVCBSERIES</v>
      </c>
    </row>
    <row r="1401" ht="30.0" customHeight="1">
      <c r="A1401" s="173">
        <v>1393.0</v>
      </c>
      <c r="B1401" s="237" t="s">
        <v>670</v>
      </c>
      <c r="C1401" s="257" t="s">
        <v>5698</v>
      </c>
      <c r="D1401" s="173" t="s">
        <v>5698</v>
      </c>
      <c r="E1401" s="174" t="s">
        <v>2861</v>
      </c>
      <c r="F1401" s="173" t="s">
        <v>2862</v>
      </c>
      <c r="G1401" s="328" t="s">
        <v>673</v>
      </c>
      <c r="H1401" s="328" t="s">
        <v>2863</v>
      </c>
      <c r="I1401" s="258" t="s">
        <v>2864</v>
      </c>
      <c r="J1401" s="259" t="s">
        <v>1149</v>
      </c>
      <c r="K1401" s="260" t="s">
        <v>5699</v>
      </c>
      <c r="L1401" s="359"/>
      <c r="M1401" s="359"/>
      <c r="N1401" s="173" t="s">
        <v>679</v>
      </c>
      <c r="O1401" s="173" t="s">
        <v>225</v>
      </c>
      <c r="P1401" s="262" t="str">
        <f t="shared" si="1"/>
        <v>IN-BLR-ANANTA-VAV-973_6</v>
      </c>
      <c r="Q1401" s="173" t="s">
        <v>5700</v>
      </c>
      <c r="R1401" s="328" t="str">
        <f>IFS(C1401="","",C1401="n/a","N/A",LEN(C1401),Concatenate("{",char(34),"asset",char(34),":{",char(34),"guid",char(34),":",char(34),Q1401,char(34),",",char(34),"site",char(34),":",char(34),LOWER('2-Building'!$B$4),char(34),",",char(34),"name",char(34),":",char(34),LOWER(C1401),char(34),"}}"))</f>
        <v>{"asset":{"guid":"uuid://08449172-4ff1-41af-b100-5373a2ad1591","site":"in-blr-ananta","name":"vav-973"}}</v>
      </c>
      <c r="S1401" s="360" t="s">
        <v>5516</v>
      </c>
      <c r="T1401" s="330"/>
      <c r="U1401" s="330"/>
      <c r="V1401" s="331"/>
      <c r="W1401" s="344"/>
      <c r="X1401" s="341"/>
      <c r="Y1401" s="33" t="s">
        <v>2867</v>
      </c>
      <c r="Z1401" s="258">
        <v>120973.0</v>
      </c>
      <c r="AA1401" s="334">
        <v>11615.0</v>
      </c>
      <c r="AB1401" s="341"/>
      <c r="AC1401" s="341"/>
      <c r="AD1401" s="343"/>
      <c r="AE1401" s="331"/>
      <c r="AF1401" s="348"/>
      <c r="AG1401" s="337"/>
      <c r="AH1401" s="341"/>
      <c r="AI1401" s="341"/>
      <c r="AJ1401" s="341"/>
      <c r="AK1401" s="341"/>
      <c r="AL1401" s="341"/>
      <c r="AM1401" s="338"/>
      <c r="AN1401" s="341"/>
      <c r="AO1401" s="341"/>
      <c r="AP1401" s="341"/>
      <c r="AQ1401" s="341"/>
      <c r="AR1401" s="341"/>
      <c r="AS1401" s="341"/>
      <c r="AT1401" s="341"/>
      <c r="AU1401" s="343"/>
      <c r="AV1401" s="341"/>
      <c r="AW1401" s="269" t="s">
        <v>2346</v>
      </c>
      <c r="AX1401" s="334" t="s">
        <v>2869</v>
      </c>
      <c r="AY1401" s="270" t="s">
        <v>695</v>
      </c>
      <c r="AZ1401" s="173" t="s">
        <v>5516</v>
      </c>
      <c r="BA1401" s="265">
        <v>10.0</v>
      </c>
      <c r="BB1401" s="174" t="s">
        <v>245</v>
      </c>
      <c r="BC1401" s="341"/>
      <c r="BD1401" s="308"/>
      <c r="BE1401" s="347"/>
      <c r="BF1401" s="274" t="str">
        <f>IFERROR(__xludf.DUMMYFUNCTION("LOWER(Regexreplace(to_text(E1401),""[^A-Za-z0-9]"","""")&amp;""_""&amp;Regexreplace(to_text(F1401),""[^A-Za-z0-9]"",""""))"),"neptronic_evcbseries")</f>
        <v>neptronic_evcbseries</v>
      </c>
      <c r="BG1401" s="275" t="str">
        <f>IFERROR(__xludf.DUMMYFUNCTION("upper(Regexreplace(to_text(E1401),""[^A-Za-z0-9]"","""")&amp;""-""&amp;Regexreplace(to_text(F1401),""[^A-Za-z0-9]"",""""))"),"NEPTRONIC-EVCBSERIES")</f>
        <v>NEPTRONIC-EVCBSERIES</v>
      </c>
    </row>
    <row r="1402" ht="30.0" customHeight="1">
      <c r="A1402" s="258">
        <v>1394.0</v>
      </c>
      <c r="B1402" s="237" t="s">
        <v>670</v>
      </c>
      <c r="C1402" s="257" t="s">
        <v>5701</v>
      </c>
      <c r="D1402" s="173" t="s">
        <v>5701</v>
      </c>
      <c r="E1402" s="174" t="s">
        <v>2861</v>
      </c>
      <c r="F1402" s="173" t="s">
        <v>2862</v>
      </c>
      <c r="G1402" s="328" t="s">
        <v>673</v>
      </c>
      <c r="H1402" s="328" t="s">
        <v>2863</v>
      </c>
      <c r="I1402" s="258" t="s">
        <v>2864</v>
      </c>
      <c r="J1402" s="259" t="s">
        <v>1149</v>
      </c>
      <c r="K1402" s="260" t="s">
        <v>5702</v>
      </c>
      <c r="L1402" s="359"/>
      <c r="M1402" s="359"/>
      <c r="N1402" s="173" t="s">
        <v>679</v>
      </c>
      <c r="O1402" s="173" t="s">
        <v>225</v>
      </c>
      <c r="P1402" s="262" t="str">
        <f t="shared" si="1"/>
        <v>IN-BLR-ANANTA-VAV-974_6</v>
      </c>
      <c r="Q1402" s="173" t="s">
        <v>5703</v>
      </c>
      <c r="R1402" s="328" t="str">
        <f>IFS(C1402="","",C1402="n/a","N/A",LEN(C1402),Concatenate("{",char(34),"asset",char(34),":{",char(34),"guid",char(34),":",char(34),Q1402,char(34),",",char(34),"site",char(34),":",char(34),LOWER('2-Building'!$B$4),char(34),",",char(34),"name",char(34),":",char(34),LOWER(C1402),char(34),"}}"))</f>
        <v>{"asset":{"guid":"uuid://effe33bf-9da8-4fa1-b28b-4c391272e4b7","site":"in-blr-ananta","name":"vav-974"}}</v>
      </c>
      <c r="S1402" s="360" t="s">
        <v>5516</v>
      </c>
      <c r="T1402" s="330"/>
      <c r="U1402" s="330"/>
      <c r="V1402" s="331"/>
      <c r="W1402" s="344"/>
      <c r="X1402" s="341"/>
      <c r="Y1402" s="33" t="s">
        <v>2867</v>
      </c>
      <c r="Z1402" s="258">
        <v>120974.0</v>
      </c>
      <c r="AA1402" s="334">
        <v>11615.0</v>
      </c>
      <c r="AB1402" s="341"/>
      <c r="AC1402" s="341"/>
      <c r="AD1402" s="343"/>
      <c r="AE1402" s="331"/>
      <c r="AF1402" s="348"/>
      <c r="AG1402" s="337"/>
      <c r="AH1402" s="341"/>
      <c r="AI1402" s="341"/>
      <c r="AJ1402" s="341"/>
      <c r="AK1402" s="341"/>
      <c r="AL1402" s="341"/>
      <c r="AM1402" s="338"/>
      <c r="AN1402" s="341"/>
      <c r="AO1402" s="341"/>
      <c r="AP1402" s="341"/>
      <c r="AQ1402" s="341"/>
      <c r="AR1402" s="341"/>
      <c r="AS1402" s="341"/>
      <c r="AT1402" s="341"/>
      <c r="AU1402" s="343"/>
      <c r="AV1402" s="341"/>
      <c r="AW1402" s="269" t="s">
        <v>2346</v>
      </c>
      <c r="AX1402" s="334" t="s">
        <v>2869</v>
      </c>
      <c r="AY1402" s="270" t="s">
        <v>695</v>
      </c>
      <c r="AZ1402" s="173" t="s">
        <v>5516</v>
      </c>
      <c r="BA1402" s="265">
        <v>10.0</v>
      </c>
      <c r="BB1402" s="174" t="s">
        <v>245</v>
      </c>
      <c r="BC1402" s="341"/>
      <c r="BD1402" s="308"/>
      <c r="BE1402" s="347"/>
      <c r="BF1402" s="274" t="str">
        <f>IFERROR(__xludf.DUMMYFUNCTION("LOWER(Regexreplace(to_text(E1402),""[^A-Za-z0-9]"","""")&amp;""_""&amp;Regexreplace(to_text(F1402),""[^A-Za-z0-9]"",""""))"),"neptronic_evcbseries")</f>
        <v>neptronic_evcbseries</v>
      </c>
      <c r="BG1402" s="275" t="str">
        <f>IFERROR(__xludf.DUMMYFUNCTION("upper(Regexreplace(to_text(E1402),""[^A-Za-z0-9]"","""")&amp;""-""&amp;Regexreplace(to_text(F1402),""[^A-Za-z0-9]"",""""))"),"NEPTRONIC-EVCBSERIES")</f>
        <v>NEPTRONIC-EVCBSERIES</v>
      </c>
    </row>
    <row r="1403" ht="30.0" customHeight="1">
      <c r="A1403" s="173">
        <v>1395.0</v>
      </c>
      <c r="B1403" s="237" t="s">
        <v>670</v>
      </c>
      <c r="C1403" s="257" t="s">
        <v>5704</v>
      </c>
      <c r="D1403" s="173" t="s">
        <v>5704</v>
      </c>
      <c r="E1403" s="174" t="s">
        <v>2861</v>
      </c>
      <c r="F1403" s="173" t="s">
        <v>2862</v>
      </c>
      <c r="G1403" s="328" t="s">
        <v>673</v>
      </c>
      <c r="H1403" s="328" t="s">
        <v>2863</v>
      </c>
      <c r="I1403" s="258" t="s">
        <v>2864</v>
      </c>
      <c r="J1403" s="259" t="s">
        <v>1149</v>
      </c>
      <c r="K1403" s="260" t="s">
        <v>5705</v>
      </c>
      <c r="L1403" s="359"/>
      <c r="M1403" s="359"/>
      <c r="N1403" s="173" t="s">
        <v>679</v>
      </c>
      <c r="O1403" s="173" t="s">
        <v>225</v>
      </c>
      <c r="P1403" s="262" t="str">
        <f t="shared" si="1"/>
        <v>IN-BLR-ANANTA-VAV-975_6</v>
      </c>
      <c r="Q1403" s="173" t="s">
        <v>5706</v>
      </c>
      <c r="R1403" s="328" t="str">
        <f>IFS(C1403="","",C1403="n/a","N/A",LEN(C1403),Concatenate("{",char(34),"asset",char(34),":{",char(34),"guid",char(34),":",char(34),Q1403,char(34),",",char(34),"site",char(34),":",char(34),LOWER('2-Building'!$B$4),char(34),",",char(34),"name",char(34),":",char(34),LOWER(C1403),char(34),"}}"))</f>
        <v>{"asset":{"guid":"uuid://4d2b5e51-04a3-4e03-8ef8-4be31ede4493","site":"in-blr-ananta","name":"vav-975"}}</v>
      </c>
      <c r="S1403" s="360" t="s">
        <v>5516</v>
      </c>
      <c r="T1403" s="330"/>
      <c r="U1403" s="330"/>
      <c r="V1403" s="331"/>
      <c r="W1403" s="344"/>
      <c r="X1403" s="341"/>
      <c r="Y1403" s="33" t="s">
        <v>2867</v>
      </c>
      <c r="Z1403" s="258">
        <v>120975.0</v>
      </c>
      <c r="AA1403" s="334">
        <v>11615.0</v>
      </c>
      <c r="AB1403" s="341"/>
      <c r="AC1403" s="341"/>
      <c r="AD1403" s="343"/>
      <c r="AE1403" s="331"/>
      <c r="AF1403" s="348"/>
      <c r="AG1403" s="337"/>
      <c r="AH1403" s="341"/>
      <c r="AI1403" s="341"/>
      <c r="AJ1403" s="341"/>
      <c r="AK1403" s="341"/>
      <c r="AL1403" s="341"/>
      <c r="AM1403" s="338"/>
      <c r="AN1403" s="341"/>
      <c r="AO1403" s="341"/>
      <c r="AP1403" s="341"/>
      <c r="AQ1403" s="341"/>
      <c r="AR1403" s="341"/>
      <c r="AS1403" s="341"/>
      <c r="AT1403" s="341"/>
      <c r="AU1403" s="343"/>
      <c r="AV1403" s="341"/>
      <c r="AW1403" s="269" t="s">
        <v>2346</v>
      </c>
      <c r="AX1403" s="334" t="s">
        <v>2869</v>
      </c>
      <c r="AY1403" s="270" t="s">
        <v>695</v>
      </c>
      <c r="AZ1403" s="173" t="s">
        <v>5516</v>
      </c>
      <c r="BA1403" s="265">
        <v>10.0</v>
      </c>
      <c r="BB1403" s="174" t="s">
        <v>245</v>
      </c>
      <c r="BC1403" s="341"/>
      <c r="BD1403" s="308"/>
      <c r="BE1403" s="347"/>
      <c r="BF1403" s="274" t="str">
        <f>IFERROR(__xludf.DUMMYFUNCTION("LOWER(Regexreplace(to_text(E1403),""[^A-Za-z0-9]"","""")&amp;""_""&amp;Regexreplace(to_text(F1403),""[^A-Za-z0-9]"",""""))"),"neptronic_evcbseries")</f>
        <v>neptronic_evcbseries</v>
      </c>
      <c r="BG1403" s="275" t="str">
        <f>IFERROR(__xludf.DUMMYFUNCTION("upper(Regexreplace(to_text(E1403),""[^A-Za-z0-9]"","""")&amp;""-""&amp;Regexreplace(to_text(F1403),""[^A-Za-z0-9]"",""""))"),"NEPTRONIC-EVCBSERIES")</f>
        <v>NEPTRONIC-EVCBSERIES</v>
      </c>
    </row>
    <row r="1404" ht="30.0" customHeight="1">
      <c r="A1404" s="258">
        <v>1396.0</v>
      </c>
      <c r="B1404" s="237" t="s">
        <v>670</v>
      </c>
      <c r="C1404" s="257" t="s">
        <v>5707</v>
      </c>
      <c r="D1404" s="173" t="s">
        <v>5707</v>
      </c>
      <c r="E1404" s="174" t="s">
        <v>2861</v>
      </c>
      <c r="F1404" s="173" t="s">
        <v>2862</v>
      </c>
      <c r="G1404" s="328" t="s">
        <v>673</v>
      </c>
      <c r="H1404" s="328" t="s">
        <v>2863</v>
      </c>
      <c r="I1404" s="258" t="s">
        <v>2864</v>
      </c>
      <c r="J1404" s="259" t="s">
        <v>1149</v>
      </c>
      <c r="K1404" s="260" t="s">
        <v>5708</v>
      </c>
      <c r="L1404" s="359"/>
      <c r="M1404" s="359"/>
      <c r="N1404" s="173" t="s">
        <v>679</v>
      </c>
      <c r="O1404" s="173" t="s">
        <v>225</v>
      </c>
      <c r="P1404" s="262" t="str">
        <f t="shared" si="1"/>
        <v>IN-BLR-ANANTA-VAV-976_6</v>
      </c>
      <c r="Q1404" s="173" t="s">
        <v>5709</v>
      </c>
      <c r="R1404" s="328" t="str">
        <f>IFS(C1404="","",C1404="n/a","N/A",LEN(C1404),Concatenate("{",char(34),"asset",char(34),":{",char(34),"guid",char(34),":",char(34),Q1404,char(34),",",char(34),"site",char(34),":",char(34),LOWER('2-Building'!$B$4),char(34),",",char(34),"name",char(34),":",char(34),LOWER(C1404),char(34),"}}"))</f>
        <v>{"asset":{"guid":"uuid://4d01dd5d-c206-4156-b7b7-012c003ccbe7","site":"in-blr-ananta","name":"vav-976"}}</v>
      </c>
      <c r="S1404" s="360" t="s">
        <v>5516</v>
      </c>
      <c r="T1404" s="330"/>
      <c r="U1404" s="330"/>
      <c r="V1404" s="331"/>
      <c r="W1404" s="344"/>
      <c r="X1404" s="341"/>
      <c r="Y1404" s="33" t="s">
        <v>2867</v>
      </c>
      <c r="Z1404" s="258">
        <v>120976.0</v>
      </c>
      <c r="AA1404" s="334">
        <v>11619.0</v>
      </c>
      <c r="AB1404" s="341"/>
      <c r="AC1404" s="341"/>
      <c r="AD1404" s="343"/>
      <c r="AE1404" s="331"/>
      <c r="AF1404" s="348"/>
      <c r="AG1404" s="337"/>
      <c r="AH1404" s="341"/>
      <c r="AI1404" s="341"/>
      <c r="AJ1404" s="341"/>
      <c r="AK1404" s="341"/>
      <c r="AL1404" s="341"/>
      <c r="AM1404" s="338"/>
      <c r="AN1404" s="341"/>
      <c r="AO1404" s="341"/>
      <c r="AP1404" s="341"/>
      <c r="AQ1404" s="341"/>
      <c r="AR1404" s="341"/>
      <c r="AS1404" s="341"/>
      <c r="AT1404" s="341"/>
      <c r="AU1404" s="343"/>
      <c r="AV1404" s="341"/>
      <c r="AW1404" s="269" t="s">
        <v>2337</v>
      </c>
      <c r="AX1404" s="334" t="s">
        <v>2869</v>
      </c>
      <c r="AY1404" s="270" t="s">
        <v>695</v>
      </c>
      <c r="AZ1404" s="173" t="s">
        <v>5516</v>
      </c>
      <c r="BA1404" s="265">
        <v>10.0</v>
      </c>
      <c r="BB1404" s="174" t="s">
        <v>245</v>
      </c>
      <c r="BC1404" s="341"/>
      <c r="BD1404" s="308"/>
      <c r="BE1404" s="347"/>
      <c r="BF1404" s="274" t="str">
        <f>IFERROR(__xludf.DUMMYFUNCTION("LOWER(Regexreplace(to_text(E1404),""[^A-Za-z0-9]"","""")&amp;""_""&amp;Regexreplace(to_text(F1404),""[^A-Za-z0-9]"",""""))"),"neptronic_evcbseries")</f>
        <v>neptronic_evcbseries</v>
      </c>
      <c r="BG1404" s="275" t="str">
        <f>IFERROR(__xludf.DUMMYFUNCTION("upper(Regexreplace(to_text(E1404),""[^A-Za-z0-9]"","""")&amp;""-""&amp;Regexreplace(to_text(F1404),""[^A-Za-z0-9]"",""""))"),"NEPTRONIC-EVCBSERIES")</f>
        <v>NEPTRONIC-EVCBSERIES</v>
      </c>
    </row>
    <row r="1405" ht="30.0" customHeight="1">
      <c r="A1405" s="173">
        <v>1397.0</v>
      </c>
      <c r="B1405" s="237" t="s">
        <v>670</v>
      </c>
      <c r="C1405" s="257" t="s">
        <v>5710</v>
      </c>
      <c r="D1405" s="173" t="s">
        <v>5710</v>
      </c>
      <c r="E1405" s="174" t="s">
        <v>2861</v>
      </c>
      <c r="F1405" s="173" t="s">
        <v>2862</v>
      </c>
      <c r="G1405" s="328" t="s">
        <v>673</v>
      </c>
      <c r="H1405" s="328" t="s">
        <v>2863</v>
      </c>
      <c r="I1405" s="258" t="s">
        <v>2864</v>
      </c>
      <c r="J1405" s="259" t="s">
        <v>1149</v>
      </c>
      <c r="K1405" s="260" t="s">
        <v>5711</v>
      </c>
      <c r="L1405" s="359"/>
      <c r="M1405" s="359"/>
      <c r="N1405" s="173" t="s">
        <v>679</v>
      </c>
      <c r="O1405" s="173" t="s">
        <v>225</v>
      </c>
      <c r="P1405" s="262" t="str">
        <f t="shared" si="1"/>
        <v>IN-BLR-ANANTA-VAV-977_6</v>
      </c>
      <c r="Q1405" s="173" t="s">
        <v>5712</v>
      </c>
      <c r="R1405" s="328" t="str">
        <f>IFS(C1405="","",C1405="n/a","N/A",LEN(C1405),Concatenate("{",char(34),"asset",char(34),":{",char(34),"guid",char(34),":",char(34),Q1405,char(34),",",char(34),"site",char(34),":",char(34),LOWER('2-Building'!$B$4),char(34),",",char(34),"name",char(34),":",char(34),LOWER(C1405),char(34),"}}"))</f>
        <v>{"asset":{"guid":"uuid://2d74143a-ba75-4f5b-afd4-b6b63aea4ab4","site":"in-blr-ananta","name":"vav-977"}}</v>
      </c>
      <c r="S1405" s="360" t="s">
        <v>5516</v>
      </c>
      <c r="T1405" s="330"/>
      <c r="U1405" s="330"/>
      <c r="V1405" s="331"/>
      <c r="W1405" s="344"/>
      <c r="X1405" s="341"/>
      <c r="Y1405" s="33" t="s">
        <v>2867</v>
      </c>
      <c r="Z1405" s="258">
        <v>120977.0</v>
      </c>
      <c r="AA1405" s="334">
        <v>11619.0</v>
      </c>
      <c r="AB1405" s="341"/>
      <c r="AC1405" s="341"/>
      <c r="AD1405" s="343"/>
      <c r="AE1405" s="331"/>
      <c r="AF1405" s="348"/>
      <c r="AG1405" s="337"/>
      <c r="AH1405" s="341"/>
      <c r="AI1405" s="341"/>
      <c r="AJ1405" s="341"/>
      <c r="AK1405" s="341"/>
      <c r="AL1405" s="341"/>
      <c r="AM1405" s="338"/>
      <c r="AN1405" s="341"/>
      <c r="AO1405" s="341"/>
      <c r="AP1405" s="341"/>
      <c r="AQ1405" s="341"/>
      <c r="AR1405" s="341"/>
      <c r="AS1405" s="341"/>
      <c r="AT1405" s="341"/>
      <c r="AU1405" s="343"/>
      <c r="AV1405" s="341"/>
      <c r="AW1405" s="269" t="s">
        <v>2337</v>
      </c>
      <c r="AX1405" s="334" t="s">
        <v>2869</v>
      </c>
      <c r="AY1405" s="270" t="s">
        <v>695</v>
      </c>
      <c r="AZ1405" s="173" t="s">
        <v>5516</v>
      </c>
      <c r="BA1405" s="265">
        <v>10.0</v>
      </c>
      <c r="BB1405" s="174" t="s">
        <v>245</v>
      </c>
      <c r="BC1405" s="341"/>
      <c r="BD1405" s="308"/>
      <c r="BE1405" s="347"/>
      <c r="BF1405" s="274" t="str">
        <f>IFERROR(__xludf.DUMMYFUNCTION("LOWER(Regexreplace(to_text(E1405),""[^A-Za-z0-9]"","""")&amp;""_""&amp;Regexreplace(to_text(F1405),""[^A-Za-z0-9]"",""""))"),"neptronic_evcbseries")</f>
        <v>neptronic_evcbseries</v>
      </c>
      <c r="BG1405" s="275" t="str">
        <f>IFERROR(__xludf.DUMMYFUNCTION("upper(Regexreplace(to_text(E1405),""[^A-Za-z0-9]"","""")&amp;""-""&amp;Regexreplace(to_text(F1405),""[^A-Za-z0-9]"",""""))"),"NEPTRONIC-EVCBSERIES")</f>
        <v>NEPTRONIC-EVCBSERIES</v>
      </c>
    </row>
    <row r="1406" ht="30.0" customHeight="1">
      <c r="A1406" s="258">
        <v>1398.0</v>
      </c>
      <c r="B1406" s="237" t="s">
        <v>670</v>
      </c>
      <c r="C1406" s="257" t="s">
        <v>5713</v>
      </c>
      <c r="D1406" s="173" t="s">
        <v>5713</v>
      </c>
      <c r="E1406" s="174" t="s">
        <v>2861</v>
      </c>
      <c r="F1406" s="173" t="s">
        <v>2862</v>
      </c>
      <c r="G1406" s="328" t="s">
        <v>673</v>
      </c>
      <c r="H1406" s="328" t="s">
        <v>2863</v>
      </c>
      <c r="I1406" s="258" t="s">
        <v>2864</v>
      </c>
      <c r="J1406" s="259" t="s">
        <v>1149</v>
      </c>
      <c r="K1406" s="260" t="s">
        <v>5714</v>
      </c>
      <c r="L1406" s="359"/>
      <c r="M1406" s="359"/>
      <c r="N1406" s="173" t="s">
        <v>679</v>
      </c>
      <c r="O1406" s="173" t="s">
        <v>225</v>
      </c>
      <c r="P1406" s="262" t="str">
        <f t="shared" si="1"/>
        <v>IN-BLR-ANANTA-VAV-978_6</v>
      </c>
      <c r="Q1406" s="173" t="s">
        <v>5715</v>
      </c>
      <c r="R1406" s="328" t="str">
        <f>IFS(C1406="","",C1406="n/a","N/A",LEN(C1406),Concatenate("{",char(34),"asset",char(34),":{",char(34),"guid",char(34),":",char(34),Q1406,char(34),",",char(34),"site",char(34),":",char(34),LOWER('2-Building'!$B$4),char(34),",",char(34),"name",char(34),":",char(34),LOWER(C1406),char(34),"}}"))</f>
        <v>{"asset":{"guid":"uuid://d573fe91-ac9a-483c-9e53-ee3619cfdfd1","site":"in-blr-ananta","name":"vav-978"}}</v>
      </c>
      <c r="S1406" s="360" t="s">
        <v>5516</v>
      </c>
      <c r="T1406" s="330"/>
      <c r="U1406" s="330"/>
      <c r="V1406" s="331"/>
      <c r="W1406" s="344"/>
      <c r="X1406" s="341"/>
      <c r="Y1406" s="33" t="s">
        <v>2867</v>
      </c>
      <c r="Z1406" s="258">
        <v>120978.0</v>
      </c>
      <c r="AA1406" s="334">
        <v>11619.0</v>
      </c>
      <c r="AB1406" s="341"/>
      <c r="AC1406" s="341"/>
      <c r="AD1406" s="343"/>
      <c r="AE1406" s="331"/>
      <c r="AF1406" s="348"/>
      <c r="AG1406" s="337"/>
      <c r="AH1406" s="341"/>
      <c r="AI1406" s="341"/>
      <c r="AJ1406" s="341"/>
      <c r="AK1406" s="341"/>
      <c r="AL1406" s="341"/>
      <c r="AM1406" s="338"/>
      <c r="AN1406" s="341"/>
      <c r="AO1406" s="341"/>
      <c r="AP1406" s="341"/>
      <c r="AQ1406" s="341"/>
      <c r="AR1406" s="341"/>
      <c r="AS1406" s="341"/>
      <c r="AT1406" s="341"/>
      <c r="AU1406" s="343"/>
      <c r="AV1406" s="341"/>
      <c r="AW1406" s="269" t="s">
        <v>2337</v>
      </c>
      <c r="AX1406" s="334" t="s">
        <v>2869</v>
      </c>
      <c r="AY1406" s="270" t="s">
        <v>695</v>
      </c>
      <c r="AZ1406" s="173" t="s">
        <v>5516</v>
      </c>
      <c r="BA1406" s="265">
        <v>10.0</v>
      </c>
      <c r="BB1406" s="174" t="s">
        <v>245</v>
      </c>
      <c r="BC1406" s="341"/>
      <c r="BD1406" s="308"/>
      <c r="BE1406" s="347"/>
      <c r="BF1406" s="274" t="str">
        <f>IFERROR(__xludf.DUMMYFUNCTION("LOWER(Regexreplace(to_text(E1406),""[^A-Za-z0-9]"","""")&amp;""_""&amp;Regexreplace(to_text(F1406),""[^A-Za-z0-9]"",""""))"),"neptronic_evcbseries")</f>
        <v>neptronic_evcbseries</v>
      </c>
      <c r="BG1406" s="275" t="str">
        <f>IFERROR(__xludf.DUMMYFUNCTION("upper(Regexreplace(to_text(E1406),""[^A-Za-z0-9]"","""")&amp;""-""&amp;Regexreplace(to_text(F1406),""[^A-Za-z0-9]"",""""))"),"NEPTRONIC-EVCBSERIES")</f>
        <v>NEPTRONIC-EVCBSERIES</v>
      </c>
    </row>
    <row r="1407" ht="30.0" customHeight="1">
      <c r="A1407" s="173">
        <v>1399.0</v>
      </c>
      <c r="B1407" s="237" t="s">
        <v>670</v>
      </c>
      <c r="C1407" s="257" t="s">
        <v>5716</v>
      </c>
      <c r="D1407" s="173" t="s">
        <v>5716</v>
      </c>
      <c r="E1407" s="174" t="s">
        <v>2861</v>
      </c>
      <c r="F1407" s="173" t="s">
        <v>2862</v>
      </c>
      <c r="G1407" s="328" t="s">
        <v>673</v>
      </c>
      <c r="H1407" s="328" t="s">
        <v>2863</v>
      </c>
      <c r="I1407" s="258" t="s">
        <v>2864</v>
      </c>
      <c r="J1407" s="259" t="s">
        <v>1149</v>
      </c>
      <c r="K1407" s="260" t="s">
        <v>5717</v>
      </c>
      <c r="L1407" s="359"/>
      <c r="M1407" s="359"/>
      <c r="N1407" s="173" t="s">
        <v>679</v>
      </c>
      <c r="O1407" s="173" t="s">
        <v>225</v>
      </c>
      <c r="P1407" s="262" t="str">
        <f t="shared" si="1"/>
        <v>IN-BLR-ANANTA-VAV-979_6</v>
      </c>
      <c r="Q1407" s="173" t="s">
        <v>5718</v>
      </c>
      <c r="R1407" s="328" t="str">
        <f>IFS(C1407="","",C1407="n/a","N/A",LEN(C1407),Concatenate("{",char(34),"asset",char(34),":{",char(34),"guid",char(34),":",char(34),Q1407,char(34),",",char(34),"site",char(34),":",char(34),LOWER('2-Building'!$B$4),char(34),",",char(34),"name",char(34),":",char(34),LOWER(C1407),char(34),"}}"))</f>
        <v>{"asset":{"guid":"uuid://a33090c0-5221-471e-b5d0-5c1792670b7e","site":"in-blr-ananta","name":"vav-979"}}</v>
      </c>
      <c r="S1407" s="360" t="s">
        <v>5516</v>
      </c>
      <c r="T1407" s="330"/>
      <c r="U1407" s="330"/>
      <c r="V1407" s="331"/>
      <c r="W1407" s="344"/>
      <c r="X1407" s="341"/>
      <c r="Y1407" s="33" t="s">
        <v>2867</v>
      </c>
      <c r="Z1407" s="258">
        <v>120979.0</v>
      </c>
      <c r="AA1407" s="334">
        <v>11619.0</v>
      </c>
      <c r="AB1407" s="341"/>
      <c r="AC1407" s="341"/>
      <c r="AD1407" s="343"/>
      <c r="AE1407" s="331"/>
      <c r="AF1407" s="348"/>
      <c r="AG1407" s="337"/>
      <c r="AH1407" s="341"/>
      <c r="AI1407" s="341"/>
      <c r="AJ1407" s="341"/>
      <c r="AK1407" s="341"/>
      <c r="AL1407" s="341"/>
      <c r="AM1407" s="338"/>
      <c r="AN1407" s="341"/>
      <c r="AO1407" s="341"/>
      <c r="AP1407" s="341"/>
      <c r="AQ1407" s="341"/>
      <c r="AR1407" s="341"/>
      <c r="AS1407" s="341"/>
      <c r="AT1407" s="341"/>
      <c r="AU1407" s="343"/>
      <c r="AV1407" s="341"/>
      <c r="AW1407" s="269" t="s">
        <v>2337</v>
      </c>
      <c r="AX1407" s="334" t="s">
        <v>2869</v>
      </c>
      <c r="AY1407" s="270" t="s">
        <v>695</v>
      </c>
      <c r="AZ1407" s="173" t="s">
        <v>5516</v>
      </c>
      <c r="BA1407" s="265">
        <v>10.0</v>
      </c>
      <c r="BB1407" s="174" t="s">
        <v>245</v>
      </c>
      <c r="BC1407" s="341"/>
      <c r="BD1407" s="308"/>
      <c r="BE1407" s="347"/>
      <c r="BF1407" s="274" t="str">
        <f>IFERROR(__xludf.DUMMYFUNCTION("LOWER(Regexreplace(to_text(E1407),""[^A-Za-z0-9]"","""")&amp;""_""&amp;Regexreplace(to_text(F1407),""[^A-Za-z0-9]"",""""))"),"neptronic_evcbseries")</f>
        <v>neptronic_evcbseries</v>
      </c>
      <c r="BG1407" s="275" t="str">
        <f>IFERROR(__xludf.DUMMYFUNCTION("upper(Regexreplace(to_text(E1407),""[^A-Za-z0-9]"","""")&amp;""-""&amp;Regexreplace(to_text(F1407),""[^A-Za-z0-9]"",""""))"),"NEPTRONIC-EVCBSERIES")</f>
        <v>NEPTRONIC-EVCBSERIES</v>
      </c>
    </row>
    <row r="1408" ht="30.0" customHeight="1">
      <c r="A1408" s="258">
        <v>1400.0</v>
      </c>
      <c r="B1408" s="237" t="s">
        <v>670</v>
      </c>
      <c r="C1408" s="257" t="s">
        <v>5719</v>
      </c>
      <c r="D1408" s="173" t="s">
        <v>5719</v>
      </c>
      <c r="E1408" s="174" t="s">
        <v>2861</v>
      </c>
      <c r="F1408" s="173" t="s">
        <v>2862</v>
      </c>
      <c r="G1408" s="328" t="s">
        <v>673</v>
      </c>
      <c r="H1408" s="328" t="s">
        <v>2863</v>
      </c>
      <c r="I1408" s="258" t="s">
        <v>2864</v>
      </c>
      <c r="J1408" s="259" t="s">
        <v>1149</v>
      </c>
      <c r="K1408" s="260" t="s">
        <v>5720</v>
      </c>
      <c r="L1408" s="359"/>
      <c r="M1408" s="359"/>
      <c r="N1408" s="173" t="s">
        <v>679</v>
      </c>
      <c r="O1408" s="173" t="s">
        <v>225</v>
      </c>
      <c r="P1408" s="262" t="str">
        <f t="shared" si="1"/>
        <v>IN-BLR-ANANTA-VAV-980_6</v>
      </c>
      <c r="Q1408" s="173" t="s">
        <v>5721</v>
      </c>
      <c r="R1408" s="328" t="str">
        <f>IFS(C1408="","",C1408="n/a","N/A",LEN(C1408),Concatenate("{",char(34),"asset",char(34),":{",char(34),"guid",char(34),":",char(34),Q1408,char(34),",",char(34),"site",char(34),":",char(34),LOWER('2-Building'!$B$4),char(34),",",char(34),"name",char(34),":",char(34),LOWER(C1408),char(34),"}}"))</f>
        <v>{"asset":{"guid":"uuid://540fc9f4-803a-4798-b718-6cc084163365","site":"in-blr-ananta","name":"vav-980"}}</v>
      </c>
      <c r="S1408" s="360" t="s">
        <v>5516</v>
      </c>
      <c r="T1408" s="330"/>
      <c r="U1408" s="330"/>
      <c r="V1408" s="331"/>
      <c r="W1408" s="344"/>
      <c r="X1408" s="341"/>
      <c r="Y1408" s="33" t="s">
        <v>2867</v>
      </c>
      <c r="Z1408" s="258">
        <v>120980.0</v>
      </c>
      <c r="AA1408" s="334">
        <v>11619.0</v>
      </c>
      <c r="AB1408" s="341"/>
      <c r="AC1408" s="341"/>
      <c r="AD1408" s="343"/>
      <c r="AE1408" s="331"/>
      <c r="AF1408" s="348"/>
      <c r="AG1408" s="337"/>
      <c r="AH1408" s="341"/>
      <c r="AI1408" s="341"/>
      <c r="AJ1408" s="341"/>
      <c r="AK1408" s="341"/>
      <c r="AL1408" s="341"/>
      <c r="AM1408" s="338"/>
      <c r="AN1408" s="341"/>
      <c r="AO1408" s="341"/>
      <c r="AP1408" s="341"/>
      <c r="AQ1408" s="341"/>
      <c r="AR1408" s="341"/>
      <c r="AS1408" s="341"/>
      <c r="AT1408" s="341"/>
      <c r="AU1408" s="343"/>
      <c r="AV1408" s="341"/>
      <c r="AW1408" s="269" t="s">
        <v>2337</v>
      </c>
      <c r="AX1408" s="334" t="s">
        <v>2869</v>
      </c>
      <c r="AY1408" s="270" t="s">
        <v>695</v>
      </c>
      <c r="AZ1408" s="173" t="s">
        <v>5516</v>
      </c>
      <c r="BA1408" s="265">
        <v>10.0</v>
      </c>
      <c r="BB1408" s="174" t="s">
        <v>245</v>
      </c>
      <c r="BC1408" s="341"/>
      <c r="BD1408" s="308"/>
      <c r="BE1408" s="347"/>
      <c r="BF1408" s="274" t="str">
        <f>IFERROR(__xludf.DUMMYFUNCTION("LOWER(Regexreplace(to_text(E1408),""[^A-Za-z0-9]"","""")&amp;""_""&amp;Regexreplace(to_text(F1408),""[^A-Za-z0-9]"",""""))"),"neptronic_evcbseries")</f>
        <v>neptronic_evcbseries</v>
      </c>
      <c r="BG1408" s="275" t="str">
        <f>IFERROR(__xludf.DUMMYFUNCTION("upper(Regexreplace(to_text(E1408),""[^A-Za-z0-9]"","""")&amp;""-""&amp;Regexreplace(to_text(F1408),""[^A-Za-z0-9]"",""""))"),"NEPTRONIC-EVCBSERIES")</f>
        <v>NEPTRONIC-EVCBSERIES</v>
      </c>
    </row>
    <row r="1409" ht="30.0" customHeight="1">
      <c r="A1409" s="173">
        <v>1401.0</v>
      </c>
      <c r="B1409" s="237" t="s">
        <v>670</v>
      </c>
      <c r="C1409" s="257" t="s">
        <v>5722</v>
      </c>
      <c r="D1409" s="173" t="s">
        <v>5722</v>
      </c>
      <c r="E1409" s="174" t="s">
        <v>2861</v>
      </c>
      <c r="F1409" s="173" t="s">
        <v>2862</v>
      </c>
      <c r="G1409" s="328" t="s">
        <v>673</v>
      </c>
      <c r="H1409" s="328" t="s">
        <v>2863</v>
      </c>
      <c r="I1409" s="258" t="s">
        <v>2864</v>
      </c>
      <c r="J1409" s="259" t="s">
        <v>1149</v>
      </c>
      <c r="K1409" s="260" t="s">
        <v>5723</v>
      </c>
      <c r="L1409" s="359"/>
      <c r="M1409" s="359"/>
      <c r="N1409" s="173" t="s">
        <v>679</v>
      </c>
      <c r="O1409" s="173" t="s">
        <v>225</v>
      </c>
      <c r="P1409" s="262" t="str">
        <f t="shared" si="1"/>
        <v>IN-BLR-ANANTA-VAV-981_6</v>
      </c>
      <c r="Q1409" s="173" t="s">
        <v>5724</v>
      </c>
      <c r="R1409" s="328" t="str">
        <f>IFS(C1409="","",C1409="n/a","N/A",LEN(C1409),Concatenate("{",char(34),"asset",char(34),":{",char(34),"guid",char(34),":",char(34),Q1409,char(34),",",char(34),"site",char(34),":",char(34),LOWER('2-Building'!$B$4),char(34),",",char(34),"name",char(34),":",char(34),LOWER(C1409),char(34),"}}"))</f>
        <v>{"asset":{"guid":"uuid://1cb46ca4-4df8-47b6-b306-9d61500d748e","site":"in-blr-ananta","name":"vav-981"}}</v>
      </c>
      <c r="S1409" s="360" t="s">
        <v>5516</v>
      </c>
      <c r="T1409" s="330"/>
      <c r="U1409" s="330"/>
      <c r="V1409" s="331"/>
      <c r="W1409" s="344"/>
      <c r="X1409" s="341"/>
      <c r="Y1409" s="33" t="s">
        <v>2867</v>
      </c>
      <c r="Z1409" s="258">
        <v>120981.0</v>
      </c>
      <c r="AA1409" s="334">
        <v>11619.0</v>
      </c>
      <c r="AB1409" s="341"/>
      <c r="AC1409" s="341"/>
      <c r="AD1409" s="343"/>
      <c r="AE1409" s="331"/>
      <c r="AF1409" s="348"/>
      <c r="AG1409" s="337"/>
      <c r="AH1409" s="341"/>
      <c r="AI1409" s="341"/>
      <c r="AJ1409" s="341"/>
      <c r="AK1409" s="341"/>
      <c r="AL1409" s="341"/>
      <c r="AM1409" s="338"/>
      <c r="AN1409" s="341"/>
      <c r="AO1409" s="341"/>
      <c r="AP1409" s="341"/>
      <c r="AQ1409" s="341"/>
      <c r="AR1409" s="341"/>
      <c r="AS1409" s="341"/>
      <c r="AT1409" s="341"/>
      <c r="AU1409" s="343"/>
      <c r="AV1409" s="341"/>
      <c r="AW1409" s="269" t="s">
        <v>2337</v>
      </c>
      <c r="AX1409" s="334" t="s">
        <v>2869</v>
      </c>
      <c r="AY1409" s="270" t="s">
        <v>695</v>
      </c>
      <c r="AZ1409" s="173" t="s">
        <v>5516</v>
      </c>
      <c r="BA1409" s="265">
        <v>10.0</v>
      </c>
      <c r="BB1409" s="174" t="s">
        <v>245</v>
      </c>
      <c r="BC1409" s="341"/>
      <c r="BD1409" s="308"/>
      <c r="BE1409" s="347"/>
      <c r="BF1409" s="274" t="str">
        <f>IFERROR(__xludf.DUMMYFUNCTION("LOWER(Regexreplace(to_text(E1409),""[^A-Za-z0-9]"","""")&amp;""_""&amp;Regexreplace(to_text(F1409),""[^A-Za-z0-9]"",""""))"),"neptronic_evcbseries")</f>
        <v>neptronic_evcbseries</v>
      </c>
      <c r="BG1409" s="275" t="str">
        <f>IFERROR(__xludf.DUMMYFUNCTION("upper(Regexreplace(to_text(E1409),""[^A-Za-z0-9]"","""")&amp;""-""&amp;Regexreplace(to_text(F1409),""[^A-Za-z0-9]"",""""))"),"NEPTRONIC-EVCBSERIES")</f>
        <v>NEPTRONIC-EVCBSERIES</v>
      </c>
    </row>
    <row r="1410" ht="30.0" customHeight="1">
      <c r="A1410" s="258">
        <v>1402.0</v>
      </c>
      <c r="B1410" s="237" t="s">
        <v>670</v>
      </c>
      <c r="C1410" s="257" t="s">
        <v>5725</v>
      </c>
      <c r="D1410" s="173" t="s">
        <v>5725</v>
      </c>
      <c r="E1410" s="174" t="s">
        <v>2861</v>
      </c>
      <c r="F1410" s="173" t="s">
        <v>2862</v>
      </c>
      <c r="G1410" s="328" t="s">
        <v>673</v>
      </c>
      <c r="H1410" s="328" t="s">
        <v>2863</v>
      </c>
      <c r="I1410" s="258" t="s">
        <v>2864</v>
      </c>
      <c r="J1410" s="259" t="s">
        <v>1149</v>
      </c>
      <c r="K1410" s="260" t="s">
        <v>5726</v>
      </c>
      <c r="L1410" s="359"/>
      <c r="M1410" s="359"/>
      <c r="N1410" s="173" t="s">
        <v>679</v>
      </c>
      <c r="O1410" s="173" t="s">
        <v>225</v>
      </c>
      <c r="P1410" s="262" t="str">
        <f t="shared" si="1"/>
        <v>IN-BLR-ANANTA-VAV-982_6</v>
      </c>
      <c r="Q1410" s="173" t="s">
        <v>5727</v>
      </c>
      <c r="R1410" s="328" t="str">
        <f>IFS(C1410="","",C1410="n/a","N/A",LEN(C1410),Concatenate("{",char(34),"asset",char(34),":{",char(34),"guid",char(34),":",char(34),Q1410,char(34),",",char(34),"site",char(34),":",char(34),LOWER('2-Building'!$B$4),char(34),",",char(34),"name",char(34),":",char(34),LOWER(C1410),char(34),"}}"))</f>
        <v>{"asset":{"guid":"uuid://9360259e-517f-41a1-8190-6e21b68892d5","site":"in-blr-ananta","name":"vav-982"}}</v>
      </c>
      <c r="S1410" s="360" t="s">
        <v>5516</v>
      </c>
      <c r="T1410" s="330"/>
      <c r="U1410" s="330"/>
      <c r="V1410" s="331"/>
      <c r="W1410" s="344"/>
      <c r="X1410" s="341"/>
      <c r="Y1410" s="33" t="s">
        <v>2867</v>
      </c>
      <c r="Z1410" s="258">
        <v>120982.0</v>
      </c>
      <c r="AA1410" s="334">
        <v>11619.0</v>
      </c>
      <c r="AB1410" s="341"/>
      <c r="AC1410" s="341"/>
      <c r="AD1410" s="343"/>
      <c r="AE1410" s="331"/>
      <c r="AF1410" s="348"/>
      <c r="AG1410" s="337"/>
      <c r="AH1410" s="341"/>
      <c r="AI1410" s="341"/>
      <c r="AJ1410" s="341"/>
      <c r="AK1410" s="341"/>
      <c r="AL1410" s="341"/>
      <c r="AM1410" s="338"/>
      <c r="AN1410" s="341"/>
      <c r="AO1410" s="341"/>
      <c r="AP1410" s="341"/>
      <c r="AQ1410" s="341"/>
      <c r="AR1410" s="341"/>
      <c r="AS1410" s="341"/>
      <c r="AT1410" s="341"/>
      <c r="AU1410" s="343"/>
      <c r="AV1410" s="341"/>
      <c r="AW1410" s="269" t="s">
        <v>2337</v>
      </c>
      <c r="AX1410" s="334" t="s">
        <v>2869</v>
      </c>
      <c r="AY1410" s="270" t="s">
        <v>695</v>
      </c>
      <c r="AZ1410" s="173" t="s">
        <v>5516</v>
      </c>
      <c r="BA1410" s="265">
        <v>10.0</v>
      </c>
      <c r="BB1410" s="174" t="s">
        <v>245</v>
      </c>
      <c r="BC1410" s="341"/>
      <c r="BD1410" s="308"/>
      <c r="BE1410" s="347"/>
      <c r="BF1410" s="274" t="str">
        <f>IFERROR(__xludf.DUMMYFUNCTION("LOWER(Regexreplace(to_text(E1410),""[^A-Za-z0-9]"","""")&amp;""_""&amp;Regexreplace(to_text(F1410),""[^A-Za-z0-9]"",""""))"),"neptronic_evcbseries")</f>
        <v>neptronic_evcbseries</v>
      </c>
      <c r="BG1410" s="275" t="str">
        <f>IFERROR(__xludf.DUMMYFUNCTION("upper(Regexreplace(to_text(E1410),""[^A-Za-z0-9]"","""")&amp;""-""&amp;Regexreplace(to_text(F1410),""[^A-Za-z0-9]"",""""))"),"NEPTRONIC-EVCBSERIES")</f>
        <v>NEPTRONIC-EVCBSERIES</v>
      </c>
    </row>
    <row r="1411" ht="30.0" customHeight="1">
      <c r="A1411" s="173">
        <v>1403.0</v>
      </c>
      <c r="B1411" s="237" t="s">
        <v>670</v>
      </c>
      <c r="C1411" s="257" t="s">
        <v>5728</v>
      </c>
      <c r="D1411" s="173" t="s">
        <v>5728</v>
      </c>
      <c r="E1411" s="174" t="s">
        <v>2861</v>
      </c>
      <c r="F1411" s="173" t="s">
        <v>2862</v>
      </c>
      <c r="G1411" s="328" t="s">
        <v>673</v>
      </c>
      <c r="H1411" s="328" t="s">
        <v>2863</v>
      </c>
      <c r="I1411" s="258" t="s">
        <v>2864</v>
      </c>
      <c r="J1411" s="259" t="s">
        <v>1149</v>
      </c>
      <c r="K1411" s="260" t="s">
        <v>5729</v>
      </c>
      <c r="L1411" s="359"/>
      <c r="M1411" s="359"/>
      <c r="N1411" s="173" t="s">
        <v>679</v>
      </c>
      <c r="O1411" s="173" t="s">
        <v>225</v>
      </c>
      <c r="P1411" s="262" t="str">
        <f t="shared" si="1"/>
        <v>IN-BLR-ANANTA-VAV-983_6</v>
      </c>
      <c r="Q1411" s="173" t="s">
        <v>5730</v>
      </c>
      <c r="R1411" s="328" t="str">
        <f>IFS(C1411="","",C1411="n/a","N/A",LEN(C1411),Concatenate("{",char(34),"asset",char(34),":{",char(34),"guid",char(34),":",char(34),Q1411,char(34),",",char(34),"site",char(34),":",char(34),LOWER('2-Building'!$B$4),char(34),",",char(34),"name",char(34),":",char(34),LOWER(C1411),char(34),"}}"))</f>
        <v>{"asset":{"guid":"uuid://61c9ee79-4893-4654-94ae-19837b286058","site":"in-blr-ananta","name":"vav-983"}}</v>
      </c>
      <c r="S1411" s="360" t="s">
        <v>5516</v>
      </c>
      <c r="T1411" s="330"/>
      <c r="U1411" s="330"/>
      <c r="V1411" s="331"/>
      <c r="W1411" s="344"/>
      <c r="X1411" s="341"/>
      <c r="Y1411" s="33" t="s">
        <v>2867</v>
      </c>
      <c r="Z1411" s="258">
        <v>120983.0</v>
      </c>
      <c r="AA1411" s="334">
        <v>11619.0</v>
      </c>
      <c r="AB1411" s="341"/>
      <c r="AC1411" s="341"/>
      <c r="AD1411" s="343"/>
      <c r="AE1411" s="331"/>
      <c r="AF1411" s="348"/>
      <c r="AG1411" s="337"/>
      <c r="AH1411" s="341"/>
      <c r="AI1411" s="341"/>
      <c r="AJ1411" s="341"/>
      <c r="AK1411" s="341"/>
      <c r="AL1411" s="341"/>
      <c r="AM1411" s="338"/>
      <c r="AN1411" s="341"/>
      <c r="AO1411" s="341"/>
      <c r="AP1411" s="341"/>
      <c r="AQ1411" s="341"/>
      <c r="AR1411" s="341"/>
      <c r="AS1411" s="341"/>
      <c r="AT1411" s="341"/>
      <c r="AU1411" s="343"/>
      <c r="AV1411" s="341"/>
      <c r="AW1411" s="269" t="s">
        <v>2337</v>
      </c>
      <c r="AX1411" s="334" t="s">
        <v>2869</v>
      </c>
      <c r="AY1411" s="270" t="s">
        <v>695</v>
      </c>
      <c r="AZ1411" s="173" t="s">
        <v>5516</v>
      </c>
      <c r="BA1411" s="265">
        <v>10.0</v>
      </c>
      <c r="BB1411" s="174" t="s">
        <v>245</v>
      </c>
      <c r="BC1411" s="341"/>
      <c r="BD1411" s="308"/>
      <c r="BE1411" s="347"/>
      <c r="BF1411" s="274" t="str">
        <f>IFERROR(__xludf.DUMMYFUNCTION("LOWER(Regexreplace(to_text(E1411),""[^A-Za-z0-9]"","""")&amp;""_""&amp;Regexreplace(to_text(F1411),""[^A-Za-z0-9]"",""""))"),"neptronic_evcbseries")</f>
        <v>neptronic_evcbseries</v>
      </c>
      <c r="BG1411" s="275" t="str">
        <f>IFERROR(__xludf.DUMMYFUNCTION("upper(Regexreplace(to_text(E1411),""[^A-Za-z0-9]"","""")&amp;""-""&amp;Regexreplace(to_text(F1411),""[^A-Za-z0-9]"",""""))"),"NEPTRONIC-EVCBSERIES")</f>
        <v>NEPTRONIC-EVCBSERIES</v>
      </c>
    </row>
    <row r="1412" ht="30.0" customHeight="1">
      <c r="A1412" s="258">
        <v>1404.0</v>
      </c>
      <c r="B1412" s="237" t="s">
        <v>670</v>
      </c>
      <c r="C1412" s="257" t="s">
        <v>5731</v>
      </c>
      <c r="D1412" s="173" t="s">
        <v>5731</v>
      </c>
      <c r="E1412" s="174" t="s">
        <v>2861</v>
      </c>
      <c r="F1412" s="173" t="s">
        <v>2862</v>
      </c>
      <c r="G1412" s="328" t="s">
        <v>673</v>
      </c>
      <c r="H1412" s="328" t="s">
        <v>2863</v>
      </c>
      <c r="I1412" s="258" t="s">
        <v>2864</v>
      </c>
      <c r="J1412" s="259" t="s">
        <v>1149</v>
      </c>
      <c r="K1412" s="260" t="s">
        <v>5726</v>
      </c>
      <c r="L1412" s="359"/>
      <c r="M1412" s="359"/>
      <c r="N1412" s="173" t="s">
        <v>679</v>
      </c>
      <c r="O1412" s="173" t="s">
        <v>225</v>
      </c>
      <c r="P1412" s="262" t="str">
        <f t="shared" si="1"/>
        <v>IN-BLR-ANANTA-VAV-984_6</v>
      </c>
      <c r="Q1412" s="173" t="s">
        <v>5732</v>
      </c>
      <c r="R1412" s="328" t="str">
        <f>IFS(C1412="","",C1412="n/a","N/A",LEN(C1412),Concatenate("{",char(34),"asset",char(34),":{",char(34),"guid",char(34),":",char(34),Q1412,char(34),",",char(34),"site",char(34),":",char(34),LOWER('2-Building'!$B$4),char(34),",",char(34),"name",char(34),":",char(34),LOWER(C1412),char(34),"}}"))</f>
        <v>{"asset":{"guid":"uuid://0528b455-e5a3-43cb-9d9b-1849627ede05","site":"in-blr-ananta","name":"vav-984"}}</v>
      </c>
      <c r="S1412" s="360" t="s">
        <v>5516</v>
      </c>
      <c r="T1412" s="330"/>
      <c r="U1412" s="330"/>
      <c r="V1412" s="331"/>
      <c r="W1412" s="344"/>
      <c r="X1412" s="341"/>
      <c r="Y1412" s="33" t="s">
        <v>2867</v>
      </c>
      <c r="Z1412" s="258">
        <v>120984.0</v>
      </c>
      <c r="AA1412" s="334">
        <v>11619.0</v>
      </c>
      <c r="AB1412" s="341"/>
      <c r="AC1412" s="341"/>
      <c r="AD1412" s="343"/>
      <c r="AE1412" s="331"/>
      <c r="AF1412" s="348"/>
      <c r="AG1412" s="337"/>
      <c r="AH1412" s="341"/>
      <c r="AI1412" s="341"/>
      <c r="AJ1412" s="341"/>
      <c r="AK1412" s="341"/>
      <c r="AL1412" s="341"/>
      <c r="AM1412" s="338"/>
      <c r="AN1412" s="341"/>
      <c r="AO1412" s="341"/>
      <c r="AP1412" s="341"/>
      <c r="AQ1412" s="341"/>
      <c r="AR1412" s="341"/>
      <c r="AS1412" s="341"/>
      <c r="AT1412" s="341"/>
      <c r="AU1412" s="343"/>
      <c r="AV1412" s="341"/>
      <c r="AW1412" s="269" t="s">
        <v>2337</v>
      </c>
      <c r="AX1412" s="334" t="s">
        <v>2869</v>
      </c>
      <c r="AY1412" s="270" t="s">
        <v>695</v>
      </c>
      <c r="AZ1412" s="173" t="s">
        <v>5516</v>
      </c>
      <c r="BA1412" s="265">
        <v>10.0</v>
      </c>
      <c r="BB1412" s="174" t="s">
        <v>245</v>
      </c>
      <c r="BC1412" s="341"/>
      <c r="BD1412" s="308"/>
      <c r="BE1412" s="347"/>
      <c r="BF1412" s="274" t="str">
        <f>IFERROR(__xludf.DUMMYFUNCTION("LOWER(Regexreplace(to_text(E1412),""[^A-Za-z0-9]"","""")&amp;""_""&amp;Regexreplace(to_text(F1412),""[^A-Za-z0-9]"",""""))"),"neptronic_evcbseries")</f>
        <v>neptronic_evcbseries</v>
      </c>
      <c r="BG1412" s="275" t="str">
        <f>IFERROR(__xludf.DUMMYFUNCTION("upper(Regexreplace(to_text(E1412),""[^A-Za-z0-9]"","""")&amp;""-""&amp;Regexreplace(to_text(F1412),""[^A-Za-z0-9]"",""""))"),"NEPTRONIC-EVCBSERIES")</f>
        <v>NEPTRONIC-EVCBSERIES</v>
      </c>
    </row>
    <row r="1413" ht="30.0" customHeight="1">
      <c r="A1413" s="173">
        <v>1405.0</v>
      </c>
      <c r="B1413" s="237" t="s">
        <v>670</v>
      </c>
      <c r="C1413" s="257" t="s">
        <v>5733</v>
      </c>
      <c r="D1413" s="173" t="s">
        <v>5733</v>
      </c>
      <c r="E1413" s="174" t="s">
        <v>2861</v>
      </c>
      <c r="F1413" s="173" t="s">
        <v>2862</v>
      </c>
      <c r="G1413" s="328" t="s">
        <v>673</v>
      </c>
      <c r="H1413" s="328" t="s">
        <v>2863</v>
      </c>
      <c r="I1413" s="258" t="s">
        <v>2864</v>
      </c>
      <c r="J1413" s="259" t="s">
        <v>1149</v>
      </c>
      <c r="K1413" s="260" t="s">
        <v>5734</v>
      </c>
      <c r="L1413" s="359"/>
      <c r="M1413" s="359"/>
      <c r="N1413" s="173" t="s">
        <v>679</v>
      </c>
      <c r="O1413" s="173" t="s">
        <v>225</v>
      </c>
      <c r="P1413" s="262" t="str">
        <f t="shared" si="1"/>
        <v>IN-BLR-ANANTA-VAV-985_6</v>
      </c>
      <c r="Q1413" s="173" t="s">
        <v>5735</v>
      </c>
      <c r="R1413" s="328" t="str">
        <f>IFS(C1413="","",C1413="n/a","N/A",LEN(C1413),Concatenate("{",char(34),"asset",char(34),":{",char(34),"guid",char(34),":",char(34),Q1413,char(34),",",char(34),"site",char(34),":",char(34),LOWER('2-Building'!$B$4),char(34),",",char(34),"name",char(34),":",char(34),LOWER(C1413),char(34),"}}"))</f>
        <v>{"asset":{"guid":"uuid://e8650e61-c4c2-4ce4-a591-7b7f845ba767","site":"in-blr-ananta","name":"vav-985"}}</v>
      </c>
      <c r="S1413" s="360" t="s">
        <v>5516</v>
      </c>
      <c r="T1413" s="330"/>
      <c r="U1413" s="330"/>
      <c r="V1413" s="331"/>
      <c r="W1413" s="344"/>
      <c r="X1413" s="341"/>
      <c r="Y1413" s="33" t="s">
        <v>2867</v>
      </c>
      <c r="Z1413" s="258">
        <v>120985.0</v>
      </c>
      <c r="AA1413" s="334">
        <v>11619.0</v>
      </c>
      <c r="AB1413" s="341"/>
      <c r="AC1413" s="341"/>
      <c r="AD1413" s="343"/>
      <c r="AE1413" s="331"/>
      <c r="AF1413" s="348"/>
      <c r="AG1413" s="337"/>
      <c r="AH1413" s="341"/>
      <c r="AI1413" s="341"/>
      <c r="AJ1413" s="341"/>
      <c r="AK1413" s="341"/>
      <c r="AL1413" s="341"/>
      <c r="AM1413" s="338"/>
      <c r="AN1413" s="341"/>
      <c r="AO1413" s="341"/>
      <c r="AP1413" s="341"/>
      <c r="AQ1413" s="341"/>
      <c r="AR1413" s="341"/>
      <c r="AS1413" s="341"/>
      <c r="AT1413" s="341"/>
      <c r="AU1413" s="343"/>
      <c r="AV1413" s="341"/>
      <c r="AW1413" s="269" t="s">
        <v>2337</v>
      </c>
      <c r="AX1413" s="334" t="s">
        <v>2869</v>
      </c>
      <c r="AY1413" s="270" t="s">
        <v>695</v>
      </c>
      <c r="AZ1413" s="173" t="s">
        <v>5516</v>
      </c>
      <c r="BA1413" s="265">
        <v>10.0</v>
      </c>
      <c r="BB1413" s="174" t="s">
        <v>245</v>
      </c>
      <c r="BC1413" s="341"/>
      <c r="BD1413" s="308"/>
      <c r="BE1413" s="347"/>
      <c r="BF1413" s="274" t="str">
        <f>IFERROR(__xludf.DUMMYFUNCTION("LOWER(Regexreplace(to_text(E1413),""[^A-Za-z0-9]"","""")&amp;""_""&amp;Regexreplace(to_text(F1413),""[^A-Za-z0-9]"",""""))"),"neptronic_evcbseries")</f>
        <v>neptronic_evcbseries</v>
      </c>
      <c r="BG1413" s="275" t="str">
        <f>IFERROR(__xludf.DUMMYFUNCTION("upper(Regexreplace(to_text(E1413),""[^A-Za-z0-9]"","""")&amp;""-""&amp;Regexreplace(to_text(F1413),""[^A-Za-z0-9]"",""""))"),"NEPTRONIC-EVCBSERIES")</f>
        <v>NEPTRONIC-EVCBSERIES</v>
      </c>
    </row>
    <row r="1414" ht="30.0" customHeight="1">
      <c r="A1414" s="258">
        <v>1406.0</v>
      </c>
      <c r="B1414" s="237" t="s">
        <v>670</v>
      </c>
      <c r="C1414" s="257" t="s">
        <v>5736</v>
      </c>
      <c r="D1414" s="173" t="s">
        <v>5736</v>
      </c>
      <c r="E1414" s="174" t="s">
        <v>2861</v>
      </c>
      <c r="F1414" s="173" t="s">
        <v>2862</v>
      </c>
      <c r="G1414" s="328" t="s">
        <v>673</v>
      </c>
      <c r="H1414" s="328" t="s">
        <v>2863</v>
      </c>
      <c r="I1414" s="258" t="s">
        <v>2864</v>
      </c>
      <c r="J1414" s="259" t="s">
        <v>1149</v>
      </c>
      <c r="K1414" s="260" t="s">
        <v>5737</v>
      </c>
      <c r="L1414" s="359"/>
      <c r="M1414" s="359"/>
      <c r="N1414" s="173" t="s">
        <v>679</v>
      </c>
      <c r="O1414" s="173" t="s">
        <v>225</v>
      </c>
      <c r="P1414" s="262" t="str">
        <f t="shared" si="1"/>
        <v>IN-BLR-ANANTA-VAV-986_6</v>
      </c>
      <c r="Q1414" s="173" t="s">
        <v>5738</v>
      </c>
      <c r="R1414" s="328" t="str">
        <f>IFS(C1414="","",C1414="n/a","N/A",LEN(C1414),Concatenate("{",char(34),"asset",char(34),":{",char(34),"guid",char(34),":",char(34),Q1414,char(34),",",char(34),"site",char(34),":",char(34),LOWER('2-Building'!$B$4),char(34),",",char(34),"name",char(34),":",char(34),LOWER(C1414),char(34),"}}"))</f>
        <v>{"asset":{"guid":"uuid://f90f62ed-44b5-42fb-b222-331ec8b36225","site":"in-blr-ananta","name":"vav-986"}}</v>
      </c>
      <c r="S1414" s="360" t="s">
        <v>5516</v>
      </c>
      <c r="T1414" s="330"/>
      <c r="U1414" s="330"/>
      <c r="V1414" s="331"/>
      <c r="W1414" s="344"/>
      <c r="X1414" s="341"/>
      <c r="Y1414" s="33" t="s">
        <v>2867</v>
      </c>
      <c r="Z1414" s="258">
        <v>120986.0</v>
      </c>
      <c r="AA1414" s="334">
        <v>11619.0</v>
      </c>
      <c r="AB1414" s="341"/>
      <c r="AC1414" s="341"/>
      <c r="AD1414" s="343"/>
      <c r="AE1414" s="331"/>
      <c r="AF1414" s="348"/>
      <c r="AG1414" s="337"/>
      <c r="AH1414" s="341"/>
      <c r="AI1414" s="341"/>
      <c r="AJ1414" s="341"/>
      <c r="AK1414" s="341"/>
      <c r="AL1414" s="341"/>
      <c r="AM1414" s="338"/>
      <c r="AN1414" s="341"/>
      <c r="AO1414" s="341"/>
      <c r="AP1414" s="341"/>
      <c r="AQ1414" s="341"/>
      <c r="AR1414" s="341"/>
      <c r="AS1414" s="341"/>
      <c r="AT1414" s="341"/>
      <c r="AU1414" s="343"/>
      <c r="AV1414" s="341"/>
      <c r="AW1414" s="269" t="s">
        <v>2337</v>
      </c>
      <c r="AX1414" s="334" t="s">
        <v>2869</v>
      </c>
      <c r="AY1414" s="270" t="s">
        <v>695</v>
      </c>
      <c r="AZ1414" s="173" t="s">
        <v>5516</v>
      </c>
      <c r="BA1414" s="265">
        <v>10.0</v>
      </c>
      <c r="BB1414" s="174" t="s">
        <v>245</v>
      </c>
      <c r="BC1414" s="341"/>
      <c r="BD1414" s="308"/>
      <c r="BE1414" s="347"/>
      <c r="BF1414" s="274" t="str">
        <f>IFERROR(__xludf.DUMMYFUNCTION("LOWER(Regexreplace(to_text(E1414),""[^A-Za-z0-9]"","""")&amp;""_""&amp;Regexreplace(to_text(F1414),""[^A-Za-z0-9]"",""""))"),"neptronic_evcbseries")</f>
        <v>neptronic_evcbseries</v>
      </c>
      <c r="BG1414" s="275" t="str">
        <f>IFERROR(__xludf.DUMMYFUNCTION("upper(Regexreplace(to_text(E1414),""[^A-Za-z0-9]"","""")&amp;""-""&amp;Regexreplace(to_text(F1414),""[^A-Za-z0-9]"",""""))"),"NEPTRONIC-EVCBSERIES")</f>
        <v>NEPTRONIC-EVCBSERIES</v>
      </c>
    </row>
    <row r="1415" ht="30.0" customHeight="1">
      <c r="A1415" s="173">
        <v>1407.0</v>
      </c>
      <c r="B1415" s="237" t="s">
        <v>670</v>
      </c>
      <c r="C1415" s="257" t="s">
        <v>5739</v>
      </c>
      <c r="D1415" s="173" t="s">
        <v>5739</v>
      </c>
      <c r="E1415" s="174" t="s">
        <v>2861</v>
      </c>
      <c r="F1415" s="173" t="s">
        <v>2862</v>
      </c>
      <c r="G1415" s="328" t="s">
        <v>673</v>
      </c>
      <c r="H1415" s="328" t="s">
        <v>2863</v>
      </c>
      <c r="I1415" s="258" t="s">
        <v>2864</v>
      </c>
      <c r="J1415" s="259" t="s">
        <v>1149</v>
      </c>
      <c r="K1415" s="260" t="s">
        <v>5740</v>
      </c>
      <c r="L1415" s="359"/>
      <c r="M1415" s="359"/>
      <c r="N1415" s="173" t="s">
        <v>679</v>
      </c>
      <c r="O1415" s="173" t="s">
        <v>225</v>
      </c>
      <c r="P1415" s="262" t="str">
        <f t="shared" si="1"/>
        <v>IN-BLR-ANANTA-VAV-987_6</v>
      </c>
      <c r="Q1415" s="173" t="s">
        <v>5741</v>
      </c>
      <c r="R1415" s="328" t="str">
        <f>IFS(C1415="","",C1415="n/a","N/A",LEN(C1415),Concatenate("{",char(34),"asset",char(34),":{",char(34),"guid",char(34),":",char(34),Q1415,char(34),",",char(34),"site",char(34),":",char(34),LOWER('2-Building'!$B$4),char(34),",",char(34),"name",char(34),":",char(34),LOWER(C1415),char(34),"}}"))</f>
        <v>{"asset":{"guid":"uuid://d8cb1ac6-649f-4877-b975-33f62941c1e3","site":"in-blr-ananta","name":"vav-987"}}</v>
      </c>
      <c r="S1415" s="360" t="s">
        <v>5516</v>
      </c>
      <c r="T1415" s="330"/>
      <c r="U1415" s="330"/>
      <c r="V1415" s="331"/>
      <c r="W1415" s="344"/>
      <c r="X1415" s="341"/>
      <c r="Y1415" s="33" t="s">
        <v>2867</v>
      </c>
      <c r="Z1415" s="258">
        <v>120987.0</v>
      </c>
      <c r="AA1415" s="334">
        <v>11619.0</v>
      </c>
      <c r="AB1415" s="341"/>
      <c r="AC1415" s="341"/>
      <c r="AD1415" s="343"/>
      <c r="AE1415" s="331"/>
      <c r="AF1415" s="348"/>
      <c r="AG1415" s="337"/>
      <c r="AH1415" s="341"/>
      <c r="AI1415" s="341"/>
      <c r="AJ1415" s="341"/>
      <c r="AK1415" s="341"/>
      <c r="AL1415" s="341"/>
      <c r="AM1415" s="338"/>
      <c r="AN1415" s="341"/>
      <c r="AO1415" s="341"/>
      <c r="AP1415" s="341"/>
      <c r="AQ1415" s="341"/>
      <c r="AR1415" s="341"/>
      <c r="AS1415" s="341"/>
      <c r="AT1415" s="341"/>
      <c r="AU1415" s="343"/>
      <c r="AV1415" s="341"/>
      <c r="AW1415" s="269" t="s">
        <v>2337</v>
      </c>
      <c r="AX1415" s="334" t="s">
        <v>2869</v>
      </c>
      <c r="AY1415" s="270" t="s">
        <v>695</v>
      </c>
      <c r="AZ1415" s="173" t="s">
        <v>5516</v>
      </c>
      <c r="BA1415" s="265">
        <v>10.0</v>
      </c>
      <c r="BB1415" s="174" t="s">
        <v>245</v>
      </c>
      <c r="BC1415" s="341"/>
      <c r="BD1415" s="308"/>
      <c r="BE1415" s="347"/>
      <c r="BF1415" s="274" t="str">
        <f>IFERROR(__xludf.DUMMYFUNCTION("LOWER(Regexreplace(to_text(E1415),""[^A-Za-z0-9]"","""")&amp;""_""&amp;Regexreplace(to_text(F1415),""[^A-Za-z0-9]"",""""))"),"neptronic_evcbseries")</f>
        <v>neptronic_evcbseries</v>
      </c>
      <c r="BG1415" s="275" t="str">
        <f>IFERROR(__xludf.DUMMYFUNCTION("upper(Regexreplace(to_text(E1415),""[^A-Za-z0-9]"","""")&amp;""-""&amp;Regexreplace(to_text(F1415),""[^A-Za-z0-9]"",""""))"),"NEPTRONIC-EVCBSERIES")</f>
        <v>NEPTRONIC-EVCBSERIES</v>
      </c>
    </row>
    <row r="1416" ht="30.0" customHeight="1">
      <c r="A1416" s="258">
        <v>1408.0</v>
      </c>
      <c r="B1416" s="237" t="s">
        <v>670</v>
      </c>
      <c r="C1416" s="257" t="s">
        <v>5742</v>
      </c>
      <c r="D1416" s="173" t="s">
        <v>5742</v>
      </c>
      <c r="E1416" s="174" t="s">
        <v>2861</v>
      </c>
      <c r="F1416" s="173" t="s">
        <v>2862</v>
      </c>
      <c r="G1416" s="328" t="s">
        <v>673</v>
      </c>
      <c r="H1416" s="328" t="s">
        <v>2863</v>
      </c>
      <c r="I1416" s="258" t="s">
        <v>2864</v>
      </c>
      <c r="J1416" s="259" t="s">
        <v>1149</v>
      </c>
      <c r="K1416" s="260" t="s">
        <v>5743</v>
      </c>
      <c r="L1416" s="359"/>
      <c r="M1416" s="359"/>
      <c r="N1416" s="173" t="s">
        <v>679</v>
      </c>
      <c r="O1416" s="173" t="s">
        <v>225</v>
      </c>
      <c r="P1416" s="262" t="str">
        <f t="shared" si="1"/>
        <v>IN-BLR-ANANTA-VAV-988_6</v>
      </c>
      <c r="Q1416" s="173" t="s">
        <v>5744</v>
      </c>
      <c r="R1416" s="328" t="str">
        <f>IFS(C1416="","",C1416="n/a","N/A",LEN(C1416),Concatenate("{",char(34),"asset",char(34),":{",char(34),"guid",char(34),":",char(34),Q1416,char(34),",",char(34),"site",char(34),":",char(34),LOWER('2-Building'!$B$4),char(34),",",char(34),"name",char(34),":",char(34),LOWER(C1416),char(34),"}}"))</f>
        <v>{"asset":{"guid":"uuid://12bd2e57-94fb-4cdd-9392-57e1591517f8","site":"in-blr-ananta","name":"vav-988"}}</v>
      </c>
      <c r="S1416" s="360" t="s">
        <v>5516</v>
      </c>
      <c r="T1416" s="330"/>
      <c r="U1416" s="330"/>
      <c r="V1416" s="331"/>
      <c r="W1416" s="344"/>
      <c r="X1416" s="341"/>
      <c r="Y1416" s="33" t="s">
        <v>2867</v>
      </c>
      <c r="Z1416" s="258">
        <v>120988.0</v>
      </c>
      <c r="AA1416" s="334">
        <v>11619.0</v>
      </c>
      <c r="AB1416" s="341"/>
      <c r="AC1416" s="341"/>
      <c r="AD1416" s="343"/>
      <c r="AE1416" s="331"/>
      <c r="AF1416" s="348"/>
      <c r="AG1416" s="337"/>
      <c r="AH1416" s="341"/>
      <c r="AI1416" s="341"/>
      <c r="AJ1416" s="341"/>
      <c r="AK1416" s="341"/>
      <c r="AL1416" s="341"/>
      <c r="AM1416" s="338"/>
      <c r="AN1416" s="341"/>
      <c r="AO1416" s="341"/>
      <c r="AP1416" s="341"/>
      <c r="AQ1416" s="341"/>
      <c r="AR1416" s="341"/>
      <c r="AS1416" s="341"/>
      <c r="AT1416" s="341"/>
      <c r="AU1416" s="343"/>
      <c r="AV1416" s="341"/>
      <c r="AW1416" s="269" t="s">
        <v>2337</v>
      </c>
      <c r="AX1416" s="334" t="s">
        <v>2869</v>
      </c>
      <c r="AY1416" s="270" t="s">
        <v>695</v>
      </c>
      <c r="AZ1416" s="173" t="s">
        <v>5516</v>
      </c>
      <c r="BA1416" s="265">
        <v>10.0</v>
      </c>
      <c r="BB1416" s="174" t="s">
        <v>245</v>
      </c>
      <c r="BC1416" s="341"/>
      <c r="BD1416" s="308"/>
      <c r="BE1416" s="347"/>
      <c r="BF1416" s="274" t="str">
        <f>IFERROR(__xludf.DUMMYFUNCTION("LOWER(Regexreplace(to_text(E1416),""[^A-Za-z0-9]"","""")&amp;""_""&amp;Regexreplace(to_text(F1416),""[^A-Za-z0-9]"",""""))"),"neptronic_evcbseries")</f>
        <v>neptronic_evcbseries</v>
      </c>
      <c r="BG1416" s="275" t="str">
        <f>IFERROR(__xludf.DUMMYFUNCTION("upper(Regexreplace(to_text(E1416),""[^A-Za-z0-9]"","""")&amp;""-""&amp;Regexreplace(to_text(F1416),""[^A-Za-z0-9]"",""""))"),"NEPTRONIC-EVCBSERIES")</f>
        <v>NEPTRONIC-EVCBSERIES</v>
      </c>
    </row>
    <row r="1417" ht="30.0" customHeight="1">
      <c r="A1417" s="173">
        <v>1409.0</v>
      </c>
      <c r="B1417" s="237" t="s">
        <v>670</v>
      </c>
      <c r="C1417" s="257" t="s">
        <v>5745</v>
      </c>
      <c r="D1417" s="173" t="s">
        <v>5745</v>
      </c>
      <c r="E1417" s="174" t="s">
        <v>2861</v>
      </c>
      <c r="F1417" s="173" t="s">
        <v>2862</v>
      </c>
      <c r="G1417" s="328" t="s">
        <v>673</v>
      </c>
      <c r="H1417" s="328" t="s">
        <v>2863</v>
      </c>
      <c r="I1417" s="258" t="s">
        <v>2864</v>
      </c>
      <c r="J1417" s="259" t="s">
        <v>1149</v>
      </c>
      <c r="K1417" s="260" t="s">
        <v>5746</v>
      </c>
      <c r="L1417" s="359"/>
      <c r="M1417" s="359"/>
      <c r="N1417" s="173" t="s">
        <v>679</v>
      </c>
      <c r="O1417" s="173" t="s">
        <v>225</v>
      </c>
      <c r="P1417" s="262" t="str">
        <f t="shared" si="1"/>
        <v>IN-BLR-ANANTA-VAV-989_6</v>
      </c>
      <c r="Q1417" s="173" t="s">
        <v>5747</v>
      </c>
      <c r="R1417" s="328" t="str">
        <f>IFS(C1417="","",C1417="n/a","N/A",LEN(C1417),Concatenate("{",char(34),"asset",char(34),":{",char(34),"guid",char(34),":",char(34),Q1417,char(34),",",char(34),"site",char(34),":",char(34),LOWER('2-Building'!$B$4),char(34),",",char(34),"name",char(34),":",char(34),LOWER(C1417),char(34),"}}"))</f>
        <v>{"asset":{"guid":"uuid://960df468-f586-4c48-b74e-4567bd96e8ac","site":"in-blr-ananta","name":"vav-989"}}</v>
      </c>
      <c r="S1417" s="360" t="s">
        <v>5516</v>
      </c>
      <c r="T1417" s="330"/>
      <c r="U1417" s="330"/>
      <c r="V1417" s="331"/>
      <c r="W1417" s="344"/>
      <c r="X1417" s="341"/>
      <c r="Y1417" s="33" t="s">
        <v>2867</v>
      </c>
      <c r="Z1417" s="258">
        <v>120989.0</v>
      </c>
      <c r="AA1417" s="334">
        <v>11619.0</v>
      </c>
      <c r="AB1417" s="341"/>
      <c r="AC1417" s="341"/>
      <c r="AD1417" s="343"/>
      <c r="AE1417" s="331"/>
      <c r="AF1417" s="348"/>
      <c r="AG1417" s="337"/>
      <c r="AH1417" s="341"/>
      <c r="AI1417" s="341"/>
      <c r="AJ1417" s="341"/>
      <c r="AK1417" s="341"/>
      <c r="AL1417" s="341"/>
      <c r="AM1417" s="338"/>
      <c r="AN1417" s="341"/>
      <c r="AO1417" s="341"/>
      <c r="AP1417" s="341"/>
      <c r="AQ1417" s="341"/>
      <c r="AR1417" s="341"/>
      <c r="AS1417" s="341"/>
      <c r="AT1417" s="341"/>
      <c r="AU1417" s="343"/>
      <c r="AV1417" s="341"/>
      <c r="AW1417" s="269" t="s">
        <v>2337</v>
      </c>
      <c r="AX1417" s="334" t="s">
        <v>2869</v>
      </c>
      <c r="AY1417" s="270" t="s">
        <v>695</v>
      </c>
      <c r="AZ1417" s="173" t="s">
        <v>5516</v>
      </c>
      <c r="BA1417" s="265">
        <v>10.0</v>
      </c>
      <c r="BB1417" s="174" t="s">
        <v>245</v>
      </c>
      <c r="BC1417" s="341"/>
      <c r="BD1417" s="308"/>
      <c r="BE1417" s="347"/>
      <c r="BF1417" s="274" t="str">
        <f>IFERROR(__xludf.DUMMYFUNCTION("LOWER(Regexreplace(to_text(E1417),""[^A-Za-z0-9]"","""")&amp;""_""&amp;Regexreplace(to_text(F1417),""[^A-Za-z0-9]"",""""))"),"neptronic_evcbseries")</f>
        <v>neptronic_evcbseries</v>
      </c>
      <c r="BG1417" s="275" t="str">
        <f>IFERROR(__xludf.DUMMYFUNCTION("upper(Regexreplace(to_text(E1417),""[^A-Za-z0-9]"","""")&amp;""-""&amp;Regexreplace(to_text(F1417),""[^A-Za-z0-9]"",""""))"),"NEPTRONIC-EVCBSERIES")</f>
        <v>NEPTRONIC-EVCBSERIES</v>
      </c>
    </row>
    <row r="1418" ht="30.0" customHeight="1">
      <c r="A1418" s="258">
        <v>1410.0</v>
      </c>
      <c r="B1418" s="237" t="s">
        <v>670</v>
      </c>
      <c r="C1418" s="257" t="s">
        <v>5748</v>
      </c>
      <c r="D1418" s="173" t="s">
        <v>5748</v>
      </c>
      <c r="E1418" s="174" t="s">
        <v>2861</v>
      </c>
      <c r="F1418" s="173" t="s">
        <v>2862</v>
      </c>
      <c r="G1418" s="328" t="s">
        <v>673</v>
      </c>
      <c r="H1418" s="328" t="s">
        <v>2863</v>
      </c>
      <c r="I1418" s="258" t="s">
        <v>2864</v>
      </c>
      <c r="J1418" s="259" t="s">
        <v>1149</v>
      </c>
      <c r="K1418" s="260" t="s">
        <v>5749</v>
      </c>
      <c r="L1418" s="359"/>
      <c r="M1418" s="359"/>
      <c r="N1418" s="173" t="s">
        <v>679</v>
      </c>
      <c r="O1418" s="173" t="s">
        <v>225</v>
      </c>
      <c r="P1418" s="262" t="str">
        <f t="shared" si="1"/>
        <v>IN-BLR-ANANTA-VAV-990_6</v>
      </c>
      <c r="Q1418" s="173" t="s">
        <v>5750</v>
      </c>
      <c r="R1418" s="328" t="str">
        <f>IFS(C1418="","",C1418="n/a","N/A",LEN(C1418),Concatenate("{",char(34),"asset",char(34),":{",char(34),"guid",char(34),":",char(34),Q1418,char(34),",",char(34),"site",char(34),":",char(34),LOWER('2-Building'!$B$4),char(34),",",char(34),"name",char(34),":",char(34),LOWER(C1418),char(34),"}}"))</f>
        <v>{"asset":{"guid":"uuid://7bdb5c21-394b-4d94-9c53-ab3db15db614","site":"in-blr-ananta","name":"vav-990"}}</v>
      </c>
      <c r="S1418" s="360" t="s">
        <v>5516</v>
      </c>
      <c r="T1418" s="330"/>
      <c r="U1418" s="330"/>
      <c r="V1418" s="331"/>
      <c r="W1418" s="344"/>
      <c r="X1418" s="341"/>
      <c r="Y1418" s="33" t="s">
        <v>2867</v>
      </c>
      <c r="Z1418" s="258">
        <v>120990.0</v>
      </c>
      <c r="AA1418" s="334">
        <v>11619.0</v>
      </c>
      <c r="AB1418" s="341"/>
      <c r="AC1418" s="341"/>
      <c r="AD1418" s="343"/>
      <c r="AE1418" s="331"/>
      <c r="AF1418" s="348"/>
      <c r="AG1418" s="337"/>
      <c r="AH1418" s="341"/>
      <c r="AI1418" s="341"/>
      <c r="AJ1418" s="341"/>
      <c r="AK1418" s="341"/>
      <c r="AL1418" s="341"/>
      <c r="AM1418" s="338"/>
      <c r="AN1418" s="341"/>
      <c r="AO1418" s="341"/>
      <c r="AP1418" s="341"/>
      <c r="AQ1418" s="341"/>
      <c r="AR1418" s="341"/>
      <c r="AS1418" s="341"/>
      <c r="AT1418" s="341"/>
      <c r="AU1418" s="343"/>
      <c r="AV1418" s="341"/>
      <c r="AW1418" s="269" t="s">
        <v>2337</v>
      </c>
      <c r="AX1418" s="334" t="s">
        <v>2869</v>
      </c>
      <c r="AY1418" s="270" t="s">
        <v>695</v>
      </c>
      <c r="AZ1418" s="173" t="s">
        <v>5516</v>
      </c>
      <c r="BA1418" s="265">
        <v>10.0</v>
      </c>
      <c r="BB1418" s="174" t="s">
        <v>245</v>
      </c>
      <c r="BC1418" s="341"/>
      <c r="BD1418" s="308"/>
      <c r="BE1418" s="347"/>
      <c r="BF1418" s="274" t="str">
        <f>IFERROR(__xludf.DUMMYFUNCTION("LOWER(Regexreplace(to_text(E1418),""[^A-Za-z0-9]"","""")&amp;""_""&amp;Regexreplace(to_text(F1418),""[^A-Za-z0-9]"",""""))"),"neptronic_evcbseries")</f>
        <v>neptronic_evcbseries</v>
      </c>
      <c r="BG1418" s="275" t="str">
        <f>IFERROR(__xludf.DUMMYFUNCTION("upper(Regexreplace(to_text(E1418),""[^A-Za-z0-9]"","""")&amp;""-""&amp;Regexreplace(to_text(F1418),""[^A-Za-z0-9]"",""""))"),"NEPTRONIC-EVCBSERIES")</f>
        <v>NEPTRONIC-EVCBSERIES</v>
      </c>
    </row>
    <row r="1419" ht="30.0" customHeight="1">
      <c r="A1419" s="173">
        <v>1411.0</v>
      </c>
      <c r="B1419" s="237" t="s">
        <v>670</v>
      </c>
      <c r="C1419" s="257" t="s">
        <v>5751</v>
      </c>
      <c r="D1419" s="173" t="s">
        <v>5751</v>
      </c>
      <c r="E1419" s="174" t="s">
        <v>2861</v>
      </c>
      <c r="F1419" s="173" t="s">
        <v>2862</v>
      </c>
      <c r="G1419" s="328" t="s">
        <v>673</v>
      </c>
      <c r="H1419" s="328" t="s">
        <v>2863</v>
      </c>
      <c r="I1419" s="258" t="s">
        <v>2864</v>
      </c>
      <c r="J1419" s="259" t="s">
        <v>1149</v>
      </c>
      <c r="K1419" s="260" t="s">
        <v>5752</v>
      </c>
      <c r="L1419" s="359"/>
      <c r="M1419" s="359"/>
      <c r="N1419" s="173" t="s">
        <v>679</v>
      </c>
      <c r="O1419" s="173" t="s">
        <v>225</v>
      </c>
      <c r="P1419" s="262" t="str">
        <f t="shared" si="1"/>
        <v>IN-BLR-ANANTA-VAV-991_6</v>
      </c>
      <c r="Q1419" s="173" t="s">
        <v>5753</v>
      </c>
      <c r="R1419" s="328" t="str">
        <f>IFS(C1419="","",C1419="n/a","N/A",LEN(C1419),Concatenate("{",char(34),"asset",char(34),":{",char(34),"guid",char(34),":",char(34),Q1419,char(34),",",char(34),"site",char(34),":",char(34),LOWER('2-Building'!$B$4),char(34),",",char(34),"name",char(34),":",char(34),LOWER(C1419),char(34),"}}"))</f>
        <v>{"asset":{"guid":"uuid://4a53fbb1-a7d0-4bef-9bfa-f19103e5421d","site":"in-blr-ananta","name":"vav-991"}}</v>
      </c>
      <c r="S1419" s="360" t="s">
        <v>5516</v>
      </c>
      <c r="T1419" s="330"/>
      <c r="U1419" s="330"/>
      <c r="V1419" s="331"/>
      <c r="W1419" s="344"/>
      <c r="X1419" s="341"/>
      <c r="Y1419" s="33" t="s">
        <v>2867</v>
      </c>
      <c r="Z1419" s="258">
        <v>120991.0</v>
      </c>
      <c r="AA1419" s="334">
        <v>11619.0</v>
      </c>
      <c r="AB1419" s="341"/>
      <c r="AC1419" s="341"/>
      <c r="AD1419" s="343"/>
      <c r="AE1419" s="331"/>
      <c r="AF1419" s="348"/>
      <c r="AG1419" s="337"/>
      <c r="AH1419" s="341"/>
      <c r="AI1419" s="341"/>
      <c r="AJ1419" s="341"/>
      <c r="AK1419" s="341"/>
      <c r="AL1419" s="341"/>
      <c r="AM1419" s="338"/>
      <c r="AN1419" s="341"/>
      <c r="AO1419" s="341"/>
      <c r="AP1419" s="341"/>
      <c r="AQ1419" s="341"/>
      <c r="AR1419" s="341"/>
      <c r="AS1419" s="341"/>
      <c r="AT1419" s="341"/>
      <c r="AU1419" s="343"/>
      <c r="AV1419" s="341"/>
      <c r="AW1419" s="269" t="s">
        <v>2337</v>
      </c>
      <c r="AX1419" s="334" t="s">
        <v>2869</v>
      </c>
      <c r="AY1419" s="270" t="s">
        <v>695</v>
      </c>
      <c r="AZ1419" s="173" t="s">
        <v>5516</v>
      </c>
      <c r="BA1419" s="265">
        <v>10.0</v>
      </c>
      <c r="BB1419" s="174" t="s">
        <v>245</v>
      </c>
      <c r="BC1419" s="341"/>
      <c r="BD1419" s="308"/>
      <c r="BE1419" s="347"/>
      <c r="BF1419" s="274" t="str">
        <f>IFERROR(__xludf.DUMMYFUNCTION("LOWER(Regexreplace(to_text(E1419),""[^A-Za-z0-9]"","""")&amp;""_""&amp;Regexreplace(to_text(F1419),""[^A-Za-z0-9]"",""""))"),"neptronic_evcbseries")</f>
        <v>neptronic_evcbseries</v>
      </c>
      <c r="BG1419" s="275" t="str">
        <f>IFERROR(__xludf.DUMMYFUNCTION("upper(Regexreplace(to_text(E1419),""[^A-Za-z0-9]"","""")&amp;""-""&amp;Regexreplace(to_text(F1419),""[^A-Za-z0-9]"",""""))"),"NEPTRONIC-EVCBSERIES")</f>
        <v>NEPTRONIC-EVCBSERIES</v>
      </c>
    </row>
    <row r="1420" ht="30.0" customHeight="1">
      <c r="A1420" s="258">
        <v>1412.0</v>
      </c>
      <c r="B1420" s="237" t="s">
        <v>670</v>
      </c>
      <c r="C1420" s="257" t="s">
        <v>5754</v>
      </c>
      <c r="D1420" s="173" t="s">
        <v>5754</v>
      </c>
      <c r="E1420" s="174" t="s">
        <v>2861</v>
      </c>
      <c r="F1420" s="173" t="s">
        <v>2862</v>
      </c>
      <c r="G1420" s="328" t="s">
        <v>673</v>
      </c>
      <c r="H1420" s="328" t="s">
        <v>2863</v>
      </c>
      <c r="I1420" s="258" t="s">
        <v>2864</v>
      </c>
      <c r="J1420" s="259" t="s">
        <v>1149</v>
      </c>
      <c r="K1420" s="260" t="s">
        <v>5755</v>
      </c>
      <c r="L1420" s="359"/>
      <c r="M1420" s="359"/>
      <c r="N1420" s="173" t="s">
        <v>679</v>
      </c>
      <c r="O1420" s="173" t="s">
        <v>225</v>
      </c>
      <c r="P1420" s="262" t="str">
        <f t="shared" si="1"/>
        <v>IN-BLR-ANANTA-VAV-992_6</v>
      </c>
      <c r="Q1420" s="173" t="s">
        <v>5756</v>
      </c>
      <c r="R1420" s="328" t="str">
        <f>IFS(C1420="","",C1420="n/a","N/A",LEN(C1420),Concatenate("{",char(34),"asset",char(34),":{",char(34),"guid",char(34),":",char(34),Q1420,char(34),",",char(34),"site",char(34),":",char(34),LOWER('2-Building'!$B$4),char(34),",",char(34),"name",char(34),":",char(34),LOWER(C1420),char(34),"}}"))</f>
        <v>{"asset":{"guid":"uuid://5d1576ff-00cd-463b-a8f6-29b0bd2258dd","site":"in-blr-ananta","name":"vav-992"}}</v>
      </c>
      <c r="S1420" s="360" t="s">
        <v>5516</v>
      </c>
      <c r="T1420" s="330"/>
      <c r="U1420" s="330"/>
      <c r="V1420" s="331"/>
      <c r="W1420" s="344"/>
      <c r="X1420" s="341"/>
      <c r="Y1420" s="33" t="s">
        <v>2867</v>
      </c>
      <c r="Z1420" s="258">
        <v>120992.0</v>
      </c>
      <c r="AA1420" s="334">
        <v>11619.0</v>
      </c>
      <c r="AB1420" s="341"/>
      <c r="AC1420" s="341"/>
      <c r="AD1420" s="343"/>
      <c r="AE1420" s="331"/>
      <c r="AF1420" s="348"/>
      <c r="AG1420" s="337"/>
      <c r="AH1420" s="341"/>
      <c r="AI1420" s="341"/>
      <c r="AJ1420" s="341"/>
      <c r="AK1420" s="341"/>
      <c r="AL1420" s="341"/>
      <c r="AM1420" s="338"/>
      <c r="AN1420" s="341"/>
      <c r="AO1420" s="341"/>
      <c r="AP1420" s="341"/>
      <c r="AQ1420" s="341"/>
      <c r="AR1420" s="341"/>
      <c r="AS1420" s="341"/>
      <c r="AT1420" s="341"/>
      <c r="AU1420" s="343"/>
      <c r="AV1420" s="341"/>
      <c r="AW1420" s="269" t="s">
        <v>2337</v>
      </c>
      <c r="AX1420" s="334" t="s">
        <v>2869</v>
      </c>
      <c r="AY1420" s="270" t="s">
        <v>695</v>
      </c>
      <c r="AZ1420" s="173" t="s">
        <v>5516</v>
      </c>
      <c r="BA1420" s="265">
        <v>10.0</v>
      </c>
      <c r="BB1420" s="174" t="s">
        <v>245</v>
      </c>
      <c r="BC1420" s="341"/>
      <c r="BD1420" s="308"/>
      <c r="BE1420" s="347"/>
      <c r="BF1420" s="274" t="str">
        <f>IFERROR(__xludf.DUMMYFUNCTION("LOWER(Regexreplace(to_text(E1420),""[^A-Za-z0-9]"","""")&amp;""_""&amp;Regexreplace(to_text(F1420),""[^A-Za-z0-9]"",""""))"),"neptronic_evcbseries")</f>
        <v>neptronic_evcbseries</v>
      </c>
      <c r="BG1420" s="275" t="str">
        <f>IFERROR(__xludf.DUMMYFUNCTION("upper(Regexreplace(to_text(E1420),""[^A-Za-z0-9]"","""")&amp;""-""&amp;Regexreplace(to_text(F1420),""[^A-Za-z0-9]"",""""))"),"NEPTRONIC-EVCBSERIES")</f>
        <v>NEPTRONIC-EVCBSERIES</v>
      </c>
    </row>
    <row r="1421" ht="30.0" customHeight="1">
      <c r="A1421" s="173">
        <v>1413.0</v>
      </c>
      <c r="B1421" s="237" t="s">
        <v>670</v>
      </c>
      <c r="C1421" s="257" t="s">
        <v>5757</v>
      </c>
      <c r="D1421" s="173" t="s">
        <v>5757</v>
      </c>
      <c r="E1421" s="174" t="s">
        <v>2861</v>
      </c>
      <c r="F1421" s="173" t="s">
        <v>2862</v>
      </c>
      <c r="G1421" s="328" t="s">
        <v>673</v>
      </c>
      <c r="H1421" s="328" t="s">
        <v>2863</v>
      </c>
      <c r="I1421" s="258" t="s">
        <v>2864</v>
      </c>
      <c r="J1421" s="259" t="s">
        <v>1149</v>
      </c>
      <c r="K1421" s="260" t="s">
        <v>5758</v>
      </c>
      <c r="L1421" s="359"/>
      <c r="M1421" s="359"/>
      <c r="N1421" s="173" t="s">
        <v>679</v>
      </c>
      <c r="O1421" s="173" t="s">
        <v>225</v>
      </c>
      <c r="P1421" s="262" t="str">
        <f t="shared" si="1"/>
        <v>IN-BLR-ANANTA-VAV-993_6</v>
      </c>
      <c r="Q1421" s="173" t="s">
        <v>5759</v>
      </c>
      <c r="R1421" s="328" t="str">
        <f>IFS(C1421="","",C1421="n/a","N/A",LEN(C1421),Concatenate("{",char(34),"asset",char(34),":{",char(34),"guid",char(34),":",char(34),Q1421,char(34),",",char(34),"site",char(34),":",char(34),LOWER('2-Building'!$B$4),char(34),",",char(34),"name",char(34),":",char(34),LOWER(C1421),char(34),"}}"))</f>
        <v>{"asset":{"guid":"uuid://5a772263-622e-4059-b4e6-faec729a0945","site":"in-blr-ananta","name":"vav-993"}}</v>
      </c>
      <c r="S1421" s="360" t="s">
        <v>5516</v>
      </c>
      <c r="T1421" s="330"/>
      <c r="U1421" s="330"/>
      <c r="V1421" s="331"/>
      <c r="W1421" s="344"/>
      <c r="X1421" s="341"/>
      <c r="Y1421" s="33" t="s">
        <v>2867</v>
      </c>
      <c r="Z1421" s="258">
        <v>120993.0</v>
      </c>
      <c r="AA1421" s="334">
        <v>11619.0</v>
      </c>
      <c r="AB1421" s="341"/>
      <c r="AC1421" s="341"/>
      <c r="AD1421" s="343"/>
      <c r="AE1421" s="331"/>
      <c r="AF1421" s="348"/>
      <c r="AG1421" s="337"/>
      <c r="AH1421" s="341"/>
      <c r="AI1421" s="341"/>
      <c r="AJ1421" s="341"/>
      <c r="AK1421" s="341"/>
      <c r="AL1421" s="341"/>
      <c r="AM1421" s="338"/>
      <c r="AN1421" s="341"/>
      <c r="AO1421" s="341"/>
      <c r="AP1421" s="341"/>
      <c r="AQ1421" s="341"/>
      <c r="AR1421" s="341"/>
      <c r="AS1421" s="341"/>
      <c r="AT1421" s="341"/>
      <c r="AU1421" s="343"/>
      <c r="AV1421" s="341"/>
      <c r="AW1421" s="269" t="s">
        <v>2337</v>
      </c>
      <c r="AX1421" s="334" t="s">
        <v>2869</v>
      </c>
      <c r="AY1421" s="270" t="s">
        <v>695</v>
      </c>
      <c r="AZ1421" s="173" t="s">
        <v>5516</v>
      </c>
      <c r="BA1421" s="265">
        <v>10.0</v>
      </c>
      <c r="BB1421" s="174" t="s">
        <v>245</v>
      </c>
      <c r="BC1421" s="341"/>
      <c r="BD1421" s="308"/>
      <c r="BE1421" s="347"/>
      <c r="BF1421" s="274" t="str">
        <f>IFERROR(__xludf.DUMMYFUNCTION("LOWER(Regexreplace(to_text(E1421),""[^A-Za-z0-9]"","""")&amp;""_""&amp;Regexreplace(to_text(F1421),""[^A-Za-z0-9]"",""""))"),"neptronic_evcbseries")</f>
        <v>neptronic_evcbseries</v>
      </c>
      <c r="BG1421" s="275" t="str">
        <f>IFERROR(__xludf.DUMMYFUNCTION("upper(Regexreplace(to_text(E1421),""[^A-Za-z0-9]"","""")&amp;""-""&amp;Regexreplace(to_text(F1421),""[^A-Za-z0-9]"",""""))"),"NEPTRONIC-EVCBSERIES")</f>
        <v>NEPTRONIC-EVCBSERIES</v>
      </c>
    </row>
    <row r="1422" ht="30.0" customHeight="1">
      <c r="A1422" s="258">
        <v>1414.0</v>
      </c>
      <c r="B1422" s="237" t="s">
        <v>670</v>
      </c>
      <c r="C1422" s="257" t="s">
        <v>5760</v>
      </c>
      <c r="D1422" s="173" t="s">
        <v>5760</v>
      </c>
      <c r="E1422" s="174" t="s">
        <v>2861</v>
      </c>
      <c r="F1422" s="173" t="s">
        <v>2862</v>
      </c>
      <c r="G1422" s="328" t="s">
        <v>673</v>
      </c>
      <c r="H1422" s="328" t="s">
        <v>2863</v>
      </c>
      <c r="I1422" s="258" t="s">
        <v>2864</v>
      </c>
      <c r="J1422" s="259" t="s">
        <v>1149</v>
      </c>
      <c r="K1422" s="260" t="s">
        <v>5761</v>
      </c>
      <c r="L1422" s="359"/>
      <c r="M1422" s="359"/>
      <c r="N1422" s="173" t="s">
        <v>679</v>
      </c>
      <c r="O1422" s="173" t="s">
        <v>225</v>
      </c>
      <c r="P1422" s="262" t="str">
        <f t="shared" si="1"/>
        <v>IN-BLR-ANANTA-VAV-994_6</v>
      </c>
      <c r="Q1422" s="173" t="s">
        <v>5762</v>
      </c>
      <c r="R1422" s="328" t="str">
        <f>IFS(C1422="","",C1422="n/a","N/A",LEN(C1422),Concatenate("{",char(34),"asset",char(34),":{",char(34),"guid",char(34),":",char(34),Q1422,char(34),",",char(34),"site",char(34),":",char(34),LOWER('2-Building'!$B$4),char(34),",",char(34),"name",char(34),":",char(34),LOWER(C1422),char(34),"}}"))</f>
        <v>{"asset":{"guid":"uuid://0bb725ed-5453-40c9-b8c5-2233c9b3e5d3","site":"in-blr-ananta","name":"vav-994"}}</v>
      </c>
      <c r="S1422" s="360" t="s">
        <v>5516</v>
      </c>
      <c r="T1422" s="330"/>
      <c r="U1422" s="330"/>
      <c r="V1422" s="331"/>
      <c r="W1422" s="344"/>
      <c r="X1422" s="341"/>
      <c r="Y1422" s="33" t="s">
        <v>2867</v>
      </c>
      <c r="Z1422" s="258">
        <v>120994.0</v>
      </c>
      <c r="AA1422" s="334">
        <v>11619.0</v>
      </c>
      <c r="AB1422" s="341"/>
      <c r="AC1422" s="341"/>
      <c r="AD1422" s="343"/>
      <c r="AE1422" s="331"/>
      <c r="AF1422" s="348"/>
      <c r="AG1422" s="337"/>
      <c r="AH1422" s="341"/>
      <c r="AI1422" s="341"/>
      <c r="AJ1422" s="341"/>
      <c r="AK1422" s="341"/>
      <c r="AL1422" s="341"/>
      <c r="AM1422" s="338"/>
      <c r="AN1422" s="341"/>
      <c r="AO1422" s="341"/>
      <c r="AP1422" s="341"/>
      <c r="AQ1422" s="341"/>
      <c r="AR1422" s="341"/>
      <c r="AS1422" s="341"/>
      <c r="AT1422" s="341"/>
      <c r="AU1422" s="343"/>
      <c r="AV1422" s="341"/>
      <c r="AW1422" s="269" t="s">
        <v>2337</v>
      </c>
      <c r="AX1422" s="334" t="s">
        <v>2869</v>
      </c>
      <c r="AY1422" s="270" t="s">
        <v>695</v>
      </c>
      <c r="AZ1422" s="173" t="s">
        <v>5516</v>
      </c>
      <c r="BA1422" s="265">
        <v>10.0</v>
      </c>
      <c r="BB1422" s="174" t="s">
        <v>245</v>
      </c>
      <c r="BC1422" s="341"/>
      <c r="BD1422" s="308"/>
      <c r="BE1422" s="347"/>
      <c r="BF1422" s="274" t="str">
        <f>IFERROR(__xludf.DUMMYFUNCTION("LOWER(Regexreplace(to_text(E1422),""[^A-Za-z0-9]"","""")&amp;""_""&amp;Regexreplace(to_text(F1422),""[^A-Za-z0-9]"",""""))"),"neptronic_evcbseries")</f>
        <v>neptronic_evcbseries</v>
      </c>
      <c r="BG1422" s="275" t="str">
        <f>IFERROR(__xludf.DUMMYFUNCTION("upper(Regexreplace(to_text(E1422),""[^A-Za-z0-9]"","""")&amp;""-""&amp;Regexreplace(to_text(F1422),""[^A-Za-z0-9]"",""""))"),"NEPTRONIC-EVCBSERIES")</f>
        <v>NEPTRONIC-EVCBSERIES</v>
      </c>
    </row>
    <row r="1423" ht="30.0" customHeight="1">
      <c r="A1423" s="173">
        <v>1415.0</v>
      </c>
      <c r="B1423" s="237" t="s">
        <v>670</v>
      </c>
      <c r="C1423" s="257" t="s">
        <v>5763</v>
      </c>
      <c r="D1423" s="173" t="s">
        <v>5763</v>
      </c>
      <c r="E1423" s="174" t="s">
        <v>2861</v>
      </c>
      <c r="F1423" s="173" t="s">
        <v>2862</v>
      </c>
      <c r="G1423" s="328" t="s">
        <v>673</v>
      </c>
      <c r="H1423" s="328" t="s">
        <v>2863</v>
      </c>
      <c r="I1423" s="258" t="s">
        <v>2864</v>
      </c>
      <c r="J1423" s="259" t="s">
        <v>1149</v>
      </c>
      <c r="K1423" s="260" t="s">
        <v>5764</v>
      </c>
      <c r="L1423" s="359"/>
      <c r="M1423" s="359"/>
      <c r="N1423" s="173" t="s">
        <v>679</v>
      </c>
      <c r="O1423" s="173" t="s">
        <v>225</v>
      </c>
      <c r="P1423" s="262" t="str">
        <f t="shared" si="1"/>
        <v>IN-BLR-ANANTA-VAV-995_6</v>
      </c>
      <c r="Q1423" s="173" t="s">
        <v>5765</v>
      </c>
      <c r="R1423" s="328" t="str">
        <f>IFS(C1423="","",C1423="n/a","N/A",LEN(C1423),Concatenate("{",char(34),"asset",char(34),":{",char(34),"guid",char(34),":",char(34),Q1423,char(34),",",char(34),"site",char(34),":",char(34),LOWER('2-Building'!$B$4),char(34),",",char(34),"name",char(34),":",char(34),LOWER(C1423),char(34),"}}"))</f>
        <v>{"asset":{"guid":"uuid://f0e3212c-6a89-482d-b355-4fb3f54e5533","site":"in-blr-ananta","name":"vav-995"}}</v>
      </c>
      <c r="S1423" s="360" t="s">
        <v>5516</v>
      </c>
      <c r="T1423" s="330"/>
      <c r="U1423" s="330"/>
      <c r="V1423" s="331"/>
      <c r="W1423" s="344"/>
      <c r="X1423" s="341"/>
      <c r="Y1423" s="33" t="s">
        <v>2867</v>
      </c>
      <c r="Z1423" s="258">
        <v>120995.0</v>
      </c>
      <c r="AA1423" s="334">
        <v>11619.0</v>
      </c>
      <c r="AB1423" s="341"/>
      <c r="AC1423" s="341"/>
      <c r="AD1423" s="343"/>
      <c r="AE1423" s="331"/>
      <c r="AF1423" s="348"/>
      <c r="AG1423" s="337"/>
      <c r="AH1423" s="341"/>
      <c r="AI1423" s="341"/>
      <c r="AJ1423" s="341"/>
      <c r="AK1423" s="341"/>
      <c r="AL1423" s="341"/>
      <c r="AM1423" s="338"/>
      <c r="AN1423" s="341"/>
      <c r="AO1423" s="341"/>
      <c r="AP1423" s="341"/>
      <c r="AQ1423" s="341"/>
      <c r="AR1423" s="341"/>
      <c r="AS1423" s="341"/>
      <c r="AT1423" s="341"/>
      <c r="AU1423" s="343"/>
      <c r="AV1423" s="341"/>
      <c r="AW1423" s="269" t="s">
        <v>2337</v>
      </c>
      <c r="AX1423" s="334" t="s">
        <v>2869</v>
      </c>
      <c r="AY1423" s="270" t="s">
        <v>695</v>
      </c>
      <c r="AZ1423" s="173" t="s">
        <v>5516</v>
      </c>
      <c r="BA1423" s="265">
        <v>10.0</v>
      </c>
      <c r="BB1423" s="174" t="s">
        <v>245</v>
      </c>
      <c r="BC1423" s="341"/>
      <c r="BD1423" s="308"/>
      <c r="BE1423" s="347"/>
      <c r="BF1423" s="274" t="str">
        <f>IFERROR(__xludf.DUMMYFUNCTION("LOWER(Regexreplace(to_text(E1423),""[^A-Za-z0-9]"","""")&amp;""_""&amp;Regexreplace(to_text(F1423),""[^A-Za-z0-9]"",""""))"),"neptronic_evcbseries")</f>
        <v>neptronic_evcbseries</v>
      </c>
      <c r="BG1423" s="275" t="str">
        <f>IFERROR(__xludf.DUMMYFUNCTION("upper(Regexreplace(to_text(E1423),""[^A-Za-z0-9]"","""")&amp;""-""&amp;Regexreplace(to_text(F1423),""[^A-Za-z0-9]"",""""))"),"NEPTRONIC-EVCBSERIES")</f>
        <v>NEPTRONIC-EVCBSERIES</v>
      </c>
    </row>
    <row r="1424" ht="30.0" customHeight="1">
      <c r="A1424" s="258">
        <v>1416.0</v>
      </c>
      <c r="B1424" s="328" t="s">
        <v>670</v>
      </c>
      <c r="C1424" s="257" t="s">
        <v>5766</v>
      </c>
      <c r="D1424" s="173" t="s">
        <v>5766</v>
      </c>
      <c r="E1424" s="174" t="s">
        <v>2861</v>
      </c>
      <c r="F1424" s="173" t="s">
        <v>2862</v>
      </c>
      <c r="G1424" s="328" t="s">
        <v>673</v>
      </c>
      <c r="H1424" s="328" t="s">
        <v>2863</v>
      </c>
      <c r="I1424" s="258" t="s">
        <v>2864</v>
      </c>
      <c r="J1424" s="259" t="s">
        <v>1149</v>
      </c>
      <c r="K1424" s="260" t="s">
        <v>5767</v>
      </c>
      <c r="L1424" s="359"/>
      <c r="M1424" s="359"/>
      <c r="N1424" s="173" t="s">
        <v>679</v>
      </c>
      <c r="O1424" s="173" t="s">
        <v>225</v>
      </c>
      <c r="P1424" s="262" t="str">
        <f t="shared" si="1"/>
        <v>IN-BLR-ANANTA-VAV-996_6</v>
      </c>
      <c r="Q1424" s="173" t="s">
        <v>5768</v>
      </c>
      <c r="R1424" s="328" t="str">
        <f>IFS(C1424="","",C1424="n/a","N/A",LEN(C1424),Concatenate("{",char(34),"asset",char(34),":{",char(34),"guid",char(34),":",char(34),Q1424,char(34),",",char(34),"site",char(34),":",char(34),LOWER('2-Building'!$B$4),char(34),",",char(34),"name",char(34),":",char(34),LOWER(C1424),char(34),"}}"))</f>
        <v>{"asset":{"guid":"uuid://25ff05e6-b16e-4872-baa0-8bd6ff8c1216","site":"in-blr-ananta","name":"vav-996"}}</v>
      </c>
      <c r="S1424" s="360" t="s">
        <v>5516</v>
      </c>
      <c r="T1424" s="330"/>
      <c r="U1424" s="330"/>
      <c r="V1424" s="331"/>
      <c r="W1424" s="332"/>
      <c r="X1424" s="333"/>
      <c r="Y1424" s="33" t="s">
        <v>2867</v>
      </c>
      <c r="Z1424" s="258">
        <v>120996.0</v>
      </c>
      <c r="AA1424" s="334">
        <v>11619.0</v>
      </c>
      <c r="AB1424" s="341"/>
      <c r="AC1424" s="341"/>
      <c r="AD1424" s="343"/>
      <c r="AE1424" s="331"/>
      <c r="AF1424" s="348"/>
      <c r="AG1424" s="337"/>
      <c r="AH1424" s="341"/>
      <c r="AI1424" s="341"/>
      <c r="AJ1424" s="341"/>
      <c r="AK1424" s="341"/>
      <c r="AL1424" s="341"/>
      <c r="AM1424" s="338"/>
      <c r="AN1424" s="341"/>
      <c r="AO1424" s="341"/>
      <c r="AP1424" s="341"/>
      <c r="AQ1424" s="341"/>
      <c r="AR1424" s="341"/>
      <c r="AS1424" s="341"/>
      <c r="AT1424" s="341"/>
      <c r="AU1424" s="343"/>
      <c r="AV1424" s="341"/>
      <c r="AW1424" s="269" t="s">
        <v>2337</v>
      </c>
      <c r="AX1424" s="334" t="s">
        <v>2869</v>
      </c>
      <c r="AY1424" s="270" t="s">
        <v>695</v>
      </c>
      <c r="AZ1424" s="173" t="s">
        <v>5516</v>
      </c>
      <c r="BA1424" s="265">
        <v>10.0</v>
      </c>
      <c r="BB1424" s="174" t="s">
        <v>245</v>
      </c>
      <c r="BC1424" s="341"/>
      <c r="BD1424" s="308"/>
      <c r="BE1424" s="342"/>
      <c r="BF1424" s="274" t="str">
        <f>IFERROR(__xludf.DUMMYFUNCTION("LOWER(Regexreplace(to_text(E1424),""[^A-Za-z0-9]"","""")&amp;""_""&amp;Regexreplace(to_text(F1424),""[^A-Za-z0-9]"",""""))"),"neptronic_evcbseries")</f>
        <v>neptronic_evcbseries</v>
      </c>
      <c r="BG1424" s="275" t="str">
        <f>IFERROR(__xludf.DUMMYFUNCTION("upper(Regexreplace(to_text(E1424),""[^A-Za-z0-9]"","""")&amp;""-""&amp;Regexreplace(to_text(F1424),""[^A-Za-z0-9]"",""""))"),"NEPTRONIC-EVCBSERIES")</f>
        <v>NEPTRONIC-EVCBSERIES</v>
      </c>
    </row>
    <row r="1425" ht="30.0" customHeight="1">
      <c r="A1425" s="173">
        <v>1417.0</v>
      </c>
      <c r="B1425" s="328" t="s">
        <v>670</v>
      </c>
      <c r="C1425" s="257" t="s">
        <v>5769</v>
      </c>
      <c r="D1425" s="173" t="s">
        <v>5769</v>
      </c>
      <c r="E1425" s="174" t="s">
        <v>2861</v>
      </c>
      <c r="F1425" s="173" t="s">
        <v>2862</v>
      </c>
      <c r="G1425" s="328" t="s">
        <v>673</v>
      </c>
      <c r="H1425" s="328" t="s">
        <v>2863</v>
      </c>
      <c r="I1425" s="258" t="s">
        <v>2864</v>
      </c>
      <c r="J1425" s="259" t="s">
        <v>1149</v>
      </c>
      <c r="K1425" s="260" t="s">
        <v>5770</v>
      </c>
      <c r="L1425" s="359"/>
      <c r="M1425" s="359"/>
      <c r="N1425" s="173" t="s">
        <v>679</v>
      </c>
      <c r="O1425" s="173" t="s">
        <v>225</v>
      </c>
      <c r="P1425" s="262" t="str">
        <f t="shared" si="1"/>
        <v>IN-BLR-ANANTA-VAV-997_6</v>
      </c>
      <c r="Q1425" s="173" t="s">
        <v>5771</v>
      </c>
      <c r="R1425" s="328" t="str">
        <f>IFS(C1425="","",C1425="n/a","N/A",LEN(C1425),Concatenate("{",char(34),"asset",char(34),":{",char(34),"guid",char(34),":",char(34),Q1425,char(34),",",char(34),"site",char(34),":",char(34),LOWER('2-Building'!$B$4),char(34),",",char(34),"name",char(34),":",char(34),LOWER(C1425),char(34),"}}"))</f>
        <v>{"asset":{"guid":"uuid://a0ded119-9765-4e85-97e9-942079ecd46a","site":"in-blr-ananta","name":"vav-997"}}</v>
      </c>
      <c r="S1425" s="360" t="s">
        <v>5516</v>
      </c>
      <c r="T1425" s="330"/>
      <c r="U1425" s="330"/>
      <c r="V1425" s="331"/>
      <c r="W1425" s="332"/>
      <c r="X1425" s="333"/>
      <c r="Y1425" s="33" t="s">
        <v>2867</v>
      </c>
      <c r="Z1425" s="258">
        <v>120997.0</v>
      </c>
      <c r="AA1425" s="334">
        <v>11619.0</v>
      </c>
      <c r="AB1425" s="341"/>
      <c r="AC1425" s="341"/>
      <c r="AD1425" s="343"/>
      <c r="AE1425" s="331"/>
      <c r="AF1425" s="348"/>
      <c r="AG1425" s="337"/>
      <c r="AH1425" s="341"/>
      <c r="AI1425" s="341"/>
      <c r="AJ1425" s="341"/>
      <c r="AK1425" s="341"/>
      <c r="AL1425" s="341"/>
      <c r="AM1425" s="338"/>
      <c r="AN1425" s="341"/>
      <c r="AO1425" s="341"/>
      <c r="AP1425" s="341"/>
      <c r="AQ1425" s="341"/>
      <c r="AR1425" s="341"/>
      <c r="AS1425" s="341"/>
      <c r="AT1425" s="341"/>
      <c r="AU1425" s="343"/>
      <c r="AV1425" s="341"/>
      <c r="AW1425" s="269" t="s">
        <v>2337</v>
      </c>
      <c r="AX1425" s="334" t="s">
        <v>2869</v>
      </c>
      <c r="AY1425" s="270" t="s">
        <v>695</v>
      </c>
      <c r="AZ1425" s="173" t="s">
        <v>5516</v>
      </c>
      <c r="BA1425" s="265">
        <v>10.0</v>
      </c>
      <c r="BB1425" s="174" t="s">
        <v>245</v>
      </c>
      <c r="BC1425" s="341"/>
      <c r="BD1425" s="308"/>
      <c r="BE1425" s="342"/>
      <c r="BF1425" s="274" t="str">
        <f>IFERROR(__xludf.DUMMYFUNCTION("LOWER(Regexreplace(to_text(E1425),""[^A-Za-z0-9]"","""")&amp;""_""&amp;Regexreplace(to_text(F1425),""[^A-Za-z0-9]"",""""))"),"neptronic_evcbseries")</f>
        <v>neptronic_evcbseries</v>
      </c>
      <c r="BG1425" s="275" t="str">
        <f>IFERROR(__xludf.DUMMYFUNCTION("upper(Regexreplace(to_text(E1425),""[^A-Za-z0-9]"","""")&amp;""-""&amp;Regexreplace(to_text(F1425),""[^A-Za-z0-9]"",""""))"),"NEPTRONIC-EVCBSERIES")</f>
        <v>NEPTRONIC-EVCBSERIES</v>
      </c>
    </row>
    <row r="1426" ht="30.0" customHeight="1">
      <c r="A1426" s="258">
        <v>1418.0</v>
      </c>
      <c r="B1426" s="328" t="s">
        <v>670</v>
      </c>
      <c r="C1426" s="257" t="s">
        <v>5772</v>
      </c>
      <c r="D1426" s="173" t="s">
        <v>5772</v>
      </c>
      <c r="E1426" s="174" t="s">
        <v>2861</v>
      </c>
      <c r="F1426" s="173" t="s">
        <v>2862</v>
      </c>
      <c r="G1426" s="328" t="s">
        <v>673</v>
      </c>
      <c r="H1426" s="328" t="s">
        <v>2863</v>
      </c>
      <c r="I1426" s="258" t="s">
        <v>2864</v>
      </c>
      <c r="J1426" s="259" t="s">
        <v>1149</v>
      </c>
      <c r="K1426" s="260" t="s">
        <v>5773</v>
      </c>
      <c r="L1426" s="359"/>
      <c r="M1426" s="359"/>
      <c r="N1426" s="173" t="s">
        <v>679</v>
      </c>
      <c r="O1426" s="173" t="s">
        <v>225</v>
      </c>
      <c r="P1426" s="262" t="str">
        <f t="shared" si="1"/>
        <v>IN-BLR-ANANTA-VAV-998_6</v>
      </c>
      <c r="Q1426" s="173" t="s">
        <v>5774</v>
      </c>
      <c r="R1426" s="328" t="str">
        <f>IFS(C1426="","",C1426="n/a","N/A",LEN(C1426),Concatenate("{",char(34),"asset",char(34),":{",char(34),"guid",char(34),":",char(34),Q1426,char(34),",",char(34),"site",char(34),":",char(34),LOWER('2-Building'!$B$4),char(34),",",char(34),"name",char(34),":",char(34),LOWER(C1426),char(34),"}}"))</f>
        <v>{"asset":{"guid":"uuid://d5d4dd4e-f0a3-45ba-b208-600e5e79fc99","site":"in-blr-ananta","name":"vav-998"}}</v>
      </c>
      <c r="S1426" s="360" t="s">
        <v>5516</v>
      </c>
      <c r="T1426" s="330"/>
      <c r="U1426" s="330"/>
      <c r="V1426" s="331"/>
      <c r="W1426" s="332"/>
      <c r="X1426" s="333"/>
      <c r="Y1426" s="33" t="s">
        <v>2867</v>
      </c>
      <c r="Z1426" s="258">
        <v>120998.0</v>
      </c>
      <c r="AA1426" s="334">
        <v>11620.0</v>
      </c>
      <c r="AB1426" s="341"/>
      <c r="AC1426" s="341"/>
      <c r="AD1426" s="343"/>
      <c r="AE1426" s="331"/>
      <c r="AF1426" s="348"/>
      <c r="AG1426" s="337"/>
      <c r="AH1426" s="341"/>
      <c r="AI1426" s="341"/>
      <c r="AJ1426" s="341"/>
      <c r="AK1426" s="341"/>
      <c r="AL1426" s="341"/>
      <c r="AM1426" s="338"/>
      <c r="AN1426" s="341"/>
      <c r="AO1426" s="341"/>
      <c r="AP1426" s="341"/>
      <c r="AQ1426" s="341"/>
      <c r="AR1426" s="341"/>
      <c r="AS1426" s="341"/>
      <c r="AT1426" s="341"/>
      <c r="AU1426" s="343"/>
      <c r="AV1426" s="341"/>
      <c r="AW1426" s="269" t="s">
        <v>2337</v>
      </c>
      <c r="AX1426" s="334" t="s">
        <v>2869</v>
      </c>
      <c r="AY1426" s="270" t="s">
        <v>695</v>
      </c>
      <c r="AZ1426" s="173" t="s">
        <v>5516</v>
      </c>
      <c r="BA1426" s="265">
        <v>10.0</v>
      </c>
      <c r="BB1426" s="174" t="s">
        <v>245</v>
      </c>
      <c r="BC1426" s="341"/>
      <c r="BD1426" s="308"/>
      <c r="BE1426" s="342"/>
      <c r="BF1426" s="274" t="str">
        <f>IFERROR(__xludf.DUMMYFUNCTION("LOWER(Regexreplace(to_text(E1426),""[^A-Za-z0-9]"","""")&amp;""_""&amp;Regexreplace(to_text(F1426),""[^A-Za-z0-9]"",""""))"),"neptronic_evcbseries")</f>
        <v>neptronic_evcbseries</v>
      </c>
      <c r="BG1426" s="275" t="str">
        <f>IFERROR(__xludf.DUMMYFUNCTION("upper(Regexreplace(to_text(E1426),""[^A-Za-z0-9]"","""")&amp;""-""&amp;Regexreplace(to_text(F1426),""[^A-Za-z0-9]"",""""))"),"NEPTRONIC-EVCBSERIES")</f>
        <v>NEPTRONIC-EVCBSERIES</v>
      </c>
    </row>
    <row r="1427" ht="30.0" customHeight="1">
      <c r="A1427" s="173">
        <v>1419.0</v>
      </c>
      <c r="B1427" s="328" t="s">
        <v>670</v>
      </c>
      <c r="C1427" s="257" t="s">
        <v>5775</v>
      </c>
      <c r="D1427" s="173" t="s">
        <v>5775</v>
      </c>
      <c r="E1427" s="174" t="s">
        <v>2861</v>
      </c>
      <c r="F1427" s="173" t="s">
        <v>2862</v>
      </c>
      <c r="G1427" s="328" t="s">
        <v>673</v>
      </c>
      <c r="H1427" s="328" t="s">
        <v>2863</v>
      </c>
      <c r="I1427" s="258" t="s">
        <v>2864</v>
      </c>
      <c r="J1427" s="259" t="s">
        <v>1149</v>
      </c>
      <c r="K1427" s="260" t="s">
        <v>5776</v>
      </c>
      <c r="L1427" s="359"/>
      <c r="M1427" s="359"/>
      <c r="N1427" s="173" t="s">
        <v>679</v>
      </c>
      <c r="O1427" s="173" t="s">
        <v>225</v>
      </c>
      <c r="P1427" s="262" t="str">
        <f t="shared" si="1"/>
        <v>IN-BLR-ANANTA-VAV-999_6</v>
      </c>
      <c r="Q1427" s="173" t="s">
        <v>5777</v>
      </c>
      <c r="R1427" s="328" t="str">
        <f>IFS(C1427="","",C1427="n/a","N/A",LEN(C1427),Concatenate("{",char(34),"asset",char(34),":{",char(34),"guid",char(34),":",char(34),Q1427,char(34),",",char(34),"site",char(34),":",char(34),LOWER('2-Building'!$B$4),char(34),",",char(34),"name",char(34),":",char(34),LOWER(C1427),char(34),"}}"))</f>
        <v>{"asset":{"guid":"uuid://4581f954-05de-44e3-b9e2-1adf63a7a577","site":"in-blr-ananta","name":"vav-999"}}</v>
      </c>
      <c r="S1427" s="360" t="s">
        <v>5516</v>
      </c>
      <c r="T1427" s="330"/>
      <c r="U1427" s="330"/>
      <c r="V1427" s="331"/>
      <c r="W1427" s="332"/>
      <c r="X1427" s="333"/>
      <c r="Y1427" s="33" t="s">
        <v>2867</v>
      </c>
      <c r="Z1427" s="258">
        <v>120999.0</v>
      </c>
      <c r="AA1427" s="334">
        <v>11620.0</v>
      </c>
      <c r="AB1427" s="341"/>
      <c r="AC1427" s="341"/>
      <c r="AD1427" s="343"/>
      <c r="AE1427" s="331"/>
      <c r="AF1427" s="348"/>
      <c r="AG1427" s="337"/>
      <c r="AH1427" s="341"/>
      <c r="AI1427" s="341"/>
      <c r="AJ1427" s="341"/>
      <c r="AK1427" s="341"/>
      <c r="AL1427" s="341"/>
      <c r="AM1427" s="338"/>
      <c r="AN1427" s="341"/>
      <c r="AO1427" s="341"/>
      <c r="AP1427" s="341"/>
      <c r="AQ1427" s="341"/>
      <c r="AR1427" s="341"/>
      <c r="AS1427" s="341"/>
      <c r="AT1427" s="341"/>
      <c r="AU1427" s="343"/>
      <c r="AV1427" s="341"/>
      <c r="AW1427" s="269" t="s">
        <v>2337</v>
      </c>
      <c r="AX1427" s="334" t="s">
        <v>2869</v>
      </c>
      <c r="AY1427" s="270" t="s">
        <v>695</v>
      </c>
      <c r="AZ1427" s="173" t="s">
        <v>5516</v>
      </c>
      <c r="BA1427" s="265">
        <v>10.0</v>
      </c>
      <c r="BB1427" s="174" t="s">
        <v>245</v>
      </c>
      <c r="BC1427" s="341"/>
      <c r="BD1427" s="308"/>
      <c r="BE1427" s="342"/>
      <c r="BF1427" s="274" t="str">
        <f>IFERROR(__xludf.DUMMYFUNCTION("LOWER(Regexreplace(to_text(E1427),""[^A-Za-z0-9]"","""")&amp;""_""&amp;Regexreplace(to_text(F1427),""[^A-Za-z0-9]"",""""))"),"neptronic_evcbseries")</f>
        <v>neptronic_evcbseries</v>
      </c>
      <c r="BG1427" s="275" t="str">
        <f>IFERROR(__xludf.DUMMYFUNCTION("upper(Regexreplace(to_text(E1427),""[^A-Za-z0-9]"","""")&amp;""-""&amp;Regexreplace(to_text(F1427),""[^A-Za-z0-9]"",""""))"),"NEPTRONIC-EVCBSERIES")</f>
        <v>NEPTRONIC-EVCBSERIES</v>
      </c>
    </row>
    <row r="1428" ht="30.0" customHeight="1">
      <c r="A1428" s="258">
        <v>1420.0</v>
      </c>
      <c r="B1428" s="328" t="s">
        <v>670</v>
      </c>
      <c r="C1428" s="257" t="s">
        <v>5778</v>
      </c>
      <c r="D1428" s="173" t="s">
        <v>5778</v>
      </c>
      <c r="E1428" s="174" t="s">
        <v>2861</v>
      </c>
      <c r="F1428" s="173" t="s">
        <v>2862</v>
      </c>
      <c r="G1428" s="328" t="s">
        <v>673</v>
      </c>
      <c r="H1428" s="328" t="s">
        <v>2863</v>
      </c>
      <c r="I1428" s="258" t="s">
        <v>2864</v>
      </c>
      <c r="J1428" s="259" t="s">
        <v>1149</v>
      </c>
      <c r="K1428" s="260" t="s">
        <v>5779</v>
      </c>
      <c r="L1428" s="359"/>
      <c r="M1428" s="359"/>
      <c r="N1428" s="173" t="s">
        <v>679</v>
      </c>
      <c r="O1428" s="173" t="s">
        <v>225</v>
      </c>
      <c r="P1428" s="262" t="str">
        <f t="shared" si="1"/>
        <v>IN-BLR-ANANTA-VAV-1000_6</v>
      </c>
      <c r="Q1428" s="173" t="s">
        <v>5780</v>
      </c>
      <c r="R1428" s="328" t="str">
        <f>IFS(C1428="","",C1428="n/a","N/A",LEN(C1428),Concatenate("{",char(34),"asset",char(34),":{",char(34),"guid",char(34),":",char(34),Q1428,char(34),",",char(34),"site",char(34),":",char(34),LOWER('2-Building'!$B$4),char(34),",",char(34),"name",char(34),":",char(34),LOWER(C1428),char(34),"}}"))</f>
        <v>{"asset":{"guid":"uuid://3b8acced-c6c9-4fe0-8f67-c03c378a5c54","site":"in-blr-ananta","name":"vav-1000"}}</v>
      </c>
      <c r="S1428" s="360" t="s">
        <v>5516</v>
      </c>
      <c r="T1428" s="330"/>
      <c r="U1428" s="330"/>
      <c r="V1428" s="331"/>
      <c r="W1428" s="332"/>
      <c r="X1428" s="333"/>
      <c r="Y1428" s="33" t="s">
        <v>2867</v>
      </c>
      <c r="Z1428" s="258">
        <v>121000.0</v>
      </c>
      <c r="AA1428" s="334">
        <v>11620.0</v>
      </c>
      <c r="AB1428" s="341"/>
      <c r="AC1428" s="341"/>
      <c r="AD1428" s="343"/>
      <c r="AE1428" s="331"/>
      <c r="AF1428" s="348"/>
      <c r="AG1428" s="337"/>
      <c r="AH1428" s="341"/>
      <c r="AI1428" s="341"/>
      <c r="AJ1428" s="341"/>
      <c r="AK1428" s="341"/>
      <c r="AL1428" s="341"/>
      <c r="AM1428" s="338"/>
      <c r="AN1428" s="341"/>
      <c r="AO1428" s="341"/>
      <c r="AP1428" s="341"/>
      <c r="AQ1428" s="341"/>
      <c r="AR1428" s="341"/>
      <c r="AS1428" s="341"/>
      <c r="AT1428" s="341"/>
      <c r="AU1428" s="343"/>
      <c r="AV1428" s="341"/>
      <c r="AW1428" s="269" t="s">
        <v>2337</v>
      </c>
      <c r="AX1428" s="334" t="s">
        <v>2869</v>
      </c>
      <c r="AY1428" s="270" t="s">
        <v>695</v>
      </c>
      <c r="AZ1428" s="173" t="s">
        <v>5516</v>
      </c>
      <c r="BA1428" s="265">
        <v>10.0</v>
      </c>
      <c r="BB1428" s="174" t="s">
        <v>245</v>
      </c>
      <c r="BC1428" s="341"/>
      <c r="BD1428" s="308"/>
      <c r="BE1428" s="342"/>
      <c r="BF1428" s="274" t="str">
        <f>IFERROR(__xludf.DUMMYFUNCTION("LOWER(Regexreplace(to_text(E1428),""[^A-Za-z0-9]"","""")&amp;""_""&amp;Regexreplace(to_text(F1428),""[^A-Za-z0-9]"",""""))"),"neptronic_evcbseries")</f>
        <v>neptronic_evcbseries</v>
      </c>
      <c r="BG1428" s="275" t="str">
        <f>IFERROR(__xludf.DUMMYFUNCTION("upper(Regexreplace(to_text(E1428),""[^A-Za-z0-9]"","""")&amp;""-""&amp;Regexreplace(to_text(F1428),""[^A-Za-z0-9]"",""""))"),"NEPTRONIC-EVCBSERIES")</f>
        <v>NEPTRONIC-EVCBSERIES</v>
      </c>
    </row>
    <row r="1429" ht="30.0" customHeight="1">
      <c r="A1429" s="173">
        <v>1421.0</v>
      </c>
      <c r="B1429" s="328" t="s">
        <v>670</v>
      </c>
      <c r="C1429" s="257" t="s">
        <v>5781</v>
      </c>
      <c r="D1429" s="173" t="s">
        <v>5781</v>
      </c>
      <c r="E1429" s="174" t="s">
        <v>2861</v>
      </c>
      <c r="F1429" s="173" t="s">
        <v>2862</v>
      </c>
      <c r="G1429" s="328" t="s">
        <v>673</v>
      </c>
      <c r="H1429" s="328" t="s">
        <v>2863</v>
      </c>
      <c r="I1429" s="258" t="s">
        <v>2864</v>
      </c>
      <c r="J1429" s="259" t="s">
        <v>1149</v>
      </c>
      <c r="K1429" s="260" t="s">
        <v>5782</v>
      </c>
      <c r="L1429" s="359"/>
      <c r="M1429" s="359"/>
      <c r="N1429" s="173" t="s">
        <v>679</v>
      </c>
      <c r="O1429" s="173" t="s">
        <v>225</v>
      </c>
      <c r="P1429" s="262" t="str">
        <f t="shared" si="1"/>
        <v>IN-BLR-ANANTA-VAV-1001_6</v>
      </c>
      <c r="Q1429" s="173" t="s">
        <v>5783</v>
      </c>
      <c r="R1429" s="328" t="str">
        <f>IFS(C1429="","",C1429="n/a","N/A",LEN(C1429),Concatenate("{",char(34),"asset",char(34),":{",char(34),"guid",char(34),":",char(34),Q1429,char(34),",",char(34),"site",char(34),":",char(34),LOWER('2-Building'!$B$4),char(34),",",char(34),"name",char(34),":",char(34),LOWER(C1429),char(34),"}}"))</f>
        <v>{"asset":{"guid":"uuid://a05f70d3-bcf9-431c-921c-086124b9dd1e","site":"in-blr-ananta","name":"vav-1001"}}</v>
      </c>
      <c r="S1429" s="360" t="s">
        <v>5516</v>
      </c>
      <c r="T1429" s="330"/>
      <c r="U1429" s="330"/>
      <c r="V1429" s="331"/>
      <c r="W1429" s="332"/>
      <c r="X1429" s="333"/>
      <c r="Y1429" s="33" t="s">
        <v>2867</v>
      </c>
      <c r="Z1429" s="258">
        <v>121001.0</v>
      </c>
      <c r="AA1429" s="334">
        <v>11620.0</v>
      </c>
      <c r="AB1429" s="341"/>
      <c r="AC1429" s="341"/>
      <c r="AD1429" s="343"/>
      <c r="AE1429" s="331"/>
      <c r="AF1429" s="348"/>
      <c r="AG1429" s="337"/>
      <c r="AH1429" s="341"/>
      <c r="AI1429" s="341"/>
      <c r="AJ1429" s="341"/>
      <c r="AK1429" s="341"/>
      <c r="AL1429" s="341"/>
      <c r="AM1429" s="338"/>
      <c r="AN1429" s="341"/>
      <c r="AO1429" s="341"/>
      <c r="AP1429" s="341"/>
      <c r="AQ1429" s="341"/>
      <c r="AR1429" s="341"/>
      <c r="AS1429" s="341"/>
      <c r="AT1429" s="341"/>
      <c r="AU1429" s="343"/>
      <c r="AV1429" s="341"/>
      <c r="AW1429" s="269" t="s">
        <v>2337</v>
      </c>
      <c r="AX1429" s="334" t="s">
        <v>2869</v>
      </c>
      <c r="AY1429" s="270" t="s">
        <v>695</v>
      </c>
      <c r="AZ1429" s="173" t="s">
        <v>5516</v>
      </c>
      <c r="BA1429" s="265">
        <v>10.0</v>
      </c>
      <c r="BB1429" s="174" t="s">
        <v>245</v>
      </c>
      <c r="BC1429" s="341"/>
      <c r="BD1429" s="308"/>
      <c r="BE1429" s="342"/>
      <c r="BF1429" s="274" t="str">
        <f>IFERROR(__xludf.DUMMYFUNCTION("LOWER(Regexreplace(to_text(E1429),""[^A-Za-z0-9]"","""")&amp;""_""&amp;Regexreplace(to_text(F1429),""[^A-Za-z0-9]"",""""))"),"neptronic_evcbseries")</f>
        <v>neptronic_evcbseries</v>
      </c>
      <c r="BG1429" s="275" t="str">
        <f>IFERROR(__xludf.DUMMYFUNCTION("upper(Regexreplace(to_text(E1429),""[^A-Za-z0-9]"","""")&amp;""-""&amp;Regexreplace(to_text(F1429),""[^A-Za-z0-9]"",""""))"),"NEPTRONIC-EVCBSERIES")</f>
        <v>NEPTRONIC-EVCBSERIES</v>
      </c>
    </row>
    <row r="1430" ht="30.0" customHeight="1">
      <c r="A1430" s="258">
        <v>1422.0</v>
      </c>
      <c r="B1430" s="328" t="s">
        <v>670</v>
      </c>
      <c r="C1430" s="257" t="s">
        <v>5784</v>
      </c>
      <c r="D1430" s="173" t="s">
        <v>5784</v>
      </c>
      <c r="E1430" s="174" t="s">
        <v>2861</v>
      </c>
      <c r="F1430" s="173" t="s">
        <v>2862</v>
      </c>
      <c r="G1430" s="328" t="s">
        <v>673</v>
      </c>
      <c r="H1430" s="328" t="s">
        <v>2863</v>
      </c>
      <c r="I1430" s="258" t="s">
        <v>2864</v>
      </c>
      <c r="J1430" s="259" t="s">
        <v>1149</v>
      </c>
      <c r="K1430" s="260" t="s">
        <v>5785</v>
      </c>
      <c r="L1430" s="359"/>
      <c r="M1430" s="359"/>
      <c r="N1430" s="173" t="s">
        <v>679</v>
      </c>
      <c r="O1430" s="173" t="s">
        <v>225</v>
      </c>
      <c r="P1430" s="262" t="str">
        <f t="shared" si="1"/>
        <v>IN-BLR-ANANTA-VAV-1002_6</v>
      </c>
      <c r="Q1430" s="173" t="s">
        <v>5786</v>
      </c>
      <c r="R1430" s="328" t="str">
        <f>IFS(C1430="","",C1430="n/a","N/A",LEN(C1430),Concatenate("{",char(34),"asset",char(34),":{",char(34),"guid",char(34),":",char(34),Q1430,char(34),",",char(34),"site",char(34),":",char(34),LOWER('2-Building'!$B$4),char(34),",",char(34),"name",char(34),":",char(34),LOWER(C1430),char(34),"}}"))</f>
        <v>{"asset":{"guid":"uuid://ac932fd1-f06b-4157-8a6b-d8f0aa552814","site":"in-blr-ananta","name":"vav-1002"}}</v>
      </c>
      <c r="S1430" s="360" t="s">
        <v>5516</v>
      </c>
      <c r="T1430" s="330"/>
      <c r="U1430" s="330"/>
      <c r="V1430" s="331"/>
      <c r="W1430" s="332"/>
      <c r="X1430" s="333"/>
      <c r="Y1430" s="33" t="s">
        <v>2867</v>
      </c>
      <c r="Z1430" s="258">
        <v>121002.0</v>
      </c>
      <c r="AA1430" s="334">
        <v>11620.0</v>
      </c>
      <c r="AB1430" s="341"/>
      <c r="AC1430" s="341"/>
      <c r="AD1430" s="343"/>
      <c r="AE1430" s="331"/>
      <c r="AF1430" s="348"/>
      <c r="AG1430" s="337"/>
      <c r="AH1430" s="341"/>
      <c r="AI1430" s="341"/>
      <c r="AJ1430" s="341"/>
      <c r="AK1430" s="341"/>
      <c r="AL1430" s="341"/>
      <c r="AM1430" s="338"/>
      <c r="AN1430" s="341"/>
      <c r="AO1430" s="341"/>
      <c r="AP1430" s="341"/>
      <c r="AQ1430" s="341"/>
      <c r="AR1430" s="341"/>
      <c r="AS1430" s="341"/>
      <c r="AT1430" s="341"/>
      <c r="AU1430" s="343"/>
      <c r="AV1430" s="341"/>
      <c r="AW1430" s="269" t="s">
        <v>2337</v>
      </c>
      <c r="AX1430" s="334" t="s">
        <v>2869</v>
      </c>
      <c r="AY1430" s="270" t="s">
        <v>695</v>
      </c>
      <c r="AZ1430" s="173" t="s">
        <v>5516</v>
      </c>
      <c r="BA1430" s="265">
        <v>10.0</v>
      </c>
      <c r="BB1430" s="174" t="s">
        <v>245</v>
      </c>
      <c r="BC1430" s="341"/>
      <c r="BD1430" s="308"/>
      <c r="BE1430" s="342"/>
      <c r="BF1430" s="274" t="str">
        <f>IFERROR(__xludf.DUMMYFUNCTION("LOWER(Regexreplace(to_text(E1430),""[^A-Za-z0-9]"","""")&amp;""_""&amp;Regexreplace(to_text(F1430),""[^A-Za-z0-9]"",""""))"),"neptronic_evcbseries")</f>
        <v>neptronic_evcbseries</v>
      </c>
      <c r="BG1430" s="275" t="str">
        <f>IFERROR(__xludf.DUMMYFUNCTION("upper(Regexreplace(to_text(E1430),""[^A-Za-z0-9]"","""")&amp;""-""&amp;Regexreplace(to_text(F1430),""[^A-Za-z0-9]"",""""))"),"NEPTRONIC-EVCBSERIES")</f>
        <v>NEPTRONIC-EVCBSERIES</v>
      </c>
    </row>
    <row r="1431" ht="30.0" customHeight="1">
      <c r="A1431" s="173">
        <v>1423.0</v>
      </c>
      <c r="B1431" s="328" t="s">
        <v>670</v>
      </c>
      <c r="C1431" s="257" t="s">
        <v>5787</v>
      </c>
      <c r="D1431" s="173" t="s">
        <v>5787</v>
      </c>
      <c r="E1431" s="174" t="s">
        <v>2861</v>
      </c>
      <c r="F1431" s="173" t="s">
        <v>2862</v>
      </c>
      <c r="G1431" s="328" t="s">
        <v>673</v>
      </c>
      <c r="H1431" s="328" t="s">
        <v>2863</v>
      </c>
      <c r="I1431" s="258" t="s">
        <v>2864</v>
      </c>
      <c r="J1431" s="259" t="s">
        <v>1149</v>
      </c>
      <c r="K1431" s="260" t="s">
        <v>5788</v>
      </c>
      <c r="L1431" s="359"/>
      <c r="M1431" s="359"/>
      <c r="N1431" s="173" t="s">
        <v>679</v>
      </c>
      <c r="O1431" s="173" t="s">
        <v>225</v>
      </c>
      <c r="P1431" s="262" t="str">
        <f t="shared" si="1"/>
        <v>IN-BLR-ANANTA-VAV-1003_6</v>
      </c>
      <c r="Q1431" s="173" t="s">
        <v>5789</v>
      </c>
      <c r="R1431" s="328" t="str">
        <f>IFS(C1431="","",C1431="n/a","N/A",LEN(C1431),Concatenate("{",char(34),"asset",char(34),":{",char(34),"guid",char(34),":",char(34),Q1431,char(34),",",char(34),"site",char(34),":",char(34),LOWER('2-Building'!$B$4),char(34),",",char(34),"name",char(34),":",char(34),LOWER(C1431),char(34),"}}"))</f>
        <v>{"asset":{"guid":"uuid://b1f67eb6-848e-46e0-b49e-1f7b66cc60f3","site":"in-blr-ananta","name":"vav-1003"}}</v>
      </c>
      <c r="S1431" s="360" t="s">
        <v>5516</v>
      </c>
      <c r="T1431" s="330"/>
      <c r="U1431" s="330"/>
      <c r="V1431" s="331"/>
      <c r="W1431" s="332"/>
      <c r="X1431" s="333"/>
      <c r="Y1431" s="33" t="s">
        <v>2867</v>
      </c>
      <c r="Z1431" s="258">
        <v>121003.0</v>
      </c>
      <c r="AA1431" s="334">
        <v>11620.0</v>
      </c>
      <c r="AB1431" s="341"/>
      <c r="AC1431" s="341"/>
      <c r="AD1431" s="343"/>
      <c r="AE1431" s="331"/>
      <c r="AF1431" s="348"/>
      <c r="AG1431" s="337"/>
      <c r="AH1431" s="341"/>
      <c r="AI1431" s="341"/>
      <c r="AJ1431" s="341"/>
      <c r="AK1431" s="341"/>
      <c r="AL1431" s="341"/>
      <c r="AM1431" s="338"/>
      <c r="AN1431" s="341"/>
      <c r="AO1431" s="341"/>
      <c r="AP1431" s="341"/>
      <c r="AQ1431" s="341"/>
      <c r="AR1431" s="341"/>
      <c r="AS1431" s="341"/>
      <c r="AT1431" s="341"/>
      <c r="AU1431" s="343"/>
      <c r="AV1431" s="341"/>
      <c r="AW1431" s="269" t="s">
        <v>2337</v>
      </c>
      <c r="AX1431" s="334" t="s">
        <v>2869</v>
      </c>
      <c r="AY1431" s="270" t="s">
        <v>695</v>
      </c>
      <c r="AZ1431" s="173" t="s">
        <v>5516</v>
      </c>
      <c r="BA1431" s="265">
        <v>10.0</v>
      </c>
      <c r="BB1431" s="174" t="s">
        <v>245</v>
      </c>
      <c r="BC1431" s="341"/>
      <c r="BD1431" s="308"/>
      <c r="BE1431" s="342"/>
      <c r="BF1431" s="274" t="str">
        <f>IFERROR(__xludf.DUMMYFUNCTION("LOWER(Regexreplace(to_text(E1431),""[^A-Za-z0-9]"","""")&amp;""_""&amp;Regexreplace(to_text(F1431),""[^A-Za-z0-9]"",""""))"),"neptronic_evcbseries")</f>
        <v>neptronic_evcbseries</v>
      </c>
      <c r="BG1431" s="275" t="str">
        <f>IFERROR(__xludf.DUMMYFUNCTION("upper(Regexreplace(to_text(E1431),""[^A-Za-z0-9]"","""")&amp;""-""&amp;Regexreplace(to_text(F1431),""[^A-Za-z0-9]"",""""))"),"NEPTRONIC-EVCBSERIES")</f>
        <v>NEPTRONIC-EVCBSERIES</v>
      </c>
    </row>
    <row r="1432" ht="30.0" customHeight="1">
      <c r="A1432" s="258">
        <v>1424.0</v>
      </c>
      <c r="B1432" s="328" t="s">
        <v>670</v>
      </c>
      <c r="C1432" s="257" t="s">
        <v>5790</v>
      </c>
      <c r="D1432" s="173" t="s">
        <v>5790</v>
      </c>
      <c r="E1432" s="174" t="s">
        <v>2861</v>
      </c>
      <c r="F1432" s="173" t="s">
        <v>2862</v>
      </c>
      <c r="G1432" s="328" t="s">
        <v>673</v>
      </c>
      <c r="H1432" s="328" t="s">
        <v>2863</v>
      </c>
      <c r="I1432" s="258" t="s">
        <v>2864</v>
      </c>
      <c r="J1432" s="259" t="s">
        <v>1149</v>
      </c>
      <c r="K1432" s="260" t="s">
        <v>5791</v>
      </c>
      <c r="L1432" s="359"/>
      <c r="M1432" s="359"/>
      <c r="N1432" s="173" t="s">
        <v>679</v>
      </c>
      <c r="O1432" s="173" t="s">
        <v>225</v>
      </c>
      <c r="P1432" s="262" t="str">
        <f t="shared" si="1"/>
        <v>IN-BLR-ANANTA-VAV-1004_6</v>
      </c>
      <c r="Q1432" s="173" t="s">
        <v>5792</v>
      </c>
      <c r="R1432" s="328" t="str">
        <f>IFS(C1432="","",C1432="n/a","N/A",LEN(C1432),Concatenate("{",char(34),"asset",char(34),":{",char(34),"guid",char(34),":",char(34),Q1432,char(34),",",char(34),"site",char(34),":",char(34),LOWER('2-Building'!$B$4),char(34),",",char(34),"name",char(34),":",char(34),LOWER(C1432),char(34),"}}"))</f>
        <v>{"asset":{"guid":"uuid://87751c10-acc9-441e-b315-5343b2e4e0f5","site":"in-blr-ananta","name":"vav-1004"}}</v>
      </c>
      <c r="S1432" s="360" t="s">
        <v>5516</v>
      </c>
      <c r="T1432" s="330"/>
      <c r="U1432" s="330"/>
      <c r="V1432" s="331"/>
      <c r="W1432" s="332"/>
      <c r="X1432" s="333"/>
      <c r="Y1432" s="33" t="s">
        <v>2867</v>
      </c>
      <c r="Z1432" s="258">
        <v>121004.0</v>
      </c>
      <c r="AA1432" s="334">
        <v>11620.0</v>
      </c>
      <c r="AB1432" s="341"/>
      <c r="AC1432" s="341"/>
      <c r="AD1432" s="343"/>
      <c r="AE1432" s="331"/>
      <c r="AF1432" s="348"/>
      <c r="AG1432" s="337"/>
      <c r="AH1432" s="341"/>
      <c r="AI1432" s="341"/>
      <c r="AJ1432" s="341"/>
      <c r="AK1432" s="341"/>
      <c r="AL1432" s="341"/>
      <c r="AM1432" s="338"/>
      <c r="AN1432" s="341"/>
      <c r="AO1432" s="341"/>
      <c r="AP1432" s="341"/>
      <c r="AQ1432" s="341"/>
      <c r="AR1432" s="341"/>
      <c r="AS1432" s="341"/>
      <c r="AT1432" s="341"/>
      <c r="AU1432" s="343"/>
      <c r="AV1432" s="341"/>
      <c r="AW1432" s="269" t="s">
        <v>2337</v>
      </c>
      <c r="AX1432" s="334" t="s">
        <v>2869</v>
      </c>
      <c r="AY1432" s="270" t="s">
        <v>695</v>
      </c>
      <c r="AZ1432" s="173" t="s">
        <v>5516</v>
      </c>
      <c r="BA1432" s="265">
        <v>10.0</v>
      </c>
      <c r="BB1432" s="174" t="s">
        <v>245</v>
      </c>
      <c r="BC1432" s="341"/>
      <c r="BD1432" s="308"/>
      <c r="BE1432" s="342"/>
      <c r="BF1432" s="274" t="str">
        <f>IFERROR(__xludf.DUMMYFUNCTION("LOWER(Regexreplace(to_text(E1432),""[^A-Za-z0-9]"","""")&amp;""_""&amp;Regexreplace(to_text(F1432),""[^A-Za-z0-9]"",""""))"),"neptronic_evcbseries")</f>
        <v>neptronic_evcbseries</v>
      </c>
      <c r="BG1432" s="275" t="str">
        <f>IFERROR(__xludf.DUMMYFUNCTION("upper(Regexreplace(to_text(E1432),""[^A-Za-z0-9]"","""")&amp;""-""&amp;Regexreplace(to_text(F1432),""[^A-Za-z0-9]"",""""))"),"NEPTRONIC-EVCBSERIES")</f>
        <v>NEPTRONIC-EVCBSERIES</v>
      </c>
    </row>
    <row r="1433" ht="30.0" customHeight="1">
      <c r="A1433" s="173">
        <v>1425.0</v>
      </c>
      <c r="B1433" s="328" t="s">
        <v>670</v>
      </c>
      <c r="C1433" s="257" t="s">
        <v>5793</v>
      </c>
      <c r="D1433" s="173" t="s">
        <v>5793</v>
      </c>
      <c r="E1433" s="174" t="s">
        <v>2861</v>
      </c>
      <c r="F1433" s="173" t="s">
        <v>2862</v>
      </c>
      <c r="G1433" s="328" t="s">
        <v>673</v>
      </c>
      <c r="H1433" s="328" t="s">
        <v>2863</v>
      </c>
      <c r="I1433" s="258" t="s">
        <v>2864</v>
      </c>
      <c r="J1433" s="259" t="s">
        <v>1149</v>
      </c>
      <c r="K1433" s="260" t="s">
        <v>5794</v>
      </c>
      <c r="L1433" s="359"/>
      <c r="M1433" s="359"/>
      <c r="N1433" s="173" t="s">
        <v>679</v>
      </c>
      <c r="O1433" s="173" t="s">
        <v>225</v>
      </c>
      <c r="P1433" s="262" t="str">
        <f t="shared" si="1"/>
        <v>IN-BLR-ANANTA-VAV-1005_6</v>
      </c>
      <c r="Q1433" s="173" t="s">
        <v>5795</v>
      </c>
      <c r="R1433" s="328" t="str">
        <f>IFS(C1433="","",C1433="n/a","N/A",LEN(C1433),Concatenate("{",char(34),"asset",char(34),":{",char(34),"guid",char(34),":",char(34),Q1433,char(34),",",char(34),"site",char(34),":",char(34),LOWER('2-Building'!$B$4),char(34),",",char(34),"name",char(34),":",char(34),LOWER(C1433),char(34),"}}"))</f>
        <v>{"asset":{"guid":"uuid://c0b8210f-55d8-40ac-a3aa-4e15c8d3485d","site":"in-blr-ananta","name":"vav-1005"}}</v>
      </c>
      <c r="S1433" s="360" t="s">
        <v>5516</v>
      </c>
      <c r="T1433" s="330"/>
      <c r="U1433" s="330"/>
      <c r="V1433" s="331"/>
      <c r="W1433" s="332"/>
      <c r="X1433" s="333"/>
      <c r="Y1433" s="33" t="s">
        <v>2867</v>
      </c>
      <c r="Z1433" s="258">
        <v>121005.0</v>
      </c>
      <c r="AA1433" s="334">
        <v>11620.0</v>
      </c>
      <c r="AB1433" s="341"/>
      <c r="AC1433" s="341"/>
      <c r="AD1433" s="343"/>
      <c r="AE1433" s="331"/>
      <c r="AF1433" s="348"/>
      <c r="AG1433" s="337"/>
      <c r="AH1433" s="341"/>
      <c r="AI1433" s="341"/>
      <c r="AJ1433" s="341"/>
      <c r="AK1433" s="341"/>
      <c r="AL1433" s="341"/>
      <c r="AM1433" s="338"/>
      <c r="AN1433" s="341"/>
      <c r="AO1433" s="341"/>
      <c r="AP1433" s="341"/>
      <c r="AQ1433" s="341"/>
      <c r="AR1433" s="341"/>
      <c r="AS1433" s="341"/>
      <c r="AT1433" s="341"/>
      <c r="AU1433" s="343"/>
      <c r="AV1433" s="341"/>
      <c r="AW1433" s="269" t="s">
        <v>2337</v>
      </c>
      <c r="AX1433" s="334" t="s">
        <v>2869</v>
      </c>
      <c r="AY1433" s="270" t="s">
        <v>695</v>
      </c>
      <c r="AZ1433" s="173" t="s">
        <v>5516</v>
      </c>
      <c r="BA1433" s="265">
        <v>10.0</v>
      </c>
      <c r="BB1433" s="174" t="s">
        <v>245</v>
      </c>
      <c r="BC1433" s="341"/>
      <c r="BD1433" s="308"/>
      <c r="BE1433" s="342"/>
      <c r="BF1433" s="274" t="str">
        <f>IFERROR(__xludf.DUMMYFUNCTION("LOWER(Regexreplace(to_text(E1433),""[^A-Za-z0-9]"","""")&amp;""_""&amp;Regexreplace(to_text(F1433),""[^A-Za-z0-9]"",""""))"),"neptronic_evcbseries")</f>
        <v>neptronic_evcbseries</v>
      </c>
      <c r="BG1433" s="275" t="str">
        <f>IFERROR(__xludf.DUMMYFUNCTION("upper(Regexreplace(to_text(E1433),""[^A-Za-z0-9]"","""")&amp;""-""&amp;Regexreplace(to_text(F1433),""[^A-Za-z0-9]"",""""))"),"NEPTRONIC-EVCBSERIES")</f>
        <v>NEPTRONIC-EVCBSERIES</v>
      </c>
    </row>
    <row r="1434" ht="30.0" customHeight="1">
      <c r="A1434" s="258">
        <v>1426.0</v>
      </c>
      <c r="B1434" s="328" t="s">
        <v>670</v>
      </c>
      <c r="C1434" s="257" t="s">
        <v>5796</v>
      </c>
      <c r="D1434" s="173" t="s">
        <v>5796</v>
      </c>
      <c r="E1434" s="174" t="s">
        <v>2861</v>
      </c>
      <c r="F1434" s="173" t="s">
        <v>2862</v>
      </c>
      <c r="G1434" s="328" t="s">
        <v>673</v>
      </c>
      <c r="H1434" s="328" t="s">
        <v>2863</v>
      </c>
      <c r="I1434" s="258" t="s">
        <v>2864</v>
      </c>
      <c r="J1434" s="259" t="s">
        <v>1149</v>
      </c>
      <c r="K1434" s="260" t="s">
        <v>5797</v>
      </c>
      <c r="L1434" s="359"/>
      <c r="M1434" s="359"/>
      <c r="N1434" s="173" t="s">
        <v>679</v>
      </c>
      <c r="O1434" s="173" t="s">
        <v>225</v>
      </c>
      <c r="P1434" s="262" t="str">
        <f t="shared" si="1"/>
        <v>IN-BLR-ANANTA-VAV-1006_6</v>
      </c>
      <c r="Q1434" s="173" t="s">
        <v>5798</v>
      </c>
      <c r="R1434" s="328" t="str">
        <f>IFS(C1434="","",C1434="n/a","N/A",LEN(C1434),Concatenate("{",char(34),"asset",char(34),":{",char(34),"guid",char(34),":",char(34),Q1434,char(34),",",char(34),"site",char(34),":",char(34),LOWER('2-Building'!$B$4),char(34),",",char(34),"name",char(34),":",char(34),LOWER(C1434),char(34),"}}"))</f>
        <v>{"asset":{"guid":"uuid://4a51a9c4-4039-471b-87a8-574824a0acc8","site":"in-blr-ananta","name":"vav-1006"}}</v>
      </c>
      <c r="S1434" s="360" t="s">
        <v>5516</v>
      </c>
      <c r="T1434" s="330"/>
      <c r="U1434" s="330"/>
      <c r="V1434" s="331"/>
      <c r="W1434" s="332"/>
      <c r="X1434" s="333"/>
      <c r="Y1434" s="33" t="s">
        <v>2867</v>
      </c>
      <c r="Z1434" s="258">
        <v>121006.0</v>
      </c>
      <c r="AA1434" s="334">
        <v>11620.0</v>
      </c>
      <c r="AB1434" s="341"/>
      <c r="AC1434" s="341"/>
      <c r="AD1434" s="343"/>
      <c r="AE1434" s="331"/>
      <c r="AF1434" s="348"/>
      <c r="AG1434" s="337"/>
      <c r="AH1434" s="341"/>
      <c r="AI1434" s="341"/>
      <c r="AJ1434" s="341"/>
      <c r="AK1434" s="341"/>
      <c r="AL1434" s="341"/>
      <c r="AM1434" s="338"/>
      <c r="AN1434" s="341"/>
      <c r="AO1434" s="341"/>
      <c r="AP1434" s="341"/>
      <c r="AQ1434" s="341"/>
      <c r="AR1434" s="341"/>
      <c r="AS1434" s="341"/>
      <c r="AT1434" s="341"/>
      <c r="AU1434" s="343"/>
      <c r="AV1434" s="341"/>
      <c r="AW1434" s="269" t="s">
        <v>2337</v>
      </c>
      <c r="AX1434" s="334" t="s">
        <v>2869</v>
      </c>
      <c r="AY1434" s="270" t="s">
        <v>695</v>
      </c>
      <c r="AZ1434" s="173" t="s">
        <v>5516</v>
      </c>
      <c r="BA1434" s="265">
        <v>10.0</v>
      </c>
      <c r="BB1434" s="174" t="s">
        <v>245</v>
      </c>
      <c r="BC1434" s="341"/>
      <c r="BD1434" s="308"/>
      <c r="BE1434" s="342"/>
      <c r="BF1434" s="274" t="str">
        <f>IFERROR(__xludf.DUMMYFUNCTION("LOWER(Regexreplace(to_text(E1434),""[^A-Za-z0-9]"","""")&amp;""_""&amp;Regexreplace(to_text(F1434),""[^A-Za-z0-9]"",""""))"),"neptronic_evcbseries")</f>
        <v>neptronic_evcbseries</v>
      </c>
      <c r="BG1434" s="275" t="str">
        <f>IFERROR(__xludf.DUMMYFUNCTION("upper(Regexreplace(to_text(E1434),""[^A-Za-z0-9]"","""")&amp;""-""&amp;Regexreplace(to_text(F1434),""[^A-Za-z0-9]"",""""))"),"NEPTRONIC-EVCBSERIES")</f>
        <v>NEPTRONIC-EVCBSERIES</v>
      </c>
    </row>
    <row r="1435" ht="30.0" customHeight="1">
      <c r="A1435" s="173">
        <v>1427.0</v>
      </c>
      <c r="B1435" s="328" t="s">
        <v>670</v>
      </c>
      <c r="C1435" s="257" t="s">
        <v>5799</v>
      </c>
      <c r="D1435" s="173" t="s">
        <v>5799</v>
      </c>
      <c r="E1435" s="174" t="s">
        <v>2861</v>
      </c>
      <c r="F1435" s="173" t="s">
        <v>2862</v>
      </c>
      <c r="G1435" s="328" t="s">
        <v>673</v>
      </c>
      <c r="H1435" s="328" t="s">
        <v>2863</v>
      </c>
      <c r="I1435" s="258" t="s">
        <v>2864</v>
      </c>
      <c r="J1435" s="259" t="s">
        <v>1149</v>
      </c>
      <c r="K1435" s="260" t="s">
        <v>5800</v>
      </c>
      <c r="L1435" s="359"/>
      <c r="M1435" s="359"/>
      <c r="N1435" s="173" t="s">
        <v>679</v>
      </c>
      <c r="O1435" s="173" t="s">
        <v>225</v>
      </c>
      <c r="P1435" s="262" t="str">
        <f t="shared" si="1"/>
        <v>IN-BLR-ANANTA-VAV-1007_6</v>
      </c>
      <c r="Q1435" s="173" t="s">
        <v>5801</v>
      </c>
      <c r="R1435" s="328" t="str">
        <f>IFS(C1435="","",C1435="n/a","N/A",LEN(C1435),Concatenate("{",char(34),"asset",char(34),":{",char(34),"guid",char(34),":",char(34),Q1435,char(34),",",char(34),"site",char(34),":",char(34),LOWER('2-Building'!$B$4),char(34),",",char(34),"name",char(34),":",char(34),LOWER(C1435),char(34),"}}"))</f>
        <v>{"asset":{"guid":"uuid://bb9e21e5-5d06-4509-8799-8d0ffaac5f24","site":"in-blr-ananta","name":"vav-1007"}}</v>
      </c>
      <c r="S1435" s="360" t="s">
        <v>5516</v>
      </c>
      <c r="T1435" s="330"/>
      <c r="U1435" s="330"/>
      <c r="V1435" s="331"/>
      <c r="W1435" s="332"/>
      <c r="X1435" s="333"/>
      <c r="Y1435" s="33" t="s">
        <v>2867</v>
      </c>
      <c r="Z1435" s="258">
        <v>121007.0</v>
      </c>
      <c r="AA1435" s="334">
        <v>11620.0</v>
      </c>
      <c r="AB1435" s="341"/>
      <c r="AC1435" s="341"/>
      <c r="AD1435" s="343"/>
      <c r="AE1435" s="331"/>
      <c r="AF1435" s="348"/>
      <c r="AG1435" s="337"/>
      <c r="AH1435" s="341"/>
      <c r="AI1435" s="341"/>
      <c r="AJ1435" s="341"/>
      <c r="AK1435" s="341"/>
      <c r="AL1435" s="341"/>
      <c r="AM1435" s="338"/>
      <c r="AN1435" s="341"/>
      <c r="AO1435" s="341"/>
      <c r="AP1435" s="341"/>
      <c r="AQ1435" s="341"/>
      <c r="AR1435" s="341"/>
      <c r="AS1435" s="341"/>
      <c r="AT1435" s="341"/>
      <c r="AU1435" s="343"/>
      <c r="AV1435" s="341"/>
      <c r="AW1435" s="269" t="s">
        <v>2337</v>
      </c>
      <c r="AX1435" s="334" t="s">
        <v>2869</v>
      </c>
      <c r="AY1435" s="270" t="s">
        <v>695</v>
      </c>
      <c r="AZ1435" s="173" t="s">
        <v>5516</v>
      </c>
      <c r="BA1435" s="265">
        <v>10.0</v>
      </c>
      <c r="BB1435" s="174" t="s">
        <v>245</v>
      </c>
      <c r="BC1435" s="341"/>
      <c r="BD1435" s="308"/>
      <c r="BE1435" s="342"/>
      <c r="BF1435" s="274" t="str">
        <f>IFERROR(__xludf.DUMMYFUNCTION("LOWER(Regexreplace(to_text(E1435),""[^A-Za-z0-9]"","""")&amp;""_""&amp;Regexreplace(to_text(F1435),""[^A-Za-z0-9]"",""""))"),"neptronic_evcbseries")</f>
        <v>neptronic_evcbseries</v>
      </c>
      <c r="BG1435" s="275" t="str">
        <f>IFERROR(__xludf.DUMMYFUNCTION("upper(Regexreplace(to_text(E1435),""[^A-Za-z0-9]"","""")&amp;""-""&amp;Regexreplace(to_text(F1435),""[^A-Za-z0-9]"",""""))"),"NEPTRONIC-EVCBSERIES")</f>
        <v>NEPTRONIC-EVCBSERIES</v>
      </c>
    </row>
    <row r="1436" ht="30.0" customHeight="1">
      <c r="A1436" s="258">
        <v>1428.0</v>
      </c>
      <c r="B1436" s="328" t="s">
        <v>670</v>
      </c>
      <c r="C1436" s="257" t="s">
        <v>5802</v>
      </c>
      <c r="D1436" s="173" t="s">
        <v>5802</v>
      </c>
      <c r="E1436" s="174" t="s">
        <v>2861</v>
      </c>
      <c r="F1436" s="173" t="s">
        <v>2862</v>
      </c>
      <c r="G1436" s="328" t="s">
        <v>673</v>
      </c>
      <c r="H1436" s="328" t="s">
        <v>2863</v>
      </c>
      <c r="I1436" s="258" t="s">
        <v>2864</v>
      </c>
      <c r="J1436" s="259" t="s">
        <v>1149</v>
      </c>
      <c r="K1436" s="260" t="s">
        <v>5803</v>
      </c>
      <c r="L1436" s="359"/>
      <c r="M1436" s="359"/>
      <c r="N1436" s="173" t="s">
        <v>679</v>
      </c>
      <c r="O1436" s="173" t="s">
        <v>225</v>
      </c>
      <c r="P1436" s="262" t="str">
        <f t="shared" si="1"/>
        <v>IN-BLR-ANANTA-VAV-1008_6</v>
      </c>
      <c r="Q1436" s="173" t="s">
        <v>5804</v>
      </c>
      <c r="R1436" s="328" t="str">
        <f>IFS(C1436="","",C1436="n/a","N/A",LEN(C1436),Concatenate("{",char(34),"asset",char(34),":{",char(34),"guid",char(34),":",char(34),Q1436,char(34),",",char(34),"site",char(34),":",char(34),LOWER('2-Building'!$B$4),char(34),",",char(34),"name",char(34),":",char(34),LOWER(C1436),char(34),"}}"))</f>
        <v>{"asset":{"guid":"uuid://9b01a382-945e-43c8-b9e0-14b956d8367b","site":"in-blr-ananta","name":"vav-1008"}}</v>
      </c>
      <c r="S1436" s="360" t="s">
        <v>5516</v>
      </c>
      <c r="T1436" s="330"/>
      <c r="U1436" s="330"/>
      <c r="V1436" s="331"/>
      <c r="W1436" s="332"/>
      <c r="X1436" s="333"/>
      <c r="Y1436" s="33" t="s">
        <v>2867</v>
      </c>
      <c r="Z1436" s="258">
        <v>121008.0</v>
      </c>
      <c r="AA1436" s="334">
        <v>11620.0</v>
      </c>
      <c r="AB1436" s="341"/>
      <c r="AC1436" s="341"/>
      <c r="AD1436" s="343"/>
      <c r="AE1436" s="331"/>
      <c r="AF1436" s="348"/>
      <c r="AG1436" s="337"/>
      <c r="AH1436" s="341"/>
      <c r="AI1436" s="341"/>
      <c r="AJ1436" s="341"/>
      <c r="AK1436" s="341"/>
      <c r="AL1436" s="341"/>
      <c r="AM1436" s="338"/>
      <c r="AN1436" s="341"/>
      <c r="AO1436" s="341"/>
      <c r="AP1436" s="341"/>
      <c r="AQ1436" s="341"/>
      <c r="AR1436" s="341"/>
      <c r="AS1436" s="341"/>
      <c r="AT1436" s="341"/>
      <c r="AU1436" s="343"/>
      <c r="AV1436" s="341"/>
      <c r="AW1436" s="269" t="s">
        <v>2337</v>
      </c>
      <c r="AX1436" s="334" t="s">
        <v>2869</v>
      </c>
      <c r="AY1436" s="270" t="s">
        <v>695</v>
      </c>
      <c r="AZ1436" s="173" t="s">
        <v>5516</v>
      </c>
      <c r="BA1436" s="265">
        <v>10.0</v>
      </c>
      <c r="BB1436" s="174" t="s">
        <v>245</v>
      </c>
      <c r="BC1436" s="341"/>
      <c r="BD1436" s="308"/>
      <c r="BE1436" s="342"/>
      <c r="BF1436" s="274" t="str">
        <f>IFERROR(__xludf.DUMMYFUNCTION("LOWER(Regexreplace(to_text(E1436),""[^A-Za-z0-9]"","""")&amp;""_""&amp;Regexreplace(to_text(F1436),""[^A-Za-z0-9]"",""""))"),"neptronic_evcbseries")</f>
        <v>neptronic_evcbseries</v>
      </c>
      <c r="BG1436" s="275" t="str">
        <f>IFERROR(__xludf.DUMMYFUNCTION("upper(Regexreplace(to_text(E1436),""[^A-Za-z0-9]"","""")&amp;""-""&amp;Regexreplace(to_text(F1436),""[^A-Za-z0-9]"",""""))"),"NEPTRONIC-EVCBSERIES")</f>
        <v>NEPTRONIC-EVCBSERIES</v>
      </c>
    </row>
    <row r="1437" ht="30.0" customHeight="1">
      <c r="A1437" s="173">
        <v>1429.0</v>
      </c>
      <c r="B1437" s="328" t="s">
        <v>670</v>
      </c>
      <c r="C1437" s="257" t="s">
        <v>5805</v>
      </c>
      <c r="D1437" s="173" t="s">
        <v>5805</v>
      </c>
      <c r="E1437" s="174" t="s">
        <v>2861</v>
      </c>
      <c r="F1437" s="173" t="s">
        <v>2862</v>
      </c>
      <c r="G1437" s="328" t="s">
        <v>673</v>
      </c>
      <c r="H1437" s="328" t="s">
        <v>2863</v>
      </c>
      <c r="I1437" s="258" t="s">
        <v>2864</v>
      </c>
      <c r="J1437" s="259" t="s">
        <v>1149</v>
      </c>
      <c r="K1437" s="260" t="s">
        <v>5806</v>
      </c>
      <c r="L1437" s="359"/>
      <c r="M1437" s="359"/>
      <c r="N1437" s="173" t="s">
        <v>679</v>
      </c>
      <c r="O1437" s="173" t="s">
        <v>225</v>
      </c>
      <c r="P1437" s="262" t="str">
        <f t="shared" si="1"/>
        <v>IN-BLR-ANANTA-VAV-1009_6</v>
      </c>
      <c r="Q1437" s="173" t="s">
        <v>5807</v>
      </c>
      <c r="R1437" s="328" t="str">
        <f>IFS(C1437="","",C1437="n/a","N/A",LEN(C1437),Concatenate("{",char(34),"asset",char(34),":{",char(34),"guid",char(34),":",char(34),Q1437,char(34),",",char(34),"site",char(34),":",char(34),LOWER('2-Building'!$B$4),char(34),",",char(34),"name",char(34),":",char(34),LOWER(C1437),char(34),"}}"))</f>
        <v>{"asset":{"guid":"uuid://4bf632b0-dffc-4448-a9dc-f8bdd88c3299","site":"in-blr-ananta","name":"vav-1009"}}</v>
      </c>
      <c r="S1437" s="360" t="s">
        <v>5516</v>
      </c>
      <c r="T1437" s="330"/>
      <c r="U1437" s="330"/>
      <c r="V1437" s="331"/>
      <c r="W1437" s="332"/>
      <c r="X1437" s="333"/>
      <c r="Y1437" s="33" t="s">
        <v>2867</v>
      </c>
      <c r="Z1437" s="258">
        <v>121009.0</v>
      </c>
      <c r="AA1437" s="334">
        <v>11620.0</v>
      </c>
      <c r="AB1437" s="341"/>
      <c r="AC1437" s="341"/>
      <c r="AD1437" s="343"/>
      <c r="AE1437" s="331"/>
      <c r="AF1437" s="348"/>
      <c r="AG1437" s="337"/>
      <c r="AH1437" s="341"/>
      <c r="AI1437" s="341"/>
      <c r="AJ1437" s="341"/>
      <c r="AK1437" s="341"/>
      <c r="AL1437" s="341"/>
      <c r="AM1437" s="338"/>
      <c r="AN1437" s="341"/>
      <c r="AO1437" s="341"/>
      <c r="AP1437" s="341"/>
      <c r="AQ1437" s="341"/>
      <c r="AR1437" s="341"/>
      <c r="AS1437" s="341"/>
      <c r="AT1437" s="341"/>
      <c r="AU1437" s="343"/>
      <c r="AV1437" s="341"/>
      <c r="AW1437" s="269" t="s">
        <v>2337</v>
      </c>
      <c r="AX1437" s="334" t="s">
        <v>2869</v>
      </c>
      <c r="AY1437" s="270" t="s">
        <v>695</v>
      </c>
      <c r="AZ1437" s="173" t="s">
        <v>5516</v>
      </c>
      <c r="BA1437" s="265">
        <v>10.0</v>
      </c>
      <c r="BB1437" s="174" t="s">
        <v>245</v>
      </c>
      <c r="BC1437" s="341"/>
      <c r="BD1437" s="308"/>
      <c r="BE1437" s="342"/>
      <c r="BF1437" s="274" t="str">
        <f>IFERROR(__xludf.DUMMYFUNCTION("LOWER(Regexreplace(to_text(E1437),""[^A-Za-z0-9]"","""")&amp;""_""&amp;Regexreplace(to_text(F1437),""[^A-Za-z0-9]"",""""))"),"neptronic_evcbseries")</f>
        <v>neptronic_evcbseries</v>
      </c>
      <c r="BG1437" s="275" t="str">
        <f>IFERROR(__xludf.DUMMYFUNCTION("upper(Regexreplace(to_text(E1437),""[^A-Za-z0-9]"","""")&amp;""-""&amp;Regexreplace(to_text(F1437),""[^A-Za-z0-9]"",""""))"),"NEPTRONIC-EVCBSERIES")</f>
        <v>NEPTRONIC-EVCBSERIES</v>
      </c>
    </row>
    <row r="1438" ht="30.0" customHeight="1">
      <c r="A1438" s="258">
        <v>1430.0</v>
      </c>
      <c r="B1438" s="328" t="s">
        <v>670</v>
      </c>
      <c r="C1438" s="257" t="s">
        <v>5808</v>
      </c>
      <c r="D1438" s="173" t="s">
        <v>5808</v>
      </c>
      <c r="E1438" s="174" t="s">
        <v>2861</v>
      </c>
      <c r="F1438" s="173" t="s">
        <v>2862</v>
      </c>
      <c r="G1438" s="328" t="s">
        <v>673</v>
      </c>
      <c r="H1438" s="328" t="s">
        <v>2863</v>
      </c>
      <c r="I1438" s="258" t="s">
        <v>2864</v>
      </c>
      <c r="J1438" s="259" t="s">
        <v>1149</v>
      </c>
      <c r="K1438" s="260" t="s">
        <v>5809</v>
      </c>
      <c r="L1438" s="359"/>
      <c r="M1438" s="359"/>
      <c r="N1438" s="173" t="s">
        <v>679</v>
      </c>
      <c r="O1438" s="173" t="s">
        <v>225</v>
      </c>
      <c r="P1438" s="262" t="str">
        <f t="shared" si="1"/>
        <v>IN-BLR-ANANTA-VAV-1010_6</v>
      </c>
      <c r="Q1438" s="173" t="s">
        <v>5810</v>
      </c>
      <c r="R1438" s="328" t="str">
        <f>IFS(C1438="","",C1438="n/a","N/A",LEN(C1438),Concatenate("{",char(34),"asset",char(34),":{",char(34),"guid",char(34),":",char(34),Q1438,char(34),",",char(34),"site",char(34),":",char(34),LOWER('2-Building'!$B$4),char(34),",",char(34),"name",char(34),":",char(34),LOWER(C1438),char(34),"}}"))</f>
        <v>{"asset":{"guid":"uuid://7956b934-0e17-4019-91d8-a2025debe28b","site":"in-blr-ananta","name":"vav-1010"}}</v>
      </c>
      <c r="S1438" s="360" t="s">
        <v>5516</v>
      </c>
      <c r="T1438" s="330"/>
      <c r="U1438" s="330"/>
      <c r="V1438" s="331"/>
      <c r="W1438" s="332"/>
      <c r="X1438" s="333"/>
      <c r="Y1438" s="33" t="s">
        <v>2867</v>
      </c>
      <c r="Z1438" s="258">
        <v>121010.0</v>
      </c>
      <c r="AA1438" s="334">
        <v>11620.0</v>
      </c>
      <c r="AB1438" s="341"/>
      <c r="AC1438" s="341"/>
      <c r="AD1438" s="343"/>
      <c r="AE1438" s="331"/>
      <c r="AF1438" s="348"/>
      <c r="AG1438" s="337"/>
      <c r="AH1438" s="341"/>
      <c r="AI1438" s="341"/>
      <c r="AJ1438" s="341"/>
      <c r="AK1438" s="341"/>
      <c r="AL1438" s="341"/>
      <c r="AM1438" s="338"/>
      <c r="AN1438" s="341"/>
      <c r="AO1438" s="341"/>
      <c r="AP1438" s="341"/>
      <c r="AQ1438" s="341"/>
      <c r="AR1438" s="341"/>
      <c r="AS1438" s="341"/>
      <c r="AT1438" s="341"/>
      <c r="AU1438" s="343"/>
      <c r="AV1438" s="341"/>
      <c r="AW1438" s="269" t="s">
        <v>2337</v>
      </c>
      <c r="AX1438" s="334" t="s">
        <v>2869</v>
      </c>
      <c r="AY1438" s="270" t="s">
        <v>695</v>
      </c>
      <c r="AZ1438" s="173" t="s">
        <v>5516</v>
      </c>
      <c r="BA1438" s="265">
        <v>10.0</v>
      </c>
      <c r="BB1438" s="174" t="s">
        <v>245</v>
      </c>
      <c r="BC1438" s="341"/>
      <c r="BD1438" s="308"/>
      <c r="BE1438" s="342"/>
      <c r="BF1438" s="274" t="str">
        <f>IFERROR(__xludf.DUMMYFUNCTION("LOWER(Regexreplace(to_text(E1438),""[^A-Za-z0-9]"","""")&amp;""_""&amp;Regexreplace(to_text(F1438),""[^A-Za-z0-9]"",""""))"),"neptronic_evcbseries")</f>
        <v>neptronic_evcbseries</v>
      </c>
      <c r="BG1438" s="275" t="str">
        <f>IFERROR(__xludf.DUMMYFUNCTION("upper(Regexreplace(to_text(E1438),""[^A-Za-z0-9]"","""")&amp;""-""&amp;Regexreplace(to_text(F1438),""[^A-Za-z0-9]"",""""))"),"NEPTRONIC-EVCBSERIES")</f>
        <v>NEPTRONIC-EVCBSERIES</v>
      </c>
    </row>
    <row r="1439" ht="30.0" customHeight="1">
      <c r="A1439" s="173">
        <v>1431.0</v>
      </c>
      <c r="B1439" s="328" t="s">
        <v>670</v>
      </c>
      <c r="C1439" s="257" t="s">
        <v>5811</v>
      </c>
      <c r="D1439" s="173" t="s">
        <v>5811</v>
      </c>
      <c r="E1439" s="174" t="s">
        <v>2861</v>
      </c>
      <c r="F1439" s="173" t="s">
        <v>2862</v>
      </c>
      <c r="G1439" s="328" t="s">
        <v>673</v>
      </c>
      <c r="H1439" s="328" t="s">
        <v>2863</v>
      </c>
      <c r="I1439" s="258" t="s">
        <v>2864</v>
      </c>
      <c r="J1439" s="259" t="s">
        <v>1149</v>
      </c>
      <c r="K1439" s="260" t="s">
        <v>5812</v>
      </c>
      <c r="L1439" s="359"/>
      <c r="M1439" s="359"/>
      <c r="N1439" s="173" t="s">
        <v>679</v>
      </c>
      <c r="O1439" s="173" t="s">
        <v>225</v>
      </c>
      <c r="P1439" s="262" t="str">
        <f t="shared" si="1"/>
        <v>IN-BLR-ANANTA-VAV-1011_6</v>
      </c>
      <c r="Q1439" s="173" t="s">
        <v>5813</v>
      </c>
      <c r="R1439" s="328" t="str">
        <f>IFS(C1439="","",C1439="n/a","N/A",LEN(C1439),Concatenate("{",char(34),"asset",char(34),":{",char(34),"guid",char(34),":",char(34),Q1439,char(34),",",char(34),"site",char(34),":",char(34),LOWER('2-Building'!$B$4),char(34),",",char(34),"name",char(34),":",char(34),LOWER(C1439),char(34),"}}"))</f>
        <v>{"asset":{"guid":"uuid://994df963-1d62-4fd8-9e5d-8c16fe730e3f","site":"in-blr-ananta","name":"vav-1011"}}</v>
      </c>
      <c r="S1439" s="360" t="s">
        <v>5516</v>
      </c>
      <c r="T1439" s="330"/>
      <c r="U1439" s="330"/>
      <c r="V1439" s="331"/>
      <c r="W1439" s="332"/>
      <c r="X1439" s="333"/>
      <c r="Y1439" s="33" t="s">
        <v>2867</v>
      </c>
      <c r="Z1439" s="258">
        <v>121011.0</v>
      </c>
      <c r="AA1439" s="334">
        <v>11620.0</v>
      </c>
      <c r="AB1439" s="341"/>
      <c r="AC1439" s="341"/>
      <c r="AD1439" s="343"/>
      <c r="AE1439" s="331"/>
      <c r="AF1439" s="348"/>
      <c r="AG1439" s="337"/>
      <c r="AH1439" s="341"/>
      <c r="AI1439" s="341"/>
      <c r="AJ1439" s="341"/>
      <c r="AK1439" s="341"/>
      <c r="AL1439" s="341"/>
      <c r="AM1439" s="338"/>
      <c r="AN1439" s="341"/>
      <c r="AO1439" s="341"/>
      <c r="AP1439" s="341"/>
      <c r="AQ1439" s="341"/>
      <c r="AR1439" s="341"/>
      <c r="AS1439" s="341"/>
      <c r="AT1439" s="341"/>
      <c r="AU1439" s="343"/>
      <c r="AV1439" s="341"/>
      <c r="AW1439" s="269" t="s">
        <v>2337</v>
      </c>
      <c r="AX1439" s="334" t="s">
        <v>2869</v>
      </c>
      <c r="AY1439" s="270" t="s">
        <v>695</v>
      </c>
      <c r="AZ1439" s="173" t="s">
        <v>5516</v>
      </c>
      <c r="BA1439" s="265">
        <v>10.0</v>
      </c>
      <c r="BB1439" s="174" t="s">
        <v>245</v>
      </c>
      <c r="BC1439" s="341"/>
      <c r="BD1439" s="308"/>
      <c r="BE1439" s="342"/>
      <c r="BF1439" s="274" t="str">
        <f>IFERROR(__xludf.DUMMYFUNCTION("LOWER(Regexreplace(to_text(E1439),""[^A-Za-z0-9]"","""")&amp;""_""&amp;Regexreplace(to_text(F1439),""[^A-Za-z0-9]"",""""))"),"neptronic_evcbseries")</f>
        <v>neptronic_evcbseries</v>
      </c>
      <c r="BG1439" s="275" t="str">
        <f>IFERROR(__xludf.DUMMYFUNCTION("upper(Regexreplace(to_text(E1439),""[^A-Za-z0-9]"","""")&amp;""-""&amp;Regexreplace(to_text(F1439),""[^A-Za-z0-9]"",""""))"),"NEPTRONIC-EVCBSERIES")</f>
        <v>NEPTRONIC-EVCBSERIES</v>
      </c>
    </row>
    <row r="1440" ht="30.0" customHeight="1">
      <c r="A1440" s="258">
        <v>1432.0</v>
      </c>
      <c r="B1440" s="328" t="s">
        <v>670</v>
      </c>
      <c r="C1440" s="257" t="s">
        <v>5814</v>
      </c>
      <c r="D1440" s="173" t="s">
        <v>5814</v>
      </c>
      <c r="E1440" s="174" t="s">
        <v>2861</v>
      </c>
      <c r="F1440" s="173" t="s">
        <v>2862</v>
      </c>
      <c r="G1440" s="328" t="s">
        <v>673</v>
      </c>
      <c r="H1440" s="328" t="s">
        <v>2863</v>
      </c>
      <c r="I1440" s="258" t="s">
        <v>2864</v>
      </c>
      <c r="J1440" s="259" t="s">
        <v>1149</v>
      </c>
      <c r="K1440" s="260" t="s">
        <v>5815</v>
      </c>
      <c r="L1440" s="359"/>
      <c r="M1440" s="359"/>
      <c r="N1440" s="173" t="s">
        <v>679</v>
      </c>
      <c r="O1440" s="173" t="s">
        <v>225</v>
      </c>
      <c r="P1440" s="262" t="str">
        <f t="shared" si="1"/>
        <v>IN-BLR-ANANTA-VAV-1012_6</v>
      </c>
      <c r="Q1440" s="173" t="s">
        <v>5816</v>
      </c>
      <c r="R1440" s="328" t="str">
        <f>IFS(C1440="","",C1440="n/a","N/A",LEN(C1440),Concatenate("{",char(34),"asset",char(34),":{",char(34),"guid",char(34),":",char(34),Q1440,char(34),",",char(34),"site",char(34),":",char(34),LOWER('2-Building'!$B$4),char(34),",",char(34),"name",char(34),":",char(34),LOWER(C1440),char(34),"}}"))</f>
        <v>{"asset":{"guid":"uuid://9267a591-621b-4343-b4a2-e6858cb19672","site":"in-blr-ananta","name":"vav-1012"}}</v>
      </c>
      <c r="S1440" s="360" t="s">
        <v>5516</v>
      </c>
      <c r="T1440" s="330"/>
      <c r="U1440" s="330"/>
      <c r="V1440" s="331"/>
      <c r="W1440" s="332"/>
      <c r="X1440" s="333"/>
      <c r="Y1440" s="33" t="s">
        <v>2867</v>
      </c>
      <c r="Z1440" s="258">
        <v>121012.0</v>
      </c>
      <c r="AA1440" s="334">
        <v>11620.0</v>
      </c>
      <c r="AB1440" s="341"/>
      <c r="AC1440" s="341"/>
      <c r="AD1440" s="343"/>
      <c r="AE1440" s="331"/>
      <c r="AF1440" s="348"/>
      <c r="AG1440" s="337"/>
      <c r="AH1440" s="341"/>
      <c r="AI1440" s="341"/>
      <c r="AJ1440" s="341"/>
      <c r="AK1440" s="341"/>
      <c r="AL1440" s="341"/>
      <c r="AM1440" s="338"/>
      <c r="AN1440" s="341"/>
      <c r="AO1440" s="341"/>
      <c r="AP1440" s="341"/>
      <c r="AQ1440" s="341"/>
      <c r="AR1440" s="341"/>
      <c r="AS1440" s="341"/>
      <c r="AT1440" s="341"/>
      <c r="AU1440" s="343"/>
      <c r="AV1440" s="341"/>
      <c r="AW1440" s="269" t="s">
        <v>2337</v>
      </c>
      <c r="AX1440" s="334" t="s">
        <v>2869</v>
      </c>
      <c r="AY1440" s="270" t="s">
        <v>695</v>
      </c>
      <c r="AZ1440" s="173" t="s">
        <v>5516</v>
      </c>
      <c r="BA1440" s="265">
        <v>10.0</v>
      </c>
      <c r="BB1440" s="174" t="s">
        <v>245</v>
      </c>
      <c r="BC1440" s="341"/>
      <c r="BD1440" s="308"/>
      <c r="BE1440" s="342"/>
      <c r="BF1440" s="274" t="str">
        <f>IFERROR(__xludf.DUMMYFUNCTION("LOWER(Regexreplace(to_text(E1440),""[^A-Za-z0-9]"","""")&amp;""_""&amp;Regexreplace(to_text(F1440),""[^A-Za-z0-9]"",""""))"),"neptronic_evcbseries")</f>
        <v>neptronic_evcbseries</v>
      </c>
      <c r="BG1440" s="275" t="str">
        <f>IFERROR(__xludf.DUMMYFUNCTION("upper(Regexreplace(to_text(E1440),""[^A-Za-z0-9]"","""")&amp;""-""&amp;Regexreplace(to_text(F1440),""[^A-Za-z0-9]"",""""))"),"NEPTRONIC-EVCBSERIES")</f>
        <v>NEPTRONIC-EVCBSERIES</v>
      </c>
    </row>
    <row r="1441" ht="30.0" customHeight="1">
      <c r="A1441" s="173">
        <v>1433.0</v>
      </c>
      <c r="B1441" s="328" t="s">
        <v>670</v>
      </c>
      <c r="C1441" s="257" t="s">
        <v>5817</v>
      </c>
      <c r="D1441" s="173" t="s">
        <v>5817</v>
      </c>
      <c r="E1441" s="174" t="s">
        <v>2861</v>
      </c>
      <c r="F1441" s="173" t="s">
        <v>2862</v>
      </c>
      <c r="G1441" s="328" t="s">
        <v>673</v>
      </c>
      <c r="H1441" s="328" t="s">
        <v>2863</v>
      </c>
      <c r="I1441" s="258" t="s">
        <v>2864</v>
      </c>
      <c r="J1441" s="259" t="s">
        <v>1149</v>
      </c>
      <c r="K1441" s="260" t="s">
        <v>5818</v>
      </c>
      <c r="L1441" s="359"/>
      <c r="M1441" s="359"/>
      <c r="N1441" s="173" t="s">
        <v>679</v>
      </c>
      <c r="O1441" s="173" t="s">
        <v>225</v>
      </c>
      <c r="P1441" s="262" t="str">
        <f t="shared" si="1"/>
        <v>IN-BLR-ANANTA-VAV-1013_6</v>
      </c>
      <c r="Q1441" s="173" t="s">
        <v>5819</v>
      </c>
      <c r="R1441" s="328" t="str">
        <f>IFS(C1441="","",C1441="n/a","N/A",LEN(C1441),Concatenate("{",char(34),"asset",char(34),":{",char(34),"guid",char(34),":",char(34),Q1441,char(34),",",char(34),"site",char(34),":",char(34),LOWER('2-Building'!$B$4),char(34),",",char(34),"name",char(34),":",char(34),LOWER(C1441),char(34),"}}"))</f>
        <v>{"asset":{"guid":"uuid://ba4912a6-724a-4554-a915-aaa2053a40dd","site":"in-blr-ananta","name":"vav-1013"}}</v>
      </c>
      <c r="S1441" s="360" t="s">
        <v>5516</v>
      </c>
      <c r="T1441" s="330"/>
      <c r="U1441" s="330"/>
      <c r="V1441" s="331"/>
      <c r="W1441" s="332"/>
      <c r="X1441" s="333"/>
      <c r="Y1441" s="33" t="s">
        <v>2867</v>
      </c>
      <c r="Z1441" s="258">
        <v>121013.0</v>
      </c>
      <c r="AA1441" s="334">
        <v>11620.0</v>
      </c>
      <c r="AB1441" s="341"/>
      <c r="AC1441" s="341"/>
      <c r="AD1441" s="343"/>
      <c r="AE1441" s="331"/>
      <c r="AF1441" s="348"/>
      <c r="AG1441" s="337"/>
      <c r="AH1441" s="341"/>
      <c r="AI1441" s="341"/>
      <c r="AJ1441" s="341"/>
      <c r="AK1441" s="341"/>
      <c r="AL1441" s="341"/>
      <c r="AM1441" s="338"/>
      <c r="AN1441" s="341"/>
      <c r="AO1441" s="341"/>
      <c r="AP1441" s="341"/>
      <c r="AQ1441" s="341"/>
      <c r="AR1441" s="341"/>
      <c r="AS1441" s="341"/>
      <c r="AT1441" s="341"/>
      <c r="AU1441" s="343"/>
      <c r="AV1441" s="341"/>
      <c r="AW1441" s="269" t="s">
        <v>2337</v>
      </c>
      <c r="AX1441" s="334" t="s">
        <v>2869</v>
      </c>
      <c r="AY1441" s="270" t="s">
        <v>695</v>
      </c>
      <c r="AZ1441" s="173" t="s">
        <v>5516</v>
      </c>
      <c r="BA1441" s="265">
        <v>10.0</v>
      </c>
      <c r="BB1441" s="174" t="s">
        <v>245</v>
      </c>
      <c r="BC1441" s="341"/>
      <c r="BD1441" s="308"/>
      <c r="BE1441" s="342"/>
      <c r="BF1441" s="274" t="str">
        <f>IFERROR(__xludf.DUMMYFUNCTION("LOWER(Regexreplace(to_text(E1441),""[^A-Za-z0-9]"","""")&amp;""_""&amp;Regexreplace(to_text(F1441),""[^A-Za-z0-9]"",""""))"),"neptronic_evcbseries")</f>
        <v>neptronic_evcbseries</v>
      </c>
      <c r="BG1441" s="275" t="str">
        <f>IFERROR(__xludf.DUMMYFUNCTION("upper(Regexreplace(to_text(E1441),""[^A-Za-z0-9]"","""")&amp;""-""&amp;Regexreplace(to_text(F1441),""[^A-Za-z0-9]"",""""))"),"NEPTRONIC-EVCBSERIES")</f>
        <v>NEPTRONIC-EVCBSERIES</v>
      </c>
    </row>
    <row r="1442" ht="30.0" customHeight="1">
      <c r="A1442" s="258">
        <v>1434.0</v>
      </c>
      <c r="B1442" s="328" t="s">
        <v>670</v>
      </c>
      <c r="C1442" s="257" t="s">
        <v>5820</v>
      </c>
      <c r="D1442" s="173" t="s">
        <v>5820</v>
      </c>
      <c r="E1442" s="174" t="s">
        <v>2861</v>
      </c>
      <c r="F1442" s="173" t="s">
        <v>2862</v>
      </c>
      <c r="G1442" s="328" t="s">
        <v>673</v>
      </c>
      <c r="H1442" s="328" t="s">
        <v>2863</v>
      </c>
      <c r="I1442" s="258" t="s">
        <v>2864</v>
      </c>
      <c r="J1442" s="259" t="s">
        <v>1149</v>
      </c>
      <c r="K1442" s="260" t="s">
        <v>5821</v>
      </c>
      <c r="L1442" s="359"/>
      <c r="M1442" s="359"/>
      <c r="N1442" s="173" t="s">
        <v>679</v>
      </c>
      <c r="O1442" s="173" t="s">
        <v>225</v>
      </c>
      <c r="P1442" s="262" t="str">
        <f t="shared" si="1"/>
        <v>IN-BLR-ANANTA-VAV-1014_6</v>
      </c>
      <c r="Q1442" s="173" t="s">
        <v>5822</v>
      </c>
      <c r="R1442" s="328" t="str">
        <f>IFS(C1442="","",C1442="n/a","N/A",LEN(C1442),Concatenate("{",char(34),"asset",char(34),":{",char(34),"guid",char(34),":",char(34),Q1442,char(34),",",char(34),"site",char(34),":",char(34),LOWER('2-Building'!$B$4),char(34),",",char(34),"name",char(34),":",char(34),LOWER(C1442),char(34),"}}"))</f>
        <v>{"asset":{"guid":"uuid://36f69040-1a32-4b51-8607-e30a6894522c","site":"in-blr-ananta","name":"vav-1014"}}</v>
      </c>
      <c r="S1442" s="360" t="s">
        <v>5516</v>
      </c>
      <c r="T1442" s="330"/>
      <c r="U1442" s="330"/>
      <c r="V1442" s="331"/>
      <c r="W1442" s="332"/>
      <c r="X1442" s="333"/>
      <c r="Y1442" s="33" t="s">
        <v>2867</v>
      </c>
      <c r="Z1442" s="258">
        <v>121014.0</v>
      </c>
      <c r="AA1442" s="334">
        <v>11620.0</v>
      </c>
      <c r="AB1442" s="341"/>
      <c r="AC1442" s="341"/>
      <c r="AD1442" s="343"/>
      <c r="AE1442" s="331"/>
      <c r="AF1442" s="348"/>
      <c r="AG1442" s="337"/>
      <c r="AH1442" s="341"/>
      <c r="AI1442" s="341"/>
      <c r="AJ1442" s="341"/>
      <c r="AK1442" s="341"/>
      <c r="AL1442" s="341"/>
      <c r="AM1442" s="338"/>
      <c r="AN1442" s="341"/>
      <c r="AO1442" s="341"/>
      <c r="AP1442" s="341"/>
      <c r="AQ1442" s="341"/>
      <c r="AR1442" s="341"/>
      <c r="AS1442" s="341"/>
      <c r="AT1442" s="341"/>
      <c r="AU1442" s="343"/>
      <c r="AV1442" s="341"/>
      <c r="AW1442" s="269" t="s">
        <v>2337</v>
      </c>
      <c r="AX1442" s="334" t="s">
        <v>2869</v>
      </c>
      <c r="AY1442" s="270" t="s">
        <v>695</v>
      </c>
      <c r="AZ1442" s="173" t="s">
        <v>5516</v>
      </c>
      <c r="BA1442" s="265">
        <v>10.0</v>
      </c>
      <c r="BB1442" s="174" t="s">
        <v>245</v>
      </c>
      <c r="BC1442" s="341"/>
      <c r="BD1442" s="308"/>
      <c r="BE1442" s="342"/>
      <c r="BF1442" s="274" t="str">
        <f>IFERROR(__xludf.DUMMYFUNCTION("LOWER(Regexreplace(to_text(E1442),""[^A-Za-z0-9]"","""")&amp;""_""&amp;Regexreplace(to_text(F1442),""[^A-Za-z0-9]"",""""))"),"neptronic_evcbseries")</f>
        <v>neptronic_evcbseries</v>
      </c>
      <c r="BG1442" s="275" t="str">
        <f>IFERROR(__xludf.DUMMYFUNCTION("upper(Regexreplace(to_text(E1442),""[^A-Za-z0-9]"","""")&amp;""-""&amp;Regexreplace(to_text(F1442),""[^A-Za-z0-9]"",""""))"),"NEPTRONIC-EVCBSERIES")</f>
        <v>NEPTRONIC-EVCBSERIES</v>
      </c>
    </row>
    <row r="1443" ht="30.0" customHeight="1">
      <c r="A1443" s="173">
        <v>1435.0</v>
      </c>
      <c r="B1443" s="328" t="s">
        <v>670</v>
      </c>
      <c r="C1443" s="257" t="s">
        <v>5823</v>
      </c>
      <c r="D1443" s="173" t="s">
        <v>5823</v>
      </c>
      <c r="E1443" s="174" t="s">
        <v>2861</v>
      </c>
      <c r="F1443" s="173" t="s">
        <v>2862</v>
      </c>
      <c r="G1443" s="328" t="s">
        <v>673</v>
      </c>
      <c r="H1443" s="328" t="s">
        <v>2863</v>
      </c>
      <c r="I1443" s="258" t="s">
        <v>2864</v>
      </c>
      <c r="J1443" s="259" t="s">
        <v>1149</v>
      </c>
      <c r="K1443" s="260" t="s">
        <v>5824</v>
      </c>
      <c r="L1443" s="359"/>
      <c r="M1443" s="359"/>
      <c r="N1443" s="173" t="s">
        <v>679</v>
      </c>
      <c r="O1443" s="173" t="s">
        <v>225</v>
      </c>
      <c r="P1443" s="262" t="str">
        <f t="shared" si="1"/>
        <v>IN-BLR-ANANTA-VAV-1015_6</v>
      </c>
      <c r="Q1443" s="173" t="s">
        <v>5825</v>
      </c>
      <c r="R1443" s="328" t="str">
        <f>IFS(C1443="","",C1443="n/a","N/A",LEN(C1443),Concatenate("{",char(34),"asset",char(34),":{",char(34),"guid",char(34),":",char(34),Q1443,char(34),",",char(34),"site",char(34),":",char(34),LOWER('2-Building'!$B$4),char(34),",",char(34),"name",char(34),":",char(34),LOWER(C1443),char(34),"}}"))</f>
        <v>{"asset":{"guid":"uuid://f81ecb43-9934-4cb7-95bc-619bdf380e36","site":"in-blr-ananta","name":"vav-1015"}}</v>
      </c>
      <c r="S1443" s="360" t="s">
        <v>5516</v>
      </c>
      <c r="T1443" s="330"/>
      <c r="U1443" s="330"/>
      <c r="V1443" s="331"/>
      <c r="W1443" s="332"/>
      <c r="X1443" s="333"/>
      <c r="Y1443" s="33" t="s">
        <v>2867</v>
      </c>
      <c r="Z1443" s="258">
        <v>121015.0</v>
      </c>
      <c r="AA1443" s="334">
        <v>11620.0</v>
      </c>
      <c r="AB1443" s="341"/>
      <c r="AC1443" s="341"/>
      <c r="AD1443" s="343"/>
      <c r="AE1443" s="331"/>
      <c r="AF1443" s="348"/>
      <c r="AG1443" s="337"/>
      <c r="AH1443" s="341"/>
      <c r="AI1443" s="341"/>
      <c r="AJ1443" s="341"/>
      <c r="AK1443" s="341"/>
      <c r="AL1443" s="341"/>
      <c r="AM1443" s="338"/>
      <c r="AN1443" s="341"/>
      <c r="AO1443" s="341"/>
      <c r="AP1443" s="341"/>
      <c r="AQ1443" s="341"/>
      <c r="AR1443" s="341"/>
      <c r="AS1443" s="341"/>
      <c r="AT1443" s="341"/>
      <c r="AU1443" s="343"/>
      <c r="AV1443" s="341"/>
      <c r="AW1443" s="269" t="s">
        <v>2337</v>
      </c>
      <c r="AX1443" s="334" t="s">
        <v>2869</v>
      </c>
      <c r="AY1443" s="270" t="s">
        <v>695</v>
      </c>
      <c r="AZ1443" s="173" t="s">
        <v>5516</v>
      </c>
      <c r="BA1443" s="265">
        <v>10.0</v>
      </c>
      <c r="BB1443" s="174" t="s">
        <v>245</v>
      </c>
      <c r="BC1443" s="341"/>
      <c r="BD1443" s="308"/>
      <c r="BE1443" s="342"/>
      <c r="BF1443" s="274" t="str">
        <f>IFERROR(__xludf.DUMMYFUNCTION("LOWER(Regexreplace(to_text(E1443),""[^A-Za-z0-9]"","""")&amp;""_""&amp;Regexreplace(to_text(F1443),""[^A-Za-z0-9]"",""""))"),"neptronic_evcbseries")</f>
        <v>neptronic_evcbseries</v>
      </c>
      <c r="BG1443" s="275" t="str">
        <f>IFERROR(__xludf.DUMMYFUNCTION("upper(Regexreplace(to_text(E1443),""[^A-Za-z0-9]"","""")&amp;""-""&amp;Regexreplace(to_text(F1443),""[^A-Za-z0-9]"",""""))"),"NEPTRONIC-EVCBSERIES")</f>
        <v>NEPTRONIC-EVCBSERIES</v>
      </c>
    </row>
    <row r="1444" ht="30.0" customHeight="1">
      <c r="A1444" s="258">
        <v>1436.0</v>
      </c>
      <c r="B1444" s="328" t="s">
        <v>670</v>
      </c>
      <c r="C1444" s="257" t="s">
        <v>5826</v>
      </c>
      <c r="D1444" s="173" t="s">
        <v>5826</v>
      </c>
      <c r="E1444" s="174" t="s">
        <v>2861</v>
      </c>
      <c r="F1444" s="173" t="s">
        <v>2862</v>
      </c>
      <c r="G1444" s="328" t="s">
        <v>673</v>
      </c>
      <c r="H1444" s="328" t="s">
        <v>2863</v>
      </c>
      <c r="I1444" s="258" t="s">
        <v>2864</v>
      </c>
      <c r="J1444" s="259" t="s">
        <v>1149</v>
      </c>
      <c r="K1444" s="260" t="s">
        <v>4598</v>
      </c>
      <c r="L1444" s="359"/>
      <c r="M1444" s="359"/>
      <c r="N1444" s="173" t="s">
        <v>679</v>
      </c>
      <c r="O1444" s="173" t="s">
        <v>225</v>
      </c>
      <c r="P1444" s="262" t="str">
        <f t="shared" si="1"/>
        <v>IN-BLR-ANANTA-VAV-1016_6</v>
      </c>
      <c r="Q1444" s="173" t="s">
        <v>5827</v>
      </c>
      <c r="R1444" s="328" t="str">
        <f>IFS(C1444="","",C1444="n/a","N/A",LEN(C1444),Concatenate("{",char(34),"asset",char(34),":{",char(34),"guid",char(34),":",char(34),Q1444,char(34),",",char(34),"site",char(34),":",char(34),LOWER('2-Building'!$B$4),char(34),",",char(34),"name",char(34),":",char(34),LOWER(C1444),char(34),"}}"))</f>
        <v>{"asset":{"guid":"uuid://1e651d81-d7af-4ec5-84b9-41e3400eceef","site":"in-blr-ananta","name":"vav-1016"}}</v>
      </c>
      <c r="S1444" s="360" t="s">
        <v>5516</v>
      </c>
      <c r="T1444" s="330"/>
      <c r="U1444" s="330"/>
      <c r="V1444" s="331"/>
      <c r="W1444" s="332"/>
      <c r="X1444" s="333"/>
      <c r="Y1444" s="33" t="s">
        <v>2867</v>
      </c>
      <c r="Z1444" s="258">
        <v>121016.0</v>
      </c>
      <c r="AA1444" s="334">
        <v>11620.0</v>
      </c>
      <c r="AB1444" s="341"/>
      <c r="AC1444" s="341"/>
      <c r="AD1444" s="343"/>
      <c r="AE1444" s="331"/>
      <c r="AF1444" s="348"/>
      <c r="AG1444" s="337"/>
      <c r="AH1444" s="341"/>
      <c r="AI1444" s="341"/>
      <c r="AJ1444" s="341"/>
      <c r="AK1444" s="341"/>
      <c r="AL1444" s="341"/>
      <c r="AM1444" s="338"/>
      <c r="AN1444" s="341"/>
      <c r="AO1444" s="341"/>
      <c r="AP1444" s="341"/>
      <c r="AQ1444" s="341"/>
      <c r="AR1444" s="341"/>
      <c r="AS1444" s="341"/>
      <c r="AT1444" s="341"/>
      <c r="AU1444" s="343"/>
      <c r="AV1444" s="341"/>
      <c r="AW1444" s="269" t="s">
        <v>2337</v>
      </c>
      <c r="AX1444" s="334" t="s">
        <v>2869</v>
      </c>
      <c r="AY1444" s="270" t="s">
        <v>695</v>
      </c>
      <c r="AZ1444" s="173" t="s">
        <v>5516</v>
      </c>
      <c r="BA1444" s="265">
        <v>10.0</v>
      </c>
      <c r="BB1444" s="174" t="s">
        <v>245</v>
      </c>
      <c r="BC1444" s="341"/>
      <c r="BD1444" s="308"/>
      <c r="BE1444" s="342"/>
      <c r="BF1444" s="274" t="str">
        <f>IFERROR(__xludf.DUMMYFUNCTION("LOWER(Regexreplace(to_text(E1444),""[^A-Za-z0-9]"","""")&amp;""_""&amp;Regexreplace(to_text(F1444),""[^A-Za-z0-9]"",""""))"),"neptronic_evcbseries")</f>
        <v>neptronic_evcbseries</v>
      </c>
      <c r="BG1444" s="275" t="str">
        <f>IFERROR(__xludf.DUMMYFUNCTION("upper(Regexreplace(to_text(E1444),""[^A-Za-z0-9]"","""")&amp;""-""&amp;Regexreplace(to_text(F1444),""[^A-Za-z0-9]"",""""))"),"NEPTRONIC-EVCBSERIES")</f>
        <v>NEPTRONIC-EVCBSERIES</v>
      </c>
    </row>
    <row r="1445" ht="30.0" customHeight="1">
      <c r="A1445" s="173">
        <v>1437.0</v>
      </c>
      <c r="B1445" s="328" t="s">
        <v>670</v>
      </c>
      <c r="C1445" s="257" t="s">
        <v>5828</v>
      </c>
      <c r="D1445" s="173" t="s">
        <v>5828</v>
      </c>
      <c r="E1445" s="174" t="s">
        <v>2861</v>
      </c>
      <c r="F1445" s="173" t="s">
        <v>2862</v>
      </c>
      <c r="G1445" s="328" t="s">
        <v>673</v>
      </c>
      <c r="H1445" s="328" t="s">
        <v>2863</v>
      </c>
      <c r="I1445" s="258" t="s">
        <v>2864</v>
      </c>
      <c r="J1445" s="259" t="s">
        <v>1149</v>
      </c>
      <c r="K1445" s="260" t="s">
        <v>5829</v>
      </c>
      <c r="L1445" s="359"/>
      <c r="M1445" s="359"/>
      <c r="N1445" s="173" t="s">
        <v>679</v>
      </c>
      <c r="O1445" s="173" t="s">
        <v>225</v>
      </c>
      <c r="P1445" s="262" t="str">
        <f t="shared" si="1"/>
        <v>IN-BLR-ANANTA-VAV-1017_6</v>
      </c>
      <c r="Q1445" s="173" t="s">
        <v>5830</v>
      </c>
      <c r="R1445" s="328" t="str">
        <f>IFS(C1445="","",C1445="n/a","N/A",LEN(C1445),Concatenate("{",char(34),"asset",char(34),":{",char(34),"guid",char(34),":",char(34),Q1445,char(34),",",char(34),"site",char(34),":",char(34),LOWER('2-Building'!$B$4),char(34),",",char(34),"name",char(34),":",char(34),LOWER(C1445),char(34),"}}"))</f>
        <v>{"asset":{"guid":"uuid://7f709152-1bfc-4167-964b-c5387cadb609","site":"in-blr-ananta","name":"vav-1017"}}</v>
      </c>
      <c r="S1445" s="360" t="s">
        <v>5516</v>
      </c>
      <c r="T1445" s="330"/>
      <c r="U1445" s="330"/>
      <c r="V1445" s="331"/>
      <c r="W1445" s="332"/>
      <c r="X1445" s="333"/>
      <c r="Y1445" s="33" t="s">
        <v>2867</v>
      </c>
      <c r="Z1445" s="258">
        <v>121017.0</v>
      </c>
      <c r="AA1445" s="334">
        <v>11620.0</v>
      </c>
      <c r="AB1445" s="341"/>
      <c r="AC1445" s="341"/>
      <c r="AD1445" s="343"/>
      <c r="AE1445" s="331"/>
      <c r="AF1445" s="348"/>
      <c r="AG1445" s="337"/>
      <c r="AH1445" s="341"/>
      <c r="AI1445" s="341"/>
      <c r="AJ1445" s="341"/>
      <c r="AK1445" s="341"/>
      <c r="AL1445" s="341"/>
      <c r="AM1445" s="338"/>
      <c r="AN1445" s="341"/>
      <c r="AO1445" s="341"/>
      <c r="AP1445" s="341"/>
      <c r="AQ1445" s="341"/>
      <c r="AR1445" s="341"/>
      <c r="AS1445" s="341"/>
      <c r="AT1445" s="341"/>
      <c r="AU1445" s="343"/>
      <c r="AV1445" s="341"/>
      <c r="AW1445" s="269" t="s">
        <v>2337</v>
      </c>
      <c r="AX1445" s="334" t="s">
        <v>2869</v>
      </c>
      <c r="AY1445" s="270" t="s">
        <v>695</v>
      </c>
      <c r="AZ1445" s="173" t="s">
        <v>5516</v>
      </c>
      <c r="BA1445" s="265">
        <v>10.0</v>
      </c>
      <c r="BB1445" s="174" t="s">
        <v>245</v>
      </c>
      <c r="BC1445" s="341"/>
      <c r="BD1445" s="308"/>
      <c r="BE1445" s="342"/>
      <c r="BF1445" s="274" t="str">
        <f>IFERROR(__xludf.DUMMYFUNCTION("LOWER(Regexreplace(to_text(E1445),""[^A-Za-z0-9]"","""")&amp;""_""&amp;Regexreplace(to_text(F1445),""[^A-Za-z0-9]"",""""))"),"neptronic_evcbseries")</f>
        <v>neptronic_evcbseries</v>
      </c>
      <c r="BG1445" s="275" t="str">
        <f>IFERROR(__xludf.DUMMYFUNCTION("upper(Regexreplace(to_text(E1445),""[^A-Za-z0-9]"","""")&amp;""-""&amp;Regexreplace(to_text(F1445),""[^A-Za-z0-9]"",""""))"),"NEPTRONIC-EVCBSERIES")</f>
        <v>NEPTRONIC-EVCBSERIES</v>
      </c>
    </row>
    <row r="1446" ht="30.0" customHeight="1">
      <c r="A1446" s="258">
        <v>1438.0</v>
      </c>
      <c r="B1446" s="328" t="s">
        <v>670</v>
      </c>
      <c r="C1446" s="257" t="s">
        <v>5831</v>
      </c>
      <c r="D1446" s="173" t="s">
        <v>5831</v>
      </c>
      <c r="E1446" s="174" t="s">
        <v>2861</v>
      </c>
      <c r="F1446" s="173" t="s">
        <v>2862</v>
      </c>
      <c r="G1446" s="328" t="s">
        <v>673</v>
      </c>
      <c r="H1446" s="328" t="s">
        <v>2863</v>
      </c>
      <c r="I1446" s="258" t="s">
        <v>2864</v>
      </c>
      <c r="J1446" s="259" t="s">
        <v>1149</v>
      </c>
      <c r="K1446" s="260" t="s">
        <v>5832</v>
      </c>
      <c r="L1446" s="359"/>
      <c r="M1446" s="359"/>
      <c r="N1446" s="173" t="s">
        <v>679</v>
      </c>
      <c r="O1446" s="173" t="s">
        <v>225</v>
      </c>
      <c r="P1446" s="262" t="str">
        <f t="shared" si="1"/>
        <v>IN-BLR-ANANTA-VAV-1018_6</v>
      </c>
      <c r="Q1446" s="173" t="s">
        <v>5833</v>
      </c>
      <c r="R1446" s="328" t="str">
        <f>IFS(C1446="","",C1446="n/a","N/A",LEN(C1446),Concatenate("{",char(34),"asset",char(34),":{",char(34),"guid",char(34),":",char(34),Q1446,char(34),",",char(34),"site",char(34),":",char(34),LOWER('2-Building'!$B$4),char(34),",",char(34),"name",char(34),":",char(34),LOWER(C1446),char(34),"}}"))</f>
        <v>{"asset":{"guid":"uuid://48283697-b577-47d0-98b8-a2616d648b20","site":"in-blr-ananta","name":"vav-1018"}}</v>
      </c>
      <c r="S1446" s="360" t="s">
        <v>5516</v>
      </c>
      <c r="T1446" s="330"/>
      <c r="U1446" s="330"/>
      <c r="V1446" s="331"/>
      <c r="W1446" s="332"/>
      <c r="X1446" s="333"/>
      <c r="Y1446" s="33" t="s">
        <v>2867</v>
      </c>
      <c r="Z1446" s="258">
        <v>121018.0</v>
      </c>
      <c r="AA1446" s="334">
        <v>11620.0</v>
      </c>
      <c r="AB1446" s="341"/>
      <c r="AC1446" s="341"/>
      <c r="AD1446" s="343"/>
      <c r="AE1446" s="331"/>
      <c r="AF1446" s="348"/>
      <c r="AG1446" s="337"/>
      <c r="AH1446" s="341"/>
      <c r="AI1446" s="341"/>
      <c r="AJ1446" s="341"/>
      <c r="AK1446" s="341"/>
      <c r="AL1446" s="341"/>
      <c r="AM1446" s="338"/>
      <c r="AN1446" s="341"/>
      <c r="AO1446" s="341"/>
      <c r="AP1446" s="341"/>
      <c r="AQ1446" s="341"/>
      <c r="AR1446" s="341"/>
      <c r="AS1446" s="341"/>
      <c r="AT1446" s="341"/>
      <c r="AU1446" s="343"/>
      <c r="AV1446" s="341"/>
      <c r="AW1446" s="269" t="s">
        <v>2337</v>
      </c>
      <c r="AX1446" s="334" t="s">
        <v>2869</v>
      </c>
      <c r="AY1446" s="270" t="s">
        <v>695</v>
      </c>
      <c r="AZ1446" s="173" t="s">
        <v>5516</v>
      </c>
      <c r="BA1446" s="265">
        <v>10.0</v>
      </c>
      <c r="BB1446" s="174" t="s">
        <v>245</v>
      </c>
      <c r="BC1446" s="341"/>
      <c r="BD1446" s="308"/>
      <c r="BE1446" s="342"/>
      <c r="BF1446" s="274" t="str">
        <f>IFERROR(__xludf.DUMMYFUNCTION("LOWER(Regexreplace(to_text(E1446),""[^A-Za-z0-9]"","""")&amp;""_""&amp;Regexreplace(to_text(F1446),""[^A-Za-z0-9]"",""""))"),"neptronic_evcbseries")</f>
        <v>neptronic_evcbseries</v>
      </c>
      <c r="BG1446" s="275" t="str">
        <f>IFERROR(__xludf.DUMMYFUNCTION("upper(Regexreplace(to_text(E1446),""[^A-Za-z0-9]"","""")&amp;""-""&amp;Regexreplace(to_text(F1446),""[^A-Za-z0-9]"",""""))"),"NEPTRONIC-EVCBSERIES")</f>
        <v>NEPTRONIC-EVCBSERIES</v>
      </c>
    </row>
    <row r="1447" ht="30.0" customHeight="1">
      <c r="A1447" s="173">
        <v>1439.0</v>
      </c>
      <c r="B1447" s="328" t="s">
        <v>670</v>
      </c>
      <c r="C1447" s="257" t="s">
        <v>5834</v>
      </c>
      <c r="D1447" s="173" t="s">
        <v>5834</v>
      </c>
      <c r="E1447" s="174" t="s">
        <v>2861</v>
      </c>
      <c r="F1447" s="173" t="s">
        <v>2862</v>
      </c>
      <c r="G1447" s="328" t="s">
        <v>673</v>
      </c>
      <c r="H1447" s="328" t="s">
        <v>2863</v>
      </c>
      <c r="I1447" s="258" t="s">
        <v>2864</v>
      </c>
      <c r="J1447" s="259" t="s">
        <v>1149</v>
      </c>
      <c r="K1447" s="260" t="s">
        <v>5835</v>
      </c>
      <c r="L1447" s="359"/>
      <c r="M1447" s="359"/>
      <c r="N1447" s="173" t="s">
        <v>679</v>
      </c>
      <c r="O1447" s="173" t="s">
        <v>225</v>
      </c>
      <c r="P1447" s="262" t="str">
        <f t="shared" si="1"/>
        <v>IN-BLR-ANANTA-VAV-1019_6</v>
      </c>
      <c r="Q1447" s="173" t="s">
        <v>5836</v>
      </c>
      <c r="R1447" s="328" t="str">
        <f>IFS(C1447="","",C1447="n/a","N/A",LEN(C1447),Concatenate("{",char(34),"asset",char(34),":{",char(34),"guid",char(34),":",char(34),Q1447,char(34),",",char(34),"site",char(34),":",char(34),LOWER('2-Building'!$B$4),char(34),",",char(34),"name",char(34),":",char(34),LOWER(C1447),char(34),"}}"))</f>
        <v>{"asset":{"guid":"uuid://28187cae-4f33-4f69-9273-fb7ee5c70fd5","site":"in-blr-ananta","name":"vav-1019"}}</v>
      </c>
      <c r="S1447" s="360" t="s">
        <v>5516</v>
      </c>
      <c r="T1447" s="330"/>
      <c r="U1447" s="330"/>
      <c r="V1447" s="331"/>
      <c r="W1447" s="332"/>
      <c r="X1447" s="333"/>
      <c r="Y1447" s="33" t="s">
        <v>2867</v>
      </c>
      <c r="Z1447" s="258">
        <v>121019.0</v>
      </c>
      <c r="AA1447" s="334">
        <v>11621.0</v>
      </c>
      <c r="AB1447" s="341"/>
      <c r="AC1447" s="341"/>
      <c r="AD1447" s="343"/>
      <c r="AE1447" s="331"/>
      <c r="AF1447" s="348"/>
      <c r="AG1447" s="337"/>
      <c r="AH1447" s="341"/>
      <c r="AI1447" s="341"/>
      <c r="AJ1447" s="341"/>
      <c r="AK1447" s="341"/>
      <c r="AL1447" s="341"/>
      <c r="AM1447" s="338"/>
      <c r="AN1447" s="341"/>
      <c r="AO1447" s="341"/>
      <c r="AP1447" s="341"/>
      <c r="AQ1447" s="341"/>
      <c r="AR1447" s="341"/>
      <c r="AS1447" s="341"/>
      <c r="AT1447" s="341"/>
      <c r="AU1447" s="343"/>
      <c r="AV1447" s="341"/>
      <c r="AW1447" s="269" t="s">
        <v>2376</v>
      </c>
      <c r="AX1447" s="334" t="s">
        <v>2869</v>
      </c>
      <c r="AY1447" s="270" t="s">
        <v>695</v>
      </c>
      <c r="AZ1447" s="173" t="s">
        <v>5516</v>
      </c>
      <c r="BA1447" s="265">
        <v>10.0</v>
      </c>
      <c r="BB1447" s="174" t="s">
        <v>245</v>
      </c>
      <c r="BC1447" s="341"/>
      <c r="BD1447" s="308"/>
      <c r="BE1447" s="342"/>
      <c r="BF1447" s="274" t="str">
        <f>IFERROR(__xludf.DUMMYFUNCTION("LOWER(Regexreplace(to_text(E1447),""[^A-Za-z0-9]"","""")&amp;""_""&amp;Regexreplace(to_text(F1447),""[^A-Za-z0-9]"",""""))"),"neptronic_evcbseries")</f>
        <v>neptronic_evcbseries</v>
      </c>
      <c r="BG1447" s="275" t="str">
        <f>IFERROR(__xludf.DUMMYFUNCTION("upper(Regexreplace(to_text(E1447),""[^A-Za-z0-9]"","""")&amp;""-""&amp;Regexreplace(to_text(F1447),""[^A-Za-z0-9]"",""""))"),"NEPTRONIC-EVCBSERIES")</f>
        <v>NEPTRONIC-EVCBSERIES</v>
      </c>
    </row>
    <row r="1448" ht="30.0" customHeight="1">
      <c r="A1448" s="258">
        <v>1440.0</v>
      </c>
      <c r="B1448" s="328" t="s">
        <v>670</v>
      </c>
      <c r="C1448" s="257" t="s">
        <v>5837</v>
      </c>
      <c r="D1448" s="173" t="s">
        <v>5837</v>
      </c>
      <c r="E1448" s="174" t="s">
        <v>2861</v>
      </c>
      <c r="F1448" s="173" t="s">
        <v>2862</v>
      </c>
      <c r="G1448" s="328" t="s">
        <v>673</v>
      </c>
      <c r="H1448" s="328" t="s">
        <v>2863</v>
      </c>
      <c r="I1448" s="258" t="s">
        <v>2864</v>
      </c>
      <c r="J1448" s="259" t="s">
        <v>1149</v>
      </c>
      <c r="K1448" s="260" t="s">
        <v>5838</v>
      </c>
      <c r="L1448" s="359"/>
      <c r="M1448" s="359"/>
      <c r="N1448" s="173" t="s">
        <v>679</v>
      </c>
      <c r="O1448" s="173" t="s">
        <v>225</v>
      </c>
      <c r="P1448" s="262" t="str">
        <f t="shared" si="1"/>
        <v>IN-BLR-ANANTA-VAV-1020_6</v>
      </c>
      <c r="Q1448" s="173" t="s">
        <v>5839</v>
      </c>
      <c r="R1448" s="328" t="str">
        <f>IFS(C1448="","",C1448="n/a","N/A",LEN(C1448),Concatenate("{",char(34),"asset",char(34),":{",char(34),"guid",char(34),":",char(34),Q1448,char(34),",",char(34),"site",char(34),":",char(34),LOWER('2-Building'!$B$4),char(34),",",char(34),"name",char(34),":",char(34),LOWER(C1448),char(34),"}}"))</f>
        <v>{"asset":{"guid":"uuid://42e8aa9a-5bc0-4718-a488-b160f6e073bc","site":"in-blr-ananta","name":"vav-1020"}}</v>
      </c>
      <c r="S1448" s="360" t="s">
        <v>5516</v>
      </c>
      <c r="T1448" s="330"/>
      <c r="U1448" s="330"/>
      <c r="V1448" s="331"/>
      <c r="W1448" s="332"/>
      <c r="X1448" s="333"/>
      <c r="Y1448" s="33" t="s">
        <v>2867</v>
      </c>
      <c r="Z1448" s="258">
        <v>121020.0</v>
      </c>
      <c r="AA1448" s="334">
        <v>11621.0</v>
      </c>
      <c r="AB1448" s="341"/>
      <c r="AC1448" s="341"/>
      <c r="AD1448" s="343"/>
      <c r="AE1448" s="331"/>
      <c r="AF1448" s="348"/>
      <c r="AG1448" s="337"/>
      <c r="AH1448" s="341"/>
      <c r="AI1448" s="341"/>
      <c r="AJ1448" s="341"/>
      <c r="AK1448" s="341"/>
      <c r="AL1448" s="341"/>
      <c r="AM1448" s="338"/>
      <c r="AN1448" s="341"/>
      <c r="AO1448" s="341"/>
      <c r="AP1448" s="341"/>
      <c r="AQ1448" s="341"/>
      <c r="AR1448" s="341"/>
      <c r="AS1448" s="341"/>
      <c r="AT1448" s="341"/>
      <c r="AU1448" s="343"/>
      <c r="AV1448" s="341"/>
      <c r="AW1448" s="269" t="s">
        <v>2376</v>
      </c>
      <c r="AX1448" s="334" t="s">
        <v>2869</v>
      </c>
      <c r="AY1448" s="270" t="s">
        <v>695</v>
      </c>
      <c r="AZ1448" s="173" t="s">
        <v>5516</v>
      </c>
      <c r="BA1448" s="265">
        <v>10.0</v>
      </c>
      <c r="BB1448" s="174" t="s">
        <v>245</v>
      </c>
      <c r="BC1448" s="341"/>
      <c r="BD1448" s="308"/>
      <c r="BE1448" s="342"/>
      <c r="BF1448" s="274" t="str">
        <f>IFERROR(__xludf.DUMMYFUNCTION("LOWER(Regexreplace(to_text(E1448),""[^A-Za-z0-9]"","""")&amp;""_""&amp;Regexreplace(to_text(F1448),""[^A-Za-z0-9]"",""""))"),"neptronic_evcbseries")</f>
        <v>neptronic_evcbseries</v>
      </c>
      <c r="BG1448" s="275" t="str">
        <f>IFERROR(__xludf.DUMMYFUNCTION("upper(Regexreplace(to_text(E1448),""[^A-Za-z0-9]"","""")&amp;""-""&amp;Regexreplace(to_text(F1448),""[^A-Za-z0-9]"",""""))"),"NEPTRONIC-EVCBSERIES")</f>
        <v>NEPTRONIC-EVCBSERIES</v>
      </c>
    </row>
    <row r="1449" ht="30.0" customHeight="1">
      <c r="A1449" s="173">
        <v>1441.0</v>
      </c>
      <c r="B1449" s="328" t="s">
        <v>670</v>
      </c>
      <c r="C1449" s="257" t="s">
        <v>5840</v>
      </c>
      <c r="D1449" s="173" t="s">
        <v>5840</v>
      </c>
      <c r="E1449" s="174" t="s">
        <v>2861</v>
      </c>
      <c r="F1449" s="173" t="s">
        <v>2862</v>
      </c>
      <c r="G1449" s="328" t="s">
        <v>673</v>
      </c>
      <c r="H1449" s="328" t="s">
        <v>2863</v>
      </c>
      <c r="I1449" s="258" t="s">
        <v>2864</v>
      </c>
      <c r="J1449" s="259" t="s">
        <v>1149</v>
      </c>
      <c r="K1449" s="260" t="s">
        <v>5841</v>
      </c>
      <c r="L1449" s="359"/>
      <c r="M1449" s="359"/>
      <c r="N1449" s="173" t="s">
        <v>679</v>
      </c>
      <c r="O1449" s="173" t="s">
        <v>225</v>
      </c>
      <c r="P1449" s="262" t="str">
        <f t="shared" si="1"/>
        <v>IN-BLR-ANANTA-VAV-1021_6</v>
      </c>
      <c r="Q1449" s="173" t="s">
        <v>5842</v>
      </c>
      <c r="R1449" s="328" t="str">
        <f>IFS(C1449="","",C1449="n/a","N/A",LEN(C1449),Concatenate("{",char(34),"asset",char(34),":{",char(34),"guid",char(34),":",char(34),Q1449,char(34),",",char(34),"site",char(34),":",char(34),LOWER('2-Building'!$B$4),char(34),",",char(34),"name",char(34),":",char(34),LOWER(C1449),char(34),"}}"))</f>
        <v>{"asset":{"guid":"uuid://34e5c713-a976-4487-953e-aef40ac5e40f","site":"in-blr-ananta","name":"vav-1021"}}</v>
      </c>
      <c r="S1449" s="360" t="s">
        <v>5516</v>
      </c>
      <c r="T1449" s="330"/>
      <c r="U1449" s="330"/>
      <c r="V1449" s="331"/>
      <c r="W1449" s="332"/>
      <c r="X1449" s="333"/>
      <c r="Y1449" s="33" t="s">
        <v>2867</v>
      </c>
      <c r="Z1449" s="258">
        <v>121021.0</v>
      </c>
      <c r="AA1449" s="334">
        <v>11621.0</v>
      </c>
      <c r="AB1449" s="341"/>
      <c r="AC1449" s="341"/>
      <c r="AD1449" s="343"/>
      <c r="AE1449" s="331"/>
      <c r="AF1449" s="348"/>
      <c r="AG1449" s="337"/>
      <c r="AH1449" s="341"/>
      <c r="AI1449" s="341"/>
      <c r="AJ1449" s="341"/>
      <c r="AK1449" s="341"/>
      <c r="AL1449" s="341"/>
      <c r="AM1449" s="338"/>
      <c r="AN1449" s="341"/>
      <c r="AO1449" s="341"/>
      <c r="AP1449" s="341"/>
      <c r="AQ1449" s="341"/>
      <c r="AR1449" s="341"/>
      <c r="AS1449" s="341"/>
      <c r="AT1449" s="341"/>
      <c r="AU1449" s="343"/>
      <c r="AV1449" s="341"/>
      <c r="AW1449" s="269" t="s">
        <v>2376</v>
      </c>
      <c r="AX1449" s="334" t="s">
        <v>2869</v>
      </c>
      <c r="AY1449" s="270" t="s">
        <v>695</v>
      </c>
      <c r="AZ1449" s="173" t="s">
        <v>5516</v>
      </c>
      <c r="BA1449" s="265">
        <v>10.0</v>
      </c>
      <c r="BB1449" s="174" t="s">
        <v>245</v>
      </c>
      <c r="BC1449" s="341"/>
      <c r="BD1449" s="308"/>
      <c r="BE1449" s="342"/>
      <c r="BF1449" s="274" t="str">
        <f>IFERROR(__xludf.DUMMYFUNCTION("LOWER(Regexreplace(to_text(E1449),""[^A-Za-z0-9]"","""")&amp;""_""&amp;Regexreplace(to_text(F1449),""[^A-Za-z0-9]"",""""))"),"neptronic_evcbseries")</f>
        <v>neptronic_evcbseries</v>
      </c>
      <c r="BG1449" s="275" t="str">
        <f>IFERROR(__xludf.DUMMYFUNCTION("upper(Regexreplace(to_text(E1449),""[^A-Za-z0-9]"","""")&amp;""-""&amp;Regexreplace(to_text(F1449),""[^A-Za-z0-9]"",""""))"),"NEPTRONIC-EVCBSERIES")</f>
        <v>NEPTRONIC-EVCBSERIES</v>
      </c>
    </row>
    <row r="1450" ht="30.0" customHeight="1">
      <c r="A1450" s="258">
        <v>1442.0</v>
      </c>
      <c r="B1450" s="328" t="s">
        <v>670</v>
      </c>
      <c r="C1450" s="257" t="s">
        <v>5843</v>
      </c>
      <c r="D1450" s="173" t="s">
        <v>5843</v>
      </c>
      <c r="E1450" s="174" t="s">
        <v>2861</v>
      </c>
      <c r="F1450" s="173" t="s">
        <v>2862</v>
      </c>
      <c r="G1450" s="328" t="s">
        <v>673</v>
      </c>
      <c r="H1450" s="328" t="s">
        <v>2863</v>
      </c>
      <c r="I1450" s="258" t="s">
        <v>2864</v>
      </c>
      <c r="J1450" s="259" t="s">
        <v>1149</v>
      </c>
      <c r="K1450" s="260" t="s">
        <v>5844</v>
      </c>
      <c r="L1450" s="359"/>
      <c r="M1450" s="359"/>
      <c r="N1450" s="173" t="s">
        <v>679</v>
      </c>
      <c r="O1450" s="173" t="s">
        <v>225</v>
      </c>
      <c r="P1450" s="262" t="str">
        <f t="shared" si="1"/>
        <v>IN-BLR-ANANTA-VAV-1022_6</v>
      </c>
      <c r="Q1450" s="173" t="s">
        <v>5845</v>
      </c>
      <c r="R1450" s="328" t="str">
        <f>IFS(C1450="","",C1450="n/a","N/A",LEN(C1450),Concatenate("{",char(34),"asset",char(34),":{",char(34),"guid",char(34),":",char(34),Q1450,char(34),",",char(34),"site",char(34),":",char(34),LOWER('2-Building'!$B$4),char(34),",",char(34),"name",char(34),":",char(34),LOWER(C1450),char(34),"}}"))</f>
        <v>{"asset":{"guid":"uuid://e0b4f348-4d8e-479b-9425-dbed8a6807f9","site":"in-blr-ananta","name":"vav-1022"}}</v>
      </c>
      <c r="S1450" s="360" t="s">
        <v>5516</v>
      </c>
      <c r="T1450" s="330"/>
      <c r="U1450" s="330"/>
      <c r="V1450" s="331"/>
      <c r="W1450" s="332"/>
      <c r="X1450" s="333"/>
      <c r="Y1450" s="33" t="s">
        <v>2867</v>
      </c>
      <c r="Z1450" s="258">
        <v>121022.0</v>
      </c>
      <c r="AA1450" s="334">
        <v>11621.0</v>
      </c>
      <c r="AB1450" s="341"/>
      <c r="AC1450" s="341"/>
      <c r="AD1450" s="343"/>
      <c r="AE1450" s="331"/>
      <c r="AF1450" s="348"/>
      <c r="AG1450" s="337"/>
      <c r="AH1450" s="341"/>
      <c r="AI1450" s="341"/>
      <c r="AJ1450" s="341"/>
      <c r="AK1450" s="341"/>
      <c r="AL1450" s="341"/>
      <c r="AM1450" s="338"/>
      <c r="AN1450" s="341"/>
      <c r="AO1450" s="341"/>
      <c r="AP1450" s="341"/>
      <c r="AQ1450" s="341"/>
      <c r="AR1450" s="341"/>
      <c r="AS1450" s="341"/>
      <c r="AT1450" s="341"/>
      <c r="AU1450" s="343"/>
      <c r="AV1450" s="341"/>
      <c r="AW1450" s="269" t="s">
        <v>2376</v>
      </c>
      <c r="AX1450" s="334" t="s">
        <v>2869</v>
      </c>
      <c r="AY1450" s="270" t="s">
        <v>695</v>
      </c>
      <c r="AZ1450" s="173" t="s">
        <v>5516</v>
      </c>
      <c r="BA1450" s="265">
        <v>10.0</v>
      </c>
      <c r="BB1450" s="174" t="s">
        <v>245</v>
      </c>
      <c r="BC1450" s="341"/>
      <c r="BD1450" s="308"/>
      <c r="BE1450" s="342"/>
      <c r="BF1450" s="274" t="str">
        <f>IFERROR(__xludf.DUMMYFUNCTION("LOWER(Regexreplace(to_text(E1450),""[^A-Za-z0-9]"","""")&amp;""_""&amp;Regexreplace(to_text(F1450),""[^A-Za-z0-9]"",""""))"),"neptronic_evcbseries")</f>
        <v>neptronic_evcbseries</v>
      </c>
      <c r="BG1450" s="275" t="str">
        <f>IFERROR(__xludf.DUMMYFUNCTION("upper(Regexreplace(to_text(E1450),""[^A-Za-z0-9]"","""")&amp;""-""&amp;Regexreplace(to_text(F1450),""[^A-Za-z0-9]"",""""))"),"NEPTRONIC-EVCBSERIES")</f>
        <v>NEPTRONIC-EVCBSERIES</v>
      </c>
    </row>
    <row r="1451" ht="30.0" customHeight="1">
      <c r="A1451" s="173">
        <v>1443.0</v>
      </c>
      <c r="B1451" s="328" t="s">
        <v>670</v>
      </c>
      <c r="C1451" s="257" t="s">
        <v>5846</v>
      </c>
      <c r="D1451" s="173" t="s">
        <v>5846</v>
      </c>
      <c r="E1451" s="174" t="s">
        <v>2861</v>
      </c>
      <c r="F1451" s="173" t="s">
        <v>2862</v>
      </c>
      <c r="G1451" s="328" t="s">
        <v>673</v>
      </c>
      <c r="H1451" s="328" t="s">
        <v>2863</v>
      </c>
      <c r="I1451" s="258" t="s">
        <v>2864</v>
      </c>
      <c r="J1451" s="259" t="s">
        <v>1149</v>
      </c>
      <c r="K1451" s="260" t="s">
        <v>5847</v>
      </c>
      <c r="L1451" s="359"/>
      <c r="M1451" s="359"/>
      <c r="N1451" s="173" t="s">
        <v>679</v>
      </c>
      <c r="O1451" s="173" t="s">
        <v>225</v>
      </c>
      <c r="P1451" s="262" t="str">
        <f t="shared" si="1"/>
        <v>IN-BLR-ANANTA-VAV-1023_6</v>
      </c>
      <c r="Q1451" s="173" t="s">
        <v>5848</v>
      </c>
      <c r="R1451" s="328" t="str">
        <f>IFS(C1451="","",C1451="n/a","N/A",LEN(C1451),Concatenate("{",char(34),"asset",char(34),":{",char(34),"guid",char(34),":",char(34),Q1451,char(34),",",char(34),"site",char(34),":",char(34),LOWER('2-Building'!$B$4),char(34),",",char(34),"name",char(34),":",char(34),LOWER(C1451),char(34),"}}"))</f>
        <v>{"asset":{"guid":"uuid://f76807af-10d6-42f6-bcb8-2f4a5cecee95","site":"in-blr-ananta","name":"vav-1023"}}</v>
      </c>
      <c r="S1451" s="360" t="s">
        <v>5516</v>
      </c>
      <c r="T1451" s="330"/>
      <c r="U1451" s="330"/>
      <c r="V1451" s="331"/>
      <c r="W1451" s="332"/>
      <c r="X1451" s="333"/>
      <c r="Y1451" s="33" t="s">
        <v>2867</v>
      </c>
      <c r="Z1451" s="258">
        <v>121023.0</v>
      </c>
      <c r="AA1451" s="334">
        <v>11621.0</v>
      </c>
      <c r="AB1451" s="341"/>
      <c r="AC1451" s="341"/>
      <c r="AD1451" s="343"/>
      <c r="AE1451" s="331"/>
      <c r="AF1451" s="348"/>
      <c r="AG1451" s="337"/>
      <c r="AH1451" s="341"/>
      <c r="AI1451" s="341"/>
      <c r="AJ1451" s="341"/>
      <c r="AK1451" s="341"/>
      <c r="AL1451" s="341"/>
      <c r="AM1451" s="338"/>
      <c r="AN1451" s="341"/>
      <c r="AO1451" s="341"/>
      <c r="AP1451" s="341"/>
      <c r="AQ1451" s="341"/>
      <c r="AR1451" s="341"/>
      <c r="AS1451" s="341"/>
      <c r="AT1451" s="341"/>
      <c r="AU1451" s="343"/>
      <c r="AV1451" s="341"/>
      <c r="AW1451" s="269" t="s">
        <v>2376</v>
      </c>
      <c r="AX1451" s="334" t="s">
        <v>2869</v>
      </c>
      <c r="AY1451" s="270" t="s">
        <v>695</v>
      </c>
      <c r="AZ1451" s="173" t="s">
        <v>5516</v>
      </c>
      <c r="BA1451" s="265">
        <v>10.0</v>
      </c>
      <c r="BB1451" s="174" t="s">
        <v>245</v>
      </c>
      <c r="BC1451" s="341"/>
      <c r="BD1451" s="308"/>
      <c r="BE1451" s="342"/>
      <c r="BF1451" s="274" t="str">
        <f>IFERROR(__xludf.DUMMYFUNCTION("LOWER(Regexreplace(to_text(E1451),""[^A-Za-z0-9]"","""")&amp;""_""&amp;Regexreplace(to_text(F1451),""[^A-Za-z0-9]"",""""))"),"neptronic_evcbseries")</f>
        <v>neptronic_evcbseries</v>
      </c>
      <c r="BG1451" s="275" t="str">
        <f>IFERROR(__xludf.DUMMYFUNCTION("upper(Regexreplace(to_text(E1451),""[^A-Za-z0-9]"","""")&amp;""-""&amp;Regexreplace(to_text(F1451),""[^A-Za-z0-9]"",""""))"),"NEPTRONIC-EVCBSERIES")</f>
        <v>NEPTRONIC-EVCBSERIES</v>
      </c>
    </row>
    <row r="1452" ht="30.0" customHeight="1">
      <c r="A1452" s="258">
        <v>1444.0</v>
      </c>
      <c r="B1452" s="328" t="s">
        <v>670</v>
      </c>
      <c r="C1452" s="257" t="s">
        <v>5849</v>
      </c>
      <c r="D1452" s="173" t="s">
        <v>5849</v>
      </c>
      <c r="E1452" s="174" t="s">
        <v>2861</v>
      </c>
      <c r="F1452" s="173" t="s">
        <v>2862</v>
      </c>
      <c r="G1452" s="328" t="s">
        <v>673</v>
      </c>
      <c r="H1452" s="328" t="s">
        <v>2863</v>
      </c>
      <c r="I1452" s="258" t="s">
        <v>2864</v>
      </c>
      <c r="J1452" s="259" t="s">
        <v>1149</v>
      </c>
      <c r="K1452" s="260" t="s">
        <v>5850</v>
      </c>
      <c r="L1452" s="359"/>
      <c r="M1452" s="359"/>
      <c r="N1452" s="173" t="s">
        <v>679</v>
      </c>
      <c r="O1452" s="173" t="s">
        <v>225</v>
      </c>
      <c r="P1452" s="262" t="str">
        <f t="shared" si="1"/>
        <v>IN-BLR-ANANTA-VAV-1024_6</v>
      </c>
      <c r="Q1452" s="173" t="s">
        <v>5851</v>
      </c>
      <c r="R1452" s="328" t="str">
        <f>IFS(C1452="","",C1452="n/a","N/A",LEN(C1452),Concatenate("{",char(34),"asset",char(34),":{",char(34),"guid",char(34),":",char(34),Q1452,char(34),",",char(34),"site",char(34),":",char(34),LOWER('2-Building'!$B$4),char(34),",",char(34),"name",char(34),":",char(34),LOWER(C1452),char(34),"}}"))</f>
        <v>{"asset":{"guid":"uuid://cc1d947c-2314-44a6-a930-26cbb9cd4014","site":"in-blr-ananta","name":"vav-1024"}}</v>
      </c>
      <c r="S1452" s="360" t="s">
        <v>5516</v>
      </c>
      <c r="T1452" s="330"/>
      <c r="U1452" s="330"/>
      <c r="V1452" s="331"/>
      <c r="W1452" s="332"/>
      <c r="X1452" s="333"/>
      <c r="Y1452" s="33" t="s">
        <v>2867</v>
      </c>
      <c r="Z1452" s="258">
        <v>121024.0</v>
      </c>
      <c r="AA1452" s="334">
        <v>11621.0</v>
      </c>
      <c r="AB1452" s="341"/>
      <c r="AC1452" s="341"/>
      <c r="AD1452" s="343"/>
      <c r="AE1452" s="331"/>
      <c r="AF1452" s="348"/>
      <c r="AG1452" s="337"/>
      <c r="AH1452" s="341"/>
      <c r="AI1452" s="341"/>
      <c r="AJ1452" s="341"/>
      <c r="AK1452" s="341"/>
      <c r="AL1452" s="341"/>
      <c r="AM1452" s="338"/>
      <c r="AN1452" s="341"/>
      <c r="AO1452" s="341"/>
      <c r="AP1452" s="341"/>
      <c r="AQ1452" s="341"/>
      <c r="AR1452" s="341"/>
      <c r="AS1452" s="341"/>
      <c r="AT1452" s="341"/>
      <c r="AU1452" s="343"/>
      <c r="AV1452" s="341"/>
      <c r="AW1452" s="269" t="s">
        <v>2376</v>
      </c>
      <c r="AX1452" s="334" t="s">
        <v>2869</v>
      </c>
      <c r="AY1452" s="270" t="s">
        <v>695</v>
      </c>
      <c r="AZ1452" s="173" t="s">
        <v>5516</v>
      </c>
      <c r="BA1452" s="265">
        <v>10.0</v>
      </c>
      <c r="BB1452" s="174" t="s">
        <v>245</v>
      </c>
      <c r="BC1452" s="341"/>
      <c r="BD1452" s="308"/>
      <c r="BE1452" s="342"/>
      <c r="BF1452" s="274" t="str">
        <f>IFERROR(__xludf.DUMMYFUNCTION("LOWER(Regexreplace(to_text(E1452),""[^A-Za-z0-9]"","""")&amp;""_""&amp;Regexreplace(to_text(F1452),""[^A-Za-z0-9]"",""""))"),"neptronic_evcbseries")</f>
        <v>neptronic_evcbseries</v>
      </c>
      <c r="BG1452" s="275" t="str">
        <f>IFERROR(__xludf.DUMMYFUNCTION("upper(Regexreplace(to_text(E1452),""[^A-Za-z0-9]"","""")&amp;""-""&amp;Regexreplace(to_text(F1452),""[^A-Za-z0-9]"",""""))"),"NEPTRONIC-EVCBSERIES")</f>
        <v>NEPTRONIC-EVCBSERIES</v>
      </c>
    </row>
    <row r="1453" ht="30.0" customHeight="1">
      <c r="A1453" s="173">
        <v>1445.0</v>
      </c>
      <c r="B1453" s="328" t="s">
        <v>670</v>
      </c>
      <c r="C1453" s="257" t="s">
        <v>5852</v>
      </c>
      <c r="D1453" s="173" t="s">
        <v>5852</v>
      </c>
      <c r="E1453" s="174" t="s">
        <v>2861</v>
      </c>
      <c r="F1453" s="173" t="s">
        <v>2862</v>
      </c>
      <c r="G1453" s="328" t="s">
        <v>673</v>
      </c>
      <c r="H1453" s="328" t="s">
        <v>2863</v>
      </c>
      <c r="I1453" s="258" t="s">
        <v>2864</v>
      </c>
      <c r="J1453" s="259" t="s">
        <v>1149</v>
      </c>
      <c r="K1453" s="260" t="s">
        <v>5853</v>
      </c>
      <c r="L1453" s="359"/>
      <c r="M1453" s="359"/>
      <c r="N1453" s="173" t="s">
        <v>679</v>
      </c>
      <c r="O1453" s="173" t="s">
        <v>225</v>
      </c>
      <c r="P1453" s="262" t="str">
        <f t="shared" si="1"/>
        <v>IN-BLR-ANANTA-VAV-1025_6</v>
      </c>
      <c r="Q1453" s="173" t="s">
        <v>5854</v>
      </c>
      <c r="R1453" s="328" t="str">
        <f>IFS(C1453="","",C1453="n/a","N/A",LEN(C1453),Concatenate("{",char(34),"asset",char(34),":{",char(34),"guid",char(34),":",char(34),Q1453,char(34),",",char(34),"site",char(34),":",char(34),LOWER('2-Building'!$B$4),char(34),",",char(34),"name",char(34),":",char(34),LOWER(C1453),char(34),"}}"))</f>
        <v>{"asset":{"guid":"uuid://2504e851-ed67-42cf-af22-3606dda1fdf5","site":"in-blr-ananta","name":"vav-1025"}}</v>
      </c>
      <c r="S1453" s="360" t="s">
        <v>5516</v>
      </c>
      <c r="T1453" s="330"/>
      <c r="U1453" s="330"/>
      <c r="V1453" s="331"/>
      <c r="W1453" s="332"/>
      <c r="X1453" s="333"/>
      <c r="Y1453" s="33" t="s">
        <v>2867</v>
      </c>
      <c r="Z1453" s="258">
        <v>121025.0</v>
      </c>
      <c r="AA1453" s="334">
        <v>11621.0</v>
      </c>
      <c r="AB1453" s="341"/>
      <c r="AC1453" s="341"/>
      <c r="AD1453" s="343"/>
      <c r="AE1453" s="331"/>
      <c r="AF1453" s="348"/>
      <c r="AG1453" s="337"/>
      <c r="AH1453" s="341"/>
      <c r="AI1453" s="341"/>
      <c r="AJ1453" s="341"/>
      <c r="AK1453" s="341"/>
      <c r="AL1453" s="341"/>
      <c r="AM1453" s="338"/>
      <c r="AN1453" s="341"/>
      <c r="AO1453" s="341"/>
      <c r="AP1453" s="341"/>
      <c r="AQ1453" s="341"/>
      <c r="AR1453" s="341"/>
      <c r="AS1453" s="341"/>
      <c r="AT1453" s="341"/>
      <c r="AU1453" s="343"/>
      <c r="AV1453" s="341"/>
      <c r="AW1453" s="269" t="s">
        <v>2376</v>
      </c>
      <c r="AX1453" s="334" t="s">
        <v>2869</v>
      </c>
      <c r="AY1453" s="270" t="s">
        <v>695</v>
      </c>
      <c r="AZ1453" s="173" t="s">
        <v>5516</v>
      </c>
      <c r="BA1453" s="265">
        <v>10.0</v>
      </c>
      <c r="BB1453" s="174" t="s">
        <v>245</v>
      </c>
      <c r="BC1453" s="341"/>
      <c r="BD1453" s="308"/>
      <c r="BE1453" s="342"/>
      <c r="BF1453" s="274" t="str">
        <f>IFERROR(__xludf.DUMMYFUNCTION("LOWER(Regexreplace(to_text(E1453),""[^A-Za-z0-9]"","""")&amp;""_""&amp;Regexreplace(to_text(F1453),""[^A-Za-z0-9]"",""""))"),"neptronic_evcbseries")</f>
        <v>neptronic_evcbseries</v>
      </c>
      <c r="BG1453" s="275" t="str">
        <f>IFERROR(__xludf.DUMMYFUNCTION("upper(Regexreplace(to_text(E1453),""[^A-Za-z0-9]"","""")&amp;""-""&amp;Regexreplace(to_text(F1453),""[^A-Za-z0-9]"",""""))"),"NEPTRONIC-EVCBSERIES")</f>
        <v>NEPTRONIC-EVCBSERIES</v>
      </c>
    </row>
    <row r="1454" ht="30.0" customHeight="1">
      <c r="A1454" s="258">
        <v>1446.0</v>
      </c>
      <c r="B1454" s="328" t="s">
        <v>670</v>
      </c>
      <c r="C1454" s="257" t="s">
        <v>5855</v>
      </c>
      <c r="D1454" s="173" t="s">
        <v>5855</v>
      </c>
      <c r="E1454" s="174" t="s">
        <v>2861</v>
      </c>
      <c r="F1454" s="173" t="s">
        <v>2862</v>
      </c>
      <c r="G1454" s="328" t="s">
        <v>673</v>
      </c>
      <c r="H1454" s="328" t="s">
        <v>2863</v>
      </c>
      <c r="I1454" s="258" t="s">
        <v>2864</v>
      </c>
      <c r="J1454" s="259" t="s">
        <v>1149</v>
      </c>
      <c r="K1454" s="260" t="s">
        <v>5856</v>
      </c>
      <c r="L1454" s="359"/>
      <c r="M1454" s="359"/>
      <c r="N1454" s="173" t="s">
        <v>679</v>
      </c>
      <c r="O1454" s="173" t="s">
        <v>225</v>
      </c>
      <c r="P1454" s="262" t="str">
        <f t="shared" si="1"/>
        <v>IN-BLR-ANANTA-VAV-1026_6</v>
      </c>
      <c r="Q1454" s="173" t="s">
        <v>5857</v>
      </c>
      <c r="R1454" s="328" t="str">
        <f>IFS(C1454="","",C1454="n/a","N/A",LEN(C1454),Concatenate("{",char(34),"asset",char(34),":{",char(34),"guid",char(34),":",char(34),Q1454,char(34),",",char(34),"site",char(34),":",char(34),LOWER('2-Building'!$B$4),char(34),",",char(34),"name",char(34),":",char(34),LOWER(C1454),char(34),"}}"))</f>
        <v>{"asset":{"guid":"uuid://e669cc22-237e-4318-88a0-889a7b21893a","site":"in-blr-ananta","name":"vav-1026"}}</v>
      </c>
      <c r="S1454" s="360" t="s">
        <v>5516</v>
      </c>
      <c r="T1454" s="330"/>
      <c r="U1454" s="330"/>
      <c r="V1454" s="331"/>
      <c r="W1454" s="332"/>
      <c r="X1454" s="333"/>
      <c r="Y1454" s="33" t="s">
        <v>2867</v>
      </c>
      <c r="Z1454" s="258">
        <v>121026.0</v>
      </c>
      <c r="AA1454" s="334">
        <v>11621.0</v>
      </c>
      <c r="AB1454" s="341"/>
      <c r="AC1454" s="341"/>
      <c r="AD1454" s="343"/>
      <c r="AE1454" s="331"/>
      <c r="AF1454" s="348"/>
      <c r="AG1454" s="337"/>
      <c r="AH1454" s="341"/>
      <c r="AI1454" s="341"/>
      <c r="AJ1454" s="341"/>
      <c r="AK1454" s="341"/>
      <c r="AL1454" s="341"/>
      <c r="AM1454" s="338"/>
      <c r="AN1454" s="341"/>
      <c r="AO1454" s="341"/>
      <c r="AP1454" s="341"/>
      <c r="AQ1454" s="341"/>
      <c r="AR1454" s="341"/>
      <c r="AS1454" s="341"/>
      <c r="AT1454" s="341"/>
      <c r="AU1454" s="343"/>
      <c r="AV1454" s="341"/>
      <c r="AW1454" s="269" t="s">
        <v>2376</v>
      </c>
      <c r="AX1454" s="334" t="s">
        <v>2869</v>
      </c>
      <c r="AY1454" s="270" t="s">
        <v>695</v>
      </c>
      <c r="AZ1454" s="173" t="s">
        <v>5516</v>
      </c>
      <c r="BA1454" s="265">
        <v>10.0</v>
      </c>
      <c r="BB1454" s="174" t="s">
        <v>245</v>
      </c>
      <c r="BC1454" s="341"/>
      <c r="BD1454" s="308"/>
      <c r="BE1454" s="342"/>
      <c r="BF1454" s="274" t="str">
        <f>IFERROR(__xludf.DUMMYFUNCTION("LOWER(Regexreplace(to_text(E1454),""[^A-Za-z0-9]"","""")&amp;""_""&amp;Regexreplace(to_text(F1454),""[^A-Za-z0-9]"",""""))"),"neptronic_evcbseries")</f>
        <v>neptronic_evcbseries</v>
      </c>
      <c r="BG1454" s="275" t="str">
        <f>IFERROR(__xludf.DUMMYFUNCTION("upper(Regexreplace(to_text(E1454),""[^A-Za-z0-9]"","""")&amp;""-""&amp;Regexreplace(to_text(F1454),""[^A-Za-z0-9]"",""""))"),"NEPTRONIC-EVCBSERIES")</f>
        <v>NEPTRONIC-EVCBSERIES</v>
      </c>
    </row>
    <row r="1455" ht="30.0" customHeight="1">
      <c r="A1455" s="173">
        <v>1447.0</v>
      </c>
      <c r="B1455" s="328" t="s">
        <v>670</v>
      </c>
      <c r="C1455" s="257" t="s">
        <v>5858</v>
      </c>
      <c r="D1455" s="173" t="s">
        <v>5858</v>
      </c>
      <c r="E1455" s="174" t="s">
        <v>2861</v>
      </c>
      <c r="F1455" s="173" t="s">
        <v>2862</v>
      </c>
      <c r="G1455" s="328" t="s">
        <v>673</v>
      </c>
      <c r="H1455" s="328" t="s">
        <v>2863</v>
      </c>
      <c r="I1455" s="258" t="s">
        <v>2864</v>
      </c>
      <c r="J1455" s="259" t="s">
        <v>1149</v>
      </c>
      <c r="K1455" s="260" t="s">
        <v>5859</v>
      </c>
      <c r="L1455" s="359"/>
      <c r="M1455" s="359"/>
      <c r="N1455" s="173" t="s">
        <v>679</v>
      </c>
      <c r="O1455" s="173" t="s">
        <v>225</v>
      </c>
      <c r="P1455" s="262" t="str">
        <f t="shared" si="1"/>
        <v>IN-BLR-ANANTA-VAV-1027_6</v>
      </c>
      <c r="Q1455" s="173" t="s">
        <v>5860</v>
      </c>
      <c r="R1455" s="328" t="str">
        <f>IFS(C1455="","",C1455="n/a","N/A",LEN(C1455),Concatenate("{",char(34),"asset",char(34),":{",char(34),"guid",char(34),":",char(34),Q1455,char(34),",",char(34),"site",char(34),":",char(34),LOWER('2-Building'!$B$4),char(34),",",char(34),"name",char(34),":",char(34),LOWER(C1455),char(34),"}}"))</f>
        <v>{"asset":{"guid":"uuid://3cbf9b93-ac41-4850-b101-2d186810ac47","site":"in-blr-ananta","name":"vav-1027"}}</v>
      </c>
      <c r="S1455" s="360" t="s">
        <v>5516</v>
      </c>
      <c r="T1455" s="330"/>
      <c r="U1455" s="330"/>
      <c r="V1455" s="331"/>
      <c r="W1455" s="332"/>
      <c r="X1455" s="333"/>
      <c r="Y1455" s="33" t="s">
        <v>2867</v>
      </c>
      <c r="Z1455" s="258">
        <v>121027.0</v>
      </c>
      <c r="AA1455" s="334">
        <v>11621.0</v>
      </c>
      <c r="AB1455" s="341"/>
      <c r="AC1455" s="341"/>
      <c r="AD1455" s="343"/>
      <c r="AE1455" s="331"/>
      <c r="AF1455" s="348"/>
      <c r="AG1455" s="337"/>
      <c r="AH1455" s="341"/>
      <c r="AI1455" s="341"/>
      <c r="AJ1455" s="341"/>
      <c r="AK1455" s="341"/>
      <c r="AL1455" s="341"/>
      <c r="AM1455" s="338"/>
      <c r="AN1455" s="341"/>
      <c r="AO1455" s="341"/>
      <c r="AP1455" s="341"/>
      <c r="AQ1455" s="341"/>
      <c r="AR1455" s="341"/>
      <c r="AS1455" s="341"/>
      <c r="AT1455" s="341"/>
      <c r="AU1455" s="343"/>
      <c r="AV1455" s="341"/>
      <c r="AW1455" s="269" t="s">
        <v>2376</v>
      </c>
      <c r="AX1455" s="334" t="s">
        <v>2869</v>
      </c>
      <c r="AY1455" s="270" t="s">
        <v>695</v>
      </c>
      <c r="AZ1455" s="173" t="s">
        <v>5516</v>
      </c>
      <c r="BA1455" s="265">
        <v>10.0</v>
      </c>
      <c r="BB1455" s="174" t="s">
        <v>245</v>
      </c>
      <c r="BC1455" s="341"/>
      <c r="BD1455" s="308"/>
      <c r="BE1455" s="342"/>
      <c r="BF1455" s="274" t="str">
        <f>IFERROR(__xludf.DUMMYFUNCTION("LOWER(Regexreplace(to_text(E1455),""[^A-Za-z0-9]"","""")&amp;""_""&amp;Regexreplace(to_text(F1455),""[^A-Za-z0-9]"",""""))"),"neptronic_evcbseries")</f>
        <v>neptronic_evcbseries</v>
      </c>
      <c r="BG1455" s="275" t="str">
        <f>IFERROR(__xludf.DUMMYFUNCTION("upper(Regexreplace(to_text(E1455),""[^A-Za-z0-9]"","""")&amp;""-""&amp;Regexreplace(to_text(F1455),""[^A-Za-z0-9]"",""""))"),"NEPTRONIC-EVCBSERIES")</f>
        <v>NEPTRONIC-EVCBSERIES</v>
      </c>
    </row>
    <row r="1456" ht="30.0" customHeight="1">
      <c r="A1456" s="258">
        <v>1448.0</v>
      </c>
      <c r="B1456" s="328" t="s">
        <v>670</v>
      </c>
      <c r="C1456" s="257" t="s">
        <v>5861</v>
      </c>
      <c r="D1456" s="173" t="s">
        <v>5861</v>
      </c>
      <c r="E1456" s="174" t="s">
        <v>2861</v>
      </c>
      <c r="F1456" s="173" t="s">
        <v>2862</v>
      </c>
      <c r="G1456" s="328" t="s">
        <v>673</v>
      </c>
      <c r="H1456" s="328" t="s">
        <v>2863</v>
      </c>
      <c r="I1456" s="258" t="s">
        <v>2864</v>
      </c>
      <c r="J1456" s="259" t="s">
        <v>1149</v>
      </c>
      <c r="K1456" s="260" t="s">
        <v>5862</v>
      </c>
      <c r="L1456" s="359"/>
      <c r="M1456" s="359"/>
      <c r="N1456" s="173" t="s">
        <v>679</v>
      </c>
      <c r="O1456" s="173" t="s">
        <v>225</v>
      </c>
      <c r="P1456" s="262" t="str">
        <f t="shared" si="1"/>
        <v>IN-BLR-ANANTA-VAV-1028_6</v>
      </c>
      <c r="Q1456" s="173" t="s">
        <v>5863</v>
      </c>
      <c r="R1456" s="328" t="str">
        <f>IFS(C1456="","",C1456="n/a","N/A",LEN(C1456),Concatenate("{",char(34),"asset",char(34),":{",char(34),"guid",char(34),":",char(34),Q1456,char(34),",",char(34),"site",char(34),":",char(34),LOWER('2-Building'!$B$4),char(34),",",char(34),"name",char(34),":",char(34),LOWER(C1456),char(34),"}}"))</f>
        <v>{"asset":{"guid":"uuid://00528938-084b-4054-8b34-fcd394b92289","site":"in-blr-ananta","name":"vav-1028"}}</v>
      </c>
      <c r="S1456" s="360" t="s">
        <v>5516</v>
      </c>
      <c r="T1456" s="330"/>
      <c r="U1456" s="330"/>
      <c r="V1456" s="331"/>
      <c r="W1456" s="332"/>
      <c r="X1456" s="333"/>
      <c r="Y1456" s="33" t="s">
        <v>2867</v>
      </c>
      <c r="Z1456" s="258">
        <v>121028.0</v>
      </c>
      <c r="AA1456" s="334">
        <v>11621.0</v>
      </c>
      <c r="AB1456" s="341"/>
      <c r="AC1456" s="341"/>
      <c r="AD1456" s="343"/>
      <c r="AE1456" s="331"/>
      <c r="AF1456" s="348"/>
      <c r="AG1456" s="337"/>
      <c r="AH1456" s="341"/>
      <c r="AI1456" s="341"/>
      <c r="AJ1456" s="341"/>
      <c r="AK1456" s="341"/>
      <c r="AL1456" s="341"/>
      <c r="AM1456" s="338"/>
      <c r="AN1456" s="341"/>
      <c r="AO1456" s="341"/>
      <c r="AP1456" s="341"/>
      <c r="AQ1456" s="341"/>
      <c r="AR1456" s="341"/>
      <c r="AS1456" s="341"/>
      <c r="AT1456" s="341"/>
      <c r="AU1456" s="343"/>
      <c r="AV1456" s="341"/>
      <c r="AW1456" s="269" t="s">
        <v>2376</v>
      </c>
      <c r="AX1456" s="334" t="s">
        <v>2869</v>
      </c>
      <c r="AY1456" s="270" t="s">
        <v>695</v>
      </c>
      <c r="AZ1456" s="173" t="s">
        <v>5516</v>
      </c>
      <c r="BA1456" s="265">
        <v>10.0</v>
      </c>
      <c r="BB1456" s="174" t="s">
        <v>245</v>
      </c>
      <c r="BC1456" s="341"/>
      <c r="BD1456" s="308"/>
      <c r="BE1456" s="342"/>
      <c r="BF1456" s="274" t="str">
        <f>IFERROR(__xludf.DUMMYFUNCTION("LOWER(Regexreplace(to_text(E1456),""[^A-Za-z0-9]"","""")&amp;""_""&amp;Regexreplace(to_text(F1456),""[^A-Za-z0-9]"",""""))"),"neptronic_evcbseries")</f>
        <v>neptronic_evcbseries</v>
      </c>
      <c r="BG1456" s="275" t="str">
        <f>IFERROR(__xludf.DUMMYFUNCTION("upper(Regexreplace(to_text(E1456),""[^A-Za-z0-9]"","""")&amp;""-""&amp;Regexreplace(to_text(F1456),""[^A-Za-z0-9]"",""""))"),"NEPTRONIC-EVCBSERIES")</f>
        <v>NEPTRONIC-EVCBSERIES</v>
      </c>
    </row>
    <row r="1457" ht="30.0" customHeight="1">
      <c r="A1457" s="173">
        <v>1449.0</v>
      </c>
      <c r="B1457" s="328" t="s">
        <v>670</v>
      </c>
      <c r="C1457" s="257" t="s">
        <v>5864</v>
      </c>
      <c r="D1457" s="173" t="s">
        <v>5864</v>
      </c>
      <c r="E1457" s="174" t="s">
        <v>2861</v>
      </c>
      <c r="F1457" s="173" t="s">
        <v>2862</v>
      </c>
      <c r="G1457" s="328" t="s">
        <v>673</v>
      </c>
      <c r="H1457" s="328" t="s">
        <v>2863</v>
      </c>
      <c r="I1457" s="258" t="s">
        <v>2864</v>
      </c>
      <c r="J1457" s="259" t="s">
        <v>1149</v>
      </c>
      <c r="K1457" s="260" t="s">
        <v>5865</v>
      </c>
      <c r="L1457" s="359"/>
      <c r="M1457" s="359"/>
      <c r="N1457" s="173" t="s">
        <v>679</v>
      </c>
      <c r="O1457" s="173" t="s">
        <v>225</v>
      </c>
      <c r="P1457" s="262" t="str">
        <f t="shared" si="1"/>
        <v>IN-BLR-ANANTA-VAV-1029_6</v>
      </c>
      <c r="Q1457" s="173" t="s">
        <v>5866</v>
      </c>
      <c r="R1457" s="328" t="str">
        <f>IFS(C1457="","",C1457="n/a","N/A",LEN(C1457),Concatenate("{",char(34),"asset",char(34),":{",char(34),"guid",char(34),":",char(34),Q1457,char(34),",",char(34),"site",char(34),":",char(34),LOWER('2-Building'!$B$4),char(34),",",char(34),"name",char(34),":",char(34),LOWER(C1457),char(34),"}}"))</f>
        <v>{"asset":{"guid":"uuid://fc46a68f-4ea4-4344-a2d7-2e673272aac2","site":"in-blr-ananta","name":"vav-1029"}}</v>
      </c>
      <c r="S1457" s="360" t="s">
        <v>5516</v>
      </c>
      <c r="T1457" s="330"/>
      <c r="U1457" s="330"/>
      <c r="V1457" s="331"/>
      <c r="W1457" s="332"/>
      <c r="X1457" s="333"/>
      <c r="Y1457" s="33" t="s">
        <v>2867</v>
      </c>
      <c r="Z1457" s="258">
        <v>121029.0</v>
      </c>
      <c r="AA1457" s="334">
        <v>11621.0</v>
      </c>
      <c r="AB1457" s="341"/>
      <c r="AC1457" s="341"/>
      <c r="AD1457" s="343"/>
      <c r="AE1457" s="331"/>
      <c r="AF1457" s="348"/>
      <c r="AG1457" s="337"/>
      <c r="AH1457" s="341"/>
      <c r="AI1457" s="341"/>
      <c r="AJ1457" s="341"/>
      <c r="AK1457" s="341"/>
      <c r="AL1457" s="341"/>
      <c r="AM1457" s="338"/>
      <c r="AN1457" s="341"/>
      <c r="AO1457" s="341"/>
      <c r="AP1457" s="341"/>
      <c r="AQ1457" s="341"/>
      <c r="AR1457" s="341"/>
      <c r="AS1457" s="341"/>
      <c r="AT1457" s="341"/>
      <c r="AU1457" s="343"/>
      <c r="AV1457" s="341"/>
      <c r="AW1457" s="269" t="s">
        <v>2376</v>
      </c>
      <c r="AX1457" s="334" t="s">
        <v>2869</v>
      </c>
      <c r="AY1457" s="270" t="s">
        <v>695</v>
      </c>
      <c r="AZ1457" s="173" t="s">
        <v>5516</v>
      </c>
      <c r="BA1457" s="265">
        <v>10.0</v>
      </c>
      <c r="BB1457" s="174" t="s">
        <v>245</v>
      </c>
      <c r="BC1457" s="341"/>
      <c r="BD1457" s="308"/>
      <c r="BE1457" s="342"/>
      <c r="BF1457" s="274" t="str">
        <f>IFERROR(__xludf.DUMMYFUNCTION("LOWER(Regexreplace(to_text(E1457),""[^A-Za-z0-9]"","""")&amp;""_""&amp;Regexreplace(to_text(F1457),""[^A-Za-z0-9]"",""""))"),"neptronic_evcbseries")</f>
        <v>neptronic_evcbseries</v>
      </c>
      <c r="BG1457" s="275" t="str">
        <f>IFERROR(__xludf.DUMMYFUNCTION("upper(Regexreplace(to_text(E1457),""[^A-Za-z0-9]"","""")&amp;""-""&amp;Regexreplace(to_text(F1457),""[^A-Za-z0-9]"",""""))"),"NEPTRONIC-EVCBSERIES")</f>
        <v>NEPTRONIC-EVCBSERIES</v>
      </c>
    </row>
    <row r="1458" ht="30.0" customHeight="1">
      <c r="A1458" s="258">
        <v>1450.0</v>
      </c>
      <c r="B1458" s="328" t="s">
        <v>670</v>
      </c>
      <c r="C1458" s="257" t="s">
        <v>5867</v>
      </c>
      <c r="D1458" s="173" t="s">
        <v>5867</v>
      </c>
      <c r="E1458" s="174" t="s">
        <v>2861</v>
      </c>
      <c r="F1458" s="173" t="s">
        <v>2862</v>
      </c>
      <c r="G1458" s="328" t="s">
        <v>673</v>
      </c>
      <c r="H1458" s="328" t="s">
        <v>2863</v>
      </c>
      <c r="I1458" s="258" t="s">
        <v>2864</v>
      </c>
      <c r="J1458" s="259" t="s">
        <v>1149</v>
      </c>
      <c r="K1458" s="260" t="s">
        <v>5868</v>
      </c>
      <c r="L1458" s="359"/>
      <c r="M1458" s="359"/>
      <c r="N1458" s="173" t="s">
        <v>679</v>
      </c>
      <c r="O1458" s="173" t="s">
        <v>225</v>
      </c>
      <c r="P1458" s="262" t="str">
        <f t="shared" si="1"/>
        <v>IN-BLR-ANANTA-VAV-1030_6</v>
      </c>
      <c r="Q1458" s="173" t="s">
        <v>5869</v>
      </c>
      <c r="R1458" s="328" t="str">
        <f>IFS(C1458="","",C1458="n/a","N/A",LEN(C1458),Concatenate("{",char(34),"asset",char(34),":{",char(34),"guid",char(34),":",char(34),Q1458,char(34),",",char(34),"site",char(34),":",char(34),LOWER('2-Building'!$B$4),char(34),",",char(34),"name",char(34),":",char(34),LOWER(C1458),char(34),"}}"))</f>
        <v>{"asset":{"guid":"uuid://206f6517-51ff-4821-bde0-35fe97dd4913","site":"in-blr-ananta","name":"vav-1030"}}</v>
      </c>
      <c r="S1458" s="360" t="s">
        <v>5516</v>
      </c>
      <c r="T1458" s="330"/>
      <c r="U1458" s="330"/>
      <c r="V1458" s="331"/>
      <c r="W1458" s="332"/>
      <c r="X1458" s="333"/>
      <c r="Y1458" s="33" t="s">
        <v>2867</v>
      </c>
      <c r="Z1458" s="258">
        <v>121030.0</v>
      </c>
      <c r="AA1458" s="334">
        <v>11621.0</v>
      </c>
      <c r="AB1458" s="341"/>
      <c r="AC1458" s="341"/>
      <c r="AD1458" s="343"/>
      <c r="AE1458" s="331"/>
      <c r="AF1458" s="348"/>
      <c r="AG1458" s="337"/>
      <c r="AH1458" s="341"/>
      <c r="AI1458" s="341"/>
      <c r="AJ1458" s="341"/>
      <c r="AK1458" s="341"/>
      <c r="AL1458" s="341"/>
      <c r="AM1458" s="338"/>
      <c r="AN1458" s="341"/>
      <c r="AO1458" s="341"/>
      <c r="AP1458" s="341"/>
      <c r="AQ1458" s="341"/>
      <c r="AR1458" s="341"/>
      <c r="AS1458" s="341"/>
      <c r="AT1458" s="341"/>
      <c r="AU1458" s="343"/>
      <c r="AV1458" s="341"/>
      <c r="AW1458" s="269" t="s">
        <v>2376</v>
      </c>
      <c r="AX1458" s="334" t="s">
        <v>2869</v>
      </c>
      <c r="AY1458" s="270" t="s">
        <v>695</v>
      </c>
      <c r="AZ1458" s="173" t="s">
        <v>5516</v>
      </c>
      <c r="BA1458" s="265">
        <v>10.0</v>
      </c>
      <c r="BB1458" s="174" t="s">
        <v>245</v>
      </c>
      <c r="BC1458" s="341"/>
      <c r="BD1458" s="308"/>
      <c r="BE1458" s="342"/>
      <c r="BF1458" s="274" t="str">
        <f>IFERROR(__xludf.DUMMYFUNCTION("LOWER(Regexreplace(to_text(E1458),""[^A-Za-z0-9]"","""")&amp;""_""&amp;Regexreplace(to_text(F1458),""[^A-Za-z0-9]"",""""))"),"neptronic_evcbseries")</f>
        <v>neptronic_evcbseries</v>
      </c>
      <c r="BG1458" s="275" t="str">
        <f>IFERROR(__xludf.DUMMYFUNCTION("upper(Regexreplace(to_text(E1458),""[^A-Za-z0-9]"","""")&amp;""-""&amp;Regexreplace(to_text(F1458),""[^A-Za-z0-9]"",""""))"),"NEPTRONIC-EVCBSERIES")</f>
        <v>NEPTRONIC-EVCBSERIES</v>
      </c>
    </row>
    <row r="1459" ht="30.0" customHeight="1">
      <c r="A1459" s="173">
        <v>1451.0</v>
      </c>
      <c r="B1459" s="328" t="s">
        <v>670</v>
      </c>
      <c r="C1459" s="257" t="s">
        <v>5870</v>
      </c>
      <c r="D1459" s="173" t="s">
        <v>5870</v>
      </c>
      <c r="E1459" s="174" t="s">
        <v>2861</v>
      </c>
      <c r="F1459" s="173" t="s">
        <v>2862</v>
      </c>
      <c r="G1459" s="328" t="s">
        <v>673</v>
      </c>
      <c r="H1459" s="328" t="s">
        <v>2863</v>
      </c>
      <c r="I1459" s="258" t="s">
        <v>2864</v>
      </c>
      <c r="J1459" s="259" t="s">
        <v>1149</v>
      </c>
      <c r="K1459" s="260" t="s">
        <v>5871</v>
      </c>
      <c r="L1459" s="359"/>
      <c r="M1459" s="359"/>
      <c r="N1459" s="173" t="s">
        <v>679</v>
      </c>
      <c r="O1459" s="173" t="s">
        <v>225</v>
      </c>
      <c r="P1459" s="262" t="str">
        <f t="shared" si="1"/>
        <v>IN-BLR-ANANTA-VAV-1031_6</v>
      </c>
      <c r="Q1459" s="173" t="s">
        <v>5872</v>
      </c>
      <c r="R1459" s="328" t="str">
        <f>IFS(C1459="","",C1459="n/a","N/A",LEN(C1459),Concatenate("{",char(34),"asset",char(34),":{",char(34),"guid",char(34),":",char(34),Q1459,char(34),",",char(34),"site",char(34),":",char(34),LOWER('2-Building'!$B$4),char(34),",",char(34),"name",char(34),":",char(34),LOWER(C1459),char(34),"}}"))</f>
        <v>{"asset":{"guid":"uuid://a25f34cf-9d02-482e-9d1d-6e27c79ef102","site":"in-blr-ananta","name":"vav-1031"}}</v>
      </c>
      <c r="S1459" s="360" t="s">
        <v>5516</v>
      </c>
      <c r="T1459" s="330"/>
      <c r="U1459" s="330"/>
      <c r="V1459" s="331"/>
      <c r="W1459" s="332"/>
      <c r="X1459" s="333"/>
      <c r="Y1459" s="33" t="s">
        <v>2867</v>
      </c>
      <c r="Z1459" s="258">
        <v>121031.0</v>
      </c>
      <c r="AA1459" s="334">
        <v>11621.0</v>
      </c>
      <c r="AB1459" s="341"/>
      <c r="AC1459" s="341"/>
      <c r="AD1459" s="343"/>
      <c r="AE1459" s="331"/>
      <c r="AF1459" s="348"/>
      <c r="AG1459" s="337"/>
      <c r="AH1459" s="341"/>
      <c r="AI1459" s="341"/>
      <c r="AJ1459" s="341"/>
      <c r="AK1459" s="341"/>
      <c r="AL1459" s="341"/>
      <c r="AM1459" s="338"/>
      <c r="AN1459" s="341"/>
      <c r="AO1459" s="341"/>
      <c r="AP1459" s="341"/>
      <c r="AQ1459" s="341"/>
      <c r="AR1459" s="341"/>
      <c r="AS1459" s="341"/>
      <c r="AT1459" s="341"/>
      <c r="AU1459" s="343"/>
      <c r="AV1459" s="341"/>
      <c r="AW1459" s="269" t="s">
        <v>2376</v>
      </c>
      <c r="AX1459" s="334" t="s">
        <v>2869</v>
      </c>
      <c r="AY1459" s="270" t="s">
        <v>695</v>
      </c>
      <c r="AZ1459" s="173" t="s">
        <v>5516</v>
      </c>
      <c r="BA1459" s="265">
        <v>10.0</v>
      </c>
      <c r="BB1459" s="174" t="s">
        <v>245</v>
      </c>
      <c r="BC1459" s="341"/>
      <c r="BD1459" s="308"/>
      <c r="BE1459" s="342"/>
      <c r="BF1459" s="274" t="str">
        <f>IFERROR(__xludf.DUMMYFUNCTION("LOWER(Regexreplace(to_text(E1459),""[^A-Za-z0-9]"","""")&amp;""_""&amp;Regexreplace(to_text(F1459),""[^A-Za-z0-9]"",""""))"),"neptronic_evcbseries")</f>
        <v>neptronic_evcbseries</v>
      </c>
      <c r="BG1459" s="275" t="str">
        <f>IFERROR(__xludf.DUMMYFUNCTION("upper(Regexreplace(to_text(E1459),""[^A-Za-z0-9]"","""")&amp;""-""&amp;Regexreplace(to_text(F1459),""[^A-Za-z0-9]"",""""))"),"NEPTRONIC-EVCBSERIES")</f>
        <v>NEPTRONIC-EVCBSERIES</v>
      </c>
    </row>
    <row r="1460" ht="30.0" customHeight="1">
      <c r="A1460" s="258">
        <v>1452.0</v>
      </c>
      <c r="B1460" s="328" t="s">
        <v>670</v>
      </c>
      <c r="C1460" s="257" t="s">
        <v>5873</v>
      </c>
      <c r="D1460" s="173" t="s">
        <v>5873</v>
      </c>
      <c r="E1460" s="174" t="s">
        <v>2861</v>
      </c>
      <c r="F1460" s="173" t="s">
        <v>2862</v>
      </c>
      <c r="G1460" s="328" t="s">
        <v>673</v>
      </c>
      <c r="H1460" s="328" t="s">
        <v>2863</v>
      </c>
      <c r="I1460" s="258" t="s">
        <v>2864</v>
      </c>
      <c r="J1460" s="259" t="s">
        <v>1149</v>
      </c>
      <c r="K1460" s="260" t="s">
        <v>5874</v>
      </c>
      <c r="L1460" s="359"/>
      <c r="M1460" s="359"/>
      <c r="N1460" s="173" t="s">
        <v>679</v>
      </c>
      <c r="O1460" s="173" t="s">
        <v>225</v>
      </c>
      <c r="P1460" s="262" t="str">
        <f t="shared" si="1"/>
        <v>IN-BLR-ANANTA-VAV-1032_6</v>
      </c>
      <c r="Q1460" s="173" t="s">
        <v>5875</v>
      </c>
      <c r="R1460" s="328" t="str">
        <f>IFS(C1460="","",C1460="n/a","N/A",LEN(C1460),Concatenate("{",char(34),"asset",char(34),":{",char(34),"guid",char(34),":",char(34),Q1460,char(34),",",char(34),"site",char(34),":",char(34),LOWER('2-Building'!$B$4),char(34),",",char(34),"name",char(34),":",char(34),LOWER(C1460),char(34),"}}"))</f>
        <v>{"asset":{"guid":"uuid://94f88334-4638-4933-b220-ad311837fded","site":"in-blr-ananta","name":"vav-1032"}}</v>
      </c>
      <c r="S1460" s="360" t="s">
        <v>5516</v>
      </c>
      <c r="T1460" s="330"/>
      <c r="U1460" s="330"/>
      <c r="V1460" s="331"/>
      <c r="W1460" s="332"/>
      <c r="X1460" s="333"/>
      <c r="Y1460" s="33" t="s">
        <v>2867</v>
      </c>
      <c r="Z1460" s="258">
        <v>121032.0</v>
      </c>
      <c r="AA1460" s="334">
        <v>11622.0</v>
      </c>
      <c r="AB1460" s="341"/>
      <c r="AC1460" s="341"/>
      <c r="AD1460" s="343"/>
      <c r="AE1460" s="331"/>
      <c r="AF1460" s="348"/>
      <c r="AG1460" s="337"/>
      <c r="AH1460" s="341"/>
      <c r="AI1460" s="341"/>
      <c r="AJ1460" s="341"/>
      <c r="AK1460" s="341"/>
      <c r="AL1460" s="341"/>
      <c r="AM1460" s="338"/>
      <c r="AN1460" s="341"/>
      <c r="AO1460" s="341"/>
      <c r="AP1460" s="341"/>
      <c r="AQ1460" s="341"/>
      <c r="AR1460" s="341"/>
      <c r="AS1460" s="341"/>
      <c r="AT1460" s="341"/>
      <c r="AU1460" s="343"/>
      <c r="AV1460" s="341"/>
      <c r="AW1460" s="269" t="s">
        <v>2376</v>
      </c>
      <c r="AX1460" s="334" t="s">
        <v>2869</v>
      </c>
      <c r="AY1460" s="270" t="s">
        <v>695</v>
      </c>
      <c r="AZ1460" s="173" t="s">
        <v>5516</v>
      </c>
      <c r="BA1460" s="265">
        <v>10.0</v>
      </c>
      <c r="BB1460" s="174" t="s">
        <v>245</v>
      </c>
      <c r="BC1460" s="341"/>
      <c r="BD1460" s="308"/>
      <c r="BE1460" s="342"/>
      <c r="BF1460" s="274" t="str">
        <f>IFERROR(__xludf.DUMMYFUNCTION("LOWER(Regexreplace(to_text(E1460),""[^A-Za-z0-9]"","""")&amp;""_""&amp;Regexreplace(to_text(F1460),""[^A-Za-z0-9]"",""""))"),"neptronic_evcbseries")</f>
        <v>neptronic_evcbseries</v>
      </c>
      <c r="BG1460" s="275" t="str">
        <f>IFERROR(__xludf.DUMMYFUNCTION("upper(Regexreplace(to_text(E1460),""[^A-Za-z0-9]"","""")&amp;""-""&amp;Regexreplace(to_text(F1460),""[^A-Za-z0-9]"",""""))"),"NEPTRONIC-EVCBSERIES")</f>
        <v>NEPTRONIC-EVCBSERIES</v>
      </c>
    </row>
    <row r="1461" ht="30.0" customHeight="1">
      <c r="A1461" s="173">
        <v>1453.0</v>
      </c>
      <c r="B1461" s="328" t="s">
        <v>670</v>
      </c>
      <c r="C1461" s="257" t="s">
        <v>5876</v>
      </c>
      <c r="D1461" s="173" t="s">
        <v>5876</v>
      </c>
      <c r="E1461" s="174" t="s">
        <v>2861</v>
      </c>
      <c r="F1461" s="173" t="s">
        <v>2862</v>
      </c>
      <c r="G1461" s="328" t="s">
        <v>673</v>
      </c>
      <c r="H1461" s="328" t="s">
        <v>2863</v>
      </c>
      <c r="I1461" s="258" t="s">
        <v>2864</v>
      </c>
      <c r="J1461" s="259" t="s">
        <v>1149</v>
      </c>
      <c r="K1461" s="260" t="s">
        <v>5877</v>
      </c>
      <c r="L1461" s="359"/>
      <c r="M1461" s="359"/>
      <c r="N1461" s="173" t="s">
        <v>679</v>
      </c>
      <c r="O1461" s="173" t="s">
        <v>225</v>
      </c>
      <c r="P1461" s="262" t="str">
        <f t="shared" si="1"/>
        <v>IN-BLR-ANANTA-VAV-1033_6</v>
      </c>
      <c r="Q1461" s="173" t="s">
        <v>5878</v>
      </c>
      <c r="R1461" s="328" t="str">
        <f>IFS(C1461="","",C1461="n/a","N/A",LEN(C1461),Concatenate("{",char(34),"asset",char(34),":{",char(34),"guid",char(34),":",char(34),Q1461,char(34),",",char(34),"site",char(34),":",char(34),LOWER('2-Building'!$B$4),char(34),",",char(34),"name",char(34),":",char(34),LOWER(C1461),char(34),"}}"))</f>
        <v>{"asset":{"guid":"uuid://9339a2cf-dd6b-4aa6-b4c8-726946efa387","site":"in-blr-ananta","name":"vav-1033"}}</v>
      </c>
      <c r="S1461" s="360" t="s">
        <v>5516</v>
      </c>
      <c r="T1461" s="330"/>
      <c r="U1461" s="330"/>
      <c r="V1461" s="331"/>
      <c r="W1461" s="332"/>
      <c r="X1461" s="333"/>
      <c r="Y1461" s="33" t="s">
        <v>2867</v>
      </c>
      <c r="Z1461" s="258">
        <v>121033.0</v>
      </c>
      <c r="AA1461" s="334">
        <v>11622.0</v>
      </c>
      <c r="AB1461" s="341"/>
      <c r="AC1461" s="341"/>
      <c r="AD1461" s="343"/>
      <c r="AE1461" s="331"/>
      <c r="AF1461" s="348"/>
      <c r="AG1461" s="337"/>
      <c r="AH1461" s="341"/>
      <c r="AI1461" s="341"/>
      <c r="AJ1461" s="341"/>
      <c r="AK1461" s="341"/>
      <c r="AL1461" s="341"/>
      <c r="AM1461" s="338"/>
      <c r="AN1461" s="341"/>
      <c r="AO1461" s="341"/>
      <c r="AP1461" s="341"/>
      <c r="AQ1461" s="341"/>
      <c r="AR1461" s="341"/>
      <c r="AS1461" s="341"/>
      <c r="AT1461" s="341"/>
      <c r="AU1461" s="343"/>
      <c r="AV1461" s="341"/>
      <c r="AW1461" s="269" t="s">
        <v>2376</v>
      </c>
      <c r="AX1461" s="334" t="s">
        <v>2869</v>
      </c>
      <c r="AY1461" s="270" t="s">
        <v>695</v>
      </c>
      <c r="AZ1461" s="173" t="s">
        <v>5516</v>
      </c>
      <c r="BA1461" s="265">
        <v>10.0</v>
      </c>
      <c r="BB1461" s="174" t="s">
        <v>245</v>
      </c>
      <c r="BC1461" s="341"/>
      <c r="BD1461" s="308"/>
      <c r="BE1461" s="342"/>
      <c r="BF1461" s="274" t="str">
        <f>IFERROR(__xludf.DUMMYFUNCTION("LOWER(Regexreplace(to_text(E1461),""[^A-Za-z0-9]"","""")&amp;""_""&amp;Regexreplace(to_text(F1461),""[^A-Za-z0-9]"",""""))"),"neptronic_evcbseries")</f>
        <v>neptronic_evcbseries</v>
      </c>
      <c r="BG1461" s="275" t="str">
        <f>IFERROR(__xludf.DUMMYFUNCTION("upper(Regexreplace(to_text(E1461),""[^A-Za-z0-9]"","""")&amp;""-""&amp;Regexreplace(to_text(F1461),""[^A-Za-z0-9]"",""""))"),"NEPTRONIC-EVCBSERIES")</f>
        <v>NEPTRONIC-EVCBSERIES</v>
      </c>
    </row>
    <row r="1462" ht="30.0" customHeight="1">
      <c r="A1462" s="258">
        <v>1454.0</v>
      </c>
      <c r="B1462" s="328" t="s">
        <v>670</v>
      </c>
      <c r="C1462" s="257" t="s">
        <v>5879</v>
      </c>
      <c r="D1462" s="173" t="s">
        <v>5879</v>
      </c>
      <c r="E1462" s="174" t="s">
        <v>2861</v>
      </c>
      <c r="F1462" s="173" t="s">
        <v>2862</v>
      </c>
      <c r="G1462" s="328" t="s">
        <v>673</v>
      </c>
      <c r="H1462" s="328" t="s">
        <v>2863</v>
      </c>
      <c r="I1462" s="258" t="s">
        <v>2864</v>
      </c>
      <c r="J1462" s="259" t="s">
        <v>1149</v>
      </c>
      <c r="K1462" s="260" t="s">
        <v>5880</v>
      </c>
      <c r="L1462" s="359"/>
      <c r="M1462" s="359"/>
      <c r="N1462" s="173" t="s">
        <v>679</v>
      </c>
      <c r="O1462" s="173" t="s">
        <v>225</v>
      </c>
      <c r="P1462" s="262" t="str">
        <f t="shared" si="1"/>
        <v>IN-BLR-ANANTA-VAV-1034_6</v>
      </c>
      <c r="Q1462" s="173" t="s">
        <v>5881</v>
      </c>
      <c r="R1462" s="328" t="str">
        <f>IFS(C1462="","",C1462="n/a","N/A",LEN(C1462),Concatenate("{",char(34),"asset",char(34),":{",char(34),"guid",char(34),":",char(34),Q1462,char(34),",",char(34),"site",char(34),":",char(34),LOWER('2-Building'!$B$4),char(34),",",char(34),"name",char(34),":",char(34),LOWER(C1462),char(34),"}}"))</f>
        <v>{"asset":{"guid":"uuid://9a17221a-9389-492b-b449-111aa0f0dd84","site":"in-blr-ananta","name":"vav-1034"}}</v>
      </c>
      <c r="S1462" s="360" t="s">
        <v>5516</v>
      </c>
      <c r="T1462" s="330"/>
      <c r="U1462" s="330"/>
      <c r="V1462" s="331"/>
      <c r="W1462" s="332"/>
      <c r="X1462" s="333"/>
      <c r="Y1462" s="33" t="s">
        <v>2867</v>
      </c>
      <c r="Z1462" s="258">
        <v>121034.0</v>
      </c>
      <c r="AA1462" s="334">
        <v>11622.0</v>
      </c>
      <c r="AB1462" s="341"/>
      <c r="AC1462" s="341"/>
      <c r="AD1462" s="343"/>
      <c r="AE1462" s="331"/>
      <c r="AF1462" s="348"/>
      <c r="AG1462" s="337"/>
      <c r="AH1462" s="341"/>
      <c r="AI1462" s="341"/>
      <c r="AJ1462" s="341"/>
      <c r="AK1462" s="341"/>
      <c r="AL1462" s="341"/>
      <c r="AM1462" s="338"/>
      <c r="AN1462" s="341"/>
      <c r="AO1462" s="341"/>
      <c r="AP1462" s="341"/>
      <c r="AQ1462" s="341"/>
      <c r="AR1462" s="341"/>
      <c r="AS1462" s="341"/>
      <c r="AT1462" s="341"/>
      <c r="AU1462" s="343"/>
      <c r="AV1462" s="341"/>
      <c r="AW1462" s="269" t="s">
        <v>2376</v>
      </c>
      <c r="AX1462" s="334" t="s">
        <v>2869</v>
      </c>
      <c r="AY1462" s="270" t="s">
        <v>695</v>
      </c>
      <c r="AZ1462" s="173" t="s">
        <v>5516</v>
      </c>
      <c r="BA1462" s="265">
        <v>10.0</v>
      </c>
      <c r="BB1462" s="174" t="s">
        <v>245</v>
      </c>
      <c r="BC1462" s="341"/>
      <c r="BD1462" s="308"/>
      <c r="BE1462" s="342"/>
      <c r="BF1462" s="274" t="str">
        <f>IFERROR(__xludf.DUMMYFUNCTION("LOWER(Regexreplace(to_text(E1462),""[^A-Za-z0-9]"","""")&amp;""_""&amp;Regexreplace(to_text(F1462),""[^A-Za-z0-9]"",""""))"),"neptronic_evcbseries")</f>
        <v>neptronic_evcbseries</v>
      </c>
      <c r="BG1462" s="275" t="str">
        <f>IFERROR(__xludf.DUMMYFUNCTION("upper(Regexreplace(to_text(E1462),""[^A-Za-z0-9]"","""")&amp;""-""&amp;Regexreplace(to_text(F1462),""[^A-Za-z0-9]"",""""))"),"NEPTRONIC-EVCBSERIES")</f>
        <v>NEPTRONIC-EVCBSERIES</v>
      </c>
    </row>
    <row r="1463" ht="30.0" customHeight="1">
      <c r="A1463" s="173">
        <v>1455.0</v>
      </c>
      <c r="B1463" s="328" t="s">
        <v>670</v>
      </c>
      <c r="C1463" s="257" t="s">
        <v>5882</v>
      </c>
      <c r="D1463" s="173" t="s">
        <v>5882</v>
      </c>
      <c r="E1463" s="174" t="s">
        <v>2861</v>
      </c>
      <c r="F1463" s="173" t="s">
        <v>2862</v>
      </c>
      <c r="G1463" s="328" t="s">
        <v>673</v>
      </c>
      <c r="H1463" s="328" t="s">
        <v>2863</v>
      </c>
      <c r="I1463" s="258" t="s">
        <v>2864</v>
      </c>
      <c r="J1463" s="259" t="s">
        <v>1149</v>
      </c>
      <c r="K1463" s="260" t="s">
        <v>5883</v>
      </c>
      <c r="L1463" s="359"/>
      <c r="M1463" s="359"/>
      <c r="N1463" s="173" t="s">
        <v>679</v>
      </c>
      <c r="O1463" s="173" t="s">
        <v>225</v>
      </c>
      <c r="P1463" s="262" t="str">
        <f t="shared" si="1"/>
        <v>IN-BLR-ANANTA-VAV-1035_6</v>
      </c>
      <c r="Q1463" s="173" t="s">
        <v>5884</v>
      </c>
      <c r="R1463" s="328" t="str">
        <f>IFS(C1463="","",C1463="n/a","N/A",LEN(C1463),Concatenate("{",char(34),"asset",char(34),":{",char(34),"guid",char(34),":",char(34),Q1463,char(34),",",char(34),"site",char(34),":",char(34),LOWER('2-Building'!$B$4),char(34),",",char(34),"name",char(34),":",char(34),LOWER(C1463),char(34),"}}"))</f>
        <v>{"asset":{"guid":"uuid://1c8c10b5-115d-4fd5-a0b8-7db5604fac5a","site":"in-blr-ananta","name":"vav-1035"}}</v>
      </c>
      <c r="S1463" s="360" t="s">
        <v>5516</v>
      </c>
      <c r="T1463" s="330"/>
      <c r="U1463" s="330"/>
      <c r="V1463" s="331"/>
      <c r="W1463" s="332"/>
      <c r="X1463" s="333"/>
      <c r="Y1463" s="33" t="s">
        <v>2867</v>
      </c>
      <c r="Z1463" s="258">
        <v>121035.0</v>
      </c>
      <c r="AA1463" s="334">
        <v>11622.0</v>
      </c>
      <c r="AB1463" s="341"/>
      <c r="AC1463" s="341"/>
      <c r="AD1463" s="343"/>
      <c r="AE1463" s="331"/>
      <c r="AF1463" s="348"/>
      <c r="AG1463" s="337"/>
      <c r="AH1463" s="341"/>
      <c r="AI1463" s="341"/>
      <c r="AJ1463" s="341"/>
      <c r="AK1463" s="341"/>
      <c r="AL1463" s="341"/>
      <c r="AM1463" s="338"/>
      <c r="AN1463" s="341"/>
      <c r="AO1463" s="341"/>
      <c r="AP1463" s="341"/>
      <c r="AQ1463" s="341"/>
      <c r="AR1463" s="341"/>
      <c r="AS1463" s="341"/>
      <c r="AT1463" s="341"/>
      <c r="AU1463" s="343"/>
      <c r="AV1463" s="341"/>
      <c r="AW1463" s="269" t="s">
        <v>2376</v>
      </c>
      <c r="AX1463" s="334" t="s">
        <v>2869</v>
      </c>
      <c r="AY1463" s="270" t="s">
        <v>695</v>
      </c>
      <c r="AZ1463" s="173" t="s">
        <v>5516</v>
      </c>
      <c r="BA1463" s="265">
        <v>10.0</v>
      </c>
      <c r="BB1463" s="174" t="s">
        <v>245</v>
      </c>
      <c r="BC1463" s="341"/>
      <c r="BD1463" s="308"/>
      <c r="BE1463" s="342"/>
      <c r="BF1463" s="274" t="str">
        <f>IFERROR(__xludf.DUMMYFUNCTION("LOWER(Regexreplace(to_text(E1463),""[^A-Za-z0-9]"","""")&amp;""_""&amp;Regexreplace(to_text(F1463),""[^A-Za-z0-9]"",""""))"),"neptronic_evcbseries")</f>
        <v>neptronic_evcbseries</v>
      </c>
      <c r="BG1463" s="275" t="str">
        <f>IFERROR(__xludf.DUMMYFUNCTION("upper(Regexreplace(to_text(E1463),""[^A-Za-z0-9]"","""")&amp;""-""&amp;Regexreplace(to_text(F1463),""[^A-Za-z0-9]"",""""))"),"NEPTRONIC-EVCBSERIES")</f>
        <v>NEPTRONIC-EVCBSERIES</v>
      </c>
    </row>
    <row r="1464" ht="30.0" customHeight="1">
      <c r="A1464" s="258">
        <v>1456.0</v>
      </c>
      <c r="B1464" s="328" t="s">
        <v>670</v>
      </c>
      <c r="C1464" s="257" t="s">
        <v>5885</v>
      </c>
      <c r="D1464" s="173" t="s">
        <v>5885</v>
      </c>
      <c r="E1464" s="174" t="s">
        <v>2861</v>
      </c>
      <c r="F1464" s="173" t="s">
        <v>2862</v>
      </c>
      <c r="G1464" s="328" t="s">
        <v>673</v>
      </c>
      <c r="H1464" s="328" t="s">
        <v>2863</v>
      </c>
      <c r="I1464" s="258" t="s">
        <v>2864</v>
      </c>
      <c r="J1464" s="259" t="s">
        <v>1149</v>
      </c>
      <c r="K1464" s="260" t="s">
        <v>5886</v>
      </c>
      <c r="L1464" s="359"/>
      <c r="M1464" s="359"/>
      <c r="N1464" s="173" t="s">
        <v>679</v>
      </c>
      <c r="O1464" s="173" t="s">
        <v>225</v>
      </c>
      <c r="P1464" s="262" t="str">
        <f t="shared" si="1"/>
        <v>IN-BLR-ANANTA-VAV-1036_6</v>
      </c>
      <c r="Q1464" s="173" t="s">
        <v>5887</v>
      </c>
      <c r="R1464" s="328" t="str">
        <f>IFS(C1464="","",C1464="n/a","N/A",LEN(C1464),Concatenate("{",char(34),"asset",char(34),":{",char(34),"guid",char(34),":",char(34),Q1464,char(34),",",char(34),"site",char(34),":",char(34),LOWER('2-Building'!$B$4),char(34),",",char(34),"name",char(34),":",char(34),LOWER(C1464),char(34),"}}"))</f>
        <v>{"asset":{"guid":"uuid://540cfec1-1d4a-4099-9222-7cf0d6b4ae00","site":"in-blr-ananta","name":"vav-1036"}}</v>
      </c>
      <c r="S1464" s="360" t="s">
        <v>5516</v>
      </c>
      <c r="T1464" s="330"/>
      <c r="U1464" s="330"/>
      <c r="V1464" s="331"/>
      <c r="W1464" s="332"/>
      <c r="X1464" s="333"/>
      <c r="Y1464" s="33" t="s">
        <v>2867</v>
      </c>
      <c r="Z1464" s="258">
        <v>121036.0</v>
      </c>
      <c r="AA1464" s="334">
        <v>11622.0</v>
      </c>
      <c r="AB1464" s="341"/>
      <c r="AC1464" s="341"/>
      <c r="AD1464" s="343"/>
      <c r="AE1464" s="331"/>
      <c r="AF1464" s="348"/>
      <c r="AG1464" s="337"/>
      <c r="AH1464" s="341"/>
      <c r="AI1464" s="341"/>
      <c r="AJ1464" s="341"/>
      <c r="AK1464" s="341"/>
      <c r="AL1464" s="341"/>
      <c r="AM1464" s="338"/>
      <c r="AN1464" s="341"/>
      <c r="AO1464" s="341"/>
      <c r="AP1464" s="341"/>
      <c r="AQ1464" s="341"/>
      <c r="AR1464" s="341"/>
      <c r="AS1464" s="341"/>
      <c r="AT1464" s="341"/>
      <c r="AU1464" s="343"/>
      <c r="AV1464" s="341"/>
      <c r="AW1464" s="269" t="s">
        <v>2376</v>
      </c>
      <c r="AX1464" s="334" t="s">
        <v>2869</v>
      </c>
      <c r="AY1464" s="270" t="s">
        <v>695</v>
      </c>
      <c r="AZ1464" s="173" t="s">
        <v>5516</v>
      </c>
      <c r="BA1464" s="265">
        <v>10.0</v>
      </c>
      <c r="BB1464" s="174" t="s">
        <v>245</v>
      </c>
      <c r="BC1464" s="341"/>
      <c r="BD1464" s="308"/>
      <c r="BE1464" s="342"/>
      <c r="BF1464" s="274" t="str">
        <f>IFERROR(__xludf.DUMMYFUNCTION("LOWER(Regexreplace(to_text(E1464),""[^A-Za-z0-9]"","""")&amp;""_""&amp;Regexreplace(to_text(F1464),""[^A-Za-z0-9]"",""""))"),"neptronic_evcbseries")</f>
        <v>neptronic_evcbseries</v>
      </c>
      <c r="BG1464" s="275" t="str">
        <f>IFERROR(__xludf.DUMMYFUNCTION("upper(Regexreplace(to_text(E1464),""[^A-Za-z0-9]"","""")&amp;""-""&amp;Regexreplace(to_text(F1464),""[^A-Za-z0-9]"",""""))"),"NEPTRONIC-EVCBSERIES")</f>
        <v>NEPTRONIC-EVCBSERIES</v>
      </c>
    </row>
    <row r="1465" ht="30.0" customHeight="1">
      <c r="A1465" s="173">
        <v>1457.0</v>
      </c>
      <c r="B1465" s="328" t="s">
        <v>670</v>
      </c>
      <c r="C1465" s="257" t="s">
        <v>5888</v>
      </c>
      <c r="D1465" s="173" t="s">
        <v>5888</v>
      </c>
      <c r="E1465" s="174" t="s">
        <v>2861</v>
      </c>
      <c r="F1465" s="173" t="s">
        <v>2862</v>
      </c>
      <c r="G1465" s="328" t="s">
        <v>673</v>
      </c>
      <c r="H1465" s="328" t="s">
        <v>2863</v>
      </c>
      <c r="I1465" s="258" t="s">
        <v>2864</v>
      </c>
      <c r="J1465" s="259" t="s">
        <v>1149</v>
      </c>
      <c r="K1465" s="260" t="s">
        <v>5770</v>
      </c>
      <c r="L1465" s="359"/>
      <c r="M1465" s="359"/>
      <c r="N1465" s="173" t="s">
        <v>679</v>
      </c>
      <c r="O1465" s="173" t="s">
        <v>225</v>
      </c>
      <c r="P1465" s="262" t="str">
        <f t="shared" si="1"/>
        <v>IN-BLR-ANANTA-VAV-1037_6</v>
      </c>
      <c r="Q1465" s="173" t="s">
        <v>5889</v>
      </c>
      <c r="R1465" s="328" t="str">
        <f>IFS(C1465="","",C1465="n/a","N/A",LEN(C1465),Concatenate("{",char(34),"asset",char(34),":{",char(34),"guid",char(34),":",char(34),Q1465,char(34),",",char(34),"site",char(34),":",char(34),LOWER('2-Building'!$B$4),char(34),",",char(34),"name",char(34),":",char(34),LOWER(C1465),char(34),"}}"))</f>
        <v>{"asset":{"guid":"uuid://b30f936e-5ca3-4f33-9654-b3876a6cf2df","site":"in-blr-ananta","name":"vav-1037"}}</v>
      </c>
      <c r="S1465" s="360" t="s">
        <v>5516</v>
      </c>
      <c r="T1465" s="330"/>
      <c r="U1465" s="330"/>
      <c r="V1465" s="331"/>
      <c r="W1465" s="332"/>
      <c r="X1465" s="333"/>
      <c r="Y1465" s="33" t="s">
        <v>2867</v>
      </c>
      <c r="Z1465" s="258">
        <v>121037.0</v>
      </c>
      <c r="AA1465" s="334">
        <v>11622.0</v>
      </c>
      <c r="AB1465" s="341"/>
      <c r="AC1465" s="341"/>
      <c r="AD1465" s="343"/>
      <c r="AE1465" s="331"/>
      <c r="AF1465" s="348"/>
      <c r="AG1465" s="337"/>
      <c r="AH1465" s="341"/>
      <c r="AI1465" s="341"/>
      <c r="AJ1465" s="341"/>
      <c r="AK1465" s="341"/>
      <c r="AL1465" s="341"/>
      <c r="AM1465" s="338"/>
      <c r="AN1465" s="341"/>
      <c r="AO1465" s="341"/>
      <c r="AP1465" s="341"/>
      <c r="AQ1465" s="341"/>
      <c r="AR1465" s="341"/>
      <c r="AS1465" s="341"/>
      <c r="AT1465" s="341"/>
      <c r="AU1465" s="343"/>
      <c r="AV1465" s="341"/>
      <c r="AW1465" s="269" t="s">
        <v>2376</v>
      </c>
      <c r="AX1465" s="334" t="s">
        <v>2869</v>
      </c>
      <c r="AY1465" s="270" t="s">
        <v>695</v>
      </c>
      <c r="AZ1465" s="173" t="s">
        <v>5516</v>
      </c>
      <c r="BA1465" s="265">
        <v>10.0</v>
      </c>
      <c r="BB1465" s="174" t="s">
        <v>245</v>
      </c>
      <c r="BC1465" s="341"/>
      <c r="BD1465" s="308"/>
      <c r="BE1465" s="342"/>
      <c r="BF1465" s="274" t="str">
        <f>IFERROR(__xludf.DUMMYFUNCTION("LOWER(Regexreplace(to_text(E1465),""[^A-Za-z0-9]"","""")&amp;""_""&amp;Regexreplace(to_text(F1465),""[^A-Za-z0-9]"",""""))"),"neptronic_evcbseries")</f>
        <v>neptronic_evcbseries</v>
      </c>
      <c r="BG1465" s="275" t="str">
        <f>IFERROR(__xludf.DUMMYFUNCTION("upper(Regexreplace(to_text(E1465),""[^A-Za-z0-9]"","""")&amp;""-""&amp;Regexreplace(to_text(F1465),""[^A-Za-z0-9]"",""""))"),"NEPTRONIC-EVCBSERIES")</f>
        <v>NEPTRONIC-EVCBSERIES</v>
      </c>
    </row>
    <row r="1466" ht="30.0" customHeight="1">
      <c r="A1466" s="258">
        <v>1458.0</v>
      </c>
      <c r="B1466" s="328" t="s">
        <v>670</v>
      </c>
      <c r="C1466" s="257" t="s">
        <v>5890</v>
      </c>
      <c r="D1466" s="173" t="s">
        <v>5890</v>
      </c>
      <c r="E1466" s="174" t="s">
        <v>2861</v>
      </c>
      <c r="F1466" s="173" t="s">
        <v>2862</v>
      </c>
      <c r="G1466" s="328" t="s">
        <v>673</v>
      </c>
      <c r="H1466" s="328" t="s">
        <v>2863</v>
      </c>
      <c r="I1466" s="258" t="s">
        <v>2864</v>
      </c>
      <c r="J1466" s="259" t="s">
        <v>1149</v>
      </c>
      <c r="K1466" s="260" t="s">
        <v>5891</v>
      </c>
      <c r="L1466" s="359"/>
      <c r="M1466" s="359"/>
      <c r="N1466" s="173" t="s">
        <v>679</v>
      </c>
      <c r="O1466" s="173" t="s">
        <v>225</v>
      </c>
      <c r="P1466" s="262" t="str">
        <f t="shared" si="1"/>
        <v>IN-BLR-ANANTA-VAV-1038_6</v>
      </c>
      <c r="Q1466" s="173" t="s">
        <v>5892</v>
      </c>
      <c r="R1466" s="328" t="str">
        <f>IFS(C1466="","",C1466="n/a","N/A",LEN(C1466),Concatenate("{",char(34),"asset",char(34),":{",char(34),"guid",char(34),":",char(34),Q1466,char(34),",",char(34),"site",char(34),":",char(34),LOWER('2-Building'!$B$4),char(34),",",char(34),"name",char(34),":",char(34),LOWER(C1466),char(34),"}}"))</f>
        <v>{"asset":{"guid":"uuid://8d11f5c4-6a92-44dc-988c-7a7c08052bf7","site":"in-blr-ananta","name":"vav-1038"}}</v>
      </c>
      <c r="S1466" s="360" t="s">
        <v>5516</v>
      </c>
      <c r="T1466" s="330"/>
      <c r="U1466" s="330"/>
      <c r="V1466" s="331"/>
      <c r="W1466" s="332"/>
      <c r="X1466" s="333"/>
      <c r="Y1466" s="33" t="s">
        <v>2867</v>
      </c>
      <c r="Z1466" s="258">
        <v>121038.0</v>
      </c>
      <c r="AA1466" s="334">
        <v>11623.0</v>
      </c>
      <c r="AB1466" s="341"/>
      <c r="AC1466" s="341"/>
      <c r="AD1466" s="343"/>
      <c r="AE1466" s="331"/>
      <c r="AF1466" s="348"/>
      <c r="AG1466" s="337"/>
      <c r="AH1466" s="341"/>
      <c r="AI1466" s="341"/>
      <c r="AJ1466" s="341"/>
      <c r="AK1466" s="341"/>
      <c r="AL1466" s="341"/>
      <c r="AM1466" s="338"/>
      <c r="AN1466" s="341"/>
      <c r="AO1466" s="341"/>
      <c r="AP1466" s="341"/>
      <c r="AQ1466" s="341"/>
      <c r="AR1466" s="341"/>
      <c r="AS1466" s="341"/>
      <c r="AT1466" s="341"/>
      <c r="AU1466" s="343"/>
      <c r="AV1466" s="341"/>
      <c r="AW1466" s="269" t="s">
        <v>2337</v>
      </c>
      <c r="AX1466" s="334" t="s">
        <v>2869</v>
      </c>
      <c r="AY1466" s="270" t="s">
        <v>695</v>
      </c>
      <c r="AZ1466" s="173" t="s">
        <v>5516</v>
      </c>
      <c r="BA1466" s="265">
        <v>10.0</v>
      </c>
      <c r="BB1466" s="174" t="s">
        <v>245</v>
      </c>
      <c r="BC1466" s="341"/>
      <c r="BD1466" s="308"/>
      <c r="BE1466" s="342"/>
      <c r="BF1466" s="274" t="str">
        <f>IFERROR(__xludf.DUMMYFUNCTION("LOWER(Regexreplace(to_text(E1466),""[^A-Za-z0-9]"","""")&amp;""_""&amp;Regexreplace(to_text(F1466),""[^A-Za-z0-9]"",""""))"),"neptronic_evcbseries")</f>
        <v>neptronic_evcbseries</v>
      </c>
      <c r="BG1466" s="275" t="str">
        <f>IFERROR(__xludf.DUMMYFUNCTION("upper(Regexreplace(to_text(E1466),""[^A-Za-z0-9]"","""")&amp;""-""&amp;Regexreplace(to_text(F1466),""[^A-Za-z0-9]"",""""))"),"NEPTRONIC-EVCBSERIES")</f>
        <v>NEPTRONIC-EVCBSERIES</v>
      </c>
    </row>
    <row r="1467" ht="30.0" customHeight="1">
      <c r="A1467" s="173">
        <v>1459.0</v>
      </c>
      <c r="B1467" s="328" t="s">
        <v>670</v>
      </c>
      <c r="C1467" s="257" t="s">
        <v>5893</v>
      </c>
      <c r="D1467" s="173" t="s">
        <v>5893</v>
      </c>
      <c r="E1467" s="174" t="s">
        <v>2861</v>
      </c>
      <c r="F1467" s="173" t="s">
        <v>2862</v>
      </c>
      <c r="G1467" s="328" t="s">
        <v>673</v>
      </c>
      <c r="H1467" s="328" t="s">
        <v>2863</v>
      </c>
      <c r="I1467" s="258" t="s">
        <v>2864</v>
      </c>
      <c r="J1467" s="259" t="s">
        <v>1149</v>
      </c>
      <c r="K1467" s="260" t="s">
        <v>5894</v>
      </c>
      <c r="L1467" s="359"/>
      <c r="M1467" s="359"/>
      <c r="N1467" s="173" t="s">
        <v>679</v>
      </c>
      <c r="O1467" s="173" t="s">
        <v>225</v>
      </c>
      <c r="P1467" s="262" t="str">
        <f t="shared" si="1"/>
        <v>IN-BLR-ANANTA-VAV-1039_6</v>
      </c>
      <c r="Q1467" s="173" t="s">
        <v>5895</v>
      </c>
      <c r="R1467" s="328" t="str">
        <f>IFS(C1467="","",C1467="n/a","N/A",LEN(C1467),Concatenate("{",char(34),"asset",char(34),":{",char(34),"guid",char(34),":",char(34),Q1467,char(34),",",char(34),"site",char(34),":",char(34),LOWER('2-Building'!$B$4),char(34),",",char(34),"name",char(34),":",char(34),LOWER(C1467),char(34),"}}"))</f>
        <v>{"asset":{"guid":"uuid://09985979-714a-46f2-aedc-5db2387ba3e9","site":"in-blr-ananta","name":"vav-1039"}}</v>
      </c>
      <c r="S1467" s="360" t="s">
        <v>5516</v>
      </c>
      <c r="T1467" s="330"/>
      <c r="U1467" s="330"/>
      <c r="V1467" s="331"/>
      <c r="W1467" s="332"/>
      <c r="X1467" s="333"/>
      <c r="Y1467" s="33" t="s">
        <v>2867</v>
      </c>
      <c r="Z1467" s="258">
        <v>121039.0</v>
      </c>
      <c r="AA1467" s="334">
        <v>11623.0</v>
      </c>
      <c r="AB1467" s="341"/>
      <c r="AC1467" s="341"/>
      <c r="AD1467" s="343"/>
      <c r="AE1467" s="331"/>
      <c r="AF1467" s="348"/>
      <c r="AG1467" s="337"/>
      <c r="AH1467" s="341"/>
      <c r="AI1467" s="341"/>
      <c r="AJ1467" s="341"/>
      <c r="AK1467" s="341"/>
      <c r="AL1467" s="341"/>
      <c r="AM1467" s="338"/>
      <c r="AN1467" s="341"/>
      <c r="AO1467" s="341"/>
      <c r="AP1467" s="341"/>
      <c r="AQ1467" s="341"/>
      <c r="AR1467" s="341"/>
      <c r="AS1467" s="341"/>
      <c r="AT1467" s="341"/>
      <c r="AU1467" s="343"/>
      <c r="AV1467" s="341"/>
      <c r="AW1467" s="269" t="s">
        <v>2337</v>
      </c>
      <c r="AX1467" s="334" t="s">
        <v>2869</v>
      </c>
      <c r="AY1467" s="270" t="s">
        <v>695</v>
      </c>
      <c r="AZ1467" s="173" t="s">
        <v>5516</v>
      </c>
      <c r="BA1467" s="265">
        <v>10.0</v>
      </c>
      <c r="BB1467" s="174" t="s">
        <v>245</v>
      </c>
      <c r="BC1467" s="341"/>
      <c r="BD1467" s="308"/>
      <c r="BE1467" s="342"/>
      <c r="BF1467" s="274" t="str">
        <f>IFERROR(__xludf.DUMMYFUNCTION("LOWER(Regexreplace(to_text(E1467),""[^A-Za-z0-9]"","""")&amp;""_""&amp;Regexreplace(to_text(F1467),""[^A-Za-z0-9]"",""""))"),"neptronic_evcbseries")</f>
        <v>neptronic_evcbseries</v>
      </c>
      <c r="BG1467" s="275" t="str">
        <f>IFERROR(__xludf.DUMMYFUNCTION("upper(Regexreplace(to_text(E1467),""[^A-Za-z0-9]"","""")&amp;""-""&amp;Regexreplace(to_text(F1467),""[^A-Za-z0-9]"",""""))"),"NEPTRONIC-EVCBSERIES")</f>
        <v>NEPTRONIC-EVCBSERIES</v>
      </c>
    </row>
    <row r="1468" ht="30.0" customHeight="1">
      <c r="A1468" s="258">
        <v>1460.0</v>
      </c>
      <c r="B1468" s="328" t="s">
        <v>670</v>
      </c>
      <c r="C1468" s="257" t="s">
        <v>5896</v>
      </c>
      <c r="D1468" s="173" t="s">
        <v>5896</v>
      </c>
      <c r="E1468" s="174" t="s">
        <v>2861</v>
      </c>
      <c r="F1468" s="173" t="s">
        <v>2862</v>
      </c>
      <c r="G1468" s="328" t="s">
        <v>673</v>
      </c>
      <c r="H1468" s="328" t="s">
        <v>2863</v>
      </c>
      <c r="I1468" s="258" t="s">
        <v>2864</v>
      </c>
      <c r="J1468" s="259" t="s">
        <v>1149</v>
      </c>
      <c r="K1468" s="260" t="s">
        <v>5785</v>
      </c>
      <c r="L1468" s="359"/>
      <c r="M1468" s="359"/>
      <c r="N1468" s="173" t="s">
        <v>679</v>
      </c>
      <c r="O1468" s="173" t="s">
        <v>225</v>
      </c>
      <c r="P1468" s="262" t="str">
        <f t="shared" si="1"/>
        <v>IN-BLR-ANANTA-VAV-1040_6</v>
      </c>
      <c r="Q1468" s="173" t="s">
        <v>5897</v>
      </c>
      <c r="R1468" s="328" t="str">
        <f>IFS(C1468="","",C1468="n/a","N/A",LEN(C1468),Concatenate("{",char(34),"asset",char(34),":{",char(34),"guid",char(34),":",char(34),Q1468,char(34),",",char(34),"site",char(34),":",char(34),LOWER('2-Building'!$B$4),char(34),",",char(34),"name",char(34),":",char(34),LOWER(C1468),char(34),"}}"))</f>
        <v>{"asset":{"guid":"uuid://46cb4f47-46b3-4b8c-a90f-cf31b996a720","site":"in-blr-ananta","name":"vav-1040"}}</v>
      </c>
      <c r="S1468" s="360" t="s">
        <v>5516</v>
      </c>
      <c r="T1468" s="330"/>
      <c r="U1468" s="330"/>
      <c r="V1468" s="331"/>
      <c r="W1468" s="332"/>
      <c r="X1468" s="333"/>
      <c r="Y1468" s="33" t="s">
        <v>2867</v>
      </c>
      <c r="Z1468" s="258">
        <v>121040.0</v>
      </c>
      <c r="AA1468" s="334">
        <v>11623.0</v>
      </c>
      <c r="AB1468" s="341"/>
      <c r="AC1468" s="341"/>
      <c r="AD1468" s="343"/>
      <c r="AE1468" s="331"/>
      <c r="AF1468" s="348"/>
      <c r="AG1468" s="337"/>
      <c r="AH1468" s="341"/>
      <c r="AI1468" s="341"/>
      <c r="AJ1468" s="341"/>
      <c r="AK1468" s="341"/>
      <c r="AL1468" s="341"/>
      <c r="AM1468" s="338"/>
      <c r="AN1468" s="341"/>
      <c r="AO1468" s="341"/>
      <c r="AP1468" s="341"/>
      <c r="AQ1468" s="341"/>
      <c r="AR1468" s="341"/>
      <c r="AS1468" s="341"/>
      <c r="AT1468" s="341"/>
      <c r="AU1468" s="343"/>
      <c r="AV1468" s="341"/>
      <c r="AW1468" s="269" t="s">
        <v>2337</v>
      </c>
      <c r="AX1468" s="334" t="s">
        <v>2869</v>
      </c>
      <c r="AY1468" s="270" t="s">
        <v>695</v>
      </c>
      <c r="AZ1468" s="173" t="s">
        <v>5516</v>
      </c>
      <c r="BA1468" s="265">
        <v>10.0</v>
      </c>
      <c r="BB1468" s="174" t="s">
        <v>245</v>
      </c>
      <c r="BC1468" s="341"/>
      <c r="BD1468" s="308"/>
      <c r="BE1468" s="342"/>
      <c r="BF1468" s="274" t="str">
        <f>IFERROR(__xludf.DUMMYFUNCTION("LOWER(Regexreplace(to_text(E1468),""[^A-Za-z0-9]"","""")&amp;""_""&amp;Regexreplace(to_text(F1468),""[^A-Za-z0-9]"",""""))"),"neptronic_evcbseries")</f>
        <v>neptronic_evcbseries</v>
      </c>
      <c r="BG1468" s="275" t="str">
        <f>IFERROR(__xludf.DUMMYFUNCTION("upper(Regexreplace(to_text(E1468),""[^A-Za-z0-9]"","""")&amp;""-""&amp;Regexreplace(to_text(F1468),""[^A-Za-z0-9]"",""""))"),"NEPTRONIC-EVCBSERIES")</f>
        <v>NEPTRONIC-EVCBSERIES</v>
      </c>
    </row>
    <row r="1469" ht="30.0" customHeight="1">
      <c r="A1469" s="173">
        <v>1461.0</v>
      </c>
      <c r="B1469" s="328" t="s">
        <v>670</v>
      </c>
      <c r="C1469" s="257" t="s">
        <v>5898</v>
      </c>
      <c r="D1469" s="173" t="s">
        <v>5898</v>
      </c>
      <c r="E1469" s="174" t="s">
        <v>2861</v>
      </c>
      <c r="F1469" s="173" t="s">
        <v>2862</v>
      </c>
      <c r="G1469" s="328" t="s">
        <v>673</v>
      </c>
      <c r="H1469" s="328" t="s">
        <v>2863</v>
      </c>
      <c r="I1469" s="258" t="s">
        <v>2864</v>
      </c>
      <c r="J1469" s="259" t="s">
        <v>1149</v>
      </c>
      <c r="K1469" s="260" t="s">
        <v>5785</v>
      </c>
      <c r="L1469" s="359"/>
      <c r="M1469" s="359"/>
      <c r="N1469" s="173" t="s">
        <v>679</v>
      </c>
      <c r="O1469" s="173" t="s">
        <v>225</v>
      </c>
      <c r="P1469" s="262" t="str">
        <f t="shared" si="1"/>
        <v>IN-BLR-ANANTA-VAV-1041_6</v>
      </c>
      <c r="Q1469" s="173" t="s">
        <v>5899</v>
      </c>
      <c r="R1469" s="328" t="str">
        <f>IFS(C1469="","",C1469="n/a","N/A",LEN(C1469),Concatenate("{",char(34),"asset",char(34),":{",char(34),"guid",char(34),":",char(34),Q1469,char(34),",",char(34),"site",char(34),":",char(34),LOWER('2-Building'!$B$4),char(34),",",char(34),"name",char(34),":",char(34),LOWER(C1469),char(34),"}}"))</f>
        <v>{"asset":{"guid":"uuid://c757cfd4-9107-4852-aae4-cc278f5cbab9","site":"in-blr-ananta","name":"vav-1041"}}</v>
      </c>
      <c r="S1469" s="360" t="s">
        <v>5516</v>
      </c>
      <c r="T1469" s="330"/>
      <c r="U1469" s="330"/>
      <c r="V1469" s="331"/>
      <c r="W1469" s="332"/>
      <c r="X1469" s="333"/>
      <c r="Y1469" s="33" t="s">
        <v>2867</v>
      </c>
      <c r="Z1469" s="258">
        <v>121041.0</v>
      </c>
      <c r="AA1469" s="334">
        <v>11623.0</v>
      </c>
      <c r="AB1469" s="341"/>
      <c r="AC1469" s="341"/>
      <c r="AD1469" s="343"/>
      <c r="AE1469" s="331"/>
      <c r="AF1469" s="348"/>
      <c r="AG1469" s="337"/>
      <c r="AH1469" s="341"/>
      <c r="AI1469" s="341"/>
      <c r="AJ1469" s="341"/>
      <c r="AK1469" s="341"/>
      <c r="AL1469" s="341"/>
      <c r="AM1469" s="338"/>
      <c r="AN1469" s="341"/>
      <c r="AO1469" s="341"/>
      <c r="AP1469" s="341"/>
      <c r="AQ1469" s="341"/>
      <c r="AR1469" s="341"/>
      <c r="AS1469" s="341"/>
      <c r="AT1469" s="341"/>
      <c r="AU1469" s="343"/>
      <c r="AV1469" s="341"/>
      <c r="AW1469" s="269" t="s">
        <v>2337</v>
      </c>
      <c r="AX1469" s="334" t="s">
        <v>2869</v>
      </c>
      <c r="AY1469" s="270" t="s">
        <v>695</v>
      </c>
      <c r="AZ1469" s="173" t="s">
        <v>5516</v>
      </c>
      <c r="BA1469" s="265">
        <v>10.0</v>
      </c>
      <c r="BB1469" s="174" t="s">
        <v>245</v>
      </c>
      <c r="BC1469" s="341"/>
      <c r="BD1469" s="308"/>
      <c r="BE1469" s="342"/>
      <c r="BF1469" s="274" t="str">
        <f>IFERROR(__xludf.DUMMYFUNCTION("LOWER(Regexreplace(to_text(E1469),""[^A-Za-z0-9]"","""")&amp;""_""&amp;Regexreplace(to_text(F1469),""[^A-Za-z0-9]"",""""))"),"neptronic_evcbseries")</f>
        <v>neptronic_evcbseries</v>
      </c>
      <c r="BG1469" s="275" t="str">
        <f>IFERROR(__xludf.DUMMYFUNCTION("upper(Regexreplace(to_text(E1469),""[^A-Za-z0-9]"","""")&amp;""-""&amp;Regexreplace(to_text(F1469),""[^A-Za-z0-9]"",""""))"),"NEPTRONIC-EVCBSERIES")</f>
        <v>NEPTRONIC-EVCBSERIES</v>
      </c>
    </row>
    <row r="1470" ht="30.0" customHeight="1">
      <c r="A1470" s="258">
        <v>1462.0</v>
      </c>
      <c r="B1470" s="328" t="s">
        <v>670</v>
      </c>
      <c r="C1470" s="257" t="s">
        <v>5900</v>
      </c>
      <c r="D1470" s="173" t="s">
        <v>5900</v>
      </c>
      <c r="E1470" s="174" t="s">
        <v>2861</v>
      </c>
      <c r="F1470" s="173" t="s">
        <v>2862</v>
      </c>
      <c r="G1470" s="328" t="s">
        <v>673</v>
      </c>
      <c r="H1470" s="328" t="s">
        <v>2863</v>
      </c>
      <c r="I1470" s="258" t="s">
        <v>2864</v>
      </c>
      <c r="J1470" s="259" t="s">
        <v>1149</v>
      </c>
      <c r="K1470" s="260" t="s">
        <v>5901</v>
      </c>
      <c r="L1470" s="359"/>
      <c r="M1470" s="359"/>
      <c r="N1470" s="173" t="s">
        <v>679</v>
      </c>
      <c r="O1470" s="173" t="s">
        <v>225</v>
      </c>
      <c r="P1470" s="262" t="str">
        <f t="shared" si="1"/>
        <v>IN-BLR-ANANTA-VAV-1042_6</v>
      </c>
      <c r="Q1470" s="173" t="s">
        <v>5902</v>
      </c>
      <c r="R1470" s="328" t="str">
        <f>IFS(C1470="","",C1470="n/a","N/A",LEN(C1470),Concatenate("{",char(34),"asset",char(34),":{",char(34),"guid",char(34),":",char(34),Q1470,char(34),",",char(34),"site",char(34),":",char(34),LOWER('2-Building'!$B$4),char(34),",",char(34),"name",char(34),":",char(34),LOWER(C1470),char(34),"}}"))</f>
        <v>{"asset":{"guid":"uuid://ab677259-ef2b-4cb4-a74e-a8ca8885ba94","site":"in-blr-ananta","name":"vav-1042"}}</v>
      </c>
      <c r="S1470" s="360" t="s">
        <v>5516</v>
      </c>
      <c r="T1470" s="330"/>
      <c r="U1470" s="330"/>
      <c r="V1470" s="331"/>
      <c r="W1470" s="332"/>
      <c r="X1470" s="333"/>
      <c r="Y1470" s="33" t="s">
        <v>2867</v>
      </c>
      <c r="Z1470" s="258">
        <v>121042.0</v>
      </c>
      <c r="AA1470" s="334">
        <v>11623.0</v>
      </c>
      <c r="AB1470" s="341"/>
      <c r="AC1470" s="341"/>
      <c r="AD1470" s="343"/>
      <c r="AE1470" s="331"/>
      <c r="AF1470" s="348"/>
      <c r="AG1470" s="337"/>
      <c r="AH1470" s="341"/>
      <c r="AI1470" s="341"/>
      <c r="AJ1470" s="341"/>
      <c r="AK1470" s="341"/>
      <c r="AL1470" s="341"/>
      <c r="AM1470" s="338"/>
      <c r="AN1470" s="341"/>
      <c r="AO1470" s="341"/>
      <c r="AP1470" s="341"/>
      <c r="AQ1470" s="341"/>
      <c r="AR1470" s="341"/>
      <c r="AS1470" s="341"/>
      <c r="AT1470" s="341"/>
      <c r="AU1470" s="343"/>
      <c r="AV1470" s="341"/>
      <c r="AW1470" s="269" t="s">
        <v>2337</v>
      </c>
      <c r="AX1470" s="334" t="s">
        <v>2869</v>
      </c>
      <c r="AY1470" s="270" t="s">
        <v>695</v>
      </c>
      <c r="AZ1470" s="173" t="s">
        <v>5516</v>
      </c>
      <c r="BA1470" s="265">
        <v>10.0</v>
      </c>
      <c r="BB1470" s="174" t="s">
        <v>245</v>
      </c>
      <c r="BC1470" s="341"/>
      <c r="BD1470" s="308"/>
      <c r="BE1470" s="342"/>
      <c r="BF1470" s="274" t="str">
        <f>IFERROR(__xludf.DUMMYFUNCTION("LOWER(Regexreplace(to_text(E1470),""[^A-Za-z0-9]"","""")&amp;""_""&amp;Regexreplace(to_text(F1470),""[^A-Za-z0-9]"",""""))"),"neptronic_evcbseries")</f>
        <v>neptronic_evcbseries</v>
      </c>
      <c r="BG1470" s="275" t="str">
        <f>IFERROR(__xludf.DUMMYFUNCTION("upper(Regexreplace(to_text(E1470),""[^A-Za-z0-9]"","""")&amp;""-""&amp;Regexreplace(to_text(F1470),""[^A-Za-z0-9]"",""""))"),"NEPTRONIC-EVCBSERIES")</f>
        <v>NEPTRONIC-EVCBSERIES</v>
      </c>
    </row>
    <row r="1471" ht="30.0" customHeight="1">
      <c r="A1471" s="173">
        <v>1463.0</v>
      </c>
      <c r="B1471" s="328" t="s">
        <v>670</v>
      </c>
      <c r="C1471" s="257" t="s">
        <v>5903</v>
      </c>
      <c r="D1471" s="173" t="s">
        <v>5903</v>
      </c>
      <c r="E1471" s="174" t="s">
        <v>2861</v>
      </c>
      <c r="F1471" s="173" t="s">
        <v>2862</v>
      </c>
      <c r="G1471" s="328" t="s">
        <v>673</v>
      </c>
      <c r="H1471" s="328" t="s">
        <v>2863</v>
      </c>
      <c r="I1471" s="258" t="s">
        <v>2864</v>
      </c>
      <c r="J1471" s="259" t="s">
        <v>1149</v>
      </c>
      <c r="K1471" s="260" t="s">
        <v>5904</v>
      </c>
      <c r="L1471" s="359"/>
      <c r="M1471" s="359"/>
      <c r="N1471" s="173" t="s">
        <v>679</v>
      </c>
      <c r="O1471" s="173" t="s">
        <v>225</v>
      </c>
      <c r="P1471" s="262" t="str">
        <f t="shared" si="1"/>
        <v>IN-BLR-ANANTA-VAV-1043_6</v>
      </c>
      <c r="Q1471" s="173" t="s">
        <v>5905</v>
      </c>
      <c r="R1471" s="328" t="str">
        <f>IFS(C1471="","",C1471="n/a","N/A",LEN(C1471),Concatenate("{",char(34),"asset",char(34),":{",char(34),"guid",char(34),":",char(34),Q1471,char(34),",",char(34),"site",char(34),":",char(34),LOWER('2-Building'!$B$4),char(34),",",char(34),"name",char(34),":",char(34),LOWER(C1471),char(34),"}}"))</f>
        <v>{"asset":{"guid":"uuid://6373c19a-654d-4465-9439-bbd64fc32ff2","site":"in-blr-ananta","name":"vav-1043"}}</v>
      </c>
      <c r="S1471" s="360" t="s">
        <v>5516</v>
      </c>
      <c r="T1471" s="330"/>
      <c r="U1471" s="330"/>
      <c r="V1471" s="331"/>
      <c r="W1471" s="332"/>
      <c r="X1471" s="333"/>
      <c r="Y1471" s="33" t="s">
        <v>2867</v>
      </c>
      <c r="Z1471" s="258">
        <v>121043.0</v>
      </c>
      <c r="AA1471" s="334">
        <v>11623.0</v>
      </c>
      <c r="AB1471" s="341"/>
      <c r="AC1471" s="341"/>
      <c r="AD1471" s="343"/>
      <c r="AE1471" s="331"/>
      <c r="AF1471" s="348"/>
      <c r="AG1471" s="337"/>
      <c r="AH1471" s="341"/>
      <c r="AI1471" s="341"/>
      <c r="AJ1471" s="341"/>
      <c r="AK1471" s="341"/>
      <c r="AL1471" s="341"/>
      <c r="AM1471" s="338"/>
      <c r="AN1471" s="341"/>
      <c r="AO1471" s="341"/>
      <c r="AP1471" s="341"/>
      <c r="AQ1471" s="341"/>
      <c r="AR1471" s="341"/>
      <c r="AS1471" s="341"/>
      <c r="AT1471" s="341"/>
      <c r="AU1471" s="343"/>
      <c r="AV1471" s="341"/>
      <c r="AW1471" s="269" t="s">
        <v>2337</v>
      </c>
      <c r="AX1471" s="334" t="s">
        <v>2869</v>
      </c>
      <c r="AY1471" s="270" t="s">
        <v>695</v>
      </c>
      <c r="AZ1471" s="173" t="s">
        <v>5516</v>
      </c>
      <c r="BA1471" s="265">
        <v>10.0</v>
      </c>
      <c r="BB1471" s="174" t="s">
        <v>245</v>
      </c>
      <c r="BC1471" s="341"/>
      <c r="BD1471" s="308"/>
      <c r="BE1471" s="342"/>
      <c r="BF1471" s="274" t="str">
        <f>IFERROR(__xludf.DUMMYFUNCTION("LOWER(Regexreplace(to_text(E1471),""[^A-Za-z0-9]"","""")&amp;""_""&amp;Regexreplace(to_text(F1471),""[^A-Za-z0-9]"",""""))"),"neptronic_evcbseries")</f>
        <v>neptronic_evcbseries</v>
      </c>
      <c r="BG1471" s="275" t="str">
        <f>IFERROR(__xludf.DUMMYFUNCTION("upper(Regexreplace(to_text(E1471),""[^A-Za-z0-9]"","""")&amp;""-""&amp;Regexreplace(to_text(F1471),""[^A-Za-z0-9]"",""""))"),"NEPTRONIC-EVCBSERIES")</f>
        <v>NEPTRONIC-EVCBSERIES</v>
      </c>
    </row>
    <row r="1472" ht="30.0" customHeight="1">
      <c r="A1472" s="258">
        <v>1464.0</v>
      </c>
      <c r="B1472" s="328" t="s">
        <v>670</v>
      </c>
      <c r="C1472" s="257" t="s">
        <v>5906</v>
      </c>
      <c r="D1472" s="173" t="s">
        <v>5906</v>
      </c>
      <c r="E1472" s="174" t="s">
        <v>2861</v>
      </c>
      <c r="F1472" s="173" t="s">
        <v>2862</v>
      </c>
      <c r="G1472" s="328" t="s">
        <v>673</v>
      </c>
      <c r="H1472" s="328" t="s">
        <v>2863</v>
      </c>
      <c r="I1472" s="258" t="s">
        <v>2864</v>
      </c>
      <c r="J1472" s="259" t="s">
        <v>1149</v>
      </c>
      <c r="K1472" s="260" t="s">
        <v>5907</v>
      </c>
      <c r="L1472" s="359"/>
      <c r="M1472" s="359"/>
      <c r="N1472" s="173" t="s">
        <v>679</v>
      </c>
      <c r="O1472" s="173" t="s">
        <v>225</v>
      </c>
      <c r="P1472" s="262" t="str">
        <f t="shared" si="1"/>
        <v>IN-BLR-ANANTA-VAV-1044_6</v>
      </c>
      <c r="Q1472" s="173" t="s">
        <v>5908</v>
      </c>
      <c r="R1472" s="328" t="str">
        <f>IFS(C1472="","",C1472="n/a","N/A",LEN(C1472),Concatenate("{",char(34),"asset",char(34),":{",char(34),"guid",char(34),":",char(34),Q1472,char(34),",",char(34),"site",char(34),":",char(34),LOWER('2-Building'!$B$4),char(34),",",char(34),"name",char(34),":",char(34),LOWER(C1472),char(34),"}}"))</f>
        <v>{"asset":{"guid":"uuid://b326ce5c-9a6c-4463-959e-5c3caceb9518","site":"in-blr-ananta","name":"vav-1044"}}</v>
      </c>
      <c r="S1472" s="360" t="s">
        <v>5516</v>
      </c>
      <c r="T1472" s="330"/>
      <c r="U1472" s="330"/>
      <c r="V1472" s="331"/>
      <c r="W1472" s="332"/>
      <c r="X1472" s="333"/>
      <c r="Y1472" s="33" t="s">
        <v>2867</v>
      </c>
      <c r="Z1472" s="258">
        <v>121044.0</v>
      </c>
      <c r="AA1472" s="334">
        <v>11623.0</v>
      </c>
      <c r="AB1472" s="341"/>
      <c r="AC1472" s="341"/>
      <c r="AD1472" s="343"/>
      <c r="AE1472" s="331"/>
      <c r="AF1472" s="348"/>
      <c r="AG1472" s="337"/>
      <c r="AH1472" s="341"/>
      <c r="AI1472" s="341"/>
      <c r="AJ1472" s="341"/>
      <c r="AK1472" s="341"/>
      <c r="AL1472" s="341"/>
      <c r="AM1472" s="338"/>
      <c r="AN1472" s="341"/>
      <c r="AO1472" s="341"/>
      <c r="AP1472" s="341"/>
      <c r="AQ1472" s="341"/>
      <c r="AR1472" s="341"/>
      <c r="AS1472" s="341"/>
      <c r="AT1472" s="341"/>
      <c r="AU1472" s="343"/>
      <c r="AV1472" s="341"/>
      <c r="AW1472" s="269" t="s">
        <v>2337</v>
      </c>
      <c r="AX1472" s="334" t="s">
        <v>2869</v>
      </c>
      <c r="AY1472" s="270" t="s">
        <v>695</v>
      </c>
      <c r="AZ1472" s="173" t="s">
        <v>5516</v>
      </c>
      <c r="BA1472" s="265">
        <v>10.0</v>
      </c>
      <c r="BB1472" s="174" t="s">
        <v>245</v>
      </c>
      <c r="BC1472" s="341"/>
      <c r="BD1472" s="308"/>
      <c r="BE1472" s="342"/>
      <c r="BF1472" s="274" t="str">
        <f>IFERROR(__xludf.DUMMYFUNCTION("LOWER(Regexreplace(to_text(E1472),""[^A-Za-z0-9]"","""")&amp;""_""&amp;Regexreplace(to_text(F1472),""[^A-Za-z0-9]"",""""))"),"neptronic_evcbseries")</f>
        <v>neptronic_evcbseries</v>
      </c>
      <c r="BG1472" s="275" t="str">
        <f>IFERROR(__xludf.DUMMYFUNCTION("upper(Regexreplace(to_text(E1472),""[^A-Za-z0-9]"","""")&amp;""-""&amp;Regexreplace(to_text(F1472),""[^A-Za-z0-9]"",""""))"),"NEPTRONIC-EVCBSERIES")</f>
        <v>NEPTRONIC-EVCBSERIES</v>
      </c>
    </row>
    <row r="1473" ht="30.0" customHeight="1">
      <c r="A1473" s="173">
        <v>1465.0</v>
      </c>
      <c r="B1473" s="328" t="s">
        <v>670</v>
      </c>
      <c r="C1473" s="257" t="s">
        <v>5909</v>
      </c>
      <c r="D1473" s="173" t="s">
        <v>5909</v>
      </c>
      <c r="E1473" s="174" t="s">
        <v>2861</v>
      </c>
      <c r="F1473" s="173" t="s">
        <v>2862</v>
      </c>
      <c r="G1473" s="328" t="s">
        <v>673</v>
      </c>
      <c r="H1473" s="328" t="s">
        <v>2863</v>
      </c>
      <c r="I1473" s="258" t="s">
        <v>2864</v>
      </c>
      <c r="J1473" s="259" t="s">
        <v>1149</v>
      </c>
      <c r="K1473" s="260" t="s">
        <v>5910</v>
      </c>
      <c r="L1473" s="359"/>
      <c r="M1473" s="359"/>
      <c r="N1473" s="173" t="s">
        <v>679</v>
      </c>
      <c r="O1473" s="173" t="s">
        <v>225</v>
      </c>
      <c r="P1473" s="262" t="str">
        <f t="shared" si="1"/>
        <v>IN-BLR-ANANTA-VAV-1045_6</v>
      </c>
      <c r="Q1473" s="173" t="s">
        <v>5911</v>
      </c>
      <c r="R1473" s="328" t="str">
        <f>IFS(C1473="","",C1473="n/a","N/A",LEN(C1473),Concatenate("{",char(34),"asset",char(34),":{",char(34),"guid",char(34),":",char(34),Q1473,char(34),",",char(34),"site",char(34),":",char(34),LOWER('2-Building'!$B$4),char(34),",",char(34),"name",char(34),":",char(34),LOWER(C1473),char(34),"}}"))</f>
        <v>{"asset":{"guid":"uuid://bf50984a-9c4d-4dae-98ab-9119919f8e53","site":"in-blr-ananta","name":"vav-1045"}}</v>
      </c>
      <c r="S1473" s="360" t="s">
        <v>5516</v>
      </c>
      <c r="T1473" s="330"/>
      <c r="U1473" s="330"/>
      <c r="V1473" s="331"/>
      <c r="W1473" s="332"/>
      <c r="X1473" s="333"/>
      <c r="Y1473" s="33" t="s">
        <v>2867</v>
      </c>
      <c r="Z1473" s="258">
        <v>121045.0</v>
      </c>
      <c r="AA1473" s="334">
        <v>11623.0</v>
      </c>
      <c r="AB1473" s="341"/>
      <c r="AC1473" s="341"/>
      <c r="AD1473" s="343"/>
      <c r="AE1473" s="331"/>
      <c r="AF1473" s="348"/>
      <c r="AG1473" s="337"/>
      <c r="AH1473" s="341"/>
      <c r="AI1473" s="341"/>
      <c r="AJ1473" s="341"/>
      <c r="AK1473" s="341"/>
      <c r="AL1473" s="341"/>
      <c r="AM1473" s="338"/>
      <c r="AN1473" s="341"/>
      <c r="AO1473" s="341"/>
      <c r="AP1473" s="341"/>
      <c r="AQ1473" s="341"/>
      <c r="AR1473" s="341"/>
      <c r="AS1473" s="341"/>
      <c r="AT1473" s="341"/>
      <c r="AU1473" s="343"/>
      <c r="AV1473" s="341"/>
      <c r="AW1473" s="269" t="s">
        <v>2337</v>
      </c>
      <c r="AX1473" s="334" t="s">
        <v>2869</v>
      </c>
      <c r="AY1473" s="270" t="s">
        <v>695</v>
      </c>
      <c r="AZ1473" s="173" t="s">
        <v>5516</v>
      </c>
      <c r="BA1473" s="265">
        <v>10.0</v>
      </c>
      <c r="BB1473" s="174" t="s">
        <v>245</v>
      </c>
      <c r="BC1473" s="341"/>
      <c r="BD1473" s="308"/>
      <c r="BE1473" s="342"/>
      <c r="BF1473" s="274" t="str">
        <f>IFERROR(__xludf.DUMMYFUNCTION("LOWER(Regexreplace(to_text(E1473),""[^A-Za-z0-9]"","""")&amp;""_""&amp;Regexreplace(to_text(F1473),""[^A-Za-z0-9]"",""""))"),"neptronic_evcbseries")</f>
        <v>neptronic_evcbseries</v>
      </c>
      <c r="BG1473" s="275" t="str">
        <f>IFERROR(__xludf.DUMMYFUNCTION("upper(Regexreplace(to_text(E1473),""[^A-Za-z0-9]"","""")&amp;""-""&amp;Regexreplace(to_text(F1473),""[^A-Za-z0-9]"",""""))"),"NEPTRONIC-EVCBSERIES")</f>
        <v>NEPTRONIC-EVCBSERIES</v>
      </c>
    </row>
    <row r="1474" ht="30.0" customHeight="1">
      <c r="A1474" s="258">
        <v>1466.0</v>
      </c>
      <c r="B1474" s="328" t="s">
        <v>670</v>
      </c>
      <c r="C1474" s="257" t="s">
        <v>5912</v>
      </c>
      <c r="D1474" s="173" t="s">
        <v>5912</v>
      </c>
      <c r="E1474" s="174" t="s">
        <v>2861</v>
      </c>
      <c r="F1474" s="173" t="s">
        <v>2862</v>
      </c>
      <c r="G1474" s="328" t="s">
        <v>673</v>
      </c>
      <c r="H1474" s="328" t="s">
        <v>2863</v>
      </c>
      <c r="I1474" s="258" t="s">
        <v>2864</v>
      </c>
      <c r="J1474" s="259" t="s">
        <v>1149</v>
      </c>
      <c r="K1474" s="260" t="s">
        <v>5913</v>
      </c>
      <c r="L1474" s="359"/>
      <c r="M1474" s="359"/>
      <c r="N1474" s="173" t="s">
        <v>679</v>
      </c>
      <c r="O1474" s="173" t="s">
        <v>225</v>
      </c>
      <c r="P1474" s="262" t="str">
        <f t="shared" si="1"/>
        <v>IN-BLR-ANANTA-VAV-1046_6</v>
      </c>
      <c r="Q1474" s="173" t="s">
        <v>5914</v>
      </c>
      <c r="R1474" s="328" t="str">
        <f>IFS(C1474="","",C1474="n/a","N/A",LEN(C1474),Concatenate("{",char(34),"asset",char(34),":{",char(34),"guid",char(34),":",char(34),Q1474,char(34),",",char(34),"site",char(34),":",char(34),LOWER('2-Building'!$B$4),char(34),",",char(34),"name",char(34),":",char(34),LOWER(C1474),char(34),"}}"))</f>
        <v>{"asset":{"guid":"uuid://adcc2a3f-5c30-4989-9860-bfea5d27a5d6","site":"in-blr-ananta","name":"vav-1046"}}</v>
      </c>
      <c r="S1474" s="360" t="s">
        <v>5516</v>
      </c>
      <c r="T1474" s="330"/>
      <c r="U1474" s="330"/>
      <c r="V1474" s="331"/>
      <c r="W1474" s="332"/>
      <c r="X1474" s="333"/>
      <c r="Y1474" s="33" t="s">
        <v>2867</v>
      </c>
      <c r="Z1474" s="258">
        <v>121046.0</v>
      </c>
      <c r="AA1474" s="334">
        <v>11623.0</v>
      </c>
      <c r="AB1474" s="341"/>
      <c r="AC1474" s="341"/>
      <c r="AD1474" s="343"/>
      <c r="AE1474" s="331"/>
      <c r="AF1474" s="348"/>
      <c r="AG1474" s="337"/>
      <c r="AH1474" s="341"/>
      <c r="AI1474" s="341"/>
      <c r="AJ1474" s="341"/>
      <c r="AK1474" s="341"/>
      <c r="AL1474" s="341"/>
      <c r="AM1474" s="338"/>
      <c r="AN1474" s="341"/>
      <c r="AO1474" s="341"/>
      <c r="AP1474" s="341"/>
      <c r="AQ1474" s="341"/>
      <c r="AR1474" s="341"/>
      <c r="AS1474" s="341"/>
      <c r="AT1474" s="341"/>
      <c r="AU1474" s="343"/>
      <c r="AV1474" s="341"/>
      <c r="AW1474" s="269" t="s">
        <v>2337</v>
      </c>
      <c r="AX1474" s="334" t="s">
        <v>2869</v>
      </c>
      <c r="AY1474" s="270" t="s">
        <v>695</v>
      </c>
      <c r="AZ1474" s="173" t="s">
        <v>5516</v>
      </c>
      <c r="BA1474" s="265">
        <v>10.0</v>
      </c>
      <c r="BB1474" s="174" t="s">
        <v>245</v>
      </c>
      <c r="BC1474" s="341"/>
      <c r="BD1474" s="308"/>
      <c r="BE1474" s="342"/>
      <c r="BF1474" s="274" t="str">
        <f>IFERROR(__xludf.DUMMYFUNCTION("LOWER(Regexreplace(to_text(E1474),""[^A-Za-z0-9]"","""")&amp;""_""&amp;Regexreplace(to_text(F1474),""[^A-Za-z0-9]"",""""))"),"neptronic_evcbseries")</f>
        <v>neptronic_evcbseries</v>
      </c>
      <c r="BG1474" s="275" t="str">
        <f>IFERROR(__xludf.DUMMYFUNCTION("upper(Regexreplace(to_text(E1474),""[^A-Za-z0-9]"","""")&amp;""-""&amp;Regexreplace(to_text(F1474),""[^A-Za-z0-9]"",""""))"),"NEPTRONIC-EVCBSERIES")</f>
        <v>NEPTRONIC-EVCBSERIES</v>
      </c>
    </row>
    <row r="1475" ht="30.0" customHeight="1">
      <c r="A1475" s="173">
        <v>1467.0</v>
      </c>
      <c r="B1475" s="328" t="s">
        <v>670</v>
      </c>
      <c r="C1475" s="257" t="s">
        <v>5915</v>
      </c>
      <c r="D1475" s="173" t="s">
        <v>5915</v>
      </c>
      <c r="E1475" s="174" t="s">
        <v>2861</v>
      </c>
      <c r="F1475" s="173" t="s">
        <v>2862</v>
      </c>
      <c r="G1475" s="328" t="s">
        <v>673</v>
      </c>
      <c r="H1475" s="328" t="s">
        <v>2863</v>
      </c>
      <c r="I1475" s="258" t="s">
        <v>2864</v>
      </c>
      <c r="J1475" s="259" t="s">
        <v>1149</v>
      </c>
      <c r="K1475" s="260" t="s">
        <v>5916</v>
      </c>
      <c r="L1475" s="359"/>
      <c r="M1475" s="359"/>
      <c r="N1475" s="173" t="s">
        <v>679</v>
      </c>
      <c r="O1475" s="173" t="s">
        <v>225</v>
      </c>
      <c r="P1475" s="262" t="str">
        <f t="shared" si="1"/>
        <v>IN-BLR-ANANTA-VAV-1047_6</v>
      </c>
      <c r="Q1475" s="173" t="s">
        <v>5917</v>
      </c>
      <c r="R1475" s="328" t="str">
        <f>IFS(C1475="","",C1475="n/a","N/A",LEN(C1475),Concatenate("{",char(34),"asset",char(34),":{",char(34),"guid",char(34),":",char(34),Q1475,char(34),",",char(34),"site",char(34),":",char(34),LOWER('2-Building'!$B$4),char(34),",",char(34),"name",char(34),":",char(34),LOWER(C1475),char(34),"}}"))</f>
        <v>{"asset":{"guid":"uuid://fbd4f099-f36b-4209-8aec-ef3f9d56d452","site":"in-blr-ananta","name":"vav-1047"}}</v>
      </c>
      <c r="S1475" s="360" t="s">
        <v>5516</v>
      </c>
      <c r="T1475" s="330"/>
      <c r="U1475" s="330"/>
      <c r="V1475" s="331"/>
      <c r="W1475" s="332"/>
      <c r="X1475" s="333"/>
      <c r="Y1475" s="33" t="s">
        <v>2867</v>
      </c>
      <c r="Z1475" s="258">
        <v>121047.0</v>
      </c>
      <c r="AA1475" s="334">
        <v>11623.0</v>
      </c>
      <c r="AB1475" s="341"/>
      <c r="AC1475" s="341"/>
      <c r="AD1475" s="343"/>
      <c r="AE1475" s="331"/>
      <c r="AF1475" s="348"/>
      <c r="AG1475" s="337"/>
      <c r="AH1475" s="341"/>
      <c r="AI1475" s="341"/>
      <c r="AJ1475" s="341"/>
      <c r="AK1475" s="341"/>
      <c r="AL1475" s="341"/>
      <c r="AM1475" s="338"/>
      <c r="AN1475" s="341"/>
      <c r="AO1475" s="341"/>
      <c r="AP1475" s="341"/>
      <c r="AQ1475" s="341"/>
      <c r="AR1475" s="341"/>
      <c r="AS1475" s="341"/>
      <c r="AT1475" s="341"/>
      <c r="AU1475" s="343"/>
      <c r="AV1475" s="341"/>
      <c r="AW1475" s="269" t="s">
        <v>2337</v>
      </c>
      <c r="AX1475" s="334" t="s">
        <v>2869</v>
      </c>
      <c r="AY1475" s="270" t="s">
        <v>695</v>
      </c>
      <c r="AZ1475" s="173" t="s">
        <v>5516</v>
      </c>
      <c r="BA1475" s="265">
        <v>10.0</v>
      </c>
      <c r="BB1475" s="174" t="s">
        <v>245</v>
      </c>
      <c r="BC1475" s="341"/>
      <c r="BD1475" s="308"/>
      <c r="BE1475" s="342"/>
      <c r="BF1475" s="274" t="str">
        <f>IFERROR(__xludf.DUMMYFUNCTION("LOWER(Regexreplace(to_text(E1475),""[^A-Za-z0-9]"","""")&amp;""_""&amp;Regexreplace(to_text(F1475),""[^A-Za-z0-9]"",""""))"),"neptronic_evcbseries")</f>
        <v>neptronic_evcbseries</v>
      </c>
      <c r="BG1475" s="275" t="str">
        <f>IFERROR(__xludf.DUMMYFUNCTION("upper(Regexreplace(to_text(E1475),""[^A-Za-z0-9]"","""")&amp;""-""&amp;Regexreplace(to_text(F1475),""[^A-Za-z0-9]"",""""))"),"NEPTRONIC-EVCBSERIES")</f>
        <v>NEPTRONIC-EVCBSERIES</v>
      </c>
    </row>
    <row r="1476" ht="30.0" customHeight="1">
      <c r="A1476" s="258">
        <v>1468.0</v>
      </c>
      <c r="B1476" s="328" t="s">
        <v>670</v>
      </c>
      <c r="C1476" s="257" t="s">
        <v>5918</v>
      </c>
      <c r="D1476" s="173" t="s">
        <v>5918</v>
      </c>
      <c r="E1476" s="174" t="s">
        <v>2861</v>
      </c>
      <c r="F1476" s="173" t="s">
        <v>2862</v>
      </c>
      <c r="G1476" s="328" t="s">
        <v>673</v>
      </c>
      <c r="H1476" s="328" t="s">
        <v>2863</v>
      </c>
      <c r="I1476" s="258" t="s">
        <v>2864</v>
      </c>
      <c r="J1476" s="259" t="s">
        <v>1149</v>
      </c>
      <c r="K1476" s="260" t="s">
        <v>5919</v>
      </c>
      <c r="L1476" s="359"/>
      <c r="M1476" s="359"/>
      <c r="N1476" s="173" t="s">
        <v>679</v>
      </c>
      <c r="O1476" s="173" t="s">
        <v>225</v>
      </c>
      <c r="P1476" s="262" t="str">
        <f t="shared" si="1"/>
        <v>IN-BLR-ANANTA-VAV-1048_6</v>
      </c>
      <c r="Q1476" s="173" t="s">
        <v>5920</v>
      </c>
      <c r="R1476" s="328" t="str">
        <f>IFS(C1476="","",C1476="n/a","N/A",LEN(C1476),Concatenate("{",char(34),"asset",char(34),":{",char(34),"guid",char(34),":",char(34),Q1476,char(34),",",char(34),"site",char(34),":",char(34),LOWER('2-Building'!$B$4),char(34),",",char(34),"name",char(34),":",char(34),LOWER(C1476),char(34),"}}"))</f>
        <v>{"asset":{"guid":"uuid://8ef51c3a-1965-4ed6-9d55-274d9d46bd52","site":"in-blr-ananta","name":"vav-1048"}}</v>
      </c>
      <c r="S1476" s="360" t="s">
        <v>5516</v>
      </c>
      <c r="T1476" s="330"/>
      <c r="U1476" s="330"/>
      <c r="V1476" s="331"/>
      <c r="W1476" s="332"/>
      <c r="X1476" s="333"/>
      <c r="Y1476" s="33" t="s">
        <v>2867</v>
      </c>
      <c r="Z1476" s="258">
        <v>121048.0</v>
      </c>
      <c r="AA1476" s="334">
        <v>11623.0</v>
      </c>
      <c r="AB1476" s="341"/>
      <c r="AC1476" s="341"/>
      <c r="AD1476" s="343"/>
      <c r="AE1476" s="331"/>
      <c r="AF1476" s="348"/>
      <c r="AG1476" s="337"/>
      <c r="AH1476" s="341"/>
      <c r="AI1476" s="341"/>
      <c r="AJ1476" s="341"/>
      <c r="AK1476" s="341"/>
      <c r="AL1476" s="341"/>
      <c r="AM1476" s="338"/>
      <c r="AN1476" s="341"/>
      <c r="AO1476" s="341"/>
      <c r="AP1476" s="341"/>
      <c r="AQ1476" s="341"/>
      <c r="AR1476" s="341"/>
      <c r="AS1476" s="341"/>
      <c r="AT1476" s="341"/>
      <c r="AU1476" s="343"/>
      <c r="AV1476" s="341"/>
      <c r="AW1476" s="269" t="s">
        <v>2337</v>
      </c>
      <c r="AX1476" s="334" t="s">
        <v>2869</v>
      </c>
      <c r="AY1476" s="270" t="s">
        <v>695</v>
      </c>
      <c r="AZ1476" s="173" t="s">
        <v>5516</v>
      </c>
      <c r="BA1476" s="265">
        <v>10.0</v>
      </c>
      <c r="BB1476" s="174" t="s">
        <v>245</v>
      </c>
      <c r="BC1476" s="341"/>
      <c r="BD1476" s="308"/>
      <c r="BE1476" s="342"/>
      <c r="BF1476" s="274" t="str">
        <f>IFERROR(__xludf.DUMMYFUNCTION("LOWER(Regexreplace(to_text(E1476),""[^A-Za-z0-9]"","""")&amp;""_""&amp;Regexreplace(to_text(F1476),""[^A-Za-z0-9]"",""""))"),"neptronic_evcbseries")</f>
        <v>neptronic_evcbseries</v>
      </c>
      <c r="BG1476" s="275" t="str">
        <f>IFERROR(__xludf.DUMMYFUNCTION("upper(Regexreplace(to_text(E1476),""[^A-Za-z0-9]"","""")&amp;""-""&amp;Regexreplace(to_text(F1476),""[^A-Za-z0-9]"",""""))"),"NEPTRONIC-EVCBSERIES")</f>
        <v>NEPTRONIC-EVCBSERIES</v>
      </c>
    </row>
    <row r="1477" ht="30.0" customHeight="1">
      <c r="A1477" s="173">
        <v>1469.0</v>
      </c>
      <c r="B1477" s="328" t="s">
        <v>670</v>
      </c>
      <c r="C1477" s="257" t="s">
        <v>5921</v>
      </c>
      <c r="D1477" s="173" t="s">
        <v>5921</v>
      </c>
      <c r="E1477" s="174" t="s">
        <v>2861</v>
      </c>
      <c r="F1477" s="173" t="s">
        <v>2862</v>
      </c>
      <c r="G1477" s="328" t="s">
        <v>673</v>
      </c>
      <c r="H1477" s="328" t="s">
        <v>2863</v>
      </c>
      <c r="I1477" s="258" t="s">
        <v>2864</v>
      </c>
      <c r="J1477" s="259" t="s">
        <v>1149</v>
      </c>
      <c r="K1477" s="260" t="s">
        <v>5922</v>
      </c>
      <c r="L1477" s="359"/>
      <c r="M1477" s="359"/>
      <c r="N1477" s="173" t="s">
        <v>679</v>
      </c>
      <c r="O1477" s="173" t="s">
        <v>225</v>
      </c>
      <c r="P1477" s="262" t="str">
        <f t="shared" si="1"/>
        <v>IN-BLR-ANANTA-VAV-1049_6</v>
      </c>
      <c r="Q1477" s="173" t="s">
        <v>5923</v>
      </c>
      <c r="R1477" s="328" t="str">
        <f>IFS(C1477="","",C1477="n/a","N/A",LEN(C1477),Concatenate("{",char(34),"asset",char(34),":{",char(34),"guid",char(34),":",char(34),Q1477,char(34),",",char(34),"site",char(34),":",char(34),LOWER('2-Building'!$B$4),char(34),",",char(34),"name",char(34),":",char(34),LOWER(C1477),char(34),"}}"))</f>
        <v>{"asset":{"guid":"uuid://844e89dd-9fcb-4d71-9f59-35e77f1fc05d","site":"in-blr-ananta","name":"vav-1049"}}</v>
      </c>
      <c r="S1477" s="360" t="s">
        <v>5516</v>
      </c>
      <c r="T1477" s="330"/>
      <c r="U1477" s="330"/>
      <c r="V1477" s="331"/>
      <c r="W1477" s="332"/>
      <c r="X1477" s="333"/>
      <c r="Y1477" s="33" t="s">
        <v>2867</v>
      </c>
      <c r="Z1477" s="258">
        <v>121049.0</v>
      </c>
      <c r="AA1477" s="334">
        <v>11623.0</v>
      </c>
      <c r="AB1477" s="341"/>
      <c r="AC1477" s="341"/>
      <c r="AD1477" s="343"/>
      <c r="AE1477" s="331"/>
      <c r="AF1477" s="348"/>
      <c r="AG1477" s="337"/>
      <c r="AH1477" s="341"/>
      <c r="AI1477" s="341"/>
      <c r="AJ1477" s="341"/>
      <c r="AK1477" s="341"/>
      <c r="AL1477" s="341"/>
      <c r="AM1477" s="338"/>
      <c r="AN1477" s="341"/>
      <c r="AO1477" s="341"/>
      <c r="AP1477" s="341"/>
      <c r="AQ1477" s="341"/>
      <c r="AR1477" s="341"/>
      <c r="AS1477" s="341"/>
      <c r="AT1477" s="341"/>
      <c r="AU1477" s="343"/>
      <c r="AV1477" s="341"/>
      <c r="AW1477" s="269" t="s">
        <v>2337</v>
      </c>
      <c r="AX1477" s="334" t="s">
        <v>2869</v>
      </c>
      <c r="AY1477" s="270" t="s">
        <v>695</v>
      </c>
      <c r="AZ1477" s="173" t="s">
        <v>5516</v>
      </c>
      <c r="BA1477" s="265">
        <v>10.0</v>
      </c>
      <c r="BB1477" s="174" t="s">
        <v>245</v>
      </c>
      <c r="BC1477" s="341"/>
      <c r="BD1477" s="308"/>
      <c r="BE1477" s="342"/>
      <c r="BF1477" s="274" t="str">
        <f>IFERROR(__xludf.DUMMYFUNCTION("LOWER(Regexreplace(to_text(E1477),""[^A-Za-z0-9]"","""")&amp;""_""&amp;Regexreplace(to_text(F1477),""[^A-Za-z0-9]"",""""))"),"neptronic_evcbseries")</f>
        <v>neptronic_evcbseries</v>
      </c>
      <c r="BG1477" s="275" t="str">
        <f>IFERROR(__xludf.DUMMYFUNCTION("upper(Regexreplace(to_text(E1477),""[^A-Za-z0-9]"","""")&amp;""-""&amp;Regexreplace(to_text(F1477),""[^A-Za-z0-9]"",""""))"),"NEPTRONIC-EVCBSERIES")</f>
        <v>NEPTRONIC-EVCBSERIES</v>
      </c>
    </row>
    <row r="1478" ht="30.0" customHeight="1">
      <c r="A1478" s="258">
        <v>1470.0</v>
      </c>
      <c r="B1478" s="328" t="s">
        <v>670</v>
      </c>
      <c r="C1478" s="257" t="s">
        <v>5924</v>
      </c>
      <c r="D1478" s="173" t="s">
        <v>5924</v>
      </c>
      <c r="E1478" s="174" t="s">
        <v>2861</v>
      </c>
      <c r="F1478" s="173" t="s">
        <v>2862</v>
      </c>
      <c r="G1478" s="328" t="s">
        <v>673</v>
      </c>
      <c r="H1478" s="328" t="s">
        <v>2863</v>
      </c>
      <c r="I1478" s="258" t="s">
        <v>2864</v>
      </c>
      <c r="J1478" s="259" t="s">
        <v>1149</v>
      </c>
      <c r="K1478" s="260" t="s">
        <v>5925</v>
      </c>
      <c r="L1478" s="359"/>
      <c r="M1478" s="359"/>
      <c r="N1478" s="173" t="s">
        <v>679</v>
      </c>
      <c r="O1478" s="173" t="s">
        <v>225</v>
      </c>
      <c r="P1478" s="262" t="str">
        <f t="shared" si="1"/>
        <v>IN-BLR-ANANTA-VAV-1050_6</v>
      </c>
      <c r="Q1478" s="173" t="s">
        <v>5926</v>
      </c>
      <c r="R1478" s="328" t="str">
        <f>IFS(C1478="","",C1478="n/a","N/A",LEN(C1478),Concatenate("{",char(34),"asset",char(34),":{",char(34),"guid",char(34),":",char(34),Q1478,char(34),",",char(34),"site",char(34),":",char(34),LOWER('2-Building'!$B$4),char(34),",",char(34),"name",char(34),":",char(34),LOWER(C1478),char(34),"}}"))</f>
        <v>{"asset":{"guid":"uuid://8ca84e2a-dbee-4232-a901-3d12fa5d8886","site":"in-blr-ananta","name":"vav-1050"}}</v>
      </c>
      <c r="S1478" s="360" t="s">
        <v>5516</v>
      </c>
      <c r="T1478" s="330"/>
      <c r="U1478" s="330"/>
      <c r="V1478" s="331"/>
      <c r="W1478" s="332"/>
      <c r="X1478" s="333"/>
      <c r="Y1478" s="33" t="s">
        <v>2867</v>
      </c>
      <c r="Z1478" s="258">
        <v>121050.0</v>
      </c>
      <c r="AA1478" s="334">
        <v>11623.0</v>
      </c>
      <c r="AB1478" s="341"/>
      <c r="AC1478" s="341"/>
      <c r="AD1478" s="343"/>
      <c r="AE1478" s="331"/>
      <c r="AF1478" s="348"/>
      <c r="AG1478" s="337"/>
      <c r="AH1478" s="341"/>
      <c r="AI1478" s="341"/>
      <c r="AJ1478" s="341"/>
      <c r="AK1478" s="341"/>
      <c r="AL1478" s="341"/>
      <c r="AM1478" s="338"/>
      <c r="AN1478" s="341"/>
      <c r="AO1478" s="341"/>
      <c r="AP1478" s="341"/>
      <c r="AQ1478" s="341"/>
      <c r="AR1478" s="341"/>
      <c r="AS1478" s="341"/>
      <c r="AT1478" s="341"/>
      <c r="AU1478" s="343"/>
      <c r="AV1478" s="341"/>
      <c r="AW1478" s="269" t="s">
        <v>2337</v>
      </c>
      <c r="AX1478" s="334" t="s">
        <v>2869</v>
      </c>
      <c r="AY1478" s="270" t="s">
        <v>695</v>
      </c>
      <c r="AZ1478" s="173" t="s">
        <v>5516</v>
      </c>
      <c r="BA1478" s="265">
        <v>10.0</v>
      </c>
      <c r="BB1478" s="174" t="s">
        <v>245</v>
      </c>
      <c r="BC1478" s="341"/>
      <c r="BD1478" s="308"/>
      <c r="BE1478" s="342"/>
      <c r="BF1478" s="274" t="str">
        <f>IFERROR(__xludf.DUMMYFUNCTION("LOWER(Regexreplace(to_text(E1478),""[^A-Za-z0-9]"","""")&amp;""_""&amp;Regexreplace(to_text(F1478),""[^A-Za-z0-9]"",""""))"),"neptronic_evcbseries")</f>
        <v>neptronic_evcbseries</v>
      </c>
      <c r="BG1478" s="275" t="str">
        <f>IFERROR(__xludf.DUMMYFUNCTION("upper(Regexreplace(to_text(E1478),""[^A-Za-z0-9]"","""")&amp;""-""&amp;Regexreplace(to_text(F1478),""[^A-Za-z0-9]"",""""))"),"NEPTRONIC-EVCBSERIES")</f>
        <v>NEPTRONIC-EVCBSERIES</v>
      </c>
    </row>
    <row r="1479" ht="30.0" customHeight="1">
      <c r="A1479" s="173">
        <v>1471.0</v>
      </c>
      <c r="B1479" s="328" t="s">
        <v>670</v>
      </c>
      <c r="C1479" s="257" t="s">
        <v>5927</v>
      </c>
      <c r="D1479" s="173" t="s">
        <v>5927</v>
      </c>
      <c r="E1479" s="174" t="s">
        <v>2861</v>
      </c>
      <c r="F1479" s="173" t="s">
        <v>2862</v>
      </c>
      <c r="G1479" s="328" t="s">
        <v>673</v>
      </c>
      <c r="H1479" s="328" t="s">
        <v>2863</v>
      </c>
      <c r="I1479" s="258" t="s">
        <v>2864</v>
      </c>
      <c r="J1479" s="259" t="s">
        <v>1149</v>
      </c>
      <c r="K1479" s="260" t="s">
        <v>5928</v>
      </c>
      <c r="L1479" s="359"/>
      <c r="M1479" s="359"/>
      <c r="N1479" s="173" t="s">
        <v>679</v>
      </c>
      <c r="O1479" s="173" t="s">
        <v>225</v>
      </c>
      <c r="P1479" s="262" t="str">
        <f t="shared" si="1"/>
        <v>IN-BLR-ANANTA-VAV-1051_6</v>
      </c>
      <c r="Q1479" s="173" t="s">
        <v>5929</v>
      </c>
      <c r="R1479" s="328" t="str">
        <f>IFS(C1479="","",C1479="n/a","N/A",LEN(C1479),Concatenate("{",char(34),"asset",char(34),":{",char(34),"guid",char(34),":",char(34),Q1479,char(34),",",char(34),"site",char(34),":",char(34),LOWER('2-Building'!$B$4),char(34),",",char(34),"name",char(34),":",char(34),LOWER(C1479),char(34),"}}"))</f>
        <v>{"asset":{"guid":"uuid://98d66943-5911-4e41-94f9-b0fa83e1119b","site":"in-blr-ananta","name":"vav-1051"}}</v>
      </c>
      <c r="S1479" s="360" t="s">
        <v>5516</v>
      </c>
      <c r="T1479" s="330"/>
      <c r="U1479" s="330"/>
      <c r="V1479" s="331"/>
      <c r="W1479" s="332"/>
      <c r="X1479" s="333"/>
      <c r="Y1479" s="33" t="s">
        <v>2867</v>
      </c>
      <c r="Z1479" s="258">
        <v>121051.0</v>
      </c>
      <c r="AA1479" s="334">
        <v>11623.0</v>
      </c>
      <c r="AB1479" s="341"/>
      <c r="AC1479" s="341"/>
      <c r="AD1479" s="343"/>
      <c r="AE1479" s="331"/>
      <c r="AF1479" s="348"/>
      <c r="AG1479" s="337"/>
      <c r="AH1479" s="341"/>
      <c r="AI1479" s="341"/>
      <c r="AJ1479" s="341"/>
      <c r="AK1479" s="341"/>
      <c r="AL1479" s="341"/>
      <c r="AM1479" s="338"/>
      <c r="AN1479" s="341"/>
      <c r="AO1479" s="341"/>
      <c r="AP1479" s="341"/>
      <c r="AQ1479" s="341"/>
      <c r="AR1479" s="341"/>
      <c r="AS1479" s="341"/>
      <c r="AT1479" s="341"/>
      <c r="AU1479" s="343"/>
      <c r="AV1479" s="341"/>
      <c r="AW1479" s="269" t="s">
        <v>2337</v>
      </c>
      <c r="AX1479" s="334" t="s">
        <v>2869</v>
      </c>
      <c r="AY1479" s="270" t="s">
        <v>695</v>
      </c>
      <c r="AZ1479" s="173" t="s">
        <v>5516</v>
      </c>
      <c r="BA1479" s="265">
        <v>10.0</v>
      </c>
      <c r="BB1479" s="174" t="s">
        <v>245</v>
      </c>
      <c r="BC1479" s="341"/>
      <c r="BD1479" s="308"/>
      <c r="BE1479" s="342"/>
      <c r="BF1479" s="274" t="str">
        <f>IFERROR(__xludf.DUMMYFUNCTION("LOWER(Regexreplace(to_text(E1479),""[^A-Za-z0-9]"","""")&amp;""_""&amp;Regexreplace(to_text(F1479),""[^A-Za-z0-9]"",""""))"),"neptronic_evcbseries")</f>
        <v>neptronic_evcbseries</v>
      </c>
      <c r="BG1479" s="275" t="str">
        <f>IFERROR(__xludf.DUMMYFUNCTION("upper(Regexreplace(to_text(E1479),""[^A-Za-z0-9]"","""")&amp;""-""&amp;Regexreplace(to_text(F1479),""[^A-Za-z0-9]"",""""))"),"NEPTRONIC-EVCBSERIES")</f>
        <v>NEPTRONIC-EVCBSERIES</v>
      </c>
    </row>
    <row r="1480" ht="30.0" customHeight="1">
      <c r="A1480" s="258">
        <v>1472.0</v>
      </c>
      <c r="B1480" s="328" t="s">
        <v>670</v>
      </c>
      <c r="C1480" s="257" t="s">
        <v>5930</v>
      </c>
      <c r="D1480" s="173" t="s">
        <v>5930</v>
      </c>
      <c r="E1480" s="174" t="s">
        <v>2861</v>
      </c>
      <c r="F1480" s="173" t="s">
        <v>2862</v>
      </c>
      <c r="G1480" s="328" t="s">
        <v>673</v>
      </c>
      <c r="H1480" s="328" t="s">
        <v>2863</v>
      </c>
      <c r="I1480" s="258" t="s">
        <v>2864</v>
      </c>
      <c r="J1480" s="259" t="s">
        <v>1149</v>
      </c>
      <c r="K1480" s="260" t="s">
        <v>5565</v>
      </c>
      <c r="L1480" s="359"/>
      <c r="M1480" s="359"/>
      <c r="N1480" s="173" t="s">
        <v>679</v>
      </c>
      <c r="O1480" s="173" t="s">
        <v>225</v>
      </c>
      <c r="P1480" s="262" t="str">
        <f t="shared" si="1"/>
        <v>IN-BLR-ANANTA-VAV-1052_6</v>
      </c>
      <c r="Q1480" s="173" t="s">
        <v>5931</v>
      </c>
      <c r="R1480" s="328" t="str">
        <f>IFS(C1480="","",C1480="n/a","N/A",LEN(C1480),Concatenate("{",char(34),"asset",char(34),":{",char(34),"guid",char(34),":",char(34),Q1480,char(34),",",char(34),"site",char(34),":",char(34),LOWER('2-Building'!$B$4),char(34),",",char(34),"name",char(34),":",char(34),LOWER(C1480),char(34),"}}"))</f>
        <v>{"asset":{"guid":"uuid://90351497-d880-4cef-99bc-db62687c44a1","site":"in-blr-ananta","name":"vav-1052"}}</v>
      </c>
      <c r="S1480" s="360" t="s">
        <v>5516</v>
      </c>
      <c r="T1480" s="330"/>
      <c r="U1480" s="330"/>
      <c r="V1480" s="331"/>
      <c r="W1480" s="332"/>
      <c r="X1480" s="333"/>
      <c r="Y1480" s="33" t="s">
        <v>2867</v>
      </c>
      <c r="Z1480" s="258">
        <v>121052.0</v>
      </c>
      <c r="AA1480" s="334">
        <v>11623.0</v>
      </c>
      <c r="AB1480" s="341"/>
      <c r="AC1480" s="341"/>
      <c r="AD1480" s="343"/>
      <c r="AE1480" s="331"/>
      <c r="AF1480" s="348"/>
      <c r="AG1480" s="337"/>
      <c r="AH1480" s="341"/>
      <c r="AI1480" s="341"/>
      <c r="AJ1480" s="341"/>
      <c r="AK1480" s="341"/>
      <c r="AL1480" s="341"/>
      <c r="AM1480" s="338"/>
      <c r="AN1480" s="341"/>
      <c r="AO1480" s="341"/>
      <c r="AP1480" s="341"/>
      <c r="AQ1480" s="341"/>
      <c r="AR1480" s="341"/>
      <c r="AS1480" s="341"/>
      <c r="AT1480" s="341"/>
      <c r="AU1480" s="343"/>
      <c r="AV1480" s="341"/>
      <c r="AW1480" s="269" t="s">
        <v>2337</v>
      </c>
      <c r="AX1480" s="334" t="s">
        <v>2869</v>
      </c>
      <c r="AY1480" s="270" t="s">
        <v>695</v>
      </c>
      <c r="AZ1480" s="173" t="s">
        <v>5516</v>
      </c>
      <c r="BA1480" s="265">
        <v>10.0</v>
      </c>
      <c r="BB1480" s="174" t="s">
        <v>245</v>
      </c>
      <c r="BC1480" s="341"/>
      <c r="BD1480" s="308"/>
      <c r="BE1480" s="342"/>
      <c r="BF1480" s="274" t="str">
        <f>IFERROR(__xludf.DUMMYFUNCTION("LOWER(Regexreplace(to_text(E1480),""[^A-Za-z0-9]"","""")&amp;""_""&amp;Regexreplace(to_text(F1480),""[^A-Za-z0-9]"",""""))"),"neptronic_evcbseries")</f>
        <v>neptronic_evcbseries</v>
      </c>
      <c r="BG1480" s="275" t="str">
        <f>IFERROR(__xludf.DUMMYFUNCTION("upper(Regexreplace(to_text(E1480),""[^A-Za-z0-9]"","""")&amp;""-""&amp;Regexreplace(to_text(F1480),""[^A-Za-z0-9]"",""""))"),"NEPTRONIC-EVCBSERIES")</f>
        <v>NEPTRONIC-EVCBSERIES</v>
      </c>
    </row>
    <row r="1481" ht="30.0" customHeight="1">
      <c r="A1481" s="173">
        <v>1473.0</v>
      </c>
      <c r="B1481" s="328" t="s">
        <v>670</v>
      </c>
      <c r="C1481" s="257" t="s">
        <v>5932</v>
      </c>
      <c r="D1481" s="173" t="s">
        <v>5932</v>
      </c>
      <c r="E1481" s="174" t="s">
        <v>2861</v>
      </c>
      <c r="F1481" s="173" t="s">
        <v>2862</v>
      </c>
      <c r="G1481" s="328" t="s">
        <v>673</v>
      </c>
      <c r="H1481" s="328" t="s">
        <v>2863</v>
      </c>
      <c r="I1481" s="258" t="s">
        <v>2864</v>
      </c>
      <c r="J1481" s="259" t="s">
        <v>1149</v>
      </c>
      <c r="K1481" s="260" t="s">
        <v>5933</v>
      </c>
      <c r="L1481" s="359"/>
      <c r="M1481" s="359"/>
      <c r="N1481" s="173" t="s">
        <v>679</v>
      </c>
      <c r="O1481" s="173" t="s">
        <v>225</v>
      </c>
      <c r="P1481" s="262" t="str">
        <f t="shared" si="1"/>
        <v>IN-BLR-ANANTA-VAV-1053_6</v>
      </c>
      <c r="Q1481" s="173" t="s">
        <v>5934</v>
      </c>
      <c r="R1481" s="328" t="str">
        <f>IFS(C1481="","",C1481="n/a","N/A",LEN(C1481),Concatenate("{",char(34),"asset",char(34),":{",char(34),"guid",char(34),":",char(34),Q1481,char(34),",",char(34),"site",char(34),":",char(34),LOWER('2-Building'!$B$4),char(34),",",char(34),"name",char(34),":",char(34),LOWER(C1481),char(34),"}}"))</f>
        <v>{"asset":{"guid":"uuid://eeb08cc0-a7c1-4921-86d4-664f26da67e6","site":"in-blr-ananta","name":"vav-1053"}}</v>
      </c>
      <c r="S1481" s="360" t="s">
        <v>5516</v>
      </c>
      <c r="T1481" s="330"/>
      <c r="U1481" s="330"/>
      <c r="V1481" s="331"/>
      <c r="W1481" s="332"/>
      <c r="X1481" s="333"/>
      <c r="Y1481" s="33" t="s">
        <v>2867</v>
      </c>
      <c r="Z1481" s="258">
        <v>121053.0</v>
      </c>
      <c r="AA1481" s="334">
        <v>11624.0</v>
      </c>
      <c r="AB1481" s="341"/>
      <c r="AC1481" s="341"/>
      <c r="AD1481" s="343"/>
      <c r="AE1481" s="331"/>
      <c r="AF1481" s="348"/>
      <c r="AG1481" s="337"/>
      <c r="AH1481" s="341"/>
      <c r="AI1481" s="341"/>
      <c r="AJ1481" s="341"/>
      <c r="AK1481" s="341"/>
      <c r="AL1481" s="341"/>
      <c r="AM1481" s="338"/>
      <c r="AN1481" s="341"/>
      <c r="AO1481" s="341"/>
      <c r="AP1481" s="341"/>
      <c r="AQ1481" s="341"/>
      <c r="AR1481" s="341"/>
      <c r="AS1481" s="341"/>
      <c r="AT1481" s="341"/>
      <c r="AU1481" s="343"/>
      <c r="AV1481" s="341"/>
      <c r="AW1481" s="269" t="s">
        <v>2316</v>
      </c>
      <c r="AX1481" s="334" t="s">
        <v>2869</v>
      </c>
      <c r="AY1481" s="270" t="s">
        <v>695</v>
      </c>
      <c r="AZ1481" s="173" t="s">
        <v>5516</v>
      </c>
      <c r="BA1481" s="265">
        <v>10.0</v>
      </c>
      <c r="BB1481" s="174" t="s">
        <v>245</v>
      </c>
      <c r="BC1481" s="341"/>
      <c r="BD1481" s="308"/>
      <c r="BE1481" s="342"/>
      <c r="BF1481" s="274" t="str">
        <f>IFERROR(__xludf.DUMMYFUNCTION("LOWER(Regexreplace(to_text(E1481),""[^A-Za-z0-9]"","""")&amp;""_""&amp;Regexreplace(to_text(F1481),""[^A-Za-z0-9]"",""""))"),"neptronic_evcbseries")</f>
        <v>neptronic_evcbseries</v>
      </c>
      <c r="BG1481" s="275" t="str">
        <f>IFERROR(__xludf.DUMMYFUNCTION("upper(Regexreplace(to_text(E1481),""[^A-Za-z0-9]"","""")&amp;""-""&amp;Regexreplace(to_text(F1481),""[^A-Za-z0-9]"",""""))"),"NEPTRONIC-EVCBSERIES")</f>
        <v>NEPTRONIC-EVCBSERIES</v>
      </c>
    </row>
    <row r="1482" ht="30.0" customHeight="1">
      <c r="A1482" s="258">
        <v>1474.0</v>
      </c>
      <c r="B1482" s="328" t="s">
        <v>670</v>
      </c>
      <c r="C1482" s="257" t="s">
        <v>5935</v>
      </c>
      <c r="D1482" s="173" t="s">
        <v>5935</v>
      </c>
      <c r="E1482" s="174" t="s">
        <v>2861</v>
      </c>
      <c r="F1482" s="173" t="s">
        <v>2862</v>
      </c>
      <c r="G1482" s="328" t="s">
        <v>673</v>
      </c>
      <c r="H1482" s="328" t="s">
        <v>2863</v>
      </c>
      <c r="I1482" s="258" t="s">
        <v>2864</v>
      </c>
      <c r="J1482" s="259" t="s">
        <v>1149</v>
      </c>
      <c r="K1482" s="260" t="s">
        <v>5936</v>
      </c>
      <c r="L1482" s="359"/>
      <c r="M1482" s="359"/>
      <c r="N1482" s="173" t="s">
        <v>679</v>
      </c>
      <c r="O1482" s="173" t="s">
        <v>225</v>
      </c>
      <c r="P1482" s="262" t="str">
        <f t="shared" si="1"/>
        <v>IN-BLR-ANANTA-VAV-1054_6</v>
      </c>
      <c r="Q1482" s="173" t="s">
        <v>5937</v>
      </c>
      <c r="R1482" s="328" t="str">
        <f>IFS(C1482="","",C1482="n/a","N/A",LEN(C1482),Concatenate("{",char(34),"asset",char(34),":{",char(34),"guid",char(34),":",char(34),Q1482,char(34),",",char(34),"site",char(34),":",char(34),LOWER('2-Building'!$B$4),char(34),",",char(34),"name",char(34),":",char(34),LOWER(C1482),char(34),"}}"))</f>
        <v>{"asset":{"guid":"uuid://dc8b0b63-a874-41ec-aaea-c92c0ddc0683","site":"in-blr-ananta","name":"vav-1054"}}</v>
      </c>
      <c r="S1482" s="360" t="s">
        <v>5516</v>
      </c>
      <c r="T1482" s="330"/>
      <c r="U1482" s="330"/>
      <c r="V1482" s="331"/>
      <c r="W1482" s="332"/>
      <c r="X1482" s="333"/>
      <c r="Y1482" s="33" t="s">
        <v>2867</v>
      </c>
      <c r="Z1482" s="258">
        <v>121054.0</v>
      </c>
      <c r="AA1482" s="334">
        <v>11624.0</v>
      </c>
      <c r="AB1482" s="341"/>
      <c r="AC1482" s="341"/>
      <c r="AD1482" s="343"/>
      <c r="AE1482" s="331"/>
      <c r="AF1482" s="348"/>
      <c r="AG1482" s="337"/>
      <c r="AH1482" s="341"/>
      <c r="AI1482" s="341"/>
      <c r="AJ1482" s="341"/>
      <c r="AK1482" s="341"/>
      <c r="AL1482" s="341"/>
      <c r="AM1482" s="338"/>
      <c r="AN1482" s="341"/>
      <c r="AO1482" s="341"/>
      <c r="AP1482" s="341"/>
      <c r="AQ1482" s="341"/>
      <c r="AR1482" s="341"/>
      <c r="AS1482" s="341"/>
      <c r="AT1482" s="341"/>
      <c r="AU1482" s="343"/>
      <c r="AV1482" s="341"/>
      <c r="AW1482" s="269" t="s">
        <v>2316</v>
      </c>
      <c r="AX1482" s="334" t="s">
        <v>2869</v>
      </c>
      <c r="AY1482" s="270" t="s">
        <v>695</v>
      </c>
      <c r="AZ1482" s="173" t="s">
        <v>5516</v>
      </c>
      <c r="BA1482" s="265">
        <v>10.0</v>
      </c>
      <c r="BB1482" s="174" t="s">
        <v>245</v>
      </c>
      <c r="BC1482" s="341"/>
      <c r="BD1482" s="308"/>
      <c r="BE1482" s="342"/>
      <c r="BF1482" s="274" t="str">
        <f>IFERROR(__xludf.DUMMYFUNCTION("LOWER(Regexreplace(to_text(E1482),""[^A-Za-z0-9]"","""")&amp;""_""&amp;Regexreplace(to_text(F1482),""[^A-Za-z0-9]"",""""))"),"neptronic_evcbseries")</f>
        <v>neptronic_evcbseries</v>
      </c>
      <c r="BG1482" s="275" t="str">
        <f>IFERROR(__xludf.DUMMYFUNCTION("upper(Regexreplace(to_text(E1482),""[^A-Za-z0-9]"","""")&amp;""-""&amp;Regexreplace(to_text(F1482),""[^A-Za-z0-9]"",""""))"),"NEPTRONIC-EVCBSERIES")</f>
        <v>NEPTRONIC-EVCBSERIES</v>
      </c>
    </row>
    <row r="1483" ht="30.0" customHeight="1">
      <c r="A1483" s="173">
        <v>1475.0</v>
      </c>
      <c r="B1483" s="328" t="s">
        <v>670</v>
      </c>
      <c r="C1483" s="257" t="s">
        <v>5938</v>
      </c>
      <c r="D1483" s="173" t="s">
        <v>5938</v>
      </c>
      <c r="E1483" s="174" t="s">
        <v>2861</v>
      </c>
      <c r="F1483" s="173" t="s">
        <v>2862</v>
      </c>
      <c r="G1483" s="328" t="s">
        <v>673</v>
      </c>
      <c r="H1483" s="328" t="s">
        <v>2863</v>
      </c>
      <c r="I1483" s="258" t="s">
        <v>2864</v>
      </c>
      <c r="J1483" s="259" t="s">
        <v>1149</v>
      </c>
      <c r="K1483" s="260" t="s">
        <v>5939</v>
      </c>
      <c r="L1483" s="359"/>
      <c r="M1483" s="359"/>
      <c r="N1483" s="173" t="s">
        <v>679</v>
      </c>
      <c r="O1483" s="173" t="s">
        <v>225</v>
      </c>
      <c r="P1483" s="262" t="str">
        <f t="shared" si="1"/>
        <v>IN-BLR-ANANTA-VAV-1055_6</v>
      </c>
      <c r="Q1483" s="173" t="s">
        <v>5940</v>
      </c>
      <c r="R1483" s="328" t="str">
        <f>IFS(C1483="","",C1483="n/a","N/A",LEN(C1483),Concatenate("{",char(34),"asset",char(34),":{",char(34),"guid",char(34),":",char(34),Q1483,char(34),",",char(34),"site",char(34),":",char(34),LOWER('2-Building'!$B$4),char(34),",",char(34),"name",char(34),":",char(34),LOWER(C1483),char(34),"}}"))</f>
        <v>{"asset":{"guid":"uuid://d3405004-53a8-4634-8685-e5f9ebf1fd54","site":"in-blr-ananta","name":"vav-1055"}}</v>
      </c>
      <c r="S1483" s="360" t="s">
        <v>5516</v>
      </c>
      <c r="T1483" s="330"/>
      <c r="U1483" s="330"/>
      <c r="V1483" s="331"/>
      <c r="W1483" s="332"/>
      <c r="X1483" s="333"/>
      <c r="Y1483" s="33" t="s">
        <v>2867</v>
      </c>
      <c r="Z1483" s="258">
        <v>121055.0</v>
      </c>
      <c r="AA1483" s="334">
        <v>11624.0</v>
      </c>
      <c r="AB1483" s="341"/>
      <c r="AC1483" s="341"/>
      <c r="AD1483" s="343"/>
      <c r="AE1483" s="331"/>
      <c r="AF1483" s="348"/>
      <c r="AG1483" s="337"/>
      <c r="AH1483" s="341"/>
      <c r="AI1483" s="341"/>
      <c r="AJ1483" s="341"/>
      <c r="AK1483" s="341"/>
      <c r="AL1483" s="341"/>
      <c r="AM1483" s="338"/>
      <c r="AN1483" s="341"/>
      <c r="AO1483" s="341"/>
      <c r="AP1483" s="341"/>
      <c r="AQ1483" s="341"/>
      <c r="AR1483" s="341"/>
      <c r="AS1483" s="341"/>
      <c r="AT1483" s="341"/>
      <c r="AU1483" s="343"/>
      <c r="AV1483" s="341"/>
      <c r="AW1483" s="269" t="s">
        <v>2316</v>
      </c>
      <c r="AX1483" s="334" t="s">
        <v>2869</v>
      </c>
      <c r="AY1483" s="270" t="s">
        <v>695</v>
      </c>
      <c r="AZ1483" s="173" t="s">
        <v>5516</v>
      </c>
      <c r="BA1483" s="265">
        <v>10.0</v>
      </c>
      <c r="BB1483" s="174" t="s">
        <v>245</v>
      </c>
      <c r="BC1483" s="341"/>
      <c r="BD1483" s="308"/>
      <c r="BE1483" s="342"/>
      <c r="BF1483" s="274" t="str">
        <f>IFERROR(__xludf.DUMMYFUNCTION("LOWER(Regexreplace(to_text(E1483),""[^A-Za-z0-9]"","""")&amp;""_""&amp;Regexreplace(to_text(F1483),""[^A-Za-z0-9]"",""""))"),"neptronic_evcbseries")</f>
        <v>neptronic_evcbseries</v>
      </c>
      <c r="BG1483" s="275" t="str">
        <f>IFERROR(__xludf.DUMMYFUNCTION("upper(Regexreplace(to_text(E1483),""[^A-Za-z0-9]"","""")&amp;""-""&amp;Regexreplace(to_text(F1483),""[^A-Za-z0-9]"",""""))"),"NEPTRONIC-EVCBSERIES")</f>
        <v>NEPTRONIC-EVCBSERIES</v>
      </c>
    </row>
    <row r="1484" ht="30.0" customHeight="1">
      <c r="A1484" s="258">
        <v>1476.0</v>
      </c>
      <c r="B1484" s="328" t="s">
        <v>670</v>
      </c>
      <c r="C1484" s="257" t="s">
        <v>5941</v>
      </c>
      <c r="D1484" s="173" t="s">
        <v>5941</v>
      </c>
      <c r="E1484" s="174" t="s">
        <v>2861</v>
      </c>
      <c r="F1484" s="173" t="s">
        <v>2862</v>
      </c>
      <c r="G1484" s="328" t="s">
        <v>673</v>
      </c>
      <c r="H1484" s="328" t="s">
        <v>2863</v>
      </c>
      <c r="I1484" s="258" t="s">
        <v>2864</v>
      </c>
      <c r="J1484" s="259" t="s">
        <v>1149</v>
      </c>
      <c r="K1484" s="260" t="s">
        <v>5942</v>
      </c>
      <c r="L1484" s="359"/>
      <c r="M1484" s="359"/>
      <c r="N1484" s="173" t="s">
        <v>679</v>
      </c>
      <c r="O1484" s="173" t="s">
        <v>225</v>
      </c>
      <c r="P1484" s="262" t="str">
        <f t="shared" si="1"/>
        <v>IN-BLR-ANANTA-VAV-1056_6</v>
      </c>
      <c r="Q1484" s="173" t="s">
        <v>5943</v>
      </c>
      <c r="R1484" s="328" t="str">
        <f>IFS(C1484="","",C1484="n/a","N/A",LEN(C1484),Concatenate("{",char(34),"asset",char(34),":{",char(34),"guid",char(34),":",char(34),Q1484,char(34),",",char(34),"site",char(34),":",char(34),LOWER('2-Building'!$B$4),char(34),",",char(34),"name",char(34),":",char(34),LOWER(C1484),char(34),"}}"))</f>
        <v>{"asset":{"guid":"uuid://d71e69e9-c802-4aca-bfbb-cba215426485","site":"in-blr-ananta","name":"vav-1056"}}</v>
      </c>
      <c r="S1484" s="360" t="s">
        <v>5516</v>
      </c>
      <c r="T1484" s="330"/>
      <c r="U1484" s="330"/>
      <c r="V1484" s="331"/>
      <c r="W1484" s="332"/>
      <c r="X1484" s="333"/>
      <c r="Y1484" s="33" t="s">
        <v>2867</v>
      </c>
      <c r="Z1484" s="258">
        <v>121056.0</v>
      </c>
      <c r="AA1484" s="334">
        <v>11624.0</v>
      </c>
      <c r="AB1484" s="341"/>
      <c r="AC1484" s="341"/>
      <c r="AD1484" s="343"/>
      <c r="AE1484" s="331"/>
      <c r="AF1484" s="348"/>
      <c r="AG1484" s="337"/>
      <c r="AH1484" s="341"/>
      <c r="AI1484" s="341"/>
      <c r="AJ1484" s="341"/>
      <c r="AK1484" s="341"/>
      <c r="AL1484" s="341"/>
      <c r="AM1484" s="338"/>
      <c r="AN1484" s="341"/>
      <c r="AO1484" s="341"/>
      <c r="AP1484" s="341"/>
      <c r="AQ1484" s="341"/>
      <c r="AR1484" s="341"/>
      <c r="AS1484" s="341"/>
      <c r="AT1484" s="341"/>
      <c r="AU1484" s="343"/>
      <c r="AV1484" s="341"/>
      <c r="AW1484" s="269" t="s">
        <v>2316</v>
      </c>
      <c r="AX1484" s="334" t="s">
        <v>2869</v>
      </c>
      <c r="AY1484" s="270" t="s">
        <v>695</v>
      </c>
      <c r="AZ1484" s="173" t="s">
        <v>5516</v>
      </c>
      <c r="BA1484" s="265">
        <v>10.0</v>
      </c>
      <c r="BB1484" s="174" t="s">
        <v>245</v>
      </c>
      <c r="BC1484" s="341"/>
      <c r="BD1484" s="308"/>
      <c r="BE1484" s="342"/>
      <c r="BF1484" s="274" t="str">
        <f>IFERROR(__xludf.DUMMYFUNCTION("LOWER(Regexreplace(to_text(E1484),""[^A-Za-z0-9]"","""")&amp;""_""&amp;Regexreplace(to_text(F1484),""[^A-Za-z0-9]"",""""))"),"neptronic_evcbseries")</f>
        <v>neptronic_evcbseries</v>
      </c>
      <c r="BG1484" s="275" t="str">
        <f>IFERROR(__xludf.DUMMYFUNCTION("upper(Regexreplace(to_text(E1484),""[^A-Za-z0-9]"","""")&amp;""-""&amp;Regexreplace(to_text(F1484),""[^A-Za-z0-9]"",""""))"),"NEPTRONIC-EVCBSERIES")</f>
        <v>NEPTRONIC-EVCBSERIES</v>
      </c>
    </row>
    <row r="1485" ht="30.0" customHeight="1">
      <c r="A1485" s="173">
        <v>1477.0</v>
      </c>
      <c r="B1485" s="328" t="s">
        <v>670</v>
      </c>
      <c r="C1485" s="257" t="s">
        <v>5944</v>
      </c>
      <c r="D1485" s="173" t="s">
        <v>5944</v>
      </c>
      <c r="E1485" s="174" t="s">
        <v>2861</v>
      </c>
      <c r="F1485" s="173" t="s">
        <v>2862</v>
      </c>
      <c r="G1485" s="328" t="s">
        <v>673</v>
      </c>
      <c r="H1485" s="328" t="s">
        <v>2863</v>
      </c>
      <c r="I1485" s="258" t="s">
        <v>2864</v>
      </c>
      <c r="J1485" s="259" t="s">
        <v>1149</v>
      </c>
      <c r="K1485" s="260" t="s">
        <v>5945</v>
      </c>
      <c r="L1485" s="359"/>
      <c r="M1485" s="359"/>
      <c r="N1485" s="173" t="s">
        <v>679</v>
      </c>
      <c r="O1485" s="173" t="s">
        <v>225</v>
      </c>
      <c r="P1485" s="262" t="str">
        <f t="shared" si="1"/>
        <v>IN-BLR-ANANTA-VAV-1057_6</v>
      </c>
      <c r="Q1485" s="173" t="s">
        <v>5946</v>
      </c>
      <c r="R1485" s="328" t="str">
        <f>IFS(C1485="","",C1485="n/a","N/A",LEN(C1485),Concatenate("{",char(34),"asset",char(34),":{",char(34),"guid",char(34),":",char(34),Q1485,char(34),",",char(34),"site",char(34),":",char(34),LOWER('2-Building'!$B$4),char(34),",",char(34),"name",char(34),":",char(34),LOWER(C1485),char(34),"}}"))</f>
        <v>{"asset":{"guid":"uuid://cad478f2-f2e7-4262-833b-928d2b984ae5","site":"in-blr-ananta","name":"vav-1057"}}</v>
      </c>
      <c r="S1485" s="360" t="s">
        <v>5516</v>
      </c>
      <c r="T1485" s="330"/>
      <c r="U1485" s="330"/>
      <c r="V1485" s="331"/>
      <c r="W1485" s="332"/>
      <c r="X1485" s="333"/>
      <c r="Y1485" s="33" t="s">
        <v>2867</v>
      </c>
      <c r="Z1485" s="258">
        <v>121057.0</v>
      </c>
      <c r="AA1485" s="334">
        <v>11624.0</v>
      </c>
      <c r="AB1485" s="341"/>
      <c r="AC1485" s="341"/>
      <c r="AD1485" s="343"/>
      <c r="AE1485" s="331"/>
      <c r="AF1485" s="348"/>
      <c r="AG1485" s="337"/>
      <c r="AH1485" s="341"/>
      <c r="AI1485" s="341"/>
      <c r="AJ1485" s="341"/>
      <c r="AK1485" s="341"/>
      <c r="AL1485" s="341"/>
      <c r="AM1485" s="338"/>
      <c r="AN1485" s="341"/>
      <c r="AO1485" s="341"/>
      <c r="AP1485" s="341"/>
      <c r="AQ1485" s="341"/>
      <c r="AR1485" s="341"/>
      <c r="AS1485" s="341"/>
      <c r="AT1485" s="341"/>
      <c r="AU1485" s="343"/>
      <c r="AV1485" s="341"/>
      <c r="AW1485" s="269" t="s">
        <v>2316</v>
      </c>
      <c r="AX1485" s="334" t="s">
        <v>2869</v>
      </c>
      <c r="AY1485" s="270" t="s">
        <v>695</v>
      </c>
      <c r="AZ1485" s="173" t="s">
        <v>5516</v>
      </c>
      <c r="BA1485" s="265">
        <v>10.0</v>
      </c>
      <c r="BB1485" s="174" t="s">
        <v>245</v>
      </c>
      <c r="BC1485" s="341"/>
      <c r="BD1485" s="308"/>
      <c r="BE1485" s="342"/>
      <c r="BF1485" s="274" t="str">
        <f>IFERROR(__xludf.DUMMYFUNCTION("LOWER(Regexreplace(to_text(E1485),""[^A-Za-z0-9]"","""")&amp;""_""&amp;Regexreplace(to_text(F1485),""[^A-Za-z0-9]"",""""))"),"neptronic_evcbseries")</f>
        <v>neptronic_evcbseries</v>
      </c>
      <c r="BG1485" s="275" t="str">
        <f>IFERROR(__xludf.DUMMYFUNCTION("upper(Regexreplace(to_text(E1485),""[^A-Za-z0-9]"","""")&amp;""-""&amp;Regexreplace(to_text(F1485),""[^A-Za-z0-9]"",""""))"),"NEPTRONIC-EVCBSERIES")</f>
        <v>NEPTRONIC-EVCBSERIES</v>
      </c>
    </row>
    <row r="1486" ht="30.0" customHeight="1">
      <c r="A1486" s="258">
        <v>1478.0</v>
      </c>
      <c r="B1486" s="328" t="s">
        <v>670</v>
      </c>
      <c r="C1486" s="257" t="s">
        <v>5947</v>
      </c>
      <c r="D1486" s="173" t="s">
        <v>5947</v>
      </c>
      <c r="E1486" s="174" t="s">
        <v>2861</v>
      </c>
      <c r="F1486" s="173" t="s">
        <v>2862</v>
      </c>
      <c r="G1486" s="328" t="s">
        <v>673</v>
      </c>
      <c r="H1486" s="328" t="s">
        <v>2863</v>
      </c>
      <c r="I1486" s="258" t="s">
        <v>2864</v>
      </c>
      <c r="J1486" s="259" t="s">
        <v>1149</v>
      </c>
      <c r="K1486" s="260" t="s">
        <v>5948</v>
      </c>
      <c r="L1486" s="359"/>
      <c r="M1486" s="359"/>
      <c r="N1486" s="173" t="s">
        <v>679</v>
      </c>
      <c r="O1486" s="173" t="s">
        <v>225</v>
      </c>
      <c r="P1486" s="262" t="str">
        <f t="shared" si="1"/>
        <v>IN-BLR-ANANTA-VAV-1058_6</v>
      </c>
      <c r="Q1486" s="173" t="s">
        <v>5949</v>
      </c>
      <c r="R1486" s="328" t="str">
        <f>IFS(C1486="","",C1486="n/a","N/A",LEN(C1486),Concatenate("{",char(34),"asset",char(34),":{",char(34),"guid",char(34),":",char(34),Q1486,char(34),",",char(34),"site",char(34),":",char(34),LOWER('2-Building'!$B$4),char(34),",",char(34),"name",char(34),":",char(34),LOWER(C1486),char(34),"}}"))</f>
        <v>{"asset":{"guid":"uuid://2e06cdf5-cfc4-4dc2-8566-4b3f43a8d8a9","site":"in-blr-ananta","name":"vav-1058"}}</v>
      </c>
      <c r="S1486" s="360" t="s">
        <v>5516</v>
      </c>
      <c r="T1486" s="330"/>
      <c r="U1486" s="330"/>
      <c r="V1486" s="331"/>
      <c r="W1486" s="332"/>
      <c r="X1486" s="333"/>
      <c r="Y1486" s="33" t="s">
        <v>2867</v>
      </c>
      <c r="Z1486" s="258">
        <v>121058.0</v>
      </c>
      <c r="AA1486" s="334">
        <v>11624.0</v>
      </c>
      <c r="AB1486" s="341"/>
      <c r="AC1486" s="341"/>
      <c r="AD1486" s="343"/>
      <c r="AE1486" s="331"/>
      <c r="AF1486" s="348"/>
      <c r="AG1486" s="337"/>
      <c r="AH1486" s="341"/>
      <c r="AI1486" s="341"/>
      <c r="AJ1486" s="341"/>
      <c r="AK1486" s="341"/>
      <c r="AL1486" s="341"/>
      <c r="AM1486" s="338"/>
      <c r="AN1486" s="341"/>
      <c r="AO1486" s="341"/>
      <c r="AP1486" s="341"/>
      <c r="AQ1486" s="341"/>
      <c r="AR1486" s="341"/>
      <c r="AS1486" s="341"/>
      <c r="AT1486" s="341"/>
      <c r="AU1486" s="343"/>
      <c r="AV1486" s="341"/>
      <c r="AW1486" s="269" t="s">
        <v>2316</v>
      </c>
      <c r="AX1486" s="334" t="s">
        <v>2869</v>
      </c>
      <c r="AY1486" s="270" t="s">
        <v>695</v>
      </c>
      <c r="AZ1486" s="173" t="s">
        <v>5516</v>
      </c>
      <c r="BA1486" s="265">
        <v>10.0</v>
      </c>
      <c r="BB1486" s="174" t="s">
        <v>245</v>
      </c>
      <c r="BC1486" s="341"/>
      <c r="BD1486" s="308"/>
      <c r="BE1486" s="342"/>
      <c r="BF1486" s="274" t="str">
        <f>IFERROR(__xludf.DUMMYFUNCTION("LOWER(Regexreplace(to_text(E1486),""[^A-Za-z0-9]"","""")&amp;""_""&amp;Regexreplace(to_text(F1486),""[^A-Za-z0-9]"",""""))"),"neptronic_evcbseries")</f>
        <v>neptronic_evcbseries</v>
      </c>
      <c r="BG1486" s="275" t="str">
        <f>IFERROR(__xludf.DUMMYFUNCTION("upper(Regexreplace(to_text(E1486),""[^A-Za-z0-9]"","""")&amp;""-""&amp;Regexreplace(to_text(F1486),""[^A-Za-z0-9]"",""""))"),"NEPTRONIC-EVCBSERIES")</f>
        <v>NEPTRONIC-EVCBSERIES</v>
      </c>
    </row>
    <row r="1487" ht="30.0" customHeight="1">
      <c r="A1487" s="173">
        <v>1479.0</v>
      </c>
      <c r="B1487" s="328" t="s">
        <v>670</v>
      </c>
      <c r="C1487" s="257" t="s">
        <v>5950</v>
      </c>
      <c r="D1487" s="173" t="s">
        <v>5950</v>
      </c>
      <c r="E1487" s="174" t="s">
        <v>2861</v>
      </c>
      <c r="F1487" s="173" t="s">
        <v>2862</v>
      </c>
      <c r="G1487" s="328" t="s">
        <v>673</v>
      </c>
      <c r="H1487" s="328" t="s">
        <v>2863</v>
      </c>
      <c r="I1487" s="258" t="s">
        <v>2864</v>
      </c>
      <c r="J1487" s="259" t="s">
        <v>1149</v>
      </c>
      <c r="K1487" s="260" t="s">
        <v>5951</v>
      </c>
      <c r="L1487" s="359"/>
      <c r="M1487" s="359"/>
      <c r="N1487" s="173" t="s">
        <v>679</v>
      </c>
      <c r="O1487" s="173" t="s">
        <v>225</v>
      </c>
      <c r="P1487" s="262" t="str">
        <f t="shared" si="1"/>
        <v>IN-BLR-ANANTA-VAV-1059_6</v>
      </c>
      <c r="Q1487" s="173" t="s">
        <v>5952</v>
      </c>
      <c r="R1487" s="328" t="str">
        <f>IFS(C1487="","",C1487="n/a","N/A",LEN(C1487),Concatenate("{",char(34),"asset",char(34),":{",char(34),"guid",char(34),":",char(34),Q1487,char(34),",",char(34),"site",char(34),":",char(34),LOWER('2-Building'!$B$4),char(34),",",char(34),"name",char(34),":",char(34),LOWER(C1487),char(34),"}}"))</f>
        <v>{"asset":{"guid":"uuid://18f6f59d-e14e-4790-b264-732355fb4223","site":"in-blr-ananta","name":"vav-1059"}}</v>
      </c>
      <c r="S1487" s="360" t="s">
        <v>5516</v>
      </c>
      <c r="T1487" s="330"/>
      <c r="U1487" s="330"/>
      <c r="V1487" s="331"/>
      <c r="W1487" s="332"/>
      <c r="X1487" s="333"/>
      <c r="Y1487" s="33" t="s">
        <v>2867</v>
      </c>
      <c r="Z1487" s="258">
        <v>121059.0</v>
      </c>
      <c r="AA1487" s="334">
        <v>11624.0</v>
      </c>
      <c r="AB1487" s="341"/>
      <c r="AC1487" s="341"/>
      <c r="AD1487" s="343"/>
      <c r="AE1487" s="331"/>
      <c r="AF1487" s="348"/>
      <c r="AG1487" s="337"/>
      <c r="AH1487" s="341"/>
      <c r="AI1487" s="341"/>
      <c r="AJ1487" s="341"/>
      <c r="AK1487" s="341"/>
      <c r="AL1487" s="341"/>
      <c r="AM1487" s="338"/>
      <c r="AN1487" s="341"/>
      <c r="AO1487" s="341"/>
      <c r="AP1487" s="341"/>
      <c r="AQ1487" s="341"/>
      <c r="AR1487" s="341"/>
      <c r="AS1487" s="341"/>
      <c r="AT1487" s="341"/>
      <c r="AU1487" s="343"/>
      <c r="AV1487" s="341"/>
      <c r="AW1487" s="269" t="s">
        <v>2316</v>
      </c>
      <c r="AX1487" s="334" t="s">
        <v>2869</v>
      </c>
      <c r="AY1487" s="270" t="s">
        <v>695</v>
      </c>
      <c r="AZ1487" s="173" t="s">
        <v>5516</v>
      </c>
      <c r="BA1487" s="265">
        <v>10.0</v>
      </c>
      <c r="BB1487" s="174" t="s">
        <v>245</v>
      </c>
      <c r="BC1487" s="341"/>
      <c r="BD1487" s="308"/>
      <c r="BE1487" s="342"/>
      <c r="BF1487" s="274" t="str">
        <f>IFERROR(__xludf.DUMMYFUNCTION("LOWER(Regexreplace(to_text(E1487),""[^A-Za-z0-9]"","""")&amp;""_""&amp;Regexreplace(to_text(F1487),""[^A-Za-z0-9]"",""""))"),"neptronic_evcbseries")</f>
        <v>neptronic_evcbseries</v>
      </c>
      <c r="BG1487" s="275" t="str">
        <f>IFERROR(__xludf.DUMMYFUNCTION("upper(Regexreplace(to_text(E1487),""[^A-Za-z0-9]"","""")&amp;""-""&amp;Regexreplace(to_text(F1487),""[^A-Za-z0-9]"",""""))"),"NEPTRONIC-EVCBSERIES")</f>
        <v>NEPTRONIC-EVCBSERIES</v>
      </c>
    </row>
    <row r="1488" ht="30.0" customHeight="1">
      <c r="A1488" s="258">
        <v>1480.0</v>
      </c>
      <c r="B1488" s="328" t="s">
        <v>670</v>
      </c>
      <c r="C1488" s="257" t="s">
        <v>5953</v>
      </c>
      <c r="D1488" s="173" t="s">
        <v>5953</v>
      </c>
      <c r="E1488" s="174" t="s">
        <v>2861</v>
      </c>
      <c r="F1488" s="173" t="s">
        <v>2862</v>
      </c>
      <c r="G1488" s="328" t="s">
        <v>673</v>
      </c>
      <c r="H1488" s="328" t="s">
        <v>2863</v>
      </c>
      <c r="I1488" s="258" t="s">
        <v>2864</v>
      </c>
      <c r="J1488" s="259" t="s">
        <v>1149</v>
      </c>
      <c r="K1488" s="260" t="s">
        <v>5954</v>
      </c>
      <c r="L1488" s="359"/>
      <c r="M1488" s="359"/>
      <c r="N1488" s="173" t="s">
        <v>679</v>
      </c>
      <c r="O1488" s="173" t="s">
        <v>225</v>
      </c>
      <c r="P1488" s="262" t="str">
        <f t="shared" si="1"/>
        <v>IN-BLR-ANANTA-VAV-1060_6</v>
      </c>
      <c r="Q1488" s="173" t="s">
        <v>5955</v>
      </c>
      <c r="R1488" s="328" t="str">
        <f>IFS(C1488="","",C1488="n/a","N/A",LEN(C1488),Concatenate("{",char(34),"asset",char(34),":{",char(34),"guid",char(34),":",char(34),Q1488,char(34),",",char(34),"site",char(34),":",char(34),LOWER('2-Building'!$B$4),char(34),",",char(34),"name",char(34),":",char(34),LOWER(C1488),char(34),"}}"))</f>
        <v>{"asset":{"guid":"uuid://93957275-5012-443e-a567-c23020d23bf1","site":"in-blr-ananta","name":"vav-1060"}}</v>
      </c>
      <c r="S1488" s="360" t="s">
        <v>5516</v>
      </c>
      <c r="T1488" s="330"/>
      <c r="U1488" s="330"/>
      <c r="V1488" s="331"/>
      <c r="W1488" s="332"/>
      <c r="X1488" s="333"/>
      <c r="Y1488" s="33" t="s">
        <v>2867</v>
      </c>
      <c r="Z1488" s="258">
        <v>121060.0</v>
      </c>
      <c r="AA1488" s="334">
        <v>11624.0</v>
      </c>
      <c r="AB1488" s="341"/>
      <c r="AC1488" s="341"/>
      <c r="AD1488" s="343"/>
      <c r="AE1488" s="331"/>
      <c r="AF1488" s="348"/>
      <c r="AG1488" s="337"/>
      <c r="AH1488" s="341"/>
      <c r="AI1488" s="341"/>
      <c r="AJ1488" s="341"/>
      <c r="AK1488" s="341"/>
      <c r="AL1488" s="341"/>
      <c r="AM1488" s="338"/>
      <c r="AN1488" s="341"/>
      <c r="AO1488" s="341"/>
      <c r="AP1488" s="341"/>
      <c r="AQ1488" s="341"/>
      <c r="AR1488" s="341"/>
      <c r="AS1488" s="341"/>
      <c r="AT1488" s="341"/>
      <c r="AU1488" s="343"/>
      <c r="AV1488" s="341"/>
      <c r="AW1488" s="269" t="s">
        <v>2316</v>
      </c>
      <c r="AX1488" s="334" t="s">
        <v>2869</v>
      </c>
      <c r="AY1488" s="270" t="s">
        <v>695</v>
      </c>
      <c r="AZ1488" s="173" t="s">
        <v>5516</v>
      </c>
      <c r="BA1488" s="265">
        <v>10.0</v>
      </c>
      <c r="BB1488" s="174" t="s">
        <v>245</v>
      </c>
      <c r="BC1488" s="341"/>
      <c r="BD1488" s="308"/>
      <c r="BE1488" s="342"/>
      <c r="BF1488" s="274" t="str">
        <f>IFERROR(__xludf.DUMMYFUNCTION("LOWER(Regexreplace(to_text(E1488),""[^A-Za-z0-9]"","""")&amp;""_""&amp;Regexreplace(to_text(F1488),""[^A-Za-z0-9]"",""""))"),"neptronic_evcbseries")</f>
        <v>neptronic_evcbseries</v>
      </c>
      <c r="BG1488" s="275" t="str">
        <f>IFERROR(__xludf.DUMMYFUNCTION("upper(Regexreplace(to_text(E1488),""[^A-Za-z0-9]"","""")&amp;""-""&amp;Regexreplace(to_text(F1488),""[^A-Za-z0-9]"",""""))"),"NEPTRONIC-EVCBSERIES")</f>
        <v>NEPTRONIC-EVCBSERIES</v>
      </c>
    </row>
    <row r="1489" ht="30.0" customHeight="1">
      <c r="A1489" s="173">
        <v>1481.0</v>
      </c>
      <c r="B1489" s="328" t="s">
        <v>670</v>
      </c>
      <c r="C1489" s="257" t="s">
        <v>5956</v>
      </c>
      <c r="D1489" s="173" t="s">
        <v>5956</v>
      </c>
      <c r="E1489" s="174" t="s">
        <v>2861</v>
      </c>
      <c r="F1489" s="173" t="s">
        <v>2862</v>
      </c>
      <c r="G1489" s="328" t="s">
        <v>673</v>
      </c>
      <c r="H1489" s="328" t="s">
        <v>2863</v>
      </c>
      <c r="I1489" s="258" t="s">
        <v>2864</v>
      </c>
      <c r="J1489" s="259" t="s">
        <v>1149</v>
      </c>
      <c r="K1489" s="260" t="s">
        <v>5957</v>
      </c>
      <c r="L1489" s="359"/>
      <c r="M1489" s="359"/>
      <c r="N1489" s="173" t="s">
        <v>679</v>
      </c>
      <c r="O1489" s="173" t="s">
        <v>225</v>
      </c>
      <c r="P1489" s="262" t="str">
        <f t="shared" si="1"/>
        <v>IN-BLR-ANANTA-VAV-1061_6</v>
      </c>
      <c r="Q1489" s="173" t="s">
        <v>5958</v>
      </c>
      <c r="R1489" s="328" t="str">
        <f>IFS(C1489="","",C1489="n/a","N/A",LEN(C1489),Concatenate("{",char(34),"asset",char(34),":{",char(34),"guid",char(34),":",char(34),Q1489,char(34),",",char(34),"site",char(34),":",char(34),LOWER('2-Building'!$B$4),char(34),",",char(34),"name",char(34),":",char(34),LOWER(C1489),char(34),"}}"))</f>
        <v>{"asset":{"guid":"uuid://3cd8fd18-7a4d-4e23-8312-cea35ff93a7c","site":"in-blr-ananta","name":"vav-1061"}}</v>
      </c>
      <c r="S1489" s="360" t="s">
        <v>5516</v>
      </c>
      <c r="T1489" s="330"/>
      <c r="U1489" s="330"/>
      <c r="V1489" s="331"/>
      <c r="W1489" s="332"/>
      <c r="X1489" s="333"/>
      <c r="Y1489" s="33" t="s">
        <v>2867</v>
      </c>
      <c r="Z1489" s="258">
        <v>121061.0</v>
      </c>
      <c r="AA1489" s="334">
        <v>11624.0</v>
      </c>
      <c r="AB1489" s="341"/>
      <c r="AC1489" s="341"/>
      <c r="AD1489" s="343"/>
      <c r="AE1489" s="331"/>
      <c r="AF1489" s="348"/>
      <c r="AG1489" s="337"/>
      <c r="AH1489" s="341"/>
      <c r="AI1489" s="341"/>
      <c r="AJ1489" s="341"/>
      <c r="AK1489" s="341"/>
      <c r="AL1489" s="341"/>
      <c r="AM1489" s="338"/>
      <c r="AN1489" s="341"/>
      <c r="AO1489" s="341"/>
      <c r="AP1489" s="341"/>
      <c r="AQ1489" s="341"/>
      <c r="AR1489" s="341"/>
      <c r="AS1489" s="341"/>
      <c r="AT1489" s="341"/>
      <c r="AU1489" s="343"/>
      <c r="AV1489" s="341"/>
      <c r="AW1489" s="269" t="s">
        <v>2316</v>
      </c>
      <c r="AX1489" s="334" t="s">
        <v>2869</v>
      </c>
      <c r="AY1489" s="270" t="s">
        <v>695</v>
      </c>
      <c r="AZ1489" s="173" t="s">
        <v>5516</v>
      </c>
      <c r="BA1489" s="265">
        <v>10.0</v>
      </c>
      <c r="BB1489" s="174" t="s">
        <v>245</v>
      </c>
      <c r="BC1489" s="341"/>
      <c r="BD1489" s="308"/>
      <c r="BE1489" s="342"/>
      <c r="BF1489" s="274" t="str">
        <f>IFERROR(__xludf.DUMMYFUNCTION("LOWER(Regexreplace(to_text(E1489),""[^A-Za-z0-9]"","""")&amp;""_""&amp;Regexreplace(to_text(F1489),""[^A-Za-z0-9]"",""""))"),"neptronic_evcbseries")</f>
        <v>neptronic_evcbseries</v>
      </c>
      <c r="BG1489" s="275" t="str">
        <f>IFERROR(__xludf.DUMMYFUNCTION("upper(Regexreplace(to_text(E1489),""[^A-Za-z0-9]"","""")&amp;""-""&amp;Regexreplace(to_text(F1489),""[^A-Za-z0-9]"",""""))"),"NEPTRONIC-EVCBSERIES")</f>
        <v>NEPTRONIC-EVCBSERIES</v>
      </c>
    </row>
    <row r="1490" ht="30.0" customHeight="1">
      <c r="A1490" s="258">
        <v>1482.0</v>
      </c>
      <c r="B1490" s="328" t="s">
        <v>670</v>
      </c>
      <c r="C1490" s="257" t="s">
        <v>5959</v>
      </c>
      <c r="D1490" s="173" t="s">
        <v>5959</v>
      </c>
      <c r="E1490" s="174" t="s">
        <v>2861</v>
      </c>
      <c r="F1490" s="173" t="s">
        <v>2862</v>
      </c>
      <c r="G1490" s="328" t="s">
        <v>673</v>
      </c>
      <c r="H1490" s="328" t="s">
        <v>2863</v>
      </c>
      <c r="I1490" s="258" t="s">
        <v>2864</v>
      </c>
      <c r="J1490" s="259" t="s">
        <v>1149</v>
      </c>
      <c r="K1490" s="260" t="s">
        <v>5960</v>
      </c>
      <c r="L1490" s="359"/>
      <c r="M1490" s="359"/>
      <c r="N1490" s="173" t="s">
        <v>679</v>
      </c>
      <c r="O1490" s="173" t="s">
        <v>225</v>
      </c>
      <c r="P1490" s="262" t="str">
        <f t="shared" si="1"/>
        <v>IN-BLR-ANANTA-VAV-1062_6</v>
      </c>
      <c r="Q1490" s="173" t="s">
        <v>5961</v>
      </c>
      <c r="R1490" s="328" t="str">
        <f>IFS(C1490="","",C1490="n/a","N/A",LEN(C1490),Concatenate("{",char(34),"asset",char(34),":{",char(34),"guid",char(34),":",char(34),Q1490,char(34),",",char(34),"site",char(34),":",char(34),LOWER('2-Building'!$B$4),char(34),",",char(34),"name",char(34),":",char(34),LOWER(C1490),char(34),"}}"))</f>
        <v>{"asset":{"guid":"uuid://86b51ddd-aab3-4cf0-8adc-cb08ef02afe2","site":"in-blr-ananta","name":"vav-1062"}}</v>
      </c>
      <c r="S1490" s="360" t="s">
        <v>5516</v>
      </c>
      <c r="T1490" s="330"/>
      <c r="U1490" s="330"/>
      <c r="V1490" s="331"/>
      <c r="W1490" s="332"/>
      <c r="X1490" s="333"/>
      <c r="Y1490" s="33" t="s">
        <v>2867</v>
      </c>
      <c r="Z1490" s="258">
        <v>121062.0</v>
      </c>
      <c r="AA1490" s="334">
        <v>11624.0</v>
      </c>
      <c r="AB1490" s="341"/>
      <c r="AC1490" s="341"/>
      <c r="AD1490" s="343"/>
      <c r="AE1490" s="331"/>
      <c r="AF1490" s="348"/>
      <c r="AG1490" s="337"/>
      <c r="AH1490" s="341"/>
      <c r="AI1490" s="341"/>
      <c r="AJ1490" s="341"/>
      <c r="AK1490" s="341"/>
      <c r="AL1490" s="341"/>
      <c r="AM1490" s="338"/>
      <c r="AN1490" s="341"/>
      <c r="AO1490" s="341"/>
      <c r="AP1490" s="341"/>
      <c r="AQ1490" s="341"/>
      <c r="AR1490" s="341"/>
      <c r="AS1490" s="341"/>
      <c r="AT1490" s="341"/>
      <c r="AU1490" s="343"/>
      <c r="AV1490" s="341"/>
      <c r="AW1490" s="269" t="s">
        <v>2316</v>
      </c>
      <c r="AX1490" s="334" t="s">
        <v>2869</v>
      </c>
      <c r="AY1490" s="270" t="s">
        <v>695</v>
      </c>
      <c r="AZ1490" s="173" t="s">
        <v>5516</v>
      </c>
      <c r="BA1490" s="265">
        <v>10.0</v>
      </c>
      <c r="BB1490" s="174" t="s">
        <v>245</v>
      </c>
      <c r="BC1490" s="341"/>
      <c r="BD1490" s="308"/>
      <c r="BE1490" s="342"/>
      <c r="BF1490" s="274" t="str">
        <f>IFERROR(__xludf.DUMMYFUNCTION("LOWER(Regexreplace(to_text(E1490),""[^A-Za-z0-9]"","""")&amp;""_""&amp;Regexreplace(to_text(F1490),""[^A-Za-z0-9]"",""""))"),"neptronic_evcbseries")</f>
        <v>neptronic_evcbseries</v>
      </c>
      <c r="BG1490" s="275" t="str">
        <f>IFERROR(__xludf.DUMMYFUNCTION("upper(Regexreplace(to_text(E1490),""[^A-Za-z0-9]"","""")&amp;""-""&amp;Regexreplace(to_text(F1490),""[^A-Za-z0-9]"",""""))"),"NEPTRONIC-EVCBSERIES")</f>
        <v>NEPTRONIC-EVCBSERIES</v>
      </c>
    </row>
    <row r="1491" ht="30.0" customHeight="1">
      <c r="A1491" s="173">
        <v>1483.0</v>
      </c>
      <c r="B1491" s="328" t="s">
        <v>670</v>
      </c>
      <c r="C1491" s="257" t="s">
        <v>5962</v>
      </c>
      <c r="D1491" s="173" t="s">
        <v>5962</v>
      </c>
      <c r="E1491" s="174" t="s">
        <v>2861</v>
      </c>
      <c r="F1491" s="173" t="s">
        <v>2862</v>
      </c>
      <c r="G1491" s="328" t="s">
        <v>673</v>
      </c>
      <c r="H1491" s="328" t="s">
        <v>2863</v>
      </c>
      <c r="I1491" s="258" t="s">
        <v>2864</v>
      </c>
      <c r="J1491" s="259" t="s">
        <v>1149</v>
      </c>
      <c r="K1491" s="260" t="s">
        <v>5963</v>
      </c>
      <c r="L1491" s="359"/>
      <c r="M1491" s="359"/>
      <c r="N1491" s="173" t="s">
        <v>679</v>
      </c>
      <c r="O1491" s="173" t="s">
        <v>225</v>
      </c>
      <c r="P1491" s="262" t="str">
        <f t="shared" si="1"/>
        <v>IN-BLR-ANANTA-VAV-1063_6</v>
      </c>
      <c r="Q1491" s="173" t="s">
        <v>5964</v>
      </c>
      <c r="R1491" s="328" t="str">
        <f>IFS(C1491="","",C1491="n/a","N/A",LEN(C1491),Concatenate("{",char(34),"asset",char(34),":{",char(34),"guid",char(34),":",char(34),Q1491,char(34),",",char(34),"site",char(34),":",char(34),LOWER('2-Building'!$B$4),char(34),",",char(34),"name",char(34),":",char(34),LOWER(C1491),char(34),"}}"))</f>
        <v>{"asset":{"guid":"uuid://a7939d3d-cd61-4ca5-9170-bf17ba97b7b9","site":"in-blr-ananta","name":"vav-1063"}}</v>
      </c>
      <c r="S1491" s="360" t="s">
        <v>5516</v>
      </c>
      <c r="T1491" s="330"/>
      <c r="U1491" s="330"/>
      <c r="V1491" s="331"/>
      <c r="W1491" s="332"/>
      <c r="X1491" s="333"/>
      <c r="Y1491" s="33" t="s">
        <v>2867</v>
      </c>
      <c r="Z1491" s="258">
        <v>121063.0</v>
      </c>
      <c r="AA1491" s="334">
        <v>11624.0</v>
      </c>
      <c r="AB1491" s="341"/>
      <c r="AC1491" s="341"/>
      <c r="AD1491" s="343"/>
      <c r="AE1491" s="331"/>
      <c r="AF1491" s="348"/>
      <c r="AG1491" s="337"/>
      <c r="AH1491" s="341"/>
      <c r="AI1491" s="341"/>
      <c r="AJ1491" s="341"/>
      <c r="AK1491" s="341"/>
      <c r="AL1491" s="341"/>
      <c r="AM1491" s="338"/>
      <c r="AN1491" s="341"/>
      <c r="AO1491" s="341"/>
      <c r="AP1491" s="341"/>
      <c r="AQ1491" s="341"/>
      <c r="AR1491" s="341"/>
      <c r="AS1491" s="341"/>
      <c r="AT1491" s="341"/>
      <c r="AU1491" s="343"/>
      <c r="AV1491" s="341"/>
      <c r="AW1491" s="269" t="s">
        <v>2316</v>
      </c>
      <c r="AX1491" s="334" t="s">
        <v>2869</v>
      </c>
      <c r="AY1491" s="270" t="s">
        <v>695</v>
      </c>
      <c r="AZ1491" s="173" t="s">
        <v>5516</v>
      </c>
      <c r="BA1491" s="265">
        <v>10.0</v>
      </c>
      <c r="BB1491" s="174" t="s">
        <v>245</v>
      </c>
      <c r="BC1491" s="341"/>
      <c r="BD1491" s="308"/>
      <c r="BE1491" s="342"/>
      <c r="BF1491" s="274" t="str">
        <f>IFERROR(__xludf.DUMMYFUNCTION("LOWER(Regexreplace(to_text(E1491),""[^A-Za-z0-9]"","""")&amp;""_""&amp;Regexreplace(to_text(F1491),""[^A-Za-z0-9]"",""""))"),"neptronic_evcbseries")</f>
        <v>neptronic_evcbseries</v>
      </c>
      <c r="BG1491" s="275" t="str">
        <f>IFERROR(__xludf.DUMMYFUNCTION("upper(Regexreplace(to_text(E1491),""[^A-Za-z0-9]"","""")&amp;""-""&amp;Regexreplace(to_text(F1491),""[^A-Za-z0-9]"",""""))"),"NEPTRONIC-EVCBSERIES")</f>
        <v>NEPTRONIC-EVCBSERIES</v>
      </c>
    </row>
    <row r="1492" ht="30.0" customHeight="1">
      <c r="A1492" s="258">
        <v>1484.0</v>
      </c>
      <c r="B1492" s="328" t="s">
        <v>670</v>
      </c>
      <c r="C1492" s="257" t="s">
        <v>5965</v>
      </c>
      <c r="D1492" s="173" t="s">
        <v>5965</v>
      </c>
      <c r="E1492" s="174" t="s">
        <v>2861</v>
      </c>
      <c r="F1492" s="173" t="s">
        <v>2862</v>
      </c>
      <c r="G1492" s="328" t="s">
        <v>673</v>
      </c>
      <c r="H1492" s="328" t="s">
        <v>2863</v>
      </c>
      <c r="I1492" s="258" t="s">
        <v>2864</v>
      </c>
      <c r="J1492" s="259" t="s">
        <v>1149</v>
      </c>
      <c r="K1492" s="260" t="s">
        <v>5966</v>
      </c>
      <c r="L1492" s="359"/>
      <c r="M1492" s="359"/>
      <c r="N1492" s="173" t="s">
        <v>679</v>
      </c>
      <c r="O1492" s="173" t="s">
        <v>225</v>
      </c>
      <c r="P1492" s="262" t="str">
        <f t="shared" si="1"/>
        <v>IN-BLR-ANANTA-VAV-1064_6</v>
      </c>
      <c r="Q1492" s="173" t="s">
        <v>5967</v>
      </c>
      <c r="R1492" s="328" t="str">
        <f>IFS(C1492="","",C1492="n/a","N/A",LEN(C1492),Concatenate("{",char(34),"asset",char(34),":{",char(34),"guid",char(34),":",char(34),Q1492,char(34),",",char(34),"site",char(34),":",char(34),LOWER('2-Building'!$B$4),char(34),",",char(34),"name",char(34),":",char(34),LOWER(C1492),char(34),"}}"))</f>
        <v>{"asset":{"guid":"uuid://26be4b87-e00e-4552-84d6-2f27cbc99c37","site":"in-blr-ananta","name":"vav-1064"}}</v>
      </c>
      <c r="S1492" s="360" t="s">
        <v>5516</v>
      </c>
      <c r="T1492" s="330"/>
      <c r="U1492" s="330"/>
      <c r="V1492" s="331"/>
      <c r="W1492" s="332"/>
      <c r="X1492" s="333"/>
      <c r="Y1492" s="33" t="s">
        <v>2867</v>
      </c>
      <c r="Z1492" s="258">
        <v>121064.0</v>
      </c>
      <c r="AA1492" s="334">
        <v>11624.0</v>
      </c>
      <c r="AB1492" s="341"/>
      <c r="AC1492" s="341"/>
      <c r="AD1492" s="343"/>
      <c r="AE1492" s="331"/>
      <c r="AF1492" s="348"/>
      <c r="AG1492" s="337"/>
      <c r="AH1492" s="341"/>
      <c r="AI1492" s="341"/>
      <c r="AJ1492" s="341"/>
      <c r="AK1492" s="341"/>
      <c r="AL1492" s="341"/>
      <c r="AM1492" s="338"/>
      <c r="AN1492" s="341"/>
      <c r="AO1492" s="341"/>
      <c r="AP1492" s="341"/>
      <c r="AQ1492" s="341"/>
      <c r="AR1492" s="341"/>
      <c r="AS1492" s="341"/>
      <c r="AT1492" s="341"/>
      <c r="AU1492" s="343"/>
      <c r="AV1492" s="341"/>
      <c r="AW1492" s="269" t="s">
        <v>2316</v>
      </c>
      <c r="AX1492" s="334" t="s">
        <v>2869</v>
      </c>
      <c r="AY1492" s="270" t="s">
        <v>695</v>
      </c>
      <c r="AZ1492" s="173" t="s">
        <v>5516</v>
      </c>
      <c r="BA1492" s="265">
        <v>10.0</v>
      </c>
      <c r="BB1492" s="174" t="s">
        <v>245</v>
      </c>
      <c r="BC1492" s="341"/>
      <c r="BD1492" s="308"/>
      <c r="BE1492" s="342"/>
      <c r="BF1492" s="274" t="str">
        <f>IFERROR(__xludf.DUMMYFUNCTION("LOWER(Regexreplace(to_text(E1492),""[^A-Za-z0-9]"","""")&amp;""_""&amp;Regexreplace(to_text(F1492),""[^A-Za-z0-9]"",""""))"),"neptronic_evcbseries")</f>
        <v>neptronic_evcbseries</v>
      </c>
      <c r="BG1492" s="275" t="str">
        <f>IFERROR(__xludf.DUMMYFUNCTION("upper(Regexreplace(to_text(E1492),""[^A-Za-z0-9]"","""")&amp;""-""&amp;Regexreplace(to_text(F1492),""[^A-Za-z0-9]"",""""))"),"NEPTRONIC-EVCBSERIES")</f>
        <v>NEPTRONIC-EVCBSERIES</v>
      </c>
    </row>
    <row r="1493" ht="30.0" customHeight="1">
      <c r="A1493" s="173">
        <v>1485.0</v>
      </c>
      <c r="B1493" s="328" t="s">
        <v>670</v>
      </c>
      <c r="C1493" s="257" t="s">
        <v>5968</v>
      </c>
      <c r="D1493" s="173" t="s">
        <v>5968</v>
      </c>
      <c r="E1493" s="174" t="s">
        <v>2861</v>
      </c>
      <c r="F1493" s="173" t="s">
        <v>2862</v>
      </c>
      <c r="G1493" s="328" t="s">
        <v>673</v>
      </c>
      <c r="H1493" s="328" t="s">
        <v>2863</v>
      </c>
      <c r="I1493" s="258" t="s">
        <v>2864</v>
      </c>
      <c r="J1493" s="259" t="s">
        <v>1149</v>
      </c>
      <c r="K1493" s="260" t="s">
        <v>5969</v>
      </c>
      <c r="L1493" s="359"/>
      <c r="M1493" s="359"/>
      <c r="N1493" s="173" t="s">
        <v>679</v>
      </c>
      <c r="O1493" s="173" t="s">
        <v>225</v>
      </c>
      <c r="P1493" s="262" t="str">
        <f t="shared" si="1"/>
        <v>IN-BLR-ANANTA-VAV-1065_6</v>
      </c>
      <c r="Q1493" s="173" t="s">
        <v>5970</v>
      </c>
      <c r="R1493" s="328" t="str">
        <f>IFS(C1493="","",C1493="n/a","N/A",LEN(C1493),Concatenate("{",char(34),"asset",char(34),":{",char(34),"guid",char(34),":",char(34),Q1493,char(34),",",char(34),"site",char(34),":",char(34),LOWER('2-Building'!$B$4),char(34),",",char(34),"name",char(34),":",char(34),LOWER(C1493),char(34),"}}"))</f>
        <v>{"asset":{"guid":"uuid://1f1fd230-8f5d-476c-a596-007ed7e49b85","site":"in-blr-ananta","name":"vav-1065"}}</v>
      </c>
      <c r="S1493" s="360" t="s">
        <v>5516</v>
      </c>
      <c r="T1493" s="330"/>
      <c r="U1493" s="330"/>
      <c r="V1493" s="331"/>
      <c r="W1493" s="332"/>
      <c r="X1493" s="333"/>
      <c r="Y1493" s="33" t="s">
        <v>2867</v>
      </c>
      <c r="Z1493" s="258">
        <v>121065.0</v>
      </c>
      <c r="AA1493" s="334">
        <v>11624.0</v>
      </c>
      <c r="AB1493" s="341"/>
      <c r="AC1493" s="341"/>
      <c r="AD1493" s="343"/>
      <c r="AE1493" s="331"/>
      <c r="AF1493" s="348"/>
      <c r="AG1493" s="337"/>
      <c r="AH1493" s="341"/>
      <c r="AI1493" s="341"/>
      <c r="AJ1493" s="341"/>
      <c r="AK1493" s="341"/>
      <c r="AL1493" s="341"/>
      <c r="AM1493" s="338"/>
      <c r="AN1493" s="341"/>
      <c r="AO1493" s="341"/>
      <c r="AP1493" s="341"/>
      <c r="AQ1493" s="341"/>
      <c r="AR1493" s="341"/>
      <c r="AS1493" s="341"/>
      <c r="AT1493" s="341"/>
      <c r="AU1493" s="343"/>
      <c r="AV1493" s="341"/>
      <c r="AW1493" s="269" t="s">
        <v>2316</v>
      </c>
      <c r="AX1493" s="334" t="s">
        <v>2869</v>
      </c>
      <c r="AY1493" s="270" t="s">
        <v>695</v>
      </c>
      <c r="AZ1493" s="173" t="s">
        <v>5516</v>
      </c>
      <c r="BA1493" s="265">
        <v>10.0</v>
      </c>
      <c r="BB1493" s="174" t="s">
        <v>245</v>
      </c>
      <c r="BC1493" s="341"/>
      <c r="BD1493" s="308"/>
      <c r="BE1493" s="342"/>
      <c r="BF1493" s="274" t="str">
        <f>IFERROR(__xludf.DUMMYFUNCTION("LOWER(Regexreplace(to_text(E1493),""[^A-Za-z0-9]"","""")&amp;""_""&amp;Regexreplace(to_text(F1493),""[^A-Za-z0-9]"",""""))"),"neptronic_evcbseries")</f>
        <v>neptronic_evcbseries</v>
      </c>
      <c r="BG1493" s="275" t="str">
        <f>IFERROR(__xludf.DUMMYFUNCTION("upper(Regexreplace(to_text(E1493),""[^A-Za-z0-9]"","""")&amp;""-""&amp;Regexreplace(to_text(F1493),""[^A-Za-z0-9]"",""""))"),"NEPTRONIC-EVCBSERIES")</f>
        <v>NEPTRONIC-EVCBSERIES</v>
      </c>
    </row>
    <row r="1494" ht="30.0" customHeight="1">
      <c r="A1494" s="258">
        <v>1486.0</v>
      </c>
      <c r="B1494" s="328" t="s">
        <v>670</v>
      </c>
      <c r="C1494" s="257" t="s">
        <v>5971</v>
      </c>
      <c r="D1494" s="173" t="s">
        <v>5971</v>
      </c>
      <c r="E1494" s="174" t="s">
        <v>2861</v>
      </c>
      <c r="F1494" s="173" t="s">
        <v>2862</v>
      </c>
      <c r="G1494" s="328" t="s">
        <v>673</v>
      </c>
      <c r="H1494" s="328" t="s">
        <v>2863</v>
      </c>
      <c r="I1494" s="258" t="s">
        <v>2864</v>
      </c>
      <c r="J1494" s="259" t="s">
        <v>1149</v>
      </c>
      <c r="K1494" s="260" t="s">
        <v>5972</v>
      </c>
      <c r="L1494" s="359"/>
      <c r="M1494" s="359"/>
      <c r="N1494" s="173" t="s">
        <v>679</v>
      </c>
      <c r="O1494" s="173" t="s">
        <v>225</v>
      </c>
      <c r="P1494" s="262" t="str">
        <f t="shared" si="1"/>
        <v>IN-BLR-ANANTA-VAV-1066_6</v>
      </c>
      <c r="Q1494" s="173" t="s">
        <v>5973</v>
      </c>
      <c r="R1494" s="328" t="str">
        <f>IFS(C1494="","",C1494="n/a","N/A",LEN(C1494),Concatenate("{",char(34),"asset",char(34),":{",char(34),"guid",char(34),":",char(34),Q1494,char(34),",",char(34),"site",char(34),":",char(34),LOWER('2-Building'!$B$4),char(34),",",char(34),"name",char(34),":",char(34),LOWER(C1494),char(34),"}}"))</f>
        <v>{"asset":{"guid":"uuid://aa47850c-6578-45cc-8246-989348d7db86","site":"in-blr-ananta","name":"vav-1066"}}</v>
      </c>
      <c r="S1494" s="360" t="s">
        <v>5516</v>
      </c>
      <c r="T1494" s="330"/>
      <c r="U1494" s="330"/>
      <c r="V1494" s="331"/>
      <c r="W1494" s="332"/>
      <c r="X1494" s="333"/>
      <c r="Y1494" s="33" t="s">
        <v>2867</v>
      </c>
      <c r="Z1494" s="258">
        <v>121066.0</v>
      </c>
      <c r="AA1494" s="334">
        <v>11624.0</v>
      </c>
      <c r="AB1494" s="341"/>
      <c r="AC1494" s="341"/>
      <c r="AD1494" s="343"/>
      <c r="AE1494" s="331"/>
      <c r="AF1494" s="348"/>
      <c r="AG1494" s="337"/>
      <c r="AH1494" s="341"/>
      <c r="AI1494" s="341"/>
      <c r="AJ1494" s="341"/>
      <c r="AK1494" s="341"/>
      <c r="AL1494" s="341"/>
      <c r="AM1494" s="338"/>
      <c r="AN1494" s="341"/>
      <c r="AO1494" s="341"/>
      <c r="AP1494" s="341"/>
      <c r="AQ1494" s="341"/>
      <c r="AR1494" s="341"/>
      <c r="AS1494" s="341"/>
      <c r="AT1494" s="341"/>
      <c r="AU1494" s="343"/>
      <c r="AV1494" s="341"/>
      <c r="AW1494" s="269" t="s">
        <v>2316</v>
      </c>
      <c r="AX1494" s="334" t="s">
        <v>2869</v>
      </c>
      <c r="AY1494" s="270" t="s">
        <v>695</v>
      </c>
      <c r="AZ1494" s="173" t="s">
        <v>5516</v>
      </c>
      <c r="BA1494" s="265">
        <v>10.0</v>
      </c>
      <c r="BB1494" s="174" t="s">
        <v>245</v>
      </c>
      <c r="BC1494" s="341"/>
      <c r="BD1494" s="308"/>
      <c r="BE1494" s="342"/>
      <c r="BF1494" s="274" t="str">
        <f>IFERROR(__xludf.DUMMYFUNCTION("LOWER(Regexreplace(to_text(E1494),""[^A-Za-z0-9]"","""")&amp;""_""&amp;Regexreplace(to_text(F1494),""[^A-Za-z0-9]"",""""))"),"neptronic_evcbseries")</f>
        <v>neptronic_evcbseries</v>
      </c>
      <c r="BG1494" s="275" t="str">
        <f>IFERROR(__xludf.DUMMYFUNCTION("upper(Regexreplace(to_text(E1494),""[^A-Za-z0-9]"","""")&amp;""-""&amp;Regexreplace(to_text(F1494),""[^A-Za-z0-9]"",""""))"),"NEPTRONIC-EVCBSERIES")</f>
        <v>NEPTRONIC-EVCBSERIES</v>
      </c>
    </row>
    <row r="1495" ht="30.0" customHeight="1">
      <c r="A1495" s="173">
        <v>1487.0</v>
      </c>
      <c r="B1495" s="328" t="s">
        <v>670</v>
      </c>
      <c r="C1495" s="257" t="s">
        <v>5974</v>
      </c>
      <c r="D1495" s="173" t="s">
        <v>5974</v>
      </c>
      <c r="E1495" s="174" t="s">
        <v>2861</v>
      </c>
      <c r="F1495" s="173" t="s">
        <v>2862</v>
      </c>
      <c r="G1495" s="328" t="s">
        <v>673</v>
      </c>
      <c r="H1495" s="328" t="s">
        <v>2863</v>
      </c>
      <c r="I1495" s="258" t="s">
        <v>2864</v>
      </c>
      <c r="J1495" s="259" t="s">
        <v>1149</v>
      </c>
      <c r="K1495" s="260" t="s">
        <v>1150</v>
      </c>
      <c r="L1495" s="359"/>
      <c r="M1495" s="359"/>
      <c r="N1495" s="173" t="s">
        <v>679</v>
      </c>
      <c r="O1495" s="173" t="s">
        <v>225</v>
      </c>
      <c r="P1495" s="262" t="str">
        <f t="shared" si="1"/>
        <v>IN-BLR-ANANTA-VAV-1067_6</v>
      </c>
      <c r="Q1495" s="173" t="s">
        <v>5975</v>
      </c>
      <c r="R1495" s="328" t="str">
        <f>IFS(C1495="","",C1495="n/a","N/A",LEN(C1495),Concatenate("{",char(34),"asset",char(34),":{",char(34),"guid",char(34),":",char(34),Q1495,char(34),",",char(34),"site",char(34),":",char(34),LOWER('2-Building'!$B$4),char(34),",",char(34),"name",char(34),":",char(34),LOWER(C1495),char(34),"}}"))</f>
        <v>{"asset":{"guid":"uuid://667fbef2-fcd1-49ee-b893-7030d82ffe81","site":"in-blr-ananta","name":"vav-1067"}}</v>
      </c>
      <c r="S1495" s="360" t="s">
        <v>5516</v>
      </c>
      <c r="T1495" s="330"/>
      <c r="U1495" s="330"/>
      <c r="V1495" s="331"/>
      <c r="W1495" s="332"/>
      <c r="X1495" s="333"/>
      <c r="Y1495" s="33" t="s">
        <v>2867</v>
      </c>
      <c r="Z1495" s="258">
        <v>121067.0</v>
      </c>
      <c r="AA1495" s="334">
        <v>11624.0</v>
      </c>
      <c r="AB1495" s="341"/>
      <c r="AC1495" s="341"/>
      <c r="AD1495" s="343"/>
      <c r="AE1495" s="331"/>
      <c r="AF1495" s="348"/>
      <c r="AG1495" s="337"/>
      <c r="AH1495" s="341"/>
      <c r="AI1495" s="341"/>
      <c r="AJ1495" s="341"/>
      <c r="AK1495" s="341"/>
      <c r="AL1495" s="341"/>
      <c r="AM1495" s="338"/>
      <c r="AN1495" s="341"/>
      <c r="AO1495" s="341"/>
      <c r="AP1495" s="341"/>
      <c r="AQ1495" s="341"/>
      <c r="AR1495" s="341"/>
      <c r="AS1495" s="341"/>
      <c r="AT1495" s="341"/>
      <c r="AU1495" s="343"/>
      <c r="AV1495" s="341"/>
      <c r="AW1495" s="269" t="s">
        <v>2316</v>
      </c>
      <c r="AX1495" s="334" t="s">
        <v>2869</v>
      </c>
      <c r="AY1495" s="270" t="s">
        <v>695</v>
      </c>
      <c r="AZ1495" s="173" t="s">
        <v>5516</v>
      </c>
      <c r="BA1495" s="265">
        <v>10.0</v>
      </c>
      <c r="BB1495" s="174" t="s">
        <v>245</v>
      </c>
      <c r="BC1495" s="341"/>
      <c r="BD1495" s="308"/>
      <c r="BE1495" s="342"/>
      <c r="BF1495" s="274" t="str">
        <f>IFERROR(__xludf.DUMMYFUNCTION("LOWER(Regexreplace(to_text(E1495),""[^A-Za-z0-9]"","""")&amp;""_""&amp;Regexreplace(to_text(F1495),""[^A-Za-z0-9]"",""""))"),"neptronic_evcbseries")</f>
        <v>neptronic_evcbseries</v>
      </c>
      <c r="BG1495" s="275" t="str">
        <f>IFERROR(__xludf.DUMMYFUNCTION("upper(Regexreplace(to_text(E1495),""[^A-Za-z0-9]"","""")&amp;""-""&amp;Regexreplace(to_text(F1495),""[^A-Za-z0-9]"",""""))"),"NEPTRONIC-EVCBSERIES")</f>
        <v>NEPTRONIC-EVCBSERIES</v>
      </c>
    </row>
    <row r="1496" ht="30.0" customHeight="1">
      <c r="A1496" s="258">
        <v>1488.0</v>
      </c>
      <c r="B1496" s="328" t="s">
        <v>670</v>
      </c>
      <c r="C1496" s="257" t="s">
        <v>5976</v>
      </c>
      <c r="D1496" s="173" t="s">
        <v>5976</v>
      </c>
      <c r="E1496" s="174" t="s">
        <v>2861</v>
      </c>
      <c r="F1496" s="173" t="s">
        <v>2862</v>
      </c>
      <c r="G1496" s="328" t="s">
        <v>673</v>
      </c>
      <c r="H1496" s="328" t="s">
        <v>2863</v>
      </c>
      <c r="I1496" s="258" t="s">
        <v>2864</v>
      </c>
      <c r="J1496" s="259" t="s">
        <v>1149</v>
      </c>
      <c r="K1496" s="260" t="s">
        <v>5977</v>
      </c>
      <c r="L1496" s="359"/>
      <c r="M1496" s="359"/>
      <c r="N1496" s="173" t="s">
        <v>679</v>
      </c>
      <c r="O1496" s="173" t="s">
        <v>225</v>
      </c>
      <c r="P1496" s="262" t="str">
        <f t="shared" si="1"/>
        <v>IN-BLR-ANANTA-VAV-1068_6</v>
      </c>
      <c r="Q1496" s="173" t="s">
        <v>5978</v>
      </c>
      <c r="R1496" s="328" t="str">
        <f>IFS(C1496="","",C1496="n/a","N/A",LEN(C1496),Concatenate("{",char(34),"asset",char(34),":{",char(34),"guid",char(34),":",char(34),Q1496,char(34),",",char(34),"site",char(34),":",char(34),LOWER('2-Building'!$B$4),char(34),",",char(34),"name",char(34),":",char(34),LOWER(C1496),char(34),"}}"))</f>
        <v>{"asset":{"guid":"uuid://c8edd260-02ae-465c-a9d3-3c1ee2195b00","site":"in-blr-ananta","name":"vav-1068"}}</v>
      </c>
      <c r="S1496" s="360" t="s">
        <v>5516</v>
      </c>
      <c r="T1496" s="330"/>
      <c r="U1496" s="330"/>
      <c r="V1496" s="331"/>
      <c r="W1496" s="332"/>
      <c r="X1496" s="333"/>
      <c r="Y1496" s="33" t="s">
        <v>2867</v>
      </c>
      <c r="Z1496" s="258">
        <v>121068.0</v>
      </c>
      <c r="AA1496" s="334">
        <v>11624.0</v>
      </c>
      <c r="AB1496" s="341"/>
      <c r="AC1496" s="341"/>
      <c r="AD1496" s="343"/>
      <c r="AE1496" s="331"/>
      <c r="AF1496" s="348"/>
      <c r="AG1496" s="337"/>
      <c r="AH1496" s="341"/>
      <c r="AI1496" s="341"/>
      <c r="AJ1496" s="341"/>
      <c r="AK1496" s="341"/>
      <c r="AL1496" s="341"/>
      <c r="AM1496" s="338"/>
      <c r="AN1496" s="341"/>
      <c r="AO1496" s="341"/>
      <c r="AP1496" s="341"/>
      <c r="AQ1496" s="341"/>
      <c r="AR1496" s="341"/>
      <c r="AS1496" s="341"/>
      <c r="AT1496" s="341"/>
      <c r="AU1496" s="343"/>
      <c r="AV1496" s="341"/>
      <c r="AW1496" s="269" t="s">
        <v>2316</v>
      </c>
      <c r="AX1496" s="334" t="s">
        <v>2869</v>
      </c>
      <c r="AY1496" s="270" t="s">
        <v>695</v>
      </c>
      <c r="AZ1496" s="173" t="s">
        <v>5516</v>
      </c>
      <c r="BA1496" s="265">
        <v>10.0</v>
      </c>
      <c r="BB1496" s="174" t="s">
        <v>245</v>
      </c>
      <c r="BC1496" s="341"/>
      <c r="BD1496" s="308"/>
      <c r="BE1496" s="342"/>
      <c r="BF1496" s="274" t="str">
        <f>IFERROR(__xludf.DUMMYFUNCTION("LOWER(Regexreplace(to_text(E1496),""[^A-Za-z0-9]"","""")&amp;""_""&amp;Regexreplace(to_text(F1496),""[^A-Za-z0-9]"",""""))"),"neptronic_evcbseries")</f>
        <v>neptronic_evcbseries</v>
      </c>
      <c r="BG1496" s="275" t="str">
        <f>IFERROR(__xludf.DUMMYFUNCTION("upper(Regexreplace(to_text(E1496),""[^A-Za-z0-9]"","""")&amp;""-""&amp;Regexreplace(to_text(F1496),""[^A-Za-z0-9]"",""""))"),"NEPTRONIC-EVCBSERIES")</f>
        <v>NEPTRONIC-EVCBSERIES</v>
      </c>
    </row>
    <row r="1497" ht="30.0" customHeight="1">
      <c r="A1497" s="173">
        <v>1489.0</v>
      </c>
      <c r="B1497" s="328" t="s">
        <v>670</v>
      </c>
      <c r="C1497" s="257" t="s">
        <v>5979</v>
      </c>
      <c r="D1497" s="173" t="s">
        <v>5979</v>
      </c>
      <c r="E1497" s="174" t="s">
        <v>2861</v>
      </c>
      <c r="F1497" s="173" t="s">
        <v>2862</v>
      </c>
      <c r="G1497" s="328" t="s">
        <v>673</v>
      </c>
      <c r="H1497" s="328" t="s">
        <v>2863</v>
      </c>
      <c r="I1497" s="258" t="s">
        <v>2864</v>
      </c>
      <c r="J1497" s="259" t="s">
        <v>1149</v>
      </c>
      <c r="K1497" s="260" t="s">
        <v>5980</v>
      </c>
      <c r="L1497" s="359"/>
      <c r="M1497" s="359"/>
      <c r="N1497" s="173" t="s">
        <v>679</v>
      </c>
      <c r="O1497" s="173" t="s">
        <v>225</v>
      </c>
      <c r="P1497" s="262" t="str">
        <f t="shared" si="1"/>
        <v>IN-BLR-ANANTA-VAV-1069_6</v>
      </c>
      <c r="Q1497" s="173" t="s">
        <v>5981</v>
      </c>
      <c r="R1497" s="328" t="str">
        <f>IFS(C1497="","",C1497="n/a","N/A",LEN(C1497),Concatenate("{",char(34),"asset",char(34),":{",char(34),"guid",char(34),":",char(34),Q1497,char(34),",",char(34),"site",char(34),":",char(34),LOWER('2-Building'!$B$4),char(34),",",char(34),"name",char(34),":",char(34),LOWER(C1497),char(34),"}}"))</f>
        <v>{"asset":{"guid":"uuid://df7eddb7-3abb-45ab-8eca-08b5eb6470f9","site":"in-blr-ananta","name":"vav-1069"}}</v>
      </c>
      <c r="S1497" s="360" t="s">
        <v>5516</v>
      </c>
      <c r="T1497" s="330"/>
      <c r="U1497" s="330"/>
      <c r="V1497" s="331"/>
      <c r="W1497" s="332"/>
      <c r="X1497" s="333"/>
      <c r="Y1497" s="33" t="s">
        <v>2867</v>
      </c>
      <c r="Z1497" s="258">
        <v>121069.0</v>
      </c>
      <c r="AA1497" s="334">
        <v>11624.0</v>
      </c>
      <c r="AB1497" s="341"/>
      <c r="AC1497" s="341"/>
      <c r="AD1497" s="343"/>
      <c r="AE1497" s="331"/>
      <c r="AF1497" s="348"/>
      <c r="AG1497" s="337"/>
      <c r="AH1497" s="341"/>
      <c r="AI1497" s="341"/>
      <c r="AJ1497" s="341"/>
      <c r="AK1497" s="341"/>
      <c r="AL1497" s="341"/>
      <c r="AM1497" s="338"/>
      <c r="AN1497" s="341"/>
      <c r="AO1497" s="341"/>
      <c r="AP1497" s="341"/>
      <c r="AQ1497" s="341"/>
      <c r="AR1497" s="341"/>
      <c r="AS1497" s="341"/>
      <c r="AT1497" s="341"/>
      <c r="AU1497" s="343"/>
      <c r="AV1497" s="341"/>
      <c r="AW1497" s="269" t="s">
        <v>2316</v>
      </c>
      <c r="AX1497" s="334" t="s">
        <v>2869</v>
      </c>
      <c r="AY1497" s="270" t="s">
        <v>695</v>
      </c>
      <c r="AZ1497" s="173" t="s">
        <v>5516</v>
      </c>
      <c r="BA1497" s="265">
        <v>10.0</v>
      </c>
      <c r="BB1497" s="174" t="s">
        <v>245</v>
      </c>
      <c r="BC1497" s="341"/>
      <c r="BD1497" s="308"/>
      <c r="BE1497" s="342"/>
      <c r="BF1497" s="274" t="str">
        <f>IFERROR(__xludf.DUMMYFUNCTION("LOWER(Regexreplace(to_text(E1497),""[^A-Za-z0-9]"","""")&amp;""_""&amp;Regexreplace(to_text(F1497),""[^A-Za-z0-9]"",""""))"),"neptronic_evcbseries")</f>
        <v>neptronic_evcbseries</v>
      </c>
      <c r="BG1497" s="275" t="str">
        <f>IFERROR(__xludf.DUMMYFUNCTION("upper(Regexreplace(to_text(E1497),""[^A-Za-z0-9]"","""")&amp;""-""&amp;Regexreplace(to_text(F1497),""[^A-Za-z0-9]"",""""))"),"NEPTRONIC-EVCBSERIES")</f>
        <v>NEPTRONIC-EVCBSERIES</v>
      </c>
    </row>
    <row r="1498" ht="30.0" customHeight="1">
      <c r="A1498" s="258">
        <v>1490.0</v>
      </c>
      <c r="B1498" s="328" t="s">
        <v>670</v>
      </c>
      <c r="C1498" s="257" t="s">
        <v>5982</v>
      </c>
      <c r="D1498" s="173" t="s">
        <v>5982</v>
      </c>
      <c r="E1498" s="174" t="s">
        <v>2861</v>
      </c>
      <c r="F1498" s="173" t="s">
        <v>2862</v>
      </c>
      <c r="G1498" s="328" t="s">
        <v>673</v>
      </c>
      <c r="H1498" s="328" t="s">
        <v>2863</v>
      </c>
      <c r="I1498" s="258" t="s">
        <v>2864</v>
      </c>
      <c r="J1498" s="259" t="s">
        <v>1149</v>
      </c>
      <c r="K1498" s="260" t="s">
        <v>5983</v>
      </c>
      <c r="L1498" s="359"/>
      <c r="M1498" s="359"/>
      <c r="N1498" s="173" t="s">
        <v>679</v>
      </c>
      <c r="O1498" s="173" t="s">
        <v>225</v>
      </c>
      <c r="P1498" s="262" t="str">
        <f t="shared" si="1"/>
        <v>IN-BLR-ANANTA-VAV-1070_6</v>
      </c>
      <c r="Q1498" s="173" t="s">
        <v>5984</v>
      </c>
      <c r="R1498" s="328" t="str">
        <f>IFS(C1498="","",C1498="n/a","N/A",LEN(C1498),Concatenate("{",char(34),"asset",char(34),":{",char(34),"guid",char(34),":",char(34),Q1498,char(34),",",char(34),"site",char(34),":",char(34),LOWER('2-Building'!$B$4),char(34),",",char(34),"name",char(34),":",char(34),LOWER(C1498),char(34),"}}"))</f>
        <v>{"asset":{"guid":"uuid://e166f330-8ea9-4869-a922-2c97ca64c72f","site":"in-blr-ananta","name":"vav-1070"}}</v>
      </c>
      <c r="S1498" s="360" t="s">
        <v>5516</v>
      </c>
      <c r="T1498" s="330"/>
      <c r="U1498" s="330"/>
      <c r="V1498" s="331"/>
      <c r="W1498" s="332"/>
      <c r="X1498" s="333"/>
      <c r="Y1498" s="33" t="s">
        <v>2867</v>
      </c>
      <c r="Z1498" s="258">
        <v>121070.0</v>
      </c>
      <c r="AA1498" s="334">
        <v>11624.0</v>
      </c>
      <c r="AB1498" s="341"/>
      <c r="AC1498" s="341"/>
      <c r="AD1498" s="343"/>
      <c r="AE1498" s="331"/>
      <c r="AF1498" s="348"/>
      <c r="AG1498" s="337"/>
      <c r="AH1498" s="341"/>
      <c r="AI1498" s="341"/>
      <c r="AJ1498" s="341"/>
      <c r="AK1498" s="341"/>
      <c r="AL1498" s="341"/>
      <c r="AM1498" s="338"/>
      <c r="AN1498" s="341"/>
      <c r="AO1498" s="341"/>
      <c r="AP1498" s="341"/>
      <c r="AQ1498" s="341"/>
      <c r="AR1498" s="341"/>
      <c r="AS1498" s="341"/>
      <c r="AT1498" s="341"/>
      <c r="AU1498" s="343"/>
      <c r="AV1498" s="341"/>
      <c r="AW1498" s="269" t="s">
        <v>2316</v>
      </c>
      <c r="AX1498" s="334" t="s">
        <v>2869</v>
      </c>
      <c r="AY1498" s="270" t="s">
        <v>695</v>
      </c>
      <c r="AZ1498" s="173" t="s">
        <v>5516</v>
      </c>
      <c r="BA1498" s="265">
        <v>10.0</v>
      </c>
      <c r="BB1498" s="174" t="s">
        <v>245</v>
      </c>
      <c r="BC1498" s="341"/>
      <c r="BD1498" s="308"/>
      <c r="BE1498" s="342"/>
      <c r="BF1498" s="274" t="str">
        <f>IFERROR(__xludf.DUMMYFUNCTION("LOWER(Regexreplace(to_text(E1498),""[^A-Za-z0-9]"","""")&amp;""_""&amp;Regexreplace(to_text(F1498),""[^A-Za-z0-9]"",""""))"),"neptronic_evcbseries")</f>
        <v>neptronic_evcbseries</v>
      </c>
      <c r="BG1498" s="275" t="str">
        <f>IFERROR(__xludf.DUMMYFUNCTION("upper(Regexreplace(to_text(E1498),""[^A-Za-z0-9]"","""")&amp;""-""&amp;Regexreplace(to_text(F1498),""[^A-Za-z0-9]"",""""))"),"NEPTRONIC-EVCBSERIES")</f>
        <v>NEPTRONIC-EVCBSERIES</v>
      </c>
    </row>
    <row r="1499" ht="30.0" customHeight="1">
      <c r="A1499" s="173">
        <v>1491.0</v>
      </c>
      <c r="B1499" s="328" t="s">
        <v>670</v>
      </c>
      <c r="C1499" s="257" t="s">
        <v>5985</v>
      </c>
      <c r="D1499" s="173" t="s">
        <v>5985</v>
      </c>
      <c r="E1499" s="174" t="s">
        <v>2861</v>
      </c>
      <c r="F1499" s="173" t="s">
        <v>2862</v>
      </c>
      <c r="G1499" s="328" t="s">
        <v>673</v>
      </c>
      <c r="H1499" s="328" t="s">
        <v>2863</v>
      </c>
      <c r="I1499" s="258" t="s">
        <v>2864</v>
      </c>
      <c r="J1499" s="259" t="s">
        <v>1149</v>
      </c>
      <c r="K1499" s="260" t="s">
        <v>5986</v>
      </c>
      <c r="L1499" s="359"/>
      <c r="M1499" s="359"/>
      <c r="N1499" s="173" t="s">
        <v>679</v>
      </c>
      <c r="O1499" s="173" t="s">
        <v>225</v>
      </c>
      <c r="P1499" s="262" t="str">
        <f t="shared" si="1"/>
        <v>IN-BLR-ANANTA-VAV-1071_6</v>
      </c>
      <c r="Q1499" s="173" t="s">
        <v>5987</v>
      </c>
      <c r="R1499" s="328" t="str">
        <f>IFS(C1499="","",C1499="n/a","N/A",LEN(C1499),Concatenate("{",char(34),"asset",char(34),":{",char(34),"guid",char(34),":",char(34),Q1499,char(34),",",char(34),"site",char(34),":",char(34),LOWER('2-Building'!$B$4),char(34),",",char(34),"name",char(34),":",char(34),LOWER(C1499),char(34),"}}"))</f>
        <v>{"asset":{"guid":"uuid://824a1738-4608-4602-a647-28f3e3215637","site":"in-blr-ananta","name":"vav-1071"}}</v>
      </c>
      <c r="S1499" s="360" t="s">
        <v>5516</v>
      </c>
      <c r="T1499" s="330"/>
      <c r="U1499" s="330"/>
      <c r="V1499" s="331"/>
      <c r="W1499" s="332"/>
      <c r="X1499" s="333"/>
      <c r="Y1499" s="33" t="s">
        <v>2867</v>
      </c>
      <c r="Z1499" s="258">
        <v>121071.0</v>
      </c>
      <c r="AA1499" s="334">
        <v>11625.0</v>
      </c>
      <c r="AB1499" s="341"/>
      <c r="AC1499" s="341"/>
      <c r="AD1499" s="343"/>
      <c r="AE1499" s="331"/>
      <c r="AF1499" s="348"/>
      <c r="AG1499" s="337"/>
      <c r="AH1499" s="341"/>
      <c r="AI1499" s="341"/>
      <c r="AJ1499" s="341"/>
      <c r="AK1499" s="341"/>
      <c r="AL1499" s="341"/>
      <c r="AM1499" s="338"/>
      <c r="AN1499" s="341"/>
      <c r="AO1499" s="341"/>
      <c r="AP1499" s="341"/>
      <c r="AQ1499" s="341"/>
      <c r="AR1499" s="341"/>
      <c r="AS1499" s="341"/>
      <c r="AT1499" s="341"/>
      <c r="AU1499" s="343"/>
      <c r="AV1499" s="341"/>
      <c r="AW1499" s="269" t="s">
        <v>2316</v>
      </c>
      <c r="AX1499" s="334" t="s">
        <v>2869</v>
      </c>
      <c r="AY1499" s="270" t="s">
        <v>695</v>
      </c>
      <c r="AZ1499" s="173" t="s">
        <v>5516</v>
      </c>
      <c r="BA1499" s="265">
        <v>10.0</v>
      </c>
      <c r="BB1499" s="174" t="s">
        <v>245</v>
      </c>
      <c r="BC1499" s="341"/>
      <c r="BD1499" s="308"/>
      <c r="BE1499" s="342"/>
      <c r="BF1499" s="274" t="str">
        <f>IFERROR(__xludf.DUMMYFUNCTION("LOWER(Regexreplace(to_text(E1499),""[^A-Za-z0-9]"","""")&amp;""_""&amp;Regexreplace(to_text(F1499),""[^A-Za-z0-9]"",""""))"),"neptronic_evcbseries")</f>
        <v>neptronic_evcbseries</v>
      </c>
      <c r="BG1499" s="275" t="str">
        <f>IFERROR(__xludf.DUMMYFUNCTION("upper(Regexreplace(to_text(E1499),""[^A-Za-z0-9]"","""")&amp;""-""&amp;Regexreplace(to_text(F1499),""[^A-Za-z0-9]"",""""))"),"NEPTRONIC-EVCBSERIES")</f>
        <v>NEPTRONIC-EVCBSERIES</v>
      </c>
    </row>
    <row r="1500" ht="30.0" customHeight="1">
      <c r="A1500" s="258">
        <v>1492.0</v>
      </c>
      <c r="B1500" s="328" t="s">
        <v>670</v>
      </c>
      <c r="C1500" s="257" t="s">
        <v>5988</v>
      </c>
      <c r="D1500" s="173" t="s">
        <v>5988</v>
      </c>
      <c r="E1500" s="174" t="s">
        <v>2861</v>
      </c>
      <c r="F1500" s="173" t="s">
        <v>2862</v>
      </c>
      <c r="G1500" s="328" t="s">
        <v>673</v>
      </c>
      <c r="H1500" s="328" t="s">
        <v>2863</v>
      </c>
      <c r="I1500" s="258" t="s">
        <v>2864</v>
      </c>
      <c r="J1500" s="259" t="s">
        <v>1149</v>
      </c>
      <c r="K1500" s="260" t="s">
        <v>5989</v>
      </c>
      <c r="L1500" s="359"/>
      <c r="M1500" s="359"/>
      <c r="N1500" s="173" t="s">
        <v>679</v>
      </c>
      <c r="O1500" s="173" t="s">
        <v>225</v>
      </c>
      <c r="P1500" s="262" t="str">
        <f t="shared" si="1"/>
        <v>IN-BLR-ANANTA-VAV-1072_6</v>
      </c>
      <c r="Q1500" s="173" t="s">
        <v>5990</v>
      </c>
      <c r="R1500" s="328" t="str">
        <f>IFS(C1500="","",C1500="n/a","N/A",LEN(C1500),Concatenate("{",char(34),"asset",char(34),":{",char(34),"guid",char(34),":",char(34),Q1500,char(34),",",char(34),"site",char(34),":",char(34),LOWER('2-Building'!$B$4),char(34),",",char(34),"name",char(34),":",char(34),LOWER(C1500),char(34),"}}"))</f>
        <v>{"asset":{"guid":"uuid://fd68d3db-3636-47de-8c90-70927e7b58e2","site":"in-blr-ananta","name":"vav-1072"}}</v>
      </c>
      <c r="S1500" s="360" t="s">
        <v>5516</v>
      </c>
      <c r="T1500" s="330"/>
      <c r="U1500" s="330"/>
      <c r="V1500" s="331"/>
      <c r="W1500" s="332"/>
      <c r="X1500" s="333"/>
      <c r="Y1500" s="33" t="s">
        <v>2867</v>
      </c>
      <c r="Z1500" s="258">
        <v>121072.0</v>
      </c>
      <c r="AA1500" s="334">
        <v>11625.0</v>
      </c>
      <c r="AB1500" s="341"/>
      <c r="AC1500" s="341"/>
      <c r="AD1500" s="343"/>
      <c r="AE1500" s="331"/>
      <c r="AF1500" s="348"/>
      <c r="AG1500" s="337"/>
      <c r="AH1500" s="341"/>
      <c r="AI1500" s="341"/>
      <c r="AJ1500" s="341"/>
      <c r="AK1500" s="341"/>
      <c r="AL1500" s="341"/>
      <c r="AM1500" s="338"/>
      <c r="AN1500" s="341"/>
      <c r="AO1500" s="341"/>
      <c r="AP1500" s="341"/>
      <c r="AQ1500" s="341"/>
      <c r="AR1500" s="341"/>
      <c r="AS1500" s="341"/>
      <c r="AT1500" s="341"/>
      <c r="AU1500" s="343"/>
      <c r="AV1500" s="341"/>
      <c r="AW1500" s="269" t="s">
        <v>2316</v>
      </c>
      <c r="AX1500" s="334" t="s">
        <v>2869</v>
      </c>
      <c r="AY1500" s="270" t="s">
        <v>695</v>
      </c>
      <c r="AZ1500" s="173" t="s">
        <v>5516</v>
      </c>
      <c r="BA1500" s="265">
        <v>10.0</v>
      </c>
      <c r="BB1500" s="174" t="s">
        <v>245</v>
      </c>
      <c r="BC1500" s="341"/>
      <c r="BD1500" s="308"/>
      <c r="BE1500" s="342"/>
      <c r="BF1500" s="274" t="str">
        <f>IFERROR(__xludf.DUMMYFUNCTION("LOWER(Regexreplace(to_text(E1500),""[^A-Za-z0-9]"","""")&amp;""_""&amp;Regexreplace(to_text(F1500),""[^A-Za-z0-9]"",""""))"),"neptronic_evcbseries")</f>
        <v>neptronic_evcbseries</v>
      </c>
      <c r="BG1500" s="275" t="str">
        <f>IFERROR(__xludf.DUMMYFUNCTION("upper(Regexreplace(to_text(E1500),""[^A-Za-z0-9]"","""")&amp;""-""&amp;Regexreplace(to_text(F1500),""[^A-Za-z0-9]"",""""))"),"NEPTRONIC-EVCBSERIES")</f>
        <v>NEPTRONIC-EVCBSERIES</v>
      </c>
    </row>
    <row r="1501" ht="30.0" customHeight="1">
      <c r="A1501" s="173">
        <v>1493.0</v>
      </c>
      <c r="B1501" s="328" t="s">
        <v>670</v>
      </c>
      <c r="C1501" s="257" t="s">
        <v>5991</v>
      </c>
      <c r="D1501" s="173" t="s">
        <v>5991</v>
      </c>
      <c r="E1501" s="174" t="s">
        <v>2861</v>
      </c>
      <c r="F1501" s="173" t="s">
        <v>2862</v>
      </c>
      <c r="G1501" s="328" t="s">
        <v>673</v>
      </c>
      <c r="H1501" s="328" t="s">
        <v>2863</v>
      </c>
      <c r="I1501" s="258" t="s">
        <v>2864</v>
      </c>
      <c r="J1501" s="259" t="s">
        <v>1149</v>
      </c>
      <c r="K1501" s="260" t="s">
        <v>5992</v>
      </c>
      <c r="L1501" s="359"/>
      <c r="M1501" s="359"/>
      <c r="N1501" s="173" t="s">
        <v>679</v>
      </c>
      <c r="O1501" s="173" t="s">
        <v>225</v>
      </c>
      <c r="P1501" s="262" t="str">
        <f t="shared" si="1"/>
        <v>IN-BLR-ANANTA-VAV-1073_6</v>
      </c>
      <c r="Q1501" s="173" t="s">
        <v>5993</v>
      </c>
      <c r="R1501" s="328" t="str">
        <f>IFS(C1501="","",C1501="n/a","N/A",LEN(C1501),Concatenate("{",char(34),"asset",char(34),":{",char(34),"guid",char(34),":",char(34),Q1501,char(34),",",char(34),"site",char(34),":",char(34),LOWER('2-Building'!$B$4),char(34),",",char(34),"name",char(34),":",char(34),LOWER(C1501),char(34),"}}"))</f>
        <v>{"asset":{"guid":"uuid://f4bfe43b-13a0-42b8-828f-20014e23caa1","site":"in-blr-ananta","name":"vav-1073"}}</v>
      </c>
      <c r="S1501" s="360" t="s">
        <v>5516</v>
      </c>
      <c r="T1501" s="330"/>
      <c r="U1501" s="330"/>
      <c r="V1501" s="331"/>
      <c r="W1501" s="332"/>
      <c r="X1501" s="333"/>
      <c r="Y1501" s="33" t="s">
        <v>2867</v>
      </c>
      <c r="Z1501" s="258">
        <v>121073.0</v>
      </c>
      <c r="AA1501" s="334">
        <v>11625.0</v>
      </c>
      <c r="AB1501" s="341"/>
      <c r="AC1501" s="341"/>
      <c r="AD1501" s="343"/>
      <c r="AE1501" s="331"/>
      <c r="AF1501" s="348"/>
      <c r="AG1501" s="337"/>
      <c r="AH1501" s="341"/>
      <c r="AI1501" s="341"/>
      <c r="AJ1501" s="341"/>
      <c r="AK1501" s="341"/>
      <c r="AL1501" s="341"/>
      <c r="AM1501" s="338"/>
      <c r="AN1501" s="341"/>
      <c r="AO1501" s="341"/>
      <c r="AP1501" s="341"/>
      <c r="AQ1501" s="341"/>
      <c r="AR1501" s="341"/>
      <c r="AS1501" s="341"/>
      <c r="AT1501" s="341"/>
      <c r="AU1501" s="343"/>
      <c r="AV1501" s="341"/>
      <c r="AW1501" s="269" t="s">
        <v>2316</v>
      </c>
      <c r="AX1501" s="334" t="s">
        <v>2869</v>
      </c>
      <c r="AY1501" s="270" t="s">
        <v>695</v>
      </c>
      <c r="AZ1501" s="173" t="s">
        <v>5516</v>
      </c>
      <c r="BA1501" s="265">
        <v>10.0</v>
      </c>
      <c r="BB1501" s="174" t="s">
        <v>245</v>
      </c>
      <c r="BC1501" s="341"/>
      <c r="BD1501" s="308"/>
      <c r="BE1501" s="342"/>
      <c r="BF1501" s="274" t="str">
        <f>IFERROR(__xludf.DUMMYFUNCTION("LOWER(Regexreplace(to_text(E1501),""[^A-Za-z0-9]"","""")&amp;""_""&amp;Regexreplace(to_text(F1501),""[^A-Za-z0-9]"",""""))"),"neptronic_evcbseries")</f>
        <v>neptronic_evcbseries</v>
      </c>
      <c r="BG1501" s="275" t="str">
        <f>IFERROR(__xludf.DUMMYFUNCTION("upper(Regexreplace(to_text(E1501),""[^A-Za-z0-9]"","""")&amp;""-""&amp;Regexreplace(to_text(F1501),""[^A-Za-z0-9]"",""""))"),"NEPTRONIC-EVCBSERIES")</f>
        <v>NEPTRONIC-EVCBSERIES</v>
      </c>
    </row>
    <row r="1502" ht="30.0" customHeight="1">
      <c r="A1502" s="258">
        <v>1494.0</v>
      </c>
      <c r="B1502" s="328" t="s">
        <v>670</v>
      </c>
      <c r="C1502" s="257" t="s">
        <v>5994</v>
      </c>
      <c r="D1502" s="173" t="s">
        <v>5994</v>
      </c>
      <c r="E1502" s="174" t="s">
        <v>2861</v>
      </c>
      <c r="F1502" s="173" t="s">
        <v>2862</v>
      </c>
      <c r="G1502" s="328" t="s">
        <v>673</v>
      </c>
      <c r="H1502" s="328" t="s">
        <v>2863</v>
      </c>
      <c r="I1502" s="258" t="s">
        <v>2864</v>
      </c>
      <c r="J1502" s="259" t="s">
        <v>1149</v>
      </c>
      <c r="K1502" s="260" t="s">
        <v>5995</v>
      </c>
      <c r="L1502" s="359"/>
      <c r="M1502" s="359"/>
      <c r="N1502" s="173" t="s">
        <v>679</v>
      </c>
      <c r="O1502" s="173" t="s">
        <v>225</v>
      </c>
      <c r="P1502" s="262" t="str">
        <f t="shared" si="1"/>
        <v>IN-BLR-ANANTA-VAV-1074_6</v>
      </c>
      <c r="Q1502" s="173" t="s">
        <v>5996</v>
      </c>
      <c r="R1502" s="328" t="str">
        <f>IFS(C1502="","",C1502="n/a","N/A",LEN(C1502),Concatenate("{",char(34),"asset",char(34),":{",char(34),"guid",char(34),":",char(34),Q1502,char(34),",",char(34),"site",char(34),":",char(34),LOWER('2-Building'!$B$4),char(34),",",char(34),"name",char(34),":",char(34),LOWER(C1502),char(34),"}}"))</f>
        <v>{"asset":{"guid":"uuid://6e495e22-bd23-4548-bd8f-7f9ec1cce209","site":"in-blr-ananta","name":"vav-1074"}}</v>
      </c>
      <c r="S1502" s="360" t="s">
        <v>5516</v>
      </c>
      <c r="T1502" s="330"/>
      <c r="U1502" s="330"/>
      <c r="V1502" s="331"/>
      <c r="W1502" s="332"/>
      <c r="X1502" s="333"/>
      <c r="Y1502" s="33" t="s">
        <v>2867</v>
      </c>
      <c r="Z1502" s="258">
        <v>121074.0</v>
      </c>
      <c r="AA1502" s="334">
        <v>11625.0</v>
      </c>
      <c r="AB1502" s="341"/>
      <c r="AC1502" s="341"/>
      <c r="AD1502" s="343"/>
      <c r="AE1502" s="331"/>
      <c r="AF1502" s="348"/>
      <c r="AG1502" s="337"/>
      <c r="AH1502" s="341"/>
      <c r="AI1502" s="341"/>
      <c r="AJ1502" s="341"/>
      <c r="AK1502" s="341"/>
      <c r="AL1502" s="341"/>
      <c r="AM1502" s="338"/>
      <c r="AN1502" s="341"/>
      <c r="AO1502" s="341"/>
      <c r="AP1502" s="341"/>
      <c r="AQ1502" s="341"/>
      <c r="AR1502" s="341"/>
      <c r="AS1502" s="341"/>
      <c r="AT1502" s="341"/>
      <c r="AU1502" s="343"/>
      <c r="AV1502" s="341"/>
      <c r="AW1502" s="269" t="s">
        <v>2316</v>
      </c>
      <c r="AX1502" s="334" t="s">
        <v>2869</v>
      </c>
      <c r="AY1502" s="270" t="s">
        <v>695</v>
      </c>
      <c r="AZ1502" s="173" t="s">
        <v>5516</v>
      </c>
      <c r="BA1502" s="265">
        <v>10.0</v>
      </c>
      <c r="BB1502" s="174" t="s">
        <v>245</v>
      </c>
      <c r="BC1502" s="341"/>
      <c r="BD1502" s="308"/>
      <c r="BE1502" s="342"/>
      <c r="BF1502" s="274" t="str">
        <f>IFERROR(__xludf.DUMMYFUNCTION("LOWER(Regexreplace(to_text(E1502),""[^A-Za-z0-9]"","""")&amp;""_""&amp;Regexreplace(to_text(F1502),""[^A-Za-z0-9]"",""""))"),"neptronic_evcbseries")</f>
        <v>neptronic_evcbseries</v>
      </c>
      <c r="BG1502" s="275" t="str">
        <f>IFERROR(__xludf.DUMMYFUNCTION("upper(Regexreplace(to_text(E1502),""[^A-Za-z0-9]"","""")&amp;""-""&amp;Regexreplace(to_text(F1502),""[^A-Za-z0-9]"",""""))"),"NEPTRONIC-EVCBSERIES")</f>
        <v>NEPTRONIC-EVCBSERIES</v>
      </c>
    </row>
    <row r="1503" ht="30.0" customHeight="1">
      <c r="A1503" s="173">
        <v>1495.0</v>
      </c>
      <c r="B1503" s="328" t="s">
        <v>670</v>
      </c>
      <c r="C1503" s="257" t="s">
        <v>5997</v>
      </c>
      <c r="D1503" s="173" t="s">
        <v>5997</v>
      </c>
      <c r="E1503" s="174" t="s">
        <v>2861</v>
      </c>
      <c r="F1503" s="173" t="s">
        <v>2862</v>
      </c>
      <c r="G1503" s="328" t="s">
        <v>673</v>
      </c>
      <c r="H1503" s="328" t="s">
        <v>2863</v>
      </c>
      <c r="I1503" s="258" t="s">
        <v>2864</v>
      </c>
      <c r="J1503" s="259" t="s">
        <v>1149</v>
      </c>
      <c r="K1503" s="260" t="s">
        <v>5998</v>
      </c>
      <c r="L1503" s="359"/>
      <c r="M1503" s="359"/>
      <c r="N1503" s="173" t="s">
        <v>679</v>
      </c>
      <c r="O1503" s="173" t="s">
        <v>225</v>
      </c>
      <c r="P1503" s="262" t="str">
        <f t="shared" si="1"/>
        <v>IN-BLR-ANANTA-VAV-1075_6</v>
      </c>
      <c r="Q1503" s="173" t="s">
        <v>5999</v>
      </c>
      <c r="R1503" s="328" t="str">
        <f>IFS(C1503="","",C1503="n/a","N/A",LEN(C1503),Concatenate("{",char(34),"asset",char(34),":{",char(34),"guid",char(34),":",char(34),Q1503,char(34),",",char(34),"site",char(34),":",char(34),LOWER('2-Building'!$B$4),char(34),",",char(34),"name",char(34),":",char(34),LOWER(C1503),char(34),"}}"))</f>
        <v>{"asset":{"guid":"uuid://e9379cbd-7492-4ea0-9c5f-585df4eb2f54","site":"in-blr-ananta","name":"vav-1075"}}</v>
      </c>
      <c r="S1503" s="360" t="s">
        <v>5516</v>
      </c>
      <c r="T1503" s="330"/>
      <c r="U1503" s="330"/>
      <c r="V1503" s="331"/>
      <c r="W1503" s="332"/>
      <c r="X1503" s="333"/>
      <c r="Y1503" s="33" t="s">
        <v>2867</v>
      </c>
      <c r="Z1503" s="258">
        <v>121075.0</v>
      </c>
      <c r="AA1503" s="334">
        <v>11625.0</v>
      </c>
      <c r="AB1503" s="341"/>
      <c r="AC1503" s="341"/>
      <c r="AD1503" s="343"/>
      <c r="AE1503" s="331"/>
      <c r="AF1503" s="348"/>
      <c r="AG1503" s="337"/>
      <c r="AH1503" s="341"/>
      <c r="AI1503" s="341"/>
      <c r="AJ1503" s="341"/>
      <c r="AK1503" s="341"/>
      <c r="AL1503" s="341"/>
      <c r="AM1503" s="338"/>
      <c r="AN1503" s="341"/>
      <c r="AO1503" s="341"/>
      <c r="AP1503" s="341"/>
      <c r="AQ1503" s="341"/>
      <c r="AR1503" s="341"/>
      <c r="AS1503" s="341"/>
      <c r="AT1503" s="341"/>
      <c r="AU1503" s="343"/>
      <c r="AV1503" s="341"/>
      <c r="AW1503" s="269" t="s">
        <v>2316</v>
      </c>
      <c r="AX1503" s="334" t="s">
        <v>2869</v>
      </c>
      <c r="AY1503" s="270" t="s">
        <v>695</v>
      </c>
      <c r="AZ1503" s="173" t="s">
        <v>5516</v>
      </c>
      <c r="BA1503" s="265">
        <v>10.0</v>
      </c>
      <c r="BB1503" s="174" t="s">
        <v>245</v>
      </c>
      <c r="BC1503" s="341"/>
      <c r="BD1503" s="308"/>
      <c r="BE1503" s="342"/>
      <c r="BF1503" s="274" t="str">
        <f>IFERROR(__xludf.DUMMYFUNCTION("LOWER(Regexreplace(to_text(E1503),""[^A-Za-z0-9]"","""")&amp;""_""&amp;Regexreplace(to_text(F1503),""[^A-Za-z0-9]"",""""))"),"neptronic_evcbseries")</f>
        <v>neptronic_evcbseries</v>
      </c>
      <c r="BG1503" s="275" t="str">
        <f>IFERROR(__xludf.DUMMYFUNCTION("upper(Regexreplace(to_text(E1503),""[^A-Za-z0-9]"","""")&amp;""-""&amp;Regexreplace(to_text(F1503),""[^A-Za-z0-9]"",""""))"),"NEPTRONIC-EVCBSERIES")</f>
        <v>NEPTRONIC-EVCBSERIES</v>
      </c>
    </row>
    <row r="1504" ht="30.0" customHeight="1">
      <c r="A1504" s="258">
        <v>1496.0</v>
      </c>
      <c r="B1504" s="328" t="s">
        <v>670</v>
      </c>
      <c r="C1504" s="257" t="s">
        <v>6000</v>
      </c>
      <c r="D1504" s="173" t="s">
        <v>6000</v>
      </c>
      <c r="E1504" s="174" t="s">
        <v>2861</v>
      </c>
      <c r="F1504" s="173" t="s">
        <v>2862</v>
      </c>
      <c r="G1504" s="328" t="s">
        <v>673</v>
      </c>
      <c r="H1504" s="328" t="s">
        <v>2863</v>
      </c>
      <c r="I1504" s="258" t="s">
        <v>2864</v>
      </c>
      <c r="J1504" s="259" t="s">
        <v>1149</v>
      </c>
      <c r="K1504" s="260" t="s">
        <v>6001</v>
      </c>
      <c r="L1504" s="359"/>
      <c r="M1504" s="359"/>
      <c r="N1504" s="173" t="s">
        <v>679</v>
      </c>
      <c r="O1504" s="173" t="s">
        <v>225</v>
      </c>
      <c r="P1504" s="262" t="str">
        <f t="shared" si="1"/>
        <v>IN-BLR-ANANTA-VAV-1076_6</v>
      </c>
      <c r="Q1504" s="173" t="s">
        <v>6002</v>
      </c>
      <c r="R1504" s="328" t="str">
        <f>IFS(C1504="","",C1504="n/a","N/A",LEN(C1504),Concatenate("{",char(34),"asset",char(34),":{",char(34),"guid",char(34),":",char(34),Q1504,char(34),",",char(34),"site",char(34),":",char(34),LOWER('2-Building'!$B$4),char(34),",",char(34),"name",char(34),":",char(34),LOWER(C1504),char(34),"}}"))</f>
        <v>{"asset":{"guid":"uuid://5b3fac11-b29c-4f20-8ce7-ddb57d219c0d","site":"in-blr-ananta","name":"vav-1076"}}</v>
      </c>
      <c r="S1504" s="360" t="s">
        <v>5516</v>
      </c>
      <c r="T1504" s="330"/>
      <c r="U1504" s="330"/>
      <c r="V1504" s="331"/>
      <c r="W1504" s="332"/>
      <c r="X1504" s="333"/>
      <c r="Y1504" s="33" t="s">
        <v>2867</v>
      </c>
      <c r="Z1504" s="258">
        <v>121076.0</v>
      </c>
      <c r="AA1504" s="334">
        <v>11625.0</v>
      </c>
      <c r="AB1504" s="341"/>
      <c r="AC1504" s="341"/>
      <c r="AD1504" s="343"/>
      <c r="AE1504" s="331"/>
      <c r="AF1504" s="348"/>
      <c r="AG1504" s="337"/>
      <c r="AH1504" s="341"/>
      <c r="AI1504" s="341"/>
      <c r="AJ1504" s="341"/>
      <c r="AK1504" s="341"/>
      <c r="AL1504" s="341"/>
      <c r="AM1504" s="338"/>
      <c r="AN1504" s="341"/>
      <c r="AO1504" s="341"/>
      <c r="AP1504" s="341"/>
      <c r="AQ1504" s="341"/>
      <c r="AR1504" s="341"/>
      <c r="AS1504" s="341"/>
      <c r="AT1504" s="341"/>
      <c r="AU1504" s="343"/>
      <c r="AV1504" s="341"/>
      <c r="AW1504" s="269" t="s">
        <v>2316</v>
      </c>
      <c r="AX1504" s="334" t="s">
        <v>2869</v>
      </c>
      <c r="AY1504" s="270" t="s">
        <v>695</v>
      </c>
      <c r="AZ1504" s="173" t="s">
        <v>5516</v>
      </c>
      <c r="BA1504" s="265">
        <v>10.0</v>
      </c>
      <c r="BB1504" s="174" t="s">
        <v>245</v>
      </c>
      <c r="BC1504" s="341"/>
      <c r="BD1504" s="308"/>
      <c r="BE1504" s="342"/>
      <c r="BF1504" s="274" t="str">
        <f>IFERROR(__xludf.DUMMYFUNCTION("LOWER(Regexreplace(to_text(E1504),""[^A-Za-z0-9]"","""")&amp;""_""&amp;Regexreplace(to_text(F1504),""[^A-Za-z0-9]"",""""))"),"neptronic_evcbseries")</f>
        <v>neptronic_evcbseries</v>
      </c>
      <c r="BG1504" s="275" t="str">
        <f>IFERROR(__xludf.DUMMYFUNCTION("upper(Regexreplace(to_text(E1504),""[^A-Za-z0-9]"","""")&amp;""-""&amp;Regexreplace(to_text(F1504),""[^A-Za-z0-9]"",""""))"),"NEPTRONIC-EVCBSERIES")</f>
        <v>NEPTRONIC-EVCBSERIES</v>
      </c>
    </row>
    <row r="1505" ht="30.0" customHeight="1">
      <c r="A1505" s="173">
        <v>1497.0</v>
      </c>
      <c r="B1505" s="328" t="s">
        <v>670</v>
      </c>
      <c r="C1505" s="257" t="s">
        <v>6003</v>
      </c>
      <c r="D1505" s="173" t="s">
        <v>6003</v>
      </c>
      <c r="E1505" s="174" t="s">
        <v>2861</v>
      </c>
      <c r="F1505" s="173" t="s">
        <v>2862</v>
      </c>
      <c r="G1505" s="328" t="s">
        <v>673</v>
      </c>
      <c r="H1505" s="328" t="s">
        <v>2863</v>
      </c>
      <c r="I1505" s="258" t="s">
        <v>2864</v>
      </c>
      <c r="J1505" s="259" t="s">
        <v>1149</v>
      </c>
      <c r="K1505" s="260" t="s">
        <v>6004</v>
      </c>
      <c r="L1505" s="359"/>
      <c r="M1505" s="359"/>
      <c r="N1505" s="173" t="s">
        <v>679</v>
      </c>
      <c r="O1505" s="173" t="s">
        <v>225</v>
      </c>
      <c r="P1505" s="262" t="str">
        <f t="shared" si="1"/>
        <v>IN-BLR-ANANTA-VAV-1077_6</v>
      </c>
      <c r="Q1505" s="173" t="s">
        <v>6005</v>
      </c>
      <c r="R1505" s="328" t="str">
        <f>IFS(C1505="","",C1505="n/a","N/A",LEN(C1505),Concatenate("{",char(34),"asset",char(34),":{",char(34),"guid",char(34),":",char(34),Q1505,char(34),",",char(34),"site",char(34),":",char(34),LOWER('2-Building'!$B$4),char(34),",",char(34),"name",char(34),":",char(34),LOWER(C1505),char(34),"}}"))</f>
        <v>{"asset":{"guid":"uuid://8867badd-5f23-4953-b78d-2ef94de85bcf","site":"in-blr-ananta","name":"vav-1077"}}</v>
      </c>
      <c r="S1505" s="360" t="s">
        <v>5516</v>
      </c>
      <c r="T1505" s="330"/>
      <c r="U1505" s="330"/>
      <c r="V1505" s="331"/>
      <c r="W1505" s="332"/>
      <c r="X1505" s="333"/>
      <c r="Y1505" s="33" t="s">
        <v>2867</v>
      </c>
      <c r="Z1505" s="258">
        <v>121077.0</v>
      </c>
      <c r="AA1505" s="334">
        <v>11625.0</v>
      </c>
      <c r="AB1505" s="341"/>
      <c r="AC1505" s="341"/>
      <c r="AD1505" s="343"/>
      <c r="AE1505" s="331"/>
      <c r="AF1505" s="348"/>
      <c r="AG1505" s="337"/>
      <c r="AH1505" s="341"/>
      <c r="AI1505" s="341"/>
      <c r="AJ1505" s="341"/>
      <c r="AK1505" s="341"/>
      <c r="AL1505" s="341"/>
      <c r="AM1505" s="338"/>
      <c r="AN1505" s="341"/>
      <c r="AO1505" s="341"/>
      <c r="AP1505" s="341"/>
      <c r="AQ1505" s="341"/>
      <c r="AR1505" s="341"/>
      <c r="AS1505" s="341"/>
      <c r="AT1505" s="341"/>
      <c r="AU1505" s="343"/>
      <c r="AV1505" s="341"/>
      <c r="AW1505" s="269" t="s">
        <v>2316</v>
      </c>
      <c r="AX1505" s="334" t="s">
        <v>2869</v>
      </c>
      <c r="AY1505" s="270" t="s">
        <v>695</v>
      </c>
      <c r="AZ1505" s="173" t="s">
        <v>5516</v>
      </c>
      <c r="BA1505" s="265">
        <v>10.0</v>
      </c>
      <c r="BB1505" s="174" t="s">
        <v>245</v>
      </c>
      <c r="BC1505" s="341"/>
      <c r="BD1505" s="308"/>
      <c r="BE1505" s="342"/>
      <c r="BF1505" s="274" t="str">
        <f>IFERROR(__xludf.DUMMYFUNCTION("LOWER(Regexreplace(to_text(E1505),""[^A-Za-z0-9]"","""")&amp;""_""&amp;Regexreplace(to_text(F1505),""[^A-Za-z0-9]"",""""))"),"neptronic_evcbseries")</f>
        <v>neptronic_evcbseries</v>
      </c>
      <c r="BG1505" s="275" t="str">
        <f>IFERROR(__xludf.DUMMYFUNCTION("upper(Regexreplace(to_text(E1505),""[^A-Za-z0-9]"","""")&amp;""-""&amp;Regexreplace(to_text(F1505),""[^A-Za-z0-9]"",""""))"),"NEPTRONIC-EVCBSERIES")</f>
        <v>NEPTRONIC-EVCBSERIES</v>
      </c>
    </row>
    <row r="1506" ht="30.0" customHeight="1">
      <c r="A1506" s="258">
        <v>1498.0</v>
      </c>
      <c r="B1506" s="328" t="s">
        <v>670</v>
      </c>
      <c r="C1506" s="257" t="s">
        <v>6006</v>
      </c>
      <c r="D1506" s="173" t="s">
        <v>6006</v>
      </c>
      <c r="E1506" s="174" t="s">
        <v>2861</v>
      </c>
      <c r="F1506" s="173" t="s">
        <v>2862</v>
      </c>
      <c r="G1506" s="328" t="s">
        <v>673</v>
      </c>
      <c r="H1506" s="328" t="s">
        <v>2863</v>
      </c>
      <c r="I1506" s="258" t="s">
        <v>2864</v>
      </c>
      <c r="J1506" s="259" t="s">
        <v>1149</v>
      </c>
      <c r="K1506" s="260" t="s">
        <v>6007</v>
      </c>
      <c r="L1506" s="359"/>
      <c r="M1506" s="359"/>
      <c r="N1506" s="173" t="s">
        <v>679</v>
      </c>
      <c r="O1506" s="173" t="s">
        <v>225</v>
      </c>
      <c r="P1506" s="262" t="str">
        <f t="shared" si="1"/>
        <v>IN-BLR-ANANTA-VAV-1078_6</v>
      </c>
      <c r="Q1506" s="173" t="s">
        <v>6008</v>
      </c>
      <c r="R1506" s="328" t="str">
        <f>IFS(C1506="","",C1506="n/a","N/A",LEN(C1506),Concatenate("{",char(34),"asset",char(34),":{",char(34),"guid",char(34),":",char(34),Q1506,char(34),",",char(34),"site",char(34),":",char(34),LOWER('2-Building'!$B$4),char(34),",",char(34),"name",char(34),":",char(34),LOWER(C1506),char(34),"}}"))</f>
        <v>{"asset":{"guid":"uuid://49431fe0-5acc-4dc2-b756-083199de4070","site":"in-blr-ananta","name":"vav-1078"}}</v>
      </c>
      <c r="S1506" s="360" t="s">
        <v>5516</v>
      </c>
      <c r="T1506" s="330"/>
      <c r="U1506" s="330"/>
      <c r="V1506" s="331"/>
      <c r="W1506" s="332"/>
      <c r="X1506" s="333"/>
      <c r="Y1506" s="33" t="s">
        <v>2867</v>
      </c>
      <c r="Z1506" s="258">
        <v>121078.0</v>
      </c>
      <c r="AA1506" s="334">
        <v>11625.0</v>
      </c>
      <c r="AB1506" s="341"/>
      <c r="AC1506" s="341"/>
      <c r="AD1506" s="343"/>
      <c r="AE1506" s="331"/>
      <c r="AF1506" s="348"/>
      <c r="AG1506" s="337"/>
      <c r="AH1506" s="341"/>
      <c r="AI1506" s="341"/>
      <c r="AJ1506" s="341"/>
      <c r="AK1506" s="341"/>
      <c r="AL1506" s="341"/>
      <c r="AM1506" s="338"/>
      <c r="AN1506" s="341"/>
      <c r="AO1506" s="341"/>
      <c r="AP1506" s="341"/>
      <c r="AQ1506" s="341"/>
      <c r="AR1506" s="341"/>
      <c r="AS1506" s="341"/>
      <c r="AT1506" s="341"/>
      <c r="AU1506" s="343"/>
      <c r="AV1506" s="341"/>
      <c r="AW1506" s="269" t="s">
        <v>2316</v>
      </c>
      <c r="AX1506" s="334" t="s">
        <v>2869</v>
      </c>
      <c r="AY1506" s="270" t="s">
        <v>695</v>
      </c>
      <c r="AZ1506" s="173" t="s">
        <v>5516</v>
      </c>
      <c r="BA1506" s="265">
        <v>10.0</v>
      </c>
      <c r="BB1506" s="174" t="s">
        <v>245</v>
      </c>
      <c r="BC1506" s="341"/>
      <c r="BD1506" s="308"/>
      <c r="BE1506" s="342"/>
      <c r="BF1506" s="274" t="str">
        <f>IFERROR(__xludf.DUMMYFUNCTION("LOWER(Regexreplace(to_text(E1506),""[^A-Za-z0-9]"","""")&amp;""_""&amp;Regexreplace(to_text(F1506),""[^A-Za-z0-9]"",""""))"),"neptronic_evcbseries")</f>
        <v>neptronic_evcbseries</v>
      </c>
      <c r="BG1506" s="275" t="str">
        <f>IFERROR(__xludf.DUMMYFUNCTION("upper(Regexreplace(to_text(E1506),""[^A-Za-z0-9]"","""")&amp;""-""&amp;Regexreplace(to_text(F1506),""[^A-Za-z0-9]"",""""))"),"NEPTRONIC-EVCBSERIES")</f>
        <v>NEPTRONIC-EVCBSERIES</v>
      </c>
    </row>
    <row r="1507" ht="30.0" customHeight="1">
      <c r="A1507" s="173">
        <v>1499.0</v>
      </c>
      <c r="B1507" s="328" t="s">
        <v>670</v>
      </c>
      <c r="C1507" s="257" t="s">
        <v>6009</v>
      </c>
      <c r="D1507" s="173" t="s">
        <v>6009</v>
      </c>
      <c r="E1507" s="174" t="s">
        <v>2861</v>
      </c>
      <c r="F1507" s="173" t="s">
        <v>2862</v>
      </c>
      <c r="G1507" s="328" t="s">
        <v>673</v>
      </c>
      <c r="H1507" s="328" t="s">
        <v>2863</v>
      </c>
      <c r="I1507" s="258" t="s">
        <v>2864</v>
      </c>
      <c r="J1507" s="259" t="s">
        <v>1149</v>
      </c>
      <c r="K1507" s="260" t="s">
        <v>6010</v>
      </c>
      <c r="L1507" s="359"/>
      <c r="M1507" s="359"/>
      <c r="N1507" s="173" t="s">
        <v>679</v>
      </c>
      <c r="O1507" s="173" t="s">
        <v>225</v>
      </c>
      <c r="P1507" s="262" t="str">
        <f t="shared" si="1"/>
        <v>IN-BLR-ANANTA-VAV-1079_6</v>
      </c>
      <c r="Q1507" s="173" t="s">
        <v>6011</v>
      </c>
      <c r="R1507" s="328" t="str">
        <f>IFS(C1507="","",C1507="n/a","N/A",LEN(C1507),Concatenate("{",char(34),"asset",char(34),":{",char(34),"guid",char(34),":",char(34),Q1507,char(34),",",char(34),"site",char(34),":",char(34),LOWER('2-Building'!$B$4),char(34),",",char(34),"name",char(34),":",char(34),LOWER(C1507),char(34),"}}"))</f>
        <v>{"asset":{"guid":"uuid://5e6cc911-ae0c-4044-a497-a128f1861b35","site":"in-blr-ananta","name":"vav-1079"}}</v>
      </c>
      <c r="S1507" s="360" t="s">
        <v>5516</v>
      </c>
      <c r="T1507" s="330"/>
      <c r="U1507" s="330"/>
      <c r="V1507" s="331"/>
      <c r="W1507" s="332"/>
      <c r="X1507" s="333"/>
      <c r="Y1507" s="33" t="s">
        <v>2867</v>
      </c>
      <c r="Z1507" s="258">
        <v>121079.0</v>
      </c>
      <c r="AA1507" s="334">
        <v>11625.0</v>
      </c>
      <c r="AB1507" s="341"/>
      <c r="AC1507" s="341"/>
      <c r="AD1507" s="343"/>
      <c r="AE1507" s="331"/>
      <c r="AF1507" s="348"/>
      <c r="AG1507" s="337"/>
      <c r="AH1507" s="341"/>
      <c r="AI1507" s="341"/>
      <c r="AJ1507" s="341"/>
      <c r="AK1507" s="341"/>
      <c r="AL1507" s="341"/>
      <c r="AM1507" s="338"/>
      <c r="AN1507" s="341"/>
      <c r="AO1507" s="341"/>
      <c r="AP1507" s="341"/>
      <c r="AQ1507" s="341"/>
      <c r="AR1507" s="341"/>
      <c r="AS1507" s="341"/>
      <c r="AT1507" s="341"/>
      <c r="AU1507" s="343"/>
      <c r="AV1507" s="341"/>
      <c r="AW1507" s="269" t="s">
        <v>2316</v>
      </c>
      <c r="AX1507" s="334" t="s">
        <v>2869</v>
      </c>
      <c r="AY1507" s="270" t="s">
        <v>695</v>
      </c>
      <c r="AZ1507" s="173" t="s">
        <v>5516</v>
      </c>
      <c r="BA1507" s="265">
        <v>10.0</v>
      </c>
      <c r="BB1507" s="174" t="s">
        <v>245</v>
      </c>
      <c r="BC1507" s="341"/>
      <c r="BD1507" s="308"/>
      <c r="BE1507" s="342"/>
      <c r="BF1507" s="274" t="str">
        <f>IFERROR(__xludf.DUMMYFUNCTION("LOWER(Regexreplace(to_text(E1507),""[^A-Za-z0-9]"","""")&amp;""_""&amp;Regexreplace(to_text(F1507),""[^A-Za-z0-9]"",""""))"),"neptronic_evcbseries")</f>
        <v>neptronic_evcbseries</v>
      </c>
      <c r="BG1507" s="275" t="str">
        <f>IFERROR(__xludf.DUMMYFUNCTION("upper(Regexreplace(to_text(E1507),""[^A-Za-z0-9]"","""")&amp;""-""&amp;Regexreplace(to_text(F1507),""[^A-Za-z0-9]"",""""))"),"NEPTRONIC-EVCBSERIES")</f>
        <v>NEPTRONIC-EVCBSERIES</v>
      </c>
    </row>
    <row r="1508" ht="30.0" customHeight="1">
      <c r="A1508" s="258">
        <v>1500.0</v>
      </c>
      <c r="B1508" s="328" t="s">
        <v>670</v>
      </c>
      <c r="C1508" s="257" t="s">
        <v>6012</v>
      </c>
      <c r="D1508" s="173" t="s">
        <v>6012</v>
      </c>
      <c r="E1508" s="174" t="s">
        <v>2861</v>
      </c>
      <c r="F1508" s="173" t="s">
        <v>2862</v>
      </c>
      <c r="G1508" s="328" t="s">
        <v>673</v>
      </c>
      <c r="H1508" s="328" t="s">
        <v>2863</v>
      </c>
      <c r="I1508" s="258" t="s">
        <v>2864</v>
      </c>
      <c r="J1508" s="259" t="s">
        <v>1149</v>
      </c>
      <c r="K1508" s="260" t="s">
        <v>6013</v>
      </c>
      <c r="L1508" s="359"/>
      <c r="M1508" s="359"/>
      <c r="N1508" s="173" t="s">
        <v>679</v>
      </c>
      <c r="O1508" s="173" t="s">
        <v>225</v>
      </c>
      <c r="P1508" s="262" t="str">
        <f t="shared" si="1"/>
        <v>IN-BLR-ANANTA-VAV-1080_6</v>
      </c>
      <c r="Q1508" s="173" t="s">
        <v>6014</v>
      </c>
      <c r="R1508" s="328" t="str">
        <f>IFS(C1508="","",C1508="n/a","N/A",LEN(C1508),Concatenate("{",char(34),"asset",char(34),":{",char(34),"guid",char(34),":",char(34),Q1508,char(34),",",char(34),"site",char(34),":",char(34),LOWER('2-Building'!$B$4),char(34),",",char(34),"name",char(34),":",char(34),LOWER(C1508),char(34),"}}"))</f>
        <v>{"asset":{"guid":"uuid://7b50a1ba-696c-46f3-945a-e6533d5a4b4f","site":"in-blr-ananta","name":"vav-1080"}}</v>
      </c>
      <c r="S1508" s="360" t="s">
        <v>5516</v>
      </c>
      <c r="T1508" s="330"/>
      <c r="U1508" s="330"/>
      <c r="V1508" s="331"/>
      <c r="W1508" s="332"/>
      <c r="X1508" s="333"/>
      <c r="Y1508" s="33" t="s">
        <v>2867</v>
      </c>
      <c r="Z1508" s="258">
        <v>121080.0</v>
      </c>
      <c r="AA1508" s="334">
        <v>11625.0</v>
      </c>
      <c r="AB1508" s="341"/>
      <c r="AC1508" s="341"/>
      <c r="AD1508" s="343"/>
      <c r="AE1508" s="331"/>
      <c r="AF1508" s="348"/>
      <c r="AG1508" s="337"/>
      <c r="AH1508" s="341"/>
      <c r="AI1508" s="341"/>
      <c r="AJ1508" s="341"/>
      <c r="AK1508" s="341"/>
      <c r="AL1508" s="341"/>
      <c r="AM1508" s="338"/>
      <c r="AN1508" s="341"/>
      <c r="AO1508" s="341"/>
      <c r="AP1508" s="341"/>
      <c r="AQ1508" s="341"/>
      <c r="AR1508" s="341"/>
      <c r="AS1508" s="341"/>
      <c r="AT1508" s="341"/>
      <c r="AU1508" s="343"/>
      <c r="AV1508" s="341"/>
      <c r="AW1508" s="269" t="s">
        <v>2316</v>
      </c>
      <c r="AX1508" s="334" t="s">
        <v>2869</v>
      </c>
      <c r="AY1508" s="270" t="s">
        <v>695</v>
      </c>
      <c r="AZ1508" s="173" t="s">
        <v>5516</v>
      </c>
      <c r="BA1508" s="265">
        <v>10.0</v>
      </c>
      <c r="BB1508" s="174" t="s">
        <v>245</v>
      </c>
      <c r="BC1508" s="341"/>
      <c r="BD1508" s="308"/>
      <c r="BE1508" s="342"/>
      <c r="BF1508" s="274" t="str">
        <f>IFERROR(__xludf.DUMMYFUNCTION("LOWER(Regexreplace(to_text(E1508),""[^A-Za-z0-9]"","""")&amp;""_""&amp;Regexreplace(to_text(F1508),""[^A-Za-z0-9]"",""""))"),"neptronic_evcbseries")</f>
        <v>neptronic_evcbseries</v>
      </c>
      <c r="BG1508" s="275" t="str">
        <f>IFERROR(__xludf.DUMMYFUNCTION("upper(Regexreplace(to_text(E1508),""[^A-Za-z0-9]"","""")&amp;""-""&amp;Regexreplace(to_text(F1508),""[^A-Za-z0-9]"",""""))"),"NEPTRONIC-EVCBSERIES")</f>
        <v>NEPTRONIC-EVCBSERIES</v>
      </c>
    </row>
    <row r="1509" ht="30.0" customHeight="1">
      <c r="A1509" s="173">
        <v>1501.0</v>
      </c>
      <c r="B1509" s="328" t="s">
        <v>670</v>
      </c>
      <c r="C1509" s="257" t="s">
        <v>6015</v>
      </c>
      <c r="D1509" s="173" t="s">
        <v>6015</v>
      </c>
      <c r="E1509" s="174" t="s">
        <v>2861</v>
      </c>
      <c r="F1509" s="173" t="s">
        <v>2862</v>
      </c>
      <c r="G1509" s="328" t="s">
        <v>673</v>
      </c>
      <c r="H1509" s="328" t="s">
        <v>2863</v>
      </c>
      <c r="I1509" s="258" t="s">
        <v>2864</v>
      </c>
      <c r="J1509" s="259" t="s">
        <v>1149</v>
      </c>
      <c r="K1509" s="260" t="s">
        <v>6016</v>
      </c>
      <c r="L1509" s="359"/>
      <c r="M1509" s="359"/>
      <c r="N1509" s="173" t="s">
        <v>679</v>
      </c>
      <c r="O1509" s="173" t="s">
        <v>225</v>
      </c>
      <c r="P1509" s="262" t="str">
        <f t="shared" si="1"/>
        <v>IN-BLR-ANANTA-VAV-1081_6</v>
      </c>
      <c r="Q1509" s="173" t="s">
        <v>6017</v>
      </c>
      <c r="R1509" s="328" t="str">
        <f>IFS(C1509="","",C1509="n/a","N/A",LEN(C1509),Concatenate("{",char(34),"asset",char(34),":{",char(34),"guid",char(34),":",char(34),Q1509,char(34),",",char(34),"site",char(34),":",char(34),LOWER('2-Building'!$B$4),char(34),",",char(34),"name",char(34),":",char(34),LOWER(C1509),char(34),"}}"))</f>
        <v>{"asset":{"guid":"uuid://3b811a57-196f-4dce-9fdc-b04a2d6ed845","site":"in-blr-ananta","name":"vav-1081"}}</v>
      </c>
      <c r="S1509" s="360" t="s">
        <v>5516</v>
      </c>
      <c r="T1509" s="330"/>
      <c r="U1509" s="330"/>
      <c r="V1509" s="331"/>
      <c r="W1509" s="332"/>
      <c r="X1509" s="333"/>
      <c r="Y1509" s="33" t="s">
        <v>2867</v>
      </c>
      <c r="Z1509" s="258">
        <v>121081.0</v>
      </c>
      <c r="AA1509" s="334">
        <v>11625.0</v>
      </c>
      <c r="AB1509" s="341"/>
      <c r="AC1509" s="341"/>
      <c r="AD1509" s="343"/>
      <c r="AE1509" s="331"/>
      <c r="AF1509" s="348"/>
      <c r="AG1509" s="337"/>
      <c r="AH1509" s="341"/>
      <c r="AI1509" s="341"/>
      <c r="AJ1509" s="341"/>
      <c r="AK1509" s="341"/>
      <c r="AL1509" s="341"/>
      <c r="AM1509" s="338"/>
      <c r="AN1509" s="341"/>
      <c r="AO1509" s="341"/>
      <c r="AP1509" s="341"/>
      <c r="AQ1509" s="341"/>
      <c r="AR1509" s="341"/>
      <c r="AS1509" s="341"/>
      <c r="AT1509" s="341"/>
      <c r="AU1509" s="343"/>
      <c r="AV1509" s="341"/>
      <c r="AW1509" s="269" t="s">
        <v>2316</v>
      </c>
      <c r="AX1509" s="334" t="s">
        <v>2869</v>
      </c>
      <c r="AY1509" s="270" t="s">
        <v>695</v>
      </c>
      <c r="AZ1509" s="173" t="s">
        <v>5516</v>
      </c>
      <c r="BA1509" s="265">
        <v>10.0</v>
      </c>
      <c r="BB1509" s="174" t="s">
        <v>245</v>
      </c>
      <c r="BC1509" s="341"/>
      <c r="BD1509" s="308"/>
      <c r="BE1509" s="342"/>
      <c r="BF1509" s="274" t="str">
        <f>IFERROR(__xludf.DUMMYFUNCTION("LOWER(Regexreplace(to_text(E1509),""[^A-Za-z0-9]"","""")&amp;""_""&amp;Regexreplace(to_text(F1509),""[^A-Za-z0-9]"",""""))"),"neptronic_evcbseries")</f>
        <v>neptronic_evcbseries</v>
      </c>
      <c r="BG1509" s="275" t="str">
        <f>IFERROR(__xludf.DUMMYFUNCTION("upper(Regexreplace(to_text(E1509),""[^A-Za-z0-9]"","""")&amp;""-""&amp;Regexreplace(to_text(F1509),""[^A-Za-z0-9]"",""""))"),"NEPTRONIC-EVCBSERIES")</f>
        <v>NEPTRONIC-EVCBSERIES</v>
      </c>
    </row>
    <row r="1510" ht="30.0" customHeight="1">
      <c r="A1510" s="258">
        <v>1502.0</v>
      </c>
      <c r="B1510" s="328" t="s">
        <v>670</v>
      </c>
      <c r="C1510" s="257" t="s">
        <v>6018</v>
      </c>
      <c r="D1510" s="173" t="s">
        <v>6018</v>
      </c>
      <c r="E1510" s="174" t="s">
        <v>2861</v>
      </c>
      <c r="F1510" s="173" t="s">
        <v>2862</v>
      </c>
      <c r="G1510" s="328" t="s">
        <v>673</v>
      </c>
      <c r="H1510" s="328" t="s">
        <v>2863</v>
      </c>
      <c r="I1510" s="258" t="s">
        <v>2864</v>
      </c>
      <c r="J1510" s="259" t="s">
        <v>1149</v>
      </c>
      <c r="K1510" s="260" t="s">
        <v>6019</v>
      </c>
      <c r="L1510" s="359"/>
      <c r="M1510" s="359"/>
      <c r="N1510" s="173" t="s">
        <v>679</v>
      </c>
      <c r="O1510" s="173" t="s">
        <v>225</v>
      </c>
      <c r="P1510" s="262" t="str">
        <f t="shared" si="1"/>
        <v>IN-BLR-ANANTA-VAV-1082_6</v>
      </c>
      <c r="Q1510" s="173" t="s">
        <v>6020</v>
      </c>
      <c r="R1510" s="328" t="str">
        <f>IFS(C1510="","",C1510="n/a","N/A",LEN(C1510),Concatenate("{",char(34),"asset",char(34),":{",char(34),"guid",char(34),":",char(34),Q1510,char(34),",",char(34),"site",char(34),":",char(34),LOWER('2-Building'!$B$4),char(34),",",char(34),"name",char(34),":",char(34),LOWER(C1510),char(34),"}}"))</f>
        <v>{"asset":{"guid":"uuid://adb0056c-c969-4bb5-ae04-d8911a9ab9d9","site":"in-blr-ananta","name":"vav-1082"}}</v>
      </c>
      <c r="S1510" s="360" t="s">
        <v>5516</v>
      </c>
      <c r="T1510" s="330"/>
      <c r="U1510" s="330"/>
      <c r="V1510" s="331"/>
      <c r="W1510" s="332"/>
      <c r="X1510" s="333"/>
      <c r="Y1510" s="33" t="s">
        <v>2867</v>
      </c>
      <c r="Z1510" s="258">
        <v>121082.0</v>
      </c>
      <c r="AA1510" s="334">
        <v>11625.0</v>
      </c>
      <c r="AB1510" s="341"/>
      <c r="AC1510" s="341"/>
      <c r="AD1510" s="343"/>
      <c r="AE1510" s="331"/>
      <c r="AF1510" s="348"/>
      <c r="AG1510" s="337"/>
      <c r="AH1510" s="341"/>
      <c r="AI1510" s="341"/>
      <c r="AJ1510" s="341"/>
      <c r="AK1510" s="341"/>
      <c r="AL1510" s="341"/>
      <c r="AM1510" s="338"/>
      <c r="AN1510" s="341"/>
      <c r="AO1510" s="341"/>
      <c r="AP1510" s="341"/>
      <c r="AQ1510" s="341"/>
      <c r="AR1510" s="341"/>
      <c r="AS1510" s="341"/>
      <c r="AT1510" s="341"/>
      <c r="AU1510" s="343"/>
      <c r="AV1510" s="341"/>
      <c r="AW1510" s="269" t="s">
        <v>2316</v>
      </c>
      <c r="AX1510" s="334" t="s">
        <v>2869</v>
      </c>
      <c r="AY1510" s="270" t="s">
        <v>695</v>
      </c>
      <c r="AZ1510" s="173" t="s">
        <v>5516</v>
      </c>
      <c r="BA1510" s="265">
        <v>10.0</v>
      </c>
      <c r="BB1510" s="174" t="s">
        <v>245</v>
      </c>
      <c r="BC1510" s="341"/>
      <c r="BD1510" s="308"/>
      <c r="BE1510" s="342"/>
      <c r="BF1510" s="274" t="str">
        <f>IFERROR(__xludf.DUMMYFUNCTION("LOWER(Regexreplace(to_text(E1510),""[^A-Za-z0-9]"","""")&amp;""_""&amp;Regexreplace(to_text(F1510),""[^A-Za-z0-9]"",""""))"),"neptronic_evcbseries")</f>
        <v>neptronic_evcbseries</v>
      </c>
      <c r="BG1510" s="275" t="str">
        <f>IFERROR(__xludf.DUMMYFUNCTION("upper(Regexreplace(to_text(E1510),""[^A-Za-z0-9]"","""")&amp;""-""&amp;Regexreplace(to_text(F1510),""[^A-Za-z0-9]"",""""))"),"NEPTRONIC-EVCBSERIES")</f>
        <v>NEPTRONIC-EVCBSERIES</v>
      </c>
    </row>
    <row r="1511" ht="30.0" customHeight="1">
      <c r="A1511" s="173">
        <v>1503.0</v>
      </c>
      <c r="B1511" s="328" t="s">
        <v>670</v>
      </c>
      <c r="C1511" s="257" t="s">
        <v>6021</v>
      </c>
      <c r="D1511" s="173" t="s">
        <v>6021</v>
      </c>
      <c r="E1511" s="174" t="s">
        <v>2861</v>
      </c>
      <c r="F1511" s="173" t="s">
        <v>2862</v>
      </c>
      <c r="G1511" s="328" t="s">
        <v>673</v>
      </c>
      <c r="H1511" s="328" t="s">
        <v>2863</v>
      </c>
      <c r="I1511" s="258" t="s">
        <v>2864</v>
      </c>
      <c r="J1511" s="259" t="s">
        <v>1149</v>
      </c>
      <c r="K1511" s="260" t="s">
        <v>6022</v>
      </c>
      <c r="L1511" s="359"/>
      <c r="M1511" s="359"/>
      <c r="N1511" s="173" t="s">
        <v>679</v>
      </c>
      <c r="O1511" s="173" t="s">
        <v>225</v>
      </c>
      <c r="P1511" s="262" t="str">
        <f t="shared" si="1"/>
        <v>IN-BLR-ANANTA-VAV-1083_6</v>
      </c>
      <c r="Q1511" s="173" t="s">
        <v>6023</v>
      </c>
      <c r="R1511" s="328" t="str">
        <f>IFS(C1511="","",C1511="n/a","N/A",LEN(C1511),Concatenate("{",char(34),"asset",char(34),":{",char(34),"guid",char(34),":",char(34),Q1511,char(34),",",char(34),"site",char(34),":",char(34),LOWER('2-Building'!$B$4),char(34),",",char(34),"name",char(34),":",char(34),LOWER(C1511),char(34),"}}"))</f>
        <v>{"asset":{"guid":"uuid://c00451b7-80ae-44b5-a4a0-4e802821a363","site":"in-blr-ananta","name":"vav-1083"}}</v>
      </c>
      <c r="S1511" s="360" t="s">
        <v>5516</v>
      </c>
      <c r="T1511" s="330"/>
      <c r="U1511" s="330"/>
      <c r="V1511" s="331"/>
      <c r="W1511" s="332"/>
      <c r="X1511" s="333"/>
      <c r="Y1511" s="33" t="s">
        <v>2867</v>
      </c>
      <c r="Z1511" s="258">
        <v>121083.0</v>
      </c>
      <c r="AA1511" s="334">
        <v>11625.0</v>
      </c>
      <c r="AB1511" s="341"/>
      <c r="AC1511" s="341"/>
      <c r="AD1511" s="343"/>
      <c r="AE1511" s="331"/>
      <c r="AF1511" s="348"/>
      <c r="AG1511" s="337"/>
      <c r="AH1511" s="341"/>
      <c r="AI1511" s="341"/>
      <c r="AJ1511" s="341"/>
      <c r="AK1511" s="341"/>
      <c r="AL1511" s="341"/>
      <c r="AM1511" s="338"/>
      <c r="AN1511" s="341"/>
      <c r="AO1511" s="341"/>
      <c r="AP1511" s="341"/>
      <c r="AQ1511" s="341"/>
      <c r="AR1511" s="341"/>
      <c r="AS1511" s="341"/>
      <c r="AT1511" s="341"/>
      <c r="AU1511" s="343"/>
      <c r="AV1511" s="341"/>
      <c r="AW1511" s="269" t="s">
        <v>2316</v>
      </c>
      <c r="AX1511" s="334" t="s">
        <v>2869</v>
      </c>
      <c r="AY1511" s="270" t="s">
        <v>695</v>
      </c>
      <c r="AZ1511" s="173" t="s">
        <v>5516</v>
      </c>
      <c r="BA1511" s="265">
        <v>10.0</v>
      </c>
      <c r="BB1511" s="174" t="s">
        <v>245</v>
      </c>
      <c r="BC1511" s="341"/>
      <c r="BD1511" s="308"/>
      <c r="BE1511" s="342"/>
      <c r="BF1511" s="274" t="str">
        <f>IFERROR(__xludf.DUMMYFUNCTION("LOWER(Regexreplace(to_text(E1511),""[^A-Za-z0-9]"","""")&amp;""_""&amp;Regexreplace(to_text(F1511),""[^A-Za-z0-9]"",""""))"),"neptronic_evcbseries")</f>
        <v>neptronic_evcbseries</v>
      </c>
      <c r="BG1511" s="275" t="str">
        <f>IFERROR(__xludf.DUMMYFUNCTION("upper(Regexreplace(to_text(E1511),""[^A-Za-z0-9]"","""")&amp;""-""&amp;Regexreplace(to_text(F1511),""[^A-Za-z0-9]"",""""))"),"NEPTRONIC-EVCBSERIES")</f>
        <v>NEPTRONIC-EVCBSERIES</v>
      </c>
    </row>
    <row r="1512" ht="30.0" customHeight="1">
      <c r="A1512" s="258">
        <v>1504.0</v>
      </c>
      <c r="B1512" s="328" t="s">
        <v>670</v>
      </c>
      <c r="C1512" s="257" t="s">
        <v>6024</v>
      </c>
      <c r="D1512" s="173" t="s">
        <v>6024</v>
      </c>
      <c r="E1512" s="174" t="s">
        <v>2861</v>
      </c>
      <c r="F1512" s="173" t="s">
        <v>2862</v>
      </c>
      <c r="G1512" s="328" t="s">
        <v>673</v>
      </c>
      <c r="H1512" s="328" t="s">
        <v>2863</v>
      </c>
      <c r="I1512" s="258" t="s">
        <v>2864</v>
      </c>
      <c r="J1512" s="259" t="s">
        <v>1149</v>
      </c>
      <c r="K1512" s="260" t="s">
        <v>6025</v>
      </c>
      <c r="L1512" s="359"/>
      <c r="M1512" s="359"/>
      <c r="N1512" s="173" t="s">
        <v>679</v>
      </c>
      <c r="O1512" s="173" t="s">
        <v>225</v>
      </c>
      <c r="P1512" s="262" t="str">
        <f t="shared" si="1"/>
        <v>IN-BLR-ANANTA-VAV-1084_6</v>
      </c>
      <c r="Q1512" s="173" t="s">
        <v>6026</v>
      </c>
      <c r="R1512" s="328" t="str">
        <f>IFS(C1512="","",C1512="n/a","N/A",LEN(C1512),Concatenate("{",char(34),"asset",char(34),":{",char(34),"guid",char(34),":",char(34),Q1512,char(34),",",char(34),"site",char(34),":",char(34),LOWER('2-Building'!$B$4),char(34),",",char(34),"name",char(34),":",char(34),LOWER(C1512),char(34),"}}"))</f>
        <v>{"asset":{"guid":"uuid://15b581a5-cdf0-4dd5-b28b-891ab67677bd","site":"in-blr-ananta","name":"vav-1084"}}</v>
      </c>
      <c r="S1512" s="360" t="s">
        <v>5516</v>
      </c>
      <c r="T1512" s="330"/>
      <c r="U1512" s="330"/>
      <c r="V1512" s="331"/>
      <c r="W1512" s="332"/>
      <c r="X1512" s="333"/>
      <c r="Y1512" s="33" t="s">
        <v>2867</v>
      </c>
      <c r="Z1512" s="258">
        <v>121084.0</v>
      </c>
      <c r="AA1512" s="334">
        <v>11625.0</v>
      </c>
      <c r="AB1512" s="341"/>
      <c r="AC1512" s="341"/>
      <c r="AD1512" s="343"/>
      <c r="AE1512" s="331"/>
      <c r="AF1512" s="348"/>
      <c r="AG1512" s="337"/>
      <c r="AH1512" s="341"/>
      <c r="AI1512" s="341"/>
      <c r="AJ1512" s="341"/>
      <c r="AK1512" s="341"/>
      <c r="AL1512" s="341"/>
      <c r="AM1512" s="338"/>
      <c r="AN1512" s="341"/>
      <c r="AO1512" s="341"/>
      <c r="AP1512" s="341"/>
      <c r="AQ1512" s="341"/>
      <c r="AR1512" s="341"/>
      <c r="AS1512" s="341"/>
      <c r="AT1512" s="341"/>
      <c r="AU1512" s="343"/>
      <c r="AV1512" s="341"/>
      <c r="AW1512" s="269" t="s">
        <v>2316</v>
      </c>
      <c r="AX1512" s="334" t="s">
        <v>2869</v>
      </c>
      <c r="AY1512" s="270" t="s">
        <v>695</v>
      </c>
      <c r="AZ1512" s="173" t="s">
        <v>5516</v>
      </c>
      <c r="BA1512" s="265">
        <v>10.0</v>
      </c>
      <c r="BB1512" s="174" t="s">
        <v>245</v>
      </c>
      <c r="BC1512" s="341"/>
      <c r="BD1512" s="308"/>
      <c r="BE1512" s="342"/>
      <c r="BF1512" s="274" t="str">
        <f>IFERROR(__xludf.DUMMYFUNCTION("LOWER(Regexreplace(to_text(E1512),""[^A-Za-z0-9]"","""")&amp;""_""&amp;Regexreplace(to_text(F1512),""[^A-Za-z0-9]"",""""))"),"neptronic_evcbseries")</f>
        <v>neptronic_evcbseries</v>
      </c>
      <c r="BG1512" s="275" t="str">
        <f>IFERROR(__xludf.DUMMYFUNCTION("upper(Regexreplace(to_text(E1512),""[^A-Za-z0-9]"","""")&amp;""-""&amp;Regexreplace(to_text(F1512),""[^A-Za-z0-9]"",""""))"),"NEPTRONIC-EVCBSERIES")</f>
        <v>NEPTRONIC-EVCBSERIES</v>
      </c>
    </row>
    <row r="1513" ht="30.0" customHeight="1">
      <c r="A1513" s="173">
        <v>1505.0</v>
      </c>
      <c r="B1513" s="328" t="s">
        <v>670</v>
      </c>
      <c r="C1513" s="257" t="s">
        <v>6027</v>
      </c>
      <c r="D1513" s="173" t="s">
        <v>6027</v>
      </c>
      <c r="E1513" s="174" t="s">
        <v>2861</v>
      </c>
      <c r="F1513" s="173" t="s">
        <v>2862</v>
      </c>
      <c r="G1513" s="328" t="s">
        <v>673</v>
      </c>
      <c r="H1513" s="328" t="s">
        <v>2863</v>
      </c>
      <c r="I1513" s="258" t="s">
        <v>2864</v>
      </c>
      <c r="J1513" s="259" t="s">
        <v>1149</v>
      </c>
      <c r="K1513" s="260" t="s">
        <v>6028</v>
      </c>
      <c r="L1513" s="359"/>
      <c r="M1513" s="359"/>
      <c r="N1513" s="173" t="s">
        <v>679</v>
      </c>
      <c r="O1513" s="173" t="s">
        <v>225</v>
      </c>
      <c r="P1513" s="262" t="str">
        <f t="shared" si="1"/>
        <v>IN-BLR-ANANTA-VAV-1085_6</v>
      </c>
      <c r="Q1513" s="173" t="s">
        <v>6029</v>
      </c>
      <c r="R1513" s="328" t="str">
        <f>IFS(C1513="","",C1513="n/a","N/A",LEN(C1513),Concatenate("{",char(34),"asset",char(34),":{",char(34),"guid",char(34),":",char(34),Q1513,char(34),",",char(34),"site",char(34),":",char(34),LOWER('2-Building'!$B$4),char(34),",",char(34),"name",char(34),":",char(34),LOWER(C1513),char(34),"}}"))</f>
        <v>{"asset":{"guid":"uuid://99fcdfd5-c458-4f5d-ad24-a3c368019560","site":"in-blr-ananta","name":"vav-1085"}}</v>
      </c>
      <c r="S1513" s="360" t="s">
        <v>5516</v>
      </c>
      <c r="T1513" s="330"/>
      <c r="U1513" s="330"/>
      <c r="V1513" s="331"/>
      <c r="W1513" s="332"/>
      <c r="X1513" s="333"/>
      <c r="Y1513" s="33" t="s">
        <v>2867</v>
      </c>
      <c r="Z1513" s="258">
        <v>121085.0</v>
      </c>
      <c r="AA1513" s="334">
        <v>11625.0</v>
      </c>
      <c r="AB1513" s="341"/>
      <c r="AC1513" s="341"/>
      <c r="AD1513" s="343"/>
      <c r="AE1513" s="331"/>
      <c r="AF1513" s="348"/>
      <c r="AG1513" s="337"/>
      <c r="AH1513" s="341"/>
      <c r="AI1513" s="341"/>
      <c r="AJ1513" s="341"/>
      <c r="AK1513" s="341"/>
      <c r="AL1513" s="341"/>
      <c r="AM1513" s="338"/>
      <c r="AN1513" s="341"/>
      <c r="AO1513" s="341"/>
      <c r="AP1513" s="341"/>
      <c r="AQ1513" s="341"/>
      <c r="AR1513" s="341"/>
      <c r="AS1513" s="341"/>
      <c r="AT1513" s="341"/>
      <c r="AU1513" s="343"/>
      <c r="AV1513" s="341"/>
      <c r="AW1513" s="269" t="s">
        <v>2316</v>
      </c>
      <c r="AX1513" s="334" t="s">
        <v>2869</v>
      </c>
      <c r="AY1513" s="270" t="s">
        <v>695</v>
      </c>
      <c r="AZ1513" s="173" t="s">
        <v>5516</v>
      </c>
      <c r="BA1513" s="265">
        <v>10.0</v>
      </c>
      <c r="BB1513" s="174" t="s">
        <v>245</v>
      </c>
      <c r="BC1513" s="341"/>
      <c r="BD1513" s="308"/>
      <c r="BE1513" s="342"/>
      <c r="BF1513" s="274" t="str">
        <f>IFERROR(__xludf.DUMMYFUNCTION("LOWER(Regexreplace(to_text(E1513),""[^A-Za-z0-9]"","""")&amp;""_""&amp;Regexreplace(to_text(F1513),""[^A-Za-z0-9]"",""""))"),"neptronic_evcbseries")</f>
        <v>neptronic_evcbseries</v>
      </c>
      <c r="BG1513" s="275" t="str">
        <f>IFERROR(__xludf.DUMMYFUNCTION("upper(Regexreplace(to_text(E1513),""[^A-Za-z0-9]"","""")&amp;""-""&amp;Regexreplace(to_text(F1513),""[^A-Za-z0-9]"",""""))"),"NEPTRONIC-EVCBSERIES")</f>
        <v>NEPTRONIC-EVCBSERIES</v>
      </c>
    </row>
    <row r="1514" ht="30.0" customHeight="1">
      <c r="A1514" s="258">
        <v>1506.0</v>
      </c>
      <c r="B1514" s="328" t="s">
        <v>670</v>
      </c>
      <c r="C1514" s="257" t="s">
        <v>6030</v>
      </c>
      <c r="D1514" s="173" t="s">
        <v>6030</v>
      </c>
      <c r="E1514" s="174" t="s">
        <v>2861</v>
      </c>
      <c r="F1514" s="173" t="s">
        <v>2862</v>
      </c>
      <c r="G1514" s="328" t="s">
        <v>673</v>
      </c>
      <c r="H1514" s="328" t="s">
        <v>2863</v>
      </c>
      <c r="I1514" s="258" t="s">
        <v>2864</v>
      </c>
      <c r="J1514" s="259" t="s">
        <v>1149</v>
      </c>
      <c r="K1514" s="260" t="s">
        <v>6031</v>
      </c>
      <c r="L1514" s="359"/>
      <c r="M1514" s="359"/>
      <c r="N1514" s="173" t="s">
        <v>679</v>
      </c>
      <c r="O1514" s="173" t="s">
        <v>225</v>
      </c>
      <c r="P1514" s="262" t="str">
        <f t="shared" si="1"/>
        <v>IN-BLR-ANANTA-VAV-1086_6</v>
      </c>
      <c r="Q1514" s="173" t="s">
        <v>6032</v>
      </c>
      <c r="R1514" s="328" t="str">
        <f>IFS(C1514="","",C1514="n/a","N/A",LEN(C1514),Concatenate("{",char(34),"asset",char(34),":{",char(34),"guid",char(34),":",char(34),Q1514,char(34),",",char(34),"site",char(34),":",char(34),LOWER('2-Building'!$B$4),char(34),",",char(34),"name",char(34),":",char(34),LOWER(C1514),char(34),"}}"))</f>
        <v>{"asset":{"guid":"uuid://c69c15c5-9850-4045-ba68-094c8cacf61b","site":"in-blr-ananta","name":"vav-1086"}}</v>
      </c>
      <c r="S1514" s="360" t="s">
        <v>5516</v>
      </c>
      <c r="T1514" s="330"/>
      <c r="U1514" s="330"/>
      <c r="V1514" s="331"/>
      <c r="W1514" s="332"/>
      <c r="X1514" s="333"/>
      <c r="Y1514" s="33" t="s">
        <v>2867</v>
      </c>
      <c r="Z1514" s="258">
        <v>121086.0</v>
      </c>
      <c r="AA1514" s="334">
        <v>11625.0</v>
      </c>
      <c r="AB1514" s="341"/>
      <c r="AC1514" s="341"/>
      <c r="AD1514" s="343"/>
      <c r="AE1514" s="331"/>
      <c r="AF1514" s="348"/>
      <c r="AG1514" s="337"/>
      <c r="AH1514" s="341"/>
      <c r="AI1514" s="341"/>
      <c r="AJ1514" s="341"/>
      <c r="AK1514" s="341"/>
      <c r="AL1514" s="341"/>
      <c r="AM1514" s="338"/>
      <c r="AN1514" s="341"/>
      <c r="AO1514" s="341"/>
      <c r="AP1514" s="341"/>
      <c r="AQ1514" s="341"/>
      <c r="AR1514" s="341"/>
      <c r="AS1514" s="341"/>
      <c r="AT1514" s="341"/>
      <c r="AU1514" s="343"/>
      <c r="AV1514" s="341"/>
      <c r="AW1514" s="269" t="s">
        <v>2316</v>
      </c>
      <c r="AX1514" s="334" t="s">
        <v>2869</v>
      </c>
      <c r="AY1514" s="270" t="s">
        <v>695</v>
      </c>
      <c r="AZ1514" s="173" t="s">
        <v>5516</v>
      </c>
      <c r="BA1514" s="265">
        <v>10.0</v>
      </c>
      <c r="BB1514" s="174" t="s">
        <v>245</v>
      </c>
      <c r="BC1514" s="341"/>
      <c r="BD1514" s="308"/>
      <c r="BE1514" s="342"/>
      <c r="BF1514" s="274" t="str">
        <f>IFERROR(__xludf.DUMMYFUNCTION("LOWER(Regexreplace(to_text(E1514),""[^A-Za-z0-9]"","""")&amp;""_""&amp;Regexreplace(to_text(F1514),""[^A-Za-z0-9]"",""""))"),"neptronic_evcbseries")</f>
        <v>neptronic_evcbseries</v>
      </c>
      <c r="BG1514" s="275" t="str">
        <f>IFERROR(__xludf.DUMMYFUNCTION("upper(Regexreplace(to_text(E1514),""[^A-Za-z0-9]"","""")&amp;""-""&amp;Regexreplace(to_text(F1514),""[^A-Za-z0-9]"",""""))"),"NEPTRONIC-EVCBSERIES")</f>
        <v>NEPTRONIC-EVCBSERIES</v>
      </c>
    </row>
    <row r="1515" ht="30.0" customHeight="1">
      <c r="A1515" s="173">
        <v>1507.0</v>
      </c>
      <c r="B1515" s="328" t="s">
        <v>670</v>
      </c>
      <c r="C1515" s="257" t="s">
        <v>6033</v>
      </c>
      <c r="D1515" s="173" t="s">
        <v>6033</v>
      </c>
      <c r="E1515" s="174" t="s">
        <v>2861</v>
      </c>
      <c r="F1515" s="173" t="s">
        <v>2862</v>
      </c>
      <c r="G1515" s="328" t="s">
        <v>673</v>
      </c>
      <c r="H1515" s="328" t="s">
        <v>2863</v>
      </c>
      <c r="I1515" s="258" t="s">
        <v>2864</v>
      </c>
      <c r="J1515" s="259" t="s">
        <v>1149</v>
      </c>
      <c r="K1515" s="260" t="s">
        <v>6034</v>
      </c>
      <c r="L1515" s="359"/>
      <c r="M1515" s="359"/>
      <c r="N1515" s="173" t="s">
        <v>679</v>
      </c>
      <c r="O1515" s="173" t="s">
        <v>225</v>
      </c>
      <c r="P1515" s="262" t="str">
        <f t="shared" si="1"/>
        <v>IN-BLR-ANANTA-VAV-1087_6</v>
      </c>
      <c r="Q1515" s="173" t="s">
        <v>6035</v>
      </c>
      <c r="R1515" s="328" t="str">
        <f>IFS(C1515="","",C1515="n/a","N/A",LEN(C1515),Concatenate("{",char(34),"asset",char(34),":{",char(34),"guid",char(34),":",char(34),Q1515,char(34),",",char(34),"site",char(34),":",char(34),LOWER('2-Building'!$B$4),char(34),",",char(34),"name",char(34),":",char(34),LOWER(C1515),char(34),"}}"))</f>
        <v>{"asset":{"guid":"uuid://a1c60c46-b9f8-4e74-99df-f46dfb381bf5","site":"in-blr-ananta","name":"vav-1087"}}</v>
      </c>
      <c r="S1515" s="360" t="s">
        <v>5516</v>
      </c>
      <c r="T1515" s="330"/>
      <c r="U1515" s="330"/>
      <c r="V1515" s="331"/>
      <c r="W1515" s="332"/>
      <c r="X1515" s="333"/>
      <c r="Y1515" s="33" t="s">
        <v>2867</v>
      </c>
      <c r="Z1515" s="258">
        <v>121087.0</v>
      </c>
      <c r="AA1515" s="334">
        <v>11625.0</v>
      </c>
      <c r="AB1515" s="341"/>
      <c r="AC1515" s="341"/>
      <c r="AD1515" s="343"/>
      <c r="AE1515" s="331"/>
      <c r="AF1515" s="348"/>
      <c r="AG1515" s="337"/>
      <c r="AH1515" s="341"/>
      <c r="AI1515" s="341"/>
      <c r="AJ1515" s="341"/>
      <c r="AK1515" s="341"/>
      <c r="AL1515" s="341"/>
      <c r="AM1515" s="338"/>
      <c r="AN1515" s="341"/>
      <c r="AO1515" s="341"/>
      <c r="AP1515" s="341"/>
      <c r="AQ1515" s="341"/>
      <c r="AR1515" s="341"/>
      <c r="AS1515" s="341"/>
      <c r="AT1515" s="341"/>
      <c r="AU1515" s="343"/>
      <c r="AV1515" s="341"/>
      <c r="AW1515" s="269" t="s">
        <v>2316</v>
      </c>
      <c r="AX1515" s="334" t="s">
        <v>2869</v>
      </c>
      <c r="AY1515" s="270" t="s">
        <v>695</v>
      </c>
      <c r="AZ1515" s="173" t="s">
        <v>5516</v>
      </c>
      <c r="BA1515" s="265">
        <v>10.0</v>
      </c>
      <c r="BB1515" s="174" t="s">
        <v>245</v>
      </c>
      <c r="BC1515" s="341"/>
      <c r="BD1515" s="308"/>
      <c r="BE1515" s="342"/>
      <c r="BF1515" s="274" t="str">
        <f>IFERROR(__xludf.DUMMYFUNCTION("LOWER(Regexreplace(to_text(E1515),""[^A-Za-z0-9]"","""")&amp;""_""&amp;Regexreplace(to_text(F1515),""[^A-Za-z0-9]"",""""))"),"neptronic_evcbseries")</f>
        <v>neptronic_evcbseries</v>
      </c>
      <c r="BG1515" s="275" t="str">
        <f>IFERROR(__xludf.DUMMYFUNCTION("upper(Regexreplace(to_text(E1515),""[^A-Za-z0-9]"","""")&amp;""-""&amp;Regexreplace(to_text(F1515),""[^A-Za-z0-9]"",""""))"),"NEPTRONIC-EVCBSERIES")</f>
        <v>NEPTRONIC-EVCBSERIES</v>
      </c>
    </row>
    <row r="1516" ht="30.0" customHeight="1">
      <c r="A1516" s="258">
        <v>1508.0</v>
      </c>
      <c r="B1516" s="328" t="s">
        <v>670</v>
      </c>
      <c r="C1516" s="257" t="s">
        <v>6036</v>
      </c>
      <c r="D1516" s="173" t="s">
        <v>6036</v>
      </c>
      <c r="E1516" s="174" t="s">
        <v>2861</v>
      </c>
      <c r="F1516" s="173" t="s">
        <v>2862</v>
      </c>
      <c r="G1516" s="328" t="s">
        <v>673</v>
      </c>
      <c r="H1516" s="328" t="s">
        <v>2863</v>
      </c>
      <c r="I1516" s="258" t="s">
        <v>2864</v>
      </c>
      <c r="J1516" s="259" t="s">
        <v>1149</v>
      </c>
      <c r="K1516" s="260" t="s">
        <v>6037</v>
      </c>
      <c r="L1516" s="359"/>
      <c r="M1516" s="359"/>
      <c r="N1516" s="173" t="s">
        <v>679</v>
      </c>
      <c r="O1516" s="173" t="s">
        <v>225</v>
      </c>
      <c r="P1516" s="262" t="str">
        <f t="shared" si="1"/>
        <v>IN-BLR-ANANTA-VAV-1088_6</v>
      </c>
      <c r="Q1516" s="173" t="s">
        <v>6038</v>
      </c>
      <c r="R1516" s="328" t="str">
        <f>IFS(C1516="","",C1516="n/a","N/A",LEN(C1516),Concatenate("{",char(34),"asset",char(34),":{",char(34),"guid",char(34),":",char(34),Q1516,char(34),",",char(34),"site",char(34),":",char(34),LOWER('2-Building'!$B$4),char(34),",",char(34),"name",char(34),":",char(34),LOWER(C1516),char(34),"}}"))</f>
        <v>{"asset":{"guid":"uuid://32b1acec-5424-47d6-a5b2-3a87b28e1692","site":"in-blr-ananta","name":"vav-1088"}}</v>
      </c>
      <c r="S1516" s="360" t="s">
        <v>5516</v>
      </c>
      <c r="T1516" s="330"/>
      <c r="U1516" s="330"/>
      <c r="V1516" s="331"/>
      <c r="W1516" s="332"/>
      <c r="X1516" s="333"/>
      <c r="Y1516" s="33" t="s">
        <v>2867</v>
      </c>
      <c r="Z1516" s="258">
        <v>121088.0</v>
      </c>
      <c r="AA1516" s="334">
        <v>11625.0</v>
      </c>
      <c r="AB1516" s="341"/>
      <c r="AC1516" s="341"/>
      <c r="AD1516" s="343"/>
      <c r="AE1516" s="331"/>
      <c r="AF1516" s="348"/>
      <c r="AG1516" s="337"/>
      <c r="AH1516" s="341"/>
      <c r="AI1516" s="341"/>
      <c r="AJ1516" s="341"/>
      <c r="AK1516" s="341"/>
      <c r="AL1516" s="341"/>
      <c r="AM1516" s="338"/>
      <c r="AN1516" s="341"/>
      <c r="AO1516" s="341"/>
      <c r="AP1516" s="341"/>
      <c r="AQ1516" s="341"/>
      <c r="AR1516" s="341"/>
      <c r="AS1516" s="341"/>
      <c r="AT1516" s="341"/>
      <c r="AU1516" s="343"/>
      <c r="AV1516" s="341"/>
      <c r="AW1516" s="269" t="s">
        <v>2316</v>
      </c>
      <c r="AX1516" s="334" t="s">
        <v>2869</v>
      </c>
      <c r="AY1516" s="270" t="s">
        <v>695</v>
      </c>
      <c r="AZ1516" s="173" t="s">
        <v>5516</v>
      </c>
      <c r="BA1516" s="265">
        <v>10.0</v>
      </c>
      <c r="BB1516" s="174" t="s">
        <v>245</v>
      </c>
      <c r="BC1516" s="341"/>
      <c r="BD1516" s="308"/>
      <c r="BE1516" s="342"/>
      <c r="BF1516" s="274" t="str">
        <f>IFERROR(__xludf.DUMMYFUNCTION("LOWER(Regexreplace(to_text(E1516),""[^A-Za-z0-9]"","""")&amp;""_""&amp;Regexreplace(to_text(F1516),""[^A-Za-z0-9]"",""""))"),"neptronic_evcbseries")</f>
        <v>neptronic_evcbseries</v>
      </c>
      <c r="BG1516" s="275" t="str">
        <f>IFERROR(__xludf.DUMMYFUNCTION("upper(Regexreplace(to_text(E1516),""[^A-Za-z0-9]"","""")&amp;""-""&amp;Regexreplace(to_text(F1516),""[^A-Za-z0-9]"",""""))"),"NEPTRONIC-EVCBSERIES")</f>
        <v>NEPTRONIC-EVCBSERIES</v>
      </c>
    </row>
    <row r="1517" ht="30.0" customHeight="1">
      <c r="A1517" s="173">
        <v>1509.0</v>
      </c>
      <c r="B1517" s="328" t="s">
        <v>670</v>
      </c>
      <c r="C1517" s="257" t="s">
        <v>6039</v>
      </c>
      <c r="D1517" s="173" t="s">
        <v>6039</v>
      </c>
      <c r="E1517" s="174" t="s">
        <v>2861</v>
      </c>
      <c r="F1517" s="173" t="s">
        <v>2862</v>
      </c>
      <c r="G1517" s="328" t="s">
        <v>673</v>
      </c>
      <c r="H1517" s="328" t="s">
        <v>2863</v>
      </c>
      <c r="I1517" s="258" t="s">
        <v>2864</v>
      </c>
      <c r="J1517" s="259" t="s">
        <v>1149</v>
      </c>
      <c r="K1517" s="260" t="s">
        <v>6040</v>
      </c>
      <c r="L1517" s="359"/>
      <c r="M1517" s="359"/>
      <c r="N1517" s="173" t="s">
        <v>679</v>
      </c>
      <c r="O1517" s="173" t="s">
        <v>225</v>
      </c>
      <c r="P1517" s="262" t="str">
        <f t="shared" si="1"/>
        <v>IN-BLR-ANANTA-VAV-1089_6</v>
      </c>
      <c r="Q1517" s="173" t="s">
        <v>6041</v>
      </c>
      <c r="R1517" s="328" t="str">
        <f>IFS(C1517="","",C1517="n/a","N/A",LEN(C1517),Concatenate("{",char(34),"asset",char(34),":{",char(34),"guid",char(34),":",char(34),Q1517,char(34),",",char(34),"site",char(34),":",char(34),LOWER('2-Building'!$B$4),char(34),",",char(34),"name",char(34),":",char(34),LOWER(C1517),char(34),"}}"))</f>
        <v>{"asset":{"guid":"uuid://562aca93-a128-4789-b534-a0da11bc2b3e","site":"in-blr-ananta","name":"vav-1089"}}</v>
      </c>
      <c r="S1517" s="360" t="s">
        <v>5516</v>
      </c>
      <c r="T1517" s="330"/>
      <c r="U1517" s="330"/>
      <c r="V1517" s="331"/>
      <c r="W1517" s="332"/>
      <c r="X1517" s="333"/>
      <c r="Y1517" s="33" t="s">
        <v>2867</v>
      </c>
      <c r="Z1517" s="258">
        <v>121089.0</v>
      </c>
      <c r="AA1517" s="334">
        <v>11625.0</v>
      </c>
      <c r="AB1517" s="341"/>
      <c r="AC1517" s="341"/>
      <c r="AD1517" s="343"/>
      <c r="AE1517" s="331"/>
      <c r="AF1517" s="348"/>
      <c r="AG1517" s="337"/>
      <c r="AH1517" s="341"/>
      <c r="AI1517" s="341"/>
      <c r="AJ1517" s="341"/>
      <c r="AK1517" s="341"/>
      <c r="AL1517" s="341"/>
      <c r="AM1517" s="338"/>
      <c r="AN1517" s="341"/>
      <c r="AO1517" s="341"/>
      <c r="AP1517" s="341"/>
      <c r="AQ1517" s="341"/>
      <c r="AR1517" s="341"/>
      <c r="AS1517" s="341"/>
      <c r="AT1517" s="341"/>
      <c r="AU1517" s="343"/>
      <c r="AV1517" s="341"/>
      <c r="AW1517" s="269" t="s">
        <v>2316</v>
      </c>
      <c r="AX1517" s="334" t="s">
        <v>2869</v>
      </c>
      <c r="AY1517" s="270" t="s">
        <v>695</v>
      </c>
      <c r="AZ1517" s="173" t="s">
        <v>5516</v>
      </c>
      <c r="BA1517" s="265">
        <v>10.0</v>
      </c>
      <c r="BB1517" s="174" t="s">
        <v>245</v>
      </c>
      <c r="BC1517" s="341"/>
      <c r="BD1517" s="308"/>
      <c r="BE1517" s="342"/>
      <c r="BF1517" s="274" t="str">
        <f>IFERROR(__xludf.DUMMYFUNCTION("LOWER(Regexreplace(to_text(E1517),""[^A-Za-z0-9]"","""")&amp;""_""&amp;Regexreplace(to_text(F1517),""[^A-Za-z0-9]"",""""))"),"neptronic_evcbseries")</f>
        <v>neptronic_evcbseries</v>
      </c>
      <c r="BG1517" s="275" t="str">
        <f>IFERROR(__xludf.DUMMYFUNCTION("upper(Regexreplace(to_text(E1517),""[^A-Za-z0-9]"","""")&amp;""-""&amp;Regexreplace(to_text(F1517),""[^A-Za-z0-9]"",""""))"),"NEPTRONIC-EVCBSERIES")</f>
        <v>NEPTRONIC-EVCBSERIES</v>
      </c>
    </row>
    <row r="1518" ht="30.0" customHeight="1">
      <c r="A1518" s="258">
        <v>1510.0</v>
      </c>
      <c r="B1518" s="328" t="s">
        <v>670</v>
      </c>
      <c r="C1518" s="257" t="s">
        <v>6042</v>
      </c>
      <c r="D1518" s="173" t="s">
        <v>6042</v>
      </c>
      <c r="E1518" s="174" t="s">
        <v>2861</v>
      </c>
      <c r="F1518" s="173" t="s">
        <v>2862</v>
      </c>
      <c r="G1518" s="328" t="s">
        <v>673</v>
      </c>
      <c r="H1518" s="328" t="s">
        <v>2863</v>
      </c>
      <c r="I1518" s="258" t="s">
        <v>2864</v>
      </c>
      <c r="J1518" s="259" t="s">
        <v>1211</v>
      </c>
      <c r="K1518" s="260" t="s">
        <v>6043</v>
      </c>
      <c r="L1518" s="359"/>
      <c r="M1518" s="359"/>
      <c r="N1518" s="173" t="s">
        <v>679</v>
      </c>
      <c r="O1518" s="173" t="s">
        <v>225</v>
      </c>
      <c r="P1518" s="262" t="str">
        <f t="shared" si="1"/>
        <v>IN-BLR-ANANTA-VAV-1090_7</v>
      </c>
      <c r="Q1518" s="173" t="s">
        <v>6044</v>
      </c>
      <c r="R1518" s="328" t="str">
        <f>IFS(C1518="","",C1518="n/a","N/A",LEN(C1518),Concatenate("{",char(34),"asset",char(34),":{",char(34),"guid",char(34),":",char(34),Q1518,char(34),",",char(34),"site",char(34),":",char(34),LOWER('2-Building'!$B$4),char(34),",",char(34),"name",char(34),":",char(34),LOWER(C1518),char(34),"}}"))</f>
        <v>{"asset":{"guid":"uuid://78f29ef7-f2ec-4ea8-bb83-441dae00bdb3","site":"in-blr-ananta","name":"vav-1090"}}</v>
      </c>
      <c r="S1518" s="360" t="s">
        <v>5516</v>
      </c>
      <c r="T1518" s="330"/>
      <c r="U1518" s="330"/>
      <c r="V1518" s="331"/>
      <c r="W1518" s="332"/>
      <c r="X1518" s="333"/>
      <c r="Y1518" s="33" t="s">
        <v>2867</v>
      </c>
      <c r="Z1518" s="258">
        <v>121090.0</v>
      </c>
      <c r="AA1518" s="334">
        <v>11629.0</v>
      </c>
      <c r="AB1518" s="333"/>
      <c r="AC1518" s="333"/>
      <c r="AD1518" s="329"/>
      <c r="AE1518" s="331"/>
      <c r="AF1518" s="336"/>
      <c r="AG1518" s="337"/>
      <c r="AH1518" s="333"/>
      <c r="AI1518" s="333"/>
      <c r="AJ1518" s="333"/>
      <c r="AK1518" s="333"/>
      <c r="AL1518" s="333"/>
      <c r="AM1518" s="338"/>
      <c r="AN1518" s="333"/>
      <c r="AO1518" s="333"/>
      <c r="AP1518" s="333"/>
      <c r="AQ1518" s="333"/>
      <c r="AR1518" s="333"/>
      <c r="AS1518" s="333"/>
      <c r="AT1518" s="333"/>
      <c r="AU1518" s="329"/>
      <c r="AV1518" s="341"/>
      <c r="AW1518" s="269" t="s">
        <v>2421</v>
      </c>
      <c r="AX1518" s="334" t="s">
        <v>2869</v>
      </c>
      <c r="AY1518" s="270" t="s">
        <v>695</v>
      </c>
      <c r="AZ1518" s="173" t="s">
        <v>5516</v>
      </c>
      <c r="BA1518" s="265">
        <v>10.0</v>
      </c>
      <c r="BB1518" s="174" t="s">
        <v>245</v>
      </c>
      <c r="BC1518" s="341"/>
      <c r="BD1518" s="308"/>
      <c r="BE1518" s="342"/>
      <c r="BF1518" s="274" t="str">
        <f>IFERROR(__xludf.DUMMYFUNCTION("LOWER(Regexreplace(to_text(E1518),""[^A-Za-z0-9]"","""")&amp;""_""&amp;Regexreplace(to_text(F1518),""[^A-Za-z0-9]"",""""))"),"neptronic_evcbseries")</f>
        <v>neptronic_evcbseries</v>
      </c>
      <c r="BG1518" s="275" t="str">
        <f>IFERROR(__xludf.DUMMYFUNCTION("upper(Regexreplace(to_text(E1518),""[^A-Za-z0-9]"","""")&amp;""-""&amp;Regexreplace(to_text(F1518),""[^A-Za-z0-9]"",""""))"),"NEPTRONIC-EVCBSERIES")</f>
        <v>NEPTRONIC-EVCBSERIES</v>
      </c>
    </row>
    <row r="1519" ht="30.0" customHeight="1">
      <c r="A1519" s="173">
        <v>1511.0</v>
      </c>
      <c r="B1519" s="328" t="s">
        <v>670</v>
      </c>
      <c r="C1519" s="257" t="s">
        <v>6045</v>
      </c>
      <c r="D1519" s="173" t="s">
        <v>6045</v>
      </c>
      <c r="E1519" s="174" t="s">
        <v>2861</v>
      </c>
      <c r="F1519" s="173" t="s">
        <v>2862</v>
      </c>
      <c r="G1519" s="328" t="s">
        <v>673</v>
      </c>
      <c r="H1519" s="328" t="s">
        <v>2863</v>
      </c>
      <c r="I1519" s="258" t="s">
        <v>2864</v>
      </c>
      <c r="J1519" s="259" t="s">
        <v>1211</v>
      </c>
      <c r="K1519" s="260" t="s">
        <v>6046</v>
      </c>
      <c r="L1519" s="359"/>
      <c r="M1519" s="359"/>
      <c r="N1519" s="173" t="s">
        <v>679</v>
      </c>
      <c r="O1519" s="173" t="s">
        <v>225</v>
      </c>
      <c r="P1519" s="262" t="str">
        <f t="shared" si="1"/>
        <v>IN-BLR-ANANTA-VAV-1091_7</v>
      </c>
      <c r="Q1519" s="173" t="s">
        <v>6047</v>
      </c>
      <c r="R1519" s="328" t="str">
        <f>IFS(C1519="","",C1519="n/a","N/A",LEN(C1519),Concatenate("{",char(34),"asset",char(34),":{",char(34),"guid",char(34),":",char(34),Q1519,char(34),",",char(34),"site",char(34),":",char(34),LOWER('2-Building'!$B$4),char(34),",",char(34),"name",char(34),":",char(34),LOWER(C1519),char(34),"}}"))</f>
        <v>{"asset":{"guid":"uuid://be5bb5a8-8ccf-4a9a-a537-ab2e3629b3c8","site":"in-blr-ananta","name":"vav-1091"}}</v>
      </c>
      <c r="S1519" s="360" t="s">
        <v>5516</v>
      </c>
      <c r="T1519" s="330"/>
      <c r="U1519" s="330"/>
      <c r="V1519" s="331"/>
      <c r="W1519" s="332"/>
      <c r="X1519" s="333"/>
      <c r="Y1519" s="33" t="s">
        <v>2867</v>
      </c>
      <c r="Z1519" s="258">
        <v>121091.0</v>
      </c>
      <c r="AA1519" s="334">
        <v>11629.0</v>
      </c>
      <c r="AB1519" s="333"/>
      <c r="AC1519" s="333"/>
      <c r="AD1519" s="329"/>
      <c r="AE1519" s="331"/>
      <c r="AF1519" s="336"/>
      <c r="AG1519" s="337"/>
      <c r="AH1519" s="333"/>
      <c r="AI1519" s="333"/>
      <c r="AJ1519" s="333"/>
      <c r="AK1519" s="333"/>
      <c r="AL1519" s="333"/>
      <c r="AM1519" s="338"/>
      <c r="AN1519" s="333"/>
      <c r="AO1519" s="333"/>
      <c r="AP1519" s="333"/>
      <c r="AQ1519" s="333"/>
      <c r="AR1519" s="333"/>
      <c r="AS1519" s="333"/>
      <c r="AT1519" s="333"/>
      <c r="AU1519" s="329"/>
      <c r="AV1519" s="341"/>
      <c r="AW1519" s="269" t="s">
        <v>2421</v>
      </c>
      <c r="AX1519" s="334" t="s">
        <v>2869</v>
      </c>
      <c r="AY1519" s="270" t="s">
        <v>695</v>
      </c>
      <c r="AZ1519" s="173" t="s">
        <v>5516</v>
      </c>
      <c r="BA1519" s="265">
        <v>10.0</v>
      </c>
      <c r="BB1519" s="174" t="s">
        <v>245</v>
      </c>
      <c r="BC1519" s="341"/>
      <c r="BD1519" s="308"/>
      <c r="BE1519" s="342"/>
      <c r="BF1519" s="274" t="str">
        <f>IFERROR(__xludf.DUMMYFUNCTION("LOWER(Regexreplace(to_text(E1519),""[^A-Za-z0-9]"","""")&amp;""_""&amp;Regexreplace(to_text(F1519),""[^A-Za-z0-9]"",""""))"),"neptronic_evcbseries")</f>
        <v>neptronic_evcbseries</v>
      </c>
      <c r="BG1519" s="275" t="str">
        <f>IFERROR(__xludf.DUMMYFUNCTION("upper(Regexreplace(to_text(E1519),""[^A-Za-z0-9]"","""")&amp;""-""&amp;Regexreplace(to_text(F1519),""[^A-Za-z0-9]"",""""))"),"NEPTRONIC-EVCBSERIES")</f>
        <v>NEPTRONIC-EVCBSERIES</v>
      </c>
    </row>
    <row r="1520" ht="30.0" customHeight="1">
      <c r="A1520" s="258">
        <v>1512.0</v>
      </c>
      <c r="B1520" s="328" t="s">
        <v>670</v>
      </c>
      <c r="C1520" s="257" t="s">
        <v>6048</v>
      </c>
      <c r="D1520" s="173" t="s">
        <v>6048</v>
      </c>
      <c r="E1520" s="174" t="s">
        <v>2861</v>
      </c>
      <c r="F1520" s="173" t="s">
        <v>2862</v>
      </c>
      <c r="G1520" s="328" t="s">
        <v>673</v>
      </c>
      <c r="H1520" s="328" t="s">
        <v>2863</v>
      </c>
      <c r="I1520" s="258" t="s">
        <v>2864</v>
      </c>
      <c r="J1520" s="259" t="s">
        <v>1211</v>
      </c>
      <c r="K1520" s="260" t="s">
        <v>6049</v>
      </c>
      <c r="L1520" s="359"/>
      <c r="M1520" s="359"/>
      <c r="N1520" s="173" t="s">
        <v>679</v>
      </c>
      <c r="O1520" s="173" t="s">
        <v>225</v>
      </c>
      <c r="P1520" s="262" t="str">
        <f t="shared" si="1"/>
        <v>IN-BLR-ANANTA-VAV-1092_7</v>
      </c>
      <c r="Q1520" s="173" t="s">
        <v>6050</v>
      </c>
      <c r="R1520" s="328" t="str">
        <f>IFS(C1520="","",C1520="n/a","N/A",LEN(C1520),Concatenate("{",char(34),"asset",char(34),":{",char(34),"guid",char(34),":",char(34),Q1520,char(34),",",char(34),"site",char(34),":",char(34),LOWER('2-Building'!$B$4),char(34),",",char(34),"name",char(34),":",char(34),LOWER(C1520),char(34),"}}"))</f>
        <v>{"asset":{"guid":"uuid://31cb40fc-eb33-46d5-84fc-a1713e283bcd","site":"in-blr-ananta","name":"vav-1092"}}</v>
      </c>
      <c r="S1520" s="360" t="s">
        <v>5516</v>
      </c>
      <c r="T1520" s="330"/>
      <c r="U1520" s="330"/>
      <c r="V1520" s="331"/>
      <c r="W1520" s="332"/>
      <c r="X1520" s="333"/>
      <c r="Y1520" s="33" t="s">
        <v>2867</v>
      </c>
      <c r="Z1520" s="258">
        <v>121092.0</v>
      </c>
      <c r="AA1520" s="334">
        <v>11629.0</v>
      </c>
      <c r="AB1520" s="333"/>
      <c r="AC1520" s="333"/>
      <c r="AD1520" s="329"/>
      <c r="AE1520" s="331"/>
      <c r="AF1520" s="336"/>
      <c r="AG1520" s="337"/>
      <c r="AH1520" s="333"/>
      <c r="AI1520" s="333"/>
      <c r="AJ1520" s="333"/>
      <c r="AK1520" s="333"/>
      <c r="AL1520" s="333"/>
      <c r="AM1520" s="338"/>
      <c r="AN1520" s="333"/>
      <c r="AO1520" s="333"/>
      <c r="AP1520" s="333"/>
      <c r="AQ1520" s="333"/>
      <c r="AR1520" s="333"/>
      <c r="AS1520" s="333"/>
      <c r="AT1520" s="333"/>
      <c r="AU1520" s="329"/>
      <c r="AV1520" s="341"/>
      <c r="AW1520" s="269" t="s">
        <v>2421</v>
      </c>
      <c r="AX1520" s="334" t="s">
        <v>2869</v>
      </c>
      <c r="AY1520" s="270" t="s">
        <v>695</v>
      </c>
      <c r="AZ1520" s="173" t="s">
        <v>5516</v>
      </c>
      <c r="BA1520" s="265">
        <v>10.0</v>
      </c>
      <c r="BB1520" s="174" t="s">
        <v>245</v>
      </c>
      <c r="BC1520" s="341"/>
      <c r="BD1520" s="308"/>
      <c r="BE1520" s="342"/>
      <c r="BF1520" s="274" t="str">
        <f>IFERROR(__xludf.DUMMYFUNCTION("LOWER(Regexreplace(to_text(E1520),""[^A-Za-z0-9]"","""")&amp;""_""&amp;Regexreplace(to_text(F1520),""[^A-Za-z0-9]"",""""))"),"neptronic_evcbseries")</f>
        <v>neptronic_evcbseries</v>
      </c>
      <c r="BG1520" s="275" t="str">
        <f>IFERROR(__xludf.DUMMYFUNCTION("upper(Regexreplace(to_text(E1520),""[^A-Za-z0-9]"","""")&amp;""-""&amp;Regexreplace(to_text(F1520),""[^A-Za-z0-9]"",""""))"),"NEPTRONIC-EVCBSERIES")</f>
        <v>NEPTRONIC-EVCBSERIES</v>
      </c>
    </row>
    <row r="1521" ht="30.0" customHeight="1">
      <c r="A1521" s="173">
        <v>1513.0</v>
      </c>
      <c r="B1521" s="328" t="s">
        <v>670</v>
      </c>
      <c r="C1521" s="257" t="s">
        <v>6051</v>
      </c>
      <c r="D1521" s="173" t="s">
        <v>6051</v>
      </c>
      <c r="E1521" s="174" t="s">
        <v>2861</v>
      </c>
      <c r="F1521" s="173" t="s">
        <v>2862</v>
      </c>
      <c r="G1521" s="328" t="s">
        <v>673</v>
      </c>
      <c r="H1521" s="328" t="s">
        <v>2863</v>
      </c>
      <c r="I1521" s="258" t="s">
        <v>2864</v>
      </c>
      <c r="J1521" s="259" t="s">
        <v>1211</v>
      </c>
      <c r="K1521" s="260" t="s">
        <v>6052</v>
      </c>
      <c r="L1521" s="359"/>
      <c r="M1521" s="359"/>
      <c r="N1521" s="173" t="s">
        <v>679</v>
      </c>
      <c r="O1521" s="173" t="s">
        <v>225</v>
      </c>
      <c r="P1521" s="262" t="str">
        <f t="shared" si="1"/>
        <v>IN-BLR-ANANTA-VAV-1093_7</v>
      </c>
      <c r="Q1521" s="173" t="s">
        <v>6053</v>
      </c>
      <c r="R1521" s="328" t="str">
        <f>IFS(C1521="","",C1521="n/a","N/A",LEN(C1521),Concatenate("{",char(34),"asset",char(34),":{",char(34),"guid",char(34),":",char(34),Q1521,char(34),",",char(34),"site",char(34),":",char(34),LOWER('2-Building'!$B$4),char(34),",",char(34),"name",char(34),":",char(34),LOWER(C1521),char(34),"}}"))</f>
        <v>{"asset":{"guid":"uuid://28b3d218-106b-4b66-958f-de85ad49b256","site":"in-blr-ananta","name":"vav-1093"}}</v>
      </c>
      <c r="S1521" s="360" t="s">
        <v>5516</v>
      </c>
      <c r="T1521" s="330"/>
      <c r="U1521" s="330"/>
      <c r="V1521" s="331"/>
      <c r="W1521" s="332"/>
      <c r="X1521" s="333"/>
      <c r="Y1521" s="33" t="s">
        <v>2867</v>
      </c>
      <c r="Z1521" s="258">
        <v>121093.0</v>
      </c>
      <c r="AA1521" s="334">
        <v>11629.0</v>
      </c>
      <c r="AB1521" s="333"/>
      <c r="AC1521" s="333"/>
      <c r="AD1521" s="329"/>
      <c r="AE1521" s="331"/>
      <c r="AF1521" s="336"/>
      <c r="AG1521" s="337"/>
      <c r="AH1521" s="333"/>
      <c r="AI1521" s="333"/>
      <c r="AJ1521" s="333"/>
      <c r="AK1521" s="333"/>
      <c r="AL1521" s="333"/>
      <c r="AM1521" s="338"/>
      <c r="AN1521" s="333"/>
      <c r="AO1521" s="333"/>
      <c r="AP1521" s="333"/>
      <c r="AQ1521" s="333"/>
      <c r="AR1521" s="333"/>
      <c r="AS1521" s="333"/>
      <c r="AT1521" s="333"/>
      <c r="AU1521" s="329"/>
      <c r="AV1521" s="341"/>
      <c r="AW1521" s="269" t="s">
        <v>2421</v>
      </c>
      <c r="AX1521" s="334" t="s">
        <v>2869</v>
      </c>
      <c r="AY1521" s="270" t="s">
        <v>695</v>
      </c>
      <c r="AZ1521" s="173" t="s">
        <v>5516</v>
      </c>
      <c r="BA1521" s="265">
        <v>10.0</v>
      </c>
      <c r="BB1521" s="174" t="s">
        <v>245</v>
      </c>
      <c r="BC1521" s="341"/>
      <c r="BD1521" s="308"/>
      <c r="BE1521" s="342"/>
      <c r="BF1521" s="274" t="str">
        <f>IFERROR(__xludf.DUMMYFUNCTION("LOWER(Regexreplace(to_text(E1521),""[^A-Za-z0-9]"","""")&amp;""_""&amp;Regexreplace(to_text(F1521),""[^A-Za-z0-9]"",""""))"),"neptronic_evcbseries")</f>
        <v>neptronic_evcbseries</v>
      </c>
      <c r="BG1521" s="275" t="str">
        <f>IFERROR(__xludf.DUMMYFUNCTION("upper(Regexreplace(to_text(E1521),""[^A-Za-z0-9]"","""")&amp;""-""&amp;Regexreplace(to_text(F1521),""[^A-Za-z0-9]"",""""))"),"NEPTRONIC-EVCBSERIES")</f>
        <v>NEPTRONIC-EVCBSERIES</v>
      </c>
    </row>
    <row r="1522" ht="30.0" customHeight="1">
      <c r="A1522" s="258">
        <v>1514.0</v>
      </c>
      <c r="B1522" s="328" t="s">
        <v>670</v>
      </c>
      <c r="C1522" s="257" t="s">
        <v>6054</v>
      </c>
      <c r="D1522" s="173" t="s">
        <v>6054</v>
      </c>
      <c r="E1522" s="174" t="s">
        <v>2861</v>
      </c>
      <c r="F1522" s="173" t="s">
        <v>2862</v>
      </c>
      <c r="G1522" s="328" t="s">
        <v>673</v>
      </c>
      <c r="H1522" s="328" t="s">
        <v>2863</v>
      </c>
      <c r="I1522" s="258" t="s">
        <v>2864</v>
      </c>
      <c r="J1522" s="259" t="s">
        <v>1211</v>
      </c>
      <c r="K1522" s="260" t="s">
        <v>6055</v>
      </c>
      <c r="L1522" s="359"/>
      <c r="M1522" s="359"/>
      <c r="N1522" s="173" t="s">
        <v>679</v>
      </c>
      <c r="O1522" s="173" t="s">
        <v>225</v>
      </c>
      <c r="P1522" s="262" t="str">
        <f t="shared" si="1"/>
        <v>IN-BLR-ANANTA-VAV-1094_7</v>
      </c>
      <c r="Q1522" s="173" t="s">
        <v>6056</v>
      </c>
      <c r="R1522" s="328" t="str">
        <f>IFS(C1522="","",C1522="n/a","N/A",LEN(C1522),Concatenate("{",char(34),"asset",char(34),":{",char(34),"guid",char(34),":",char(34),Q1522,char(34),",",char(34),"site",char(34),":",char(34),LOWER('2-Building'!$B$4),char(34),",",char(34),"name",char(34),":",char(34),LOWER(C1522),char(34),"}}"))</f>
        <v>{"asset":{"guid":"uuid://9b784d77-a64b-470e-bd7b-e27b697cf3b4","site":"in-blr-ananta","name":"vav-1094"}}</v>
      </c>
      <c r="S1522" s="360" t="s">
        <v>5516</v>
      </c>
      <c r="T1522" s="330"/>
      <c r="U1522" s="330"/>
      <c r="V1522" s="331"/>
      <c r="W1522" s="332"/>
      <c r="X1522" s="333"/>
      <c r="Y1522" s="33" t="s">
        <v>2867</v>
      </c>
      <c r="Z1522" s="258">
        <v>121094.0</v>
      </c>
      <c r="AA1522" s="334">
        <v>11629.0</v>
      </c>
      <c r="AB1522" s="333"/>
      <c r="AC1522" s="333"/>
      <c r="AD1522" s="329"/>
      <c r="AE1522" s="331"/>
      <c r="AF1522" s="336"/>
      <c r="AG1522" s="337"/>
      <c r="AH1522" s="333"/>
      <c r="AI1522" s="333"/>
      <c r="AJ1522" s="333"/>
      <c r="AK1522" s="333"/>
      <c r="AL1522" s="333"/>
      <c r="AM1522" s="338"/>
      <c r="AN1522" s="333"/>
      <c r="AO1522" s="333"/>
      <c r="AP1522" s="333"/>
      <c r="AQ1522" s="333"/>
      <c r="AR1522" s="333"/>
      <c r="AS1522" s="333"/>
      <c r="AT1522" s="333"/>
      <c r="AU1522" s="329"/>
      <c r="AV1522" s="341"/>
      <c r="AW1522" s="269" t="s">
        <v>2421</v>
      </c>
      <c r="AX1522" s="334" t="s">
        <v>2869</v>
      </c>
      <c r="AY1522" s="270" t="s">
        <v>695</v>
      </c>
      <c r="AZ1522" s="173" t="s">
        <v>5516</v>
      </c>
      <c r="BA1522" s="265">
        <v>10.0</v>
      </c>
      <c r="BB1522" s="174" t="s">
        <v>245</v>
      </c>
      <c r="BC1522" s="341"/>
      <c r="BD1522" s="308"/>
      <c r="BE1522" s="342"/>
      <c r="BF1522" s="274" t="str">
        <f>IFERROR(__xludf.DUMMYFUNCTION("LOWER(Regexreplace(to_text(E1522),""[^A-Za-z0-9]"","""")&amp;""_""&amp;Regexreplace(to_text(F1522),""[^A-Za-z0-9]"",""""))"),"neptronic_evcbseries")</f>
        <v>neptronic_evcbseries</v>
      </c>
      <c r="BG1522" s="275" t="str">
        <f>IFERROR(__xludf.DUMMYFUNCTION("upper(Regexreplace(to_text(E1522),""[^A-Za-z0-9]"","""")&amp;""-""&amp;Regexreplace(to_text(F1522),""[^A-Za-z0-9]"",""""))"),"NEPTRONIC-EVCBSERIES")</f>
        <v>NEPTRONIC-EVCBSERIES</v>
      </c>
    </row>
    <row r="1523" ht="30.0" customHeight="1">
      <c r="A1523" s="173">
        <v>1515.0</v>
      </c>
      <c r="B1523" s="328" t="s">
        <v>670</v>
      </c>
      <c r="C1523" s="257" t="s">
        <v>6057</v>
      </c>
      <c r="D1523" s="173" t="s">
        <v>6057</v>
      </c>
      <c r="E1523" s="174" t="s">
        <v>2861</v>
      </c>
      <c r="F1523" s="173" t="s">
        <v>2862</v>
      </c>
      <c r="G1523" s="328" t="s">
        <v>673</v>
      </c>
      <c r="H1523" s="328" t="s">
        <v>2863</v>
      </c>
      <c r="I1523" s="258" t="s">
        <v>2864</v>
      </c>
      <c r="J1523" s="259" t="s">
        <v>1211</v>
      </c>
      <c r="K1523" s="260" t="s">
        <v>6058</v>
      </c>
      <c r="L1523" s="359"/>
      <c r="M1523" s="359"/>
      <c r="N1523" s="173" t="s">
        <v>679</v>
      </c>
      <c r="O1523" s="173" t="s">
        <v>225</v>
      </c>
      <c r="P1523" s="262" t="str">
        <f t="shared" si="1"/>
        <v>IN-BLR-ANANTA-VAV-1095_7</v>
      </c>
      <c r="Q1523" s="173" t="s">
        <v>6059</v>
      </c>
      <c r="R1523" s="328" t="str">
        <f>IFS(C1523="","",C1523="n/a","N/A",LEN(C1523),Concatenate("{",char(34),"asset",char(34),":{",char(34),"guid",char(34),":",char(34),Q1523,char(34),",",char(34),"site",char(34),":",char(34),LOWER('2-Building'!$B$4),char(34),",",char(34),"name",char(34),":",char(34),LOWER(C1523),char(34),"}}"))</f>
        <v>{"asset":{"guid":"uuid://06e21245-8243-4c9c-b099-6aa7bd79b0ce","site":"in-blr-ananta","name":"vav-1095"}}</v>
      </c>
      <c r="S1523" s="360" t="s">
        <v>5516</v>
      </c>
      <c r="T1523" s="330"/>
      <c r="U1523" s="330"/>
      <c r="V1523" s="331"/>
      <c r="W1523" s="332"/>
      <c r="X1523" s="333"/>
      <c r="Y1523" s="33" t="s">
        <v>2867</v>
      </c>
      <c r="Z1523" s="258">
        <v>121095.0</v>
      </c>
      <c r="AA1523" s="334">
        <v>11629.0</v>
      </c>
      <c r="AB1523" s="333"/>
      <c r="AC1523" s="333"/>
      <c r="AD1523" s="329"/>
      <c r="AE1523" s="331"/>
      <c r="AF1523" s="336"/>
      <c r="AG1523" s="337"/>
      <c r="AH1523" s="333"/>
      <c r="AI1523" s="333"/>
      <c r="AJ1523" s="333"/>
      <c r="AK1523" s="333"/>
      <c r="AL1523" s="333"/>
      <c r="AM1523" s="338"/>
      <c r="AN1523" s="333"/>
      <c r="AO1523" s="333"/>
      <c r="AP1523" s="333"/>
      <c r="AQ1523" s="333"/>
      <c r="AR1523" s="333"/>
      <c r="AS1523" s="333"/>
      <c r="AT1523" s="333"/>
      <c r="AU1523" s="329"/>
      <c r="AV1523" s="341"/>
      <c r="AW1523" s="269" t="s">
        <v>2421</v>
      </c>
      <c r="AX1523" s="334" t="s">
        <v>2869</v>
      </c>
      <c r="AY1523" s="270" t="s">
        <v>695</v>
      </c>
      <c r="AZ1523" s="173" t="s">
        <v>5516</v>
      </c>
      <c r="BA1523" s="265">
        <v>10.0</v>
      </c>
      <c r="BB1523" s="174" t="s">
        <v>245</v>
      </c>
      <c r="BC1523" s="341"/>
      <c r="BD1523" s="308"/>
      <c r="BE1523" s="342"/>
      <c r="BF1523" s="274" t="str">
        <f>IFERROR(__xludf.DUMMYFUNCTION("LOWER(Regexreplace(to_text(E1523),""[^A-Za-z0-9]"","""")&amp;""_""&amp;Regexreplace(to_text(F1523),""[^A-Za-z0-9]"",""""))"),"neptronic_evcbseries")</f>
        <v>neptronic_evcbseries</v>
      </c>
      <c r="BG1523" s="275" t="str">
        <f>IFERROR(__xludf.DUMMYFUNCTION("upper(Regexreplace(to_text(E1523),""[^A-Za-z0-9]"","""")&amp;""-""&amp;Regexreplace(to_text(F1523),""[^A-Za-z0-9]"",""""))"),"NEPTRONIC-EVCBSERIES")</f>
        <v>NEPTRONIC-EVCBSERIES</v>
      </c>
    </row>
    <row r="1524" ht="30.0" customHeight="1">
      <c r="A1524" s="258">
        <v>1516.0</v>
      </c>
      <c r="B1524" s="328" t="s">
        <v>670</v>
      </c>
      <c r="C1524" s="257" t="s">
        <v>6060</v>
      </c>
      <c r="D1524" s="173" t="s">
        <v>6060</v>
      </c>
      <c r="E1524" s="174" t="s">
        <v>2861</v>
      </c>
      <c r="F1524" s="173" t="s">
        <v>2862</v>
      </c>
      <c r="G1524" s="328" t="s">
        <v>673</v>
      </c>
      <c r="H1524" s="328" t="s">
        <v>2863</v>
      </c>
      <c r="I1524" s="258" t="s">
        <v>2864</v>
      </c>
      <c r="J1524" s="259" t="s">
        <v>1211</v>
      </c>
      <c r="K1524" s="260" t="s">
        <v>6061</v>
      </c>
      <c r="L1524" s="359"/>
      <c r="M1524" s="359"/>
      <c r="N1524" s="173" t="s">
        <v>679</v>
      </c>
      <c r="O1524" s="173" t="s">
        <v>225</v>
      </c>
      <c r="P1524" s="262" t="str">
        <f t="shared" si="1"/>
        <v>IN-BLR-ANANTA-VAV-1096_7</v>
      </c>
      <c r="Q1524" s="173" t="s">
        <v>6062</v>
      </c>
      <c r="R1524" s="328" t="str">
        <f>IFS(C1524="","",C1524="n/a","N/A",LEN(C1524),Concatenate("{",char(34),"asset",char(34),":{",char(34),"guid",char(34),":",char(34),Q1524,char(34),",",char(34),"site",char(34),":",char(34),LOWER('2-Building'!$B$4),char(34),",",char(34),"name",char(34),":",char(34),LOWER(C1524),char(34),"}}"))</f>
        <v>{"asset":{"guid":"uuid://0a72b095-654d-4985-8fa7-c1bb1066e5c2","site":"in-blr-ananta","name":"vav-1096"}}</v>
      </c>
      <c r="S1524" s="360" t="s">
        <v>5516</v>
      </c>
      <c r="T1524" s="330"/>
      <c r="U1524" s="330"/>
      <c r="V1524" s="331"/>
      <c r="W1524" s="332"/>
      <c r="X1524" s="333"/>
      <c r="Y1524" s="33" t="s">
        <v>2867</v>
      </c>
      <c r="Z1524" s="258">
        <v>121096.0</v>
      </c>
      <c r="AA1524" s="334">
        <v>11629.0</v>
      </c>
      <c r="AB1524" s="333"/>
      <c r="AC1524" s="333"/>
      <c r="AD1524" s="329"/>
      <c r="AE1524" s="331"/>
      <c r="AF1524" s="336"/>
      <c r="AG1524" s="337"/>
      <c r="AH1524" s="333"/>
      <c r="AI1524" s="333"/>
      <c r="AJ1524" s="333"/>
      <c r="AK1524" s="333"/>
      <c r="AL1524" s="333"/>
      <c r="AM1524" s="338"/>
      <c r="AN1524" s="333"/>
      <c r="AO1524" s="333"/>
      <c r="AP1524" s="333"/>
      <c r="AQ1524" s="333"/>
      <c r="AR1524" s="333"/>
      <c r="AS1524" s="333"/>
      <c r="AT1524" s="333"/>
      <c r="AU1524" s="329"/>
      <c r="AV1524" s="341"/>
      <c r="AW1524" s="269" t="s">
        <v>2421</v>
      </c>
      <c r="AX1524" s="334" t="s">
        <v>2869</v>
      </c>
      <c r="AY1524" s="270" t="s">
        <v>695</v>
      </c>
      <c r="AZ1524" s="173" t="s">
        <v>5516</v>
      </c>
      <c r="BA1524" s="265">
        <v>10.0</v>
      </c>
      <c r="BB1524" s="174" t="s">
        <v>245</v>
      </c>
      <c r="BC1524" s="341"/>
      <c r="BD1524" s="308"/>
      <c r="BE1524" s="342"/>
      <c r="BF1524" s="274" t="str">
        <f>IFERROR(__xludf.DUMMYFUNCTION("LOWER(Regexreplace(to_text(E1524),""[^A-Za-z0-9]"","""")&amp;""_""&amp;Regexreplace(to_text(F1524),""[^A-Za-z0-9]"",""""))"),"neptronic_evcbseries")</f>
        <v>neptronic_evcbseries</v>
      </c>
      <c r="BG1524" s="275" t="str">
        <f>IFERROR(__xludf.DUMMYFUNCTION("upper(Regexreplace(to_text(E1524),""[^A-Za-z0-9]"","""")&amp;""-""&amp;Regexreplace(to_text(F1524),""[^A-Za-z0-9]"",""""))"),"NEPTRONIC-EVCBSERIES")</f>
        <v>NEPTRONIC-EVCBSERIES</v>
      </c>
    </row>
    <row r="1525" ht="30.0" customHeight="1">
      <c r="A1525" s="173">
        <v>1517.0</v>
      </c>
      <c r="B1525" s="328" t="s">
        <v>670</v>
      </c>
      <c r="C1525" s="257" t="s">
        <v>6063</v>
      </c>
      <c r="D1525" s="173" t="s">
        <v>6063</v>
      </c>
      <c r="E1525" s="174" t="s">
        <v>2861</v>
      </c>
      <c r="F1525" s="173" t="s">
        <v>2862</v>
      </c>
      <c r="G1525" s="328" t="s">
        <v>673</v>
      </c>
      <c r="H1525" s="328" t="s">
        <v>2863</v>
      </c>
      <c r="I1525" s="258" t="s">
        <v>2864</v>
      </c>
      <c r="J1525" s="259" t="s">
        <v>1211</v>
      </c>
      <c r="K1525" s="260" t="s">
        <v>6064</v>
      </c>
      <c r="L1525" s="359"/>
      <c r="M1525" s="359"/>
      <c r="N1525" s="173" t="s">
        <v>679</v>
      </c>
      <c r="O1525" s="173" t="s">
        <v>225</v>
      </c>
      <c r="P1525" s="262" t="str">
        <f t="shared" si="1"/>
        <v>IN-BLR-ANANTA-VAV-1097_7</v>
      </c>
      <c r="Q1525" s="173" t="s">
        <v>6065</v>
      </c>
      <c r="R1525" s="328" t="str">
        <f>IFS(C1525="","",C1525="n/a","N/A",LEN(C1525),Concatenate("{",char(34),"asset",char(34),":{",char(34),"guid",char(34),":",char(34),Q1525,char(34),",",char(34),"site",char(34),":",char(34),LOWER('2-Building'!$B$4),char(34),",",char(34),"name",char(34),":",char(34),LOWER(C1525),char(34),"}}"))</f>
        <v>{"asset":{"guid":"uuid://b069c4c4-1456-4682-a9ec-2206d93b3647","site":"in-blr-ananta","name":"vav-1097"}}</v>
      </c>
      <c r="S1525" s="360" t="s">
        <v>5516</v>
      </c>
      <c r="T1525" s="330"/>
      <c r="U1525" s="330"/>
      <c r="V1525" s="331"/>
      <c r="W1525" s="332"/>
      <c r="X1525" s="333"/>
      <c r="Y1525" s="33" t="s">
        <v>2867</v>
      </c>
      <c r="Z1525" s="258">
        <v>121097.0</v>
      </c>
      <c r="AA1525" s="334">
        <v>11629.0</v>
      </c>
      <c r="AB1525" s="333"/>
      <c r="AC1525" s="333"/>
      <c r="AD1525" s="329"/>
      <c r="AE1525" s="331"/>
      <c r="AF1525" s="336"/>
      <c r="AG1525" s="337"/>
      <c r="AH1525" s="333"/>
      <c r="AI1525" s="333"/>
      <c r="AJ1525" s="333"/>
      <c r="AK1525" s="333"/>
      <c r="AL1525" s="333"/>
      <c r="AM1525" s="338"/>
      <c r="AN1525" s="333"/>
      <c r="AO1525" s="333"/>
      <c r="AP1525" s="333"/>
      <c r="AQ1525" s="333"/>
      <c r="AR1525" s="333"/>
      <c r="AS1525" s="333"/>
      <c r="AT1525" s="333"/>
      <c r="AU1525" s="329"/>
      <c r="AV1525" s="341"/>
      <c r="AW1525" s="269" t="s">
        <v>2421</v>
      </c>
      <c r="AX1525" s="334" t="s">
        <v>2869</v>
      </c>
      <c r="AY1525" s="270" t="s">
        <v>695</v>
      </c>
      <c r="AZ1525" s="173" t="s">
        <v>5516</v>
      </c>
      <c r="BA1525" s="265">
        <v>10.0</v>
      </c>
      <c r="BB1525" s="174" t="s">
        <v>245</v>
      </c>
      <c r="BC1525" s="341"/>
      <c r="BD1525" s="308"/>
      <c r="BE1525" s="342"/>
      <c r="BF1525" s="274" t="str">
        <f>IFERROR(__xludf.DUMMYFUNCTION("LOWER(Regexreplace(to_text(E1525),""[^A-Za-z0-9]"","""")&amp;""_""&amp;Regexreplace(to_text(F1525),""[^A-Za-z0-9]"",""""))"),"neptronic_evcbseries")</f>
        <v>neptronic_evcbseries</v>
      </c>
      <c r="BG1525" s="275" t="str">
        <f>IFERROR(__xludf.DUMMYFUNCTION("upper(Regexreplace(to_text(E1525),""[^A-Za-z0-9]"","""")&amp;""-""&amp;Regexreplace(to_text(F1525),""[^A-Za-z0-9]"",""""))"),"NEPTRONIC-EVCBSERIES")</f>
        <v>NEPTRONIC-EVCBSERIES</v>
      </c>
    </row>
    <row r="1526" ht="30.0" customHeight="1">
      <c r="A1526" s="258">
        <v>1518.0</v>
      </c>
      <c r="B1526" s="328" t="s">
        <v>670</v>
      </c>
      <c r="C1526" s="257" t="s">
        <v>6066</v>
      </c>
      <c r="D1526" s="173" t="s">
        <v>6066</v>
      </c>
      <c r="E1526" s="174" t="s">
        <v>2861</v>
      </c>
      <c r="F1526" s="173" t="s">
        <v>2862</v>
      </c>
      <c r="G1526" s="328" t="s">
        <v>673</v>
      </c>
      <c r="H1526" s="328" t="s">
        <v>2863</v>
      </c>
      <c r="I1526" s="258" t="s">
        <v>2864</v>
      </c>
      <c r="J1526" s="259" t="s">
        <v>1211</v>
      </c>
      <c r="K1526" s="260" t="s">
        <v>6067</v>
      </c>
      <c r="L1526" s="359"/>
      <c r="M1526" s="359"/>
      <c r="N1526" s="173" t="s">
        <v>679</v>
      </c>
      <c r="O1526" s="173" t="s">
        <v>225</v>
      </c>
      <c r="P1526" s="262" t="str">
        <f t="shared" si="1"/>
        <v>IN-BLR-ANANTA-VAV-1098_7</v>
      </c>
      <c r="Q1526" s="173" t="s">
        <v>6068</v>
      </c>
      <c r="R1526" s="328" t="str">
        <f>IFS(C1526="","",C1526="n/a","N/A",LEN(C1526),Concatenate("{",char(34),"asset",char(34),":{",char(34),"guid",char(34),":",char(34),Q1526,char(34),",",char(34),"site",char(34),":",char(34),LOWER('2-Building'!$B$4),char(34),",",char(34),"name",char(34),":",char(34),LOWER(C1526),char(34),"}}"))</f>
        <v>{"asset":{"guid":"uuid://112ecc2b-73c8-46ce-9532-459018ae61b6","site":"in-blr-ananta","name":"vav-1098"}}</v>
      </c>
      <c r="S1526" s="360" t="s">
        <v>5516</v>
      </c>
      <c r="T1526" s="330"/>
      <c r="U1526" s="330"/>
      <c r="V1526" s="331"/>
      <c r="W1526" s="332"/>
      <c r="X1526" s="333"/>
      <c r="Y1526" s="33" t="s">
        <v>2867</v>
      </c>
      <c r="Z1526" s="258">
        <v>121098.0</v>
      </c>
      <c r="AA1526" s="334">
        <v>11629.0</v>
      </c>
      <c r="AB1526" s="333"/>
      <c r="AC1526" s="333"/>
      <c r="AD1526" s="329"/>
      <c r="AE1526" s="331"/>
      <c r="AF1526" s="336"/>
      <c r="AG1526" s="337"/>
      <c r="AH1526" s="333"/>
      <c r="AI1526" s="333"/>
      <c r="AJ1526" s="333"/>
      <c r="AK1526" s="333"/>
      <c r="AL1526" s="333"/>
      <c r="AM1526" s="338"/>
      <c r="AN1526" s="333"/>
      <c r="AO1526" s="333"/>
      <c r="AP1526" s="333"/>
      <c r="AQ1526" s="333"/>
      <c r="AR1526" s="333"/>
      <c r="AS1526" s="333"/>
      <c r="AT1526" s="333"/>
      <c r="AU1526" s="329"/>
      <c r="AV1526" s="341"/>
      <c r="AW1526" s="269" t="s">
        <v>2421</v>
      </c>
      <c r="AX1526" s="334" t="s">
        <v>2869</v>
      </c>
      <c r="AY1526" s="270" t="s">
        <v>695</v>
      </c>
      <c r="AZ1526" s="173" t="s">
        <v>5516</v>
      </c>
      <c r="BA1526" s="265">
        <v>10.0</v>
      </c>
      <c r="BB1526" s="174" t="s">
        <v>245</v>
      </c>
      <c r="BC1526" s="341"/>
      <c r="BD1526" s="308"/>
      <c r="BE1526" s="342"/>
      <c r="BF1526" s="274" t="str">
        <f>IFERROR(__xludf.DUMMYFUNCTION("LOWER(Regexreplace(to_text(E1526),""[^A-Za-z0-9]"","""")&amp;""_""&amp;Regexreplace(to_text(F1526),""[^A-Za-z0-9]"",""""))"),"neptronic_evcbseries")</f>
        <v>neptronic_evcbseries</v>
      </c>
      <c r="BG1526" s="275" t="str">
        <f>IFERROR(__xludf.DUMMYFUNCTION("upper(Regexreplace(to_text(E1526),""[^A-Za-z0-9]"","""")&amp;""-""&amp;Regexreplace(to_text(F1526),""[^A-Za-z0-9]"",""""))"),"NEPTRONIC-EVCBSERIES")</f>
        <v>NEPTRONIC-EVCBSERIES</v>
      </c>
    </row>
    <row r="1527" ht="30.0" customHeight="1">
      <c r="A1527" s="173">
        <v>1519.0</v>
      </c>
      <c r="B1527" s="328" t="s">
        <v>670</v>
      </c>
      <c r="C1527" s="257" t="s">
        <v>6069</v>
      </c>
      <c r="D1527" s="173" t="s">
        <v>6069</v>
      </c>
      <c r="E1527" s="174" t="s">
        <v>2861</v>
      </c>
      <c r="F1527" s="173" t="s">
        <v>2862</v>
      </c>
      <c r="G1527" s="328" t="s">
        <v>673</v>
      </c>
      <c r="H1527" s="328" t="s">
        <v>2863</v>
      </c>
      <c r="I1527" s="258" t="s">
        <v>2864</v>
      </c>
      <c r="J1527" s="259" t="s">
        <v>1211</v>
      </c>
      <c r="K1527" s="260" t="s">
        <v>6070</v>
      </c>
      <c r="L1527" s="359"/>
      <c r="M1527" s="359"/>
      <c r="N1527" s="173" t="s">
        <v>679</v>
      </c>
      <c r="O1527" s="173" t="s">
        <v>225</v>
      </c>
      <c r="P1527" s="262" t="str">
        <f t="shared" si="1"/>
        <v>IN-BLR-ANANTA-VAV-1099_7</v>
      </c>
      <c r="Q1527" s="173" t="s">
        <v>6071</v>
      </c>
      <c r="R1527" s="328" t="str">
        <f>IFS(C1527="","",C1527="n/a","N/A",LEN(C1527),Concatenate("{",char(34),"asset",char(34),":{",char(34),"guid",char(34),":",char(34),Q1527,char(34),",",char(34),"site",char(34),":",char(34),LOWER('2-Building'!$B$4),char(34),",",char(34),"name",char(34),":",char(34),LOWER(C1527),char(34),"}}"))</f>
        <v>{"asset":{"guid":"uuid://bc11dbda-6d93-44b8-8475-e0776a8357a7","site":"in-blr-ananta","name":"vav-1099"}}</v>
      </c>
      <c r="S1527" s="360" t="s">
        <v>5516</v>
      </c>
      <c r="T1527" s="330"/>
      <c r="U1527" s="330"/>
      <c r="V1527" s="331"/>
      <c r="W1527" s="332"/>
      <c r="X1527" s="333"/>
      <c r="Y1527" s="33" t="s">
        <v>2867</v>
      </c>
      <c r="Z1527" s="258">
        <v>121099.0</v>
      </c>
      <c r="AA1527" s="334">
        <v>11629.0</v>
      </c>
      <c r="AB1527" s="333"/>
      <c r="AC1527" s="333"/>
      <c r="AD1527" s="329"/>
      <c r="AE1527" s="331"/>
      <c r="AF1527" s="336"/>
      <c r="AG1527" s="337"/>
      <c r="AH1527" s="333"/>
      <c r="AI1527" s="333"/>
      <c r="AJ1527" s="333"/>
      <c r="AK1527" s="333"/>
      <c r="AL1527" s="333"/>
      <c r="AM1527" s="338"/>
      <c r="AN1527" s="333"/>
      <c r="AO1527" s="333"/>
      <c r="AP1527" s="333"/>
      <c r="AQ1527" s="333"/>
      <c r="AR1527" s="333"/>
      <c r="AS1527" s="333"/>
      <c r="AT1527" s="333"/>
      <c r="AU1527" s="329"/>
      <c r="AV1527" s="341"/>
      <c r="AW1527" s="269" t="s">
        <v>2421</v>
      </c>
      <c r="AX1527" s="334" t="s">
        <v>2869</v>
      </c>
      <c r="AY1527" s="270" t="s">
        <v>695</v>
      </c>
      <c r="AZ1527" s="173" t="s">
        <v>5516</v>
      </c>
      <c r="BA1527" s="265">
        <v>10.0</v>
      </c>
      <c r="BB1527" s="174" t="s">
        <v>245</v>
      </c>
      <c r="BC1527" s="341"/>
      <c r="BD1527" s="308"/>
      <c r="BE1527" s="342"/>
      <c r="BF1527" s="274" t="str">
        <f>IFERROR(__xludf.DUMMYFUNCTION("LOWER(Regexreplace(to_text(E1527),""[^A-Za-z0-9]"","""")&amp;""_""&amp;Regexreplace(to_text(F1527),""[^A-Za-z0-9]"",""""))"),"neptronic_evcbseries")</f>
        <v>neptronic_evcbseries</v>
      </c>
      <c r="BG1527" s="275" t="str">
        <f>IFERROR(__xludf.DUMMYFUNCTION("upper(Regexreplace(to_text(E1527),""[^A-Za-z0-9]"","""")&amp;""-""&amp;Regexreplace(to_text(F1527),""[^A-Za-z0-9]"",""""))"),"NEPTRONIC-EVCBSERIES")</f>
        <v>NEPTRONIC-EVCBSERIES</v>
      </c>
    </row>
    <row r="1528" ht="30.0" customHeight="1">
      <c r="A1528" s="258">
        <v>1520.0</v>
      </c>
      <c r="B1528" s="328" t="s">
        <v>670</v>
      </c>
      <c r="C1528" s="257" t="s">
        <v>6072</v>
      </c>
      <c r="D1528" s="173" t="s">
        <v>6072</v>
      </c>
      <c r="E1528" s="174" t="s">
        <v>2861</v>
      </c>
      <c r="F1528" s="173" t="s">
        <v>2862</v>
      </c>
      <c r="G1528" s="328" t="s">
        <v>673</v>
      </c>
      <c r="H1528" s="328" t="s">
        <v>2863</v>
      </c>
      <c r="I1528" s="258" t="s">
        <v>2864</v>
      </c>
      <c r="J1528" s="259" t="s">
        <v>1211</v>
      </c>
      <c r="K1528" s="260" t="s">
        <v>6073</v>
      </c>
      <c r="L1528" s="359"/>
      <c r="M1528" s="359"/>
      <c r="N1528" s="173" t="s">
        <v>679</v>
      </c>
      <c r="O1528" s="173" t="s">
        <v>225</v>
      </c>
      <c r="P1528" s="262" t="str">
        <f t="shared" si="1"/>
        <v>IN-BLR-ANANTA-VAV-1100_7</v>
      </c>
      <c r="Q1528" s="173" t="s">
        <v>6074</v>
      </c>
      <c r="R1528" s="328" t="str">
        <f>IFS(C1528="","",C1528="n/a","N/A",LEN(C1528),Concatenate("{",char(34),"asset",char(34),":{",char(34),"guid",char(34),":",char(34),Q1528,char(34),",",char(34),"site",char(34),":",char(34),LOWER('2-Building'!$B$4),char(34),",",char(34),"name",char(34),":",char(34),LOWER(C1528),char(34),"}}"))</f>
        <v>{"asset":{"guid":"uuid://c9ed37a5-54cc-4fe0-8f1e-3f313572ef06","site":"in-blr-ananta","name":"vav-1100"}}</v>
      </c>
      <c r="S1528" s="360" t="s">
        <v>5516</v>
      </c>
      <c r="T1528" s="330"/>
      <c r="U1528" s="330"/>
      <c r="V1528" s="331"/>
      <c r="W1528" s="332"/>
      <c r="X1528" s="333"/>
      <c r="Y1528" s="33" t="s">
        <v>2867</v>
      </c>
      <c r="Z1528" s="258">
        <v>121100.0</v>
      </c>
      <c r="AA1528" s="334">
        <v>11629.0</v>
      </c>
      <c r="AB1528" s="333"/>
      <c r="AC1528" s="333"/>
      <c r="AD1528" s="329"/>
      <c r="AE1528" s="331"/>
      <c r="AF1528" s="336"/>
      <c r="AG1528" s="337"/>
      <c r="AH1528" s="333"/>
      <c r="AI1528" s="333"/>
      <c r="AJ1528" s="333"/>
      <c r="AK1528" s="333"/>
      <c r="AL1528" s="333"/>
      <c r="AM1528" s="338"/>
      <c r="AN1528" s="333"/>
      <c r="AO1528" s="333"/>
      <c r="AP1528" s="333"/>
      <c r="AQ1528" s="333"/>
      <c r="AR1528" s="333"/>
      <c r="AS1528" s="333"/>
      <c r="AT1528" s="333"/>
      <c r="AU1528" s="329"/>
      <c r="AV1528" s="341"/>
      <c r="AW1528" s="269" t="s">
        <v>2421</v>
      </c>
      <c r="AX1528" s="334" t="s">
        <v>2869</v>
      </c>
      <c r="AY1528" s="270" t="s">
        <v>695</v>
      </c>
      <c r="AZ1528" s="173" t="s">
        <v>5516</v>
      </c>
      <c r="BA1528" s="265">
        <v>10.0</v>
      </c>
      <c r="BB1528" s="174" t="s">
        <v>245</v>
      </c>
      <c r="BC1528" s="341"/>
      <c r="BD1528" s="308"/>
      <c r="BE1528" s="342"/>
      <c r="BF1528" s="274" t="str">
        <f>IFERROR(__xludf.DUMMYFUNCTION("LOWER(Regexreplace(to_text(E1528),""[^A-Za-z0-9]"","""")&amp;""_""&amp;Regexreplace(to_text(F1528),""[^A-Za-z0-9]"",""""))"),"neptronic_evcbseries")</f>
        <v>neptronic_evcbseries</v>
      </c>
      <c r="BG1528" s="275" t="str">
        <f>IFERROR(__xludf.DUMMYFUNCTION("upper(Regexreplace(to_text(E1528),""[^A-Za-z0-9]"","""")&amp;""-""&amp;Regexreplace(to_text(F1528),""[^A-Za-z0-9]"",""""))"),"NEPTRONIC-EVCBSERIES")</f>
        <v>NEPTRONIC-EVCBSERIES</v>
      </c>
    </row>
    <row r="1529" ht="30.0" customHeight="1">
      <c r="A1529" s="173">
        <v>1521.0</v>
      </c>
      <c r="B1529" s="328" t="s">
        <v>670</v>
      </c>
      <c r="C1529" s="257" t="s">
        <v>6075</v>
      </c>
      <c r="D1529" s="173" t="s">
        <v>6075</v>
      </c>
      <c r="E1529" s="174" t="s">
        <v>2861</v>
      </c>
      <c r="F1529" s="173" t="s">
        <v>2862</v>
      </c>
      <c r="G1529" s="328" t="s">
        <v>673</v>
      </c>
      <c r="H1529" s="328" t="s">
        <v>2863</v>
      </c>
      <c r="I1529" s="258" t="s">
        <v>2864</v>
      </c>
      <c r="J1529" s="259" t="s">
        <v>1211</v>
      </c>
      <c r="K1529" s="260" t="s">
        <v>6076</v>
      </c>
      <c r="L1529" s="359"/>
      <c r="M1529" s="359"/>
      <c r="N1529" s="173" t="s">
        <v>679</v>
      </c>
      <c r="O1529" s="173" t="s">
        <v>225</v>
      </c>
      <c r="P1529" s="262" t="str">
        <f t="shared" si="1"/>
        <v>IN-BLR-ANANTA-VAV-1101_7</v>
      </c>
      <c r="Q1529" s="173" t="s">
        <v>6077</v>
      </c>
      <c r="R1529" s="328" t="str">
        <f>IFS(C1529="","",C1529="n/a","N/A",LEN(C1529),Concatenate("{",char(34),"asset",char(34),":{",char(34),"guid",char(34),":",char(34),Q1529,char(34),",",char(34),"site",char(34),":",char(34),LOWER('2-Building'!$B$4),char(34),",",char(34),"name",char(34),":",char(34),LOWER(C1529),char(34),"}}"))</f>
        <v>{"asset":{"guid":"uuid://6f87c47e-0e71-4750-9f5e-9fdec23ccde5","site":"in-blr-ananta","name":"vav-1101"}}</v>
      </c>
      <c r="S1529" s="360" t="s">
        <v>5516</v>
      </c>
      <c r="T1529" s="330"/>
      <c r="U1529" s="330"/>
      <c r="V1529" s="331"/>
      <c r="W1529" s="332"/>
      <c r="X1529" s="333"/>
      <c r="Y1529" s="33" t="s">
        <v>2867</v>
      </c>
      <c r="Z1529" s="258">
        <v>121101.0</v>
      </c>
      <c r="AA1529" s="334">
        <v>11629.0</v>
      </c>
      <c r="AB1529" s="333"/>
      <c r="AC1529" s="333"/>
      <c r="AD1529" s="329"/>
      <c r="AE1529" s="331"/>
      <c r="AF1529" s="336"/>
      <c r="AG1529" s="337"/>
      <c r="AH1529" s="333"/>
      <c r="AI1529" s="333"/>
      <c r="AJ1529" s="333"/>
      <c r="AK1529" s="333"/>
      <c r="AL1529" s="333"/>
      <c r="AM1529" s="338"/>
      <c r="AN1529" s="333"/>
      <c r="AO1529" s="333"/>
      <c r="AP1529" s="333"/>
      <c r="AQ1529" s="333"/>
      <c r="AR1529" s="333"/>
      <c r="AS1529" s="333"/>
      <c r="AT1529" s="333"/>
      <c r="AU1529" s="329"/>
      <c r="AV1529" s="341"/>
      <c r="AW1529" s="269" t="s">
        <v>2421</v>
      </c>
      <c r="AX1529" s="334" t="s">
        <v>2869</v>
      </c>
      <c r="AY1529" s="270" t="s">
        <v>695</v>
      </c>
      <c r="AZ1529" s="173" t="s">
        <v>5516</v>
      </c>
      <c r="BA1529" s="265">
        <v>10.0</v>
      </c>
      <c r="BB1529" s="174" t="s">
        <v>245</v>
      </c>
      <c r="BC1529" s="341"/>
      <c r="BD1529" s="308"/>
      <c r="BE1529" s="342"/>
      <c r="BF1529" s="274" t="str">
        <f>IFERROR(__xludf.DUMMYFUNCTION("LOWER(Regexreplace(to_text(E1529),""[^A-Za-z0-9]"","""")&amp;""_""&amp;Regexreplace(to_text(F1529),""[^A-Za-z0-9]"",""""))"),"neptronic_evcbseries")</f>
        <v>neptronic_evcbseries</v>
      </c>
      <c r="BG1529" s="275" t="str">
        <f>IFERROR(__xludf.DUMMYFUNCTION("upper(Regexreplace(to_text(E1529),""[^A-Za-z0-9]"","""")&amp;""-""&amp;Regexreplace(to_text(F1529),""[^A-Za-z0-9]"",""""))"),"NEPTRONIC-EVCBSERIES")</f>
        <v>NEPTRONIC-EVCBSERIES</v>
      </c>
    </row>
    <row r="1530" ht="30.0" customHeight="1">
      <c r="A1530" s="258">
        <v>1522.0</v>
      </c>
      <c r="B1530" s="328" t="s">
        <v>670</v>
      </c>
      <c r="C1530" s="257" t="s">
        <v>6078</v>
      </c>
      <c r="D1530" s="173" t="s">
        <v>6078</v>
      </c>
      <c r="E1530" s="174" t="s">
        <v>2861</v>
      </c>
      <c r="F1530" s="173" t="s">
        <v>2862</v>
      </c>
      <c r="G1530" s="328" t="s">
        <v>673</v>
      </c>
      <c r="H1530" s="328" t="s">
        <v>2863</v>
      </c>
      <c r="I1530" s="258" t="s">
        <v>2864</v>
      </c>
      <c r="J1530" s="259" t="s">
        <v>1211</v>
      </c>
      <c r="K1530" s="260" t="s">
        <v>6079</v>
      </c>
      <c r="L1530" s="359"/>
      <c r="M1530" s="359"/>
      <c r="N1530" s="173" t="s">
        <v>679</v>
      </c>
      <c r="O1530" s="173" t="s">
        <v>225</v>
      </c>
      <c r="P1530" s="262" t="str">
        <f t="shared" si="1"/>
        <v>IN-BLR-ANANTA-VAV-1102_7</v>
      </c>
      <c r="Q1530" s="173" t="s">
        <v>6080</v>
      </c>
      <c r="R1530" s="328" t="str">
        <f>IFS(C1530="","",C1530="n/a","N/A",LEN(C1530),Concatenate("{",char(34),"asset",char(34),":{",char(34),"guid",char(34),":",char(34),Q1530,char(34),",",char(34),"site",char(34),":",char(34),LOWER('2-Building'!$B$4),char(34),",",char(34),"name",char(34),":",char(34),LOWER(C1530),char(34),"}}"))</f>
        <v>{"asset":{"guid":"uuid://55bd0a3e-0484-4c47-a0af-b4330bfaed97","site":"in-blr-ananta","name":"vav-1102"}}</v>
      </c>
      <c r="S1530" s="360" t="s">
        <v>5516</v>
      </c>
      <c r="T1530" s="330"/>
      <c r="U1530" s="330"/>
      <c r="V1530" s="331"/>
      <c r="W1530" s="332"/>
      <c r="X1530" s="333"/>
      <c r="Y1530" s="33" t="s">
        <v>2867</v>
      </c>
      <c r="Z1530" s="258">
        <v>121102.0</v>
      </c>
      <c r="AA1530" s="334">
        <v>11629.0</v>
      </c>
      <c r="AB1530" s="333"/>
      <c r="AC1530" s="333"/>
      <c r="AD1530" s="329"/>
      <c r="AE1530" s="331"/>
      <c r="AF1530" s="336"/>
      <c r="AG1530" s="337"/>
      <c r="AH1530" s="333"/>
      <c r="AI1530" s="333"/>
      <c r="AJ1530" s="333"/>
      <c r="AK1530" s="333"/>
      <c r="AL1530" s="333"/>
      <c r="AM1530" s="338"/>
      <c r="AN1530" s="333"/>
      <c r="AO1530" s="333"/>
      <c r="AP1530" s="333"/>
      <c r="AQ1530" s="333"/>
      <c r="AR1530" s="333"/>
      <c r="AS1530" s="333"/>
      <c r="AT1530" s="333"/>
      <c r="AU1530" s="329"/>
      <c r="AV1530" s="341"/>
      <c r="AW1530" s="269" t="s">
        <v>2421</v>
      </c>
      <c r="AX1530" s="334" t="s">
        <v>2869</v>
      </c>
      <c r="AY1530" s="270" t="s">
        <v>695</v>
      </c>
      <c r="AZ1530" s="173" t="s">
        <v>5516</v>
      </c>
      <c r="BA1530" s="265">
        <v>10.0</v>
      </c>
      <c r="BB1530" s="174" t="s">
        <v>245</v>
      </c>
      <c r="BC1530" s="341"/>
      <c r="BD1530" s="308"/>
      <c r="BE1530" s="342"/>
      <c r="BF1530" s="274" t="str">
        <f>IFERROR(__xludf.DUMMYFUNCTION("LOWER(Regexreplace(to_text(E1530),""[^A-Za-z0-9]"","""")&amp;""_""&amp;Regexreplace(to_text(F1530),""[^A-Za-z0-9]"",""""))"),"neptronic_evcbseries")</f>
        <v>neptronic_evcbseries</v>
      </c>
      <c r="BG1530" s="275" t="str">
        <f>IFERROR(__xludf.DUMMYFUNCTION("upper(Regexreplace(to_text(E1530),""[^A-Za-z0-9]"","""")&amp;""-""&amp;Regexreplace(to_text(F1530),""[^A-Za-z0-9]"",""""))"),"NEPTRONIC-EVCBSERIES")</f>
        <v>NEPTRONIC-EVCBSERIES</v>
      </c>
    </row>
    <row r="1531" ht="30.0" customHeight="1">
      <c r="A1531" s="173">
        <v>1523.0</v>
      </c>
      <c r="B1531" s="328" t="s">
        <v>670</v>
      </c>
      <c r="C1531" s="257" t="s">
        <v>6081</v>
      </c>
      <c r="D1531" s="173" t="s">
        <v>6081</v>
      </c>
      <c r="E1531" s="174" t="s">
        <v>2861</v>
      </c>
      <c r="F1531" s="173" t="s">
        <v>2862</v>
      </c>
      <c r="G1531" s="328" t="s">
        <v>673</v>
      </c>
      <c r="H1531" s="328" t="s">
        <v>2863</v>
      </c>
      <c r="I1531" s="258" t="s">
        <v>2864</v>
      </c>
      <c r="J1531" s="259" t="s">
        <v>1211</v>
      </c>
      <c r="K1531" s="260" t="s">
        <v>6082</v>
      </c>
      <c r="L1531" s="359"/>
      <c r="M1531" s="359"/>
      <c r="N1531" s="173" t="s">
        <v>679</v>
      </c>
      <c r="O1531" s="173" t="s">
        <v>225</v>
      </c>
      <c r="P1531" s="262" t="str">
        <f t="shared" si="1"/>
        <v>IN-BLR-ANANTA-VAV-1103_7</v>
      </c>
      <c r="Q1531" s="173" t="s">
        <v>6083</v>
      </c>
      <c r="R1531" s="328" t="str">
        <f>IFS(C1531="","",C1531="n/a","N/A",LEN(C1531),Concatenate("{",char(34),"asset",char(34),":{",char(34),"guid",char(34),":",char(34),Q1531,char(34),",",char(34),"site",char(34),":",char(34),LOWER('2-Building'!$B$4),char(34),",",char(34),"name",char(34),":",char(34),LOWER(C1531),char(34),"}}"))</f>
        <v>{"asset":{"guid":"uuid://97f412a2-6e63-47ce-ad2e-24f9d57d2fea","site":"in-blr-ananta","name":"vav-1103"}}</v>
      </c>
      <c r="S1531" s="360" t="s">
        <v>5516</v>
      </c>
      <c r="T1531" s="330"/>
      <c r="U1531" s="330"/>
      <c r="V1531" s="331"/>
      <c r="W1531" s="332"/>
      <c r="X1531" s="333"/>
      <c r="Y1531" s="33" t="s">
        <v>2867</v>
      </c>
      <c r="Z1531" s="258">
        <v>121103.0</v>
      </c>
      <c r="AA1531" s="334">
        <v>11629.0</v>
      </c>
      <c r="AB1531" s="333"/>
      <c r="AC1531" s="333"/>
      <c r="AD1531" s="329"/>
      <c r="AE1531" s="331"/>
      <c r="AF1531" s="336"/>
      <c r="AG1531" s="337"/>
      <c r="AH1531" s="333"/>
      <c r="AI1531" s="333"/>
      <c r="AJ1531" s="333"/>
      <c r="AK1531" s="333"/>
      <c r="AL1531" s="333"/>
      <c r="AM1531" s="338"/>
      <c r="AN1531" s="333"/>
      <c r="AO1531" s="333"/>
      <c r="AP1531" s="333"/>
      <c r="AQ1531" s="333"/>
      <c r="AR1531" s="333"/>
      <c r="AS1531" s="333"/>
      <c r="AT1531" s="333"/>
      <c r="AU1531" s="329"/>
      <c r="AV1531" s="341"/>
      <c r="AW1531" s="269" t="s">
        <v>2421</v>
      </c>
      <c r="AX1531" s="334" t="s">
        <v>2869</v>
      </c>
      <c r="AY1531" s="270" t="s">
        <v>695</v>
      </c>
      <c r="AZ1531" s="173" t="s">
        <v>5516</v>
      </c>
      <c r="BA1531" s="265">
        <v>10.0</v>
      </c>
      <c r="BB1531" s="174" t="s">
        <v>245</v>
      </c>
      <c r="BC1531" s="341"/>
      <c r="BD1531" s="308"/>
      <c r="BE1531" s="342"/>
      <c r="BF1531" s="274" t="str">
        <f>IFERROR(__xludf.DUMMYFUNCTION("LOWER(Regexreplace(to_text(E1531),""[^A-Za-z0-9]"","""")&amp;""_""&amp;Regexreplace(to_text(F1531),""[^A-Za-z0-9]"",""""))"),"neptronic_evcbseries")</f>
        <v>neptronic_evcbseries</v>
      </c>
      <c r="BG1531" s="275" t="str">
        <f>IFERROR(__xludf.DUMMYFUNCTION("upper(Regexreplace(to_text(E1531),""[^A-Za-z0-9]"","""")&amp;""-""&amp;Regexreplace(to_text(F1531),""[^A-Za-z0-9]"",""""))"),"NEPTRONIC-EVCBSERIES")</f>
        <v>NEPTRONIC-EVCBSERIES</v>
      </c>
    </row>
    <row r="1532" ht="30.0" customHeight="1">
      <c r="A1532" s="258">
        <v>1524.0</v>
      </c>
      <c r="B1532" s="328" t="s">
        <v>670</v>
      </c>
      <c r="C1532" s="257" t="s">
        <v>6084</v>
      </c>
      <c r="D1532" s="173" t="s">
        <v>6084</v>
      </c>
      <c r="E1532" s="174" t="s">
        <v>2861</v>
      </c>
      <c r="F1532" s="173" t="s">
        <v>2862</v>
      </c>
      <c r="G1532" s="328" t="s">
        <v>673</v>
      </c>
      <c r="H1532" s="328" t="s">
        <v>2863</v>
      </c>
      <c r="I1532" s="258" t="s">
        <v>2864</v>
      </c>
      <c r="J1532" s="259" t="s">
        <v>1211</v>
      </c>
      <c r="K1532" s="260" t="s">
        <v>6085</v>
      </c>
      <c r="L1532" s="359"/>
      <c r="M1532" s="359"/>
      <c r="N1532" s="173" t="s">
        <v>679</v>
      </c>
      <c r="O1532" s="173" t="s">
        <v>225</v>
      </c>
      <c r="P1532" s="262" t="str">
        <f t="shared" si="1"/>
        <v>IN-BLR-ANANTA-VAV-1104_7</v>
      </c>
      <c r="Q1532" s="173" t="s">
        <v>6086</v>
      </c>
      <c r="R1532" s="328" t="str">
        <f>IFS(C1532="","",C1532="n/a","N/A",LEN(C1532),Concatenate("{",char(34),"asset",char(34),":{",char(34),"guid",char(34),":",char(34),Q1532,char(34),",",char(34),"site",char(34),":",char(34),LOWER('2-Building'!$B$4),char(34),",",char(34),"name",char(34),":",char(34),LOWER(C1532),char(34),"}}"))</f>
        <v>{"asset":{"guid":"uuid://61412ed3-d56d-48f4-85ea-e8c621e1951b","site":"in-blr-ananta","name":"vav-1104"}}</v>
      </c>
      <c r="S1532" s="360" t="s">
        <v>5516</v>
      </c>
      <c r="T1532" s="330"/>
      <c r="U1532" s="330"/>
      <c r="V1532" s="331"/>
      <c r="W1532" s="332"/>
      <c r="X1532" s="333"/>
      <c r="Y1532" s="33" t="s">
        <v>2867</v>
      </c>
      <c r="Z1532" s="258">
        <v>121104.0</v>
      </c>
      <c r="AA1532" s="334">
        <v>11629.0</v>
      </c>
      <c r="AB1532" s="333"/>
      <c r="AC1532" s="333"/>
      <c r="AD1532" s="329"/>
      <c r="AE1532" s="331"/>
      <c r="AF1532" s="336"/>
      <c r="AG1532" s="337"/>
      <c r="AH1532" s="333"/>
      <c r="AI1532" s="333"/>
      <c r="AJ1532" s="333"/>
      <c r="AK1532" s="333"/>
      <c r="AL1532" s="333"/>
      <c r="AM1532" s="338"/>
      <c r="AN1532" s="333"/>
      <c r="AO1532" s="333"/>
      <c r="AP1532" s="333"/>
      <c r="AQ1532" s="333"/>
      <c r="AR1532" s="333"/>
      <c r="AS1532" s="333"/>
      <c r="AT1532" s="333"/>
      <c r="AU1532" s="329"/>
      <c r="AV1532" s="341"/>
      <c r="AW1532" s="269" t="s">
        <v>2421</v>
      </c>
      <c r="AX1532" s="334" t="s">
        <v>2869</v>
      </c>
      <c r="AY1532" s="270" t="s">
        <v>695</v>
      </c>
      <c r="AZ1532" s="173" t="s">
        <v>5516</v>
      </c>
      <c r="BA1532" s="265">
        <v>10.0</v>
      </c>
      <c r="BB1532" s="174" t="s">
        <v>245</v>
      </c>
      <c r="BC1532" s="341"/>
      <c r="BD1532" s="308"/>
      <c r="BE1532" s="342"/>
      <c r="BF1532" s="274" t="str">
        <f>IFERROR(__xludf.DUMMYFUNCTION("LOWER(Regexreplace(to_text(E1532),""[^A-Za-z0-9]"","""")&amp;""_""&amp;Regexreplace(to_text(F1532),""[^A-Za-z0-9]"",""""))"),"neptronic_evcbseries")</f>
        <v>neptronic_evcbseries</v>
      </c>
      <c r="BG1532" s="275" t="str">
        <f>IFERROR(__xludf.DUMMYFUNCTION("upper(Regexreplace(to_text(E1532),""[^A-Za-z0-9]"","""")&amp;""-""&amp;Regexreplace(to_text(F1532),""[^A-Za-z0-9]"",""""))"),"NEPTRONIC-EVCBSERIES")</f>
        <v>NEPTRONIC-EVCBSERIES</v>
      </c>
    </row>
    <row r="1533" ht="30.0" customHeight="1">
      <c r="A1533" s="173">
        <v>1525.0</v>
      </c>
      <c r="B1533" s="328" t="s">
        <v>670</v>
      </c>
      <c r="C1533" s="257" t="s">
        <v>6087</v>
      </c>
      <c r="D1533" s="173" t="s">
        <v>6087</v>
      </c>
      <c r="E1533" s="174" t="s">
        <v>2861</v>
      </c>
      <c r="F1533" s="173" t="s">
        <v>2862</v>
      </c>
      <c r="G1533" s="328" t="s">
        <v>673</v>
      </c>
      <c r="H1533" s="328" t="s">
        <v>2863</v>
      </c>
      <c r="I1533" s="258" t="s">
        <v>2864</v>
      </c>
      <c r="J1533" s="259" t="s">
        <v>1211</v>
      </c>
      <c r="K1533" s="260" t="s">
        <v>5565</v>
      </c>
      <c r="L1533" s="359"/>
      <c r="M1533" s="359"/>
      <c r="N1533" s="173" t="s">
        <v>679</v>
      </c>
      <c r="O1533" s="173" t="s">
        <v>225</v>
      </c>
      <c r="P1533" s="262" t="str">
        <f t="shared" si="1"/>
        <v>IN-BLR-ANANTA-VAV-1105_7</v>
      </c>
      <c r="Q1533" s="173" t="s">
        <v>6088</v>
      </c>
      <c r="R1533" s="328" t="str">
        <f>IFS(C1533="","",C1533="n/a","N/A",LEN(C1533),Concatenate("{",char(34),"asset",char(34),":{",char(34),"guid",char(34),":",char(34),Q1533,char(34),",",char(34),"site",char(34),":",char(34),LOWER('2-Building'!$B$4),char(34),",",char(34),"name",char(34),":",char(34),LOWER(C1533),char(34),"}}"))</f>
        <v>{"asset":{"guid":"uuid://b6e0f242-c552-4145-96b5-3c3757bda6d5","site":"in-blr-ananta","name":"vav-1105"}}</v>
      </c>
      <c r="S1533" s="360" t="s">
        <v>5516</v>
      </c>
      <c r="T1533" s="330"/>
      <c r="U1533" s="330"/>
      <c r="V1533" s="331"/>
      <c r="W1533" s="332"/>
      <c r="X1533" s="333"/>
      <c r="Y1533" s="33" t="s">
        <v>2867</v>
      </c>
      <c r="Z1533" s="258">
        <v>121105.0</v>
      </c>
      <c r="AA1533" s="334">
        <v>11629.0</v>
      </c>
      <c r="AB1533" s="333"/>
      <c r="AC1533" s="333"/>
      <c r="AD1533" s="329"/>
      <c r="AE1533" s="331"/>
      <c r="AF1533" s="336"/>
      <c r="AG1533" s="337"/>
      <c r="AH1533" s="333"/>
      <c r="AI1533" s="333"/>
      <c r="AJ1533" s="333"/>
      <c r="AK1533" s="333"/>
      <c r="AL1533" s="333"/>
      <c r="AM1533" s="338"/>
      <c r="AN1533" s="333"/>
      <c r="AO1533" s="333"/>
      <c r="AP1533" s="333"/>
      <c r="AQ1533" s="333"/>
      <c r="AR1533" s="333"/>
      <c r="AS1533" s="333"/>
      <c r="AT1533" s="333"/>
      <c r="AU1533" s="329"/>
      <c r="AV1533" s="341"/>
      <c r="AW1533" s="269" t="s">
        <v>2421</v>
      </c>
      <c r="AX1533" s="334" t="s">
        <v>2869</v>
      </c>
      <c r="AY1533" s="270" t="s">
        <v>695</v>
      </c>
      <c r="AZ1533" s="173" t="s">
        <v>5516</v>
      </c>
      <c r="BA1533" s="265">
        <v>10.0</v>
      </c>
      <c r="BB1533" s="174" t="s">
        <v>245</v>
      </c>
      <c r="BC1533" s="341"/>
      <c r="BD1533" s="308"/>
      <c r="BE1533" s="342"/>
      <c r="BF1533" s="274" t="str">
        <f>IFERROR(__xludf.DUMMYFUNCTION("LOWER(Regexreplace(to_text(E1533),""[^A-Za-z0-9]"","""")&amp;""_""&amp;Regexreplace(to_text(F1533),""[^A-Za-z0-9]"",""""))"),"neptronic_evcbseries")</f>
        <v>neptronic_evcbseries</v>
      </c>
      <c r="BG1533" s="275" t="str">
        <f>IFERROR(__xludf.DUMMYFUNCTION("upper(Regexreplace(to_text(E1533),""[^A-Za-z0-9]"","""")&amp;""-""&amp;Regexreplace(to_text(F1533),""[^A-Za-z0-9]"",""""))"),"NEPTRONIC-EVCBSERIES")</f>
        <v>NEPTRONIC-EVCBSERIES</v>
      </c>
    </row>
    <row r="1534" ht="30.0" customHeight="1">
      <c r="A1534" s="258">
        <v>1526.0</v>
      </c>
      <c r="B1534" s="328" t="s">
        <v>670</v>
      </c>
      <c r="C1534" s="257" t="s">
        <v>6089</v>
      </c>
      <c r="D1534" s="173" t="s">
        <v>6089</v>
      </c>
      <c r="E1534" s="174" t="s">
        <v>2861</v>
      </c>
      <c r="F1534" s="173" t="s">
        <v>2862</v>
      </c>
      <c r="G1534" s="328" t="s">
        <v>673</v>
      </c>
      <c r="H1534" s="328" t="s">
        <v>2863</v>
      </c>
      <c r="I1534" s="258" t="s">
        <v>2864</v>
      </c>
      <c r="J1534" s="259" t="s">
        <v>1211</v>
      </c>
      <c r="K1534" s="260" t="s">
        <v>6090</v>
      </c>
      <c r="L1534" s="359"/>
      <c r="M1534" s="359"/>
      <c r="N1534" s="173" t="s">
        <v>679</v>
      </c>
      <c r="O1534" s="173" t="s">
        <v>225</v>
      </c>
      <c r="P1534" s="262" t="str">
        <f t="shared" si="1"/>
        <v>IN-BLR-ANANTA-VAV-1106_7</v>
      </c>
      <c r="Q1534" s="173" t="s">
        <v>6091</v>
      </c>
      <c r="R1534" s="328" t="str">
        <f>IFS(C1534="","",C1534="n/a","N/A",LEN(C1534),Concatenate("{",char(34),"asset",char(34),":{",char(34),"guid",char(34),":",char(34),Q1534,char(34),",",char(34),"site",char(34),":",char(34),LOWER('2-Building'!$B$4),char(34),",",char(34),"name",char(34),":",char(34),LOWER(C1534),char(34),"}}"))</f>
        <v>{"asset":{"guid":"uuid://f43174c2-d3c6-4487-bec9-cd35547a9e3e","site":"in-blr-ananta","name":"vav-1106"}}</v>
      </c>
      <c r="S1534" s="360" t="s">
        <v>5516</v>
      </c>
      <c r="T1534" s="330"/>
      <c r="U1534" s="330"/>
      <c r="V1534" s="331"/>
      <c r="W1534" s="332"/>
      <c r="X1534" s="333"/>
      <c r="Y1534" s="33" t="s">
        <v>2867</v>
      </c>
      <c r="Z1534" s="258">
        <v>121106.0</v>
      </c>
      <c r="AA1534" s="334">
        <v>11630.0</v>
      </c>
      <c r="AB1534" s="333"/>
      <c r="AC1534" s="333"/>
      <c r="AD1534" s="329"/>
      <c r="AE1534" s="331"/>
      <c r="AF1534" s="336"/>
      <c r="AG1534" s="337"/>
      <c r="AH1534" s="333"/>
      <c r="AI1534" s="333"/>
      <c r="AJ1534" s="333"/>
      <c r="AK1534" s="333"/>
      <c r="AL1534" s="333"/>
      <c r="AM1534" s="338"/>
      <c r="AN1534" s="333"/>
      <c r="AO1534" s="333"/>
      <c r="AP1534" s="333"/>
      <c r="AQ1534" s="333"/>
      <c r="AR1534" s="333"/>
      <c r="AS1534" s="333"/>
      <c r="AT1534" s="333"/>
      <c r="AU1534" s="329"/>
      <c r="AV1534" s="341"/>
      <c r="AW1534" s="269" t="s">
        <v>2421</v>
      </c>
      <c r="AX1534" s="334" t="s">
        <v>2869</v>
      </c>
      <c r="AY1534" s="270" t="s">
        <v>695</v>
      </c>
      <c r="AZ1534" s="173" t="s">
        <v>5516</v>
      </c>
      <c r="BA1534" s="265">
        <v>10.0</v>
      </c>
      <c r="BB1534" s="174" t="s">
        <v>245</v>
      </c>
      <c r="BC1534" s="341"/>
      <c r="BD1534" s="308"/>
      <c r="BE1534" s="342"/>
      <c r="BF1534" s="274" t="str">
        <f>IFERROR(__xludf.DUMMYFUNCTION("LOWER(Regexreplace(to_text(E1534),""[^A-Za-z0-9]"","""")&amp;""_""&amp;Regexreplace(to_text(F1534),""[^A-Za-z0-9]"",""""))"),"neptronic_evcbseries")</f>
        <v>neptronic_evcbseries</v>
      </c>
      <c r="BG1534" s="275" t="str">
        <f>IFERROR(__xludf.DUMMYFUNCTION("upper(Regexreplace(to_text(E1534),""[^A-Za-z0-9]"","""")&amp;""-""&amp;Regexreplace(to_text(F1534),""[^A-Za-z0-9]"",""""))"),"NEPTRONIC-EVCBSERIES")</f>
        <v>NEPTRONIC-EVCBSERIES</v>
      </c>
    </row>
    <row r="1535" ht="30.0" customHeight="1">
      <c r="A1535" s="173">
        <v>1527.0</v>
      </c>
      <c r="B1535" s="328" t="s">
        <v>670</v>
      </c>
      <c r="C1535" s="257" t="s">
        <v>6092</v>
      </c>
      <c r="D1535" s="173" t="s">
        <v>6092</v>
      </c>
      <c r="E1535" s="174" t="s">
        <v>2861</v>
      </c>
      <c r="F1535" s="173" t="s">
        <v>2862</v>
      </c>
      <c r="G1535" s="328" t="s">
        <v>673</v>
      </c>
      <c r="H1535" s="328" t="s">
        <v>2863</v>
      </c>
      <c r="I1535" s="258" t="s">
        <v>2864</v>
      </c>
      <c r="J1535" s="259" t="s">
        <v>1211</v>
      </c>
      <c r="K1535" s="260" t="s">
        <v>6093</v>
      </c>
      <c r="L1535" s="359"/>
      <c r="M1535" s="359"/>
      <c r="N1535" s="173" t="s">
        <v>679</v>
      </c>
      <c r="O1535" s="173" t="s">
        <v>225</v>
      </c>
      <c r="P1535" s="262" t="str">
        <f t="shared" si="1"/>
        <v>IN-BLR-ANANTA-VAV-1107_7</v>
      </c>
      <c r="Q1535" s="173" t="s">
        <v>6094</v>
      </c>
      <c r="R1535" s="328" t="str">
        <f>IFS(C1535="","",C1535="n/a","N/A",LEN(C1535),Concatenate("{",char(34),"asset",char(34),":{",char(34),"guid",char(34),":",char(34),Q1535,char(34),",",char(34),"site",char(34),":",char(34),LOWER('2-Building'!$B$4),char(34),",",char(34),"name",char(34),":",char(34),LOWER(C1535),char(34),"}}"))</f>
        <v>{"asset":{"guid":"uuid://2210b879-a6b7-4ea8-b7f5-822ae1ba5d2e","site":"in-blr-ananta","name":"vav-1107"}}</v>
      </c>
      <c r="S1535" s="360" t="s">
        <v>5516</v>
      </c>
      <c r="T1535" s="330"/>
      <c r="U1535" s="330"/>
      <c r="V1535" s="331"/>
      <c r="W1535" s="332"/>
      <c r="X1535" s="333"/>
      <c r="Y1535" s="33" t="s">
        <v>2867</v>
      </c>
      <c r="Z1535" s="258">
        <v>121107.0</v>
      </c>
      <c r="AA1535" s="334">
        <v>11630.0</v>
      </c>
      <c r="AB1535" s="333"/>
      <c r="AC1535" s="333"/>
      <c r="AD1535" s="329"/>
      <c r="AE1535" s="331"/>
      <c r="AF1535" s="336"/>
      <c r="AG1535" s="337"/>
      <c r="AH1535" s="333"/>
      <c r="AI1535" s="333"/>
      <c r="AJ1535" s="333"/>
      <c r="AK1535" s="333"/>
      <c r="AL1535" s="333"/>
      <c r="AM1535" s="338"/>
      <c r="AN1535" s="333"/>
      <c r="AO1535" s="333"/>
      <c r="AP1535" s="333"/>
      <c r="AQ1535" s="333"/>
      <c r="AR1535" s="333"/>
      <c r="AS1535" s="333"/>
      <c r="AT1535" s="333"/>
      <c r="AU1535" s="329"/>
      <c r="AV1535" s="341"/>
      <c r="AW1535" s="269" t="s">
        <v>2421</v>
      </c>
      <c r="AX1535" s="334" t="s">
        <v>2869</v>
      </c>
      <c r="AY1535" s="270" t="s">
        <v>695</v>
      </c>
      <c r="AZ1535" s="173" t="s">
        <v>5516</v>
      </c>
      <c r="BA1535" s="265">
        <v>10.0</v>
      </c>
      <c r="BB1535" s="174" t="s">
        <v>245</v>
      </c>
      <c r="BC1535" s="341"/>
      <c r="BD1535" s="308"/>
      <c r="BE1535" s="342"/>
      <c r="BF1535" s="274" t="str">
        <f>IFERROR(__xludf.DUMMYFUNCTION("LOWER(Regexreplace(to_text(E1535),""[^A-Za-z0-9]"","""")&amp;""_""&amp;Regexreplace(to_text(F1535),""[^A-Za-z0-9]"",""""))"),"neptronic_evcbseries")</f>
        <v>neptronic_evcbseries</v>
      </c>
      <c r="BG1535" s="275" t="str">
        <f>IFERROR(__xludf.DUMMYFUNCTION("upper(Regexreplace(to_text(E1535),""[^A-Za-z0-9]"","""")&amp;""-""&amp;Regexreplace(to_text(F1535),""[^A-Za-z0-9]"",""""))"),"NEPTRONIC-EVCBSERIES")</f>
        <v>NEPTRONIC-EVCBSERIES</v>
      </c>
    </row>
    <row r="1536" ht="30.0" customHeight="1">
      <c r="A1536" s="258">
        <v>1528.0</v>
      </c>
      <c r="B1536" s="328" t="s">
        <v>670</v>
      </c>
      <c r="C1536" s="257" t="s">
        <v>6095</v>
      </c>
      <c r="D1536" s="173" t="s">
        <v>6095</v>
      </c>
      <c r="E1536" s="174" t="s">
        <v>2861</v>
      </c>
      <c r="F1536" s="173" t="s">
        <v>2862</v>
      </c>
      <c r="G1536" s="328" t="s">
        <v>673</v>
      </c>
      <c r="H1536" s="328" t="s">
        <v>2863</v>
      </c>
      <c r="I1536" s="258" t="s">
        <v>2864</v>
      </c>
      <c r="J1536" s="259" t="s">
        <v>1211</v>
      </c>
      <c r="K1536" s="260" t="s">
        <v>6096</v>
      </c>
      <c r="L1536" s="359"/>
      <c r="M1536" s="359"/>
      <c r="N1536" s="173" t="s">
        <v>679</v>
      </c>
      <c r="O1536" s="173" t="s">
        <v>225</v>
      </c>
      <c r="P1536" s="262" t="str">
        <f t="shared" si="1"/>
        <v>IN-BLR-ANANTA-VAV-1108_7</v>
      </c>
      <c r="Q1536" s="173" t="s">
        <v>6097</v>
      </c>
      <c r="R1536" s="328" t="str">
        <f>IFS(C1536="","",C1536="n/a","N/A",LEN(C1536),Concatenate("{",char(34),"asset",char(34),":{",char(34),"guid",char(34),":",char(34),Q1536,char(34),",",char(34),"site",char(34),":",char(34),LOWER('2-Building'!$B$4),char(34),",",char(34),"name",char(34),":",char(34),LOWER(C1536),char(34),"}}"))</f>
        <v>{"asset":{"guid":"uuid://b3c242d7-fe3f-4f7a-adb3-5bb4b46fcfab","site":"in-blr-ananta","name":"vav-1108"}}</v>
      </c>
      <c r="S1536" s="360" t="s">
        <v>5516</v>
      </c>
      <c r="T1536" s="330"/>
      <c r="U1536" s="330"/>
      <c r="V1536" s="331"/>
      <c r="W1536" s="332"/>
      <c r="X1536" s="333"/>
      <c r="Y1536" s="33" t="s">
        <v>2867</v>
      </c>
      <c r="Z1536" s="258">
        <v>121108.0</v>
      </c>
      <c r="AA1536" s="334">
        <v>11630.0</v>
      </c>
      <c r="AB1536" s="333"/>
      <c r="AC1536" s="333"/>
      <c r="AD1536" s="329"/>
      <c r="AE1536" s="331"/>
      <c r="AF1536" s="336"/>
      <c r="AG1536" s="337"/>
      <c r="AH1536" s="333"/>
      <c r="AI1536" s="333"/>
      <c r="AJ1536" s="333"/>
      <c r="AK1536" s="333"/>
      <c r="AL1536" s="333"/>
      <c r="AM1536" s="338"/>
      <c r="AN1536" s="333"/>
      <c r="AO1536" s="333"/>
      <c r="AP1536" s="333"/>
      <c r="AQ1536" s="333"/>
      <c r="AR1536" s="333"/>
      <c r="AS1536" s="333"/>
      <c r="AT1536" s="333"/>
      <c r="AU1536" s="329"/>
      <c r="AV1536" s="341"/>
      <c r="AW1536" s="269" t="s">
        <v>2421</v>
      </c>
      <c r="AX1536" s="334" t="s">
        <v>2869</v>
      </c>
      <c r="AY1536" s="270" t="s">
        <v>695</v>
      </c>
      <c r="AZ1536" s="173" t="s">
        <v>5516</v>
      </c>
      <c r="BA1536" s="265">
        <v>10.0</v>
      </c>
      <c r="BB1536" s="174" t="s">
        <v>245</v>
      </c>
      <c r="BC1536" s="341"/>
      <c r="BD1536" s="308"/>
      <c r="BE1536" s="342"/>
      <c r="BF1536" s="274" t="str">
        <f>IFERROR(__xludf.DUMMYFUNCTION("LOWER(Regexreplace(to_text(E1536),""[^A-Za-z0-9]"","""")&amp;""_""&amp;Regexreplace(to_text(F1536),""[^A-Za-z0-9]"",""""))"),"neptronic_evcbseries")</f>
        <v>neptronic_evcbseries</v>
      </c>
      <c r="BG1536" s="275" t="str">
        <f>IFERROR(__xludf.DUMMYFUNCTION("upper(Regexreplace(to_text(E1536),""[^A-Za-z0-9]"","""")&amp;""-""&amp;Regexreplace(to_text(F1536),""[^A-Za-z0-9]"",""""))"),"NEPTRONIC-EVCBSERIES")</f>
        <v>NEPTRONIC-EVCBSERIES</v>
      </c>
    </row>
    <row r="1537" ht="30.0" customHeight="1">
      <c r="A1537" s="173">
        <v>1529.0</v>
      </c>
      <c r="B1537" s="328" t="s">
        <v>670</v>
      </c>
      <c r="C1537" s="257" t="s">
        <v>6098</v>
      </c>
      <c r="D1537" s="173" t="s">
        <v>6098</v>
      </c>
      <c r="E1537" s="174" t="s">
        <v>2861</v>
      </c>
      <c r="F1537" s="173" t="s">
        <v>2862</v>
      </c>
      <c r="G1537" s="328" t="s">
        <v>673</v>
      </c>
      <c r="H1537" s="328" t="s">
        <v>2863</v>
      </c>
      <c r="I1537" s="258" t="s">
        <v>2864</v>
      </c>
      <c r="J1537" s="259" t="s">
        <v>1211</v>
      </c>
      <c r="K1537" s="260" t="s">
        <v>6099</v>
      </c>
      <c r="L1537" s="359"/>
      <c r="M1537" s="359"/>
      <c r="N1537" s="173" t="s">
        <v>679</v>
      </c>
      <c r="O1537" s="173" t="s">
        <v>225</v>
      </c>
      <c r="P1537" s="262" t="str">
        <f t="shared" si="1"/>
        <v>IN-BLR-ANANTA-VAV-1109_7</v>
      </c>
      <c r="Q1537" s="173" t="s">
        <v>6100</v>
      </c>
      <c r="R1537" s="328" t="str">
        <f>IFS(C1537="","",C1537="n/a","N/A",LEN(C1537),Concatenate("{",char(34),"asset",char(34),":{",char(34),"guid",char(34),":",char(34),Q1537,char(34),",",char(34),"site",char(34),":",char(34),LOWER('2-Building'!$B$4),char(34),",",char(34),"name",char(34),":",char(34),LOWER(C1537),char(34),"}}"))</f>
        <v>{"asset":{"guid":"uuid://d1c63b1d-7aac-4279-8ebf-153c504283ec","site":"in-blr-ananta","name":"vav-1109"}}</v>
      </c>
      <c r="S1537" s="360" t="s">
        <v>5516</v>
      </c>
      <c r="T1537" s="330"/>
      <c r="U1537" s="330"/>
      <c r="V1537" s="331"/>
      <c r="W1537" s="332"/>
      <c r="X1537" s="333"/>
      <c r="Y1537" s="33" t="s">
        <v>2867</v>
      </c>
      <c r="Z1537" s="258">
        <v>121109.0</v>
      </c>
      <c r="AA1537" s="334">
        <v>11630.0</v>
      </c>
      <c r="AB1537" s="333"/>
      <c r="AC1537" s="333"/>
      <c r="AD1537" s="329"/>
      <c r="AE1537" s="331"/>
      <c r="AF1537" s="336"/>
      <c r="AG1537" s="337"/>
      <c r="AH1537" s="333"/>
      <c r="AI1537" s="333"/>
      <c r="AJ1537" s="333"/>
      <c r="AK1537" s="333"/>
      <c r="AL1537" s="333"/>
      <c r="AM1537" s="338"/>
      <c r="AN1537" s="333"/>
      <c r="AO1537" s="333"/>
      <c r="AP1537" s="333"/>
      <c r="AQ1537" s="333"/>
      <c r="AR1537" s="333"/>
      <c r="AS1537" s="333"/>
      <c r="AT1537" s="333"/>
      <c r="AU1537" s="329"/>
      <c r="AV1537" s="341"/>
      <c r="AW1537" s="269" t="s">
        <v>2421</v>
      </c>
      <c r="AX1537" s="334" t="s">
        <v>2869</v>
      </c>
      <c r="AY1537" s="270" t="s">
        <v>695</v>
      </c>
      <c r="AZ1537" s="173" t="s">
        <v>5516</v>
      </c>
      <c r="BA1537" s="265">
        <v>10.0</v>
      </c>
      <c r="BB1537" s="174" t="s">
        <v>245</v>
      </c>
      <c r="BC1537" s="341"/>
      <c r="BD1537" s="308"/>
      <c r="BE1537" s="342"/>
      <c r="BF1537" s="274" t="str">
        <f>IFERROR(__xludf.DUMMYFUNCTION("LOWER(Regexreplace(to_text(E1537),""[^A-Za-z0-9]"","""")&amp;""_""&amp;Regexreplace(to_text(F1537),""[^A-Za-z0-9]"",""""))"),"neptronic_evcbseries")</f>
        <v>neptronic_evcbseries</v>
      </c>
      <c r="BG1537" s="275" t="str">
        <f>IFERROR(__xludf.DUMMYFUNCTION("upper(Regexreplace(to_text(E1537),""[^A-Za-z0-9]"","""")&amp;""-""&amp;Regexreplace(to_text(F1537),""[^A-Za-z0-9]"",""""))"),"NEPTRONIC-EVCBSERIES")</f>
        <v>NEPTRONIC-EVCBSERIES</v>
      </c>
    </row>
    <row r="1538" ht="30.0" customHeight="1">
      <c r="A1538" s="258">
        <v>1530.0</v>
      </c>
      <c r="B1538" s="328" t="s">
        <v>670</v>
      </c>
      <c r="C1538" s="257" t="s">
        <v>6101</v>
      </c>
      <c r="D1538" s="173" t="s">
        <v>6101</v>
      </c>
      <c r="E1538" s="174" t="s">
        <v>2861</v>
      </c>
      <c r="F1538" s="173" t="s">
        <v>2862</v>
      </c>
      <c r="G1538" s="328" t="s">
        <v>673</v>
      </c>
      <c r="H1538" s="328" t="s">
        <v>2863</v>
      </c>
      <c r="I1538" s="258" t="s">
        <v>2864</v>
      </c>
      <c r="J1538" s="259" t="s">
        <v>1211</v>
      </c>
      <c r="K1538" s="260" t="s">
        <v>6102</v>
      </c>
      <c r="L1538" s="359"/>
      <c r="M1538" s="359"/>
      <c r="N1538" s="173" t="s">
        <v>679</v>
      </c>
      <c r="O1538" s="173" t="s">
        <v>225</v>
      </c>
      <c r="P1538" s="262" t="str">
        <f t="shared" si="1"/>
        <v>IN-BLR-ANANTA-VAV-1110_7</v>
      </c>
      <c r="Q1538" s="173" t="s">
        <v>6103</v>
      </c>
      <c r="R1538" s="328" t="str">
        <f>IFS(C1538="","",C1538="n/a","N/A",LEN(C1538),Concatenate("{",char(34),"asset",char(34),":{",char(34),"guid",char(34),":",char(34),Q1538,char(34),",",char(34),"site",char(34),":",char(34),LOWER('2-Building'!$B$4),char(34),",",char(34),"name",char(34),":",char(34),LOWER(C1538),char(34),"}}"))</f>
        <v>{"asset":{"guid":"uuid://ddcfd746-1658-4db2-8426-9af5a75f7deb","site":"in-blr-ananta","name":"vav-1110"}}</v>
      </c>
      <c r="S1538" s="360" t="s">
        <v>5516</v>
      </c>
      <c r="T1538" s="330"/>
      <c r="U1538" s="330"/>
      <c r="V1538" s="331"/>
      <c r="W1538" s="332"/>
      <c r="X1538" s="333"/>
      <c r="Y1538" s="33" t="s">
        <v>2867</v>
      </c>
      <c r="Z1538" s="258">
        <v>121110.0</v>
      </c>
      <c r="AA1538" s="334">
        <v>11630.0</v>
      </c>
      <c r="AB1538" s="333"/>
      <c r="AC1538" s="333"/>
      <c r="AD1538" s="329"/>
      <c r="AE1538" s="331"/>
      <c r="AF1538" s="336"/>
      <c r="AG1538" s="337"/>
      <c r="AH1538" s="333"/>
      <c r="AI1538" s="333"/>
      <c r="AJ1538" s="333"/>
      <c r="AK1538" s="333"/>
      <c r="AL1538" s="333"/>
      <c r="AM1538" s="338"/>
      <c r="AN1538" s="333"/>
      <c r="AO1538" s="333"/>
      <c r="AP1538" s="333"/>
      <c r="AQ1538" s="333"/>
      <c r="AR1538" s="333"/>
      <c r="AS1538" s="333"/>
      <c r="AT1538" s="333"/>
      <c r="AU1538" s="329"/>
      <c r="AV1538" s="341"/>
      <c r="AW1538" s="269" t="s">
        <v>2421</v>
      </c>
      <c r="AX1538" s="334" t="s">
        <v>2869</v>
      </c>
      <c r="AY1538" s="270" t="s">
        <v>695</v>
      </c>
      <c r="AZ1538" s="173" t="s">
        <v>5516</v>
      </c>
      <c r="BA1538" s="265">
        <v>10.0</v>
      </c>
      <c r="BB1538" s="174" t="s">
        <v>245</v>
      </c>
      <c r="BC1538" s="341"/>
      <c r="BD1538" s="308"/>
      <c r="BE1538" s="342"/>
      <c r="BF1538" s="274" t="str">
        <f>IFERROR(__xludf.DUMMYFUNCTION("LOWER(Regexreplace(to_text(E1538),""[^A-Za-z0-9]"","""")&amp;""_""&amp;Regexreplace(to_text(F1538),""[^A-Za-z0-9]"",""""))"),"neptronic_evcbseries")</f>
        <v>neptronic_evcbseries</v>
      </c>
      <c r="BG1538" s="275" t="str">
        <f>IFERROR(__xludf.DUMMYFUNCTION("upper(Regexreplace(to_text(E1538),""[^A-Za-z0-9]"","""")&amp;""-""&amp;Regexreplace(to_text(F1538),""[^A-Za-z0-9]"",""""))"),"NEPTRONIC-EVCBSERIES")</f>
        <v>NEPTRONIC-EVCBSERIES</v>
      </c>
    </row>
    <row r="1539" ht="30.0" customHeight="1">
      <c r="A1539" s="173">
        <v>1531.0</v>
      </c>
      <c r="B1539" s="328" t="s">
        <v>670</v>
      </c>
      <c r="C1539" s="257" t="s">
        <v>6104</v>
      </c>
      <c r="D1539" s="173" t="s">
        <v>6104</v>
      </c>
      <c r="E1539" s="174" t="s">
        <v>2861</v>
      </c>
      <c r="F1539" s="173" t="s">
        <v>2862</v>
      </c>
      <c r="G1539" s="328" t="s">
        <v>673</v>
      </c>
      <c r="H1539" s="328" t="s">
        <v>2863</v>
      </c>
      <c r="I1539" s="258" t="s">
        <v>2864</v>
      </c>
      <c r="J1539" s="259" t="s">
        <v>1211</v>
      </c>
      <c r="K1539" s="260" t="s">
        <v>6105</v>
      </c>
      <c r="L1539" s="359"/>
      <c r="M1539" s="359"/>
      <c r="N1539" s="173" t="s">
        <v>679</v>
      </c>
      <c r="O1539" s="173" t="s">
        <v>225</v>
      </c>
      <c r="P1539" s="262" t="str">
        <f t="shared" si="1"/>
        <v>IN-BLR-ANANTA-VAV-1111_7</v>
      </c>
      <c r="Q1539" s="173" t="s">
        <v>6106</v>
      </c>
      <c r="R1539" s="328" t="str">
        <f>IFS(C1539="","",C1539="n/a","N/A",LEN(C1539),Concatenate("{",char(34),"asset",char(34),":{",char(34),"guid",char(34),":",char(34),Q1539,char(34),",",char(34),"site",char(34),":",char(34),LOWER('2-Building'!$B$4),char(34),",",char(34),"name",char(34),":",char(34),LOWER(C1539),char(34),"}}"))</f>
        <v>{"asset":{"guid":"uuid://21ceca27-1b3d-4f93-8131-d13f0d5f1785","site":"in-blr-ananta","name":"vav-1111"}}</v>
      </c>
      <c r="S1539" s="360" t="s">
        <v>5516</v>
      </c>
      <c r="T1539" s="330"/>
      <c r="U1539" s="330"/>
      <c r="V1539" s="331"/>
      <c r="W1539" s="332"/>
      <c r="X1539" s="333"/>
      <c r="Y1539" s="33" t="s">
        <v>2867</v>
      </c>
      <c r="Z1539" s="258">
        <v>121111.0</v>
      </c>
      <c r="AA1539" s="334">
        <v>11630.0</v>
      </c>
      <c r="AB1539" s="333"/>
      <c r="AC1539" s="333"/>
      <c r="AD1539" s="329"/>
      <c r="AE1539" s="331"/>
      <c r="AF1539" s="336"/>
      <c r="AG1539" s="337"/>
      <c r="AH1539" s="333"/>
      <c r="AI1539" s="333"/>
      <c r="AJ1539" s="333"/>
      <c r="AK1539" s="333"/>
      <c r="AL1539" s="333"/>
      <c r="AM1539" s="338"/>
      <c r="AN1539" s="333"/>
      <c r="AO1539" s="333"/>
      <c r="AP1539" s="333"/>
      <c r="AQ1539" s="333"/>
      <c r="AR1539" s="333"/>
      <c r="AS1539" s="333"/>
      <c r="AT1539" s="333"/>
      <c r="AU1539" s="329"/>
      <c r="AV1539" s="341"/>
      <c r="AW1539" s="269" t="s">
        <v>2421</v>
      </c>
      <c r="AX1539" s="334" t="s">
        <v>2869</v>
      </c>
      <c r="AY1539" s="270" t="s">
        <v>695</v>
      </c>
      <c r="AZ1539" s="173" t="s">
        <v>5516</v>
      </c>
      <c r="BA1539" s="265">
        <v>10.0</v>
      </c>
      <c r="BB1539" s="174" t="s">
        <v>245</v>
      </c>
      <c r="BC1539" s="341"/>
      <c r="BD1539" s="308"/>
      <c r="BE1539" s="342"/>
      <c r="BF1539" s="274" t="str">
        <f>IFERROR(__xludf.DUMMYFUNCTION("LOWER(Regexreplace(to_text(E1539),""[^A-Za-z0-9]"","""")&amp;""_""&amp;Regexreplace(to_text(F1539),""[^A-Za-z0-9]"",""""))"),"neptronic_evcbseries")</f>
        <v>neptronic_evcbseries</v>
      </c>
      <c r="BG1539" s="275" t="str">
        <f>IFERROR(__xludf.DUMMYFUNCTION("upper(Regexreplace(to_text(E1539),""[^A-Za-z0-9]"","""")&amp;""-""&amp;Regexreplace(to_text(F1539),""[^A-Za-z0-9]"",""""))"),"NEPTRONIC-EVCBSERIES")</f>
        <v>NEPTRONIC-EVCBSERIES</v>
      </c>
    </row>
    <row r="1540" ht="30.0" customHeight="1">
      <c r="A1540" s="258">
        <v>1532.0</v>
      </c>
      <c r="B1540" s="328" t="s">
        <v>670</v>
      </c>
      <c r="C1540" s="257" t="s">
        <v>6107</v>
      </c>
      <c r="D1540" s="173" t="s">
        <v>6107</v>
      </c>
      <c r="E1540" s="174" t="s">
        <v>2861</v>
      </c>
      <c r="F1540" s="173" t="s">
        <v>2862</v>
      </c>
      <c r="G1540" s="328" t="s">
        <v>673</v>
      </c>
      <c r="H1540" s="328" t="s">
        <v>2863</v>
      </c>
      <c r="I1540" s="258" t="s">
        <v>2864</v>
      </c>
      <c r="J1540" s="259" t="s">
        <v>1211</v>
      </c>
      <c r="K1540" s="260" t="s">
        <v>6108</v>
      </c>
      <c r="L1540" s="359"/>
      <c r="M1540" s="359"/>
      <c r="N1540" s="173" t="s">
        <v>679</v>
      </c>
      <c r="O1540" s="173" t="s">
        <v>225</v>
      </c>
      <c r="P1540" s="262" t="str">
        <f t="shared" si="1"/>
        <v>IN-BLR-ANANTA-VAV-1112_7</v>
      </c>
      <c r="Q1540" s="173" t="s">
        <v>6109</v>
      </c>
      <c r="R1540" s="328" t="str">
        <f>IFS(C1540="","",C1540="n/a","N/A",LEN(C1540),Concatenate("{",char(34),"asset",char(34),":{",char(34),"guid",char(34),":",char(34),Q1540,char(34),",",char(34),"site",char(34),":",char(34),LOWER('2-Building'!$B$4),char(34),",",char(34),"name",char(34),":",char(34),LOWER(C1540),char(34),"}}"))</f>
        <v>{"asset":{"guid":"uuid://788946dc-b078-437a-bb17-4732701044f4","site":"in-blr-ananta","name":"vav-1112"}}</v>
      </c>
      <c r="S1540" s="360" t="s">
        <v>5516</v>
      </c>
      <c r="T1540" s="330"/>
      <c r="U1540" s="330"/>
      <c r="V1540" s="331"/>
      <c r="W1540" s="332"/>
      <c r="X1540" s="333"/>
      <c r="Y1540" s="33" t="s">
        <v>2867</v>
      </c>
      <c r="Z1540" s="258">
        <v>121112.0</v>
      </c>
      <c r="AA1540" s="334">
        <v>11630.0</v>
      </c>
      <c r="AB1540" s="333"/>
      <c r="AC1540" s="333"/>
      <c r="AD1540" s="329"/>
      <c r="AE1540" s="331"/>
      <c r="AF1540" s="336"/>
      <c r="AG1540" s="337"/>
      <c r="AH1540" s="333"/>
      <c r="AI1540" s="333"/>
      <c r="AJ1540" s="333"/>
      <c r="AK1540" s="333"/>
      <c r="AL1540" s="333"/>
      <c r="AM1540" s="338"/>
      <c r="AN1540" s="333"/>
      <c r="AO1540" s="333"/>
      <c r="AP1540" s="333"/>
      <c r="AQ1540" s="333"/>
      <c r="AR1540" s="333"/>
      <c r="AS1540" s="333"/>
      <c r="AT1540" s="333"/>
      <c r="AU1540" s="329"/>
      <c r="AV1540" s="341"/>
      <c r="AW1540" s="269" t="s">
        <v>2421</v>
      </c>
      <c r="AX1540" s="334" t="s">
        <v>2869</v>
      </c>
      <c r="AY1540" s="270" t="s">
        <v>695</v>
      </c>
      <c r="AZ1540" s="173" t="s">
        <v>5516</v>
      </c>
      <c r="BA1540" s="265">
        <v>10.0</v>
      </c>
      <c r="BB1540" s="174" t="s">
        <v>245</v>
      </c>
      <c r="BC1540" s="341"/>
      <c r="BD1540" s="308"/>
      <c r="BE1540" s="342"/>
      <c r="BF1540" s="274" t="str">
        <f>IFERROR(__xludf.DUMMYFUNCTION("LOWER(Regexreplace(to_text(E1540),""[^A-Za-z0-9]"","""")&amp;""_""&amp;Regexreplace(to_text(F1540),""[^A-Za-z0-9]"",""""))"),"neptronic_evcbseries")</f>
        <v>neptronic_evcbseries</v>
      </c>
      <c r="BG1540" s="275" t="str">
        <f>IFERROR(__xludf.DUMMYFUNCTION("upper(Regexreplace(to_text(E1540),""[^A-Za-z0-9]"","""")&amp;""-""&amp;Regexreplace(to_text(F1540),""[^A-Za-z0-9]"",""""))"),"NEPTRONIC-EVCBSERIES")</f>
        <v>NEPTRONIC-EVCBSERIES</v>
      </c>
    </row>
    <row r="1541" ht="30.0" customHeight="1">
      <c r="A1541" s="173">
        <v>1533.0</v>
      </c>
      <c r="B1541" s="328" t="s">
        <v>670</v>
      </c>
      <c r="C1541" s="257" t="s">
        <v>6110</v>
      </c>
      <c r="D1541" s="173" t="s">
        <v>6110</v>
      </c>
      <c r="E1541" s="174" t="s">
        <v>2861</v>
      </c>
      <c r="F1541" s="173" t="s">
        <v>2862</v>
      </c>
      <c r="G1541" s="328" t="s">
        <v>673</v>
      </c>
      <c r="H1541" s="328" t="s">
        <v>2863</v>
      </c>
      <c r="I1541" s="258" t="s">
        <v>2864</v>
      </c>
      <c r="J1541" s="259" t="s">
        <v>1211</v>
      </c>
      <c r="K1541" s="260" t="s">
        <v>6111</v>
      </c>
      <c r="L1541" s="359"/>
      <c r="M1541" s="359"/>
      <c r="N1541" s="173" t="s">
        <v>679</v>
      </c>
      <c r="O1541" s="173" t="s">
        <v>225</v>
      </c>
      <c r="P1541" s="262" t="str">
        <f t="shared" si="1"/>
        <v>IN-BLR-ANANTA-VAV-1113_7</v>
      </c>
      <c r="Q1541" s="173" t="s">
        <v>6112</v>
      </c>
      <c r="R1541" s="328" t="str">
        <f>IFS(C1541="","",C1541="n/a","N/A",LEN(C1541),Concatenate("{",char(34),"asset",char(34),":{",char(34),"guid",char(34),":",char(34),Q1541,char(34),",",char(34),"site",char(34),":",char(34),LOWER('2-Building'!$B$4),char(34),",",char(34),"name",char(34),":",char(34),LOWER(C1541),char(34),"}}"))</f>
        <v>{"asset":{"guid":"uuid://7d98c8ae-fbdf-44e5-bc4a-e1d0f126b6ff","site":"in-blr-ananta","name":"vav-1113"}}</v>
      </c>
      <c r="S1541" s="360" t="s">
        <v>5516</v>
      </c>
      <c r="T1541" s="330"/>
      <c r="U1541" s="330"/>
      <c r="V1541" s="331"/>
      <c r="W1541" s="332"/>
      <c r="X1541" s="333"/>
      <c r="Y1541" s="33" t="s">
        <v>2867</v>
      </c>
      <c r="Z1541" s="258">
        <v>121113.0</v>
      </c>
      <c r="AA1541" s="334">
        <v>11630.0</v>
      </c>
      <c r="AB1541" s="333"/>
      <c r="AC1541" s="333"/>
      <c r="AD1541" s="329"/>
      <c r="AE1541" s="331"/>
      <c r="AF1541" s="336"/>
      <c r="AG1541" s="337"/>
      <c r="AH1541" s="333"/>
      <c r="AI1541" s="333"/>
      <c r="AJ1541" s="333"/>
      <c r="AK1541" s="333"/>
      <c r="AL1541" s="333"/>
      <c r="AM1541" s="338"/>
      <c r="AN1541" s="333"/>
      <c r="AO1541" s="333"/>
      <c r="AP1541" s="333"/>
      <c r="AQ1541" s="333"/>
      <c r="AR1541" s="333"/>
      <c r="AS1541" s="333"/>
      <c r="AT1541" s="333"/>
      <c r="AU1541" s="329"/>
      <c r="AV1541" s="341"/>
      <c r="AW1541" s="269" t="s">
        <v>2421</v>
      </c>
      <c r="AX1541" s="334" t="s">
        <v>2869</v>
      </c>
      <c r="AY1541" s="270" t="s">
        <v>695</v>
      </c>
      <c r="AZ1541" s="173" t="s">
        <v>5516</v>
      </c>
      <c r="BA1541" s="265">
        <v>10.0</v>
      </c>
      <c r="BB1541" s="174" t="s">
        <v>245</v>
      </c>
      <c r="BC1541" s="341"/>
      <c r="BD1541" s="308"/>
      <c r="BE1541" s="342"/>
      <c r="BF1541" s="274" t="str">
        <f>IFERROR(__xludf.DUMMYFUNCTION("LOWER(Regexreplace(to_text(E1541),""[^A-Za-z0-9]"","""")&amp;""_""&amp;Regexreplace(to_text(F1541),""[^A-Za-z0-9]"",""""))"),"neptronic_evcbseries")</f>
        <v>neptronic_evcbseries</v>
      </c>
      <c r="BG1541" s="275" t="str">
        <f>IFERROR(__xludf.DUMMYFUNCTION("upper(Regexreplace(to_text(E1541),""[^A-Za-z0-9]"","""")&amp;""-""&amp;Regexreplace(to_text(F1541),""[^A-Za-z0-9]"",""""))"),"NEPTRONIC-EVCBSERIES")</f>
        <v>NEPTRONIC-EVCBSERIES</v>
      </c>
    </row>
    <row r="1542" ht="30.0" customHeight="1">
      <c r="A1542" s="258">
        <v>1534.0</v>
      </c>
      <c r="B1542" s="328" t="s">
        <v>670</v>
      </c>
      <c r="C1542" s="257" t="s">
        <v>6113</v>
      </c>
      <c r="D1542" s="173" t="s">
        <v>6113</v>
      </c>
      <c r="E1542" s="174" t="s">
        <v>2861</v>
      </c>
      <c r="F1542" s="173" t="s">
        <v>2862</v>
      </c>
      <c r="G1542" s="328" t="s">
        <v>673</v>
      </c>
      <c r="H1542" s="328" t="s">
        <v>2863</v>
      </c>
      <c r="I1542" s="258" t="s">
        <v>2864</v>
      </c>
      <c r="J1542" s="259" t="s">
        <v>1211</v>
      </c>
      <c r="K1542" s="260" t="s">
        <v>6114</v>
      </c>
      <c r="L1542" s="359"/>
      <c r="M1542" s="359"/>
      <c r="N1542" s="173" t="s">
        <v>679</v>
      </c>
      <c r="O1542" s="173" t="s">
        <v>225</v>
      </c>
      <c r="P1542" s="262" t="str">
        <f t="shared" si="1"/>
        <v>IN-BLR-ANANTA-VAV-1114_7</v>
      </c>
      <c r="Q1542" s="173" t="s">
        <v>6115</v>
      </c>
      <c r="R1542" s="328" t="str">
        <f>IFS(C1542="","",C1542="n/a","N/A",LEN(C1542),Concatenate("{",char(34),"asset",char(34),":{",char(34),"guid",char(34),":",char(34),Q1542,char(34),",",char(34),"site",char(34),":",char(34),LOWER('2-Building'!$B$4),char(34),",",char(34),"name",char(34),":",char(34),LOWER(C1542),char(34),"}}"))</f>
        <v>{"asset":{"guid":"uuid://bdaf0618-b10e-469c-a520-4412a03b42bf","site":"in-blr-ananta","name":"vav-1114"}}</v>
      </c>
      <c r="S1542" s="360" t="s">
        <v>5516</v>
      </c>
      <c r="T1542" s="330"/>
      <c r="U1542" s="330"/>
      <c r="V1542" s="331"/>
      <c r="W1542" s="332"/>
      <c r="X1542" s="333"/>
      <c r="Y1542" s="33" t="s">
        <v>2867</v>
      </c>
      <c r="Z1542" s="258">
        <v>121114.0</v>
      </c>
      <c r="AA1542" s="334">
        <v>11630.0</v>
      </c>
      <c r="AB1542" s="333"/>
      <c r="AC1542" s="333"/>
      <c r="AD1542" s="329"/>
      <c r="AE1542" s="331"/>
      <c r="AF1542" s="336"/>
      <c r="AG1542" s="337"/>
      <c r="AH1542" s="333"/>
      <c r="AI1542" s="333"/>
      <c r="AJ1542" s="333"/>
      <c r="AK1542" s="333"/>
      <c r="AL1542" s="333"/>
      <c r="AM1542" s="338"/>
      <c r="AN1542" s="333"/>
      <c r="AO1542" s="333"/>
      <c r="AP1542" s="333"/>
      <c r="AQ1542" s="333"/>
      <c r="AR1542" s="333"/>
      <c r="AS1542" s="333"/>
      <c r="AT1542" s="333"/>
      <c r="AU1542" s="329"/>
      <c r="AV1542" s="341"/>
      <c r="AW1542" s="269" t="s">
        <v>2421</v>
      </c>
      <c r="AX1542" s="334" t="s">
        <v>2869</v>
      </c>
      <c r="AY1542" s="270" t="s">
        <v>695</v>
      </c>
      <c r="AZ1542" s="173" t="s">
        <v>5516</v>
      </c>
      <c r="BA1542" s="265">
        <v>10.0</v>
      </c>
      <c r="BB1542" s="174" t="s">
        <v>245</v>
      </c>
      <c r="BC1542" s="341"/>
      <c r="BD1542" s="308"/>
      <c r="BE1542" s="342"/>
      <c r="BF1542" s="274" t="str">
        <f>IFERROR(__xludf.DUMMYFUNCTION("LOWER(Regexreplace(to_text(E1542),""[^A-Za-z0-9]"","""")&amp;""_""&amp;Regexreplace(to_text(F1542),""[^A-Za-z0-9]"",""""))"),"neptronic_evcbseries")</f>
        <v>neptronic_evcbseries</v>
      </c>
      <c r="BG1542" s="275" t="str">
        <f>IFERROR(__xludf.DUMMYFUNCTION("upper(Regexreplace(to_text(E1542),""[^A-Za-z0-9]"","""")&amp;""-""&amp;Regexreplace(to_text(F1542),""[^A-Za-z0-9]"",""""))"),"NEPTRONIC-EVCBSERIES")</f>
        <v>NEPTRONIC-EVCBSERIES</v>
      </c>
    </row>
    <row r="1543" ht="30.0" customHeight="1">
      <c r="A1543" s="173">
        <v>1535.0</v>
      </c>
      <c r="B1543" s="328" t="s">
        <v>670</v>
      </c>
      <c r="C1543" s="257" t="s">
        <v>6116</v>
      </c>
      <c r="D1543" s="173" t="s">
        <v>6116</v>
      </c>
      <c r="E1543" s="174" t="s">
        <v>2861</v>
      </c>
      <c r="F1543" s="173" t="s">
        <v>2862</v>
      </c>
      <c r="G1543" s="328" t="s">
        <v>673</v>
      </c>
      <c r="H1543" s="328" t="s">
        <v>2863</v>
      </c>
      <c r="I1543" s="258" t="s">
        <v>2864</v>
      </c>
      <c r="J1543" s="259" t="s">
        <v>1211</v>
      </c>
      <c r="K1543" s="260" t="s">
        <v>6108</v>
      </c>
      <c r="L1543" s="359"/>
      <c r="M1543" s="359"/>
      <c r="N1543" s="173" t="s">
        <v>679</v>
      </c>
      <c r="O1543" s="173" t="s">
        <v>225</v>
      </c>
      <c r="P1543" s="262" t="str">
        <f t="shared" si="1"/>
        <v>IN-BLR-ANANTA-VAV-1115_7</v>
      </c>
      <c r="Q1543" s="173" t="s">
        <v>6117</v>
      </c>
      <c r="R1543" s="328" t="str">
        <f>IFS(C1543="","",C1543="n/a","N/A",LEN(C1543),Concatenate("{",char(34),"asset",char(34),":{",char(34),"guid",char(34),":",char(34),Q1543,char(34),",",char(34),"site",char(34),":",char(34),LOWER('2-Building'!$B$4),char(34),",",char(34),"name",char(34),":",char(34),LOWER(C1543),char(34),"}}"))</f>
        <v>{"asset":{"guid":"uuid://7de44d13-3064-4799-bdb5-31c19c1ce3ba","site":"in-blr-ananta","name":"vav-1115"}}</v>
      </c>
      <c r="S1543" s="360" t="s">
        <v>5516</v>
      </c>
      <c r="T1543" s="330"/>
      <c r="U1543" s="330"/>
      <c r="V1543" s="331"/>
      <c r="W1543" s="332"/>
      <c r="X1543" s="333"/>
      <c r="Y1543" s="33" t="s">
        <v>2867</v>
      </c>
      <c r="Z1543" s="258">
        <v>121115.0</v>
      </c>
      <c r="AA1543" s="334">
        <v>11630.0</v>
      </c>
      <c r="AB1543" s="333"/>
      <c r="AC1543" s="333"/>
      <c r="AD1543" s="329"/>
      <c r="AE1543" s="331"/>
      <c r="AF1543" s="336"/>
      <c r="AG1543" s="337"/>
      <c r="AH1543" s="333"/>
      <c r="AI1543" s="333"/>
      <c r="AJ1543" s="333"/>
      <c r="AK1543" s="333"/>
      <c r="AL1543" s="333"/>
      <c r="AM1543" s="338"/>
      <c r="AN1543" s="333"/>
      <c r="AO1543" s="333"/>
      <c r="AP1543" s="333"/>
      <c r="AQ1543" s="333"/>
      <c r="AR1543" s="333"/>
      <c r="AS1543" s="333"/>
      <c r="AT1543" s="333"/>
      <c r="AU1543" s="329"/>
      <c r="AV1543" s="341"/>
      <c r="AW1543" s="269" t="s">
        <v>2421</v>
      </c>
      <c r="AX1543" s="334" t="s">
        <v>2869</v>
      </c>
      <c r="AY1543" s="270" t="s">
        <v>695</v>
      </c>
      <c r="AZ1543" s="173" t="s">
        <v>5516</v>
      </c>
      <c r="BA1543" s="265">
        <v>10.0</v>
      </c>
      <c r="BB1543" s="174" t="s">
        <v>245</v>
      </c>
      <c r="BC1543" s="341"/>
      <c r="BD1543" s="308"/>
      <c r="BE1543" s="342"/>
      <c r="BF1543" s="274" t="str">
        <f>IFERROR(__xludf.DUMMYFUNCTION("LOWER(Regexreplace(to_text(E1543),""[^A-Za-z0-9]"","""")&amp;""_""&amp;Regexreplace(to_text(F1543),""[^A-Za-z0-9]"",""""))"),"neptronic_evcbseries")</f>
        <v>neptronic_evcbseries</v>
      </c>
      <c r="BG1543" s="275" t="str">
        <f>IFERROR(__xludf.DUMMYFUNCTION("upper(Regexreplace(to_text(E1543),""[^A-Za-z0-9]"","""")&amp;""-""&amp;Regexreplace(to_text(F1543),""[^A-Za-z0-9]"",""""))"),"NEPTRONIC-EVCBSERIES")</f>
        <v>NEPTRONIC-EVCBSERIES</v>
      </c>
    </row>
    <row r="1544" ht="30.0" customHeight="1">
      <c r="A1544" s="258">
        <v>1536.0</v>
      </c>
      <c r="B1544" s="328" t="s">
        <v>670</v>
      </c>
      <c r="C1544" s="257" t="s">
        <v>6118</v>
      </c>
      <c r="D1544" s="173" t="s">
        <v>6118</v>
      </c>
      <c r="E1544" s="174" t="s">
        <v>2861</v>
      </c>
      <c r="F1544" s="173" t="s">
        <v>2862</v>
      </c>
      <c r="G1544" s="328" t="s">
        <v>673</v>
      </c>
      <c r="H1544" s="328" t="s">
        <v>2863</v>
      </c>
      <c r="I1544" s="258" t="s">
        <v>2864</v>
      </c>
      <c r="J1544" s="259" t="s">
        <v>1211</v>
      </c>
      <c r="K1544" s="260" t="s">
        <v>6108</v>
      </c>
      <c r="L1544" s="359"/>
      <c r="M1544" s="359"/>
      <c r="N1544" s="173" t="s">
        <v>679</v>
      </c>
      <c r="O1544" s="173" t="s">
        <v>225</v>
      </c>
      <c r="P1544" s="262" t="str">
        <f t="shared" si="1"/>
        <v>IN-BLR-ANANTA-VAV-1116_7</v>
      </c>
      <c r="Q1544" s="173" t="s">
        <v>6119</v>
      </c>
      <c r="R1544" s="328" t="str">
        <f>IFS(C1544="","",C1544="n/a","N/A",LEN(C1544),Concatenate("{",char(34),"asset",char(34),":{",char(34),"guid",char(34),":",char(34),Q1544,char(34),",",char(34),"site",char(34),":",char(34),LOWER('2-Building'!$B$4),char(34),",",char(34),"name",char(34),":",char(34),LOWER(C1544),char(34),"}}"))</f>
        <v>{"asset":{"guid":"uuid://eeb6fdd5-df98-44e1-948a-79cde5d0aff7","site":"in-blr-ananta","name":"vav-1116"}}</v>
      </c>
      <c r="S1544" s="360" t="s">
        <v>5516</v>
      </c>
      <c r="T1544" s="330"/>
      <c r="U1544" s="330"/>
      <c r="V1544" s="331"/>
      <c r="W1544" s="332"/>
      <c r="X1544" s="333"/>
      <c r="Y1544" s="33" t="s">
        <v>2867</v>
      </c>
      <c r="Z1544" s="258">
        <v>121116.0</v>
      </c>
      <c r="AA1544" s="334">
        <v>11630.0</v>
      </c>
      <c r="AB1544" s="333"/>
      <c r="AC1544" s="333"/>
      <c r="AD1544" s="329"/>
      <c r="AE1544" s="331"/>
      <c r="AF1544" s="336"/>
      <c r="AG1544" s="337"/>
      <c r="AH1544" s="333"/>
      <c r="AI1544" s="333"/>
      <c r="AJ1544" s="333"/>
      <c r="AK1544" s="333"/>
      <c r="AL1544" s="333"/>
      <c r="AM1544" s="338"/>
      <c r="AN1544" s="333"/>
      <c r="AO1544" s="333"/>
      <c r="AP1544" s="333"/>
      <c r="AQ1544" s="333"/>
      <c r="AR1544" s="333"/>
      <c r="AS1544" s="333"/>
      <c r="AT1544" s="333"/>
      <c r="AU1544" s="329"/>
      <c r="AV1544" s="341"/>
      <c r="AW1544" s="269" t="s">
        <v>2421</v>
      </c>
      <c r="AX1544" s="334" t="s">
        <v>2869</v>
      </c>
      <c r="AY1544" s="270" t="s">
        <v>695</v>
      </c>
      <c r="AZ1544" s="173" t="s">
        <v>5516</v>
      </c>
      <c r="BA1544" s="265">
        <v>10.0</v>
      </c>
      <c r="BB1544" s="174" t="s">
        <v>245</v>
      </c>
      <c r="BC1544" s="341"/>
      <c r="BD1544" s="308"/>
      <c r="BE1544" s="342"/>
      <c r="BF1544" s="274" t="str">
        <f>IFERROR(__xludf.DUMMYFUNCTION("LOWER(Regexreplace(to_text(E1544),""[^A-Za-z0-9]"","""")&amp;""_""&amp;Regexreplace(to_text(F1544),""[^A-Za-z0-9]"",""""))"),"neptronic_evcbseries")</f>
        <v>neptronic_evcbseries</v>
      </c>
      <c r="BG1544" s="275" t="str">
        <f>IFERROR(__xludf.DUMMYFUNCTION("upper(Regexreplace(to_text(E1544),""[^A-Za-z0-9]"","""")&amp;""-""&amp;Regexreplace(to_text(F1544),""[^A-Za-z0-9]"",""""))"),"NEPTRONIC-EVCBSERIES")</f>
        <v>NEPTRONIC-EVCBSERIES</v>
      </c>
    </row>
    <row r="1545" ht="30.0" customHeight="1">
      <c r="A1545" s="173">
        <v>1537.0</v>
      </c>
      <c r="B1545" s="328" t="s">
        <v>670</v>
      </c>
      <c r="C1545" s="257" t="s">
        <v>6120</v>
      </c>
      <c r="D1545" s="173" t="s">
        <v>6120</v>
      </c>
      <c r="E1545" s="174" t="s">
        <v>2861</v>
      </c>
      <c r="F1545" s="173" t="s">
        <v>2862</v>
      </c>
      <c r="G1545" s="328" t="s">
        <v>673</v>
      </c>
      <c r="H1545" s="328" t="s">
        <v>2863</v>
      </c>
      <c r="I1545" s="258" t="s">
        <v>2864</v>
      </c>
      <c r="J1545" s="259" t="s">
        <v>1211</v>
      </c>
      <c r="K1545" s="260" t="s">
        <v>6121</v>
      </c>
      <c r="L1545" s="359"/>
      <c r="M1545" s="359"/>
      <c r="N1545" s="173" t="s">
        <v>679</v>
      </c>
      <c r="O1545" s="173" t="s">
        <v>225</v>
      </c>
      <c r="P1545" s="262" t="str">
        <f t="shared" si="1"/>
        <v>IN-BLR-ANANTA-VAV-1117_7</v>
      </c>
      <c r="Q1545" s="173" t="s">
        <v>6122</v>
      </c>
      <c r="R1545" s="328" t="str">
        <f>IFS(C1545="","",C1545="n/a","N/A",LEN(C1545),Concatenate("{",char(34),"asset",char(34),":{",char(34),"guid",char(34),":",char(34),Q1545,char(34),",",char(34),"site",char(34),":",char(34),LOWER('2-Building'!$B$4),char(34),",",char(34),"name",char(34),":",char(34),LOWER(C1545),char(34),"}}"))</f>
        <v>{"asset":{"guid":"uuid://6731f70d-6ac8-44e4-9279-8ce45d96a37f","site":"in-blr-ananta","name":"vav-1117"}}</v>
      </c>
      <c r="S1545" s="360" t="s">
        <v>5516</v>
      </c>
      <c r="T1545" s="330"/>
      <c r="U1545" s="330"/>
      <c r="V1545" s="331"/>
      <c r="W1545" s="332"/>
      <c r="X1545" s="333"/>
      <c r="Y1545" s="33" t="s">
        <v>2867</v>
      </c>
      <c r="Z1545" s="258">
        <v>121117.0</v>
      </c>
      <c r="AA1545" s="334">
        <v>11630.0</v>
      </c>
      <c r="AB1545" s="333"/>
      <c r="AC1545" s="333"/>
      <c r="AD1545" s="329"/>
      <c r="AE1545" s="331"/>
      <c r="AF1545" s="336"/>
      <c r="AG1545" s="337"/>
      <c r="AH1545" s="333"/>
      <c r="AI1545" s="333"/>
      <c r="AJ1545" s="333"/>
      <c r="AK1545" s="333"/>
      <c r="AL1545" s="333"/>
      <c r="AM1545" s="338"/>
      <c r="AN1545" s="333"/>
      <c r="AO1545" s="333"/>
      <c r="AP1545" s="333"/>
      <c r="AQ1545" s="333"/>
      <c r="AR1545" s="333"/>
      <c r="AS1545" s="333"/>
      <c r="AT1545" s="333"/>
      <c r="AU1545" s="329"/>
      <c r="AV1545" s="341"/>
      <c r="AW1545" s="269" t="s">
        <v>2421</v>
      </c>
      <c r="AX1545" s="334" t="s">
        <v>2869</v>
      </c>
      <c r="AY1545" s="270" t="s">
        <v>695</v>
      </c>
      <c r="AZ1545" s="173" t="s">
        <v>5516</v>
      </c>
      <c r="BA1545" s="265">
        <v>10.0</v>
      </c>
      <c r="BB1545" s="174" t="s">
        <v>245</v>
      </c>
      <c r="BC1545" s="341"/>
      <c r="BD1545" s="308"/>
      <c r="BE1545" s="342"/>
      <c r="BF1545" s="274" t="str">
        <f>IFERROR(__xludf.DUMMYFUNCTION("LOWER(Regexreplace(to_text(E1545),""[^A-Za-z0-9]"","""")&amp;""_""&amp;Regexreplace(to_text(F1545),""[^A-Za-z0-9]"",""""))"),"neptronic_evcbseries")</f>
        <v>neptronic_evcbseries</v>
      </c>
      <c r="BG1545" s="275" t="str">
        <f>IFERROR(__xludf.DUMMYFUNCTION("upper(Regexreplace(to_text(E1545),""[^A-Za-z0-9]"","""")&amp;""-""&amp;Regexreplace(to_text(F1545),""[^A-Za-z0-9]"",""""))"),"NEPTRONIC-EVCBSERIES")</f>
        <v>NEPTRONIC-EVCBSERIES</v>
      </c>
    </row>
    <row r="1546" ht="30.0" customHeight="1">
      <c r="A1546" s="258">
        <v>1538.0</v>
      </c>
      <c r="B1546" s="328" t="s">
        <v>670</v>
      </c>
      <c r="C1546" s="257" t="s">
        <v>6123</v>
      </c>
      <c r="D1546" s="173" t="s">
        <v>6123</v>
      </c>
      <c r="E1546" s="174" t="s">
        <v>2861</v>
      </c>
      <c r="F1546" s="173" t="s">
        <v>2862</v>
      </c>
      <c r="G1546" s="328" t="s">
        <v>673</v>
      </c>
      <c r="H1546" s="328" t="s">
        <v>2863</v>
      </c>
      <c r="I1546" s="258" t="s">
        <v>2864</v>
      </c>
      <c r="J1546" s="259" t="s">
        <v>1211</v>
      </c>
      <c r="K1546" s="260" t="s">
        <v>6124</v>
      </c>
      <c r="L1546" s="359"/>
      <c r="M1546" s="359"/>
      <c r="N1546" s="173" t="s">
        <v>679</v>
      </c>
      <c r="O1546" s="173" t="s">
        <v>225</v>
      </c>
      <c r="P1546" s="262" t="str">
        <f t="shared" si="1"/>
        <v>IN-BLR-ANANTA-VAV-1118_7</v>
      </c>
      <c r="Q1546" s="173" t="s">
        <v>6125</v>
      </c>
      <c r="R1546" s="328" t="str">
        <f>IFS(C1546="","",C1546="n/a","N/A",LEN(C1546),Concatenate("{",char(34),"asset",char(34),":{",char(34),"guid",char(34),":",char(34),Q1546,char(34),",",char(34),"site",char(34),":",char(34),LOWER('2-Building'!$B$4),char(34),",",char(34),"name",char(34),":",char(34),LOWER(C1546),char(34),"}}"))</f>
        <v>{"asset":{"guid":"uuid://014cce00-d009-4dd0-8f39-e4f1d33d323c","site":"in-blr-ananta","name":"vav-1118"}}</v>
      </c>
      <c r="S1546" s="360" t="s">
        <v>5516</v>
      </c>
      <c r="T1546" s="330"/>
      <c r="U1546" s="330"/>
      <c r="V1546" s="331"/>
      <c r="W1546" s="332"/>
      <c r="X1546" s="333"/>
      <c r="Y1546" s="33" t="s">
        <v>2867</v>
      </c>
      <c r="Z1546" s="258">
        <v>121118.0</v>
      </c>
      <c r="AA1546" s="334">
        <v>11630.0</v>
      </c>
      <c r="AB1546" s="333"/>
      <c r="AC1546" s="333"/>
      <c r="AD1546" s="329"/>
      <c r="AE1546" s="331"/>
      <c r="AF1546" s="336"/>
      <c r="AG1546" s="337"/>
      <c r="AH1546" s="333"/>
      <c r="AI1546" s="333"/>
      <c r="AJ1546" s="333"/>
      <c r="AK1546" s="333"/>
      <c r="AL1546" s="333"/>
      <c r="AM1546" s="338"/>
      <c r="AN1546" s="333"/>
      <c r="AO1546" s="333"/>
      <c r="AP1546" s="333"/>
      <c r="AQ1546" s="333"/>
      <c r="AR1546" s="333"/>
      <c r="AS1546" s="333"/>
      <c r="AT1546" s="333"/>
      <c r="AU1546" s="329"/>
      <c r="AV1546" s="341"/>
      <c r="AW1546" s="269" t="s">
        <v>2421</v>
      </c>
      <c r="AX1546" s="334" t="s">
        <v>2869</v>
      </c>
      <c r="AY1546" s="270" t="s">
        <v>695</v>
      </c>
      <c r="AZ1546" s="173" t="s">
        <v>5516</v>
      </c>
      <c r="BA1546" s="265">
        <v>10.0</v>
      </c>
      <c r="BB1546" s="174" t="s">
        <v>245</v>
      </c>
      <c r="BC1546" s="341"/>
      <c r="BD1546" s="308"/>
      <c r="BE1546" s="342"/>
      <c r="BF1546" s="274" t="str">
        <f>IFERROR(__xludf.DUMMYFUNCTION("LOWER(Regexreplace(to_text(E1546),""[^A-Za-z0-9]"","""")&amp;""_""&amp;Regexreplace(to_text(F1546),""[^A-Za-z0-9]"",""""))"),"neptronic_evcbseries")</f>
        <v>neptronic_evcbseries</v>
      </c>
      <c r="BG1546" s="275" t="str">
        <f>IFERROR(__xludf.DUMMYFUNCTION("upper(Regexreplace(to_text(E1546),""[^A-Za-z0-9]"","""")&amp;""-""&amp;Regexreplace(to_text(F1546),""[^A-Za-z0-9]"",""""))"),"NEPTRONIC-EVCBSERIES")</f>
        <v>NEPTRONIC-EVCBSERIES</v>
      </c>
    </row>
    <row r="1547" ht="30.0" customHeight="1">
      <c r="A1547" s="173">
        <v>1539.0</v>
      </c>
      <c r="B1547" s="328" t="s">
        <v>670</v>
      </c>
      <c r="C1547" s="257" t="s">
        <v>6126</v>
      </c>
      <c r="D1547" s="173" t="s">
        <v>6126</v>
      </c>
      <c r="E1547" s="174" t="s">
        <v>2861</v>
      </c>
      <c r="F1547" s="173" t="s">
        <v>2862</v>
      </c>
      <c r="G1547" s="328" t="s">
        <v>673</v>
      </c>
      <c r="H1547" s="328" t="s">
        <v>2863</v>
      </c>
      <c r="I1547" s="258" t="s">
        <v>2864</v>
      </c>
      <c r="J1547" s="259" t="s">
        <v>1211</v>
      </c>
      <c r="K1547" s="260" t="s">
        <v>6127</v>
      </c>
      <c r="L1547" s="359"/>
      <c r="M1547" s="359"/>
      <c r="N1547" s="173" t="s">
        <v>679</v>
      </c>
      <c r="O1547" s="173" t="s">
        <v>225</v>
      </c>
      <c r="P1547" s="262" t="str">
        <f t="shared" si="1"/>
        <v>IN-BLR-ANANTA-VAV-1119_7</v>
      </c>
      <c r="Q1547" s="173" t="s">
        <v>6128</v>
      </c>
      <c r="R1547" s="328" t="str">
        <f>IFS(C1547="","",C1547="n/a","N/A",LEN(C1547),Concatenate("{",char(34),"asset",char(34),":{",char(34),"guid",char(34),":",char(34),Q1547,char(34),",",char(34),"site",char(34),":",char(34),LOWER('2-Building'!$B$4),char(34),",",char(34),"name",char(34),":",char(34),LOWER(C1547),char(34),"}}"))</f>
        <v>{"asset":{"guid":"uuid://c2710310-d672-466f-bb1a-059508b3e2a6","site":"in-blr-ananta","name":"vav-1119"}}</v>
      </c>
      <c r="S1547" s="360" t="s">
        <v>5516</v>
      </c>
      <c r="T1547" s="330"/>
      <c r="U1547" s="330"/>
      <c r="V1547" s="331"/>
      <c r="W1547" s="332"/>
      <c r="X1547" s="333"/>
      <c r="Y1547" s="33" t="s">
        <v>2867</v>
      </c>
      <c r="Z1547" s="258">
        <v>121119.0</v>
      </c>
      <c r="AA1547" s="334">
        <v>11630.0</v>
      </c>
      <c r="AB1547" s="333"/>
      <c r="AC1547" s="333"/>
      <c r="AD1547" s="329"/>
      <c r="AE1547" s="331"/>
      <c r="AF1547" s="336"/>
      <c r="AG1547" s="337"/>
      <c r="AH1547" s="333"/>
      <c r="AI1547" s="333"/>
      <c r="AJ1547" s="333"/>
      <c r="AK1547" s="333"/>
      <c r="AL1547" s="333"/>
      <c r="AM1547" s="338"/>
      <c r="AN1547" s="333"/>
      <c r="AO1547" s="333"/>
      <c r="AP1547" s="333"/>
      <c r="AQ1547" s="333"/>
      <c r="AR1547" s="333"/>
      <c r="AS1547" s="333"/>
      <c r="AT1547" s="333"/>
      <c r="AU1547" s="329"/>
      <c r="AV1547" s="341"/>
      <c r="AW1547" s="269" t="s">
        <v>2421</v>
      </c>
      <c r="AX1547" s="334" t="s">
        <v>2869</v>
      </c>
      <c r="AY1547" s="270" t="s">
        <v>695</v>
      </c>
      <c r="AZ1547" s="173" t="s">
        <v>5516</v>
      </c>
      <c r="BA1547" s="265">
        <v>10.0</v>
      </c>
      <c r="BB1547" s="174" t="s">
        <v>245</v>
      </c>
      <c r="BC1547" s="341"/>
      <c r="BD1547" s="308"/>
      <c r="BE1547" s="342"/>
      <c r="BF1547" s="274" t="str">
        <f>IFERROR(__xludf.DUMMYFUNCTION("LOWER(Regexreplace(to_text(E1547),""[^A-Za-z0-9]"","""")&amp;""_""&amp;Regexreplace(to_text(F1547),""[^A-Za-z0-9]"",""""))"),"neptronic_evcbseries")</f>
        <v>neptronic_evcbseries</v>
      </c>
      <c r="BG1547" s="275" t="str">
        <f>IFERROR(__xludf.DUMMYFUNCTION("upper(Regexreplace(to_text(E1547),""[^A-Za-z0-9]"","""")&amp;""-""&amp;Regexreplace(to_text(F1547),""[^A-Za-z0-9]"",""""))"),"NEPTRONIC-EVCBSERIES")</f>
        <v>NEPTRONIC-EVCBSERIES</v>
      </c>
    </row>
    <row r="1548" ht="30.0" customHeight="1">
      <c r="A1548" s="258">
        <v>1540.0</v>
      </c>
      <c r="B1548" s="328" t="s">
        <v>670</v>
      </c>
      <c r="C1548" s="257" t="s">
        <v>6129</v>
      </c>
      <c r="D1548" s="173" t="s">
        <v>6129</v>
      </c>
      <c r="E1548" s="174" t="s">
        <v>2861</v>
      </c>
      <c r="F1548" s="173" t="s">
        <v>2862</v>
      </c>
      <c r="G1548" s="328" t="s">
        <v>673</v>
      </c>
      <c r="H1548" s="328" t="s">
        <v>2863</v>
      </c>
      <c r="I1548" s="258" t="s">
        <v>2864</v>
      </c>
      <c r="J1548" s="259" t="s">
        <v>1211</v>
      </c>
      <c r="K1548" s="260" t="s">
        <v>6124</v>
      </c>
      <c r="L1548" s="359"/>
      <c r="M1548" s="359"/>
      <c r="N1548" s="173" t="s">
        <v>679</v>
      </c>
      <c r="O1548" s="173" t="s">
        <v>225</v>
      </c>
      <c r="P1548" s="262" t="str">
        <f t="shared" si="1"/>
        <v>IN-BLR-ANANTA-VAV-1120_7</v>
      </c>
      <c r="Q1548" s="173" t="s">
        <v>6130</v>
      </c>
      <c r="R1548" s="328" t="str">
        <f>IFS(C1548="","",C1548="n/a","N/A",LEN(C1548),Concatenate("{",char(34),"asset",char(34),":{",char(34),"guid",char(34),":",char(34),Q1548,char(34),",",char(34),"site",char(34),":",char(34),LOWER('2-Building'!$B$4),char(34),",",char(34),"name",char(34),":",char(34),LOWER(C1548),char(34),"}}"))</f>
        <v>{"asset":{"guid":"uuid://314bc689-9c66-470f-9777-133589fa3be1","site":"in-blr-ananta","name":"vav-1120"}}</v>
      </c>
      <c r="S1548" s="360" t="s">
        <v>5516</v>
      </c>
      <c r="T1548" s="330"/>
      <c r="U1548" s="330"/>
      <c r="V1548" s="331"/>
      <c r="W1548" s="332"/>
      <c r="X1548" s="333"/>
      <c r="Y1548" s="33" t="s">
        <v>2867</v>
      </c>
      <c r="Z1548" s="258">
        <v>121120.0</v>
      </c>
      <c r="AA1548" s="334">
        <v>11630.0</v>
      </c>
      <c r="AB1548" s="333"/>
      <c r="AC1548" s="333"/>
      <c r="AD1548" s="329"/>
      <c r="AE1548" s="331"/>
      <c r="AF1548" s="336"/>
      <c r="AG1548" s="337"/>
      <c r="AH1548" s="333"/>
      <c r="AI1548" s="333"/>
      <c r="AJ1548" s="333"/>
      <c r="AK1548" s="333"/>
      <c r="AL1548" s="333"/>
      <c r="AM1548" s="338"/>
      <c r="AN1548" s="333"/>
      <c r="AO1548" s="333"/>
      <c r="AP1548" s="333"/>
      <c r="AQ1548" s="333"/>
      <c r="AR1548" s="333"/>
      <c r="AS1548" s="333"/>
      <c r="AT1548" s="333"/>
      <c r="AU1548" s="329"/>
      <c r="AV1548" s="341"/>
      <c r="AW1548" s="269" t="s">
        <v>2421</v>
      </c>
      <c r="AX1548" s="334" t="s">
        <v>2869</v>
      </c>
      <c r="AY1548" s="270" t="s">
        <v>695</v>
      </c>
      <c r="AZ1548" s="173" t="s">
        <v>5516</v>
      </c>
      <c r="BA1548" s="265">
        <v>10.0</v>
      </c>
      <c r="BB1548" s="174" t="s">
        <v>245</v>
      </c>
      <c r="BC1548" s="341"/>
      <c r="BD1548" s="308"/>
      <c r="BE1548" s="342"/>
      <c r="BF1548" s="274" t="str">
        <f>IFERROR(__xludf.DUMMYFUNCTION("LOWER(Regexreplace(to_text(E1548),""[^A-Za-z0-9]"","""")&amp;""_""&amp;Regexreplace(to_text(F1548),""[^A-Za-z0-9]"",""""))"),"neptronic_evcbseries")</f>
        <v>neptronic_evcbseries</v>
      </c>
      <c r="BG1548" s="275" t="str">
        <f>IFERROR(__xludf.DUMMYFUNCTION("upper(Regexreplace(to_text(E1548),""[^A-Za-z0-9]"","""")&amp;""-""&amp;Regexreplace(to_text(F1548),""[^A-Za-z0-9]"",""""))"),"NEPTRONIC-EVCBSERIES")</f>
        <v>NEPTRONIC-EVCBSERIES</v>
      </c>
    </row>
    <row r="1549" ht="30.0" customHeight="1">
      <c r="A1549" s="173">
        <v>1541.0</v>
      </c>
      <c r="B1549" s="328" t="s">
        <v>670</v>
      </c>
      <c r="C1549" s="257" t="s">
        <v>6131</v>
      </c>
      <c r="D1549" s="173" t="s">
        <v>6131</v>
      </c>
      <c r="E1549" s="174" t="s">
        <v>2861</v>
      </c>
      <c r="F1549" s="173" t="s">
        <v>2862</v>
      </c>
      <c r="G1549" s="328" t="s">
        <v>673</v>
      </c>
      <c r="H1549" s="328" t="s">
        <v>2863</v>
      </c>
      <c r="I1549" s="258" t="s">
        <v>2864</v>
      </c>
      <c r="J1549" s="259" t="s">
        <v>1211</v>
      </c>
      <c r="K1549" s="260" t="s">
        <v>6132</v>
      </c>
      <c r="L1549" s="359"/>
      <c r="M1549" s="359"/>
      <c r="N1549" s="173" t="s">
        <v>679</v>
      </c>
      <c r="O1549" s="173" t="s">
        <v>225</v>
      </c>
      <c r="P1549" s="262" t="str">
        <f t="shared" si="1"/>
        <v>IN-BLR-ANANTA-VAV-1121_7</v>
      </c>
      <c r="Q1549" s="173" t="s">
        <v>6133</v>
      </c>
      <c r="R1549" s="328" t="str">
        <f>IFS(C1549="","",C1549="n/a","N/A",LEN(C1549),Concatenate("{",char(34),"asset",char(34),":{",char(34),"guid",char(34),":",char(34),Q1549,char(34),",",char(34),"site",char(34),":",char(34),LOWER('2-Building'!$B$4),char(34),",",char(34),"name",char(34),":",char(34),LOWER(C1549),char(34),"}}"))</f>
        <v>{"asset":{"guid":"uuid://68957b93-ca14-4e33-acda-7c9bc9689a54","site":"in-blr-ananta","name":"vav-1121"}}</v>
      </c>
      <c r="S1549" s="360" t="s">
        <v>5516</v>
      </c>
      <c r="T1549" s="330"/>
      <c r="U1549" s="330"/>
      <c r="V1549" s="331"/>
      <c r="W1549" s="332"/>
      <c r="X1549" s="333"/>
      <c r="Y1549" s="33" t="s">
        <v>2867</v>
      </c>
      <c r="Z1549" s="258">
        <v>121121.0</v>
      </c>
      <c r="AA1549" s="334">
        <v>11630.0</v>
      </c>
      <c r="AB1549" s="333"/>
      <c r="AC1549" s="333"/>
      <c r="AD1549" s="329"/>
      <c r="AE1549" s="331"/>
      <c r="AF1549" s="336"/>
      <c r="AG1549" s="337"/>
      <c r="AH1549" s="333"/>
      <c r="AI1549" s="333"/>
      <c r="AJ1549" s="333"/>
      <c r="AK1549" s="333"/>
      <c r="AL1549" s="333"/>
      <c r="AM1549" s="338"/>
      <c r="AN1549" s="333"/>
      <c r="AO1549" s="333"/>
      <c r="AP1549" s="333"/>
      <c r="AQ1549" s="333"/>
      <c r="AR1549" s="333"/>
      <c r="AS1549" s="333"/>
      <c r="AT1549" s="333"/>
      <c r="AU1549" s="329"/>
      <c r="AV1549" s="341"/>
      <c r="AW1549" s="269" t="s">
        <v>2421</v>
      </c>
      <c r="AX1549" s="334" t="s">
        <v>2869</v>
      </c>
      <c r="AY1549" s="270" t="s">
        <v>695</v>
      </c>
      <c r="AZ1549" s="173" t="s">
        <v>5516</v>
      </c>
      <c r="BA1549" s="265">
        <v>10.0</v>
      </c>
      <c r="BB1549" s="174" t="s">
        <v>245</v>
      </c>
      <c r="BC1549" s="341"/>
      <c r="BD1549" s="308"/>
      <c r="BE1549" s="342"/>
      <c r="BF1549" s="274" t="str">
        <f>IFERROR(__xludf.DUMMYFUNCTION("LOWER(Regexreplace(to_text(E1549),""[^A-Za-z0-9]"","""")&amp;""_""&amp;Regexreplace(to_text(F1549),""[^A-Za-z0-9]"",""""))"),"neptronic_evcbseries")</f>
        <v>neptronic_evcbseries</v>
      </c>
      <c r="BG1549" s="275" t="str">
        <f>IFERROR(__xludf.DUMMYFUNCTION("upper(Regexreplace(to_text(E1549),""[^A-Za-z0-9]"","""")&amp;""-""&amp;Regexreplace(to_text(F1549),""[^A-Za-z0-9]"",""""))"),"NEPTRONIC-EVCBSERIES")</f>
        <v>NEPTRONIC-EVCBSERIES</v>
      </c>
    </row>
    <row r="1550" ht="30.0" customHeight="1">
      <c r="A1550" s="258">
        <v>1542.0</v>
      </c>
      <c r="B1550" s="328" t="s">
        <v>670</v>
      </c>
      <c r="C1550" s="257" t="s">
        <v>6134</v>
      </c>
      <c r="D1550" s="173" t="s">
        <v>6134</v>
      </c>
      <c r="E1550" s="174" t="s">
        <v>2861</v>
      </c>
      <c r="F1550" s="173" t="s">
        <v>2862</v>
      </c>
      <c r="G1550" s="328" t="s">
        <v>673</v>
      </c>
      <c r="H1550" s="328" t="s">
        <v>2863</v>
      </c>
      <c r="I1550" s="258" t="s">
        <v>2864</v>
      </c>
      <c r="J1550" s="259" t="s">
        <v>1211</v>
      </c>
      <c r="K1550" s="260" t="s">
        <v>6135</v>
      </c>
      <c r="L1550" s="359"/>
      <c r="M1550" s="359"/>
      <c r="N1550" s="173" t="s">
        <v>679</v>
      </c>
      <c r="O1550" s="173" t="s">
        <v>225</v>
      </c>
      <c r="P1550" s="262" t="str">
        <f t="shared" si="1"/>
        <v>IN-BLR-ANANTA-VAV-1122_7</v>
      </c>
      <c r="Q1550" s="173" t="s">
        <v>6136</v>
      </c>
      <c r="R1550" s="328" t="str">
        <f>IFS(C1550="","",C1550="n/a","N/A",LEN(C1550),Concatenate("{",char(34),"asset",char(34),":{",char(34),"guid",char(34),":",char(34),Q1550,char(34),",",char(34),"site",char(34),":",char(34),LOWER('2-Building'!$B$4),char(34),",",char(34),"name",char(34),":",char(34),LOWER(C1550),char(34),"}}"))</f>
        <v>{"asset":{"guid":"uuid://a33e751d-5dd5-46f3-8f7e-c6b96a48182d","site":"in-blr-ananta","name":"vav-1122"}}</v>
      </c>
      <c r="S1550" s="360" t="s">
        <v>5516</v>
      </c>
      <c r="T1550" s="330"/>
      <c r="U1550" s="330"/>
      <c r="V1550" s="331"/>
      <c r="W1550" s="332"/>
      <c r="X1550" s="333"/>
      <c r="Y1550" s="33" t="s">
        <v>2867</v>
      </c>
      <c r="Z1550" s="258">
        <v>121122.0</v>
      </c>
      <c r="AA1550" s="334">
        <v>11630.0</v>
      </c>
      <c r="AB1550" s="333"/>
      <c r="AC1550" s="333"/>
      <c r="AD1550" s="329"/>
      <c r="AE1550" s="331"/>
      <c r="AF1550" s="336"/>
      <c r="AG1550" s="337"/>
      <c r="AH1550" s="333"/>
      <c r="AI1550" s="333"/>
      <c r="AJ1550" s="333"/>
      <c r="AK1550" s="333"/>
      <c r="AL1550" s="333"/>
      <c r="AM1550" s="338"/>
      <c r="AN1550" s="333"/>
      <c r="AO1550" s="333"/>
      <c r="AP1550" s="333"/>
      <c r="AQ1550" s="333"/>
      <c r="AR1550" s="333"/>
      <c r="AS1550" s="333"/>
      <c r="AT1550" s="333"/>
      <c r="AU1550" s="329"/>
      <c r="AV1550" s="341"/>
      <c r="AW1550" s="269" t="s">
        <v>2421</v>
      </c>
      <c r="AX1550" s="334" t="s">
        <v>2869</v>
      </c>
      <c r="AY1550" s="270" t="s">
        <v>695</v>
      </c>
      <c r="AZ1550" s="173" t="s">
        <v>5516</v>
      </c>
      <c r="BA1550" s="265">
        <v>10.0</v>
      </c>
      <c r="BB1550" s="174" t="s">
        <v>245</v>
      </c>
      <c r="BC1550" s="341"/>
      <c r="BD1550" s="308"/>
      <c r="BE1550" s="342"/>
      <c r="BF1550" s="274" t="str">
        <f>IFERROR(__xludf.DUMMYFUNCTION("LOWER(Regexreplace(to_text(E1550),""[^A-Za-z0-9]"","""")&amp;""_""&amp;Regexreplace(to_text(F1550),""[^A-Za-z0-9]"",""""))"),"neptronic_evcbseries")</f>
        <v>neptronic_evcbseries</v>
      </c>
      <c r="BG1550" s="275" t="str">
        <f>IFERROR(__xludf.DUMMYFUNCTION("upper(Regexreplace(to_text(E1550),""[^A-Za-z0-9]"","""")&amp;""-""&amp;Regexreplace(to_text(F1550),""[^A-Za-z0-9]"",""""))"),"NEPTRONIC-EVCBSERIES")</f>
        <v>NEPTRONIC-EVCBSERIES</v>
      </c>
    </row>
    <row r="1551" ht="30.0" customHeight="1">
      <c r="A1551" s="173">
        <v>1543.0</v>
      </c>
      <c r="B1551" s="328" t="s">
        <v>670</v>
      </c>
      <c r="C1551" s="257" t="s">
        <v>6137</v>
      </c>
      <c r="D1551" s="173" t="s">
        <v>6137</v>
      </c>
      <c r="E1551" s="174" t="s">
        <v>2861</v>
      </c>
      <c r="F1551" s="173" t="s">
        <v>2862</v>
      </c>
      <c r="G1551" s="328" t="s">
        <v>673</v>
      </c>
      <c r="H1551" s="328" t="s">
        <v>2863</v>
      </c>
      <c r="I1551" s="258" t="s">
        <v>2864</v>
      </c>
      <c r="J1551" s="259" t="s">
        <v>1211</v>
      </c>
      <c r="K1551" s="260" t="s">
        <v>6138</v>
      </c>
      <c r="L1551" s="359"/>
      <c r="M1551" s="359"/>
      <c r="N1551" s="173" t="s">
        <v>679</v>
      </c>
      <c r="O1551" s="173" t="s">
        <v>225</v>
      </c>
      <c r="P1551" s="262" t="str">
        <f t="shared" si="1"/>
        <v>IN-BLR-ANANTA-VAV-1123_7</v>
      </c>
      <c r="Q1551" s="173" t="s">
        <v>6139</v>
      </c>
      <c r="R1551" s="328" t="str">
        <f>IFS(C1551="","",C1551="n/a","N/A",LEN(C1551),Concatenate("{",char(34),"asset",char(34),":{",char(34),"guid",char(34),":",char(34),Q1551,char(34),",",char(34),"site",char(34),":",char(34),LOWER('2-Building'!$B$4),char(34),",",char(34),"name",char(34),":",char(34),LOWER(C1551),char(34),"}}"))</f>
        <v>{"asset":{"guid":"uuid://4e98552d-1a01-4e8d-aae1-1fa3f7a07975","site":"in-blr-ananta","name":"vav-1123"}}</v>
      </c>
      <c r="S1551" s="360" t="s">
        <v>5516</v>
      </c>
      <c r="T1551" s="330"/>
      <c r="U1551" s="330"/>
      <c r="V1551" s="331"/>
      <c r="W1551" s="332"/>
      <c r="X1551" s="333"/>
      <c r="Y1551" s="33" t="s">
        <v>2867</v>
      </c>
      <c r="Z1551" s="258">
        <v>121123.0</v>
      </c>
      <c r="AA1551" s="334">
        <v>11630.0</v>
      </c>
      <c r="AB1551" s="333"/>
      <c r="AC1551" s="333"/>
      <c r="AD1551" s="329"/>
      <c r="AE1551" s="331"/>
      <c r="AF1551" s="336"/>
      <c r="AG1551" s="337"/>
      <c r="AH1551" s="333"/>
      <c r="AI1551" s="333"/>
      <c r="AJ1551" s="333"/>
      <c r="AK1551" s="333"/>
      <c r="AL1551" s="333"/>
      <c r="AM1551" s="338"/>
      <c r="AN1551" s="333"/>
      <c r="AO1551" s="333"/>
      <c r="AP1551" s="333"/>
      <c r="AQ1551" s="333"/>
      <c r="AR1551" s="333"/>
      <c r="AS1551" s="333"/>
      <c r="AT1551" s="333"/>
      <c r="AU1551" s="329"/>
      <c r="AV1551" s="341"/>
      <c r="AW1551" s="269" t="s">
        <v>2421</v>
      </c>
      <c r="AX1551" s="334" t="s">
        <v>2869</v>
      </c>
      <c r="AY1551" s="270" t="s">
        <v>695</v>
      </c>
      <c r="AZ1551" s="173" t="s">
        <v>5516</v>
      </c>
      <c r="BA1551" s="265">
        <v>10.0</v>
      </c>
      <c r="BB1551" s="174" t="s">
        <v>245</v>
      </c>
      <c r="BC1551" s="341"/>
      <c r="BD1551" s="308"/>
      <c r="BE1551" s="342"/>
      <c r="BF1551" s="274" t="str">
        <f>IFERROR(__xludf.DUMMYFUNCTION("LOWER(Regexreplace(to_text(E1551),""[^A-Za-z0-9]"","""")&amp;""_""&amp;Regexreplace(to_text(F1551),""[^A-Za-z0-9]"",""""))"),"neptronic_evcbseries")</f>
        <v>neptronic_evcbseries</v>
      </c>
      <c r="BG1551" s="275" t="str">
        <f>IFERROR(__xludf.DUMMYFUNCTION("upper(Regexreplace(to_text(E1551),""[^A-Za-z0-9]"","""")&amp;""-""&amp;Regexreplace(to_text(F1551),""[^A-Za-z0-9]"",""""))"),"NEPTRONIC-EVCBSERIES")</f>
        <v>NEPTRONIC-EVCBSERIES</v>
      </c>
    </row>
    <row r="1552" ht="30.0" customHeight="1">
      <c r="A1552" s="258">
        <v>1544.0</v>
      </c>
      <c r="B1552" s="328" t="s">
        <v>670</v>
      </c>
      <c r="C1552" s="257" t="s">
        <v>6140</v>
      </c>
      <c r="D1552" s="173" t="s">
        <v>6140</v>
      </c>
      <c r="E1552" s="174" t="s">
        <v>2861</v>
      </c>
      <c r="F1552" s="173" t="s">
        <v>2862</v>
      </c>
      <c r="G1552" s="328" t="s">
        <v>673</v>
      </c>
      <c r="H1552" s="328" t="s">
        <v>2863</v>
      </c>
      <c r="I1552" s="258" t="s">
        <v>2864</v>
      </c>
      <c r="J1552" s="259" t="s">
        <v>1211</v>
      </c>
      <c r="K1552" s="260" t="s">
        <v>6141</v>
      </c>
      <c r="L1552" s="359"/>
      <c r="M1552" s="359"/>
      <c r="N1552" s="173" t="s">
        <v>679</v>
      </c>
      <c r="O1552" s="173" t="s">
        <v>225</v>
      </c>
      <c r="P1552" s="262" t="str">
        <f t="shared" si="1"/>
        <v>IN-BLR-ANANTA-VAV-1124_7</v>
      </c>
      <c r="Q1552" s="173" t="s">
        <v>6142</v>
      </c>
      <c r="R1552" s="328" t="str">
        <f>IFS(C1552="","",C1552="n/a","N/A",LEN(C1552),Concatenate("{",char(34),"asset",char(34),":{",char(34),"guid",char(34),":",char(34),Q1552,char(34),",",char(34),"site",char(34),":",char(34),LOWER('2-Building'!$B$4),char(34),",",char(34),"name",char(34),":",char(34),LOWER(C1552),char(34),"}}"))</f>
        <v>{"asset":{"guid":"uuid://7b7a80e0-42bb-4b2a-ab8a-ca5554d775b6","site":"in-blr-ananta","name":"vav-1124"}}</v>
      </c>
      <c r="S1552" s="360" t="s">
        <v>5516</v>
      </c>
      <c r="T1552" s="330"/>
      <c r="U1552" s="330"/>
      <c r="V1552" s="331"/>
      <c r="W1552" s="332"/>
      <c r="X1552" s="333"/>
      <c r="Y1552" s="33" t="s">
        <v>2867</v>
      </c>
      <c r="Z1552" s="258">
        <v>121124.0</v>
      </c>
      <c r="AA1552" s="334">
        <v>11630.0</v>
      </c>
      <c r="AB1552" s="333"/>
      <c r="AC1552" s="333"/>
      <c r="AD1552" s="329"/>
      <c r="AE1552" s="331"/>
      <c r="AF1552" s="336"/>
      <c r="AG1552" s="337"/>
      <c r="AH1552" s="333"/>
      <c r="AI1552" s="333"/>
      <c r="AJ1552" s="333"/>
      <c r="AK1552" s="333"/>
      <c r="AL1552" s="333"/>
      <c r="AM1552" s="338"/>
      <c r="AN1552" s="333"/>
      <c r="AO1552" s="333"/>
      <c r="AP1552" s="333"/>
      <c r="AQ1552" s="333"/>
      <c r="AR1552" s="333"/>
      <c r="AS1552" s="333"/>
      <c r="AT1552" s="333"/>
      <c r="AU1552" s="329"/>
      <c r="AV1552" s="341"/>
      <c r="AW1552" s="269" t="s">
        <v>2421</v>
      </c>
      <c r="AX1552" s="334" t="s">
        <v>2869</v>
      </c>
      <c r="AY1552" s="270" t="s">
        <v>695</v>
      </c>
      <c r="AZ1552" s="173" t="s">
        <v>5516</v>
      </c>
      <c r="BA1552" s="265">
        <v>10.0</v>
      </c>
      <c r="BB1552" s="174" t="s">
        <v>245</v>
      </c>
      <c r="BC1552" s="341"/>
      <c r="BD1552" s="308"/>
      <c r="BE1552" s="342"/>
      <c r="BF1552" s="274" t="str">
        <f>IFERROR(__xludf.DUMMYFUNCTION("LOWER(Regexreplace(to_text(E1552),""[^A-Za-z0-9]"","""")&amp;""_""&amp;Regexreplace(to_text(F1552),""[^A-Za-z0-9]"",""""))"),"neptronic_evcbseries")</f>
        <v>neptronic_evcbseries</v>
      </c>
      <c r="BG1552" s="275" t="str">
        <f>IFERROR(__xludf.DUMMYFUNCTION("upper(Regexreplace(to_text(E1552),""[^A-Za-z0-9]"","""")&amp;""-""&amp;Regexreplace(to_text(F1552),""[^A-Za-z0-9]"",""""))"),"NEPTRONIC-EVCBSERIES")</f>
        <v>NEPTRONIC-EVCBSERIES</v>
      </c>
    </row>
    <row r="1553" ht="30.0" customHeight="1">
      <c r="A1553" s="173">
        <v>1545.0</v>
      </c>
      <c r="B1553" s="328" t="s">
        <v>670</v>
      </c>
      <c r="C1553" s="257" t="s">
        <v>6143</v>
      </c>
      <c r="D1553" s="173" t="s">
        <v>6143</v>
      </c>
      <c r="E1553" s="174" t="s">
        <v>2861</v>
      </c>
      <c r="F1553" s="173" t="s">
        <v>2862</v>
      </c>
      <c r="G1553" s="328" t="s">
        <v>673</v>
      </c>
      <c r="H1553" s="328" t="s">
        <v>2863</v>
      </c>
      <c r="I1553" s="258" t="s">
        <v>2864</v>
      </c>
      <c r="J1553" s="259" t="s">
        <v>1211</v>
      </c>
      <c r="K1553" s="260" t="s">
        <v>6144</v>
      </c>
      <c r="L1553" s="359"/>
      <c r="M1553" s="359"/>
      <c r="N1553" s="173" t="s">
        <v>679</v>
      </c>
      <c r="O1553" s="173" t="s">
        <v>225</v>
      </c>
      <c r="P1553" s="262" t="str">
        <f t="shared" si="1"/>
        <v>IN-BLR-ANANTA-VAV-1125_7</v>
      </c>
      <c r="Q1553" s="173" t="s">
        <v>6145</v>
      </c>
      <c r="R1553" s="328" t="str">
        <f>IFS(C1553="","",C1553="n/a","N/A",LEN(C1553),Concatenate("{",char(34),"asset",char(34),":{",char(34),"guid",char(34),":",char(34),Q1553,char(34),",",char(34),"site",char(34),":",char(34),LOWER('2-Building'!$B$4),char(34),",",char(34),"name",char(34),":",char(34),LOWER(C1553),char(34),"}}"))</f>
        <v>{"asset":{"guid":"uuid://8deb4d4a-8711-4cb3-ad16-1827c21ddee0","site":"in-blr-ananta","name":"vav-1125"}}</v>
      </c>
      <c r="S1553" s="360" t="s">
        <v>5516</v>
      </c>
      <c r="T1553" s="330"/>
      <c r="U1553" s="330"/>
      <c r="V1553" s="331"/>
      <c r="W1553" s="332"/>
      <c r="X1553" s="333"/>
      <c r="Y1553" s="33" t="s">
        <v>2867</v>
      </c>
      <c r="Z1553" s="258">
        <v>121125.0</v>
      </c>
      <c r="AA1553" s="334">
        <v>11631.0</v>
      </c>
      <c r="AB1553" s="333"/>
      <c r="AC1553" s="333"/>
      <c r="AD1553" s="329"/>
      <c r="AE1553" s="331"/>
      <c r="AF1553" s="336"/>
      <c r="AG1553" s="337"/>
      <c r="AH1553" s="333"/>
      <c r="AI1553" s="333"/>
      <c r="AJ1553" s="333"/>
      <c r="AK1553" s="333"/>
      <c r="AL1553" s="333"/>
      <c r="AM1553" s="338"/>
      <c r="AN1553" s="333"/>
      <c r="AO1553" s="333"/>
      <c r="AP1553" s="333"/>
      <c r="AQ1553" s="333"/>
      <c r="AR1553" s="333"/>
      <c r="AS1553" s="333"/>
      <c r="AT1553" s="333"/>
      <c r="AU1553" s="329"/>
      <c r="AV1553" s="341"/>
      <c r="AW1553" s="269" t="s">
        <v>2411</v>
      </c>
      <c r="AX1553" s="334" t="s">
        <v>2869</v>
      </c>
      <c r="AY1553" s="270" t="s">
        <v>695</v>
      </c>
      <c r="AZ1553" s="173" t="s">
        <v>5516</v>
      </c>
      <c r="BA1553" s="265">
        <v>10.0</v>
      </c>
      <c r="BB1553" s="174" t="s">
        <v>245</v>
      </c>
      <c r="BC1553" s="341"/>
      <c r="BD1553" s="308"/>
      <c r="BE1553" s="342"/>
      <c r="BF1553" s="274" t="str">
        <f>IFERROR(__xludf.DUMMYFUNCTION("LOWER(Regexreplace(to_text(E1553),""[^A-Za-z0-9]"","""")&amp;""_""&amp;Regexreplace(to_text(F1553),""[^A-Za-z0-9]"",""""))"),"neptronic_evcbseries")</f>
        <v>neptronic_evcbseries</v>
      </c>
      <c r="BG1553" s="275" t="str">
        <f>IFERROR(__xludf.DUMMYFUNCTION("upper(Regexreplace(to_text(E1553),""[^A-Za-z0-9]"","""")&amp;""-""&amp;Regexreplace(to_text(F1553),""[^A-Za-z0-9]"",""""))"),"NEPTRONIC-EVCBSERIES")</f>
        <v>NEPTRONIC-EVCBSERIES</v>
      </c>
    </row>
    <row r="1554" ht="30.0" customHeight="1">
      <c r="A1554" s="258">
        <v>1546.0</v>
      </c>
      <c r="B1554" s="328" t="s">
        <v>670</v>
      </c>
      <c r="C1554" s="257" t="s">
        <v>6146</v>
      </c>
      <c r="D1554" s="173" t="s">
        <v>6146</v>
      </c>
      <c r="E1554" s="174" t="s">
        <v>2861</v>
      </c>
      <c r="F1554" s="173" t="s">
        <v>2862</v>
      </c>
      <c r="G1554" s="328" t="s">
        <v>673</v>
      </c>
      <c r="H1554" s="328" t="s">
        <v>2863</v>
      </c>
      <c r="I1554" s="258" t="s">
        <v>2864</v>
      </c>
      <c r="J1554" s="259" t="s">
        <v>1211</v>
      </c>
      <c r="K1554" s="260" t="s">
        <v>6147</v>
      </c>
      <c r="L1554" s="359"/>
      <c r="M1554" s="359"/>
      <c r="N1554" s="173" t="s">
        <v>679</v>
      </c>
      <c r="O1554" s="173" t="s">
        <v>225</v>
      </c>
      <c r="P1554" s="262" t="str">
        <f t="shared" si="1"/>
        <v>IN-BLR-ANANTA-VAV-1126_7</v>
      </c>
      <c r="Q1554" s="173" t="s">
        <v>6148</v>
      </c>
      <c r="R1554" s="328" t="str">
        <f>IFS(C1554="","",C1554="n/a","N/A",LEN(C1554),Concatenate("{",char(34),"asset",char(34),":{",char(34),"guid",char(34),":",char(34),Q1554,char(34),",",char(34),"site",char(34),":",char(34),LOWER('2-Building'!$B$4),char(34),",",char(34),"name",char(34),":",char(34),LOWER(C1554),char(34),"}}"))</f>
        <v>{"asset":{"guid":"uuid://92e3ebcc-5b1b-47a4-9ada-c49248db753d","site":"in-blr-ananta","name":"vav-1126"}}</v>
      </c>
      <c r="S1554" s="360" t="s">
        <v>5516</v>
      </c>
      <c r="T1554" s="330"/>
      <c r="U1554" s="330"/>
      <c r="V1554" s="331"/>
      <c r="W1554" s="332"/>
      <c r="X1554" s="333"/>
      <c r="Y1554" s="33" t="s">
        <v>2867</v>
      </c>
      <c r="Z1554" s="258">
        <v>121126.0</v>
      </c>
      <c r="AA1554" s="334">
        <v>11631.0</v>
      </c>
      <c r="AB1554" s="333"/>
      <c r="AC1554" s="333"/>
      <c r="AD1554" s="329"/>
      <c r="AE1554" s="331"/>
      <c r="AF1554" s="336"/>
      <c r="AG1554" s="337"/>
      <c r="AH1554" s="333"/>
      <c r="AI1554" s="333"/>
      <c r="AJ1554" s="333"/>
      <c r="AK1554" s="333"/>
      <c r="AL1554" s="333"/>
      <c r="AM1554" s="338"/>
      <c r="AN1554" s="333"/>
      <c r="AO1554" s="333"/>
      <c r="AP1554" s="333"/>
      <c r="AQ1554" s="333"/>
      <c r="AR1554" s="333"/>
      <c r="AS1554" s="333"/>
      <c r="AT1554" s="333"/>
      <c r="AU1554" s="329"/>
      <c r="AV1554" s="341"/>
      <c r="AW1554" s="269" t="s">
        <v>2411</v>
      </c>
      <c r="AX1554" s="334" t="s">
        <v>2869</v>
      </c>
      <c r="AY1554" s="270" t="s">
        <v>695</v>
      </c>
      <c r="AZ1554" s="173" t="s">
        <v>5516</v>
      </c>
      <c r="BA1554" s="265">
        <v>10.0</v>
      </c>
      <c r="BB1554" s="174" t="s">
        <v>245</v>
      </c>
      <c r="BC1554" s="341"/>
      <c r="BD1554" s="308"/>
      <c r="BE1554" s="342"/>
      <c r="BF1554" s="274" t="str">
        <f>IFERROR(__xludf.DUMMYFUNCTION("LOWER(Regexreplace(to_text(E1554),""[^A-Za-z0-9]"","""")&amp;""_""&amp;Regexreplace(to_text(F1554),""[^A-Za-z0-9]"",""""))"),"neptronic_evcbseries")</f>
        <v>neptronic_evcbseries</v>
      </c>
      <c r="BG1554" s="275" t="str">
        <f>IFERROR(__xludf.DUMMYFUNCTION("upper(Regexreplace(to_text(E1554),""[^A-Za-z0-9]"","""")&amp;""-""&amp;Regexreplace(to_text(F1554),""[^A-Za-z0-9]"",""""))"),"NEPTRONIC-EVCBSERIES")</f>
        <v>NEPTRONIC-EVCBSERIES</v>
      </c>
    </row>
    <row r="1555" ht="30.0" customHeight="1">
      <c r="A1555" s="173">
        <v>1547.0</v>
      </c>
      <c r="B1555" s="328" t="s">
        <v>670</v>
      </c>
      <c r="C1555" s="257" t="s">
        <v>6149</v>
      </c>
      <c r="D1555" s="173" t="s">
        <v>6149</v>
      </c>
      <c r="E1555" s="174" t="s">
        <v>2861</v>
      </c>
      <c r="F1555" s="173" t="s">
        <v>2862</v>
      </c>
      <c r="G1555" s="328" t="s">
        <v>673</v>
      </c>
      <c r="H1555" s="328" t="s">
        <v>2863</v>
      </c>
      <c r="I1555" s="258" t="s">
        <v>2864</v>
      </c>
      <c r="J1555" s="259" t="s">
        <v>1211</v>
      </c>
      <c r="K1555" s="260" t="s">
        <v>6150</v>
      </c>
      <c r="L1555" s="359"/>
      <c r="M1555" s="359"/>
      <c r="N1555" s="173" t="s">
        <v>679</v>
      </c>
      <c r="O1555" s="173" t="s">
        <v>225</v>
      </c>
      <c r="P1555" s="262" t="str">
        <f t="shared" si="1"/>
        <v>IN-BLR-ANANTA-VAV-1127_7</v>
      </c>
      <c r="Q1555" s="173" t="s">
        <v>6151</v>
      </c>
      <c r="R1555" s="328" t="str">
        <f>IFS(C1555="","",C1555="n/a","N/A",LEN(C1555),Concatenate("{",char(34),"asset",char(34),":{",char(34),"guid",char(34),":",char(34),Q1555,char(34),",",char(34),"site",char(34),":",char(34),LOWER('2-Building'!$B$4),char(34),",",char(34),"name",char(34),":",char(34),LOWER(C1555),char(34),"}}"))</f>
        <v>{"asset":{"guid":"uuid://33bed2a8-2f05-4d17-9702-d55f8a4f5fad","site":"in-blr-ananta","name":"vav-1127"}}</v>
      </c>
      <c r="S1555" s="360" t="s">
        <v>5516</v>
      </c>
      <c r="T1555" s="330"/>
      <c r="U1555" s="330"/>
      <c r="V1555" s="331"/>
      <c r="W1555" s="332"/>
      <c r="X1555" s="333"/>
      <c r="Y1555" s="33" t="s">
        <v>2867</v>
      </c>
      <c r="Z1555" s="258">
        <v>121127.0</v>
      </c>
      <c r="AA1555" s="334">
        <v>11631.0</v>
      </c>
      <c r="AB1555" s="333"/>
      <c r="AC1555" s="333"/>
      <c r="AD1555" s="329"/>
      <c r="AE1555" s="331"/>
      <c r="AF1555" s="336"/>
      <c r="AG1555" s="337"/>
      <c r="AH1555" s="333"/>
      <c r="AI1555" s="333"/>
      <c r="AJ1555" s="333"/>
      <c r="AK1555" s="333"/>
      <c r="AL1555" s="333"/>
      <c r="AM1555" s="338"/>
      <c r="AN1555" s="333"/>
      <c r="AO1555" s="333"/>
      <c r="AP1555" s="333"/>
      <c r="AQ1555" s="333"/>
      <c r="AR1555" s="333"/>
      <c r="AS1555" s="333"/>
      <c r="AT1555" s="333"/>
      <c r="AU1555" s="329"/>
      <c r="AV1555" s="341"/>
      <c r="AW1555" s="269" t="s">
        <v>2411</v>
      </c>
      <c r="AX1555" s="334" t="s">
        <v>2869</v>
      </c>
      <c r="AY1555" s="270" t="s">
        <v>695</v>
      </c>
      <c r="AZ1555" s="173" t="s">
        <v>5516</v>
      </c>
      <c r="BA1555" s="265">
        <v>10.0</v>
      </c>
      <c r="BB1555" s="174" t="s">
        <v>245</v>
      </c>
      <c r="BC1555" s="341"/>
      <c r="BD1555" s="308"/>
      <c r="BE1555" s="342"/>
      <c r="BF1555" s="274" t="str">
        <f>IFERROR(__xludf.DUMMYFUNCTION("LOWER(Regexreplace(to_text(E1555),""[^A-Za-z0-9]"","""")&amp;""_""&amp;Regexreplace(to_text(F1555),""[^A-Za-z0-9]"",""""))"),"neptronic_evcbseries")</f>
        <v>neptronic_evcbseries</v>
      </c>
      <c r="BG1555" s="275" t="str">
        <f>IFERROR(__xludf.DUMMYFUNCTION("upper(Regexreplace(to_text(E1555),""[^A-Za-z0-9]"","""")&amp;""-""&amp;Regexreplace(to_text(F1555),""[^A-Za-z0-9]"",""""))"),"NEPTRONIC-EVCBSERIES")</f>
        <v>NEPTRONIC-EVCBSERIES</v>
      </c>
    </row>
    <row r="1556" ht="30.0" customHeight="1">
      <c r="A1556" s="258">
        <v>1548.0</v>
      </c>
      <c r="B1556" s="328" t="s">
        <v>670</v>
      </c>
      <c r="C1556" s="257" t="s">
        <v>6152</v>
      </c>
      <c r="D1556" s="173" t="s">
        <v>6152</v>
      </c>
      <c r="E1556" s="174" t="s">
        <v>2861</v>
      </c>
      <c r="F1556" s="173" t="s">
        <v>2862</v>
      </c>
      <c r="G1556" s="328" t="s">
        <v>673</v>
      </c>
      <c r="H1556" s="328" t="s">
        <v>2863</v>
      </c>
      <c r="I1556" s="258" t="s">
        <v>2864</v>
      </c>
      <c r="J1556" s="259" t="s">
        <v>1211</v>
      </c>
      <c r="K1556" s="260" t="s">
        <v>6153</v>
      </c>
      <c r="L1556" s="359"/>
      <c r="M1556" s="359"/>
      <c r="N1556" s="173" t="s">
        <v>679</v>
      </c>
      <c r="O1556" s="173" t="s">
        <v>225</v>
      </c>
      <c r="P1556" s="262" t="str">
        <f t="shared" si="1"/>
        <v>IN-BLR-ANANTA-VAV-1128_7</v>
      </c>
      <c r="Q1556" s="173" t="s">
        <v>6154</v>
      </c>
      <c r="R1556" s="328" t="str">
        <f>IFS(C1556="","",C1556="n/a","N/A",LEN(C1556),Concatenate("{",char(34),"asset",char(34),":{",char(34),"guid",char(34),":",char(34),Q1556,char(34),",",char(34),"site",char(34),":",char(34),LOWER('2-Building'!$B$4),char(34),",",char(34),"name",char(34),":",char(34),LOWER(C1556),char(34),"}}"))</f>
        <v>{"asset":{"guid":"uuid://3ea144c5-ea36-48f9-8840-b26f72f232c5","site":"in-blr-ananta","name":"vav-1128"}}</v>
      </c>
      <c r="S1556" s="360" t="s">
        <v>5516</v>
      </c>
      <c r="T1556" s="330"/>
      <c r="U1556" s="330"/>
      <c r="V1556" s="331"/>
      <c r="W1556" s="332"/>
      <c r="X1556" s="333"/>
      <c r="Y1556" s="33" t="s">
        <v>2867</v>
      </c>
      <c r="Z1556" s="258">
        <v>121128.0</v>
      </c>
      <c r="AA1556" s="334">
        <v>11631.0</v>
      </c>
      <c r="AB1556" s="333"/>
      <c r="AC1556" s="333"/>
      <c r="AD1556" s="329"/>
      <c r="AE1556" s="331"/>
      <c r="AF1556" s="336"/>
      <c r="AG1556" s="337"/>
      <c r="AH1556" s="333"/>
      <c r="AI1556" s="333"/>
      <c r="AJ1556" s="333"/>
      <c r="AK1556" s="333"/>
      <c r="AL1556" s="333"/>
      <c r="AM1556" s="338"/>
      <c r="AN1556" s="333"/>
      <c r="AO1556" s="333"/>
      <c r="AP1556" s="333"/>
      <c r="AQ1556" s="333"/>
      <c r="AR1556" s="333"/>
      <c r="AS1556" s="333"/>
      <c r="AT1556" s="333"/>
      <c r="AU1556" s="329"/>
      <c r="AV1556" s="341"/>
      <c r="AW1556" s="269" t="s">
        <v>2411</v>
      </c>
      <c r="AX1556" s="334" t="s">
        <v>2869</v>
      </c>
      <c r="AY1556" s="270" t="s">
        <v>695</v>
      </c>
      <c r="AZ1556" s="173" t="s">
        <v>5516</v>
      </c>
      <c r="BA1556" s="265">
        <v>10.0</v>
      </c>
      <c r="BB1556" s="174" t="s">
        <v>245</v>
      </c>
      <c r="BC1556" s="341"/>
      <c r="BD1556" s="308"/>
      <c r="BE1556" s="342"/>
      <c r="BF1556" s="274" t="str">
        <f>IFERROR(__xludf.DUMMYFUNCTION("LOWER(Regexreplace(to_text(E1556),""[^A-Za-z0-9]"","""")&amp;""_""&amp;Regexreplace(to_text(F1556),""[^A-Za-z0-9]"",""""))"),"neptronic_evcbseries")</f>
        <v>neptronic_evcbseries</v>
      </c>
      <c r="BG1556" s="275" t="str">
        <f>IFERROR(__xludf.DUMMYFUNCTION("upper(Regexreplace(to_text(E1556),""[^A-Za-z0-9]"","""")&amp;""-""&amp;Regexreplace(to_text(F1556),""[^A-Za-z0-9]"",""""))"),"NEPTRONIC-EVCBSERIES")</f>
        <v>NEPTRONIC-EVCBSERIES</v>
      </c>
    </row>
    <row r="1557" ht="30.0" customHeight="1">
      <c r="A1557" s="173">
        <v>1549.0</v>
      </c>
      <c r="B1557" s="328" t="s">
        <v>670</v>
      </c>
      <c r="C1557" s="257" t="s">
        <v>6155</v>
      </c>
      <c r="D1557" s="173" t="s">
        <v>6155</v>
      </c>
      <c r="E1557" s="174" t="s">
        <v>2861</v>
      </c>
      <c r="F1557" s="173" t="s">
        <v>2862</v>
      </c>
      <c r="G1557" s="328" t="s">
        <v>673</v>
      </c>
      <c r="H1557" s="328" t="s">
        <v>2863</v>
      </c>
      <c r="I1557" s="258" t="s">
        <v>2864</v>
      </c>
      <c r="J1557" s="259" t="s">
        <v>1211</v>
      </c>
      <c r="K1557" s="260" t="s">
        <v>6156</v>
      </c>
      <c r="L1557" s="359"/>
      <c r="M1557" s="359"/>
      <c r="N1557" s="173" t="s">
        <v>679</v>
      </c>
      <c r="O1557" s="173" t="s">
        <v>225</v>
      </c>
      <c r="P1557" s="262" t="str">
        <f t="shared" si="1"/>
        <v>IN-BLR-ANANTA-VAV-1129_7</v>
      </c>
      <c r="Q1557" s="173" t="s">
        <v>6157</v>
      </c>
      <c r="R1557" s="328" t="str">
        <f>IFS(C1557="","",C1557="n/a","N/A",LEN(C1557),Concatenate("{",char(34),"asset",char(34),":{",char(34),"guid",char(34),":",char(34),Q1557,char(34),",",char(34),"site",char(34),":",char(34),LOWER('2-Building'!$B$4),char(34),",",char(34),"name",char(34),":",char(34),LOWER(C1557),char(34),"}}"))</f>
        <v>{"asset":{"guid":"uuid://109d1b9a-7b47-4384-8f27-c029e77b3339","site":"in-blr-ananta","name":"vav-1129"}}</v>
      </c>
      <c r="S1557" s="360" t="s">
        <v>5516</v>
      </c>
      <c r="T1557" s="330"/>
      <c r="U1557" s="330"/>
      <c r="V1557" s="331"/>
      <c r="W1557" s="332"/>
      <c r="X1557" s="333"/>
      <c r="Y1557" s="33" t="s">
        <v>2867</v>
      </c>
      <c r="Z1557" s="258">
        <v>121129.0</v>
      </c>
      <c r="AA1557" s="334">
        <v>11631.0</v>
      </c>
      <c r="AB1557" s="333"/>
      <c r="AC1557" s="333"/>
      <c r="AD1557" s="329"/>
      <c r="AE1557" s="331"/>
      <c r="AF1557" s="336"/>
      <c r="AG1557" s="337"/>
      <c r="AH1557" s="333"/>
      <c r="AI1557" s="333"/>
      <c r="AJ1557" s="333"/>
      <c r="AK1557" s="333"/>
      <c r="AL1557" s="333"/>
      <c r="AM1557" s="338"/>
      <c r="AN1557" s="333"/>
      <c r="AO1557" s="333"/>
      <c r="AP1557" s="333"/>
      <c r="AQ1557" s="333"/>
      <c r="AR1557" s="333"/>
      <c r="AS1557" s="333"/>
      <c r="AT1557" s="333"/>
      <c r="AU1557" s="329"/>
      <c r="AV1557" s="341"/>
      <c r="AW1557" s="269" t="s">
        <v>2411</v>
      </c>
      <c r="AX1557" s="334" t="s">
        <v>2869</v>
      </c>
      <c r="AY1557" s="270" t="s">
        <v>695</v>
      </c>
      <c r="AZ1557" s="173" t="s">
        <v>5516</v>
      </c>
      <c r="BA1557" s="265">
        <v>10.0</v>
      </c>
      <c r="BB1557" s="174" t="s">
        <v>245</v>
      </c>
      <c r="BC1557" s="341"/>
      <c r="BD1557" s="308"/>
      <c r="BE1557" s="342"/>
      <c r="BF1557" s="274" t="str">
        <f>IFERROR(__xludf.DUMMYFUNCTION("LOWER(Regexreplace(to_text(E1557),""[^A-Za-z0-9]"","""")&amp;""_""&amp;Regexreplace(to_text(F1557),""[^A-Za-z0-9]"",""""))"),"neptronic_evcbseries")</f>
        <v>neptronic_evcbseries</v>
      </c>
      <c r="BG1557" s="275" t="str">
        <f>IFERROR(__xludf.DUMMYFUNCTION("upper(Regexreplace(to_text(E1557),""[^A-Za-z0-9]"","""")&amp;""-""&amp;Regexreplace(to_text(F1557),""[^A-Za-z0-9]"",""""))"),"NEPTRONIC-EVCBSERIES")</f>
        <v>NEPTRONIC-EVCBSERIES</v>
      </c>
    </row>
    <row r="1558" ht="30.0" customHeight="1">
      <c r="A1558" s="258">
        <v>1550.0</v>
      </c>
      <c r="B1558" s="328" t="s">
        <v>670</v>
      </c>
      <c r="C1558" s="257" t="s">
        <v>6158</v>
      </c>
      <c r="D1558" s="173" t="s">
        <v>6158</v>
      </c>
      <c r="E1558" s="174" t="s">
        <v>2861</v>
      </c>
      <c r="F1558" s="173" t="s">
        <v>2862</v>
      </c>
      <c r="G1558" s="328" t="s">
        <v>673</v>
      </c>
      <c r="H1558" s="328" t="s">
        <v>2863</v>
      </c>
      <c r="I1558" s="258" t="s">
        <v>2864</v>
      </c>
      <c r="J1558" s="259" t="s">
        <v>1211</v>
      </c>
      <c r="K1558" s="260" t="s">
        <v>6159</v>
      </c>
      <c r="L1558" s="359"/>
      <c r="M1558" s="359"/>
      <c r="N1558" s="173" t="s">
        <v>679</v>
      </c>
      <c r="O1558" s="173" t="s">
        <v>225</v>
      </c>
      <c r="P1558" s="262" t="str">
        <f t="shared" si="1"/>
        <v>IN-BLR-ANANTA-VAV-1130_7</v>
      </c>
      <c r="Q1558" s="173" t="s">
        <v>6160</v>
      </c>
      <c r="R1558" s="328" t="str">
        <f>IFS(C1558="","",C1558="n/a","N/A",LEN(C1558),Concatenate("{",char(34),"asset",char(34),":{",char(34),"guid",char(34),":",char(34),Q1558,char(34),",",char(34),"site",char(34),":",char(34),LOWER('2-Building'!$B$4),char(34),",",char(34),"name",char(34),":",char(34),LOWER(C1558),char(34),"}}"))</f>
        <v>{"asset":{"guid":"uuid://fe5f3dbe-4ebc-4520-a649-293ef820769d","site":"in-blr-ananta","name":"vav-1130"}}</v>
      </c>
      <c r="S1558" s="360" t="s">
        <v>5516</v>
      </c>
      <c r="T1558" s="330"/>
      <c r="U1558" s="330"/>
      <c r="V1558" s="331"/>
      <c r="W1558" s="332"/>
      <c r="X1558" s="333"/>
      <c r="Y1558" s="33" t="s">
        <v>2867</v>
      </c>
      <c r="Z1558" s="258">
        <v>121130.0</v>
      </c>
      <c r="AA1558" s="334">
        <v>11631.0</v>
      </c>
      <c r="AB1558" s="333"/>
      <c r="AC1558" s="333"/>
      <c r="AD1558" s="329"/>
      <c r="AE1558" s="331"/>
      <c r="AF1558" s="336"/>
      <c r="AG1558" s="337"/>
      <c r="AH1558" s="333"/>
      <c r="AI1558" s="333"/>
      <c r="AJ1558" s="333"/>
      <c r="AK1558" s="333"/>
      <c r="AL1558" s="333"/>
      <c r="AM1558" s="338"/>
      <c r="AN1558" s="333"/>
      <c r="AO1558" s="333"/>
      <c r="AP1558" s="333"/>
      <c r="AQ1558" s="333"/>
      <c r="AR1558" s="333"/>
      <c r="AS1558" s="333"/>
      <c r="AT1558" s="333"/>
      <c r="AU1558" s="329"/>
      <c r="AV1558" s="341"/>
      <c r="AW1558" s="269" t="s">
        <v>2411</v>
      </c>
      <c r="AX1558" s="334" t="s">
        <v>2869</v>
      </c>
      <c r="AY1558" s="270" t="s">
        <v>695</v>
      </c>
      <c r="AZ1558" s="173" t="s">
        <v>5516</v>
      </c>
      <c r="BA1558" s="265">
        <v>10.0</v>
      </c>
      <c r="BB1558" s="174" t="s">
        <v>245</v>
      </c>
      <c r="BC1558" s="341"/>
      <c r="BD1558" s="308"/>
      <c r="BE1558" s="342"/>
      <c r="BF1558" s="274" t="str">
        <f>IFERROR(__xludf.DUMMYFUNCTION("LOWER(Regexreplace(to_text(E1558),""[^A-Za-z0-9]"","""")&amp;""_""&amp;Regexreplace(to_text(F1558),""[^A-Za-z0-9]"",""""))"),"neptronic_evcbseries")</f>
        <v>neptronic_evcbseries</v>
      </c>
      <c r="BG1558" s="275" t="str">
        <f>IFERROR(__xludf.DUMMYFUNCTION("upper(Regexreplace(to_text(E1558),""[^A-Za-z0-9]"","""")&amp;""-""&amp;Regexreplace(to_text(F1558),""[^A-Za-z0-9]"",""""))"),"NEPTRONIC-EVCBSERIES")</f>
        <v>NEPTRONIC-EVCBSERIES</v>
      </c>
    </row>
    <row r="1559" ht="30.0" customHeight="1">
      <c r="A1559" s="173">
        <v>1551.0</v>
      </c>
      <c r="B1559" s="328" t="s">
        <v>670</v>
      </c>
      <c r="C1559" s="257" t="s">
        <v>6161</v>
      </c>
      <c r="D1559" s="173" t="s">
        <v>6161</v>
      </c>
      <c r="E1559" s="174" t="s">
        <v>2861</v>
      </c>
      <c r="F1559" s="173" t="s">
        <v>2862</v>
      </c>
      <c r="G1559" s="328" t="s">
        <v>673</v>
      </c>
      <c r="H1559" s="328" t="s">
        <v>2863</v>
      </c>
      <c r="I1559" s="258" t="s">
        <v>2864</v>
      </c>
      <c r="J1559" s="259" t="s">
        <v>1211</v>
      </c>
      <c r="K1559" s="260" t="s">
        <v>6162</v>
      </c>
      <c r="L1559" s="359"/>
      <c r="M1559" s="359"/>
      <c r="N1559" s="173" t="s">
        <v>679</v>
      </c>
      <c r="O1559" s="173" t="s">
        <v>225</v>
      </c>
      <c r="P1559" s="262" t="str">
        <f t="shared" si="1"/>
        <v>IN-BLR-ANANTA-VAV-1131_7</v>
      </c>
      <c r="Q1559" s="173" t="s">
        <v>6163</v>
      </c>
      <c r="R1559" s="328" t="str">
        <f>IFS(C1559="","",C1559="n/a","N/A",LEN(C1559),Concatenate("{",char(34),"asset",char(34),":{",char(34),"guid",char(34),":",char(34),Q1559,char(34),",",char(34),"site",char(34),":",char(34),LOWER('2-Building'!$B$4),char(34),",",char(34),"name",char(34),":",char(34),LOWER(C1559),char(34),"}}"))</f>
        <v>{"asset":{"guid":"uuid://04529148-9f82-485d-985a-2f9fd15adf48","site":"in-blr-ananta","name":"vav-1131"}}</v>
      </c>
      <c r="S1559" s="360" t="s">
        <v>5516</v>
      </c>
      <c r="T1559" s="330"/>
      <c r="U1559" s="330"/>
      <c r="V1559" s="331"/>
      <c r="W1559" s="332"/>
      <c r="X1559" s="333"/>
      <c r="Y1559" s="33" t="s">
        <v>2867</v>
      </c>
      <c r="Z1559" s="258">
        <v>121131.0</v>
      </c>
      <c r="AA1559" s="334">
        <v>11631.0</v>
      </c>
      <c r="AB1559" s="333"/>
      <c r="AC1559" s="333"/>
      <c r="AD1559" s="329"/>
      <c r="AE1559" s="331"/>
      <c r="AF1559" s="336"/>
      <c r="AG1559" s="337"/>
      <c r="AH1559" s="333"/>
      <c r="AI1559" s="333"/>
      <c r="AJ1559" s="333"/>
      <c r="AK1559" s="333"/>
      <c r="AL1559" s="333"/>
      <c r="AM1559" s="338"/>
      <c r="AN1559" s="333"/>
      <c r="AO1559" s="333"/>
      <c r="AP1559" s="333"/>
      <c r="AQ1559" s="333"/>
      <c r="AR1559" s="333"/>
      <c r="AS1559" s="333"/>
      <c r="AT1559" s="333"/>
      <c r="AU1559" s="329"/>
      <c r="AV1559" s="341"/>
      <c r="AW1559" s="269" t="s">
        <v>2411</v>
      </c>
      <c r="AX1559" s="334" t="s">
        <v>2869</v>
      </c>
      <c r="AY1559" s="270" t="s">
        <v>695</v>
      </c>
      <c r="AZ1559" s="173" t="s">
        <v>5516</v>
      </c>
      <c r="BA1559" s="265">
        <v>10.0</v>
      </c>
      <c r="BB1559" s="174" t="s">
        <v>245</v>
      </c>
      <c r="BC1559" s="341"/>
      <c r="BD1559" s="308"/>
      <c r="BE1559" s="342"/>
      <c r="BF1559" s="274" t="str">
        <f>IFERROR(__xludf.DUMMYFUNCTION("LOWER(Regexreplace(to_text(E1559),""[^A-Za-z0-9]"","""")&amp;""_""&amp;Regexreplace(to_text(F1559),""[^A-Za-z0-9]"",""""))"),"neptronic_evcbseries")</f>
        <v>neptronic_evcbseries</v>
      </c>
      <c r="BG1559" s="275" t="str">
        <f>IFERROR(__xludf.DUMMYFUNCTION("upper(Regexreplace(to_text(E1559),""[^A-Za-z0-9]"","""")&amp;""-""&amp;Regexreplace(to_text(F1559),""[^A-Za-z0-9]"",""""))"),"NEPTRONIC-EVCBSERIES")</f>
        <v>NEPTRONIC-EVCBSERIES</v>
      </c>
    </row>
    <row r="1560" ht="30.0" customHeight="1">
      <c r="A1560" s="258">
        <v>1552.0</v>
      </c>
      <c r="B1560" s="328" t="s">
        <v>670</v>
      </c>
      <c r="C1560" s="257" t="s">
        <v>6164</v>
      </c>
      <c r="D1560" s="173" t="s">
        <v>6164</v>
      </c>
      <c r="E1560" s="174" t="s">
        <v>2861</v>
      </c>
      <c r="F1560" s="173" t="s">
        <v>2862</v>
      </c>
      <c r="G1560" s="328" t="s">
        <v>673</v>
      </c>
      <c r="H1560" s="328" t="s">
        <v>2863</v>
      </c>
      <c r="I1560" s="258" t="s">
        <v>2864</v>
      </c>
      <c r="J1560" s="259" t="s">
        <v>1211</v>
      </c>
      <c r="K1560" s="260" t="s">
        <v>6165</v>
      </c>
      <c r="L1560" s="359"/>
      <c r="M1560" s="359"/>
      <c r="N1560" s="173" t="s">
        <v>679</v>
      </c>
      <c r="O1560" s="173" t="s">
        <v>225</v>
      </c>
      <c r="P1560" s="262" t="str">
        <f t="shared" si="1"/>
        <v>IN-BLR-ANANTA-VAV-1132_7</v>
      </c>
      <c r="Q1560" s="173" t="s">
        <v>6166</v>
      </c>
      <c r="R1560" s="328" t="str">
        <f>IFS(C1560="","",C1560="n/a","N/A",LEN(C1560),Concatenate("{",char(34),"asset",char(34),":{",char(34),"guid",char(34),":",char(34),Q1560,char(34),",",char(34),"site",char(34),":",char(34),LOWER('2-Building'!$B$4),char(34),",",char(34),"name",char(34),":",char(34),LOWER(C1560),char(34),"}}"))</f>
        <v>{"asset":{"guid":"uuid://beb64e57-b388-45e0-99ea-4480e30be4b2","site":"in-blr-ananta","name":"vav-1132"}}</v>
      </c>
      <c r="S1560" s="360" t="s">
        <v>5516</v>
      </c>
      <c r="T1560" s="330"/>
      <c r="U1560" s="330"/>
      <c r="V1560" s="331"/>
      <c r="W1560" s="332"/>
      <c r="X1560" s="333"/>
      <c r="Y1560" s="33" t="s">
        <v>2867</v>
      </c>
      <c r="Z1560" s="258">
        <v>121132.0</v>
      </c>
      <c r="AA1560" s="334">
        <v>11631.0</v>
      </c>
      <c r="AB1560" s="333"/>
      <c r="AC1560" s="333"/>
      <c r="AD1560" s="329"/>
      <c r="AE1560" s="331"/>
      <c r="AF1560" s="336"/>
      <c r="AG1560" s="337"/>
      <c r="AH1560" s="333"/>
      <c r="AI1560" s="333"/>
      <c r="AJ1560" s="333"/>
      <c r="AK1560" s="333"/>
      <c r="AL1560" s="333"/>
      <c r="AM1560" s="338"/>
      <c r="AN1560" s="333"/>
      <c r="AO1560" s="333"/>
      <c r="AP1560" s="333"/>
      <c r="AQ1560" s="333"/>
      <c r="AR1560" s="333"/>
      <c r="AS1560" s="333"/>
      <c r="AT1560" s="333"/>
      <c r="AU1560" s="329"/>
      <c r="AV1560" s="341"/>
      <c r="AW1560" s="269" t="s">
        <v>2411</v>
      </c>
      <c r="AX1560" s="334" t="s">
        <v>2869</v>
      </c>
      <c r="AY1560" s="270" t="s">
        <v>695</v>
      </c>
      <c r="AZ1560" s="173" t="s">
        <v>5516</v>
      </c>
      <c r="BA1560" s="265">
        <v>10.0</v>
      </c>
      <c r="BB1560" s="174" t="s">
        <v>245</v>
      </c>
      <c r="BC1560" s="341"/>
      <c r="BD1560" s="308"/>
      <c r="BE1560" s="342"/>
      <c r="BF1560" s="274" t="str">
        <f>IFERROR(__xludf.DUMMYFUNCTION("LOWER(Regexreplace(to_text(E1560),""[^A-Za-z0-9]"","""")&amp;""_""&amp;Regexreplace(to_text(F1560),""[^A-Za-z0-9]"",""""))"),"neptronic_evcbseries")</f>
        <v>neptronic_evcbseries</v>
      </c>
      <c r="BG1560" s="275" t="str">
        <f>IFERROR(__xludf.DUMMYFUNCTION("upper(Regexreplace(to_text(E1560),""[^A-Za-z0-9]"","""")&amp;""-""&amp;Regexreplace(to_text(F1560),""[^A-Za-z0-9]"",""""))"),"NEPTRONIC-EVCBSERIES")</f>
        <v>NEPTRONIC-EVCBSERIES</v>
      </c>
    </row>
    <row r="1561" ht="30.0" customHeight="1">
      <c r="A1561" s="173">
        <v>1553.0</v>
      </c>
      <c r="B1561" s="328" t="s">
        <v>670</v>
      </c>
      <c r="C1561" s="257" t="s">
        <v>6167</v>
      </c>
      <c r="D1561" s="173" t="s">
        <v>6167</v>
      </c>
      <c r="E1561" s="174" t="s">
        <v>2861</v>
      </c>
      <c r="F1561" s="173" t="s">
        <v>2862</v>
      </c>
      <c r="G1561" s="328" t="s">
        <v>673</v>
      </c>
      <c r="H1561" s="328" t="s">
        <v>2863</v>
      </c>
      <c r="I1561" s="258" t="s">
        <v>2864</v>
      </c>
      <c r="J1561" s="259" t="s">
        <v>1211</v>
      </c>
      <c r="K1561" s="260" t="s">
        <v>6168</v>
      </c>
      <c r="L1561" s="359"/>
      <c r="M1561" s="359"/>
      <c r="N1561" s="173" t="s">
        <v>679</v>
      </c>
      <c r="O1561" s="173" t="s">
        <v>225</v>
      </c>
      <c r="P1561" s="262" t="str">
        <f t="shared" si="1"/>
        <v>IN-BLR-ANANTA-VAV-1133_7</v>
      </c>
      <c r="Q1561" s="173" t="s">
        <v>6169</v>
      </c>
      <c r="R1561" s="328" t="str">
        <f>IFS(C1561="","",C1561="n/a","N/A",LEN(C1561),Concatenate("{",char(34),"asset",char(34),":{",char(34),"guid",char(34),":",char(34),Q1561,char(34),",",char(34),"site",char(34),":",char(34),LOWER('2-Building'!$B$4),char(34),",",char(34),"name",char(34),":",char(34),LOWER(C1561),char(34),"}}"))</f>
        <v>{"asset":{"guid":"uuid://1e70a825-aba9-4dbd-9ea7-9ad07407660d","site":"in-blr-ananta","name":"vav-1133"}}</v>
      </c>
      <c r="S1561" s="360" t="s">
        <v>5516</v>
      </c>
      <c r="T1561" s="330"/>
      <c r="U1561" s="330"/>
      <c r="V1561" s="331"/>
      <c r="W1561" s="332"/>
      <c r="X1561" s="333"/>
      <c r="Y1561" s="33" t="s">
        <v>2867</v>
      </c>
      <c r="Z1561" s="258">
        <v>121133.0</v>
      </c>
      <c r="AA1561" s="334">
        <v>11631.0</v>
      </c>
      <c r="AB1561" s="333"/>
      <c r="AC1561" s="333"/>
      <c r="AD1561" s="329"/>
      <c r="AE1561" s="331"/>
      <c r="AF1561" s="336"/>
      <c r="AG1561" s="337"/>
      <c r="AH1561" s="333"/>
      <c r="AI1561" s="333"/>
      <c r="AJ1561" s="333"/>
      <c r="AK1561" s="333"/>
      <c r="AL1561" s="333"/>
      <c r="AM1561" s="338"/>
      <c r="AN1561" s="333"/>
      <c r="AO1561" s="333"/>
      <c r="AP1561" s="333"/>
      <c r="AQ1561" s="333"/>
      <c r="AR1561" s="333"/>
      <c r="AS1561" s="333"/>
      <c r="AT1561" s="333"/>
      <c r="AU1561" s="329"/>
      <c r="AV1561" s="341"/>
      <c r="AW1561" s="269" t="s">
        <v>2411</v>
      </c>
      <c r="AX1561" s="334" t="s">
        <v>2869</v>
      </c>
      <c r="AY1561" s="270" t="s">
        <v>695</v>
      </c>
      <c r="AZ1561" s="173" t="s">
        <v>5516</v>
      </c>
      <c r="BA1561" s="265">
        <v>10.0</v>
      </c>
      <c r="BB1561" s="174" t="s">
        <v>245</v>
      </c>
      <c r="BC1561" s="341"/>
      <c r="BD1561" s="308"/>
      <c r="BE1561" s="342"/>
      <c r="BF1561" s="274" t="str">
        <f>IFERROR(__xludf.DUMMYFUNCTION("LOWER(Regexreplace(to_text(E1561),""[^A-Za-z0-9]"","""")&amp;""_""&amp;Regexreplace(to_text(F1561),""[^A-Za-z0-9]"",""""))"),"neptronic_evcbseries")</f>
        <v>neptronic_evcbseries</v>
      </c>
      <c r="BG1561" s="275" t="str">
        <f>IFERROR(__xludf.DUMMYFUNCTION("upper(Regexreplace(to_text(E1561),""[^A-Za-z0-9]"","""")&amp;""-""&amp;Regexreplace(to_text(F1561),""[^A-Za-z0-9]"",""""))"),"NEPTRONIC-EVCBSERIES")</f>
        <v>NEPTRONIC-EVCBSERIES</v>
      </c>
    </row>
    <row r="1562" ht="30.0" customHeight="1">
      <c r="A1562" s="258">
        <v>1554.0</v>
      </c>
      <c r="B1562" s="328" t="s">
        <v>670</v>
      </c>
      <c r="C1562" s="257" t="s">
        <v>6170</v>
      </c>
      <c r="D1562" s="173" t="s">
        <v>6170</v>
      </c>
      <c r="E1562" s="174" t="s">
        <v>2861</v>
      </c>
      <c r="F1562" s="173" t="s">
        <v>2862</v>
      </c>
      <c r="G1562" s="328" t="s">
        <v>673</v>
      </c>
      <c r="H1562" s="328" t="s">
        <v>2863</v>
      </c>
      <c r="I1562" s="258" t="s">
        <v>2864</v>
      </c>
      <c r="J1562" s="259" t="s">
        <v>1211</v>
      </c>
      <c r="K1562" s="260" t="s">
        <v>6171</v>
      </c>
      <c r="L1562" s="359"/>
      <c r="M1562" s="359"/>
      <c r="N1562" s="173" t="s">
        <v>679</v>
      </c>
      <c r="O1562" s="173" t="s">
        <v>225</v>
      </c>
      <c r="P1562" s="262" t="str">
        <f t="shared" si="1"/>
        <v>IN-BLR-ANANTA-VAV-1134_7</v>
      </c>
      <c r="Q1562" s="173" t="s">
        <v>6172</v>
      </c>
      <c r="R1562" s="328" t="str">
        <f>IFS(C1562="","",C1562="n/a","N/A",LEN(C1562),Concatenate("{",char(34),"asset",char(34),":{",char(34),"guid",char(34),":",char(34),Q1562,char(34),",",char(34),"site",char(34),":",char(34),LOWER('2-Building'!$B$4),char(34),",",char(34),"name",char(34),":",char(34),LOWER(C1562),char(34),"}}"))</f>
        <v>{"asset":{"guid":"uuid://15bac5f4-313d-4ef3-887d-e93b3a284197","site":"in-blr-ananta","name":"vav-1134"}}</v>
      </c>
      <c r="S1562" s="360" t="s">
        <v>5516</v>
      </c>
      <c r="T1562" s="330"/>
      <c r="U1562" s="330"/>
      <c r="V1562" s="331"/>
      <c r="W1562" s="332"/>
      <c r="X1562" s="333"/>
      <c r="Y1562" s="33" t="s">
        <v>2867</v>
      </c>
      <c r="Z1562" s="258">
        <v>121134.0</v>
      </c>
      <c r="AA1562" s="334">
        <v>11631.0</v>
      </c>
      <c r="AB1562" s="333"/>
      <c r="AC1562" s="333"/>
      <c r="AD1562" s="329"/>
      <c r="AE1562" s="331"/>
      <c r="AF1562" s="336"/>
      <c r="AG1562" s="337"/>
      <c r="AH1562" s="333"/>
      <c r="AI1562" s="333"/>
      <c r="AJ1562" s="333"/>
      <c r="AK1562" s="333"/>
      <c r="AL1562" s="333"/>
      <c r="AM1562" s="338"/>
      <c r="AN1562" s="333"/>
      <c r="AO1562" s="333"/>
      <c r="AP1562" s="333"/>
      <c r="AQ1562" s="333"/>
      <c r="AR1562" s="333"/>
      <c r="AS1562" s="333"/>
      <c r="AT1562" s="333"/>
      <c r="AU1562" s="329"/>
      <c r="AV1562" s="341"/>
      <c r="AW1562" s="269" t="s">
        <v>2411</v>
      </c>
      <c r="AX1562" s="334" t="s">
        <v>2869</v>
      </c>
      <c r="AY1562" s="270" t="s">
        <v>695</v>
      </c>
      <c r="AZ1562" s="173" t="s">
        <v>5516</v>
      </c>
      <c r="BA1562" s="265">
        <v>10.0</v>
      </c>
      <c r="BB1562" s="174" t="s">
        <v>245</v>
      </c>
      <c r="BC1562" s="341"/>
      <c r="BD1562" s="308"/>
      <c r="BE1562" s="342"/>
      <c r="BF1562" s="274" t="str">
        <f>IFERROR(__xludf.DUMMYFUNCTION("LOWER(Regexreplace(to_text(E1562),""[^A-Za-z0-9]"","""")&amp;""_""&amp;Regexreplace(to_text(F1562),""[^A-Za-z0-9]"",""""))"),"neptronic_evcbseries")</f>
        <v>neptronic_evcbseries</v>
      </c>
      <c r="BG1562" s="275" t="str">
        <f>IFERROR(__xludf.DUMMYFUNCTION("upper(Regexreplace(to_text(E1562),""[^A-Za-z0-9]"","""")&amp;""-""&amp;Regexreplace(to_text(F1562),""[^A-Za-z0-9]"",""""))"),"NEPTRONIC-EVCBSERIES")</f>
        <v>NEPTRONIC-EVCBSERIES</v>
      </c>
    </row>
    <row r="1563" ht="30.0" customHeight="1">
      <c r="A1563" s="173">
        <v>1555.0</v>
      </c>
      <c r="B1563" s="328" t="s">
        <v>670</v>
      </c>
      <c r="C1563" s="257" t="s">
        <v>6173</v>
      </c>
      <c r="D1563" s="173" t="s">
        <v>6173</v>
      </c>
      <c r="E1563" s="174" t="s">
        <v>2861</v>
      </c>
      <c r="F1563" s="173" t="s">
        <v>2862</v>
      </c>
      <c r="G1563" s="328" t="s">
        <v>673</v>
      </c>
      <c r="H1563" s="328" t="s">
        <v>2863</v>
      </c>
      <c r="I1563" s="258" t="s">
        <v>2864</v>
      </c>
      <c r="J1563" s="259" t="s">
        <v>1211</v>
      </c>
      <c r="K1563" s="260" t="s">
        <v>6174</v>
      </c>
      <c r="L1563" s="359"/>
      <c r="M1563" s="359"/>
      <c r="N1563" s="173" t="s">
        <v>679</v>
      </c>
      <c r="O1563" s="173" t="s">
        <v>225</v>
      </c>
      <c r="P1563" s="262" t="str">
        <f t="shared" si="1"/>
        <v>IN-BLR-ANANTA-VAV-1135_7</v>
      </c>
      <c r="Q1563" s="173" t="s">
        <v>6175</v>
      </c>
      <c r="R1563" s="328" t="str">
        <f>IFS(C1563="","",C1563="n/a","N/A",LEN(C1563),Concatenate("{",char(34),"asset",char(34),":{",char(34),"guid",char(34),":",char(34),Q1563,char(34),",",char(34),"site",char(34),":",char(34),LOWER('2-Building'!$B$4),char(34),",",char(34),"name",char(34),":",char(34),LOWER(C1563),char(34),"}}"))</f>
        <v>{"asset":{"guid":"uuid://98d2b10f-0d09-4767-ae41-c41b3c7a17c5","site":"in-blr-ananta","name":"vav-1135"}}</v>
      </c>
      <c r="S1563" s="360" t="s">
        <v>5516</v>
      </c>
      <c r="T1563" s="330"/>
      <c r="U1563" s="330"/>
      <c r="V1563" s="331"/>
      <c r="W1563" s="332"/>
      <c r="X1563" s="333"/>
      <c r="Y1563" s="33" t="s">
        <v>2867</v>
      </c>
      <c r="Z1563" s="258">
        <v>121135.0</v>
      </c>
      <c r="AA1563" s="334">
        <v>11631.0</v>
      </c>
      <c r="AB1563" s="333"/>
      <c r="AC1563" s="333"/>
      <c r="AD1563" s="329"/>
      <c r="AE1563" s="331"/>
      <c r="AF1563" s="336"/>
      <c r="AG1563" s="337"/>
      <c r="AH1563" s="333"/>
      <c r="AI1563" s="333"/>
      <c r="AJ1563" s="333"/>
      <c r="AK1563" s="333"/>
      <c r="AL1563" s="333"/>
      <c r="AM1563" s="338"/>
      <c r="AN1563" s="333"/>
      <c r="AO1563" s="333"/>
      <c r="AP1563" s="333"/>
      <c r="AQ1563" s="333"/>
      <c r="AR1563" s="333"/>
      <c r="AS1563" s="333"/>
      <c r="AT1563" s="333"/>
      <c r="AU1563" s="329"/>
      <c r="AV1563" s="341"/>
      <c r="AW1563" s="269" t="s">
        <v>2411</v>
      </c>
      <c r="AX1563" s="334" t="s">
        <v>2869</v>
      </c>
      <c r="AY1563" s="270" t="s">
        <v>695</v>
      </c>
      <c r="AZ1563" s="173" t="s">
        <v>5516</v>
      </c>
      <c r="BA1563" s="265">
        <v>10.0</v>
      </c>
      <c r="BB1563" s="174" t="s">
        <v>245</v>
      </c>
      <c r="BC1563" s="341"/>
      <c r="BD1563" s="308"/>
      <c r="BE1563" s="342"/>
      <c r="BF1563" s="274" t="str">
        <f>IFERROR(__xludf.DUMMYFUNCTION("LOWER(Regexreplace(to_text(E1563),""[^A-Za-z0-9]"","""")&amp;""_""&amp;Regexreplace(to_text(F1563),""[^A-Za-z0-9]"",""""))"),"neptronic_evcbseries")</f>
        <v>neptronic_evcbseries</v>
      </c>
      <c r="BG1563" s="275" t="str">
        <f>IFERROR(__xludf.DUMMYFUNCTION("upper(Regexreplace(to_text(E1563),""[^A-Za-z0-9]"","""")&amp;""-""&amp;Regexreplace(to_text(F1563),""[^A-Za-z0-9]"",""""))"),"NEPTRONIC-EVCBSERIES")</f>
        <v>NEPTRONIC-EVCBSERIES</v>
      </c>
    </row>
    <row r="1564" ht="30.0" customHeight="1">
      <c r="A1564" s="258">
        <v>1556.0</v>
      </c>
      <c r="B1564" s="328" t="s">
        <v>670</v>
      </c>
      <c r="C1564" s="257" t="s">
        <v>6176</v>
      </c>
      <c r="D1564" s="173" t="s">
        <v>6176</v>
      </c>
      <c r="E1564" s="174" t="s">
        <v>2861</v>
      </c>
      <c r="F1564" s="173" t="s">
        <v>2862</v>
      </c>
      <c r="G1564" s="328" t="s">
        <v>673</v>
      </c>
      <c r="H1564" s="328" t="s">
        <v>2863</v>
      </c>
      <c r="I1564" s="258" t="s">
        <v>2864</v>
      </c>
      <c r="J1564" s="259" t="s">
        <v>1211</v>
      </c>
      <c r="K1564" s="260" t="s">
        <v>6177</v>
      </c>
      <c r="L1564" s="359"/>
      <c r="M1564" s="359"/>
      <c r="N1564" s="173" t="s">
        <v>679</v>
      </c>
      <c r="O1564" s="173" t="s">
        <v>225</v>
      </c>
      <c r="P1564" s="262" t="str">
        <f t="shared" si="1"/>
        <v>IN-BLR-ANANTA-VAV-1136_7</v>
      </c>
      <c r="Q1564" s="173" t="s">
        <v>6178</v>
      </c>
      <c r="R1564" s="328" t="str">
        <f>IFS(C1564="","",C1564="n/a","N/A",LEN(C1564),Concatenate("{",char(34),"asset",char(34),":{",char(34),"guid",char(34),":",char(34),Q1564,char(34),",",char(34),"site",char(34),":",char(34),LOWER('2-Building'!$B$4),char(34),",",char(34),"name",char(34),":",char(34),LOWER(C1564),char(34),"}}"))</f>
        <v>{"asset":{"guid":"uuid://681612ba-01f4-45da-95fc-b261debd9fdf","site":"in-blr-ananta","name":"vav-1136"}}</v>
      </c>
      <c r="S1564" s="360" t="s">
        <v>5516</v>
      </c>
      <c r="T1564" s="330"/>
      <c r="U1564" s="330"/>
      <c r="V1564" s="331"/>
      <c r="W1564" s="332"/>
      <c r="X1564" s="333"/>
      <c r="Y1564" s="33" t="s">
        <v>2867</v>
      </c>
      <c r="Z1564" s="258">
        <v>121136.0</v>
      </c>
      <c r="AA1564" s="334">
        <v>11631.0</v>
      </c>
      <c r="AB1564" s="333"/>
      <c r="AC1564" s="333"/>
      <c r="AD1564" s="329"/>
      <c r="AE1564" s="331"/>
      <c r="AF1564" s="336"/>
      <c r="AG1564" s="337"/>
      <c r="AH1564" s="333"/>
      <c r="AI1564" s="333"/>
      <c r="AJ1564" s="333"/>
      <c r="AK1564" s="333"/>
      <c r="AL1564" s="333"/>
      <c r="AM1564" s="338"/>
      <c r="AN1564" s="333"/>
      <c r="AO1564" s="333"/>
      <c r="AP1564" s="333"/>
      <c r="AQ1564" s="333"/>
      <c r="AR1564" s="333"/>
      <c r="AS1564" s="333"/>
      <c r="AT1564" s="333"/>
      <c r="AU1564" s="329"/>
      <c r="AV1564" s="341"/>
      <c r="AW1564" s="269" t="s">
        <v>2411</v>
      </c>
      <c r="AX1564" s="334" t="s">
        <v>2869</v>
      </c>
      <c r="AY1564" s="270" t="s">
        <v>695</v>
      </c>
      <c r="AZ1564" s="173" t="s">
        <v>5516</v>
      </c>
      <c r="BA1564" s="265">
        <v>10.0</v>
      </c>
      <c r="BB1564" s="174" t="s">
        <v>245</v>
      </c>
      <c r="BC1564" s="341"/>
      <c r="BD1564" s="308"/>
      <c r="BE1564" s="342"/>
      <c r="BF1564" s="274" t="str">
        <f>IFERROR(__xludf.DUMMYFUNCTION("LOWER(Regexreplace(to_text(E1564),""[^A-Za-z0-9]"","""")&amp;""_""&amp;Regexreplace(to_text(F1564),""[^A-Za-z0-9]"",""""))"),"neptronic_evcbseries")</f>
        <v>neptronic_evcbseries</v>
      </c>
      <c r="BG1564" s="275" t="str">
        <f>IFERROR(__xludf.DUMMYFUNCTION("upper(Regexreplace(to_text(E1564),""[^A-Za-z0-9]"","""")&amp;""-""&amp;Regexreplace(to_text(F1564),""[^A-Za-z0-9]"",""""))"),"NEPTRONIC-EVCBSERIES")</f>
        <v>NEPTRONIC-EVCBSERIES</v>
      </c>
    </row>
    <row r="1565" ht="30.0" customHeight="1">
      <c r="A1565" s="173">
        <v>1557.0</v>
      </c>
      <c r="B1565" s="328" t="s">
        <v>670</v>
      </c>
      <c r="C1565" s="257" t="s">
        <v>6179</v>
      </c>
      <c r="D1565" s="173" t="s">
        <v>6179</v>
      </c>
      <c r="E1565" s="174" t="s">
        <v>2861</v>
      </c>
      <c r="F1565" s="173" t="s">
        <v>2862</v>
      </c>
      <c r="G1565" s="328" t="s">
        <v>673</v>
      </c>
      <c r="H1565" s="328" t="s">
        <v>2863</v>
      </c>
      <c r="I1565" s="258" t="s">
        <v>2864</v>
      </c>
      <c r="J1565" s="259" t="s">
        <v>1211</v>
      </c>
      <c r="K1565" s="260" t="s">
        <v>6180</v>
      </c>
      <c r="L1565" s="359"/>
      <c r="M1565" s="359"/>
      <c r="N1565" s="173" t="s">
        <v>679</v>
      </c>
      <c r="O1565" s="173" t="s">
        <v>225</v>
      </c>
      <c r="P1565" s="262" t="str">
        <f t="shared" si="1"/>
        <v>IN-BLR-ANANTA-VAV-1137_7</v>
      </c>
      <c r="Q1565" s="173" t="s">
        <v>6181</v>
      </c>
      <c r="R1565" s="328" t="str">
        <f>IFS(C1565="","",C1565="n/a","N/A",LEN(C1565),Concatenate("{",char(34),"asset",char(34),":{",char(34),"guid",char(34),":",char(34),Q1565,char(34),",",char(34),"site",char(34),":",char(34),LOWER('2-Building'!$B$4),char(34),",",char(34),"name",char(34),":",char(34),LOWER(C1565),char(34),"}}"))</f>
        <v>{"asset":{"guid":"uuid://7a167bd8-7de3-4b65-9a93-c5a2045d29db","site":"in-blr-ananta","name":"vav-1137"}}</v>
      </c>
      <c r="S1565" s="360" t="s">
        <v>5516</v>
      </c>
      <c r="T1565" s="330"/>
      <c r="U1565" s="330"/>
      <c r="V1565" s="331"/>
      <c r="W1565" s="332"/>
      <c r="X1565" s="333"/>
      <c r="Y1565" s="33" t="s">
        <v>2867</v>
      </c>
      <c r="Z1565" s="258">
        <v>121137.0</v>
      </c>
      <c r="AA1565" s="334">
        <v>11631.0</v>
      </c>
      <c r="AB1565" s="333"/>
      <c r="AC1565" s="333"/>
      <c r="AD1565" s="329"/>
      <c r="AE1565" s="331"/>
      <c r="AF1565" s="336"/>
      <c r="AG1565" s="337"/>
      <c r="AH1565" s="333"/>
      <c r="AI1565" s="333"/>
      <c r="AJ1565" s="333"/>
      <c r="AK1565" s="333"/>
      <c r="AL1565" s="333"/>
      <c r="AM1565" s="338"/>
      <c r="AN1565" s="333"/>
      <c r="AO1565" s="333"/>
      <c r="AP1565" s="333"/>
      <c r="AQ1565" s="333"/>
      <c r="AR1565" s="333"/>
      <c r="AS1565" s="333"/>
      <c r="AT1565" s="333"/>
      <c r="AU1565" s="329"/>
      <c r="AV1565" s="341"/>
      <c r="AW1565" s="269" t="s">
        <v>2411</v>
      </c>
      <c r="AX1565" s="334" t="s">
        <v>2869</v>
      </c>
      <c r="AY1565" s="270" t="s">
        <v>695</v>
      </c>
      <c r="AZ1565" s="173" t="s">
        <v>5516</v>
      </c>
      <c r="BA1565" s="265">
        <v>10.0</v>
      </c>
      <c r="BB1565" s="174" t="s">
        <v>245</v>
      </c>
      <c r="BC1565" s="341"/>
      <c r="BD1565" s="308"/>
      <c r="BE1565" s="342"/>
      <c r="BF1565" s="274" t="str">
        <f>IFERROR(__xludf.DUMMYFUNCTION("LOWER(Regexreplace(to_text(E1565),""[^A-Za-z0-9]"","""")&amp;""_""&amp;Regexreplace(to_text(F1565),""[^A-Za-z0-9]"",""""))"),"neptronic_evcbseries")</f>
        <v>neptronic_evcbseries</v>
      </c>
      <c r="BG1565" s="275" t="str">
        <f>IFERROR(__xludf.DUMMYFUNCTION("upper(Regexreplace(to_text(E1565),""[^A-Za-z0-9]"","""")&amp;""-""&amp;Regexreplace(to_text(F1565),""[^A-Za-z0-9]"",""""))"),"NEPTRONIC-EVCBSERIES")</f>
        <v>NEPTRONIC-EVCBSERIES</v>
      </c>
    </row>
    <row r="1566" ht="30.0" customHeight="1">
      <c r="A1566" s="258">
        <v>1558.0</v>
      </c>
      <c r="B1566" s="328" t="s">
        <v>670</v>
      </c>
      <c r="C1566" s="257" t="s">
        <v>6182</v>
      </c>
      <c r="D1566" s="173" t="s">
        <v>6182</v>
      </c>
      <c r="E1566" s="174" t="s">
        <v>2861</v>
      </c>
      <c r="F1566" s="173" t="s">
        <v>2862</v>
      </c>
      <c r="G1566" s="328" t="s">
        <v>673</v>
      </c>
      <c r="H1566" s="328" t="s">
        <v>2863</v>
      </c>
      <c r="I1566" s="258" t="s">
        <v>2864</v>
      </c>
      <c r="J1566" s="259" t="s">
        <v>1211</v>
      </c>
      <c r="K1566" s="260" t="s">
        <v>5770</v>
      </c>
      <c r="L1566" s="359"/>
      <c r="M1566" s="359"/>
      <c r="N1566" s="173" t="s">
        <v>679</v>
      </c>
      <c r="O1566" s="173" t="s">
        <v>225</v>
      </c>
      <c r="P1566" s="262" t="str">
        <f t="shared" si="1"/>
        <v>IN-BLR-ANANTA-VAV-1138_7</v>
      </c>
      <c r="Q1566" s="173" t="s">
        <v>6183</v>
      </c>
      <c r="R1566" s="328" t="str">
        <f>IFS(C1566="","",C1566="n/a","N/A",LEN(C1566),Concatenate("{",char(34),"asset",char(34),":{",char(34),"guid",char(34),":",char(34),Q1566,char(34),",",char(34),"site",char(34),":",char(34),LOWER('2-Building'!$B$4),char(34),",",char(34),"name",char(34),":",char(34),LOWER(C1566),char(34),"}}"))</f>
        <v>{"asset":{"guid":"uuid://2d61035a-4b88-4110-8855-31a613145f18","site":"in-blr-ananta","name":"vav-1138"}}</v>
      </c>
      <c r="S1566" s="360" t="s">
        <v>5516</v>
      </c>
      <c r="T1566" s="330"/>
      <c r="U1566" s="330"/>
      <c r="V1566" s="331"/>
      <c r="W1566" s="332"/>
      <c r="X1566" s="333"/>
      <c r="Y1566" s="33" t="s">
        <v>2867</v>
      </c>
      <c r="Z1566" s="258">
        <v>121138.0</v>
      </c>
      <c r="AA1566" s="334">
        <v>11631.0</v>
      </c>
      <c r="AB1566" s="333"/>
      <c r="AC1566" s="333"/>
      <c r="AD1566" s="329"/>
      <c r="AE1566" s="331"/>
      <c r="AF1566" s="336"/>
      <c r="AG1566" s="337"/>
      <c r="AH1566" s="333"/>
      <c r="AI1566" s="333"/>
      <c r="AJ1566" s="333"/>
      <c r="AK1566" s="333"/>
      <c r="AL1566" s="333"/>
      <c r="AM1566" s="338"/>
      <c r="AN1566" s="333"/>
      <c r="AO1566" s="333"/>
      <c r="AP1566" s="333"/>
      <c r="AQ1566" s="333"/>
      <c r="AR1566" s="333"/>
      <c r="AS1566" s="333"/>
      <c r="AT1566" s="333"/>
      <c r="AU1566" s="329"/>
      <c r="AV1566" s="341"/>
      <c r="AW1566" s="269" t="s">
        <v>2411</v>
      </c>
      <c r="AX1566" s="334" t="s">
        <v>2869</v>
      </c>
      <c r="AY1566" s="270" t="s">
        <v>695</v>
      </c>
      <c r="AZ1566" s="173" t="s">
        <v>5516</v>
      </c>
      <c r="BA1566" s="265">
        <v>10.0</v>
      </c>
      <c r="BB1566" s="174" t="s">
        <v>245</v>
      </c>
      <c r="BC1566" s="341"/>
      <c r="BD1566" s="308"/>
      <c r="BE1566" s="342"/>
      <c r="BF1566" s="274" t="str">
        <f>IFERROR(__xludf.DUMMYFUNCTION("LOWER(Regexreplace(to_text(E1566),""[^A-Za-z0-9]"","""")&amp;""_""&amp;Regexreplace(to_text(F1566),""[^A-Za-z0-9]"",""""))"),"neptronic_evcbseries")</f>
        <v>neptronic_evcbseries</v>
      </c>
      <c r="BG1566" s="275" t="str">
        <f>IFERROR(__xludf.DUMMYFUNCTION("upper(Regexreplace(to_text(E1566),""[^A-Za-z0-9]"","""")&amp;""-""&amp;Regexreplace(to_text(F1566),""[^A-Za-z0-9]"",""""))"),"NEPTRONIC-EVCBSERIES")</f>
        <v>NEPTRONIC-EVCBSERIES</v>
      </c>
    </row>
    <row r="1567" ht="30.0" customHeight="1">
      <c r="A1567" s="173">
        <v>1559.0</v>
      </c>
      <c r="B1567" s="328" t="s">
        <v>670</v>
      </c>
      <c r="C1567" s="257" t="s">
        <v>6184</v>
      </c>
      <c r="D1567" s="173" t="s">
        <v>6184</v>
      </c>
      <c r="E1567" s="174" t="s">
        <v>2861</v>
      </c>
      <c r="F1567" s="173" t="s">
        <v>2862</v>
      </c>
      <c r="G1567" s="328" t="s">
        <v>673</v>
      </c>
      <c r="H1567" s="328" t="s">
        <v>2863</v>
      </c>
      <c r="I1567" s="258" t="s">
        <v>2864</v>
      </c>
      <c r="J1567" s="259" t="s">
        <v>1211</v>
      </c>
      <c r="K1567" s="260" t="s">
        <v>5666</v>
      </c>
      <c r="L1567" s="359"/>
      <c r="M1567" s="359"/>
      <c r="N1567" s="173" t="s">
        <v>679</v>
      </c>
      <c r="O1567" s="173" t="s">
        <v>225</v>
      </c>
      <c r="P1567" s="262" t="str">
        <f t="shared" si="1"/>
        <v>IN-BLR-ANANTA-VAV-1139_7</v>
      </c>
      <c r="Q1567" s="173" t="s">
        <v>6185</v>
      </c>
      <c r="R1567" s="328" t="str">
        <f>IFS(C1567="","",C1567="n/a","N/A",LEN(C1567),Concatenate("{",char(34),"asset",char(34),":{",char(34),"guid",char(34),":",char(34),Q1567,char(34),",",char(34),"site",char(34),":",char(34),LOWER('2-Building'!$B$4),char(34),",",char(34),"name",char(34),":",char(34),LOWER(C1567),char(34),"}}"))</f>
        <v>{"asset":{"guid":"uuid://65ba1828-af0b-4ef0-89af-aa83dd2cf5fc","site":"in-blr-ananta","name":"vav-1139"}}</v>
      </c>
      <c r="S1567" s="360" t="s">
        <v>5516</v>
      </c>
      <c r="T1567" s="330"/>
      <c r="U1567" s="330"/>
      <c r="V1567" s="331"/>
      <c r="W1567" s="332"/>
      <c r="X1567" s="333"/>
      <c r="Y1567" s="33" t="s">
        <v>2867</v>
      </c>
      <c r="Z1567" s="258">
        <v>121139.0</v>
      </c>
      <c r="AA1567" s="334">
        <v>11632.0</v>
      </c>
      <c r="AB1567" s="333"/>
      <c r="AC1567" s="333"/>
      <c r="AD1567" s="329"/>
      <c r="AE1567" s="331"/>
      <c r="AF1567" s="336"/>
      <c r="AG1567" s="337"/>
      <c r="AH1567" s="333"/>
      <c r="AI1567" s="333"/>
      <c r="AJ1567" s="333"/>
      <c r="AK1567" s="333"/>
      <c r="AL1567" s="333"/>
      <c r="AM1567" s="338"/>
      <c r="AN1567" s="333"/>
      <c r="AO1567" s="333"/>
      <c r="AP1567" s="333"/>
      <c r="AQ1567" s="333"/>
      <c r="AR1567" s="333"/>
      <c r="AS1567" s="333"/>
      <c r="AT1567" s="333"/>
      <c r="AU1567" s="329"/>
      <c r="AV1567" s="341"/>
      <c r="AW1567" s="269" t="s">
        <v>2411</v>
      </c>
      <c r="AX1567" s="334" t="s">
        <v>2869</v>
      </c>
      <c r="AY1567" s="270" t="s">
        <v>695</v>
      </c>
      <c r="AZ1567" s="173" t="s">
        <v>5516</v>
      </c>
      <c r="BA1567" s="265">
        <v>10.0</v>
      </c>
      <c r="BB1567" s="174" t="s">
        <v>245</v>
      </c>
      <c r="BC1567" s="341"/>
      <c r="BD1567" s="308"/>
      <c r="BE1567" s="342"/>
      <c r="BF1567" s="274" t="str">
        <f>IFERROR(__xludf.DUMMYFUNCTION("LOWER(Regexreplace(to_text(E1567),""[^A-Za-z0-9]"","""")&amp;""_""&amp;Regexreplace(to_text(F1567),""[^A-Za-z0-9]"",""""))"),"neptronic_evcbseries")</f>
        <v>neptronic_evcbseries</v>
      </c>
      <c r="BG1567" s="275" t="str">
        <f>IFERROR(__xludf.DUMMYFUNCTION("upper(Regexreplace(to_text(E1567),""[^A-Za-z0-9]"","""")&amp;""-""&amp;Regexreplace(to_text(F1567),""[^A-Za-z0-9]"",""""))"),"NEPTRONIC-EVCBSERIES")</f>
        <v>NEPTRONIC-EVCBSERIES</v>
      </c>
    </row>
    <row r="1568" ht="30.0" customHeight="1">
      <c r="A1568" s="258">
        <v>1560.0</v>
      </c>
      <c r="B1568" s="328" t="s">
        <v>670</v>
      </c>
      <c r="C1568" s="257" t="s">
        <v>6186</v>
      </c>
      <c r="D1568" s="173" t="s">
        <v>6186</v>
      </c>
      <c r="E1568" s="174" t="s">
        <v>2861</v>
      </c>
      <c r="F1568" s="173" t="s">
        <v>2862</v>
      </c>
      <c r="G1568" s="328" t="s">
        <v>673</v>
      </c>
      <c r="H1568" s="328" t="s">
        <v>2863</v>
      </c>
      <c r="I1568" s="258" t="s">
        <v>2864</v>
      </c>
      <c r="J1568" s="259" t="s">
        <v>1211</v>
      </c>
      <c r="K1568" s="260" t="s">
        <v>6187</v>
      </c>
      <c r="L1568" s="359"/>
      <c r="M1568" s="359"/>
      <c r="N1568" s="173" t="s">
        <v>679</v>
      </c>
      <c r="O1568" s="173" t="s">
        <v>225</v>
      </c>
      <c r="P1568" s="262" t="str">
        <f t="shared" si="1"/>
        <v>IN-BLR-ANANTA-VAV-1140_7</v>
      </c>
      <c r="Q1568" s="173" t="s">
        <v>6188</v>
      </c>
      <c r="R1568" s="328" t="str">
        <f>IFS(C1568="","",C1568="n/a","N/A",LEN(C1568),Concatenate("{",char(34),"asset",char(34),":{",char(34),"guid",char(34),":",char(34),Q1568,char(34),",",char(34),"site",char(34),":",char(34),LOWER('2-Building'!$B$4),char(34),",",char(34),"name",char(34),":",char(34),LOWER(C1568),char(34),"}}"))</f>
        <v>{"asset":{"guid":"uuid://8c95576a-f04d-44cf-b382-d1500385ddb3","site":"in-blr-ananta","name":"vav-1140"}}</v>
      </c>
      <c r="S1568" s="360" t="s">
        <v>5516</v>
      </c>
      <c r="T1568" s="330"/>
      <c r="U1568" s="330"/>
      <c r="V1568" s="331"/>
      <c r="W1568" s="332"/>
      <c r="X1568" s="333"/>
      <c r="Y1568" s="33" t="s">
        <v>2867</v>
      </c>
      <c r="Z1568" s="258">
        <v>121140.0</v>
      </c>
      <c r="AA1568" s="334">
        <v>11632.0</v>
      </c>
      <c r="AB1568" s="333"/>
      <c r="AC1568" s="333"/>
      <c r="AD1568" s="329"/>
      <c r="AE1568" s="331"/>
      <c r="AF1568" s="336"/>
      <c r="AG1568" s="337"/>
      <c r="AH1568" s="333"/>
      <c r="AI1568" s="333"/>
      <c r="AJ1568" s="333"/>
      <c r="AK1568" s="333"/>
      <c r="AL1568" s="333"/>
      <c r="AM1568" s="338"/>
      <c r="AN1568" s="333"/>
      <c r="AO1568" s="333"/>
      <c r="AP1568" s="333"/>
      <c r="AQ1568" s="333"/>
      <c r="AR1568" s="333"/>
      <c r="AS1568" s="333"/>
      <c r="AT1568" s="333"/>
      <c r="AU1568" s="329"/>
      <c r="AV1568" s="341"/>
      <c r="AW1568" s="269" t="s">
        <v>2411</v>
      </c>
      <c r="AX1568" s="334" t="s">
        <v>2869</v>
      </c>
      <c r="AY1568" s="270" t="s">
        <v>695</v>
      </c>
      <c r="AZ1568" s="173" t="s">
        <v>5516</v>
      </c>
      <c r="BA1568" s="265">
        <v>10.0</v>
      </c>
      <c r="BB1568" s="174" t="s">
        <v>245</v>
      </c>
      <c r="BC1568" s="341"/>
      <c r="BD1568" s="308"/>
      <c r="BE1568" s="342"/>
      <c r="BF1568" s="274" t="str">
        <f>IFERROR(__xludf.DUMMYFUNCTION("LOWER(Regexreplace(to_text(E1568),""[^A-Za-z0-9]"","""")&amp;""_""&amp;Regexreplace(to_text(F1568),""[^A-Za-z0-9]"",""""))"),"neptronic_evcbseries")</f>
        <v>neptronic_evcbseries</v>
      </c>
      <c r="BG1568" s="275" t="str">
        <f>IFERROR(__xludf.DUMMYFUNCTION("upper(Regexreplace(to_text(E1568),""[^A-Za-z0-9]"","""")&amp;""-""&amp;Regexreplace(to_text(F1568),""[^A-Za-z0-9]"",""""))"),"NEPTRONIC-EVCBSERIES")</f>
        <v>NEPTRONIC-EVCBSERIES</v>
      </c>
    </row>
    <row r="1569" ht="30.0" customHeight="1">
      <c r="A1569" s="173">
        <v>1561.0</v>
      </c>
      <c r="B1569" s="328" t="s">
        <v>670</v>
      </c>
      <c r="C1569" s="257" t="s">
        <v>6189</v>
      </c>
      <c r="D1569" s="173" t="s">
        <v>6189</v>
      </c>
      <c r="E1569" s="174" t="s">
        <v>2861</v>
      </c>
      <c r="F1569" s="173" t="s">
        <v>2862</v>
      </c>
      <c r="G1569" s="328" t="s">
        <v>673</v>
      </c>
      <c r="H1569" s="328" t="s">
        <v>2863</v>
      </c>
      <c r="I1569" s="258" t="s">
        <v>2864</v>
      </c>
      <c r="J1569" s="259" t="s">
        <v>1211</v>
      </c>
      <c r="K1569" s="260" t="s">
        <v>6190</v>
      </c>
      <c r="L1569" s="359"/>
      <c r="M1569" s="359"/>
      <c r="N1569" s="173" t="s">
        <v>679</v>
      </c>
      <c r="O1569" s="173" t="s">
        <v>225</v>
      </c>
      <c r="P1569" s="262" t="str">
        <f t="shared" si="1"/>
        <v>IN-BLR-ANANTA-VAV-1141_7</v>
      </c>
      <c r="Q1569" s="173" t="s">
        <v>6191</v>
      </c>
      <c r="R1569" s="328" t="str">
        <f>IFS(C1569="","",C1569="n/a","N/A",LEN(C1569),Concatenate("{",char(34),"asset",char(34),":{",char(34),"guid",char(34),":",char(34),Q1569,char(34),",",char(34),"site",char(34),":",char(34),LOWER('2-Building'!$B$4),char(34),",",char(34),"name",char(34),":",char(34),LOWER(C1569),char(34),"}}"))</f>
        <v>{"asset":{"guid":"uuid://abb0337a-656f-4c20-9eaa-352efaa88443","site":"in-blr-ananta","name":"vav-1141"}}</v>
      </c>
      <c r="S1569" s="360" t="s">
        <v>5516</v>
      </c>
      <c r="T1569" s="330"/>
      <c r="U1569" s="330"/>
      <c r="V1569" s="331"/>
      <c r="W1569" s="332"/>
      <c r="X1569" s="333"/>
      <c r="Y1569" s="33" t="s">
        <v>2867</v>
      </c>
      <c r="Z1569" s="258">
        <v>121141.0</v>
      </c>
      <c r="AA1569" s="334">
        <v>11632.0</v>
      </c>
      <c r="AB1569" s="333"/>
      <c r="AC1569" s="333"/>
      <c r="AD1569" s="329"/>
      <c r="AE1569" s="331"/>
      <c r="AF1569" s="336"/>
      <c r="AG1569" s="337"/>
      <c r="AH1569" s="333"/>
      <c r="AI1569" s="333"/>
      <c r="AJ1569" s="333"/>
      <c r="AK1569" s="333"/>
      <c r="AL1569" s="333"/>
      <c r="AM1569" s="338"/>
      <c r="AN1569" s="333"/>
      <c r="AO1569" s="333"/>
      <c r="AP1569" s="333"/>
      <c r="AQ1569" s="333"/>
      <c r="AR1569" s="333"/>
      <c r="AS1569" s="333"/>
      <c r="AT1569" s="333"/>
      <c r="AU1569" s="329"/>
      <c r="AV1569" s="341"/>
      <c r="AW1569" s="269" t="s">
        <v>2411</v>
      </c>
      <c r="AX1569" s="334" t="s">
        <v>2869</v>
      </c>
      <c r="AY1569" s="270" t="s">
        <v>695</v>
      </c>
      <c r="AZ1569" s="173" t="s">
        <v>5516</v>
      </c>
      <c r="BA1569" s="265">
        <v>10.0</v>
      </c>
      <c r="BB1569" s="174" t="s">
        <v>245</v>
      </c>
      <c r="BC1569" s="341"/>
      <c r="BD1569" s="308"/>
      <c r="BE1569" s="342"/>
      <c r="BF1569" s="274" t="str">
        <f>IFERROR(__xludf.DUMMYFUNCTION("LOWER(Regexreplace(to_text(E1569),""[^A-Za-z0-9]"","""")&amp;""_""&amp;Regexreplace(to_text(F1569),""[^A-Za-z0-9]"",""""))"),"neptronic_evcbseries")</f>
        <v>neptronic_evcbseries</v>
      </c>
      <c r="BG1569" s="275" t="str">
        <f>IFERROR(__xludf.DUMMYFUNCTION("upper(Regexreplace(to_text(E1569),""[^A-Za-z0-9]"","""")&amp;""-""&amp;Regexreplace(to_text(F1569),""[^A-Za-z0-9]"",""""))"),"NEPTRONIC-EVCBSERIES")</f>
        <v>NEPTRONIC-EVCBSERIES</v>
      </c>
    </row>
    <row r="1570" ht="30.0" customHeight="1">
      <c r="A1570" s="258">
        <v>1562.0</v>
      </c>
      <c r="B1570" s="328" t="s">
        <v>670</v>
      </c>
      <c r="C1570" s="257" t="s">
        <v>6192</v>
      </c>
      <c r="D1570" s="173" t="s">
        <v>6192</v>
      </c>
      <c r="E1570" s="174" t="s">
        <v>2861</v>
      </c>
      <c r="F1570" s="173" t="s">
        <v>2862</v>
      </c>
      <c r="G1570" s="328" t="s">
        <v>673</v>
      </c>
      <c r="H1570" s="328" t="s">
        <v>2863</v>
      </c>
      <c r="I1570" s="258" t="s">
        <v>2864</v>
      </c>
      <c r="J1570" s="259" t="s">
        <v>1211</v>
      </c>
      <c r="K1570" s="260" t="s">
        <v>6193</v>
      </c>
      <c r="L1570" s="359"/>
      <c r="M1570" s="359"/>
      <c r="N1570" s="173" t="s">
        <v>679</v>
      </c>
      <c r="O1570" s="173" t="s">
        <v>225</v>
      </c>
      <c r="P1570" s="262" t="str">
        <f t="shared" si="1"/>
        <v>IN-BLR-ANANTA-VAV-1142_7</v>
      </c>
      <c r="Q1570" s="173" t="s">
        <v>6194</v>
      </c>
      <c r="R1570" s="328" t="str">
        <f>IFS(C1570="","",C1570="n/a","N/A",LEN(C1570),Concatenate("{",char(34),"asset",char(34),":{",char(34),"guid",char(34),":",char(34),Q1570,char(34),",",char(34),"site",char(34),":",char(34),LOWER('2-Building'!$B$4),char(34),",",char(34),"name",char(34),":",char(34),LOWER(C1570),char(34),"}}"))</f>
        <v>{"asset":{"guid":"uuid://52903f3b-f2bc-490e-8784-0eb244124573","site":"in-blr-ananta","name":"vav-1142"}}</v>
      </c>
      <c r="S1570" s="360" t="s">
        <v>5516</v>
      </c>
      <c r="T1570" s="330"/>
      <c r="U1570" s="330"/>
      <c r="V1570" s="331"/>
      <c r="W1570" s="332"/>
      <c r="X1570" s="333"/>
      <c r="Y1570" s="33" t="s">
        <v>2867</v>
      </c>
      <c r="Z1570" s="258">
        <v>121142.0</v>
      </c>
      <c r="AA1570" s="334">
        <v>11632.0</v>
      </c>
      <c r="AB1570" s="333"/>
      <c r="AC1570" s="333"/>
      <c r="AD1570" s="329"/>
      <c r="AE1570" s="331"/>
      <c r="AF1570" s="336"/>
      <c r="AG1570" s="337"/>
      <c r="AH1570" s="333"/>
      <c r="AI1570" s="333"/>
      <c r="AJ1570" s="333"/>
      <c r="AK1570" s="333"/>
      <c r="AL1570" s="333"/>
      <c r="AM1570" s="338"/>
      <c r="AN1570" s="333"/>
      <c r="AO1570" s="333"/>
      <c r="AP1570" s="333"/>
      <c r="AQ1570" s="333"/>
      <c r="AR1570" s="333"/>
      <c r="AS1570" s="333"/>
      <c r="AT1570" s="333"/>
      <c r="AU1570" s="329"/>
      <c r="AV1570" s="341"/>
      <c r="AW1570" s="269" t="s">
        <v>2411</v>
      </c>
      <c r="AX1570" s="334" t="s">
        <v>2869</v>
      </c>
      <c r="AY1570" s="270" t="s">
        <v>695</v>
      </c>
      <c r="AZ1570" s="173" t="s">
        <v>5516</v>
      </c>
      <c r="BA1570" s="265">
        <v>10.0</v>
      </c>
      <c r="BB1570" s="174" t="s">
        <v>245</v>
      </c>
      <c r="BC1570" s="341"/>
      <c r="BD1570" s="308"/>
      <c r="BE1570" s="342"/>
      <c r="BF1570" s="274" t="str">
        <f>IFERROR(__xludf.DUMMYFUNCTION("LOWER(Regexreplace(to_text(E1570),""[^A-Za-z0-9]"","""")&amp;""_""&amp;Regexreplace(to_text(F1570),""[^A-Za-z0-9]"",""""))"),"neptronic_evcbseries")</f>
        <v>neptronic_evcbseries</v>
      </c>
      <c r="BG1570" s="275" t="str">
        <f>IFERROR(__xludf.DUMMYFUNCTION("upper(Regexreplace(to_text(E1570),""[^A-Za-z0-9]"","""")&amp;""-""&amp;Regexreplace(to_text(F1570),""[^A-Za-z0-9]"",""""))"),"NEPTRONIC-EVCBSERIES")</f>
        <v>NEPTRONIC-EVCBSERIES</v>
      </c>
    </row>
    <row r="1571" ht="30.0" customHeight="1">
      <c r="A1571" s="173">
        <v>1563.0</v>
      </c>
      <c r="B1571" s="328" t="s">
        <v>670</v>
      </c>
      <c r="C1571" s="257" t="s">
        <v>6195</v>
      </c>
      <c r="D1571" s="173" t="s">
        <v>6195</v>
      </c>
      <c r="E1571" s="174" t="s">
        <v>2861</v>
      </c>
      <c r="F1571" s="173" t="s">
        <v>2862</v>
      </c>
      <c r="G1571" s="328" t="s">
        <v>673</v>
      </c>
      <c r="H1571" s="328" t="s">
        <v>2863</v>
      </c>
      <c r="I1571" s="258" t="s">
        <v>2864</v>
      </c>
      <c r="J1571" s="259" t="s">
        <v>1211</v>
      </c>
      <c r="K1571" s="260" t="s">
        <v>6196</v>
      </c>
      <c r="L1571" s="359"/>
      <c r="M1571" s="359"/>
      <c r="N1571" s="173" t="s">
        <v>679</v>
      </c>
      <c r="O1571" s="173" t="s">
        <v>225</v>
      </c>
      <c r="P1571" s="262" t="str">
        <f t="shared" si="1"/>
        <v>IN-BLR-ANANTA-VAV-1143_7</v>
      </c>
      <c r="Q1571" s="173" t="s">
        <v>6197</v>
      </c>
      <c r="R1571" s="328" t="str">
        <f>IFS(C1571="","",C1571="n/a","N/A",LEN(C1571),Concatenate("{",char(34),"asset",char(34),":{",char(34),"guid",char(34),":",char(34),Q1571,char(34),",",char(34),"site",char(34),":",char(34),LOWER('2-Building'!$B$4),char(34),",",char(34),"name",char(34),":",char(34),LOWER(C1571),char(34),"}}"))</f>
        <v>{"asset":{"guid":"uuid://a73a7e0e-d67e-43be-abef-10335aa94050","site":"in-blr-ananta","name":"vav-1143"}}</v>
      </c>
      <c r="S1571" s="360" t="s">
        <v>5516</v>
      </c>
      <c r="T1571" s="330"/>
      <c r="U1571" s="330"/>
      <c r="V1571" s="331"/>
      <c r="W1571" s="332"/>
      <c r="X1571" s="333"/>
      <c r="Y1571" s="33" t="s">
        <v>2867</v>
      </c>
      <c r="Z1571" s="258">
        <v>121143.0</v>
      </c>
      <c r="AA1571" s="334">
        <v>11632.0</v>
      </c>
      <c r="AB1571" s="333"/>
      <c r="AC1571" s="333"/>
      <c r="AD1571" s="329"/>
      <c r="AE1571" s="331"/>
      <c r="AF1571" s="336"/>
      <c r="AG1571" s="337"/>
      <c r="AH1571" s="333"/>
      <c r="AI1571" s="333"/>
      <c r="AJ1571" s="333"/>
      <c r="AK1571" s="333"/>
      <c r="AL1571" s="333"/>
      <c r="AM1571" s="338"/>
      <c r="AN1571" s="333"/>
      <c r="AO1571" s="333"/>
      <c r="AP1571" s="333"/>
      <c r="AQ1571" s="333"/>
      <c r="AR1571" s="333"/>
      <c r="AS1571" s="333"/>
      <c r="AT1571" s="333"/>
      <c r="AU1571" s="329"/>
      <c r="AV1571" s="341"/>
      <c r="AW1571" s="269" t="s">
        <v>2411</v>
      </c>
      <c r="AX1571" s="334" t="s">
        <v>2869</v>
      </c>
      <c r="AY1571" s="270" t="s">
        <v>695</v>
      </c>
      <c r="AZ1571" s="173" t="s">
        <v>5516</v>
      </c>
      <c r="BA1571" s="265">
        <v>10.0</v>
      </c>
      <c r="BB1571" s="174" t="s">
        <v>245</v>
      </c>
      <c r="BC1571" s="341"/>
      <c r="BD1571" s="308"/>
      <c r="BE1571" s="342"/>
      <c r="BF1571" s="274" t="str">
        <f>IFERROR(__xludf.DUMMYFUNCTION("LOWER(Regexreplace(to_text(E1571),""[^A-Za-z0-9]"","""")&amp;""_""&amp;Regexreplace(to_text(F1571),""[^A-Za-z0-9]"",""""))"),"neptronic_evcbseries")</f>
        <v>neptronic_evcbseries</v>
      </c>
      <c r="BG1571" s="275" t="str">
        <f>IFERROR(__xludf.DUMMYFUNCTION("upper(Regexreplace(to_text(E1571),""[^A-Za-z0-9]"","""")&amp;""-""&amp;Regexreplace(to_text(F1571),""[^A-Za-z0-9]"",""""))"),"NEPTRONIC-EVCBSERIES")</f>
        <v>NEPTRONIC-EVCBSERIES</v>
      </c>
    </row>
    <row r="1572" ht="30.0" customHeight="1">
      <c r="A1572" s="258">
        <v>1564.0</v>
      </c>
      <c r="B1572" s="328" t="s">
        <v>670</v>
      </c>
      <c r="C1572" s="257" t="s">
        <v>6198</v>
      </c>
      <c r="D1572" s="173" t="s">
        <v>6198</v>
      </c>
      <c r="E1572" s="174" t="s">
        <v>2861</v>
      </c>
      <c r="F1572" s="173" t="s">
        <v>2862</v>
      </c>
      <c r="G1572" s="328" t="s">
        <v>673</v>
      </c>
      <c r="H1572" s="328" t="s">
        <v>2863</v>
      </c>
      <c r="I1572" s="258" t="s">
        <v>2864</v>
      </c>
      <c r="J1572" s="259" t="s">
        <v>1211</v>
      </c>
      <c r="K1572" s="260" t="s">
        <v>6199</v>
      </c>
      <c r="L1572" s="359"/>
      <c r="M1572" s="359"/>
      <c r="N1572" s="173" t="s">
        <v>679</v>
      </c>
      <c r="O1572" s="173" t="s">
        <v>225</v>
      </c>
      <c r="P1572" s="262" t="str">
        <f t="shared" si="1"/>
        <v>IN-BLR-ANANTA-VAV-1144_7</v>
      </c>
      <c r="Q1572" s="173" t="s">
        <v>6200</v>
      </c>
      <c r="R1572" s="328" t="str">
        <f>IFS(C1572="","",C1572="n/a","N/A",LEN(C1572),Concatenate("{",char(34),"asset",char(34),":{",char(34),"guid",char(34),":",char(34),Q1572,char(34),",",char(34),"site",char(34),":",char(34),LOWER('2-Building'!$B$4),char(34),",",char(34),"name",char(34),":",char(34),LOWER(C1572),char(34),"}}"))</f>
        <v>{"asset":{"guid":"uuid://74f06410-3c3f-455c-9cca-4d05ad7849db","site":"in-blr-ananta","name":"vav-1144"}}</v>
      </c>
      <c r="S1572" s="360" t="s">
        <v>5516</v>
      </c>
      <c r="T1572" s="330"/>
      <c r="U1572" s="330"/>
      <c r="V1572" s="331"/>
      <c r="W1572" s="332"/>
      <c r="X1572" s="333"/>
      <c r="Y1572" s="33" t="s">
        <v>2867</v>
      </c>
      <c r="Z1572" s="258">
        <v>121144.0</v>
      </c>
      <c r="AA1572" s="334">
        <v>11632.0</v>
      </c>
      <c r="AB1572" s="333"/>
      <c r="AC1572" s="333"/>
      <c r="AD1572" s="329"/>
      <c r="AE1572" s="331"/>
      <c r="AF1572" s="336"/>
      <c r="AG1572" s="337"/>
      <c r="AH1572" s="333"/>
      <c r="AI1572" s="333"/>
      <c r="AJ1572" s="333"/>
      <c r="AK1572" s="333"/>
      <c r="AL1572" s="333"/>
      <c r="AM1572" s="338"/>
      <c r="AN1572" s="333"/>
      <c r="AO1572" s="333"/>
      <c r="AP1572" s="333"/>
      <c r="AQ1572" s="333"/>
      <c r="AR1572" s="333"/>
      <c r="AS1572" s="333"/>
      <c r="AT1572" s="333"/>
      <c r="AU1572" s="329"/>
      <c r="AV1572" s="341"/>
      <c r="AW1572" s="269" t="s">
        <v>2411</v>
      </c>
      <c r="AX1572" s="334" t="s">
        <v>2869</v>
      </c>
      <c r="AY1572" s="270" t="s">
        <v>695</v>
      </c>
      <c r="AZ1572" s="173" t="s">
        <v>5516</v>
      </c>
      <c r="BA1572" s="265">
        <v>10.0</v>
      </c>
      <c r="BB1572" s="174" t="s">
        <v>245</v>
      </c>
      <c r="BC1572" s="341"/>
      <c r="BD1572" s="308"/>
      <c r="BE1572" s="342"/>
      <c r="BF1572" s="274" t="str">
        <f>IFERROR(__xludf.DUMMYFUNCTION("LOWER(Regexreplace(to_text(E1572),""[^A-Za-z0-9]"","""")&amp;""_""&amp;Regexreplace(to_text(F1572),""[^A-Za-z0-9]"",""""))"),"neptronic_evcbseries")</f>
        <v>neptronic_evcbseries</v>
      </c>
      <c r="BG1572" s="275" t="str">
        <f>IFERROR(__xludf.DUMMYFUNCTION("upper(Regexreplace(to_text(E1572),""[^A-Za-z0-9]"","""")&amp;""-""&amp;Regexreplace(to_text(F1572),""[^A-Za-z0-9]"",""""))"),"NEPTRONIC-EVCBSERIES")</f>
        <v>NEPTRONIC-EVCBSERIES</v>
      </c>
    </row>
    <row r="1573" ht="30.0" customHeight="1">
      <c r="A1573" s="173">
        <v>1565.0</v>
      </c>
      <c r="B1573" s="328" t="s">
        <v>670</v>
      </c>
      <c r="C1573" s="257" t="s">
        <v>6201</v>
      </c>
      <c r="D1573" s="173" t="s">
        <v>6201</v>
      </c>
      <c r="E1573" s="174" t="s">
        <v>2861</v>
      </c>
      <c r="F1573" s="173" t="s">
        <v>2862</v>
      </c>
      <c r="G1573" s="328" t="s">
        <v>673</v>
      </c>
      <c r="H1573" s="328" t="s">
        <v>2863</v>
      </c>
      <c r="I1573" s="258" t="s">
        <v>2864</v>
      </c>
      <c r="J1573" s="259" t="s">
        <v>1211</v>
      </c>
      <c r="K1573" s="260" t="s">
        <v>6202</v>
      </c>
      <c r="L1573" s="359"/>
      <c r="M1573" s="359"/>
      <c r="N1573" s="173" t="s">
        <v>679</v>
      </c>
      <c r="O1573" s="173" t="s">
        <v>225</v>
      </c>
      <c r="P1573" s="262" t="str">
        <f t="shared" si="1"/>
        <v>IN-BLR-ANANTA-VAV-1145_7</v>
      </c>
      <c r="Q1573" s="173" t="s">
        <v>6203</v>
      </c>
      <c r="R1573" s="328" t="str">
        <f>IFS(C1573="","",C1573="n/a","N/A",LEN(C1573),Concatenate("{",char(34),"asset",char(34),":{",char(34),"guid",char(34),":",char(34),Q1573,char(34),",",char(34),"site",char(34),":",char(34),LOWER('2-Building'!$B$4),char(34),",",char(34),"name",char(34),":",char(34),LOWER(C1573),char(34),"}}"))</f>
        <v>{"asset":{"guid":"uuid://1f06fcbb-c768-4f2a-8577-399400107605","site":"in-blr-ananta","name":"vav-1145"}}</v>
      </c>
      <c r="S1573" s="360" t="s">
        <v>5516</v>
      </c>
      <c r="T1573" s="330"/>
      <c r="U1573" s="330"/>
      <c r="V1573" s="331"/>
      <c r="W1573" s="332"/>
      <c r="X1573" s="333"/>
      <c r="Y1573" s="33" t="s">
        <v>2867</v>
      </c>
      <c r="Z1573" s="258">
        <v>121145.0</v>
      </c>
      <c r="AA1573" s="334">
        <v>11632.0</v>
      </c>
      <c r="AB1573" s="333"/>
      <c r="AC1573" s="333"/>
      <c r="AD1573" s="329"/>
      <c r="AE1573" s="331"/>
      <c r="AF1573" s="336"/>
      <c r="AG1573" s="337"/>
      <c r="AH1573" s="333"/>
      <c r="AI1573" s="333"/>
      <c r="AJ1573" s="333"/>
      <c r="AK1573" s="333"/>
      <c r="AL1573" s="333"/>
      <c r="AM1573" s="338"/>
      <c r="AN1573" s="333"/>
      <c r="AO1573" s="333"/>
      <c r="AP1573" s="333"/>
      <c r="AQ1573" s="333"/>
      <c r="AR1573" s="333"/>
      <c r="AS1573" s="333"/>
      <c r="AT1573" s="333"/>
      <c r="AU1573" s="329"/>
      <c r="AV1573" s="341"/>
      <c r="AW1573" s="269" t="s">
        <v>2411</v>
      </c>
      <c r="AX1573" s="334" t="s">
        <v>2869</v>
      </c>
      <c r="AY1573" s="270" t="s">
        <v>695</v>
      </c>
      <c r="AZ1573" s="173" t="s">
        <v>5516</v>
      </c>
      <c r="BA1573" s="265">
        <v>10.0</v>
      </c>
      <c r="BB1573" s="174" t="s">
        <v>245</v>
      </c>
      <c r="BC1573" s="341"/>
      <c r="BD1573" s="308"/>
      <c r="BE1573" s="342"/>
      <c r="BF1573" s="274" t="str">
        <f>IFERROR(__xludf.DUMMYFUNCTION("LOWER(Regexreplace(to_text(E1573),""[^A-Za-z0-9]"","""")&amp;""_""&amp;Regexreplace(to_text(F1573),""[^A-Za-z0-9]"",""""))"),"neptronic_evcbseries")</f>
        <v>neptronic_evcbseries</v>
      </c>
      <c r="BG1573" s="275" t="str">
        <f>IFERROR(__xludf.DUMMYFUNCTION("upper(Regexreplace(to_text(E1573),""[^A-Za-z0-9]"","""")&amp;""-""&amp;Regexreplace(to_text(F1573),""[^A-Za-z0-9]"",""""))"),"NEPTRONIC-EVCBSERIES")</f>
        <v>NEPTRONIC-EVCBSERIES</v>
      </c>
    </row>
    <row r="1574" ht="30.0" customHeight="1">
      <c r="A1574" s="258">
        <v>1566.0</v>
      </c>
      <c r="B1574" s="328" t="s">
        <v>670</v>
      </c>
      <c r="C1574" s="257" t="s">
        <v>6204</v>
      </c>
      <c r="D1574" s="173" t="s">
        <v>6204</v>
      </c>
      <c r="E1574" s="174" t="s">
        <v>2861</v>
      </c>
      <c r="F1574" s="173" t="s">
        <v>2862</v>
      </c>
      <c r="G1574" s="328" t="s">
        <v>673</v>
      </c>
      <c r="H1574" s="328" t="s">
        <v>2863</v>
      </c>
      <c r="I1574" s="258" t="s">
        <v>2864</v>
      </c>
      <c r="J1574" s="259" t="s">
        <v>1211</v>
      </c>
      <c r="K1574" s="260" t="s">
        <v>6205</v>
      </c>
      <c r="L1574" s="359"/>
      <c r="M1574" s="359"/>
      <c r="N1574" s="173" t="s">
        <v>679</v>
      </c>
      <c r="O1574" s="173" t="s">
        <v>225</v>
      </c>
      <c r="P1574" s="262" t="str">
        <f t="shared" si="1"/>
        <v>IN-BLR-ANANTA-VAV-1146_7</v>
      </c>
      <c r="Q1574" s="173" t="s">
        <v>6206</v>
      </c>
      <c r="R1574" s="328" t="str">
        <f>IFS(C1574="","",C1574="n/a","N/A",LEN(C1574),Concatenate("{",char(34),"asset",char(34),":{",char(34),"guid",char(34),":",char(34),Q1574,char(34),",",char(34),"site",char(34),":",char(34),LOWER('2-Building'!$B$4),char(34),",",char(34),"name",char(34),":",char(34),LOWER(C1574),char(34),"}}"))</f>
        <v>{"asset":{"guid":"uuid://797e0756-0d28-448e-9513-ac2e4789b43f","site":"in-blr-ananta","name":"vav-1146"}}</v>
      </c>
      <c r="S1574" s="360" t="s">
        <v>5516</v>
      </c>
      <c r="T1574" s="330"/>
      <c r="U1574" s="330"/>
      <c r="V1574" s="331"/>
      <c r="W1574" s="332"/>
      <c r="X1574" s="333"/>
      <c r="Y1574" s="33" t="s">
        <v>2867</v>
      </c>
      <c r="Z1574" s="258">
        <v>121146.0</v>
      </c>
      <c r="AA1574" s="334">
        <v>11632.0</v>
      </c>
      <c r="AB1574" s="333"/>
      <c r="AC1574" s="333"/>
      <c r="AD1574" s="329"/>
      <c r="AE1574" s="331"/>
      <c r="AF1574" s="336"/>
      <c r="AG1574" s="337"/>
      <c r="AH1574" s="333"/>
      <c r="AI1574" s="333"/>
      <c r="AJ1574" s="333"/>
      <c r="AK1574" s="333"/>
      <c r="AL1574" s="333"/>
      <c r="AM1574" s="338"/>
      <c r="AN1574" s="333"/>
      <c r="AO1574" s="333"/>
      <c r="AP1574" s="333"/>
      <c r="AQ1574" s="333"/>
      <c r="AR1574" s="333"/>
      <c r="AS1574" s="333"/>
      <c r="AT1574" s="333"/>
      <c r="AU1574" s="329"/>
      <c r="AV1574" s="341"/>
      <c r="AW1574" s="269" t="s">
        <v>2411</v>
      </c>
      <c r="AX1574" s="334" t="s">
        <v>2869</v>
      </c>
      <c r="AY1574" s="270" t="s">
        <v>695</v>
      </c>
      <c r="AZ1574" s="173" t="s">
        <v>5516</v>
      </c>
      <c r="BA1574" s="265">
        <v>10.0</v>
      </c>
      <c r="BB1574" s="174" t="s">
        <v>245</v>
      </c>
      <c r="BC1574" s="341"/>
      <c r="BD1574" s="308"/>
      <c r="BE1574" s="342"/>
      <c r="BF1574" s="274" t="str">
        <f>IFERROR(__xludf.DUMMYFUNCTION("LOWER(Regexreplace(to_text(E1574),""[^A-Za-z0-9]"","""")&amp;""_""&amp;Regexreplace(to_text(F1574),""[^A-Za-z0-9]"",""""))"),"neptronic_evcbseries")</f>
        <v>neptronic_evcbseries</v>
      </c>
      <c r="BG1574" s="275" t="str">
        <f>IFERROR(__xludf.DUMMYFUNCTION("upper(Regexreplace(to_text(E1574),""[^A-Za-z0-9]"","""")&amp;""-""&amp;Regexreplace(to_text(F1574),""[^A-Za-z0-9]"",""""))"),"NEPTRONIC-EVCBSERIES")</f>
        <v>NEPTRONIC-EVCBSERIES</v>
      </c>
    </row>
    <row r="1575" ht="30.0" customHeight="1">
      <c r="A1575" s="173">
        <v>1567.0</v>
      </c>
      <c r="B1575" s="328" t="s">
        <v>670</v>
      </c>
      <c r="C1575" s="257" t="s">
        <v>6207</v>
      </c>
      <c r="D1575" s="173" t="s">
        <v>6207</v>
      </c>
      <c r="E1575" s="174" t="s">
        <v>2861</v>
      </c>
      <c r="F1575" s="173" t="s">
        <v>2862</v>
      </c>
      <c r="G1575" s="328" t="s">
        <v>673</v>
      </c>
      <c r="H1575" s="328" t="s">
        <v>2863</v>
      </c>
      <c r="I1575" s="258" t="s">
        <v>2864</v>
      </c>
      <c r="J1575" s="259" t="s">
        <v>1211</v>
      </c>
      <c r="K1575" s="260" t="s">
        <v>6208</v>
      </c>
      <c r="L1575" s="359"/>
      <c r="M1575" s="359"/>
      <c r="N1575" s="173" t="s">
        <v>679</v>
      </c>
      <c r="O1575" s="173" t="s">
        <v>225</v>
      </c>
      <c r="P1575" s="262" t="str">
        <f t="shared" si="1"/>
        <v>IN-BLR-ANANTA-VAV-1147_7</v>
      </c>
      <c r="Q1575" s="173" t="s">
        <v>6209</v>
      </c>
      <c r="R1575" s="328" t="str">
        <f>IFS(C1575="","",C1575="n/a","N/A",LEN(C1575),Concatenate("{",char(34),"asset",char(34),":{",char(34),"guid",char(34),":",char(34),Q1575,char(34),",",char(34),"site",char(34),":",char(34),LOWER('2-Building'!$B$4),char(34),",",char(34),"name",char(34),":",char(34),LOWER(C1575),char(34),"}}"))</f>
        <v>{"asset":{"guid":"uuid://6d3028ef-dceb-4d8b-986c-142befb9fc94","site":"in-blr-ananta","name":"vav-1147"}}</v>
      </c>
      <c r="S1575" s="360" t="s">
        <v>5516</v>
      </c>
      <c r="T1575" s="330"/>
      <c r="U1575" s="330"/>
      <c r="V1575" s="331"/>
      <c r="W1575" s="332"/>
      <c r="X1575" s="333"/>
      <c r="Y1575" s="33" t="s">
        <v>2867</v>
      </c>
      <c r="Z1575" s="258">
        <v>121147.0</v>
      </c>
      <c r="AA1575" s="334">
        <v>11632.0</v>
      </c>
      <c r="AB1575" s="333"/>
      <c r="AC1575" s="333"/>
      <c r="AD1575" s="329"/>
      <c r="AE1575" s="331"/>
      <c r="AF1575" s="336"/>
      <c r="AG1575" s="337"/>
      <c r="AH1575" s="333"/>
      <c r="AI1575" s="333"/>
      <c r="AJ1575" s="333"/>
      <c r="AK1575" s="333"/>
      <c r="AL1575" s="333"/>
      <c r="AM1575" s="338"/>
      <c r="AN1575" s="333"/>
      <c r="AO1575" s="333"/>
      <c r="AP1575" s="333"/>
      <c r="AQ1575" s="333"/>
      <c r="AR1575" s="333"/>
      <c r="AS1575" s="333"/>
      <c r="AT1575" s="333"/>
      <c r="AU1575" s="329"/>
      <c r="AV1575" s="341"/>
      <c r="AW1575" s="269" t="s">
        <v>2411</v>
      </c>
      <c r="AX1575" s="334" t="s">
        <v>2869</v>
      </c>
      <c r="AY1575" s="270" t="s">
        <v>695</v>
      </c>
      <c r="AZ1575" s="173" t="s">
        <v>5516</v>
      </c>
      <c r="BA1575" s="265">
        <v>10.0</v>
      </c>
      <c r="BB1575" s="174" t="s">
        <v>245</v>
      </c>
      <c r="BC1575" s="341"/>
      <c r="BD1575" s="308"/>
      <c r="BE1575" s="342"/>
      <c r="BF1575" s="274" t="str">
        <f>IFERROR(__xludf.DUMMYFUNCTION("LOWER(Regexreplace(to_text(E1575),""[^A-Za-z0-9]"","""")&amp;""_""&amp;Regexreplace(to_text(F1575),""[^A-Za-z0-9]"",""""))"),"neptronic_evcbseries")</f>
        <v>neptronic_evcbseries</v>
      </c>
      <c r="BG1575" s="275" t="str">
        <f>IFERROR(__xludf.DUMMYFUNCTION("upper(Regexreplace(to_text(E1575),""[^A-Za-z0-9]"","""")&amp;""-""&amp;Regexreplace(to_text(F1575),""[^A-Za-z0-9]"",""""))"),"NEPTRONIC-EVCBSERIES")</f>
        <v>NEPTRONIC-EVCBSERIES</v>
      </c>
    </row>
    <row r="1576" ht="30.0" customHeight="1">
      <c r="A1576" s="258">
        <v>1568.0</v>
      </c>
      <c r="B1576" s="328" t="s">
        <v>670</v>
      </c>
      <c r="C1576" s="257" t="s">
        <v>6210</v>
      </c>
      <c r="D1576" s="173" t="s">
        <v>6210</v>
      </c>
      <c r="E1576" s="174" t="s">
        <v>2861</v>
      </c>
      <c r="F1576" s="173" t="s">
        <v>2862</v>
      </c>
      <c r="G1576" s="328" t="s">
        <v>673</v>
      </c>
      <c r="H1576" s="328" t="s">
        <v>2863</v>
      </c>
      <c r="I1576" s="258" t="s">
        <v>2864</v>
      </c>
      <c r="J1576" s="259" t="s">
        <v>1211</v>
      </c>
      <c r="K1576" s="260" t="s">
        <v>6211</v>
      </c>
      <c r="L1576" s="359"/>
      <c r="M1576" s="359"/>
      <c r="N1576" s="173" t="s">
        <v>679</v>
      </c>
      <c r="O1576" s="173" t="s">
        <v>225</v>
      </c>
      <c r="P1576" s="262" t="str">
        <f t="shared" si="1"/>
        <v>IN-BLR-ANANTA-VAV-1148_7</v>
      </c>
      <c r="Q1576" s="173" t="s">
        <v>6212</v>
      </c>
      <c r="R1576" s="328" t="str">
        <f>IFS(C1576="","",C1576="n/a","N/A",LEN(C1576),Concatenate("{",char(34),"asset",char(34),":{",char(34),"guid",char(34),":",char(34),Q1576,char(34),",",char(34),"site",char(34),":",char(34),LOWER('2-Building'!$B$4),char(34),",",char(34),"name",char(34),":",char(34),LOWER(C1576),char(34),"}}"))</f>
        <v>{"asset":{"guid":"uuid://b9748b7e-d827-4d23-a4e3-ddbc99bcc3ce","site":"in-blr-ananta","name":"vav-1148"}}</v>
      </c>
      <c r="S1576" s="360" t="s">
        <v>5516</v>
      </c>
      <c r="T1576" s="330"/>
      <c r="U1576" s="330"/>
      <c r="V1576" s="331"/>
      <c r="W1576" s="332"/>
      <c r="X1576" s="333"/>
      <c r="Y1576" s="33" t="s">
        <v>2867</v>
      </c>
      <c r="Z1576" s="258">
        <v>121148.0</v>
      </c>
      <c r="AA1576" s="334">
        <v>11632.0</v>
      </c>
      <c r="AB1576" s="333"/>
      <c r="AC1576" s="333"/>
      <c r="AD1576" s="329"/>
      <c r="AE1576" s="331"/>
      <c r="AF1576" s="336"/>
      <c r="AG1576" s="337"/>
      <c r="AH1576" s="333"/>
      <c r="AI1576" s="333"/>
      <c r="AJ1576" s="333"/>
      <c r="AK1576" s="333"/>
      <c r="AL1576" s="333"/>
      <c r="AM1576" s="338"/>
      <c r="AN1576" s="333"/>
      <c r="AO1576" s="333"/>
      <c r="AP1576" s="333"/>
      <c r="AQ1576" s="333"/>
      <c r="AR1576" s="333"/>
      <c r="AS1576" s="333"/>
      <c r="AT1576" s="333"/>
      <c r="AU1576" s="329"/>
      <c r="AV1576" s="341"/>
      <c r="AW1576" s="269" t="s">
        <v>2411</v>
      </c>
      <c r="AX1576" s="334" t="s">
        <v>2869</v>
      </c>
      <c r="AY1576" s="270" t="s">
        <v>695</v>
      </c>
      <c r="AZ1576" s="173" t="s">
        <v>5516</v>
      </c>
      <c r="BA1576" s="265">
        <v>10.0</v>
      </c>
      <c r="BB1576" s="174" t="s">
        <v>245</v>
      </c>
      <c r="BC1576" s="341"/>
      <c r="BD1576" s="308"/>
      <c r="BE1576" s="342"/>
      <c r="BF1576" s="274" t="str">
        <f>IFERROR(__xludf.DUMMYFUNCTION("LOWER(Regexreplace(to_text(E1576),""[^A-Za-z0-9]"","""")&amp;""_""&amp;Regexreplace(to_text(F1576),""[^A-Za-z0-9]"",""""))"),"neptronic_evcbseries")</f>
        <v>neptronic_evcbseries</v>
      </c>
      <c r="BG1576" s="275" t="str">
        <f>IFERROR(__xludf.DUMMYFUNCTION("upper(Regexreplace(to_text(E1576),""[^A-Za-z0-9]"","""")&amp;""-""&amp;Regexreplace(to_text(F1576),""[^A-Za-z0-9]"",""""))"),"NEPTRONIC-EVCBSERIES")</f>
        <v>NEPTRONIC-EVCBSERIES</v>
      </c>
    </row>
    <row r="1577" ht="30.0" customHeight="1">
      <c r="A1577" s="173">
        <v>1569.0</v>
      </c>
      <c r="B1577" s="328" t="s">
        <v>670</v>
      </c>
      <c r="C1577" s="257" t="s">
        <v>6213</v>
      </c>
      <c r="D1577" s="173" t="s">
        <v>6213</v>
      </c>
      <c r="E1577" s="174" t="s">
        <v>2861</v>
      </c>
      <c r="F1577" s="173" t="s">
        <v>2862</v>
      </c>
      <c r="G1577" s="328" t="s">
        <v>673</v>
      </c>
      <c r="H1577" s="328" t="s">
        <v>2863</v>
      </c>
      <c r="I1577" s="258" t="s">
        <v>2864</v>
      </c>
      <c r="J1577" s="259" t="s">
        <v>1211</v>
      </c>
      <c r="K1577" s="260" t="s">
        <v>6214</v>
      </c>
      <c r="L1577" s="359"/>
      <c r="M1577" s="359"/>
      <c r="N1577" s="173" t="s">
        <v>679</v>
      </c>
      <c r="O1577" s="173" t="s">
        <v>225</v>
      </c>
      <c r="P1577" s="262" t="str">
        <f t="shared" si="1"/>
        <v>IN-BLR-ANANTA-VAV-1149_7</v>
      </c>
      <c r="Q1577" s="173" t="s">
        <v>6215</v>
      </c>
      <c r="R1577" s="328" t="str">
        <f>IFS(C1577="","",C1577="n/a","N/A",LEN(C1577),Concatenate("{",char(34),"asset",char(34),":{",char(34),"guid",char(34),":",char(34),Q1577,char(34),",",char(34),"site",char(34),":",char(34),LOWER('2-Building'!$B$4),char(34),",",char(34),"name",char(34),":",char(34),LOWER(C1577),char(34),"}}"))</f>
        <v>{"asset":{"guid":"uuid://43a93591-16ab-4f30-b831-5eb8a90a1c3e","site":"in-blr-ananta","name":"vav-1149"}}</v>
      </c>
      <c r="S1577" s="360" t="s">
        <v>5516</v>
      </c>
      <c r="T1577" s="330"/>
      <c r="U1577" s="330"/>
      <c r="V1577" s="331"/>
      <c r="W1577" s="332"/>
      <c r="X1577" s="333"/>
      <c r="Y1577" s="33" t="s">
        <v>2867</v>
      </c>
      <c r="Z1577" s="258">
        <v>121149.0</v>
      </c>
      <c r="AA1577" s="334">
        <v>11632.0</v>
      </c>
      <c r="AB1577" s="333"/>
      <c r="AC1577" s="333"/>
      <c r="AD1577" s="329"/>
      <c r="AE1577" s="331"/>
      <c r="AF1577" s="336"/>
      <c r="AG1577" s="337"/>
      <c r="AH1577" s="333"/>
      <c r="AI1577" s="333"/>
      <c r="AJ1577" s="333"/>
      <c r="AK1577" s="333"/>
      <c r="AL1577" s="333"/>
      <c r="AM1577" s="338"/>
      <c r="AN1577" s="333"/>
      <c r="AO1577" s="333"/>
      <c r="AP1577" s="333"/>
      <c r="AQ1577" s="333"/>
      <c r="AR1577" s="333"/>
      <c r="AS1577" s="333"/>
      <c r="AT1577" s="333"/>
      <c r="AU1577" s="329"/>
      <c r="AV1577" s="341"/>
      <c r="AW1577" s="269" t="s">
        <v>2411</v>
      </c>
      <c r="AX1577" s="334" t="s">
        <v>2869</v>
      </c>
      <c r="AY1577" s="270" t="s">
        <v>695</v>
      </c>
      <c r="AZ1577" s="173" t="s">
        <v>5516</v>
      </c>
      <c r="BA1577" s="265">
        <v>10.0</v>
      </c>
      <c r="BB1577" s="174" t="s">
        <v>245</v>
      </c>
      <c r="BC1577" s="341"/>
      <c r="BD1577" s="308"/>
      <c r="BE1577" s="342"/>
      <c r="BF1577" s="274" t="str">
        <f>IFERROR(__xludf.DUMMYFUNCTION("LOWER(Regexreplace(to_text(E1577),""[^A-Za-z0-9]"","""")&amp;""_""&amp;Regexreplace(to_text(F1577),""[^A-Za-z0-9]"",""""))"),"neptronic_evcbseries")</f>
        <v>neptronic_evcbseries</v>
      </c>
      <c r="BG1577" s="275" t="str">
        <f>IFERROR(__xludf.DUMMYFUNCTION("upper(Regexreplace(to_text(E1577),""[^A-Za-z0-9]"","""")&amp;""-""&amp;Regexreplace(to_text(F1577),""[^A-Za-z0-9]"",""""))"),"NEPTRONIC-EVCBSERIES")</f>
        <v>NEPTRONIC-EVCBSERIES</v>
      </c>
    </row>
    <row r="1578" ht="30.0" customHeight="1">
      <c r="A1578" s="258">
        <v>1570.0</v>
      </c>
      <c r="B1578" s="328" t="s">
        <v>670</v>
      </c>
      <c r="C1578" s="257" t="s">
        <v>6216</v>
      </c>
      <c r="D1578" s="173" t="s">
        <v>6216</v>
      </c>
      <c r="E1578" s="174" t="s">
        <v>2861</v>
      </c>
      <c r="F1578" s="173" t="s">
        <v>2862</v>
      </c>
      <c r="G1578" s="328" t="s">
        <v>673</v>
      </c>
      <c r="H1578" s="328" t="s">
        <v>2863</v>
      </c>
      <c r="I1578" s="258" t="s">
        <v>2864</v>
      </c>
      <c r="J1578" s="259" t="s">
        <v>1211</v>
      </c>
      <c r="K1578" s="260" t="s">
        <v>6211</v>
      </c>
      <c r="L1578" s="359"/>
      <c r="M1578" s="359"/>
      <c r="N1578" s="173" t="s">
        <v>679</v>
      </c>
      <c r="O1578" s="173" t="s">
        <v>225</v>
      </c>
      <c r="P1578" s="262" t="str">
        <f t="shared" si="1"/>
        <v>IN-BLR-ANANTA-VAV-1150_7</v>
      </c>
      <c r="Q1578" s="173" t="s">
        <v>6217</v>
      </c>
      <c r="R1578" s="328" t="str">
        <f>IFS(C1578="","",C1578="n/a","N/A",LEN(C1578),Concatenate("{",char(34),"asset",char(34),":{",char(34),"guid",char(34),":",char(34),Q1578,char(34),",",char(34),"site",char(34),":",char(34),LOWER('2-Building'!$B$4),char(34),",",char(34),"name",char(34),":",char(34),LOWER(C1578),char(34),"}}"))</f>
        <v>{"asset":{"guid":"uuid://b8344a27-12bd-4d85-b7f9-ad8346b0ca3b","site":"in-blr-ananta","name":"vav-1150"}}</v>
      </c>
      <c r="S1578" s="360" t="s">
        <v>5516</v>
      </c>
      <c r="T1578" s="330"/>
      <c r="U1578" s="330"/>
      <c r="V1578" s="331"/>
      <c r="W1578" s="332"/>
      <c r="X1578" s="333"/>
      <c r="Y1578" s="33" t="s">
        <v>2867</v>
      </c>
      <c r="Z1578" s="258">
        <v>121150.0</v>
      </c>
      <c r="AA1578" s="334">
        <v>11632.0</v>
      </c>
      <c r="AB1578" s="333"/>
      <c r="AC1578" s="333"/>
      <c r="AD1578" s="329"/>
      <c r="AE1578" s="331"/>
      <c r="AF1578" s="336"/>
      <c r="AG1578" s="337"/>
      <c r="AH1578" s="333"/>
      <c r="AI1578" s="333"/>
      <c r="AJ1578" s="333"/>
      <c r="AK1578" s="333"/>
      <c r="AL1578" s="333"/>
      <c r="AM1578" s="338"/>
      <c r="AN1578" s="333"/>
      <c r="AO1578" s="333"/>
      <c r="AP1578" s="333"/>
      <c r="AQ1578" s="333"/>
      <c r="AR1578" s="333"/>
      <c r="AS1578" s="333"/>
      <c r="AT1578" s="333"/>
      <c r="AU1578" s="329"/>
      <c r="AV1578" s="341"/>
      <c r="AW1578" s="269" t="s">
        <v>2411</v>
      </c>
      <c r="AX1578" s="334" t="s">
        <v>2869</v>
      </c>
      <c r="AY1578" s="270" t="s">
        <v>695</v>
      </c>
      <c r="AZ1578" s="173" t="s">
        <v>5516</v>
      </c>
      <c r="BA1578" s="265">
        <v>10.0</v>
      </c>
      <c r="BB1578" s="174" t="s">
        <v>245</v>
      </c>
      <c r="BC1578" s="341"/>
      <c r="BD1578" s="308"/>
      <c r="BE1578" s="342"/>
      <c r="BF1578" s="274" t="str">
        <f>IFERROR(__xludf.DUMMYFUNCTION("LOWER(Regexreplace(to_text(E1578),""[^A-Za-z0-9]"","""")&amp;""_""&amp;Regexreplace(to_text(F1578),""[^A-Za-z0-9]"",""""))"),"neptronic_evcbseries")</f>
        <v>neptronic_evcbseries</v>
      </c>
      <c r="BG1578" s="275" t="str">
        <f>IFERROR(__xludf.DUMMYFUNCTION("upper(Regexreplace(to_text(E1578),""[^A-Za-z0-9]"","""")&amp;""-""&amp;Regexreplace(to_text(F1578),""[^A-Za-z0-9]"",""""))"),"NEPTRONIC-EVCBSERIES")</f>
        <v>NEPTRONIC-EVCBSERIES</v>
      </c>
    </row>
    <row r="1579" ht="30.0" customHeight="1">
      <c r="A1579" s="173">
        <v>1571.0</v>
      </c>
      <c r="B1579" s="328" t="s">
        <v>670</v>
      </c>
      <c r="C1579" s="257" t="s">
        <v>6218</v>
      </c>
      <c r="D1579" s="173" t="s">
        <v>6218</v>
      </c>
      <c r="E1579" s="174" t="s">
        <v>2861</v>
      </c>
      <c r="F1579" s="173" t="s">
        <v>2862</v>
      </c>
      <c r="G1579" s="328" t="s">
        <v>673</v>
      </c>
      <c r="H1579" s="328" t="s">
        <v>2863</v>
      </c>
      <c r="I1579" s="258" t="s">
        <v>2864</v>
      </c>
      <c r="J1579" s="259" t="s">
        <v>1211</v>
      </c>
      <c r="K1579" s="260" t="s">
        <v>6219</v>
      </c>
      <c r="L1579" s="359"/>
      <c r="M1579" s="359"/>
      <c r="N1579" s="173" t="s">
        <v>679</v>
      </c>
      <c r="O1579" s="173" t="s">
        <v>225</v>
      </c>
      <c r="P1579" s="262" t="str">
        <f t="shared" si="1"/>
        <v>IN-BLR-ANANTA-VAV-1151_7</v>
      </c>
      <c r="Q1579" s="173" t="s">
        <v>6220</v>
      </c>
      <c r="R1579" s="328" t="str">
        <f>IFS(C1579="","",C1579="n/a","N/A",LEN(C1579),Concatenate("{",char(34),"asset",char(34),":{",char(34),"guid",char(34),":",char(34),Q1579,char(34),",",char(34),"site",char(34),":",char(34),LOWER('2-Building'!$B$4),char(34),",",char(34),"name",char(34),":",char(34),LOWER(C1579),char(34),"}}"))</f>
        <v>{"asset":{"guid":"uuid://5eeb700b-211c-4c6c-b1b4-25d74da0c76e","site":"in-blr-ananta","name":"vav-1151"}}</v>
      </c>
      <c r="S1579" s="360" t="s">
        <v>5516</v>
      </c>
      <c r="T1579" s="330"/>
      <c r="U1579" s="330"/>
      <c r="V1579" s="331"/>
      <c r="W1579" s="332"/>
      <c r="X1579" s="333"/>
      <c r="Y1579" s="33" t="s">
        <v>2867</v>
      </c>
      <c r="Z1579" s="258">
        <v>121151.0</v>
      </c>
      <c r="AA1579" s="334">
        <v>11632.0</v>
      </c>
      <c r="AB1579" s="333"/>
      <c r="AC1579" s="333"/>
      <c r="AD1579" s="329"/>
      <c r="AE1579" s="331"/>
      <c r="AF1579" s="336"/>
      <c r="AG1579" s="337"/>
      <c r="AH1579" s="333"/>
      <c r="AI1579" s="333"/>
      <c r="AJ1579" s="333"/>
      <c r="AK1579" s="333"/>
      <c r="AL1579" s="333"/>
      <c r="AM1579" s="338"/>
      <c r="AN1579" s="333"/>
      <c r="AO1579" s="333"/>
      <c r="AP1579" s="333"/>
      <c r="AQ1579" s="333"/>
      <c r="AR1579" s="333"/>
      <c r="AS1579" s="333"/>
      <c r="AT1579" s="333"/>
      <c r="AU1579" s="329"/>
      <c r="AV1579" s="341"/>
      <c r="AW1579" s="269" t="s">
        <v>2411</v>
      </c>
      <c r="AX1579" s="334" t="s">
        <v>2869</v>
      </c>
      <c r="AY1579" s="270" t="s">
        <v>695</v>
      </c>
      <c r="AZ1579" s="173" t="s">
        <v>5516</v>
      </c>
      <c r="BA1579" s="265">
        <v>10.0</v>
      </c>
      <c r="BB1579" s="174" t="s">
        <v>245</v>
      </c>
      <c r="BC1579" s="341"/>
      <c r="BD1579" s="308"/>
      <c r="BE1579" s="342"/>
      <c r="BF1579" s="274" t="str">
        <f>IFERROR(__xludf.DUMMYFUNCTION("LOWER(Regexreplace(to_text(E1579),""[^A-Za-z0-9]"","""")&amp;""_""&amp;Regexreplace(to_text(F1579),""[^A-Za-z0-9]"",""""))"),"neptronic_evcbseries")</f>
        <v>neptronic_evcbseries</v>
      </c>
      <c r="BG1579" s="275" t="str">
        <f>IFERROR(__xludf.DUMMYFUNCTION("upper(Regexreplace(to_text(E1579),""[^A-Za-z0-9]"","""")&amp;""-""&amp;Regexreplace(to_text(F1579),""[^A-Za-z0-9]"",""""))"),"NEPTRONIC-EVCBSERIES")</f>
        <v>NEPTRONIC-EVCBSERIES</v>
      </c>
    </row>
    <row r="1580" ht="30.0" customHeight="1">
      <c r="A1580" s="258">
        <v>1572.0</v>
      </c>
      <c r="B1580" s="328" t="s">
        <v>670</v>
      </c>
      <c r="C1580" s="257" t="s">
        <v>6221</v>
      </c>
      <c r="D1580" s="173" t="s">
        <v>6221</v>
      </c>
      <c r="E1580" s="174" t="s">
        <v>2861</v>
      </c>
      <c r="F1580" s="173" t="s">
        <v>2862</v>
      </c>
      <c r="G1580" s="328" t="s">
        <v>673</v>
      </c>
      <c r="H1580" s="328" t="s">
        <v>2863</v>
      </c>
      <c r="I1580" s="258" t="s">
        <v>2864</v>
      </c>
      <c r="J1580" s="259" t="s">
        <v>1211</v>
      </c>
      <c r="K1580" s="260" t="s">
        <v>6222</v>
      </c>
      <c r="L1580" s="359"/>
      <c r="M1580" s="359"/>
      <c r="N1580" s="173" t="s">
        <v>679</v>
      </c>
      <c r="O1580" s="173" t="s">
        <v>225</v>
      </c>
      <c r="P1580" s="262" t="str">
        <f t="shared" si="1"/>
        <v>IN-BLR-ANANTA-VAV-1152_7</v>
      </c>
      <c r="Q1580" s="173" t="s">
        <v>6223</v>
      </c>
      <c r="R1580" s="328" t="str">
        <f>IFS(C1580="","",C1580="n/a","N/A",LEN(C1580),Concatenate("{",char(34),"asset",char(34),":{",char(34),"guid",char(34),":",char(34),Q1580,char(34),",",char(34),"site",char(34),":",char(34),LOWER('2-Building'!$B$4),char(34),",",char(34),"name",char(34),":",char(34),LOWER(C1580),char(34),"}}"))</f>
        <v>{"asset":{"guid":"uuid://f042ea9f-5563-45c9-9f53-8a1a5e059228","site":"in-blr-ananta","name":"vav-1152"}}</v>
      </c>
      <c r="S1580" s="360" t="s">
        <v>5516</v>
      </c>
      <c r="T1580" s="330"/>
      <c r="U1580" s="330"/>
      <c r="V1580" s="331"/>
      <c r="W1580" s="332"/>
      <c r="X1580" s="333"/>
      <c r="Y1580" s="33" t="s">
        <v>2867</v>
      </c>
      <c r="Z1580" s="258">
        <v>121152.0</v>
      </c>
      <c r="AA1580" s="334">
        <v>11632.0</v>
      </c>
      <c r="AB1580" s="333"/>
      <c r="AC1580" s="333"/>
      <c r="AD1580" s="329"/>
      <c r="AE1580" s="331"/>
      <c r="AF1580" s="336"/>
      <c r="AG1580" s="337"/>
      <c r="AH1580" s="333"/>
      <c r="AI1580" s="333"/>
      <c r="AJ1580" s="333"/>
      <c r="AK1580" s="333"/>
      <c r="AL1580" s="333"/>
      <c r="AM1580" s="338"/>
      <c r="AN1580" s="333"/>
      <c r="AO1580" s="333"/>
      <c r="AP1580" s="333"/>
      <c r="AQ1580" s="333"/>
      <c r="AR1580" s="333"/>
      <c r="AS1580" s="333"/>
      <c r="AT1580" s="333"/>
      <c r="AU1580" s="329"/>
      <c r="AV1580" s="341"/>
      <c r="AW1580" s="269" t="s">
        <v>2411</v>
      </c>
      <c r="AX1580" s="334" t="s">
        <v>2869</v>
      </c>
      <c r="AY1580" s="270" t="s">
        <v>695</v>
      </c>
      <c r="AZ1580" s="173" t="s">
        <v>5516</v>
      </c>
      <c r="BA1580" s="265">
        <v>10.0</v>
      </c>
      <c r="BB1580" s="174" t="s">
        <v>245</v>
      </c>
      <c r="BC1580" s="341"/>
      <c r="BD1580" s="308"/>
      <c r="BE1580" s="342"/>
      <c r="BF1580" s="274" t="str">
        <f>IFERROR(__xludf.DUMMYFUNCTION("LOWER(Regexreplace(to_text(E1580),""[^A-Za-z0-9]"","""")&amp;""_""&amp;Regexreplace(to_text(F1580),""[^A-Za-z0-9]"",""""))"),"neptronic_evcbseries")</f>
        <v>neptronic_evcbseries</v>
      </c>
      <c r="BG1580" s="275" t="str">
        <f>IFERROR(__xludf.DUMMYFUNCTION("upper(Regexreplace(to_text(E1580),""[^A-Za-z0-9]"","""")&amp;""-""&amp;Regexreplace(to_text(F1580),""[^A-Za-z0-9]"",""""))"),"NEPTRONIC-EVCBSERIES")</f>
        <v>NEPTRONIC-EVCBSERIES</v>
      </c>
    </row>
    <row r="1581" ht="30.0" customHeight="1">
      <c r="A1581" s="173">
        <v>1573.0</v>
      </c>
      <c r="B1581" s="328" t="s">
        <v>670</v>
      </c>
      <c r="C1581" s="257" t="s">
        <v>6224</v>
      </c>
      <c r="D1581" s="173" t="s">
        <v>6224</v>
      </c>
      <c r="E1581" s="174" t="s">
        <v>2861</v>
      </c>
      <c r="F1581" s="173" t="s">
        <v>2862</v>
      </c>
      <c r="G1581" s="328" t="s">
        <v>673</v>
      </c>
      <c r="H1581" s="328" t="s">
        <v>2863</v>
      </c>
      <c r="I1581" s="258" t="s">
        <v>2864</v>
      </c>
      <c r="J1581" s="259" t="s">
        <v>1211</v>
      </c>
      <c r="K1581" s="260" t="s">
        <v>6225</v>
      </c>
      <c r="L1581" s="359"/>
      <c r="M1581" s="359"/>
      <c r="N1581" s="173" t="s">
        <v>679</v>
      </c>
      <c r="O1581" s="173" t="s">
        <v>225</v>
      </c>
      <c r="P1581" s="262" t="str">
        <f t="shared" si="1"/>
        <v>IN-BLR-ANANTA-VAV-1153_7</v>
      </c>
      <c r="Q1581" s="173" t="s">
        <v>6226</v>
      </c>
      <c r="R1581" s="328" t="str">
        <f>IFS(C1581="","",C1581="n/a","N/A",LEN(C1581),Concatenate("{",char(34),"asset",char(34),":{",char(34),"guid",char(34),":",char(34),Q1581,char(34),",",char(34),"site",char(34),":",char(34),LOWER('2-Building'!$B$4),char(34),",",char(34),"name",char(34),":",char(34),LOWER(C1581),char(34),"}}"))</f>
        <v>{"asset":{"guid":"uuid://2ad4ccfa-b25d-426b-986f-90627c8a1f56","site":"in-blr-ananta","name":"vav-1153"}}</v>
      </c>
      <c r="S1581" s="360" t="s">
        <v>5516</v>
      </c>
      <c r="T1581" s="330"/>
      <c r="U1581" s="330"/>
      <c r="V1581" s="331"/>
      <c r="W1581" s="332"/>
      <c r="X1581" s="333"/>
      <c r="Y1581" s="33" t="s">
        <v>2867</v>
      </c>
      <c r="Z1581" s="258">
        <v>121153.0</v>
      </c>
      <c r="AA1581" s="334">
        <v>11632.0</v>
      </c>
      <c r="AB1581" s="333"/>
      <c r="AC1581" s="333"/>
      <c r="AD1581" s="329"/>
      <c r="AE1581" s="331"/>
      <c r="AF1581" s="336"/>
      <c r="AG1581" s="337"/>
      <c r="AH1581" s="333"/>
      <c r="AI1581" s="333"/>
      <c r="AJ1581" s="333"/>
      <c r="AK1581" s="333"/>
      <c r="AL1581" s="333"/>
      <c r="AM1581" s="338"/>
      <c r="AN1581" s="333"/>
      <c r="AO1581" s="333"/>
      <c r="AP1581" s="333"/>
      <c r="AQ1581" s="333"/>
      <c r="AR1581" s="333"/>
      <c r="AS1581" s="333"/>
      <c r="AT1581" s="333"/>
      <c r="AU1581" s="329"/>
      <c r="AV1581" s="341"/>
      <c r="AW1581" s="269" t="s">
        <v>2411</v>
      </c>
      <c r="AX1581" s="334" t="s">
        <v>2869</v>
      </c>
      <c r="AY1581" s="270" t="s">
        <v>695</v>
      </c>
      <c r="AZ1581" s="173" t="s">
        <v>5516</v>
      </c>
      <c r="BA1581" s="265">
        <v>10.0</v>
      </c>
      <c r="BB1581" s="174" t="s">
        <v>245</v>
      </c>
      <c r="BC1581" s="341"/>
      <c r="BD1581" s="308"/>
      <c r="BE1581" s="342"/>
      <c r="BF1581" s="274" t="str">
        <f>IFERROR(__xludf.DUMMYFUNCTION("LOWER(Regexreplace(to_text(E1581),""[^A-Za-z0-9]"","""")&amp;""_""&amp;Regexreplace(to_text(F1581),""[^A-Za-z0-9]"",""""))"),"neptronic_evcbseries")</f>
        <v>neptronic_evcbseries</v>
      </c>
      <c r="BG1581" s="275" t="str">
        <f>IFERROR(__xludf.DUMMYFUNCTION("upper(Regexreplace(to_text(E1581),""[^A-Za-z0-9]"","""")&amp;""-""&amp;Regexreplace(to_text(F1581),""[^A-Za-z0-9]"",""""))"),"NEPTRONIC-EVCBSERIES")</f>
        <v>NEPTRONIC-EVCBSERIES</v>
      </c>
    </row>
    <row r="1582" ht="30.0" customHeight="1">
      <c r="A1582" s="258">
        <v>1574.0</v>
      </c>
      <c r="B1582" s="328" t="s">
        <v>670</v>
      </c>
      <c r="C1582" s="257" t="s">
        <v>6227</v>
      </c>
      <c r="D1582" s="173" t="s">
        <v>6227</v>
      </c>
      <c r="E1582" s="174" t="s">
        <v>2861</v>
      </c>
      <c r="F1582" s="173" t="s">
        <v>2862</v>
      </c>
      <c r="G1582" s="328" t="s">
        <v>673</v>
      </c>
      <c r="H1582" s="328" t="s">
        <v>2863</v>
      </c>
      <c r="I1582" s="258" t="s">
        <v>2864</v>
      </c>
      <c r="J1582" s="259" t="s">
        <v>1211</v>
      </c>
      <c r="K1582" s="260" t="s">
        <v>6228</v>
      </c>
      <c r="L1582" s="359"/>
      <c r="M1582" s="359"/>
      <c r="N1582" s="173" t="s">
        <v>679</v>
      </c>
      <c r="O1582" s="173" t="s">
        <v>225</v>
      </c>
      <c r="P1582" s="262" t="str">
        <f t="shared" si="1"/>
        <v>IN-BLR-ANANTA-VAV-1154_7</v>
      </c>
      <c r="Q1582" s="173" t="s">
        <v>6229</v>
      </c>
      <c r="R1582" s="328" t="str">
        <f>IFS(C1582="","",C1582="n/a","N/A",LEN(C1582),Concatenate("{",char(34),"asset",char(34),":{",char(34),"guid",char(34),":",char(34),Q1582,char(34),",",char(34),"site",char(34),":",char(34),LOWER('2-Building'!$B$4),char(34),",",char(34),"name",char(34),":",char(34),LOWER(C1582),char(34),"}}"))</f>
        <v>{"asset":{"guid":"uuid://256f575a-816e-4591-be17-ad8007e78995","site":"in-blr-ananta","name":"vav-1154"}}</v>
      </c>
      <c r="S1582" s="360" t="s">
        <v>5516</v>
      </c>
      <c r="T1582" s="330"/>
      <c r="U1582" s="330"/>
      <c r="V1582" s="331"/>
      <c r="W1582" s="332"/>
      <c r="X1582" s="333"/>
      <c r="Y1582" s="33" t="s">
        <v>2867</v>
      </c>
      <c r="Z1582" s="258">
        <v>121154.0</v>
      </c>
      <c r="AA1582" s="334"/>
      <c r="AB1582" s="333"/>
      <c r="AC1582" s="333"/>
      <c r="AD1582" s="329"/>
      <c r="AE1582" s="331"/>
      <c r="AF1582" s="336"/>
      <c r="AG1582" s="337"/>
      <c r="AH1582" s="333"/>
      <c r="AI1582" s="333"/>
      <c r="AJ1582" s="333"/>
      <c r="AK1582" s="333"/>
      <c r="AL1582" s="333"/>
      <c r="AM1582" s="338"/>
      <c r="AN1582" s="333"/>
      <c r="AO1582" s="333"/>
      <c r="AP1582" s="333"/>
      <c r="AQ1582" s="333"/>
      <c r="AR1582" s="333"/>
      <c r="AS1582" s="333"/>
      <c r="AT1582" s="333"/>
      <c r="AU1582" s="329"/>
      <c r="AV1582" s="341"/>
      <c r="AW1582" s="269" t="s">
        <v>2431</v>
      </c>
      <c r="AX1582" s="334" t="s">
        <v>2869</v>
      </c>
      <c r="AY1582" s="270" t="s">
        <v>695</v>
      </c>
      <c r="AZ1582" s="173" t="s">
        <v>5516</v>
      </c>
      <c r="BA1582" s="265">
        <v>10.0</v>
      </c>
      <c r="BB1582" s="174" t="s">
        <v>245</v>
      </c>
      <c r="BC1582" s="341"/>
      <c r="BD1582" s="308"/>
      <c r="BE1582" s="342"/>
      <c r="BF1582" s="274" t="str">
        <f>IFERROR(__xludf.DUMMYFUNCTION("LOWER(Regexreplace(to_text(E1582),""[^A-Za-z0-9]"","""")&amp;""_""&amp;Regexreplace(to_text(F1582),""[^A-Za-z0-9]"",""""))"),"neptronic_evcbseries")</f>
        <v>neptronic_evcbseries</v>
      </c>
      <c r="BG1582" s="275" t="str">
        <f>IFERROR(__xludf.DUMMYFUNCTION("upper(Regexreplace(to_text(E1582),""[^A-Za-z0-9]"","""")&amp;""-""&amp;Regexreplace(to_text(F1582),""[^A-Za-z0-9]"",""""))"),"NEPTRONIC-EVCBSERIES")</f>
        <v>NEPTRONIC-EVCBSERIES</v>
      </c>
    </row>
    <row r="1583" ht="30.0" customHeight="1">
      <c r="A1583" s="173">
        <v>1575.0</v>
      </c>
      <c r="B1583" s="328" t="s">
        <v>670</v>
      </c>
      <c r="C1583" s="257" t="s">
        <v>6230</v>
      </c>
      <c r="D1583" s="173" t="s">
        <v>6230</v>
      </c>
      <c r="E1583" s="174" t="s">
        <v>2861</v>
      </c>
      <c r="F1583" s="173" t="s">
        <v>2862</v>
      </c>
      <c r="G1583" s="328" t="s">
        <v>673</v>
      </c>
      <c r="H1583" s="328" t="s">
        <v>2863</v>
      </c>
      <c r="I1583" s="258" t="s">
        <v>2864</v>
      </c>
      <c r="J1583" s="259" t="s">
        <v>1211</v>
      </c>
      <c r="K1583" s="260" t="s">
        <v>6231</v>
      </c>
      <c r="L1583" s="359"/>
      <c r="M1583" s="359"/>
      <c r="N1583" s="173" t="s">
        <v>679</v>
      </c>
      <c r="O1583" s="173" t="s">
        <v>225</v>
      </c>
      <c r="P1583" s="262" t="str">
        <f t="shared" si="1"/>
        <v>IN-BLR-ANANTA-VAV-1155_7</v>
      </c>
      <c r="Q1583" s="173" t="s">
        <v>6232</v>
      </c>
      <c r="R1583" s="328" t="str">
        <f>IFS(C1583="","",C1583="n/a","N/A",LEN(C1583),Concatenate("{",char(34),"asset",char(34),":{",char(34),"guid",char(34),":",char(34),Q1583,char(34),",",char(34),"site",char(34),":",char(34),LOWER('2-Building'!$B$4),char(34),",",char(34),"name",char(34),":",char(34),LOWER(C1583),char(34),"}}"))</f>
        <v>{"asset":{"guid":"uuid://d2942688-e5d7-4325-a512-443f5f70df41","site":"in-blr-ananta","name":"vav-1155"}}</v>
      </c>
      <c r="S1583" s="360" t="s">
        <v>5516</v>
      </c>
      <c r="T1583" s="330"/>
      <c r="U1583" s="330"/>
      <c r="V1583" s="331"/>
      <c r="W1583" s="332"/>
      <c r="X1583" s="333"/>
      <c r="Y1583" s="33" t="s">
        <v>2867</v>
      </c>
      <c r="Z1583" s="258">
        <v>121155.0</v>
      </c>
      <c r="AA1583" s="334"/>
      <c r="AB1583" s="333"/>
      <c r="AC1583" s="333"/>
      <c r="AD1583" s="329"/>
      <c r="AE1583" s="331"/>
      <c r="AF1583" s="336"/>
      <c r="AG1583" s="337"/>
      <c r="AH1583" s="333"/>
      <c r="AI1583" s="333"/>
      <c r="AJ1583" s="333"/>
      <c r="AK1583" s="333"/>
      <c r="AL1583" s="333"/>
      <c r="AM1583" s="338"/>
      <c r="AN1583" s="333"/>
      <c r="AO1583" s="333"/>
      <c r="AP1583" s="333"/>
      <c r="AQ1583" s="333"/>
      <c r="AR1583" s="333"/>
      <c r="AS1583" s="333"/>
      <c r="AT1583" s="333"/>
      <c r="AU1583" s="329"/>
      <c r="AV1583" s="341"/>
      <c r="AW1583" s="269" t="s">
        <v>2431</v>
      </c>
      <c r="AX1583" s="334" t="s">
        <v>2869</v>
      </c>
      <c r="AY1583" s="270" t="s">
        <v>695</v>
      </c>
      <c r="AZ1583" s="173" t="s">
        <v>5516</v>
      </c>
      <c r="BA1583" s="265">
        <v>10.0</v>
      </c>
      <c r="BB1583" s="174" t="s">
        <v>245</v>
      </c>
      <c r="BC1583" s="341"/>
      <c r="BD1583" s="308"/>
      <c r="BE1583" s="342"/>
      <c r="BF1583" s="274" t="str">
        <f>IFERROR(__xludf.DUMMYFUNCTION("LOWER(Regexreplace(to_text(E1583),""[^A-Za-z0-9]"","""")&amp;""_""&amp;Regexreplace(to_text(F1583),""[^A-Za-z0-9]"",""""))"),"neptronic_evcbseries")</f>
        <v>neptronic_evcbseries</v>
      </c>
      <c r="BG1583" s="275" t="str">
        <f>IFERROR(__xludf.DUMMYFUNCTION("upper(Regexreplace(to_text(E1583),""[^A-Za-z0-9]"","""")&amp;""-""&amp;Regexreplace(to_text(F1583),""[^A-Za-z0-9]"",""""))"),"NEPTRONIC-EVCBSERIES")</f>
        <v>NEPTRONIC-EVCBSERIES</v>
      </c>
    </row>
    <row r="1584" ht="30.0" customHeight="1">
      <c r="A1584" s="258">
        <v>1576.0</v>
      </c>
      <c r="B1584" s="328" t="s">
        <v>670</v>
      </c>
      <c r="C1584" s="257" t="s">
        <v>6233</v>
      </c>
      <c r="D1584" s="173" t="s">
        <v>6233</v>
      </c>
      <c r="E1584" s="174" t="s">
        <v>2861</v>
      </c>
      <c r="F1584" s="173" t="s">
        <v>2862</v>
      </c>
      <c r="G1584" s="328" t="s">
        <v>673</v>
      </c>
      <c r="H1584" s="328" t="s">
        <v>2863</v>
      </c>
      <c r="I1584" s="258" t="s">
        <v>2864</v>
      </c>
      <c r="J1584" s="259" t="s">
        <v>1211</v>
      </c>
      <c r="K1584" s="260" t="s">
        <v>6234</v>
      </c>
      <c r="L1584" s="359"/>
      <c r="M1584" s="359"/>
      <c r="N1584" s="173" t="s">
        <v>679</v>
      </c>
      <c r="O1584" s="173" t="s">
        <v>225</v>
      </c>
      <c r="P1584" s="262" t="str">
        <f t="shared" si="1"/>
        <v>IN-BLR-ANANTA-VAV-1156_7</v>
      </c>
      <c r="Q1584" s="173" t="s">
        <v>6235</v>
      </c>
      <c r="R1584" s="328" t="str">
        <f>IFS(C1584="","",C1584="n/a","N/A",LEN(C1584),Concatenate("{",char(34),"asset",char(34),":{",char(34),"guid",char(34),":",char(34),Q1584,char(34),",",char(34),"site",char(34),":",char(34),LOWER('2-Building'!$B$4),char(34),",",char(34),"name",char(34),":",char(34),LOWER(C1584),char(34),"}}"))</f>
        <v>{"asset":{"guid":"uuid://689d5603-cfd2-4d42-8f2a-fcbfc31cb834","site":"in-blr-ananta","name":"vav-1156"}}</v>
      </c>
      <c r="S1584" s="360" t="s">
        <v>5516</v>
      </c>
      <c r="T1584" s="330"/>
      <c r="U1584" s="330"/>
      <c r="V1584" s="331"/>
      <c r="W1584" s="332"/>
      <c r="X1584" s="333"/>
      <c r="Y1584" s="33" t="s">
        <v>2867</v>
      </c>
      <c r="Z1584" s="258">
        <v>121156.0</v>
      </c>
      <c r="AA1584" s="334">
        <v>11639.0</v>
      </c>
      <c r="AB1584" s="333"/>
      <c r="AC1584" s="333"/>
      <c r="AD1584" s="329"/>
      <c r="AE1584" s="331"/>
      <c r="AF1584" s="336"/>
      <c r="AG1584" s="337"/>
      <c r="AH1584" s="333"/>
      <c r="AI1584" s="333"/>
      <c r="AJ1584" s="333"/>
      <c r="AK1584" s="333"/>
      <c r="AL1584" s="333"/>
      <c r="AM1584" s="338"/>
      <c r="AN1584" s="333"/>
      <c r="AO1584" s="333"/>
      <c r="AP1584" s="333"/>
      <c r="AQ1584" s="333"/>
      <c r="AR1584" s="333"/>
      <c r="AS1584" s="333"/>
      <c r="AT1584" s="333"/>
      <c r="AU1584" s="329"/>
      <c r="AV1584" s="341"/>
      <c r="AW1584" s="269" t="s">
        <v>2431</v>
      </c>
      <c r="AX1584" s="334" t="s">
        <v>2869</v>
      </c>
      <c r="AY1584" s="270" t="s">
        <v>695</v>
      </c>
      <c r="AZ1584" s="173" t="s">
        <v>5516</v>
      </c>
      <c r="BA1584" s="265">
        <v>10.0</v>
      </c>
      <c r="BB1584" s="174" t="s">
        <v>245</v>
      </c>
      <c r="BC1584" s="341"/>
      <c r="BD1584" s="308"/>
      <c r="BE1584" s="342"/>
      <c r="BF1584" s="274" t="str">
        <f>IFERROR(__xludf.DUMMYFUNCTION("LOWER(Regexreplace(to_text(E1584),""[^A-Za-z0-9]"","""")&amp;""_""&amp;Regexreplace(to_text(F1584),""[^A-Za-z0-9]"",""""))"),"neptronic_evcbseries")</f>
        <v>neptronic_evcbseries</v>
      </c>
      <c r="BG1584" s="275" t="str">
        <f>IFERROR(__xludf.DUMMYFUNCTION("upper(Regexreplace(to_text(E1584),""[^A-Za-z0-9]"","""")&amp;""-""&amp;Regexreplace(to_text(F1584),""[^A-Za-z0-9]"",""""))"),"NEPTRONIC-EVCBSERIES")</f>
        <v>NEPTRONIC-EVCBSERIES</v>
      </c>
    </row>
    <row r="1585" ht="30.0" customHeight="1">
      <c r="A1585" s="173">
        <v>1577.0</v>
      </c>
      <c r="B1585" s="328" t="s">
        <v>670</v>
      </c>
      <c r="C1585" s="257" t="s">
        <v>6236</v>
      </c>
      <c r="D1585" s="173" t="s">
        <v>6236</v>
      </c>
      <c r="E1585" s="174" t="s">
        <v>2861</v>
      </c>
      <c r="F1585" s="173" t="s">
        <v>2862</v>
      </c>
      <c r="G1585" s="328" t="s">
        <v>673</v>
      </c>
      <c r="H1585" s="328" t="s">
        <v>2863</v>
      </c>
      <c r="I1585" s="258" t="s">
        <v>2864</v>
      </c>
      <c r="J1585" s="259" t="s">
        <v>1211</v>
      </c>
      <c r="K1585" s="260" t="s">
        <v>6237</v>
      </c>
      <c r="L1585" s="359"/>
      <c r="M1585" s="359"/>
      <c r="N1585" s="173" t="s">
        <v>679</v>
      </c>
      <c r="O1585" s="173" t="s">
        <v>225</v>
      </c>
      <c r="P1585" s="262" t="str">
        <f t="shared" si="1"/>
        <v>IN-BLR-ANANTA-VAV-1157_7</v>
      </c>
      <c r="Q1585" s="173" t="s">
        <v>6238</v>
      </c>
      <c r="R1585" s="328" t="str">
        <f>IFS(C1585="","",C1585="n/a","N/A",LEN(C1585),Concatenate("{",char(34),"asset",char(34),":{",char(34),"guid",char(34),":",char(34),Q1585,char(34),",",char(34),"site",char(34),":",char(34),LOWER('2-Building'!$B$4),char(34),",",char(34),"name",char(34),":",char(34),LOWER(C1585),char(34),"}}"))</f>
        <v>{"asset":{"guid":"uuid://b48e64df-9fc9-44e7-933c-e8d731ad2c3a","site":"in-blr-ananta","name":"vav-1157"}}</v>
      </c>
      <c r="S1585" s="360" t="s">
        <v>5516</v>
      </c>
      <c r="T1585" s="330"/>
      <c r="U1585" s="330"/>
      <c r="V1585" s="331"/>
      <c r="W1585" s="332"/>
      <c r="X1585" s="333"/>
      <c r="Y1585" s="33" t="s">
        <v>2867</v>
      </c>
      <c r="Z1585" s="258">
        <v>121157.0</v>
      </c>
      <c r="AA1585" s="334">
        <v>11639.0</v>
      </c>
      <c r="AB1585" s="333"/>
      <c r="AC1585" s="333"/>
      <c r="AD1585" s="329"/>
      <c r="AE1585" s="331"/>
      <c r="AF1585" s="336"/>
      <c r="AG1585" s="337"/>
      <c r="AH1585" s="333"/>
      <c r="AI1585" s="333"/>
      <c r="AJ1585" s="333"/>
      <c r="AK1585" s="333"/>
      <c r="AL1585" s="333"/>
      <c r="AM1585" s="338"/>
      <c r="AN1585" s="333"/>
      <c r="AO1585" s="333"/>
      <c r="AP1585" s="333"/>
      <c r="AQ1585" s="333"/>
      <c r="AR1585" s="333"/>
      <c r="AS1585" s="333"/>
      <c r="AT1585" s="333"/>
      <c r="AU1585" s="329"/>
      <c r="AV1585" s="341"/>
      <c r="AW1585" s="269" t="s">
        <v>2431</v>
      </c>
      <c r="AX1585" s="334" t="s">
        <v>2869</v>
      </c>
      <c r="AY1585" s="270" t="s">
        <v>695</v>
      </c>
      <c r="AZ1585" s="173" t="s">
        <v>5516</v>
      </c>
      <c r="BA1585" s="265">
        <v>10.0</v>
      </c>
      <c r="BB1585" s="174" t="s">
        <v>245</v>
      </c>
      <c r="BC1585" s="341"/>
      <c r="BD1585" s="308"/>
      <c r="BE1585" s="342"/>
      <c r="BF1585" s="274" t="str">
        <f>IFERROR(__xludf.DUMMYFUNCTION("LOWER(Regexreplace(to_text(E1585),""[^A-Za-z0-9]"","""")&amp;""_""&amp;Regexreplace(to_text(F1585),""[^A-Za-z0-9]"",""""))"),"neptronic_evcbseries")</f>
        <v>neptronic_evcbseries</v>
      </c>
      <c r="BG1585" s="275" t="str">
        <f>IFERROR(__xludf.DUMMYFUNCTION("upper(Regexreplace(to_text(E1585),""[^A-Za-z0-9]"","""")&amp;""-""&amp;Regexreplace(to_text(F1585),""[^A-Za-z0-9]"",""""))"),"NEPTRONIC-EVCBSERIES")</f>
        <v>NEPTRONIC-EVCBSERIES</v>
      </c>
    </row>
    <row r="1586" ht="30.0" customHeight="1">
      <c r="A1586" s="258">
        <v>1578.0</v>
      </c>
      <c r="B1586" s="328" t="s">
        <v>670</v>
      </c>
      <c r="C1586" s="257" t="s">
        <v>6239</v>
      </c>
      <c r="D1586" s="173" t="s">
        <v>6239</v>
      </c>
      <c r="E1586" s="174" t="s">
        <v>2861</v>
      </c>
      <c r="F1586" s="173" t="s">
        <v>2862</v>
      </c>
      <c r="G1586" s="328" t="s">
        <v>673</v>
      </c>
      <c r="H1586" s="328" t="s">
        <v>2863</v>
      </c>
      <c r="I1586" s="258" t="s">
        <v>2864</v>
      </c>
      <c r="J1586" s="259" t="s">
        <v>1211</v>
      </c>
      <c r="K1586" s="260" t="s">
        <v>6240</v>
      </c>
      <c r="L1586" s="359"/>
      <c r="M1586" s="359"/>
      <c r="N1586" s="173" t="s">
        <v>679</v>
      </c>
      <c r="O1586" s="173" t="s">
        <v>225</v>
      </c>
      <c r="P1586" s="262" t="str">
        <f t="shared" si="1"/>
        <v>IN-BLR-ANANTA-VAV-1158_7</v>
      </c>
      <c r="Q1586" s="173" t="s">
        <v>6241</v>
      </c>
      <c r="R1586" s="328" t="str">
        <f>IFS(C1586="","",C1586="n/a","N/A",LEN(C1586),Concatenate("{",char(34),"asset",char(34),":{",char(34),"guid",char(34),":",char(34),Q1586,char(34),",",char(34),"site",char(34),":",char(34),LOWER('2-Building'!$B$4),char(34),",",char(34),"name",char(34),":",char(34),LOWER(C1586),char(34),"}}"))</f>
        <v>{"asset":{"guid":"uuid://aa22afb9-71f2-4bbb-b69f-6eb34c2d9723","site":"in-blr-ananta","name":"vav-1158"}}</v>
      </c>
      <c r="S1586" s="360" t="s">
        <v>5516</v>
      </c>
      <c r="T1586" s="330"/>
      <c r="U1586" s="330"/>
      <c r="V1586" s="331"/>
      <c r="W1586" s="332"/>
      <c r="X1586" s="333"/>
      <c r="Y1586" s="33" t="s">
        <v>2867</v>
      </c>
      <c r="Z1586" s="258">
        <v>121158.0</v>
      </c>
      <c r="AA1586" s="334">
        <v>11639.0</v>
      </c>
      <c r="AB1586" s="333"/>
      <c r="AC1586" s="333"/>
      <c r="AD1586" s="329"/>
      <c r="AE1586" s="331"/>
      <c r="AF1586" s="336"/>
      <c r="AG1586" s="337"/>
      <c r="AH1586" s="333"/>
      <c r="AI1586" s="333"/>
      <c r="AJ1586" s="333"/>
      <c r="AK1586" s="333"/>
      <c r="AL1586" s="333"/>
      <c r="AM1586" s="338"/>
      <c r="AN1586" s="333"/>
      <c r="AO1586" s="333"/>
      <c r="AP1586" s="333"/>
      <c r="AQ1586" s="333"/>
      <c r="AR1586" s="333"/>
      <c r="AS1586" s="333"/>
      <c r="AT1586" s="333"/>
      <c r="AU1586" s="329"/>
      <c r="AV1586" s="341"/>
      <c r="AW1586" s="269" t="s">
        <v>2431</v>
      </c>
      <c r="AX1586" s="334" t="s">
        <v>2869</v>
      </c>
      <c r="AY1586" s="270" t="s">
        <v>695</v>
      </c>
      <c r="AZ1586" s="173" t="s">
        <v>5516</v>
      </c>
      <c r="BA1586" s="265">
        <v>10.0</v>
      </c>
      <c r="BB1586" s="174" t="s">
        <v>245</v>
      </c>
      <c r="BC1586" s="341"/>
      <c r="BD1586" s="308"/>
      <c r="BE1586" s="342"/>
      <c r="BF1586" s="274" t="str">
        <f>IFERROR(__xludf.DUMMYFUNCTION("LOWER(Regexreplace(to_text(E1586),""[^A-Za-z0-9]"","""")&amp;""_""&amp;Regexreplace(to_text(F1586),""[^A-Za-z0-9]"",""""))"),"neptronic_evcbseries")</f>
        <v>neptronic_evcbseries</v>
      </c>
      <c r="BG1586" s="275" t="str">
        <f>IFERROR(__xludf.DUMMYFUNCTION("upper(Regexreplace(to_text(E1586),""[^A-Za-z0-9]"","""")&amp;""-""&amp;Regexreplace(to_text(F1586),""[^A-Za-z0-9]"",""""))"),"NEPTRONIC-EVCBSERIES")</f>
        <v>NEPTRONIC-EVCBSERIES</v>
      </c>
    </row>
    <row r="1587" ht="30.0" customHeight="1">
      <c r="A1587" s="173">
        <v>1579.0</v>
      </c>
      <c r="B1587" s="328" t="s">
        <v>670</v>
      </c>
      <c r="C1587" s="257" t="s">
        <v>6242</v>
      </c>
      <c r="D1587" s="173" t="s">
        <v>6242</v>
      </c>
      <c r="E1587" s="174" t="s">
        <v>2861</v>
      </c>
      <c r="F1587" s="173" t="s">
        <v>2862</v>
      </c>
      <c r="G1587" s="328" t="s">
        <v>673</v>
      </c>
      <c r="H1587" s="328" t="s">
        <v>2863</v>
      </c>
      <c r="I1587" s="258" t="s">
        <v>2864</v>
      </c>
      <c r="J1587" s="259" t="s">
        <v>1211</v>
      </c>
      <c r="K1587" s="260" t="s">
        <v>6243</v>
      </c>
      <c r="L1587" s="359"/>
      <c r="M1587" s="359"/>
      <c r="N1587" s="173" t="s">
        <v>679</v>
      </c>
      <c r="O1587" s="173" t="s">
        <v>225</v>
      </c>
      <c r="P1587" s="262" t="str">
        <f t="shared" si="1"/>
        <v>IN-BLR-ANANTA-VAV-1159_7</v>
      </c>
      <c r="Q1587" s="173" t="s">
        <v>6244</v>
      </c>
      <c r="R1587" s="328" t="str">
        <f>IFS(C1587="","",C1587="n/a","N/A",LEN(C1587),Concatenate("{",char(34),"asset",char(34),":{",char(34),"guid",char(34),":",char(34),Q1587,char(34),",",char(34),"site",char(34),":",char(34),LOWER('2-Building'!$B$4),char(34),",",char(34),"name",char(34),":",char(34),LOWER(C1587),char(34),"}}"))</f>
        <v>{"asset":{"guid":"uuid://237028d2-2d78-42d5-94be-91f9d7be1e2f","site":"in-blr-ananta","name":"vav-1159"}}</v>
      </c>
      <c r="S1587" s="360" t="s">
        <v>5516</v>
      </c>
      <c r="T1587" s="330"/>
      <c r="U1587" s="330"/>
      <c r="V1587" s="331"/>
      <c r="W1587" s="332"/>
      <c r="X1587" s="333"/>
      <c r="Y1587" s="33" t="s">
        <v>2867</v>
      </c>
      <c r="Z1587" s="258">
        <v>121159.0</v>
      </c>
      <c r="AA1587" s="334">
        <v>11639.0</v>
      </c>
      <c r="AB1587" s="333"/>
      <c r="AC1587" s="333"/>
      <c r="AD1587" s="329"/>
      <c r="AE1587" s="331"/>
      <c r="AF1587" s="336"/>
      <c r="AG1587" s="337"/>
      <c r="AH1587" s="333"/>
      <c r="AI1587" s="333"/>
      <c r="AJ1587" s="333"/>
      <c r="AK1587" s="333"/>
      <c r="AL1587" s="333"/>
      <c r="AM1587" s="338"/>
      <c r="AN1587" s="333"/>
      <c r="AO1587" s="333"/>
      <c r="AP1587" s="333"/>
      <c r="AQ1587" s="333"/>
      <c r="AR1587" s="333"/>
      <c r="AS1587" s="333"/>
      <c r="AT1587" s="333"/>
      <c r="AU1587" s="329"/>
      <c r="AV1587" s="341"/>
      <c r="AW1587" s="269" t="s">
        <v>2431</v>
      </c>
      <c r="AX1587" s="334" t="s">
        <v>2869</v>
      </c>
      <c r="AY1587" s="270" t="s">
        <v>695</v>
      </c>
      <c r="AZ1587" s="173" t="s">
        <v>5516</v>
      </c>
      <c r="BA1587" s="265">
        <v>10.0</v>
      </c>
      <c r="BB1587" s="174" t="s">
        <v>245</v>
      </c>
      <c r="BC1587" s="341"/>
      <c r="BD1587" s="308"/>
      <c r="BE1587" s="342"/>
      <c r="BF1587" s="274" t="str">
        <f>IFERROR(__xludf.DUMMYFUNCTION("LOWER(Regexreplace(to_text(E1587),""[^A-Za-z0-9]"","""")&amp;""_""&amp;Regexreplace(to_text(F1587),""[^A-Za-z0-9]"",""""))"),"neptronic_evcbseries")</f>
        <v>neptronic_evcbseries</v>
      </c>
      <c r="BG1587" s="275" t="str">
        <f>IFERROR(__xludf.DUMMYFUNCTION("upper(Regexreplace(to_text(E1587),""[^A-Za-z0-9]"","""")&amp;""-""&amp;Regexreplace(to_text(F1587),""[^A-Za-z0-9]"",""""))"),"NEPTRONIC-EVCBSERIES")</f>
        <v>NEPTRONIC-EVCBSERIES</v>
      </c>
    </row>
    <row r="1588" ht="30.0" customHeight="1">
      <c r="A1588" s="258">
        <v>1580.0</v>
      </c>
      <c r="B1588" s="328" t="s">
        <v>670</v>
      </c>
      <c r="C1588" s="257" t="s">
        <v>6245</v>
      </c>
      <c r="D1588" s="173" t="s">
        <v>6245</v>
      </c>
      <c r="E1588" s="174" t="s">
        <v>2861</v>
      </c>
      <c r="F1588" s="173" t="s">
        <v>2862</v>
      </c>
      <c r="G1588" s="328" t="s">
        <v>673</v>
      </c>
      <c r="H1588" s="328" t="s">
        <v>2863</v>
      </c>
      <c r="I1588" s="258" t="s">
        <v>2864</v>
      </c>
      <c r="J1588" s="259" t="s">
        <v>1211</v>
      </c>
      <c r="K1588" s="260" t="s">
        <v>6246</v>
      </c>
      <c r="L1588" s="359"/>
      <c r="M1588" s="359"/>
      <c r="N1588" s="173" t="s">
        <v>679</v>
      </c>
      <c r="O1588" s="173" t="s">
        <v>225</v>
      </c>
      <c r="P1588" s="262" t="str">
        <f t="shared" si="1"/>
        <v>IN-BLR-ANANTA-VAV-1160_7</v>
      </c>
      <c r="Q1588" s="173" t="s">
        <v>6247</v>
      </c>
      <c r="R1588" s="328" t="str">
        <f>IFS(C1588="","",C1588="n/a","N/A",LEN(C1588),Concatenate("{",char(34),"asset",char(34),":{",char(34),"guid",char(34),":",char(34),Q1588,char(34),",",char(34),"site",char(34),":",char(34),LOWER('2-Building'!$B$4),char(34),",",char(34),"name",char(34),":",char(34),LOWER(C1588),char(34),"}}"))</f>
        <v>{"asset":{"guid":"uuid://a81de3c3-7f8e-4a8d-bb63-9c8ee71f076e","site":"in-blr-ananta","name":"vav-1160"}}</v>
      </c>
      <c r="S1588" s="360" t="s">
        <v>5516</v>
      </c>
      <c r="T1588" s="330"/>
      <c r="U1588" s="330"/>
      <c r="V1588" s="331"/>
      <c r="W1588" s="332"/>
      <c r="X1588" s="333"/>
      <c r="Y1588" s="33" t="s">
        <v>2867</v>
      </c>
      <c r="Z1588" s="258">
        <v>121160.0</v>
      </c>
      <c r="AA1588" s="334">
        <v>11639.0</v>
      </c>
      <c r="AB1588" s="333"/>
      <c r="AC1588" s="333"/>
      <c r="AD1588" s="329"/>
      <c r="AE1588" s="331"/>
      <c r="AF1588" s="336"/>
      <c r="AG1588" s="337"/>
      <c r="AH1588" s="333"/>
      <c r="AI1588" s="333"/>
      <c r="AJ1588" s="333"/>
      <c r="AK1588" s="333"/>
      <c r="AL1588" s="333"/>
      <c r="AM1588" s="338"/>
      <c r="AN1588" s="333"/>
      <c r="AO1588" s="333"/>
      <c r="AP1588" s="333"/>
      <c r="AQ1588" s="333"/>
      <c r="AR1588" s="333"/>
      <c r="AS1588" s="333"/>
      <c r="AT1588" s="333"/>
      <c r="AU1588" s="329"/>
      <c r="AV1588" s="341"/>
      <c r="AW1588" s="269" t="s">
        <v>2431</v>
      </c>
      <c r="AX1588" s="334" t="s">
        <v>2869</v>
      </c>
      <c r="AY1588" s="270" t="s">
        <v>695</v>
      </c>
      <c r="AZ1588" s="173" t="s">
        <v>5516</v>
      </c>
      <c r="BA1588" s="265">
        <v>10.0</v>
      </c>
      <c r="BB1588" s="174" t="s">
        <v>245</v>
      </c>
      <c r="BC1588" s="341"/>
      <c r="BD1588" s="308"/>
      <c r="BE1588" s="342"/>
      <c r="BF1588" s="274" t="str">
        <f>IFERROR(__xludf.DUMMYFUNCTION("LOWER(Regexreplace(to_text(E1588),""[^A-Za-z0-9]"","""")&amp;""_""&amp;Regexreplace(to_text(F1588),""[^A-Za-z0-9]"",""""))"),"neptronic_evcbseries")</f>
        <v>neptronic_evcbseries</v>
      </c>
      <c r="BG1588" s="275" t="str">
        <f>IFERROR(__xludf.DUMMYFUNCTION("upper(Regexreplace(to_text(E1588),""[^A-Za-z0-9]"","""")&amp;""-""&amp;Regexreplace(to_text(F1588),""[^A-Za-z0-9]"",""""))"),"NEPTRONIC-EVCBSERIES")</f>
        <v>NEPTRONIC-EVCBSERIES</v>
      </c>
    </row>
    <row r="1589" ht="30.0" customHeight="1">
      <c r="A1589" s="173">
        <v>1581.0</v>
      </c>
      <c r="B1589" s="328" t="s">
        <v>670</v>
      </c>
      <c r="C1589" s="257" t="s">
        <v>6248</v>
      </c>
      <c r="D1589" s="173" t="s">
        <v>6248</v>
      </c>
      <c r="E1589" s="174" t="s">
        <v>2861</v>
      </c>
      <c r="F1589" s="173" t="s">
        <v>2862</v>
      </c>
      <c r="G1589" s="328" t="s">
        <v>673</v>
      </c>
      <c r="H1589" s="328" t="s">
        <v>2863</v>
      </c>
      <c r="I1589" s="258" t="s">
        <v>2864</v>
      </c>
      <c r="J1589" s="259" t="s">
        <v>1211</v>
      </c>
      <c r="K1589" s="260" t="s">
        <v>6249</v>
      </c>
      <c r="L1589" s="359"/>
      <c r="M1589" s="359"/>
      <c r="N1589" s="173" t="s">
        <v>679</v>
      </c>
      <c r="O1589" s="173" t="s">
        <v>225</v>
      </c>
      <c r="P1589" s="262" t="str">
        <f t="shared" si="1"/>
        <v>IN-BLR-ANANTA-VAV-1161_7</v>
      </c>
      <c r="Q1589" s="173" t="s">
        <v>6250</v>
      </c>
      <c r="R1589" s="328" t="str">
        <f>IFS(C1589="","",C1589="n/a","N/A",LEN(C1589),Concatenate("{",char(34),"asset",char(34),":{",char(34),"guid",char(34),":",char(34),Q1589,char(34),",",char(34),"site",char(34),":",char(34),LOWER('2-Building'!$B$4),char(34),",",char(34),"name",char(34),":",char(34),LOWER(C1589),char(34),"}}"))</f>
        <v>{"asset":{"guid":"uuid://3e5a774d-b971-41f0-b50c-b1cde130f259","site":"in-blr-ananta","name":"vav-1161"}}</v>
      </c>
      <c r="S1589" s="360" t="s">
        <v>5516</v>
      </c>
      <c r="T1589" s="330"/>
      <c r="U1589" s="330"/>
      <c r="V1589" s="331"/>
      <c r="W1589" s="332"/>
      <c r="X1589" s="333"/>
      <c r="Y1589" s="33" t="s">
        <v>2867</v>
      </c>
      <c r="Z1589" s="258">
        <v>121161.0</v>
      </c>
      <c r="AA1589" s="334">
        <v>11639.0</v>
      </c>
      <c r="AB1589" s="333"/>
      <c r="AC1589" s="333"/>
      <c r="AD1589" s="329"/>
      <c r="AE1589" s="331"/>
      <c r="AF1589" s="336"/>
      <c r="AG1589" s="337"/>
      <c r="AH1589" s="333"/>
      <c r="AI1589" s="333"/>
      <c r="AJ1589" s="333"/>
      <c r="AK1589" s="333"/>
      <c r="AL1589" s="333"/>
      <c r="AM1589" s="338"/>
      <c r="AN1589" s="333"/>
      <c r="AO1589" s="333"/>
      <c r="AP1589" s="333"/>
      <c r="AQ1589" s="333"/>
      <c r="AR1589" s="333"/>
      <c r="AS1589" s="333"/>
      <c r="AT1589" s="333"/>
      <c r="AU1589" s="329"/>
      <c r="AV1589" s="341"/>
      <c r="AW1589" s="269" t="s">
        <v>2431</v>
      </c>
      <c r="AX1589" s="334" t="s">
        <v>2869</v>
      </c>
      <c r="AY1589" s="270" t="s">
        <v>695</v>
      </c>
      <c r="AZ1589" s="173" t="s">
        <v>5516</v>
      </c>
      <c r="BA1589" s="265">
        <v>10.0</v>
      </c>
      <c r="BB1589" s="174" t="s">
        <v>245</v>
      </c>
      <c r="BC1589" s="341"/>
      <c r="BD1589" s="308"/>
      <c r="BE1589" s="342"/>
      <c r="BF1589" s="274" t="str">
        <f>IFERROR(__xludf.DUMMYFUNCTION("LOWER(Regexreplace(to_text(E1589),""[^A-Za-z0-9]"","""")&amp;""_""&amp;Regexreplace(to_text(F1589),""[^A-Za-z0-9]"",""""))"),"neptronic_evcbseries")</f>
        <v>neptronic_evcbseries</v>
      </c>
      <c r="BG1589" s="275" t="str">
        <f>IFERROR(__xludf.DUMMYFUNCTION("upper(Regexreplace(to_text(E1589),""[^A-Za-z0-9]"","""")&amp;""-""&amp;Regexreplace(to_text(F1589),""[^A-Za-z0-9]"",""""))"),"NEPTRONIC-EVCBSERIES")</f>
        <v>NEPTRONIC-EVCBSERIES</v>
      </c>
    </row>
    <row r="1590" ht="30.0" customHeight="1">
      <c r="A1590" s="258">
        <v>1582.0</v>
      </c>
      <c r="B1590" s="328" t="s">
        <v>670</v>
      </c>
      <c r="C1590" s="257" t="s">
        <v>6251</v>
      </c>
      <c r="D1590" s="173" t="s">
        <v>6251</v>
      </c>
      <c r="E1590" s="174" t="s">
        <v>2861</v>
      </c>
      <c r="F1590" s="173" t="s">
        <v>2862</v>
      </c>
      <c r="G1590" s="328" t="s">
        <v>673</v>
      </c>
      <c r="H1590" s="328" t="s">
        <v>2863</v>
      </c>
      <c r="I1590" s="258" t="s">
        <v>2864</v>
      </c>
      <c r="J1590" s="259" t="s">
        <v>1211</v>
      </c>
      <c r="K1590" s="260" t="s">
        <v>6252</v>
      </c>
      <c r="L1590" s="359"/>
      <c r="M1590" s="359"/>
      <c r="N1590" s="173" t="s">
        <v>679</v>
      </c>
      <c r="O1590" s="173" t="s">
        <v>225</v>
      </c>
      <c r="P1590" s="262" t="str">
        <f t="shared" si="1"/>
        <v>IN-BLR-ANANTA-VAV-1162_7</v>
      </c>
      <c r="Q1590" s="173" t="s">
        <v>6253</v>
      </c>
      <c r="R1590" s="328" t="str">
        <f>IFS(C1590="","",C1590="n/a","N/A",LEN(C1590),Concatenate("{",char(34),"asset",char(34),":{",char(34),"guid",char(34),":",char(34),Q1590,char(34),",",char(34),"site",char(34),":",char(34),LOWER('2-Building'!$B$4),char(34),",",char(34),"name",char(34),":",char(34),LOWER(C1590),char(34),"}}"))</f>
        <v>{"asset":{"guid":"uuid://088b66d5-11b2-481a-9aab-0f3c104595bb","site":"in-blr-ananta","name":"vav-1162"}}</v>
      </c>
      <c r="S1590" s="360" t="s">
        <v>5516</v>
      </c>
      <c r="T1590" s="330"/>
      <c r="U1590" s="330"/>
      <c r="V1590" s="331"/>
      <c r="W1590" s="332"/>
      <c r="X1590" s="333"/>
      <c r="Y1590" s="33" t="s">
        <v>2867</v>
      </c>
      <c r="Z1590" s="258">
        <v>121162.0</v>
      </c>
      <c r="AA1590" s="334">
        <v>11639.0</v>
      </c>
      <c r="AB1590" s="333"/>
      <c r="AC1590" s="333"/>
      <c r="AD1590" s="329"/>
      <c r="AE1590" s="331"/>
      <c r="AF1590" s="336"/>
      <c r="AG1590" s="337"/>
      <c r="AH1590" s="333"/>
      <c r="AI1590" s="333"/>
      <c r="AJ1590" s="333"/>
      <c r="AK1590" s="333"/>
      <c r="AL1590" s="333"/>
      <c r="AM1590" s="338"/>
      <c r="AN1590" s="333"/>
      <c r="AO1590" s="333"/>
      <c r="AP1590" s="333"/>
      <c r="AQ1590" s="333"/>
      <c r="AR1590" s="333"/>
      <c r="AS1590" s="333"/>
      <c r="AT1590" s="333"/>
      <c r="AU1590" s="329"/>
      <c r="AV1590" s="341"/>
      <c r="AW1590" s="269" t="s">
        <v>2431</v>
      </c>
      <c r="AX1590" s="334" t="s">
        <v>2869</v>
      </c>
      <c r="AY1590" s="270" t="s">
        <v>695</v>
      </c>
      <c r="AZ1590" s="173" t="s">
        <v>5516</v>
      </c>
      <c r="BA1590" s="265">
        <v>10.0</v>
      </c>
      <c r="BB1590" s="174" t="s">
        <v>245</v>
      </c>
      <c r="BC1590" s="341"/>
      <c r="BD1590" s="308"/>
      <c r="BE1590" s="342"/>
      <c r="BF1590" s="274" t="str">
        <f>IFERROR(__xludf.DUMMYFUNCTION("LOWER(Regexreplace(to_text(E1590),""[^A-Za-z0-9]"","""")&amp;""_""&amp;Regexreplace(to_text(F1590),""[^A-Za-z0-9]"",""""))"),"neptronic_evcbseries")</f>
        <v>neptronic_evcbseries</v>
      </c>
      <c r="BG1590" s="275" t="str">
        <f>IFERROR(__xludf.DUMMYFUNCTION("upper(Regexreplace(to_text(E1590),""[^A-Za-z0-9]"","""")&amp;""-""&amp;Regexreplace(to_text(F1590),""[^A-Za-z0-9]"",""""))"),"NEPTRONIC-EVCBSERIES")</f>
        <v>NEPTRONIC-EVCBSERIES</v>
      </c>
    </row>
    <row r="1591" ht="30.0" customHeight="1">
      <c r="A1591" s="173">
        <v>1583.0</v>
      </c>
      <c r="B1591" s="328" t="s">
        <v>670</v>
      </c>
      <c r="C1591" s="257" t="s">
        <v>6254</v>
      </c>
      <c r="D1591" s="173" t="s">
        <v>6254</v>
      </c>
      <c r="E1591" s="174" t="s">
        <v>2861</v>
      </c>
      <c r="F1591" s="173" t="s">
        <v>2862</v>
      </c>
      <c r="G1591" s="328" t="s">
        <v>673</v>
      </c>
      <c r="H1591" s="328" t="s">
        <v>2863</v>
      </c>
      <c r="I1591" s="258" t="s">
        <v>2864</v>
      </c>
      <c r="J1591" s="259" t="s">
        <v>1211</v>
      </c>
      <c r="K1591" s="260" t="s">
        <v>6255</v>
      </c>
      <c r="L1591" s="359"/>
      <c r="M1591" s="359"/>
      <c r="N1591" s="173" t="s">
        <v>679</v>
      </c>
      <c r="O1591" s="173" t="s">
        <v>225</v>
      </c>
      <c r="P1591" s="262" t="str">
        <f t="shared" si="1"/>
        <v>IN-BLR-ANANTA-VAV-1163_7</v>
      </c>
      <c r="Q1591" s="173" t="s">
        <v>6256</v>
      </c>
      <c r="R1591" s="328" t="str">
        <f>IFS(C1591="","",C1591="n/a","N/A",LEN(C1591),Concatenate("{",char(34),"asset",char(34),":{",char(34),"guid",char(34),":",char(34),Q1591,char(34),",",char(34),"site",char(34),":",char(34),LOWER('2-Building'!$B$4),char(34),",",char(34),"name",char(34),":",char(34),LOWER(C1591),char(34),"}}"))</f>
        <v>{"asset":{"guid":"uuid://fdf12f06-433d-43eb-8a98-7c68c1f3d15b","site":"in-blr-ananta","name":"vav-1163"}}</v>
      </c>
      <c r="S1591" s="360" t="s">
        <v>5516</v>
      </c>
      <c r="T1591" s="330"/>
      <c r="U1591" s="330"/>
      <c r="V1591" s="331"/>
      <c r="W1591" s="332"/>
      <c r="X1591" s="333"/>
      <c r="Y1591" s="33" t="s">
        <v>2867</v>
      </c>
      <c r="Z1591" s="258">
        <v>121163.0</v>
      </c>
      <c r="AA1591" s="334">
        <v>11639.0</v>
      </c>
      <c r="AB1591" s="333"/>
      <c r="AC1591" s="333"/>
      <c r="AD1591" s="329"/>
      <c r="AE1591" s="331"/>
      <c r="AF1591" s="336"/>
      <c r="AG1591" s="337"/>
      <c r="AH1591" s="333"/>
      <c r="AI1591" s="333"/>
      <c r="AJ1591" s="333"/>
      <c r="AK1591" s="333"/>
      <c r="AL1591" s="333"/>
      <c r="AM1591" s="338"/>
      <c r="AN1591" s="333"/>
      <c r="AO1591" s="333"/>
      <c r="AP1591" s="333"/>
      <c r="AQ1591" s="333"/>
      <c r="AR1591" s="333"/>
      <c r="AS1591" s="333"/>
      <c r="AT1591" s="333"/>
      <c r="AU1591" s="329"/>
      <c r="AV1591" s="341"/>
      <c r="AW1591" s="269" t="s">
        <v>2431</v>
      </c>
      <c r="AX1591" s="334" t="s">
        <v>2869</v>
      </c>
      <c r="AY1591" s="270" t="s">
        <v>695</v>
      </c>
      <c r="AZ1591" s="173" t="s">
        <v>5516</v>
      </c>
      <c r="BA1591" s="265">
        <v>10.0</v>
      </c>
      <c r="BB1591" s="174" t="s">
        <v>245</v>
      </c>
      <c r="BC1591" s="341"/>
      <c r="BD1591" s="308"/>
      <c r="BE1591" s="342"/>
      <c r="BF1591" s="274" t="str">
        <f>IFERROR(__xludf.DUMMYFUNCTION("LOWER(Regexreplace(to_text(E1591),""[^A-Za-z0-9]"","""")&amp;""_""&amp;Regexreplace(to_text(F1591),""[^A-Za-z0-9]"",""""))"),"neptronic_evcbseries")</f>
        <v>neptronic_evcbseries</v>
      </c>
      <c r="BG1591" s="275" t="str">
        <f>IFERROR(__xludf.DUMMYFUNCTION("upper(Regexreplace(to_text(E1591),""[^A-Za-z0-9]"","""")&amp;""-""&amp;Regexreplace(to_text(F1591),""[^A-Za-z0-9]"",""""))"),"NEPTRONIC-EVCBSERIES")</f>
        <v>NEPTRONIC-EVCBSERIES</v>
      </c>
    </row>
    <row r="1592" ht="30.0" customHeight="1">
      <c r="A1592" s="258">
        <v>1584.0</v>
      </c>
      <c r="B1592" s="328" t="s">
        <v>670</v>
      </c>
      <c r="C1592" s="257" t="s">
        <v>6257</v>
      </c>
      <c r="D1592" s="173" t="s">
        <v>6257</v>
      </c>
      <c r="E1592" s="174" t="s">
        <v>2861</v>
      </c>
      <c r="F1592" s="173" t="s">
        <v>2862</v>
      </c>
      <c r="G1592" s="328" t="s">
        <v>673</v>
      </c>
      <c r="H1592" s="328" t="s">
        <v>2863</v>
      </c>
      <c r="I1592" s="258" t="s">
        <v>2864</v>
      </c>
      <c r="J1592" s="259" t="s">
        <v>1211</v>
      </c>
      <c r="K1592" s="260" t="s">
        <v>6258</v>
      </c>
      <c r="L1592" s="359"/>
      <c r="M1592" s="359"/>
      <c r="N1592" s="173" t="s">
        <v>679</v>
      </c>
      <c r="O1592" s="173" t="s">
        <v>225</v>
      </c>
      <c r="P1592" s="262" t="str">
        <f t="shared" si="1"/>
        <v>IN-BLR-ANANTA-VAV-1164_7</v>
      </c>
      <c r="Q1592" s="173" t="s">
        <v>6259</v>
      </c>
      <c r="R1592" s="328" t="str">
        <f>IFS(C1592="","",C1592="n/a","N/A",LEN(C1592),Concatenate("{",char(34),"asset",char(34),":{",char(34),"guid",char(34),":",char(34),Q1592,char(34),",",char(34),"site",char(34),":",char(34),LOWER('2-Building'!$B$4),char(34),",",char(34),"name",char(34),":",char(34),LOWER(C1592),char(34),"}}"))</f>
        <v>{"asset":{"guid":"uuid://5a9e761d-4291-4071-90f7-de38fec083e9","site":"in-blr-ananta","name":"vav-1164"}}</v>
      </c>
      <c r="S1592" s="360" t="s">
        <v>5516</v>
      </c>
      <c r="T1592" s="330"/>
      <c r="U1592" s="330"/>
      <c r="V1592" s="331"/>
      <c r="W1592" s="332"/>
      <c r="X1592" s="333"/>
      <c r="Y1592" s="33" t="s">
        <v>2867</v>
      </c>
      <c r="Z1592" s="258">
        <v>121164.0</v>
      </c>
      <c r="AA1592" s="334">
        <v>11639.0</v>
      </c>
      <c r="AB1592" s="333"/>
      <c r="AC1592" s="333"/>
      <c r="AD1592" s="329"/>
      <c r="AE1592" s="331"/>
      <c r="AF1592" s="336"/>
      <c r="AG1592" s="337"/>
      <c r="AH1592" s="333"/>
      <c r="AI1592" s="333"/>
      <c r="AJ1592" s="333"/>
      <c r="AK1592" s="333"/>
      <c r="AL1592" s="333"/>
      <c r="AM1592" s="338"/>
      <c r="AN1592" s="333"/>
      <c r="AO1592" s="333"/>
      <c r="AP1592" s="333"/>
      <c r="AQ1592" s="333"/>
      <c r="AR1592" s="333"/>
      <c r="AS1592" s="333"/>
      <c r="AT1592" s="333"/>
      <c r="AU1592" s="329"/>
      <c r="AV1592" s="341"/>
      <c r="AW1592" s="269" t="s">
        <v>2431</v>
      </c>
      <c r="AX1592" s="334" t="s">
        <v>2869</v>
      </c>
      <c r="AY1592" s="270" t="s">
        <v>695</v>
      </c>
      <c r="AZ1592" s="173" t="s">
        <v>5516</v>
      </c>
      <c r="BA1592" s="265">
        <v>10.0</v>
      </c>
      <c r="BB1592" s="174" t="s">
        <v>245</v>
      </c>
      <c r="BC1592" s="341"/>
      <c r="BD1592" s="308"/>
      <c r="BE1592" s="342"/>
      <c r="BF1592" s="274" t="str">
        <f>IFERROR(__xludf.DUMMYFUNCTION("LOWER(Regexreplace(to_text(E1592),""[^A-Za-z0-9]"","""")&amp;""_""&amp;Regexreplace(to_text(F1592),""[^A-Za-z0-9]"",""""))"),"neptronic_evcbseries")</f>
        <v>neptronic_evcbseries</v>
      </c>
      <c r="BG1592" s="275" t="str">
        <f>IFERROR(__xludf.DUMMYFUNCTION("upper(Regexreplace(to_text(E1592),""[^A-Za-z0-9]"","""")&amp;""-""&amp;Regexreplace(to_text(F1592),""[^A-Za-z0-9]"",""""))"),"NEPTRONIC-EVCBSERIES")</f>
        <v>NEPTRONIC-EVCBSERIES</v>
      </c>
    </row>
    <row r="1593" ht="30.0" customHeight="1">
      <c r="A1593" s="173">
        <v>1585.0</v>
      </c>
      <c r="B1593" s="328" t="s">
        <v>670</v>
      </c>
      <c r="C1593" s="257" t="s">
        <v>6260</v>
      </c>
      <c r="D1593" s="173" t="s">
        <v>6260</v>
      </c>
      <c r="E1593" s="174" t="s">
        <v>2861</v>
      </c>
      <c r="F1593" s="173" t="s">
        <v>2862</v>
      </c>
      <c r="G1593" s="328" t="s">
        <v>673</v>
      </c>
      <c r="H1593" s="328" t="s">
        <v>2863</v>
      </c>
      <c r="I1593" s="258" t="s">
        <v>2864</v>
      </c>
      <c r="J1593" s="259" t="s">
        <v>1211</v>
      </c>
      <c r="K1593" s="260" t="s">
        <v>6261</v>
      </c>
      <c r="L1593" s="359"/>
      <c r="M1593" s="359"/>
      <c r="N1593" s="173" t="s">
        <v>679</v>
      </c>
      <c r="O1593" s="173" t="s">
        <v>225</v>
      </c>
      <c r="P1593" s="262" t="str">
        <f t="shared" si="1"/>
        <v>IN-BLR-ANANTA-VAV-1165_7</v>
      </c>
      <c r="Q1593" s="173" t="s">
        <v>6262</v>
      </c>
      <c r="R1593" s="328" t="str">
        <f>IFS(C1593="","",C1593="n/a","N/A",LEN(C1593),Concatenate("{",char(34),"asset",char(34),":{",char(34),"guid",char(34),":",char(34),Q1593,char(34),",",char(34),"site",char(34),":",char(34),LOWER('2-Building'!$B$4),char(34),",",char(34),"name",char(34),":",char(34),LOWER(C1593),char(34),"}}"))</f>
        <v>{"asset":{"guid":"uuid://198d646d-c889-450f-a12f-5e14f111c692","site":"in-blr-ananta","name":"vav-1165"}}</v>
      </c>
      <c r="S1593" s="360" t="s">
        <v>5516</v>
      </c>
      <c r="T1593" s="330"/>
      <c r="U1593" s="330"/>
      <c r="V1593" s="331"/>
      <c r="W1593" s="332"/>
      <c r="X1593" s="333"/>
      <c r="Y1593" s="33" t="s">
        <v>2867</v>
      </c>
      <c r="Z1593" s="258">
        <v>121165.0</v>
      </c>
      <c r="AA1593" s="334">
        <v>11639.0</v>
      </c>
      <c r="AB1593" s="333"/>
      <c r="AC1593" s="333"/>
      <c r="AD1593" s="329"/>
      <c r="AE1593" s="331"/>
      <c r="AF1593" s="336"/>
      <c r="AG1593" s="337"/>
      <c r="AH1593" s="333"/>
      <c r="AI1593" s="333"/>
      <c r="AJ1593" s="333"/>
      <c r="AK1593" s="333"/>
      <c r="AL1593" s="333"/>
      <c r="AM1593" s="338"/>
      <c r="AN1593" s="333"/>
      <c r="AO1593" s="333"/>
      <c r="AP1593" s="333"/>
      <c r="AQ1593" s="333"/>
      <c r="AR1593" s="333"/>
      <c r="AS1593" s="333"/>
      <c r="AT1593" s="333"/>
      <c r="AU1593" s="329"/>
      <c r="AV1593" s="341"/>
      <c r="AW1593" s="269" t="s">
        <v>2431</v>
      </c>
      <c r="AX1593" s="334" t="s">
        <v>2869</v>
      </c>
      <c r="AY1593" s="270" t="s">
        <v>695</v>
      </c>
      <c r="AZ1593" s="173" t="s">
        <v>5516</v>
      </c>
      <c r="BA1593" s="265">
        <v>10.0</v>
      </c>
      <c r="BB1593" s="174" t="s">
        <v>245</v>
      </c>
      <c r="BC1593" s="341"/>
      <c r="BD1593" s="308"/>
      <c r="BE1593" s="342"/>
      <c r="BF1593" s="274" t="str">
        <f>IFERROR(__xludf.DUMMYFUNCTION("LOWER(Regexreplace(to_text(E1593),""[^A-Za-z0-9]"","""")&amp;""_""&amp;Regexreplace(to_text(F1593),""[^A-Za-z0-9]"",""""))"),"neptronic_evcbseries")</f>
        <v>neptronic_evcbseries</v>
      </c>
      <c r="BG1593" s="275" t="str">
        <f>IFERROR(__xludf.DUMMYFUNCTION("upper(Regexreplace(to_text(E1593),""[^A-Za-z0-9]"","""")&amp;""-""&amp;Regexreplace(to_text(F1593),""[^A-Za-z0-9]"",""""))"),"NEPTRONIC-EVCBSERIES")</f>
        <v>NEPTRONIC-EVCBSERIES</v>
      </c>
    </row>
    <row r="1594" ht="30.0" customHeight="1">
      <c r="A1594" s="258">
        <v>1586.0</v>
      </c>
      <c r="B1594" s="328" t="s">
        <v>670</v>
      </c>
      <c r="C1594" s="257" t="s">
        <v>6263</v>
      </c>
      <c r="D1594" s="173" t="s">
        <v>6263</v>
      </c>
      <c r="E1594" s="174" t="s">
        <v>2861</v>
      </c>
      <c r="F1594" s="173" t="s">
        <v>2862</v>
      </c>
      <c r="G1594" s="328" t="s">
        <v>673</v>
      </c>
      <c r="H1594" s="328" t="s">
        <v>2863</v>
      </c>
      <c r="I1594" s="258" t="s">
        <v>2864</v>
      </c>
      <c r="J1594" s="259" t="s">
        <v>1211</v>
      </c>
      <c r="K1594" s="260" t="s">
        <v>6264</v>
      </c>
      <c r="L1594" s="359"/>
      <c r="M1594" s="359"/>
      <c r="N1594" s="173" t="s">
        <v>679</v>
      </c>
      <c r="O1594" s="173" t="s">
        <v>225</v>
      </c>
      <c r="P1594" s="262" t="str">
        <f t="shared" si="1"/>
        <v>IN-BLR-ANANTA-VAV-1166_7</v>
      </c>
      <c r="Q1594" s="173" t="s">
        <v>6265</v>
      </c>
      <c r="R1594" s="328" t="str">
        <f>IFS(C1594="","",C1594="n/a","N/A",LEN(C1594),Concatenate("{",char(34),"asset",char(34),":{",char(34),"guid",char(34),":",char(34),Q1594,char(34),",",char(34),"site",char(34),":",char(34),LOWER('2-Building'!$B$4),char(34),",",char(34),"name",char(34),":",char(34),LOWER(C1594),char(34),"}}"))</f>
        <v>{"asset":{"guid":"uuid://f3f79142-f8dd-41e4-aa21-c3c7e620664d","site":"in-blr-ananta","name":"vav-1166"}}</v>
      </c>
      <c r="S1594" s="360" t="s">
        <v>5516</v>
      </c>
      <c r="T1594" s="330"/>
      <c r="U1594" s="330"/>
      <c r="V1594" s="331"/>
      <c r="W1594" s="332"/>
      <c r="X1594" s="333"/>
      <c r="Y1594" s="33" t="s">
        <v>2867</v>
      </c>
      <c r="Z1594" s="258">
        <v>121166.0</v>
      </c>
      <c r="AA1594" s="334">
        <v>11639.0</v>
      </c>
      <c r="AB1594" s="333"/>
      <c r="AC1594" s="333"/>
      <c r="AD1594" s="329"/>
      <c r="AE1594" s="331"/>
      <c r="AF1594" s="336"/>
      <c r="AG1594" s="337"/>
      <c r="AH1594" s="333"/>
      <c r="AI1594" s="333"/>
      <c r="AJ1594" s="333"/>
      <c r="AK1594" s="333"/>
      <c r="AL1594" s="333"/>
      <c r="AM1594" s="338"/>
      <c r="AN1594" s="333"/>
      <c r="AO1594" s="333"/>
      <c r="AP1594" s="333"/>
      <c r="AQ1594" s="333"/>
      <c r="AR1594" s="333"/>
      <c r="AS1594" s="333"/>
      <c r="AT1594" s="333"/>
      <c r="AU1594" s="329"/>
      <c r="AV1594" s="341"/>
      <c r="AW1594" s="269" t="s">
        <v>2431</v>
      </c>
      <c r="AX1594" s="334" t="s">
        <v>2869</v>
      </c>
      <c r="AY1594" s="270" t="s">
        <v>695</v>
      </c>
      <c r="AZ1594" s="173" t="s">
        <v>5516</v>
      </c>
      <c r="BA1594" s="265">
        <v>10.0</v>
      </c>
      <c r="BB1594" s="174" t="s">
        <v>245</v>
      </c>
      <c r="BC1594" s="341"/>
      <c r="BD1594" s="308"/>
      <c r="BE1594" s="342"/>
      <c r="BF1594" s="274" t="str">
        <f>IFERROR(__xludf.DUMMYFUNCTION("LOWER(Regexreplace(to_text(E1594),""[^A-Za-z0-9]"","""")&amp;""_""&amp;Regexreplace(to_text(F1594),""[^A-Za-z0-9]"",""""))"),"neptronic_evcbseries")</f>
        <v>neptronic_evcbseries</v>
      </c>
      <c r="BG1594" s="275" t="str">
        <f>IFERROR(__xludf.DUMMYFUNCTION("upper(Regexreplace(to_text(E1594),""[^A-Za-z0-9]"","""")&amp;""-""&amp;Regexreplace(to_text(F1594),""[^A-Za-z0-9]"",""""))"),"NEPTRONIC-EVCBSERIES")</f>
        <v>NEPTRONIC-EVCBSERIES</v>
      </c>
    </row>
    <row r="1595" ht="30.0" customHeight="1">
      <c r="A1595" s="173">
        <v>1587.0</v>
      </c>
      <c r="B1595" s="328" t="s">
        <v>670</v>
      </c>
      <c r="C1595" s="257" t="s">
        <v>6266</v>
      </c>
      <c r="D1595" s="173" t="s">
        <v>6266</v>
      </c>
      <c r="E1595" s="174" t="s">
        <v>2861</v>
      </c>
      <c r="F1595" s="173" t="s">
        <v>2862</v>
      </c>
      <c r="G1595" s="328" t="s">
        <v>673</v>
      </c>
      <c r="H1595" s="328" t="s">
        <v>2863</v>
      </c>
      <c r="I1595" s="258" t="s">
        <v>2864</v>
      </c>
      <c r="J1595" s="259" t="s">
        <v>1211</v>
      </c>
      <c r="K1595" s="260" t="s">
        <v>6267</v>
      </c>
      <c r="L1595" s="359"/>
      <c r="M1595" s="359"/>
      <c r="N1595" s="173" t="s">
        <v>679</v>
      </c>
      <c r="O1595" s="173" t="s">
        <v>225</v>
      </c>
      <c r="P1595" s="262" t="str">
        <f t="shared" si="1"/>
        <v>IN-BLR-ANANTA-VAV-1167_7</v>
      </c>
      <c r="Q1595" s="173" t="s">
        <v>6268</v>
      </c>
      <c r="R1595" s="328" t="str">
        <f>IFS(C1595="","",C1595="n/a","N/A",LEN(C1595),Concatenate("{",char(34),"asset",char(34),":{",char(34),"guid",char(34),":",char(34),Q1595,char(34),",",char(34),"site",char(34),":",char(34),LOWER('2-Building'!$B$4),char(34),",",char(34),"name",char(34),":",char(34),LOWER(C1595),char(34),"}}"))</f>
        <v>{"asset":{"guid":"uuid://cd5c3b1c-6594-4e50-927f-9c7d126e374b","site":"in-blr-ananta","name":"vav-1167"}}</v>
      </c>
      <c r="S1595" s="360" t="s">
        <v>5516</v>
      </c>
      <c r="T1595" s="330"/>
      <c r="U1595" s="330"/>
      <c r="V1595" s="331"/>
      <c r="W1595" s="332"/>
      <c r="X1595" s="333"/>
      <c r="Y1595" s="33" t="s">
        <v>2867</v>
      </c>
      <c r="Z1595" s="258">
        <v>121167.0</v>
      </c>
      <c r="AA1595" s="334">
        <v>11639.0</v>
      </c>
      <c r="AB1595" s="333"/>
      <c r="AC1595" s="333"/>
      <c r="AD1595" s="329"/>
      <c r="AE1595" s="331"/>
      <c r="AF1595" s="336"/>
      <c r="AG1595" s="337"/>
      <c r="AH1595" s="333"/>
      <c r="AI1595" s="333"/>
      <c r="AJ1595" s="333"/>
      <c r="AK1595" s="333"/>
      <c r="AL1595" s="333"/>
      <c r="AM1595" s="338"/>
      <c r="AN1595" s="333"/>
      <c r="AO1595" s="333"/>
      <c r="AP1595" s="333"/>
      <c r="AQ1595" s="333"/>
      <c r="AR1595" s="333"/>
      <c r="AS1595" s="333"/>
      <c r="AT1595" s="333"/>
      <c r="AU1595" s="329"/>
      <c r="AV1595" s="341"/>
      <c r="AW1595" s="269" t="s">
        <v>2431</v>
      </c>
      <c r="AX1595" s="334" t="s">
        <v>2869</v>
      </c>
      <c r="AY1595" s="270" t="s">
        <v>695</v>
      </c>
      <c r="AZ1595" s="173" t="s">
        <v>5516</v>
      </c>
      <c r="BA1595" s="265">
        <v>10.0</v>
      </c>
      <c r="BB1595" s="174" t="s">
        <v>245</v>
      </c>
      <c r="BC1595" s="341"/>
      <c r="BD1595" s="308"/>
      <c r="BE1595" s="342"/>
      <c r="BF1595" s="274" t="str">
        <f>IFERROR(__xludf.DUMMYFUNCTION("LOWER(Regexreplace(to_text(E1595),""[^A-Za-z0-9]"","""")&amp;""_""&amp;Regexreplace(to_text(F1595),""[^A-Za-z0-9]"",""""))"),"neptronic_evcbseries")</f>
        <v>neptronic_evcbseries</v>
      </c>
      <c r="BG1595" s="275" t="str">
        <f>IFERROR(__xludf.DUMMYFUNCTION("upper(Regexreplace(to_text(E1595),""[^A-Za-z0-9]"","""")&amp;""-""&amp;Regexreplace(to_text(F1595),""[^A-Za-z0-9]"",""""))"),"NEPTRONIC-EVCBSERIES")</f>
        <v>NEPTRONIC-EVCBSERIES</v>
      </c>
    </row>
    <row r="1596" ht="30.0" customHeight="1">
      <c r="A1596" s="258">
        <v>1588.0</v>
      </c>
      <c r="B1596" s="328" t="s">
        <v>670</v>
      </c>
      <c r="C1596" s="257" t="s">
        <v>6269</v>
      </c>
      <c r="D1596" s="173" t="s">
        <v>6269</v>
      </c>
      <c r="E1596" s="174" t="s">
        <v>2861</v>
      </c>
      <c r="F1596" s="173" t="s">
        <v>2862</v>
      </c>
      <c r="G1596" s="328" t="s">
        <v>673</v>
      </c>
      <c r="H1596" s="328" t="s">
        <v>2863</v>
      </c>
      <c r="I1596" s="258" t="s">
        <v>2864</v>
      </c>
      <c r="J1596" s="259" t="s">
        <v>1211</v>
      </c>
      <c r="K1596" s="260" t="s">
        <v>6270</v>
      </c>
      <c r="L1596" s="359"/>
      <c r="M1596" s="359"/>
      <c r="N1596" s="173" t="s">
        <v>679</v>
      </c>
      <c r="O1596" s="173" t="s">
        <v>225</v>
      </c>
      <c r="P1596" s="262" t="str">
        <f t="shared" si="1"/>
        <v>IN-BLR-ANANTA-VAV-1168_7</v>
      </c>
      <c r="Q1596" s="173" t="s">
        <v>6271</v>
      </c>
      <c r="R1596" s="328" t="str">
        <f>IFS(C1596="","",C1596="n/a","N/A",LEN(C1596),Concatenate("{",char(34),"asset",char(34),":{",char(34),"guid",char(34),":",char(34),Q1596,char(34),",",char(34),"site",char(34),":",char(34),LOWER('2-Building'!$B$4),char(34),",",char(34),"name",char(34),":",char(34),LOWER(C1596),char(34),"}}"))</f>
        <v>{"asset":{"guid":"uuid://47891b79-868d-4d2c-a423-8c53b42a5f87","site":"in-blr-ananta","name":"vav-1168"}}</v>
      </c>
      <c r="S1596" s="360" t="s">
        <v>5516</v>
      </c>
      <c r="T1596" s="330"/>
      <c r="U1596" s="330"/>
      <c r="V1596" s="331"/>
      <c r="W1596" s="332"/>
      <c r="X1596" s="333"/>
      <c r="Y1596" s="33" t="s">
        <v>2867</v>
      </c>
      <c r="Z1596" s="258">
        <v>121168.0</v>
      </c>
      <c r="AA1596" s="334">
        <v>11639.0</v>
      </c>
      <c r="AB1596" s="333"/>
      <c r="AC1596" s="333"/>
      <c r="AD1596" s="329"/>
      <c r="AE1596" s="331"/>
      <c r="AF1596" s="336"/>
      <c r="AG1596" s="337"/>
      <c r="AH1596" s="333"/>
      <c r="AI1596" s="333"/>
      <c r="AJ1596" s="333"/>
      <c r="AK1596" s="333"/>
      <c r="AL1596" s="333"/>
      <c r="AM1596" s="338"/>
      <c r="AN1596" s="333"/>
      <c r="AO1596" s="333"/>
      <c r="AP1596" s="333"/>
      <c r="AQ1596" s="333"/>
      <c r="AR1596" s="333"/>
      <c r="AS1596" s="333"/>
      <c r="AT1596" s="333"/>
      <c r="AU1596" s="329"/>
      <c r="AV1596" s="341"/>
      <c r="AW1596" s="269" t="s">
        <v>2431</v>
      </c>
      <c r="AX1596" s="334" t="s">
        <v>2869</v>
      </c>
      <c r="AY1596" s="270" t="s">
        <v>695</v>
      </c>
      <c r="AZ1596" s="173" t="s">
        <v>5516</v>
      </c>
      <c r="BA1596" s="265">
        <v>10.0</v>
      </c>
      <c r="BB1596" s="174" t="s">
        <v>245</v>
      </c>
      <c r="BC1596" s="341"/>
      <c r="BD1596" s="308"/>
      <c r="BE1596" s="342"/>
      <c r="BF1596" s="274" t="str">
        <f>IFERROR(__xludf.DUMMYFUNCTION("LOWER(Regexreplace(to_text(E1596),""[^A-Za-z0-9]"","""")&amp;""_""&amp;Regexreplace(to_text(F1596),""[^A-Za-z0-9]"",""""))"),"neptronic_evcbseries")</f>
        <v>neptronic_evcbseries</v>
      </c>
      <c r="BG1596" s="275" t="str">
        <f>IFERROR(__xludf.DUMMYFUNCTION("upper(Regexreplace(to_text(E1596),""[^A-Za-z0-9]"","""")&amp;""-""&amp;Regexreplace(to_text(F1596),""[^A-Za-z0-9]"",""""))"),"NEPTRONIC-EVCBSERIES")</f>
        <v>NEPTRONIC-EVCBSERIES</v>
      </c>
    </row>
    <row r="1597" ht="30.0" customHeight="1">
      <c r="A1597" s="173">
        <v>1589.0</v>
      </c>
      <c r="B1597" s="328" t="s">
        <v>670</v>
      </c>
      <c r="C1597" s="257" t="s">
        <v>6272</v>
      </c>
      <c r="D1597" s="173" t="s">
        <v>6272</v>
      </c>
      <c r="E1597" s="174" t="s">
        <v>2861</v>
      </c>
      <c r="F1597" s="173" t="s">
        <v>2862</v>
      </c>
      <c r="G1597" s="328" t="s">
        <v>673</v>
      </c>
      <c r="H1597" s="328" t="s">
        <v>2863</v>
      </c>
      <c r="I1597" s="258" t="s">
        <v>2864</v>
      </c>
      <c r="J1597" s="259" t="s">
        <v>1211</v>
      </c>
      <c r="K1597" s="260" t="s">
        <v>6273</v>
      </c>
      <c r="L1597" s="359"/>
      <c r="M1597" s="359"/>
      <c r="N1597" s="173" t="s">
        <v>679</v>
      </c>
      <c r="O1597" s="173" t="s">
        <v>225</v>
      </c>
      <c r="P1597" s="262" t="str">
        <f t="shared" si="1"/>
        <v>IN-BLR-ANANTA-VAV-1169_7</v>
      </c>
      <c r="Q1597" s="173" t="s">
        <v>6274</v>
      </c>
      <c r="R1597" s="328" t="str">
        <f>IFS(C1597="","",C1597="n/a","N/A",LEN(C1597),Concatenate("{",char(34),"asset",char(34),":{",char(34),"guid",char(34),":",char(34),Q1597,char(34),",",char(34),"site",char(34),":",char(34),LOWER('2-Building'!$B$4),char(34),",",char(34),"name",char(34),":",char(34),LOWER(C1597),char(34),"}}"))</f>
        <v>{"asset":{"guid":"uuid://faed80e3-1c62-46c6-83d2-9f577ebd7975","site":"in-blr-ananta","name":"vav-1169"}}</v>
      </c>
      <c r="S1597" s="360" t="s">
        <v>5516</v>
      </c>
      <c r="T1597" s="330"/>
      <c r="U1597" s="330"/>
      <c r="V1597" s="331"/>
      <c r="W1597" s="332"/>
      <c r="X1597" s="333"/>
      <c r="Y1597" s="33" t="s">
        <v>2867</v>
      </c>
      <c r="Z1597" s="258">
        <v>121169.0</v>
      </c>
      <c r="AA1597" s="334">
        <v>11639.0</v>
      </c>
      <c r="AB1597" s="333"/>
      <c r="AC1597" s="333"/>
      <c r="AD1597" s="329"/>
      <c r="AE1597" s="331"/>
      <c r="AF1597" s="336"/>
      <c r="AG1597" s="337"/>
      <c r="AH1597" s="333"/>
      <c r="AI1597" s="333"/>
      <c r="AJ1597" s="333"/>
      <c r="AK1597" s="333"/>
      <c r="AL1597" s="333"/>
      <c r="AM1597" s="338"/>
      <c r="AN1597" s="333"/>
      <c r="AO1597" s="333"/>
      <c r="AP1597" s="333"/>
      <c r="AQ1597" s="333"/>
      <c r="AR1597" s="333"/>
      <c r="AS1597" s="333"/>
      <c r="AT1597" s="333"/>
      <c r="AU1597" s="329"/>
      <c r="AV1597" s="341"/>
      <c r="AW1597" s="269" t="s">
        <v>2431</v>
      </c>
      <c r="AX1597" s="334" t="s">
        <v>2869</v>
      </c>
      <c r="AY1597" s="270" t="s">
        <v>695</v>
      </c>
      <c r="AZ1597" s="173" t="s">
        <v>5516</v>
      </c>
      <c r="BA1597" s="265">
        <v>10.0</v>
      </c>
      <c r="BB1597" s="174" t="s">
        <v>245</v>
      </c>
      <c r="BC1597" s="341"/>
      <c r="BD1597" s="308"/>
      <c r="BE1597" s="342"/>
      <c r="BF1597" s="274" t="str">
        <f>IFERROR(__xludf.DUMMYFUNCTION("LOWER(Regexreplace(to_text(E1597),""[^A-Za-z0-9]"","""")&amp;""_""&amp;Regexreplace(to_text(F1597),""[^A-Za-z0-9]"",""""))"),"neptronic_evcbseries")</f>
        <v>neptronic_evcbseries</v>
      </c>
      <c r="BG1597" s="275" t="str">
        <f>IFERROR(__xludf.DUMMYFUNCTION("upper(Regexreplace(to_text(E1597),""[^A-Za-z0-9]"","""")&amp;""-""&amp;Regexreplace(to_text(F1597),""[^A-Za-z0-9]"",""""))"),"NEPTRONIC-EVCBSERIES")</f>
        <v>NEPTRONIC-EVCBSERIES</v>
      </c>
    </row>
    <row r="1598" ht="30.0" customHeight="1">
      <c r="A1598" s="258">
        <v>1590.0</v>
      </c>
      <c r="B1598" s="328" t="s">
        <v>670</v>
      </c>
      <c r="C1598" s="257" t="s">
        <v>6275</v>
      </c>
      <c r="D1598" s="173" t="s">
        <v>6275</v>
      </c>
      <c r="E1598" s="174" t="s">
        <v>2861</v>
      </c>
      <c r="F1598" s="173" t="s">
        <v>2862</v>
      </c>
      <c r="G1598" s="328" t="s">
        <v>673</v>
      </c>
      <c r="H1598" s="328" t="s">
        <v>2863</v>
      </c>
      <c r="I1598" s="258" t="s">
        <v>2864</v>
      </c>
      <c r="J1598" s="259" t="s">
        <v>1211</v>
      </c>
      <c r="K1598" s="260" t="s">
        <v>6276</v>
      </c>
      <c r="L1598" s="359"/>
      <c r="M1598" s="359"/>
      <c r="N1598" s="173" t="s">
        <v>679</v>
      </c>
      <c r="O1598" s="173" t="s">
        <v>225</v>
      </c>
      <c r="P1598" s="262" t="str">
        <f t="shared" si="1"/>
        <v>IN-BLR-ANANTA-VAV-1170_7</v>
      </c>
      <c r="Q1598" s="173" t="s">
        <v>6277</v>
      </c>
      <c r="R1598" s="328" t="str">
        <f>IFS(C1598="","",C1598="n/a","N/A",LEN(C1598),Concatenate("{",char(34),"asset",char(34),":{",char(34),"guid",char(34),":",char(34),Q1598,char(34),",",char(34),"site",char(34),":",char(34),LOWER('2-Building'!$B$4),char(34),",",char(34),"name",char(34),":",char(34),LOWER(C1598),char(34),"}}"))</f>
        <v>{"asset":{"guid":"uuid://15b2d91b-3abd-4405-856a-6ba65b7f4ec0","site":"in-blr-ananta","name":"vav-1170"}}</v>
      </c>
      <c r="S1598" s="360" t="s">
        <v>5516</v>
      </c>
      <c r="T1598" s="330"/>
      <c r="U1598" s="330"/>
      <c r="V1598" s="331"/>
      <c r="W1598" s="332"/>
      <c r="X1598" s="333"/>
      <c r="Y1598" s="33" t="s">
        <v>2867</v>
      </c>
      <c r="Z1598" s="258">
        <v>121170.0</v>
      </c>
      <c r="AA1598" s="334">
        <v>11639.0</v>
      </c>
      <c r="AB1598" s="333"/>
      <c r="AC1598" s="333"/>
      <c r="AD1598" s="329"/>
      <c r="AE1598" s="331"/>
      <c r="AF1598" s="336"/>
      <c r="AG1598" s="337"/>
      <c r="AH1598" s="333"/>
      <c r="AI1598" s="333"/>
      <c r="AJ1598" s="333"/>
      <c r="AK1598" s="333"/>
      <c r="AL1598" s="333"/>
      <c r="AM1598" s="338"/>
      <c r="AN1598" s="333"/>
      <c r="AO1598" s="333"/>
      <c r="AP1598" s="333"/>
      <c r="AQ1598" s="333"/>
      <c r="AR1598" s="333"/>
      <c r="AS1598" s="333"/>
      <c r="AT1598" s="333"/>
      <c r="AU1598" s="329"/>
      <c r="AV1598" s="341"/>
      <c r="AW1598" s="269" t="s">
        <v>2431</v>
      </c>
      <c r="AX1598" s="334" t="s">
        <v>2869</v>
      </c>
      <c r="AY1598" s="270" t="s">
        <v>695</v>
      </c>
      <c r="AZ1598" s="173" t="s">
        <v>5516</v>
      </c>
      <c r="BA1598" s="265">
        <v>10.0</v>
      </c>
      <c r="BB1598" s="174" t="s">
        <v>245</v>
      </c>
      <c r="BC1598" s="341"/>
      <c r="BD1598" s="308"/>
      <c r="BE1598" s="342"/>
      <c r="BF1598" s="274" t="str">
        <f>IFERROR(__xludf.DUMMYFUNCTION("LOWER(Regexreplace(to_text(E1598),""[^A-Za-z0-9]"","""")&amp;""_""&amp;Regexreplace(to_text(F1598),""[^A-Za-z0-9]"",""""))"),"neptronic_evcbseries")</f>
        <v>neptronic_evcbseries</v>
      </c>
      <c r="BG1598" s="275" t="str">
        <f>IFERROR(__xludf.DUMMYFUNCTION("upper(Regexreplace(to_text(E1598),""[^A-Za-z0-9]"","""")&amp;""-""&amp;Regexreplace(to_text(F1598),""[^A-Za-z0-9]"",""""))"),"NEPTRONIC-EVCBSERIES")</f>
        <v>NEPTRONIC-EVCBSERIES</v>
      </c>
    </row>
    <row r="1599" ht="30.0" customHeight="1">
      <c r="A1599" s="173">
        <v>1591.0</v>
      </c>
      <c r="B1599" s="328" t="s">
        <v>670</v>
      </c>
      <c r="C1599" s="257" t="s">
        <v>6278</v>
      </c>
      <c r="D1599" s="173" t="s">
        <v>6278</v>
      </c>
      <c r="E1599" s="174" t="s">
        <v>2861</v>
      </c>
      <c r="F1599" s="173" t="s">
        <v>2862</v>
      </c>
      <c r="G1599" s="328" t="s">
        <v>673</v>
      </c>
      <c r="H1599" s="328" t="s">
        <v>2863</v>
      </c>
      <c r="I1599" s="258" t="s">
        <v>2864</v>
      </c>
      <c r="J1599" s="259" t="s">
        <v>1211</v>
      </c>
      <c r="K1599" s="260" t="s">
        <v>6279</v>
      </c>
      <c r="L1599" s="359"/>
      <c r="M1599" s="359"/>
      <c r="N1599" s="173" t="s">
        <v>679</v>
      </c>
      <c r="O1599" s="173" t="s">
        <v>225</v>
      </c>
      <c r="P1599" s="262" t="str">
        <f t="shared" si="1"/>
        <v>IN-BLR-ANANTA-VAV-1171_7</v>
      </c>
      <c r="Q1599" s="173" t="s">
        <v>6280</v>
      </c>
      <c r="R1599" s="328" t="str">
        <f>IFS(C1599="","",C1599="n/a","N/A",LEN(C1599),Concatenate("{",char(34),"asset",char(34),":{",char(34),"guid",char(34),":",char(34),Q1599,char(34),",",char(34),"site",char(34),":",char(34),LOWER('2-Building'!$B$4),char(34),",",char(34),"name",char(34),":",char(34),LOWER(C1599),char(34),"}}"))</f>
        <v>{"asset":{"guid":"uuid://39833c51-7b50-471d-8ebc-b3e3cd9a3c48","site":"in-blr-ananta","name":"vav-1171"}}</v>
      </c>
      <c r="S1599" s="360" t="s">
        <v>5516</v>
      </c>
      <c r="T1599" s="330"/>
      <c r="U1599" s="330"/>
      <c r="V1599" s="331"/>
      <c r="W1599" s="332"/>
      <c r="X1599" s="333"/>
      <c r="Y1599" s="33" t="s">
        <v>2867</v>
      </c>
      <c r="Z1599" s="258">
        <v>121171.0</v>
      </c>
      <c r="AA1599" s="334">
        <v>11639.0</v>
      </c>
      <c r="AB1599" s="333"/>
      <c r="AC1599" s="333"/>
      <c r="AD1599" s="329"/>
      <c r="AE1599" s="331"/>
      <c r="AF1599" s="336"/>
      <c r="AG1599" s="337"/>
      <c r="AH1599" s="333"/>
      <c r="AI1599" s="333"/>
      <c r="AJ1599" s="333"/>
      <c r="AK1599" s="333"/>
      <c r="AL1599" s="333"/>
      <c r="AM1599" s="338"/>
      <c r="AN1599" s="333"/>
      <c r="AO1599" s="333"/>
      <c r="AP1599" s="333"/>
      <c r="AQ1599" s="333"/>
      <c r="AR1599" s="333"/>
      <c r="AS1599" s="333"/>
      <c r="AT1599" s="333"/>
      <c r="AU1599" s="329"/>
      <c r="AV1599" s="341"/>
      <c r="AW1599" s="269" t="s">
        <v>2431</v>
      </c>
      <c r="AX1599" s="334" t="s">
        <v>2869</v>
      </c>
      <c r="AY1599" s="270" t="s">
        <v>695</v>
      </c>
      <c r="AZ1599" s="173" t="s">
        <v>5516</v>
      </c>
      <c r="BA1599" s="265">
        <v>10.0</v>
      </c>
      <c r="BB1599" s="174" t="s">
        <v>245</v>
      </c>
      <c r="BC1599" s="341"/>
      <c r="BD1599" s="308"/>
      <c r="BE1599" s="342"/>
      <c r="BF1599" s="274" t="str">
        <f>IFERROR(__xludf.DUMMYFUNCTION("LOWER(Regexreplace(to_text(E1599),""[^A-Za-z0-9]"","""")&amp;""_""&amp;Regexreplace(to_text(F1599),""[^A-Za-z0-9]"",""""))"),"neptronic_evcbseries")</f>
        <v>neptronic_evcbseries</v>
      </c>
      <c r="BG1599" s="275" t="str">
        <f>IFERROR(__xludf.DUMMYFUNCTION("upper(Regexreplace(to_text(E1599),""[^A-Za-z0-9]"","""")&amp;""-""&amp;Regexreplace(to_text(F1599),""[^A-Za-z0-9]"",""""))"),"NEPTRONIC-EVCBSERIES")</f>
        <v>NEPTRONIC-EVCBSERIES</v>
      </c>
    </row>
    <row r="1600" ht="30.0" customHeight="1">
      <c r="A1600" s="258">
        <v>1592.0</v>
      </c>
      <c r="B1600" s="328" t="s">
        <v>670</v>
      </c>
      <c r="C1600" s="257" t="s">
        <v>6281</v>
      </c>
      <c r="D1600" s="173" t="s">
        <v>6281</v>
      </c>
      <c r="E1600" s="174" t="s">
        <v>2861</v>
      </c>
      <c r="F1600" s="173" t="s">
        <v>2862</v>
      </c>
      <c r="G1600" s="328" t="s">
        <v>673</v>
      </c>
      <c r="H1600" s="328" t="s">
        <v>2863</v>
      </c>
      <c r="I1600" s="258" t="s">
        <v>2864</v>
      </c>
      <c r="J1600" s="259" t="s">
        <v>1211</v>
      </c>
      <c r="K1600" s="260" t="s">
        <v>6282</v>
      </c>
      <c r="L1600" s="359"/>
      <c r="M1600" s="359"/>
      <c r="N1600" s="173" t="s">
        <v>679</v>
      </c>
      <c r="O1600" s="173" t="s">
        <v>225</v>
      </c>
      <c r="P1600" s="262" t="str">
        <f t="shared" si="1"/>
        <v>IN-BLR-ANANTA-VAV-1172_7</v>
      </c>
      <c r="Q1600" s="173" t="s">
        <v>6283</v>
      </c>
      <c r="R1600" s="328" t="str">
        <f>IFS(C1600="","",C1600="n/a","N/A",LEN(C1600),Concatenate("{",char(34),"asset",char(34),":{",char(34),"guid",char(34),":",char(34),Q1600,char(34),",",char(34),"site",char(34),":",char(34),LOWER('2-Building'!$B$4),char(34),",",char(34),"name",char(34),":",char(34),LOWER(C1600),char(34),"}}"))</f>
        <v>{"asset":{"guid":"uuid://eb256eb0-938b-452f-9e87-10378fe1aa08","site":"in-blr-ananta","name":"vav-1172"}}</v>
      </c>
      <c r="S1600" s="360" t="s">
        <v>5516</v>
      </c>
      <c r="T1600" s="330"/>
      <c r="U1600" s="330"/>
      <c r="V1600" s="331"/>
      <c r="W1600" s="332"/>
      <c r="X1600" s="333"/>
      <c r="Y1600" s="33" t="s">
        <v>2867</v>
      </c>
      <c r="Z1600" s="258">
        <v>121172.0</v>
      </c>
      <c r="AA1600" s="334">
        <v>11639.0</v>
      </c>
      <c r="AB1600" s="333"/>
      <c r="AC1600" s="333"/>
      <c r="AD1600" s="329"/>
      <c r="AE1600" s="331"/>
      <c r="AF1600" s="336"/>
      <c r="AG1600" s="337"/>
      <c r="AH1600" s="333"/>
      <c r="AI1600" s="333"/>
      <c r="AJ1600" s="333"/>
      <c r="AK1600" s="333"/>
      <c r="AL1600" s="333"/>
      <c r="AM1600" s="338"/>
      <c r="AN1600" s="333"/>
      <c r="AO1600" s="333"/>
      <c r="AP1600" s="333"/>
      <c r="AQ1600" s="333"/>
      <c r="AR1600" s="333"/>
      <c r="AS1600" s="333"/>
      <c r="AT1600" s="333"/>
      <c r="AU1600" s="329"/>
      <c r="AV1600" s="341"/>
      <c r="AW1600" s="269" t="s">
        <v>2431</v>
      </c>
      <c r="AX1600" s="334" t="s">
        <v>2869</v>
      </c>
      <c r="AY1600" s="270" t="s">
        <v>695</v>
      </c>
      <c r="AZ1600" s="173" t="s">
        <v>5516</v>
      </c>
      <c r="BA1600" s="265">
        <v>10.0</v>
      </c>
      <c r="BB1600" s="174" t="s">
        <v>245</v>
      </c>
      <c r="BC1600" s="341"/>
      <c r="BD1600" s="308"/>
      <c r="BE1600" s="342"/>
      <c r="BF1600" s="274" t="str">
        <f>IFERROR(__xludf.DUMMYFUNCTION("LOWER(Regexreplace(to_text(E1600),""[^A-Za-z0-9]"","""")&amp;""_""&amp;Regexreplace(to_text(F1600),""[^A-Za-z0-9]"",""""))"),"neptronic_evcbseries")</f>
        <v>neptronic_evcbseries</v>
      </c>
      <c r="BG1600" s="275" t="str">
        <f>IFERROR(__xludf.DUMMYFUNCTION("upper(Regexreplace(to_text(E1600),""[^A-Za-z0-9]"","""")&amp;""-""&amp;Regexreplace(to_text(F1600),""[^A-Za-z0-9]"",""""))"),"NEPTRONIC-EVCBSERIES")</f>
        <v>NEPTRONIC-EVCBSERIES</v>
      </c>
    </row>
    <row r="1601" ht="30.0" customHeight="1">
      <c r="A1601" s="173">
        <v>1593.0</v>
      </c>
      <c r="B1601" s="328" t="s">
        <v>670</v>
      </c>
      <c r="C1601" s="257" t="s">
        <v>6284</v>
      </c>
      <c r="D1601" s="173" t="s">
        <v>6284</v>
      </c>
      <c r="E1601" s="174" t="s">
        <v>2861</v>
      </c>
      <c r="F1601" s="173" t="s">
        <v>2862</v>
      </c>
      <c r="G1601" s="328" t="s">
        <v>673</v>
      </c>
      <c r="H1601" s="328" t="s">
        <v>2863</v>
      </c>
      <c r="I1601" s="258" t="s">
        <v>2864</v>
      </c>
      <c r="J1601" s="259" t="s">
        <v>1211</v>
      </c>
      <c r="K1601" s="260" t="s">
        <v>6285</v>
      </c>
      <c r="L1601" s="359"/>
      <c r="M1601" s="359"/>
      <c r="N1601" s="173" t="s">
        <v>679</v>
      </c>
      <c r="O1601" s="173" t="s">
        <v>225</v>
      </c>
      <c r="P1601" s="262" t="str">
        <f t="shared" si="1"/>
        <v>IN-BLR-ANANTA-VAV-1173_7</v>
      </c>
      <c r="Q1601" s="173" t="s">
        <v>6286</v>
      </c>
      <c r="R1601" s="328" t="str">
        <f>IFS(C1601="","",C1601="n/a","N/A",LEN(C1601),Concatenate("{",char(34),"asset",char(34),":{",char(34),"guid",char(34),":",char(34),Q1601,char(34),",",char(34),"site",char(34),":",char(34),LOWER('2-Building'!$B$4),char(34),",",char(34),"name",char(34),":",char(34),LOWER(C1601),char(34),"}}"))</f>
        <v>{"asset":{"guid":"uuid://535be9e9-c8fd-4775-9a16-1f0ce0917c0a","site":"in-blr-ananta","name":"vav-1173"}}</v>
      </c>
      <c r="S1601" s="360" t="s">
        <v>5516</v>
      </c>
      <c r="T1601" s="330"/>
      <c r="U1601" s="330"/>
      <c r="V1601" s="331"/>
      <c r="W1601" s="332"/>
      <c r="X1601" s="333"/>
      <c r="Y1601" s="33" t="s">
        <v>2867</v>
      </c>
      <c r="Z1601" s="258">
        <v>121173.0</v>
      </c>
      <c r="AA1601" s="334">
        <v>11639.0</v>
      </c>
      <c r="AB1601" s="333"/>
      <c r="AC1601" s="333"/>
      <c r="AD1601" s="329"/>
      <c r="AE1601" s="331"/>
      <c r="AF1601" s="336"/>
      <c r="AG1601" s="337"/>
      <c r="AH1601" s="333"/>
      <c r="AI1601" s="333"/>
      <c r="AJ1601" s="333"/>
      <c r="AK1601" s="333"/>
      <c r="AL1601" s="333"/>
      <c r="AM1601" s="338"/>
      <c r="AN1601" s="333"/>
      <c r="AO1601" s="333"/>
      <c r="AP1601" s="333"/>
      <c r="AQ1601" s="333"/>
      <c r="AR1601" s="333"/>
      <c r="AS1601" s="333"/>
      <c r="AT1601" s="333"/>
      <c r="AU1601" s="329"/>
      <c r="AV1601" s="341"/>
      <c r="AW1601" s="269" t="s">
        <v>2431</v>
      </c>
      <c r="AX1601" s="334" t="s">
        <v>2869</v>
      </c>
      <c r="AY1601" s="270" t="s">
        <v>695</v>
      </c>
      <c r="AZ1601" s="173" t="s">
        <v>5516</v>
      </c>
      <c r="BA1601" s="265">
        <v>10.0</v>
      </c>
      <c r="BB1601" s="174" t="s">
        <v>245</v>
      </c>
      <c r="BC1601" s="341"/>
      <c r="BD1601" s="308"/>
      <c r="BE1601" s="342"/>
      <c r="BF1601" s="274" t="str">
        <f>IFERROR(__xludf.DUMMYFUNCTION("LOWER(Regexreplace(to_text(E1601),""[^A-Za-z0-9]"","""")&amp;""_""&amp;Regexreplace(to_text(F1601),""[^A-Za-z0-9]"",""""))"),"neptronic_evcbseries")</f>
        <v>neptronic_evcbseries</v>
      </c>
      <c r="BG1601" s="275" t="str">
        <f>IFERROR(__xludf.DUMMYFUNCTION("upper(Regexreplace(to_text(E1601),""[^A-Za-z0-9]"","""")&amp;""-""&amp;Regexreplace(to_text(F1601),""[^A-Za-z0-9]"",""""))"),"NEPTRONIC-EVCBSERIES")</f>
        <v>NEPTRONIC-EVCBSERIES</v>
      </c>
    </row>
    <row r="1602" ht="30.0" customHeight="1">
      <c r="A1602" s="258">
        <v>1594.0</v>
      </c>
      <c r="B1602" s="328" t="s">
        <v>670</v>
      </c>
      <c r="C1602" s="257" t="s">
        <v>6287</v>
      </c>
      <c r="D1602" s="173" t="s">
        <v>6287</v>
      </c>
      <c r="E1602" s="174" t="s">
        <v>2861</v>
      </c>
      <c r="F1602" s="173" t="s">
        <v>2862</v>
      </c>
      <c r="G1602" s="328" t="s">
        <v>673</v>
      </c>
      <c r="H1602" s="328" t="s">
        <v>2863</v>
      </c>
      <c r="I1602" s="258" t="s">
        <v>2864</v>
      </c>
      <c r="J1602" s="259" t="s">
        <v>1211</v>
      </c>
      <c r="K1602" s="260" t="s">
        <v>5565</v>
      </c>
      <c r="L1602" s="359"/>
      <c r="M1602" s="359"/>
      <c r="N1602" s="173" t="s">
        <v>679</v>
      </c>
      <c r="O1602" s="173" t="s">
        <v>225</v>
      </c>
      <c r="P1602" s="262" t="str">
        <f t="shared" si="1"/>
        <v>IN-BLR-ANANTA-VAV-1174_7</v>
      </c>
      <c r="Q1602" s="173" t="s">
        <v>6288</v>
      </c>
      <c r="R1602" s="328" t="str">
        <f>IFS(C1602="","",C1602="n/a","N/A",LEN(C1602),Concatenate("{",char(34),"asset",char(34),":{",char(34),"guid",char(34),":",char(34),Q1602,char(34),",",char(34),"site",char(34),":",char(34),LOWER('2-Building'!$B$4),char(34),",",char(34),"name",char(34),":",char(34),LOWER(C1602),char(34),"}}"))</f>
        <v>{"asset":{"guid":"uuid://01c66a8c-5e21-4397-9159-ab428cd86df2","site":"in-blr-ananta","name":"vav-1174"}}</v>
      </c>
      <c r="S1602" s="360" t="s">
        <v>5516</v>
      </c>
      <c r="T1602" s="330"/>
      <c r="U1602" s="330"/>
      <c r="V1602" s="331"/>
      <c r="W1602" s="332"/>
      <c r="X1602" s="333"/>
      <c r="Y1602" s="33" t="s">
        <v>2867</v>
      </c>
      <c r="Z1602" s="258">
        <v>121174.0</v>
      </c>
      <c r="AA1602" s="334">
        <v>11639.0</v>
      </c>
      <c r="AB1602" s="333"/>
      <c r="AC1602" s="333"/>
      <c r="AD1602" s="329"/>
      <c r="AE1602" s="331"/>
      <c r="AF1602" s="336"/>
      <c r="AG1602" s="337"/>
      <c r="AH1602" s="333"/>
      <c r="AI1602" s="333"/>
      <c r="AJ1602" s="333"/>
      <c r="AK1602" s="333"/>
      <c r="AL1602" s="333"/>
      <c r="AM1602" s="338"/>
      <c r="AN1602" s="333"/>
      <c r="AO1602" s="333"/>
      <c r="AP1602" s="333"/>
      <c r="AQ1602" s="333"/>
      <c r="AR1602" s="333"/>
      <c r="AS1602" s="333"/>
      <c r="AT1602" s="333"/>
      <c r="AU1602" s="329"/>
      <c r="AV1602" s="341"/>
      <c r="AW1602" s="269" t="s">
        <v>2431</v>
      </c>
      <c r="AX1602" s="334" t="s">
        <v>2869</v>
      </c>
      <c r="AY1602" s="270" t="s">
        <v>695</v>
      </c>
      <c r="AZ1602" s="173" t="s">
        <v>5516</v>
      </c>
      <c r="BA1602" s="265">
        <v>10.0</v>
      </c>
      <c r="BB1602" s="174" t="s">
        <v>245</v>
      </c>
      <c r="BC1602" s="341"/>
      <c r="BD1602" s="308"/>
      <c r="BE1602" s="342"/>
      <c r="BF1602" s="274" t="str">
        <f>IFERROR(__xludf.DUMMYFUNCTION("LOWER(Regexreplace(to_text(E1602),""[^A-Za-z0-9]"","""")&amp;""_""&amp;Regexreplace(to_text(F1602),""[^A-Za-z0-9]"",""""))"),"neptronic_evcbseries")</f>
        <v>neptronic_evcbseries</v>
      </c>
      <c r="BG1602" s="275" t="str">
        <f>IFERROR(__xludf.DUMMYFUNCTION("upper(Regexreplace(to_text(E1602),""[^A-Za-z0-9]"","""")&amp;""-""&amp;Regexreplace(to_text(F1602),""[^A-Za-z0-9]"",""""))"),"NEPTRONIC-EVCBSERIES")</f>
        <v>NEPTRONIC-EVCBSERIES</v>
      </c>
    </row>
    <row r="1603" ht="30.0" customHeight="1">
      <c r="A1603" s="173">
        <v>1595.0</v>
      </c>
      <c r="B1603" s="328" t="s">
        <v>670</v>
      </c>
      <c r="C1603" s="257" t="s">
        <v>6289</v>
      </c>
      <c r="D1603" s="173" t="s">
        <v>6289</v>
      </c>
      <c r="E1603" s="174" t="s">
        <v>2861</v>
      </c>
      <c r="F1603" s="173" t="s">
        <v>2862</v>
      </c>
      <c r="G1603" s="328" t="s">
        <v>673</v>
      </c>
      <c r="H1603" s="328" t="s">
        <v>2863</v>
      </c>
      <c r="I1603" s="258" t="s">
        <v>2864</v>
      </c>
      <c r="J1603" s="259" t="s">
        <v>1211</v>
      </c>
      <c r="K1603" s="260" t="s">
        <v>6290</v>
      </c>
      <c r="L1603" s="359"/>
      <c r="M1603" s="359"/>
      <c r="N1603" s="173" t="s">
        <v>679</v>
      </c>
      <c r="O1603" s="173" t="s">
        <v>225</v>
      </c>
      <c r="P1603" s="262" t="str">
        <f t="shared" si="1"/>
        <v>IN-BLR-ANANTA-VAV-1175_7</v>
      </c>
      <c r="Q1603" s="173" t="s">
        <v>6291</v>
      </c>
      <c r="R1603" s="328" t="str">
        <f>IFS(C1603="","",C1603="n/a","N/A",LEN(C1603),Concatenate("{",char(34),"asset",char(34),":{",char(34),"guid",char(34),":",char(34),Q1603,char(34),",",char(34),"site",char(34),":",char(34),LOWER('2-Building'!$B$4),char(34),",",char(34),"name",char(34),":",char(34),LOWER(C1603),char(34),"}}"))</f>
        <v>{"asset":{"guid":"uuid://7eec30cf-fc91-4042-9d01-a4b9975b146b","site":"in-blr-ananta","name":"vav-1175"}}</v>
      </c>
      <c r="S1603" s="360" t="s">
        <v>5516</v>
      </c>
      <c r="T1603" s="330"/>
      <c r="U1603" s="330"/>
      <c r="V1603" s="331"/>
      <c r="W1603" s="332"/>
      <c r="X1603" s="333"/>
      <c r="Y1603" s="33" t="s">
        <v>2867</v>
      </c>
      <c r="Z1603" s="258">
        <v>121175.0</v>
      </c>
      <c r="AA1603" s="334">
        <v>11640.0</v>
      </c>
      <c r="AB1603" s="333"/>
      <c r="AC1603" s="333"/>
      <c r="AD1603" s="329"/>
      <c r="AE1603" s="331"/>
      <c r="AF1603" s="336"/>
      <c r="AG1603" s="337"/>
      <c r="AH1603" s="333"/>
      <c r="AI1603" s="333"/>
      <c r="AJ1603" s="333"/>
      <c r="AK1603" s="333"/>
      <c r="AL1603" s="333"/>
      <c r="AM1603" s="338"/>
      <c r="AN1603" s="333"/>
      <c r="AO1603" s="333"/>
      <c r="AP1603" s="333"/>
      <c r="AQ1603" s="333"/>
      <c r="AR1603" s="333"/>
      <c r="AS1603" s="333"/>
      <c r="AT1603" s="333"/>
      <c r="AU1603" s="329"/>
      <c r="AV1603" s="341"/>
      <c r="AW1603" s="269" t="s">
        <v>2431</v>
      </c>
      <c r="AX1603" s="334" t="s">
        <v>2869</v>
      </c>
      <c r="AY1603" s="270" t="s">
        <v>695</v>
      </c>
      <c r="AZ1603" s="173" t="s">
        <v>5516</v>
      </c>
      <c r="BA1603" s="265">
        <v>10.0</v>
      </c>
      <c r="BB1603" s="174" t="s">
        <v>245</v>
      </c>
      <c r="BC1603" s="341"/>
      <c r="BD1603" s="308"/>
      <c r="BE1603" s="342"/>
      <c r="BF1603" s="274" t="str">
        <f>IFERROR(__xludf.DUMMYFUNCTION("LOWER(Regexreplace(to_text(E1603),""[^A-Za-z0-9]"","""")&amp;""_""&amp;Regexreplace(to_text(F1603),""[^A-Za-z0-9]"",""""))"),"neptronic_evcbseries")</f>
        <v>neptronic_evcbseries</v>
      </c>
      <c r="BG1603" s="275" t="str">
        <f>IFERROR(__xludf.DUMMYFUNCTION("upper(Regexreplace(to_text(E1603),""[^A-Za-z0-9]"","""")&amp;""-""&amp;Regexreplace(to_text(F1603),""[^A-Za-z0-9]"",""""))"),"NEPTRONIC-EVCBSERIES")</f>
        <v>NEPTRONIC-EVCBSERIES</v>
      </c>
    </row>
    <row r="1604" ht="30.0" customHeight="1">
      <c r="A1604" s="258">
        <v>1596.0</v>
      </c>
      <c r="B1604" s="328" t="s">
        <v>670</v>
      </c>
      <c r="C1604" s="257" t="s">
        <v>6292</v>
      </c>
      <c r="D1604" s="173" t="s">
        <v>6292</v>
      </c>
      <c r="E1604" s="174" t="s">
        <v>2861</v>
      </c>
      <c r="F1604" s="173" t="s">
        <v>2862</v>
      </c>
      <c r="G1604" s="328" t="s">
        <v>673</v>
      </c>
      <c r="H1604" s="328" t="s">
        <v>2863</v>
      </c>
      <c r="I1604" s="258" t="s">
        <v>2864</v>
      </c>
      <c r="J1604" s="259" t="s">
        <v>1211</v>
      </c>
      <c r="K1604" s="260" t="s">
        <v>6293</v>
      </c>
      <c r="L1604" s="359"/>
      <c r="M1604" s="359"/>
      <c r="N1604" s="173" t="s">
        <v>679</v>
      </c>
      <c r="O1604" s="173" t="s">
        <v>225</v>
      </c>
      <c r="P1604" s="262" t="str">
        <f t="shared" si="1"/>
        <v>IN-BLR-ANANTA-VAV-1176_7</v>
      </c>
      <c r="Q1604" s="173" t="s">
        <v>6294</v>
      </c>
      <c r="R1604" s="328" t="str">
        <f>IFS(C1604="","",C1604="n/a","N/A",LEN(C1604),Concatenate("{",char(34),"asset",char(34),":{",char(34),"guid",char(34),":",char(34),Q1604,char(34),",",char(34),"site",char(34),":",char(34),LOWER('2-Building'!$B$4),char(34),",",char(34),"name",char(34),":",char(34),LOWER(C1604),char(34),"}}"))</f>
        <v>{"asset":{"guid":"uuid://1a9500a1-3fef-4f8c-a534-b0ef37fc2d87","site":"in-blr-ananta","name":"vav-1176"}}</v>
      </c>
      <c r="S1604" s="360" t="s">
        <v>5516</v>
      </c>
      <c r="T1604" s="330"/>
      <c r="U1604" s="330"/>
      <c r="V1604" s="331"/>
      <c r="W1604" s="332"/>
      <c r="X1604" s="333"/>
      <c r="Y1604" s="33" t="s">
        <v>2867</v>
      </c>
      <c r="Z1604" s="258">
        <v>121176.0</v>
      </c>
      <c r="AA1604" s="334">
        <v>11640.0</v>
      </c>
      <c r="AB1604" s="333"/>
      <c r="AC1604" s="333"/>
      <c r="AD1604" s="329"/>
      <c r="AE1604" s="331"/>
      <c r="AF1604" s="336"/>
      <c r="AG1604" s="337"/>
      <c r="AH1604" s="333"/>
      <c r="AI1604" s="333"/>
      <c r="AJ1604" s="333"/>
      <c r="AK1604" s="333"/>
      <c r="AL1604" s="333"/>
      <c r="AM1604" s="338"/>
      <c r="AN1604" s="333"/>
      <c r="AO1604" s="333"/>
      <c r="AP1604" s="333"/>
      <c r="AQ1604" s="333"/>
      <c r="AR1604" s="333"/>
      <c r="AS1604" s="333"/>
      <c r="AT1604" s="333"/>
      <c r="AU1604" s="329"/>
      <c r="AV1604" s="341"/>
      <c r="AW1604" s="269" t="s">
        <v>2431</v>
      </c>
      <c r="AX1604" s="334" t="s">
        <v>2869</v>
      </c>
      <c r="AY1604" s="270" t="s">
        <v>695</v>
      </c>
      <c r="AZ1604" s="173" t="s">
        <v>5516</v>
      </c>
      <c r="BA1604" s="265">
        <v>10.0</v>
      </c>
      <c r="BB1604" s="174" t="s">
        <v>245</v>
      </c>
      <c r="BC1604" s="341"/>
      <c r="BD1604" s="308"/>
      <c r="BE1604" s="342"/>
      <c r="BF1604" s="274" t="str">
        <f>IFERROR(__xludf.DUMMYFUNCTION("LOWER(Regexreplace(to_text(E1604),""[^A-Za-z0-9]"","""")&amp;""_""&amp;Regexreplace(to_text(F1604),""[^A-Za-z0-9]"",""""))"),"neptronic_evcbseries")</f>
        <v>neptronic_evcbseries</v>
      </c>
      <c r="BG1604" s="275" t="str">
        <f>IFERROR(__xludf.DUMMYFUNCTION("upper(Regexreplace(to_text(E1604),""[^A-Za-z0-9]"","""")&amp;""-""&amp;Regexreplace(to_text(F1604),""[^A-Za-z0-9]"",""""))"),"NEPTRONIC-EVCBSERIES")</f>
        <v>NEPTRONIC-EVCBSERIES</v>
      </c>
    </row>
    <row r="1605" ht="30.0" customHeight="1">
      <c r="A1605" s="173">
        <v>1597.0</v>
      </c>
      <c r="B1605" s="328" t="s">
        <v>670</v>
      </c>
      <c r="C1605" s="257" t="s">
        <v>6295</v>
      </c>
      <c r="D1605" s="173" t="s">
        <v>6295</v>
      </c>
      <c r="E1605" s="174" t="s">
        <v>2861</v>
      </c>
      <c r="F1605" s="173" t="s">
        <v>2862</v>
      </c>
      <c r="G1605" s="328" t="s">
        <v>673</v>
      </c>
      <c r="H1605" s="328" t="s">
        <v>2863</v>
      </c>
      <c r="I1605" s="258" t="s">
        <v>2864</v>
      </c>
      <c r="J1605" s="259" t="s">
        <v>1211</v>
      </c>
      <c r="K1605" s="260" t="s">
        <v>6296</v>
      </c>
      <c r="L1605" s="359"/>
      <c r="M1605" s="359"/>
      <c r="N1605" s="173" t="s">
        <v>679</v>
      </c>
      <c r="O1605" s="173" t="s">
        <v>225</v>
      </c>
      <c r="P1605" s="262" t="str">
        <f t="shared" si="1"/>
        <v>IN-BLR-ANANTA-VAV-1177_7</v>
      </c>
      <c r="Q1605" s="173" t="s">
        <v>6297</v>
      </c>
      <c r="R1605" s="328" t="str">
        <f>IFS(C1605="","",C1605="n/a","N/A",LEN(C1605),Concatenate("{",char(34),"asset",char(34),":{",char(34),"guid",char(34),":",char(34),Q1605,char(34),",",char(34),"site",char(34),":",char(34),LOWER('2-Building'!$B$4),char(34),",",char(34),"name",char(34),":",char(34),LOWER(C1605),char(34),"}}"))</f>
        <v>{"asset":{"guid":"uuid://7e30d880-37e5-4396-8dd8-ab09c9b152d9","site":"in-blr-ananta","name":"vav-1177"}}</v>
      </c>
      <c r="S1605" s="360" t="s">
        <v>5516</v>
      </c>
      <c r="T1605" s="330"/>
      <c r="U1605" s="330"/>
      <c r="V1605" s="331"/>
      <c r="W1605" s="332"/>
      <c r="X1605" s="333"/>
      <c r="Y1605" s="33" t="s">
        <v>2867</v>
      </c>
      <c r="Z1605" s="258">
        <v>121177.0</v>
      </c>
      <c r="AA1605" s="334">
        <v>11640.0</v>
      </c>
      <c r="AB1605" s="333"/>
      <c r="AC1605" s="333"/>
      <c r="AD1605" s="329"/>
      <c r="AE1605" s="331"/>
      <c r="AF1605" s="336"/>
      <c r="AG1605" s="337"/>
      <c r="AH1605" s="333"/>
      <c r="AI1605" s="333"/>
      <c r="AJ1605" s="333"/>
      <c r="AK1605" s="333"/>
      <c r="AL1605" s="333"/>
      <c r="AM1605" s="338"/>
      <c r="AN1605" s="333"/>
      <c r="AO1605" s="333"/>
      <c r="AP1605" s="333"/>
      <c r="AQ1605" s="333"/>
      <c r="AR1605" s="333"/>
      <c r="AS1605" s="333"/>
      <c r="AT1605" s="333"/>
      <c r="AU1605" s="329"/>
      <c r="AV1605" s="341"/>
      <c r="AW1605" s="269" t="s">
        <v>2431</v>
      </c>
      <c r="AX1605" s="334" t="s">
        <v>2869</v>
      </c>
      <c r="AY1605" s="270" t="s">
        <v>695</v>
      </c>
      <c r="AZ1605" s="173" t="s">
        <v>5516</v>
      </c>
      <c r="BA1605" s="265">
        <v>10.0</v>
      </c>
      <c r="BB1605" s="174" t="s">
        <v>245</v>
      </c>
      <c r="BC1605" s="341"/>
      <c r="BD1605" s="308"/>
      <c r="BE1605" s="342"/>
      <c r="BF1605" s="274" t="str">
        <f>IFERROR(__xludf.DUMMYFUNCTION("LOWER(Regexreplace(to_text(E1605),""[^A-Za-z0-9]"","""")&amp;""_""&amp;Regexreplace(to_text(F1605),""[^A-Za-z0-9]"",""""))"),"neptronic_evcbseries")</f>
        <v>neptronic_evcbseries</v>
      </c>
      <c r="BG1605" s="275" t="str">
        <f>IFERROR(__xludf.DUMMYFUNCTION("upper(Regexreplace(to_text(E1605),""[^A-Za-z0-9]"","""")&amp;""-""&amp;Regexreplace(to_text(F1605),""[^A-Za-z0-9]"",""""))"),"NEPTRONIC-EVCBSERIES")</f>
        <v>NEPTRONIC-EVCBSERIES</v>
      </c>
    </row>
    <row r="1606" ht="30.0" customHeight="1">
      <c r="A1606" s="258">
        <v>1598.0</v>
      </c>
      <c r="B1606" s="328" t="s">
        <v>670</v>
      </c>
      <c r="C1606" s="257" t="s">
        <v>6298</v>
      </c>
      <c r="D1606" s="173" t="s">
        <v>6298</v>
      </c>
      <c r="E1606" s="174" t="s">
        <v>2861</v>
      </c>
      <c r="F1606" s="173" t="s">
        <v>2862</v>
      </c>
      <c r="G1606" s="328" t="s">
        <v>673</v>
      </c>
      <c r="H1606" s="328" t="s">
        <v>2863</v>
      </c>
      <c r="I1606" s="258" t="s">
        <v>2864</v>
      </c>
      <c r="J1606" s="259" t="s">
        <v>1211</v>
      </c>
      <c r="K1606" s="260" t="s">
        <v>6299</v>
      </c>
      <c r="L1606" s="359"/>
      <c r="M1606" s="359"/>
      <c r="N1606" s="173" t="s">
        <v>679</v>
      </c>
      <c r="O1606" s="173" t="s">
        <v>225</v>
      </c>
      <c r="P1606" s="262" t="str">
        <f t="shared" si="1"/>
        <v>IN-BLR-ANANTA-VAV-1178_7</v>
      </c>
      <c r="Q1606" s="173" t="s">
        <v>6300</v>
      </c>
      <c r="R1606" s="328" t="str">
        <f>IFS(C1606="","",C1606="n/a","N/A",LEN(C1606),Concatenate("{",char(34),"asset",char(34),":{",char(34),"guid",char(34),":",char(34),Q1606,char(34),",",char(34),"site",char(34),":",char(34),LOWER('2-Building'!$B$4),char(34),",",char(34),"name",char(34),":",char(34),LOWER(C1606),char(34),"}}"))</f>
        <v>{"asset":{"guid":"uuid://cbd90b5d-4ce0-43b2-9df8-8582c4e5b6e7","site":"in-blr-ananta","name":"vav-1178"}}</v>
      </c>
      <c r="S1606" s="360" t="s">
        <v>5516</v>
      </c>
      <c r="T1606" s="330"/>
      <c r="U1606" s="330"/>
      <c r="V1606" s="331"/>
      <c r="W1606" s="332"/>
      <c r="X1606" s="333"/>
      <c r="Y1606" s="33" t="s">
        <v>2867</v>
      </c>
      <c r="Z1606" s="258">
        <v>121178.0</v>
      </c>
      <c r="AA1606" s="334">
        <v>11640.0</v>
      </c>
      <c r="AB1606" s="333"/>
      <c r="AC1606" s="333"/>
      <c r="AD1606" s="329"/>
      <c r="AE1606" s="331"/>
      <c r="AF1606" s="336"/>
      <c r="AG1606" s="337"/>
      <c r="AH1606" s="333"/>
      <c r="AI1606" s="333"/>
      <c r="AJ1606" s="333"/>
      <c r="AK1606" s="333"/>
      <c r="AL1606" s="333"/>
      <c r="AM1606" s="338"/>
      <c r="AN1606" s="333"/>
      <c r="AO1606" s="333"/>
      <c r="AP1606" s="333"/>
      <c r="AQ1606" s="333"/>
      <c r="AR1606" s="333"/>
      <c r="AS1606" s="333"/>
      <c r="AT1606" s="333"/>
      <c r="AU1606" s="329"/>
      <c r="AV1606" s="341"/>
      <c r="AW1606" s="269" t="s">
        <v>2431</v>
      </c>
      <c r="AX1606" s="334" t="s">
        <v>2869</v>
      </c>
      <c r="AY1606" s="270" t="s">
        <v>695</v>
      </c>
      <c r="AZ1606" s="173" t="s">
        <v>5516</v>
      </c>
      <c r="BA1606" s="265">
        <v>10.0</v>
      </c>
      <c r="BB1606" s="174" t="s">
        <v>245</v>
      </c>
      <c r="BC1606" s="341"/>
      <c r="BD1606" s="308"/>
      <c r="BE1606" s="342"/>
      <c r="BF1606" s="274" t="str">
        <f>IFERROR(__xludf.DUMMYFUNCTION("LOWER(Regexreplace(to_text(E1606),""[^A-Za-z0-9]"","""")&amp;""_""&amp;Regexreplace(to_text(F1606),""[^A-Za-z0-9]"",""""))"),"neptronic_evcbseries")</f>
        <v>neptronic_evcbseries</v>
      </c>
      <c r="BG1606" s="275" t="str">
        <f>IFERROR(__xludf.DUMMYFUNCTION("upper(Regexreplace(to_text(E1606),""[^A-Za-z0-9]"","""")&amp;""-""&amp;Regexreplace(to_text(F1606),""[^A-Za-z0-9]"",""""))"),"NEPTRONIC-EVCBSERIES")</f>
        <v>NEPTRONIC-EVCBSERIES</v>
      </c>
    </row>
    <row r="1607" ht="30.0" customHeight="1">
      <c r="A1607" s="173">
        <v>1599.0</v>
      </c>
      <c r="B1607" s="328" t="s">
        <v>670</v>
      </c>
      <c r="C1607" s="257" t="s">
        <v>6301</v>
      </c>
      <c r="D1607" s="173" t="s">
        <v>6301</v>
      </c>
      <c r="E1607" s="174" t="s">
        <v>2861</v>
      </c>
      <c r="F1607" s="173" t="s">
        <v>2862</v>
      </c>
      <c r="G1607" s="328" t="s">
        <v>673</v>
      </c>
      <c r="H1607" s="328" t="s">
        <v>2863</v>
      </c>
      <c r="I1607" s="258" t="s">
        <v>2864</v>
      </c>
      <c r="J1607" s="259" t="s">
        <v>1211</v>
      </c>
      <c r="K1607" s="260" t="s">
        <v>6302</v>
      </c>
      <c r="L1607" s="359"/>
      <c r="M1607" s="359"/>
      <c r="N1607" s="173" t="s">
        <v>679</v>
      </c>
      <c r="O1607" s="173" t="s">
        <v>225</v>
      </c>
      <c r="P1607" s="262" t="str">
        <f t="shared" si="1"/>
        <v>IN-BLR-ANANTA-VAV-1179_7</v>
      </c>
      <c r="Q1607" s="173" t="s">
        <v>6303</v>
      </c>
      <c r="R1607" s="328" t="str">
        <f>IFS(C1607="","",C1607="n/a","N/A",LEN(C1607),Concatenate("{",char(34),"asset",char(34),":{",char(34),"guid",char(34),":",char(34),Q1607,char(34),",",char(34),"site",char(34),":",char(34),LOWER('2-Building'!$B$4),char(34),",",char(34),"name",char(34),":",char(34),LOWER(C1607),char(34),"}}"))</f>
        <v>{"asset":{"guid":"uuid://1689d65b-427a-4d34-98e7-1e42efac4cce","site":"in-blr-ananta","name":"vav-1179"}}</v>
      </c>
      <c r="S1607" s="360" t="s">
        <v>5516</v>
      </c>
      <c r="T1607" s="330"/>
      <c r="U1607" s="330"/>
      <c r="V1607" s="331"/>
      <c r="W1607" s="332"/>
      <c r="X1607" s="333"/>
      <c r="Y1607" s="33" t="s">
        <v>2867</v>
      </c>
      <c r="Z1607" s="258">
        <v>121179.0</v>
      </c>
      <c r="AA1607" s="334">
        <v>11640.0</v>
      </c>
      <c r="AB1607" s="333"/>
      <c r="AC1607" s="333"/>
      <c r="AD1607" s="329"/>
      <c r="AE1607" s="331"/>
      <c r="AF1607" s="336"/>
      <c r="AG1607" s="337"/>
      <c r="AH1607" s="333"/>
      <c r="AI1607" s="333"/>
      <c r="AJ1607" s="333"/>
      <c r="AK1607" s="333"/>
      <c r="AL1607" s="333"/>
      <c r="AM1607" s="338"/>
      <c r="AN1607" s="333"/>
      <c r="AO1607" s="333"/>
      <c r="AP1607" s="333"/>
      <c r="AQ1607" s="333"/>
      <c r="AR1607" s="333"/>
      <c r="AS1607" s="333"/>
      <c r="AT1607" s="333"/>
      <c r="AU1607" s="329"/>
      <c r="AV1607" s="341"/>
      <c r="AW1607" s="269" t="s">
        <v>2431</v>
      </c>
      <c r="AX1607" s="334" t="s">
        <v>2869</v>
      </c>
      <c r="AY1607" s="270" t="s">
        <v>695</v>
      </c>
      <c r="AZ1607" s="173" t="s">
        <v>5516</v>
      </c>
      <c r="BA1607" s="265">
        <v>10.0</v>
      </c>
      <c r="BB1607" s="174" t="s">
        <v>245</v>
      </c>
      <c r="BC1607" s="341"/>
      <c r="BD1607" s="308"/>
      <c r="BE1607" s="342"/>
      <c r="BF1607" s="274" t="str">
        <f>IFERROR(__xludf.DUMMYFUNCTION("LOWER(Regexreplace(to_text(E1607),""[^A-Za-z0-9]"","""")&amp;""_""&amp;Regexreplace(to_text(F1607),""[^A-Za-z0-9]"",""""))"),"neptronic_evcbseries")</f>
        <v>neptronic_evcbseries</v>
      </c>
      <c r="BG1607" s="275" t="str">
        <f>IFERROR(__xludf.DUMMYFUNCTION("upper(Regexreplace(to_text(E1607),""[^A-Za-z0-9]"","""")&amp;""-""&amp;Regexreplace(to_text(F1607),""[^A-Za-z0-9]"",""""))"),"NEPTRONIC-EVCBSERIES")</f>
        <v>NEPTRONIC-EVCBSERIES</v>
      </c>
    </row>
    <row r="1608" ht="30.0" customHeight="1">
      <c r="A1608" s="258">
        <v>1600.0</v>
      </c>
      <c r="B1608" s="328" t="s">
        <v>670</v>
      </c>
      <c r="C1608" s="257" t="s">
        <v>6304</v>
      </c>
      <c r="D1608" s="173" t="s">
        <v>6304</v>
      </c>
      <c r="E1608" s="174" t="s">
        <v>2861</v>
      </c>
      <c r="F1608" s="173" t="s">
        <v>2862</v>
      </c>
      <c r="G1608" s="328" t="s">
        <v>673</v>
      </c>
      <c r="H1608" s="328" t="s">
        <v>2863</v>
      </c>
      <c r="I1608" s="258" t="s">
        <v>2864</v>
      </c>
      <c r="J1608" s="259" t="s">
        <v>1211</v>
      </c>
      <c r="K1608" s="260" t="s">
        <v>6305</v>
      </c>
      <c r="L1608" s="359"/>
      <c r="M1608" s="359"/>
      <c r="N1608" s="173" t="s">
        <v>679</v>
      </c>
      <c r="O1608" s="173" t="s">
        <v>225</v>
      </c>
      <c r="P1608" s="262" t="str">
        <f t="shared" si="1"/>
        <v>IN-BLR-ANANTA-VAV-1180_7</v>
      </c>
      <c r="Q1608" s="173" t="s">
        <v>6306</v>
      </c>
      <c r="R1608" s="328" t="str">
        <f>IFS(C1608="","",C1608="n/a","N/A",LEN(C1608),Concatenate("{",char(34),"asset",char(34),":{",char(34),"guid",char(34),":",char(34),Q1608,char(34),",",char(34),"site",char(34),":",char(34),LOWER('2-Building'!$B$4),char(34),",",char(34),"name",char(34),":",char(34),LOWER(C1608),char(34),"}}"))</f>
        <v>{"asset":{"guid":"uuid://4b9fb257-76ee-429e-b04c-86dd9d30d69d","site":"in-blr-ananta","name":"vav-1180"}}</v>
      </c>
      <c r="S1608" s="360" t="s">
        <v>5516</v>
      </c>
      <c r="T1608" s="330"/>
      <c r="U1608" s="330"/>
      <c r="V1608" s="331"/>
      <c r="W1608" s="332"/>
      <c r="X1608" s="333"/>
      <c r="Y1608" s="33" t="s">
        <v>2867</v>
      </c>
      <c r="Z1608" s="258">
        <v>121180.0</v>
      </c>
      <c r="AA1608" s="334">
        <v>11640.0</v>
      </c>
      <c r="AB1608" s="333"/>
      <c r="AC1608" s="333"/>
      <c r="AD1608" s="329"/>
      <c r="AE1608" s="331"/>
      <c r="AF1608" s="336"/>
      <c r="AG1608" s="337"/>
      <c r="AH1608" s="333"/>
      <c r="AI1608" s="333"/>
      <c r="AJ1608" s="333"/>
      <c r="AK1608" s="333"/>
      <c r="AL1608" s="333"/>
      <c r="AM1608" s="338"/>
      <c r="AN1608" s="333"/>
      <c r="AO1608" s="333"/>
      <c r="AP1608" s="333"/>
      <c r="AQ1608" s="333"/>
      <c r="AR1608" s="333"/>
      <c r="AS1608" s="333"/>
      <c r="AT1608" s="333"/>
      <c r="AU1608" s="329"/>
      <c r="AV1608" s="341"/>
      <c r="AW1608" s="269" t="s">
        <v>2431</v>
      </c>
      <c r="AX1608" s="334" t="s">
        <v>2869</v>
      </c>
      <c r="AY1608" s="270" t="s">
        <v>695</v>
      </c>
      <c r="AZ1608" s="173" t="s">
        <v>5516</v>
      </c>
      <c r="BA1608" s="265">
        <v>10.0</v>
      </c>
      <c r="BB1608" s="174" t="s">
        <v>245</v>
      </c>
      <c r="BC1608" s="341"/>
      <c r="BD1608" s="308"/>
      <c r="BE1608" s="342"/>
      <c r="BF1608" s="274" t="str">
        <f>IFERROR(__xludf.DUMMYFUNCTION("LOWER(Regexreplace(to_text(E1608),""[^A-Za-z0-9]"","""")&amp;""_""&amp;Regexreplace(to_text(F1608),""[^A-Za-z0-9]"",""""))"),"neptronic_evcbseries")</f>
        <v>neptronic_evcbseries</v>
      </c>
      <c r="BG1608" s="275" t="str">
        <f>IFERROR(__xludf.DUMMYFUNCTION("upper(Regexreplace(to_text(E1608),""[^A-Za-z0-9]"","""")&amp;""-""&amp;Regexreplace(to_text(F1608),""[^A-Za-z0-9]"",""""))"),"NEPTRONIC-EVCBSERIES")</f>
        <v>NEPTRONIC-EVCBSERIES</v>
      </c>
    </row>
    <row r="1609" ht="30.0" customHeight="1">
      <c r="A1609" s="173">
        <v>1601.0</v>
      </c>
      <c r="B1609" s="328" t="s">
        <v>670</v>
      </c>
      <c r="C1609" s="257" t="s">
        <v>6307</v>
      </c>
      <c r="D1609" s="173" t="s">
        <v>6307</v>
      </c>
      <c r="E1609" s="174" t="s">
        <v>2861</v>
      </c>
      <c r="F1609" s="173" t="s">
        <v>2862</v>
      </c>
      <c r="G1609" s="328" t="s">
        <v>673</v>
      </c>
      <c r="H1609" s="328" t="s">
        <v>2863</v>
      </c>
      <c r="I1609" s="258" t="s">
        <v>2864</v>
      </c>
      <c r="J1609" s="259" t="s">
        <v>1211</v>
      </c>
      <c r="K1609" s="260" t="s">
        <v>6308</v>
      </c>
      <c r="L1609" s="359"/>
      <c r="M1609" s="359"/>
      <c r="N1609" s="173" t="s">
        <v>679</v>
      </c>
      <c r="O1609" s="173" t="s">
        <v>225</v>
      </c>
      <c r="P1609" s="262" t="str">
        <f t="shared" si="1"/>
        <v>IN-BLR-ANANTA-VAV-1181_7</v>
      </c>
      <c r="Q1609" s="173" t="s">
        <v>6309</v>
      </c>
      <c r="R1609" s="328" t="str">
        <f>IFS(C1609="","",C1609="n/a","N/A",LEN(C1609),Concatenate("{",char(34),"asset",char(34),":{",char(34),"guid",char(34),":",char(34),Q1609,char(34),",",char(34),"site",char(34),":",char(34),LOWER('2-Building'!$B$4),char(34),",",char(34),"name",char(34),":",char(34),LOWER(C1609),char(34),"}}"))</f>
        <v>{"asset":{"guid":"uuid://fdff64d9-5a4f-4365-b4d0-bbaaaff081e5","site":"in-blr-ananta","name":"vav-1181"}}</v>
      </c>
      <c r="S1609" s="360" t="s">
        <v>5516</v>
      </c>
      <c r="T1609" s="330"/>
      <c r="U1609" s="330"/>
      <c r="V1609" s="331"/>
      <c r="W1609" s="332"/>
      <c r="X1609" s="333"/>
      <c r="Y1609" s="33" t="s">
        <v>2867</v>
      </c>
      <c r="Z1609" s="258">
        <v>121181.0</v>
      </c>
      <c r="AA1609" s="334">
        <v>11640.0</v>
      </c>
      <c r="AB1609" s="333"/>
      <c r="AC1609" s="333"/>
      <c r="AD1609" s="329"/>
      <c r="AE1609" s="331"/>
      <c r="AF1609" s="336"/>
      <c r="AG1609" s="337"/>
      <c r="AH1609" s="333"/>
      <c r="AI1609" s="333"/>
      <c r="AJ1609" s="333"/>
      <c r="AK1609" s="333"/>
      <c r="AL1609" s="333"/>
      <c r="AM1609" s="338"/>
      <c r="AN1609" s="333"/>
      <c r="AO1609" s="333"/>
      <c r="AP1609" s="333"/>
      <c r="AQ1609" s="333"/>
      <c r="AR1609" s="333"/>
      <c r="AS1609" s="333"/>
      <c r="AT1609" s="333"/>
      <c r="AU1609" s="329"/>
      <c r="AV1609" s="341"/>
      <c r="AW1609" s="269" t="s">
        <v>2431</v>
      </c>
      <c r="AX1609" s="334" t="s">
        <v>2869</v>
      </c>
      <c r="AY1609" s="270" t="s">
        <v>695</v>
      </c>
      <c r="AZ1609" s="173" t="s">
        <v>5516</v>
      </c>
      <c r="BA1609" s="265">
        <v>10.0</v>
      </c>
      <c r="BB1609" s="174" t="s">
        <v>245</v>
      </c>
      <c r="BC1609" s="341"/>
      <c r="BD1609" s="308"/>
      <c r="BE1609" s="342"/>
      <c r="BF1609" s="274" t="str">
        <f>IFERROR(__xludf.DUMMYFUNCTION("LOWER(Regexreplace(to_text(E1609),""[^A-Za-z0-9]"","""")&amp;""_""&amp;Regexreplace(to_text(F1609),""[^A-Za-z0-9]"",""""))"),"neptronic_evcbseries")</f>
        <v>neptronic_evcbseries</v>
      </c>
      <c r="BG1609" s="275" t="str">
        <f>IFERROR(__xludf.DUMMYFUNCTION("upper(Regexreplace(to_text(E1609),""[^A-Za-z0-9]"","""")&amp;""-""&amp;Regexreplace(to_text(F1609),""[^A-Za-z0-9]"",""""))"),"NEPTRONIC-EVCBSERIES")</f>
        <v>NEPTRONIC-EVCBSERIES</v>
      </c>
    </row>
    <row r="1610" ht="30.0" customHeight="1">
      <c r="A1610" s="258">
        <v>1602.0</v>
      </c>
      <c r="B1610" s="328" t="s">
        <v>670</v>
      </c>
      <c r="C1610" s="257" t="s">
        <v>6310</v>
      </c>
      <c r="D1610" s="173" t="s">
        <v>6310</v>
      </c>
      <c r="E1610" s="174" t="s">
        <v>2861</v>
      </c>
      <c r="F1610" s="173" t="s">
        <v>2862</v>
      </c>
      <c r="G1610" s="328" t="s">
        <v>673</v>
      </c>
      <c r="H1610" s="328" t="s">
        <v>2863</v>
      </c>
      <c r="I1610" s="258" t="s">
        <v>2864</v>
      </c>
      <c r="J1610" s="259" t="s">
        <v>1211</v>
      </c>
      <c r="K1610" s="260" t="s">
        <v>6311</v>
      </c>
      <c r="L1610" s="359"/>
      <c r="M1610" s="359"/>
      <c r="N1610" s="173" t="s">
        <v>679</v>
      </c>
      <c r="O1610" s="173" t="s">
        <v>225</v>
      </c>
      <c r="P1610" s="262" t="str">
        <f t="shared" si="1"/>
        <v>IN-BLR-ANANTA-VAV-1182_7</v>
      </c>
      <c r="Q1610" s="173" t="s">
        <v>6312</v>
      </c>
      <c r="R1610" s="328" t="str">
        <f>IFS(C1610="","",C1610="n/a","N/A",LEN(C1610),Concatenate("{",char(34),"asset",char(34),":{",char(34),"guid",char(34),":",char(34),Q1610,char(34),",",char(34),"site",char(34),":",char(34),LOWER('2-Building'!$B$4),char(34),",",char(34),"name",char(34),":",char(34),LOWER(C1610),char(34),"}}"))</f>
        <v>{"asset":{"guid":"uuid://ef20700b-0b0d-4f52-8fe8-6ea6e99da72c","site":"in-blr-ananta","name":"vav-1182"}}</v>
      </c>
      <c r="S1610" s="360" t="s">
        <v>5516</v>
      </c>
      <c r="T1610" s="330"/>
      <c r="U1610" s="330"/>
      <c r="V1610" s="331"/>
      <c r="W1610" s="332"/>
      <c r="X1610" s="333"/>
      <c r="Y1610" s="33" t="s">
        <v>2867</v>
      </c>
      <c r="Z1610" s="258">
        <v>121182.0</v>
      </c>
      <c r="AA1610" s="334">
        <v>11640.0</v>
      </c>
      <c r="AB1610" s="333"/>
      <c r="AC1610" s="333"/>
      <c r="AD1610" s="329"/>
      <c r="AE1610" s="331"/>
      <c r="AF1610" s="336"/>
      <c r="AG1610" s="337"/>
      <c r="AH1610" s="333"/>
      <c r="AI1610" s="333"/>
      <c r="AJ1610" s="333"/>
      <c r="AK1610" s="333"/>
      <c r="AL1610" s="333"/>
      <c r="AM1610" s="338"/>
      <c r="AN1610" s="333"/>
      <c r="AO1610" s="333"/>
      <c r="AP1610" s="333"/>
      <c r="AQ1610" s="333"/>
      <c r="AR1610" s="333"/>
      <c r="AS1610" s="333"/>
      <c r="AT1610" s="333"/>
      <c r="AU1610" s="329"/>
      <c r="AV1610" s="341"/>
      <c r="AW1610" s="269" t="s">
        <v>2431</v>
      </c>
      <c r="AX1610" s="334" t="s">
        <v>2869</v>
      </c>
      <c r="AY1610" s="270" t="s">
        <v>695</v>
      </c>
      <c r="AZ1610" s="173" t="s">
        <v>5516</v>
      </c>
      <c r="BA1610" s="265">
        <v>10.0</v>
      </c>
      <c r="BB1610" s="174" t="s">
        <v>245</v>
      </c>
      <c r="BC1610" s="341"/>
      <c r="BD1610" s="308"/>
      <c r="BE1610" s="342"/>
      <c r="BF1610" s="274" t="str">
        <f>IFERROR(__xludf.DUMMYFUNCTION("LOWER(Regexreplace(to_text(E1610),""[^A-Za-z0-9]"","""")&amp;""_""&amp;Regexreplace(to_text(F1610),""[^A-Za-z0-9]"",""""))"),"neptronic_evcbseries")</f>
        <v>neptronic_evcbseries</v>
      </c>
      <c r="BG1610" s="275" t="str">
        <f>IFERROR(__xludf.DUMMYFUNCTION("upper(Regexreplace(to_text(E1610),""[^A-Za-z0-9]"","""")&amp;""-""&amp;Regexreplace(to_text(F1610),""[^A-Za-z0-9]"",""""))"),"NEPTRONIC-EVCBSERIES")</f>
        <v>NEPTRONIC-EVCBSERIES</v>
      </c>
    </row>
    <row r="1611" ht="30.0" customHeight="1">
      <c r="A1611" s="173">
        <v>1603.0</v>
      </c>
      <c r="B1611" s="328" t="s">
        <v>670</v>
      </c>
      <c r="C1611" s="257" t="s">
        <v>6313</v>
      </c>
      <c r="D1611" s="173" t="s">
        <v>6313</v>
      </c>
      <c r="E1611" s="174" t="s">
        <v>2861</v>
      </c>
      <c r="F1611" s="173" t="s">
        <v>2862</v>
      </c>
      <c r="G1611" s="328" t="s">
        <v>673</v>
      </c>
      <c r="H1611" s="328" t="s">
        <v>2863</v>
      </c>
      <c r="I1611" s="258" t="s">
        <v>2864</v>
      </c>
      <c r="J1611" s="259" t="s">
        <v>1211</v>
      </c>
      <c r="K1611" s="260" t="s">
        <v>6314</v>
      </c>
      <c r="L1611" s="359"/>
      <c r="M1611" s="359"/>
      <c r="N1611" s="173" t="s">
        <v>679</v>
      </c>
      <c r="O1611" s="173" t="s">
        <v>225</v>
      </c>
      <c r="P1611" s="262" t="str">
        <f t="shared" si="1"/>
        <v>IN-BLR-ANANTA-VAV-1183_7</v>
      </c>
      <c r="Q1611" s="173" t="s">
        <v>6315</v>
      </c>
      <c r="R1611" s="328" t="str">
        <f>IFS(C1611="","",C1611="n/a","N/A",LEN(C1611),Concatenate("{",char(34),"asset",char(34),":{",char(34),"guid",char(34),":",char(34),Q1611,char(34),",",char(34),"site",char(34),":",char(34),LOWER('2-Building'!$B$4),char(34),",",char(34),"name",char(34),":",char(34),LOWER(C1611),char(34),"}}"))</f>
        <v>{"asset":{"guid":"uuid://da6f5621-1e17-417b-aa82-c7c0aaeb8e4d","site":"in-blr-ananta","name":"vav-1183"}}</v>
      </c>
      <c r="S1611" s="360" t="s">
        <v>5516</v>
      </c>
      <c r="T1611" s="330"/>
      <c r="U1611" s="330"/>
      <c r="V1611" s="331"/>
      <c r="W1611" s="332"/>
      <c r="X1611" s="333"/>
      <c r="Y1611" s="33" t="s">
        <v>2867</v>
      </c>
      <c r="Z1611" s="258">
        <v>121183.0</v>
      </c>
      <c r="AA1611" s="334">
        <v>11640.0</v>
      </c>
      <c r="AB1611" s="333"/>
      <c r="AC1611" s="333"/>
      <c r="AD1611" s="329"/>
      <c r="AE1611" s="331"/>
      <c r="AF1611" s="336"/>
      <c r="AG1611" s="337"/>
      <c r="AH1611" s="333"/>
      <c r="AI1611" s="333"/>
      <c r="AJ1611" s="333"/>
      <c r="AK1611" s="333"/>
      <c r="AL1611" s="333"/>
      <c r="AM1611" s="338"/>
      <c r="AN1611" s="333"/>
      <c r="AO1611" s="333"/>
      <c r="AP1611" s="333"/>
      <c r="AQ1611" s="333"/>
      <c r="AR1611" s="333"/>
      <c r="AS1611" s="333"/>
      <c r="AT1611" s="333"/>
      <c r="AU1611" s="329"/>
      <c r="AV1611" s="341"/>
      <c r="AW1611" s="269" t="s">
        <v>2431</v>
      </c>
      <c r="AX1611" s="334" t="s">
        <v>2869</v>
      </c>
      <c r="AY1611" s="270" t="s">
        <v>695</v>
      </c>
      <c r="AZ1611" s="173" t="s">
        <v>5516</v>
      </c>
      <c r="BA1611" s="265">
        <v>10.0</v>
      </c>
      <c r="BB1611" s="174" t="s">
        <v>245</v>
      </c>
      <c r="BC1611" s="341"/>
      <c r="BD1611" s="308"/>
      <c r="BE1611" s="342"/>
      <c r="BF1611" s="274" t="str">
        <f>IFERROR(__xludf.DUMMYFUNCTION("LOWER(Regexreplace(to_text(E1611),""[^A-Za-z0-9]"","""")&amp;""_""&amp;Regexreplace(to_text(F1611),""[^A-Za-z0-9]"",""""))"),"neptronic_evcbseries")</f>
        <v>neptronic_evcbseries</v>
      </c>
      <c r="BG1611" s="275" t="str">
        <f>IFERROR(__xludf.DUMMYFUNCTION("upper(Regexreplace(to_text(E1611),""[^A-Za-z0-9]"","""")&amp;""-""&amp;Regexreplace(to_text(F1611),""[^A-Za-z0-9]"",""""))"),"NEPTRONIC-EVCBSERIES")</f>
        <v>NEPTRONIC-EVCBSERIES</v>
      </c>
    </row>
    <row r="1612" ht="30.0" customHeight="1">
      <c r="A1612" s="258">
        <v>1604.0</v>
      </c>
      <c r="B1612" s="328" t="s">
        <v>670</v>
      </c>
      <c r="C1612" s="257" t="s">
        <v>6316</v>
      </c>
      <c r="D1612" s="173" t="s">
        <v>6316</v>
      </c>
      <c r="E1612" s="174" t="s">
        <v>2861</v>
      </c>
      <c r="F1612" s="173" t="s">
        <v>2862</v>
      </c>
      <c r="G1612" s="328" t="s">
        <v>673</v>
      </c>
      <c r="H1612" s="328" t="s">
        <v>2863</v>
      </c>
      <c r="I1612" s="258" t="s">
        <v>2864</v>
      </c>
      <c r="J1612" s="259" t="s">
        <v>1211</v>
      </c>
      <c r="K1612" s="260" t="s">
        <v>6317</v>
      </c>
      <c r="L1612" s="359"/>
      <c r="M1612" s="359"/>
      <c r="N1612" s="173" t="s">
        <v>679</v>
      </c>
      <c r="O1612" s="173" t="s">
        <v>225</v>
      </c>
      <c r="P1612" s="262" t="str">
        <f t="shared" si="1"/>
        <v>IN-BLR-ANANTA-VAV-1184_7</v>
      </c>
      <c r="Q1612" s="173" t="s">
        <v>6318</v>
      </c>
      <c r="R1612" s="328" t="str">
        <f>IFS(C1612="","",C1612="n/a","N/A",LEN(C1612),Concatenate("{",char(34),"asset",char(34),":{",char(34),"guid",char(34),":",char(34),Q1612,char(34),",",char(34),"site",char(34),":",char(34),LOWER('2-Building'!$B$4),char(34),",",char(34),"name",char(34),":",char(34),LOWER(C1612),char(34),"}}"))</f>
        <v>{"asset":{"guid":"uuid://09852e58-c671-4816-8e11-f6c30bc5bdff","site":"in-blr-ananta","name":"vav-1184"}}</v>
      </c>
      <c r="S1612" s="360" t="s">
        <v>5516</v>
      </c>
      <c r="T1612" s="330"/>
      <c r="U1612" s="330"/>
      <c r="V1612" s="331"/>
      <c r="W1612" s="332"/>
      <c r="X1612" s="333"/>
      <c r="Y1612" s="33" t="s">
        <v>2867</v>
      </c>
      <c r="Z1612" s="258">
        <v>121184.0</v>
      </c>
      <c r="AA1612" s="334">
        <v>11640.0</v>
      </c>
      <c r="AB1612" s="333"/>
      <c r="AC1612" s="333"/>
      <c r="AD1612" s="329"/>
      <c r="AE1612" s="331"/>
      <c r="AF1612" s="336"/>
      <c r="AG1612" s="337"/>
      <c r="AH1612" s="333"/>
      <c r="AI1612" s="333"/>
      <c r="AJ1612" s="333"/>
      <c r="AK1612" s="333"/>
      <c r="AL1612" s="333"/>
      <c r="AM1612" s="338"/>
      <c r="AN1612" s="333"/>
      <c r="AO1612" s="333"/>
      <c r="AP1612" s="333"/>
      <c r="AQ1612" s="333"/>
      <c r="AR1612" s="333"/>
      <c r="AS1612" s="333"/>
      <c r="AT1612" s="333"/>
      <c r="AU1612" s="329"/>
      <c r="AV1612" s="341"/>
      <c r="AW1612" s="269" t="s">
        <v>2431</v>
      </c>
      <c r="AX1612" s="334" t="s">
        <v>2869</v>
      </c>
      <c r="AY1612" s="270" t="s">
        <v>695</v>
      </c>
      <c r="AZ1612" s="173" t="s">
        <v>5516</v>
      </c>
      <c r="BA1612" s="265">
        <v>10.0</v>
      </c>
      <c r="BB1612" s="174" t="s">
        <v>245</v>
      </c>
      <c r="BC1612" s="341"/>
      <c r="BD1612" s="308"/>
      <c r="BE1612" s="342"/>
      <c r="BF1612" s="274" t="str">
        <f>IFERROR(__xludf.DUMMYFUNCTION("LOWER(Regexreplace(to_text(E1612),""[^A-Za-z0-9]"","""")&amp;""_""&amp;Regexreplace(to_text(F1612),""[^A-Za-z0-9]"",""""))"),"neptronic_evcbseries")</f>
        <v>neptronic_evcbseries</v>
      </c>
      <c r="BG1612" s="275" t="str">
        <f>IFERROR(__xludf.DUMMYFUNCTION("upper(Regexreplace(to_text(E1612),""[^A-Za-z0-9]"","""")&amp;""-""&amp;Regexreplace(to_text(F1612),""[^A-Za-z0-9]"",""""))"),"NEPTRONIC-EVCBSERIES")</f>
        <v>NEPTRONIC-EVCBSERIES</v>
      </c>
    </row>
    <row r="1613" ht="30.0" customHeight="1">
      <c r="A1613" s="173">
        <v>1605.0</v>
      </c>
      <c r="B1613" s="328" t="s">
        <v>670</v>
      </c>
      <c r="C1613" s="257" t="s">
        <v>6319</v>
      </c>
      <c r="D1613" s="173" t="s">
        <v>6319</v>
      </c>
      <c r="E1613" s="174" t="s">
        <v>2861</v>
      </c>
      <c r="F1613" s="173" t="s">
        <v>2862</v>
      </c>
      <c r="G1613" s="328" t="s">
        <v>673</v>
      </c>
      <c r="H1613" s="328" t="s">
        <v>2863</v>
      </c>
      <c r="I1613" s="258" t="s">
        <v>2864</v>
      </c>
      <c r="J1613" s="259" t="s">
        <v>1211</v>
      </c>
      <c r="K1613" s="260" t="s">
        <v>6320</v>
      </c>
      <c r="L1613" s="359"/>
      <c r="M1613" s="359"/>
      <c r="N1613" s="173" t="s">
        <v>679</v>
      </c>
      <c r="O1613" s="173" t="s">
        <v>225</v>
      </c>
      <c r="P1613" s="262" t="str">
        <f t="shared" si="1"/>
        <v>IN-BLR-ANANTA-VAV-1185_7</v>
      </c>
      <c r="Q1613" s="173" t="s">
        <v>6321</v>
      </c>
      <c r="R1613" s="328" t="str">
        <f>IFS(C1613="","",C1613="n/a","N/A",LEN(C1613),Concatenate("{",char(34),"asset",char(34),":{",char(34),"guid",char(34),":",char(34),Q1613,char(34),",",char(34),"site",char(34),":",char(34),LOWER('2-Building'!$B$4),char(34),",",char(34),"name",char(34),":",char(34),LOWER(C1613),char(34),"}}"))</f>
        <v>{"asset":{"guid":"uuid://4ce1ab36-5448-4b80-bb67-d567fd24f14a","site":"in-blr-ananta","name":"vav-1185"}}</v>
      </c>
      <c r="S1613" s="360" t="s">
        <v>5516</v>
      </c>
      <c r="T1613" s="330"/>
      <c r="U1613" s="330"/>
      <c r="V1613" s="331"/>
      <c r="W1613" s="332"/>
      <c r="X1613" s="333"/>
      <c r="Y1613" s="33" t="s">
        <v>2867</v>
      </c>
      <c r="Z1613" s="258">
        <v>121185.0</v>
      </c>
      <c r="AA1613" s="334">
        <v>11640.0</v>
      </c>
      <c r="AB1613" s="333"/>
      <c r="AC1613" s="333"/>
      <c r="AD1613" s="329"/>
      <c r="AE1613" s="331"/>
      <c r="AF1613" s="336"/>
      <c r="AG1613" s="337"/>
      <c r="AH1613" s="333"/>
      <c r="AI1613" s="333"/>
      <c r="AJ1613" s="333"/>
      <c r="AK1613" s="333"/>
      <c r="AL1613" s="333"/>
      <c r="AM1613" s="338"/>
      <c r="AN1613" s="333"/>
      <c r="AO1613" s="333"/>
      <c r="AP1613" s="333"/>
      <c r="AQ1613" s="333"/>
      <c r="AR1613" s="333"/>
      <c r="AS1613" s="333"/>
      <c r="AT1613" s="333"/>
      <c r="AU1613" s="329"/>
      <c r="AV1613" s="341"/>
      <c r="AW1613" s="269" t="s">
        <v>2431</v>
      </c>
      <c r="AX1613" s="334" t="s">
        <v>2869</v>
      </c>
      <c r="AY1613" s="270" t="s">
        <v>695</v>
      </c>
      <c r="AZ1613" s="173" t="s">
        <v>5516</v>
      </c>
      <c r="BA1613" s="265">
        <v>10.0</v>
      </c>
      <c r="BB1613" s="174" t="s">
        <v>245</v>
      </c>
      <c r="BC1613" s="341"/>
      <c r="BD1613" s="308"/>
      <c r="BE1613" s="342"/>
      <c r="BF1613" s="274" t="str">
        <f>IFERROR(__xludf.DUMMYFUNCTION("LOWER(Regexreplace(to_text(E1613),""[^A-Za-z0-9]"","""")&amp;""_""&amp;Regexreplace(to_text(F1613),""[^A-Za-z0-9]"",""""))"),"neptronic_evcbseries")</f>
        <v>neptronic_evcbseries</v>
      </c>
      <c r="BG1613" s="275" t="str">
        <f>IFERROR(__xludf.DUMMYFUNCTION("upper(Regexreplace(to_text(E1613),""[^A-Za-z0-9]"","""")&amp;""-""&amp;Regexreplace(to_text(F1613),""[^A-Za-z0-9]"",""""))"),"NEPTRONIC-EVCBSERIES")</f>
        <v>NEPTRONIC-EVCBSERIES</v>
      </c>
    </row>
    <row r="1614" ht="30.0" customHeight="1">
      <c r="A1614" s="258">
        <v>1606.0</v>
      </c>
      <c r="B1614" s="328" t="s">
        <v>670</v>
      </c>
      <c r="C1614" s="257" t="s">
        <v>6322</v>
      </c>
      <c r="D1614" s="173" t="s">
        <v>6322</v>
      </c>
      <c r="E1614" s="174" t="s">
        <v>2861</v>
      </c>
      <c r="F1614" s="173" t="s">
        <v>2862</v>
      </c>
      <c r="G1614" s="328" t="s">
        <v>673</v>
      </c>
      <c r="H1614" s="328" t="s">
        <v>2863</v>
      </c>
      <c r="I1614" s="258" t="s">
        <v>2864</v>
      </c>
      <c r="J1614" s="259" t="s">
        <v>1211</v>
      </c>
      <c r="K1614" s="260" t="s">
        <v>6323</v>
      </c>
      <c r="L1614" s="359"/>
      <c r="M1614" s="359"/>
      <c r="N1614" s="173" t="s">
        <v>679</v>
      </c>
      <c r="O1614" s="173" t="s">
        <v>225</v>
      </c>
      <c r="P1614" s="262" t="str">
        <f t="shared" si="1"/>
        <v>IN-BLR-ANANTA-VAV-1186_7</v>
      </c>
      <c r="Q1614" s="173" t="s">
        <v>6324</v>
      </c>
      <c r="R1614" s="328" t="str">
        <f>IFS(C1614="","",C1614="n/a","N/A",LEN(C1614),Concatenate("{",char(34),"asset",char(34),":{",char(34),"guid",char(34),":",char(34),Q1614,char(34),",",char(34),"site",char(34),":",char(34),LOWER('2-Building'!$B$4),char(34),",",char(34),"name",char(34),":",char(34),LOWER(C1614),char(34),"}}"))</f>
        <v>{"asset":{"guid":"uuid://c51535bd-8885-4389-b295-9c81c811d005","site":"in-blr-ananta","name":"vav-1186"}}</v>
      </c>
      <c r="S1614" s="360" t="s">
        <v>5516</v>
      </c>
      <c r="T1614" s="330"/>
      <c r="U1614" s="330"/>
      <c r="V1614" s="331"/>
      <c r="W1614" s="332"/>
      <c r="X1614" s="333"/>
      <c r="Y1614" s="33" t="s">
        <v>2867</v>
      </c>
      <c r="Z1614" s="258">
        <v>121186.0</v>
      </c>
      <c r="AA1614" s="334">
        <v>11640.0</v>
      </c>
      <c r="AB1614" s="333"/>
      <c r="AC1614" s="333"/>
      <c r="AD1614" s="329"/>
      <c r="AE1614" s="331"/>
      <c r="AF1614" s="336"/>
      <c r="AG1614" s="337"/>
      <c r="AH1614" s="333"/>
      <c r="AI1614" s="333"/>
      <c r="AJ1614" s="333"/>
      <c r="AK1614" s="333"/>
      <c r="AL1614" s="333"/>
      <c r="AM1614" s="338"/>
      <c r="AN1614" s="333"/>
      <c r="AO1614" s="333"/>
      <c r="AP1614" s="333"/>
      <c r="AQ1614" s="333"/>
      <c r="AR1614" s="333"/>
      <c r="AS1614" s="333"/>
      <c r="AT1614" s="333"/>
      <c r="AU1614" s="329"/>
      <c r="AV1614" s="341"/>
      <c r="AW1614" s="269" t="s">
        <v>2431</v>
      </c>
      <c r="AX1614" s="334" t="s">
        <v>2869</v>
      </c>
      <c r="AY1614" s="270" t="s">
        <v>695</v>
      </c>
      <c r="AZ1614" s="173" t="s">
        <v>5516</v>
      </c>
      <c r="BA1614" s="265">
        <v>10.0</v>
      </c>
      <c r="BB1614" s="174" t="s">
        <v>245</v>
      </c>
      <c r="BC1614" s="341"/>
      <c r="BD1614" s="308"/>
      <c r="BE1614" s="342"/>
      <c r="BF1614" s="274" t="str">
        <f>IFERROR(__xludf.DUMMYFUNCTION("LOWER(Regexreplace(to_text(E1614),""[^A-Za-z0-9]"","""")&amp;""_""&amp;Regexreplace(to_text(F1614),""[^A-Za-z0-9]"",""""))"),"neptronic_evcbseries")</f>
        <v>neptronic_evcbseries</v>
      </c>
      <c r="BG1614" s="275" t="str">
        <f>IFERROR(__xludf.DUMMYFUNCTION("upper(Regexreplace(to_text(E1614),""[^A-Za-z0-9]"","""")&amp;""-""&amp;Regexreplace(to_text(F1614),""[^A-Za-z0-9]"",""""))"),"NEPTRONIC-EVCBSERIES")</f>
        <v>NEPTRONIC-EVCBSERIES</v>
      </c>
    </row>
    <row r="1615" ht="30.0" customHeight="1">
      <c r="A1615" s="173">
        <v>1607.0</v>
      </c>
      <c r="B1615" s="328" t="s">
        <v>670</v>
      </c>
      <c r="C1615" s="257" t="s">
        <v>6325</v>
      </c>
      <c r="D1615" s="173" t="s">
        <v>6325</v>
      </c>
      <c r="E1615" s="174" t="s">
        <v>2861</v>
      </c>
      <c r="F1615" s="173" t="s">
        <v>2862</v>
      </c>
      <c r="G1615" s="328" t="s">
        <v>673</v>
      </c>
      <c r="H1615" s="328" t="s">
        <v>2863</v>
      </c>
      <c r="I1615" s="258" t="s">
        <v>2864</v>
      </c>
      <c r="J1615" s="259" t="s">
        <v>1211</v>
      </c>
      <c r="K1615" s="260" t="s">
        <v>6326</v>
      </c>
      <c r="L1615" s="359"/>
      <c r="M1615" s="359"/>
      <c r="N1615" s="173" t="s">
        <v>679</v>
      </c>
      <c r="O1615" s="173" t="s">
        <v>225</v>
      </c>
      <c r="P1615" s="262" t="str">
        <f t="shared" si="1"/>
        <v>IN-BLR-ANANTA-VAV-1187_7</v>
      </c>
      <c r="Q1615" s="173" t="s">
        <v>6327</v>
      </c>
      <c r="R1615" s="328" t="str">
        <f>IFS(C1615="","",C1615="n/a","N/A",LEN(C1615),Concatenate("{",char(34),"asset",char(34),":{",char(34),"guid",char(34),":",char(34),Q1615,char(34),",",char(34),"site",char(34),":",char(34),LOWER('2-Building'!$B$4),char(34),",",char(34),"name",char(34),":",char(34),LOWER(C1615),char(34),"}}"))</f>
        <v>{"asset":{"guid":"uuid://d0c4b5e8-5e11-4e31-bc90-6162df18546f","site":"in-blr-ananta","name":"vav-1187"}}</v>
      </c>
      <c r="S1615" s="360" t="s">
        <v>5516</v>
      </c>
      <c r="T1615" s="330"/>
      <c r="U1615" s="330"/>
      <c r="V1615" s="331"/>
      <c r="W1615" s="332"/>
      <c r="X1615" s="333"/>
      <c r="Y1615" s="33" t="s">
        <v>2867</v>
      </c>
      <c r="Z1615" s="258">
        <v>121187.0</v>
      </c>
      <c r="AA1615" s="334">
        <v>11640.0</v>
      </c>
      <c r="AB1615" s="333"/>
      <c r="AC1615" s="333"/>
      <c r="AD1615" s="329"/>
      <c r="AE1615" s="331"/>
      <c r="AF1615" s="336"/>
      <c r="AG1615" s="337"/>
      <c r="AH1615" s="333"/>
      <c r="AI1615" s="333"/>
      <c r="AJ1615" s="333"/>
      <c r="AK1615" s="333"/>
      <c r="AL1615" s="333"/>
      <c r="AM1615" s="338"/>
      <c r="AN1615" s="333"/>
      <c r="AO1615" s="333"/>
      <c r="AP1615" s="333"/>
      <c r="AQ1615" s="333"/>
      <c r="AR1615" s="333"/>
      <c r="AS1615" s="333"/>
      <c r="AT1615" s="333"/>
      <c r="AU1615" s="329"/>
      <c r="AV1615" s="341"/>
      <c r="AW1615" s="269" t="s">
        <v>2431</v>
      </c>
      <c r="AX1615" s="334" t="s">
        <v>2869</v>
      </c>
      <c r="AY1615" s="270" t="s">
        <v>695</v>
      </c>
      <c r="AZ1615" s="173" t="s">
        <v>5516</v>
      </c>
      <c r="BA1615" s="265">
        <v>10.0</v>
      </c>
      <c r="BB1615" s="174" t="s">
        <v>245</v>
      </c>
      <c r="BC1615" s="341"/>
      <c r="BD1615" s="308"/>
      <c r="BE1615" s="342"/>
      <c r="BF1615" s="274" t="str">
        <f>IFERROR(__xludf.DUMMYFUNCTION("LOWER(Regexreplace(to_text(E1615),""[^A-Za-z0-9]"","""")&amp;""_""&amp;Regexreplace(to_text(F1615),""[^A-Za-z0-9]"",""""))"),"neptronic_evcbseries")</f>
        <v>neptronic_evcbseries</v>
      </c>
      <c r="BG1615" s="275" t="str">
        <f>IFERROR(__xludf.DUMMYFUNCTION("upper(Regexreplace(to_text(E1615),""[^A-Za-z0-9]"","""")&amp;""-""&amp;Regexreplace(to_text(F1615),""[^A-Za-z0-9]"",""""))"),"NEPTRONIC-EVCBSERIES")</f>
        <v>NEPTRONIC-EVCBSERIES</v>
      </c>
    </row>
    <row r="1616" ht="30.0" customHeight="1">
      <c r="A1616" s="258">
        <v>1608.0</v>
      </c>
      <c r="B1616" s="328" t="s">
        <v>670</v>
      </c>
      <c r="C1616" s="257" t="s">
        <v>6328</v>
      </c>
      <c r="D1616" s="173" t="s">
        <v>6328</v>
      </c>
      <c r="E1616" s="174" t="s">
        <v>2861</v>
      </c>
      <c r="F1616" s="173" t="s">
        <v>2862</v>
      </c>
      <c r="G1616" s="328" t="s">
        <v>673</v>
      </c>
      <c r="H1616" s="328" t="s">
        <v>2863</v>
      </c>
      <c r="I1616" s="258" t="s">
        <v>2864</v>
      </c>
      <c r="J1616" s="259" t="s">
        <v>1211</v>
      </c>
      <c r="K1616" s="260" t="s">
        <v>6329</v>
      </c>
      <c r="L1616" s="359"/>
      <c r="M1616" s="359"/>
      <c r="N1616" s="173" t="s">
        <v>679</v>
      </c>
      <c r="O1616" s="173" t="s">
        <v>225</v>
      </c>
      <c r="P1616" s="262" t="str">
        <f t="shared" si="1"/>
        <v>IN-BLR-ANANTA-VAV-1188_7</v>
      </c>
      <c r="Q1616" s="173" t="s">
        <v>6330</v>
      </c>
      <c r="R1616" s="328" t="str">
        <f>IFS(C1616="","",C1616="n/a","N/A",LEN(C1616),Concatenate("{",char(34),"asset",char(34),":{",char(34),"guid",char(34),":",char(34),Q1616,char(34),",",char(34),"site",char(34),":",char(34),LOWER('2-Building'!$B$4),char(34),",",char(34),"name",char(34),":",char(34),LOWER(C1616),char(34),"}}"))</f>
        <v>{"asset":{"guid":"uuid://bda02dfb-3f92-497c-b30f-431ff3b4526f","site":"in-blr-ananta","name":"vav-1188"}}</v>
      </c>
      <c r="S1616" s="360" t="s">
        <v>5516</v>
      </c>
      <c r="T1616" s="330"/>
      <c r="U1616" s="330"/>
      <c r="V1616" s="331"/>
      <c r="W1616" s="332"/>
      <c r="X1616" s="333"/>
      <c r="Y1616" s="33" t="s">
        <v>2867</v>
      </c>
      <c r="Z1616" s="258">
        <v>121188.0</v>
      </c>
      <c r="AA1616" s="334">
        <v>11640.0</v>
      </c>
      <c r="AB1616" s="333"/>
      <c r="AC1616" s="333"/>
      <c r="AD1616" s="329"/>
      <c r="AE1616" s="331"/>
      <c r="AF1616" s="336"/>
      <c r="AG1616" s="337"/>
      <c r="AH1616" s="333"/>
      <c r="AI1616" s="333"/>
      <c r="AJ1616" s="333"/>
      <c r="AK1616" s="333"/>
      <c r="AL1616" s="333"/>
      <c r="AM1616" s="338"/>
      <c r="AN1616" s="333"/>
      <c r="AO1616" s="333"/>
      <c r="AP1616" s="333"/>
      <c r="AQ1616" s="333"/>
      <c r="AR1616" s="333"/>
      <c r="AS1616" s="333"/>
      <c r="AT1616" s="333"/>
      <c r="AU1616" s="329"/>
      <c r="AV1616" s="341"/>
      <c r="AW1616" s="269" t="s">
        <v>2431</v>
      </c>
      <c r="AX1616" s="334" t="s">
        <v>2869</v>
      </c>
      <c r="AY1616" s="270" t="s">
        <v>695</v>
      </c>
      <c r="AZ1616" s="173" t="s">
        <v>5516</v>
      </c>
      <c r="BA1616" s="265">
        <v>10.0</v>
      </c>
      <c r="BB1616" s="174" t="s">
        <v>245</v>
      </c>
      <c r="BC1616" s="341"/>
      <c r="BD1616" s="308"/>
      <c r="BE1616" s="342"/>
      <c r="BF1616" s="274" t="str">
        <f>IFERROR(__xludf.DUMMYFUNCTION("LOWER(Regexreplace(to_text(E1616),""[^A-Za-z0-9]"","""")&amp;""_""&amp;Regexreplace(to_text(F1616),""[^A-Za-z0-9]"",""""))"),"neptronic_evcbseries")</f>
        <v>neptronic_evcbseries</v>
      </c>
      <c r="BG1616" s="275" t="str">
        <f>IFERROR(__xludf.DUMMYFUNCTION("upper(Regexreplace(to_text(E1616),""[^A-Za-z0-9]"","""")&amp;""-""&amp;Regexreplace(to_text(F1616),""[^A-Za-z0-9]"",""""))"),"NEPTRONIC-EVCBSERIES")</f>
        <v>NEPTRONIC-EVCBSERIES</v>
      </c>
    </row>
    <row r="1617" ht="30.0" customHeight="1">
      <c r="A1617" s="173">
        <v>1609.0</v>
      </c>
      <c r="B1617" s="328" t="s">
        <v>670</v>
      </c>
      <c r="C1617" s="257" t="s">
        <v>6331</v>
      </c>
      <c r="D1617" s="173" t="s">
        <v>6331</v>
      </c>
      <c r="E1617" s="174" t="s">
        <v>2861</v>
      </c>
      <c r="F1617" s="173" t="s">
        <v>2862</v>
      </c>
      <c r="G1617" s="328" t="s">
        <v>673</v>
      </c>
      <c r="H1617" s="328" t="s">
        <v>2863</v>
      </c>
      <c r="I1617" s="258" t="s">
        <v>2864</v>
      </c>
      <c r="J1617" s="259" t="s">
        <v>1211</v>
      </c>
      <c r="K1617" s="260" t="s">
        <v>6332</v>
      </c>
      <c r="L1617" s="359"/>
      <c r="M1617" s="359"/>
      <c r="N1617" s="173" t="s">
        <v>679</v>
      </c>
      <c r="O1617" s="173" t="s">
        <v>225</v>
      </c>
      <c r="P1617" s="262" t="str">
        <f t="shared" si="1"/>
        <v>IN-BLR-ANANTA-VAV-1189_7</v>
      </c>
      <c r="Q1617" s="173" t="s">
        <v>6333</v>
      </c>
      <c r="R1617" s="328" t="str">
        <f>IFS(C1617="","",C1617="n/a","N/A",LEN(C1617),Concatenate("{",char(34),"asset",char(34),":{",char(34),"guid",char(34),":",char(34),Q1617,char(34),",",char(34),"site",char(34),":",char(34),LOWER('2-Building'!$B$4),char(34),",",char(34),"name",char(34),":",char(34),LOWER(C1617),char(34),"}}"))</f>
        <v>{"asset":{"guid":"uuid://4e88870c-29a9-4ab5-8bf5-e0d598eea78c","site":"in-blr-ananta","name":"vav-1189"}}</v>
      </c>
      <c r="S1617" s="360" t="s">
        <v>5516</v>
      </c>
      <c r="T1617" s="330"/>
      <c r="U1617" s="330"/>
      <c r="V1617" s="331"/>
      <c r="W1617" s="332"/>
      <c r="X1617" s="333"/>
      <c r="Y1617" s="33" t="s">
        <v>2867</v>
      </c>
      <c r="Z1617" s="258">
        <v>121189.0</v>
      </c>
      <c r="AA1617" s="334">
        <v>11640.0</v>
      </c>
      <c r="AB1617" s="333"/>
      <c r="AC1617" s="333"/>
      <c r="AD1617" s="329"/>
      <c r="AE1617" s="331"/>
      <c r="AF1617" s="336"/>
      <c r="AG1617" s="337"/>
      <c r="AH1617" s="333"/>
      <c r="AI1617" s="333"/>
      <c r="AJ1617" s="333"/>
      <c r="AK1617" s="333"/>
      <c r="AL1617" s="333"/>
      <c r="AM1617" s="338"/>
      <c r="AN1617" s="333"/>
      <c r="AO1617" s="333"/>
      <c r="AP1617" s="333"/>
      <c r="AQ1617" s="333"/>
      <c r="AR1617" s="333"/>
      <c r="AS1617" s="333"/>
      <c r="AT1617" s="333"/>
      <c r="AU1617" s="329"/>
      <c r="AV1617" s="341"/>
      <c r="AW1617" s="269" t="s">
        <v>2431</v>
      </c>
      <c r="AX1617" s="334" t="s">
        <v>2869</v>
      </c>
      <c r="AY1617" s="270" t="s">
        <v>695</v>
      </c>
      <c r="AZ1617" s="173" t="s">
        <v>5516</v>
      </c>
      <c r="BA1617" s="265">
        <v>10.0</v>
      </c>
      <c r="BB1617" s="174" t="s">
        <v>245</v>
      </c>
      <c r="BC1617" s="341"/>
      <c r="BD1617" s="308"/>
      <c r="BE1617" s="342"/>
      <c r="BF1617" s="274" t="str">
        <f>IFERROR(__xludf.DUMMYFUNCTION("LOWER(Regexreplace(to_text(E1617),""[^A-Za-z0-9]"","""")&amp;""_""&amp;Regexreplace(to_text(F1617),""[^A-Za-z0-9]"",""""))"),"neptronic_evcbseries")</f>
        <v>neptronic_evcbseries</v>
      </c>
      <c r="BG1617" s="275" t="str">
        <f>IFERROR(__xludf.DUMMYFUNCTION("upper(Regexreplace(to_text(E1617),""[^A-Za-z0-9]"","""")&amp;""-""&amp;Regexreplace(to_text(F1617),""[^A-Za-z0-9]"",""""))"),"NEPTRONIC-EVCBSERIES")</f>
        <v>NEPTRONIC-EVCBSERIES</v>
      </c>
    </row>
    <row r="1618" ht="30.0" customHeight="1">
      <c r="A1618" s="258">
        <v>1610.0</v>
      </c>
      <c r="B1618" s="328" t="s">
        <v>670</v>
      </c>
      <c r="C1618" s="257" t="s">
        <v>6334</v>
      </c>
      <c r="D1618" s="173" t="s">
        <v>6334</v>
      </c>
      <c r="E1618" s="174" t="s">
        <v>2861</v>
      </c>
      <c r="F1618" s="173" t="s">
        <v>2862</v>
      </c>
      <c r="G1618" s="328" t="s">
        <v>673</v>
      </c>
      <c r="H1618" s="328" t="s">
        <v>2863</v>
      </c>
      <c r="I1618" s="258" t="s">
        <v>2864</v>
      </c>
      <c r="J1618" s="259" t="s">
        <v>1211</v>
      </c>
      <c r="K1618" s="260" t="s">
        <v>6335</v>
      </c>
      <c r="L1618" s="359"/>
      <c r="M1618" s="359"/>
      <c r="N1618" s="173" t="s">
        <v>679</v>
      </c>
      <c r="O1618" s="173" t="s">
        <v>225</v>
      </c>
      <c r="P1618" s="262" t="str">
        <f t="shared" si="1"/>
        <v>IN-BLR-ANANTA-VAV-1190_7</v>
      </c>
      <c r="Q1618" s="173" t="s">
        <v>6336</v>
      </c>
      <c r="R1618" s="328" t="str">
        <f>IFS(C1618="","",C1618="n/a","N/A",LEN(C1618),Concatenate("{",char(34),"asset",char(34),":{",char(34),"guid",char(34),":",char(34),Q1618,char(34),",",char(34),"site",char(34),":",char(34),LOWER('2-Building'!$B$4),char(34),",",char(34),"name",char(34),":",char(34),LOWER(C1618),char(34),"}}"))</f>
        <v>{"asset":{"guid":"uuid://4f24985b-af34-47dd-9ac2-83802898b233","site":"in-blr-ananta","name":"vav-1190"}}</v>
      </c>
      <c r="S1618" s="360" t="s">
        <v>5516</v>
      </c>
      <c r="T1618" s="330"/>
      <c r="U1618" s="330"/>
      <c r="V1618" s="331"/>
      <c r="W1618" s="332"/>
      <c r="X1618" s="333"/>
      <c r="Y1618" s="33" t="s">
        <v>2867</v>
      </c>
      <c r="Z1618" s="258">
        <v>121190.0</v>
      </c>
      <c r="AA1618" s="334">
        <v>11640.0</v>
      </c>
      <c r="AB1618" s="333"/>
      <c r="AC1618" s="333"/>
      <c r="AD1618" s="329"/>
      <c r="AE1618" s="331"/>
      <c r="AF1618" s="336"/>
      <c r="AG1618" s="337"/>
      <c r="AH1618" s="333"/>
      <c r="AI1618" s="333"/>
      <c r="AJ1618" s="333"/>
      <c r="AK1618" s="333"/>
      <c r="AL1618" s="333"/>
      <c r="AM1618" s="338"/>
      <c r="AN1618" s="333"/>
      <c r="AO1618" s="333"/>
      <c r="AP1618" s="333"/>
      <c r="AQ1618" s="333"/>
      <c r="AR1618" s="333"/>
      <c r="AS1618" s="333"/>
      <c r="AT1618" s="333"/>
      <c r="AU1618" s="329"/>
      <c r="AV1618" s="341"/>
      <c r="AW1618" s="269" t="s">
        <v>2431</v>
      </c>
      <c r="AX1618" s="334" t="s">
        <v>2869</v>
      </c>
      <c r="AY1618" s="270" t="s">
        <v>695</v>
      </c>
      <c r="AZ1618" s="173" t="s">
        <v>5516</v>
      </c>
      <c r="BA1618" s="265">
        <v>10.0</v>
      </c>
      <c r="BB1618" s="174" t="s">
        <v>245</v>
      </c>
      <c r="BC1618" s="341"/>
      <c r="BD1618" s="308"/>
      <c r="BE1618" s="342"/>
      <c r="BF1618" s="274" t="str">
        <f>IFERROR(__xludf.DUMMYFUNCTION("LOWER(Regexreplace(to_text(E1618),""[^A-Za-z0-9]"","""")&amp;""_""&amp;Regexreplace(to_text(F1618),""[^A-Za-z0-9]"",""""))"),"neptronic_evcbseries")</f>
        <v>neptronic_evcbseries</v>
      </c>
      <c r="BG1618" s="275" t="str">
        <f>IFERROR(__xludf.DUMMYFUNCTION("upper(Regexreplace(to_text(E1618),""[^A-Za-z0-9]"","""")&amp;""-""&amp;Regexreplace(to_text(F1618),""[^A-Za-z0-9]"",""""))"),"NEPTRONIC-EVCBSERIES")</f>
        <v>NEPTRONIC-EVCBSERIES</v>
      </c>
    </row>
    <row r="1619" ht="30.0" customHeight="1">
      <c r="A1619" s="173">
        <v>1611.0</v>
      </c>
      <c r="B1619" s="328" t="s">
        <v>670</v>
      </c>
      <c r="C1619" s="257" t="s">
        <v>6337</v>
      </c>
      <c r="D1619" s="173" t="s">
        <v>6337</v>
      </c>
      <c r="E1619" s="174" t="s">
        <v>2861</v>
      </c>
      <c r="F1619" s="173" t="s">
        <v>2862</v>
      </c>
      <c r="G1619" s="328" t="s">
        <v>673</v>
      </c>
      <c r="H1619" s="328" t="s">
        <v>2863</v>
      </c>
      <c r="I1619" s="258" t="s">
        <v>2864</v>
      </c>
      <c r="J1619" s="259" t="s">
        <v>1211</v>
      </c>
      <c r="K1619" s="260" t="s">
        <v>6338</v>
      </c>
      <c r="L1619" s="359"/>
      <c r="M1619" s="359"/>
      <c r="N1619" s="173" t="s">
        <v>679</v>
      </c>
      <c r="O1619" s="173" t="s">
        <v>225</v>
      </c>
      <c r="P1619" s="262" t="str">
        <f t="shared" si="1"/>
        <v>IN-BLR-ANANTA-VAV-1191_7</v>
      </c>
      <c r="Q1619" s="173" t="s">
        <v>6339</v>
      </c>
      <c r="R1619" s="328" t="str">
        <f>IFS(C1619="","",C1619="n/a","N/A",LEN(C1619),Concatenate("{",char(34),"asset",char(34),":{",char(34),"guid",char(34),":",char(34),Q1619,char(34),",",char(34),"site",char(34),":",char(34),LOWER('2-Building'!$B$4),char(34),",",char(34),"name",char(34),":",char(34),LOWER(C1619),char(34),"}}"))</f>
        <v>{"asset":{"guid":"uuid://6fad2e6b-c6b0-4cdd-9a53-3f6a6b56093f","site":"in-blr-ananta","name":"vav-1191"}}</v>
      </c>
      <c r="S1619" s="360" t="s">
        <v>5516</v>
      </c>
      <c r="T1619" s="330"/>
      <c r="U1619" s="330"/>
      <c r="V1619" s="331"/>
      <c r="W1619" s="332"/>
      <c r="X1619" s="333"/>
      <c r="Y1619" s="33" t="s">
        <v>2867</v>
      </c>
      <c r="Z1619" s="258">
        <v>121191.0</v>
      </c>
      <c r="AA1619" s="334">
        <v>11640.0</v>
      </c>
      <c r="AB1619" s="333"/>
      <c r="AC1619" s="333"/>
      <c r="AD1619" s="329"/>
      <c r="AE1619" s="331"/>
      <c r="AF1619" s="336"/>
      <c r="AG1619" s="337"/>
      <c r="AH1619" s="333"/>
      <c r="AI1619" s="333"/>
      <c r="AJ1619" s="333"/>
      <c r="AK1619" s="333"/>
      <c r="AL1619" s="333"/>
      <c r="AM1619" s="338"/>
      <c r="AN1619" s="333"/>
      <c r="AO1619" s="333"/>
      <c r="AP1619" s="333"/>
      <c r="AQ1619" s="333"/>
      <c r="AR1619" s="333"/>
      <c r="AS1619" s="333"/>
      <c r="AT1619" s="333"/>
      <c r="AU1619" s="329"/>
      <c r="AV1619" s="341"/>
      <c r="AW1619" s="269" t="s">
        <v>2431</v>
      </c>
      <c r="AX1619" s="334" t="s">
        <v>2869</v>
      </c>
      <c r="AY1619" s="270" t="s">
        <v>695</v>
      </c>
      <c r="AZ1619" s="173" t="s">
        <v>5516</v>
      </c>
      <c r="BA1619" s="265">
        <v>10.0</v>
      </c>
      <c r="BB1619" s="174" t="s">
        <v>245</v>
      </c>
      <c r="BC1619" s="341"/>
      <c r="BD1619" s="308"/>
      <c r="BE1619" s="342"/>
      <c r="BF1619" s="274" t="str">
        <f>IFERROR(__xludf.DUMMYFUNCTION("LOWER(Regexreplace(to_text(E1619),""[^A-Za-z0-9]"","""")&amp;""_""&amp;Regexreplace(to_text(F1619),""[^A-Za-z0-9]"",""""))"),"neptronic_evcbseries")</f>
        <v>neptronic_evcbseries</v>
      </c>
      <c r="BG1619" s="275" t="str">
        <f>IFERROR(__xludf.DUMMYFUNCTION("upper(Regexreplace(to_text(E1619),""[^A-Za-z0-9]"","""")&amp;""-""&amp;Regexreplace(to_text(F1619),""[^A-Za-z0-9]"",""""))"),"NEPTRONIC-EVCBSERIES")</f>
        <v>NEPTRONIC-EVCBSERIES</v>
      </c>
    </row>
    <row r="1620" ht="30.0" customHeight="1">
      <c r="A1620" s="258">
        <v>1612.0</v>
      </c>
      <c r="B1620" s="328" t="s">
        <v>670</v>
      </c>
      <c r="C1620" s="257" t="s">
        <v>6340</v>
      </c>
      <c r="D1620" s="173" t="s">
        <v>6340</v>
      </c>
      <c r="E1620" s="174" t="s">
        <v>2861</v>
      </c>
      <c r="F1620" s="173" t="s">
        <v>2862</v>
      </c>
      <c r="G1620" s="328" t="s">
        <v>673</v>
      </c>
      <c r="H1620" s="328" t="s">
        <v>2863</v>
      </c>
      <c r="I1620" s="258" t="s">
        <v>2864</v>
      </c>
      <c r="J1620" s="259" t="s">
        <v>1211</v>
      </c>
      <c r="K1620" s="260" t="s">
        <v>6341</v>
      </c>
      <c r="L1620" s="359"/>
      <c r="M1620" s="359"/>
      <c r="N1620" s="173" t="s">
        <v>679</v>
      </c>
      <c r="O1620" s="173" t="s">
        <v>225</v>
      </c>
      <c r="P1620" s="262" t="str">
        <f t="shared" si="1"/>
        <v>IN-BLR-ANANTA-VAV-1192_7</v>
      </c>
      <c r="Q1620" s="173" t="s">
        <v>6342</v>
      </c>
      <c r="R1620" s="328" t="str">
        <f>IFS(C1620="","",C1620="n/a","N/A",LEN(C1620),Concatenate("{",char(34),"asset",char(34),":{",char(34),"guid",char(34),":",char(34),Q1620,char(34),",",char(34),"site",char(34),":",char(34),LOWER('2-Building'!$B$4),char(34),",",char(34),"name",char(34),":",char(34),LOWER(C1620),char(34),"}}"))</f>
        <v>{"asset":{"guid":"uuid://8f9fa93e-1d84-4ebe-b129-87b0f1267269","site":"in-blr-ananta","name":"vav-1192"}}</v>
      </c>
      <c r="S1620" s="360" t="s">
        <v>5516</v>
      </c>
      <c r="T1620" s="330"/>
      <c r="U1620" s="330"/>
      <c r="V1620" s="331"/>
      <c r="W1620" s="332"/>
      <c r="X1620" s="333"/>
      <c r="Y1620" s="33" t="s">
        <v>2867</v>
      </c>
      <c r="Z1620" s="258">
        <v>121192.0</v>
      </c>
      <c r="AA1620" s="334">
        <v>11640.0</v>
      </c>
      <c r="AB1620" s="333"/>
      <c r="AC1620" s="333"/>
      <c r="AD1620" s="329"/>
      <c r="AE1620" s="331"/>
      <c r="AF1620" s="336"/>
      <c r="AG1620" s="337"/>
      <c r="AH1620" s="333"/>
      <c r="AI1620" s="333"/>
      <c r="AJ1620" s="333"/>
      <c r="AK1620" s="333"/>
      <c r="AL1620" s="333"/>
      <c r="AM1620" s="338"/>
      <c r="AN1620" s="333"/>
      <c r="AO1620" s="333"/>
      <c r="AP1620" s="333"/>
      <c r="AQ1620" s="333"/>
      <c r="AR1620" s="333"/>
      <c r="AS1620" s="333"/>
      <c r="AT1620" s="333"/>
      <c r="AU1620" s="329"/>
      <c r="AV1620" s="341"/>
      <c r="AW1620" s="269" t="s">
        <v>2431</v>
      </c>
      <c r="AX1620" s="334" t="s">
        <v>2869</v>
      </c>
      <c r="AY1620" s="270" t="s">
        <v>695</v>
      </c>
      <c r="AZ1620" s="173" t="s">
        <v>5516</v>
      </c>
      <c r="BA1620" s="265">
        <v>10.0</v>
      </c>
      <c r="BB1620" s="174" t="s">
        <v>245</v>
      </c>
      <c r="BC1620" s="341"/>
      <c r="BD1620" s="308"/>
      <c r="BE1620" s="342"/>
      <c r="BF1620" s="274" t="str">
        <f>IFERROR(__xludf.DUMMYFUNCTION("LOWER(Regexreplace(to_text(E1620),""[^A-Za-z0-9]"","""")&amp;""_""&amp;Regexreplace(to_text(F1620),""[^A-Za-z0-9]"",""""))"),"neptronic_evcbseries")</f>
        <v>neptronic_evcbseries</v>
      </c>
      <c r="BG1620" s="275" t="str">
        <f>IFERROR(__xludf.DUMMYFUNCTION("upper(Regexreplace(to_text(E1620),""[^A-Za-z0-9]"","""")&amp;""-""&amp;Regexreplace(to_text(F1620),""[^A-Za-z0-9]"",""""))"),"NEPTRONIC-EVCBSERIES")</f>
        <v>NEPTRONIC-EVCBSERIES</v>
      </c>
    </row>
    <row r="1621" ht="30.0" customHeight="1">
      <c r="A1621" s="173">
        <v>1613.0</v>
      </c>
      <c r="B1621" s="328" t="s">
        <v>670</v>
      </c>
      <c r="C1621" s="257" t="s">
        <v>6343</v>
      </c>
      <c r="D1621" s="173" t="s">
        <v>6343</v>
      </c>
      <c r="E1621" s="174" t="s">
        <v>2861</v>
      </c>
      <c r="F1621" s="173" t="s">
        <v>2862</v>
      </c>
      <c r="G1621" s="328" t="s">
        <v>673</v>
      </c>
      <c r="H1621" s="328" t="s">
        <v>2863</v>
      </c>
      <c r="I1621" s="258" t="s">
        <v>2864</v>
      </c>
      <c r="J1621" s="259" t="s">
        <v>1211</v>
      </c>
      <c r="K1621" s="260" t="s">
        <v>6344</v>
      </c>
      <c r="L1621" s="359"/>
      <c r="M1621" s="359"/>
      <c r="N1621" s="173" t="s">
        <v>679</v>
      </c>
      <c r="O1621" s="173" t="s">
        <v>225</v>
      </c>
      <c r="P1621" s="262" t="str">
        <f t="shared" si="1"/>
        <v>IN-BLR-ANANTA-VAV-1193_7</v>
      </c>
      <c r="Q1621" s="173" t="s">
        <v>6345</v>
      </c>
      <c r="R1621" s="328" t="str">
        <f>IFS(C1621="","",C1621="n/a","N/A",LEN(C1621),Concatenate("{",char(34),"asset",char(34),":{",char(34),"guid",char(34),":",char(34),Q1621,char(34),",",char(34),"site",char(34),":",char(34),LOWER('2-Building'!$B$4),char(34),",",char(34),"name",char(34),":",char(34),LOWER(C1621),char(34),"}}"))</f>
        <v>{"asset":{"guid":"uuid://b9f4eafe-f98b-49da-b1dd-7bbe08ac7064","site":"in-blr-ananta","name":"vav-1193"}}</v>
      </c>
      <c r="S1621" s="360" t="s">
        <v>5516</v>
      </c>
      <c r="T1621" s="330"/>
      <c r="U1621" s="330"/>
      <c r="V1621" s="331"/>
      <c r="W1621" s="332"/>
      <c r="X1621" s="333"/>
      <c r="Y1621" s="33" t="s">
        <v>2867</v>
      </c>
      <c r="Z1621" s="258">
        <v>121193.0</v>
      </c>
      <c r="AA1621" s="334">
        <v>11640.0</v>
      </c>
      <c r="AB1621" s="333"/>
      <c r="AC1621" s="333"/>
      <c r="AD1621" s="329"/>
      <c r="AE1621" s="331"/>
      <c r="AF1621" s="336"/>
      <c r="AG1621" s="337"/>
      <c r="AH1621" s="333"/>
      <c r="AI1621" s="333"/>
      <c r="AJ1621" s="333"/>
      <c r="AK1621" s="333"/>
      <c r="AL1621" s="333"/>
      <c r="AM1621" s="338"/>
      <c r="AN1621" s="333"/>
      <c r="AO1621" s="333"/>
      <c r="AP1621" s="333"/>
      <c r="AQ1621" s="333"/>
      <c r="AR1621" s="333"/>
      <c r="AS1621" s="333"/>
      <c r="AT1621" s="333"/>
      <c r="AU1621" s="329"/>
      <c r="AV1621" s="341"/>
      <c r="AW1621" s="269" t="s">
        <v>2431</v>
      </c>
      <c r="AX1621" s="334" t="s">
        <v>2869</v>
      </c>
      <c r="AY1621" s="270" t="s">
        <v>695</v>
      </c>
      <c r="AZ1621" s="173" t="s">
        <v>5516</v>
      </c>
      <c r="BA1621" s="265">
        <v>10.0</v>
      </c>
      <c r="BB1621" s="174" t="s">
        <v>245</v>
      </c>
      <c r="BC1621" s="341"/>
      <c r="BD1621" s="308"/>
      <c r="BE1621" s="342"/>
      <c r="BF1621" s="274" t="str">
        <f>IFERROR(__xludf.DUMMYFUNCTION("LOWER(Regexreplace(to_text(E1621),""[^A-Za-z0-9]"","""")&amp;""_""&amp;Regexreplace(to_text(F1621),""[^A-Za-z0-9]"",""""))"),"neptronic_evcbseries")</f>
        <v>neptronic_evcbseries</v>
      </c>
      <c r="BG1621" s="275" t="str">
        <f>IFERROR(__xludf.DUMMYFUNCTION("upper(Regexreplace(to_text(E1621),""[^A-Za-z0-9]"","""")&amp;""-""&amp;Regexreplace(to_text(F1621),""[^A-Za-z0-9]"",""""))"),"NEPTRONIC-EVCBSERIES")</f>
        <v>NEPTRONIC-EVCBSERIES</v>
      </c>
    </row>
    <row r="1622" ht="30.0" customHeight="1">
      <c r="A1622" s="258">
        <v>1614.0</v>
      </c>
      <c r="B1622" s="328" t="s">
        <v>670</v>
      </c>
      <c r="C1622" s="257" t="s">
        <v>6346</v>
      </c>
      <c r="D1622" s="173" t="s">
        <v>6346</v>
      </c>
      <c r="E1622" s="174" t="s">
        <v>2861</v>
      </c>
      <c r="F1622" s="173" t="s">
        <v>2862</v>
      </c>
      <c r="G1622" s="328" t="s">
        <v>673</v>
      </c>
      <c r="H1622" s="328" t="s">
        <v>2863</v>
      </c>
      <c r="I1622" s="258" t="s">
        <v>2864</v>
      </c>
      <c r="J1622" s="259" t="s">
        <v>1211</v>
      </c>
      <c r="K1622" s="260" t="s">
        <v>6347</v>
      </c>
      <c r="L1622" s="359"/>
      <c r="M1622" s="359"/>
      <c r="N1622" s="173" t="s">
        <v>679</v>
      </c>
      <c r="O1622" s="173" t="s">
        <v>225</v>
      </c>
      <c r="P1622" s="262" t="str">
        <f t="shared" si="1"/>
        <v>IN-BLR-ANANTA-VAV-1194_7</v>
      </c>
      <c r="Q1622" s="173" t="s">
        <v>6348</v>
      </c>
      <c r="R1622" s="328" t="str">
        <f>IFS(C1622="","",C1622="n/a","N/A",LEN(C1622),Concatenate("{",char(34),"asset",char(34),":{",char(34),"guid",char(34),":",char(34),Q1622,char(34),",",char(34),"site",char(34),":",char(34),LOWER('2-Building'!$B$4),char(34),",",char(34),"name",char(34),":",char(34),LOWER(C1622),char(34),"}}"))</f>
        <v>{"asset":{"guid":"uuid://056d5f73-d5bd-45dc-813b-f760655dacda","site":"in-blr-ananta","name":"vav-1194"}}</v>
      </c>
      <c r="S1622" s="360" t="s">
        <v>5516</v>
      </c>
      <c r="T1622" s="330"/>
      <c r="U1622" s="330"/>
      <c r="V1622" s="331"/>
      <c r="W1622" s="332"/>
      <c r="X1622" s="333"/>
      <c r="Y1622" s="33" t="s">
        <v>2867</v>
      </c>
      <c r="Z1622" s="258">
        <v>121194.0</v>
      </c>
      <c r="AA1622" s="334">
        <v>11640.0</v>
      </c>
      <c r="AB1622" s="333"/>
      <c r="AC1622" s="333"/>
      <c r="AD1622" s="329"/>
      <c r="AE1622" s="331"/>
      <c r="AF1622" s="336"/>
      <c r="AG1622" s="337"/>
      <c r="AH1622" s="333"/>
      <c r="AI1622" s="333"/>
      <c r="AJ1622" s="333"/>
      <c r="AK1622" s="333"/>
      <c r="AL1622" s="333"/>
      <c r="AM1622" s="338"/>
      <c r="AN1622" s="333"/>
      <c r="AO1622" s="333"/>
      <c r="AP1622" s="333"/>
      <c r="AQ1622" s="333"/>
      <c r="AR1622" s="333"/>
      <c r="AS1622" s="333"/>
      <c r="AT1622" s="333"/>
      <c r="AU1622" s="329"/>
      <c r="AV1622" s="341"/>
      <c r="AW1622" s="269" t="s">
        <v>2431</v>
      </c>
      <c r="AX1622" s="334" t="s">
        <v>2869</v>
      </c>
      <c r="AY1622" s="270" t="s">
        <v>695</v>
      </c>
      <c r="AZ1622" s="173" t="s">
        <v>5516</v>
      </c>
      <c r="BA1622" s="265">
        <v>10.0</v>
      </c>
      <c r="BB1622" s="174" t="s">
        <v>245</v>
      </c>
      <c r="BC1622" s="341"/>
      <c r="BD1622" s="308"/>
      <c r="BE1622" s="342"/>
      <c r="BF1622" s="274" t="str">
        <f>IFERROR(__xludf.DUMMYFUNCTION("LOWER(Regexreplace(to_text(E1622),""[^A-Za-z0-9]"","""")&amp;""_""&amp;Regexreplace(to_text(F1622),""[^A-Za-z0-9]"",""""))"),"neptronic_evcbseries")</f>
        <v>neptronic_evcbseries</v>
      </c>
      <c r="BG1622" s="275" t="str">
        <f>IFERROR(__xludf.DUMMYFUNCTION("upper(Regexreplace(to_text(E1622),""[^A-Za-z0-9]"","""")&amp;""-""&amp;Regexreplace(to_text(F1622),""[^A-Za-z0-9]"",""""))"),"NEPTRONIC-EVCBSERIES")</f>
        <v>NEPTRONIC-EVCBSERIES</v>
      </c>
    </row>
    <row r="1623" ht="30.0" customHeight="1">
      <c r="A1623" s="173">
        <v>1615.0</v>
      </c>
      <c r="B1623" s="328" t="s">
        <v>670</v>
      </c>
      <c r="C1623" s="257" t="s">
        <v>6349</v>
      </c>
      <c r="D1623" s="173" t="s">
        <v>6349</v>
      </c>
      <c r="E1623" s="174" t="s">
        <v>2861</v>
      </c>
      <c r="F1623" s="173" t="s">
        <v>2862</v>
      </c>
      <c r="G1623" s="328" t="s">
        <v>673</v>
      </c>
      <c r="H1623" s="328" t="s">
        <v>2863</v>
      </c>
      <c r="I1623" s="258" t="s">
        <v>2864</v>
      </c>
      <c r="J1623" s="259" t="s">
        <v>1211</v>
      </c>
      <c r="K1623" s="260" t="s">
        <v>6350</v>
      </c>
      <c r="L1623" s="359"/>
      <c r="M1623" s="359"/>
      <c r="N1623" s="173" t="s">
        <v>679</v>
      </c>
      <c r="O1623" s="173" t="s">
        <v>225</v>
      </c>
      <c r="P1623" s="262" t="str">
        <f t="shared" si="1"/>
        <v>IN-BLR-ANANTA-VAV-1195_7</v>
      </c>
      <c r="Q1623" s="173" t="s">
        <v>6351</v>
      </c>
      <c r="R1623" s="328" t="str">
        <f>IFS(C1623="","",C1623="n/a","N/A",LEN(C1623),Concatenate("{",char(34),"asset",char(34),":{",char(34),"guid",char(34),":",char(34),Q1623,char(34),",",char(34),"site",char(34),":",char(34),LOWER('2-Building'!$B$4),char(34),",",char(34),"name",char(34),":",char(34),LOWER(C1623),char(34),"}}"))</f>
        <v>{"asset":{"guid":"uuid://44a8cc88-efbb-4bfc-94ea-267c6f60bc72","site":"in-blr-ananta","name":"vav-1195"}}</v>
      </c>
      <c r="S1623" s="360" t="s">
        <v>5516</v>
      </c>
      <c r="T1623" s="330"/>
      <c r="U1623" s="330"/>
      <c r="V1623" s="331"/>
      <c r="W1623" s="332"/>
      <c r="X1623" s="333"/>
      <c r="Y1623" s="33" t="s">
        <v>2867</v>
      </c>
      <c r="Z1623" s="258">
        <v>121195.0</v>
      </c>
      <c r="AA1623" s="334">
        <v>11640.0</v>
      </c>
      <c r="AB1623" s="333"/>
      <c r="AC1623" s="333"/>
      <c r="AD1623" s="329"/>
      <c r="AE1623" s="331"/>
      <c r="AF1623" s="336"/>
      <c r="AG1623" s="337"/>
      <c r="AH1623" s="333"/>
      <c r="AI1623" s="333"/>
      <c r="AJ1623" s="333"/>
      <c r="AK1623" s="333"/>
      <c r="AL1623" s="333"/>
      <c r="AM1623" s="338"/>
      <c r="AN1623" s="333"/>
      <c r="AO1623" s="333"/>
      <c r="AP1623" s="333"/>
      <c r="AQ1623" s="333"/>
      <c r="AR1623" s="333"/>
      <c r="AS1623" s="333"/>
      <c r="AT1623" s="333"/>
      <c r="AU1623" s="329"/>
      <c r="AV1623" s="341"/>
      <c r="AW1623" s="269" t="s">
        <v>2431</v>
      </c>
      <c r="AX1623" s="334" t="s">
        <v>2869</v>
      </c>
      <c r="AY1623" s="270" t="s">
        <v>695</v>
      </c>
      <c r="AZ1623" s="173" t="s">
        <v>5516</v>
      </c>
      <c r="BA1623" s="265">
        <v>10.0</v>
      </c>
      <c r="BB1623" s="174" t="s">
        <v>245</v>
      </c>
      <c r="BC1623" s="341"/>
      <c r="BD1623" s="308"/>
      <c r="BE1623" s="342"/>
      <c r="BF1623" s="274" t="str">
        <f>IFERROR(__xludf.DUMMYFUNCTION("LOWER(Regexreplace(to_text(E1623),""[^A-Za-z0-9]"","""")&amp;""_""&amp;Regexreplace(to_text(F1623),""[^A-Za-z0-9]"",""""))"),"neptronic_evcbseries")</f>
        <v>neptronic_evcbseries</v>
      </c>
      <c r="BG1623" s="275" t="str">
        <f>IFERROR(__xludf.DUMMYFUNCTION("upper(Regexreplace(to_text(E1623),""[^A-Za-z0-9]"","""")&amp;""-""&amp;Regexreplace(to_text(F1623),""[^A-Za-z0-9]"",""""))"),"NEPTRONIC-EVCBSERIES")</f>
        <v>NEPTRONIC-EVCBSERIES</v>
      </c>
    </row>
    <row r="1624" ht="30.0" customHeight="1">
      <c r="A1624" s="258">
        <v>1616.0</v>
      </c>
      <c r="B1624" s="328" t="s">
        <v>670</v>
      </c>
      <c r="C1624" s="257" t="s">
        <v>6352</v>
      </c>
      <c r="D1624" s="173" t="s">
        <v>6352</v>
      </c>
      <c r="E1624" s="174" t="s">
        <v>2861</v>
      </c>
      <c r="F1624" s="173" t="s">
        <v>2862</v>
      </c>
      <c r="G1624" s="328" t="s">
        <v>673</v>
      </c>
      <c r="H1624" s="328" t="s">
        <v>2863</v>
      </c>
      <c r="I1624" s="258" t="s">
        <v>2864</v>
      </c>
      <c r="J1624" s="259" t="s">
        <v>1211</v>
      </c>
      <c r="K1624" s="260" t="s">
        <v>6353</v>
      </c>
      <c r="L1624" s="359"/>
      <c r="M1624" s="359"/>
      <c r="N1624" s="173" t="s">
        <v>679</v>
      </c>
      <c r="O1624" s="173" t="s">
        <v>225</v>
      </c>
      <c r="P1624" s="262" t="str">
        <f t="shared" si="1"/>
        <v>IN-BLR-ANANTA-VAV-1196_7</v>
      </c>
      <c r="Q1624" s="173" t="s">
        <v>6354</v>
      </c>
      <c r="R1624" s="328" t="str">
        <f>IFS(C1624="","",C1624="n/a","N/A",LEN(C1624),Concatenate("{",char(34),"asset",char(34),":{",char(34),"guid",char(34),":",char(34),Q1624,char(34),",",char(34),"site",char(34),":",char(34),LOWER('2-Building'!$B$4),char(34),",",char(34),"name",char(34),":",char(34),LOWER(C1624),char(34),"}}"))</f>
        <v>{"asset":{"guid":"uuid://a86daee2-a1fa-4bfb-b66e-bdfe9711860b","site":"in-blr-ananta","name":"vav-1196"}}</v>
      </c>
      <c r="S1624" s="360" t="s">
        <v>5516</v>
      </c>
      <c r="T1624" s="330"/>
      <c r="U1624" s="330"/>
      <c r="V1624" s="331"/>
      <c r="W1624" s="332"/>
      <c r="X1624" s="333"/>
      <c r="Y1624" s="33" t="s">
        <v>2867</v>
      </c>
      <c r="Z1624" s="258">
        <v>121196.0</v>
      </c>
      <c r="AA1624" s="334">
        <v>11637.0</v>
      </c>
      <c r="AB1624" s="333"/>
      <c r="AC1624" s="333"/>
      <c r="AD1624" s="329"/>
      <c r="AE1624" s="331"/>
      <c r="AF1624" s="336"/>
      <c r="AG1624" s="337"/>
      <c r="AH1624" s="333"/>
      <c r="AI1624" s="333"/>
      <c r="AJ1624" s="333"/>
      <c r="AK1624" s="333"/>
      <c r="AL1624" s="333"/>
      <c r="AM1624" s="338"/>
      <c r="AN1624" s="333"/>
      <c r="AO1624" s="333"/>
      <c r="AP1624" s="333"/>
      <c r="AQ1624" s="333"/>
      <c r="AR1624" s="333"/>
      <c r="AS1624" s="333"/>
      <c r="AT1624" s="333"/>
      <c r="AU1624" s="329"/>
      <c r="AV1624" s="341"/>
      <c r="AW1624" s="269" t="s">
        <v>2446</v>
      </c>
      <c r="AX1624" s="334" t="s">
        <v>2869</v>
      </c>
      <c r="AY1624" s="270" t="s">
        <v>695</v>
      </c>
      <c r="AZ1624" s="173" t="s">
        <v>5516</v>
      </c>
      <c r="BA1624" s="265">
        <v>10.0</v>
      </c>
      <c r="BB1624" s="174" t="s">
        <v>245</v>
      </c>
      <c r="BC1624" s="341"/>
      <c r="BD1624" s="308"/>
      <c r="BE1624" s="342"/>
      <c r="BF1624" s="274" t="str">
        <f>IFERROR(__xludf.DUMMYFUNCTION("LOWER(Regexreplace(to_text(E1624),""[^A-Za-z0-9]"","""")&amp;""_""&amp;Regexreplace(to_text(F1624),""[^A-Za-z0-9]"",""""))"),"neptronic_evcbseries")</f>
        <v>neptronic_evcbseries</v>
      </c>
      <c r="BG1624" s="275" t="str">
        <f>IFERROR(__xludf.DUMMYFUNCTION("upper(Regexreplace(to_text(E1624),""[^A-Za-z0-9]"","""")&amp;""-""&amp;Regexreplace(to_text(F1624),""[^A-Za-z0-9]"",""""))"),"NEPTRONIC-EVCBSERIES")</f>
        <v>NEPTRONIC-EVCBSERIES</v>
      </c>
    </row>
    <row r="1625" ht="30.0" customHeight="1">
      <c r="A1625" s="173">
        <v>1617.0</v>
      </c>
      <c r="B1625" s="328" t="s">
        <v>670</v>
      </c>
      <c r="C1625" s="257" t="s">
        <v>6355</v>
      </c>
      <c r="D1625" s="173" t="s">
        <v>6355</v>
      </c>
      <c r="E1625" s="174" t="s">
        <v>2861</v>
      </c>
      <c r="F1625" s="173" t="s">
        <v>2862</v>
      </c>
      <c r="G1625" s="328" t="s">
        <v>673</v>
      </c>
      <c r="H1625" s="328" t="s">
        <v>2863</v>
      </c>
      <c r="I1625" s="258" t="s">
        <v>2864</v>
      </c>
      <c r="J1625" s="259" t="s">
        <v>1211</v>
      </c>
      <c r="K1625" s="260" t="s">
        <v>6356</v>
      </c>
      <c r="L1625" s="359"/>
      <c r="M1625" s="359"/>
      <c r="N1625" s="173" t="s">
        <v>679</v>
      </c>
      <c r="O1625" s="173" t="s">
        <v>225</v>
      </c>
      <c r="P1625" s="262" t="str">
        <f t="shared" si="1"/>
        <v>IN-BLR-ANANTA-VAV-1197_7</v>
      </c>
      <c r="Q1625" s="173" t="s">
        <v>6357</v>
      </c>
      <c r="R1625" s="328" t="str">
        <f>IFS(C1625="","",C1625="n/a","N/A",LEN(C1625),Concatenate("{",char(34),"asset",char(34),":{",char(34),"guid",char(34),":",char(34),Q1625,char(34),",",char(34),"site",char(34),":",char(34),LOWER('2-Building'!$B$4),char(34),",",char(34),"name",char(34),":",char(34),LOWER(C1625),char(34),"}}"))</f>
        <v>{"asset":{"guid":"uuid://2647babe-28aa-457e-abea-34b0a502fd42","site":"in-blr-ananta","name":"vav-1197"}}</v>
      </c>
      <c r="S1625" s="360" t="s">
        <v>5516</v>
      </c>
      <c r="T1625" s="330"/>
      <c r="U1625" s="330"/>
      <c r="V1625" s="331"/>
      <c r="W1625" s="332"/>
      <c r="X1625" s="333"/>
      <c r="Y1625" s="33" t="s">
        <v>2867</v>
      </c>
      <c r="Z1625" s="258">
        <v>121197.0</v>
      </c>
      <c r="AA1625" s="334">
        <v>11637.0</v>
      </c>
      <c r="AB1625" s="333"/>
      <c r="AC1625" s="333"/>
      <c r="AD1625" s="329"/>
      <c r="AE1625" s="331"/>
      <c r="AF1625" s="336"/>
      <c r="AG1625" s="337"/>
      <c r="AH1625" s="333"/>
      <c r="AI1625" s="333"/>
      <c r="AJ1625" s="333"/>
      <c r="AK1625" s="333"/>
      <c r="AL1625" s="333"/>
      <c r="AM1625" s="338"/>
      <c r="AN1625" s="333"/>
      <c r="AO1625" s="333"/>
      <c r="AP1625" s="333"/>
      <c r="AQ1625" s="333"/>
      <c r="AR1625" s="333"/>
      <c r="AS1625" s="333"/>
      <c r="AT1625" s="333"/>
      <c r="AU1625" s="329"/>
      <c r="AV1625" s="341"/>
      <c r="AW1625" s="269" t="s">
        <v>2446</v>
      </c>
      <c r="AX1625" s="334" t="s">
        <v>2869</v>
      </c>
      <c r="AY1625" s="270" t="s">
        <v>695</v>
      </c>
      <c r="AZ1625" s="173" t="s">
        <v>5516</v>
      </c>
      <c r="BA1625" s="265">
        <v>10.0</v>
      </c>
      <c r="BB1625" s="174" t="s">
        <v>245</v>
      </c>
      <c r="BC1625" s="341"/>
      <c r="BD1625" s="308"/>
      <c r="BE1625" s="342"/>
      <c r="BF1625" s="274" t="str">
        <f>IFERROR(__xludf.DUMMYFUNCTION("LOWER(Regexreplace(to_text(E1625),""[^A-Za-z0-9]"","""")&amp;""_""&amp;Regexreplace(to_text(F1625),""[^A-Za-z0-9]"",""""))"),"neptronic_evcbseries")</f>
        <v>neptronic_evcbseries</v>
      </c>
      <c r="BG1625" s="275" t="str">
        <f>IFERROR(__xludf.DUMMYFUNCTION("upper(Regexreplace(to_text(E1625),""[^A-Za-z0-9]"","""")&amp;""-""&amp;Regexreplace(to_text(F1625),""[^A-Za-z0-9]"",""""))"),"NEPTRONIC-EVCBSERIES")</f>
        <v>NEPTRONIC-EVCBSERIES</v>
      </c>
    </row>
    <row r="1626" ht="30.0" customHeight="1">
      <c r="A1626" s="258">
        <v>1618.0</v>
      </c>
      <c r="B1626" s="328" t="s">
        <v>670</v>
      </c>
      <c r="C1626" s="257" t="s">
        <v>6358</v>
      </c>
      <c r="D1626" s="173" t="s">
        <v>6358</v>
      </c>
      <c r="E1626" s="174" t="s">
        <v>2861</v>
      </c>
      <c r="F1626" s="173" t="s">
        <v>2862</v>
      </c>
      <c r="G1626" s="328" t="s">
        <v>673</v>
      </c>
      <c r="H1626" s="328" t="s">
        <v>2863</v>
      </c>
      <c r="I1626" s="258" t="s">
        <v>2864</v>
      </c>
      <c r="J1626" s="259" t="s">
        <v>1211</v>
      </c>
      <c r="K1626" s="260" t="s">
        <v>6359</v>
      </c>
      <c r="L1626" s="359"/>
      <c r="M1626" s="359"/>
      <c r="N1626" s="173" t="s">
        <v>679</v>
      </c>
      <c r="O1626" s="173" t="s">
        <v>225</v>
      </c>
      <c r="P1626" s="262" t="str">
        <f t="shared" si="1"/>
        <v>IN-BLR-ANANTA-VAV-1198_7</v>
      </c>
      <c r="Q1626" s="173" t="s">
        <v>6360</v>
      </c>
      <c r="R1626" s="328" t="str">
        <f>IFS(C1626="","",C1626="n/a","N/A",LEN(C1626),Concatenate("{",char(34),"asset",char(34),":{",char(34),"guid",char(34),":",char(34),Q1626,char(34),",",char(34),"site",char(34),":",char(34),LOWER('2-Building'!$B$4),char(34),",",char(34),"name",char(34),":",char(34),LOWER(C1626),char(34),"}}"))</f>
        <v>{"asset":{"guid":"uuid://bc4242cf-30e1-4657-abfb-11729d1abe67","site":"in-blr-ananta","name":"vav-1198"}}</v>
      </c>
      <c r="S1626" s="360" t="s">
        <v>5516</v>
      </c>
      <c r="T1626" s="330"/>
      <c r="U1626" s="330"/>
      <c r="V1626" s="331"/>
      <c r="W1626" s="332"/>
      <c r="X1626" s="333"/>
      <c r="Y1626" s="33" t="s">
        <v>2867</v>
      </c>
      <c r="Z1626" s="258">
        <v>121198.0</v>
      </c>
      <c r="AA1626" s="334">
        <v>11637.0</v>
      </c>
      <c r="AB1626" s="333"/>
      <c r="AC1626" s="333"/>
      <c r="AD1626" s="329"/>
      <c r="AE1626" s="331"/>
      <c r="AF1626" s="336"/>
      <c r="AG1626" s="337"/>
      <c r="AH1626" s="333"/>
      <c r="AI1626" s="333"/>
      <c r="AJ1626" s="333"/>
      <c r="AK1626" s="333"/>
      <c r="AL1626" s="333"/>
      <c r="AM1626" s="338"/>
      <c r="AN1626" s="333"/>
      <c r="AO1626" s="333"/>
      <c r="AP1626" s="333"/>
      <c r="AQ1626" s="333"/>
      <c r="AR1626" s="333"/>
      <c r="AS1626" s="333"/>
      <c r="AT1626" s="333"/>
      <c r="AU1626" s="329"/>
      <c r="AV1626" s="341"/>
      <c r="AW1626" s="269" t="s">
        <v>2446</v>
      </c>
      <c r="AX1626" s="334" t="s">
        <v>2869</v>
      </c>
      <c r="AY1626" s="270" t="s">
        <v>695</v>
      </c>
      <c r="AZ1626" s="173" t="s">
        <v>5516</v>
      </c>
      <c r="BA1626" s="265">
        <v>10.0</v>
      </c>
      <c r="BB1626" s="174" t="s">
        <v>245</v>
      </c>
      <c r="BC1626" s="341"/>
      <c r="BD1626" s="308"/>
      <c r="BE1626" s="342"/>
      <c r="BF1626" s="274" t="str">
        <f>IFERROR(__xludf.DUMMYFUNCTION("LOWER(Regexreplace(to_text(E1626),""[^A-Za-z0-9]"","""")&amp;""_""&amp;Regexreplace(to_text(F1626),""[^A-Za-z0-9]"",""""))"),"neptronic_evcbseries")</f>
        <v>neptronic_evcbseries</v>
      </c>
      <c r="BG1626" s="275" t="str">
        <f>IFERROR(__xludf.DUMMYFUNCTION("upper(Regexreplace(to_text(E1626),""[^A-Za-z0-9]"","""")&amp;""-""&amp;Regexreplace(to_text(F1626),""[^A-Za-z0-9]"",""""))"),"NEPTRONIC-EVCBSERIES")</f>
        <v>NEPTRONIC-EVCBSERIES</v>
      </c>
    </row>
    <row r="1627" ht="30.0" customHeight="1">
      <c r="A1627" s="173">
        <v>1619.0</v>
      </c>
      <c r="B1627" s="328" t="s">
        <v>670</v>
      </c>
      <c r="C1627" s="257" t="s">
        <v>6361</v>
      </c>
      <c r="D1627" s="173" t="s">
        <v>6361</v>
      </c>
      <c r="E1627" s="174" t="s">
        <v>2861</v>
      </c>
      <c r="F1627" s="173" t="s">
        <v>2862</v>
      </c>
      <c r="G1627" s="328" t="s">
        <v>673</v>
      </c>
      <c r="H1627" s="328" t="s">
        <v>2863</v>
      </c>
      <c r="I1627" s="258" t="s">
        <v>2864</v>
      </c>
      <c r="J1627" s="259" t="s">
        <v>1211</v>
      </c>
      <c r="K1627" s="260" t="s">
        <v>6362</v>
      </c>
      <c r="L1627" s="359"/>
      <c r="M1627" s="359"/>
      <c r="N1627" s="173" t="s">
        <v>679</v>
      </c>
      <c r="O1627" s="173" t="s">
        <v>225</v>
      </c>
      <c r="P1627" s="262" t="str">
        <f t="shared" si="1"/>
        <v>IN-BLR-ANANTA-VAV-1199_7</v>
      </c>
      <c r="Q1627" s="173" t="s">
        <v>6363</v>
      </c>
      <c r="R1627" s="328" t="str">
        <f>IFS(C1627="","",C1627="n/a","N/A",LEN(C1627),Concatenate("{",char(34),"asset",char(34),":{",char(34),"guid",char(34),":",char(34),Q1627,char(34),",",char(34),"site",char(34),":",char(34),LOWER('2-Building'!$B$4),char(34),",",char(34),"name",char(34),":",char(34),LOWER(C1627),char(34),"}}"))</f>
        <v>{"asset":{"guid":"uuid://63fc94ab-0d26-46f8-84df-46c034950a40","site":"in-blr-ananta","name":"vav-1199"}}</v>
      </c>
      <c r="S1627" s="360" t="s">
        <v>5516</v>
      </c>
      <c r="T1627" s="330"/>
      <c r="U1627" s="330"/>
      <c r="V1627" s="331"/>
      <c r="W1627" s="332"/>
      <c r="X1627" s="333"/>
      <c r="Y1627" s="33" t="s">
        <v>2867</v>
      </c>
      <c r="Z1627" s="258">
        <v>121199.0</v>
      </c>
      <c r="AA1627" s="334">
        <v>11637.0</v>
      </c>
      <c r="AB1627" s="333"/>
      <c r="AC1627" s="333"/>
      <c r="AD1627" s="329"/>
      <c r="AE1627" s="331"/>
      <c r="AF1627" s="336"/>
      <c r="AG1627" s="337"/>
      <c r="AH1627" s="333"/>
      <c r="AI1627" s="333"/>
      <c r="AJ1627" s="333"/>
      <c r="AK1627" s="333"/>
      <c r="AL1627" s="333"/>
      <c r="AM1627" s="338"/>
      <c r="AN1627" s="333"/>
      <c r="AO1627" s="333"/>
      <c r="AP1627" s="333"/>
      <c r="AQ1627" s="333"/>
      <c r="AR1627" s="333"/>
      <c r="AS1627" s="333"/>
      <c r="AT1627" s="333"/>
      <c r="AU1627" s="329"/>
      <c r="AV1627" s="341"/>
      <c r="AW1627" s="269" t="s">
        <v>2446</v>
      </c>
      <c r="AX1627" s="334" t="s">
        <v>2869</v>
      </c>
      <c r="AY1627" s="270" t="s">
        <v>695</v>
      </c>
      <c r="AZ1627" s="173" t="s">
        <v>5516</v>
      </c>
      <c r="BA1627" s="265">
        <v>10.0</v>
      </c>
      <c r="BB1627" s="174" t="s">
        <v>245</v>
      </c>
      <c r="BC1627" s="341"/>
      <c r="BD1627" s="308"/>
      <c r="BE1627" s="342"/>
      <c r="BF1627" s="274" t="str">
        <f>IFERROR(__xludf.DUMMYFUNCTION("LOWER(Regexreplace(to_text(E1627),""[^A-Za-z0-9]"","""")&amp;""_""&amp;Regexreplace(to_text(F1627),""[^A-Za-z0-9]"",""""))"),"neptronic_evcbseries")</f>
        <v>neptronic_evcbseries</v>
      </c>
      <c r="BG1627" s="275" t="str">
        <f>IFERROR(__xludf.DUMMYFUNCTION("upper(Regexreplace(to_text(E1627),""[^A-Za-z0-9]"","""")&amp;""-""&amp;Regexreplace(to_text(F1627),""[^A-Za-z0-9]"",""""))"),"NEPTRONIC-EVCBSERIES")</f>
        <v>NEPTRONIC-EVCBSERIES</v>
      </c>
    </row>
    <row r="1628" ht="30.0" customHeight="1">
      <c r="A1628" s="258">
        <v>1620.0</v>
      </c>
      <c r="B1628" s="328" t="s">
        <v>670</v>
      </c>
      <c r="C1628" s="257" t="s">
        <v>6364</v>
      </c>
      <c r="D1628" s="173" t="s">
        <v>6364</v>
      </c>
      <c r="E1628" s="174" t="s">
        <v>2861</v>
      </c>
      <c r="F1628" s="173" t="s">
        <v>2862</v>
      </c>
      <c r="G1628" s="328" t="s">
        <v>673</v>
      </c>
      <c r="H1628" s="328" t="s">
        <v>2863</v>
      </c>
      <c r="I1628" s="258" t="s">
        <v>2864</v>
      </c>
      <c r="J1628" s="259" t="s">
        <v>1211</v>
      </c>
      <c r="K1628" s="260" t="s">
        <v>6365</v>
      </c>
      <c r="L1628" s="359"/>
      <c r="M1628" s="359"/>
      <c r="N1628" s="173" t="s">
        <v>679</v>
      </c>
      <c r="O1628" s="173" t="s">
        <v>225</v>
      </c>
      <c r="P1628" s="262" t="str">
        <f t="shared" si="1"/>
        <v>IN-BLR-ANANTA-VAV-1200_7</v>
      </c>
      <c r="Q1628" s="173" t="s">
        <v>6366</v>
      </c>
      <c r="R1628" s="328" t="str">
        <f>IFS(C1628="","",C1628="n/a","N/A",LEN(C1628),Concatenate("{",char(34),"asset",char(34),":{",char(34),"guid",char(34),":",char(34),Q1628,char(34),",",char(34),"site",char(34),":",char(34),LOWER('2-Building'!$B$4),char(34),",",char(34),"name",char(34),":",char(34),LOWER(C1628),char(34),"}}"))</f>
        <v>{"asset":{"guid":"uuid://bc7f53ab-eb35-46c8-9e9e-941d65f2352b","site":"in-blr-ananta","name":"vav-1200"}}</v>
      </c>
      <c r="S1628" s="360" t="s">
        <v>5516</v>
      </c>
      <c r="T1628" s="330"/>
      <c r="U1628" s="330"/>
      <c r="V1628" s="331"/>
      <c r="W1628" s="332"/>
      <c r="X1628" s="333"/>
      <c r="Y1628" s="33" t="s">
        <v>2867</v>
      </c>
      <c r="Z1628" s="258">
        <v>121200.0</v>
      </c>
      <c r="AA1628" s="334">
        <v>11637.0</v>
      </c>
      <c r="AB1628" s="333"/>
      <c r="AC1628" s="333"/>
      <c r="AD1628" s="329"/>
      <c r="AE1628" s="331"/>
      <c r="AF1628" s="336"/>
      <c r="AG1628" s="337"/>
      <c r="AH1628" s="333"/>
      <c r="AI1628" s="333"/>
      <c r="AJ1628" s="333"/>
      <c r="AK1628" s="333"/>
      <c r="AL1628" s="333"/>
      <c r="AM1628" s="338"/>
      <c r="AN1628" s="333"/>
      <c r="AO1628" s="333"/>
      <c r="AP1628" s="333"/>
      <c r="AQ1628" s="333"/>
      <c r="AR1628" s="333"/>
      <c r="AS1628" s="333"/>
      <c r="AT1628" s="333"/>
      <c r="AU1628" s="329"/>
      <c r="AV1628" s="341"/>
      <c r="AW1628" s="269" t="s">
        <v>2446</v>
      </c>
      <c r="AX1628" s="334" t="s">
        <v>2869</v>
      </c>
      <c r="AY1628" s="270" t="s">
        <v>695</v>
      </c>
      <c r="AZ1628" s="173" t="s">
        <v>5516</v>
      </c>
      <c r="BA1628" s="265">
        <v>10.0</v>
      </c>
      <c r="BB1628" s="174" t="s">
        <v>245</v>
      </c>
      <c r="BC1628" s="341"/>
      <c r="BD1628" s="308"/>
      <c r="BE1628" s="342"/>
      <c r="BF1628" s="274" t="str">
        <f>IFERROR(__xludf.DUMMYFUNCTION("LOWER(Regexreplace(to_text(E1628),""[^A-Za-z0-9]"","""")&amp;""_""&amp;Regexreplace(to_text(F1628),""[^A-Za-z0-9]"",""""))"),"neptronic_evcbseries")</f>
        <v>neptronic_evcbseries</v>
      </c>
      <c r="BG1628" s="275" t="str">
        <f>IFERROR(__xludf.DUMMYFUNCTION("upper(Regexreplace(to_text(E1628),""[^A-Za-z0-9]"","""")&amp;""-""&amp;Regexreplace(to_text(F1628),""[^A-Za-z0-9]"",""""))"),"NEPTRONIC-EVCBSERIES")</f>
        <v>NEPTRONIC-EVCBSERIES</v>
      </c>
    </row>
    <row r="1629" ht="30.0" customHeight="1">
      <c r="A1629" s="173">
        <v>1621.0</v>
      </c>
      <c r="B1629" s="328" t="s">
        <v>670</v>
      </c>
      <c r="C1629" s="257" t="s">
        <v>6367</v>
      </c>
      <c r="D1629" s="173" t="s">
        <v>6367</v>
      </c>
      <c r="E1629" s="174" t="s">
        <v>2861</v>
      </c>
      <c r="F1629" s="173" t="s">
        <v>2862</v>
      </c>
      <c r="G1629" s="328" t="s">
        <v>673</v>
      </c>
      <c r="H1629" s="328" t="s">
        <v>2863</v>
      </c>
      <c r="I1629" s="258" t="s">
        <v>2864</v>
      </c>
      <c r="J1629" s="259" t="s">
        <v>1211</v>
      </c>
      <c r="K1629" s="260" t="s">
        <v>6368</v>
      </c>
      <c r="L1629" s="359"/>
      <c r="M1629" s="359"/>
      <c r="N1629" s="173" t="s">
        <v>679</v>
      </c>
      <c r="O1629" s="173" t="s">
        <v>225</v>
      </c>
      <c r="P1629" s="262" t="str">
        <f t="shared" si="1"/>
        <v>IN-BLR-ANANTA-VAV-1201_7</v>
      </c>
      <c r="Q1629" s="173" t="s">
        <v>6369</v>
      </c>
      <c r="R1629" s="328" t="str">
        <f>IFS(C1629="","",C1629="n/a","N/A",LEN(C1629),Concatenate("{",char(34),"asset",char(34),":{",char(34),"guid",char(34),":",char(34),Q1629,char(34),",",char(34),"site",char(34),":",char(34),LOWER('2-Building'!$B$4),char(34),",",char(34),"name",char(34),":",char(34),LOWER(C1629),char(34),"}}"))</f>
        <v>{"asset":{"guid":"uuid://93e21884-190b-444d-8063-f85695278e70","site":"in-blr-ananta","name":"vav-1201"}}</v>
      </c>
      <c r="S1629" s="360" t="s">
        <v>5516</v>
      </c>
      <c r="T1629" s="330"/>
      <c r="U1629" s="330"/>
      <c r="V1629" s="331"/>
      <c r="W1629" s="332"/>
      <c r="X1629" s="333"/>
      <c r="Y1629" s="33" t="s">
        <v>2867</v>
      </c>
      <c r="Z1629" s="258">
        <v>121201.0</v>
      </c>
      <c r="AA1629" s="334">
        <v>11637.0</v>
      </c>
      <c r="AB1629" s="333"/>
      <c r="AC1629" s="333"/>
      <c r="AD1629" s="329"/>
      <c r="AE1629" s="331"/>
      <c r="AF1629" s="336"/>
      <c r="AG1629" s="337"/>
      <c r="AH1629" s="333"/>
      <c r="AI1629" s="333"/>
      <c r="AJ1629" s="333"/>
      <c r="AK1629" s="333"/>
      <c r="AL1629" s="333"/>
      <c r="AM1629" s="338"/>
      <c r="AN1629" s="333"/>
      <c r="AO1629" s="333"/>
      <c r="AP1629" s="333"/>
      <c r="AQ1629" s="333"/>
      <c r="AR1629" s="333"/>
      <c r="AS1629" s="333"/>
      <c r="AT1629" s="333"/>
      <c r="AU1629" s="329"/>
      <c r="AV1629" s="341"/>
      <c r="AW1629" s="269" t="s">
        <v>2446</v>
      </c>
      <c r="AX1629" s="334" t="s">
        <v>2869</v>
      </c>
      <c r="AY1629" s="270" t="s">
        <v>695</v>
      </c>
      <c r="AZ1629" s="173" t="s">
        <v>5516</v>
      </c>
      <c r="BA1629" s="265">
        <v>10.0</v>
      </c>
      <c r="BB1629" s="174" t="s">
        <v>245</v>
      </c>
      <c r="BC1629" s="341"/>
      <c r="BD1629" s="308"/>
      <c r="BE1629" s="342"/>
      <c r="BF1629" s="274" t="str">
        <f>IFERROR(__xludf.DUMMYFUNCTION("LOWER(Regexreplace(to_text(E1629),""[^A-Za-z0-9]"","""")&amp;""_""&amp;Regexreplace(to_text(F1629),""[^A-Za-z0-9]"",""""))"),"neptronic_evcbseries")</f>
        <v>neptronic_evcbseries</v>
      </c>
      <c r="BG1629" s="275" t="str">
        <f>IFERROR(__xludf.DUMMYFUNCTION("upper(Regexreplace(to_text(E1629),""[^A-Za-z0-9]"","""")&amp;""-""&amp;Regexreplace(to_text(F1629),""[^A-Za-z0-9]"",""""))"),"NEPTRONIC-EVCBSERIES")</f>
        <v>NEPTRONIC-EVCBSERIES</v>
      </c>
    </row>
    <row r="1630" ht="30.0" customHeight="1">
      <c r="A1630" s="258">
        <v>1622.0</v>
      </c>
      <c r="B1630" s="328" t="s">
        <v>670</v>
      </c>
      <c r="C1630" s="257" t="s">
        <v>6370</v>
      </c>
      <c r="D1630" s="173" t="s">
        <v>6370</v>
      </c>
      <c r="E1630" s="174" t="s">
        <v>2861</v>
      </c>
      <c r="F1630" s="173" t="s">
        <v>2862</v>
      </c>
      <c r="G1630" s="328" t="s">
        <v>673</v>
      </c>
      <c r="H1630" s="328" t="s">
        <v>2863</v>
      </c>
      <c r="I1630" s="258" t="s">
        <v>2864</v>
      </c>
      <c r="J1630" s="259" t="s">
        <v>1211</v>
      </c>
      <c r="K1630" s="260" t="s">
        <v>6371</v>
      </c>
      <c r="L1630" s="359"/>
      <c r="M1630" s="359"/>
      <c r="N1630" s="173" t="s">
        <v>679</v>
      </c>
      <c r="O1630" s="173" t="s">
        <v>225</v>
      </c>
      <c r="P1630" s="262" t="str">
        <f t="shared" si="1"/>
        <v>IN-BLR-ANANTA-VAV-1202_7</v>
      </c>
      <c r="Q1630" s="173" t="s">
        <v>6372</v>
      </c>
      <c r="R1630" s="328" t="str">
        <f>IFS(C1630="","",C1630="n/a","N/A",LEN(C1630),Concatenate("{",char(34),"asset",char(34),":{",char(34),"guid",char(34),":",char(34),Q1630,char(34),",",char(34),"site",char(34),":",char(34),LOWER('2-Building'!$B$4),char(34),",",char(34),"name",char(34),":",char(34),LOWER(C1630),char(34),"}}"))</f>
        <v>{"asset":{"guid":"uuid://dd2090a1-f5b7-4418-8239-e381b8686716","site":"in-blr-ananta","name":"vav-1202"}}</v>
      </c>
      <c r="S1630" s="360" t="s">
        <v>5516</v>
      </c>
      <c r="T1630" s="330"/>
      <c r="U1630" s="330"/>
      <c r="V1630" s="331"/>
      <c r="W1630" s="332"/>
      <c r="X1630" s="333"/>
      <c r="Y1630" s="33" t="s">
        <v>2867</v>
      </c>
      <c r="Z1630" s="258">
        <v>121202.0</v>
      </c>
      <c r="AA1630" s="334">
        <v>11637.0</v>
      </c>
      <c r="AB1630" s="333"/>
      <c r="AC1630" s="333"/>
      <c r="AD1630" s="329"/>
      <c r="AE1630" s="331"/>
      <c r="AF1630" s="336"/>
      <c r="AG1630" s="337"/>
      <c r="AH1630" s="333"/>
      <c r="AI1630" s="333"/>
      <c r="AJ1630" s="333"/>
      <c r="AK1630" s="333"/>
      <c r="AL1630" s="333"/>
      <c r="AM1630" s="338"/>
      <c r="AN1630" s="333"/>
      <c r="AO1630" s="333"/>
      <c r="AP1630" s="333"/>
      <c r="AQ1630" s="333"/>
      <c r="AR1630" s="333"/>
      <c r="AS1630" s="333"/>
      <c r="AT1630" s="333"/>
      <c r="AU1630" s="329"/>
      <c r="AV1630" s="341"/>
      <c r="AW1630" s="269" t="s">
        <v>2446</v>
      </c>
      <c r="AX1630" s="334" t="s">
        <v>2869</v>
      </c>
      <c r="AY1630" s="270" t="s">
        <v>695</v>
      </c>
      <c r="AZ1630" s="173" t="s">
        <v>5516</v>
      </c>
      <c r="BA1630" s="265">
        <v>10.0</v>
      </c>
      <c r="BB1630" s="174" t="s">
        <v>245</v>
      </c>
      <c r="BC1630" s="341"/>
      <c r="BD1630" s="308"/>
      <c r="BE1630" s="342"/>
      <c r="BF1630" s="274" t="str">
        <f>IFERROR(__xludf.DUMMYFUNCTION("LOWER(Regexreplace(to_text(E1630),""[^A-Za-z0-9]"","""")&amp;""_""&amp;Regexreplace(to_text(F1630),""[^A-Za-z0-9]"",""""))"),"neptronic_evcbseries")</f>
        <v>neptronic_evcbseries</v>
      </c>
      <c r="BG1630" s="275" t="str">
        <f>IFERROR(__xludf.DUMMYFUNCTION("upper(Regexreplace(to_text(E1630),""[^A-Za-z0-9]"","""")&amp;""-""&amp;Regexreplace(to_text(F1630),""[^A-Za-z0-9]"",""""))"),"NEPTRONIC-EVCBSERIES")</f>
        <v>NEPTRONIC-EVCBSERIES</v>
      </c>
    </row>
    <row r="1631" ht="30.0" customHeight="1">
      <c r="A1631" s="173">
        <v>1623.0</v>
      </c>
      <c r="B1631" s="328" t="s">
        <v>670</v>
      </c>
      <c r="C1631" s="257" t="s">
        <v>6373</v>
      </c>
      <c r="D1631" s="173" t="s">
        <v>6373</v>
      </c>
      <c r="E1631" s="174" t="s">
        <v>2861</v>
      </c>
      <c r="F1631" s="173" t="s">
        <v>2862</v>
      </c>
      <c r="G1631" s="328" t="s">
        <v>673</v>
      </c>
      <c r="H1631" s="328" t="s">
        <v>2863</v>
      </c>
      <c r="I1631" s="258" t="s">
        <v>2864</v>
      </c>
      <c r="J1631" s="259" t="s">
        <v>1211</v>
      </c>
      <c r="K1631" s="260" t="s">
        <v>6374</v>
      </c>
      <c r="L1631" s="359"/>
      <c r="M1631" s="359"/>
      <c r="N1631" s="173" t="s">
        <v>679</v>
      </c>
      <c r="O1631" s="173" t="s">
        <v>225</v>
      </c>
      <c r="P1631" s="262" t="str">
        <f t="shared" si="1"/>
        <v>IN-BLR-ANANTA-VAV-1203_7</v>
      </c>
      <c r="Q1631" s="173" t="s">
        <v>6375</v>
      </c>
      <c r="R1631" s="328" t="str">
        <f>IFS(C1631="","",C1631="n/a","N/A",LEN(C1631),Concatenate("{",char(34),"asset",char(34),":{",char(34),"guid",char(34),":",char(34),Q1631,char(34),",",char(34),"site",char(34),":",char(34),LOWER('2-Building'!$B$4),char(34),",",char(34),"name",char(34),":",char(34),LOWER(C1631),char(34),"}}"))</f>
        <v>{"asset":{"guid":"uuid://f752b383-f8b5-4fe7-a95f-0ea45f997dcb","site":"in-blr-ananta","name":"vav-1203"}}</v>
      </c>
      <c r="S1631" s="360" t="s">
        <v>5516</v>
      </c>
      <c r="T1631" s="330"/>
      <c r="U1631" s="330"/>
      <c r="V1631" s="331"/>
      <c r="W1631" s="332"/>
      <c r="X1631" s="333"/>
      <c r="Y1631" s="33" t="s">
        <v>2867</v>
      </c>
      <c r="Z1631" s="258">
        <v>121203.0</v>
      </c>
      <c r="AA1631" s="334">
        <v>11637.0</v>
      </c>
      <c r="AB1631" s="333"/>
      <c r="AC1631" s="333"/>
      <c r="AD1631" s="329"/>
      <c r="AE1631" s="331"/>
      <c r="AF1631" s="336"/>
      <c r="AG1631" s="337"/>
      <c r="AH1631" s="333"/>
      <c r="AI1631" s="333"/>
      <c r="AJ1631" s="333"/>
      <c r="AK1631" s="333"/>
      <c r="AL1631" s="333"/>
      <c r="AM1631" s="338"/>
      <c r="AN1631" s="333"/>
      <c r="AO1631" s="333"/>
      <c r="AP1631" s="333"/>
      <c r="AQ1631" s="333"/>
      <c r="AR1631" s="333"/>
      <c r="AS1631" s="333"/>
      <c r="AT1631" s="333"/>
      <c r="AU1631" s="329"/>
      <c r="AV1631" s="341"/>
      <c r="AW1631" s="269" t="s">
        <v>2446</v>
      </c>
      <c r="AX1631" s="334" t="s">
        <v>2869</v>
      </c>
      <c r="AY1631" s="270" t="s">
        <v>695</v>
      </c>
      <c r="AZ1631" s="173" t="s">
        <v>5516</v>
      </c>
      <c r="BA1631" s="265">
        <v>10.0</v>
      </c>
      <c r="BB1631" s="174" t="s">
        <v>245</v>
      </c>
      <c r="BC1631" s="341"/>
      <c r="BD1631" s="308"/>
      <c r="BE1631" s="342"/>
      <c r="BF1631" s="274" t="str">
        <f>IFERROR(__xludf.DUMMYFUNCTION("LOWER(Regexreplace(to_text(E1631),""[^A-Za-z0-9]"","""")&amp;""_""&amp;Regexreplace(to_text(F1631),""[^A-Za-z0-9]"",""""))"),"neptronic_evcbseries")</f>
        <v>neptronic_evcbseries</v>
      </c>
      <c r="BG1631" s="275" t="str">
        <f>IFERROR(__xludf.DUMMYFUNCTION("upper(Regexreplace(to_text(E1631),""[^A-Za-z0-9]"","""")&amp;""-""&amp;Regexreplace(to_text(F1631),""[^A-Za-z0-9]"",""""))"),"NEPTRONIC-EVCBSERIES")</f>
        <v>NEPTRONIC-EVCBSERIES</v>
      </c>
    </row>
    <row r="1632" ht="30.0" customHeight="1">
      <c r="A1632" s="258">
        <v>1624.0</v>
      </c>
      <c r="B1632" s="328" t="s">
        <v>670</v>
      </c>
      <c r="C1632" s="257" t="s">
        <v>6376</v>
      </c>
      <c r="D1632" s="173" t="s">
        <v>6376</v>
      </c>
      <c r="E1632" s="174" t="s">
        <v>2861</v>
      </c>
      <c r="F1632" s="173" t="s">
        <v>2862</v>
      </c>
      <c r="G1632" s="328" t="s">
        <v>673</v>
      </c>
      <c r="H1632" s="328" t="s">
        <v>2863</v>
      </c>
      <c r="I1632" s="258" t="s">
        <v>2864</v>
      </c>
      <c r="J1632" s="259" t="s">
        <v>1211</v>
      </c>
      <c r="K1632" s="260" t="s">
        <v>6377</v>
      </c>
      <c r="L1632" s="359"/>
      <c r="M1632" s="359"/>
      <c r="N1632" s="173" t="s">
        <v>679</v>
      </c>
      <c r="O1632" s="173" t="s">
        <v>225</v>
      </c>
      <c r="P1632" s="262" t="str">
        <f t="shared" si="1"/>
        <v>IN-BLR-ANANTA-VAV-1204_7</v>
      </c>
      <c r="Q1632" s="173" t="s">
        <v>6378</v>
      </c>
      <c r="R1632" s="328" t="str">
        <f>IFS(C1632="","",C1632="n/a","N/A",LEN(C1632),Concatenate("{",char(34),"asset",char(34),":{",char(34),"guid",char(34),":",char(34),Q1632,char(34),",",char(34),"site",char(34),":",char(34),LOWER('2-Building'!$B$4),char(34),",",char(34),"name",char(34),":",char(34),LOWER(C1632),char(34),"}}"))</f>
        <v>{"asset":{"guid":"uuid://c12d8c94-018c-4f1b-83e6-d26e17af48cc","site":"in-blr-ananta","name":"vav-1204"}}</v>
      </c>
      <c r="S1632" s="360" t="s">
        <v>5516</v>
      </c>
      <c r="T1632" s="330"/>
      <c r="U1632" s="330"/>
      <c r="V1632" s="331"/>
      <c r="W1632" s="332"/>
      <c r="X1632" s="333"/>
      <c r="Y1632" s="33" t="s">
        <v>2867</v>
      </c>
      <c r="Z1632" s="258">
        <v>121204.0</v>
      </c>
      <c r="AA1632" s="334">
        <v>11637.0</v>
      </c>
      <c r="AB1632" s="333"/>
      <c r="AC1632" s="333"/>
      <c r="AD1632" s="329"/>
      <c r="AE1632" s="331"/>
      <c r="AF1632" s="336"/>
      <c r="AG1632" s="337"/>
      <c r="AH1632" s="333"/>
      <c r="AI1632" s="333"/>
      <c r="AJ1632" s="333"/>
      <c r="AK1632" s="333"/>
      <c r="AL1632" s="333"/>
      <c r="AM1632" s="338"/>
      <c r="AN1632" s="333"/>
      <c r="AO1632" s="333"/>
      <c r="AP1632" s="333"/>
      <c r="AQ1632" s="333"/>
      <c r="AR1632" s="333"/>
      <c r="AS1632" s="333"/>
      <c r="AT1632" s="333"/>
      <c r="AU1632" s="329"/>
      <c r="AV1632" s="341"/>
      <c r="AW1632" s="269" t="s">
        <v>2446</v>
      </c>
      <c r="AX1632" s="334" t="s">
        <v>2869</v>
      </c>
      <c r="AY1632" s="270" t="s">
        <v>695</v>
      </c>
      <c r="AZ1632" s="173" t="s">
        <v>5516</v>
      </c>
      <c r="BA1632" s="265">
        <v>10.0</v>
      </c>
      <c r="BB1632" s="174" t="s">
        <v>245</v>
      </c>
      <c r="BC1632" s="341"/>
      <c r="BD1632" s="308"/>
      <c r="BE1632" s="342"/>
      <c r="BF1632" s="274" t="str">
        <f>IFERROR(__xludf.DUMMYFUNCTION("LOWER(Regexreplace(to_text(E1632),""[^A-Za-z0-9]"","""")&amp;""_""&amp;Regexreplace(to_text(F1632),""[^A-Za-z0-9]"",""""))"),"neptronic_evcbseries")</f>
        <v>neptronic_evcbseries</v>
      </c>
      <c r="BG1632" s="275" t="str">
        <f>IFERROR(__xludf.DUMMYFUNCTION("upper(Regexreplace(to_text(E1632),""[^A-Za-z0-9]"","""")&amp;""-""&amp;Regexreplace(to_text(F1632),""[^A-Za-z0-9]"",""""))"),"NEPTRONIC-EVCBSERIES")</f>
        <v>NEPTRONIC-EVCBSERIES</v>
      </c>
    </row>
    <row r="1633" ht="30.0" customHeight="1">
      <c r="A1633" s="173">
        <v>1625.0</v>
      </c>
      <c r="B1633" s="328" t="s">
        <v>670</v>
      </c>
      <c r="C1633" s="257" t="s">
        <v>6379</v>
      </c>
      <c r="D1633" s="173" t="s">
        <v>6379</v>
      </c>
      <c r="E1633" s="174" t="s">
        <v>2861</v>
      </c>
      <c r="F1633" s="173" t="s">
        <v>2862</v>
      </c>
      <c r="G1633" s="328" t="s">
        <v>673</v>
      </c>
      <c r="H1633" s="328" t="s">
        <v>2863</v>
      </c>
      <c r="I1633" s="258" t="s">
        <v>2864</v>
      </c>
      <c r="J1633" s="259" t="s">
        <v>1211</v>
      </c>
      <c r="K1633" s="260" t="s">
        <v>6380</v>
      </c>
      <c r="L1633" s="359"/>
      <c r="M1633" s="359"/>
      <c r="N1633" s="173" t="s">
        <v>679</v>
      </c>
      <c r="O1633" s="173" t="s">
        <v>225</v>
      </c>
      <c r="P1633" s="262" t="str">
        <f t="shared" si="1"/>
        <v>IN-BLR-ANANTA-VAV-1205_7</v>
      </c>
      <c r="Q1633" s="173" t="s">
        <v>6381</v>
      </c>
      <c r="R1633" s="328" t="str">
        <f>IFS(C1633="","",C1633="n/a","N/A",LEN(C1633),Concatenate("{",char(34),"asset",char(34),":{",char(34),"guid",char(34),":",char(34),Q1633,char(34),",",char(34),"site",char(34),":",char(34),LOWER('2-Building'!$B$4),char(34),",",char(34),"name",char(34),":",char(34),LOWER(C1633),char(34),"}}"))</f>
        <v>{"asset":{"guid":"uuid://fc076b4c-ce9e-4ba3-a164-2fe677671111","site":"in-blr-ananta","name":"vav-1205"}}</v>
      </c>
      <c r="S1633" s="360" t="s">
        <v>5516</v>
      </c>
      <c r="T1633" s="330"/>
      <c r="U1633" s="330"/>
      <c r="V1633" s="331"/>
      <c r="W1633" s="332"/>
      <c r="X1633" s="333"/>
      <c r="Y1633" s="33" t="s">
        <v>2867</v>
      </c>
      <c r="Z1633" s="258">
        <v>121205.0</v>
      </c>
      <c r="AA1633" s="334">
        <v>11637.0</v>
      </c>
      <c r="AB1633" s="333"/>
      <c r="AC1633" s="333"/>
      <c r="AD1633" s="329"/>
      <c r="AE1633" s="331"/>
      <c r="AF1633" s="336"/>
      <c r="AG1633" s="337"/>
      <c r="AH1633" s="333"/>
      <c r="AI1633" s="333"/>
      <c r="AJ1633" s="333"/>
      <c r="AK1633" s="333"/>
      <c r="AL1633" s="333"/>
      <c r="AM1633" s="338"/>
      <c r="AN1633" s="333"/>
      <c r="AO1633" s="333"/>
      <c r="AP1633" s="333"/>
      <c r="AQ1633" s="333"/>
      <c r="AR1633" s="333"/>
      <c r="AS1633" s="333"/>
      <c r="AT1633" s="333"/>
      <c r="AU1633" s="329"/>
      <c r="AV1633" s="341"/>
      <c r="AW1633" s="269" t="s">
        <v>2446</v>
      </c>
      <c r="AX1633" s="334" t="s">
        <v>2869</v>
      </c>
      <c r="AY1633" s="270" t="s">
        <v>695</v>
      </c>
      <c r="AZ1633" s="173" t="s">
        <v>5516</v>
      </c>
      <c r="BA1633" s="265">
        <v>10.0</v>
      </c>
      <c r="BB1633" s="174" t="s">
        <v>245</v>
      </c>
      <c r="BC1633" s="341"/>
      <c r="BD1633" s="308"/>
      <c r="BE1633" s="342"/>
      <c r="BF1633" s="274" t="str">
        <f>IFERROR(__xludf.DUMMYFUNCTION("LOWER(Regexreplace(to_text(E1633),""[^A-Za-z0-9]"","""")&amp;""_""&amp;Regexreplace(to_text(F1633),""[^A-Za-z0-9]"",""""))"),"neptronic_evcbseries")</f>
        <v>neptronic_evcbseries</v>
      </c>
      <c r="BG1633" s="275" t="str">
        <f>IFERROR(__xludf.DUMMYFUNCTION("upper(Regexreplace(to_text(E1633),""[^A-Za-z0-9]"","""")&amp;""-""&amp;Regexreplace(to_text(F1633),""[^A-Za-z0-9]"",""""))"),"NEPTRONIC-EVCBSERIES")</f>
        <v>NEPTRONIC-EVCBSERIES</v>
      </c>
    </row>
    <row r="1634" ht="30.0" customHeight="1">
      <c r="A1634" s="258">
        <v>1626.0</v>
      </c>
      <c r="B1634" s="328" t="s">
        <v>670</v>
      </c>
      <c r="C1634" s="257" t="s">
        <v>6382</v>
      </c>
      <c r="D1634" s="173" t="s">
        <v>6382</v>
      </c>
      <c r="E1634" s="174" t="s">
        <v>2861</v>
      </c>
      <c r="F1634" s="173" t="s">
        <v>2862</v>
      </c>
      <c r="G1634" s="328" t="s">
        <v>673</v>
      </c>
      <c r="H1634" s="328" t="s">
        <v>2863</v>
      </c>
      <c r="I1634" s="258" t="s">
        <v>2864</v>
      </c>
      <c r="J1634" s="259" t="s">
        <v>1211</v>
      </c>
      <c r="K1634" s="260" t="s">
        <v>6383</v>
      </c>
      <c r="L1634" s="359"/>
      <c r="M1634" s="359"/>
      <c r="N1634" s="173" t="s">
        <v>679</v>
      </c>
      <c r="O1634" s="173" t="s">
        <v>225</v>
      </c>
      <c r="P1634" s="262" t="str">
        <f t="shared" si="1"/>
        <v>IN-BLR-ANANTA-VAV-1206_7</v>
      </c>
      <c r="Q1634" s="173" t="s">
        <v>6384</v>
      </c>
      <c r="R1634" s="328" t="str">
        <f>IFS(C1634="","",C1634="n/a","N/A",LEN(C1634),Concatenate("{",char(34),"asset",char(34),":{",char(34),"guid",char(34),":",char(34),Q1634,char(34),",",char(34),"site",char(34),":",char(34),LOWER('2-Building'!$B$4),char(34),",",char(34),"name",char(34),":",char(34),LOWER(C1634),char(34),"}}"))</f>
        <v>{"asset":{"guid":"uuid://e86f09bf-401b-48ea-9203-d3d16bc4e9ed","site":"in-blr-ananta","name":"vav-1206"}}</v>
      </c>
      <c r="S1634" s="360" t="s">
        <v>5516</v>
      </c>
      <c r="T1634" s="330"/>
      <c r="U1634" s="330"/>
      <c r="V1634" s="331"/>
      <c r="W1634" s="332"/>
      <c r="X1634" s="333"/>
      <c r="Y1634" s="33" t="s">
        <v>2867</v>
      </c>
      <c r="Z1634" s="258">
        <v>121206.0</v>
      </c>
      <c r="AA1634" s="334">
        <v>11637.0</v>
      </c>
      <c r="AB1634" s="333"/>
      <c r="AC1634" s="333"/>
      <c r="AD1634" s="329"/>
      <c r="AE1634" s="331"/>
      <c r="AF1634" s="336"/>
      <c r="AG1634" s="337"/>
      <c r="AH1634" s="333"/>
      <c r="AI1634" s="333"/>
      <c r="AJ1634" s="333"/>
      <c r="AK1634" s="333"/>
      <c r="AL1634" s="333"/>
      <c r="AM1634" s="338"/>
      <c r="AN1634" s="333"/>
      <c r="AO1634" s="333"/>
      <c r="AP1634" s="333"/>
      <c r="AQ1634" s="333"/>
      <c r="AR1634" s="333"/>
      <c r="AS1634" s="333"/>
      <c r="AT1634" s="333"/>
      <c r="AU1634" s="329"/>
      <c r="AV1634" s="341"/>
      <c r="AW1634" s="269" t="s">
        <v>2446</v>
      </c>
      <c r="AX1634" s="334" t="s">
        <v>2869</v>
      </c>
      <c r="AY1634" s="270" t="s">
        <v>695</v>
      </c>
      <c r="AZ1634" s="173" t="s">
        <v>5516</v>
      </c>
      <c r="BA1634" s="265">
        <v>10.0</v>
      </c>
      <c r="BB1634" s="174" t="s">
        <v>245</v>
      </c>
      <c r="BC1634" s="341"/>
      <c r="BD1634" s="308"/>
      <c r="BE1634" s="342"/>
      <c r="BF1634" s="274" t="str">
        <f>IFERROR(__xludf.DUMMYFUNCTION("LOWER(Regexreplace(to_text(E1634),""[^A-Za-z0-9]"","""")&amp;""_""&amp;Regexreplace(to_text(F1634),""[^A-Za-z0-9]"",""""))"),"neptronic_evcbseries")</f>
        <v>neptronic_evcbseries</v>
      </c>
      <c r="BG1634" s="275" t="str">
        <f>IFERROR(__xludf.DUMMYFUNCTION("upper(Regexreplace(to_text(E1634),""[^A-Za-z0-9]"","""")&amp;""-""&amp;Regexreplace(to_text(F1634),""[^A-Za-z0-9]"",""""))"),"NEPTRONIC-EVCBSERIES")</f>
        <v>NEPTRONIC-EVCBSERIES</v>
      </c>
    </row>
    <row r="1635" ht="30.0" customHeight="1">
      <c r="A1635" s="173">
        <v>1627.0</v>
      </c>
      <c r="B1635" s="328" t="s">
        <v>670</v>
      </c>
      <c r="C1635" s="257" t="s">
        <v>6385</v>
      </c>
      <c r="D1635" s="173" t="s">
        <v>6385</v>
      </c>
      <c r="E1635" s="174" t="s">
        <v>2861</v>
      </c>
      <c r="F1635" s="173" t="s">
        <v>2862</v>
      </c>
      <c r="G1635" s="328" t="s">
        <v>673</v>
      </c>
      <c r="H1635" s="328" t="s">
        <v>2863</v>
      </c>
      <c r="I1635" s="258" t="s">
        <v>2864</v>
      </c>
      <c r="J1635" s="259" t="s">
        <v>1211</v>
      </c>
      <c r="K1635" s="260" t="s">
        <v>6386</v>
      </c>
      <c r="L1635" s="359"/>
      <c r="M1635" s="359"/>
      <c r="N1635" s="173" t="s">
        <v>679</v>
      </c>
      <c r="O1635" s="173" t="s">
        <v>225</v>
      </c>
      <c r="P1635" s="262" t="str">
        <f t="shared" si="1"/>
        <v>IN-BLR-ANANTA-VAV-1207_7</v>
      </c>
      <c r="Q1635" s="173" t="s">
        <v>6387</v>
      </c>
      <c r="R1635" s="328" t="str">
        <f>IFS(C1635="","",C1635="n/a","N/A",LEN(C1635),Concatenate("{",char(34),"asset",char(34),":{",char(34),"guid",char(34),":",char(34),Q1635,char(34),",",char(34),"site",char(34),":",char(34),LOWER('2-Building'!$B$4),char(34),",",char(34),"name",char(34),":",char(34),LOWER(C1635),char(34),"}}"))</f>
        <v>{"asset":{"guid":"uuid://e86d0160-56ce-4a91-924e-b058f4886128","site":"in-blr-ananta","name":"vav-1207"}}</v>
      </c>
      <c r="S1635" s="360" t="s">
        <v>5516</v>
      </c>
      <c r="T1635" s="330"/>
      <c r="U1635" s="330"/>
      <c r="V1635" s="331"/>
      <c r="W1635" s="332"/>
      <c r="X1635" s="333"/>
      <c r="Y1635" s="33" t="s">
        <v>2867</v>
      </c>
      <c r="Z1635" s="258">
        <v>121207.0</v>
      </c>
      <c r="AA1635" s="334">
        <v>11637.0</v>
      </c>
      <c r="AB1635" s="333"/>
      <c r="AC1635" s="333"/>
      <c r="AD1635" s="329"/>
      <c r="AE1635" s="331"/>
      <c r="AF1635" s="336"/>
      <c r="AG1635" s="337"/>
      <c r="AH1635" s="333"/>
      <c r="AI1635" s="333"/>
      <c r="AJ1635" s="333"/>
      <c r="AK1635" s="333"/>
      <c r="AL1635" s="333"/>
      <c r="AM1635" s="338"/>
      <c r="AN1635" s="333"/>
      <c r="AO1635" s="333"/>
      <c r="AP1635" s="333"/>
      <c r="AQ1635" s="333"/>
      <c r="AR1635" s="333"/>
      <c r="AS1635" s="333"/>
      <c r="AT1635" s="333"/>
      <c r="AU1635" s="329"/>
      <c r="AV1635" s="341"/>
      <c r="AW1635" s="269" t="s">
        <v>2446</v>
      </c>
      <c r="AX1635" s="334" t="s">
        <v>2869</v>
      </c>
      <c r="AY1635" s="270" t="s">
        <v>695</v>
      </c>
      <c r="AZ1635" s="173" t="s">
        <v>5516</v>
      </c>
      <c r="BA1635" s="265">
        <v>10.0</v>
      </c>
      <c r="BB1635" s="174" t="s">
        <v>245</v>
      </c>
      <c r="BC1635" s="341"/>
      <c r="BD1635" s="308"/>
      <c r="BE1635" s="342"/>
      <c r="BF1635" s="274" t="str">
        <f>IFERROR(__xludf.DUMMYFUNCTION("LOWER(Regexreplace(to_text(E1635),""[^A-Za-z0-9]"","""")&amp;""_""&amp;Regexreplace(to_text(F1635),""[^A-Za-z0-9]"",""""))"),"neptronic_evcbseries")</f>
        <v>neptronic_evcbseries</v>
      </c>
      <c r="BG1635" s="275" t="str">
        <f>IFERROR(__xludf.DUMMYFUNCTION("upper(Regexreplace(to_text(E1635),""[^A-Za-z0-9]"","""")&amp;""-""&amp;Regexreplace(to_text(F1635),""[^A-Za-z0-9]"",""""))"),"NEPTRONIC-EVCBSERIES")</f>
        <v>NEPTRONIC-EVCBSERIES</v>
      </c>
    </row>
    <row r="1636" ht="30.0" customHeight="1">
      <c r="A1636" s="258">
        <v>1628.0</v>
      </c>
      <c r="B1636" s="328" t="s">
        <v>670</v>
      </c>
      <c r="C1636" s="257" t="s">
        <v>6388</v>
      </c>
      <c r="D1636" s="173" t="s">
        <v>6388</v>
      </c>
      <c r="E1636" s="174" t="s">
        <v>2861</v>
      </c>
      <c r="F1636" s="173" t="s">
        <v>2862</v>
      </c>
      <c r="G1636" s="328" t="s">
        <v>673</v>
      </c>
      <c r="H1636" s="328" t="s">
        <v>2863</v>
      </c>
      <c r="I1636" s="258" t="s">
        <v>2864</v>
      </c>
      <c r="J1636" s="259" t="s">
        <v>1211</v>
      </c>
      <c r="K1636" s="260" t="s">
        <v>6389</v>
      </c>
      <c r="L1636" s="359"/>
      <c r="M1636" s="359"/>
      <c r="N1636" s="173" t="s">
        <v>679</v>
      </c>
      <c r="O1636" s="173" t="s">
        <v>225</v>
      </c>
      <c r="P1636" s="262" t="str">
        <f t="shared" si="1"/>
        <v>IN-BLR-ANANTA-VAV-1208_7</v>
      </c>
      <c r="Q1636" s="173" t="s">
        <v>6390</v>
      </c>
      <c r="R1636" s="328" t="str">
        <f>IFS(C1636="","",C1636="n/a","N/A",LEN(C1636),Concatenate("{",char(34),"asset",char(34),":{",char(34),"guid",char(34),":",char(34),Q1636,char(34),",",char(34),"site",char(34),":",char(34),LOWER('2-Building'!$B$4),char(34),",",char(34),"name",char(34),":",char(34),LOWER(C1636),char(34),"}}"))</f>
        <v>{"asset":{"guid":"uuid://49d53b86-dc7e-441d-b784-5f26dde07277","site":"in-blr-ananta","name":"vav-1208"}}</v>
      </c>
      <c r="S1636" s="360" t="s">
        <v>5516</v>
      </c>
      <c r="T1636" s="330"/>
      <c r="U1636" s="330"/>
      <c r="V1636" s="331"/>
      <c r="W1636" s="332"/>
      <c r="X1636" s="333"/>
      <c r="Y1636" s="33" t="s">
        <v>2867</v>
      </c>
      <c r="Z1636" s="258">
        <v>121208.0</v>
      </c>
      <c r="AA1636" s="334">
        <v>11637.0</v>
      </c>
      <c r="AB1636" s="333"/>
      <c r="AC1636" s="333"/>
      <c r="AD1636" s="329"/>
      <c r="AE1636" s="331"/>
      <c r="AF1636" s="336"/>
      <c r="AG1636" s="337"/>
      <c r="AH1636" s="333"/>
      <c r="AI1636" s="333"/>
      <c r="AJ1636" s="333"/>
      <c r="AK1636" s="333"/>
      <c r="AL1636" s="333"/>
      <c r="AM1636" s="338"/>
      <c r="AN1636" s="333"/>
      <c r="AO1636" s="333"/>
      <c r="AP1636" s="333"/>
      <c r="AQ1636" s="333"/>
      <c r="AR1636" s="333"/>
      <c r="AS1636" s="333"/>
      <c r="AT1636" s="333"/>
      <c r="AU1636" s="329"/>
      <c r="AV1636" s="341"/>
      <c r="AW1636" s="269" t="s">
        <v>2446</v>
      </c>
      <c r="AX1636" s="334" t="s">
        <v>2869</v>
      </c>
      <c r="AY1636" s="270" t="s">
        <v>695</v>
      </c>
      <c r="AZ1636" s="173" t="s">
        <v>5516</v>
      </c>
      <c r="BA1636" s="265">
        <v>10.0</v>
      </c>
      <c r="BB1636" s="174" t="s">
        <v>245</v>
      </c>
      <c r="BC1636" s="341"/>
      <c r="BD1636" s="308"/>
      <c r="BE1636" s="342"/>
      <c r="BF1636" s="274" t="str">
        <f>IFERROR(__xludf.DUMMYFUNCTION("LOWER(Regexreplace(to_text(E1636),""[^A-Za-z0-9]"","""")&amp;""_""&amp;Regexreplace(to_text(F1636),""[^A-Za-z0-9]"",""""))"),"neptronic_evcbseries")</f>
        <v>neptronic_evcbseries</v>
      </c>
      <c r="BG1636" s="275" t="str">
        <f>IFERROR(__xludf.DUMMYFUNCTION("upper(Regexreplace(to_text(E1636),""[^A-Za-z0-9]"","""")&amp;""-""&amp;Regexreplace(to_text(F1636),""[^A-Za-z0-9]"",""""))"),"NEPTRONIC-EVCBSERIES")</f>
        <v>NEPTRONIC-EVCBSERIES</v>
      </c>
    </row>
    <row r="1637" ht="30.0" customHeight="1">
      <c r="A1637" s="173">
        <v>1629.0</v>
      </c>
      <c r="B1637" s="328" t="s">
        <v>670</v>
      </c>
      <c r="C1637" s="257" t="s">
        <v>6391</v>
      </c>
      <c r="D1637" s="173" t="s">
        <v>6391</v>
      </c>
      <c r="E1637" s="174" t="s">
        <v>2861</v>
      </c>
      <c r="F1637" s="173" t="s">
        <v>2862</v>
      </c>
      <c r="G1637" s="328" t="s">
        <v>673</v>
      </c>
      <c r="H1637" s="328" t="s">
        <v>2863</v>
      </c>
      <c r="I1637" s="258" t="s">
        <v>2864</v>
      </c>
      <c r="J1637" s="259" t="s">
        <v>1211</v>
      </c>
      <c r="K1637" s="260" t="s">
        <v>6392</v>
      </c>
      <c r="L1637" s="359"/>
      <c r="M1637" s="359"/>
      <c r="N1637" s="173" t="s">
        <v>679</v>
      </c>
      <c r="O1637" s="173" t="s">
        <v>225</v>
      </c>
      <c r="P1637" s="262" t="str">
        <f t="shared" si="1"/>
        <v>IN-BLR-ANANTA-VAV-1209_7</v>
      </c>
      <c r="Q1637" s="173" t="s">
        <v>6393</v>
      </c>
      <c r="R1637" s="328" t="str">
        <f>IFS(C1637="","",C1637="n/a","N/A",LEN(C1637),Concatenate("{",char(34),"asset",char(34),":{",char(34),"guid",char(34),":",char(34),Q1637,char(34),",",char(34),"site",char(34),":",char(34),LOWER('2-Building'!$B$4),char(34),",",char(34),"name",char(34),":",char(34),LOWER(C1637),char(34),"}}"))</f>
        <v>{"asset":{"guid":"uuid://a8202cb8-d47f-4485-81ba-d4953801df73","site":"in-blr-ananta","name":"vav-1209"}}</v>
      </c>
      <c r="S1637" s="360" t="s">
        <v>5516</v>
      </c>
      <c r="T1637" s="330"/>
      <c r="U1637" s="330"/>
      <c r="V1637" s="331"/>
      <c r="W1637" s="332"/>
      <c r="X1637" s="333"/>
      <c r="Y1637" s="33" t="s">
        <v>2867</v>
      </c>
      <c r="Z1637" s="258">
        <v>121209.0</v>
      </c>
      <c r="AA1637" s="334">
        <v>11637.0</v>
      </c>
      <c r="AB1637" s="333"/>
      <c r="AC1637" s="333"/>
      <c r="AD1637" s="329"/>
      <c r="AE1637" s="331"/>
      <c r="AF1637" s="336"/>
      <c r="AG1637" s="337"/>
      <c r="AH1637" s="333"/>
      <c r="AI1637" s="333"/>
      <c r="AJ1637" s="333"/>
      <c r="AK1637" s="333"/>
      <c r="AL1637" s="333"/>
      <c r="AM1637" s="338"/>
      <c r="AN1637" s="333"/>
      <c r="AO1637" s="333"/>
      <c r="AP1637" s="333"/>
      <c r="AQ1637" s="333"/>
      <c r="AR1637" s="333"/>
      <c r="AS1637" s="333"/>
      <c r="AT1637" s="333"/>
      <c r="AU1637" s="329"/>
      <c r="AV1637" s="341"/>
      <c r="AW1637" s="269" t="s">
        <v>2446</v>
      </c>
      <c r="AX1637" s="334" t="s">
        <v>2869</v>
      </c>
      <c r="AY1637" s="270" t="s">
        <v>695</v>
      </c>
      <c r="AZ1637" s="173" t="s">
        <v>5516</v>
      </c>
      <c r="BA1637" s="265">
        <v>10.0</v>
      </c>
      <c r="BB1637" s="174" t="s">
        <v>245</v>
      </c>
      <c r="BC1637" s="341"/>
      <c r="BD1637" s="308"/>
      <c r="BE1637" s="342"/>
      <c r="BF1637" s="274" t="str">
        <f>IFERROR(__xludf.DUMMYFUNCTION("LOWER(Regexreplace(to_text(E1637),""[^A-Za-z0-9]"","""")&amp;""_""&amp;Regexreplace(to_text(F1637),""[^A-Za-z0-9]"",""""))"),"neptronic_evcbseries")</f>
        <v>neptronic_evcbseries</v>
      </c>
      <c r="BG1637" s="275" t="str">
        <f>IFERROR(__xludf.DUMMYFUNCTION("upper(Regexreplace(to_text(E1637),""[^A-Za-z0-9]"","""")&amp;""-""&amp;Regexreplace(to_text(F1637),""[^A-Za-z0-9]"",""""))"),"NEPTRONIC-EVCBSERIES")</f>
        <v>NEPTRONIC-EVCBSERIES</v>
      </c>
    </row>
    <row r="1638" ht="30.0" customHeight="1">
      <c r="A1638" s="258">
        <v>1630.0</v>
      </c>
      <c r="B1638" s="328" t="s">
        <v>670</v>
      </c>
      <c r="C1638" s="257" t="s">
        <v>6394</v>
      </c>
      <c r="D1638" s="173" t="s">
        <v>6394</v>
      </c>
      <c r="E1638" s="174" t="s">
        <v>2861</v>
      </c>
      <c r="F1638" s="173" t="s">
        <v>2862</v>
      </c>
      <c r="G1638" s="328" t="s">
        <v>673</v>
      </c>
      <c r="H1638" s="328" t="s">
        <v>2863</v>
      </c>
      <c r="I1638" s="258" t="s">
        <v>2864</v>
      </c>
      <c r="J1638" s="259" t="s">
        <v>1211</v>
      </c>
      <c r="K1638" s="260" t="s">
        <v>6395</v>
      </c>
      <c r="L1638" s="359"/>
      <c r="M1638" s="359"/>
      <c r="N1638" s="173" t="s">
        <v>679</v>
      </c>
      <c r="O1638" s="173" t="s">
        <v>225</v>
      </c>
      <c r="P1638" s="262" t="str">
        <f t="shared" si="1"/>
        <v>IN-BLR-ANANTA-VAV-1210_7</v>
      </c>
      <c r="Q1638" s="173" t="s">
        <v>6396</v>
      </c>
      <c r="R1638" s="328" t="str">
        <f>IFS(C1638="","",C1638="n/a","N/A",LEN(C1638),Concatenate("{",char(34),"asset",char(34),":{",char(34),"guid",char(34),":",char(34),Q1638,char(34),",",char(34),"site",char(34),":",char(34),LOWER('2-Building'!$B$4),char(34),",",char(34),"name",char(34),":",char(34),LOWER(C1638),char(34),"}}"))</f>
        <v>{"asset":{"guid":"uuid://d0f6d07c-e7f3-46a2-8fd2-894104dc374a","site":"in-blr-ananta","name":"vav-1210"}}</v>
      </c>
      <c r="S1638" s="360" t="s">
        <v>5516</v>
      </c>
      <c r="T1638" s="330"/>
      <c r="U1638" s="330"/>
      <c r="V1638" s="331"/>
      <c r="W1638" s="332"/>
      <c r="X1638" s="333"/>
      <c r="Y1638" s="33" t="s">
        <v>2867</v>
      </c>
      <c r="Z1638" s="258">
        <v>121210.0</v>
      </c>
      <c r="AA1638" s="334">
        <v>11637.0</v>
      </c>
      <c r="AB1638" s="333"/>
      <c r="AC1638" s="333"/>
      <c r="AD1638" s="329"/>
      <c r="AE1638" s="331"/>
      <c r="AF1638" s="336"/>
      <c r="AG1638" s="337"/>
      <c r="AH1638" s="333"/>
      <c r="AI1638" s="333"/>
      <c r="AJ1638" s="333"/>
      <c r="AK1638" s="333"/>
      <c r="AL1638" s="333"/>
      <c r="AM1638" s="338"/>
      <c r="AN1638" s="333"/>
      <c r="AO1638" s="333"/>
      <c r="AP1638" s="333"/>
      <c r="AQ1638" s="333"/>
      <c r="AR1638" s="333"/>
      <c r="AS1638" s="333"/>
      <c r="AT1638" s="333"/>
      <c r="AU1638" s="329"/>
      <c r="AV1638" s="341"/>
      <c r="AW1638" s="269" t="s">
        <v>2446</v>
      </c>
      <c r="AX1638" s="334" t="s">
        <v>2869</v>
      </c>
      <c r="AY1638" s="270" t="s">
        <v>695</v>
      </c>
      <c r="AZ1638" s="173" t="s">
        <v>5516</v>
      </c>
      <c r="BA1638" s="265">
        <v>10.0</v>
      </c>
      <c r="BB1638" s="174" t="s">
        <v>245</v>
      </c>
      <c r="BC1638" s="341"/>
      <c r="BD1638" s="308"/>
      <c r="BE1638" s="342"/>
      <c r="BF1638" s="274" t="str">
        <f>IFERROR(__xludf.DUMMYFUNCTION("LOWER(Regexreplace(to_text(E1638),""[^A-Za-z0-9]"","""")&amp;""_""&amp;Regexreplace(to_text(F1638),""[^A-Za-z0-9]"",""""))"),"neptronic_evcbseries")</f>
        <v>neptronic_evcbseries</v>
      </c>
      <c r="BG1638" s="275" t="str">
        <f>IFERROR(__xludf.DUMMYFUNCTION("upper(Regexreplace(to_text(E1638),""[^A-Za-z0-9]"","""")&amp;""-""&amp;Regexreplace(to_text(F1638),""[^A-Za-z0-9]"",""""))"),"NEPTRONIC-EVCBSERIES")</f>
        <v>NEPTRONIC-EVCBSERIES</v>
      </c>
    </row>
    <row r="1639" ht="30.0" customHeight="1">
      <c r="A1639" s="173">
        <v>1631.0</v>
      </c>
      <c r="B1639" s="328" t="s">
        <v>670</v>
      </c>
      <c r="C1639" s="257" t="s">
        <v>6397</v>
      </c>
      <c r="D1639" s="173" t="s">
        <v>6397</v>
      </c>
      <c r="E1639" s="174" t="s">
        <v>2861</v>
      </c>
      <c r="F1639" s="173" t="s">
        <v>2862</v>
      </c>
      <c r="G1639" s="328" t="s">
        <v>673</v>
      </c>
      <c r="H1639" s="328" t="s">
        <v>2863</v>
      </c>
      <c r="I1639" s="258" t="s">
        <v>2864</v>
      </c>
      <c r="J1639" s="259" t="s">
        <v>1211</v>
      </c>
      <c r="K1639" s="260" t="s">
        <v>6398</v>
      </c>
      <c r="L1639" s="359"/>
      <c r="M1639" s="359"/>
      <c r="N1639" s="173" t="s">
        <v>679</v>
      </c>
      <c r="O1639" s="173" t="s">
        <v>225</v>
      </c>
      <c r="P1639" s="262" t="str">
        <f t="shared" si="1"/>
        <v>IN-BLR-ANANTA-VAV-1211_7</v>
      </c>
      <c r="Q1639" s="173" t="s">
        <v>6399</v>
      </c>
      <c r="R1639" s="328" t="str">
        <f>IFS(C1639="","",C1639="n/a","N/A",LEN(C1639),Concatenate("{",char(34),"asset",char(34),":{",char(34),"guid",char(34),":",char(34),Q1639,char(34),",",char(34),"site",char(34),":",char(34),LOWER('2-Building'!$B$4),char(34),",",char(34),"name",char(34),":",char(34),LOWER(C1639),char(34),"}}"))</f>
        <v>{"asset":{"guid":"uuid://bb40c614-424d-455e-aae5-079c941567bc","site":"in-blr-ananta","name":"vav-1211"}}</v>
      </c>
      <c r="S1639" s="360" t="s">
        <v>5516</v>
      </c>
      <c r="T1639" s="330"/>
      <c r="U1639" s="330"/>
      <c r="V1639" s="331"/>
      <c r="W1639" s="332"/>
      <c r="X1639" s="333"/>
      <c r="Y1639" s="33" t="s">
        <v>2867</v>
      </c>
      <c r="Z1639" s="258">
        <v>121211.0</v>
      </c>
      <c r="AA1639" s="334">
        <v>11637.0</v>
      </c>
      <c r="AB1639" s="333"/>
      <c r="AC1639" s="333"/>
      <c r="AD1639" s="329"/>
      <c r="AE1639" s="331"/>
      <c r="AF1639" s="336"/>
      <c r="AG1639" s="337"/>
      <c r="AH1639" s="333"/>
      <c r="AI1639" s="333"/>
      <c r="AJ1639" s="333"/>
      <c r="AK1639" s="333"/>
      <c r="AL1639" s="333"/>
      <c r="AM1639" s="338"/>
      <c r="AN1639" s="333"/>
      <c r="AO1639" s="333"/>
      <c r="AP1639" s="333"/>
      <c r="AQ1639" s="333"/>
      <c r="AR1639" s="333"/>
      <c r="AS1639" s="333"/>
      <c r="AT1639" s="333"/>
      <c r="AU1639" s="329"/>
      <c r="AV1639" s="341"/>
      <c r="AW1639" s="269" t="s">
        <v>2446</v>
      </c>
      <c r="AX1639" s="334" t="s">
        <v>2869</v>
      </c>
      <c r="AY1639" s="270" t="s">
        <v>695</v>
      </c>
      <c r="AZ1639" s="173" t="s">
        <v>5516</v>
      </c>
      <c r="BA1639" s="265">
        <v>10.0</v>
      </c>
      <c r="BB1639" s="174" t="s">
        <v>245</v>
      </c>
      <c r="BC1639" s="341"/>
      <c r="BD1639" s="308"/>
      <c r="BE1639" s="342"/>
      <c r="BF1639" s="274" t="str">
        <f>IFERROR(__xludf.DUMMYFUNCTION("LOWER(Regexreplace(to_text(E1639),""[^A-Za-z0-9]"","""")&amp;""_""&amp;Regexreplace(to_text(F1639),""[^A-Za-z0-9]"",""""))"),"neptronic_evcbseries")</f>
        <v>neptronic_evcbseries</v>
      </c>
      <c r="BG1639" s="275" t="str">
        <f>IFERROR(__xludf.DUMMYFUNCTION("upper(Regexreplace(to_text(E1639),""[^A-Za-z0-9]"","""")&amp;""-""&amp;Regexreplace(to_text(F1639),""[^A-Za-z0-9]"",""""))"),"NEPTRONIC-EVCBSERIES")</f>
        <v>NEPTRONIC-EVCBSERIES</v>
      </c>
    </row>
    <row r="1640" ht="30.0" customHeight="1">
      <c r="A1640" s="258">
        <v>1632.0</v>
      </c>
      <c r="B1640" s="328" t="s">
        <v>670</v>
      </c>
      <c r="C1640" s="257" t="s">
        <v>6400</v>
      </c>
      <c r="D1640" s="173" t="s">
        <v>6400</v>
      </c>
      <c r="E1640" s="174" t="s">
        <v>2861</v>
      </c>
      <c r="F1640" s="173" t="s">
        <v>2862</v>
      </c>
      <c r="G1640" s="328" t="s">
        <v>673</v>
      </c>
      <c r="H1640" s="328" t="s">
        <v>2863</v>
      </c>
      <c r="I1640" s="258" t="s">
        <v>2864</v>
      </c>
      <c r="J1640" s="259" t="s">
        <v>1211</v>
      </c>
      <c r="K1640" s="260" t="s">
        <v>6401</v>
      </c>
      <c r="L1640" s="359"/>
      <c r="M1640" s="359"/>
      <c r="N1640" s="173" t="s">
        <v>679</v>
      </c>
      <c r="O1640" s="173" t="s">
        <v>225</v>
      </c>
      <c r="P1640" s="262" t="str">
        <f t="shared" si="1"/>
        <v>IN-BLR-ANANTA-VAV-1212_7</v>
      </c>
      <c r="Q1640" s="173" t="s">
        <v>6402</v>
      </c>
      <c r="R1640" s="328" t="str">
        <f>IFS(C1640="","",C1640="n/a","N/A",LEN(C1640),Concatenate("{",char(34),"asset",char(34),":{",char(34),"guid",char(34),":",char(34),Q1640,char(34),",",char(34),"site",char(34),":",char(34),LOWER('2-Building'!$B$4),char(34),",",char(34),"name",char(34),":",char(34),LOWER(C1640),char(34),"}}"))</f>
        <v>{"asset":{"guid":"uuid://fd927fc3-d7f2-4854-bfeb-2c05b1badf89","site":"in-blr-ananta","name":"vav-1212"}}</v>
      </c>
      <c r="S1640" s="360" t="s">
        <v>5516</v>
      </c>
      <c r="T1640" s="330"/>
      <c r="U1640" s="330"/>
      <c r="V1640" s="331"/>
      <c r="W1640" s="332"/>
      <c r="X1640" s="333"/>
      <c r="Y1640" s="33" t="s">
        <v>2867</v>
      </c>
      <c r="Z1640" s="258">
        <v>121212.0</v>
      </c>
      <c r="AA1640" s="334">
        <v>11637.0</v>
      </c>
      <c r="AB1640" s="333"/>
      <c r="AC1640" s="333"/>
      <c r="AD1640" s="329"/>
      <c r="AE1640" s="331"/>
      <c r="AF1640" s="336"/>
      <c r="AG1640" s="337"/>
      <c r="AH1640" s="333"/>
      <c r="AI1640" s="333"/>
      <c r="AJ1640" s="333"/>
      <c r="AK1640" s="333"/>
      <c r="AL1640" s="333"/>
      <c r="AM1640" s="338"/>
      <c r="AN1640" s="333"/>
      <c r="AO1640" s="333"/>
      <c r="AP1640" s="333"/>
      <c r="AQ1640" s="333"/>
      <c r="AR1640" s="333"/>
      <c r="AS1640" s="333"/>
      <c r="AT1640" s="333"/>
      <c r="AU1640" s="329"/>
      <c r="AV1640" s="341"/>
      <c r="AW1640" s="269" t="s">
        <v>2446</v>
      </c>
      <c r="AX1640" s="334" t="s">
        <v>2869</v>
      </c>
      <c r="AY1640" s="270" t="s">
        <v>695</v>
      </c>
      <c r="AZ1640" s="173" t="s">
        <v>5516</v>
      </c>
      <c r="BA1640" s="265">
        <v>10.0</v>
      </c>
      <c r="BB1640" s="174" t="s">
        <v>245</v>
      </c>
      <c r="BC1640" s="341"/>
      <c r="BD1640" s="308"/>
      <c r="BE1640" s="342"/>
      <c r="BF1640" s="274" t="str">
        <f>IFERROR(__xludf.DUMMYFUNCTION("LOWER(Regexreplace(to_text(E1640),""[^A-Za-z0-9]"","""")&amp;""_""&amp;Regexreplace(to_text(F1640),""[^A-Za-z0-9]"",""""))"),"neptronic_evcbseries")</f>
        <v>neptronic_evcbseries</v>
      </c>
      <c r="BG1640" s="275" t="str">
        <f>IFERROR(__xludf.DUMMYFUNCTION("upper(Regexreplace(to_text(E1640),""[^A-Za-z0-9]"","""")&amp;""-""&amp;Regexreplace(to_text(F1640),""[^A-Za-z0-9]"",""""))"),"NEPTRONIC-EVCBSERIES")</f>
        <v>NEPTRONIC-EVCBSERIES</v>
      </c>
    </row>
    <row r="1641" ht="30.0" customHeight="1">
      <c r="A1641" s="173">
        <v>1633.0</v>
      </c>
      <c r="B1641" s="328" t="s">
        <v>670</v>
      </c>
      <c r="C1641" s="257" t="s">
        <v>6403</v>
      </c>
      <c r="D1641" s="173" t="s">
        <v>6403</v>
      </c>
      <c r="E1641" s="174" t="s">
        <v>2861</v>
      </c>
      <c r="F1641" s="173" t="s">
        <v>2862</v>
      </c>
      <c r="G1641" s="328" t="s">
        <v>673</v>
      </c>
      <c r="H1641" s="328" t="s">
        <v>2863</v>
      </c>
      <c r="I1641" s="258" t="s">
        <v>2864</v>
      </c>
      <c r="J1641" s="259" t="s">
        <v>1211</v>
      </c>
      <c r="K1641" s="260" t="s">
        <v>6404</v>
      </c>
      <c r="L1641" s="359"/>
      <c r="M1641" s="359"/>
      <c r="N1641" s="173" t="s">
        <v>679</v>
      </c>
      <c r="O1641" s="173" t="s">
        <v>225</v>
      </c>
      <c r="P1641" s="262" t="str">
        <f t="shared" si="1"/>
        <v>IN-BLR-ANANTA-VAV-1213_7</v>
      </c>
      <c r="Q1641" s="173" t="s">
        <v>6405</v>
      </c>
      <c r="R1641" s="328" t="str">
        <f>IFS(C1641="","",C1641="n/a","N/A",LEN(C1641),Concatenate("{",char(34),"asset",char(34),":{",char(34),"guid",char(34),":",char(34),Q1641,char(34),",",char(34),"site",char(34),":",char(34),LOWER('2-Building'!$B$4),char(34),",",char(34),"name",char(34),":",char(34),LOWER(C1641),char(34),"}}"))</f>
        <v>{"asset":{"guid":"uuid://8d506524-d53f-45a7-83de-28d5c72059cc","site":"in-blr-ananta","name":"vav-1213"}}</v>
      </c>
      <c r="S1641" s="360" t="s">
        <v>5516</v>
      </c>
      <c r="T1641" s="330"/>
      <c r="U1641" s="330"/>
      <c r="V1641" s="331"/>
      <c r="W1641" s="332"/>
      <c r="X1641" s="333"/>
      <c r="Y1641" s="33" t="s">
        <v>2867</v>
      </c>
      <c r="Z1641" s="258">
        <v>121213.0</v>
      </c>
      <c r="AA1641" s="334">
        <v>11637.0</v>
      </c>
      <c r="AB1641" s="333"/>
      <c r="AC1641" s="333"/>
      <c r="AD1641" s="329"/>
      <c r="AE1641" s="331"/>
      <c r="AF1641" s="336"/>
      <c r="AG1641" s="337"/>
      <c r="AH1641" s="333"/>
      <c r="AI1641" s="333"/>
      <c r="AJ1641" s="333"/>
      <c r="AK1641" s="333"/>
      <c r="AL1641" s="333"/>
      <c r="AM1641" s="338"/>
      <c r="AN1641" s="333"/>
      <c r="AO1641" s="333"/>
      <c r="AP1641" s="333"/>
      <c r="AQ1641" s="333"/>
      <c r="AR1641" s="333"/>
      <c r="AS1641" s="333"/>
      <c r="AT1641" s="333"/>
      <c r="AU1641" s="329"/>
      <c r="AV1641" s="341"/>
      <c r="AW1641" s="269" t="s">
        <v>2446</v>
      </c>
      <c r="AX1641" s="334" t="s">
        <v>2869</v>
      </c>
      <c r="AY1641" s="270" t="s">
        <v>695</v>
      </c>
      <c r="AZ1641" s="173" t="s">
        <v>5516</v>
      </c>
      <c r="BA1641" s="265">
        <v>10.0</v>
      </c>
      <c r="BB1641" s="174" t="s">
        <v>245</v>
      </c>
      <c r="BC1641" s="341"/>
      <c r="BD1641" s="308"/>
      <c r="BE1641" s="342"/>
      <c r="BF1641" s="274" t="str">
        <f>IFERROR(__xludf.DUMMYFUNCTION("LOWER(Regexreplace(to_text(E1641),""[^A-Za-z0-9]"","""")&amp;""_""&amp;Regexreplace(to_text(F1641),""[^A-Za-z0-9]"",""""))"),"neptronic_evcbseries")</f>
        <v>neptronic_evcbseries</v>
      </c>
      <c r="BG1641" s="275" t="str">
        <f>IFERROR(__xludf.DUMMYFUNCTION("upper(Regexreplace(to_text(E1641),""[^A-Za-z0-9]"","""")&amp;""-""&amp;Regexreplace(to_text(F1641),""[^A-Za-z0-9]"",""""))"),"NEPTRONIC-EVCBSERIES")</f>
        <v>NEPTRONIC-EVCBSERIES</v>
      </c>
    </row>
    <row r="1642" ht="30.0" customHeight="1">
      <c r="A1642" s="258">
        <v>1634.0</v>
      </c>
      <c r="B1642" s="328" t="s">
        <v>670</v>
      </c>
      <c r="C1642" s="257" t="s">
        <v>6406</v>
      </c>
      <c r="D1642" s="173" t="s">
        <v>6406</v>
      </c>
      <c r="E1642" s="174" t="s">
        <v>2861</v>
      </c>
      <c r="F1642" s="173" t="s">
        <v>2862</v>
      </c>
      <c r="G1642" s="328" t="s">
        <v>673</v>
      </c>
      <c r="H1642" s="328" t="s">
        <v>2863</v>
      </c>
      <c r="I1642" s="258" t="s">
        <v>2864</v>
      </c>
      <c r="J1642" s="259" t="s">
        <v>1211</v>
      </c>
      <c r="K1642" s="260" t="s">
        <v>6407</v>
      </c>
      <c r="L1642" s="359"/>
      <c r="M1642" s="359"/>
      <c r="N1642" s="173" t="s">
        <v>679</v>
      </c>
      <c r="O1642" s="173" t="s">
        <v>225</v>
      </c>
      <c r="P1642" s="262" t="str">
        <f t="shared" si="1"/>
        <v>IN-BLR-ANANTA-VAV-1214_7</v>
      </c>
      <c r="Q1642" s="173" t="s">
        <v>6408</v>
      </c>
      <c r="R1642" s="328" t="str">
        <f>IFS(C1642="","",C1642="n/a","N/A",LEN(C1642),Concatenate("{",char(34),"asset",char(34),":{",char(34),"guid",char(34),":",char(34),Q1642,char(34),",",char(34),"site",char(34),":",char(34),LOWER('2-Building'!$B$4),char(34),",",char(34),"name",char(34),":",char(34),LOWER(C1642),char(34),"}}"))</f>
        <v>{"asset":{"guid":"uuid://706161ff-d24a-4c11-9554-dbe07942744f","site":"in-blr-ananta","name":"vav-1214"}}</v>
      </c>
      <c r="S1642" s="360" t="s">
        <v>5516</v>
      </c>
      <c r="T1642" s="330"/>
      <c r="U1642" s="330"/>
      <c r="V1642" s="331"/>
      <c r="W1642" s="332"/>
      <c r="X1642" s="333"/>
      <c r="Y1642" s="33" t="s">
        <v>2867</v>
      </c>
      <c r="Z1642" s="258">
        <v>121214.0</v>
      </c>
      <c r="AA1642" s="334">
        <v>11637.0</v>
      </c>
      <c r="AB1642" s="333"/>
      <c r="AC1642" s="333"/>
      <c r="AD1642" s="329"/>
      <c r="AE1642" s="331"/>
      <c r="AF1642" s="336"/>
      <c r="AG1642" s="337"/>
      <c r="AH1642" s="333"/>
      <c r="AI1642" s="333"/>
      <c r="AJ1642" s="333"/>
      <c r="AK1642" s="333"/>
      <c r="AL1642" s="333"/>
      <c r="AM1642" s="338"/>
      <c r="AN1642" s="333"/>
      <c r="AO1642" s="333"/>
      <c r="AP1642" s="333"/>
      <c r="AQ1642" s="333"/>
      <c r="AR1642" s="333"/>
      <c r="AS1642" s="333"/>
      <c r="AT1642" s="333"/>
      <c r="AU1642" s="329"/>
      <c r="AV1642" s="341"/>
      <c r="AW1642" s="269" t="s">
        <v>2446</v>
      </c>
      <c r="AX1642" s="334" t="s">
        <v>2869</v>
      </c>
      <c r="AY1642" s="270" t="s">
        <v>695</v>
      </c>
      <c r="AZ1642" s="173" t="s">
        <v>5516</v>
      </c>
      <c r="BA1642" s="265">
        <v>10.0</v>
      </c>
      <c r="BB1642" s="174" t="s">
        <v>245</v>
      </c>
      <c r="BC1642" s="341"/>
      <c r="BD1642" s="308"/>
      <c r="BE1642" s="342"/>
      <c r="BF1642" s="274" t="str">
        <f>IFERROR(__xludf.DUMMYFUNCTION("LOWER(Regexreplace(to_text(E1642),""[^A-Za-z0-9]"","""")&amp;""_""&amp;Regexreplace(to_text(F1642),""[^A-Za-z0-9]"",""""))"),"neptronic_evcbseries")</f>
        <v>neptronic_evcbseries</v>
      </c>
      <c r="BG1642" s="275" t="str">
        <f>IFERROR(__xludf.DUMMYFUNCTION("upper(Regexreplace(to_text(E1642),""[^A-Za-z0-9]"","""")&amp;""-""&amp;Regexreplace(to_text(F1642),""[^A-Za-z0-9]"",""""))"),"NEPTRONIC-EVCBSERIES")</f>
        <v>NEPTRONIC-EVCBSERIES</v>
      </c>
    </row>
    <row r="1643" ht="30.0" customHeight="1">
      <c r="A1643" s="173">
        <v>1635.0</v>
      </c>
      <c r="B1643" s="328" t="s">
        <v>670</v>
      </c>
      <c r="C1643" s="257" t="s">
        <v>6409</v>
      </c>
      <c r="D1643" s="173" t="s">
        <v>6409</v>
      </c>
      <c r="E1643" s="174" t="s">
        <v>2861</v>
      </c>
      <c r="F1643" s="173" t="s">
        <v>2862</v>
      </c>
      <c r="G1643" s="328" t="s">
        <v>673</v>
      </c>
      <c r="H1643" s="328" t="s">
        <v>2863</v>
      </c>
      <c r="I1643" s="258" t="s">
        <v>2864</v>
      </c>
      <c r="J1643" s="259" t="s">
        <v>1211</v>
      </c>
      <c r="K1643" s="260" t="s">
        <v>6410</v>
      </c>
      <c r="L1643" s="359"/>
      <c r="M1643" s="359"/>
      <c r="N1643" s="173" t="s">
        <v>679</v>
      </c>
      <c r="O1643" s="173" t="s">
        <v>225</v>
      </c>
      <c r="P1643" s="262" t="str">
        <f t="shared" si="1"/>
        <v>IN-BLR-ANANTA-VAV-1215_7</v>
      </c>
      <c r="Q1643" s="173" t="s">
        <v>6411</v>
      </c>
      <c r="R1643" s="328" t="str">
        <f>IFS(C1643="","",C1643="n/a","N/A",LEN(C1643),Concatenate("{",char(34),"asset",char(34),":{",char(34),"guid",char(34),":",char(34),Q1643,char(34),",",char(34),"site",char(34),":",char(34),LOWER('2-Building'!$B$4),char(34),",",char(34),"name",char(34),":",char(34),LOWER(C1643),char(34),"}}"))</f>
        <v>{"asset":{"guid":"uuid://63229054-d4ae-4677-9c0e-c32edc5b3386","site":"in-blr-ananta","name":"vav-1215"}}</v>
      </c>
      <c r="S1643" s="360" t="s">
        <v>5516</v>
      </c>
      <c r="T1643" s="330"/>
      <c r="U1643" s="330"/>
      <c r="V1643" s="331"/>
      <c r="W1643" s="332"/>
      <c r="X1643" s="333"/>
      <c r="Y1643" s="33" t="s">
        <v>2867</v>
      </c>
      <c r="Z1643" s="258">
        <v>121215.0</v>
      </c>
      <c r="AA1643" s="334">
        <v>11637.0</v>
      </c>
      <c r="AB1643" s="333"/>
      <c r="AC1643" s="333"/>
      <c r="AD1643" s="329"/>
      <c r="AE1643" s="331"/>
      <c r="AF1643" s="336"/>
      <c r="AG1643" s="337"/>
      <c r="AH1643" s="333"/>
      <c r="AI1643" s="333"/>
      <c r="AJ1643" s="333"/>
      <c r="AK1643" s="333"/>
      <c r="AL1643" s="333"/>
      <c r="AM1643" s="338"/>
      <c r="AN1643" s="333"/>
      <c r="AO1643" s="333"/>
      <c r="AP1643" s="333"/>
      <c r="AQ1643" s="333"/>
      <c r="AR1643" s="333"/>
      <c r="AS1643" s="333"/>
      <c r="AT1643" s="333"/>
      <c r="AU1643" s="329"/>
      <c r="AV1643" s="341"/>
      <c r="AW1643" s="269" t="s">
        <v>2446</v>
      </c>
      <c r="AX1643" s="334" t="s">
        <v>2869</v>
      </c>
      <c r="AY1643" s="270" t="s">
        <v>695</v>
      </c>
      <c r="AZ1643" s="173" t="s">
        <v>5516</v>
      </c>
      <c r="BA1643" s="265">
        <v>10.0</v>
      </c>
      <c r="BB1643" s="174" t="s">
        <v>245</v>
      </c>
      <c r="BC1643" s="341"/>
      <c r="BD1643" s="308"/>
      <c r="BE1643" s="342"/>
      <c r="BF1643" s="274" t="str">
        <f>IFERROR(__xludf.DUMMYFUNCTION("LOWER(Regexreplace(to_text(E1643),""[^A-Za-z0-9]"","""")&amp;""_""&amp;Regexreplace(to_text(F1643),""[^A-Za-z0-9]"",""""))"),"neptronic_evcbseries")</f>
        <v>neptronic_evcbseries</v>
      </c>
      <c r="BG1643" s="275" t="str">
        <f>IFERROR(__xludf.DUMMYFUNCTION("upper(Regexreplace(to_text(E1643),""[^A-Za-z0-9]"","""")&amp;""-""&amp;Regexreplace(to_text(F1643),""[^A-Za-z0-9]"",""""))"),"NEPTRONIC-EVCBSERIES")</f>
        <v>NEPTRONIC-EVCBSERIES</v>
      </c>
    </row>
    <row r="1644" ht="30.0" customHeight="1">
      <c r="A1644" s="258">
        <v>1636.0</v>
      </c>
      <c r="B1644" s="328" t="s">
        <v>670</v>
      </c>
      <c r="C1644" s="257" t="s">
        <v>6412</v>
      </c>
      <c r="D1644" s="173" t="s">
        <v>6412</v>
      </c>
      <c r="E1644" s="174" t="s">
        <v>2861</v>
      </c>
      <c r="F1644" s="173" t="s">
        <v>2862</v>
      </c>
      <c r="G1644" s="328" t="s">
        <v>673</v>
      </c>
      <c r="H1644" s="328" t="s">
        <v>2863</v>
      </c>
      <c r="I1644" s="258" t="s">
        <v>2864</v>
      </c>
      <c r="J1644" s="259" t="s">
        <v>1211</v>
      </c>
      <c r="K1644" s="260" t="s">
        <v>6413</v>
      </c>
      <c r="L1644" s="359"/>
      <c r="M1644" s="359"/>
      <c r="N1644" s="173" t="s">
        <v>679</v>
      </c>
      <c r="O1644" s="173" t="s">
        <v>225</v>
      </c>
      <c r="P1644" s="262" t="str">
        <f t="shared" si="1"/>
        <v>IN-BLR-ANANTA-VAV-1216_7</v>
      </c>
      <c r="Q1644" s="173" t="s">
        <v>6414</v>
      </c>
      <c r="R1644" s="328" t="str">
        <f>IFS(C1644="","",C1644="n/a","N/A",LEN(C1644),Concatenate("{",char(34),"asset",char(34),":{",char(34),"guid",char(34),":",char(34),Q1644,char(34),",",char(34),"site",char(34),":",char(34),LOWER('2-Building'!$B$4),char(34),",",char(34),"name",char(34),":",char(34),LOWER(C1644),char(34),"}}"))</f>
        <v>{"asset":{"guid":"uuid://65903ff4-c048-47d6-8fa9-2dcee0dea905","site":"in-blr-ananta","name":"vav-1216"}}</v>
      </c>
      <c r="S1644" s="360" t="s">
        <v>5516</v>
      </c>
      <c r="T1644" s="330"/>
      <c r="U1644" s="330"/>
      <c r="V1644" s="331"/>
      <c r="W1644" s="332"/>
      <c r="X1644" s="333"/>
      <c r="Y1644" s="33" t="s">
        <v>2867</v>
      </c>
      <c r="Z1644" s="258">
        <v>121216.0</v>
      </c>
      <c r="AA1644" s="334">
        <v>11638.0</v>
      </c>
      <c r="AB1644" s="333"/>
      <c r="AC1644" s="333"/>
      <c r="AD1644" s="329"/>
      <c r="AE1644" s="331"/>
      <c r="AF1644" s="336"/>
      <c r="AG1644" s="337"/>
      <c r="AH1644" s="333"/>
      <c r="AI1644" s="333"/>
      <c r="AJ1644" s="333"/>
      <c r="AK1644" s="333"/>
      <c r="AL1644" s="333"/>
      <c r="AM1644" s="338"/>
      <c r="AN1644" s="333"/>
      <c r="AO1644" s="333"/>
      <c r="AP1644" s="333"/>
      <c r="AQ1644" s="333"/>
      <c r="AR1644" s="333"/>
      <c r="AS1644" s="333"/>
      <c r="AT1644" s="333"/>
      <c r="AU1644" s="329"/>
      <c r="AV1644" s="341"/>
      <c r="AW1644" s="269" t="s">
        <v>2446</v>
      </c>
      <c r="AX1644" s="334" t="s">
        <v>2869</v>
      </c>
      <c r="AY1644" s="270" t="s">
        <v>695</v>
      </c>
      <c r="AZ1644" s="173" t="s">
        <v>5516</v>
      </c>
      <c r="BA1644" s="265">
        <v>10.0</v>
      </c>
      <c r="BB1644" s="174" t="s">
        <v>245</v>
      </c>
      <c r="BC1644" s="341"/>
      <c r="BD1644" s="308"/>
      <c r="BE1644" s="342"/>
      <c r="BF1644" s="274" t="str">
        <f>IFERROR(__xludf.DUMMYFUNCTION("LOWER(Regexreplace(to_text(E1644),""[^A-Za-z0-9]"","""")&amp;""_""&amp;Regexreplace(to_text(F1644),""[^A-Za-z0-9]"",""""))"),"neptronic_evcbseries")</f>
        <v>neptronic_evcbseries</v>
      </c>
      <c r="BG1644" s="275" t="str">
        <f>IFERROR(__xludf.DUMMYFUNCTION("upper(Regexreplace(to_text(E1644),""[^A-Za-z0-9]"","""")&amp;""-""&amp;Regexreplace(to_text(F1644),""[^A-Za-z0-9]"",""""))"),"NEPTRONIC-EVCBSERIES")</f>
        <v>NEPTRONIC-EVCBSERIES</v>
      </c>
    </row>
    <row r="1645" ht="30.0" customHeight="1">
      <c r="A1645" s="173">
        <v>1637.0</v>
      </c>
      <c r="B1645" s="328" t="s">
        <v>670</v>
      </c>
      <c r="C1645" s="257" t="s">
        <v>6415</v>
      </c>
      <c r="D1645" s="173" t="s">
        <v>6415</v>
      </c>
      <c r="E1645" s="174" t="s">
        <v>2861</v>
      </c>
      <c r="F1645" s="173" t="s">
        <v>2862</v>
      </c>
      <c r="G1645" s="328" t="s">
        <v>673</v>
      </c>
      <c r="H1645" s="328" t="s">
        <v>2863</v>
      </c>
      <c r="I1645" s="258" t="s">
        <v>2864</v>
      </c>
      <c r="J1645" s="259" t="s">
        <v>1211</v>
      </c>
      <c r="K1645" s="260" t="s">
        <v>6416</v>
      </c>
      <c r="L1645" s="359"/>
      <c r="M1645" s="359"/>
      <c r="N1645" s="173" t="s">
        <v>679</v>
      </c>
      <c r="O1645" s="173" t="s">
        <v>225</v>
      </c>
      <c r="P1645" s="262" t="str">
        <f t="shared" si="1"/>
        <v>IN-BLR-ANANTA-VAV-1217_7</v>
      </c>
      <c r="Q1645" s="173" t="s">
        <v>6417</v>
      </c>
      <c r="R1645" s="328" t="str">
        <f>IFS(C1645="","",C1645="n/a","N/A",LEN(C1645),Concatenate("{",char(34),"asset",char(34),":{",char(34),"guid",char(34),":",char(34),Q1645,char(34),",",char(34),"site",char(34),":",char(34),LOWER('2-Building'!$B$4),char(34),",",char(34),"name",char(34),":",char(34),LOWER(C1645),char(34),"}}"))</f>
        <v>{"asset":{"guid":"uuid://fae21771-ac58-4ef0-9dff-969043e9e579","site":"in-blr-ananta","name":"vav-1217"}}</v>
      </c>
      <c r="S1645" s="360" t="s">
        <v>5516</v>
      </c>
      <c r="T1645" s="330"/>
      <c r="U1645" s="330"/>
      <c r="V1645" s="331"/>
      <c r="W1645" s="332"/>
      <c r="X1645" s="333"/>
      <c r="Y1645" s="33" t="s">
        <v>2867</v>
      </c>
      <c r="Z1645" s="258">
        <v>121217.0</v>
      </c>
      <c r="AA1645" s="334">
        <v>11638.0</v>
      </c>
      <c r="AB1645" s="333"/>
      <c r="AC1645" s="333"/>
      <c r="AD1645" s="329"/>
      <c r="AE1645" s="331"/>
      <c r="AF1645" s="336"/>
      <c r="AG1645" s="337"/>
      <c r="AH1645" s="333"/>
      <c r="AI1645" s="333"/>
      <c r="AJ1645" s="333"/>
      <c r="AK1645" s="333"/>
      <c r="AL1645" s="333"/>
      <c r="AM1645" s="338"/>
      <c r="AN1645" s="333"/>
      <c r="AO1645" s="333"/>
      <c r="AP1645" s="333"/>
      <c r="AQ1645" s="333"/>
      <c r="AR1645" s="333"/>
      <c r="AS1645" s="333"/>
      <c r="AT1645" s="333"/>
      <c r="AU1645" s="329"/>
      <c r="AV1645" s="341"/>
      <c r="AW1645" s="269" t="s">
        <v>2446</v>
      </c>
      <c r="AX1645" s="334" t="s">
        <v>2869</v>
      </c>
      <c r="AY1645" s="270" t="s">
        <v>695</v>
      </c>
      <c r="AZ1645" s="173" t="s">
        <v>5516</v>
      </c>
      <c r="BA1645" s="265">
        <v>10.0</v>
      </c>
      <c r="BB1645" s="174" t="s">
        <v>245</v>
      </c>
      <c r="BC1645" s="341"/>
      <c r="BD1645" s="308"/>
      <c r="BE1645" s="342"/>
      <c r="BF1645" s="274" t="str">
        <f>IFERROR(__xludf.DUMMYFUNCTION("LOWER(Regexreplace(to_text(E1645),""[^A-Za-z0-9]"","""")&amp;""_""&amp;Regexreplace(to_text(F1645),""[^A-Za-z0-9]"",""""))"),"neptronic_evcbseries")</f>
        <v>neptronic_evcbseries</v>
      </c>
      <c r="BG1645" s="275" t="str">
        <f>IFERROR(__xludf.DUMMYFUNCTION("upper(Regexreplace(to_text(E1645),""[^A-Za-z0-9]"","""")&amp;""-""&amp;Regexreplace(to_text(F1645),""[^A-Za-z0-9]"",""""))"),"NEPTRONIC-EVCBSERIES")</f>
        <v>NEPTRONIC-EVCBSERIES</v>
      </c>
    </row>
    <row r="1646" ht="30.0" customHeight="1">
      <c r="A1646" s="258">
        <v>1638.0</v>
      </c>
      <c r="B1646" s="328" t="s">
        <v>670</v>
      </c>
      <c r="C1646" s="257" t="s">
        <v>6418</v>
      </c>
      <c r="D1646" s="173" t="s">
        <v>6418</v>
      </c>
      <c r="E1646" s="174" t="s">
        <v>2861</v>
      </c>
      <c r="F1646" s="173" t="s">
        <v>2862</v>
      </c>
      <c r="G1646" s="328" t="s">
        <v>673</v>
      </c>
      <c r="H1646" s="328" t="s">
        <v>2863</v>
      </c>
      <c r="I1646" s="258" t="s">
        <v>2864</v>
      </c>
      <c r="J1646" s="259" t="s">
        <v>1211</v>
      </c>
      <c r="K1646" s="260" t="s">
        <v>6419</v>
      </c>
      <c r="L1646" s="359"/>
      <c r="M1646" s="359"/>
      <c r="N1646" s="173" t="s">
        <v>679</v>
      </c>
      <c r="O1646" s="173" t="s">
        <v>225</v>
      </c>
      <c r="P1646" s="262" t="str">
        <f t="shared" si="1"/>
        <v>IN-BLR-ANANTA-VAV-1218_7</v>
      </c>
      <c r="Q1646" s="173" t="s">
        <v>6420</v>
      </c>
      <c r="R1646" s="328" t="str">
        <f>IFS(C1646="","",C1646="n/a","N/A",LEN(C1646),Concatenate("{",char(34),"asset",char(34),":{",char(34),"guid",char(34),":",char(34),Q1646,char(34),",",char(34),"site",char(34),":",char(34),LOWER('2-Building'!$B$4),char(34),",",char(34),"name",char(34),":",char(34),LOWER(C1646),char(34),"}}"))</f>
        <v>{"asset":{"guid":"uuid://929c2f43-fd81-4d1e-a1d4-838743cac16f","site":"in-blr-ananta","name":"vav-1218"}}</v>
      </c>
      <c r="S1646" s="360" t="s">
        <v>5516</v>
      </c>
      <c r="T1646" s="330"/>
      <c r="U1646" s="330"/>
      <c r="V1646" s="331"/>
      <c r="W1646" s="332"/>
      <c r="X1646" s="333"/>
      <c r="Y1646" s="33" t="s">
        <v>2867</v>
      </c>
      <c r="Z1646" s="258">
        <v>121218.0</v>
      </c>
      <c r="AA1646" s="334">
        <v>11638.0</v>
      </c>
      <c r="AB1646" s="333"/>
      <c r="AC1646" s="333"/>
      <c r="AD1646" s="329"/>
      <c r="AE1646" s="331"/>
      <c r="AF1646" s="336"/>
      <c r="AG1646" s="337"/>
      <c r="AH1646" s="333"/>
      <c r="AI1646" s="333"/>
      <c r="AJ1646" s="333"/>
      <c r="AK1646" s="333"/>
      <c r="AL1646" s="333"/>
      <c r="AM1646" s="338"/>
      <c r="AN1646" s="333"/>
      <c r="AO1646" s="333"/>
      <c r="AP1646" s="333"/>
      <c r="AQ1646" s="333"/>
      <c r="AR1646" s="333"/>
      <c r="AS1646" s="333"/>
      <c r="AT1646" s="333"/>
      <c r="AU1646" s="329"/>
      <c r="AV1646" s="341"/>
      <c r="AW1646" s="269" t="s">
        <v>2446</v>
      </c>
      <c r="AX1646" s="334" t="s">
        <v>2869</v>
      </c>
      <c r="AY1646" s="270" t="s">
        <v>695</v>
      </c>
      <c r="AZ1646" s="173" t="s">
        <v>5516</v>
      </c>
      <c r="BA1646" s="265">
        <v>10.0</v>
      </c>
      <c r="BB1646" s="174" t="s">
        <v>245</v>
      </c>
      <c r="BC1646" s="341"/>
      <c r="BD1646" s="308"/>
      <c r="BE1646" s="342"/>
      <c r="BF1646" s="274" t="str">
        <f>IFERROR(__xludf.DUMMYFUNCTION("LOWER(Regexreplace(to_text(E1646),""[^A-Za-z0-9]"","""")&amp;""_""&amp;Regexreplace(to_text(F1646),""[^A-Za-z0-9]"",""""))"),"neptronic_evcbseries")</f>
        <v>neptronic_evcbseries</v>
      </c>
      <c r="BG1646" s="275" t="str">
        <f>IFERROR(__xludf.DUMMYFUNCTION("upper(Regexreplace(to_text(E1646),""[^A-Za-z0-9]"","""")&amp;""-""&amp;Regexreplace(to_text(F1646),""[^A-Za-z0-9]"",""""))"),"NEPTRONIC-EVCBSERIES")</f>
        <v>NEPTRONIC-EVCBSERIES</v>
      </c>
    </row>
    <row r="1647" ht="30.0" customHeight="1">
      <c r="A1647" s="173">
        <v>1639.0</v>
      </c>
      <c r="B1647" s="328" t="s">
        <v>670</v>
      </c>
      <c r="C1647" s="257" t="s">
        <v>6421</v>
      </c>
      <c r="D1647" s="173" t="s">
        <v>6421</v>
      </c>
      <c r="E1647" s="174" t="s">
        <v>2861</v>
      </c>
      <c r="F1647" s="173" t="s">
        <v>2862</v>
      </c>
      <c r="G1647" s="328" t="s">
        <v>673</v>
      </c>
      <c r="H1647" s="328" t="s">
        <v>2863</v>
      </c>
      <c r="I1647" s="258" t="s">
        <v>2864</v>
      </c>
      <c r="J1647" s="259" t="s">
        <v>1211</v>
      </c>
      <c r="K1647" s="260" t="s">
        <v>6422</v>
      </c>
      <c r="L1647" s="359"/>
      <c r="M1647" s="359"/>
      <c r="N1647" s="173" t="s">
        <v>679</v>
      </c>
      <c r="O1647" s="173" t="s">
        <v>225</v>
      </c>
      <c r="P1647" s="262" t="str">
        <f t="shared" si="1"/>
        <v>IN-BLR-ANANTA-VAV-1219_7</v>
      </c>
      <c r="Q1647" s="173" t="s">
        <v>6423</v>
      </c>
      <c r="R1647" s="328" t="str">
        <f>IFS(C1647="","",C1647="n/a","N/A",LEN(C1647),Concatenate("{",char(34),"asset",char(34),":{",char(34),"guid",char(34),":",char(34),Q1647,char(34),",",char(34),"site",char(34),":",char(34),LOWER('2-Building'!$B$4),char(34),",",char(34),"name",char(34),":",char(34),LOWER(C1647),char(34),"}}"))</f>
        <v>{"asset":{"guid":"uuid://a6da58f5-547a-4e7c-981b-6bb5ef26d398","site":"in-blr-ananta","name":"vav-1219"}}</v>
      </c>
      <c r="S1647" s="360" t="s">
        <v>5516</v>
      </c>
      <c r="T1647" s="330"/>
      <c r="U1647" s="330"/>
      <c r="V1647" s="331"/>
      <c r="W1647" s="332"/>
      <c r="X1647" s="333"/>
      <c r="Y1647" s="33" t="s">
        <v>2867</v>
      </c>
      <c r="Z1647" s="258">
        <v>121219.0</v>
      </c>
      <c r="AA1647" s="334">
        <v>11638.0</v>
      </c>
      <c r="AB1647" s="333"/>
      <c r="AC1647" s="333"/>
      <c r="AD1647" s="329"/>
      <c r="AE1647" s="331"/>
      <c r="AF1647" s="336"/>
      <c r="AG1647" s="337"/>
      <c r="AH1647" s="333"/>
      <c r="AI1647" s="333"/>
      <c r="AJ1647" s="333"/>
      <c r="AK1647" s="333"/>
      <c r="AL1647" s="333"/>
      <c r="AM1647" s="338"/>
      <c r="AN1647" s="333"/>
      <c r="AO1647" s="333"/>
      <c r="AP1647" s="333"/>
      <c r="AQ1647" s="333"/>
      <c r="AR1647" s="333"/>
      <c r="AS1647" s="333"/>
      <c r="AT1647" s="333"/>
      <c r="AU1647" s="329"/>
      <c r="AV1647" s="341"/>
      <c r="AW1647" s="269" t="s">
        <v>2446</v>
      </c>
      <c r="AX1647" s="334" t="s">
        <v>2869</v>
      </c>
      <c r="AY1647" s="270" t="s">
        <v>695</v>
      </c>
      <c r="AZ1647" s="173" t="s">
        <v>5516</v>
      </c>
      <c r="BA1647" s="265">
        <v>10.0</v>
      </c>
      <c r="BB1647" s="174" t="s">
        <v>245</v>
      </c>
      <c r="BC1647" s="341"/>
      <c r="BD1647" s="308"/>
      <c r="BE1647" s="342"/>
      <c r="BF1647" s="274" t="str">
        <f>IFERROR(__xludf.DUMMYFUNCTION("LOWER(Regexreplace(to_text(E1647),""[^A-Za-z0-9]"","""")&amp;""_""&amp;Regexreplace(to_text(F1647),""[^A-Za-z0-9]"",""""))"),"neptronic_evcbseries")</f>
        <v>neptronic_evcbseries</v>
      </c>
      <c r="BG1647" s="275" t="str">
        <f>IFERROR(__xludf.DUMMYFUNCTION("upper(Regexreplace(to_text(E1647),""[^A-Za-z0-9]"","""")&amp;""-""&amp;Regexreplace(to_text(F1647),""[^A-Za-z0-9]"",""""))"),"NEPTRONIC-EVCBSERIES")</f>
        <v>NEPTRONIC-EVCBSERIES</v>
      </c>
    </row>
    <row r="1648" ht="30.0" customHeight="1">
      <c r="A1648" s="258">
        <v>1640.0</v>
      </c>
      <c r="B1648" s="328" t="s">
        <v>670</v>
      </c>
      <c r="C1648" s="257" t="s">
        <v>6424</v>
      </c>
      <c r="D1648" s="173" t="s">
        <v>6424</v>
      </c>
      <c r="E1648" s="174" t="s">
        <v>2861</v>
      </c>
      <c r="F1648" s="173" t="s">
        <v>2862</v>
      </c>
      <c r="G1648" s="328" t="s">
        <v>673</v>
      </c>
      <c r="H1648" s="328" t="s">
        <v>2863</v>
      </c>
      <c r="I1648" s="258" t="s">
        <v>2864</v>
      </c>
      <c r="J1648" s="259" t="s">
        <v>1211</v>
      </c>
      <c r="K1648" s="260" t="s">
        <v>6425</v>
      </c>
      <c r="L1648" s="359"/>
      <c r="M1648" s="359"/>
      <c r="N1648" s="173" t="s">
        <v>679</v>
      </c>
      <c r="O1648" s="173" t="s">
        <v>225</v>
      </c>
      <c r="P1648" s="262" t="str">
        <f t="shared" si="1"/>
        <v>IN-BLR-ANANTA-VAV-1220_7</v>
      </c>
      <c r="Q1648" s="173" t="s">
        <v>6426</v>
      </c>
      <c r="R1648" s="328" t="str">
        <f>IFS(C1648="","",C1648="n/a","N/A",LEN(C1648),Concatenate("{",char(34),"asset",char(34),":{",char(34),"guid",char(34),":",char(34),Q1648,char(34),",",char(34),"site",char(34),":",char(34),LOWER('2-Building'!$B$4),char(34),",",char(34),"name",char(34),":",char(34),LOWER(C1648),char(34),"}}"))</f>
        <v>{"asset":{"guid":"uuid://696e7cb4-f864-4a98-aba6-6fc4ca772cda","site":"in-blr-ananta","name":"vav-1220"}}</v>
      </c>
      <c r="S1648" s="360" t="s">
        <v>5516</v>
      </c>
      <c r="T1648" s="330"/>
      <c r="U1648" s="330"/>
      <c r="V1648" s="331"/>
      <c r="W1648" s="332"/>
      <c r="X1648" s="333"/>
      <c r="Y1648" s="33" t="s">
        <v>2867</v>
      </c>
      <c r="Z1648" s="258">
        <v>121220.0</v>
      </c>
      <c r="AA1648" s="334">
        <v>11638.0</v>
      </c>
      <c r="AB1648" s="333"/>
      <c r="AC1648" s="333"/>
      <c r="AD1648" s="329"/>
      <c r="AE1648" s="331"/>
      <c r="AF1648" s="336"/>
      <c r="AG1648" s="337"/>
      <c r="AH1648" s="333"/>
      <c r="AI1648" s="333"/>
      <c r="AJ1648" s="333"/>
      <c r="AK1648" s="333"/>
      <c r="AL1648" s="333"/>
      <c r="AM1648" s="338"/>
      <c r="AN1648" s="333"/>
      <c r="AO1648" s="333"/>
      <c r="AP1648" s="333"/>
      <c r="AQ1648" s="333"/>
      <c r="AR1648" s="333"/>
      <c r="AS1648" s="333"/>
      <c r="AT1648" s="333"/>
      <c r="AU1648" s="329"/>
      <c r="AV1648" s="341"/>
      <c r="AW1648" s="269" t="s">
        <v>2446</v>
      </c>
      <c r="AX1648" s="334" t="s">
        <v>2869</v>
      </c>
      <c r="AY1648" s="270" t="s">
        <v>695</v>
      </c>
      <c r="AZ1648" s="173" t="s">
        <v>5516</v>
      </c>
      <c r="BA1648" s="265">
        <v>10.0</v>
      </c>
      <c r="BB1648" s="174" t="s">
        <v>245</v>
      </c>
      <c r="BC1648" s="341"/>
      <c r="BD1648" s="308"/>
      <c r="BE1648" s="342"/>
      <c r="BF1648" s="274" t="str">
        <f>IFERROR(__xludf.DUMMYFUNCTION("LOWER(Regexreplace(to_text(E1648),""[^A-Za-z0-9]"","""")&amp;""_""&amp;Regexreplace(to_text(F1648),""[^A-Za-z0-9]"",""""))"),"neptronic_evcbseries")</f>
        <v>neptronic_evcbseries</v>
      </c>
      <c r="BG1648" s="275" t="str">
        <f>IFERROR(__xludf.DUMMYFUNCTION("upper(Regexreplace(to_text(E1648),""[^A-Za-z0-9]"","""")&amp;""-""&amp;Regexreplace(to_text(F1648),""[^A-Za-z0-9]"",""""))"),"NEPTRONIC-EVCBSERIES")</f>
        <v>NEPTRONIC-EVCBSERIES</v>
      </c>
    </row>
    <row r="1649" ht="30.0" customHeight="1">
      <c r="A1649" s="173">
        <v>1641.0</v>
      </c>
      <c r="B1649" s="328" t="s">
        <v>670</v>
      </c>
      <c r="C1649" s="257" t="s">
        <v>6427</v>
      </c>
      <c r="D1649" s="173" t="s">
        <v>6427</v>
      </c>
      <c r="E1649" s="174" t="s">
        <v>2861</v>
      </c>
      <c r="F1649" s="173" t="s">
        <v>2862</v>
      </c>
      <c r="G1649" s="328" t="s">
        <v>673</v>
      </c>
      <c r="H1649" s="328" t="s">
        <v>2863</v>
      </c>
      <c r="I1649" s="258" t="s">
        <v>2864</v>
      </c>
      <c r="J1649" s="259" t="s">
        <v>1211</v>
      </c>
      <c r="K1649" s="260" t="s">
        <v>6428</v>
      </c>
      <c r="L1649" s="359"/>
      <c r="M1649" s="359"/>
      <c r="N1649" s="173" t="s">
        <v>679</v>
      </c>
      <c r="O1649" s="173" t="s">
        <v>225</v>
      </c>
      <c r="P1649" s="262" t="str">
        <f t="shared" si="1"/>
        <v>IN-BLR-ANANTA-VAV-1221_7</v>
      </c>
      <c r="Q1649" s="173" t="s">
        <v>6429</v>
      </c>
      <c r="R1649" s="328" t="str">
        <f>IFS(C1649="","",C1649="n/a","N/A",LEN(C1649),Concatenate("{",char(34),"asset",char(34),":{",char(34),"guid",char(34),":",char(34),Q1649,char(34),",",char(34),"site",char(34),":",char(34),LOWER('2-Building'!$B$4),char(34),",",char(34),"name",char(34),":",char(34),LOWER(C1649),char(34),"}}"))</f>
        <v>{"asset":{"guid":"uuid://42d284f3-decb-40de-86fa-c9dc11fe5c96","site":"in-blr-ananta","name":"vav-1221"}}</v>
      </c>
      <c r="S1649" s="360" t="s">
        <v>5516</v>
      </c>
      <c r="T1649" s="330"/>
      <c r="U1649" s="330"/>
      <c r="V1649" s="331"/>
      <c r="W1649" s="332"/>
      <c r="X1649" s="333"/>
      <c r="Y1649" s="33" t="s">
        <v>2867</v>
      </c>
      <c r="Z1649" s="258">
        <v>121221.0</v>
      </c>
      <c r="AA1649" s="334">
        <v>11638.0</v>
      </c>
      <c r="AB1649" s="333"/>
      <c r="AC1649" s="333"/>
      <c r="AD1649" s="329"/>
      <c r="AE1649" s="331"/>
      <c r="AF1649" s="336"/>
      <c r="AG1649" s="337"/>
      <c r="AH1649" s="333"/>
      <c r="AI1649" s="333"/>
      <c r="AJ1649" s="333"/>
      <c r="AK1649" s="333"/>
      <c r="AL1649" s="333"/>
      <c r="AM1649" s="338"/>
      <c r="AN1649" s="333"/>
      <c r="AO1649" s="333"/>
      <c r="AP1649" s="333"/>
      <c r="AQ1649" s="333"/>
      <c r="AR1649" s="333"/>
      <c r="AS1649" s="333"/>
      <c r="AT1649" s="333"/>
      <c r="AU1649" s="329"/>
      <c r="AV1649" s="341"/>
      <c r="AW1649" s="269" t="s">
        <v>2446</v>
      </c>
      <c r="AX1649" s="334" t="s">
        <v>2869</v>
      </c>
      <c r="AY1649" s="270" t="s">
        <v>695</v>
      </c>
      <c r="AZ1649" s="173" t="s">
        <v>5516</v>
      </c>
      <c r="BA1649" s="265">
        <v>10.0</v>
      </c>
      <c r="BB1649" s="174" t="s">
        <v>245</v>
      </c>
      <c r="BC1649" s="341"/>
      <c r="BD1649" s="308"/>
      <c r="BE1649" s="342"/>
      <c r="BF1649" s="274" t="str">
        <f>IFERROR(__xludf.DUMMYFUNCTION("LOWER(Regexreplace(to_text(E1649),""[^A-Za-z0-9]"","""")&amp;""_""&amp;Regexreplace(to_text(F1649),""[^A-Za-z0-9]"",""""))"),"neptronic_evcbseries")</f>
        <v>neptronic_evcbseries</v>
      </c>
      <c r="BG1649" s="275" t="str">
        <f>IFERROR(__xludf.DUMMYFUNCTION("upper(Regexreplace(to_text(E1649),""[^A-Za-z0-9]"","""")&amp;""-""&amp;Regexreplace(to_text(F1649),""[^A-Za-z0-9]"",""""))"),"NEPTRONIC-EVCBSERIES")</f>
        <v>NEPTRONIC-EVCBSERIES</v>
      </c>
    </row>
    <row r="1650" ht="30.0" customHeight="1">
      <c r="A1650" s="258">
        <v>1642.0</v>
      </c>
      <c r="B1650" s="328" t="s">
        <v>670</v>
      </c>
      <c r="C1650" s="257" t="s">
        <v>6430</v>
      </c>
      <c r="D1650" s="173" t="s">
        <v>6430</v>
      </c>
      <c r="E1650" s="174" t="s">
        <v>2861</v>
      </c>
      <c r="F1650" s="173" t="s">
        <v>2862</v>
      </c>
      <c r="G1650" s="328" t="s">
        <v>673</v>
      </c>
      <c r="H1650" s="328" t="s">
        <v>2863</v>
      </c>
      <c r="I1650" s="258" t="s">
        <v>2864</v>
      </c>
      <c r="J1650" s="259" t="s">
        <v>1211</v>
      </c>
      <c r="K1650" s="260" t="s">
        <v>6413</v>
      </c>
      <c r="L1650" s="359"/>
      <c r="M1650" s="359"/>
      <c r="N1650" s="173" t="s">
        <v>679</v>
      </c>
      <c r="O1650" s="173" t="s">
        <v>225</v>
      </c>
      <c r="P1650" s="262" t="str">
        <f t="shared" si="1"/>
        <v>IN-BLR-ANANTA-VAV-1222_7</v>
      </c>
      <c r="Q1650" s="173" t="s">
        <v>6431</v>
      </c>
      <c r="R1650" s="328" t="str">
        <f>IFS(C1650="","",C1650="n/a","N/A",LEN(C1650),Concatenate("{",char(34),"asset",char(34),":{",char(34),"guid",char(34),":",char(34),Q1650,char(34),",",char(34),"site",char(34),":",char(34),LOWER('2-Building'!$B$4),char(34),",",char(34),"name",char(34),":",char(34),LOWER(C1650),char(34),"}}"))</f>
        <v>{"asset":{"guid":"uuid://0cd7768a-1e96-43ab-9422-cb4eb0f5fc9c","site":"in-blr-ananta","name":"vav-1222"}}</v>
      </c>
      <c r="S1650" s="360" t="s">
        <v>5516</v>
      </c>
      <c r="T1650" s="330"/>
      <c r="U1650" s="330"/>
      <c r="V1650" s="331"/>
      <c r="W1650" s="332"/>
      <c r="X1650" s="333"/>
      <c r="Y1650" s="33" t="s">
        <v>2867</v>
      </c>
      <c r="Z1650" s="258">
        <v>121222.0</v>
      </c>
      <c r="AA1650" s="334">
        <v>11638.0</v>
      </c>
      <c r="AB1650" s="333"/>
      <c r="AC1650" s="333"/>
      <c r="AD1650" s="329"/>
      <c r="AE1650" s="331"/>
      <c r="AF1650" s="336"/>
      <c r="AG1650" s="337"/>
      <c r="AH1650" s="333"/>
      <c r="AI1650" s="333"/>
      <c r="AJ1650" s="333"/>
      <c r="AK1650" s="333"/>
      <c r="AL1650" s="333"/>
      <c r="AM1650" s="338"/>
      <c r="AN1650" s="333"/>
      <c r="AO1650" s="333"/>
      <c r="AP1650" s="333"/>
      <c r="AQ1650" s="333"/>
      <c r="AR1650" s="333"/>
      <c r="AS1650" s="333"/>
      <c r="AT1650" s="333"/>
      <c r="AU1650" s="329"/>
      <c r="AV1650" s="341"/>
      <c r="AW1650" s="269" t="s">
        <v>2446</v>
      </c>
      <c r="AX1650" s="334" t="s">
        <v>2869</v>
      </c>
      <c r="AY1650" s="270" t="s">
        <v>695</v>
      </c>
      <c r="AZ1650" s="173" t="s">
        <v>5516</v>
      </c>
      <c r="BA1650" s="265">
        <v>10.0</v>
      </c>
      <c r="BB1650" s="174" t="s">
        <v>245</v>
      </c>
      <c r="BC1650" s="341"/>
      <c r="BD1650" s="308"/>
      <c r="BE1650" s="342"/>
      <c r="BF1650" s="274" t="str">
        <f>IFERROR(__xludf.DUMMYFUNCTION("LOWER(Regexreplace(to_text(E1650),""[^A-Za-z0-9]"","""")&amp;""_""&amp;Regexreplace(to_text(F1650),""[^A-Za-z0-9]"",""""))"),"neptronic_evcbseries")</f>
        <v>neptronic_evcbseries</v>
      </c>
      <c r="BG1650" s="275" t="str">
        <f>IFERROR(__xludf.DUMMYFUNCTION("upper(Regexreplace(to_text(E1650),""[^A-Za-z0-9]"","""")&amp;""-""&amp;Regexreplace(to_text(F1650),""[^A-Za-z0-9]"",""""))"),"NEPTRONIC-EVCBSERIES")</f>
        <v>NEPTRONIC-EVCBSERIES</v>
      </c>
    </row>
    <row r="1651" ht="30.0" customHeight="1">
      <c r="A1651" s="173">
        <v>1643.0</v>
      </c>
      <c r="B1651" s="328" t="s">
        <v>670</v>
      </c>
      <c r="C1651" s="257" t="s">
        <v>6432</v>
      </c>
      <c r="D1651" s="173" t="s">
        <v>6432</v>
      </c>
      <c r="E1651" s="174" t="s">
        <v>2861</v>
      </c>
      <c r="F1651" s="173" t="s">
        <v>2862</v>
      </c>
      <c r="G1651" s="328" t="s">
        <v>673</v>
      </c>
      <c r="H1651" s="328" t="s">
        <v>2863</v>
      </c>
      <c r="I1651" s="258" t="s">
        <v>2864</v>
      </c>
      <c r="J1651" s="259" t="s">
        <v>1211</v>
      </c>
      <c r="K1651" s="260" t="s">
        <v>6433</v>
      </c>
      <c r="L1651" s="359"/>
      <c r="M1651" s="359"/>
      <c r="N1651" s="173" t="s">
        <v>679</v>
      </c>
      <c r="O1651" s="173" t="s">
        <v>225</v>
      </c>
      <c r="P1651" s="262" t="str">
        <f t="shared" si="1"/>
        <v>IN-BLR-ANANTA-VAV-1223_7</v>
      </c>
      <c r="Q1651" s="173" t="s">
        <v>6434</v>
      </c>
      <c r="R1651" s="328" t="str">
        <f>IFS(C1651="","",C1651="n/a","N/A",LEN(C1651),Concatenate("{",char(34),"asset",char(34),":{",char(34),"guid",char(34),":",char(34),Q1651,char(34),",",char(34),"site",char(34),":",char(34),LOWER('2-Building'!$B$4),char(34),",",char(34),"name",char(34),":",char(34),LOWER(C1651),char(34),"}}"))</f>
        <v>{"asset":{"guid":"uuid://844f61c3-8919-4f05-897c-caba514baf35","site":"in-blr-ananta","name":"vav-1223"}}</v>
      </c>
      <c r="S1651" s="360" t="s">
        <v>5516</v>
      </c>
      <c r="T1651" s="330"/>
      <c r="U1651" s="330"/>
      <c r="V1651" s="331"/>
      <c r="W1651" s="332"/>
      <c r="X1651" s="333"/>
      <c r="Y1651" s="33" t="s">
        <v>2867</v>
      </c>
      <c r="Z1651" s="258">
        <v>121223.0</v>
      </c>
      <c r="AA1651" s="334">
        <v>11638.0</v>
      </c>
      <c r="AB1651" s="333"/>
      <c r="AC1651" s="333"/>
      <c r="AD1651" s="329"/>
      <c r="AE1651" s="331"/>
      <c r="AF1651" s="336"/>
      <c r="AG1651" s="337"/>
      <c r="AH1651" s="333"/>
      <c r="AI1651" s="333"/>
      <c r="AJ1651" s="333"/>
      <c r="AK1651" s="333"/>
      <c r="AL1651" s="333"/>
      <c r="AM1651" s="338"/>
      <c r="AN1651" s="333"/>
      <c r="AO1651" s="333"/>
      <c r="AP1651" s="333"/>
      <c r="AQ1651" s="333"/>
      <c r="AR1651" s="333"/>
      <c r="AS1651" s="333"/>
      <c r="AT1651" s="333"/>
      <c r="AU1651" s="329"/>
      <c r="AV1651" s="341"/>
      <c r="AW1651" s="269" t="s">
        <v>2446</v>
      </c>
      <c r="AX1651" s="334" t="s">
        <v>2869</v>
      </c>
      <c r="AY1651" s="270" t="s">
        <v>695</v>
      </c>
      <c r="AZ1651" s="173" t="s">
        <v>5516</v>
      </c>
      <c r="BA1651" s="265">
        <v>10.0</v>
      </c>
      <c r="BB1651" s="174" t="s">
        <v>245</v>
      </c>
      <c r="BC1651" s="341"/>
      <c r="BD1651" s="308"/>
      <c r="BE1651" s="342"/>
      <c r="BF1651" s="274" t="str">
        <f>IFERROR(__xludf.DUMMYFUNCTION("LOWER(Regexreplace(to_text(E1651),""[^A-Za-z0-9]"","""")&amp;""_""&amp;Regexreplace(to_text(F1651),""[^A-Za-z0-9]"",""""))"),"neptronic_evcbseries")</f>
        <v>neptronic_evcbseries</v>
      </c>
      <c r="BG1651" s="275" t="str">
        <f>IFERROR(__xludf.DUMMYFUNCTION("upper(Regexreplace(to_text(E1651),""[^A-Za-z0-9]"","""")&amp;""-""&amp;Regexreplace(to_text(F1651),""[^A-Za-z0-9]"",""""))"),"NEPTRONIC-EVCBSERIES")</f>
        <v>NEPTRONIC-EVCBSERIES</v>
      </c>
    </row>
    <row r="1652" ht="30.0" customHeight="1">
      <c r="A1652" s="258">
        <v>1644.0</v>
      </c>
      <c r="B1652" s="328" t="s">
        <v>670</v>
      </c>
      <c r="C1652" s="257" t="s">
        <v>6435</v>
      </c>
      <c r="D1652" s="173" t="s">
        <v>6435</v>
      </c>
      <c r="E1652" s="174" t="s">
        <v>2861</v>
      </c>
      <c r="F1652" s="173" t="s">
        <v>2862</v>
      </c>
      <c r="G1652" s="328" t="s">
        <v>673</v>
      </c>
      <c r="H1652" s="328" t="s">
        <v>2863</v>
      </c>
      <c r="I1652" s="258" t="s">
        <v>2864</v>
      </c>
      <c r="J1652" s="259" t="s">
        <v>1211</v>
      </c>
      <c r="K1652" s="260" t="s">
        <v>6436</v>
      </c>
      <c r="L1652" s="359"/>
      <c r="M1652" s="359"/>
      <c r="N1652" s="173" t="s">
        <v>679</v>
      </c>
      <c r="O1652" s="173" t="s">
        <v>225</v>
      </c>
      <c r="P1652" s="262" t="str">
        <f t="shared" si="1"/>
        <v>IN-BLR-ANANTA-VAV-1224_7</v>
      </c>
      <c r="Q1652" s="173" t="s">
        <v>6437</v>
      </c>
      <c r="R1652" s="328" t="str">
        <f>IFS(C1652="","",C1652="n/a","N/A",LEN(C1652),Concatenate("{",char(34),"asset",char(34),":{",char(34),"guid",char(34),":",char(34),Q1652,char(34),",",char(34),"site",char(34),":",char(34),LOWER('2-Building'!$B$4),char(34),",",char(34),"name",char(34),":",char(34),LOWER(C1652),char(34),"}}"))</f>
        <v>{"asset":{"guid":"uuid://9630b376-1cb5-441a-85bd-28ee93bc2cc9","site":"in-blr-ananta","name":"vav-1224"}}</v>
      </c>
      <c r="S1652" s="360" t="s">
        <v>5516</v>
      </c>
      <c r="T1652" s="330"/>
      <c r="U1652" s="330"/>
      <c r="V1652" s="331"/>
      <c r="W1652" s="332"/>
      <c r="X1652" s="333"/>
      <c r="Y1652" s="33" t="s">
        <v>2867</v>
      </c>
      <c r="Z1652" s="258">
        <v>121224.0</v>
      </c>
      <c r="AA1652" s="334">
        <v>11638.0</v>
      </c>
      <c r="AB1652" s="333"/>
      <c r="AC1652" s="333"/>
      <c r="AD1652" s="329"/>
      <c r="AE1652" s="331"/>
      <c r="AF1652" s="336"/>
      <c r="AG1652" s="337"/>
      <c r="AH1652" s="333"/>
      <c r="AI1652" s="333"/>
      <c r="AJ1652" s="333"/>
      <c r="AK1652" s="333"/>
      <c r="AL1652" s="333"/>
      <c r="AM1652" s="338"/>
      <c r="AN1652" s="333"/>
      <c r="AO1652" s="333"/>
      <c r="AP1652" s="333"/>
      <c r="AQ1652" s="333"/>
      <c r="AR1652" s="333"/>
      <c r="AS1652" s="333"/>
      <c r="AT1652" s="333"/>
      <c r="AU1652" s="329"/>
      <c r="AV1652" s="341"/>
      <c r="AW1652" s="269" t="s">
        <v>2446</v>
      </c>
      <c r="AX1652" s="334" t="s">
        <v>2869</v>
      </c>
      <c r="AY1652" s="270" t="s">
        <v>695</v>
      </c>
      <c r="AZ1652" s="173" t="s">
        <v>5516</v>
      </c>
      <c r="BA1652" s="265">
        <v>10.0</v>
      </c>
      <c r="BB1652" s="174" t="s">
        <v>245</v>
      </c>
      <c r="BC1652" s="341"/>
      <c r="BD1652" s="308"/>
      <c r="BE1652" s="342"/>
      <c r="BF1652" s="274" t="str">
        <f>IFERROR(__xludf.DUMMYFUNCTION("LOWER(Regexreplace(to_text(E1652),""[^A-Za-z0-9]"","""")&amp;""_""&amp;Regexreplace(to_text(F1652),""[^A-Za-z0-9]"",""""))"),"neptronic_evcbseries")</f>
        <v>neptronic_evcbseries</v>
      </c>
      <c r="BG1652" s="275" t="str">
        <f>IFERROR(__xludf.DUMMYFUNCTION("upper(Regexreplace(to_text(E1652),""[^A-Za-z0-9]"","""")&amp;""-""&amp;Regexreplace(to_text(F1652),""[^A-Za-z0-9]"",""""))"),"NEPTRONIC-EVCBSERIES")</f>
        <v>NEPTRONIC-EVCBSERIES</v>
      </c>
    </row>
    <row r="1653" ht="30.0" customHeight="1">
      <c r="A1653" s="173">
        <v>1645.0</v>
      </c>
      <c r="B1653" s="328" t="s">
        <v>670</v>
      </c>
      <c r="C1653" s="257" t="s">
        <v>6438</v>
      </c>
      <c r="D1653" s="173" t="s">
        <v>6438</v>
      </c>
      <c r="E1653" s="174" t="s">
        <v>2861</v>
      </c>
      <c r="F1653" s="173" t="s">
        <v>2862</v>
      </c>
      <c r="G1653" s="328" t="s">
        <v>673</v>
      </c>
      <c r="H1653" s="328" t="s">
        <v>2863</v>
      </c>
      <c r="I1653" s="258" t="s">
        <v>2864</v>
      </c>
      <c r="J1653" s="259" t="s">
        <v>1211</v>
      </c>
      <c r="K1653" s="260" t="s">
        <v>6439</v>
      </c>
      <c r="L1653" s="359"/>
      <c r="M1653" s="359"/>
      <c r="N1653" s="173" t="s">
        <v>679</v>
      </c>
      <c r="O1653" s="173" t="s">
        <v>225</v>
      </c>
      <c r="P1653" s="262" t="str">
        <f t="shared" si="1"/>
        <v>IN-BLR-ANANTA-VAV-1225_7</v>
      </c>
      <c r="Q1653" s="173" t="s">
        <v>6440</v>
      </c>
      <c r="R1653" s="328" t="str">
        <f>IFS(C1653="","",C1653="n/a","N/A",LEN(C1653),Concatenate("{",char(34),"asset",char(34),":{",char(34),"guid",char(34),":",char(34),Q1653,char(34),",",char(34),"site",char(34),":",char(34),LOWER('2-Building'!$B$4),char(34),",",char(34),"name",char(34),":",char(34),LOWER(C1653),char(34),"}}"))</f>
        <v>{"asset":{"guid":"uuid://612f492e-f1b4-4dec-86ba-ef7f63aa86f5","site":"in-blr-ananta","name":"vav-1225"}}</v>
      </c>
      <c r="S1653" s="360" t="s">
        <v>5516</v>
      </c>
      <c r="T1653" s="330"/>
      <c r="U1653" s="330"/>
      <c r="V1653" s="331"/>
      <c r="W1653" s="332"/>
      <c r="X1653" s="333"/>
      <c r="Y1653" s="33" t="s">
        <v>2867</v>
      </c>
      <c r="Z1653" s="258">
        <v>121225.0</v>
      </c>
      <c r="AA1653" s="334">
        <v>11638.0</v>
      </c>
      <c r="AB1653" s="333"/>
      <c r="AC1653" s="333"/>
      <c r="AD1653" s="329"/>
      <c r="AE1653" s="331"/>
      <c r="AF1653" s="336"/>
      <c r="AG1653" s="337"/>
      <c r="AH1653" s="333"/>
      <c r="AI1653" s="333"/>
      <c r="AJ1653" s="333"/>
      <c r="AK1653" s="333"/>
      <c r="AL1653" s="333"/>
      <c r="AM1653" s="338"/>
      <c r="AN1653" s="333"/>
      <c r="AO1653" s="333"/>
      <c r="AP1653" s="333"/>
      <c r="AQ1653" s="333"/>
      <c r="AR1653" s="333"/>
      <c r="AS1653" s="333"/>
      <c r="AT1653" s="333"/>
      <c r="AU1653" s="329"/>
      <c r="AV1653" s="341"/>
      <c r="AW1653" s="269" t="s">
        <v>2446</v>
      </c>
      <c r="AX1653" s="334" t="s">
        <v>2869</v>
      </c>
      <c r="AY1653" s="270" t="s">
        <v>695</v>
      </c>
      <c r="AZ1653" s="173" t="s">
        <v>5516</v>
      </c>
      <c r="BA1653" s="265">
        <v>10.0</v>
      </c>
      <c r="BB1653" s="174" t="s">
        <v>245</v>
      </c>
      <c r="BC1653" s="341"/>
      <c r="BD1653" s="308"/>
      <c r="BE1653" s="342"/>
      <c r="BF1653" s="274" t="str">
        <f>IFERROR(__xludf.DUMMYFUNCTION("LOWER(Regexreplace(to_text(E1653),""[^A-Za-z0-9]"","""")&amp;""_""&amp;Regexreplace(to_text(F1653),""[^A-Za-z0-9]"",""""))"),"neptronic_evcbseries")</f>
        <v>neptronic_evcbseries</v>
      </c>
      <c r="BG1653" s="275" t="str">
        <f>IFERROR(__xludf.DUMMYFUNCTION("upper(Regexreplace(to_text(E1653),""[^A-Za-z0-9]"","""")&amp;""-""&amp;Regexreplace(to_text(F1653),""[^A-Za-z0-9]"",""""))"),"NEPTRONIC-EVCBSERIES")</f>
        <v>NEPTRONIC-EVCBSERIES</v>
      </c>
    </row>
    <row r="1654" ht="30.0" customHeight="1">
      <c r="A1654" s="258">
        <v>1646.0</v>
      </c>
      <c r="B1654" s="328" t="s">
        <v>670</v>
      </c>
      <c r="C1654" s="257" t="s">
        <v>6441</v>
      </c>
      <c r="D1654" s="173" t="s">
        <v>6441</v>
      </c>
      <c r="E1654" s="174" t="s">
        <v>2861</v>
      </c>
      <c r="F1654" s="173" t="s">
        <v>2862</v>
      </c>
      <c r="G1654" s="328" t="s">
        <v>673</v>
      </c>
      <c r="H1654" s="328" t="s">
        <v>2863</v>
      </c>
      <c r="I1654" s="258" t="s">
        <v>2864</v>
      </c>
      <c r="J1654" s="259" t="s">
        <v>1211</v>
      </c>
      <c r="K1654" s="260" t="s">
        <v>6442</v>
      </c>
      <c r="L1654" s="359"/>
      <c r="M1654" s="359"/>
      <c r="N1654" s="173" t="s">
        <v>679</v>
      </c>
      <c r="O1654" s="173" t="s">
        <v>225</v>
      </c>
      <c r="P1654" s="262" t="str">
        <f t="shared" si="1"/>
        <v>IN-BLR-ANANTA-VAV-1226_7</v>
      </c>
      <c r="Q1654" s="173" t="s">
        <v>6443</v>
      </c>
      <c r="R1654" s="328" t="str">
        <f>IFS(C1654="","",C1654="n/a","N/A",LEN(C1654),Concatenate("{",char(34),"asset",char(34),":{",char(34),"guid",char(34),":",char(34),Q1654,char(34),",",char(34),"site",char(34),":",char(34),LOWER('2-Building'!$B$4),char(34),",",char(34),"name",char(34),":",char(34),LOWER(C1654),char(34),"}}"))</f>
        <v>{"asset":{"guid":"uuid://dd9af3ea-0170-4669-9488-b50712dd4b3a","site":"in-blr-ananta","name":"vav-1226"}}</v>
      </c>
      <c r="S1654" s="360" t="s">
        <v>5516</v>
      </c>
      <c r="T1654" s="330"/>
      <c r="U1654" s="330"/>
      <c r="V1654" s="331"/>
      <c r="W1654" s="332"/>
      <c r="X1654" s="333"/>
      <c r="Y1654" s="33" t="s">
        <v>2867</v>
      </c>
      <c r="Z1654" s="258">
        <v>121226.0</v>
      </c>
      <c r="AA1654" s="334">
        <v>11638.0</v>
      </c>
      <c r="AB1654" s="333"/>
      <c r="AC1654" s="333"/>
      <c r="AD1654" s="329"/>
      <c r="AE1654" s="331"/>
      <c r="AF1654" s="336"/>
      <c r="AG1654" s="337"/>
      <c r="AH1654" s="333"/>
      <c r="AI1654" s="333"/>
      <c r="AJ1654" s="333"/>
      <c r="AK1654" s="333"/>
      <c r="AL1654" s="333"/>
      <c r="AM1654" s="338"/>
      <c r="AN1654" s="333"/>
      <c r="AO1654" s="333"/>
      <c r="AP1654" s="333"/>
      <c r="AQ1654" s="333"/>
      <c r="AR1654" s="333"/>
      <c r="AS1654" s="333"/>
      <c r="AT1654" s="333"/>
      <c r="AU1654" s="329"/>
      <c r="AV1654" s="341"/>
      <c r="AW1654" s="269" t="s">
        <v>2446</v>
      </c>
      <c r="AX1654" s="334" t="s">
        <v>2869</v>
      </c>
      <c r="AY1654" s="270" t="s">
        <v>695</v>
      </c>
      <c r="AZ1654" s="173" t="s">
        <v>5516</v>
      </c>
      <c r="BA1654" s="265">
        <v>10.0</v>
      </c>
      <c r="BB1654" s="174" t="s">
        <v>245</v>
      </c>
      <c r="BC1654" s="341"/>
      <c r="BD1654" s="308"/>
      <c r="BE1654" s="342"/>
      <c r="BF1654" s="274" t="str">
        <f>IFERROR(__xludf.DUMMYFUNCTION("LOWER(Regexreplace(to_text(E1654),""[^A-Za-z0-9]"","""")&amp;""_""&amp;Regexreplace(to_text(F1654),""[^A-Za-z0-9]"",""""))"),"neptronic_evcbseries")</f>
        <v>neptronic_evcbseries</v>
      </c>
      <c r="BG1654" s="275" t="str">
        <f>IFERROR(__xludf.DUMMYFUNCTION("upper(Regexreplace(to_text(E1654),""[^A-Za-z0-9]"","""")&amp;""-""&amp;Regexreplace(to_text(F1654),""[^A-Za-z0-9]"",""""))"),"NEPTRONIC-EVCBSERIES")</f>
        <v>NEPTRONIC-EVCBSERIES</v>
      </c>
    </row>
    <row r="1655" ht="30.0" customHeight="1">
      <c r="A1655" s="173">
        <v>1647.0</v>
      </c>
      <c r="B1655" s="328" t="s">
        <v>670</v>
      </c>
      <c r="C1655" s="257" t="s">
        <v>6444</v>
      </c>
      <c r="D1655" s="173" t="s">
        <v>6444</v>
      </c>
      <c r="E1655" s="174" t="s">
        <v>2861</v>
      </c>
      <c r="F1655" s="173" t="s">
        <v>2862</v>
      </c>
      <c r="G1655" s="328" t="s">
        <v>673</v>
      </c>
      <c r="H1655" s="328" t="s">
        <v>2863</v>
      </c>
      <c r="I1655" s="258" t="s">
        <v>2864</v>
      </c>
      <c r="J1655" s="259" t="s">
        <v>1211</v>
      </c>
      <c r="K1655" s="260" t="s">
        <v>6445</v>
      </c>
      <c r="L1655" s="359"/>
      <c r="M1655" s="359"/>
      <c r="N1655" s="173" t="s">
        <v>679</v>
      </c>
      <c r="O1655" s="173" t="s">
        <v>225</v>
      </c>
      <c r="P1655" s="262" t="str">
        <f t="shared" si="1"/>
        <v>IN-BLR-ANANTA-VAV-1227_7</v>
      </c>
      <c r="Q1655" s="173" t="s">
        <v>6446</v>
      </c>
      <c r="R1655" s="328" t="str">
        <f>IFS(C1655="","",C1655="n/a","N/A",LEN(C1655),Concatenate("{",char(34),"asset",char(34),":{",char(34),"guid",char(34),":",char(34),Q1655,char(34),",",char(34),"site",char(34),":",char(34),LOWER('2-Building'!$B$4),char(34),",",char(34),"name",char(34),":",char(34),LOWER(C1655),char(34),"}}"))</f>
        <v>{"asset":{"guid":"uuid://bdc70918-b3b7-4d56-b7df-0e5f86ac9821","site":"in-blr-ananta","name":"vav-1227"}}</v>
      </c>
      <c r="S1655" s="360" t="s">
        <v>5516</v>
      </c>
      <c r="T1655" s="330"/>
      <c r="U1655" s="330"/>
      <c r="V1655" s="331"/>
      <c r="W1655" s="332"/>
      <c r="X1655" s="333"/>
      <c r="Y1655" s="33" t="s">
        <v>2867</v>
      </c>
      <c r="Z1655" s="258">
        <v>121227.0</v>
      </c>
      <c r="AA1655" s="334">
        <v>11638.0</v>
      </c>
      <c r="AB1655" s="333"/>
      <c r="AC1655" s="333"/>
      <c r="AD1655" s="329"/>
      <c r="AE1655" s="331"/>
      <c r="AF1655" s="336"/>
      <c r="AG1655" s="337"/>
      <c r="AH1655" s="333"/>
      <c r="AI1655" s="333"/>
      <c r="AJ1655" s="333"/>
      <c r="AK1655" s="333"/>
      <c r="AL1655" s="333"/>
      <c r="AM1655" s="338"/>
      <c r="AN1655" s="333"/>
      <c r="AO1655" s="333"/>
      <c r="AP1655" s="333"/>
      <c r="AQ1655" s="333"/>
      <c r="AR1655" s="333"/>
      <c r="AS1655" s="333"/>
      <c r="AT1655" s="333"/>
      <c r="AU1655" s="329"/>
      <c r="AV1655" s="341"/>
      <c r="AW1655" s="269" t="s">
        <v>2446</v>
      </c>
      <c r="AX1655" s="334" t="s">
        <v>2869</v>
      </c>
      <c r="AY1655" s="270" t="s">
        <v>695</v>
      </c>
      <c r="AZ1655" s="173" t="s">
        <v>5516</v>
      </c>
      <c r="BA1655" s="265">
        <v>10.0</v>
      </c>
      <c r="BB1655" s="174" t="s">
        <v>245</v>
      </c>
      <c r="BC1655" s="341"/>
      <c r="BD1655" s="308"/>
      <c r="BE1655" s="342"/>
      <c r="BF1655" s="274" t="str">
        <f>IFERROR(__xludf.DUMMYFUNCTION("LOWER(Regexreplace(to_text(E1655),""[^A-Za-z0-9]"","""")&amp;""_""&amp;Regexreplace(to_text(F1655),""[^A-Za-z0-9]"",""""))"),"neptronic_evcbseries")</f>
        <v>neptronic_evcbseries</v>
      </c>
      <c r="BG1655" s="275" t="str">
        <f>IFERROR(__xludf.DUMMYFUNCTION("upper(Regexreplace(to_text(E1655),""[^A-Za-z0-9]"","""")&amp;""-""&amp;Regexreplace(to_text(F1655),""[^A-Za-z0-9]"",""""))"),"NEPTRONIC-EVCBSERIES")</f>
        <v>NEPTRONIC-EVCBSERIES</v>
      </c>
    </row>
    <row r="1656" ht="30.0" customHeight="1">
      <c r="A1656" s="258">
        <v>1648.0</v>
      </c>
      <c r="B1656" s="328" t="s">
        <v>670</v>
      </c>
      <c r="C1656" s="257" t="s">
        <v>6447</v>
      </c>
      <c r="D1656" s="173" t="s">
        <v>6447</v>
      </c>
      <c r="E1656" s="174" t="s">
        <v>2861</v>
      </c>
      <c r="F1656" s="173" t="s">
        <v>2862</v>
      </c>
      <c r="G1656" s="328" t="s">
        <v>673</v>
      </c>
      <c r="H1656" s="328" t="s">
        <v>2863</v>
      </c>
      <c r="I1656" s="258" t="s">
        <v>2864</v>
      </c>
      <c r="J1656" s="259" t="s">
        <v>1211</v>
      </c>
      <c r="K1656" s="260" t="s">
        <v>6448</v>
      </c>
      <c r="L1656" s="359"/>
      <c r="M1656" s="359"/>
      <c r="N1656" s="173" t="s">
        <v>679</v>
      </c>
      <c r="O1656" s="173" t="s">
        <v>225</v>
      </c>
      <c r="P1656" s="262" t="str">
        <f t="shared" si="1"/>
        <v>IN-BLR-ANANTA-VAV-1228_7</v>
      </c>
      <c r="Q1656" s="173" t="s">
        <v>6449</v>
      </c>
      <c r="R1656" s="328" t="str">
        <f>IFS(C1656="","",C1656="n/a","N/A",LEN(C1656),Concatenate("{",char(34),"asset",char(34),":{",char(34),"guid",char(34),":",char(34),Q1656,char(34),",",char(34),"site",char(34),":",char(34),LOWER('2-Building'!$B$4),char(34),",",char(34),"name",char(34),":",char(34),LOWER(C1656),char(34),"}}"))</f>
        <v>{"asset":{"guid":"uuid://447a910c-f7bf-42c6-99d6-3bd6c6552f4e","site":"in-blr-ananta","name":"vav-1228"}}</v>
      </c>
      <c r="S1656" s="360" t="s">
        <v>5516</v>
      </c>
      <c r="T1656" s="330"/>
      <c r="U1656" s="330"/>
      <c r="V1656" s="331"/>
      <c r="W1656" s="332"/>
      <c r="X1656" s="333"/>
      <c r="Y1656" s="33" t="s">
        <v>2867</v>
      </c>
      <c r="Z1656" s="258">
        <v>121228.0</v>
      </c>
      <c r="AA1656" s="334">
        <v>11638.0</v>
      </c>
      <c r="AB1656" s="333"/>
      <c r="AC1656" s="333"/>
      <c r="AD1656" s="329"/>
      <c r="AE1656" s="331"/>
      <c r="AF1656" s="336"/>
      <c r="AG1656" s="337"/>
      <c r="AH1656" s="333"/>
      <c r="AI1656" s="333"/>
      <c r="AJ1656" s="333"/>
      <c r="AK1656" s="333"/>
      <c r="AL1656" s="333"/>
      <c r="AM1656" s="338"/>
      <c r="AN1656" s="333"/>
      <c r="AO1656" s="333"/>
      <c r="AP1656" s="333"/>
      <c r="AQ1656" s="333"/>
      <c r="AR1656" s="333"/>
      <c r="AS1656" s="333"/>
      <c r="AT1656" s="333"/>
      <c r="AU1656" s="329"/>
      <c r="AV1656" s="341"/>
      <c r="AW1656" s="269" t="s">
        <v>2446</v>
      </c>
      <c r="AX1656" s="334" t="s">
        <v>2869</v>
      </c>
      <c r="AY1656" s="270" t="s">
        <v>695</v>
      </c>
      <c r="AZ1656" s="173" t="s">
        <v>5516</v>
      </c>
      <c r="BA1656" s="265">
        <v>10.0</v>
      </c>
      <c r="BB1656" s="174" t="s">
        <v>245</v>
      </c>
      <c r="BC1656" s="341"/>
      <c r="BD1656" s="308"/>
      <c r="BE1656" s="342"/>
      <c r="BF1656" s="274" t="str">
        <f>IFERROR(__xludf.DUMMYFUNCTION("LOWER(Regexreplace(to_text(E1656),""[^A-Za-z0-9]"","""")&amp;""_""&amp;Regexreplace(to_text(F1656),""[^A-Za-z0-9]"",""""))"),"neptronic_evcbseries")</f>
        <v>neptronic_evcbseries</v>
      </c>
      <c r="BG1656" s="275" t="str">
        <f>IFERROR(__xludf.DUMMYFUNCTION("upper(Regexreplace(to_text(E1656),""[^A-Za-z0-9]"","""")&amp;""-""&amp;Regexreplace(to_text(F1656),""[^A-Za-z0-9]"",""""))"),"NEPTRONIC-EVCBSERIES")</f>
        <v>NEPTRONIC-EVCBSERIES</v>
      </c>
    </row>
    <row r="1657" ht="30.0" customHeight="1">
      <c r="A1657" s="173">
        <v>1649.0</v>
      </c>
      <c r="B1657" s="328" t="s">
        <v>670</v>
      </c>
      <c r="C1657" s="257" t="s">
        <v>6450</v>
      </c>
      <c r="D1657" s="173" t="s">
        <v>6450</v>
      </c>
      <c r="E1657" s="174" t="s">
        <v>2861</v>
      </c>
      <c r="F1657" s="173" t="s">
        <v>2862</v>
      </c>
      <c r="G1657" s="328" t="s">
        <v>673</v>
      </c>
      <c r="H1657" s="328" t="s">
        <v>2863</v>
      </c>
      <c r="I1657" s="258" t="s">
        <v>2864</v>
      </c>
      <c r="J1657" s="259" t="s">
        <v>1211</v>
      </c>
      <c r="K1657" s="260" t="s">
        <v>6451</v>
      </c>
      <c r="L1657" s="359"/>
      <c r="M1657" s="359"/>
      <c r="N1657" s="173" t="s">
        <v>679</v>
      </c>
      <c r="O1657" s="173" t="s">
        <v>225</v>
      </c>
      <c r="P1657" s="262" t="str">
        <f t="shared" si="1"/>
        <v>IN-BLR-ANANTA-VAV-1229_7</v>
      </c>
      <c r="Q1657" s="173" t="s">
        <v>6452</v>
      </c>
      <c r="R1657" s="328" t="str">
        <f>IFS(C1657="","",C1657="n/a","N/A",LEN(C1657),Concatenate("{",char(34),"asset",char(34),":{",char(34),"guid",char(34),":",char(34),Q1657,char(34),",",char(34),"site",char(34),":",char(34),LOWER('2-Building'!$B$4),char(34),",",char(34),"name",char(34),":",char(34),LOWER(C1657),char(34),"}}"))</f>
        <v>{"asset":{"guid":"uuid://99052f90-8465-4202-86f3-ebb5f7bfeb8b","site":"in-blr-ananta","name":"vav-1229"}}</v>
      </c>
      <c r="S1657" s="360" t="s">
        <v>5516</v>
      </c>
      <c r="T1657" s="330"/>
      <c r="U1657" s="330"/>
      <c r="V1657" s="331"/>
      <c r="W1657" s="332"/>
      <c r="X1657" s="333"/>
      <c r="Y1657" s="33" t="s">
        <v>2867</v>
      </c>
      <c r="Z1657" s="258">
        <v>121229.0</v>
      </c>
      <c r="AA1657" s="334">
        <v>11638.0</v>
      </c>
      <c r="AB1657" s="333"/>
      <c r="AC1657" s="333"/>
      <c r="AD1657" s="329"/>
      <c r="AE1657" s="331"/>
      <c r="AF1657" s="336"/>
      <c r="AG1657" s="337"/>
      <c r="AH1657" s="333"/>
      <c r="AI1657" s="333"/>
      <c r="AJ1657" s="333"/>
      <c r="AK1657" s="333"/>
      <c r="AL1657" s="333"/>
      <c r="AM1657" s="338"/>
      <c r="AN1657" s="333"/>
      <c r="AO1657" s="333"/>
      <c r="AP1657" s="333"/>
      <c r="AQ1657" s="333"/>
      <c r="AR1657" s="333"/>
      <c r="AS1657" s="333"/>
      <c r="AT1657" s="333"/>
      <c r="AU1657" s="329"/>
      <c r="AV1657" s="341"/>
      <c r="AW1657" s="269" t="s">
        <v>2446</v>
      </c>
      <c r="AX1657" s="334" t="s">
        <v>2869</v>
      </c>
      <c r="AY1657" s="270" t="s">
        <v>695</v>
      </c>
      <c r="AZ1657" s="173" t="s">
        <v>5516</v>
      </c>
      <c r="BA1657" s="265">
        <v>10.0</v>
      </c>
      <c r="BB1657" s="174" t="s">
        <v>245</v>
      </c>
      <c r="BC1657" s="341"/>
      <c r="BD1657" s="308"/>
      <c r="BE1657" s="342"/>
      <c r="BF1657" s="274" t="str">
        <f>IFERROR(__xludf.DUMMYFUNCTION("LOWER(Regexreplace(to_text(E1657),""[^A-Za-z0-9]"","""")&amp;""_""&amp;Regexreplace(to_text(F1657),""[^A-Za-z0-9]"",""""))"),"neptronic_evcbseries")</f>
        <v>neptronic_evcbseries</v>
      </c>
      <c r="BG1657" s="275" t="str">
        <f>IFERROR(__xludf.DUMMYFUNCTION("upper(Regexreplace(to_text(E1657),""[^A-Za-z0-9]"","""")&amp;""-""&amp;Regexreplace(to_text(F1657),""[^A-Za-z0-9]"",""""))"),"NEPTRONIC-EVCBSERIES")</f>
        <v>NEPTRONIC-EVCBSERIES</v>
      </c>
    </row>
    <row r="1658" ht="30.0" customHeight="1">
      <c r="A1658" s="258">
        <v>1650.0</v>
      </c>
      <c r="B1658" s="328" t="s">
        <v>670</v>
      </c>
      <c r="C1658" s="257" t="s">
        <v>6453</v>
      </c>
      <c r="D1658" s="173" t="s">
        <v>6453</v>
      </c>
      <c r="E1658" s="174" t="s">
        <v>2861</v>
      </c>
      <c r="F1658" s="173" t="s">
        <v>2862</v>
      </c>
      <c r="G1658" s="328" t="s">
        <v>673</v>
      </c>
      <c r="H1658" s="328" t="s">
        <v>2863</v>
      </c>
      <c r="I1658" s="258" t="s">
        <v>2864</v>
      </c>
      <c r="J1658" s="259" t="s">
        <v>1211</v>
      </c>
      <c r="K1658" s="260" t="s">
        <v>6454</v>
      </c>
      <c r="L1658" s="359"/>
      <c r="M1658" s="359"/>
      <c r="N1658" s="173" t="s">
        <v>679</v>
      </c>
      <c r="O1658" s="173" t="s">
        <v>225</v>
      </c>
      <c r="P1658" s="262" t="str">
        <f t="shared" si="1"/>
        <v>IN-BLR-ANANTA-VAV-1230_7</v>
      </c>
      <c r="Q1658" s="173" t="s">
        <v>6455</v>
      </c>
      <c r="R1658" s="328" t="str">
        <f>IFS(C1658="","",C1658="n/a","N/A",LEN(C1658),Concatenate("{",char(34),"asset",char(34),":{",char(34),"guid",char(34),":",char(34),Q1658,char(34),",",char(34),"site",char(34),":",char(34),LOWER('2-Building'!$B$4),char(34),",",char(34),"name",char(34),":",char(34),LOWER(C1658),char(34),"}}"))</f>
        <v>{"asset":{"guid":"uuid://40d302a4-9cd8-4fb0-b888-4aacd2fbe4e4","site":"in-blr-ananta","name":"vav-1230"}}</v>
      </c>
      <c r="S1658" s="360" t="s">
        <v>5516</v>
      </c>
      <c r="T1658" s="330"/>
      <c r="U1658" s="330"/>
      <c r="V1658" s="331"/>
      <c r="W1658" s="332"/>
      <c r="X1658" s="333"/>
      <c r="Y1658" s="33" t="s">
        <v>2867</v>
      </c>
      <c r="Z1658" s="258">
        <v>121230.0</v>
      </c>
      <c r="AA1658" s="334">
        <v>11638.0</v>
      </c>
      <c r="AB1658" s="333"/>
      <c r="AC1658" s="333"/>
      <c r="AD1658" s="329"/>
      <c r="AE1658" s="331"/>
      <c r="AF1658" s="336"/>
      <c r="AG1658" s="337"/>
      <c r="AH1658" s="333"/>
      <c r="AI1658" s="333"/>
      <c r="AJ1658" s="333"/>
      <c r="AK1658" s="333"/>
      <c r="AL1658" s="333"/>
      <c r="AM1658" s="338"/>
      <c r="AN1658" s="333"/>
      <c r="AO1658" s="333"/>
      <c r="AP1658" s="333"/>
      <c r="AQ1658" s="333"/>
      <c r="AR1658" s="333"/>
      <c r="AS1658" s="333"/>
      <c r="AT1658" s="333"/>
      <c r="AU1658" s="329"/>
      <c r="AV1658" s="341"/>
      <c r="AW1658" s="269" t="s">
        <v>2446</v>
      </c>
      <c r="AX1658" s="334" t="s">
        <v>2869</v>
      </c>
      <c r="AY1658" s="270" t="s">
        <v>695</v>
      </c>
      <c r="AZ1658" s="173" t="s">
        <v>5516</v>
      </c>
      <c r="BA1658" s="265">
        <v>10.0</v>
      </c>
      <c r="BB1658" s="174" t="s">
        <v>245</v>
      </c>
      <c r="BC1658" s="341"/>
      <c r="BD1658" s="308"/>
      <c r="BE1658" s="342"/>
      <c r="BF1658" s="274" t="str">
        <f>IFERROR(__xludf.DUMMYFUNCTION("LOWER(Regexreplace(to_text(E1658),""[^A-Za-z0-9]"","""")&amp;""_""&amp;Regexreplace(to_text(F1658),""[^A-Za-z0-9]"",""""))"),"neptronic_evcbseries")</f>
        <v>neptronic_evcbseries</v>
      </c>
      <c r="BG1658" s="275" t="str">
        <f>IFERROR(__xludf.DUMMYFUNCTION("upper(Regexreplace(to_text(E1658),""[^A-Za-z0-9]"","""")&amp;""-""&amp;Regexreplace(to_text(F1658),""[^A-Za-z0-9]"",""""))"),"NEPTRONIC-EVCBSERIES")</f>
        <v>NEPTRONIC-EVCBSERIES</v>
      </c>
    </row>
    <row r="1659" ht="30.0" customHeight="1">
      <c r="A1659" s="173">
        <v>1651.0</v>
      </c>
      <c r="B1659" s="328" t="s">
        <v>670</v>
      </c>
      <c r="C1659" s="257" t="s">
        <v>6456</v>
      </c>
      <c r="D1659" s="173" t="s">
        <v>6456</v>
      </c>
      <c r="E1659" s="174" t="s">
        <v>2861</v>
      </c>
      <c r="F1659" s="173" t="s">
        <v>2862</v>
      </c>
      <c r="G1659" s="328" t="s">
        <v>673</v>
      </c>
      <c r="H1659" s="328" t="s">
        <v>2863</v>
      </c>
      <c r="I1659" s="258" t="s">
        <v>2864</v>
      </c>
      <c r="J1659" s="259" t="s">
        <v>1211</v>
      </c>
      <c r="K1659" s="260" t="s">
        <v>6457</v>
      </c>
      <c r="L1659" s="359"/>
      <c r="M1659" s="359"/>
      <c r="N1659" s="173" t="s">
        <v>679</v>
      </c>
      <c r="O1659" s="173" t="s">
        <v>225</v>
      </c>
      <c r="P1659" s="262" t="str">
        <f t="shared" si="1"/>
        <v>IN-BLR-ANANTA-VAV-1231_7</v>
      </c>
      <c r="Q1659" s="173" t="s">
        <v>6458</v>
      </c>
      <c r="R1659" s="328" t="str">
        <f>IFS(C1659="","",C1659="n/a","N/A",LEN(C1659),Concatenate("{",char(34),"asset",char(34),":{",char(34),"guid",char(34),":",char(34),Q1659,char(34),",",char(34),"site",char(34),":",char(34),LOWER('2-Building'!$B$4),char(34),",",char(34),"name",char(34),":",char(34),LOWER(C1659),char(34),"}}"))</f>
        <v>{"asset":{"guid":"uuid://8de51982-6628-4fb7-ac19-1882e58e33f1","site":"in-blr-ananta","name":"vav-1231"}}</v>
      </c>
      <c r="S1659" s="360" t="s">
        <v>5516</v>
      </c>
      <c r="T1659" s="330"/>
      <c r="U1659" s="330"/>
      <c r="V1659" s="331"/>
      <c r="W1659" s="332"/>
      <c r="X1659" s="333"/>
      <c r="Y1659" s="33" t="s">
        <v>2867</v>
      </c>
      <c r="Z1659" s="258">
        <v>121231.0</v>
      </c>
      <c r="AA1659" s="334">
        <v>11638.0</v>
      </c>
      <c r="AB1659" s="333"/>
      <c r="AC1659" s="333"/>
      <c r="AD1659" s="329"/>
      <c r="AE1659" s="331"/>
      <c r="AF1659" s="336"/>
      <c r="AG1659" s="337"/>
      <c r="AH1659" s="333"/>
      <c r="AI1659" s="333"/>
      <c r="AJ1659" s="333"/>
      <c r="AK1659" s="333"/>
      <c r="AL1659" s="333"/>
      <c r="AM1659" s="338"/>
      <c r="AN1659" s="333"/>
      <c r="AO1659" s="333"/>
      <c r="AP1659" s="333"/>
      <c r="AQ1659" s="333"/>
      <c r="AR1659" s="333"/>
      <c r="AS1659" s="333"/>
      <c r="AT1659" s="333"/>
      <c r="AU1659" s="329"/>
      <c r="AV1659" s="341"/>
      <c r="AW1659" s="269" t="s">
        <v>2446</v>
      </c>
      <c r="AX1659" s="334" t="s">
        <v>2869</v>
      </c>
      <c r="AY1659" s="270" t="s">
        <v>695</v>
      </c>
      <c r="AZ1659" s="173" t="s">
        <v>5516</v>
      </c>
      <c r="BA1659" s="265">
        <v>10.0</v>
      </c>
      <c r="BB1659" s="174" t="s">
        <v>245</v>
      </c>
      <c r="BC1659" s="341"/>
      <c r="BD1659" s="308"/>
      <c r="BE1659" s="342"/>
      <c r="BF1659" s="274" t="str">
        <f>IFERROR(__xludf.DUMMYFUNCTION("LOWER(Regexreplace(to_text(E1659),""[^A-Za-z0-9]"","""")&amp;""_""&amp;Regexreplace(to_text(F1659),""[^A-Za-z0-9]"",""""))"),"neptronic_evcbseries")</f>
        <v>neptronic_evcbseries</v>
      </c>
      <c r="BG1659" s="275" t="str">
        <f>IFERROR(__xludf.DUMMYFUNCTION("upper(Regexreplace(to_text(E1659),""[^A-Za-z0-9]"","""")&amp;""-""&amp;Regexreplace(to_text(F1659),""[^A-Za-z0-9]"",""""))"),"NEPTRONIC-EVCBSERIES")</f>
        <v>NEPTRONIC-EVCBSERIES</v>
      </c>
    </row>
    <row r="1660" ht="30.0" customHeight="1">
      <c r="A1660" s="258">
        <v>1652.0</v>
      </c>
      <c r="B1660" s="328" t="s">
        <v>670</v>
      </c>
      <c r="C1660" s="257" t="s">
        <v>6459</v>
      </c>
      <c r="D1660" s="173" t="s">
        <v>6459</v>
      </c>
      <c r="E1660" s="174" t="s">
        <v>2861</v>
      </c>
      <c r="F1660" s="173" t="s">
        <v>2862</v>
      </c>
      <c r="G1660" s="328" t="s">
        <v>673</v>
      </c>
      <c r="H1660" s="328" t="s">
        <v>2863</v>
      </c>
      <c r="I1660" s="258" t="s">
        <v>2864</v>
      </c>
      <c r="J1660" s="259" t="s">
        <v>1211</v>
      </c>
      <c r="K1660" s="260" t="s">
        <v>6460</v>
      </c>
      <c r="L1660" s="359"/>
      <c r="M1660" s="359"/>
      <c r="N1660" s="173" t="s">
        <v>679</v>
      </c>
      <c r="O1660" s="173" t="s">
        <v>225</v>
      </c>
      <c r="P1660" s="262" t="str">
        <f t="shared" si="1"/>
        <v>IN-BLR-ANANTA-VAV-1232_7</v>
      </c>
      <c r="Q1660" s="173" t="s">
        <v>6461</v>
      </c>
      <c r="R1660" s="328" t="str">
        <f>IFS(C1660="","",C1660="n/a","N/A",LEN(C1660),Concatenate("{",char(34),"asset",char(34),":{",char(34),"guid",char(34),":",char(34),Q1660,char(34),",",char(34),"site",char(34),":",char(34),LOWER('2-Building'!$B$4),char(34),",",char(34),"name",char(34),":",char(34),LOWER(C1660),char(34),"}}"))</f>
        <v>{"asset":{"guid":"uuid://43f3f58b-6bd4-4258-8db2-e908456269fe","site":"in-blr-ananta","name":"vav-1232"}}</v>
      </c>
      <c r="S1660" s="360" t="s">
        <v>5516</v>
      </c>
      <c r="T1660" s="330"/>
      <c r="U1660" s="330"/>
      <c r="V1660" s="331"/>
      <c r="W1660" s="332"/>
      <c r="X1660" s="333"/>
      <c r="Y1660" s="33" t="s">
        <v>2867</v>
      </c>
      <c r="Z1660" s="258">
        <v>121232.0</v>
      </c>
      <c r="AA1660" s="334">
        <v>11638.0</v>
      </c>
      <c r="AB1660" s="333"/>
      <c r="AC1660" s="333"/>
      <c r="AD1660" s="329"/>
      <c r="AE1660" s="331"/>
      <c r="AF1660" s="336"/>
      <c r="AG1660" s="337"/>
      <c r="AH1660" s="333"/>
      <c r="AI1660" s="333"/>
      <c r="AJ1660" s="333"/>
      <c r="AK1660" s="333"/>
      <c r="AL1660" s="333"/>
      <c r="AM1660" s="338"/>
      <c r="AN1660" s="333"/>
      <c r="AO1660" s="333"/>
      <c r="AP1660" s="333"/>
      <c r="AQ1660" s="333"/>
      <c r="AR1660" s="333"/>
      <c r="AS1660" s="333"/>
      <c r="AT1660" s="333"/>
      <c r="AU1660" s="329"/>
      <c r="AV1660" s="341"/>
      <c r="AW1660" s="269" t="s">
        <v>2446</v>
      </c>
      <c r="AX1660" s="334" t="s">
        <v>2869</v>
      </c>
      <c r="AY1660" s="270" t="s">
        <v>695</v>
      </c>
      <c r="AZ1660" s="173" t="s">
        <v>5516</v>
      </c>
      <c r="BA1660" s="265">
        <v>10.0</v>
      </c>
      <c r="BB1660" s="174" t="s">
        <v>245</v>
      </c>
      <c r="BC1660" s="341"/>
      <c r="BD1660" s="308"/>
      <c r="BE1660" s="342"/>
      <c r="BF1660" s="274" t="str">
        <f>IFERROR(__xludf.DUMMYFUNCTION("LOWER(Regexreplace(to_text(E1660),""[^A-Za-z0-9]"","""")&amp;""_""&amp;Regexreplace(to_text(F1660),""[^A-Za-z0-9]"",""""))"),"neptronic_evcbseries")</f>
        <v>neptronic_evcbseries</v>
      </c>
      <c r="BG1660" s="275" t="str">
        <f>IFERROR(__xludf.DUMMYFUNCTION("upper(Regexreplace(to_text(E1660),""[^A-Za-z0-9]"","""")&amp;""-""&amp;Regexreplace(to_text(F1660),""[^A-Za-z0-9]"",""""))"),"NEPTRONIC-EVCBSERIES")</f>
        <v>NEPTRONIC-EVCBSERIES</v>
      </c>
    </row>
    <row r="1661" ht="30.0" customHeight="1">
      <c r="A1661" s="173">
        <v>1653.0</v>
      </c>
      <c r="B1661" s="328" t="s">
        <v>670</v>
      </c>
      <c r="C1661" s="257" t="s">
        <v>6462</v>
      </c>
      <c r="D1661" s="173" t="s">
        <v>6462</v>
      </c>
      <c r="E1661" s="174" t="s">
        <v>2861</v>
      </c>
      <c r="F1661" s="173" t="s">
        <v>2862</v>
      </c>
      <c r="G1661" s="328" t="s">
        <v>673</v>
      </c>
      <c r="H1661" s="328" t="s">
        <v>2863</v>
      </c>
      <c r="I1661" s="258" t="s">
        <v>2864</v>
      </c>
      <c r="J1661" s="259" t="s">
        <v>1211</v>
      </c>
      <c r="K1661" s="260" t="s">
        <v>5565</v>
      </c>
      <c r="L1661" s="359"/>
      <c r="M1661" s="359"/>
      <c r="N1661" s="173" t="s">
        <v>679</v>
      </c>
      <c r="O1661" s="173" t="s">
        <v>225</v>
      </c>
      <c r="P1661" s="262" t="str">
        <f t="shared" si="1"/>
        <v>IN-BLR-ANANTA-VAV-1233_7</v>
      </c>
      <c r="Q1661" s="173" t="s">
        <v>6463</v>
      </c>
      <c r="R1661" s="328" t="str">
        <f>IFS(C1661="","",C1661="n/a","N/A",LEN(C1661),Concatenate("{",char(34),"asset",char(34),":{",char(34),"guid",char(34),":",char(34),Q1661,char(34),",",char(34),"site",char(34),":",char(34),LOWER('2-Building'!$B$4),char(34),",",char(34),"name",char(34),":",char(34),LOWER(C1661),char(34),"}}"))</f>
        <v>{"asset":{"guid":"uuid://7552e2a7-7c49-4a99-8a82-79751d2c2fb8","site":"in-blr-ananta","name":"vav-1233"}}</v>
      </c>
      <c r="S1661" s="360" t="s">
        <v>5516</v>
      </c>
      <c r="T1661" s="330"/>
      <c r="U1661" s="330"/>
      <c r="V1661" s="331"/>
      <c r="W1661" s="332"/>
      <c r="X1661" s="333"/>
      <c r="Y1661" s="33" t="s">
        <v>2867</v>
      </c>
      <c r="Z1661" s="258">
        <v>121233.0</v>
      </c>
      <c r="AA1661" s="334">
        <v>11637.0</v>
      </c>
      <c r="AB1661" s="333"/>
      <c r="AC1661" s="333"/>
      <c r="AD1661" s="329"/>
      <c r="AE1661" s="331"/>
      <c r="AF1661" s="336"/>
      <c r="AG1661" s="337"/>
      <c r="AH1661" s="333"/>
      <c r="AI1661" s="333"/>
      <c r="AJ1661" s="333"/>
      <c r="AK1661" s="333"/>
      <c r="AL1661" s="333"/>
      <c r="AM1661" s="338"/>
      <c r="AN1661" s="333"/>
      <c r="AO1661" s="333"/>
      <c r="AP1661" s="333"/>
      <c r="AQ1661" s="333"/>
      <c r="AR1661" s="333"/>
      <c r="AS1661" s="333"/>
      <c r="AT1661" s="333"/>
      <c r="AU1661" s="329"/>
      <c r="AV1661" s="341"/>
      <c r="AW1661" s="269" t="s">
        <v>2446</v>
      </c>
      <c r="AX1661" s="334" t="s">
        <v>2869</v>
      </c>
      <c r="AY1661" s="270" t="s">
        <v>695</v>
      </c>
      <c r="AZ1661" s="173" t="s">
        <v>5516</v>
      </c>
      <c r="BA1661" s="265">
        <v>10.0</v>
      </c>
      <c r="BB1661" s="174" t="s">
        <v>245</v>
      </c>
      <c r="BC1661" s="341"/>
      <c r="BD1661" s="308"/>
      <c r="BE1661" s="342"/>
      <c r="BF1661" s="274" t="str">
        <f>IFERROR(__xludf.DUMMYFUNCTION("LOWER(Regexreplace(to_text(E1661),""[^A-Za-z0-9]"","""")&amp;""_""&amp;Regexreplace(to_text(F1661),""[^A-Za-z0-9]"",""""))"),"neptronic_evcbseries")</f>
        <v>neptronic_evcbseries</v>
      </c>
      <c r="BG1661" s="275" t="str">
        <f>IFERROR(__xludf.DUMMYFUNCTION("upper(Regexreplace(to_text(E1661),""[^A-Za-z0-9]"","""")&amp;""-""&amp;Regexreplace(to_text(F1661),""[^A-Za-z0-9]"",""""))"),"NEPTRONIC-EVCBSERIES")</f>
        <v>NEPTRONIC-EVCBSERIES</v>
      </c>
    </row>
    <row r="1662" ht="30.0" customHeight="1">
      <c r="A1662" s="258">
        <v>1654.0</v>
      </c>
      <c r="B1662" s="328" t="s">
        <v>670</v>
      </c>
      <c r="C1662" s="257" t="s">
        <v>6464</v>
      </c>
      <c r="D1662" s="173" t="s">
        <v>6464</v>
      </c>
      <c r="E1662" s="174" t="s">
        <v>2861</v>
      </c>
      <c r="F1662" s="173" t="s">
        <v>2862</v>
      </c>
      <c r="G1662" s="328" t="s">
        <v>673</v>
      </c>
      <c r="H1662" s="328" t="s">
        <v>2863</v>
      </c>
      <c r="I1662" s="258" t="s">
        <v>2864</v>
      </c>
      <c r="J1662" s="259" t="s">
        <v>1211</v>
      </c>
      <c r="K1662" s="260" t="s">
        <v>6465</v>
      </c>
      <c r="L1662" s="359"/>
      <c r="M1662" s="359"/>
      <c r="N1662" s="173" t="s">
        <v>679</v>
      </c>
      <c r="O1662" s="173" t="s">
        <v>225</v>
      </c>
      <c r="P1662" s="262" t="str">
        <f t="shared" si="1"/>
        <v>IN-BLR-ANANTA-VAV-1234_7</v>
      </c>
      <c r="Q1662" s="173" t="s">
        <v>6466</v>
      </c>
      <c r="R1662" s="328" t="str">
        <f>IFS(C1662="","",C1662="n/a","N/A",LEN(C1662),Concatenate("{",char(34),"asset",char(34),":{",char(34),"guid",char(34),":",char(34),Q1662,char(34),",",char(34),"site",char(34),":",char(34),LOWER('2-Building'!$B$4),char(34),",",char(34),"name",char(34),":",char(34),LOWER(C1662),char(34),"}}"))</f>
        <v>{"asset":{"guid":"uuid://a9a0017d-5f56-44a1-b33c-1d7270a6f917","site":"in-blr-ananta","name":"vav-1234"}}</v>
      </c>
      <c r="S1662" s="360" t="s">
        <v>5516</v>
      </c>
      <c r="T1662" s="330"/>
      <c r="U1662" s="330"/>
      <c r="V1662" s="331"/>
      <c r="W1662" s="332"/>
      <c r="X1662" s="333"/>
      <c r="Y1662" s="33" t="s">
        <v>2867</v>
      </c>
      <c r="Z1662" s="258">
        <v>121234.0</v>
      </c>
      <c r="AA1662" s="334">
        <v>11635.0</v>
      </c>
      <c r="AB1662" s="333"/>
      <c r="AC1662" s="333"/>
      <c r="AD1662" s="329"/>
      <c r="AE1662" s="331"/>
      <c r="AF1662" s="336"/>
      <c r="AG1662" s="337"/>
      <c r="AH1662" s="333"/>
      <c r="AI1662" s="333"/>
      <c r="AJ1662" s="333"/>
      <c r="AK1662" s="333"/>
      <c r="AL1662" s="333"/>
      <c r="AM1662" s="338"/>
      <c r="AN1662" s="333"/>
      <c r="AO1662" s="333"/>
      <c r="AP1662" s="333"/>
      <c r="AQ1662" s="333"/>
      <c r="AR1662" s="333"/>
      <c r="AS1662" s="333"/>
      <c r="AT1662" s="333"/>
      <c r="AU1662" s="329"/>
      <c r="AV1662" s="341"/>
      <c r="AW1662" s="269" t="s">
        <v>2401</v>
      </c>
      <c r="AX1662" s="334" t="s">
        <v>2869</v>
      </c>
      <c r="AY1662" s="270" t="s">
        <v>695</v>
      </c>
      <c r="AZ1662" s="173" t="s">
        <v>5516</v>
      </c>
      <c r="BA1662" s="265">
        <v>10.0</v>
      </c>
      <c r="BB1662" s="174" t="s">
        <v>245</v>
      </c>
      <c r="BC1662" s="341"/>
      <c r="BD1662" s="308"/>
      <c r="BE1662" s="342"/>
      <c r="BF1662" s="274" t="str">
        <f>IFERROR(__xludf.DUMMYFUNCTION("LOWER(Regexreplace(to_text(E1662),""[^A-Za-z0-9]"","""")&amp;""_""&amp;Regexreplace(to_text(F1662),""[^A-Za-z0-9]"",""""))"),"neptronic_evcbseries")</f>
        <v>neptronic_evcbseries</v>
      </c>
      <c r="BG1662" s="275" t="str">
        <f>IFERROR(__xludf.DUMMYFUNCTION("upper(Regexreplace(to_text(E1662),""[^A-Za-z0-9]"","""")&amp;""-""&amp;Regexreplace(to_text(F1662),""[^A-Za-z0-9]"",""""))"),"NEPTRONIC-EVCBSERIES")</f>
        <v>NEPTRONIC-EVCBSERIES</v>
      </c>
    </row>
    <row r="1663" ht="30.0" customHeight="1">
      <c r="A1663" s="173">
        <v>1655.0</v>
      </c>
      <c r="B1663" s="328" t="s">
        <v>670</v>
      </c>
      <c r="C1663" s="257" t="s">
        <v>6467</v>
      </c>
      <c r="D1663" s="173" t="s">
        <v>6467</v>
      </c>
      <c r="E1663" s="174" t="s">
        <v>2861</v>
      </c>
      <c r="F1663" s="173" t="s">
        <v>2862</v>
      </c>
      <c r="G1663" s="328" t="s">
        <v>673</v>
      </c>
      <c r="H1663" s="328" t="s">
        <v>2863</v>
      </c>
      <c r="I1663" s="258" t="s">
        <v>2864</v>
      </c>
      <c r="J1663" s="259" t="s">
        <v>1211</v>
      </c>
      <c r="K1663" s="260" t="s">
        <v>6468</v>
      </c>
      <c r="L1663" s="359"/>
      <c r="M1663" s="359"/>
      <c r="N1663" s="173" t="s">
        <v>679</v>
      </c>
      <c r="O1663" s="173" t="s">
        <v>225</v>
      </c>
      <c r="P1663" s="262" t="str">
        <f t="shared" si="1"/>
        <v>IN-BLR-ANANTA-VAV-1235_7</v>
      </c>
      <c r="Q1663" s="173" t="s">
        <v>6469</v>
      </c>
      <c r="R1663" s="328" t="str">
        <f>IFS(C1663="","",C1663="n/a","N/A",LEN(C1663),Concatenate("{",char(34),"asset",char(34),":{",char(34),"guid",char(34),":",char(34),Q1663,char(34),",",char(34),"site",char(34),":",char(34),LOWER('2-Building'!$B$4),char(34),",",char(34),"name",char(34),":",char(34),LOWER(C1663),char(34),"}}"))</f>
        <v>{"asset":{"guid":"uuid://235f1c45-9c05-4c6c-a106-0232050bfc19","site":"in-blr-ananta","name":"vav-1235"}}</v>
      </c>
      <c r="S1663" s="360" t="s">
        <v>5516</v>
      </c>
      <c r="T1663" s="330"/>
      <c r="U1663" s="330"/>
      <c r="V1663" s="331"/>
      <c r="W1663" s="332"/>
      <c r="X1663" s="333"/>
      <c r="Y1663" s="33" t="s">
        <v>2867</v>
      </c>
      <c r="Z1663" s="258">
        <v>121235.0</v>
      </c>
      <c r="AA1663" s="334">
        <v>11635.0</v>
      </c>
      <c r="AB1663" s="333"/>
      <c r="AC1663" s="333"/>
      <c r="AD1663" s="329"/>
      <c r="AE1663" s="331"/>
      <c r="AF1663" s="336"/>
      <c r="AG1663" s="337"/>
      <c r="AH1663" s="333"/>
      <c r="AI1663" s="333"/>
      <c r="AJ1663" s="333"/>
      <c r="AK1663" s="333"/>
      <c r="AL1663" s="333"/>
      <c r="AM1663" s="338"/>
      <c r="AN1663" s="333"/>
      <c r="AO1663" s="333"/>
      <c r="AP1663" s="333"/>
      <c r="AQ1663" s="333"/>
      <c r="AR1663" s="333"/>
      <c r="AS1663" s="333"/>
      <c r="AT1663" s="333"/>
      <c r="AU1663" s="329"/>
      <c r="AV1663" s="341"/>
      <c r="AW1663" s="269" t="s">
        <v>2401</v>
      </c>
      <c r="AX1663" s="334" t="s">
        <v>2869</v>
      </c>
      <c r="AY1663" s="270" t="s">
        <v>695</v>
      </c>
      <c r="AZ1663" s="173" t="s">
        <v>5516</v>
      </c>
      <c r="BA1663" s="265">
        <v>10.0</v>
      </c>
      <c r="BB1663" s="174" t="s">
        <v>245</v>
      </c>
      <c r="BC1663" s="341"/>
      <c r="BD1663" s="308"/>
      <c r="BE1663" s="342"/>
      <c r="BF1663" s="274" t="str">
        <f>IFERROR(__xludf.DUMMYFUNCTION("LOWER(Regexreplace(to_text(E1663),""[^A-Za-z0-9]"","""")&amp;""_""&amp;Regexreplace(to_text(F1663),""[^A-Za-z0-9]"",""""))"),"neptronic_evcbseries")</f>
        <v>neptronic_evcbseries</v>
      </c>
      <c r="BG1663" s="275" t="str">
        <f>IFERROR(__xludf.DUMMYFUNCTION("upper(Regexreplace(to_text(E1663),""[^A-Za-z0-9]"","""")&amp;""-""&amp;Regexreplace(to_text(F1663),""[^A-Za-z0-9]"",""""))"),"NEPTRONIC-EVCBSERIES")</f>
        <v>NEPTRONIC-EVCBSERIES</v>
      </c>
    </row>
    <row r="1664" ht="30.0" customHeight="1">
      <c r="A1664" s="258">
        <v>1656.0</v>
      </c>
      <c r="B1664" s="328" t="s">
        <v>670</v>
      </c>
      <c r="C1664" s="257" t="s">
        <v>6470</v>
      </c>
      <c r="D1664" s="173" t="s">
        <v>6470</v>
      </c>
      <c r="E1664" s="174" t="s">
        <v>2861</v>
      </c>
      <c r="F1664" s="173" t="s">
        <v>2862</v>
      </c>
      <c r="G1664" s="328" t="s">
        <v>673</v>
      </c>
      <c r="H1664" s="328" t="s">
        <v>2863</v>
      </c>
      <c r="I1664" s="258" t="s">
        <v>2864</v>
      </c>
      <c r="J1664" s="259" t="s">
        <v>1211</v>
      </c>
      <c r="K1664" s="260" t="s">
        <v>6471</v>
      </c>
      <c r="L1664" s="359"/>
      <c r="M1664" s="359"/>
      <c r="N1664" s="173" t="s">
        <v>679</v>
      </c>
      <c r="O1664" s="173" t="s">
        <v>225</v>
      </c>
      <c r="P1664" s="262" t="str">
        <f t="shared" si="1"/>
        <v>IN-BLR-ANANTA-VAV-1236_7</v>
      </c>
      <c r="Q1664" s="173" t="s">
        <v>6472</v>
      </c>
      <c r="R1664" s="328" t="str">
        <f>IFS(C1664="","",C1664="n/a","N/A",LEN(C1664),Concatenate("{",char(34),"asset",char(34),":{",char(34),"guid",char(34),":",char(34),Q1664,char(34),",",char(34),"site",char(34),":",char(34),LOWER('2-Building'!$B$4),char(34),",",char(34),"name",char(34),":",char(34),LOWER(C1664),char(34),"}}"))</f>
        <v>{"asset":{"guid":"uuid://79f9b308-1c4b-43d4-9e9a-da1deb79fbe4","site":"in-blr-ananta","name":"vav-1236"}}</v>
      </c>
      <c r="S1664" s="360" t="s">
        <v>5516</v>
      </c>
      <c r="T1664" s="330"/>
      <c r="U1664" s="330"/>
      <c r="V1664" s="331"/>
      <c r="W1664" s="332"/>
      <c r="X1664" s="333"/>
      <c r="Y1664" s="33" t="s">
        <v>2867</v>
      </c>
      <c r="Z1664" s="258">
        <v>121236.0</v>
      </c>
      <c r="AA1664" s="334">
        <v>11635.0</v>
      </c>
      <c r="AB1664" s="333"/>
      <c r="AC1664" s="333"/>
      <c r="AD1664" s="329"/>
      <c r="AE1664" s="331"/>
      <c r="AF1664" s="336"/>
      <c r="AG1664" s="337"/>
      <c r="AH1664" s="333"/>
      <c r="AI1664" s="333"/>
      <c r="AJ1664" s="333"/>
      <c r="AK1664" s="333"/>
      <c r="AL1664" s="333"/>
      <c r="AM1664" s="338"/>
      <c r="AN1664" s="333"/>
      <c r="AO1664" s="333"/>
      <c r="AP1664" s="333"/>
      <c r="AQ1664" s="333"/>
      <c r="AR1664" s="333"/>
      <c r="AS1664" s="333"/>
      <c r="AT1664" s="333"/>
      <c r="AU1664" s="329"/>
      <c r="AV1664" s="341"/>
      <c r="AW1664" s="269" t="s">
        <v>2401</v>
      </c>
      <c r="AX1664" s="334" t="s">
        <v>2869</v>
      </c>
      <c r="AY1664" s="270" t="s">
        <v>695</v>
      </c>
      <c r="AZ1664" s="173" t="s">
        <v>5516</v>
      </c>
      <c r="BA1664" s="265">
        <v>10.0</v>
      </c>
      <c r="BB1664" s="174" t="s">
        <v>245</v>
      </c>
      <c r="BC1664" s="341"/>
      <c r="BD1664" s="308"/>
      <c r="BE1664" s="342"/>
      <c r="BF1664" s="274" t="str">
        <f>IFERROR(__xludf.DUMMYFUNCTION("LOWER(Regexreplace(to_text(E1664),""[^A-Za-z0-9]"","""")&amp;""_""&amp;Regexreplace(to_text(F1664),""[^A-Za-z0-9]"",""""))"),"neptronic_evcbseries")</f>
        <v>neptronic_evcbseries</v>
      </c>
      <c r="BG1664" s="275" t="str">
        <f>IFERROR(__xludf.DUMMYFUNCTION("upper(Regexreplace(to_text(E1664),""[^A-Za-z0-9]"","""")&amp;""-""&amp;Regexreplace(to_text(F1664),""[^A-Za-z0-9]"",""""))"),"NEPTRONIC-EVCBSERIES")</f>
        <v>NEPTRONIC-EVCBSERIES</v>
      </c>
    </row>
    <row r="1665" ht="30.0" customHeight="1">
      <c r="A1665" s="173">
        <v>1657.0</v>
      </c>
      <c r="B1665" s="328" t="s">
        <v>670</v>
      </c>
      <c r="C1665" s="257" t="s">
        <v>6473</v>
      </c>
      <c r="D1665" s="173" t="s">
        <v>6473</v>
      </c>
      <c r="E1665" s="174" t="s">
        <v>2861</v>
      </c>
      <c r="F1665" s="173" t="s">
        <v>2862</v>
      </c>
      <c r="G1665" s="328" t="s">
        <v>673</v>
      </c>
      <c r="H1665" s="328" t="s">
        <v>2863</v>
      </c>
      <c r="I1665" s="258" t="s">
        <v>2864</v>
      </c>
      <c r="J1665" s="259" t="s">
        <v>1211</v>
      </c>
      <c r="K1665" s="260" t="s">
        <v>6474</v>
      </c>
      <c r="L1665" s="359"/>
      <c r="M1665" s="359"/>
      <c r="N1665" s="173" t="s">
        <v>679</v>
      </c>
      <c r="O1665" s="173" t="s">
        <v>225</v>
      </c>
      <c r="P1665" s="262" t="str">
        <f t="shared" si="1"/>
        <v>IN-BLR-ANANTA-VAV-1237_7</v>
      </c>
      <c r="Q1665" s="173" t="s">
        <v>6475</v>
      </c>
      <c r="R1665" s="328" t="str">
        <f>IFS(C1665="","",C1665="n/a","N/A",LEN(C1665),Concatenate("{",char(34),"asset",char(34),":{",char(34),"guid",char(34),":",char(34),Q1665,char(34),",",char(34),"site",char(34),":",char(34),LOWER('2-Building'!$B$4),char(34),",",char(34),"name",char(34),":",char(34),LOWER(C1665),char(34),"}}"))</f>
        <v>{"asset":{"guid":"uuid://892df2c6-e971-4f16-98ec-8de73922bdf1","site":"in-blr-ananta","name":"vav-1237"}}</v>
      </c>
      <c r="S1665" s="360" t="s">
        <v>5516</v>
      </c>
      <c r="T1665" s="330"/>
      <c r="U1665" s="330"/>
      <c r="V1665" s="331"/>
      <c r="W1665" s="332"/>
      <c r="X1665" s="333"/>
      <c r="Y1665" s="33" t="s">
        <v>2867</v>
      </c>
      <c r="Z1665" s="258">
        <v>121237.0</v>
      </c>
      <c r="AA1665" s="334">
        <v>11635.0</v>
      </c>
      <c r="AB1665" s="333"/>
      <c r="AC1665" s="333"/>
      <c r="AD1665" s="329"/>
      <c r="AE1665" s="331"/>
      <c r="AF1665" s="336"/>
      <c r="AG1665" s="337"/>
      <c r="AH1665" s="333"/>
      <c r="AI1665" s="333"/>
      <c r="AJ1665" s="333"/>
      <c r="AK1665" s="333"/>
      <c r="AL1665" s="333"/>
      <c r="AM1665" s="338"/>
      <c r="AN1665" s="333"/>
      <c r="AO1665" s="333"/>
      <c r="AP1665" s="333"/>
      <c r="AQ1665" s="333"/>
      <c r="AR1665" s="333"/>
      <c r="AS1665" s="333"/>
      <c r="AT1665" s="333"/>
      <c r="AU1665" s="329"/>
      <c r="AV1665" s="341"/>
      <c r="AW1665" s="269" t="s">
        <v>2401</v>
      </c>
      <c r="AX1665" s="334" t="s">
        <v>2869</v>
      </c>
      <c r="AY1665" s="270" t="s">
        <v>695</v>
      </c>
      <c r="AZ1665" s="173" t="s">
        <v>5516</v>
      </c>
      <c r="BA1665" s="265">
        <v>10.0</v>
      </c>
      <c r="BB1665" s="174" t="s">
        <v>245</v>
      </c>
      <c r="BC1665" s="341"/>
      <c r="BD1665" s="308"/>
      <c r="BE1665" s="342"/>
      <c r="BF1665" s="274" t="str">
        <f>IFERROR(__xludf.DUMMYFUNCTION("LOWER(Regexreplace(to_text(E1665),""[^A-Za-z0-9]"","""")&amp;""_""&amp;Regexreplace(to_text(F1665),""[^A-Za-z0-9]"",""""))"),"neptronic_evcbseries")</f>
        <v>neptronic_evcbseries</v>
      </c>
      <c r="BG1665" s="275" t="str">
        <f>IFERROR(__xludf.DUMMYFUNCTION("upper(Regexreplace(to_text(E1665),""[^A-Za-z0-9]"","""")&amp;""-""&amp;Regexreplace(to_text(F1665),""[^A-Za-z0-9]"",""""))"),"NEPTRONIC-EVCBSERIES")</f>
        <v>NEPTRONIC-EVCBSERIES</v>
      </c>
    </row>
    <row r="1666" ht="30.0" customHeight="1">
      <c r="A1666" s="258">
        <v>1658.0</v>
      </c>
      <c r="B1666" s="328" t="s">
        <v>670</v>
      </c>
      <c r="C1666" s="257" t="s">
        <v>6476</v>
      </c>
      <c r="D1666" s="173" t="s">
        <v>6476</v>
      </c>
      <c r="E1666" s="174" t="s">
        <v>2861</v>
      </c>
      <c r="F1666" s="173" t="s">
        <v>2862</v>
      </c>
      <c r="G1666" s="328" t="s">
        <v>673</v>
      </c>
      <c r="H1666" s="328" t="s">
        <v>2863</v>
      </c>
      <c r="I1666" s="258" t="s">
        <v>2864</v>
      </c>
      <c r="J1666" s="259" t="s">
        <v>1211</v>
      </c>
      <c r="K1666" s="260" t="s">
        <v>6477</v>
      </c>
      <c r="L1666" s="359"/>
      <c r="M1666" s="359"/>
      <c r="N1666" s="173" t="s">
        <v>679</v>
      </c>
      <c r="O1666" s="173" t="s">
        <v>225</v>
      </c>
      <c r="P1666" s="262" t="str">
        <f t="shared" si="1"/>
        <v>IN-BLR-ANANTA-VAV-1238_7</v>
      </c>
      <c r="Q1666" s="173" t="s">
        <v>6478</v>
      </c>
      <c r="R1666" s="328" t="str">
        <f>IFS(C1666="","",C1666="n/a","N/A",LEN(C1666),Concatenate("{",char(34),"asset",char(34),":{",char(34),"guid",char(34),":",char(34),Q1666,char(34),",",char(34),"site",char(34),":",char(34),LOWER('2-Building'!$B$4),char(34),",",char(34),"name",char(34),":",char(34),LOWER(C1666),char(34),"}}"))</f>
        <v>{"asset":{"guid":"uuid://81e190df-3da5-47f0-88ab-223c372cbf7b","site":"in-blr-ananta","name":"vav-1238"}}</v>
      </c>
      <c r="S1666" s="360" t="s">
        <v>5516</v>
      </c>
      <c r="T1666" s="330"/>
      <c r="U1666" s="330"/>
      <c r="V1666" s="331"/>
      <c r="W1666" s="332"/>
      <c r="X1666" s="333"/>
      <c r="Y1666" s="33" t="s">
        <v>2867</v>
      </c>
      <c r="Z1666" s="258">
        <v>121238.0</v>
      </c>
      <c r="AA1666" s="334">
        <v>11635.0</v>
      </c>
      <c r="AB1666" s="333"/>
      <c r="AC1666" s="333"/>
      <c r="AD1666" s="329"/>
      <c r="AE1666" s="331"/>
      <c r="AF1666" s="336"/>
      <c r="AG1666" s="337"/>
      <c r="AH1666" s="333"/>
      <c r="AI1666" s="333"/>
      <c r="AJ1666" s="333"/>
      <c r="AK1666" s="333"/>
      <c r="AL1666" s="333"/>
      <c r="AM1666" s="338"/>
      <c r="AN1666" s="333"/>
      <c r="AO1666" s="333"/>
      <c r="AP1666" s="333"/>
      <c r="AQ1666" s="333"/>
      <c r="AR1666" s="333"/>
      <c r="AS1666" s="333"/>
      <c r="AT1666" s="333"/>
      <c r="AU1666" s="329"/>
      <c r="AV1666" s="341"/>
      <c r="AW1666" s="269" t="s">
        <v>2401</v>
      </c>
      <c r="AX1666" s="334" t="s">
        <v>2869</v>
      </c>
      <c r="AY1666" s="270" t="s">
        <v>695</v>
      </c>
      <c r="AZ1666" s="173" t="s">
        <v>5516</v>
      </c>
      <c r="BA1666" s="265">
        <v>10.0</v>
      </c>
      <c r="BB1666" s="174" t="s">
        <v>245</v>
      </c>
      <c r="BC1666" s="341"/>
      <c r="BD1666" s="308"/>
      <c r="BE1666" s="342"/>
      <c r="BF1666" s="274" t="str">
        <f>IFERROR(__xludf.DUMMYFUNCTION("LOWER(Regexreplace(to_text(E1666),""[^A-Za-z0-9]"","""")&amp;""_""&amp;Regexreplace(to_text(F1666),""[^A-Za-z0-9]"",""""))"),"neptronic_evcbseries")</f>
        <v>neptronic_evcbseries</v>
      </c>
      <c r="BG1666" s="275" t="str">
        <f>IFERROR(__xludf.DUMMYFUNCTION("upper(Regexreplace(to_text(E1666),""[^A-Za-z0-9]"","""")&amp;""-""&amp;Regexreplace(to_text(F1666),""[^A-Za-z0-9]"",""""))"),"NEPTRONIC-EVCBSERIES")</f>
        <v>NEPTRONIC-EVCBSERIES</v>
      </c>
    </row>
    <row r="1667" ht="30.0" customHeight="1">
      <c r="A1667" s="173">
        <v>1659.0</v>
      </c>
      <c r="B1667" s="328" t="s">
        <v>670</v>
      </c>
      <c r="C1667" s="257" t="s">
        <v>6479</v>
      </c>
      <c r="D1667" s="173" t="s">
        <v>6479</v>
      </c>
      <c r="E1667" s="174" t="s">
        <v>2861</v>
      </c>
      <c r="F1667" s="173" t="s">
        <v>2862</v>
      </c>
      <c r="G1667" s="328" t="s">
        <v>673</v>
      </c>
      <c r="H1667" s="328" t="s">
        <v>2863</v>
      </c>
      <c r="I1667" s="258" t="s">
        <v>2864</v>
      </c>
      <c r="J1667" s="259" t="s">
        <v>1211</v>
      </c>
      <c r="K1667" s="260" t="s">
        <v>6480</v>
      </c>
      <c r="L1667" s="359"/>
      <c r="M1667" s="359"/>
      <c r="N1667" s="173" t="s">
        <v>679</v>
      </c>
      <c r="O1667" s="173" t="s">
        <v>225</v>
      </c>
      <c r="P1667" s="262" t="str">
        <f t="shared" si="1"/>
        <v>IN-BLR-ANANTA-VAV-1239_7</v>
      </c>
      <c r="Q1667" s="173" t="s">
        <v>6481</v>
      </c>
      <c r="R1667" s="328" t="str">
        <f>IFS(C1667="","",C1667="n/a","N/A",LEN(C1667),Concatenate("{",char(34),"asset",char(34),":{",char(34),"guid",char(34),":",char(34),Q1667,char(34),",",char(34),"site",char(34),":",char(34),LOWER('2-Building'!$B$4),char(34),",",char(34),"name",char(34),":",char(34),LOWER(C1667),char(34),"}}"))</f>
        <v>{"asset":{"guid":"uuid://18593dcf-362f-4c93-8516-638d3cfdbd77","site":"in-blr-ananta","name":"vav-1239"}}</v>
      </c>
      <c r="S1667" s="360" t="s">
        <v>5516</v>
      </c>
      <c r="T1667" s="330"/>
      <c r="U1667" s="330"/>
      <c r="V1667" s="331"/>
      <c r="W1667" s="332"/>
      <c r="X1667" s="333"/>
      <c r="Y1667" s="33" t="s">
        <v>2867</v>
      </c>
      <c r="Z1667" s="258">
        <v>121239.0</v>
      </c>
      <c r="AA1667" s="334">
        <v>11635.0</v>
      </c>
      <c r="AB1667" s="333"/>
      <c r="AC1667" s="333"/>
      <c r="AD1667" s="329"/>
      <c r="AE1667" s="331"/>
      <c r="AF1667" s="336"/>
      <c r="AG1667" s="337"/>
      <c r="AH1667" s="333"/>
      <c r="AI1667" s="333"/>
      <c r="AJ1667" s="333"/>
      <c r="AK1667" s="333"/>
      <c r="AL1667" s="333"/>
      <c r="AM1667" s="338"/>
      <c r="AN1667" s="333"/>
      <c r="AO1667" s="333"/>
      <c r="AP1667" s="333"/>
      <c r="AQ1667" s="333"/>
      <c r="AR1667" s="333"/>
      <c r="AS1667" s="333"/>
      <c r="AT1667" s="333"/>
      <c r="AU1667" s="329"/>
      <c r="AV1667" s="341"/>
      <c r="AW1667" s="269" t="s">
        <v>2401</v>
      </c>
      <c r="AX1667" s="334" t="s">
        <v>2869</v>
      </c>
      <c r="AY1667" s="270" t="s">
        <v>695</v>
      </c>
      <c r="AZ1667" s="173" t="s">
        <v>5516</v>
      </c>
      <c r="BA1667" s="265">
        <v>10.0</v>
      </c>
      <c r="BB1667" s="174" t="s">
        <v>245</v>
      </c>
      <c r="BC1667" s="341"/>
      <c r="BD1667" s="308"/>
      <c r="BE1667" s="342"/>
      <c r="BF1667" s="274" t="str">
        <f>IFERROR(__xludf.DUMMYFUNCTION("LOWER(Regexreplace(to_text(E1667),""[^A-Za-z0-9]"","""")&amp;""_""&amp;Regexreplace(to_text(F1667),""[^A-Za-z0-9]"",""""))"),"neptronic_evcbseries")</f>
        <v>neptronic_evcbseries</v>
      </c>
      <c r="BG1667" s="275" t="str">
        <f>IFERROR(__xludf.DUMMYFUNCTION("upper(Regexreplace(to_text(E1667),""[^A-Za-z0-9]"","""")&amp;""-""&amp;Regexreplace(to_text(F1667),""[^A-Za-z0-9]"",""""))"),"NEPTRONIC-EVCBSERIES")</f>
        <v>NEPTRONIC-EVCBSERIES</v>
      </c>
    </row>
    <row r="1668" ht="30.0" customHeight="1">
      <c r="A1668" s="258">
        <v>1660.0</v>
      </c>
      <c r="B1668" s="328" t="s">
        <v>670</v>
      </c>
      <c r="C1668" s="257" t="s">
        <v>6482</v>
      </c>
      <c r="D1668" s="173" t="s">
        <v>6482</v>
      </c>
      <c r="E1668" s="174" t="s">
        <v>2861</v>
      </c>
      <c r="F1668" s="173" t="s">
        <v>2862</v>
      </c>
      <c r="G1668" s="328" t="s">
        <v>673</v>
      </c>
      <c r="H1668" s="328" t="s">
        <v>2863</v>
      </c>
      <c r="I1668" s="258" t="s">
        <v>2864</v>
      </c>
      <c r="J1668" s="259" t="s">
        <v>1211</v>
      </c>
      <c r="K1668" s="260" t="s">
        <v>6483</v>
      </c>
      <c r="L1668" s="359"/>
      <c r="M1668" s="359"/>
      <c r="N1668" s="173" t="s">
        <v>679</v>
      </c>
      <c r="O1668" s="173" t="s">
        <v>225</v>
      </c>
      <c r="P1668" s="262" t="str">
        <f t="shared" si="1"/>
        <v>IN-BLR-ANANTA-VAV-1240_7</v>
      </c>
      <c r="Q1668" s="173" t="s">
        <v>6484</v>
      </c>
      <c r="R1668" s="328" t="str">
        <f>IFS(C1668="","",C1668="n/a","N/A",LEN(C1668),Concatenate("{",char(34),"asset",char(34),":{",char(34),"guid",char(34),":",char(34),Q1668,char(34),",",char(34),"site",char(34),":",char(34),LOWER('2-Building'!$B$4),char(34),",",char(34),"name",char(34),":",char(34),LOWER(C1668),char(34),"}}"))</f>
        <v>{"asset":{"guid":"uuid://af7f215f-cf83-4363-8986-ba4845b48836","site":"in-blr-ananta","name":"vav-1240"}}</v>
      </c>
      <c r="S1668" s="360" t="s">
        <v>5516</v>
      </c>
      <c r="T1668" s="330"/>
      <c r="U1668" s="330"/>
      <c r="V1668" s="331"/>
      <c r="W1668" s="332"/>
      <c r="X1668" s="333"/>
      <c r="Y1668" s="33" t="s">
        <v>2867</v>
      </c>
      <c r="Z1668" s="258">
        <v>121240.0</v>
      </c>
      <c r="AA1668" s="334">
        <v>11635.0</v>
      </c>
      <c r="AB1668" s="333"/>
      <c r="AC1668" s="333"/>
      <c r="AD1668" s="329"/>
      <c r="AE1668" s="331"/>
      <c r="AF1668" s="336"/>
      <c r="AG1668" s="337"/>
      <c r="AH1668" s="333"/>
      <c r="AI1668" s="333"/>
      <c r="AJ1668" s="333"/>
      <c r="AK1668" s="333"/>
      <c r="AL1668" s="333"/>
      <c r="AM1668" s="338"/>
      <c r="AN1668" s="333"/>
      <c r="AO1668" s="333"/>
      <c r="AP1668" s="333"/>
      <c r="AQ1668" s="333"/>
      <c r="AR1668" s="333"/>
      <c r="AS1668" s="333"/>
      <c r="AT1668" s="333"/>
      <c r="AU1668" s="329"/>
      <c r="AV1668" s="341"/>
      <c r="AW1668" s="269" t="s">
        <v>2401</v>
      </c>
      <c r="AX1668" s="334" t="s">
        <v>2869</v>
      </c>
      <c r="AY1668" s="270" t="s">
        <v>695</v>
      </c>
      <c r="AZ1668" s="173" t="s">
        <v>5516</v>
      </c>
      <c r="BA1668" s="265">
        <v>10.0</v>
      </c>
      <c r="BB1668" s="174" t="s">
        <v>245</v>
      </c>
      <c r="BC1668" s="341"/>
      <c r="BD1668" s="308"/>
      <c r="BE1668" s="342"/>
      <c r="BF1668" s="274" t="str">
        <f>IFERROR(__xludf.DUMMYFUNCTION("LOWER(Regexreplace(to_text(E1668),""[^A-Za-z0-9]"","""")&amp;""_""&amp;Regexreplace(to_text(F1668),""[^A-Za-z0-9]"",""""))"),"neptronic_evcbseries")</f>
        <v>neptronic_evcbseries</v>
      </c>
      <c r="BG1668" s="275" t="str">
        <f>IFERROR(__xludf.DUMMYFUNCTION("upper(Regexreplace(to_text(E1668),""[^A-Za-z0-9]"","""")&amp;""-""&amp;Regexreplace(to_text(F1668),""[^A-Za-z0-9]"",""""))"),"NEPTRONIC-EVCBSERIES")</f>
        <v>NEPTRONIC-EVCBSERIES</v>
      </c>
    </row>
    <row r="1669" ht="30.0" customHeight="1">
      <c r="A1669" s="173">
        <v>1661.0</v>
      </c>
      <c r="B1669" s="328" t="s">
        <v>670</v>
      </c>
      <c r="C1669" s="257" t="s">
        <v>6485</v>
      </c>
      <c r="D1669" s="173" t="s">
        <v>6485</v>
      </c>
      <c r="E1669" s="174" t="s">
        <v>2861</v>
      </c>
      <c r="F1669" s="173" t="s">
        <v>2862</v>
      </c>
      <c r="G1669" s="328" t="s">
        <v>673</v>
      </c>
      <c r="H1669" s="328" t="s">
        <v>2863</v>
      </c>
      <c r="I1669" s="258" t="s">
        <v>2864</v>
      </c>
      <c r="J1669" s="259" t="s">
        <v>1211</v>
      </c>
      <c r="K1669" s="260" t="s">
        <v>6486</v>
      </c>
      <c r="L1669" s="359"/>
      <c r="M1669" s="359"/>
      <c r="N1669" s="173" t="s">
        <v>679</v>
      </c>
      <c r="O1669" s="173" t="s">
        <v>225</v>
      </c>
      <c r="P1669" s="262" t="str">
        <f t="shared" si="1"/>
        <v>IN-BLR-ANANTA-VAV-1241_7</v>
      </c>
      <c r="Q1669" s="173" t="s">
        <v>6487</v>
      </c>
      <c r="R1669" s="328" t="str">
        <f>IFS(C1669="","",C1669="n/a","N/A",LEN(C1669),Concatenate("{",char(34),"asset",char(34),":{",char(34),"guid",char(34),":",char(34),Q1669,char(34),",",char(34),"site",char(34),":",char(34),LOWER('2-Building'!$B$4),char(34),",",char(34),"name",char(34),":",char(34),LOWER(C1669),char(34),"}}"))</f>
        <v>{"asset":{"guid":"uuid://1cc1b6c6-a917-4708-a761-610498d896a9","site":"in-blr-ananta","name":"vav-1241"}}</v>
      </c>
      <c r="S1669" s="360" t="s">
        <v>5516</v>
      </c>
      <c r="T1669" s="330"/>
      <c r="U1669" s="330"/>
      <c r="V1669" s="331"/>
      <c r="W1669" s="332"/>
      <c r="X1669" s="333"/>
      <c r="Y1669" s="33" t="s">
        <v>2867</v>
      </c>
      <c r="Z1669" s="258">
        <v>121241.0</v>
      </c>
      <c r="AA1669" s="334">
        <v>11635.0</v>
      </c>
      <c r="AB1669" s="333"/>
      <c r="AC1669" s="333"/>
      <c r="AD1669" s="329"/>
      <c r="AE1669" s="331"/>
      <c r="AF1669" s="336"/>
      <c r="AG1669" s="337"/>
      <c r="AH1669" s="333"/>
      <c r="AI1669" s="333"/>
      <c r="AJ1669" s="333"/>
      <c r="AK1669" s="333"/>
      <c r="AL1669" s="333"/>
      <c r="AM1669" s="338"/>
      <c r="AN1669" s="333"/>
      <c r="AO1669" s="333"/>
      <c r="AP1669" s="333"/>
      <c r="AQ1669" s="333"/>
      <c r="AR1669" s="333"/>
      <c r="AS1669" s="333"/>
      <c r="AT1669" s="333"/>
      <c r="AU1669" s="329"/>
      <c r="AV1669" s="341"/>
      <c r="AW1669" s="269" t="s">
        <v>2401</v>
      </c>
      <c r="AX1669" s="334" t="s">
        <v>2869</v>
      </c>
      <c r="AY1669" s="270" t="s">
        <v>695</v>
      </c>
      <c r="AZ1669" s="173" t="s">
        <v>5516</v>
      </c>
      <c r="BA1669" s="265">
        <v>10.0</v>
      </c>
      <c r="BB1669" s="174" t="s">
        <v>245</v>
      </c>
      <c r="BC1669" s="341"/>
      <c r="BD1669" s="308"/>
      <c r="BE1669" s="342"/>
      <c r="BF1669" s="274" t="str">
        <f>IFERROR(__xludf.DUMMYFUNCTION("LOWER(Regexreplace(to_text(E1669),""[^A-Za-z0-9]"","""")&amp;""_""&amp;Regexreplace(to_text(F1669),""[^A-Za-z0-9]"",""""))"),"neptronic_evcbseries")</f>
        <v>neptronic_evcbseries</v>
      </c>
      <c r="BG1669" s="275" t="str">
        <f>IFERROR(__xludf.DUMMYFUNCTION("upper(Regexreplace(to_text(E1669),""[^A-Za-z0-9]"","""")&amp;""-""&amp;Regexreplace(to_text(F1669),""[^A-Za-z0-9]"",""""))"),"NEPTRONIC-EVCBSERIES")</f>
        <v>NEPTRONIC-EVCBSERIES</v>
      </c>
    </row>
    <row r="1670" ht="30.0" customHeight="1">
      <c r="A1670" s="258">
        <v>1662.0</v>
      </c>
      <c r="B1670" s="328" t="s">
        <v>670</v>
      </c>
      <c r="C1670" s="257" t="s">
        <v>6488</v>
      </c>
      <c r="D1670" s="173" t="s">
        <v>6488</v>
      </c>
      <c r="E1670" s="174" t="s">
        <v>2861</v>
      </c>
      <c r="F1670" s="173" t="s">
        <v>2862</v>
      </c>
      <c r="G1670" s="328" t="s">
        <v>673</v>
      </c>
      <c r="H1670" s="328" t="s">
        <v>2863</v>
      </c>
      <c r="I1670" s="258" t="s">
        <v>2864</v>
      </c>
      <c r="J1670" s="259" t="s">
        <v>1211</v>
      </c>
      <c r="K1670" s="260" t="s">
        <v>6489</v>
      </c>
      <c r="L1670" s="359"/>
      <c r="M1670" s="359"/>
      <c r="N1670" s="173" t="s">
        <v>679</v>
      </c>
      <c r="O1670" s="173" t="s">
        <v>225</v>
      </c>
      <c r="P1670" s="262" t="str">
        <f t="shared" si="1"/>
        <v>IN-BLR-ANANTA-VAV-1242_7</v>
      </c>
      <c r="Q1670" s="173" t="s">
        <v>6490</v>
      </c>
      <c r="R1670" s="328" t="str">
        <f>IFS(C1670="","",C1670="n/a","N/A",LEN(C1670),Concatenate("{",char(34),"asset",char(34),":{",char(34),"guid",char(34),":",char(34),Q1670,char(34),",",char(34),"site",char(34),":",char(34),LOWER('2-Building'!$B$4),char(34),",",char(34),"name",char(34),":",char(34),LOWER(C1670),char(34),"}}"))</f>
        <v>{"asset":{"guid":"uuid://b09f47ca-2e1c-44fb-814a-b1d54b372351","site":"in-blr-ananta","name":"vav-1242"}}</v>
      </c>
      <c r="S1670" s="360" t="s">
        <v>5516</v>
      </c>
      <c r="T1670" s="330"/>
      <c r="U1670" s="330"/>
      <c r="V1670" s="331"/>
      <c r="W1670" s="332"/>
      <c r="X1670" s="333"/>
      <c r="Y1670" s="33" t="s">
        <v>2867</v>
      </c>
      <c r="Z1670" s="258">
        <v>121242.0</v>
      </c>
      <c r="AA1670" s="334">
        <v>11635.0</v>
      </c>
      <c r="AB1670" s="333"/>
      <c r="AC1670" s="333"/>
      <c r="AD1670" s="329"/>
      <c r="AE1670" s="331"/>
      <c r="AF1670" s="336"/>
      <c r="AG1670" s="337"/>
      <c r="AH1670" s="333"/>
      <c r="AI1670" s="333"/>
      <c r="AJ1670" s="333"/>
      <c r="AK1670" s="333"/>
      <c r="AL1670" s="333"/>
      <c r="AM1670" s="338"/>
      <c r="AN1670" s="333"/>
      <c r="AO1670" s="333"/>
      <c r="AP1670" s="333"/>
      <c r="AQ1670" s="333"/>
      <c r="AR1670" s="333"/>
      <c r="AS1670" s="333"/>
      <c r="AT1670" s="333"/>
      <c r="AU1670" s="329"/>
      <c r="AV1670" s="341"/>
      <c r="AW1670" s="269" t="s">
        <v>2401</v>
      </c>
      <c r="AX1670" s="334" t="s">
        <v>2869</v>
      </c>
      <c r="AY1670" s="270" t="s">
        <v>695</v>
      </c>
      <c r="AZ1670" s="173" t="s">
        <v>5516</v>
      </c>
      <c r="BA1670" s="265">
        <v>10.0</v>
      </c>
      <c r="BB1670" s="174" t="s">
        <v>245</v>
      </c>
      <c r="BC1670" s="341"/>
      <c r="BD1670" s="308"/>
      <c r="BE1670" s="342"/>
      <c r="BF1670" s="274" t="str">
        <f>IFERROR(__xludf.DUMMYFUNCTION("LOWER(Regexreplace(to_text(E1670),""[^A-Za-z0-9]"","""")&amp;""_""&amp;Regexreplace(to_text(F1670),""[^A-Za-z0-9]"",""""))"),"neptronic_evcbseries")</f>
        <v>neptronic_evcbseries</v>
      </c>
      <c r="BG1670" s="275" t="str">
        <f>IFERROR(__xludf.DUMMYFUNCTION("upper(Regexreplace(to_text(E1670),""[^A-Za-z0-9]"","""")&amp;""-""&amp;Regexreplace(to_text(F1670),""[^A-Za-z0-9]"",""""))"),"NEPTRONIC-EVCBSERIES")</f>
        <v>NEPTRONIC-EVCBSERIES</v>
      </c>
    </row>
    <row r="1671" ht="30.0" customHeight="1">
      <c r="A1671" s="173">
        <v>1663.0</v>
      </c>
      <c r="B1671" s="328" t="s">
        <v>670</v>
      </c>
      <c r="C1671" s="257" t="s">
        <v>6491</v>
      </c>
      <c r="D1671" s="173" t="s">
        <v>6491</v>
      </c>
      <c r="E1671" s="174" t="s">
        <v>2861</v>
      </c>
      <c r="F1671" s="173" t="s">
        <v>2862</v>
      </c>
      <c r="G1671" s="328" t="s">
        <v>673</v>
      </c>
      <c r="H1671" s="328" t="s">
        <v>2863</v>
      </c>
      <c r="I1671" s="258" t="s">
        <v>2864</v>
      </c>
      <c r="J1671" s="259" t="s">
        <v>1211</v>
      </c>
      <c r="K1671" s="260" t="s">
        <v>6492</v>
      </c>
      <c r="L1671" s="359"/>
      <c r="M1671" s="359"/>
      <c r="N1671" s="173" t="s">
        <v>679</v>
      </c>
      <c r="O1671" s="173" t="s">
        <v>225</v>
      </c>
      <c r="P1671" s="262" t="str">
        <f t="shared" si="1"/>
        <v>IN-BLR-ANANTA-VAV-1243_7</v>
      </c>
      <c r="Q1671" s="173" t="s">
        <v>6493</v>
      </c>
      <c r="R1671" s="328" t="str">
        <f>IFS(C1671="","",C1671="n/a","N/A",LEN(C1671),Concatenate("{",char(34),"asset",char(34),":{",char(34),"guid",char(34),":",char(34),Q1671,char(34),",",char(34),"site",char(34),":",char(34),LOWER('2-Building'!$B$4),char(34),",",char(34),"name",char(34),":",char(34),LOWER(C1671),char(34),"}}"))</f>
        <v>{"asset":{"guid":"uuid://2c58ee3e-56a9-45f5-99ab-4c90acfd7a18","site":"in-blr-ananta","name":"vav-1243"}}</v>
      </c>
      <c r="S1671" s="360" t="s">
        <v>5516</v>
      </c>
      <c r="T1671" s="330"/>
      <c r="U1671" s="330"/>
      <c r="V1671" s="331"/>
      <c r="W1671" s="332"/>
      <c r="X1671" s="333"/>
      <c r="Y1671" s="33" t="s">
        <v>2867</v>
      </c>
      <c r="Z1671" s="258">
        <v>121243.0</v>
      </c>
      <c r="AA1671" s="334">
        <v>11635.0</v>
      </c>
      <c r="AB1671" s="333"/>
      <c r="AC1671" s="333"/>
      <c r="AD1671" s="329"/>
      <c r="AE1671" s="331"/>
      <c r="AF1671" s="336"/>
      <c r="AG1671" s="337"/>
      <c r="AH1671" s="333"/>
      <c r="AI1671" s="333"/>
      <c r="AJ1671" s="333"/>
      <c r="AK1671" s="333"/>
      <c r="AL1671" s="333"/>
      <c r="AM1671" s="338"/>
      <c r="AN1671" s="333"/>
      <c r="AO1671" s="333"/>
      <c r="AP1671" s="333"/>
      <c r="AQ1671" s="333"/>
      <c r="AR1671" s="333"/>
      <c r="AS1671" s="333"/>
      <c r="AT1671" s="333"/>
      <c r="AU1671" s="329"/>
      <c r="AV1671" s="341"/>
      <c r="AW1671" s="269" t="s">
        <v>2401</v>
      </c>
      <c r="AX1671" s="334" t="s">
        <v>2869</v>
      </c>
      <c r="AY1671" s="270" t="s">
        <v>695</v>
      </c>
      <c r="AZ1671" s="173" t="s">
        <v>5516</v>
      </c>
      <c r="BA1671" s="265">
        <v>10.0</v>
      </c>
      <c r="BB1671" s="174" t="s">
        <v>245</v>
      </c>
      <c r="BC1671" s="341"/>
      <c r="BD1671" s="308"/>
      <c r="BE1671" s="342"/>
      <c r="BF1671" s="274" t="str">
        <f>IFERROR(__xludf.DUMMYFUNCTION("LOWER(Regexreplace(to_text(E1671),""[^A-Za-z0-9]"","""")&amp;""_""&amp;Regexreplace(to_text(F1671),""[^A-Za-z0-9]"",""""))"),"neptronic_evcbseries")</f>
        <v>neptronic_evcbseries</v>
      </c>
      <c r="BG1671" s="275" t="str">
        <f>IFERROR(__xludf.DUMMYFUNCTION("upper(Regexreplace(to_text(E1671),""[^A-Za-z0-9]"","""")&amp;""-""&amp;Regexreplace(to_text(F1671),""[^A-Za-z0-9]"",""""))"),"NEPTRONIC-EVCBSERIES")</f>
        <v>NEPTRONIC-EVCBSERIES</v>
      </c>
    </row>
    <row r="1672" ht="30.0" customHeight="1">
      <c r="A1672" s="258">
        <v>1664.0</v>
      </c>
      <c r="B1672" s="328" t="s">
        <v>670</v>
      </c>
      <c r="C1672" s="257" t="s">
        <v>6494</v>
      </c>
      <c r="D1672" s="173" t="s">
        <v>6494</v>
      </c>
      <c r="E1672" s="174" t="s">
        <v>2861</v>
      </c>
      <c r="F1672" s="173" t="s">
        <v>2862</v>
      </c>
      <c r="G1672" s="328" t="s">
        <v>673</v>
      </c>
      <c r="H1672" s="328" t="s">
        <v>2863</v>
      </c>
      <c r="I1672" s="258" t="s">
        <v>2864</v>
      </c>
      <c r="J1672" s="259" t="s">
        <v>1211</v>
      </c>
      <c r="K1672" s="260" t="s">
        <v>6495</v>
      </c>
      <c r="L1672" s="359"/>
      <c r="M1672" s="359"/>
      <c r="N1672" s="173" t="s">
        <v>679</v>
      </c>
      <c r="O1672" s="173" t="s">
        <v>225</v>
      </c>
      <c r="P1672" s="262" t="str">
        <f t="shared" si="1"/>
        <v>IN-BLR-ANANTA-VAV-1244_7</v>
      </c>
      <c r="Q1672" s="173" t="s">
        <v>6496</v>
      </c>
      <c r="R1672" s="328" t="str">
        <f>IFS(C1672="","",C1672="n/a","N/A",LEN(C1672),Concatenate("{",char(34),"asset",char(34),":{",char(34),"guid",char(34),":",char(34),Q1672,char(34),",",char(34),"site",char(34),":",char(34),LOWER('2-Building'!$B$4),char(34),",",char(34),"name",char(34),":",char(34),LOWER(C1672),char(34),"}}"))</f>
        <v>{"asset":{"guid":"uuid://1aafd445-eea3-4924-97b9-6fc9eff6e359","site":"in-blr-ananta","name":"vav-1244"}}</v>
      </c>
      <c r="S1672" s="360" t="s">
        <v>5516</v>
      </c>
      <c r="T1672" s="330"/>
      <c r="U1672" s="330"/>
      <c r="V1672" s="331"/>
      <c r="W1672" s="332"/>
      <c r="X1672" s="333"/>
      <c r="Y1672" s="33" t="s">
        <v>2867</v>
      </c>
      <c r="Z1672" s="258">
        <v>121244.0</v>
      </c>
      <c r="AA1672" s="334">
        <v>11635.0</v>
      </c>
      <c r="AB1672" s="333"/>
      <c r="AC1672" s="333"/>
      <c r="AD1672" s="329"/>
      <c r="AE1672" s="331"/>
      <c r="AF1672" s="336"/>
      <c r="AG1672" s="337"/>
      <c r="AH1672" s="333"/>
      <c r="AI1672" s="333"/>
      <c r="AJ1672" s="333"/>
      <c r="AK1672" s="333"/>
      <c r="AL1672" s="333"/>
      <c r="AM1672" s="338"/>
      <c r="AN1672" s="333"/>
      <c r="AO1672" s="333"/>
      <c r="AP1672" s="333"/>
      <c r="AQ1672" s="333"/>
      <c r="AR1672" s="333"/>
      <c r="AS1672" s="333"/>
      <c r="AT1672" s="333"/>
      <c r="AU1672" s="329"/>
      <c r="AV1672" s="341"/>
      <c r="AW1672" s="269" t="s">
        <v>2401</v>
      </c>
      <c r="AX1672" s="334" t="s">
        <v>2869</v>
      </c>
      <c r="AY1672" s="270" t="s">
        <v>695</v>
      </c>
      <c r="AZ1672" s="173" t="s">
        <v>5516</v>
      </c>
      <c r="BA1672" s="265">
        <v>10.0</v>
      </c>
      <c r="BB1672" s="174" t="s">
        <v>245</v>
      </c>
      <c r="BC1672" s="341"/>
      <c r="BD1672" s="308"/>
      <c r="BE1672" s="342"/>
      <c r="BF1672" s="274" t="str">
        <f>IFERROR(__xludf.DUMMYFUNCTION("LOWER(Regexreplace(to_text(E1672),""[^A-Za-z0-9]"","""")&amp;""_""&amp;Regexreplace(to_text(F1672),""[^A-Za-z0-9]"",""""))"),"neptronic_evcbseries")</f>
        <v>neptronic_evcbseries</v>
      </c>
      <c r="BG1672" s="275" t="str">
        <f>IFERROR(__xludf.DUMMYFUNCTION("upper(Regexreplace(to_text(E1672),""[^A-Za-z0-9]"","""")&amp;""-""&amp;Regexreplace(to_text(F1672),""[^A-Za-z0-9]"",""""))"),"NEPTRONIC-EVCBSERIES")</f>
        <v>NEPTRONIC-EVCBSERIES</v>
      </c>
    </row>
    <row r="1673" ht="30.0" customHeight="1">
      <c r="A1673" s="173">
        <v>1665.0</v>
      </c>
      <c r="B1673" s="328" t="s">
        <v>670</v>
      </c>
      <c r="C1673" s="257" t="s">
        <v>6497</v>
      </c>
      <c r="D1673" s="173" t="s">
        <v>6497</v>
      </c>
      <c r="E1673" s="174" t="s">
        <v>2861</v>
      </c>
      <c r="F1673" s="173" t="s">
        <v>2862</v>
      </c>
      <c r="G1673" s="328" t="s">
        <v>673</v>
      </c>
      <c r="H1673" s="328" t="s">
        <v>2863</v>
      </c>
      <c r="I1673" s="258" t="s">
        <v>2864</v>
      </c>
      <c r="J1673" s="259" t="s">
        <v>1211</v>
      </c>
      <c r="K1673" s="260" t="s">
        <v>6498</v>
      </c>
      <c r="L1673" s="359"/>
      <c r="M1673" s="359"/>
      <c r="N1673" s="173" t="s">
        <v>679</v>
      </c>
      <c r="O1673" s="173" t="s">
        <v>225</v>
      </c>
      <c r="P1673" s="262" t="str">
        <f t="shared" si="1"/>
        <v>IN-BLR-ANANTA-VAV-1245_7</v>
      </c>
      <c r="Q1673" s="173" t="s">
        <v>6499</v>
      </c>
      <c r="R1673" s="328" t="str">
        <f>IFS(C1673="","",C1673="n/a","N/A",LEN(C1673),Concatenate("{",char(34),"asset",char(34),":{",char(34),"guid",char(34),":",char(34),Q1673,char(34),",",char(34),"site",char(34),":",char(34),LOWER('2-Building'!$B$4),char(34),",",char(34),"name",char(34),":",char(34),LOWER(C1673),char(34),"}}"))</f>
        <v>{"asset":{"guid":"uuid://af26b66d-a8cb-4efc-aa2b-2295015c44bc","site":"in-blr-ananta","name":"vav-1245"}}</v>
      </c>
      <c r="S1673" s="360" t="s">
        <v>5516</v>
      </c>
      <c r="T1673" s="330"/>
      <c r="U1673" s="330"/>
      <c r="V1673" s="331"/>
      <c r="W1673" s="332"/>
      <c r="X1673" s="333"/>
      <c r="Y1673" s="33" t="s">
        <v>2867</v>
      </c>
      <c r="Z1673" s="258">
        <v>121245.0</v>
      </c>
      <c r="AA1673" s="334">
        <v>11636.0</v>
      </c>
      <c r="AB1673" s="333"/>
      <c r="AC1673" s="333"/>
      <c r="AD1673" s="329"/>
      <c r="AE1673" s="331"/>
      <c r="AF1673" s="336"/>
      <c r="AG1673" s="337"/>
      <c r="AH1673" s="333"/>
      <c r="AI1673" s="333"/>
      <c r="AJ1673" s="333"/>
      <c r="AK1673" s="333"/>
      <c r="AL1673" s="333"/>
      <c r="AM1673" s="338"/>
      <c r="AN1673" s="333"/>
      <c r="AO1673" s="333"/>
      <c r="AP1673" s="333"/>
      <c r="AQ1673" s="333"/>
      <c r="AR1673" s="333"/>
      <c r="AS1673" s="333"/>
      <c r="AT1673" s="333"/>
      <c r="AU1673" s="329"/>
      <c r="AV1673" s="341"/>
      <c r="AW1673" s="269" t="s">
        <v>2401</v>
      </c>
      <c r="AX1673" s="334" t="s">
        <v>2869</v>
      </c>
      <c r="AY1673" s="270" t="s">
        <v>695</v>
      </c>
      <c r="AZ1673" s="173" t="s">
        <v>5516</v>
      </c>
      <c r="BA1673" s="265">
        <v>10.0</v>
      </c>
      <c r="BB1673" s="174" t="s">
        <v>245</v>
      </c>
      <c r="BC1673" s="341"/>
      <c r="BD1673" s="308"/>
      <c r="BE1673" s="342"/>
      <c r="BF1673" s="274" t="str">
        <f>IFERROR(__xludf.DUMMYFUNCTION("LOWER(Regexreplace(to_text(E1673),""[^A-Za-z0-9]"","""")&amp;""_""&amp;Regexreplace(to_text(F1673),""[^A-Za-z0-9]"",""""))"),"neptronic_evcbseries")</f>
        <v>neptronic_evcbseries</v>
      </c>
      <c r="BG1673" s="275" t="str">
        <f>IFERROR(__xludf.DUMMYFUNCTION("upper(Regexreplace(to_text(E1673),""[^A-Za-z0-9]"","""")&amp;""-""&amp;Regexreplace(to_text(F1673),""[^A-Za-z0-9]"",""""))"),"NEPTRONIC-EVCBSERIES")</f>
        <v>NEPTRONIC-EVCBSERIES</v>
      </c>
    </row>
    <row r="1674" ht="30.0" customHeight="1">
      <c r="A1674" s="258">
        <v>1666.0</v>
      </c>
      <c r="B1674" s="328" t="s">
        <v>670</v>
      </c>
      <c r="C1674" s="257" t="s">
        <v>6500</v>
      </c>
      <c r="D1674" s="173" t="s">
        <v>6500</v>
      </c>
      <c r="E1674" s="174" t="s">
        <v>2861</v>
      </c>
      <c r="F1674" s="173" t="s">
        <v>2862</v>
      </c>
      <c r="G1674" s="328" t="s">
        <v>673</v>
      </c>
      <c r="H1674" s="328" t="s">
        <v>2863</v>
      </c>
      <c r="I1674" s="258" t="s">
        <v>2864</v>
      </c>
      <c r="J1674" s="259" t="s">
        <v>1211</v>
      </c>
      <c r="K1674" s="260" t="s">
        <v>6501</v>
      </c>
      <c r="L1674" s="359"/>
      <c r="M1674" s="359"/>
      <c r="N1674" s="173" t="s">
        <v>679</v>
      </c>
      <c r="O1674" s="173" t="s">
        <v>225</v>
      </c>
      <c r="P1674" s="262" t="str">
        <f t="shared" si="1"/>
        <v>IN-BLR-ANANTA-VAV-1246_7</v>
      </c>
      <c r="Q1674" s="173" t="s">
        <v>6502</v>
      </c>
      <c r="R1674" s="328" t="str">
        <f>IFS(C1674="","",C1674="n/a","N/A",LEN(C1674),Concatenate("{",char(34),"asset",char(34),":{",char(34),"guid",char(34),":",char(34),Q1674,char(34),",",char(34),"site",char(34),":",char(34),LOWER('2-Building'!$B$4),char(34),",",char(34),"name",char(34),":",char(34),LOWER(C1674),char(34),"}}"))</f>
        <v>{"asset":{"guid":"uuid://5792362e-c8c3-40af-9d34-28261a19e0b7","site":"in-blr-ananta","name":"vav-1246"}}</v>
      </c>
      <c r="S1674" s="360" t="s">
        <v>5516</v>
      </c>
      <c r="T1674" s="330"/>
      <c r="U1674" s="330"/>
      <c r="V1674" s="331"/>
      <c r="W1674" s="332"/>
      <c r="X1674" s="333"/>
      <c r="Y1674" s="33" t="s">
        <v>2867</v>
      </c>
      <c r="Z1674" s="258">
        <v>121246.0</v>
      </c>
      <c r="AA1674" s="334">
        <v>11636.0</v>
      </c>
      <c r="AB1674" s="333"/>
      <c r="AC1674" s="333"/>
      <c r="AD1674" s="329"/>
      <c r="AE1674" s="331"/>
      <c r="AF1674" s="336"/>
      <c r="AG1674" s="337"/>
      <c r="AH1674" s="333"/>
      <c r="AI1674" s="333"/>
      <c r="AJ1674" s="333"/>
      <c r="AK1674" s="333"/>
      <c r="AL1674" s="333"/>
      <c r="AM1674" s="338"/>
      <c r="AN1674" s="333"/>
      <c r="AO1674" s="333"/>
      <c r="AP1674" s="333"/>
      <c r="AQ1674" s="333"/>
      <c r="AR1674" s="333"/>
      <c r="AS1674" s="333"/>
      <c r="AT1674" s="333"/>
      <c r="AU1674" s="329"/>
      <c r="AV1674" s="341"/>
      <c r="AW1674" s="269" t="s">
        <v>2401</v>
      </c>
      <c r="AX1674" s="334" t="s">
        <v>2869</v>
      </c>
      <c r="AY1674" s="270" t="s">
        <v>695</v>
      </c>
      <c r="AZ1674" s="173" t="s">
        <v>5516</v>
      </c>
      <c r="BA1674" s="265">
        <v>10.0</v>
      </c>
      <c r="BB1674" s="174" t="s">
        <v>245</v>
      </c>
      <c r="BC1674" s="341"/>
      <c r="BD1674" s="308"/>
      <c r="BE1674" s="342"/>
      <c r="BF1674" s="274" t="str">
        <f>IFERROR(__xludf.DUMMYFUNCTION("LOWER(Regexreplace(to_text(E1674),""[^A-Za-z0-9]"","""")&amp;""_""&amp;Regexreplace(to_text(F1674),""[^A-Za-z0-9]"",""""))"),"neptronic_evcbseries")</f>
        <v>neptronic_evcbseries</v>
      </c>
      <c r="BG1674" s="275" t="str">
        <f>IFERROR(__xludf.DUMMYFUNCTION("upper(Regexreplace(to_text(E1674),""[^A-Za-z0-9]"","""")&amp;""-""&amp;Regexreplace(to_text(F1674),""[^A-Za-z0-9]"",""""))"),"NEPTRONIC-EVCBSERIES")</f>
        <v>NEPTRONIC-EVCBSERIES</v>
      </c>
    </row>
    <row r="1675" ht="30.0" customHeight="1">
      <c r="A1675" s="173">
        <v>1667.0</v>
      </c>
      <c r="B1675" s="328" t="s">
        <v>670</v>
      </c>
      <c r="C1675" s="257" t="s">
        <v>6503</v>
      </c>
      <c r="D1675" s="173" t="s">
        <v>6503</v>
      </c>
      <c r="E1675" s="174" t="s">
        <v>2861</v>
      </c>
      <c r="F1675" s="173" t="s">
        <v>2862</v>
      </c>
      <c r="G1675" s="328" t="s">
        <v>673</v>
      </c>
      <c r="H1675" s="328" t="s">
        <v>2863</v>
      </c>
      <c r="I1675" s="258" t="s">
        <v>2864</v>
      </c>
      <c r="J1675" s="259" t="s">
        <v>1211</v>
      </c>
      <c r="K1675" s="260" t="s">
        <v>6504</v>
      </c>
      <c r="L1675" s="359"/>
      <c r="M1675" s="359"/>
      <c r="N1675" s="173" t="s">
        <v>679</v>
      </c>
      <c r="O1675" s="173" t="s">
        <v>225</v>
      </c>
      <c r="P1675" s="262" t="str">
        <f t="shared" si="1"/>
        <v>IN-BLR-ANANTA-VAV-1247_7</v>
      </c>
      <c r="Q1675" s="173" t="s">
        <v>6505</v>
      </c>
      <c r="R1675" s="328" t="str">
        <f>IFS(C1675="","",C1675="n/a","N/A",LEN(C1675),Concatenate("{",char(34),"asset",char(34),":{",char(34),"guid",char(34),":",char(34),Q1675,char(34),",",char(34),"site",char(34),":",char(34),LOWER('2-Building'!$B$4),char(34),",",char(34),"name",char(34),":",char(34),LOWER(C1675),char(34),"}}"))</f>
        <v>{"asset":{"guid":"uuid://bf099edb-8b45-46d1-9982-0edaf2ce005f","site":"in-blr-ananta","name":"vav-1247"}}</v>
      </c>
      <c r="S1675" s="360" t="s">
        <v>5516</v>
      </c>
      <c r="T1675" s="330"/>
      <c r="U1675" s="330"/>
      <c r="V1675" s="331"/>
      <c r="W1675" s="332"/>
      <c r="X1675" s="333"/>
      <c r="Y1675" s="33" t="s">
        <v>2867</v>
      </c>
      <c r="Z1675" s="258">
        <v>121247.0</v>
      </c>
      <c r="AA1675" s="334">
        <v>11636.0</v>
      </c>
      <c r="AB1675" s="333"/>
      <c r="AC1675" s="333"/>
      <c r="AD1675" s="329"/>
      <c r="AE1675" s="331"/>
      <c r="AF1675" s="336"/>
      <c r="AG1675" s="337"/>
      <c r="AH1675" s="333"/>
      <c r="AI1675" s="333"/>
      <c r="AJ1675" s="333"/>
      <c r="AK1675" s="333"/>
      <c r="AL1675" s="333"/>
      <c r="AM1675" s="338"/>
      <c r="AN1675" s="333"/>
      <c r="AO1675" s="333"/>
      <c r="AP1675" s="333"/>
      <c r="AQ1675" s="333"/>
      <c r="AR1675" s="333"/>
      <c r="AS1675" s="333"/>
      <c r="AT1675" s="333"/>
      <c r="AU1675" s="329"/>
      <c r="AV1675" s="341"/>
      <c r="AW1675" s="269" t="s">
        <v>2401</v>
      </c>
      <c r="AX1675" s="334" t="s">
        <v>2869</v>
      </c>
      <c r="AY1675" s="270" t="s">
        <v>695</v>
      </c>
      <c r="AZ1675" s="173" t="s">
        <v>5516</v>
      </c>
      <c r="BA1675" s="265">
        <v>10.0</v>
      </c>
      <c r="BB1675" s="174" t="s">
        <v>245</v>
      </c>
      <c r="BC1675" s="341"/>
      <c r="BD1675" s="308"/>
      <c r="BE1675" s="342"/>
      <c r="BF1675" s="274" t="str">
        <f>IFERROR(__xludf.DUMMYFUNCTION("LOWER(Regexreplace(to_text(E1675),""[^A-Za-z0-9]"","""")&amp;""_""&amp;Regexreplace(to_text(F1675),""[^A-Za-z0-9]"",""""))"),"neptronic_evcbseries")</f>
        <v>neptronic_evcbseries</v>
      </c>
      <c r="BG1675" s="275" t="str">
        <f>IFERROR(__xludf.DUMMYFUNCTION("upper(Regexreplace(to_text(E1675),""[^A-Za-z0-9]"","""")&amp;""-""&amp;Regexreplace(to_text(F1675),""[^A-Za-z0-9]"",""""))"),"NEPTRONIC-EVCBSERIES")</f>
        <v>NEPTRONIC-EVCBSERIES</v>
      </c>
    </row>
    <row r="1676" ht="30.0" customHeight="1">
      <c r="A1676" s="258">
        <v>1668.0</v>
      </c>
      <c r="B1676" s="328" t="s">
        <v>670</v>
      </c>
      <c r="C1676" s="257" t="s">
        <v>6506</v>
      </c>
      <c r="D1676" s="173" t="s">
        <v>6506</v>
      </c>
      <c r="E1676" s="174" t="s">
        <v>2861</v>
      </c>
      <c r="F1676" s="173" t="s">
        <v>2862</v>
      </c>
      <c r="G1676" s="328" t="s">
        <v>673</v>
      </c>
      <c r="H1676" s="328" t="s">
        <v>2863</v>
      </c>
      <c r="I1676" s="258" t="s">
        <v>2864</v>
      </c>
      <c r="J1676" s="259" t="s">
        <v>1211</v>
      </c>
      <c r="K1676" s="260" t="s">
        <v>5565</v>
      </c>
      <c r="L1676" s="359"/>
      <c r="M1676" s="359"/>
      <c r="N1676" s="173" t="s">
        <v>679</v>
      </c>
      <c r="O1676" s="173" t="s">
        <v>225</v>
      </c>
      <c r="P1676" s="262" t="str">
        <f t="shared" si="1"/>
        <v>IN-BLR-ANANTA-VAV-1248_7</v>
      </c>
      <c r="Q1676" s="173" t="s">
        <v>6507</v>
      </c>
      <c r="R1676" s="328" t="str">
        <f>IFS(C1676="","",C1676="n/a","N/A",LEN(C1676),Concatenate("{",char(34),"asset",char(34),":{",char(34),"guid",char(34),":",char(34),Q1676,char(34),",",char(34),"site",char(34),":",char(34),LOWER('2-Building'!$B$4),char(34),",",char(34),"name",char(34),":",char(34),LOWER(C1676),char(34),"}}"))</f>
        <v>{"asset":{"guid":"uuid://e616faa0-baee-46c2-b90b-17b78fc253f1","site":"in-blr-ananta","name":"vav-1248"}}</v>
      </c>
      <c r="S1676" s="360" t="s">
        <v>5516</v>
      </c>
      <c r="T1676" s="330"/>
      <c r="U1676" s="330"/>
      <c r="V1676" s="331"/>
      <c r="W1676" s="332"/>
      <c r="X1676" s="333"/>
      <c r="Y1676" s="33" t="s">
        <v>2867</v>
      </c>
      <c r="Z1676" s="258">
        <v>121248.0</v>
      </c>
      <c r="AA1676" s="334">
        <v>11635.0</v>
      </c>
      <c r="AB1676" s="333"/>
      <c r="AC1676" s="333"/>
      <c r="AD1676" s="329"/>
      <c r="AE1676" s="331"/>
      <c r="AF1676" s="336"/>
      <c r="AG1676" s="337"/>
      <c r="AH1676" s="333"/>
      <c r="AI1676" s="333"/>
      <c r="AJ1676" s="333"/>
      <c r="AK1676" s="333"/>
      <c r="AL1676" s="333"/>
      <c r="AM1676" s="338"/>
      <c r="AN1676" s="333"/>
      <c r="AO1676" s="333"/>
      <c r="AP1676" s="333"/>
      <c r="AQ1676" s="333"/>
      <c r="AR1676" s="333"/>
      <c r="AS1676" s="333"/>
      <c r="AT1676" s="333"/>
      <c r="AU1676" s="329"/>
      <c r="AV1676" s="341"/>
      <c r="AW1676" s="269" t="s">
        <v>2401</v>
      </c>
      <c r="AX1676" s="334" t="s">
        <v>2869</v>
      </c>
      <c r="AY1676" s="270" t="s">
        <v>695</v>
      </c>
      <c r="AZ1676" s="173" t="s">
        <v>5516</v>
      </c>
      <c r="BA1676" s="265">
        <v>10.0</v>
      </c>
      <c r="BB1676" s="174" t="s">
        <v>245</v>
      </c>
      <c r="BC1676" s="341"/>
      <c r="BD1676" s="308"/>
      <c r="BE1676" s="342"/>
      <c r="BF1676" s="274" t="str">
        <f>IFERROR(__xludf.DUMMYFUNCTION("LOWER(Regexreplace(to_text(E1676),""[^A-Za-z0-9]"","""")&amp;""_""&amp;Regexreplace(to_text(F1676),""[^A-Za-z0-9]"",""""))"),"neptronic_evcbseries")</f>
        <v>neptronic_evcbseries</v>
      </c>
      <c r="BG1676" s="275" t="str">
        <f>IFERROR(__xludf.DUMMYFUNCTION("upper(Regexreplace(to_text(E1676),""[^A-Za-z0-9]"","""")&amp;""-""&amp;Regexreplace(to_text(F1676),""[^A-Za-z0-9]"",""""))"),"NEPTRONIC-EVCBSERIES")</f>
        <v>NEPTRONIC-EVCBSERIES</v>
      </c>
    </row>
    <row r="1677" ht="30.0" customHeight="1">
      <c r="A1677" s="173">
        <v>1669.0</v>
      </c>
      <c r="B1677" s="328" t="s">
        <v>670</v>
      </c>
      <c r="C1677" s="257" t="s">
        <v>6508</v>
      </c>
      <c r="D1677" s="173" t="s">
        <v>6508</v>
      </c>
      <c r="E1677" s="174" t="s">
        <v>2861</v>
      </c>
      <c r="F1677" s="173" t="s">
        <v>2862</v>
      </c>
      <c r="G1677" s="328" t="s">
        <v>673</v>
      </c>
      <c r="H1677" s="328" t="s">
        <v>2863</v>
      </c>
      <c r="I1677" s="258" t="s">
        <v>2864</v>
      </c>
      <c r="J1677" s="259" t="s">
        <v>1211</v>
      </c>
      <c r="K1677" s="260" t="s">
        <v>6509</v>
      </c>
      <c r="L1677" s="359"/>
      <c r="M1677" s="359"/>
      <c r="N1677" s="173" t="s">
        <v>679</v>
      </c>
      <c r="O1677" s="173" t="s">
        <v>225</v>
      </c>
      <c r="P1677" s="262" t="str">
        <f t="shared" si="1"/>
        <v>IN-BLR-ANANTA-VAV-1249_7</v>
      </c>
      <c r="Q1677" s="173" t="s">
        <v>6510</v>
      </c>
      <c r="R1677" s="328" t="str">
        <f>IFS(C1677="","",C1677="n/a","N/A",LEN(C1677),Concatenate("{",char(34),"asset",char(34),":{",char(34),"guid",char(34),":",char(34),Q1677,char(34),",",char(34),"site",char(34),":",char(34),LOWER('2-Building'!$B$4),char(34),",",char(34),"name",char(34),":",char(34),LOWER(C1677),char(34),"}}"))</f>
        <v>{"asset":{"guid":"uuid://e04343c7-4873-4a4f-9377-ddd8f795b8a0","site":"in-blr-ananta","name":"vav-1249"}}</v>
      </c>
      <c r="S1677" s="360" t="s">
        <v>5516</v>
      </c>
      <c r="T1677" s="330"/>
      <c r="U1677" s="330"/>
      <c r="V1677" s="331"/>
      <c r="W1677" s="332"/>
      <c r="X1677" s="333"/>
      <c r="Y1677" s="33" t="s">
        <v>2867</v>
      </c>
      <c r="Z1677" s="258">
        <v>121249.0</v>
      </c>
      <c r="AA1677" s="334">
        <v>11636.0</v>
      </c>
      <c r="AB1677" s="333"/>
      <c r="AC1677" s="333"/>
      <c r="AD1677" s="329"/>
      <c r="AE1677" s="331"/>
      <c r="AF1677" s="336"/>
      <c r="AG1677" s="337"/>
      <c r="AH1677" s="333"/>
      <c r="AI1677" s="333"/>
      <c r="AJ1677" s="333"/>
      <c r="AK1677" s="333"/>
      <c r="AL1677" s="333"/>
      <c r="AM1677" s="338"/>
      <c r="AN1677" s="333"/>
      <c r="AO1677" s="333"/>
      <c r="AP1677" s="333"/>
      <c r="AQ1677" s="333"/>
      <c r="AR1677" s="333"/>
      <c r="AS1677" s="333"/>
      <c r="AT1677" s="333"/>
      <c r="AU1677" s="329"/>
      <c r="AV1677" s="341"/>
      <c r="AW1677" s="269" t="s">
        <v>2401</v>
      </c>
      <c r="AX1677" s="334" t="s">
        <v>2869</v>
      </c>
      <c r="AY1677" s="270" t="s">
        <v>695</v>
      </c>
      <c r="AZ1677" s="173" t="s">
        <v>5516</v>
      </c>
      <c r="BA1677" s="265">
        <v>10.0</v>
      </c>
      <c r="BB1677" s="174" t="s">
        <v>245</v>
      </c>
      <c r="BC1677" s="341"/>
      <c r="BD1677" s="308"/>
      <c r="BE1677" s="342"/>
      <c r="BF1677" s="274" t="str">
        <f>IFERROR(__xludf.DUMMYFUNCTION("LOWER(Regexreplace(to_text(E1677),""[^A-Za-z0-9]"","""")&amp;""_""&amp;Regexreplace(to_text(F1677),""[^A-Za-z0-9]"",""""))"),"neptronic_evcbseries")</f>
        <v>neptronic_evcbseries</v>
      </c>
      <c r="BG1677" s="275" t="str">
        <f>IFERROR(__xludf.DUMMYFUNCTION("upper(Regexreplace(to_text(E1677),""[^A-Za-z0-9]"","""")&amp;""-""&amp;Regexreplace(to_text(F1677),""[^A-Za-z0-9]"",""""))"),"NEPTRONIC-EVCBSERIES")</f>
        <v>NEPTRONIC-EVCBSERIES</v>
      </c>
    </row>
    <row r="1678" ht="30.0" customHeight="1">
      <c r="A1678" s="258">
        <v>1670.0</v>
      </c>
      <c r="B1678" s="328" t="s">
        <v>670</v>
      </c>
      <c r="C1678" s="257" t="s">
        <v>6511</v>
      </c>
      <c r="D1678" s="173" t="s">
        <v>6511</v>
      </c>
      <c r="E1678" s="174" t="s">
        <v>2861</v>
      </c>
      <c r="F1678" s="173" t="s">
        <v>2862</v>
      </c>
      <c r="G1678" s="328" t="s">
        <v>673</v>
      </c>
      <c r="H1678" s="328" t="s">
        <v>2863</v>
      </c>
      <c r="I1678" s="258" t="s">
        <v>2864</v>
      </c>
      <c r="J1678" s="259" t="s">
        <v>1211</v>
      </c>
      <c r="K1678" s="260" t="s">
        <v>6512</v>
      </c>
      <c r="L1678" s="359"/>
      <c r="M1678" s="359"/>
      <c r="N1678" s="173" t="s">
        <v>679</v>
      </c>
      <c r="O1678" s="173" t="s">
        <v>225</v>
      </c>
      <c r="P1678" s="262" t="str">
        <f t="shared" si="1"/>
        <v>IN-BLR-ANANTA-VAV-1250_7</v>
      </c>
      <c r="Q1678" s="173" t="s">
        <v>6513</v>
      </c>
      <c r="R1678" s="328" t="str">
        <f>IFS(C1678="","",C1678="n/a","N/A",LEN(C1678),Concatenate("{",char(34),"asset",char(34),":{",char(34),"guid",char(34),":",char(34),Q1678,char(34),",",char(34),"site",char(34),":",char(34),LOWER('2-Building'!$B$4),char(34),",",char(34),"name",char(34),":",char(34),LOWER(C1678),char(34),"}}"))</f>
        <v>{"asset":{"guid":"uuid://2e91710e-be21-4217-8bbd-462da2cb9b57","site":"in-blr-ananta","name":"vav-1250"}}</v>
      </c>
      <c r="S1678" s="360" t="s">
        <v>5516</v>
      </c>
      <c r="T1678" s="330"/>
      <c r="U1678" s="330"/>
      <c r="V1678" s="331"/>
      <c r="W1678" s="332"/>
      <c r="X1678" s="333"/>
      <c r="Y1678" s="33" t="s">
        <v>2867</v>
      </c>
      <c r="Z1678" s="258">
        <v>121250.0</v>
      </c>
      <c r="AA1678" s="334">
        <v>11636.0</v>
      </c>
      <c r="AB1678" s="333"/>
      <c r="AC1678" s="333"/>
      <c r="AD1678" s="329"/>
      <c r="AE1678" s="331"/>
      <c r="AF1678" s="336"/>
      <c r="AG1678" s="337"/>
      <c r="AH1678" s="333"/>
      <c r="AI1678" s="333"/>
      <c r="AJ1678" s="333"/>
      <c r="AK1678" s="333"/>
      <c r="AL1678" s="333"/>
      <c r="AM1678" s="338"/>
      <c r="AN1678" s="333"/>
      <c r="AO1678" s="333"/>
      <c r="AP1678" s="333"/>
      <c r="AQ1678" s="333"/>
      <c r="AR1678" s="333"/>
      <c r="AS1678" s="333"/>
      <c r="AT1678" s="333"/>
      <c r="AU1678" s="329"/>
      <c r="AV1678" s="341"/>
      <c r="AW1678" s="269" t="s">
        <v>2401</v>
      </c>
      <c r="AX1678" s="334" t="s">
        <v>2869</v>
      </c>
      <c r="AY1678" s="270" t="s">
        <v>695</v>
      </c>
      <c r="AZ1678" s="173" t="s">
        <v>5516</v>
      </c>
      <c r="BA1678" s="265">
        <v>10.0</v>
      </c>
      <c r="BB1678" s="174" t="s">
        <v>245</v>
      </c>
      <c r="BC1678" s="341"/>
      <c r="BD1678" s="308"/>
      <c r="BE1678" s="342"/>
      <c r="BF1678" s="274" t="str">
        <f>IFERROR(__xludf.DUMMYFUNCTION("LOWER(Regexreplace(to_text(E1678),""[^A-Za-z0-9]"","""")&amp;""_""&amp;Regexreplace(to_text(F1678),""[^A-Za-z0-9]"",""""))"),"neptronic_evcbseries")</f>
        <v>neptronic_evcbseries</v>
      </c>
      <c r="BG1678" s="275" t="str">
        <f>IFERROR(__xludf.DUMMYFUNCTION("upper(Regexreplace(to_text(E1678),""[^A-Za-z0-9]"","""")&amp;""-""&amp;Regexreplace(to_text(F1678),""[^A-Za-z0-9]"",""""))"),"NEPTRONIC-EVCBSERIES")</f>
        <v>NEPTRONIC-EVCBSERIES</v>
      </c>
    </row>
    <row r="1679" ht="30.0" customHeight="1">
      <c r="A1679" s="173">
        <v>1671.0</v>
      </c>
      <c r="B1679" s="328" t="s">
        <v>670</v>
      </c>
      <c r="C1679" s="257" t="s">
        <v>6514</v>
      </c>
      <c r="D1679" s="173" t="s">
        <v>6514</v>
      </c>
      <c r="E1679" s="174" t="s">
        <v>2861</v>
      </c>
      <c r="F1679" s="173" t="s">
        <v>2862</v>
      </c>
      <c r="G1679" s="328" t="s">
        <v>673</v>
      </c>
      <c r="H1679" s="328" t="s">
        <v>2863</v>
      </c>
      <c r="I1679" s="258" t="s">
        <v>2864</v>
      </c>
      <c r="J1679" s="259" t="s">
        <v>1211</v>
      </c>
      <c r="K1679" s="260" t="s">
        <v>6515</v>
      </c>
      <c r="L1679" s="359"/>
      <c r="M1679" s="359"/>
      <c r="N1679" s="173" t="s">
        <v>679</v>
      </c>
      <c r="O1679" s="173" t="s">
        <v>225</v>
      </c>
      <c r="P1679" s="262" t="str">
        <f t="shared" si="1"/>
        <v>IN-BLR-ANANTA-VAV-1251_7</v>
      </c>
      <c r="Q1679" s="173" t="s">
        <v>6516</v>
      </c>
      <c r="R1679" s="328" t="str">
        <f>IFS(C1679="","",C1679="n/a","N/A",LEN(C1679),Concatenate("{",char(34),"asset",char(34),":{",char(34),"guid",char(34),":",char(34),Q1679,char(34),",",char(34),"site",char(34),":",char(34),LOWER('2-Building'!$B$4),char(34),",",char(34),"name",char(34),":",char(34),LOWER(C1679),char(34),"}}"))</f>
        <v>{"asset":{"guid":"uuid://dfca8192-3cbb-4838-8941-f4bc0db5ded3","site":"in-blr-ananta","name":"vav-1251"}}</v>
      </c>
      <c r="S1679" s="360" t="s">
        <v>5516</v>
      </c>
      <c r="T1679" s="330"/>
      <c r="U1679" s="330"/>
      <c r="V1679" s="331"/>
      <c r="W1679" s="332"/>
      <c r="X1679" s="333"/>
      <c r="Y1679" s="33" t="s">
        <v>2867</v>
      </c>
      <c r="Z1679" s="258">
        <v>121251.0</v>
      </c>
      <c r="AA1679" s="334">
        <v>11636.0</v>
      </c>
      <c r="AB1679" s="333"/>
      <c r="AC1679" s="333"/>
      <c r="AD1679" s="329"/>
      <c r="AE1679" s="331"/>
      <c r="AF1679" s="336"/>
      <c r="AG1679" s="337"/>
      <c r="AH1679" s="333"/>
      <c r="AI1679" s="333"/>
      <c r="AJ1679" s="333"/>
      <c r="AK1679" s="333"/>
      <c r="AL1679" s="333"/>
      <c r="AM1679" s="338"/>
      <c r="AN1679" s="333"/>
      <c r="AO1679" s="333"/>
      <c r="AP1679" s="333"/>
      <c r="AQ1679" s="333"/>
      <c r="AR1679" s="333"/>
      <c r="AS1679" s="333"/>
      <c r="AT1679" s="333"/>
      <c r="AU1679" s="329"/>
      <c r="AV1679" s="341"/>
      <c r="AW1679" s="269" t="s">
        <v>2401</v>
      </c>
      <c r="AX1679" s="334" t="s">
        <v>2869</v>
      </c>
      <c r="AY1679" s="270" t="s">
        <v>695</v>
      </c>
      <c r="AZ1679" s="173" t="s">
        <v>5516</v>
      </c>
      <c r="BA1679" s="265">
        <v>10.0</v>
      </c>
      <c r="BB1679" s="174" t="s">
        <v>245</v>
      </c>
      <c r="BC1679" s="341"/>
      <c r="BD1679" s="308"/>
      <c r="BE1679" s="342"/>
      <c r="BF1679" s="274" t="str">
        <f>IFERROR(__xludf.DUMMYFUNCTION("LOWER(Regexreplace(to_text(E1679),""[^A-Za-z0-9]"","""")&amp;""_""&amp;Regexreplace(to_text(F1679),""[^A-Za-z0-9]"",""""))"),"neptronic_evcbseries")</f>
        <v>neptronic_evcbseries</v>
      </c>
      <c r="BG1679" s="275" t="str">
        <f>IFERROR(__xludf.DUMMYFUNCTION("upper(Regexreplace(to_text(E1679),""[^A-Za-z0-9]"","""")&amp;""-""&amp;Regexreplace(to_text(F1679),""[^A-Za-z0-9]"",""""))"),"NEPTRONIC-EVCBSERIES")</f>
        <v>NEPTRONIC-EVCBSERIES</v>
      </c>
    </row>
    <row r="1680" ht="30.0" customHeight="1">
      <c r="A1680" s="258">
        <v>1672.0</v>
      </c>
      <c r="B1680" s="328" t="s">
        <v>670</v>
      </c>
      <c r="C1680" s="257" t="s">
        <v>6517</v>
      </c>
      <c r="D1680" s="173" t="s">
        <v>6517</v>
      </c>
      <c r="E1680" s="174" t="s">
        <v>2861</v>
      </c>
      <c r="F1680" s="173" t="s">
        <v>2862</v>
      </c>
      <c r="G1680" s="328" t="s">
        <v>673</v>
      </c>
      <c r="H1680" s="328" t="s">
        <v>2863</v>
      </c>
      <c r="I1680" s="258" t="s">
        <v>2864</v>
      </c>
      <c r="J1680" s="259" t="s">
        <v>1211</v>
      </c>
      <c r="K1680" s="260" t="s">
        <v>6518</v>
      </c>
      <c r="L1680" s="359"/>
      <c r="M1680" s="359"/>
      <c r="N1680" s="173" t="s">
        <v>679</v>
      </c>
      <c r="O1680" s="173" t="s">
        <v>225</v>
      </c>
      <c r="P1680" s="262" t="str">
        <f t="shared" si="1"/>
        <v>IN-BLR-ANANTA-VAV-1252_7</v>
      </c>
      <c r="Q1680" s="173" t="s">
        <v>6519</v>
      </c>
      <c r="R1680" s="328" t="str">
        <f>IFS(C1680="","",C1680="n/a","N/A",LEN(C1680),Concatenate("{",char(34),"asset",char(34),":{",char(34),"guid",char(34),":",char(34),Q1680,char(34),",",char(34),"site",char(34),":",char(34),LOWER('2-Building'!$B$4),char(34),",",char(34),"name",char(34),":",char(34),LOWER(C1680),char(34),"}}"))</f>
        <v>{"asset":{"guid":"uuid://8b85fcd6-23b4-497c-802e-0ac92135a466","site":"in-blr-ananta","name":"vav-1252"}}</v>
      </c>
      <c r="S1680" s="360" t="s">
        <v>5516</v>
      </c>
      <c r="T1680" s="330"/>
      <c r="U1680" s="330"/>
      <c r="V1680" s="331"/>
      <c r="W1680" s="332"/>
      <c r="X1680" s="333"/>
      <c r="Y1680" s="33" t="s">
        <v>2867</v>
      </c>
      <c r="Z1680" s="258">
        <v>121252.0</v>
      </c>
      <c r="AA1680" s="334">
        <v>11636.0</v>
      </c>
      <c r="AB1680" s="333"/>
      <c r="AC1680" s="333"/>
      <c r="AD1680" s="329"/>
      <c r="AE1680" s="331"/>
      <c r="AF1680" s="336"/>
      <c r="AG1680" s="337"/>
      <c r="AH1680" s="333"/>
      <c r="AI1680" s="333"/>
      <c r="AJ1680" s="333"/>
      <c r="AK1680" s="333"/>
      <c r="AL1680" s="333"/>
      <c r="AM1680" s="338"/>
      <c r="AN1680" s="333"/>
      <c r="AO1680" s="333"/>
      <c r="AP1680" s="333"/>
      <c r="AQ1680" s="333"/>
      <c r="AR1680" s="333"/>
      <c r="AS1680" s="333"/>
      <c r="AT1680" s="333"/>
      <c r="AU1680" s="329"/>
      <c r="AV1680" s="341"/>
      <c r="AW1680" s="269" t="s">
        <v>2401</v>
      </c>
      <c r="AX1680" s="334" t="s">
        <v>2869</v>
      </c>
      <c r="AY1680" s="270" t="s">
        <v>695</v>
      </c>
      <c r="AZ1680" s="173" t="s">
        <v>5516</v>
      </c>
      <c r="BA1680" s="265">
        <v>10.0</v>
      </c>
      <c r="BB1680" s="174" t="s">
        <v>245</v>
      </c>
      <c r="BC1680" s="341"/>
      <c r="BD1680" s="308"/>
      <c r="BE1680" s="342"/>
      <c r="BF1680" s="274" t="str">
        <f>IFERROR(__xludf.DUMMYFUNCTION("LOWER(Regexreplace(to_text(E1680),""[^A-Za-z0-9]"","""")&amp;""_""&amp;Regexreplace(to_text(F1680),""[^A-Za-z0-9]"",""""))"),"neptronic_evcbseries")</f>
        <v>neptronic_evcbseries</v>
      </c>
      <c r="BG1680" s="275" t="str">
        <f>IFERROR(__xludf.DUMMYFUNCTION("upper(Regexreplace(to_text(E1680),""[^A-Za-z0-9]"","""")&amp;""-""&amp;Regexreplace(to_text(F1680),""[^A-Za-z0-9]"",""""))"),"NEPTRONIC-EVCBSERIES")</f>
        <v>NEPTRONIC-EVCBSERIES</v>
      </c>
    </row>
    <row r="1681" ht="30.0" customHeight="1">
      <c r="A1681" s="173">
        <v>1673.0</v>
      </c>
      <c r="B1681" s="328" t="s">
        <v>670</v>
      </c>
      <c r="C1681" s="257" t="s">
        <v>6520</v>
      </c>
      <c r="D1681" s="173" t="s">
        <v>6520</v>
      </c>
      <c r="E1681" s="174" t="s">
        <v>2861</v>
      </c>
      <c r="F1681" s="173" t="s">
        <v>2862</v>
      </c>
      <c r="G1681" s="328" t="s">
        <v>673</v>
      </c>
      <c r="H1681" s="328" t="s">
        <v>2863</v>
      </c>
      <c r="I1681" s="258" t="s">
        <v>2864</v>
      </c>
      <c r="J1681" s="259" t="s">
        <v>1211</v>
      </c>
      <c r="K1681" s="260" t="s">
        <v>6521</v>
      </c>
      <c r="L1681" s="359"/>
      <c r="M1681" s="359"/>
      <c r="N1681" s="173" t="s">
        <v>679</v>
      </c>
      <c r="O1681" s="173" t="s">
        <v>225</v>
      </c>
      <c r="P1681" s="262" t="str">
        <f t="shared" si="1"/>
        <v>IN-BLR-ANANTA-VAV-1253_7</v>
      </c>
      <c r="Q1681" s="173" t="s">
        <v>6522</v>
      </c>
      <c r="R1681" s="328" t="str">
        <f>IFS(C1681="","",C1681="n/a","N/A",LEN(C1681),Concatenate("{",char(34),"asset",char(34),":{",char(34),"guid",char(34),":",char(34),Q1681,char(34),",",char(34),"site",char(34),":",char(34),LOWER('2-Building'!$B$4),char(34),",",char(34),"name",char(34),":",char(34),LOWER(C1681),char(34),"}}"))</f>
        <v>{"asset":{"guid":"uuid://3889a4a1-2b3a-4937-8f4f-7d358762f093","site":"in-blr-ananta","name":"vav-1253"}}</v>
      </c>
      <c r="S1681" s="360" t="s">
        <v>5516</v>
      </c>
      <c r="T1681" s="330"/>
      <c r="U1681" s="330"/>
      <c r="V1681" s="331"/>
      <c r="W1681" s="332"/>
      <c r="X1681" s="333"/>
      <c r="Y1681" s="33" t="s">
        <v>2867</v>
      </c>
      <c r="Z1681" s="258">
        <v>121253.0</v>
      </c>
      <c r="AA1681" s="334">
        <v>11636.0</v>
      </c>
      <c r="AB1681" s="333"/>
      <c r="AC1681" s="333"/>
      <c r="AD1681" s="329"/>
      <c r="AE1681" s="331"/>
      <c r="AF1681" s="336"/>
      <c r="AG1681" s="337"/>
      <c r="AH1681" s="333"/>
      <c r="AI1681" s="333"/>
      <c r="AJ1681" s="333"/>
      <c r="AK1681" s="333"/>
      <c r="AL1681" s="333"/>
      <c r="AM1681" s="338"/>
      <c r="AN1681" s="333"/>
      <c r="AO1681" s="333"/>
      <c r="AP1681" s="333"/>
      <c r="AQ1681" s="333"/>
      <c r="AR1681" s="333"/>
      <c r="AS1681" s="333"/>
      <c r="AT1681" s="333"/>
      <c r="AU1681" s="329"/>
      <c r="AV1681" s="341"/>
      <c r="AW1681" s="269" t="s">
        <v>2401</v>
      </c>
      <c r="AX1681" s="334" t="s">
        <v>2869</v>
      </c>
      <c r="AY1681" s="270" t="s">
        <v>695</v>
      </c>
      <c r="AZ1681" s="173" t="s">
        <v>5516</v>
      </c>
      <c r="BA1681" s="265">
        <v>10.0</v>
      </c>
      <c r="BB1681" s="174" t="s">
        <v>245</v>
      </c>
      <c r="BC1681" s="341"/>
      <c r="BD1681" s="308"/>
      <c r="BE1681" s="342"/>
      <c r="BF1681" s="274" t="str">
        <f>IFERROR(__xludf.DUMMYFUNCTION("LOWER(Regexreplace(to_text(E1681),""[^A-Za-z0-9]"","""")&amp;""_""&amp;Regexreplace(to_text(F1681),""[^A-Za-z0-9]"",""""))"),"neptronic_evcbseries")</f>
        <v>neptronic_evcbseries</v>
      </c>
      <c r="BG1681" s="275" t="str">
        <f>IFERROR(__xludf.DUMMYFUNCTION("upper(Regexreplace(to_text(E1681),""[^A-Za-z0-9]"","""")&amp;""-""&amp;Regexreplace(to_text(F1681),""[^A-Za-z0-9]"",""""))"),"NEPTRONIC-EVCBSERIES")</f>
        <v>NEPTRONIC-EVCBSERIES</v>
      </c>
    </row>
    <row r="1682" ht="30.0" customHeight="1">
      <c r="A1682" s="258">
        <v>1674.0</v>
      </c>
      <c r="B1682" s="328" t="s">
        <v>670</v>
      </c>
      <c r="C1682" s="257" t="s">
        <v>6523</v>
      </c>
      <c r="D1682" s="173" t="s">
        <v>6523</v>
      </c>
      <c r="E1682" s="174" t="s">
        <v>2861</v>
      </c>
      <c r="F1682" s="173" t="s">
        <v>2862</v>
      </c>
      <c r="G1682" s="328" t="s">
        <v>673</v>
      </c>
      <c r="H1682" s="328" t="s">
        <v>2863</v>
      </c>
      <c r="I1682" s="258" t="s">
        <v>2864</v>
      </c>
      <c r="J1682" s="259" t="s">
        <v>1211</v>
      </c>
      <c r="K1682" s="260" t="s">
        <v>6524</v>
      </c>
      <c r="L1682" s="359"/>
      <c r="M1682" s="359"/>
      <c r="N1682" s="173" t="s">
        <v>679</v>
      </c>
      <c r="O1682" s="173" t="s">
        <v>225</v>
      </c>
      <c r="P1682" s="262" t="str">
        <f t="shared" si="1"/>
        <v>IN-BLR-ANANTA-VAV-1254_7</v>
      </c>
      <c r="Q1682" s="173" t="s">
        <v>6525</v>
      </c>
      <c r="R1682" s="328" t="str">
        <f>IFS(C1682="","",C1682="n/a","N/A",LEN(C1682),Concatenate("{",char(34),"asset",char(34),":{",char(34),"guid",char(34),":",char(34),Q1682,char(34),",",char(34),"site",char(34),":",char(34),LOWER('2-Building'!$B$4),char(34),",",char(34),"name",char(34),":",char(34),LOWER(C1682),char(34),"}}"))</f>
        <v>{"asset":{"guid":"uuid://f1ff80eb-0e7d-47a7-be32-c9124b6507ab","site":"in-blr-ananta","name":"vav-1254"}}</v>
      </c>
      <c r="S1682" s="360" t="s">
        <v>5516</v>
      </c>
      <c r="T1682" s="330"/>
      <c r="U1682" s="330"/>
      <c r="V1682" s="331"/>
      <c r="W1682" s="332"/>
      <c r="X1682" s="333"/>
      <c r="Y1682" s="33" t="s">
        <v>2867</v>
      </c>
      <c r="Z1682" s="258">
        <v>121254.0</v>
      </c>
      <c r="AA1682" s="334">
        <v>11640.0</v>
      </c>
      <c r="AB1682" s="333"/>
      <c r="AC1682" s="333"/>
      <c r="AD1682" s="329"/>
      <c r="AE1682" s="331"/>
      <c r="AF1682" s="336"/>
      <c r="AG1682" s="337"/>
      <c r="AH1682" s="333"/>
      <c r="AI1682" s="333"/>
      <c r="AJ1682" s="333"/>
      <c r="AK1682" s="333"/>
      <c r="AL1682" s="333"/>
      <c r="AM1682" s="338"/>
      <c r="AN1682" s="333"/>
      <c r="AO1682" s="333"/>
      <c r="AP1682" s="333"/>
      <c r="AQ1682" s="333"/>
      <c r="AR1682" s="333"/>
      <c r="AS1682" s="333"/>
      <c r="AT1682" s="333"/>
      <c r="AU1682" s="329"/>
      <c r="AV1682" s="341"/>
      <c r="AW1682" s="269" t="s">
        <v>2401</v>
      </c>
      <c r="AX1682" s="334" t="s">
        <v>2869</v>
      </c>
      <c r="AY1682" s="270" t="s">
        <v>695</v>
      </c>
      <c r="AZ1682" s="173" t="s">
        <v>5516</v>
      </c>
      <c r="BA1682" s="265">
        <v>10.0</v>
      </c>
      <c r="BB1682" s="174" t="s">
        <v>245</v>
      </c>
      <c r="BC1682" s="341"/>
      <c r="BD1682" s="308"/>
      <c r="BE1682" s="342"/>
      <c r="BF1682" s="274" t="str">
        <f>IFERROR(__xludf.DUMMYFUNCTION("LOWER(Regexreplace(to_text(E1682),""[^A-Za-z0-9]"","""")&amp;""_""&amp;Regexreplace(to_text(F1682),""[^A-Za-z0-9]"",""""))"),"neptronic_evcbseries")</f>
        <v>neptronic_evcbseries</v>
      </c>
      <c r="BG1682" s="275" t="str">
        <f>IFERROR(__xludf.DUMMYFUNCTION("upper(Regexreplace(to_text(E1682),""[^A-Za-z0-9]"","""")&amp;""-""&amp;Regexreplace(to_text(F1682),""[^A-Za-z0-9]"",""""))"),"NEPTRONIC-EVCBSERIES")</f>
        <v>NEPTRONIC-EVCBSERIES</v>
      </c>
    </row>
    <row r="1683" ht="30.0" customHeight="1">
      <c r="A1683" s="173">
        <v>1675.0</v>
      </c>
      <c r="B1683" s="328" t="s">
        <v>670</v>
      </c>
      <c r="C1683" s="257" t="s">
        <v>6526</v>
      </c>
      <c r="D1683" s="173" t="s">
        <v>6526</v>
      </c>
      <c r="E1683" s="174" t="s">
        <v>2861</v>
      </c>
      <c r="F1683" s="173" t="s">
        <v>2862</v>
      </c>
      <c r="G1683" s="328" t="s">
        <v>673</v>
      </c>
      <c r="H1683" s="328" t="s">
        <v>2863</v>
      </c>
      <c r="I1683" s="258" t="s">
        <v>2864</v>
      </c>
      <c r="J1683" s="259" t="s">
        <v>1211</v>
      </c>
      <c r="K1683" s="260" t="s">
        <v>6527</v>
      </c>
      <c r="L1683" s="359"/>
      <c r="M1683" s="359"/>
      <c r="N1683" s="173" t="s">
        <v>679</v>
      </c>
      <c r="O1683" s="173" t="s">
        <v>225</v>
      </c>
      <c r="P1683" s="262" t="str">
        <f t="shared" si="1"/>
        <v>IN-BLR-ANANTA-VAV-1255_7</v>
      </c>
      <c r="Q1683" s="173" t="s">
        <v>6528</v>
      </c>
      <c r="R1683" s="328" t="str">
        <f>IFS(C1683="","",C1683="n/a","N/A",LEN(C1683),Concatenate("{",char(34),"asset",char(34),":{",char(34),"guid",char(34),":",char(34),Q1683,char(34),",",char(34),"site",char(34),":",char(34),LOWER('2-Building'!$B$4),char(34),",",char(34),"name",char(34),":",char(34),LOWER(C1683),char(34),"}}"))</f>
        <v>{"asset":{"guid":"uuid://042e8d62-5855-43b1-8c84-8c01d9835c14","site":"in-blr-ananta","name":"vav-1255"}}</v>
      </c>
      <c r="S1683" s="360" t="s">
        <v>5516</v>
      </c>
      <c r="T1683" s="330"/>
      <c r="U1683" s="330"/>
      <c r="V1683" s="331"/>
      <c r="W1683" s="332"/>
      <c r="X1683" s="333"/>
      <c r="Y1683" s="33" t="s">
        <v>2867</v>
      </c>
      <c r="Z1683" s="258">
        <v>121255.0</v>
      </c>
      <c r="AA1683" s="334">
        <v>11640.0</v>
      </c>
      <c r="AB1683" s="333"/>
      <c r="AC1683" s="333"/>
      <c r="AD1683" s="329"/>
      <c r="AE1683" s="331"/>
      <c r="AF1683" s="336"/>
      <c r="AG1683" s="337"/>
      <c r="AH1683" s="333"/>
      <c r="AI1683" s="333"/>
      <c r="AJ1683" s="333"/>
      <c r="AK1683" s="333"/>
      <c r="AL1683" s="333"/>
      <c r="AM1683" s="338"/>
      <c r="AN1683" s="333"/>
      <c r="AO1683" s="333"/>
      <c r="AP1683" s="333"/>
      <c r="AQ1683" s="333"/>
      <c r="AR1683" s="333"/>
      <c r="AS1683" s="333"/>
      <c r="AT1683" s="333"/>
      <c r="AU1683" s="329"/>
      <c r="AV1683" s="341"/>
      <c r="AW1683" s="269" t="s">
        <v>2401</v>
      </c>
      <c r="AX1683" s="334" t="s">
        <v>2869</v>
      </c>
      <c r="AY1683" s="270" t="s">
        <v>695</v>
      </c>
      <c r="AZ1683" s="173" t="s">
        <v>5516</v>
      </c>
      <c r="BA1683" s="265">
        <v>10.0</v>
      </c>
      <c r="BB1683" s="174" t="s">
        <v>245</v>
      </c>
      <c r="BC1683" s="341"/>
      <c r="BD1683" s="308"/>
      <c r="BE1683" s="342"/>
      <c r="BF1683" s="274" t="str">
        <f>IFERROR(__xludf.DUMMYFUNCTION("LOWER(Regexreplace(to_text(E1683),""[^A-Za-z0-9]"","""")&amp;""_""&amp;Regexreplace(to_text(F1683),""[^A-Za-z0-9]"",""""))"),"neptronic_evcbseries")</f>
        <v>neptronic_evcbseries</v>
      </c>
      <c r="BG1683" s="275" t="str">
        <f>IFERROR(__xludf.DUMMYFUNCTION("upper(Regexreplace(to_text(E1683),""[^A-Za-z0-9]"","""")&amp;""-""&amp;Regexreplace(to_text(F1683),""[^A-Za-z0-9]"",""""))"),"NEPTRONIC-EVCBSERIES")</f>
        <v>NEPTRONIC-EVCBSERIES</v>
      </c>
    </row>
    <row r="1684" ht="30.0" customHeight="1">
      <c r="A1684" s="258">
        <v>1676.0</v>
      </c>
      <c r="B1684" s="328" t="s">
        <v>670</v>
      </c>
      <c r="C1684" s="257" t="s">
        <v>6529</v>
      </c>
      <c r="D1684" s="173" t="s">
        <v>6529</v>
      </c>
      <c r="E1684" s="174" t="s">
        <v>2861</v>
      </c>
      <c r="F1684" s="173" t="s">
        <v>2862</v>
      </c>
      <c r="G1684" s="328" t="s">
        <v>673</v>
      </c>
      <c r="H1684" s="328" t="s">
        <v>2863</v>
      </c>
      <c r="I1684" s="258" t="s">
        <v>2864</v>
      </c>
      <c r="J1684" s="259" t="s">
        <v>1211</v>
      </c>
      <c r="K1684" s="260" t="s">
        <v>6530</v>
      </c>
      <c r="L1684" s="359"/>
      <c r="M1684" s="359"/>
      <c r="N1684" s="173" t="s">
        <v>679</v>
      </c>
      <c r="O1684" s="173" t="s">
        <v>225</v>
      </c>
      <c r="P1684" s="262" t="str">
        <f t="shared" si="1"/>
        <v>IN-BLR-ANANTA-VAV-1256_7</v>
      </c>
      <c r="Q1684" s="173" t="s">
        <v>6531</v>
      </c>
      <c r="R1684" s="328" t="str">
        <f>IFS(C1684="","",C1684="n/a","N/A",LEN(C1684),Concatenate("{",char(34),"asset",char(34),":{",char(34),"guid",char(34),":",char(34),Q1684,char(34),",",char(34),"site",char(34),":",char(34),LOWER('2-Building'!$B$4),char(34),",",char(34),"name",char(34),":",char(34),LOWER(C1684),char(34),"}}"))</f>
        <v>{"asset":{"guid":"uuid://95aa7606-b74e-43eb-8400-c521dea4586b","site":"in-blr-ananta","name":"vav-1256"}}</v>
      </c>
      <c r="S1684" s="360" t="s">
        <v>5516</v>
      </c>
      <c r="T1684" s="330"/>
      <c r="U1684" s="330"/>
      <c r="V1684" s="331"/>
      <c r="W1684" s="332"/>
      <c r="X1684" s="333"/>
      <c r="Y1684" s="33" t="s">
        <v>2867</v>
      </c>
      <c r="Z1684" s="258">
        <v>121256.0</v>
      </c>
      <c r="AA1684" s="334">
        <v>11636.0</v>
      </c>
      <c r="AB1684" s="333"/>
      <c r="AC1684" s="333"/>
      <c r="AD1684" s="329"/>
      <c r="AE1684" s="331"/>
      <c r="AF1684" s="336"/>
      <c r="AG1684" s="337"/>
      <c r="AH1684" s="333"/>
      <c r="AI1684" s="333"/>
      <c r="AJ1684" s="333"/>
      <c r="AK1684" s="333"/>
      <c r="AL1684" s="333"/>
      <c r="AM1684" s="338"/>
      <c r="AN1684" s="333"/>
      <c r="AO1684" s="333"/>
      <c r="AP1684" s="333"/>
      <c r="AQ1684" s="333"/>
      <c r="AR1684" s="333"/>
      <c r="AS1684" s="333"/>
      <c r="AT1684" s="333"/>
      <c r="AU1684" s="329"/>
      <c r="AV1684" s="341"/>
      <c r="AW1684" s="269" t="s">
        <v>2401</v>
      </c>
      <c r="AX1684" s="334" t="s">
        <v>2869</v>
      </c>
      <c r="AY1684" s="270" t="s">
        <v>695</v>
      </c>
      <c r="AZ1684" s="173" t="s">
        <v>5516</v>
      </c>
      <c r="BA1684" s="265">
        <v>10.0</v>
      </c>
      <c r="BB1684" s="174" t="s">
        <v>245</v>
      </c>
      <c r="BC1684" s="341"/>
      <c r="BD1684" s="308"/>
      <c r="BE1684" s="342"/>
      <c r="BF1684" s="274" t="str">
        <f>IFERROR(__xludf.DUMMYFUNCTION("LOWER(Regexreplace(to_text(E1684),""[^A-Za-z0-9]"","""")&amp;""_""&amp;Regexreplace(to_text(F1684),""[^A-Za-z0-9]"",""""))"),"neptronic_evcbseries")</f>
        <v>neptronic_evcbseries</v>
      </c>
      <c r="BG1684" s="275" t="str">
        <f>IFERROR(__xludf.DUMMYFUNCTION("upper(Regexreplace(to_text(E1684),""[^A-Za-z0-9]"","""")&amp;""-""&amp;Regexreplace(to_text(F1684),""[^A-Za-z0-9]"",""""))"),"NEPTRONIC-EVCBSERIES")</f>
        <v>NEPTRONIC-EVCBSERIES</v>
      </c>
    </row>
    <row r="1685" ht="30.0" customHeight="1">
      <c r="A1685" s="173">
        <v>1677.0</v>
      </c>
      <c r="B1685" s="328" t="s">
        <v>670</v>
      </c>
      <c r="C1685" s="257" t="s">
        <v>6532</v>
      </c>
      <c r="D1685" s="173" t="s">
        <v>6532</v>
      </c>
      <c r="E1685" s="174" t="s">
        <v>2861</v>
      </c>
      <c r="F1685" s="173" t="s">
        <v>2862</v>
      </c>
      <c r="G1685" s="328" t="s">
        <v>673</v>
      </c>
      <c r="H1685" s="328" t="s">
        <v>2863</v>
      </c>
      <c r="I1685" s="258" t="s">
        <v>2864</v>
      </c>
      <c r="J1685" s="259" t="s">
        <v>1211</v>
      </c>
      <c r="K1685" s="260" t="s">
        <v>6533</v>
      </c>
      <c r="L1685" s="359"/>
      <c r="M1685" s="359"/>
      <c r="N1685" s="173" t="s">
        <v>679</v>
      </c>
      <c r="O1685" s="173" t="s">
        <v>225</v>
      </c>
      <c r="P1685" s="262" t="str">
        <f t="shared" si="1"/>
        <v>IN-BLR-ANANTA-VAV-1257_7</v>
      </c>
      <c r="Q1685" s="173" t="s">
        <v>6534</v>
      </c>
      <c r="R1685" s="328" t="str">
        <f>IFS(C1685="","",C1685="n/a","N/A",LEN(C1685),Concatenate("{",char(34),"asset",char(34),":{",char(34),"guid",char(34),":",char(34),Q1685,char(34),",",char(34),"site",char(34),":",char(34),LOWER('2-Building'!$B$4),char(34),",",char(34),"name",char(34),":",char(34),LOWER(C1685),char(34),"}}"))</f>
        <v>{"asset":{"guid":"uuid://2e04f1f1-07c4-4bb9-96fa-8afc7a2fbbf2","site":"in-blr-ananta","name":"vav-1257"}}</v>
      </c>
      <c r="S1685" s="360" t="s">
        <v>5516</v>
      </c>
      <c r="T1685" s="330"/>
      <c r="U1685" s="330"/>
      <c r="V1685" s="331"/>
      <c r="W1685" s="332"/>
      <c r="X1685" s="333"/>
      <c r="Y1685" s="33" t="s">
        <v>2867</v>
      </c>
      <c r="Z1685" s="258">
        <v>121257.0</v>
      </c>
      <c r="AA1685" s="334">
        <v>11636.0</v>
      </c>
      <c r="AB1685" s="333"/>
      <c r="AC1685" s="333"/>
      <c r="AD1685" s="329"/>
      <c r="AE1685" s="331"/>
      <c r="AF1685" s="336"/>
      <c r="AG1685" s="337"/>
      <c r="AH1685" s="333"/>
      <c r="AI1685" s="333"/>
      <c r="AJ1685" s="333"/>
      <c r="AK1685" s="333"/>
      <c r="AL1685" s="333"/>
      <c r="AM1685" s="338"/>
      <c r="AN1685" s="333"/>
      <c r="AO1685" s="333"/>
      <c r="AP1685" s="333"/>
      <c r="AQ1685" s="333"/>
      <c r="AR1685" s="333"/>
      <c r="AS1685" s="333"/>
      <c r="AT1685" s="333"/>
      <c r="AU1685" s="329"/>
      <c r="AV1685" s="341"/>
      <c r="AW1685" s="269" t="s">
        <v>2401</v>
      </c>
      <c r="AX1685" s="334" t="s">
        <v>2869</v>
      </c>
      <c r="AY1685" s="270" t="s">
        <v>695</v>
      </c>
      <c r="AZ1685" s="173" t="s">
        <v>5516</v>
      </c>
      <c r="BA1685" s="265">
        <v>10.0</v>
      </c>
      <c r="BB1685" s="174" t="s">
        <v>245</v>
      </c>
      <c r="BC1685" s="341"/>
      <c r="BD1685" s="308"/>
      <c r="BE1685" s="342"/>
      <c r="BF1685" s="274" t="str">
        <f>IFERROR(__xludf.DUMMYFUNCTION("LOWER(Regexreplace(to_text(E1685),""[^A-Za-z0-9]"","""")&amp;""_""&amp;Regexreplace(to_text(F1685),""[^A-Za-z0-9]"",""""))"),"neptronic_evcbseries")</f>
        <v>neptronic_evcbseries</v>
      </c>
      <c r="BG1685" s="275" t="str">
        <f>IFERROR(__xludf.DUMMYFUNCTION("upper(Regexreplace(to_text(E1685),""[^A-Za-z0-9]"","""")&amp;""-""&amp;Regexreplace(to_text(F1685),""[^A-Za-z0-9]"",""""))"),"NEPTRONIC-EVCBSERIES")</f>
        <v>NEPTRONIC-EVCBSERIES</v>
      </c>
    </row>
    <row r="1686" ht="30.0" customHeight="1">
      <c r="A1686" s="258">
        <v>1678.0</v>
      </c>
      <c r="B1686" s="328" t="s">
        <v>670</v>
      </c>
      <c r="C1686" s="257" t="s">
        <v>6535</v>
      </c>
      <c r="D1686" s="173" t="s">
        <v>6535</v>
      </c>
      <c r="E1686" s="174" t="s">
        <v>2861</v>
      </c>
      <c r="F1686" s="173" t="s">
        <v>2862</v>
      </c>
      <c r="G1686" s="328" t="s">
        <v>673</v>
      </c>
      <c r="H1686" s="328" t="s">
        <v>2863</v>
      </c>
      <c r="I1686" s="258" t="s">
        <v>2864</v>
      </c>
      <c r="J1686" s="259" t="s">
        <v>1211</v>
      </c>
      <c r="K1686" s="260" t="s">
        <v>6536</v>
      </c>
      <c r="L1686" s="359"/>
      <c r="M1686" s="359"/>
      <c r="N1686" s="173" t="s">
        <v>679</v>
      </c>
      <c r="O1686" s="173" t="s">
        <v>225</v>
      </c>
      <c r="P1686" s="262" t="str">
        <f t="shared" si="1"/>
        <v>IN-BLR-ANANTA-VAV-1258_7</v>
      </c>
      <c r="Q1686" s="173" t="s">
        <v>6537</v>
      </c>
      <c r="R1686" s="328" t="str">
        <f>IFS(C1686="","",C1686="n/a","N/A",LEN(C1686),Concatenate("{",char(34),"asset",char(34),":{",char(34),"guid",char(34),":",char(34),Q1686,char(34),",",char(34),"site",char(34),":",char(34),LOWER('2-Building'!$B$4),char(34),",",char(34),"name",char(34),":",char(34),LOWER(C1686),char(34),"}}"))</f>
        <v>{"asset":{"guid":"uuid://db24d3fb-bdf2-4cb2-bc1d-d3aa00dcc93f","site":"in-blr-ananta","name":"vav-1258"}}</v>
      </c>
      <c r="S1686" s="360" t="s">
        <v>5516</v>
      </c>
      <c r="T1686" s="330"/>
      <c r="U1686" s="330"/>
      <c r="V1686" s="331"/>
      <c r="W1686" s="332"/>
      <c r="X1686" s="333"/>
      <c r="Y1686" s="33" t="s">
        <v>2867</v>
      </c>
      <c r="Z1686" s="258">
        <v>121258.0</v>
      </c>
      <c r="AA1686" s="334">
        <v>11636.0</v>
      </c>
      <c r="AB1686" s="333"/>
      <c r="AC1686" s="333"/>
      <c r="AD1686" s="329"/>
      <c r="AE1686" s="331"/>
      <c r="AF1686" s="336"/>
      <c r="AG1686" s="337"/>
      <c r="AH1686" s="333"/>
      <c r="AI1686" s="333"/>
      <c r="AJ1686" s="333"/>
      <c r="AK1686" s="333"/>
      <c r="AL1686" s="333"/>
      <c r="AM1686" s="338"/>
      <c r="AN1686" s="333"/>
      <c r="AO1686" s="333"/>
      <c r="AP1686" s="333"/>
      <c r="AQ1686" s="333"/>
      <c r="AR1686" s="333"/>
      <c r="AS1686" s="333"/>
      <c r="AT1686" s="333"/>
      <c r="AU1686" s="329"/>
      <c r="AV1686" s="341"/>
      <c r="AW1686" s="269" t="s">
        <v>2401</v>
      </c>
      <c r="AX1686" s="334" t="s">
        <v>2869</v>
      </c>
      <c r="AY1686" s="270" t="s">
        <v>695</v>
      </c>
      <c r="AZ1686" s="173" t="s">
        <v>5516</v>
      </c>
      <c r="BA1686" s="265">
        <v>10.0</v>
      </c>
      <c r="BB1686" s="174" t="s">
        <v>245</v>
      </c>
      <c r="BC1686" s="341"/>
      <c r="BD1686" s="308"/>
      <c r="BE1686" s="342"/>
      <c r="BF1686" s="274" t="str">
        <f>IFERROR(__xludf.DUMMYFUNCTION("LOWER(Regexreplace(to_text(E1686),""[^A-Za-z0-9]"","""")&amp;""_""&amp;Regexreplace(to_text(F1686),""[^A-Za-z0-9]"",""""))"),"neptronic_evcbseries")</f>
        <v>neptronic_evcbseries</v>
      </c>
      <c r="BG1686" s="275" t="str">
        <f>IFERROR(__xludf.DUMMYFUNCTION("upper(Regexreplace(to_text(E1686),""[^A-Za-z0-9]"","""")&amp;""-""&amp;Regexreplace(to_text(F1686),""[^A-Za-z0-9]"",""""))"),"NEPTRONIC-EVCBSERIES")</f>
        <v>NEPTRONIC-EVCBSERIES</v>
      </c>
    </row>
    <row r="1687" ht="30.0" customHeight="1">
      <c r="A1687" s="173">
        <v>1679.0</v>
      </c>
      <c r="B1687" s="328" t="s">
        <v>670</v>
      </c>
      <c r="C1687" s="257" t="s">
        <v>6538</v>
      </c>
      <c r="D1687" s="173" t="s">
        <v>6538</v>
      </c>
      <c r="E1687" s="174" t="s">
        <v>2861</v>
      </c>
      <c r="F1687" s="173" t="s">
        <v>2862</v>
      </c>
      <c r="G1687" s="328" t="s">
        <v>673</v>
      </c>
      <c r="H1687" s="328" t="s">
        <v>2863</v>
      </c>
      <c r="I1687" s="258" t="s">
        <v>2864</v>
      </c>
      <c r="J1687" s="259" t="s">
        <v>1211</v>
      </c>
      <c r="K1687" s="260" t="s">
        <v>6539</v>
      </c>
      <c r="L1687" s="359"/>
      <c r="M1687" s="359"/>
      <c r="N1687" s="173" t="s">
        <v>679</v>
      </c>
      <c r="O1687" s="173" t="s">
        <v>225</v>
      </c>
      <c r="P1687" s="262" t="str">
        <f t="shared" si="1"/>
        <v>IN-BLR-ANANTA-VAV-1259_7</v>
      </c>
      <c r="Q1687" s="173" t="s">
        <v>6540</v>
      </c>
      <c r="R1687" s="328" t="str">
        <f>IFS(C1687="","",C1687="n/a","N/A",LEN(C1687),Concatenate("{",char(34),"asset",char(34),":{",char(34),"guid",char(34),":",char(34),Q1687,char(34),",",char(34),"site",char(34),":",char(34),LOWER('2-Building'!$B$4),char(34),",",char(34),"name",char(34),":",char(34),LOWER(C1687),char(34),"}}"))</f>
        <v>{"asset":{"guid":"uuid://901eb3ee-03a7-4b59-a449-afb71cb56164","site":"in-blr-ananta","name":"vav-1259"}}</v>
      </c>
      <c r="S1687" s="360" t="s">
        <v>5516</v>
      </c>
      <c r="T1687" s="330"/>
      <c r="U1687" s="330"/>
      <c r="V1687" s="331"/>
      <c r="W1687" s="332"/>
      <c r="X1687" s="333"/>
      <c r="Y1687" s="33" t="s">
        <v>2867</v>
      </c>
      <c r="Z1687" s="258">
        <v>121259.0</v>
      </c>
      <c r="AA1687" s="334">
        <v>11636.0</v>
      </c>
      <c r="AB1687" s="333"/>
      <c r="AC1687" s="333"/>
      <c r="AD1687" s="329"/>
      <c r="AE1687" s="331"/>
      <c r="AF1687" s="336"/>
      <c r="AG1687" s="337"/>
      <c r="AH1687" s="333"/>
      <c r="AI1687" s="333"/>
      <c r="AJ1687" s="333"/>
      <c r="AK1687" s="333"/>
      <c r="AL1687" s="333"/>
      <c r="AM1687" s="338"/>
      <c r="AN1687" s="333"/>
      <c r="AO1687" s="333"/>
      <c r="AP1687" s="333"/>
      <c r="AQ1687" s="333"/>
      <c r="AR1687" s="333"/>
      <c r="AS1687" s="333"/>
      <c r="AT1687" s="333"/>
      <c r="AU1687" s="329"/>
      <c r="AV1687" s="341"/>
      <c r="AW1687" s="269" t="s">
        <v>2401</v>
      </c>
      <c r="AX1687" s="334" t="s">
        <v>2869</v>
      </c>
      <c r="AY1687" s="270" t="s">
        <v>695</v>
      </c>
      <c r="AZ1687" s="173" t="s">
        <v>5516</v>
      </c>
      <c r="BA1687" s="265">
        <v>10.0</v>
      </c>
      <c r="BB1687" s="174" t="s">
        <v>245</v>
      </c>
      <c r="BC1687" s="341"/>
      <c r="BD1687" s="308"/>
      <c r="BE1687" s="342"/>
      <c r="BF1687" s="274" t="str">
        <f>IFERROR(__xludf.DUMMYFUNCTION("LOWER(Regexreplace(to_text(E1687),""[^A-Za-z0-9]"","""")&amp;""_""&amp;Regexreplace(to_text(F1687),""[^A-Za-z0-9]"",""""))"),"neptronic_evcbseries")</f>
        <v>neptronic_evcbseries</v>
      </c>
      <c r="BG1687" s="275" t="str">
        <f>IFERROR(__xludf.DUMMYFUNCTION("upper(Regexreplace(to_text(E1687),""[^A-Za-z0-9]"","""")&amp;""-""&amp;Regexreplace(to_text(F1687),""[^A-Za-z0-9]"",""""))"),"NEPTRONIC-EVCBSERIES")</f>
        <v>NEPTRONIC-EVCBSERIES</v>
      </c>
    </row>
    <row r="1688" ht="30.0" customHeight="1">
      <c r="A1688" s="258">
        <v>1680.0</v>
      </c>
      <c r="B1688" s="328" t="s">
        <v>670</v>
      </c>
      <c r="C1688" s="257" t="s">
        <v>6541</v>
      </c>
      <c r="D1688" s="173" t="s">
        <v>6541</v>
      </c>
      <c r="E1688" s="174" t="s">
        <v>2861</v>
      </c>
      <c r="F1688" s="173" t="s">
        <v>2862</v>
      </c>
      <c r="G1688" s="328" t="s">
        <v>673</v>
      </c>
      <c r="H1688" s="328" t="s">
        <v>2863</v>
      </c>
      <c r="I1688" s="258" t="s">
        <v>2864</v>
      </c>
      <c r="J1688" s="259" t="s">
        <v>1211</v>
      </c>
      <c r="K1688" s="260" t="s">
        <v>6542</v>
      </c>
      <c r="L1688" s="359"/>
      <c r="M1688" s="359"/>
      <c r="N1688" s="173" t="s">
        <v>679</v>
      </c>
      <c r="O1688" s="173" t="s">
        <v>225</v>
      </c>
      <c r="P1688" s="262" t="str">
        <f t="shared" si="1"/>
        <v>IN-BLR-ANANTA-VAV-1260_7</v>
      </c>
      <c r="Q1688" s="173" t="s">
        <v>6543</v>
      </c>
      <c r="R1688" s="328" t="str">
        <f>IFS(C1688="","",C1688="n/a","N/A",LEN(C1688),Concatenate("{",char(34),"asset",char(34),":{",char(34),"guid",char(34),":",char(34),Q1688,char(34),",",char(34),"site",char(34),":",char(34),LOWER('2-Building'!$B$4),char(34),",",char(34),"name",char(34),":",char(34),LOWER(C1688),char(34),"}}"))</f>
        <v>{"asset":{"guid":"uuid://a27310fc-93e7-4c61-8540-241bb2fbaa6c","site":"in-blr-ananta","name":"vav-1260"}}</v>
      </c>
      <c r="S1688" s="360" t="s">
        <v>5516</v>
      </c>
      <c r="T1688" s="330"/>
      <c r="U1688" s="330"/>
      <c r="V1688" s="331"/>
      <c r="W1688" s="332"/>
      <c r="X1688" s="333"/>
      <c r="Y1688" s="33" t="s">
        <v>2867</v>
      </c>
      <c r="Z1688" s="258">
        <v>121260.0</v>
      </c>
      <c r="AA1688" s="334">
        <v>11636.0</v>
      </c>
      <c r="AB1688" s="333"/>
      <c r="AC1688" s="333"/>
      <c r="AD1688" s="329"/>
      <c r="AE1688" s="331"/>
      <c r="AF1688" s="336"/>
      <c r="AG1688" s="337"/>
      <c r="AH1688" s="333"/>
      <c r="AI1688" s="333"/>
      <c r="AJ1688" s="333"/>
      <c r="AK1688" s="333"/>
      <c r="AL1688" s="333"/>
      <c r="AM1688" s="338"/>
      <c r="AN1688" s="333"/>
      <c r="AO1688" s="333"/>
      <c r="AP1688" s="333"/>
      <c r="AQ1688" s="333"/>
      <c r="AR1688" s="333"/>
      <c r="AS1688" s="333"/>
      <c r="AT1688" s="333"/>
      <c r="AU1688" s="329"/>
      <c r="AV1688" s="341"/>
      <c r="AW1688" s="269" t="s">
        <v>2401</v>
      </c>
      <c r="AX1688" s="334" t="s">
        <v>2869</v>
      </c>
      <c r="AY1688" s="270" t="s">
        <v>695</v>
      </c>
      <c r="AZ1688" s="173" t="s">
        <v>5516</v>
      </c>
      <c r="BA1688" s="265">
        <v>10.0</v>
      </c>
      <c r="BB1688" s="174" t="s">
        <v>245</v>
      </c>
      <c r="BC1688" s="341"/>
      <c r="BD1688" s="308"/>
      <c r="BE1688" s="342"/>
      <c r="BF1688" s="274" t="str">
        <f>IFERROR(__xludf.DUMMYFUNCTION("LOWER(Regexreplace(to_text(E1688),""[^A-Za-z0-9]"","""")&amp;""_""&amp;Regexreplace(to_text(F1688),""[^A-Za-z0-9]"",""""))"),"neptronic_evcbseries")</f>
        <v>neptronic_evcbseries</v>
      </c>
      <c r="BG1688" s="275" t="str">
        <f>IFERROR(__xludf.DUMMYFUNCTION("upper(Regexreplace(to_text(E1688),""[^A-Za-z0-9]"","""")&amp;""-""&amp;Regexreplace(to_text(F1688),""[^A-Za-z0-9]"",""""))"),"NEPTRONIC-EVCBSERIES")</f>
        <v>NEPTRONIC-EVCBSERIES</v>
      </c>
    </row>
    <row r="1689" ht="30.0" customHeight="1">
      <c r="A1689" s="173">
        <v>1681.0</v>
      </c>
      <c r="B1689" s="328" t="s">
        <v>670</v>
      </c>
      <c r="C1689" s="257" t="s">
        <v>6544</v>
      </c>
      <c r="D1689" s="173" t="s">
        <v>6544</v>
      </c>
      <c r="E1689" s="174" t="s">
        <v>2861</v>
      </c>
      <c r="F1689" s="173" t="s">
        <v>2862</v>
      </c>
      <c r="G1689" s="328" t="s">
        <v>673</v>
      </c>
      <c r="H1689" s="328" t="s">
        <v>2863</v>
      </c>
      <c r="I1689" s="258" t="s">
        <v>2864</v>
      </c>
      <c r="J1689" s="259" t="s">
        <v>1211</v>
      </c>
      <c r="K1689" s="260" t="s">
        <v>6545</v>
      </c>
      <c r="L1689" s="359"/>
      <c r="M1689" s="359"/>
      <c r="N1689" s="173" t="s">
        <v>679</v>
      </c>
      <c r="O1689" s="173" t="s">
        <v>225</v>
      </c>
      <c r="P1689" s="262" t="str">
        <f t="shared" si="1"/>
        <v>IN-BLR-ANANTA-VAV-1261_7</v>
      </c>
      <c r="Q1689" s="173" t="s">
        <v>6546</v>
      </c>
      <c r="R1689" s="328" t="str">
        <f>IFS(C1689="","",C1689="n/a","N/A",LEN(C1689),Concatenate("{",char(34),"asset",char(34),":{",char(34),"guid",char(34),":",char(34),Q1689,char(34),",",char(34),"site",char(34),":",char(34),LOWER('2-Building'!$B$4),char(34),",",char(34),"name",char(34),":",char(34),LOWER(C1689),char(34),"}}"))</f>
        <v>{"asset":{"guid":"uuid://c1feb25c-b92b-4293-836c-8d4116ee1c26","site":"in-blr-ananta","name":"vav-1261"}}</v>
      </c>
      <c r="S1689" s="360" t="s">
        <v>5516</v>
      </c>
      <c r="T1689" s="330"/>
      <c r="U1689" s="330"/>
      <c r="V1689" s="331"/>
      <c r="W1689" s="332"/>
      <c r="X1689" s="333"/>
      <c r="Y1689" s="33" t="s">
        <v>2867</v>
      </c>
      <c r="Z1689" s="258">
        <v>121261.0</v>
      </c>
      <c r="AA1689" s="334">
        <v>11636.0</v>
      </c>
      <c r="AB1689" s="333"/>
      <c r="AC1689" s="333"/>
      <c r="AD1689" s="329"/>
      <c r="AE1689" s="331"/>
      <c r="AF1689" s="336"/>
      <c r="AG1689" s="337"/>
      <c r="AH1689" s="333"/>
      <c r="AI1689" s="333"/>
      <c r="AJ1689" s="333"/>
      <c r="AK1689" s="333"/>
      <c r="AL1689" s="333"/>
      <c r="AM1689" s="338"/>
      <c r="AN1689" s="333"/>
      <c r="AO1689" s="333"/>
      <c r="AP1689" s="333"/>
      <c r="AQ1689" s="333"/>
      <c r="AR1689" s="333"/>
      <c r="AS1689" s="333"/>
      <c r="AT1689" s="333"/>
      <c r="AU1689" s="329"/>
      <c r="AV1689" s="341"/>
      <c r="AW1689" s="269" t="s">
        <v>2401</v>
      </c>
      <c r="AX1689" s="334" t="s">
        <v>2869</v>
      </c>
      <c r="AY1689" s="270" t="s">
        <v>695</v>
      </c>
      <c r="AZ1689" s="173" t="s">
        <v>5516</v>
      </c>
      <c r="BA1689" s="265">
        <v>10.0</v>
      </c>
      <c r="BB1689" s="174" t="s">
        <v>245</v>
      </c>
      <c r="BC1689" s="341"/>
      <c r="BD1689" s="308"/>
      <c r="BE1689" s="342"/>
      <c r="BF1689" s="274" t="str">
        <f>IFERROR(__xludf.DUMMYFUNCTION("LOWER(Regexreplace(to_text(E1689),""[^A-Za-z0-9]"","""")&amp;""_""&amp;Regexreplace(to_text(F1689),""[^A-Za-z0-9]"",""""))"),"neptronic_evcbseries")</f>
        <v>neptronic_evcbseries</v>
      </c>
      <c r="BG1689" s="275" t="str">
        <f>IFERROR(__xludf.DUMMYFUNCTION("upper(Regexreplace(to_text(E1689),""[^A-Za-z0-9]"","""")&amp;""-""&amp;Regexreplace(to_text(F1689),""[^A-Za-z0-9]"",""""))"),"NEPTRONIC-EVCBSERIES")</f>
        <v>NEPTRONIC-EVCBSERIES</v>
      </c>
    </row>
    <row r="1690" ht="30.0" customHeight="1">
      <c r="A1690" s="258">
        <v>1682.0</v>
      </c>
      <c r="B1690" s="328" t="s">
        <v>670</v>
      </c>
      <c r="C1690" s="257" t="s">
        <v>6547</v>
      </c>
      <c r="D1690" s="173" t="s">
        <v>6547</v>
      </c>
      <c r="E1690" s="174" t="s">
        <v>2861</v>
      </c>
      <c r="F1690" s="173" t="s">
        <v>2862</v>
      </c>
      <c r="G1690" s="328" t="s">
        <v>673</v>
      </c>
      <c r="H1690" s="328" t="s">
        <v>2863</v>
      </c>
      <c r="I1690" s="258" t="s">
        <v>2864</v>
      </c>
      <c r="J1690" s="259" t="s">
        <v>1211</v>
      </c>
      <c r="K1690" s="260" t="s">
        <v>6548</v>
      </c>
      <c r="L1690" s="359"/>
      <c r="M1690" s="359"/>
      <c r="N1690" s="173" t="s">
        <v>679</v>
      </c>
      <c r="O1690" s="173" t="s">
        <v>225</v>
      </c>
      <c r="P1690" s="262" t="str">
        <f t="shared" si="1"/>
        <v>IN-BLR-ANANTA-VAV-1262_7</v>
      </c>
      <c r="Q1690" s="173" t="s">
        <v>6549</v>
      </c>
      <c r="R1690" s="328" t="str">
        <f>IFS(C1690="","",C1690="n/a","N/A",LEN(C1690),Concatenate("{",char(34),"asset",char(34),":{",char(34),"guid",char(34),":",char(34),Q1690,char(34),",",char(34),"site",char(34),":",char(34),LOWER('2-Building'!$B$4),char(34),",",char(34),"name",char(34),":",char(34),LOWER(C1690),char(34),"}}"))</f>
        <v>{"asset":{"guid":"uuid://d47ac185-d76a-4602-bbfd-7e8ec3bfd157","site":"in-blr-ananta","name":"vav-1262"}}</v>
      </c>
      <c r="S1690" s="360" t="s">
        <v>5516</v>
      </c>
      <c r="T1690" s="330"/>
      <c r="U1690" s="330"/>
      <c r="V1690" s="331"/>
      <c r="W1690" s="332"/>
      <c r="X1690" s="333"/>
      <c r="Y1690" s="33" t="s">
        <v>2867</v>
      </c>
      <c r="Z1690" s="258">
        <v>121262.0</v>
      </c>
      <c r="AA1690" s="334">
        <v>11636.0</v>
      </c>
      <c r="AB1690" s="333"/>
      <c r="AC1690" s="333"/>
      <c r="AD1690" s="329"/>
      <c r="AE1690" s="331"/>
      <c r="AF1690" s="336"/>
      <c r="AG1690" s="337"/>
      <c r="AH1690" s="333"/>
      <c r="AI1690" s="333"/>
      <c r="AJ1690" s="333"/>
      <c r="AK1690" s="333"/>
      <c r="AL1690" s="333"/>
      <c r="AM1690" s="338"/>
      <c r="AN1690" s="333"/>
      <c r="AO1690" s="333"/>
      <c r="AP1690" s="333"/>
      <c r="AQ1690" s="333"/>
      <c r="AR1690" s="333"/>
      <c r="AS1690" s="333"/>
      <c r="AT1690" s="333"/>
      <c r="AU1690" s="329"/>
      <c r="AV1690" s="341"/>
      <c r="AW1690" s="269" t="s">
        <v>2401</v>
      </c>
      <c r="AX1690" s="334" t="s">
        <v>2869</v>
      </c>
      <c r="AY1690" s="270" t="s">
        <v>695</v>
      </c>
      <c r="AZ1690" s="173" t="s">
        <v>5516</v>
      </c>
      <c r="BA1690" s="265">
        <v>10.0</v>
      </c>
      <c r="BB1690" s="174" t="s">
        <v>245</v>
      </c>
      <c r="BC1690" s="341"/>
      <c r="BD1690" s="308"/>
      <c r="BE1690" s="342"/>
      <c r="BF1690" s="274" t="str">
        <f>IFERROR(__xludf.DUMMYFUNCTION("LOWER(Regexreplace(to_text(E1690),""[^A-Za-z0-9]"","""")&amp;""_""&amp;Regexreplace(to_text(F1690),""[^A-Za-z0-9]"",""""))"),"neptronic_evcbseries")</f>
        <v>neptronic_evcbseries</v>
      </c>
      <c r="BG1690" s="275" t="str">
        <f>IFERROR(__xludf.DUMMYFUNCTION("upper(Regexreplace(to_text(E1690),""[^A-Za-z0-9]"","""")&amp;""-""&amp;Regexreplace(to_text(F1690),""[^A-Za-z0-9]"",""""))"),"NEPTRONIC-EVCBSERIES")</f>
        <v>NEPTRONIC-EVCBSERIES</v>
      </c>
    </row>
    <row r="1691" ht="30.0" customHeight="1">
      <c r="A1691" s="173">
        <v>1683.0</v>
      </c>
      <c r="B1691" s="328" t="s">
        <v>670</v>
      </c>
      <c r="C1691" s="257" t="s">
        <v>6550</v>
      </c>
      <c r="D1691" s="173" t="s">
        <v>6550</v>
      </c>
      <c r="E1691" s="174" t="s">
        <v>2861</v>
      </c>
      <c r="F1691" s="173" t="s">
        <v>2862</v>
      </c>
      <c r="G1691" s="328" t="s">
        <v>673</v>
      </c>
      <c r="H1691" s="328" t="s">
        <v>2863</v>
      </c>
      <c r="I1691" s="258" t="s">
        <v>2864</v>
      </c>
      <c r="J1691" s="259" t="s">
        <v>1211</v>
      </c>
      <c r="K1691" s="260" t="s">
        <v>6551</v>
      </c>
      <c r="L1691" s="359"/>
      <c r="M1691" s="359"/>
      <c r="N1691" s="173" t="s">
        <v>679</v>
      </c>
      <c r="O1691" s="173" t="s">
        <v>225</v>
      </c>
      <c r="P1691" s="262" t="str">
        <f t="shared" si="1"/>
        <v>IN-BLR-ANANTA-VAV-1263_7</v>
      </c>
      <c r="Q1691" s="173" t="s">
        <v>6552</v>
      </c>
      <c r="R1691" s="328" t="str">
        <f>IFS(C1691="","",C1691="n/a","N/A",LEN(C1691),Concatenate("{",char(34),"asset",char(34),":{",char(34),"guid",char(34),":",char(34),Q1691,char(34),",",char(34),"site",char(34),":",char(34),LOWER('2-Building'!$B$4),char(34),",",char(34),"name",char(34),":",char(34),LOWER(C1691),char(34),"}}"))</f>
        <v>{"asset":{"guid":"uuid://5b269f34-a6ea-45a8-9c01-4d9c3652bb58","site":"in-blr-ananta","name":"vav-1263"}}</v>
      </c>
      <c r="S1691" s="360" t="s">
        <v>5516</v>
      </c>
      <c r="T1691" s="330"/>
      <c r="U1691" s="330"/>
      <c r="V1691" s="331"/>
      <c r="W1691" s="332"/>
      <c r="X1691" s="333"/>
      <c r="Y1691" s="33" t="s">
        <v>2867</v>
      </c>
      <c r="Z1691" s="258">
        <v>121263.0</v>
      </c>
      <c r="AA1691" s="334">
        <v>11636.0</v>
      </c>
      <c r="AB1691" s="333"/>
      <c r="AC1691" s="333"/>
      <c r="AD1691" s="329"/>
      <c r="AE1691" s="331"/>
      <c r="AF1691" s="336"/>
      <c r="AG1691" s="337"/>
      <c r="AH1691" s="333"/>
      <c r="AI1691" s="333"/>
      <c r="AJ1691" s="333"/>
      <c r="AK1691" s="333"/>
      <c r="AL1691" s="333"/>
      <c r="AM1691" s="338"/>
      <c r="AN1691" s="333"/>
      <c r="AO1691" s="333"/>
      <c r="AP1691" s="333"/>
      <c r="AQ1691" s="333"/>
      <c r="AR1691" s="333"/>
      <c r="AS1691" s="333"/>
      <c r="AT1691" s="333"/>
      <c r="AU1691" s="329"/>
      <c r="AV1691" s="341"/>
      <c r="AW1691" s="269" t="s">
        <v>2401</v>
      </c>
      <c r="AX1691" s="334" t="s">
        <v>2869</v>
      </c>
      <c r="AY1691" s="270" t="s">
        <v>695</v>
      </c>
      <c r="AZ1691" s="173" t="s">
        <v>5516</v>
      </c>
      <c r="BA1691" s="265">
        <v>10.0</v>
      </c>
      <c r="BB1691" s="174" t="s">
        <v>245</v>
      </c>
      <c r="BC1691" s="341"/>
      <c r="BD1691" s="308"/>
      <c r="BE1691" s="342"/>
      <c r="BF1691" s="274" t="str">
        <f>IFERROR(__xludf.DUMMYFUNCTION("LOWER(Regexreplace(to_text(E1691),""[^A-Za-z0-9]"","""")&amp;""_""&amp;Regexreplace(to_text(F1691),""[^A-Za-z0-9]"",""""))"),"neptronic_evcbseries")</f>
        <v>neptronic_evcbseries</v>
      </c>
      <c r="BG1691" s="275" t="str">
        <f>IFERROR(__xludf.DUMMYFUNCTION("upper(Regexreplace(to_text(E1691),""[^A-Za-z0-9]"","""")&amp;""-""&amp;Regexreplace(to_text(F1691),""[^A-Za-z0-9]"",""""))"),"NEPTRONIC-EVCBSERIES")</f>
        <v>NEPTRONIC-EVCBSERIES</v>
      </c>
    </row>
    <row r="1692" ht="30.0" customHeight="1">
      <c r="A1692" s="258">
        <v>1684.0</v>
      </c>
      <c r="B1692" s="328" t="s">
        <v>670</v>
      </c>
      <c r="C1692" s="257" t="s">
        <v>6553</v>
      </c>
      <c r="D1692" s="173" t="s">
        <v>6553</v>
      </c>
      <c r="E1692" s="174" t="s">
        <v>2861</v>
      </c>
      <c r="F1692" s="173" t="s">
        <v>2862</v>
      </c>
      <c r="G1692" s="328" t="s">
        <v>673</v>
      </c>
      <c r="H1692" s="328" t="s">
        <v>2863</v>
      </c>
      <c r="I1692" s="258" t="s">
        <v>2864</v>
      </c>
      <c r="J1692" s="259" t="s">
        <v>1211</v>
      </c>
      <c r="K1692" s="260" t="s">
        <v>6554</v>
      </c>
      <c r="L1692" s="359"/>
      <c r="M1692" s="359"/>
      <c r="N1692" s="173" t="s">
        <v>679</v>
      </c>
      <c r="O1692" s="173" t="s">
        <v>225</v>
      </c>
      <c r="P1692" s="262" t="str">
        <f t="shared" si="1"/>
        <v>IN-BLR-ANANTA-VAV-1264_7</v>
      </c>
      <c r="Q1692" s="173" t="s">
        <v>6555</v>
      </c>
      <c r="R1692" s="328" t="str">
        <f>IFS(C1692="","",C1692="n/a","N/A",LEN(C1692),Concatenate("{",char(34),"asset",char(34),":{",char(34),"guid",char(34),":",char(34),Q1692,char(34),",",char(34),"site",char(34),":",char(34),LOWER('2-Building'!$B$4),char(34),",",char(34),"name",char(34),":",char(34),LOWER(C1692),char(34),"}}"))</f>
        <v>{"asset":{"guid":"uuid://9b79043a-9ac2-4d5b-b25d-be5613a45e4c","site":"in-blr-ananta","name":"vav-1264"}}</v>
      </c>
      <c r="S1692" s="360" t="s">
        <v>5516</v>
      </c>
      <c r="T1692" s="330"/>
      <c r="U1692" s="330"/>
      <c r="V1692" s="331"/>
      <c r="W1692" s="332"/>
      <c r="X1692" s="333"/>
      <c r="Y1692" s="33" t="s">
        <v>2867</v>
      </c>
      <c r="Z1692" s="258">
        <v>121264.0</v>
      </c>
      <c r="AA1692" s="334">
        <v>11364.0</v>
      </c>
      <c r="AB1692" s="333"/>
      <c r="AC1692" s="333"/>
      <c r="AD1692" s="329"/>
      <c r="AE1692" s="331"/>
      <c r="AF1692" s="336"/>
      <c r="AG1692" s="337"/>
      <c r="AH1692" s="333"/>
      <c r="AI1692" s="333"/>
      <c r="AJ1692" s="333"/>
      <c r="AK1692" s="333"/>
      <c r="AL1692" s="333"/>
      <c r="AM1692" s="338"/>
      <c r="AN1692" s="333"/>
      <c r="AO1692" s="333"/>
      <c r="AP1692" s="333"/>
      <c r="AQ1692" s="333"/>
      <c r="AR1692" s="333"/>
      <c r="AS1692" s="333"/>
      <c r="AT1692" s="333"/>
      <c r="AU1692" s="329"/>
      <c r="AV1692" s="341"/>
      <c r="AW1692" s="269" t="s">
        <v>1684</v>
      </c>
      <c r="AX1692" s="334" t="s">
        <v>2869</v>
      </c>
      <c r="AY1692" s="270" t="s">
        <v>695</v>
      </c>
      <c r="AZ1692" s="173" t="s">
        <v>5516</v>
      </c>
      <c r="BA1692" s="265">
        <v>10.0</v>
      </c>
      <c r="BB1692" s="174" t="s">
        <v>245</v>
      </c>
      <c r="BC1692" s="341"/>
      <c r="BD1692" s="308"/>
      <c r="BE1692" s="342"/>
      <c r="BF1692" s="274" t="str">
        <f>IFERROR(__xludf.DUMMYFUNCTION("LOWER(Regexreplace(to_text(E1692),""[^A-Za-z0-9]"","""")&amp;""_""&amp;Regexreplace(to_text(F1692),""[^A-Za-z0-9]"",""""))"),"neptronic_evcbseries")</f>
        <v>neptronic_evcbseries</v>
      </c>
      <c r="BG1692" s="275" t="str">
        <f>IFERROR(__xludf.DUMMYFUNCTION("upper(Regexreplace(to_text(E1692),""[^A-Za-z0-9]"","""")&amp;""-""&amp;Regexreplace(to_text(F1692),""[^A-Za-z0-9]"",""""))"),"NEPTRONIC-EVCBSERIES")</f>
        <v>NEPTRONIC-EVCBSERIES</v>
      </c>
    </row>
    <row r="1693" ht="30.0" customHeight="1">
      <c r="A1693" s="173">
        <v>1685.0</v>
      </c>
      <c r="B1693" s="328" t="s">
        <v>670</v>
      </c>
      <c r="C1693" s="257" t="s">
        <v>6556</v>
      </c>
      <c r="D1693" s="173" t="s">
        <v>6556</v>
      </c>
      <c r="E1693" s="174" t="s">
        <v>2861</v>
      </c>
      <c r="F1693" s="173" t="s">
        <v>2862</v>
      </c>
      <c r="G1693" s="328" t="s">
        <v>673</v>
      </c>
      <c r="H1693" s="328" t="s">
        <v>2863</v>
      </c>
      <c r="I1693" s="258" t="s">
        <v>2864</v>
      </c>
      <c r="J1693" s="259" t="s">
        <v>1211</v>
      </c>
      <c r="K1693" s="260" t="s">
        <v>6557</v>
      </c>
      <c r="L1693" s="359"/>
      <c r="M1693" s="359"/>
      <c r="N1693" s="173" t="s">
        <v>679</v>
      </c>
      <c r="O1693" s="173" t="s">
        <v>225</v>
      </c>
      <c r="P1693" s="262" t="str">
        <f t="shared" si="1"/>
        <v>IN-BLR-ANANTA-VAV-1265_7</v>
      </c>
      <c r="Q1693" s="173" t="s">
        <v>6558</v>
      </c>
      <c r="R1693" s="328" t="str">
        <f>IFS(C1693="","",C1693="n/a","N/A",LEN(C1693),Concatenate("{",char(34),"asset",char(34),":{",char(34),"guid",char(34),":",char(34),Q1693,char(34),",",char(34),"site",char(34),":",char(34),LOWER('2-Building'!$B$4),char(34),",",char(34),"name",char(34),":",char(34),LOWER(C1693),char(34),"}}"))</f>
        <v>{"asset":{"guid":"uuid://a0586b70-dd83-4d94-ba8b-02fcb237e426","site":"in-blr-ananta","name":"vav-1265"}}</v>
      </c>
      <c r="S1693" s="360" t="s">
        <v>5516</v>
      </c>
      <c r="T1693" s="330"/>
      <c r="U1693" s="330"/>
      <c r="V1693" s="331"/>
      <c r="W1693" s="332"/>
      <c r="X1693" s="333"/>
      <c r="Y1693" s="33" t="s">
        <v>2867</v>
      </c>
      <c r="Z1693" s="258">
        <v>121265.0</v>
      </c>
      <c r="AA1693" s="334">
        <v>11364.0</v>
      </c>
      <c r="AB1693" s="333"/>
      <c r="AC1693" s="333"/>
      <c r="AD1693" s="329"/>
      <c r="AE1693" s="331"/>
      <c r="AF1693" s="336"/>
      <c r="AG1693" s="337"/>
      <c r="AH1693" s="333"/>
      <c r="AI1693" s="333"/>
      <c r="AJ1693" s="333"/>
      <c r="AK1693" s="333"/>
      <c r="AL1693" s="333"/>
      <c r="AM1693" s="338"/>
      <c r="AN1693" s="333"/>
      <c r="AO1693" s="333"/>
      <c r="AP1693" s="333"/>
      <c r="AQ1693" s="333"/>
      <c r="AR1693" s="333"/>
      <c r="AS1693" s="333"/>
      <c r="AT1693" s="333"/>
      <c r="AU1693" s="329"/>
      <c r="AV1693" s="341"/>
      <c r="AW1693" s="269" t="s">
        <v>1684</v>
      </c>
      <c r="AX1693" s="334" t="s">
        <v>2869</v>
      </c>
      <c r="AY1693" s="270" t="s">
        <v>695</v>
      </c>
      <c r="AZ1693" s="173" t="s">
        <v>5516</v>
      </c>
      <c r="BA1693" s="265">
        <v>10.0</v>
      </c>
      <c r="BB1693" s="174" t="s">
        <v>245</v>
      </c>
      <c r="BC1693" s="341"/>
      <c r="BD1693" s="308"/>
      <c r="BE1693" s="342"/>
      <c r="BF1693" s="274" t="str">
        <f>IFERROR(__xludf.DUMMYFUNCTION("LOWER(Regexreplace(to_text(E1693),""[^A-Za-z0-9]"","""")&amp;""_""&amp;Regexreplace(to_text(F1693),""[^A-Za-z0-9]"",""""))"),"neptronic_evcbseries")</f>
        <v>neptronic_evcbseries</v>
      </c>
      <c r="BG1693" s="275" t="str">
        <f>IFERROR(__xludf.DUMMYFUNCTION("upper(Regexreplace(to_text(E1693),""[^A-Za-z0-9]"","""")&amp;""-""&amp;Regexreplace(to_text(F1693),""[^A-Za-z0-9]"",""""))"),"NEPTRONIC-EVCBSERIES")</f>
        <v>NEPTRONIC-EVCBSERIES</v>
      </c>
    </row>
    <row r="1694" ht="30.0" customHeight="1">
      <c r="A1694" s="258">
        <v>1686.0</v>
      </c>
      <c r="B1694" s="328" t="s">
        <v>670</v>
      </c>
      <c r="C1694" s="257" t="s">
        <v>6559</v>
      </c>
      <c r="D1694" s="173" t="s">
        <v>6559</v>
      </c>
      <c r="E1694" s="174" t="s">
        <v>2861</v>
      </c>
      <c r="F1694" s="173" t="s">
        <v>2862</v>
      </c>
      <c r="G1694" s="328" t="s">
        <v>673</v>
      </c>
      <c r="H1694" s="328" t="s">
        <v>2863</v>
      </c>
      <c r="I1694" s="258" t="s">
        <v>2864</v>
      </c>
      <c r="J1694" s="259" t="s">
        <v>1211</v>
      </c>
      <c r="K1694" s="260" t="s">
        <v>6560</v>
      </c>
      <c r="L1694" s="359"/>
      <c r="M1694" s="359"/>
      <c r="N1694" s="173" t="s">
        <v>679</v>
      </c>
      <c r="O1694" s="173" t="s">
        <v>225</v>
      </c>
      <c r="P1694" s="262" t="str">
        <f t="shared" si="1"/>
        <v>IN-BLR-ANANTA-VAV-1266_7</v>
      </c>
      <c r="Q1694" s="173" t="s">
        <v>6561</v>
      </c>
      <c r="R1694" s="328" t="str">
        <f>IFS(C1694="","",C1694="n/a","N/A",LEN(C1694),Concatenate("{",char(34),"asset",char(34),":{",char(34),"guid",char(34),":",char(34),Q1694,char(34),",",char(34),"site",char(34),":",char(34),LOWER('2-Building'!$B$4),char(34),",",char(34),"name",char(34),":",char(34),LOWER(C1694),char(34),"}}"))</f>
        <v>{"asset":{"guid":"uuid://1144ef38-f0de-44d7-a604-e388a593586d","site":"in-blr-ananta","name":"vav-1266"}}</v>
      </c>
      <c r="S1694" s="360" t="s">
        <v>5516</v>
      </c>
      <c r="T1694" s="330"/>
      <c r="U1694" s="330"/>
      <c r="V1694" s="331"/>
      <c r="W1694" s="332"/>
      <c r="X1694" s="333"/>
      <c r="Y1694" s="33" t="s">
        <v>2867</v>
      </c>
      <c r="Z1694" s="258">
        <v>121266.0</v>
      </c>
      <c r="AA1694" s="334">
        <v>11364.0</v>
      </c>
      <c r="AB1694" s="333"/>
      <c r="AC1694" s="333"/>
      <c r="AD1694" s="329"/>
      <c r="AE1694" s="331"/>
      <c r="AF1694" s="336"/>
      <c r="AG1694" s="337"/>
      <c r="AH1694" s="333"/>
      <c r="AI1694" s="333"/>
      <c r="AJ1694" s="333"/>
      <c r="AK1694" s="333"/>
      <c r="AL1694" s="333"/>
      <c r="AM1694" s="338"/>
      <c r="AN1694" s="333"/>
      <c r="AO1694" s="333"/>
      <c r="AP1694" s="333"/>
      <c r="AQ1694" s="333"/>
      <c r="AR1694" s="333"/>
      <c r="AS1694" s="333"/>
      <c r="AT1694" s="333"/>
      <c r="AU1694" s="329"/>
      <c r="AV1694" s="341"/>
      <c r="AW1694" s="269" t="s">
        <v>1684</v>
      </c>
      <c r="AX1694" s="334" t="s">
        <v>2869</v>
      </c>
      <c r="AY1694" s="270" t="s">
        <v>695</v>
      </c>
      <c r="AZ1694" s="173" t="s">
        <v>5516</v>
      </c>
      <c r="BA1694" s="265">
        <v>10.0</v>
      </c>
      <c r="BB1694" s="174" t="s">
        <v>245</v>
      </c>
      <c r="BC1694" s="341"/>
      <c r="BD1694" s="308"/>
      <c r="BE1694" s="342"/>
      <c r="BF1694" s="274" t="str">
        <f>IFERROR(__xludf.DUMMYFUNCTION("LOWER(Regexreplace(to_text(E1694),""[^A-Za-z0-9]"","""")&amp;""_""&amp;Regexreplace(to_text(F1694),""[^A-Za-z0-9]"",""""))"),"neptronic_evcbseries")</f>
        <v>neptronic_evcbseries</v>
      </c>
      <c r="BG1694" s="275" t="str">
        <f>IFERROR(__xludf.DUMMYFUNCTION("upper(Regexreplace(to_text(E1694),""[^A-Za-z0-9]"","""")&amp;""-""&amp;Regexreplace(to_text(F1694),""[^A-Za-z0-9]"",""""))"),"NEPTRONIC-EVCBSERIES")</f>
        <v>NEPTRONIC-EVCBSERIES</v>
      </c>
    </row>
    <row r="1695" ht="30.0" customHeight="1">
      <c r="A1695" s="173">
        <v>1687.0</v>
      </c>
      <c r="B1695" s="328" t="s">
        <v>670</v>
      </c>
      <c r="C1695" s="257" t="s">
        <v>6562</v>
      </c>
      <c r="D1695" s="173" t="s">
        <v>6562</v>
      </c>
      <c r="E1695" s="174" t="s">
        <v>2861</v>
      </c>
      <c r="F1695" s="173" t="s">
        <v>2862</v>
      </c>
      <c r="G1695" s="328" t="s">
        <v>673</v>
      </c>
      <c r="H1695" s="328" t="s">
        <v>2863</v>
      </c>
      <c r="I1695" s="258" t="s">
        <v>2864</v>
      </c>
      <c r="J1695" s="259" t="s">
        <v>1211</v>
      </c>
      <c r="K1695" s="260" t="s">
        <v>6563</v>
      </c>
      <c r="L1695" s="359"/>
      <c r="M1695" s="359"/>
      <c r="N1695" s="173" t="s">
        <v>679</v>
      </c>
      <c r="O1695" s="173" t="s">
        <v>225</v>
      </c>
      <c r="P1695" s="262" t="str">
        <f t="shared" si="1"/>
        <v>IN-BLR-ANANTA-VAV-1267_7</v>
      </c>
      <c r="Q1695" s="173" t="s">
        <v>6564</v>
      </c>
      <c r="R1695" s="328" t="str">
        <f>IFS(C1695="","",C1695="n/a","N/A",LEN(C1695),Concatenate("{",char(34),"asset",char(34),":{",char(34),"guid",char(34),":",char(34),Q1695,char(34),",",char(34),"site",char(34),":",char(34),LOWER('2-Building'!$B$4),char(34),",",char(34),"name",char(34),":",char(34),LOWER(C1695),char(34),"}}"))</f>
        <v>{"asset":{"guid":"uuid://0ecdd7b6-cc98-4bff-b3c3-8bf6de2e5d99","site":"in-blr-ananta","name":"vav-1267"}}</v>
      </c>
      <c r="S1695" s="360" t="s">
        <v>5516</v>
      </c>
      <c r="T1695" s="330"/>
      <c r="U1695" s="330"/>
      <c r="V1695" s="331"/>
      <c r="W1695" s="332"/>
      <c r="X1695" s="333"/>
      <c r="Y1695" s="33" t="s">
        <v>2867</v>
      </c>
      <c r="Z1695" s="258">
        <v>121267.0</v>
      </c>
      <c r="AA1695" s="334">
        <v>11364.0</v>
      </c>
      <c r="AB1695" s="333"/>
      <c r="AC1695" s="333"/>
      <c r="AD1695" s="329"/>
      <c r="AE1695" s="331"/>
      <c r="AF1695" s="336"/>
      <c r="AG1695" s="337"/>
      <c r="AH1695" s="333"/>
      <c r="AI1695" s="333"/>
      <c r="AJ1695" s="333"/>
      <c r="AK1695" s="333"/>
      <c r="AL1695" s="333"/>
      <c r="AM1695" s="338"/>
      <c r="AN1695" s="333"/>
      <c r="AO1695" s="333"/>
      <c r="AP1695" s="333"/>
      <c r="AQ1695" s="333"/>
      <c r="AR1695" s="333"/>
      <c r="AS1695" s="333"/>
      <c r="AT1695" s="333"/>
      <c r="AU1695" s="329"/>
      <c r="AV1695" s="341"/>
      <c r="AW1695" s="269" t="s">
        <v>1684</v>
      </c>
      <c r="AX1695" s="334" t="s">
        <v>2869</v>
      </c>
      <c r="AY1695" s="270" t="s">
        <v>695</v>
      </c>
      <c r="AZ1695" s="173" t="s">
        <v>5516</v>
      </c>
      <c r="BA1695" s="265">
        <v>10.0</v>
      </c>
      <c r="BB1695" s="174" t="s">
        <v>245</v>
      </c>
      <c r="BC1695" s="341"/>
      <c r="BD1695" s="308"/>
      <c r="BE1695" s="342"/>
      <c r="BF1695" s="274" t="str">
        <f>IFERROR(__xludf.DUMMYFUNCTION("LOWER(Regexreplace(to_text(E1695),""[^A-Za-z0-9]"","""")&amp;""_""&amp;Regexreplace(to_text(F1695),""[^A-Za-z0-9]"",""""))"),"neptronic_evcbseries")</f>
        <v>neptronic_evcbseries</v>
      </c>
      <c r="BG1695" s="275" t="str">
        <f>IFERROR(__xludf.DUMMYFUNCTION("upper(Regexreplace(to_text(E1695),""[^A-Za-z0-9]"","""")&amp;""-""&amp;Regexreplace(to_text(F1695),""[^A-Za-z0-9]"",""""))"),"NEPTRONIC-EVCBSERIES")</f>
        <v>NEPTRONIC-EVCBSERIES</v>
      </c>
    </row>
    <row r="1696" ht="30.0" customHeight="1">
      <c r="A1696" s="258">
        <v>1688.0</v>
      </c>
      <c r="B1696" s="328" t="s">
        <v>670</v>
      </c>
      <c r="C1696" s="257" t="s">
        <v>6565</v>
      </c>
      <c r="D1696" s="173" t="s">
        <v>6565</v>
      </c>
      <c r="E1696" s="174" t="s">
        <v>2861</v>
      </c>
      <c r="F1696" s="173" t="s">
        <v>2862</v>
      </c>
      <c r="G1696" s="328" t="s">
        <v>673</v>
      </c>
      <c r="H1696" s="328" t="s">
        <v>2863</v>
      </c>
      <c r="I1696" s="258" t="s">
        <v>2864</v>
      </c>
      <c r="J1696" s="259" t="s">
        <v>1211</v>
      </c>
      <c r="K1696" s="260" t="s">
        <v>6566</v>
      </c>
      <c r="L1696" s="359"/>
      <c r="M1696" s="359"/>
      <c r="N1696" s="173" t="s">
        <v>679</v>
      </c>
      <c r="O1696" s="173" t="s">
        <v>225</v>
      </c>
      <c r="P1696" s="262" t="str">
        <f t="shared" si="1"/>
        <v>IN-BLR-ANANTA-VAV-1268_7</v>
      </c>
      <c r="Q1696" s="173" t="s">
        <v>6567</v>
      </c>
      <c r="R1696" s="328" t="str">
        <f>IFS(C1696="","",C1696="n/a","N/A",LEN(C1696),Concatenate("{",char(34),"asset",char(34),":{",char(34),"guid",char(34),":",char(34),Q1696,char(34),",",char(34),"site",char(34),":",char(34),LOWER('2-Building'!$B$4),char(34),",",char(34),"name",char(34),":",char(34),LOWER(C1696),char(34),"}}"))</f>
        <v>{"asset":{"guid":"uuid://8f71b733-b253-4657-b9d0-648402687fab","site":"in-blr-ananta","name":"vav-1268"}}</v>
      </c>
      <c r="S1696" s="360" t="s">
        <v>5516</v>
      </c>
      <c r="T1696" s="330"/>
      <c r="U1696" s="330"/>
      <c r="V1696" s="331"/>
      <c r="W1696" s="332"/>
      <c r="X1696" s="333"/>
      <c r="Y1696" s="33" t="s">
        <v>2867</v>
      </c>
      <c r="Z1696" s="258">
        <v>121268.0</v>
      </c>
      <c r="AA1696" s="334">
        <v>11364.0</v>
      </c>
      <c r="AB1696" s="333"/>
      <c r="AC1696" s="333"/>
      <c r="AD1696" s="329"/>
      <c r="AE1696" s="331"/>
      <c r="AF1696" s="336"/>
      <c r="AG1696" s="337"/>
      <c r="AH1696" s="333"/>
      <c r="AI1696" s="333"/>
      <c r="AJ1696" s="333"/>
      <c r="AK1696" s="333"/>
      <c r="AL1696" s="333"/>
      <c r="AM1696" s="338"/>
      <c r="AN1696" s="333"/>
      <c r="AO1696" s="333"/>
      <c r="AP1696" s="333"/>
      <c r="AQ1696" s="333"/>
      <c r="AR1696" s="333"/>
      <c r="AS1696" s="333"/>
      <c r="AT1696" s="333"/>
      <c r="AU1696" s="329"/>
      <c r="AV1696" s="341"/>
      <c r="AW1696" s="269" t="s">
        <v>1684</v>
      </c>
      <c r="AX1696" s="334" t="s">
        <v>2869</v>
      </c>
      <c r="AY1696" s="270" t="s">
        <v>695</v>
      </c>
      <c r="AZ1696" s="173" t="s">
        <v>5516</v>
      </c>
      <c r="BA1696" s="265">
        <v>10.0</v>
      </c>
      <c r="BB1696" s="174" t="s">
        <v>245</v>
      </c>
      <c r="BC1696" s="341"/>
      <c r="BD1696" s="308"/>
      <c r="BE1696" s="342"/>
      <c r="BF1696" s="274" t="str">
        <f>IFERROR(__xludf.DUMMYFUNCTION("LOWER(Regexreplace(to_text(E1696),""[^A-Za-z0-9]"","""")&amp;""_""&amp;Regexreplace(to_text(F1696),""[^A-Za-z0-9]"",""""))"),"neptronic_evcbseries")</f>
        <v>neptronic_evcbseries</v>
      </c>
      <c r="BG1696" s="275" t="str">
        <f>IFERROR(__xludf.DUMMYFUNCTION("upper(Regexreplace(to_text(E1696),""[^A-Za-z0-9]"","""")&amp;""-""&amp;Regexreplace(to_text(F1696),""[^A-Za-z0-9]"",""""))"),"NEPTRONIC-EVCBSERIES")</f>
        <v>NEPTRONIC-EVCBSERIES</v>
      </c>
    </row>
    <row r="1697" ht="30.0" customHeight="1">
      <c r="A1697" s="173">
        <v>1689.0</v>
      </c>
      <c r="B1697" s="328" t="s">
        <v>670</v>
      </c>
      <c r="C1697" s="257" t="s">
        <v>6568</v>
      </c>
      <c r="D1697" s="173" t="s">
        <v>6568</v>
      </c>
      <c r="E1697" s="174" t="s">
        <v>2861</v>
      </c>
      <c r="F1697" s="173" t="s">
        <v>2862</v>
      </c>
      <c r="G1697" s="328" t="s">
        <v>673</v>
      </c>
      <c r="H1697" s="328" t="s">
        <v>2863</v>
      </c>
      <c r="I1697" s="258" t="s">
        <v>2864</v>
      </c>
      <c r="J1697" s="259" t="s">
        <v>1211</v>
      </c>
      <c r="K1697" s="260" t="s">
        <v>6569</v>
      </c>
      <c r="L1697" s="359"/>
      <c r="M1697" s="359"/>
      <c r="N1697" s="173" t="s">
        <v>679</v>
      </c>
      <c r="O1697" s="173" t="s">
        <v>225</v>
      </c>
      <c r="P1697" s="262" t="str">
        <f t="shared" si="1"/>
        <v>IN-BLR-ANANTA-VAV-1269_7</v>
      </c>
      <c r="Q1697" s="173" t="s">
        <v>6570</v>
      </c>
      <c r="R1697" s="328" t="str">
        <f>IFS(C1697="","",C1697="n/a","N/A",LEN(C1697),Concatenate("{",char(34),"asset",char(34),":{",char(34),"guid",char(34),":",char(34),Q1697,char(34),",",char(34),"site",char(34),":",char(34),LOWER('2-Building'!$B$4),char(34),",",char(34),"name",char(34),":",char(34),LOWER(C1697),char(34),"}}"))</f>
        <v>{"asset":{"guid":"uuid://e83e8872-364c-4a25-bf72-72dcf7f39a64","site":"in-blr-ananta","name":"vav-1269"}}</v>
      </c>
      <c r="S1697" s="360" t="s">
        <v>5516</v>
      </c>
      <c r="T1697" s="330"/>
      <c r="U1697" s="330"/>
      <c r="V1697" s="331"/>
      <c r="W1697" s="332"/>
      <c r="X1697" s="333"/>
      <c r="Y1697" s="33" t="s">
        <v>2867</v>
      </c>
      <c r="Z1697" s="258">
        <v>121269.0</v>
      </c>
      <c r="AA1697" s="334">
        <v>11364.0</v>
      </c>
      <c r="AB1697" s="333"/>
      <c r="AC1697" s="333"/>
      <c r="AD1697" s="329"/>
      <c r="AE1697" s="331"/>
      <c r="AF1697" s="336"/>
      <c r="AG1697" s="337"/>
      <c r="AH1697" s="333"/>
      <c r="AI1697" s="333"/>
      <c r="AJ1697" s="333"/>
      <c r="AK1697" s="333"/>
      <c r="AL1697" s="333"/>
      <c r="AM1697" s="338"/>
      <c r="AN1697" s="333"/>
      <c r="AO1697" s="333"/>
      <c r="AP1697" s="333"/>
      <c r="AQ1697" s="333"/>
      <c r="AR1697" s="333"/>
      <c r="AS1697" s="333"/>
      <c r="AT1697" s="333"/>
      <c r="AU1697" s="329"/>
      <c r="AV1697" s="341"/>
      <c r="AW1697" s="269" t="s">
        <v>1684</v>
      </c>
      <c r="AX1697" s="334" t="s">
        <v>2869</v>
      </c>
      <c r="AY1697" s="270" t="s">
        <v>695</v>
      </c>
      <c r="AZ1697" s="173" t="s">
        <v>5516</v>
      </c>
      <c r="BA1697" s="265">
        <v>10.0</v>
      </c>
      <c r="BB1697" s="174" t="s">
        <v>245</v>
      </c>
      <c r="BC1697" s="341"/>
      <c r="BD1697" s="308"/>
      <c r="BE1697" s="342"/>
      <c r="BF1697" s="274" t="str">
        <f>IFERROR(__xludf.DUMMYFUNCTION("LOWER(Regexreplace(to_text(E1697),""[^A-Za-z0-9]"","""")&amp;""_""&amp;Regexreplace(to_text(F1697),""[^A-Za-z0-9]"",""""))"),"neptronic_evcbseries")</f>
        <v>neptronic_evcbseries</v>
      </c>
      <c r="BG1697" s="275" t="str">
        <f>IFERROR(__xludf.DUMMYFUNCTION("upper(Regexreplace(to_text(E1697),""[^A-Za-z0-9]"","""")&amp;""-""&amp;Regexreplace(to_text(F1697),""[^A-Za-z0-9]"",""""))"),"NEPTRONIC-EVCBSERIES")</f>
        <v>NEPTRONIC-EVCBSERIES</v>
      </c>
    </row>
    <row r="1698" ht="30.0" customHeight="1">
      <c r="A1698" s="258">
        <v>1690.0</v>
      </c>
      <c r="B1698" s="328" t="s">
        <v>670</v>
      </c>
      <c r="C1698" s="257" t="s">
        <v>6571</v>
      </c>
      <c r="D1698" s="173" t="s">
        <v>6571</v>
      </c>
      <c r="E1698" s="174" t="s">
        <v>2861</v>
      </c>
      <c r="F1698" s="173" t="s">
        <v>2862</v>
      </c>
      <c r="G1698" s="328" t="s">
        <v>673</v>
      </c>
      <c r="H1698" s="328" t="s">
        <v>2863</v>
      </c>
      <c r="I1698" s="258" t="s">
        <v>2864</v>
      </c>
      <c r="J1698" s="259" t="s">
        <v>1211</v>
      </c>
      <c r="K1698" s="260" t="s">
        <v>6572</v>
      </c>
      <c r="L1698" s="359"/>
      <c r="M1698" s="359"/>
      <c r="N1698" s="173" t="s">
        <v>679</v>
      </c>
      <c r="O1698" s="173" t="s">
        <v>225</v>
      </c>
      <c r="P1698" s="262" t="str">
        <f t="shared" si="1"/>
        <v>IN-BLR-ANANTA-VAV-1270_7</v>
      </c>
      <c r="Q1698" s="173" t="s">
        <v>6573</v>
      </c>
      <c r="R1698" s="328" t="str">
        <f>IFS(C1698="","",C1698="n/a","N/A",LEN(C1698),Concatenate("{",char(34),"asset",char(34),":{",char(34),"guid",char(34),":",char(34),Q1698,char(34),",",char(34),"site",char(34),":",char(34),LOWER('2-Building'!$B$4),char(34),",",char(34),"name",char(34),":",char(34),LOWER(C1698),char(34),"}}"))</f>
        <v>{"asset":{"guid":"uuid://e16ace2f-2de6-4a96-9a96-0813052a45a8","site":"in-blr-ananta","name":"vav-1270"}}</v>
      </c>
      <c r="S1698" s="360" t="s">
        <v>5516</v>
      </c>
      <c r="T1698" s="330"/>
      <c r="U1698" s="330"/>
      <c r="V1698" s="331"/>
      <c r="W1698" s="332"/>
      <c r="X1698" s="333"/>
      <c r="Y1698" s="33" t="s">
        <v>2867</v>
      </c>
      <c r="Z1698" s="258">
        <v>121270.0</v>
      </c>
      <c r="AA1698" s="334">
        <v>11364.0</v>
      </c>
      <c r="AB1698" s="333"/>
      <c r="AC1698" s="333"/>
      <c r="AD1698" s="329"/>
      <c r="AE1698" s="331"/>
      <c r="AF1698" s="336"/>
      <c r="AG1698" s="337"/>
      <c r="AH1698" s="333"/>
      <c r="AI1698" s="333"/>
      <c r="AJ1698" s="333"/>
      <c r="AK1698" s="333"/>
      <c r="AL1698" s="333"/>
      <c r="AM1698" s="338"/>
      <c r="AN1698" s="333"/>
      <c r="AO1698" s="333"/>
      <c r="AP1698" s="333"/>
      <c r="AQ1698" s="333"/>
      <c r="AR1698" s="333"/>
      <c r="AS1698" s="333"/>
      <c r="AT1698" s="333"/>
      <c r="AU1698" s="329"/>
      <c r="AV1698" s="341"/>
      <c r="AW1698" s="269" t="s">
        <v>1684</v>
      </c>
      <c r="AX1698" s="334" t="s">
        <v>2869</v>
      </c>
      <c r="AY1698" s="270" t="s">
        <v>695</v>
      </c>
      <c r="AZ1698" s="173" t="s">
        <v>5516</v>
      </c>
      <c r="BA1698" s="265">
        <v>10.0</v>
      </c>
      <c r="BB1698" s="174" t="s">
        <v>245</v>
      </c>
      <c r="BC1698" s="341"/>
      <c r="BD1698" s="308"/>
      <c r="BE1698" s="342"/>
      <c r="BF1698" s="274" t="str">
        <f>IFERROR(__xludf.DUMMYFUNCTION("LOWER(Regexreplace(to_text(E1698),""[^A-Za-z0-9]"","""")&amp;""_""&amp;Regexreplace(to_text(F1698),""[^A-Za-z0-9]"",""""))"),"neptronic_evcbseries")</f>
        <v>neptronic_evcbseries</v>
      </c>
      <c r="BG1698" s="275" t="str">
        <f>IFERROR(__xludf.DUMMYFUNCTION("upper(Regexreplace(to_text(E1698),""[^A-Za-z0-9]"","""")&amp;""-""&amp;Regexreplace(to_text(F1698),""[^A-Za-z0-9]"",""""))"),"NEPTRONIC-EVCBSERIES")</f>
        <v>NEPTRONIC-EVCBSERIES</v>
      </c>
    </row>
    <row r="1699" ht="30.0" customHeight="1">
      <c r="A1699" s="173">
        <v>1691.0</v>
      </c>
      <c r="B1699" s="328" t="s">
        <v>670</v>
      </c>
      <c r="C1699" s="257" t="s">
        <v>6574</v>
      </c>
      <c r="D1699" s="173" t="s">
        <v>6574</v>
      </c>
      <c r="E1699" s="174" t="s">
        <v>2861</v>
      </c>
      <c r="F1699" s="173" t="s">
        <v>2862</v>
      </c>
      <c r="G1699" s="328" t="s">
        <v>673</v>
      </c>
      <c r="H1699" s="328" t="s">
        <v>2863</v>
      </c>
      <c r="I1699" s="258" t="s">
        <v>2864</v>
      </c>
      <c r="J1699" s="259" t="s">
        <v>1211</v>
      </c>
      <c r="K1699" s="260" t="s">
        <v>6575</v>
      </c>
      <c r="L1699" s="359"/>
      <c r="M1699" s="359"/>
      <c r="N1699" s="173" t="s">
        <v>679</v>
      </c>
      <c r="O1699" s="173" t="s">
        <v>225</v>
      </c>
      <c r="P1699" s="262" t="str">
        <f t="shared" si="1"/>
        <v>IN-BLR-ANANTA-VAV-1271_7</v>
      </c>
      <c r="Q1699" s="173" t="s">
        <v>6576</v>
      </c>
      <c r="R1699" s="328" t="str">
        <f>IFS(C1699="","",C1699="n/a","N/A",LEN(C1699),Concatenate("{",char(34),"asset",char(34),":{",char(34),"guid",char(34),":",char(34),Q1699,char(34),",",char(34),"site",char(34),":",char(34),LOWER('2-Building'!$B$4),char(34),",",char(34),"name",char(34),":",char(34),LOWER(C1699),char(34),"}}"))</f>
        <v>{"asset":{"guid":"uuid://ca62f07b-aef3-4100-bc93-ae576a95815f","site":"in-blr-ananta","name":"vav-1271"}}</v>
      </c>
      <c r="S1699" s="360" t="s">
        <v>5516</v>
      </c>
      <c r="T1699" s="330"/>
      <c r="U1699" s="330"/>
      <c r="V1699" s="331"/>
      <c r="W1699" s="332"/>
      <c r="X1699" s="333"/>
      <c r="Y1699" s="33" t="s">
        <v>2867</v>
      </c>
      <c r="Z1699" s="258">
        <v>121271.0</v>
      </c>
      <c r="AA1699" s="334">
        <v>11364.0</v>
      </c>
      <c r="AB1699" s="333"/>
      <c r="AC1699" s="333"/>
      <c r="AD1699" s="329"/>
      <c r="AE1699" s="331"/>
      <c r="AF1699" s="336"/>
      <c r="AG1699" s="337"/>
      <c r="AH1699" s="333"/>
      <c r="AI1699" s="333"/>
      <c r="AJ1699" s="333"/>
      <c r="AK1699" s="333"/>
      <c r="AL1699" s="333"/>
      <c r="AM1699" s="338"/>
      <c r="AN1699" s="333"/>
      <c r="AO1699" s="333"/>
      <c r="AP1699" s="333"/>
      <c r="AQ1699" s="333"/>
      <c r="AR1699" s="333"/>
      <c r="AS1699" s="333"/>
      <c r="AT1699" s="333"/>
      <c r="AU1699" s="329"/>
      <c r="AV1699" s="341"/>
      <c r="AW1699" s="269" t="s">
        <v>1684</v>
      </c>
      <c r="AX1699" s="334" t="s">
        <v>2869</v>
      </c>
      <c r="AY1699" s="270" t="s">
        <v>695</v>
      </c>
      <c r="AZ1699" s="173" t="s">
        <v>5516</v>
      </c>
      <c r="BA1699" s="265">
        <v>10.0</v>
      </c>
      <c r="BB1699" s="174" t="s">
        <v>245</v>
      </c>
      <c r="BC1699" s="341"/>
      <c r="BD1699" s="308"/>
      <c r="BE1699" s="342"/>
      <c r="BF1699" s="274" t="str">
        <f>IFERROR(__xludf.DUMMYFUNCTION("LOWER(Regexreplace(to_text(E1699),""[^A-Za-z0-9]"","""")&amp;""_""&amp;Regexreplace(to_text(F1699),""[^A-Za-z0-9]"",""""))"),"neptronic_evcbseries")</f>
        <v>neptronic_evcbseries</v>
      </c>
      <c r="BG1699" s="275" t="str">
        <f>IFERROR(__xludf.DUMMYFUNCTION("upper(Regexreplace(to_text(E1699),""[^A-Za-z0-9]"","""")&amp;""-""&amp;Regexreplace(to_text(F1699),""[^A-Za-z0-9]"",""""))"),"NEPTRONIC-EVCBSERIES")</f>
        <v>NEPTRONIC-EVCBSERIES</v>
      </c>
    </row>
    <row r="1700" ht="30.0" customHeight="1">
      <c r="A1700" s="258">
        <v>1692.0</v>
      </c>
      <c r="B1700" s="328" t="s">
        <v>670</v>
      </c>
      <c r="C1700" s="257" t="s">
        <v>6577</v>
      </c>
      <c r="D1700" s="173" t="s">
        <v>6577</v>
      </c>
      <c r="E1700" s="174" t="s">
        <v>2861</v>
      </c>
      <c r="F1700" s="173" t="s">
        <v>2862</v>
      </c>
      <c r="G1700" s="328" t="s">
        <v>673</v>
      </c>
      <c r="H1700" s="328" t="s">
        <v>2863</v>
      </c>
      <c r="I1700" s="258" t="s">
        <v>2864</v>
      </c>
      <c r="J1700" s="259" t="s">
        <v>1211</v>
      </c>
      <c r="K1700" s="260" t="s">
        <v>6578</v>
      </c>
      <c r="L1700" s="359"/>
      <c r="M1700" s="359"/>
      <c r="N1700" s="173" t="s">
        <v>679</v>
      </c>
      <c r="O1700" s="173" t="s">
        <v>225</v>
      </c>
      <c r="P1700" s="262" t="str">
        <f t="shared" si="1"/>
        <v>IN-BLR-ANANTA-VAV-1272_7</v>
      </c>
      <c r="Q1700" s="173" t="s">
        <v>6579</v>
      </c>
      <c r="R1700" s="328" t="str">
        <f>IFS(C1700="","",C1700="n/a","N/A",LEN(C1700),Concatenate("{",char(34),"asset",char(34),":{",char(34),"guid",char(34),":",char(34),Q1700,char(34),",",char(34),"site",char(34),":",char(34),LOWER('2-Building'!$B$4),char(34),",",char(34),"name",char(34),":",char(34),LOWER(C1700),char(34),"}}"))</f>
        <v>{"asset":{"guid":"uuid://23c24128-50ca-4639-89ce-c91705b2b338","site":"in-blr-ananta","name":"vav-1272"}}</v>
      </c>
      <c r="S1700" s="360" t="s">
        <v>5516</v>
      </c>
      <c r="T1700" s="330"/>
      <c r="U1700" s="330"/>
      <c r="V1700" s="331"/>
      <c r="W1700" s="332"/>
      <c r="X1700" s="333"/>
      <c r="Y1700" s="33" t="s">
        <v>2867</v>
      </c>
      <c r="Z1700" s="258">
        <v>121272.0</v>
      </c>
      <c r="AA1700" s="334">
        <v>11364.0</v>
      </c>
      <c r="AB1700" s="333"/>
      <c r="AC1700" s="333"/>
      <c r="AD1700" s="329"/>
      <c r="AE1700" s="331"/>
      <c r="AF1700" s="336"/>
      <c r="AG1700" s="337"/>
      <c r="AH1700" s="333"/>
      <c r="AI1700" s="333"/>
      <c r="AJ1700" s="333"/>
      <c r="AK1700" s="333"/>
      <c r="AL1700" s="333"/>
      <c r="AM1700" s="338"/>
      <c r="AN1700" s="333"/>
      <c r="AO1700" s="333"/>
      <c r="AP1700" s="333"/>
      <c r="AQ1700" s="333"/>
      <c r="AR1700" s="333"/>
      <c r="AS1700" s="333"/>
      <c r="AT1700" s="333"/>
      <c r="AU1700" s="329"/>
      <c r="AV1700" s="341"/>
      <c r="AW1700" s="269" t="s">
        <v>1684</v>
      </c>
      <c r="AX1700" s="334" t="s">
        <v>2869</v>
      </c>
      <c r="AY1700" s="270" t="s">
        <v>695</v>
      </c>
      <c r="AZ1700" s="173" t="s">
        <v>5516</v>
      </c>
      <c r="BA1700" s="265">
        <v>10.0</v>
      </c>
      <c r="BB1700" s="174" t="s">
        <v>245</v>
      </c>
      <c r="BC1700" s="341"/>
      <c r="BD1700" s="308"/>
      <c r="BE1700" s="342"/>
      <c r="BF1700" s="274" t="str">
        <f>IFERROR(__xludf.DUMMYFUNCTION("LOWER(Regexreplace(to_text(E1700),""[^A-Za-z0-9]"","""")&amp;""_""&amp;Regexreplace(to_text(F1700),""[^A-Za-z0-9]"",""""))"),"neptronic_evcbseries")</f>
        <v>neptronic_evcbseries</v>
      </c>
      <c r="BG1700" s="275" t="str">
        <f>IFERROR(__xludf.DUMMYFUNCTION("upper(Regexreplace(to_text(E1700),""[^A-Za-z0-9]"","""")&amp;""-""&amp;Regexreplace(to_text(F1700),""[^A-Za-z0-9]"",""""))"),"NEPTRONIC-EVCBSERIES")</f>
        <v>NEPTRONIC-EVCBSERIES</v>
      </c>
    </row>
    <row r="1701" ht="30.0" customHeight="1">
      <c r="A1701" s="173">
        <v>1693.0</v>
      </c>
      <c r="B1701" s="328" t="s">
        <v>670</v>
      </c>
      <c r="C1701" s="257" t="s">
        <v>6580</v>
      </c>
      <c r="D1701" s="173" t="s">
        <v>6580</v>
      </c>
      <c r="E1701" s="174" t="s">
        <v>2861</v>
      </c>
      <c r="F1701" s="173" t="s">
        <v>2862</v>
      </c>
      <c r="G1701" s="328" t="s">
        <v>673</v>
      </c>
      <c r="H1701" s="328" t="s">
        <v>2863</v>
      </c>
      <c r="I1701" s="258" t="s">
        <v>2864</v>
      </c>
      <c r="J1701" s="259" t="s">
        <v>1211</v>
      </c>
      <c r="K1701" s="260" t="s">
        <v>6581</v>
      </c>
      <c r="L1701" s="359"/>
      <c r="M1701" s="359"/>
      <c r="N1701" s="173" t="s">
        <v>679</v>
      </c>
      <c r="O1701" s="173" t="s">
        <v>225</v>
      </c>
      <c r="P1701" s="262" t="str">
        <f t="shared" si="1"/>
        <v>IN-BLR-ANANTA-VAV-1273_7</v>
      </c>
      <c r="Q1701" s="173" t="s">
        <v>6582</v>
      </c>
      <c r="R1701" s="328" t="str">
        <f>IFS(C1701="","",C1701="n/a","N/A",LEN(C1701),Concatenate("{",char(34),"asset",char(34),":{",char(34),"guid",char(34),":",char(34),Q1701,char(34),",",char(34),"site",char(34),":",char(34),LOWER('2-Building'!$B$4),char(34),",",char(34),"name",char(34),":",char(34),LOWER(C1701),char(34),"}}"))</f>
        <v>{"asset":{"guid":"uuid://cc21b877-a4b5-46ce-9abf-174ea1407281","site":"in-blr-ananta","name":"vav-1273"}}</v>
      </c>
      <c r="S1701" s="360" t="s">
        <v>5516</v>
      </c>
      <c r="T1701" s="330"/>
      <c r="U1701" s="330"/>
      <c r="V1701" s="331"/>
      <c r="W1701" s="332"/>
      <c r="X1701" s="333"/>
      <c r="Y1701" s="33" t="s">
        <v>2867</v>
      </c>
      <c r="Z1701" s="258">
        <v>121273.0</v>
      </c>
      <c r="AA1701" s="334">
        <v>11364.0</v>
      </c>
      <c r="AB1701" s="333"/>
      <c r="AC1701" s="333"/>
      <c r="AD1701" s="329"/>
      <c r="AE1701" s="331"/>
      <c r="AF1701" s="336"/>
      <c r="AG1701" s="337"/>
      <c r="AH1701" s="333"/>
      <c r="AI1701" s="333"/>
      <c r="AJ1701" s="333"/>
      <c r="AK1701" s="333"/>
      <c r="AL1701" s="333"/>
      <c r="AM1701" s="338"/>
      <c r="AN1701" s="333"/>
      <c r="AO1701" s="333"/>
      <c r="AP1701" s="333"/>
      <c r="AQ1701" s="333"/>
      <c r="AR1701" s="333"/>
      <c r="AS1701" s="333"/>
      <c r="AT1701" s="333"/>
      <c r="AU1701" s="329"/>
      <c r="AV1701" s="341"/>
      <c r="AW1701" s="269" t="s">
        <v>1684</v>
      </c>
      <c r="AX1701" s="334" t="s">
        <v>2869</v>
      </c>
      <c r="AY1701" s="270" t="s">
        <v>695</v>
      </c>
      <c r="AZ1701" s="173" t="s">
        <v>5516</v>
      </c>
      <c r="BA1701" s="265">
        <v>10.0</v>
      </c>
      <c r="BB1701" s="174" t="s">
        <v>245</v>
      </c>
      <c r="BC1701" s="341"/>
      <c r="BD1701" s="308"/>
      <c r="BE1701" s="342"/>
      <c r="BF1701" s="274" t="str">
        <f>IFERROR(__xludf.DUMMYFUNCTION("LOWER(Regexreplace(to_text(E1701),""[^A-Za-z0-9]"","""")&amp;""_""&amp;Regexreplace(to_text(F1701),""[^A-Za-z0-9]"",""""))"),"neptronic_evcbseries")</f>
        <v>neptronic_evcbseries</v>
      </c>
      <c r="BG1701" s="275" t="str">
        <f>IFERROR(__xludf.DUMMYFUNCTION("upper(Regexreplace(to_text(E1701),""[^A-Za-z0-9]"","""")&amp;""-""&amp;Regexreplace(to_text(F1701),""[^A-Za-z0-9]"",""""))"),"NEPTRONIC-EVCBSERIES")</f>
        <v>NEPTRONIC-EVCBSERIES</v>
      </c>
    </row>
    <row r="1702" ht="30.0" customHeight="1">
      <c r="A1702" s="258">
        <v>1694.0</v>
      </c>
      <c r="B1702" s="328" t="s">
        <v>670</v>
      </c>
      <c r="C1702" s="257" t="s">
        <v>6583</v>
      </c>
      <c r="D1702" s="173" t="s">
        <v>6583</v>
      </c>
      <c r="E1702" s="174" t="s">
        <v>2861</v>
      </c>
      <c r="F1702" s="173" t="s">
        <v>2862</v>
      </c>
      <c r="G1702" s="328" t="s">
        <v>673</v>
      </c>
      <c r="H1702" s="328" t="s">
        <v>2863</v>
      </c>
      <c r="I1702" s="258" t="s">
        <v>2864</v>
      </c>
      <c r="J1702" s="259" t="s">
        <v>1211</v>
      </c>
      <c r="K1702" s="260" t="s">
        <v>6584</v>
      </c>
      <c r="L1702" s="359"/>
      <c r="M1702" s="359"/>
      <c r="N1702" s="173" t="s">
        <v>679</v>
      </c>
      <c r="O1702" s="173" t="s">
        <v>225</v>
      </c>
      <c r="P1702" s="262" t="str">
        <f t="shared" si="1"/>
        <v>IN-BLR-ANANTA-VAV-1274_7</v>
      </c>
      <c r="Q1702" s="173" t="s">
        <v>6585</v>
      </c>
      <c r="R1702" s="328" t="str">
        <f>IFS(C1702="","",C1702="n/a","N/A",LEN(C1702),Concatenate("{",char(34),"asset",char(34),":{",char(34),"guid",char(34),":",char(34),Q1702,char(34),",",char(34),"site",char(34),":",char(34),LOWER('2-Building'!$B$4),char(34),",",char(34),"name",char(34),":",char(34),LOWER(C1702),char(34),"}}"))</f>
        <v>{"asset":{"guid":"uuid://049b52c0-741d-4463-8e0d-e7d9813d1dd7","site":"in-blr-ananta","name":"vav-1274"}}</v>
      </c>
      <c r="S1702" s="360" t="s">
        <v>5516</v>
      </c>
      <c r="T1702" s="330"/>
      <c r="U1702" s="330"/>
      <c r="V1702" s="331"/>
      <c r="W1702" s="332"/>
      <c r="X1702" s="333"/>
      <c r="Y1702" s="33" t="s">
        <v>2867</v>
      </c>
      <c r="Z1702" s="258">
        <v>121274.0</v>
      </c>
      <c r="AA1702" s="334">
        <v>11364.0</v>
      </c>
      <c r="AB1702" s="333"/>
      <c r="AC1702" s="333"/>
      <c r="AD1702" s="329"/>
      <c r="AE1702" s="331"/>
      <c r="AF1702" s="336"/>
      <c r="AG1702" s="337"/>
      <c r="AH1702" s="333"/>
      <c r="AI1702" s="333"/>
      <c r="AJ1702" s="333"/>
      <c r="AK1702" s="333"/>
      <c r="AL1702" s="333"/>
      <c r="AM1702" s="338"/>
      <c r="AN1702" s="333"/>
      <c r="AO1702" s="333"/>
      <c r="AP1702" s="333"/>
      <c r="AQ1702" s="333"/>
      <c r="AR1702" s="333"/>
      <c r="AS1702" s="333"/>
      <c r="AT1702" s="333"/>
      <c r="AU1702" s="329"/>
      <c r="AV1702" s="341"/>
      <c r="AW1702" s="269" t="s">
        <v>1684</v>
      </c>
      <c r="AX1702" s="334" t="s">
        <v>2869</v>
      </c>
      <c r="AY1702" s="270" t="s">
        <v>695</v>
      </c>
      <c r="AZ1702" s="173" t="s">
        <v>5516</v>
      </c>
      <c r="BA1702" s="265">
        <v>10.0</v>
      </c>
      <c r="BB1702" s="174" t="s">
        <v>245</v>
      </c>
      <c r="BC1702" s="341"/>
      <c r="BD1702" s="308"/>
      <c r="BE1702" s="342"/>
      <c r="BF1702" s="274" t="str">
        <f>IFERROR(__xludf.DUMMYFUNCTION("LOWER(Regexreplace(to_text(E1702),""[^A-Za-z0-9]"","""")&amp;""_""&amp;Regexreplace(to_text(F1702),""[^A-Za-z0-9]"",""""))"),"neptronic_evcbseries")</f>
        <v>neptronic_evcbseries</v>
      </c>
      <c r="BG1702" s="275" t="str">
        <f>IFERROR(__xludf.DUMMYFUNCTION("upper(Regexreplace(to_text(E1702),""[^A-Za-z0-9]"","""")&amp;""-""&amp;Regexreplace(to_text(F1702),""[^A-Za-z0-9]"",""""))"),"NEPTRONIC-EVCBSERIES")</f>
        <v>NEPTRONIC-EVCBSERIES</v>
      </c>
    </row>
    <row r="1703" ht="30.0" customHeight="1">
      <c r="A1703" s="173">
        <v>1695.0</v>
      </c>
      <c r="B1703" s="328" t="s">
        <v>670</v>
      </c>
      <c r="C1703" s="257" t="s">
        <v>6586</v>
      </c>
      <c r="D1703" s="173" t="s">
        <v>6586</v>
      </c>
      <c r="E1703" s="174" t="s">
        <v>2861</v>
      </c>
      <c r="F1703" s="173" t="s">
        <v>2862</v>
      </c>
      <c r="G1703" s="328" t="s">
        <v>673</v>
      </c>
      <c r="H1703" s="328" t="s">
        <v>2863</v>
      </c>
      <c r="I1703" s="258" t="s">
        <v>2864</v>
      </c>
      <c r="J1703" s="259" t="s">
        <v>1211</v>
      </c>
      <c r="K1703" s="260" t="s">
        <v>6587</v>
      </c>
      <c r="L1703" s="359"/>
      <c r="M1703" s="359"/>
      <c r="N1703" s="173" t="s">
        <v>679</v>
      </c>
      <c r="O1703" s="173" t="s">
        <v>225</v>
      </c>
      <c r="P1703" s="262" t="str">
        <f t="shared" si="1"/>
        <v>IN-BLR-ANANTA-VAV-1275_7</v>
      </c>
      <c r="Q1703" s="173" t="s">
        <v>6588</v>
      </c>
      <c r="R1703" s="328" t="str">
        <f>IFS(C1703="","",C1703="n/a","N/A",LEN(C1703),Concatenate("{",char(34),"asset",char(34),":{",char(34),"guid",char(34),":",char(34),Q1703,char(34),",",char(34),"site",char(34),":",char(34),LOWER('2-Building'!$B$4),char(34),",",char(34),"name",char(34),":",char(34),LOWER(C1703),char(34),"}}"))</f>
        <v>{"asset":{"guid":"uuid://5d7f32e6-e4e5-470e-9b13-29b171b22cc0","site":"in-blr-ananta","name":"vav-1275"}}</v>
      </c>
      <c r="S1703" s="360" t="s">
        <v>5516</v>
      </c>
      <c r="T1703" s="330"/>
      <c r="U1703" s="330"/>
      <c r="V1703" s="331"/>
      <c r="W1703" s="332"/>
      <c r="X1703" s="333"/>
      <c r="Y1703" s="33" t="s">
        <v>2867</v>
      </c>
      <c r="Z1703" s="258">
        <v>121275.0</v>
      </c>
      <c r="AA1703" s="334">
        <v>11364.0</v>
      </c>
      <c r="AB1703" s="333"/>
      <c r="AC1703" s="333"/>
      <c r="AD1703" s="329"/>
      <c r="AE1703" s="331"/>
      <c r="AF1703" s="336"/>
      <c r="AG1703" s="337"/>
      <c r="AH1703" s="333"/>
      <c r="AI1703" s="333"/>
      <c r="AJ1703" s="333"/>
      <c r="AK1703" s="333"/>
      <c r="AL1703" s="333"/>
      <c r="AM1703" s="338"/>
      <c r="AN1703" s="333"/>
      <c r="AO1703" s="333"/>
      <c r="AP1703" s="333"/>
      <c r="AQ1703" s="333"/>
      <c r="AR1703" s="333"/>
      <c r="AS1703" s="333"/>
      <c r="AT1703" s="333"/>
      <c r="AU1703" s="329"/>
      <c r="AV1703" s="341"/>
      <c r="AW1703" s="269" t="s">
        <v>2391</v>
      </c>
      <c r="AX1703" s="334" t="s">
        <v>2869</v>
      </c>
      <c r="AY1703" s="270" t="s">
        <v>695</v>
      </c>
      <c r="AZ1703" s="173" t="s">
        <v>5516</v>
      </c>
      <c r="BA1703" s="265">
        <v>10.0</v>
      </c>
      <c r="BB1703" s="174" t="s">
        <v>245</v>
      </c>
      <c r="BC1703" s="341"/>
      <c r="BD1703" s="308"/>
      <c r="BE1703" s="342"/>
      <c r="BF1703" s="274" t="str">
        <f>IFERROR(__xludf.DUMMYFUNCTION("LOWER(Regexreplace(to_text(E1703),""[^A-Za-z0-9]"","""")&amp;""_""&amp;Regexreplace(to_text(F1703),""[^A-Za-z0-9]"",""""))"),"neptronic_evcbseries")</f>
        <v>neptronic_evcbseries</v>
      </c>
      <c r="BG1703" s="275" t="str">
        <f>IFERROR(__xludf.DUMMYFUNCTION("upper(Regexreplace(to_text(E1703),""[^A-Za-z0-9]"","""")&amp;""-""&amp;Regexreplace(to_text(F1703),""[^A-Za-z0-9]"",""""))"),"NEPTRONIC-EVCBSERIES")</f>
        <v>NEPTRONIC-EVCBSERIES</v>
      </c>
    </row>
    <row r="1704" ht="30.0" customHeight="1">
      <c r="A1704" s="258">
        <v>1696.0</v>
      </c>
      <c r="B1704" s="328" t="s">
        <v>670</v>
      </c>
      <c r="C1704" s="257" t="s">
        <v>6589</v>
      </c>
      <c r="D1704" s="173" t="s">
        <v>6589</v>
      </c>
      <c r="E1704" s="174" t="s">
        <v>2861</v>
      </c>
      <c r="F1704" s="173" t="s">
        <v>2862</v>
      </c>
      <c r="G1704" s="328" t="s">
        <v>673</v>
      </c>
      <c r="H1704" s="328" t="s">
        <v>2863</v>
      </c>
      <c r="I1704" s="258" t="s">
        <v>2864</v>
      </c>
      <c r="J1704" s="259" t="s">
        <v>1211</v>
      </c>
      <c r="K1704" s="260" t="s">
        <v>6590</v>
      </c>
      <c r="L1704" s="359"/>
      <c r="M1704" s="359"/>
      <c r="N1704" s="173" t="s">
        <v>679</v>
      </c>
      <c r="O1704" s="173" t="s">
        <v>225</v>
      </c>
      <c r="P1704" s="262" t="str">
        <f t="shared" si="1"/>
        <v>IN-BLR-ANANTA-VAV-1276_7</v>
      </c>
      <c r="Q1704" s="173" t="s">
        <v>6591</v>
      </c>
      <c r="R1704" s="328" t="str">
        <f>IFS(C1704="","",C1704="n/a","N/A",LEN(C1704),Concatenate("{",char(34),"asset",char(34),":{",char(34),"guid",char(34),":",char(34),Q1704,char(34),",",char(34),"site",char(34),":",char(34),LOWER('2-Building'!$B$4),char(34),",",char(34),"name",char(34),":",char(34),LOWER(C1704),char(34),"}}"))</f>
        <v>{"asset":{"guid":"uuid://de393389-18a5-402b-b460-b772316a2b29","site":"in-blr-ananta","name":"vav-1276"}}</v>
      </c>
      <c r="S1704" s="360" t="s">
        <v>5516</v>
      </c>
      <c r="T1704" s="330"/>
      <c r="U1704" s="330"/>
      <c r="V1704" s="331"/>
      <c r="W1704" s="332"/>
      <c r="X1704" s="333"/>
      <c r="Y1704" s="33" t="s">
        <v>2867</v>
      </c>
      <c r="Z1704" s="258">
        <v>121276.0</v>
      </c>
      <c r="AA1704" s="334">
        <v>11364.0</v>
      </c>
      <c r="AB1704" s="333"/>
      <c r="AC1704" s="333"/>
      <c r="AD1704" s="329"/>
      <c r="AE1704" s="331"/>
      <c r="AF1704" s="336"/>
      <c r="AG1704" s="337"/>
      <c r="AH1704" s="333"/>
      <c r="AI1704" s="333"/>
      <c r="AJ1704" s="333"/>
      <c r="AK1704" s="333"/>
      <c r="AL1704" s="333"/>
      <c r="AM1704" s="338"/>
      <c r="AN1704" s="333"/>
      <c r="AO1704" s="333"/>
      <c r="AP1704" s="333"/>
      <c r="AQ1704" s="333"/>
      <c r="AR1704" s="333"/>
      <c r="AS1704" s="333"/>
      <c r="AT1704" s="333"/>
      <c r="AU1704" s="329"/>
      <c r="AV1704" s="341"/>
      <c r="AW1704" s="269" t="s">
        <v>1684</v>
      </c>
      <c r="AX1704" s="334" t="s">
        <v>2869</v>
      </c>
      <c r="AY1704" s="270" t="s">
        <v>695</v>
      </c>
      <c r="AZ1704" s="173" t="s">
        <v>5516</v>
      </c>
      <c r="BA1704" s="265">
        <v>10.0</v>
      </c>
      <c r="BB1704" s="174" t="s">
        <v>245</v>
      </c>
      <c r="BC1704" s="341"/>
      <c r="BD1704" s="308"/>
      <c r="BE1704" s="342"/>
      <c r="BF1704" s="274" t="str">
        <f>IFERROR(__xludf.DUMMYFUNCTION("LOWER(Regexreplace(to_text(E1704),""[^A-Za-z0-9]"","""")&amp;""_""&amp;Regexreplace(to_text(F1704),""[^A-Za-z0-9]"",""""))"),"neptronic_evcbseries")</f>
        <v>neptronic_evcbseries</v>
      </c>
      <c r="BG1704" s="275" t="str">
        <f>IFERROR(__xludf.DUMMYFUNCTION("upper(Regexreplace(to_text(E1704),""[^A-Za-z0-9]"","""")&amp;""-""&amp;Regexreplace(to_text(F1704),""[^A-Za-z0-9]"",""""))"),"NEPTRONIC-EVCBSERIES")</f>
        <v>NEPTRONIC-EVCBSERIES</v>
      </c>
    </row>
    <row r="1705" ht="30.0" customHeight="1">
      <c r="A1705" s="173">
        <v>1697.0</v>
      </c>
      <c r="B1705" s="328" t="s">
        <v>670</v>
      </c>
      <c r="C1705" s="257" t="s">
        <v>6592</v>
      </c>
      <c r="D1705" s="173" t="s">
        <v>6592</v>
      </c>
      <c r="E1705" s="174" t="s">
        <v>2861</v>
      </c>
      <c r="F1705" s="173" t="s">
        <v>2862</v>
      </c>
      <c r="G1705" s="328" t="s">
        <v>673</v>
      </c>
      <c r="H1705" s="328" t="s">
        <v>2863</v>
      </c>
      <c r="I1705" s="258" t="s">
        <v>2864</v>
      </c>
      <c r="J1705" s="259" t="s">
        <v>1211</v>
      </c>
      <c r="K1705" s="260" t="s">
        <v>6593</v>
      </c>
      <c r="L1705" s="359"/>
      <c r="M1705" s="359"/>
      <c r="N1705" s="173" t="s">
        <v>679</v>
      </c>
      <c r="O1705" s="173" t="s">
        <v>225</v>
      </c>
      <c r="P1705" s="262" t="str">
        <f t="shared" si="1"/>
        <v>IN-BLR-ANANTA-VAV-1277_7</v>
      </c>
      <c r="Q1705" s="173" t="s">
        <v>6594</v>
      </c>
      <c r="R1705" s="328" t="str">
        <f>IFS(C1705="","",C1705="n/a","N/A",LEN(C1705),Concatenate("{",char(34),"asset",char(34),":{",char(34),"guid",char(34),":",char(34),Q1705,char(34),",",char(34),"site",char(34),":",char(34),LOWER('2-Building'!$B$4),char(34),",",char(34),"name",char(34),":",char(34),LOWER(C1705),char(34),"}}"))</f>
        <v>{"asset":{"guid":"uuid://448975c5-deec-47c9-b539-967101ed7508","site":"in-blr-ananta","name":"vav-1277"}}</v>
      </c>
      <c r="S1705" s="360" t="s">
        <v>5516</v>
      </c>
      <c r="T1705" s="330"/>
      <c r="U1705" s="330"/>
      <c r="V1705" s="331"/>
      <c r="W1705" s="332"/>
      <c r="X1705" s="333"/>
      <c r="Y1705" s="33" t="s">
        <v>2867</v>
      </c>
      <c r="Z1705" s="258">
        <v>121277.0</v>
      </c>
      <c r="AA1705" s="334">
        <v>11364.0</v>
      </c>
      <c r="AB1705" s="333"/>
      <c r="AC1705" s="333"/>
      <c r="AD1705" s="329"/>
      <c r="AE1705" s="331"/>
      <c r="AF1705" s="336"/>
      <c r="AG1705" s="337"/>
      <c r="AH1705" s="333"/>
      <c r="AI1705" s="333"/>
      <c r="AJ1705" s="333"/>
      <c r="AK1705" s="333"/>
      <c r="AL1705" s="333"/>
      <c r="AM1705" s="338"/>
      <c r="AN1705" s="333"/>
      <c r="AO1705" s="333"/>
      <c r="AP1705" s="333"/>
      <c r="AQ1705" s="333"/>
      <c r="AR1705" s="333"/>
      <c r="AS1705" s="333"/>
      <c r="AT1705" s="333"/>
      <c r="AU1705" s="329"/>
      <c r="AV1705" s="341"/>
      <c r="AW1705" s="269" t="s">
        <v>1684</v>
      </c>
      <c r="AX1705" s="334" t="s">
        <v>2869</v>
      </c>
      <c r="AY1705" s="270" t="s">
        <v>695</v>
      </c>
      <c r="AZ1705" s="173" t="s">
        <v>5516</v>
      </c>
      <c r="BA1705" s="265">
        <v>10.0</v>
      </c>
      <c r="BB1705" s="174" t="s">
        <v>245</v>
      </c>
      <c r="BC1705" s="341"/>
      <c r="BD1705" s="308"/>
      <c r="BE1705" s="342"/>
      <c r="BF1705" s="274" t="str">
        <f>IFERROR(__xludf.DUMMYFUNCTION("LOWER(Regexreplace(to_text(E1705),""[^A-Za-z0-9]"","""")&amp;""_""&amp;Regexreplace(to_text(F1705),""[^A-Za-z0-9]"",""""))"),"neptronic_evcbseries")</f>
        <v>neptronic_evcbseries</v>
      </c>
      <c r="BG1705" s="275" t="str">
        <f>IFERROR(__xludf.DUMMYFUNCTION("upper(Regexreplace(to_text(E1705),""[^A-Za-z0-9]"","""")&amp;""-""&amp;Regexreplace(to_text(F1705),""[^A-Za-z0-9]"",""""))"),"NEPTRONIC-EVCBSERIES")</f>
        <v>NEPTRONIC-EVCBSERIES</v>
      </c>
    </row>
    <row r="1706" ht="30.0" customHeight="1">
      <c r="A1706" s="258">
        <v>1698.0</v>
      </c>
      <c r="B1706" s="328" t="s">
        <v>670</v>
      </c>
      <c r="C1706" s="257" t="s">
        <v>6595</v>
      </c>
      <c r="D1706" s="173" t="s">
        <v>6595</v>
      </c>
      <c r="E1706" s="174" t="s">
        <v>2861</v>
      </c>
      <c r="F1706" s="173" t="s">
        <v>2862</v>
      </c>
      <c r="G1706" s="328" t="s">
        <v>673</v>
      </c>
      <c r="H1706" s="328" t="s">
        <v>2863</v>
      </c>
      <c r="I1706" s="258" t="s">
        <v>2864</v>
      </c>
      <c r="J1706" s="259" t="s">
        <v>1211</v>
      </c>
      <c r="K1706" s="260" t="s">
        <v>6596</v>
      </c>
      <c r="L1706" s="359"/>
      <c r="M1706" s="359"/>
      <c r="N1706" s="173" t="s">
        <v>679</v>
      </c>
      <c r="O1706" s="173" t="s">
        <v>225</v>
      </c>
      <c r="P1706" s="262" t="str">
        <f t="shared" si="1"/>
        <v>IN-BLR-ANANTA-VAV-1278_7</v>
      </c>
      <c r="Q1706" s="173" t="s">
        <v>6597</v>
      </c>
      <c r="R1706" s="328" t="str">
        <f>IFS(C1706="","",C1706="n/a","N/A",LEN(C1706),Concatenate("{",char(34),"asset",char(34),":{",char(34),"guid",char(34),":",char(34),Q1706,char(34),",",char(34),"site",char(34),":",char(34),LOWER('2-Building'!$B$4),char(34),",",char(34),"name",char(34),":",char(34),LOWER(C1706),char(34),"}}"))</f>
        <v>{"asset":{"guid":"uuid://267569e3-9629-40c7-b538-766b8f5f7c20","site":"in-blr-ananta","name":"vav-1278"}}</v>
      </c>
      <c r="S1706" s="360" t="s">
        <v>5516</v>
      </c>
      <c r="T1706" s="330"/>
      <c r="U1706" s="330"/>
      <c r="V1706" s="331"/>
      <c r="W1706" s="332"/>
      <c r="X1706" s="333"/>
      <c r="Y1706" s="33" t="s">
        <v>2867</v>
      </c>
      <c r="Z1706" s="258">
        <v>121278.0</v>
      </c>
      <c r="AA1706" s="334">
        <v>11364.0</v>
      </c>
      <c r="AB1706" s="333"/>
      <c r="AC1706" s="333"/>
      <c r="AD1706" s="329"/>
      <c r="AE1706" s="331"/>
      <c r="AF1706" s="336"/>
      <c r="AG1706" s="337"/>
      <c r="AH1706" s="333"/>
      <c r="AI1706" s="333"/>
      <c r="AJ1706" s="333"/>
      <c r="AK1706" s="333"/>
      <c r="AL1706" s="333"/>
      <c r="AM1706" s="338"/>
      <c r="AN1706" s="333"/>
      <c r="AO1706" s="333"/>
      <c r="AP1706" s="333"/>
      <c r="AQ1706" s="333"/>
      <c r="AR1706" s="333"/>
      <c r="AS1706" s="333"/>
      <c r="AT1706" s="333"/>
      <c r="AU1706" s="329"/>
      <c r="AV1706" s="341"/>
      <c r="AW1706" s="269" t="s">
        <v>1684</v>
      </c>
      <c r="AX1706" s="334" t="s">
        <v>2869</v>
      </c>
      <c r="AY1706" s="270" t="s">
        <v>695</v>
      </c>
      <c r="AZ1706" s="173" t="s">
        <v>5516</v>
      </c>
      <c r="BA1706" s="265">
        <v>10.0</v>
      </c>
      <c r="BB1706" s="174" t="s">
        <v>245</v>
      </c>
      <c r="BC1706" s="341"/>
      <c r="BD1706" s="308"/>
      <c r="BE1706" s="342"/>
      <c r="BF1706" s="274" t="str">
        <f>IFERROR(__xludf.DUMMYFUNCTION("LOWER(Regexreplace(to_text(E1706),""[^A-Za-z0-9]"","""")&amp;""_""&amp;Regexreplace(to_text(F1706),""[^A-Za-z0-9]"",""""))"),"neptronic_evcbseries")</f>
        <v>neptronic_evcbseries</v>
      </c>
      <c r="BG1706" s="275" t="str">
        <f>IFERROR(__xludf.DUMMYFUNCTION("upper(Regexreplace(to_text(E1706),""[^A-Za-z0-9]"","""")&amp;""-""&amp;Regexreplace(to_text(F1706),""[^A-Za-z0-9]"",""""))"),"NEPTRONIC-EVCBSERIES")</f>
        <v>NEPTRONIC-EVCBSERIES</v>
      </c>
    </row>
    <row r="1707" ht="30.0" customHeight="1">
      <c r="A1707" s="173">
        <v>1699.0</v>
      </c>
      <c r="B1707" s="328" t="s">
        <v>670</v>
      </c>
      <c r="C1707" s="257" t="s">
        <v>6598</v>
      </c>
      <c r="D1707" s="173" t="s">
        <v>6598</v>
      </c>
      <c r="E1707" s="174" t="s">
        <v>2861</v>
      </c>
      <c r="F1707" s="173" t="s">
        <v>2862</v>
      </c>
      <c r="G1707" s="328" t="s">
        <v>673</v>
      </c>
      <c r="H1707" s="328" t="s">
        <v>2863</v>
      </c>
      <c r="I1707" s="258" t="s">
        <v>2864</v>
      </c>
      <c r="J1707" s="259" t="s">
        <v>1211</v>
      </c>
      <c r="K1707" s="260" t="s">
        <v>6599</v>
      </c>
      <c r="L1707" s="359"/>
      <c r="M1707" s="359"/>
      <c r="N1707" s="173" t="s">
        <v>679</v>
      </c>
      <c r="O1707" s="173" t="s">
        <v>225</v>
      </c>
      <c r="P1707" s="262" t="str">
        <f t="shared" si="1"/>
        <v>IN-BLR-ANANTA-VAV-1279_7</v>
      </c>
      <c r="Q1707" s="173" t="s">
        <v>6600</v>
      </c>
      <c r="R1707" s="328" t="str">
        <f>IFS(C1707="","",C1707="n/a","N/A",LEN(C1707),Concatenate("{",char(34),"asset",char(34),":{",char(34),"guid",char(34),":",char(34),Q1707,char(34),",",char(34),"site",char(34),":",char(34),LOWER('2-Building'!$B$4),char(34),",",char(34),"name",char(34),":",char(34),LOWER(C1707),char(34),"}}"))</f>
        <v>{"asset":{"guid":"uuid://7f0ac964-14d3-470c-94ab-a30fdd95fb58","site":"in-blr-ananta","name":"vav-1279"}}</v>
      </c>
      <c r="S1707" s="360" t="s">
        <v>5516</v>
      </c>
      <c r="T1707" s="330"/>
      <c r="U1707" s="330"/>
      <c r="V1707" s="331"/>
      <c r="W1707" s="332"/>
      <c r="X1707" s="333"/>
      <c r="Y1707" s="33" t="s">
        <v>2867</v>
      </c>
      <c r="Z1707" s="258">
        <v>121279.0</v>
      </c>
      <c r="AA1707" s="334">
        <v>11364.0</v>
      </c>
      <c r="AB1707" s="333"/>
      <c r="AC1707" s="333"/>
      <c r="AD1707" s="329"/>
      <c r="AE1707" s="331"/>
      <c r="AF1707" s="336"/>
      <c r="AG1707" s="337"/>
      <c r="AH1707" s="333"/>
      <c r="AI1707" s="333"/>
      <c r="AJ1707" s="333"/>
      <c r="AK1707" s="333"/>
      <c r="AL1707" s="333"/>
      <c r="AM1707" s="338"/>
      <c r="AN1707" s="333"/>
      <c r="AO1707" s="333"/>
      <c r="AP1707" s="333"/>
      <c r="AQ1707" s="333"/>
      <c r="AR1707" s="333"/>
      <c r="AS1707" s="333"/>
      <c r="AT1707" s="333"/>
      <c r="AU1707" s="329"/>
      <c r="AV1707" s="341"/>
      <c r="AW1707" s="269" t="s">
        <v>1684</v>
      </c>
      <c r="AX1707" s="334" t="s">
        <v>2869</v>
      </c>
      <c r="AY1707" s="270" t="s">
        <v>695</v>
      </c>
      <c r="AZ1707" s="173" t="s">
        <v>5516</v>
      </c>
      <c r="BA1707" s="265">
        <v>10.0</v>
      </c>
      <c r="BB1707" s="174" t="s">
        <v>245</v>
      </c>
      <c r="BC1707" s="341"/>
      <c r="BD1707" s="308"/>
      <c r="BE1707" s="342"/>
      <c r="BF1707" s="274" t="str">
        <f>IFERROR(__xludf.DUMMYFUNCTION("LOWER(Regexreplace(to_text(E1707),""[^A-Za-z0-9]"","""")&amp;""_""&amp;Regexreplace(to_text(F1707),""[^A-Za-z0-9]"",""""))"),"neptronic_evcbseries")</f>
        <v>neptronic_evcbseries</v>
      </c>
      <c r="BG1707" s="275" t="str">
        <f>IFERROR(__xludf.DUMMYFUNCTION("upper(Regexreplace(to_text(E1707),""[^A-Za-z0-9]"","""")&amp;""-""&amp;Regexreplace(to_text(F1707),""[^A-Za-z0-9]"",""""))"),"NEPTRONIC-EVCBSERIES")</f>
        <v>NEPTRONIC-EVCBSERIES</v>
      </c>
    </row>
    <row r="1708" ht="30.0" customHeight="1">
      <c r="A1708" s="258">
        <v>1700.0</v>
      </c>
      <c r="B1708" s="328" t="s">
        <v>670</v>
      </c>
      <c r="C1708" s="257" t="s">
        <v>6601</v>
      </c>
      <c r="D1708" s="173" t="s">
        <v>6601</v>
      </c>
      <c r="E1708" s="174" t="s">
        <v>2861</v>
      </c>
      <c r="F1708" s="173" t="s">
        <v>2862</v>
      </c>
      <c r="G1708" s="328" t="s">
        <v>673</v>
      </c>
      <c r="H1708" s="328" t="s">
        <v>2863</v>
      </c>
      <c r="I1708" s="258" t="s">
        <v>2864</v>
      </c>
      <c r="J1708" s="259" t="s">
        <v>1211</v>
      </c>
      <c r="K1708" s="260" t="s">
        <v>6602</v>
      </c>
      <c r="L1708" s="359"/>
      <c r="M1708" s="359"/>
      <c r="N1708" s="173" t="s">
        <v>679</v>
      </c>
      <c r="O1708" s="173" t="s">
        <v>225</v>
      </c>
      <c r="P1708" s="262" t="str">
        <f t="shared" si="1"/>
        <v>IN-BLR-ANANTA-VAV-1280_7</v>
      </c>
      <c r="Q1708" s="173" t="s">
        <v>6603</v>
      </c>
      <c r="R1708" s="328" t="str">
        <f>IFS(C1708="","",C1708="n/a","N/A",LEN(C1708),Concatenate("{",char(34),"asset",char(34),":{",char(34),"guid",char(34),":",char(34),Q1708,char(34),",",char(34),"site",char(34),":",char(34),LOWER('2-Building'!$B$4),char(34),",",char(34),"name",char(34),":",char(34),LOWER(C1708),char(34),"}}"))</f>
        <v>{"asset":{"guid":"uuid://66e07777-8398-4919-beac-2f1186e23630","site":"in-blr-ananta","name":"vav-1280"}}</v>
      </c>
      <c r="S1708" s="360" t="s">
        <v>5516</v>
      </c>
      <c r="T1708" s="330"/>
      <c r="U1708" s="330"/>
      <c r="V1708" s="331"/>
      <c r="W1708" s="332"/>
      <c r="X1708" s="333"/>
      <c r="Y1708" s="33" t="s">
        <v>2867</v>
      </c>
      <c r="Z1708" s="258">
        <v>121280.0</v>
      </c>
      <c r="AA1708" s="334">
        <v>11364.0</v>
      </c>
      <c r="AB1708" s="333"/>
      <c r="AC1708" s="333"/>
      <c r="AD1708" s="329"/>
      <c r="AE1708" s="331"/>
      <c r="AF1708" s="336"/>
      <c r="AG1708" s="337"/>
      <c r="AH1708" s="333"/>
      <c r="AI1708" s="333"/>
      <c r="AJ1708" s="333"/>
      <c r="AK1708" s="333"/>
      <c r="AL1708" s="333"/>
      <c r="AM1708" s="338"/>
      <c r="AN1708" s="333"/>
      <c r="AO1708" s="333"/>
      <c r="AP1708" s="333"/>
      <c r="AQ1708" s="333"/>
      <c r="AR1708" s="333"/>
      <c r="AS1708" s="333"/>
      <c r="AT1708" s="333"/>
      <c r="AU1708" s="329"/>
      <c r="AV1708" s="341"/>
      <c r="AW1708" s="269" t="s">
        <v>1684</v>
      </c>
      <c r="AX1708" s="334" t="s">
        <v>2869</v>
      </c>
      <c r="AY1708" s="270" t="s">
        <v>695</v>
      </c>
      <c r="AZ1708" s="173" t="s">
        <v>5516</v>
      </c>
      <c r="BA1708" s="265">
        <v>10.0</v>
      </c>
      <c r="BB1708" s="174" t="s">
        <v>245</v>
      </c>
      <c r="BC1708" s="341"/>
      <c r="BD1708" s="308"/>
      <c r="BE1708" s="342"/>
      <c r="BF1708" s="274" t="str">
        <f>IFERROR(__xludf.DUMMYFUNCTION("LOWER(Regexreplace(to_text(E1708),""[^A-Za-z0-9]"","""")&amp;""_""&amp;Regexreplace(to_text(F1708),""[^A-Za-z0-9]"",""""))"),"neptronic_evcbseries")</f>
        <v>neptronic_evcbseries</v>
      </c>
      <c r="BG1708" s="275" t="str">
        <f>IFERROR(__xludf.DUMMYFUNCTION("upper(Regexreplace(to_text(E1708),""[^A-Za-z0-9]"","""")&amp;""-""&amp;Regexreplace(to_text(F1708),""[^A-Za-z0-9]"",""""))"),"NEPTRONIC-EVCBSERIES")</f>
        <v>NEPTRONIC-EVCBSERIES</v>
      </c>
    </row>
    <row r="1709" ht="30.0" customHeight="1">
      <c r="A1709" s="173">
        <v>1701.0</v>
      </c>
      <c r="B1709" s="328" t="s">
        <v>670</v>
      </c>
      <c r="C1709" s="257" t="s">
        <v>6604</v>
      </c>
      <c r="D1709" s="173" t="s">
        <v>6604</v>
      </c>
      <c r="E1709" s="174" t="s">
        <v>2861</v>
      </c>
      <c r="F1709" s="173" t="s">
        <v>2862</v>
      </c>
      <c r="G1709" s="328" t="s">
        <v>673</v>
      </c>
      <c r="H1709" s="328" t="s">
        <v>2863</v>
      </c>
      <c r="I1709" s="258" t="s">
        <v>2864</v>
      </c>
      <c r="J1709" s="259" t="s">
        <v>1211</v>
      </c>
      <c r="K1709" s="260" t="s">
        <v>6605</v>
      </c>
      <c r="L1709" s="359"/>
      <c r="M1709" s="359"/>
      <c r="N1709" s="173" t="s">
        <v>679</v>
      </c>
      <c r="O1709" s="173" t="s">
        <v>225</v>
      </c>
      <c r="P1709" s="262" t="str">
        <f t="shared" si="1"/>
        <v>IN-BLR-ANANTA-VAV-1281_7</v>
      </c>
      <c r="Q1709" s="173" t="s">
        <v>6606</v>
      </c>
      <c r="R1709" s="328" t="str">
        <f>IFS(C1709="","",C1709="n/a","N/A",LEN(C1709),Concatenate("{",char(34),"asset",char(34),":{",char(34),"guid",char(34),":",char(34),Q1709,char(34),",",char(34),"site",char(34),":",char(34),LOWER('2-Building'!$B$4),char(34),",",char(34),"name",char(34),":",char(34),LOWER(C1709),char(34),"}}"))</f>
        <v>{"asset":{"guid":"uuid://4aeab3ac-7aad-429f-9722-437624fea1df","site":"in-blr-ananta","name":"vav-1281"}}</v>
      </c>
      <c r="S1709" s="360" t="s">
        <v>5516</v>
      </c>
      <c r="T1709" s="330"/>
      <c r="U1709" s="330"/>
      <c r="V1709" s="331"/>
      <c r="W1709" s="332"/>
      <c r="X1709" s="333"/>
      <c r="Y1709" s="33" t="s">
        <v>2867</v>
      </c>
      <c r="Z1709" s="258">
        <v>121281.0</v>
      </c>
      <c r="AA1709" s="334">
        <v>11364.0</v>
      </c>
      <c r="AB1709" s="333"/>
      <c r="AC1709" s="333"/>
      <c r="AD1709" s="329"/>
      <c r="AE1709" s="331"/>
      <c r="AF1709" s="336"/>
      <c r="AG1709" s="337"/>
      <c r="AH1709" s="333"/>
      <c r="AI1709" s="333"/>
      <c r="AJ1709" s="333"/>
      <c r="AK1709" s="333"/>
      <c r="AL1709" s="333"/>
      <c r="AM1709" s="338"/>
      <c r="AN1709" s="333"/>
      <c r="AO1709" s="333"/>
      <c r="AP1709" s="333"/>
      <c r="AQ1709" s="333"/>
      <c r="AR1709" s="333"/>
      <c r="AS1709" s="333"/>
      <c r="AT1709" s="333"/>
      <c r="AU1709" s="329"/>
      <c r="AV1709" s="341"/>
      <c r="AW1709" s="269" t="s">
        <v>1684</v>
      </c>
      <c r="AX1709" s="334" t="s">
        <v>2869</v>
      </c>
      <c r="AY1709" s="270" t="s">
        <v>695</v>
      </c>
      <c r="AZ1709" s="173" t="s">
        <v>5516</v>
      </c>
      <c r="BA1709" s="265">
        <v>10.0</v>
      </c>
      <c r="BB1709" s="174" t="s">
        <v>245</v>
      </c>
      <c r="BC1709" s="341"/>
      <c r="BD1709" s="308"/>
      <c r="BE1709" s="342"/>
      <c r="BF1709" s="274" t="str">
        <f>IFERROR(__xludf.DUMMYFUNCTION("LOWER(Regexreplace(to_text(E1709),""[^A-Za-z0-9]"","""")&amp;""_""&amp;Regexreplace(to_text(F1709),""[^A-Za-z0-9]"",""""))"),"neptronic_evcbseries")</f>
        <v>neptronic_evcbseries</v>
      </c>
      <c r="BG1709" s="275" t="str">
        <f>IFERROR(__xludf.DUMMYFUNCTION("upper(Regexreplace(to_text(E1709),""[^A-Za-z0-9]"","""")&amp;""-""&amp;Regexreplace(to_text(F1709),""[^A-Za-z0-9]"",""""))"),"NEPTRONIC-EVCBSERIES")</f>
        <v>NEPTRONIC-EVCBSERIES</v>
      </c>
    </row>
    <row r="1710" ht="30.0" customHeight="1">
      <c r="A1710" s="258">
        <v>1702.0</v>
      </c>
      <c r="B1710" s="328" t="s">
        <v>670</v>
      </c>
      <c r="C1710" s="257" t="s">
        <v>6607</v>
      </c>
      <c r="D1710" s="173" t="s">
        <v>6607</v>
      </c>
      <c r="E1710" s="174" t="s">
        <v>2861</v>
      </c>
      <c r="F1710" s="173" t="s">
        <v>2862</v>
      </c>
      <c r="G1710" s="328" t="s">
        <v>673</v>
      </c>
      <c r="H1710" s="328" t="s">
        <v>2863</v>
      </c>
      <c r="I1710" s="258" t="s">
        <v>2864</v>
      </c>
      <c r="J1710" s="259" t="s">
        <v>1211</v>
      </c>
      <c r="K1710" s="260" t="s">
        <v>5565</v>
      </c>
      <c r="L1710" s="359"/>
      <c r="M1710" s="359"/>
      <c r="N1710" s="173" t="s">
        <v>679</v>
      </c>
      <c r="O1710" s="173" t="s">
        <v>225</v>
      </c>
      <c r="P1710" s="262" t="str">
        <f t="shared" si="1"/>
        <v>IN-BLR-ANANTA-VAV-1282_7</v>
      </c>
      <c r="Q1710" s="173" t="s">
        <v>6608</v>
      </c>
      <c r="R1710" s="328" t="str">
        <f>IFS(C1710="","",C1710="n/a","N/A",LEN(C1710),Concatenate("{",char(34),"asset",char(34),":{",char(34),"guid",char(34),":",char(34),Q1710,char(34),",",char(34),"site",char(34),":",char(34),LOWER('2-Building'!$B$4),char(34),",",char(34),"name",char(34),":",char(34),LOWER(C1710),char(34),"}}"))</f>
        <v>{"asset":{"guid":"uuid://d91612ca-1f31-40c8-874b-c7ee0f909080","site":"in-blr-ananta","name":"vav-1282"}}</v>
      </c>
      <c r="S1710" s="360" t="s">
        <v>5516</v>
      </c>
      <c r="T1710" s="330"/>
      <c r="U1710" s="330"/>
      <c r="V1710" s="331"/>
      <c r="W1710" s="332"/>
      <c r="X1710" s="333"/>
      <c r="Y1710" s="33" t="s">
        <v>2867</v>
      </c>
      <c r="Z1710" s="258">
        <v>121282.0</v>
      </c>
      <c r="AA1710" s="334">
        <v>11364.0</v>
      </c>
      <c r="AB1710" s="333"/>
      <c r="AC1710" s="333"/>
      <c r="AD1710" s="329"/>
      <c r="AE1710" s="331"/>
      <c r="AF1710" s="336"/>
      <c r="AG1710" s="337"/>
      <c r="AH1710" s="333"/>
      <c r="AI1710" s="333"/>
      <c r="AJ1710" s="333"/>
      <c r="AK1710" s="333"/>
      <c r="AL1710" s="333"/>
      <c r="AM1710" s="338"/>
      <c r="AN1710" s="333"/>
      <c r="AO1710" s="333"/>
      <c r="AP1710" s="333"/>
      <c r="AQ1710" s="333"/>
      <c r="AR1710" s="333"/>
      <c r="AS1710" s="333"/>
      <c r="AT1710" s="333"/>
      <c r="AU1710" s="329"/>
      <c r="AV1710" s="341"/>
      <c r="AW1710" s="269" t="s">
        <v>1684</v>
      </c>
      <c r="AX1710" s="334" t="s">
        <v>2869</v>
      </c>
      <c r="AY1710" s="270" t="s">
        <v>695</v>
      </c>
      <c r="AZ1710" s="173" t="s">
        <v>5516</v>
      </c>
      <c r="BA1710" s="265">
        <v>10.0</v>
      </c>
      <c r="BB1710" s="174" t="s">
        <v>245</v>
      </c>
      <c r="BC1710" s="341"/>
      <c r="BD1710" s="308"/>
      <c r="BE1710" s="342"/>
      <c r="BF1710" s="274" t="str">
        <f>IFERROR(__xludf.DUMMYFUNCTION("LOWER(Regexreplace(to_text(E1710),""[^A-Za-z0-9]"","""")&amp;""_""&amp;Regexreplace(to_text(F1710),""[^A-Za-z0-9]"",""""))"),"neptronic_evcbseries")</f>
        <v>neptronic_evcbseries</v>
      </c>
      <c r="BG1710" s="275" t="str">
        <f>IFERROR(__xludf.DUMMYFUNCTION("upper(Regexreplace(to_text(E1710),""[^A-Za-z0-9]"","""")&amp;""-""&amp;Regexreplace(to_text(F1710),""[^A-Za-z0-9]"",""""))"),"NEPTRONIC-EVCBSERIES")</f>
        <v>NEPTRONIC-EVCBSERIES</v>
      </c>
    </row>
    <row r="1711" ht="30.0" customHeight="1">
      <c r="A1711" s="173">
        <v>1703.0</v>
      </c>
      <c r="B1711" s="328" t="s">
        <v>670</v>
      </c>
      <c r="C1711" s="257" t="s">
        <v>6609</v>
      </c>
      <c r="D1711" s="173" t="s">
        <v>6609</v>
      </c>
      <c r="E1711" s="174" t="s">
        <v>2861</v>
      </c>
      <c r="F1711" s="173" t="s">
        <v>2862</v>
      </c>
      <c r="G1711" s="328" t="s">
        <v>673</v>
      </c>
      <c r="H1711" s="328" t="s">
        <v>2863</v>
      </c>
      <c r="I1711" s="258" t="s">
        <v>2864</v>
      </c>
      <c r="J1711" s="259" t="s">
        <v>1211</v>
      </c>
      <c r="K1711" s="260" t="s">
        <v>6610</v>
      </c>
      <c r="L1711" s="359"/>
      <c r="M1711" s="359"/>
      <c r="N1711" s="173" t="s">
        <v>679</v>
      </c>
      <c r="O1711" s="173" t="s">
        <v>225</v>
      </c>
      <c r="P1711" s="262" t="str">
        <f t="shared" si="1"/>
        <v>IN-BLR-ANANTA-VAV-1283_7</v>
      </c>
      <c r="Q1711" s="173" t="s">
        <v>6611</v>
      </c>
      <c r="R1711" s="328" t="str">
        <f>IFS(C1711="","",C1711="n/a","N/A",LEN(C1711),Concatenate("{",char(34),"asset",char(34),":{",char(34),"guid",char(34),":",char(34),Q1711,char(34),",",char(34),"site",char(34),":",char(34),LOWER('2-Building'!$B$4),char(34),",",char(34),"name",char(34),":",char(34),LOWER(C1711),char(34),"}}"))</f>
        <v>{"asset":{"guid":"uuid://ebab4982-7bb7-4dec-b3d6-84120a4422bf","site":"in-blr-ananta","name":"vav-1283"}}</v>
      </c>
      <c r="S1711" s="360" t="s">
        <v>5516</v>
      </c>
      <c r="T1711" s="330"/>
      <c r="U1711" s="330"/>
      <c r="V1711" s="331"/>
      <c r="W1711" s="332"/>
      <c r="X1711" s="333"/>
      <c r="Y1711" s="33" t="s">
        <v>2867</v>
      </c>
      <c r="Z1711" s="258">
        <v>121283.0</v>
      </c>
      <c r="AA1711" s="334">
        <v>11633.0</v>
      </c>
      <c r="AB1711" s="333"/>
      <c r="AC1711" s="333"/>
      <c r="AD1711" s="329"/>
      <c r="AE1711" s="331"/>
      <c r="AF1711" s="336"/>
      <c r="AG1711" s="337"/>
      <c r="AH1711" s="333"/>
      <c r="AI1711" s="333"/>
      <c r="AJ1711" s="333"/>
      <c r="AK1711" s="333"/>
      <c r="AL1711" s="333"/>
      <c r="AM1711" s="338"/>
      <c r="AN1711" s="333"/>
      <c r="AO1711" s="333"/>
      <c r="AP1711" s="333"/>
      <c r="AQ1711" s="333"/>
      <c r="AR1711" s="333"/>
      <c r="AS1711" s="333"/>
      <c r="AT1711" s="333"/>
      <c r="AU1711" s="329"/>
      <c r="AV1711" s="341"/>
      <c r="AW1711" s="269" t="s">
        <v>2391</v>
      </c>
      <c r="AX1711" s="334" t="s">
        <v>2869</v>
      </c>
      <c r="AY1711" s="270" t="s">
        <v>695</v>
      </c>
      <c r="AZ1711" s="173" t="s">
        <v>5516</v>
      </c>
      <c r="BA1711" s="265">
        <v>10.0</v>
      </c>
      <c r="BB1711" s="174" t="s">
        <v>245</v>
      </c>
      <c r="BC1711" s="341"/>
      <c r="BD1711" s="308"/>
      <c r="BE1711" s="342"/>
      <c r="BF1711" s="274" t="str">
        <f>IFERROR(__xludf.DUMMYFUNCTION("LOWER(Regexreplace(to_text(E1711),""[^A-Za-z0-9]"","""")&amp;""_""&amp;Regexreplace(to_text(F1711),""[^A-Za-z0-9]"",""""))"),"neptronic_evcbseries")</f>
        <v>neptronic_evcbseries</v>
      </c>
      <c r="BG1711" s="275" t="str">
        <f>IFERROR(__xludf.DUMMYFUNCTION("upper(Regexreplace(to_text(E1711),""[^A-Za-z0-9]"","""")&amp;""-""&amp;Regexreplace(to_text(F1711),""[^A-Za-z0-9]"",""""))"),"NEPTRONIC-EVCBSERIES")</f>
        <v>NEPTRONIC-EVCBSERIES</v>
      </c>
    </row>
    <row r="1712" ht="30.0" customHeight="1">
      <c r="A1712" s="258">
        <v>1704.0</v>
      </c>
      <c r="B1712" s="328" t="s">
        <v>670</v>
      </c>
      <c r="C1712" s="257" t="s">
        <v>6612</v>
      </c>
      <c r="D1712" s="173" t="s">
        <v>6612</v>
      </c>
      <c r="E1712" s="174" t="s">
        <v>2861</v>
      </c>
      <c r="F1712" s="173" t="s">
        <v>2862</v>
      </c>
      <c r="G1712" s="328" t="s">
        <v>673</v>
      </c>
      <c r="H1712" s="328" t="s">
        <v>2863</v>
      </c>
      <c r="I1712" s="258" t="s">
        <v>2864</v>
      </c>
      <c r="J1712" s="259" t="s">
        <v>1211</v>
      </c>
      <c r="K1712" s="260" t="s">
        <v>6613</v>
      </c>
      <c r="L1712" s="359"/>
      <c r="M1712" s="359"/>
      <c r="N1712" s="173" t="s">
        <v>679</v>
      </c>
      <c r="O1712" s="173" t="s">
        <v>225</v>
      </c>
      <c r="P1712" s="262" t="str">
        <f t="shared" si="1"/>
        <v>IN-BLR-ANANTA-VAV-1284_7</v>
      </c>
      <c r="Q1712" s="173" t="s">
        <v>6614</v>
      </c>
      <c r="R1712" s="328" t="str">
        <f>IFS(C1712="","",C1712="n/a","N/A",LEN(C1712),Concatenate("{",char(34),"asset",char(34),":{",char(34),"guid",char(34),":",char(34),Q1712,char(34),",",char(34),"site",char(34),":",char(34),LOWER('2-Building'!$B$4),char(34),",",char(34),"name",char(34),":",char(34),LOWER(C1712),char(34),"}}"))</f>
        <v>{"asset":{"guid":"uuid://27bd241c-99d0-4c66-9a8a-bd53ac009e56","site":"in-blr-ananta","name":"vav-1284"}}</v>
      </c>
      <c r="S1712" s="360" t="s">
        <v>5516</v>
      </c>
      <c r="T1712" s="330"/>
      <c r="U1712" s="330"/>
      <c r="V1712" s="331"/>
      <c r="W1712" s="332"/>
      <c r="X1712" s="333"/>
      <c r="Y1712" s="33" t="s">
        <v>2867</v>
      </c>
      <c r="Z1712" s="258">
        <v>121284.0</v>
      </c>
      <c r="AA1712" s="334">
        <v>11633.0</v>
      </c>
      <c r="AB1712" s="333"/>
      <c r="AC1712" s="333"/>
      <c r="AD1712" s="329"/>
      <c r="AE1712" s="331"/>
      <c r="AF1712" s="336"/>
      <c r="AG1712" s="337"/>
      <c r="AH1712" s="333"/>
      <c r="AI1712" s="333"/>
      <c r="AJ1712" s="333"/>
      <c r="AK1712" s="333"/>
      <c r="AL1712" s="333"/>
      <c r="AM1712" s="338"/>
      <c r="AN1712" s="333"/>
      <c r="AO1712" s="333"/>
      <c r="AP1712" s="333"/>
      <c r="AQ1712" s="333"/>
      <c r="AR1712" s="333"/>
      <c r="AS1712" s="333"/>
      <c r="AT1712" s="333"/>
      <c r="AU1712" s="329"/>
      <c r="AV1712" s="341"/>
      <c r="AW1712" s="269" t="s">
        <v>2391</v>
      </c>
      <c r="AX1712" s="334" t="s">
        <v>2869</v>
      </c>
      <c r="AY1712" s="270" t="s">
        <v>695</v>
      </c>
      <c r="AZ1712" s="173" t="s">
        <v>5516</v>
      </c>
      <c r="BA1712" s="265">
        <v>10.0</v>
      </c>
      <c r="BB1712" s="174" t="s">
        <v>245</v>
      </c>
      <c r="BC1712" s="341"/>
      <c r="BD1712" s="308"/>
      <c r="BE1712" s="342"/>
      <c r="BF1712" s="274" t="str">
        <f>IFERROR(__xludf.DUMMYFUNCTION("LOWER(Regexreplace(to_text(E1712),""[^A-Za-z0-9]"","""")&amp;""_""&amp;Regexreplace(to_text(F1712),""[^A-Za-z0-9]"",""""))"),"neptronic_evcbseries")</f>
        <v>neptronic_evcbseries</v>
      </c>
      <c r="BG1712" s="275" t="str">
        <f>IFERROR(__xludf.DUMMYFUNCTION("upper(Regexreplace(to_text(E1712),""[^A-Za-z0-9]"","""")&amp;""-""&amp;Regexreplace(to_text(F1712),""[^A-Za-z0-9]"",""""))"),"NEPTRONIC-EVCBSERIES")</f>
        <v>NEPTRONIC-EVCBSERIES</v>
      </c>
    </row>
    <row r="1713" ht="30.0" customHeight="1">
      <c r="A1713" s="173">
        <v>1705.0</v>
      </c>
      <c r="B1713" s="328" t="s">
        <v>670</v>
      </c>
      <c r="C1713" s="257" t="s">
        <v>6615</v>
      </c>
      <c r="D1713" s="173" t="s">
        <v>6615</v>
      </c>
      <c r="E1713" s="174" t="s">
        <v>2861</v>
      </c>
      <c r="F1713" s="173" t="s">
        <v>2862</v>
      </c>
      <c r="G1713" s="328" t="s">
        <v>673</v>
      </c>
      <c r="H1713" s="328" t="s">
        <v>2863</v>
      </c>
      <c r="I1713" s="258" t="s">
        <v>2864</v>
      </c>
      <c r="J1713" s="259" t="s">
        <v>1211</v>
      </c>
      <c r="K1713" s="260" t="s">
        <v>6616</v>
      </c>
      <c r="L1713" s="359"/>
      <c r="M1713" s="359"/>
      <c r="N1713" s="173" t="s">
        <v>679</v>
      </c>
      <c r="O1713" s="173" t="s">
        <v>225</v>
      </c>
      <c r="P1713" s="262" t="str">
        <f t="shared" si="1"/>
        <v>IN-BLR-ANANTA-VAV-1285_7</v>
      </c>
      <c r="Q1713" s="173" t="s">
        <v>6617</v>
      </c>
      <c r="R1713" s="328" t="str">
        <f>IFS(C1713="","",C1713="n/a","N/A",LEN(C1713),Concatenate("{",char(34),"asset",char(34),":{",char(34),"guid",char(34),":",char(34),Q1713,char(34),",",char(34),"site",char(34),":",char(34),LOWER('2-Building'!$B$4),char(34),",",char(34),"name",char(34),":",char(34),LOWER(C1713),char(34),"}}"))</f>
        <v>{"asset":{"guid":"uuid://4b226cfb-3ab3-43f1-a72e-5a889f934b25","site":"in-blr-ananta","name":"vav-1285"}}</v>
      </c>
      <c r="S1713" s="360" t="s">
        <v>5516</v>
      </c>
      <c r="T1713" s="330"/>
      <c r="U1713" s="330"/>
      <c r="V1713" s="331"/>
      <c r="W1713" s="332"/>
      <c r="X1713" s="333"/>
      <c r="Y1713" s="33" t="s">
        <v>2867</v>
      </c>
      <c r="Z1713" s="258">
        <v>121285.0</v>
      </c>
      <c r="AA1713" s="334">
        <v>11633.0</v>
      </c>
      <c r="AB1713" s="333"/>
      <c r="AC1713" s="333"/>
      <c r="AD1713" s="329"/>
      <c r="AE1713" s="331"/>
      <c r="AF1713" s="336"/>
      <c r="AG1713" s="337"/>
      <c r="AH1713" s="333"/>
      <c r="AI1713" s="333"/>
      <c r="AJ1713" s="333"/>
      <c r="AK1713" s="333"/>
      <c r="AL1713" s="333"/>
      <c r="AM1713" s="338"/>
      <c r="AN1713" s="333"/>
      <c r="AO1713" s="333"/>
      <c r="AP1713" s="333"/>
      <c r="AQ1713" s="333"/>
      <c r="AR1713" s="333"/>
      <c r="AS1713" s="333"/>
      <c r="AT1713" s="333"/>
      <c r="AU1713" s="329"/>
      <c r="AV1713" s="341"/>
      <c r="AW1713" s="269" t="s">
        <v>2391</v>
      </c>
      <c r="AX1713" s="334" t="s">
        <v>2869</v>
      </c>
      <c r="AY1713" s="270" t="s">
        <v>695</v>
      </c>
      <c r="AZ1713" s="173" t="s">
        <v>5516</v>
      </c>
      <c r="BA1713" s="265">
        <v>10.0</v>
      </c>
      <c r="BB1713" s="174" t="s">
        <v>245</v>
      </c>
      <c r="BC1713" s="341"/>
      <c r="BD1713" s="308"/>
      <c r="BE1713" s="342"/>
      <c r="BF1713" s="274" t="str">
        <f>IFERROR(__xludf.DUMMYFUNCTION("LOWER(Regexreplace(to_text(E1713),""[^A-Za-z0-9]"","""")&amp;""_""&amp;Regexreplace(to_text(F1713),""[^A-Za-z0-9]"",""""))"),"neptronic_evcbseries")</f>
        <v>neptronic_evcbseries</v>
      </c>
      <c r="BG1713" s="275" t="str">
        <f>IFERROR(__xludf.DUMMYFUNCTION("upper(Regexreplace(to_text(E1713),""[^A-Za-z0-9]"","""")&amp;""-""&amp;Regexreplace(to_text(F1713),""[^A-Za-z0-9]"",""""))"),"NEPTRONIC-EVCBSERIES")</f>
        <v>NEPTRONIC-EVCBSERIES</v>
      </c>
    </row>
    <row r="1714" ht="30.0" customHeight="1">
      <c r="A1714" s="258">
        <v>1706.0</v>
      </c>
      <c r="B1714" s="328" t="s">
        <v>670</v>
      </c>
      <c r="C1714" s="257" t="s">
        <v>6618</v>
      </c>
      <c r="D1714" s="173" t="s">
        <v>6618</v>
      </c>
      <c r="E1714" s="174" t="s">
        <v>2861</v>
      </c>
      <c r="F1714" s="173" t="s">
        <v>2862</v>
      </c>
      <c r="G1714" s="328" t="s">
        <v>673</v>
      </c>
      <c r="H1714" s="328" t="s">
        <v>2863</v>
      </c>
      <c r="I1714" s="258" t="s">
        <v>2864</v>
      </c>
      <c r="J1714" s="259" t="s">
        <v>1211</v>
      </c>
      <c r="K1714" s="260" t="s">
        <v>6619</v>
      </c>
      <c r="L1714" s="359"/>
      <c r="M1714" s="359"/>
      <c r="N1714" s="173" t="s">
        <v>679</v>
      </c>
      <c r="O1714" s="173" t="s">
        <v>225</v>
      </c>
      <c r="P1714" s="262" t="str">
        <f t="shared" si="1"/>
        <v>IN-BLR-ANANTA-VAV-1286_7</v>
      </c>
      <c r="Q1714" s="173" t="s">
        <v>6620</v>
      </c>
      <c r="R1714" s="328" t="str">
        <f>IFS(C1714="","",C1714="n/a","N/A",LEN(C1714),Concatenate("{",char(34),"asset",char(34),":{",char(34),"guid",char(34),":",char(34),Q1714,char(34),",",char(34),"site",char(34),":",char(34),LOWER('2-Building'!$B$4),char(34),",",char(34),"name",char(34),":",char(34),LOWER(C1714),char(34),"}}"))</f>
        <v>{"asset":{"guid":"uuid://a3ffe350-ef4d-4cc5-9a29-31cd8e937d69","site":"in-blr-ananta","name":"vav-1286"}}</v>
      </c>
      <c r="S1714" s="360" t="s">
        <v>5516</v>
      </c>
      <c r="T1714" s="330"/>
      <c r="U1714" s="330"/>
      <c r="V1714" s="331"/>
      <c r="W1714" s="332"/>
      <c r="X1714" s="333"/>
      <c r="Y1714" s="33" t="s">
        <v>2867</v>
      </c>
      <c r="Z1714" s="258">
        <v>121286.0</v>
      </c>
      <c r="AA1714" s="334">
        <v>11633.0</v>
      </c>
      <c r="AB1714" s="333"/>
      <c r="AC1714" s="333"/>
      <c r="AD1714" s="329"/>
      <c r="AE1714" s="331"/>
      <c r="AF1714" s="336"/>
      <c r="AG1714" s="337"/>
      <c r="AH1714" s="333"/>
      <c r="AI1714" s="333"/>
      <c r="AJ1714" s="333"/>
      <c r="AK1714" s="333"/>
      <c r="AL1714" s="333"/>
      <c r="AM1714" s="338"/>
      <c r="AN1714" s="333"/>
      <c r="AO1714" s="333"/>
      <c r="AP1714" s="333"/>
      <c r="AQ1714" s="333"/>
      <c r="AR1714" s="333"/>
      <c r="AS1714" s="333"/>
      <c r="AT1714" s="333"/>
      <c r="AU1714" s="329"/>
      <c r="AV1714" s="341"/>
      <c r="AW1714" s="269" t="s">
        <v>2391</v>
      </c>
      <c r="AX1714" s="334" t="s">
        <v>2869</v>
      </c>
      <c r="AY1714" s="270" t="s">
        <v>695</v>
      </c>
      <c r="AZ1714" s="173" t="s">
        <v>5516</v>
      </c>
      <c r="BA1714" s="265">
        <v>10.0</v>
      </c>
      <c r="BB1714" s="174" t="s">
        <v>245</v>
      </c>
      <c r="BC1714" s="341"/>
      <c r="BD1714" s="308"/>
      <c r="BE1714" s="342"/>
      <c r="BF1714" s="274" t="str">
        <f>IFERROR(__xludf.DUMMYFUNCTION("LOWER(Regexreplace(to_text(E1714),""[^A-Za-z0-9]"","""")&amp;""_""&amp;Regexreplace(to_text(F1714),""[^A-Za-z0-9]"",""""))"),"neptronic_evcbseries")</f>
        <v>neptronic_evcbseries</v>
      </c>
      <c r="BG1714" s="275" t="str">
        <f>IFERROR(__xludf.DUMMYFUNCTION("upper(Regexreplace(to_text(E1714),""[^A-Za-z0-9]"","""")&amp;""-""&amp;Regexreplace(to_text(F1714),""[^A-Za-z0-9]"",""""))"),"NEPTRONIC-EVCBSERIES")</f>
        <v>NEPTRONIC-EVCBSERIES</v>
      </c>
    </row>
    <row r="1715" ht="30.0" customHeight="1">
      <c r="A1715" s="173">
        <v>1707.0</v>
      </c>
      <c r="B1715" s="328" t="s">
        <v>670</v>
      </c>
      <c r="C1715" s="257" t="s">
        <v>6621</v>
      </c>
      <c r="D1715" s="173" t="s">
        <v>6621</v>
      </c>
      <c r="E1715" s="174" t="s">
        <v>2861</v>
      </c>
      <c r="F1715" s="173" t="s">
        <v>2862</v>
      </c>
      <c r="G1715" s="328" t="s">
        <v>673</v>
      </c>
      <c r="H1715" s="328" t="s">
        <v>2863</v>
      </c>
      <c r="I1715" s="258" t="s">
        <v>2864</v>
      </c>
      <c r="J1715" s="259" t="s">
        <v>1211</v>
      </c>
      <c r="K1715" s="260" t="s">
        <v>6622</v>
      </c>
      <c r="L1715" s="359"/>
      <c r="M1715" s="359"/>
      <c r="N1715" s="173" t="s">
        <v>679</v>
      </c>
      <c r="O1715" s="173" t="s">
        <v>225</v>
      </c>
      <c r="P1715" s="262" t="str">
        <f t="shared" si="1"/>
        <v>IN-BLR-ANANTA-VAV-1287_7</v>
      </c>
      <c r="Q1715" s="173" t="s">
        <v>6623</v>
      </c>
      <c r="R1715" s="328" t="str">
        <f>IFS(C1715="","",C1715="n/a","N/A",LEN(C1715),Concatenate("{",char(34),"asset",char(34),":{",char(34),"guid",char(34),":",char(34),Q1715,char(34),",",char(34),"site",char(34),":",char(34),LOWER('2-Building'!$B$4),char(34),",",char(34),"name",char(34),":",char(34),LOWER(C1715),char(34),"}}"))</f>
        <v>{"asset":{"guid":"uuid://5350ac67-7fee-4da0-a28c-a8dcf4bfc184","site":"in-blr-ananta","name":"vav-1287"}}</v>
      </c>
      <c r="S1715" s="360" t="s">
        <v>5516</v>
      </c>
      <c r="T1715" s="330"/>
      <c r="U1715" s="330"/>
      <c r="V1715" s="331"/>
      <c r="W1715" s="332"/>
      <c r="X1715" s="333"/>
      <c r="Y1715" s="33" t="s">
        <v>2867</v>
      </c>
      <c r="Z1715" s="258">
        <v>121287.0</v>
      </c>
      <c r="AA1715" s="334">
        <v>11633.0</v>
      </c>
      <c r="AB1715" s="333"/>
      <c r="AC1715" s="333"/>
      <c r="AD1715" s="329"/>
      <c r="AE1715" s="331"/>
      <c r="AF1715" s="336"/>
      <c r="AG1715" s="337"/>
      <c r="AH1715" s="333"/>
      <c r="AI1715" s="333"/>
      <c r="AJ1715" s="333"/>
      <c r="AK1715" s="333"/>
      <c r="AL1715" s="333"/>
      <c r="AM1715" s="338"/>
      <c r="AN1715" s="333"/>
      <c r="AO1715" s="333"/>
      <c r="AP1715" s="333"/>
      <c r="AQ1715" s="333"/>
      <c r="AR1715" s="333"/>
      <c r="AS1715" s="333"/>
      <c r="AT1715" s="333"/>
      <c r="AU1715" s="329"/>
      <c r="AV1715" s="341"/>
      <c r="AW1715" s="269" t="s">
        <v>2391</v>
      </c>
      <c r="AX1715" s="334" t="s">
        <v>2869</v>
      </c>
      <c r="AY1715" s="270" t="s">
        <v>695</v>
      </c>
      <c r="AZ1715" s="173" t="s">
        <v>5516</v>
      </c>
      <c r="BA1715" s="265">
        <v>10.0</v>
      </c>
      <c r="BB1715" s="174" t="s">
        <v>245</v>
      </c>
      <c r="BC1715" s="341"/>
      <c r="BD1715" s="308"/>
      <c r="BE1715" s="342"/>
      <c r="BF1715" s="274" t="str">
        <f>IFERROR(__xludf.DUMMYFUNCTION("LOWER(Regexreplace(to_text(E1715),""[^A-Za-z0-9]"","""")&amp;""_""&amp;Regexreplace(to_text(F1715),""[^A-Za-z0-9]"",""""))"),"neptronic_evcbseries")</f>
        <v>neptronic_evcbseries</v>
      </c>
      <c r="BG1715" s="275" t="str">
        <f>IFERROR(__xludf.DUMMYFUNCTION("upper(Regexreplace(to_text(E1715),""[^A-Za-z0-9]"","""")&amp;""-""&amp;Regexreplace(to_text(F1715),""[^A-Za-z0-9]"",""""))"),"NEPTRONIC-EVCBSERIES")</f>
        <v>NEPTRONIC-EVCBSERIES</v>
      </c>
    </row>
    <row r="1716" ht="30.0" customHeight="1">
      <c r="A1716" s="258">
        <v>1708.0</v>
      </c>
      <c r="B1716" s="328" t="s">
        <v>670</v>
      </c>
      <c r="C1716" s="257" t="s">
        <v>6624</v>
      </c>
      <c r="D1716" s="173" t="s">
        <v>6624</v>
      </c>
      <c r="E1716" s="174" t="s">
        <v>2861</v>
      </c>
      <c r="F1716" s="173" t="s">
        <v>2862</v>
      </c>
      <c r="G1716" s="328" t="s">
        <v>673</v>
      </c>
      <c r="H1716" s="328" t="s">
        <v>2863</v>
      </c>
      <c r="I1716" s="258" t="s">
        <v>2864</v>
      </c>
      <c r="J1716" s="259" t="s">
        <v>1211</v>
      </c>
      <c r="K1716" s="260" t="s">
        <v>6625</v>
      </c>
      <c r="L1716" s="359"/>
      <c r="M1716" s="359"/>
      <c r="N1716" s="173" t="s">
        <v>679</v>
      </c>
      <c r="O1716" s="173" t="s">
        <v>225</v>
      </c>
      <c r="P1716" s="262" t="str">
        <f t="shared" si="1"/>
        <v>IN-BLR-ANANTA-VAV-1288_7</v>
      </c>
      <c r="Q1716" s="173" t="s">
        <v>6626</v>
      </c>
      <c r="R1716" s="328" t="str">
        <f>IFS(C1716="","",C1716="n/a","N/A",LEN(C1716),Concatenate("{",char(34),"asset",char(34),":{",char(34),"guid",char(34),":",char(34),Q1716,char(34),",",char(34),"site",char(34),":",char(34),LOWER('2-Building'!$B$4),char(34),",",char(34),"name",char(34),":",char(34),LOWER(C1716),char(34),"}}"))</f>
        <v>{"asset":{"guid":"uuid://b779b760-672f-4051-ab33-ad8df7c577db","site":"in-blr-ananta","name":"vav-1288"}}</v>
      </c>
      <c r="S1716" s="360" t="s">
        <v>5516</v>
      </c>
      <c r="T1716" s="330"/>
      <c r="U1716" s="330"/>
      <c r="V1716" s="331"/>
      <c r="W1716" s="332"/>
      <c r="X1716" s="333"/>
      <c r="Y1716" s="33" t="s">
        <v>2867</v>
      </c>
      <c r="Z1716" s="258">
        <v>121288.0</v>
      </c>
      <c r="AA1716" s="334">
        <v>11633.0</v>
      </c>
      <c r="AB1716" s="333"/>
      <c r="AC1716" s="333"/>
      <c r="AD1716" s="329"/>
      <c r="AE1716" s="331"/>
      <c r="AF1716" s="336"/>
      <c r="AG1716" s="337"/>
      <c r="AH1716" s="333"/>
      <c r="AI1716" s="333"/>
      <c r="AJ1716" s="333"/>
      <c r="AK1716" s="333"/>
      <c r="AL1716" s="333"/>
      <c r="AM1716" s="338"/>
      <c r="AN1716" s="333"/>
      <c r="AO1716" s="333"/>
      <c r="AP1716" s="333"/>
      <c r="AQ1716" s="333"/>
      <c r="AR1716" s="333"/>
      <c r="AS1716" s="333"/>
      <c r="AT1716" s="333"/>
      <c r="AU1716" s="329"/>
      <c r="AV1716" s="341"/>
      <c r="AW1716" s="269" t="s">
        <v>2391</v>
      </c>
      <c r="AX1716" s="334" t="s">
        <v>2869</v>
      </c>
      <c r="AY1716" s="270" t="s">
        <v>695</v>
      </c>
      <c r="AZ1716" s="173" t="s">
        <v>5516</v>
      </c>
      <c r="BA1716" s="265">
        <v>10.0</v>
      </c>
      <c r="BB1716" s="174" t="s">
        <v>245</v>
      </c>
      <c r="BC1716" s="341"/>
      <c r="BD1716" s="308"/>
      <c r="BE1716" s="342"/>
      <c r="BF1716" s="274" t="str">
        <f>IFERROR(__xludf.DUMMYFUNCTION("LOWER(Regexreplace(to_text(E1716),""[^A-Za-z0-9]"","""")&amp;""_""&amp;Regexreplace(to_text(F1716),""[^A-Za-z0-9]"",""""))"),"neptronic_evcbseries")</f>
        <v>neptronic_evcbseries</v>
      </c>
      <c r="BG1716" s="275" t="str">
        <f>IFERROR(__xludf.DUMMYFUNCTION("upper(Regexreplace(to_text(E1716),""[^A-Za-z0-9]"","""")&amp;""-""&amp;Regexreplace(to_text(F1716),""[^A-Za-z0-9]"",""""))"),"NEPTRONIC-EVCBSERIES")</f>
        <v>NEPTRONIC-EVCBSERIES</v>
      </c>
    </row>
    <row r="1717" ht="30.0" customHeight="1">
      <c r="A1717" s="173">
        <v>1709.0</v>
      </c>
      <c r="B1717" s="328" t="s">
        <v>670</v>
      </c>
      <c r="C1717" s="257" t="s">
        <v>6627</v>
      </c>
      <c r="D1717" s="173" t="s">
        <v>6627</v>
      </c>
      <c r="E1717" s="174" t="s">
        <v>2861</v>
      </c>
      <c r="F1717" s="173" t="s">
        <v>2862</v>
      </c>
      <c r="G1717" s="328" t="s">
        <v>673</v>
      </c>
      <c r="H1717" s="328" t="s">
        <v>2863</v>
      </c>
      <c r="I1717" s="258" t="s">
        <v>2864</v>
      </c>
      <c r="J1717" s="259" t="s">
        <v>1211</v>
      </c>
      <c r="K1717" s="260" t="s">
        <v>6628</v>
      </c>
      <c r="L1717" s="359"/>
      <c r="M1717" s="359"/>
      <c r="N1717" s="173" t="s">
        <v>679</v>
      </c>
      <c r="O1717" s="173" t="s">
        <v>225</v>
      </c>
      <c r="P1717" s="262" t="str">
        <f t="shared" si="1"/>
        <v>IN-BLR-ANANTA-VAV-1289_7</v>
      </c>
      <c r="Q1717" s="173" t="s">
        <v>6629</v>
      </c>
      <c r="R1717" s="328" t="str">
        <f>IFS(C1717="","",C1717="n/a","N/A",LEN(C1717),Concatenate("{",char(34),"asset",char(34),":{",char(34),"guid",char(34),":",char(34),Q1717,char(34),",",char(34),"site",char(34),":",char(34),LOWER('2-Building'!$B$4),char(34),",",char(34),"name",char(34),":",char(34),LOWER(C1717),char(34),"}}"))</f>
        <v>{"asset":{"guid":"uuid://48ad337d-30cf-48f5-9548-8937bd34ef4b","site":"in-blr-ananta","name":"vav-1289"}}</v>
      </c>
      <c r="S1717" s="360" t="s">
        <v>5516</v>
      </c>
      <c r="T1717" s="330"/>
      <c r="U1717" s="330"/>
      <c r="V1717" s="331"/>
      <c r="W1717" s="332"/>
      <c r="X1717" s="333"/>
      <c r="Y1717" s="33" t="s">
        <v>2867</v>
      </c>
      <c r="Z1717" s="258">
        <v>121289.0</v>
      </c>
      <c r="AA1717" s="334">
        <v>11633.0</v>
      </c>
      <c r="AB1717" s="333"/>
      <c r="AC1717" s="333"/>
      <c r="AD1717" s="329"/>
      <c r="AE1717" s="331"/>
      <c r="AF1717" s="336"/>
      <c r="AG1717" s="337"/>
      <c r="AH1717" s="333"/>
      <c r="AI1717" s="333"/>
      <c r="AJ1717" s="333"/>
      <c r="AK1717" s="333"/>
      <c r="AL1717" s="333"/>
      <c r="AM1717" s="338"/>
      <c r="AN1717" s="333"/>
      <c r="AO1717" s="333"/>
      <c r="AP1717" s="333"/>
      <c r="AQ1717" s="333"/>
      <c r="AR1717" s="333"/>
      <c r="AS1717" s="333"/>
      <c r="AT1717" s="333"/>
      <c r="AU1717" s="329"/>
      <c r="AV1717" s="341"/>
      <c r="AW1717" s="269" t="s">
        <v>2391</v>
      </c>
      <c r="AX1717" s="334" t="s">
        <v>2869</v>
      </c>
      <c r="AY1717" s="270" t="s">
        <v>695</v>
      </c>
      <c r="AZ1717" s="173" t="s">
        <v>5516</v>
      </c>
      <c r="BA1717" s="265">
        <v>10.0</v>
      </c>
      <c r="BB1717" s="174" t="s">
        <v>245</v>
      </c>
      <c r="BC1717" s="341"/>
      <c r="BD1717" s="308"/>
      <c r="BE1717" s="342"/>
      <c r="BF1717" s="274" t="str">
        <f>IFERROR(__xludf.DUMMYFUNCTION("LOWER(Regexreplace(to_text(E1717),""[^A-Za-z0-9]"","""")&amp;""_""&amp;Regexreplace(to_text(F1717),""[^A-Za-z0-9]"",""""))"),"neptronic_evcbseries")</f>
        <v>neptronic_evcbseries</v>
      </c>
      <c r="BG1717" s="275" t="str">
        <f>IFERROR(__xludf.DUMMYFUNCTION("upper(Regexreplace(to_text(E1717),""[^A-Za-z0-9]"","""")&amp;""-""&amp;Regexreplace(to_text(F1717),""[^A-Za-z0-9]"",""""))"),"NEPTRONIC-EVCBSERIES")</f>
        <v>NEPTRONIC-EVCBSERIES</v>
      </c>
    </row>
    <row r="1718" ht="30.0" customHeight="1">
      <c r="A1718" s="258">
        <v>1710.0</v>
      </c>
      <c r="B1718" s="328" t="s">
        <v>670</v>
      </c>
      <c r="C1718" s="257" t="s">
        <v>6630</v>
      </c>
      <c r="D1718" s="173" t="s">
        <v>6630</v>
      </c>
      <c r="E1718" s="174" t="s">
        <v>2861</v>
      </c>
      <c r="F1718" s="173" t="s">
        <v>2862</v>
      </c>
      <c r="G1718" s="328" t="s">
        <v>673</v>
      </c>
      <c r="H1718" s="328" t="s">
        <v>2863</v>
      </c>
      <c r="I1718" s="258" t="s">
        <v>2864</v>
      </c>
      <c r="J1718" s="259" t="s">
        <v>1211</v>
      </c>
      <c r="K1718" s="260" t="s">
        <v>6631</v>
      </c>
      <c r="L1718" s="359"/>
      <c r="M1718" s="359"/>
      <c r="N1718" s="173" t="s">
        <v>679</v>
      </c>
      <c r="O1718" s="173" t="s">
        <v>225</v>
      </c>
      <c r="P1718" s="262" t="str">
        <f t="shared" si="1"/>
        <v>IN-BLR-ANANTA-VAV-1290_7</v>
      </c>
      <c r="Q1718" s="173" t="s">
        <v>6632</v>
      </c>
      <c r="R1718" s="328" t="str">
        <f>IFS(C1718="","",C1718="n/a","N/A",LEN(C1718),Concatenate("{",char(34),"asset",char(34),":{",char(34),"guid",char(34),":",char(34),Q1718,char(34),",",char(34),"site",char(34),":",char(34),LOWER('2-Building'!$B$4),char(34),",",char(34),"name",char(34),":",char(34),LOWER(C1718),char(34),"}}"))</f>
        <v>{"asset":{"guid":"uuid://d849ec9d-2074-4b44-af15-50a8eaae98f9","site":"in-blr-ananta","name":"vav-1290"}}</v>
      </c>
      <c r="S1718" s="360" t="s">
        <v>5516</v>
      </c>
      <c r="T1718" s="330"/>
      <c r="U1718" s="330"/>
      <c r="V1718" s="331"/>
      <c r="W1718" s="332"/>
      <c r="X1718" s="333"/>
      <c r="Y1718" s="33" t="s">
        <v>2867</v>
      </c>
      <c r="Z1718" s="258">
        <v>121290.0</v>
      </c>
      <c r="AA1718" s="334">
        <v>11633.0</v>
      </c>
      <c r="AB1718" s="333"/>
      <c r="AC1718" s="333"/>
      <c r="AD1718" s="329"/>
      <c r="AE1718" s="331"/>
      <c r="AF1718" s="336"/>
      <c r="AG1718" s="337"/>
      <c r="AH1718" s="333"/>
      <c r="AI1718" s="333"/>
      <c r="AJ1718" s="333"/>
      <c r="AK1718" s="333"/>
      <c r="AL1718" s="333"/>
      <c r="AM1718" s="338"/>
      <c r="AN1718" s="333"/>
      <c r="AO1718" s="333"/>
      <c r="AP1718" s="333"/>
      <c r="AQ1718" s="333"/>
      <c r="AR1718" s="333"/>
      <c r="AS1718" s="333"/>
      <c r="AT1718" s="333"/>
      <c r="AU1718" s="329"/>
      <c r="AV1718" s="341"/>
      <c r="AW1718" s="269" t="s">
        <v>2391</v>
      </c>
      <c r="AX1718" s="334" t="s">
        <v>2869</v>
      </c>
      <c r="AY1718" s="270" t="s">
        <v>695</v>
      </c>
      <c r="AZ1718" s="173" t="s">
        <v>5516</v>
      </c>
      <c r="BA1718" s="265">
        <v>10.0</v>
      </c>
      <c r="BB1718" s="174" t="s">
        <v>245</v>
      </c>
      <c r="BC1718" s="341"/>
      <c r="BD1718" s="308"/>
      <c r="BE1718" s="342"/>
      <c r="BF1718" s="274" t="str">
        <f>IFERROR(__xludf.DUMMYFUNCTION("LOWER(Regexreplace(to_text(E1718),""[^A-Za-z0-9]"","""")&amp;""_""&amp;Regexreplace(to_text(F1718),""[^A-Za-z0-9]"",""""))"),"neptronic_evcbseries")</f>
        <v>neptronic_evcbseries</v>
      </c>
      <c r="BG1718" s="275" t="str">
        <f>IFERROR(__xludf.DUMMYFUNCTION("upper(Regexreplace(to_text(E1718),""[^A-Za-z0-9]"","""")&amp;""-""&amp;Regexreplace(to_text(F1718),""[^A-Za-z0-9]"",""""))"),"NEPTRONIC-EVCBSERIES")</f>
        <v>NEPTRONIC-EVCBSERIES</v>
      </c>
    </row>
    <row r="1719" ht="30.0" customHeight="1">
      <c r="A1719" s="173">
        <v>1711.0</v>
      </c>
      <c r="B1719" s="328" t="s">
        <v>670</v>
      </c>
      <c r="C1719" s="257" t="s">
        <v>6633</v>
      </c>
      <c r="D1719" s="173" t="s">
        <v>6633</v>
      </c>
      <c r="E1719" s="174" t="s">
        <v>2861</v>
      </c>
      <c r="F1719" s="173" t="s">
        <v>2862</v>
      </c>
      <c r="G1719" s="328" t="s">
        <v>673</v>
      </c>
      <c r="H1719" s="328" t="s">
        <v>2863</v>
      </c>
      <c r="I1719" s="258" t="s">
        <v>2864</v>
      </c>
      <c r="J1719" s="259" t="s">
        <v>1211</v>
      </c>
      <c r="K1719" s="260" t="s">
        <v>6634</v>
      </c>
      <c r="L1719" s="359"/>
      <c r="M1719" s="359"/>
      <c r="N1719" s="173" t="s">
        <v>679</v>
      </c>
      <c r="O1719" s="173" t="s">
        <v>225</v>
      </c>
      <c r="P1719" s="262" t="str">
        <f t="shared" si="1"/>
        <v>IN-BLR-ANANTA-VAV-1291_7</v>
      </c>
      <c r="Q1719" s="173" t="s">
        <v>6635</v>
      </c>
      <c r="R1719" s="328" t="str">
        <f>IFS(C1719="","",C1719="n/a","N/A",LEN(C1719),Concatenate("{",char(34),"asset",char(34),":{",char(34),"guid",char(34),":",char(34),Q1719,char(34),",",char(34),"site",char(34),":",char(34),LOWER('2-Building'!$B$4),char(34),",",char(34),"name",char(34),":",char(34),LOWER(C1719),char(34),"}}"))</f>
        <v>{"asset":{"guid":"uuid://6b2f0099-688c-4fc6-806c-9c9981347c6e","site":"in-blr-ananta","name":"vav-1291"}}</v>
      </c>
      <c r="S1719" s="360" t="s">
        <v>5516</v>
      </c>
      <c r="T1719" s="330"/>
      <c r="U1719" s="330"/>
      <c r="V1719" s="331"/>
      <c r="W1719" s="332"/>
      <c r="X1719" s="333"/>
      <c r="Y1719" s="33" t="s">
        <v>2867</v>
      </c>
      <c r="Z1719" s="258">
        <v>121291.0</v>
      </c>
      <c r="AA1719" s="334">
        <v>11633.0</v>
      </c>
      <c r="AB1719" s="333"/>
      <c r="AC1719" s="333"/>
      <c r="AD1719" s="329"/>
      <c r="AE1719" s="331"/>
      <c r="AF1719" s="336"/>
      <c r="AG1719" s="337"/>
      <c r="AH1719" s="333"/>
      <c r="AI1719" s="333"/>
      <c r="AJ1719" s="333"/>
      <c r="AK1719" s="333"/>
      <c r="AL1719" s="333"/>
      <c r="AM1719" s="338"/>
      <c r="AN1719" s="333"/>
      <c r="AO1719" s="333"/>
      <c r="AP1719" s="333"/>
      <c r="AQ1719" s="333"/>
      <c r="AR1719" s="333"/>
      <c r="AS1719" s="333"/>
      <c r="AT1719" s="333"/>
      <c r="AU1719" s="329"/>
      <c r="AV1719" s="341"/>
      <c r="AW1719" s="269" t="s">
        <v>2391</v>
      </c>
      <c r="AX1719" s="334" t="s">
        <v>2869</v>
      </c>
      <c r="AY1719" s="270" t="s">
        <v>695</v>
      </c>
      <c r="AZ1719" s="173" t="s">
        <v>5516</v>
      </c>
      <c r="BA1719" s="265">
        <v>10.0</v>
      </c>
      <c r="BB1719" s="174" t="s">
        <v>245</v>
      </c>
      <c r="BC1719" s="341"/>
      <c r="BD1719" s="308"/>
      <c r="BE1719" s="342"/>
      <c r="BF1719" s="274" t="str">
        <f>IFERROR(__xludf.DUMMYFUNCTION("LOWER(Regexreplace(to_text(E1719),""[^A-Za-z0-9]"","""")&amp;""_""&amp;Regexreplace(to_text(F1719),""[^A-Za-z0-9]"",""""))"),"neptronic_evcbseries")</f>
        <v>neptronic_evcbseries</v>
      </c>
      <c r="BG1719" s="275" t="str">
        <f>IFERROR(__xludf.DUMMYFUNCTION("upper(Regexreplace(to_text(E1719),""[^A-Za-z0-9]"","""")&amp;""-""&amp;Regexreplace(to_text(F1719),""[^A-Za-z0-9]"",""""))"),"NEPTRONIC-EVCBSERIES")</f>
        <v>NEPTRONIC-EVCBSERIES</v>
      </c>
    </row>
    <row r="1720" ht="30.0" customHeight="1">
      <c r="A1720" s="258">
        <v>1712.0</v>
      </c>
      <c r="B1720" s="328" t="s">
        <v>670</v>
      </c>
      <c r="C1720" s="257" t="s">
        <v>6636</v>
      </c>
      <c r="D1720" s="173" t="s">
        <v>6636</v>
      </c>
      <c r="E1720" s="174" t="s">
        <v>2861</v>
      </c>
      <c r="F1720" s="173" t="s">
        <v>2862</v>
      </c>
      <c r="G1720" s="328" t="s">
        <v>673</v>
      </c>
      <c r="H1720" s="328" t="s">
        <v>2863</v>
      </c>
      <c r="I1720" s="258" t="s">
        <v>2864</v>
      </c>
      <c r="J1720" s="259" t="s">
        <v>1211</v>
      </c>
      <c r="K1720" s="260" t="s">
        <v>6637</v>
      </c>
      <c r="L1720" s="359"/>
      <c r="M1720" s="359"/>
      <c r="N1720" s="173" t="s">
        <v>679</v>
      </c>
      <c r="O1720" s="173" t="s">
        <v>225</v>
      </c>
      <c r="P1720" s="262" t="str">
        <f t="shared" si="1"/>
        <v>IN-BLR-ANANTA-VAV-1292_7</v>
      </c>
      <c r="Q1720" s="173" t="s">
        <v>6638</v>
      </c>
      <c r="R1720" s="328" t="str">
        <f>IFS(C1720="","",C1720="n/a","N/A",LEN(C1720),Concatenate("{",char(34),"asset",char(34),":{",char(34),"guid",char(34),":",char(34),Q1720,char(34),",",char(34),"site",char(34),":",char(34),LOWER('2-Building'!$B$4),char(34),",",char(34),"name",char(34),":",char(34),LOWER(C1720),char(34),"}}"))</f>
        <v>{"asset":{"guid":"uuid://f11b0cd2-a814-4a13-980c-09cdb1813aba","site":"in-blr-ananta","name":"vav-1292"}}</v>
      </c>
      <c r="S1720" s="360" t="s">
        <v>5516</v>
      </c>
      <c r="T1720" s="330"/>
      <c r="U1720" s="330"/>
      <c r="V1720" s="331"/>
      <c r="W1720" s="332"/>
      <c r="X1720" s="333"/>
      <c r="Y1720" s="33" t="s">
        <v>2867</v>
      </c>
      <c r="Z1720" s="258">
        <v>121292.0</v>
      </c>
      <c r="AA1720" s="334">
        <v>11364.0</v>
      </c>
      <c r="AB1720" s="333"/>
      <c r="AC1720" s="333"/>
      <c r="AD1720" s="329"/>
      <c r="AE1720" s="331"/>
      <c r="AF1720" s="336"/>
      <c r="AG1720" s="337"/>
      <c r="AH1720" s="333"/>
      <c r="AI1720" s="333"/>
      <c r="AJ1720" s="333"/>
      <c r="AK1720" s="333"/>
      <c r="AL1720" s="333"/>
      <c r="AM1720" s="338"/>
      <c r="AN1720" s="333"/>
      <c r="AO1720" s="333"/>
      <c r="AP1720" s="333"/>
      <c r="AQ1720" s="333"/>
      <c r="AR1720" s="333"/>
      <c r="AS1720" s="333"/>
      <c r="AT1720" s="333"/>
      <c r="AU1720" s="329"/>
      <c r="AV1720" s="341"/>
      <c r="AW1720" s="269" t="s">
        <v>1684</v>
      </c>
      <c r="AX1720" s="334" t="s">
        <v>2869</v>
      </c>
      <c r="AY1720" s="270" t="s">
        <v>695</v>
      </c>
      <c r="AZ1720" s="173" t="s">
        <v>5516</v>
      </c>
      <c r="BA1720" s="265">
        <v>10.0</v>
      </c>
      <c r="BB1720" s="174" t="s">
        <v>245</v>
      </c>
      <c r="BC1720" s="341"/>
      <c r="BD1720" s="308"/>
      <c r="BE1720" s="342"/>
      <c r="BF1720" s="274" t="str">
        <f>IFERROR(__xludf.DUMMYFUNCTION("LOWER(Regexreplace(to_text(E1720),""[^A-Za-z0-9]"","""")&amp;""_""&amp;Regexreplace(to_text(F1720),""[^A-Za-z0-9]"",""""))"),"neptronic_evcbseries")</f>
        <v>neptronic_evcbseries</v>
      </c>
      <c r="BG1720" s="275" t="str">
        <f>IFERROR(__xludf.DUMMYFUNCTION("upper(Regexreplace(to_text(E1720),""[^A-Za-z0-9]"","""")&amp;""-""&amp;Regexreplace(to_text(F1720),""[^A-Za-z0-9]"",""""))"),"NEPTRONIC-EVCBSERIES")</f>
        <v>NEPTRONIC-EVCBSERIES</v>
      </c>
    </row>
    <row r="1721" ht="30.0" customHeight="1">
      <c r="A1721" s="173">
        <v>1713.0</v>
      </c>
      <c r="B1721" s="328" t="s">
        <v>670</v>
      </c>
      <c r="C1721" s="257" t="s">
        <v>6639</v>
      </c>
      <c r="D1721" s="173" t="s">
        <v>6639</v>
      </c>
      <c r="E1721" s="174" t="s">
        <v>2861</v>
      </c>
      <c r="F1721" s="173" t="s">
        <v>2862</v>
      </c>
      <c r="G1721" s="328" t="s">
        <v>673</v>
      </c>
      <c r="H1721" s="328" t="s">
        <v>2863</v>
      </c>
      <c r="I1721" s="258" t="s">
        <v>2864</v>
      </c>
      <c r="J1721" s="259" t="s">
        <v>1211</v>
      </c>
      <c r="K1721" s="260" t="s">
        <v>6640</v>
      </c>
      <c r="L1721" s="359"/>
      <c r="M1721" s="359"/>
      <c r="N1721" s="173" t="s">
        <v>679</v>
      </c>
      <c r="O1721" s="173" t="s">
        <v>225</v>
      </c>
      <c r="P1721" s="262" t="str">
        <f t="shared" si="1"/>
        <v>IN-BLR-ANANTA-VAV-1293_7</v>
      </c>
      <c r="Q1721" s="173" t="s">
        <v>6641</v>
      </c>
      <c r="R1721" s="328" t="str">
        <f>IFS(C1721="","",C1721="n/a","N/A",LEN(C1721),Concatenate("{",char(34),"asset",char(34),":{",char(34),"guid",char(34),":",char(34),Q1721,char(34),",",char(34),"site",char(34),":",char(34),LOWER('2-Building'!$B$4),char(34),",",char(34),"name",char(34),":",char(34),LOWER(C1721),char(34),"}}"))</f>
        <v>{"asset":{"guid":"uuid://86db6d02-86cf-45b6-b6b7-8505aee1e10e","site":"in-blr-ananta","name":"vav-1293"}}</v>
      </c>
      <c r="S1721" s="360" t="s">
        <v>5516</v>
      </c>
      <c r="T1721" s="330"/>
      <c r="U1721" s="330"/>
      <c r="V1721" s="331"/>
      <c r="W1721" s="332"/>
      <c r="X1721" s="333"/>
      <c r="Y1721" s="33" t="s">
        <v>2867</v>
      </c>
      <c r="Z1721" s="258">
        <v>121293.0</v>
      </c>
      <c r="AA1721" s="334">
        <v>11633.0</v>
      </c>
      <c r="AB1721" s="333"/>
      <c r="AC1721" s="333"/>
      <c r="AD1721" s="329"/>
      <c r="AE1721" s="331"/>
      <c r="AF1721" s="336"/>
      <c r="AG1721" s="337"/>
      <c r="AH1721" s="333"/>
      <c r="AI1721" s="333"/>
      <c r="AJ1721" s="333"/>
      <c r="AK1721" s="333"/>
      <c r="AL1721" s="333"/>
      <c r="AM1721" s="338"/>
      <c r="AN1721" s="333"/>
      <c r="AO1721" s="333"/>
      <c r="AP1721" s="333"/>
      <c r="AQ1721" s="333"/>
      <c r="AR1721" s="333"/>
      <c r="AS1721" s="333"/>
      <c r="AT1721" s="333"/>
      <c r="AU1721" s="329"/>
      <c r="AV1721" s="341"/>
      <c r="AW1721" s="269" t="s">
        <v>2391</v>
      </c>
      <c r="AX1721" s="334" t="s">
        <v>2869</v>
      </c>
      <c r="AY1721" s="270" t="s">
        <v>695</v>
      </c>
      <c r="AZ1721" s="173" t="s">
        <v>5516</v>
      </c>
      <c r="BA1721" s="265">
        <v>10.0</v>
      </c>
      <c r="BB1721" s="174" t="s">
        <v>245</v>
      </c>
      <c r="BC1721" s="341"/>
      <c r="BD1721" s="308"/>
      <c r="BE1721" s="342"/>
      <c r="BF1721" s="274" t="str">
        <f>IFERROR(__xludf.DUMMYFUNCTION("LOWER(Regexreplace(to_text(E1721),""[^A-Za-z0-9]"","""")&amp;""_""&amp;Regexreplace(to_text(F1721),""[^A-Za-z0-9]"",""""))"),"neptronic_evcbseries")</f>
        <v>neptronic_evcbseries</v>
      </c>
      <c r="BG1721" s="275" t="str">
        <f>IFERROR(__xludf.DUMMYFUNCTION("upper(Regexreplace(to_text(E1721),""[^A-Za-z0-9]"","""")&amp;""-""&amp;Regexreplace(to_text(F1721),""[^A-Za-z0-9]"",""""))"),"NEPTRONIC-EVCBSERIES")</f>
        <v>NEPTRONIC-EVCBSERIES</v>
      </c>
    </row>
    <row r="1722" ht="30.0" customHeight="1">
      <c r="A1722" s="258">
        <v>1714.0</v>
      </c>
      <c r="B1722" s="328" t="s">
        <v>670</v>
      </c>
      <c r="C1722" s="257" t="s">
        <v>6642</v>
      </c>
      <c r="D1722" s="173" t="s">
        <v>6642</v>
      </c>
      <c r="E1722" s="174" t="s">
        <v>2861</v>
      </c>
      <c r="F1722" s="173" t="s">
        <v>2862</v>
      </c>
      <c r="G1722" s="328" t="s">
        <v>673</v>
      </c>
      <c r="H1722" s="328" t="s">
        <v>2863</v>
      </c>
      <c r="I1722" s="258" t="s">
        <v>2864</v>
      </c>
      <c r="J1722" s="259" t="s">
        <v>1211</v>
      </c>
      <c r="K1722" s="260" t="s">
        <v>6643</v>
      </c>
      <c r="L1722" s="359"/>
      <c r="M1722" s="359"/>
      <c r="N1722" s="173" t="s">
        <v>679</v>
      </c>
      <c r="O1722" s="173" t="s">
        <v>225</v>
      </c>
      <c r="P1722" s="262" t="str">
        <f t="shared" si="1"/>
        <v>IN-BLR-ANANTA-VAV-1294_7</v>
      </c>
      <c r="Q1722" s="173" t="s">
        <v>6644</v>
      </c>
      <c r="R1722" s="328" t="str">
        <f>IFS(C1722="","",C1722="n/a","N/A",LEN(C1722),Concatenate("{",char(34),"asset",char(34),":{",char(34),"guid",char(34),":",char(34),Q1722,char(34),",",char(34),"site",char(34),":",char(34),LOWER('2-Building'!$B$4),char(34),",",char(34),"name",char(34),":",char(34),LOWER(C1722),char(34),"}}"))</f>
        <v>{"asset":{"guid":"uuid://8fe6d6a0-d373-4891-a3ae-8d5dfb2cfef4","site":"in-blr-ananta","name":"vav-1294"}}</v>
      </c>
      <c r="S1722" s="360" t="s">
        <v>5516</v>
      </c>
      <c r="T1722" s="330"/>
      <c r="U1722" s="330"/>
      <c r="V1722" s="331"/>
      <c r="W1722" s="332"/>
      <c r="X1722" s="333"/>
      <c r="Y1722" s="33" t="s">
        <v>2867</v>
      </c>
      <c r="Z1722" s="258">
        <v>121294.0</v>
      </c>
      <c r="AA1722" s="334">
        <v>11633.0</v>
      </c>
      <c r="AB1722" s="333"/>
      <c r="AC1722" s="333"/>
      <c r="AD1722" s="329"/>
      <c r="AE1722" s="331"/>
      <c r="AF1722" s="336"/>
      <c r="AG1722" s="337"/>
      <c r="AH1722" s="333"/>
      <c r="AI1722" s="333"/>
      <c r="AJ1722" s="333"/>
      <c r="AK1722" s="333"/>
      <c r="AL1722" s="333"/>
      <c r="AM1722" s="338"/>
      <c r="AN1722" s="333"/>
      <c r="AO1722" s="333"/>
      <c r="AP1722" s="333"/>
      <c r="AQ1722" s="333"/>
      <c r="AR1722" s="333"/>
      <c r="AS1722" s="333"/>
      <c r="AT1722" s="333"/>
      <c r="AU1722" s="329"/>
      <c r="AV1722" s="341"/>
      <c r="AW1722" s="269" t="s">
        <v>2391</v>
      </c>
      <c r="AX1722" s="334" t="s">
        <v>2869</v>
      </c>
      <c r="AY1722" s="270" t="s">
        <v>695</v>
      </c>
      <c r="AZ1722" s="173" t="s">
        <v>5516</v>
      </c>
      <c r="BA1722" s="265">
        <v>10.0</v>
      </c>
      <c r="BB1722" s="174" t="s">
        <v>245</v>
      </c>
      <c r="BC1722" s="341"/>
      <c r="BD1722" s="308"/>
      <c r="BE1722" s="342"/>
      <c r="BF1722" s="274" t="str">
        <f>IFERROR(__xludf.DUMMYFUNCTION("LOWER(Regexreplace(to_text(E1722),""[^A-Za-z0-9]"","""")&amp;""_""&amp;Regexreplace(to_text(F1722),""[^A-Za-z0-9]"",""""))"),"neptronic_evcbseries")</f>
        <v>neptronic_evcbseries</v>
      </c>
      <c r="BG1722" s="275" t="str">
        <f>IFERROR(__xludf.DUMMYFUNCTION("upper(Regexreplace(to_text(E1722),""[^A-Za-z0-9]"","""")&amp;""-""&amp;Regexreplace(to_text(F1722),""[^A-Za-z0-9]"",""""))"),"NEPTRONIC-EVCBSERIES")</f>
        <v>NEPTRONIC-EVCBSERIES</v>
      </c>
    </row>
    <row r="1723" ht="30.0" customHeight="1">
      <c r="A1723" s="173">
        <v>1715.0</v>
      </c>
      <c r="B1723" s="328" t="s">
        <v>670</v>
      </c>
      <c r="C1723" s="257" t="s">
        <v>6645</v>
      </c>
      <c r="D1723" s="173" t="s">
        <v>6645</v>
      </c>
      <c r="E1723" s="174" t="s">
        <v>2861</v>
      </c>
      <c r="F1723" s="173" t="s">
        <v>2862</v>
      </c>
      <c r="G1723" s="328" t="s">
        <v>673</v>
      </c>
      <c r="H1723" s="328" t="s">
        <v>2863</v>
      </c>
      <c r="I1723" s="258" t="s">
        <v>2864</v>
      </c>
      <c r="J1723" s="259" t="s">
        <v>1211</v>
      </c>
      <c r="K1723" s="260" t="s">
        <v>6646</v>
      </c>
      <c r="L1723" s="359"/>
      <c r="M1723" s="359"/>
      <c r="N1723" s="173" t="s">
        <v>679</v>
      </c>
      <c r="O1723" s="173" t="s">
        <v>225</v>
      </c>
      <c r="P1723" s="262" t="str">
        <f t="shared" si="1"/>
        <v>IN-BLR-ANANTA-VAV-1295_7</v>
      </c>
      <c r="Q1723" s="173" t="s">
        <v>6647</v>
      </c>
      <c r="R1723" s="328" t="str">
        <f>IFS(C1723="","",C1723="n/a","N/A",LEN(C1723),Concatenate("{",char(34),"asset",char(34),":{",char(34),"guid",char(34),":",char(34),Q1723,char(34),",",char(34),"site",char(34),":",char(34),LOWER('2-Building'!$B$4),char(34),",",char(34),"name",char(34),":",char(34),LOWER(C1723),char(34),"}}"))</f>
        <v>{"asset":{"guid":"uuid://9de91e31-4380-4611-a1e1-dea3d2f49f0f","site":"in-blr-ananta","name":"vav-1295"}}</v>
      </c>
      <c r="S1723" s="360" t="s">
        <v>5516</v>
      </c>
      <c r="T1723" s="330"/>
      <c r="U1723" s="330"/>
      <c r="V1723" s="331"/>
      <c r="W1723" s="332"/>
      <c r="X1723" s="333"/>
      <c r="Y1723" s="33" t="s">
        <v>2867</v>
      </c>
      <c r="Z1723" s="258">
        <v>121295.0</v>
      </c>
      <c r="AA1723" s="334">
        <v>11633.0</v>
      </c>
      <c r="AB1723" s="333"/>
      <c r="AC1723" s="333"/>
      <c r="AD1723" s="329"/>
      <c r="AE1723" s="331"/>
      <c r="AF1723" s="336"/>
      <c r="AG1723" s="337"/>
      <c r="AH1723" s="333"/>
      <c r="AI1723" s="333"/>
      <c r="AJ1723" s="333"/>
      <c r="AK1723" s="333"/>
      <c r="AL1723" s="333"/>
      <c r="AM1723" s="338"/>
      <c r="AN1723" s="333"/>
      <c r="AO1723" s="333"/>
      <c r="AP1723" s="333"/>
      <c r="AQ1723" s="333"/>
      <c r="AR1723" s="333"/>
      <c r="AS1723" s="333"/>
      <c r="AT1723" s="333"/>
      <c r="AU1723" s="329"/>
      <c r="AV1723" s="341"/>
      <c r="AW1723" s="269" t="s">
        <v>2391</v>
      </c>
      <c r="AX1723" s="334" t="s">
        <v>2869</v>
      </c>
      <c r="AY1723" s="270" t="s">
        <v>695</v>
      </c>
      <c r="AZ1723" s="173" t="s">
        <v>5516</v>
      </c>
      <c r="BA1723" s="265">
        <v>10.0</v>
      </c>
      <c r="BB1723" s="174" t="s">
        <v>245</v>
      </c>
      <c r="BC1723" s="341"/>
      <c r="BD1723" s="308"/>
      <c r="BE1723" s="342"/>
      <c r="BF1723" s="274" t="str">
        <f>IFERROR(__xludf.DUMMYFUNCTION("LOWER(Regexreplace(to_text(E1723),""[^A-Za-z0-9]"","""")&amp;""_""&amp;Regexreplace(to_text(F1723),""[^A-Za-z0-9]"",""""))"),"neptronic_evcbseries")</f>
        <v>neptronic_evcbseries</v>
      </c>
      <c r="BG1723" s="275" t="str">
        <f>IFERROR(__xludf.DUMMYFUNCTION("upper(Regexreplace(to_text(E1723),""[^A-Za-z0-9]"","""")&amp;""-""&amp;Regexreplace(to_text(F1723),""[^A-Za-z0-9]"",""""))"),"NEPTRONIC-EVCBSERIES")</f>
        <v>NEPTRONIC-EVCBSERIES</v>
      </c>
    </row>
    <row r="1724" ht="30.0" customHeight="1">
      <c r="A1724" s="258">
        <v>1716.0</v>
      </c>
      <c r="B1724" s="328" t="s">
        <v>670</v>
      </c>
      <c r="C1724" s="257" t="s">
        <v>6648</v>
      </c>
      <c r="D1724" s="173" t="s">
        <v>6648</v>
      </c>
      <c r="E1724" s="174" t="s">
        <v>2861</v>
      </c>
      <c r="F1724" s="173" t="s">
        <v>2862</v>
      </c>
      <c r="G1724" s="328" t="s">
        <v>673</v>
      </c>
      <c r="H1724" s="328" t="s">
        <v>2863</v>
      </c>
      <c r="I1724" s="258" t="s">
        <v>2864</v>
      </c>
      <c r="J1724" s="259" t="s">
        <v>1211</v>
      </c>
      <c r="K1724" s="260" t="s">
        <v>6649</v>
      </c>
      <c r="L1724" s="359"/>
      <c r="M1724" s="359"/>
      <c r="N1724" s="173" t="s">
        <v>679</v>
      </c>
      <c r="O1724" s="173" t="s">
        <v>225</v>
      </c>
      <c r="P1724" s="262" t="str">
        <f t="shared" si="1"/>
        <v>IN-BLR-ANANTA-VAV-1296_7</v>
      </c>
      <c r="Q1724" s="173" t="s">
        <v>6650</v>
      </c>
      <c r="R1724" s="328" t="str">
        <f>IFS(C1724="","",C1724="n/a","N/A",LEN(C1724),Concatenate("{",char(34),"asset",char(34),":{",char(34),"guid",char(34),":",char(34),Q1724,char(34),",",char(34),"site",char(34),":",char(34),LOWER('2-Building'!$B$4),char(34),",",char(34),"name",char(34),":",char(34),LOWER(C1724),char(34),"}}"))</f>
        <v>{"asset":{"guid":"uuid://367c05e7-c64e-4ab6-9d47-ffc4fbe13953","site":"in-blr-ananta","name":"vav-1296"}}</v>
      </c>
      <c r="S1724" s="360" t="s">
        <v>5516</v>
      </c>
      <c r="T1724" s="330"/>
      <c r="U1724" s="330"/>
      <c r="V1724" s="331"/>
      <c r="W1724" s="332"/>
      <c r="X1724" s="333"/>
      <c r="Y1724" s="33" t="s">
        <v>2867</v>
      </c>
      <c r="Z1724" s="258">
        <v>121296.0</v>
      </c>
      <c r="AA1724" s="334">
        <v>11633.0</v>
      </c>
      <c r="AB1724" s="333"/>
      <c r="AC1724" s="333"/>
      <c r="AD1724" s="329"/>
      <c r="AE1724" s="331"/>
      <c r="AF1724" s="336"/>
      <c r="AG1724" s="337"/>
      <c r="AH1724" s="333"/>
      <c r="AI1724" s="333"/>
      <c r="AJ1724" s="333"/>
      <c r="AK1724" s="333"/>
      <c r="AL1724" s="333"/>
      <c r="AM1724" s="338"/>
      <c r="AN1724" s="333"/>
      <c r="AO1724" s="333"/>
      <c r="AP1724" s="333"/>
      <c r="AQ1724" s="333"/>
      <c r="AR1724" s="333"/>
      <c r="AS1724" s="333"/>
      <c r="AT1724" s="333"/>
      <c r="AU1724" s="329"/>
      <c r="AV1724" s="341"/>
      <c r="AW1724" s="269" t="s">
        <v>2391</v>
      </c>
      <c r="AX1724" s="334" t="s">
        <v>2869</v>
      </c>
      <c r="AY1724" s="270" t="s">
        <v>695</v>
      </c>
      <c r="AZ1724" s="173" t="s">
        <v>5516</v>
      </c>
      <c r="BA1724" s="265">
        <v>10.0</v>
      </c>
      <c r="BB1724" s="174" t="s">
        <v>245</v>
      </c>
      <c r="BC1724" s="341"/>
      <c r="BD1724" s="308"/>
      <c r="BE1724" s="342"/>
      <c r="BF1724" s="274" t="str">
        <f>IFERROR(__xludf.DUMMYFUNCTION("LOWER(Regexreplace(to_text(E1724),""[^A-Za-z0-9]"","""")&amp;""_""&amp;Regexreplace(to_text(F1724),""[^A-Za-z0-9]"",""""))"),"neptronic_evcbseries")</f>
        <v>neptronic_evcbseries</v>
      </c>
      <c r="BG1724" s="275" t="str">
        <f>IFERROR(__xludf.DUMMYFUNCTION("upper(Regexreplace(to_text(E1724),""[^A-Za-z0-9]"","""")&amp;""-""&amp;Regexreplace(to_text(F1724),""[^A-Za-z0-9]"",""""))"),"NEPTRONIC-EVCBSERIES")</f>
        <v>NEPTRONIC-EVCBSERIES</v>
      </c>
    </row>
    <row r="1725" ht="30.0" customHeight="1">
      <c r="A1725" s="173">
        <v>1717.0</v>
      </c>
      <c r="B1725" s="328" t="s">
        <v>670</v>
      </c>
      <c r="C1725" s="257" t="s">
        <v>6651</v>
      </c>
      <c r="D1725" s="173" t="s">
        <v>6651</v>
      </c>
      <c r="E1725" s="174" t="s">
        <v>2861</v>
      </c>
      <c r="F1725" s="173" t="s">
        <v>2862</v>
      </c>
      <c r="G1725" s="328" t="s">
        <v>673</v>
      </c>
      <c r="H1725" s="328" t="s">
        <v>2863</v>
      </c>
      <c r="I1725" s="258" t="s">
        <v>2864</v>
      </c>
      <c r="J1725" s="259" t="s">
        <v>1211</v>
      </c>
      <c r="K1725" s="260" t="s">
        <v>6652</v>
      </c>
      <c r="L1725" s="359"/>
      <c r="M1725" s="359"/>
      <c r="N1725" s="173" t="s">
        <v>679</v>
      </c>
      <c r="O1725" s="173" t="s">
        <v>225</v>
      </c>
      <c r="P1725" s="262" t="str">
        <f t="shared" si="1"/>
        <v>IN-BLR-ANANTA-VAV-1297_7</v>
      </c>
      <c r="Q1725" s="173" t="s">
        <v>6653</v>
      </c>
      <c r="R1725" s="328" t="str">
        <f>IFS(C1725="","",C1725="n/a","N/A",LEN(C1725),Concatenate("{",char(34),"asset",char(34),":{",char(34),"guid",char(34),":",char(34),Q1725,char(34),",",char(34),"site",char(34),":",char(34),LOWER('2-Building'!$B$4),char(34),",",char(34),"name",char(34),":",char(34),LOWER(C1725),char(34),"}}"))</f>
        <v>{"asset":{"guid":"uuid://d59d0999-8648-4f34-8ae9-d5e3f96badb7","site":"in-blr-ananta","name":"vav-1297"}}</v>
      </c>
      <c r="S1725" s="360" t="s">
        <v>5516</v>
      </c>
      <c r="T1725" s="330"/>
      <c r="U1725" s="330"/>
      <c r="V1725" s="331"/>
      <c r="W1725" s="332"/>
      <c r="X1725" s="333"/>
      <c r="Y1725" s="33" t="s">
        <v>2867</v>
      </c>
      <c r="Z1725" s="258">
        <v>121297.0</v>
      </c>
      <c r="AA1725" s="334">
        <v>11633.0</v>
      </c>
      <c r="AB1725" s="333"/>
      <c r="AC1725" s="333"/>
      <c r="AD1725" s="329"/>
      <c r="AE1725" s="331"/>
      <c r="AF1725" s="336"/>
      <c r="AG1725" s="337"/>
      <c r="AH1725" s="333"/>
      <c r="AI1725" s="333"/>
      <c r="AJ1725" s="333"/>
      <c r="AK1725" s="333"/>
      <c r="AL1725" s="333"/>
      <c r="AM1725" s="338"/>
      <c r="AN1725" s="333"/>
      <c r="AO1725" s="333"/>
      <c r="AP1725" s="333"/>
      <c r="AQ1725" s="333"/>
      <c r="AR1725" s="333"/>
      <c r="AS1725" s="333"/>
      <c r="AT1725" s="333"/>
      <c r="AU1725" s="329"/>
      <c r="AV1725" s="341"/>
      <c r="AW1725" s="269" t="s">
        <v>2391</v>
      </c>
      <c r="AX1725" s="334" t="s">
        <v>2869</v>
      </c>
      <c r="AY1725" s="270" t="s">
        <v>695</v>
      </c>
      <c r="AZ1725" s="173" t="s">
        <v>5516</v>
      </c>
      <c r="BA1725" s="265">
        <v>10.0</v>
      </c>
      <c r="BB1725" s="174" t="s">
        <v>245</v>
      </c>
      <c r="BC1725" s="341"/>
      <c r="BD1725" s="308"/>
      <c r="BE1725" s="342"/>
      <c r="BF1725" s="274" t="str">
        <f>IFERROR(__xludf.DUMMYFUNCTION("LOWER(Regexreplace(to_text(E1725),""[^A-Za-z0-9]"","""")&amp;""_""&amp;Regexreplace(to_text(F1725),""[^A-Za-z0-9]"",""""))"),"neptronic_evcbseries")</f>
        <v>neptronic_evcbseries</v>
      </c>
      <c r="BG1725" s="275" t="str">
        <f>IFERROR(__xludf.DUMMYFUNCTION("upper(Regexreplace(to_text(E1725),""[^A-Za-z0-9]"","""")&amp;""-""&amp;Regexreplace(to_text(F1725),""[^A-Za-z0-9]"",""""))"),"NEPTRONIC-EVCBSERIES")</f>
        <v>NEPTRONIC-EVCBSERIES</v>
      </c>
    </row>
    <row r="1726" ht="30.0" customHeight="1">
      <c r="A1726" s="258">
        <v>1718.0</v>
      </c>
      <c r="B1726" s="328" t="s">
        <v>670</v>
      </c>
      <c r="C1726" s="257" t="s">
        <v>6654</v>
      </c>
      <c r="D1726" s="173" t="s">
        <v>6654</v>
      </c>
      <c r="E1726" s="174" t="s">
        <v>2861</v>
      </c>
      <c r="F1726" s="173" t="s">
        <v>2862</v>
      </c>
      <c r="G1726" s="328" t="s">
        <v>673</v>
      </c>
      <c r="H1726" s="328" t="s">
        <v>2863</v>
      </c>
      <c r="I1726" s="258" t="s">
        <v>2864</v>
      </c>
      <c r="J1726" s="259" t="s">
        <v>1211</v>
      </c>
      <c r="K1726" s="260" t="s">
        <v>6655</v>
      </c>
      <c r="L1726" s="359"/>
      <c r="M1726" s="359"/>
      <c r="N1726" s="173" t="s">
        <v>679</v>
      </c>
      <c r="O1726" s="173" t="s">
        <v>225</v>
      </c>
      <c r="P1726" s="262" t="str">
        <f t="shared" si="1"/>
        <v>IN-BLR-ANANTA-VAV-1298_7</v>
      </c>
      <c r="Q1726" s="173" t="s">
        <v>6656</v>
      </c>
      <c r="R1726" s="328" t="str">
        <f>IFS(C1726="","",C1726="n/a","N/A",LEN(C1726),Concatenate("{",char(34),"asset",char(34),":{",char(34),"guid",char(34),":",char(34),Q1726,char(34),",",char(34),"site",char(34),":",char(34),LOWER('2-Building'!$B$4),char(34),",",char(34),"name",char(34),":",char(34),LOWER(C1726),char(34),"}}"))</f>
        <v>{"asset":{"guid":"uuid://b7a4beed-f5b3-495a-8a6d-c8829aa9f8f1","site":"in-blr-ananta","name":"vav-1298"}}</v>
      </c>
      <c r="S1726" s="360" t="s">
        <v>5516</v>
      </c>
      <c r="T1726" s="330"/>
      <c r="U1726" s="330"/>
      <c r="V1726" s="331"/>
      <c r="W1726" s="332"/>
      <c r="X1726" s="333"/>
      <c r="Y1726" s="33" t="s">
        <v>2867</v>
      </c>
      <c r="Z1726" s="258">
        <v>121298.0</v>
      </c>
      <c r="AA1726" s="334">
        <v>11633.0</v>
      </c>
      <c r="AB1726" s="333"/>
      <c r="AC1726" s="333"/>
      <c r="AD1726" s="329"/>
      <c r="AE1726" s="331"/>
      <c r="AF1726" s="336"/>
      <c r="AG1726" s="337"/>
      <c r="AH1726" s="333"/>
      <c r="AI1726" s="333"/>
      <c r="AJ1726" s="333"/>
      <c r="AK1726" s="333"/>
      <c r="AL1726" s="333"/>
      <c r="AM1726" s="338"/>
      <c r="AN1726" s="333"/>
      <c r="AO1726" s="333"/>
      <c r="AP1726" s="333"/>
      <c r="AQ1726" s="333"/>
      <c r="AR1726" s="333"/>
      <c r="AS1726" s="333"/>
      <c r="AT1726" s="333"/>
      <c r="AU1726" s="329"/>
      <c r="AV1726" s="341"/>
      <c r="AW1726" s="269" t="s">
        <v>2391</v>
      </c>
      <c r="AX1726" s="334" t="s">
        <v>2869</v>
      </c>
      <c r="AY1726" s="270" t="s">
        <v>695</v>
      </c>
      <c r="AZ1726" s="173" t="s">
        <v>5516</v>
      </c>
      <c r="BA1726" s="265">
        <v>10.0</v>
      </c>
      <c r="BB1726" s="174" t="s">
        <v>245</v>
      </c>
      <c r="BC1726" s="341"/>
      <c r="BD1726" s="308"/>
      <c r="BE1726" s="342"/>
      <c r="BF1726" s="274" t="str">
        <f>IFERROR(__xludf.DUMMYFUNCTION("LOWER(Regexreplace(to_text(E1726),""[^A-Za-z0-9]"","""")&amp;""_""&amp;Regexreplace(to_text(F1726),""[^A-Za-z0-9]"",""""))"),"neptronic_evcbseries")</f>
        <v>neptronic_evcbseries</v>
      </c>
      <c r="BG1726" s="275" t="str">
        <f>IFERROR(__xludf.DUMMYFUNCTION("upper(Regexreplace(to_text(E1726),""[^A-Za-z0-9]"","""")&amp;""-""&amp;Regexreplace(to_text(F1726),""[^A-Za-z0-9]"",""""))"),"NEPTRONIC-EVCBSERIES")</f>
        <v>NEPTRONIC-EVCBSERIES</v>
      </c>
    </row>
    <row r="1727" ht="30.0" customHeight="1">
      <c r="A1727" s="173">
        <v>1719.0</v>
      </c>
      <c r="B1727" s="328" t="s">
        <v>670</v>
      </c>
      <c r="C1727" s="257" t="s">
        <v>6657</v>
      </c>
      <c r="D1727" s="173" t="s">
        <v>6657</v>
      </c>
      <c r="E1727" s="174" t="s">
        <v>2861</v>
      </c>
      <c r="F1727" s="173" t="s">
        <v>2862</v>
      </c>
      <c r="G1727" s="328" t="s">
        <v>673</v>
      </c>
      <c r="H1727" s="328" t="s">
        <v>2863</v>
      </c>
      <c r="I1727" s="258" t="s">
        <v>2864</v>
      </c>
      <c r="J1727" s="259" t="s">
        <v>1272</v>
      </c>
      <c r="K1727" s="260"/>
      <c r="L1727" s="359"/>
      <c r="M1727" s="359"/>
      <c r="N1727" s="173" t="s">
        <v>679</v>
      </c>
      <c r="O1727" s="173" t="s">
        <v>225</v>
      </c>
      <c r="P1727" s="262" t="str">
        <f t="shared" si="1"/>
        <v>IN-BLR-ANANTA-VAV-1299_8</v>
      </c>
      <c r="Q1727" s="173" t="s">
        <v>6658</v>
      </c>
      <c r="R1727" s="328" t="str">
        <f>IFS(C1727="","",C1727="n/a","N/A",LEN(C1727),Concatenate("{",char(34),"asset",char(34),":{",char(34),"guid",char(34),":",char(34),Q1727,char(34),",",char(34),"site",char(34),":",char(34),LOWER('2-Building'!$B$4),char(34),",",char(34),"name",char(34),":",char(34),LOWER(C1727),char(34),"}}"))</f>
        <v>{"asset":{"guid":"uuid://0fe6314b-546d-444f-9713-cbde58080e24","site":"in-blr-ananta","name":"vav-1299"}}</v>
      </c>
      <c r="S1727" s="360" t="s">
        <v>5516</v>
      </c>
      <c r="T1727" s="330"/>
      <c r="U1727" s="330"/>
      <c r="V1727" s="331"/>
      <c r="W1727" s="332"/>
      <c r="X1727" s="333"/>
      <c r="Y1727" s="33" t="s">
        <v>2867</v>
      </c>
      <c r="Z1727" s="258">
        <v>121299.0</v>
      </c>
      <c r="AA1727" s="334">
        <v>11649.0</v>
      </c>
      <c r="AB1727" s="333"/>
      <c r="AC1727" s="333"/>
      <c r="AD1727" s="329"/>
      <c r="AE1727" s="331"/>
      <c r="AF1727" s="336"/>
      <c r="AG1727" s="337"/>
      <c r="AH1727" s="333"/>
      <c r="AI1727" s="333"/>
      <c r="AJ1727" s="333"/>
      <c r="AK1727" s="333"/>
      <c r="AL1727" s="333"/>
      <c r="AM1727" s="338"/>
      <c r="AN1727" s="333"/>
      <c r="AO1727" s="333"/>
      <c r="AP1727" s="333"/>
      <c r="AQ1727" s="333"/>
      <c r="AR1727" s="333"/>
      <c r="AS1727" s="333"/>
      <c r="AT1727" s="333"/>
      <c r="AU1727" s="329"/>
      <c r="AV1727" s="341"/>
      <c r="AW1727" s="269" t="s">
        <v>2486</v>
      </c>
      <c r="AX1727" s="334" t="s">
        <v>2869</v>
      </c>
      <c r="AY1727" s="270" t="s">
        <v>695</v>
      </c>
      <c r="AZ1727" s="173" t="s">
        <v>5516</v>
      </c>
      <c r="BA1727" s="265">
        <v>10.0</v>
      </c>
      <c r="BB1727" s="174" t="s">
        <v>245</v>
      </c>
      <c r="BC1727" s="341"/>
      <c r="BD1727" s="308"/>
      <c r="BE1727" s="342"/>
      <c r="BF1727" s="274" t="str">
        <f>IFERROR(__xludf.DUMMYFUNCTION("LOWER(Regexreplace(to_text(E1727),""[^A-Za-z0-9]"","""")&amp;""_""&amp;Regexreplace(to_text(F1727),""[^A-Za-z0-9]"",""""))"),"neptronic_evcbseries")</f>
        <v>neptronic_evcbseries</v>
      </c>
      <c r="BG1727" s="275" t="str">
        <f>IFERROR(__xludf.DUMMYFUNCTION("upper(Regexreplace(to_text(E1727),""[^A-Za-z0-9]"","""")&amp;""-""&amp;Regexreplace(to_text(F1727),""[^A-Za-z0-9]"",""""))"),"NEPTRONIC-EVCBSERIES")</f>
        <v>NEPTRONIC-EVCBSERIES</v>
      </c>
    </row>
    <row r="1728" ht="30.0" customHeight="1">
      <c r="A1728" s="258">
        <v>1720.0</v>
      </c>
      <c r="B1728" s="328" t="s">
        <v>670</v>
      </c>
      <c r="C1728" s="257" t="s">
        <v>6659</v>
      </c>
      <c r="D1728" s="173" t="s">
        <v>6659</v>
      </c>
      <c r="E1728" s="174" t="s">
        <v>2861</v>
      </c>
      <c r="F1728" s="173" t="s">
        <v>2862</v>
      </c>
      <c r="G1728" s="328" t="s">
        <v>673</v>
      </c>
      <c r="H1728" s="328" t="s">
        <v>2863</v>
      </c>
      <c r="I1728" s="258" t="s">
        <v>2864</v>
      </c>
      <c r="J1728" s="259" t="s">
        <v>1272</v>
      </c>
      <c r="K1728" s="260"/>
      <c r="L1728" s="359"/>
      <c r="M1728" s="359"/>
      <c r="N1728" s="173" t="s">
        <v>679</v>
      </c>
      <c r="O1728" s="173" t="s">
        <v>225</v>
      </c>
      <c r="P1728" s="262" t="str">
        <f t="shared" si="1"/>
        <v>IN-BLR-ANANTA-VAV-1300_8</v>
      </c>
      <c r="Q1728" s="173" t="s">
        <v>6660</v>
      </c>
      <c r="R1728" s="328" t="str">
        <f>IFS(C1728="","",C1728="n/a","N/A",LEN(C1728),Concatenate("{",char(34),"asset",char(34),":{",char(34),"guid",char(34),":",char(34),Q1728,char(34),",",char(34),"site",char(34),":",char(34),LOWER('2-Building'!$B$4),char(34),",",char(34),"name",char(34),":",char(34),LOWER(C1728),char(34),"}}"))</f>
        <v>{"asset":{"guid":"uuid://966a368a-e11d-4184-ac85-9774f34522c1","site":"in-blr-ananta","name":"vav-1300"}}</v>
      </c>
      <c r="S1728" s="360" t="s">
        <v>5516</v>
      </c>
      <c r="T1728" s="330"/>
      <c r="U1728" s="330"/>
      <c r="V1728" s="331"/>
      <c r="W1728" s="332"/>
      <c r="X1728" s="333"/>
      <c r="Y1728" s="33" t="s">
        <v>2867</v>
      </c>
      <c r="Z1728" s="258">
        <v>121300.0</v>
      </c>
      <c r="AA1728" s="334">
        <v>11649.0</v>
      </c>
      <c r="AB1728" s="333"/>
      <c r="AC1728" s="333"/>
      <c r="AD1728" s="329"/>
      <c r="AE1728" s="331"/>
      <c r="AF1728" s="336"/>
      <c r="AG1728" s="337"/>
      <c r="AH1728" s="333"/>
      <c r="AI1728" s="333"/>
      <c r="AJ1728" s="333"/>
      <c r="AK1728" s="333"/>
      <c r="AL1728" s="333"/>
      <c r="AM1728" s="338"/>
      <c r="AN1728" s="333"/>
      <c r="AO1728" s="333"/>
      <c r="AP1728" s="333"/>
      <c r="AQ1728" s="333"/>
      <c r="AR1728" s="333"/>
      <c r="AS1728" s="333"/>
      <c r="AT1728" s="333"/>
      <c r="AU1728" s="329"/>
      <c r="AV1728" s="341"/>
      <c r="AW1728" s="269" t="s">
        <v>2486</v>
      </c>
      <c r="AX1728" s="334" t="s">
        <v>2869</v>
      </c>
      <c r="AY1728" s="270" t="s">
        <v>695</v>
      </c>
      <c r="AZ1728" s="173" t="s">
        <v>5516</v>
      </c>
      <c r="BA1728" s="265">
        <v>10.0</v>
      </c>
      <c r="BB1728" s="174" t="s">
        <v>245</v>
      </c>
      <c r="BC1728" s="341"/>
      <c r="BD1728" s="308"/>
      <c r="BE1728" s="342"/>
      <c r="BF1728" s="274" t="str">
        <f>IFERROR(__xludf.DUMMYFUNCTION("LOWER(Regexreplace(to_text(E1728),""[^A-Za-z0-9]"","""")&amp;""_""&amp;Regexreplace(to_text(F1728),""[^A-Za-z0-9]"",""""))"),"neptronic_evcbseries")</f>
        <v>neptronic_evcbseries</v>
      </c>
      <c r="BG1728" s="275" t="str">
        <f>IFERROR(__xludf.DUMMYFUNCTION("upper(Regexreplace(to_text(E1728),""[^A-Za-z0-9]"","""")&amp;""-""&amp;Regexreplace(to_text(F1728),""[^A-Za-z0-9]"",""""))"),"NEPTRONIC-EVCBSERIES")</f>
        <v>NEPTRONIC-EVCBSERIES</v>
      </c>
    </row>
    <row r="1729" ht="30.0" customHeight="1">
      <c r="A1729" s="173">
        <v>1721.0</v>
      </c>
      <c r="B1729" s="328" t="s">
        <v>670</v>
      </c>
      <c r="C1729" s="257" t="s">
        <v>6661</v>
      </c>
      <c r="D1729" s="173" t="s">
        <v>6661</v>
      </c>
      <c r="E1729" s="174" t="s">
        <v>2861</v>
      </c>
      <c r="F1729" s="173" t="s">
        <v>2862</v>
      </c>
      <c r="G1729" s="328" t="s">
        <v>673</v>
      </c>
      <c r="H1729" s="328" t="s">
        <v>2863</v>
      </c>
      <c r="I1729" s="258" t="s">
        <v>2864</v>
      </c>
      <c r="J1729" s="259" t="s">
        <v>1272</v>
      </c>
      <c r="K1729" s="260"/>
      <c r="L1729" s="359"/>
      <c r="M1729" s="359"/>
      <c r="N1729" s="173" t="s">
        <v>679</v>
      </c>
      <c r="O1729" s="173" t="s">
        <v>225</v>
      </c>
      <c r="P1729" s="262" t="str">
        <f t="shared" si="1"/>
        <v>IN-BLR-ANANTA-VAV-1301_8</v>
      </c>
      <c r="Q1729" s="173" t="s">
        <v>6662</v>
      </c>
      <c r="R1729" s="328" t="str">
        <f>IFS(C1729="","",C1729="n/a","N/A",LEN(C1729),Concatenate("{",char(34),"asset",char(34),":{",char(34),"guid",char(34),":",char(34),Q1729,char(34),",",char(34),"site",char(34),":",char(34),LOWER('2-Building'!$B$4),char(34),",",char(34),"name",char(34),":",char(34),LOWER(C1729),char(34),"}}"))</f>
        <v>{"asset":{"guid":"uuid://20553f7c-f82e-404f-a8f0-57ac20b3d4a3","site":"in-blr-ananta","name":"vav-1301"}}</v>
      </c>
      <c r="S1729" s="360" t="s">
        <v>5516</v>
      </c>
      <c r="T1729" s="330"/>
      <c r="U1729" s="330"/>
      <c r="V1729" s="331"/>
      <c r="W1729" s="332"/>
      <c r="X1729" s="333"/>
      <c r="Y1729" s="33" t="s">
        <v>2867</v>
      </c>
      <c r="Z1729" s="258">
        <v>121301.0</v>
      </c>
      <c r="AA1729" s="334">
        <v>11649.0</v>
      </c>
      <c r="AB1729" s="333"/>
      <c r="AC1729" s="333"/>
      <c r="AD1729" s="329"/>
      <c r="AE1729" s="331"/>
      <c r="AF1729" s="336"/>
      <c r="AG1729" s="337"/>
      <c r="AH1729" s="333"/>
      <c r="AI1729" s="333"/>
      <c r="AJ1729" s="333"/>
      <c r="AK1729" s="333"/>
      <c r="AL1729" s="333"/>
      <c r="AM1729" s="338"/>
      <c r="AN1729" s="333"/>
      <c r="AO1729" s="333"/>
      <c r="AP1729" s="333"/>
      <c r="AQ1729" s="333"/>
      <c r="AR1729" s="333"/>
      <c r="AS1729" s="333"/>
      <c r="AT1729" s="333"/>
      <c r="AU1729" s="329"/>
      <c r="AV1729" s="341"/>
      <c r="AW1729" s="269" t="s">
        <v>2486</v>
      </c>
      <c r="AX1729" s="334" t="s">
        <v>2869</v>
      </c>
      <c r="AY1729" s="270" t="s">
        <v>695</v>
      </c>
      <c r="AZ1729" s="173" t="s">
        <v>5516</v>
      </c>
      <c r="BA1729" s="265">
        <v>10.0</v>
      </c>
      <c r="BB1729" s="174" t="s">
        <v>245</v>
      </c>
      <c r="BC1729" s="341"/>
      <c r="BD1729" s="308"/>
      <c r="BE1729" s="342"/>
      <c r="BF1729" s="274" t="str">
        <f>IFERROR(__xludf.DUMMYFUNCTION("LOWER(Regexreplace(to_text(E1729),""[^A-Za-z0-9]"","""")&amp;""_""&amp;Regexreplace(to_text(F1729),""[^A-Za-z0-9]"",""""))"),"neptronic_evcbseries")</f>
        <v>neptronic_evcbseries</v>
      </c>
      <c r="BG1729" s="275" t="str">
        <f>IFERROR(__xludf.DUMMYFUNCTION("upper(Regexreplace(to_text(E1729),""[^A-Za-z0-9]"","""")&amp;""-""&amp;Regexreplace(to_text(F1729),""[^A-Za-z0-9]"",""""))"),"NEPTRONIC-EVCBSERIES")</f>
        <v>NEPTRONIC-EVCBSERIES</v>
      </c>
    </row>
    <row r="1730" ht="30.0" customHeight="1">
      <c r="A1730" s="258">
        <v>1722.0</v>
      </c>
      <c r="B1730" s="328" t="s">
        <v>670</v>
      </c>
      <c r="C1730" s="257" t="s">
        <v>6663</v>
      </c>
      <c r="D1730" s="173" t="s">
        <v>6663</v>
      </c>
      <c r="E1730" s="174" t="s">
        <v>2861</v>
      </c>
      <c r="F1730" s="173" t="s">
        <v>2862</v>
      </c>
      <c r="G1730" s="328" t="s">
        <v>673</v>
      </c>
      <c r="H1730" s="328" t="s">
        <v>2863</v>
      </c>
      <c r="I1730" s="258" t="s">
        <v>2864</v>
      </c>
      <c r="J1730" s="259" t="s">
        <v>1272</v>
      </c>
      <c r="K1730" s="260"/>
      <c r="L1730" s="359"/>
      <c r="M1730" s="359"/>
      <c r="N1730" s="173" t="s">
        <v>679</v>
      </c>
      <c r="O1730" s="173" t="s">
        <v>225</v>
      </c>
      <c r="P1730" s="262" t="str">
        <f t="shared" si="1"/>
        <v>IN-BLR-ANANTA-VAV-1302_8</v>
      </c>
      <c r="Q1730" s="173" t="s">
        <v>6664</v>
      </c>
      <c r="R1730" s="328" t="str">
        <f>IFS(C1730="","",C1730="n/a","N/A",LEN(C1730),Concatenate("{",char(34),"asset",char(34),":{",char(34),"guid",char(34),":",char(34),Q1730,char(34),",",char(34),"site",char(34),":",char(34),LOWER('2-Building'!$B$4),char(34),",",char(34),"name",char(34),":",char(34),LOWER(C1730),char(34),"}}"))</f>
        <v>{"asset":{"guid":"uuid://8bbe3f8f-3701-4b55-96fd-71729fdb6282","site":"in-blr-ananta","name":"vav-1302"}}</v>
      </c>
      <c r="S1730" s="360" t="s">
        <v>5516</v>
      </c>
      <c r="T1730" s="330"/>
      <c r="U1730" s="330"/>
      <c r="V1730" s="331"/>
      <c r="W1730" s="332"/>
      <c r="X1730" s="333"/>
      <c r="Y1730" s="33" t="s">
        <v>2867</v>
      </c>
      <c r="Z1730" s="258">
        <v>121302.0</v>
      </c>
      <c r="AA1730" s="334">
        <v>11649.0</v>
      </c>
      <c r="AB1730" s="333"/>
      <c r="AC1730" s="333"/>
      <c r="AD1730" s="329"/>
      <c r="AE1730" s="331"/>
      <c r="AF1730" s="336"/>
      <c r="AG1730" s="337"/>
      <c r="AH1730" s="333"/>
      <c r="AI1730" s="333"/>
      <c r="AJ1730" s="333"/>
      <c r="AK1730" s="333"/>
      <c r="AL1730" s="333"/>
      <c r="AM1730" s="338"/>
      <c r="AN1730" s="333"/>
      <c r="AO1730" s="333"/>
      <c r="AP1730" s="333"/>
      <c r="AQ1730" s="333"/>
      <c r="AR1730" s="333"/>
      <c r="AS1730" s="333"/>
      <c r="AT1730" s="333"/>
      <c r="AU1730" s="329"/>
      <c r="AV1730" s="341"/>
      <c r="AW1730" s="269" t="s">
        <v>2486</v>
      </c>
      <c r="AX1730" s="334" t="s">
        <v>2869</v>
      </c>
      <c r="AY1730" s="270" t="s">
        <v>695</v>
      </c>
      <c r="AZ1730" s="173" t="s">
        <v>5516</v>
      </c>
      <c r="BA1730" s="265">
        <v>10.0</v>
      </c>
      <c r="BB1730" s="174" t="s">
        <v>245</v>
      </c>
      <c r="BC1730" s="341"/>
      <c r="BD1730" s="308"/>
      <c r="BE1730" s="342"/>
      <c r="BF1730" s="274" t="str">
        <f>IFERROR(__xludf.DUMMYFUNCTION("LOWER(Regexreplace(to_text(E1730),""[^A-Za-z0-9]"","""")&amp;""_""&amp;Regexreplace(to_text(F1730),""[^A-Za-z0-9]"",""""))"),"neptronic_evcbseries")</f>
        <v>neptronic_evcbseries</v>
      </c>
      <c r="BG1730" s="275" t="str">
        <f>IFERROR(__xludf.DUMMYFUNCTION("upper(Regexreplace(to_text(E1730),""[^A-Za-z0-9]"","""")&amp;""-""&amp;Regexreplace(to_text(F1730),""[^A-Za-z0-9]"",""""))"),"NEPTRONIC-EVCBSERIES")</f>
        <v>NEPTRONIC-EVCBSERIES</v>
      </c>
    </row>
    <row r="1731" ht="30.0" customHeight="1">
      <c r="A1731" s="173">
        <v>1723.0</v>
      </c>
      <c r="B1731" s="328" t="s">
        <v>670</v>
      </c>
      <c r="C1731" s="257" t="s">
        <v>6665</v>
      </c>
      <c r="D1731" s="173" t="s">
        <v>6665</v>
      </c>
      <c r="E1731" s="174" t="s">
        <v>2861</v>
      </c>
      <c r="F1731" s="173" t="s">
        <v>2862</v>
      </c>
      <c r="G1731" s="328" t="s">
        <v>673</v>
      </c>
      <c r="H1731" s="328" t="s">
        <v>2863</v>
      </c>
      <c r="I1731" s="258" t="s">
        <v>2864</v>
      </c>
      <c r="J1731" s="259" t="s">
        <v>1272</v>
      </c>
      <c r="K1731" s="260"/>
      <c r="L1731" s="359"/>
      <c r="M1731" s="359"/>
      <c r="N1731" s="173" t="s">
        <v>679</v>
      </c>
      <c r="O1731" s="173" t="s">
        <v>225</v>
      </c>
      <c r="P1731" s="262" t="str">
        <f t="shared" si="1"/>
        <v>IN-BLR-ANANTA-VAV-1303_8</v>
      </c>
      <c r="Q1731" s="173" t="s">
        <v>6666</v>
      </c>
      <c r="R1731" s="328" t="str">
        <f>IFS(C1731="","",C1731="n/a","N/A",LEN(C1731),Concatenate("{",char(34),"asset",char(34),":{",char(34),"guid",char(34),":",char(34),Q1731,char(34),",",char(34),"site",char(34),":",char(34),LOWER('2-Building'!$B$4),char(34),",",char(34),"name",char(34),":",char(34),LOWER(C1731),char(34),"}}"))</f>
        <v>{"asset":{"guid":"uuid://8c6acade-200d-4d61-93c8-5061ab041bcf","site":"in-blr-ananta","name":"vav-1303"}}</v>
      </c>
      <c r="S1731" s="360" t="s">
        <v>5516</v>
      </c>
      <c r="T1731" s="330"/>
      <c r="U1731" s="330"/>
      <c r="V1731" s="331"/>
      <c r="W1731" s="332"/>
      <c r="X1731" s="333"/>
      <c r="Y1731" s="33" t="s">
        <v>2867</v>
      </c>
      <c r="Z1731" s="258">
        <v>121303.0</v>
      </c>
      <c r="AA1731" s="334">
        <v>11649.0</v>
      </c>
      <c r="AB1731" s="333"/>
      <c r="AC1731" s="333"/>
      <c r="AD1731" s="329"/>
      <c r="AE1731" s="331"/>
      <c r="AF1731" s="336"/>
      <c r="AG1731" s="337"/>
      <c r="AH1731" s="333"/>
      <c r="AI1731" s="333"/>
      <c r="AJ1731" s="333"/>
      <c r="AK1731" s="333"/>
      <c r="AL1731" s="333"/>
      <c r="AM1731" s="338"/>
      <c r="AN1731" s="333"/>
      <c r="AO1731" s="333"/>
      <c r="AP1731" s="333"/>
      <c r="AQ1731" s="333"/>
      <c r="AR1731" s="333"/>
      <c r="AS1731" s="333"/>
      <c r="AT1731" s="333"/>
      <c r="AU1731" s="329"/>
      <c r="AV1731" s="341"/>
      <c r="AW1731" s="269" t="s">
        <v>2486</v>
      </c>
      <c r="AX1731" s="334" t="s">
        <v>2869</v>
      </c>
      <c r="AY1731" s="270" t="s">
        <v>695</v>
      </c>
      <c r="AZ1731" s="173" t="s">
        <v>5516</v>
      </c>
      <c r="BA1731" s="265">
        <v>10.0</v>
      </c>
      <c r="BB1731" s="174" t="s">
        <v>245</v>
      </c>
      <c r="BC1731" s="341"/>
      <c r="BD1731" s="308"/>
      <c r="BE1731" s="342"/>
      <c r="BF1731" s="274" t="str">
        <f>IFERROR(__xludf.DUMMYFUNCTION("LOWER(Regexreplace(to_text(E1731),""[^A-Za-z0-9]"","""")&amp;""_""&amp;Regexreplace(to_text(F1731),""[^A-Za-z0-9]"",""""))"),"neptronic_evcbseries")</f>
        <v>neptronic_evcbseries</v>
      </c>
      <c r="BG1731" s="275" t="str">
        <f>IFERROR(__xludf.DUMMYFUNCTION("upper(Regexreplace(to_text(E1731),""[^A-Za-z0-9]"","""")&amp;""-""&amp;Regexreplace(to_text(F1731),""[^A-Za-z0-9]"",""""))"),"NEPTRONIC-EVCBSERIES")</f>
        <v>NEPTRONIC-EVCBSERIES</v>
      </c>
    </row>
    <row r="1732" ht="30.0" customHeight="1">
      <c r="A1732" s="258">
        <v>1724.0</v>
      </c>
      <c r="B1732" s="328" t="s">
        <v>670</v>
      </c>
      <c r="C1732" s="257" t="s">
        <v>6667</v>
      </c>
      <c r="D1732" s="173" t="s">
        <v>6667</v>
      </c>
      <c r="E1732" s="174" t="s">
        <v>2861</v>
      </c>
      <c r="F1732" s="173" t="s">
        <v>2862</v>
      </c>
      <c r="G1732" s="328" t="s">
        <v>673</v>
      </c>
      <c r="H1732" s="328" t="s">
        <v>2863</v>
      </c>
      <c r="I1732" s="258" t="s">
        <v>2864</v>
      </c>
      <c r="J1732" s="259" t="s">
        <v>1272</v>
      </c>
      <c r="K1732" s="260"/>
      <c r="L1732" s="359"/>
      <c r="M1732" s="359"/>
      <c r="N1732" s="173" t="s">
        <v>679</v>
      </c>
      <c r="O1732" s="173" t="s">
        <v>225</v>
      </c>
      <c r="P1732" s="262" t="str">
        <f t="shared" si="1"/>
        <v>IN-BLR-ANANTA-VAV-1304_8</v>
      </c>
      <c r="Q1732" s="173" t="s">
        <v>6668</v>
      </c>
      <c r="R1732" s="328" t="str">
        <f>IFS(C1732="","",C1732="n/a","N/A",LEN(C1732),Concatenate("{",char(34),"asset",char(34),":{",char(34),"guid",char(34),":",char(34),Q1732,char(34),",",char(34),"site",char(34),":",char(34),LOWER('2-Building'!$B$4),char(34),",",char(34),"name",char(34),":",char(34),LOWER(C1732),char(34),"}}"))</f>
        <v>{"asset":{"guid":"uuid://3ea491a6-19bd-4f4e-93fe-8299fe848463","site":"in-blr-ananta","name":"vav-1304"}}</v>
      </c>
      <c r="S1732" s="360" t="s">
        <v>5516</v>
      </c>
      <c r="T1732" s="330"/>
      <c r="U1732" s="330"/>
      <c r="V1732" s="331"/>
      <c r="W1732" s="332"/>
      <c r="X1732" s="333"/>
      <c r="Y1732" s="33" t="s">
        <v>2867</v>
      </c>
      <c r="Z1732" s="258">
        <v>121304.0</v>
      </c>
      <c r="AA1732" s="334">
        <v>11649.0</v>
      </c>
      <c r="AB1732" s="333"/>
      <c r="AC1732" s="333"/>
      <c r="AD1732" s="329"/>
      <c r="AE1732" s="331"/>
      <c r="AF1732" s="336"/>
      <c r="AG1732" s="337"/>
      <c r="AH1732" s="333"/>
      <c r="AI1732" s="333"/>
      <c r="AJ1732" s="333"/>
      <c r="AK1732" s="333"/>
      <c r="AL1732" s="333"/>
      <c r="AM1732" s="338"/>
      <c r="AN1732" s="333"/>
      <c r="AO1732" s="333"/>
      <c r="AP1732" s="333"/>
      <c r="AQ1732" s="333"/>
      <c r="AR1732" s="333"/>
      <c r="AS1732" s="333"/>
      <c r="AT1732" s="333"/>
      <c r="AU1732" s="329"/>
      <c r="AV1732" s="341"/>
      <c r="AW1732" s="269" t="s">
        <v>2486</v>
      </c>
      <c r="AX1732" s="334" t="s">
        <v>2869</v>
      </c>
      <c r="AY1732" s="270" t="s">
        <v>695</v>
      </c>
      <c r="AZ1732" s="173" t="s">
        <v>5516</v>
      </c>
      <c r="BA1732" s="265">
        <v>10.0</v>
      </c>
      <c r="BB1732" s="174" t="s">
        <v>245</v>
      </c>
      <c r="BC1732" s="341"/>
      <c r="BD1732" s="308"/>
      <c r="BE1732" s="342"/>
      <c r="BF1732" s="274" t="str">
        <f>IFERROR(__xludf.DUMMYFUNCTION("LOWER(Regexreplace(to_text(E1732),""[^A-Za-z0-9]"","""")&amp;""_""&amp;Regexreplace(to_text(F1732),""[^A-Za-z0-9]"",""""))"),"neptronic_evcbseries")</f>
        <v>neptronic_evcbseries</v>
      </c>
      <c r="BG1732" s="275" t="str">
        <f>IFERROR(__xludf.DUMMYFUNCTION("upper(Regexreplace(to_text(E1732),""[^A-Za-z0-9]"","""")&amp;""-""&amp;Regexreplace(to_text(F1732),""[^A-Za-z0-9]"",""""))"),"NEPTRONIC-EVCBSERIES")</f>
        <v>NEPTRONIC-EVCBSERIES</v>
      </c>
    </row>
    <row r="1733" ht="30.0" customHeight="1">
      <c r="A1733" s="173">
        <v>1725.0</v>
      </c>
      <c r="B1733" s="328" t="s">
        <v>670</v>
      </c>
      <c r="C1733" s="257" t="s">
        <v>6669</v>
      </c>
      <c r="D1733" s="173" t="s">
        <v>6669</v>
      </c>
      <c r="E1733" s="174" t="s">
        <v>2861</v>
      </c>
      <c r="F1733" s="173" t="s">
        <v>2862</v>
      </c>
      <c r="G1733" s="328" t="s">
        <v>673</v>
      </c>
      <c r="H1733" s="328" t="s">
        <v>2863</v>
      </c>
      <c r="I1733" s="258" t="s">
        <v>2864</v>
      </c>
      <c r="J1733" s="259" t="s">
        <v>1272</v>
      </c>
      <c r="K1733" s="260"/>
      <c r="L1733" s="359"/>
      <c r="M1733" s="359"/>
      <c r="N1733" s="173" t="s">
        <v>679</v>
      </c>
      <c r="O1733" s="173" t="s">
        <v>225</v>
      </c>
      <c r="P1733" s="262" t="str">
        <f t="shared" si="1"/>
        <v>IN-BLR-ANANTA-VAV-1305_8</v>
      </c>
      <c r="Q1733" s="173" t="s">
        <v>6670</v>
      </c>
      <c r="R1733" s="328" t="str">
        <f>IFS(C1733="","",C1733="n/a","N/A",LEN(C1733),Concatenate("{",char(34),"asset",char(34),":{",char(34),"guid",char(34),":",char(34),Q1733,char(34),",",char(34),"site",char(34),":",char(34),LOWER('2-Building'!$B$4),char(34),",",char(34),"name",char(34),":",char(34),LOWER(C1733),char(34),"}}"))</f>
        <v>{"asset":{"guid":"uuid://f3c66135-364d-4946-a812-de772b3b2708","site":"in-blr-ananta","name":"vav-1305"}}</v>
      </c>
      <c r="S1733" s="360" t="s">
        <v>5516</v>
      </c>
      <c r="T1733" s="330"/>
      <c r="U1733" s="330"/>
      <c r="V1733" s="331"/>
      <c r="W1733" s="332"/>
      <c r="X1733" s="333"/>
      <c r="Y1733" s="33" t="s">
        <v>2867</v>
      </c>
      <c r="Z1733" s="258">
        <v>121305.0</v>
      </c>
      <c r="AA1733" s="334">
        <v>11649.0</v>
      </c>
      <c r="AB1733" s="333"/>
      <c r="AC1733" s="333"/>
      <c r="AD1733" s="329"/>
      <c r="AE1733" s="331"/>
      <c r="AF1733" s="336"/>
      <c r="AG1733" s="337"/>
      <c r="AH1733" s="333"/>
      <c r="AI1733" s="333"/>
      <c r="AJ1733" s="333"/>
      <c r="AK1733" s="333"/>
      <c r="AL1733" s="333"/>
      <c r="AM1733" s="338"/>
      <c r="AN1733" s="333"/>
      <c r="AO1733" s="333"/>
      <c r="AP1733" s="333"/>
      <c r="AQ1733" s="333"/>
      <c r="AR1733" s="333"/>
      <c r="AS1733" s="333"/>
      <c r="AT1733" s="333"/>
      <c r="AU1733" s="329"/>
      <c r="AV1733" s="341"/>
      <c r="AW1733" s="269" t="s">
        <v>2486</v>
      </c>
      <c r="AX1733" s="334" t="s">
        <v>2869</v>
      </c>
      <c r="AY1733" s="270" t="s">
        <v>695</v>
      </c>
      <c r="AZ1733" s="173" t="s">
        <v>5516</v>
      </c>
      <c r="BA1733" s="265">
        <v>10.0</v>
      </c>
      <c r="BB1733" s="174" t="s">
        <v>245</v>
      </c>
      <c r="BC1733" s="341"/>
      <c r="BD1733" s="308"/>
      <c r="BE1733" s="342"/>
      <c r="BF1733" s="274" t="str">
        <f>IFERROR(__xludf.DUMMYFUNCTION("LOWER(Regexreplace(to_text(E1733),""[^A-Za-z0-9]"","""")&amp;""_""&amp;Regexreplace(to_text(F1733),""[^A-Za-z0-9]"",""""))"),"neptronic_evcbseries")</f>
        <v>neptronic_evcbseries</v>
      </c>
      <c r="BG1733" s="275" t="str">
        <f>IFERROR(__xludf.DUMMYFUNCTION("upper(Regexreplace(to_text(E1733),""[^A-Za-z0-9]"","""")&amp;""-""&amp;Regexreplace(to_text(F1733),""[^A-Za-z0-9]"",""""))"),"NEPTRONIC-EVCBSERIES")</f>
        <v>NEPTRONIC-EVCBSERIES</v>
      </c>
    </row>
    <row r="1734" ht="30.0" customHeight="1">
      <c r="A1734" s="258">
        <v>1726.0</v>
      </c>
      <c r="B1734" s="328" t="s">
        <v>670</v>
      </c>
      <c r="C1734" s="257" t="s">
        <v>6671</v>
      </c>
      <c r="D1734" s="173" t="s">
        <v>6671</v>
      </c>
      <c r="E1734" s="174" t="s">
        <v>2861</v>
      </c>
      <c r="F1734" s="173" t="s">
        <v>2862</v>
      </c>
      <c r="G1734" s="328" t="s">
        <v>673</v>
      </c>
      <c r="H1734" s="328" t="s">
        <v>2863</v>
      </c>
      <c r="I1734" s="258" t="s">
        <v>2864</v>
      </c>
      <c r="J1734" s="259" t="s">
        <v>1272</v>
      </c>
      <c r="K1734" s="260"/>
      <c r="L1734" s="359"/>
      <c r="M1734" s="359"/>
      <c r="N1734" s="173" t="s">
        <v>679</v>
      </c>
      <c r="O1734" s="173" t="s">
        <v>225</v>
      </c>
      <c r="P1734" s="262" t="str">
        <f t="shared" si="1"/>
        <v>IN-BLR-ANANTA-VAV-1306_8</v>
      </c>
      <c r="Q1734" s="173" t="s">
        <v>6672</v>
      </c>
      <c r="R1734" s="328" t="str">
        <f>IFS(C1734="","",C1734="n/a","N/A",LEN(C1734),Concatenate("{",char(34),"asset",char(34),":{",char(34),"guid",char(34),":",char(34),Q1734,char(34),",",char(34),"site",char(34),":",char(34),LOWER('2-Building'!$B$4),char(34),",",char(34),"name",char(34),":",char(34),LOWER(C1734),char(34),"}}"))</f>
        <v>{"asset":{"guid":"uuid://796dfbdd-9150-4c9d-9904-f5767fef56bb","site":"in-blr-ananta","name":"vav-1306"}}</v>
      </c>
      <c r="S1734" s="360" t="s">
        <v>5516</v>
      </c>
      <c r="T1734" s="330"/>
      <c r="U1734" s="330"/>
      <c r="V1734" s="331"/>
      <c r="W1734" s="332"/>
      <c r="X1734" s="333"/>
      <c r="Y1734" s="33" t="s">
        <v>2867</v>
      </c>
      <c r="Z1734" s="258">
        <v>121306.0</v>
      </c>
      <c r="AA1734" s="334">
        <v>11649.0</v>
      </c>
      <c r="AB1734" s="333"/>
      <c r="AC1734" s="333"/>
      <c r="AD1734" s="329"/>
      <c r="AE1734" s="331"/>
      <c r="AF1734" s="336"/>
      <c r="AG1734" s="337"/>
      <c r="AH1734" s="333"/>
      <c r="AI1734" s="333"/>
      <c r="AJ1734" s="333"/>
      <c r="AK1734" s="333"/>
      <c r="AL1734" s="333"/>
      <c r="AM1734" s="338"/>
      <c r="AN1734" s="333"/>
      <c r="AO1734" s="333"/>
      <c r="AP1734" s="333"/>
      <c r="AQ1734" s="333"/>
      <c r="AR1734" s="333"/>
      <c r="AS1734" s="333"/>
      <c r="AT1734" s="333"/>
      <c r="AU1734" s="329"/>
      <c r="AV1734" s="341"/>
      <c r="AW1734" s="269" t="s">
        <v>2486</v>
      </c>
      <c r="AX1734" s="334" t="s">
        <v>2869</v>
      </c>
      <c r="AY1734" s="270" t="s">
        <v>695</v>
      </c>
      <c r="AZ1734" s="173" t="s">
        <v>5516</v>
      </c>
      <c r="BA1734" s="265">
        <v>10.0</v>
      </c>
      <c r="BB1734" s="174" t="s">
        <v>245</v>
      </c>
      <c r="BC1734" s="341"/>
      <c r="BD1734" s="308"/>
      <c r="BE1734" s="342"/>
      <c r="BF1734" s="274" t="str">
        <f>IFERROR(__xludf.DUMMYFUNCTION("LOWER(Regexreplace(to_text(E1734),""[^A-Za-z0-9]"","""")&amp;""_""&amp;Regexreplace(to_text(F1734),""[^A-Za-z0-9]"",""""))"),"neptronic_evcbseries")</f>
        <v>neptronic_evcbseries</v>
      </c>
      <c r="BG1734" s="275" t="str">
        <f>IFERROR(__xludf.DUMMYFUNCTION("upper(Regexreplace(to_text(E1734),""[^A-Za-z0-9]"","""")&amp;""-""&amp;Regexreplace(to_text(F1734),""[^A-Za-z0-9]"",""""))"),"NEPTRONIC-EVCBSERIES")</f>
        <v>NEPTRONIC-EVCBSERIES</v>
      </c>
    </row>
    <row r="1735" ht="30.0" customHeight="1">
      <c r="A1735" s="173">
        <v>1727.0</v>
      </c>
      <c r="B1735" s="328" t="s">
        <v>670</v>
      </c>
      <c r="C1735" s="257" t="s">
        <v>6673</v>
      </c>
      <c r="D1735" s="173" t="s">
        <v>6673</v>
      </c>
      <c r="E1735" s="174" t="s">
        <v>2861</v>
      </c>
      <c r="F1735" s="173" t="s">
        <v>2862</v>
      </c>
      <c r="G1735" s="328" t="s">
        <v>673</v>
      </c>
      <c r="H1735" s="328" t="s">
        <v>2863</v>
      </c>
      <c r="I1735" s="258" t="s">
        <v>2864</v>
      </c>
      <c r="J1735" s="259" t="s">
        <v>1272</v>
      </c>
      <c r="K1735" s="260"/>
      <c r="L1735" s="359"/>
      <c r="M1735" s="359"/>
      <c r="N1735" s="173" t="s">
        <v>679</v>
      </c>
      <c r="O1735" s="173" t="s">
        <v>225</v>
      </c>
      <c r="P1735" s="262" t="str">
        <f t="shared" si="1"/>
        <v>IN-BLR-ANANTA-VAV-1307_8</v>
      </c>
      <c r="Q1735" s="173" t="s">
        <v>6674</v>
      </c>
      <c r="R1735" s="328" t="str">
        <f>IFS(C1735="","",C1735="n/a","N/A",LEN(C1735),Concatenate("{",char(34),"asset",char(34),":{",char(34),"guid",char(34),":",char(34),Q1735,char(34),",",char(34),"site",char(34),":",char(34),LOWER('2-Building'!$B$4),char(34),",",char(34),"name",char(34),":",char(34),LOWER(C1735),char(34),"}}"))</f>
        <v>{"asset":{"guid":"uuid://a38b734d-c1fb-480f-9d08-85f9f03636e0","site":"in-blr-ananta","name":"vav-1307"}}</v>
      </c>
      <c r="S1735" s="360" t="s">
        <v>5516</v>
      </c>
      <c r="T1735" s="330"/>
      <c r="U1735" s="330"/>
      <c r="V1735" s="331"/>
      <c r="W1735" s="332"/>
      <c r="X1735" s="333"/>
      <c r="Y1735" s="33" t="s">
        <v>2867</v>
      </c>
      <c r="Z1735" s="258">
        <v>121307.0</v>
      </c>
      <c r="AA1735" s="334">
        <v>11649.0</v>
      </c>
      <c r="AB1735" s="333"/>
      <c r="AC1735" s="333"/>
      <c r="AD1735" s="329"/>
      <c r="AE1735" s="331"/>
      <c r="AF1735" s="336"/>
      <c r="AG1735" s="337"/>
      <c r="AH1735" s="333"/>
      <c r="AI1735" s="333"/>
      <c r="AJ1735" s="333"/>
      <c r="AK1735" s="333"/>
      <c r="AL1735" s="333"/>
      <c r="AM1735" s="338"/>
      <c r="AN1735" s="333"/>
      <c r="AO1735" s="333"/>
      <c r="AP1735" s="333"/>
      <c r="AQ1735" s="333"/>
      <c r="AR1735" s="333"/>
      <c r="AS1735" s="333"/>
      <c r="AT1735" s="333"/>
      <c r="AU1735" s="329"/>
      <c r="AV1735" s="341"/>
      <c r="AW1735" s="269" t="s">
        <v>2486</v>
      </c>
      <c r="AX1735" s="334" t="s">
        <v>2869</v>
      </c>
      <c r="AY1735" s="270" t="s">
        <v>695</v>
      </c>
      <c r="AZ1735" s="173" t="s">
        <v>5516</v>
      </c>
      <c r="BA1735" s="265">
        <v>10.0</v>
      </c>
      <c r="BB1735" s="174" t="s">
        <v>245</v>
      </c>
      <c r="BC1735" s="341"/>
      <c r="BD1735" s="308"/>
      <c r="BE1735" s="342"/>
      <c r="BF1735" s="274" t="str">
        <f>IFERROR(__xludf.DUMMYFUNCTION("LOWER(Regexreplace(to_text(E1735),""[^A-Za-z0-9]"","""")&amp;""_""&amp;Regexreplace(to_text(F1735),""[^A-Za-z0-9]"",""""))"),"neptronic_evcbseries")</f>
        <v>neptronic_evcbseries</v>
      </c>
      <c r="BG1735" s="275" t="str">
        <f>IFERROR(__xludf.DUMMYFUNCTION("upper(Regexreplace(to_text(E1735),""[^A-Za-z0-9]"","""")&amp;""-""&amp;Regexreplace(to_text(F1735),""[^A-Za-z0-9]"",""""))"),"NEPTRONIC-EVCBSERIES")</f>
        <v>NEPTRONIC-EVCBSERIES</v>
      </c>
    </row>
    <row r="1736" ht="30.0" customHeight="1">
      <c r="A1736" s="258">
        <v>1728.0</v>
      </c>
      <c r="B1736" s="328" t="s">
        <v>670</v>
      </c>
      <c r="C1736" s="257" t="s">
        <v>6675</v>
      </c>
      <c r="D1736" s="173" t="s">
        <v>6675</v>
      </c>
      <c r="E1736" s="174" t="s">
        <v>2861</v>
      </c>
      <c r="F1736" s="173" t="s">
        <v>2862</v>
      </c>
      <c r="G1736" s="328" t="s">
        <v>673</v>
      </c>
      <c r="H1736" s="328" t="s">
        <v>2863</v>
      </c>
      <c r="I1736" s="258" t="s">
        <v>2864</v>
      </c>
      <c r="J1736" s="259" t="s">
        <v>1272</v>
      </c>
      <c r="K1736" s="260"/>
      <c r="L1736" s="359"/>
      <c r="M1736" s="359"/>
      <c r="N1736" s="173" t="s">
        <v>679</v>
      </c>
      <c r="O1736" s="173" t="s">
        <v>225</v>
      </c>
      <c r="P1736" s="262" t="str">
        <f t="shared" si="1"/>
        <v>IN-BLR-ANANTA-VAV-1308_8</v>
      </c>
      <c r="Q1736" s="173" t="s">
        <v>6676</v>
      </c>
      <c r="R1736" s="328" t="str">
        <f>IFS(C1736="","",C1736="n/a","N/A",LEN(C1736),Concatenate("{",char(34),"asset",char(34),":{",char(34),"guid",char(34),":",char(34),Q1736,char(34),",",char(34),"site",char(34),":",char(34),LOWER('2-Building'!$B$4),char(34),",",char(34),"name",char(34),":",char(34),LOWER(C1736),char(34),"}}"))</f>
        <v>{"asset":{"guid":"uuid://83dd3d8c-5c2a-470d-95e5-a53f1c43abda","site":"in-blr-ananta","name":"vav-1308"}}</v>
      </c>
      <c r="S1736" s="360" t="s">
        <v>5516</v>
      </c>
      <c r="T1736" s="330"/>
      <c r="U1736" s="330"/>
      <c r="V1736" s="331"/>
      <c r="W1736" s="332"/>
      <c r="X1736" s="333"/>
      <c r="Y1736" s="33" t="s">
        <v>2867</v>
      </c>
      <c r="Z1736" s="258">
        <v>121308.0</v>
      </c>
      <c r="AA1736" s="334">
        <v>11649.0</v>
      </c>
      <c r="AB1736" s="333"/>
      <c r="AC1736" s="333"/>
      <c r="AD1736" s="329"/>
      <c r="AE1736" s="331"/>
      <c r="AF1736" s="336"/>
      <c r="AG1736" s="337"/>
      <c r="AH1736" s="333"/>
      <c r="AI1736" s="333"/>
      <c r="AJ1736" s="333"/>
      <c r="AK1736" s="333"/>
      <c r="AL1736" s="333"/>
      <c r="AM1736" s="338"/>
      <c r="AN1736" s="333"/>
      <c r="AO1736" s="333"/>
      <c r="AP1736" s="333"/>
      <c r="AQ1736" s="333"/>
      <c r="AR1736" s="333"/>
      <c r="AS1736" s="333"/>
      <c r="AT1736" s="333"/>
      <c r="AU1736" s="329"/>
      <c r="AV1736" s="341"/>
      <c r="AW1736" s="269" t="s">
        <v>2486</v>
      </c>
      <c r="AX1736" s="334" t="s">
        <v>2869</v>
      </c>
      <c r="AY1736" s="270" t="s">
        <v>695</v>
      </c>
      <c r="AZ1736" s="173" t="s">
        <v>5516</v>
      </c>
      <c r="BA1736" s="265">
        <v>10.0</v>
      </c>
      <c r="BB1736" s="174" t="s">
        <v>245</v>
      </c>
      <c r="BC1736" s="341"/>
      <c r="BD1736" s="308"/>
      <c r="BE1736" s="342"/>
      <c r="BF1736" s="274" t="str">
        <f>IFERROR(__xludf.DUMMYFUNCTION("LOWER(Regexreplace(to_text(E1736),""[^A-Za-z0-9]"","""")&amp;""_""&amp;Regexreplace(to_text(F1736),""[^A-Za-z0-9]"",""""))"),"neptronic_evcbseries")</f>
        <v>neptronic_evcbseries</v>
      </c>
      <c r="BG1736" s="275" t="str">
        <f>IFERROR(__xludf.DUMMYFUNCTION("upper(Regexreplace(to_text(E1736),""[^A-Za-z0-9]"","""")&amp;""-""&amp;Regexreplace(to_text(F1736),""[^A-Za-z0-9]"",""""))"),"NEPTRONIC-EVCBSERIES")</f>
        <v>NEPTRONIC-EVCBSERIES</v>
      </c>
    </row>
    <row r="1737" ht="30.0" customHeight="1">
      <c r="A1737" s="173">
        <v>1729.0</v>
      </c>
      <c r="B1737" s="328" t="s">
        <v>670</v>
      </c>
      <c r="C1737" s="257" t="s">
        <v>6677</v>
      </c>
      <c r="D1737" s="173" t="s">
        <v>6677</v>
      </c>
      <c r="E1737" s="174" t="s">
        <v>2861</v>
      </c>
      <c r="F1737" s="173" t="s">
        <v>2862</v>
      </c>
      <c r="G1737" s="328" t="s">
        <v>673</v>
      </c>
      <c r="H1737" s="328" t="s">
        <v>2863</v>
      </c>
      <c r="I1737" s="258" t="s">
        <v>2864</v>
      </c>
      <c r="J1737" s="259" t="s">
        <v>1272</v>
      </c>
      <c r="K1737" s="260"/>
      <c r="L1737" s="359"/>
      <c r="M1737" s="359"/>
      <c r="N1737" s="173" t="s">
        <v>679</v>
      </c>
      <c r="O1737" s="173" t="s">
        <v>225</v>
      </c>
      <c r="P1737" s="262" t="str">
        <f t="shared" si="1"/>
        <v>IN-BLR-ANANTA-VAV-1309_8</v>
      </c>
      <c r="Q1737" s="173" t="s">
        <v>6678</v>
      </c>
      <c r="R1737" s="328" t="str">
        <f>IFS(C1737="","",C1737="n/a","N/A",LEN(C1737),Concatenate("{",char(34),"asset",char(34),":{",char(34),"guid",char(34),":",char(34),Q1737,char(34),",",char(34),"site",char(34),":",char(34),LOWER('2-Building'!$B$4),char(34),",",char(34),"name",char(34),":",char(34),LOWER(C1737),char(34),"}}"))</f>
        <v>{"asset":{"guid":"uuid://7a8e1aaa-5e43-4b33-8dac-b1572fab502d","site":"in-blr-ananta","name":"vav-1309"}}</v>
      </c>
      <c r="S1737" s="360" t="s">
        <v>5516</v>
      </c>
      <c r="T1737" s="330"/>
      <c r="U1737" s="330"/>
      <c r="V1737" s="331"/>
      <c r="W1737" s="332"/>
      <c r="X1737" s="333"/>
      <c r="Y1737" s="33" t="s">
        <v>2867</v>
      </c>
      <c r="Z1737" s="258">
        <v>121309.0</v>
      </c>
      <c r="AA1737" s="334">
        <v>11649.0</v>
      </c>
      <c r="AB1737" s="333"/>
      <c r="AC1737" s="333"/>
      <c r="AD1737" s="329"/>
      <c r="AE1737" s="331"/>
      <c r="AF1737" s="336"/>
      <c r="AG1737" s="337"/>
      <c r="AH1737" s="333"/>
      <c r="AI1737" s="333"/>
      <c r="AJ1737" s="333"/>
      <c r="AK1737" s="333"/>
      <c r="AL1737" s="333"/>
      <c r="AM1737" s="338"/>
      <c r="AN1737" s="333"/>
      <c r="AO1737" s="333"/>
      <c r="AP1737" s="333"/>
      <c r="AQ1737" s="333"/>
      <c r="AR1737" s="333"/>
      <c r="AS1737" s="333"/>
      <c r="AT1737" s="333"/>
      <c r="AU1737" s="329"/>
      <c r="AV1737" s="341"/>
      <c r="AW1737" s="269" t="s">
        <v>2486</v>
      </c>
      <c r="AX1737" s="334" t="s">
        <v>2869</v>
      </c>
      <c r="AY1737" s="270" t="s">
        <v>695</v>
      </c>
      <c r="AZ1737" s="173" t="s">
        <v>5516</v>
      </c>
      <c r="BA1737" s="265">
        <v>10.0</v>
      </c>
      <c r="BB1737" s="174" t="s">
        <v>245</v>
      </c>
      <c r="BC1737" s="341"/>
      <c r="BD1737" s="308"/>
      <c r="BE1737" s="342"/>
      <c r="BF1737" s="274" t="str">
        <f>IFERROR(__xludf.DUMMYFUNCTION("LOWER(Regexreplace(to_text(E1737),""[^A-Za-z0-9]"","""")&amp;""_""&amp;Regexreplace(to_text(F1737),""[^A-Za-z0-9]"",""""))"),"neptronic_evcbseries")</f>
        <v>neptronic_evcbseries</v>
      </c>
      <c r="BG1737" s="275" t="str">
        <f>IFERROR(__xludf.DUMMYFUNCTION("upper(Regexreplace(to_text(E1737),""[^A-Za-z0-9]"","""")&amp;""-""&amp;Regexreplace(to_text(F1737),""[^A-Za-z0-9]"",""""))"),"NEPTRONIC-EVCBSERIES")</f>
        <v>NEPTRONIC-EVCBSERIES</v>
      </c>
    </row>
    <row r="1738" ht="30.0" customHeight="1">
      <c r="A1738" s="258">
        <v>1730.0</v>
      </c>
      <c r="B1738" s="328" t="s">
        <v>670</v>
      </c>
      <c r="C1738" s="257" t="s">
        <v>6679</v>
      </c>
      <c r="D1738" s="173" t="s">
        <v>6679</v>
      </c>
      <c r="E1738" s="174" t="s">
        <v>2861</v>
      </c>
      <c r="F1738" s="173" t="s">
        <v>2862</v>
      </c>
      <c r="G1738" s="328" t="s">
        <v>673</v>
      </c>
      <c r="H1738" s="328" t="s">
        <v>2863</v>
      </c>
      <c r="I1738" s="258" t="s">
        <v>2864</v>
      </c>
      <c r="J1738" s="259" t="s">
        <v>1272</v>
      </c>
      <c r="K1738" s="260"/>
      <c r="L1738" s="359"/>
      <c r="M1738" s="359"/>
      <c r="N1738" s="173" t="s">
        <v>679</v>
      </c>
      <c r="O1738" s="173" t="s">
        <v>225</v>
      </c>
      <c r="P1738" s="262" t="str">
        <f t="shared" si="1"/>
        <v>IN-BLR-ANANTA-VAV-1310_8</v>
      </c>
      <c r="Q1738" s="173" t="s">
        <v>6680</v>
      </c>
      <c r="R1738" s="328" t="str">
        <f>IFS(C1738="","",C1738="n/a","N/A",LEN(C1738),Concatenate("{",char(34),"asset",char(34),":{",char(34),"guid",char(34),":",char(34),Q1738,char(34),",",char(34),"site",char(34),":",char(34),LOWER('2-Building'!$B$4),char(34),",",char(34),"name",char(34),":",char(34),LOWER(C1738),char(34),"}}"))</f>
        <v>{"asset":{"guid":"uuid://4540b217-30e6-492d-a0e0-29dfc0bcd6e9","site":"in-blr-ananta","name":"vav-1310"}}</v>
      </c>
      <c r="S1738" s="360" t="s">
        <v>5516</v>
      </c>
      <c r="T1738" s="330"/>
      <c r="U1738" s="330"/>
      <c r="V1738" s="331"/>
      <c r="W1738" s="332"/>
      <c r="X1738" s="333"/>
      <c r="Y1738" s="33" t="s">
        <v>2867</v>
      </c>
      <c r="Z1738" s="258">
        <v>121310.0</v>
      </c>
      <c r="AA1738" s="334">
        <v>11649.0</v>
      </c>
      <c r="AB1738" s="333"/>
      <c r="AC1738" s="333"/>
      <c r="AD1738" s="329"/>
      <c r="AE1738" s="331"/>
      <c r="AF1738" s="336"/>
      <c r="AG1738" s="337"/>
      <c r="AH1738" s="333"/>
      <c r="AI1738" s="333"/>
      <c r="AJ1738" s="333"/>
      <c r="AK1738" s="333"/>
      <c r="AL1738" s="333"/>
      <c r="AM1738" s="338"/>
      <c r="AN1738" s="333"/>
      <c r="AO1738" s="333"/>
      <c r="AP1738" s="333"/>
      <c r="AQ1738" s="333"/>
      <c r="AR1738" s="333"/>
      <c r="AS1738" s="333"/>
      <c r="AT1738" s="333"/>
      <c r="AU1738" s="329"/>
      <c r="AV1738" s="341"/>
      <c r="AW1738" s="269" t="s">
        <v>2486</v>
      </c>
      <c r="AX1738" s="334" t="s">
        <v>2869</v>
      </c>
      <c r="AY1738" s="270" t="s">
        <v>695</v>
      </c>
      <c r="AZ1738" s="173" t="s">
        <v>5516</v>
      </c>
      <c r="BA1738" s="265">
        <v>10.0</v>
      </c>
      <c r="BB1738" s="174" t="s">
        <v>245</v>
      </c>
      <c r="BC1738" s="341"/>
      <c r="BD1738" s="308"/>
      <c r="BE1738" s="342"/>
      <c r="BF1738" s="274" t="str">
        <f>IFERROR(__xludf.DUMMYFUNCTION("LOWER(Regexreplace(to_text(E1738),""[^A-Za-z0-9]"","""")&amp;""_""&amp;Regexreplace(to_text(F1738),""[^A-Za-z0-9]"",""""))"),"neptronic_evcbseries")</f>
        <v>neptronic_evcbseries</v>
      </c>
      <c r="BG1738" s="275" t="str">
        <f>IFERROR(__xludf.DUMMYFUNCTION("upper(Regexreplace(to_text(E1738),""[^A-Za-z0-9]"","""")&amp;""-""&amp;Regexreplace(to_text(F1738),""[^A-Za-z0-9]"",""""))"),"NEPTRONIC-EVCBSERIES")</f>
        <v>NEPTRONIC-EVCBSERIES</v>
      </c>
    </row>
    <row r="1739" ht="30.0" customHeight="1">
      <c r="A1739" s="173">
        <v>1731.0</v>
      </c>
      <c r="B1739" s="328" t="s">
        <v>670</v>
      </c>
      <c r="C1739" s="257" t="s">
        <v>6681</v>
      </c>
      <c r="D1739" s="173" t="s">
        <v>6681</v>
      </c>
      <c r="E1739" s="174" t="s">
        <v>2861</v>
      </c>
      <c r="F1739" s="173" t="s">
        <v>2862</v>
      </c>
      <c r="G1739" s="328" t="s">
        <v>673</v>
      </c>
      <c r="H1739" s="328" t="s">
        <v>2863</v>
      </c>
      <c r="I1739" s="258" t="s">
        <v>2864</v>
      </c>
      <c r="J1739" s="259" t="s">
        <v>1272</v>
      </c>
      <c r="K1739" s="260"/>
      <c r="L1739" s="359"/>
      <c r="M1739" s="359"/>
      <c r="N1739" s="173" t="s">
        <v>679</v>
      </c>
      <c r="O1739" s="173" t="s">
        <v>225</v>
      </c>
      <c r="P1739" s="262" t="str">
        <f t="shared" si="1"/>
        <v>IN-BLR-ANANTA-VAV-1311_8</v>
      </c>
      <c r="Q1739" s="173" t="s">
        <v>6682</v>
      </c>
      <c r="R1739" s="328" t="str">
        <f>IFS(C1739="","",C1739="n/a","N/A",LEN(C1739),Concatenate("{",char(34),"asset",char(34),":{",char(34),"guid",char(34),":",char(34),Q1739,char(34),",",char(34),"site",char(34),":",char(34),LOWER('2-Building'!$B$4),char(34),",",char(34),"name",char(34),":",char(34),LOWER(C1739),char(34),"}}"))</f>
        <v>{"asset":{"guid":"uuid://232d5b99-d129-45e3-b7f0-ce716fced4ec","site":"in-blr-ananta","name":"vav-1311"}}</v>
      </c>
      <c r="S1739" s="360" t="s">
        <v>5516</v>
      </c>
      <c r="T1739" s="330"/>
      <c r="U1739" s="330"/>
      <c r="V1739" s="331"/>
      <c r="W1739" s="332"/>
      <c r="X1739" s="333"/>
      <c r="Y1739" s="33" t="s">
        <v>2867</v>
      </c>
      <c r="Z1739" s="258">
        <v>121311.0</v>
      </c>
      <c r="AA1739" s="334">
        <v>11649.0</v>
      </c>
      <c r="AB1739" s="333"/>
      <c r="AC1739" s="333"/>
      <c r="AD1739" s="329"/>
      <c r="AE1739" s="331"/>
      <c r="AF1739" s="336"/>
      <c r="AG1739" s="337"/>
      <c r="AH1739" s="333"/>
      <c r="AI1739" s="333"/>
      <c r="AJ1739" s="333"/>
      <c r="AK1739" s="333"/>
      <c r="AL1739" s="333"/>
      <c r="AM1739" s="338"/>
      <c r="AN1739" s="333"/>
      <c r="AO1739" s="333"/>
      <c r="AP1739" s="333"/>
      <c r="AQ1739" s="333"/>
      <c r="AR1739" s="333"/>
      <c r="AS1739" s="333"/>
      <c r="AT1739" s="333"/>
      <c r="AU1739" s="329"/>
      <c r="AV1739" s="341"/>
      <c r="AW1739" s="269" t="s">
        <v>2486</v>
      </c>
      <c r="AX1739" s="334" t="s">
        <v>2869</v>
      </c>
      <c r="AY1739" s="270" t="s">
        <v>695</v>
      </c>
      <c r="AZ1739" s="173" t="s">
        <v>5516</v>
      </c>
      <c r="BA1739" s="265">
        <v>10.0</v>
      </c>
      <c r="BB1739" s="174" t="s">
        <v>245</v>
      </c>
      <c r="BC1739" s="341"/>
      <c r="BD1739" s="308"/>
      <c r="BE1739" s="342"/>
      <c r="BF1739" s="274" t="str">
        <f>IFERROR(__xludf.DUMMYFUNCTION("LOWER(Regexreplace(to_text(E1739),""[^A-Za-z0-9]"","""")&amp;""_""&amp;Regexreplace(to_text(F1739),""[^A-Za-z0-9]"",""""))"),"neptronic_evcbseries")</f>
        <v>neptronic_evcbseries</v>
      </c>
      <c r="BG1739" s="275" t="str">
        <f>IFERROR(__xludf.DUMMYFUNCTION("upper(Regexreplace(to_text(E1739),""[^A-Za-z0-9]"","""")&amp;""-""&amp;Regexreplace(to_text(F1739),""[^A-Za-z0-9]"",""""))"),"NEPTRONIC-EVCBSERIES")</f>
        <v>NEPTRONIC-EVCBSERIES</v>
      </c>
    </row>
    <row r="1740" ht="30.0" customHeight="1">
      <c r="A1740" s="258">
        <v>1732.0</v>
      </c>
      <c r="B1740" s="328" t="s">
        <v>670</v>
      </c>
      <c r="C1740" s="257" t="s">
        <v>6683</v>
      </c>
      <c r="D1740" s="173" t="s">
        <v>6683</v>
      </c>
      <c r="E1740" s="174" t="s">
        <v>2861</v>
      </c>
      <c r="F1740" s="173" t="s">
        <v>2862</v>
      </c>
      <c r="G1740" s="328" t="s">
        <v>673</v>
      </c>
      <c r="H1740" s="328" t="s">
        <v>2863</v>
      </c>
      <c r="I1740" s="258" t="s">
        <v>2864</v>
      </c>
      <c r="J1740" s="259" t="s">
        <v>1272</v>
      </c>
      <c r="K1740" s="260"/>
      <c r="L1740" s="359"/>
      <c r="M1740" s="359"/>
      <c r="N1740" s="173" t="s">
        <v>679</v>
      </c>
      <c r="O1740" s="173" t="s">
        <v>225</v>
      </c>
      <c r="P1740" s="262" t="str">
        <f t="shared" si="1"/>
        <v>IN-BLR-ANANTA-VAV-1312_8</v>
      </c>
      <c r="Q1740" s="173" t="s">
        <v>6684</v>
      </c>
      <c r="R1740" s="328" t="str">
        <f>IFS(C1740="","",C1740="n/a","N/A",LEN(C1740),Concatenate("{",char(34),"asset",char(34),":{",char(34),"guid",char(34),":",char(34),Q1740,char(34),",",char(34),"site",char(34),":",char(34),LOWER('2-Building'!$B$4),char(34),",",char(34),"name",char(34),":",char(34),LOWER(C1740),char(34),"}}"))</f>
        <v>{"asset":{"guid":"uuid://76b89001-ef0a-4ead-bf48-94647e4e0a28","site":"in-blr-ananta","name":"vav-1312"}}</v>
      </c>
      <c r="S1740" s="360" t="s">
        <v>5516</v>
      </c>
      <c r="T1740" s="330"/>
      <c r="U1740" s="330"/>
      <c r="V1740" s="331"/>
      <c r="W1740" s="332"/>
      <c r="X1740" s="333"/>
      <c r="Y1740" s="33" t="s">
        <v>2867</v>
      </c>
      <c r="Z1740" s="258">
        <v>121312.0</v>
      </c>
      <c r="AA1740" s="334">
        <v>11649.0</v>
      </c>
      <c r="AB1740" s="333"/>
      <c r="AC1740" s="333"/>
      <c r="AD1740" s="329"/>
      <c r="AE1740" s="331"/>
      <c r="AF1740" s="336"/>
      <c r="AG1740" s="337"/>
      <c r="AH1740" s="333"/>
      <c r="AI1740" s="333"/>
      <c r="AJ1740" s="333"/>
      <c r="AK1740" s="333"/>
      <c r="AL1740" s="333"/>
      <c r="AM1740" s="338"/>
      <c r="AN1740" s="333"/>
      <c r="AO1740" s="333"/>
      <c r="AP1740" s="333"/>
      <c r="AQ1740" s="333"/>
      <c r="AR1740" s="333"/>
      <c r="AS1740" s="333"/>
      <c r="AT1740" s="333"/>
      <c r="AU1740" s="329"/>
      <c r="AV1740" s="341"/>
      <c r="AW1740" s="269" t="s">
        <v>2486</v>
      </c>
      <c r="AX1740" s="334" t="s">
        <v>2869</v>
      </c>
      <c r="AY1740" s="270" t="s">
        <v>695</v>
      </c>
      <c r="AZ1740" s="173" t="s">
        <v>5516</v>
      </c>
      <c r="BA1740" s="265">
        <v>10.0</v>
      </c>
      <c r="BB1740" s="174" t="s">
        <v>245</v>
      </c>
      <c r="BC1740" s="341"/>
      <c r="BD1740" s="308"/>
      <c r="BE1740" s="342"/>
      <c r="BF1740" s="274" t="str">
        <f>IFERROR(__xludf.DUMMYFUNCTION("LOWER(Regexreplace(to_text(E1740),""[^A-Za-z0-9]"","""")&amp;""_""&amp;Regexreplace(to_text(F1740),""[^A-Za-z0-9]"",""""))"),"neptronic_evcbseries")</f>
        <v>neptronic_evcbseries</v>
      </c>
      <c r="BG1740" s="275" t="str">
        <f>IFERROR(__xludf.DUMMYFUNCTION("upper(Regexreplace(to_text(E1740),""[^A-Za-z0-9]"","""")&amp;""-""&amp;Regexreplace(to_text(F1740),""[^A-Za-z0-9]"",""""))"),"NEPTRONIC-EVCBSERIES")</f>
        <v>NEPTRONIC-EVCBSERIES</v>
      </c>
    </row>
    <row r="1741" ht="30.0" customHeight="1">
      <c r="A1741" s="173">
        <v>1733.0</v>
      </c>
      <c r="B1741" s="328" t="s">
        <v>670</v>
      </c>
      <c r="C1741" s="257" t="s">
        <v>6685</v>
      </c>
      <c r="D1741" s="173" t="s">
        <v>6685</v>
      </c>
      <c r="E1741" s="174" t="s">
        <v>2861</v>
      </c>
      <c r="F1741" s="173" t="s">
        <v>2862</v>
      </c>
      <c r="G1741" s="328" t="s">
        <v>673</v>
      </c>
      <c r="H1741" s="328" t="s">
        <v>2863</v>
      </c>
      <c r="I1741" s="258" t="s">
        <v>2864</v>
      </c>
      <c r="J1741" s="259" t="s">
        <v>1272</v>
      </c>
      <c r="K1741" s="260"/>
      <c r="L1741" s="359"/>
      <c r="M1741" s="359"/>
      <c r="N1741" s="173" t="s">
        <v>679</v>
      </c>
      <c r="O1741" s="173" t="s">
        <v>225</v>
      </c>
      <c r="P1741" s="262" t="str">
        <f t="shared" si="1"/>
        <v>IN-BLR-ANANTA-VAV-1313_8</v>
      </c>
      <c r="Q1741" s="173" t="s">
        <v>6686</v>
      </c>
      <c r="R1741" s="328" t="str">
        <f>IFS(C1741="","",C1741="n/a","N/A",LEN(C1741),Concatenate("{",char(34),"asset",char(34),":{",char(34),"guid",char(34),":",char(34),Q1741,char(34),",",char(34),"site",char(34),":",char(34),LOWER('2-Building'!$B$4),char(34),",",char(34),"name",char(34),":",char(34),LOWER(C1741),char(34),"}}"))</f>
        <v>{"asset":{"guid":"uuid://5043aab4-c00e-4a5d-8fbf-b2fc485c15b6","site":"in-blr-ananta","name":"vav-1313"}}</v>
      </c>
      <c r="S1741" s="360" t="s">
        <v>5516</v>
      </c>
      <c r="T1741" s="330"/>
      <c r="U1741" s="330"/>
      <c r="V1741" s="331"/>
      <c r="W1741" s="332"/>
      <c r="X1741" s="333"/>
      <c r="Y1741" s="33" t="s">
        <v>2867</v>
      </c>
      <c r="Z1741" s="258">
        <v>121313.0</v>
      </c>
      <c r="AA1741" s="334">
        <v>11649.0</v>
      </c>
      <c r="AB1741" s="333"/>
      <c r="AC1741" s="333"/>
      <c r="AD1741" s="329"/>
      <c r="AE1741" s="331"/>
      <c r="AF1741" s="336"/>
      <c r="AG1741" s="337"/>
      <c r="AH1741" s="333"/>
      <c r="AI1741" s="333"/>
      <c r="AJ1741" s="333"/>
      <c r="AK1741" s="333"/>
      <c r="AL1741" s="333"/>
      <c r="AM1741" s="338"/>
      <c r="AN1741" s="333"/>
      <c r="AO1741" s="333"/>
      <c r="AP1741" s="333"/>
      <c r="AQ1741" s="333"/>
      <c r="AR1741" s="333"/>
      <c r="AS1741" s="333"/>
      <c r="AT1741" s="333"/>
      <c r="AU1741" s="329"/>
      <c r="AV1741" s="341"/>
      <c r="AW1741" s="269" t="s">
        <v>2486</v>
      </c>
      <c r="AX1741" s="334" t="s">
        <v>2869</v>
      </c>
      <c r="AY1741" s="270" t="s">
        <v>695</v>
      </c>
      <c r="AZ1741" s="173" t="s">
        <v>5516</v>
      </c>
      <c r="BA1741" s="265">
        <v>10.0</v>
      </c>
      <c r="BB1741" s="174" t="s">
        <v>245</v>
      </c>
      <c r="BC1741" s="341"/>
      <c r="BD1741" s="308"/>
      <c r="BE1741" s="342"/>
      <c r="BF1741" s="274" t="str">
        <f>IFERROR(__xludf.DUMMYFUNCTION("LOWER(Regexreplace(to_text(E1741),""[^A-Za-z0-9]"","""")&amp;""_""&amp;Regexreplace(to_text(F1741),""[^A-Za-z0-9]"",""""))"),"neptronic_evcbseries")</f>
        <v>neptronic_evcbseries</v>
      </c>
      <c r="BG1741" s="275" t="str">
        <f>IFERROR(__xludf.DUMMYFUNCTION("upper(Regexreplace(to_text(E1741),""[^A-Za-z0-9]"","""")&amp;""-""&amp;Regexreplace(to_text(F1741),""[^A-Za-z0-9]"",""""))"),"NEPTRONIC-EVCBSERIES")</f>
        <v>NEPTRONIC-EVCBSERIES</v>
      </c>
    </row>
    <row r="1742" ht="30.0" customHeight="1">
      <c r="A1742" s="258">
        <v>1734.0</v>
      </c>
      <c r="B1742" s="328" t="s">
        <v>670</v>
      </c>
      <c r="C1742" s="257" t="s">
        <v>6687</v>
      </c>
      <c r="D1742" s="173" t="s">
        <v>6687</v>
      </c>
      <c r="E1742" s="174" t="s">
        <v>2861</v>
      </c>
      <c r="F1742" s="173" t="s">
        <v>2862</v>
      </c>
      <c r="G1742" s="328" t="s">
        <v>673</v>
      </c>
      <c r="H1742" s="328" t="s">
        <v>2863</v>
      </c>
      <c r="I1742" s="258" t="s">
        <v>2864</v>
      </c>
      <c r="J1742" s="259" t="s">
        <v>1272</v>
      </c>
      <c r="K1742" s="260"/>
      <c r="L1742" s="359"/>
      <c r="M1742" s="359"/>
      <c r="N1742" s="173" t="s">
        <v>679</v>
      </c>
      <c r="O1742" s="173" t="s">
        <v>225</v>
      </c>
      <c r="P1742" s="262" t="str">
        <f t="shared" si="1"/>
        <v>IN-BLR-ANANTA-VAV-1314_8</v>
      </c>
      <c r="Q1742" s="173" t="s">
        <v>6688</v>
      </c>
      <c r="R1742" s="328" t="str">
        <f>IFS(C1742="","",C1742="n/a","N/A",LEN(C1742),Concatenate("{",char(34),"asset",char(34),":{",char(34),"guid",char(34),":",char(34),Q1742,char(34),",",char(34),"site",char(34),":",char(34),LOWER('2-Building'!$B$4),char(34),",",char(34),"name",char(34),":",char(34),LOWER(C1742),char(34),"}}"))</f>
        <v>{"asset":{"guid":"uuid://19028763-a981-4351-aeca-0c4a61447379","site":"in-blr-ananta","name":"vav-1314"}}</v>
      </c>
      <c r="S1742" s="360" t="s">
        <v>5516</v>
      </c>
      <c r="T1742" s="330"/>
      <c r="U1742" s="330"/>
      <c r="V1742" s="331"/>
      <c r="W1742" s="332"/>
      <c r="X1742" s="333"/>
      <c r="Y1742" s="33" t="s">
        <v>2867</v>
      </c>
      <c r="Z1742" s="258">
        <v>121314.0</v>
      </c>
      <c r="AA1742" s="334">
        <v>11649.0</v>
      </c>
      <c r="AB1742" s="333"/>
      <c r="AC1742" s="333"/>
      <c r="AD1742" s="329"/>
      <c r="AE1742" s="331"/>
      <c r="AF1742" s="336"/>
      <c r="AG1742" s="337"/>
      <c r="AH1742" s="333"/>
      <c r="AI1742" s="333"/>
      <c r="AJ1742" s="333"/>
      <c r="AK1742" s="333"/>
      <c r="AL1742" s="333"/>
      <c r="AM1742" s="338"/>
      <c r="AN1742" s="333"/>
      <c r="AO1742" s="333"/>
      <c r="AP1742" s="333"/>
      <c r="AQ1742" s="333"/>
      <c r="AR1742" s="333"/>
      <c r="AS1742" s="333"/>
      <c r="AT1742" s="333"/>
      <c r="AU1742" s="329"/>
      <c r="AV1742" s="341"/>
      <c r="AW1742" s="269" t="s">
        <v>2486</v>
      </c>
      <c r="AX1742" s="334" t="s">
        <v>2869</v>
      </c>
      <c r="AY1742" s="270" t="s">
        <v>695</v>
      </c>
      <c r="AZ1742" s="173" t="s">
        <v>5516</v>
      </c>
      <c r="BA1742" s="265">
        <v>10.0</v>
      </c>
      <c r="BB1742" s="174" t="s">
        <v>245</v>
      </c>
      <c r="BC1742" s="341"/>
      <c r="BD1742" s="308"/>
      <c r="BE1742" s="342"/>
      <c r="BF1742" s="274" t="str">
        <f>IFERROR(__xludf.DUMMYFUNCTION("LOWER(Regexreplace(to_text(E1742),""[^A-Za-z0-9]"","""")&amp;""_""&amp;Regexreplace(to_text(F1742),""[^A-Za-z0-9]"",""""))"),"neptronic_evcbseries")</f>
        <v>neptronic_evcbseries</v>
      </c>
      <c r="BG1742" s="275" t="str">
        <f>IFERROR(__xludf.DUMMYFUNCTION("upper(Regexreplace(to_text(E1742),""[^A-Za-z0-9]"","""")&amp;""-""&amp;Regexreplace(to_text(F1742),""[^A-Za-z0-9]"",""""))"),"NEPTRONIC-EVCBSERIES")</f>
        <v>NEPTRONIC-EVCBSERIES</v>
      </c>
    </row>
    <row r="1743" ht="30.0" customHeight="1">
      <c r="A1743" s="173">
        <v>1735.0</v>
      </c>
      <c r="B1743" s="328" t="s">
        <v>670</v>
      </c>
      <c r="C1743" s="257" t="s">
        <v>6689</v>
      </c>
      <c r="D1743" s="173" t="s">
        <v>6689</v>
      </c>
      <c r="E1743" s="174" t="s">
        <v>2861</v>
      </c>
      <c r="F1743" s="173" t="s">
        <v>2862</v>
      </c>
      <c r="G1743" s="328" t="s">
        <v>673</v>
      </c>
      <c r="H1743" s="328" t="s">
        <v>2863</v>
      </c>
      <c r="I1743" s="258" t="s">
        <v>2864</v>
      </c>
      <c r="J1743" s="259" t="s">
        <v>1272</v>
      </c>
      <c r="K1743" s="260"/>
      <c r="L1743" s="359"/>
      <c r="M1743" s="359"/>
      <c r="N1743" s="173" t="s">
        <v>679</v>
      </c>
      <c r="O1743" s="173" t="s">
        <v>225</v>
      </c>
      <c r="P1743" s="262" t="str">
        <f t="shared" si="1"/>
        <v>IN-BLR-ANANTA-VAV-1315_8</v>
      </c>
      <c r="Q1743" s="173" t="s">
        <v>6690</v>
      </c>
      <c r="R1743" s="328" t="str">
        <f>IFS(C1743="","",C1743="n/a","N/A",LEN(C1743),Concatenate("{",char(34),"asset",char(34),":{",char(34),"guid",char(34),":",char(34),Q1743,char(34),",",char(34),"site",char(34),":",char(34),LOWER('2-Building'!$B$4),char(34),",",char(34),"name",char(34),":",char(34),LOWER(C1743),char(34),"}}"))</f>
        <v>{"asset":{"guid":"uuid://b1632cf8-5a18-40fd-a4a2-1ff50905ce38","site":"in-blr-ananta","name":"vav-1315"}}</v>
      </c>
      <c r="S1743" s="360" t="s">
        <v>5516</v>
      </c>
      <c r="T1743" s="330"/>
      <c r="U1743" s="330"/>
      <c r="V1743" s="331"/>
      <c r="W1743" s="332"/>
      <c r="X1743" s="333"/>
      <c r="Y1743" s="33" t="s">
        <v>2867</v>
      </c>
      <c r="Z1743" s="258">
        <v>121315.0</v>
      </c>
      <c r="AA1743" s="334">
        <v>11649.0</v>
      </c>
      <c r="AB1743" s="333"/>
      <c r="AC1743" s="333"/>
      <c r="AD1743" s="329"/>
      <c r="AE1743" s="331"/>
      <c r="AF1743" s="336"/>
      <c r="AG1743" s="337"/>
      <c r="AH1743" s="333"/>
      <c r="AI1743" s="333"/>
      <c r="AJ1743" s="333"/>
      <c r="AK1743" s="333"/>
      <c r="AL1743" s="333"/>
      <c r="AM1743" s="338"/>
      <c r="AN1743" s="333"/>
      <c r="AO1743" s="333"/>
      <c r="AP1743" s="333"/>
      <c r="AQ1743" s="333"/>
      <c r="AR1743" s="333"/>
      <c r="AS1743" s="333"/>
      <c r="AT1743" s="333"/>
      <c r="AU1743" s="329"/>
      <c r="AV1743" s="341"/>
      <c r="AW1743" s="269" t="s">
        <v>2486</v>
      </c>
      <c r="AX1743" s="334" t="s">
        <v>2869</v>
      </c>
      <c r="AY1743" s="270" t="s">
        <v>695</v>
      </c>
      <c r="AZ1743" s="173" t="s">
        <v>5516</v>
      </c>
      <c r="BA1743" s="265">
        <v>10.0</v>
      </c>
      <c r="BB1743" s="174" t="s">
        <v>245</v>
      </c>
      <c r="BC1743" s="341"/>
      <c r="BD1743" s="308"/>
      <c r="BE1743" s="342"/>
      <c r="BF1743" s="274" t="str">
        <f>IFERROR(__xludf.DUMMYFUNCTION("LOWER(Regexreplace(to_text(E1743),""[^A-Za-z0-9]"","""")&amp;""_""&amp;Regexreplace(to_text(F1743),""[^A-Za-z0-9]"",""""))"),"neptronic_evcbseries")</f>
        <v>neptronic_evcbseries</v>
      </c>
      <c r="BG1743" s="275" t="str">
        <f>IFERROR(__xludf.DUMMYFUNCTION("upper(Regexreplace(to_text(E1743),""[^A-Za-z0-9]"","""")&amp;""-""&amp;Regexreplace(to_text(F1743),""[^A-Za-z0-9]"",""""))"),"NEPTRONIC-EVCBSERIES")</f>
        <v>NEPTRONIC-EVCBSERIES</v>
      </c>
    </row>
    <row r="1744" ht="30.0" customHeight="1">
      <c r="A1744" s="258">
        <v>1736.0</v>
      </c>
      <c r="B1744" s="328" t="s">
        <v>670</v>
      </c>
      <c r="C1744" s="257" t="s">
        <v>6691</v>
      </c>
      <c r="D1744" s="173" t="s">
        <v>6691</v>
      </c>
      <c r="E1744" s="174" t="s">
        <v>2861</v>
      </c>
      <c r="F1744" s="173" t="s">
        <v>2862</v>
      </c>
      <c r="G1744" s="328" t="s">
        <v>673</v>
      </c>
      <c r="H1744" s="328" t="s">
        <v>2863</v>
      </c>
      <c r="I1744" s="258" t="s">
        <v>2864</v>
      </c>
      <c r="J1744" s="259" t="s">
        <v>1272</v>
      </c>
      <c r="K1744" s="260"/>
      <c r="L1744" s="359"/>
      <c r="M1744" s="359"/>
      <c r="N1744" s="173" t="s">
        <v>679</v>
      </c>
      <c r="O1744" s="173" t="s">
        <v>225</v>
      </c>
      <c r="P1744" s="262" t="str">
        <f t="shared" si="1"/>
        <v>IN-BLR-ANANTA-VAV-1316_8</v>
      </c>
      <c r="Q1744" s="173" t="s">
        <v>6692</v>
      </c>
      <c r="R1744" s="328" t="str">
        <f>IFS(C1744="","",C1744="n/a","N/A",LEN(C1744),Concatenate("{",char(34),"asset",char(34),":{",char(34),"guid",char(34),":",char(34),Q1744,char(34),",",char(34),"site",char(34),":",char(34),LOWER('2-Building'!$B$4),char(34),",",char(34),"name",char(34),":",char(34),LOWER(C1744),char(34),"}}"))</f>
        <v>{"asset":{"guid":"uuid://84d15f04-9d1a-4509-ab8f-e089a43acee4","site":"in-blr-ananta","name":"vav-1316"}}</v>
      </c>
      <c r="S1744" s="360" t="s">
        <v>5516</v>
      </c>
      <c r="T1744" s="330"/>
      <c r="U1744" s="330"/>
      <c r="V1744" s="331"/>
      <c r="W1744" s="332"/>
      <c r="X1744" s="333"/>
      <c r="Y1744" s="33" t="s">
        <v>2867</v>
      </c>
      <c r="Z1744" s="258">
        <v>121316.0</v>
      </c>
      <c r="AA1744" s="334">
        <v>11649.0</v>
      </c>
      <c r="AB1744" s="333"/>
      <c r="AC1744" s="333"/>
      <c r="AD1744" s="329"/>
      <c r="AE1744" s="331"/>
      <c r="AF1744" s="336"/>
      <c r="AG1744" s="337"/>
      <c r="AH1744" s="333"/>
      <c r="AI1744" s="333"/>
      <c r="AJ1744" s="333"/>
      <c r="AK1744" s="333"/>
      <c r="AL1744" s="333"/>
      <c r="AM1744" s="338"/>
      <c r="AN1744" s="333"/>
      <c r="AO1744" s="333"/>
      <c r="AP1744" s="333"/>
      <c r="AQ1744" s="333"/>
      <c r="AR1744" s="333"/>
      <c r="AS1744" s="333"/>
      <c r="AT1744" s="333"/>
      <c r="AU1744" s="329"/>
      <c r="AV1744" s="341"/>
      <c r="AW1744" s="269" t="s">
        <v>2486</v>
      </c>
      <c r="AX1744" s="334" t="s">
        <v>2869</v>
      </c>
      <c r="AY1744" s="270" t="s">
        <v>695</v>
      </c>
      <c r="AZ1744" s="173" t="s">
        <v>5516</v>
      </c>
      <c r="BA1744" s="265">
        <v>10.0</v>
      </c>
      <c r="BB1744" s="174" t="s">
        <v>245</v>
      </c>
      <c r="BC1744" s="341"/>
      <c r="BD1744" s="308"/>
      <c r="BE1744" s="342"/>
      <c r="BF1744" s="274" t="str">
        <f>IFERROR(__xludf.DUMMYFUNCTION("LOWER(Regexreplace(to_text(E1744),""[^A-Za-z0-9]"","""")&amp;""_""&amp;Regexreplace(to_text(F1744),""[^A-Za-z0-9]"",""""))"),"neptronic_evcbseries")</f>
        <v>neptronic_evcbseries</v>
      </c>
      <c r="BG1744" s="275" t="str">
        <f>IFERROR(__xludf.DUMMYFUNCTION("upper(Regexreplace(to_text(E1744),""[^A-Za-z0-9]"","""")&amp;""-""&amp;Regexreplace(to_text(F1744),""[^A-Za-z0-9]"",""""))"),"NEPTRONIC-EVCBSERIES")</f>
        <v>NEPTRONIC-EVCBSERIES</v>
      </c>
    </row>
    <row r="1745" ht="30.0" customHeight="1">
      <c r="A1745" s="173">
        <v>1737.0</v>
      </c>
      <c r="B1745" s="328" t="s">
        <v>670</v>
      </c>
      <c r="C1745" s="257" t="s">
        <v>6693</v>
      </c>
      <c r="D1745" s="173" t="s">
        <v>6693</v>
      </c>
      <c r="E1745" s="174" t="s">
        <v>2861</v>
      </c>
      <c r="F1745" s="173" t="s">
        <v>2862</v>
      </c>
      <c r="G1745" s="328" t="s">
        <v>673</v>
      </c>
      <c r="H1745" s="328" t="s">
        <v>2863</v>
      </c>
      <c r="I1745" s="258" t="s">
        <v>2864</v>
      </c>
      <c r="J1745" s="259" t="s">
        <v>1272</v>
      </c>
      <c r="K1745" s="260"/>
      <c r="L1745" s="359"/>
      <c r="M1745" s="359"/>
      <c r="N1745" s="173" t="s">
        <v>679</v>
      </c>
      <c r="O1745" s="173" t="s">
        <v>225</v>
      </c>
      <c r="P1745" s="262" t="str">
        <f t="shared" si="1"/>
        <v>IN-BLR-ANANTA-VAV-1317_8</v>
      </c>
      <c r="Q1745" s="173" t="s">
        <v>6694</v>
      </c>
      <c r="R1745" s="328" t="str">
        <f>IFS(C1745="","",C1745="n/a","N/A",LEN(C1745),Concatenate("{",char(34),"asset",char(34),":{",char(34),"guid",char(34),":",char(34),Q1745,char(34),",",char(34),"site",char(34),":",char(34),LOWER('2-Building'!$B$4),char(34),",",char(34),"name",char(34),":",char(34),LOWER(C1745),char(34),"}}"))</f>
        <v>{"asset":{"guid":"uuid://14933536-2ef7-423a-81ed-e889fefb88c1","site":"in-blr-ananta","name":"vav-1317"}}</v>
      </c>
      <c r="S1745" s="360" t="s">
        <v>5516</v>
      </c>
      <c r="T1745" s="330"/>
      <c r="U1745" s="330"/>
      <c r="V1745" s="331"/>
      <c r="W1745" s="332"/>
      <c r="X1745" s="333"/>
      <c r="Y1745" s="33" t="s">
        <v>2867</v>
      </c>
      <c r="Z1745" s="258">
        <v>121317.0</v>
      </c>
      <c r="AA1745" s="334">
        <v>11650.0</v>
      </c>
      <c r="AB1745" s="333"/>
      <c r="AC1745" s="333"/>
      <c r="AD1745" s="329"/>
      <c r="AE1745" s="331"/>
      <c r="AF1745" s="336"/>
      <c r="AG1745" s="337"/>
      <c r="AH1745" s="333"/>
      <c r="AI1745" s="333"/>
      <c r="AJ1745" s="333"/>
      <c r="AK1745" s="333"/>
      <c r="AL1745" s="333"/>
      <c r="AM1745" s="338"/>
      <c r="AN1745" s="333"/>
      <c r="AO1745" s="333"/>
      <c r="AP1745" s="333"/>
      <c r="AQ1745" s="333"/>
      <c r="AR1745" s="333"/>
      <c r="AS1745" s="333"/>
      <c r="AT1745" s="333"/>
      <c r="AU1745" s="329"/>
      <c r="AV1745" s="341"/>
      <c r="AW1745" s="269" t="s">
        <v>2486</v>
      </c>
      <c r="AX1745" s="334" t="s">
        <v>2869</v>
      </c>
      <c r="AY1745" s="270" t="s">
        <v>695</v>
      </c>
      <c r="AZ1745" s="173" t="s">
        <v>5516</v>
      </c>
      <c r="BA1745" s="265">
        <v>10.0</v>
      </c>
      <c r="BB1745" s="174" t="s">
        <v>245</v>
      </c>
      <c r="BC1745" s="341"/>
      <c r="BD1745" s="308"/>
      <c r="BE1745" s="342"/>
      <c r="BF1745" s="274" t="str">
        <f>IFERROR(__xludf.DUMMYFUNCTION("LOWER(Regexreplace(to_text(E1745),""[^A-Za-z0-9]"","""")&amp;""_""&amp;Regexreplace(to_text(F1745),""[^A-Za-z0-9]"",""""))"),"neptronic_evcbseries")</f>
        <v>neptronic_evcbseries</v>
      </c>
      <c r="BG1745" s="275" t="str">
        <f>IFERROR(__xludf.DUMMYFUNCTION("upper(Regexreplace(to_text(E1745),""[^A-Za-z0-9]"","""")&amp;""-""&amp;Regexreplace(to_text(F1745),""[^A-Za-z0-9]"",""""))"),"NEPTRONIC-EVCBSERIES")</f>
        <v>NEPTRONIC-EVCBSERIES</v>
      </c>
    </row>
    <row r="1746" ht="30.0" customHeight="1">
      <c r="A1746" s="258">
        <v>1738.0</v>
      </c>
      <c r="B1746" s="328" t="s">
        <v>670</v>
      </c>
      <c r="C1746" s="257" t="s">
        <v>6695</v>
      </c>
      <c r="D1746" s="173" t="s">
        <v>6695</v>
      </c>
      <c r="E1746" s="174" t="s">
        <v>2861</v>
      </c>
      <c r="F1746" s="173" t="s">
        <v>2862</v>
      </c>
      <c r="G1746" s="328" t="s">
        <v>673</v>
      </c>
      <c r="H1746" s="328" t="s">
        <v>2863</v>
      </c>
      <c r="I1746" s="258" t="s">
        <v>2864</v>
      </c>
      <c r="J1746" s="259" t="s">
        <v>1272</v>
      </c>
      <c r="K1746" s="260"/>
      <c r="L1746" s="359"/>
      <c r="M1746" s="359"/>
      <c r="N1746" s="173" t="s">
        <v>679</v>
      </c>
      <c r="O1746" s="173" t="s">
        <v>225</v>
      </c>
      <c r="P1746" s="262" t="str">
        <f t="shared" si="1"/>
        <v>IN-BLR-ANANTA-VAV-1318_8</v>
      </c>
      <c r="Q1746" s="173" t="s">
        <v>6696</v>
      </c>
      <c r="R1746" s="328" t="str">
        <f>IFS(C1746="","",C1746="n/a","N/A",LEN(C1746),Concatenate("{",char(34),"asset",char(34),":{",char(34),"guid",char(34),":",char(34),Q1746,char(34),",",char(34),"site",char(34),":",char(34),LOWER('2-Building'!$B$4),char(34),",",char(34),"name",char(34),":",char(34),LOWER(C1746),char(34),"}}"))</f>
        <v>{"asset":{"guid":"uuid://ac790100-7df6-4803-85b4-3742605312be","site":"in-blr-ananta","name":"vav-1318"}}</v>
      </c>
      <c r="S1746" s="360" t="s">
        <v>5516</v>
      </c>
      <c r="T1746" s="330"/>
      <c r="U1746" s="330"/>
      <c r="V1746" s="331"/>
      <c r="W1746" s="332"/>
      <c r="X1746" s="333"/>
      <c r="Y1746" s="33" t="s">
        <v>2867</v>
      </c>
      <c r="Z1746" s="258">
        <v>121318.0</v>
      </c>
      <c r="AA1746" s="334">
        <v>11650.0</v>
      </c>
      <c r="AB1746" s="333"/>
      <c r="AC1746" s="333"/>
      <c r="AD1746" s="329"/>
      <c r="AE1746" s="331"/>
      <c r="AF1746" s="336"/>
      <c r="AG1746" s="337"/>
      <c r="AH1746" s="333"/>
      <c r="AI1746" s="333"/>
      <c r="AJ1746" s="333"/>
      <c r="AK1746" s="333"/>
      <c r="AL1746" s="333"/>
      <c r="AM1746" s="338"/>
      <c r="AN1746" s="333"/>
      <c r="AO1746" s="333"/>
      <c r="AP1746" s="333"/>
      <c r="AQ1746" s="333"/>
      <c r="AR1746" s="333"/>
      <c r="AS1746" s="333"/>
      <c r="AT1746" s="333"/>
      <c r="AU1746" s="329"/>
      <c r="AV1746" s="341"/>
      <c r="AW1746" s="269" t="s">
        <v>2486</v>
      </c>
      <c r="AX1746" s="334" t="s">
        <v>2869</v>
      </c>
      <c r="AY1746" s="270" t="s">
        <v>695</v>
      </c>
      <c r="AZ1746" s="173" t="s">
        <v>5516</v>
      </c>
      <c r="BA1746" s="265">
        <v>10.0</v>
      </c>
      <c r="BB1746" s="174" t="s">
        <v>245</v>
      </c>
      <c r="BC1746" s="341"/>
      <c r="BD1746" s="308"/>
      <c r="BE1746" s="342"/>
      <c r="BF1746" s="274" t="str">
        <f>IFERROR(__xludf.DUMMYFUNCTION("LOWER(Regexreplace(to_text(E1746),""[^A-Za-z0-9]"","""")&amp;""_""&amp;Regexreplace(to_text(F1746),""[^A-Za-z0-9]"",""""))"),"neptronic_evcbseries")</f>
        <v>neptronic_evcbseries</v>
      </c>
      <c r="BG1746" s="275" t="str">
        <f>IFERROR(__xludf.DUMMYFUNCTION("upper(Regexreplace(to_text(E1746),""[^A-Za-z0-9]"","""")&amp;""-""&amp;Regexreplace(to_text(F1746),""[^A-Za-z0-9]"",""""))"),"NEPTRONIC-EVCBSERIES")</f>
        <v>NEPTRONIC-EVCBSERIES</v>
      </c>
    </row>
    <row r="1747" ht="30.0" customHeight="1">
      <c r="A1747" s="173">
        <v>1739.0</v>
      </c>
      <c r="B1747" s="328" t="s">
        <v>670</v>
      </c>
      <c r="C1747" s="257" t="s">
        <v>6697</v>
      </c>
      <c r="D1747" s="173" t="s">
        <v>6697</v>
      </c>
      <c r="E1747" s="174" t="s">
        <v>2861</v>
      </c>
      <c r="F1747" s="173" t="s">
        <v>2862</v>
      </c>
      <c r="G1747" s="328" t="s">
        <v>673</v>
      </c>
      <c r="H1747" s="328" t="s">
        <v>2863</v>
      </c>
      <c r="I1747" s="258" t="s">
        <v>2864</v>
      </c>
      <c r="J1747" s="259" t="s">
        <v>1272</v>
      </c>
      <c r="K1747" s="260"/>
      <c r="L1747" s="359"/>
      <c r="M1747" s="359"/>
      <c r="N1747" s="173" t="s">
        <v>679</v>
      </c>
      <c r="O1747" s="173" t="s">
        <v>225</v>
      </c>
      <c r="P1747" s="262" t="str">
        <f t="shared" si="1"/>
        <v>IN-BLR-ANANTA-VAV-1319_8</v>
      </c>
      <c r="Q1747" s="173" t="s">
        <v>6698</v>
      </c>
      <c r="R1747" s="328" t="str">
        <f>IFS(C1747="","",C1747="n/a","N/A",LEN(C1747),Concatenate("{",char(34),"asset",char(34),":{",char(34),"guid",char(34),":",char(34),Q1747,char(34),",",char(34),"site",char(34),":",char(34),LOWER('2-Building'!$B$4),char(34),",",char(34),"name",char(34),":",char(34),LOWER(C1747),char(34),"}}"))</f>
        <v>{"asset":{"guid":"uuid://6b2f883b-b159-425e-89e5-46d1e0859312","site":"in-blr-ananta","name":"vav-1319"}}</v>
      </c>
      <c r="S1747" s="360" t="s">
        <v>5516</v>
      </c>
      <c r="T1747" s="330"/>
      <c r="U1747" s="330"/>
      <c r="V1747" s="331"/>
      <c r="W1747" s="332"/>
      <c r="X1747" s="333"/>
      <c r="Y1747" s="33" t="s">
        <v>2867</v>
      </c>
      <c r="Z1747" s="258">
        <v>121319.0</v>
      </c>
      <c r="AA1747" s="334">
        <v>11650.0</v>
      </c>
      <c r="AB1747" s="333"/>
      <c r="AC1747" s="333"/>
      <c r="AD1747" s="329"/>
      <c r="AE1747" s="331"/>
      <c r="AF1747" s="336"/>
      <c r="AG1747" s="337"/>
      <c r="AH1747" s="333"/>
      <c r="AI1747" s="333"/>
      <c r="AJ1747" s="333"/>
      <c r="AK1747" s="333"/>
      <c r="AL1747" s="333"/>
      <c r="AM1747" s="338"/>
      <c r="AN1747" s="333"/>
      <c r="AO1747" s="333"/>
      <c r="AP1747" s="333"/>
      <c r="AQ1747" s="333"/>
      <c r="AR1747" s="333"/>
      <c r="AS1747" s="333"/>
      <c r="AT1747" s="333"/>
      <c r="AU1747" s="329"/>
      <c r="AV1747" s="341"/>
      <c r="AW1747" s="269" t="s">
        <v>2486</v>
      </c>
      <c r="AX1747" s="334" t="s">
        <v>2869</v>
      </c>
      <c r="AY1747" s="270" t="s">
        <v>695</v>
      </c>
      <c r="AZ1747" s="173" t="s">
        <v>5516</v>
      </c>
      <c r="BA1747" s="265">
        <v>10.0</v>
      </c>
      <c r="BB1747" s="174" t="s">
        <v>245</v>
      </c>
      <c r="BC1747" s="341"/>
      <c r="BD1747" s="308"/>
      <c r="BE1747" s="342"/>
      <c r="BF1747" s="274" t="str">
        <f>IFERROR(__xludf.DUMMYFUNCTION("LOWER(Regexreplace(to_text(E1747),""[^A-Za-z0-9]"","""")&amp;""_""&amp;Regexreplace(to_text(F1747),""[^A-Za-z0-9]"",""""))"),"neptronic_evcbseries")</f>
        <v>neptronic_evcbseries</v>
      </c>
      <c r="BG1747" s="275" t="str">
        <f>IFERROR(__xludf.DUMMYFUNCTION("upper(Regexreplace(to_text(E1747),""[^A-Za-z0-9]"","""")&amp;""-""&amp;Regexreplace(to_text(F1747),""[^A-Za-z0-9]"",""""))"),"NEPTRONIC-EVCBSERIES")</f>
        <v>NEPTRONIC-EVCBSERIES</v>
      </c>
    </row>
    <row r="1748" ht="30.0" customHeight="1">
      <c r="A1748" s="258">
        <v>1740.0</v>
      </c>
      <c r="B1748" s="328" t="s">
        <v>670</v>
      </c>
      <c r="C1748" s="257" t="s">
        <v>6699</v>
      </c>
      <c r="D1748" s="173" t="s">
        <v>6699</v>
      </c>
      <c r="E1748" s="174" t="s">
        <v>2861</v>
      </c>
      <c r="F1748" s="173" t="s">
        <v>2862</v>
      </c>
      <c r="G1748" s="328" t="s">
        <v>673</v>
      </c>
      <c r="H1748" s="328" t="s">
        <v>2863</v>
      </c>
      <c r="I1748" s="258" t="s">
        <v>2864</v>
      </c>
      <c r="J1748" s="259" t="s">
        <v>1272</v>
      </c>
      <c r="K1748" s="260"/>
      <c r="L1748" s="359"/>
      <c r="M1748" s="359"/>
      <c r="N1748" s="173" t="s">
        <v>679</v>
      </c>
      <c r="O1748" s="173" t="s">
        <v>225</v>
      </c>
      <c r="P1748" s="262" t="str">
        <f t="shared" si="1"/>
        <v>IN-BLR-ANANTA-VAV-1320_8</v>
      </c>
      <c r="Q1748" s="173" t="s">
        <v>6700</v>
      </c>
      <c r="R1748" s="328" t="str">
        <f>IFS(C1748="","",C1748="n/a","N/A",LEN(C1748),Concatenate("{",char(34),"asset",char(34),":{",char(34),"guid",char(34),":",char(34),Q1748,char(34),",",char(34),"site",char(34),":",char(34),LOWER('2-Building'!$B$4),char(34),",",char(34),"name",char(34),":",char(34),LOWER(C1748),char(34),"}}"))</f>
        <v>{"asset":{"guid":"uuid://dae44943-20ca-4607-bae0-1a8fa9acb3e7","site":"in-blr-ananta","name":"vav-1320"}}</v>
      </c>
      <c r="S1748" s="360" t="s">
        <v>5516</v>
      </c>
      <c r="T1748" s="330"/>
      <c r="U1748" s="330"/>
      <c r="V1748" s="331"/>
      <c r="W1748" s="332"/>
      <c r="X1748" s="333"/>
      <c r="Y1748" s="33" t="s">
        <v>2867</v>
      </c>
      <c r="Z1748" s="258">
        <v>121320.0</v>
      </c>
      <c r="AA1748" s="334">
        <v>11650.0</v>
      </c>
      <c r="AB1748" s="333"/>
      <c r="AC1748" s="333"/>
      <c r="AD1748" s="329"/>
      <c r="AE1748" s="331"/>
      <c r="AF1748" s="336"/>
      <c r="AG1748" s="337"/>
      <c r="AH1748" s="333"/>
      <c r="AI1748" s="333"/>
      <c r="AJ1748" s="333"/>
      <c r="AK1748" s="333"/>
      <c r="AL1748" s="333"/>
      <c r="AM1748" s="338"/>
      <c r="AN1748" s="333"/>
      <c r="AO1748" s="333"/>
      <c r="AP1748" s="333"/>
      <c r="AQ1748" s="333"/>
      <c r="AR1748" s="333"/>
      <c r="AS1748" s="333"/>
      <c r="AT1748" s="333"/>
      <c r="AU1748" s="329"/>
      <c r="AV1748" s="341"/>
      <c r="AW1748" s="269" t="s">
        <v>2486</v>
      </c>
      <c r="AX1748" s="334" t="s">
        <v>2869</v>
      </c>
      <c r="AY1748" s="270" t="s">
        <v>695</v>
      </c>
      <c r="AZ1748" s="173" t="s">
        <v>5516</v>
      </c>
      <c r="BA1748" s="265">
        <v>10.0</v>
      </c>
      <c r="BB1748" s="174" t="s">
        <v>245</v>
      </c>
      <c r="BC1748" s="341"/>
      <c r="BD1748" s="308"/>
      <c r="BE1748" s="342"/>
      <c r="BF1748" s="274" t="str">
        <f>IFERROR(__xludf.DUMMYFUNCTION("LOWER(Regexreplace(to_text(E1748),""[^A-Za-z0-9]"","""")&amp;""_""&amp;Regexreplace(to_text(F1748),""[^A-Za-z0-9]"",""""))"),"neptronic_evcbseries")</f>
        <v>neptronic_evcbseries</v>
      </c>
      <c r="BG1748" s="275" t="str">
        <f>IFERROR(__xludf.DUMMYFUNCTION("upper(Regexreplace(to_text(E1748),""[^A-Za-z0-9]"","""")&amp;""-""&amp;Regexreplace(to_text(F1748),""[^A-Za-z0-9]"",""""))"),"NEPTRONIC-EVCBSERIES")</f>
        <v>NEPTRONIC-EVCBSERIES</v>
      </c>
    </row>
    <row r="1749" ht="30.0" customHeight="1">
      <c r="A1749" s="173">
        <v>1741.0</v>
      </c>
      <c r="B1749" s="328" t="s">
        <v>670</v>
      </c>
      <c r="C1749" s="257" t="s">
        <v>6701</v>
      </c>
      <c r="D1749" s="173" t="s">
        <v>6701</v>
      </c>
      <c r="E1749" s="174" t="s">
        <v>2861</v>
      </c>
      <c r="F1749" s="173" t="s">
        <v>2862</v>
      </c>
      <c r="G1749" s="328" t="s">
        <v>673</v>
      </c>
      <c r="H1749" s="328" t="s">
        <v>2863</v>
      </c>
      <c r="I1749" s="258" t="s">
        <v>2864</v>
      </c>
      <c r="J1749" s="259" t="s">
        <v>1272</v>
      </c>
      <c r="K1749" s="260"/>
      <c r="L1749" s="359"/>
      <c r="M1749" s="359"/>
      <c r="N1749" s="173" t="s">
        <v>679</v>
      </c>
      <c r="O1749" s="173" t="s">
        <v>225</v>
      </c>
      <c r="P1749" s="262" t="str">
        <f t="shared" si="1"/>
        <v>IN-BLR-ANANTA-VAV-1321_8</v>
      </c>
      <c r="Q1749" s="173" t="s">
        <v>6702</v>
      </c>
      <c r="R1749" s="328" t="str">
        <f>IFS(C1749="","",C1749="n/a","N/A",LEN(C1749),Concatenate("{",char(34),"asset",char(34),":{",char(34),"guid",char(34),":",char(34),Q1749,char(34),",",char(34),"site",char(34),":",char(34),LOWER('2-Building'!$B$4),char(34),",",char(34),"name",char(34),":",char(34),LOWER(C1749),char(34),"}}"))</f>
        <v>{"asset":{"guid":"uuid://87c40db6-05cf-4aa4-bf36-58c10be9aed3","site":"in-blr-ananta","name":"vav-1321"}}</v>
      </c>
      <c r="S1749" s="360" t="s">
        <v>5516</v>
      </c>
      <c r="T1749" s="330"/>
      <c r="U1749" s="330"/>
      <c r="V1749" s="331"/>
      <c r="W1749" s="332"/>
      <c r="X1749" s="333"/>
      <c r="Y1749" s="33" t="s">
        <v>2867</v>
      </c>
      <c r="Z1749" s="258">
        <v>121321.0</v>
      </c>
      <c r="AA1749" s="334">
        <v>11650.0</v>
      </c>
      <c r="AB1749" s="333"/>
      <c r="AC1749" s="333"/>
      <c r="AD1749" s="329"/>
      <c r="AE1749" s="331"/>
      <c r="AF1749" s="336"/>
      <c r="AG1749" s="337"/>
      <c r="AH1749" s="333"/>
      <c r="AI1749" s="333"/>
      <c r="AJ1749" s="333"/>
      <c r="AK1749" s="333"/>
      <c r="AL1749" s="333"/>
      <c r="AM1749" s="338"/>
      <c r="AN1749" s="333"/>
      <c r="AO1749" s="333"/>
      <c r="AP1749" s="333"/>
      <c r="AQ1749" s="333"/>
      <c r="AR1749" s="333"/>
      <c r="AS1749" s="333"/>
      <c r="AT1749" s="333"/>
      <c r="AU1749" s="329"/>
      <c r="AV1749" s="341"/>
      <c r="AW1749" s="269" t="s">
        <v>2486</v>
      </c>
      <c r="AX1749" s="334" t="s">
        <v>2869</v>
      </c>
      <c r="AY1749" s="270" t="s">
        <v>695</v>
      </c>
      <c r="AZ1749" s="173" t="s">
        <v>5516</v>
      </c>
      <c r="BA1749" s="265">
        <v>10.0</v>
      </c>
      <c r="BB1749" s="174" t="s">
        <v>245</v>
      </c>
      <c r="BC1749" s="341"/>
      <c r="BD1749" s="308"/>
      <c r="BE1749" s="342"/>
      <c r="BF1749" s="274" t="str">
        <f>IFERROR(__xludf.DUMMYFUNCTION("LOWER(Regexreplace(to_text(E1749),""[^A-Za-z0-9]"","""")&amp;""_""&amp;Regexreplace(to_text(F1749),""[^A-Za-z0-9]"",""""))"),"neptronic_evcbseries")</f>
        <v>neptronic_evcbseries</v>
      </c>
      <c r="BG1749" s="275" t="str">
        <f>IFERROR(__xludf.DUMMYFUNCTION("upper(Regexreplace(to_text(E1749),""[^A-Za-z0-9]"","""")&amp;""-""&amp;Regexreplace(to_text(F1749),""[^A-Za-z0-9]"",""""))"),"NEPTRONIC-EVCBSERIES")</f>
        <v>NEPTRONIC-EVCBSERIES</v>
      </c>
    </row>
    <row r="1750" ht="30.0" customHeight="1">
      <c r="A1750" s="258">
        <v>1742.0</v>
      </c>
      <c r="B1750" s="328" t="s">
        <v>670</v>
      </c>
      <c r="C1750" s="257" t="s">
        <v>6703</v>
      </c>
      <c r="D1750" s="173" t="s">
        <v>6703</v>
      </c>
      <c r="E1750" s="174" t="s">
        <v>2861</v>
      </c>
      <c r="F1750" s="173" t="s">
        <v>2862</v>
      </c>
      <c r="G1750" s="328" t="s">
        <v>673</v>
      </c>
      <c r="H1750" s="328" t="s">
        <v>2863</v>
      </c>
      <c r="I1750" s="258" t="s">
        <v>2864</v>
      </c>
      <c r="J1750" s="259" t="s">
        <v>1272</v>
      </c>
      <c r="K1750" s="260"/>
      <c r="L1750" s="359"/>
      <c r="M1750" s="359"/>
      <c r="N1750" s="173" t="s">
        <v>679</v>
      </c>
      <c r="O1750" s="173" t="s">
        <v>225</v>
      </c>
      <c r="P1750" s="262" t="str">
        <f t="shared" si="1"/>
        <v>IN-BLR-ANANTA-VAV-1322_8</v>
      </c>
      <c r="Q1750" s="173" t="s">
        <v>6704</v>
      </c>
      <c r="R1750" s="328" t="str">
        <f>IFS(C1750="","",C1750="n/a","N/A",LEN(C1750),Concatenate("{",char(34),"asset",char(34),":{",char(34),"guid",char(34),":",char(34),Q1750,char(34),",",char(34),"site",char(34),":",char(34),LOWER('2-Building'!$B$4),char(34),",",char(34),"name",char(34),":",char(34),LOWER(C1750),char(34),"}}"))</f>
        <v>{"asset":{"guid":"uuid://61b23708-e887-40c1-a567-191e42f4a0af","site":"in-blr-ananta","name":"vav-1322"}}</v>
      </c>
      <c r="S1750" s="360" t="s">
        <v>5516</v>
      </c>
      <c r="T1750" s="330"/>
      <c r="U1750" s="330"/>
      <c r="V1750" s="331"/>
      <c r="W1750" s="332"/>
      <c r="X1750" s="333"/>
      <c r="Y1750" s="33" t="s">
        <v>2867</v>
      </c>
      <c r="Z1750" s="258">
        <v>121322.0</v>
      </c>
      <c r="AA1750" s="334">
        <v>11650.0</v>
      </c>
      <c r="AB1750" s="333"/>
      <c r="AC1750" s="333"/>
      <c r="AD1750" s="329"/>
      <c r="AE1750" s="331"/>
      <c r="AF1750" s="336"/>
      <c r="AG1750" s="337"/>
      <c r="AH1750" s="333"/>
      <c r="AI1750" s="333"/>
      <c r="AJ1750" s="333"/>
      <c r="AK1750" s="333"/>
      <c r="AL1750" s="333"/>
      <c r="AM1750" s="338"/>
      <c r="AN1750" s="333"/>
      <c r="AO1750" s="333"/>
      <c r="AP1750" s="333"/>
      <c r="AQ1750" s="333"/>
      <c r="AR1750" s="333"/>
      <c r="AS1750" s="333"/>
      <c r="AT1750" s="333"/>
      <c r="AU1750" s="329"/>
      <c r="AV1750" s="341"/>
      <c r="AW1750" s="269" t="s">
        <v>2486</v>
      </c>
      <c r="AX1750" s="334" t="s">
        <v>2869</v>
      </c>
      <c r="AY1750" s="270" t="s">
        <v>695</v>
      </c>
      <c r="AZ1750" s="173" t="s">
        <v>5516</v>
      </c>
      <c r="BA1750" s="265">
        <v>10.0</v>
      </c>
      <c r="BB1750" s="174" t="s">
        <v>245</v>
      </c>
      <c r="BC1750" s="341"/>
      <c r="BD1750" s="308"/>
      <c r="BE1750" s="342"/>
      <c r="BF1750" s="274" t="str">
        <f>IFERROR(__xludf.DUMMYFUNCTION("LOWER(Regexreplace(to_text(E1750),""[^A-Za-z0-9]"","""")&amp;""_""&amp;Regexreplace(to_text(F1750),""[^A-Za-z0-9]"",""""))"),"neptronic_evcbseries")</f>
        <v>neptronic_evcbseries</v>
      </c>
      <c r="BG1750" s="275" t="str">
        <f>IFERROR(__xludf.DUMMYFUNCTION("upper(Regexreplace(to_text(E1750),""[^A-Za-z0-9]"","""")&amp;""-""&amp;Regexreplace(to_text(F1750),""[^A-Za-z0-9]"",""""))"),"NEPTRONIC-EVCBSERIES")</f>
        <v>NEPTRONIC-EVCBSERIES</v>
      </c>
    </row>
    <row r="1751" ht="30.0" customHeight="1">
      <c r="A1751" s="173">
        <v>1743.0</v>
      </c>
      <c r="B1751" s="328" t="s">
        <v>670</v>
      </c>
      <c r="C1751" s="257" t="s">
        <v>6705</v>
      </c>
      <c r="D1751" s="173" t="s">
        <v>6705</v>
      </c>
      <c r="E1751" s="174" t="s">
        <v>2861</v>
      </c>
      <c r="F1751" s="173" t="s">
        <v>2862</v>
      </c>
      <c r="G1751" s="328" t="s">
        <v>673</v>
      </c>
      <c r="H1751" s="328" t="s">
        <v>2863</v>
      </c>
      <c r="I1751" s="258" t="s">
        <v>2864</v>
      </c>
      <c r="J1751" s="259" t="s">
        <v>1272</v>
      </c>
      <c r="K1751" s="260"/>
      <c r="L1751" s="359"/>
      <c r="M1751" s="359"/>
      <c r="N1751" s="173" t="s">
        <v>679</v>
      </c>
      <c r="O1751" s="173" t="s">
        <v>225</v>
      </c>
      <c r="P1751" s="262" t="str">
        <f t="shared" si="1"/>
        <v>IN-BLR-ANANTA-VAV-1323_8</v>
      </c>
      <c r="Q1751" s="173" t="s">
        <v>6706</v>
      </c>
      <c r="R1751" s="328" t="str">
        <f>IFS(C1751="","",C1751="n/a","N/A",LEN(C1751),Concatenate("{",char(34),"asset",char(34),":{",char(34),"guid",char(34),":",char(34),Q1751,char(34),",",char(34),"site",char(34),":",char(34),LOWER('2-Building'!$B$4),char(34),",",char(34),"name",char(34),":",char(34),LOWER(C1751),char(34),"}}"))</f>
        <v>{"asset":{"guid":"uuid://cdee5d39-d277-4408-b79c-b2f070bdbdc8","site":"in-blr-ananta","name":"vav-1323"}}</v>
      </c>
      <c r="S1751" s="360" t="s">
        <v>5516</v>
      </c>
      <c r="T1751" s="330"/>
      <c r="U1751" s="330"/>
      <c r="V1751" s="331"/>
      <c r="W1751" s="332"/>
      <c r="X1751" s="333"/>
      <c r="Y1751" s="33" t="s">
        <v>2867</v>
      </c>
      <c r="Z1751" s="258">
        <v>121323.0</v>
      </c>
      <c r="AA1751" s="334">
        <v>11650.0</v>
      </c>
      <c r="AB1751" s="333"/>
      <c r="AC1751" s="333"/>
      <c r="AD1751" s="329"/>
      <c r="AE1751" s="331"/>
      <c r="AF1751" s="336"/>
      <c r="AG1751" s="337"/>
      <c r="AH1751" s="333"/>
      <c r="AI1751" s="333"/>
      <c r="AJ1751" s="333"/>
      <c r="AK1751" s="333"/>
      <c r="AL1751" s="333"/>
      <c r="AM1751" s="338"/>
      <c r="AN1751" s="333"/>
      <c r="AO1751" s="333"/>
      <c r="AP1751" s="333"/>
      <c r="AQ1751" s="333"/>
      <c r="AR1751" s="333"/>
      <c r="AS1751" s="333"/>
      <c r="AT1751" s="333"/>
      <c r="AU1751" s="329"/>
      <c r="AV1751" s="341"/>
      <c r="AW1751" s="269" t="s">
        <v>2486</v>
      </c>
      <c r="AX1751" s="334" t="s">
        <v>2869</v>
      </c>
      <c r="AY1751" s="270" t="s">
        <v>695</v>
      </c>
      <c r="AZ1751" s="173" t="s">
        <v>5516</v>
      </c>
      <c r="BA1751" s="265">
        <v>10.0</v>
      </c>
      <c r="BB1751" s="174" t="s">
        <v>245</v>
      </c>
      <c r="BC1751" s="341"/>
      <c r="BD1751" s="308"/>
      <c r="BE1751" s="342"/>
      <c r="BF1751" s="274" t="str">
        <f>IFERROR(__xludf.DUMMYFUNCTION("LOWER(Regexreplace(to_text(E1751),""[^A-Za-z0-9]"","""")&amp;""_""&amp;Regexreplace(to_text(F1751),""[^A-Za-z0-9]"",""""))"),"neptronic_evcbseries")</f>
        <v>neptronic_evcbseries</v>
      </c>
      <c r="BG1751" s="275" t="str">
        <f>IFERROR(__xludf.DUMMYFUNCTION("upper(Regexreplace(to_text(E1751),""[^A-Za-z0-9]"","""")&amp;""-""&amp;Regexreplace(to_text(F1751),""[^A-Za-z0-9]"",""""))"),"NEPTRONIC-EVCBSERIES")</f>
        <v>NEPTRONIC-EVCBSERIES</v>
      </c>
    </row>
    <row r="1752" ht="30.0" customHeight="1">
      <c r="A1752" s="258">
        <v>1744.0</v>
      </c>
      <c r="B1752" s="328" t="s">
        <v>670</v>
      </c>
      <c r="C1752" s="257" t="s">
        <v>6707</v>
      </c>
      <c r="D1752" s="173" t="s">
        <v>6707</v>
      </c>
      <c r="E1752" s="174" t="s">
        <v>2861</v>
      </c>
      <c r="F1752" s="173" t="s">
        <v>2862</v>
      </c>
      <c r="G1752" s="328" t="s">
        <v>673</v>
      </c>
      <c r="H1752" s="328" t="s">
        <v>2863</v>
      </c>
      <c r="I1752" s="258" t="s">
        <v>2864</v>
      </c>
      <c r="J1752" s="259" t="s">
        <v>1272</v>
      </c>
      <c r="K1752" s="260"/>
      <c r="L1752" s="359"/>
      <c r="M1752" s="359"/>
      <c r="N1752" s="173" t="s">
        <v>679</v>
      </c>
      <c r="O1752" s="173" t="s">
        <v>225</v>
      </c>
      <c r="P1752" s="262" t="str">
        <f t="shared" si="1"/>
        <v>IN-BLR-ANANTA-VAV-1324_8</v>
      </c>
      <c r="Q1752" s="173" t="s">
        <v>6708</v>
      </c>
      <c r="R1752" s="328" t="str">
        <f>IFS(C1752="","",C1752="n/a","N/A",LEN(C1752),Concatenate("{",char(34),"asset",char(34),":{",char(34),"guid",char(34),":",char(34),Q1752,char(34),",",char(34),"site",char(34),":",char(34),LOWER('2-Building'!$B$4),char(34),",",char(34),"name",char(34),":",char(34),LOWER(C1752),char(34),"}}"))</f>
        <v>{"asset":{"guid":"uuid://c2cbf48f-5b8b-404a-8d93-d43c5e8b8d8c","site":"in-blr-ananta","name":"vav-1324"}}</v>
      </c>
      <c r="S1752" s="360" t="s">
        <v>5516</v>
      </c>
      <c r="T1752" s="330"/>
      <c r="U1752" s="330"/>
      <c r="V1752" s="331"/>
      <c r="W1752" s="332"/>
      <c r="X1752" s="333"/>
      <c r="Y1752" s="33" t="s">
        <v>2867</v>
      </c>
      <c r="Z1752" s="258">
        <v>121324.0</v>
      </c>
      <c r="AA1752" s="334">
        <v>11650.0</v>
      </c>
      <c r="AB1752" s="333"/>
      <c r="AC1752" s="333"/>
      <c r="AD1752" s="329"/>
      <c r="AE1752" s="331"/>
      <c r="AF1752" s="336"/>
      <c r="AG1752" s="337"/>
      <c r="AH1752" s="333"/>
      <c r="AI1752" s="333"/>
      <c r="AJ1752" s="333"/>
      <c r="AK1752" s="333"/>
      <c r="AL1752" s="333"/>
      <c r="AM1752" s="338"/>
      <c r="AN1752" s="333"/>
      <c r="AO1752" s="333"/>
      <c r="AP1752" s="333"/>
      <c r="AQ1752" s="333"/>
      <c r="AR1752" s="333"/>
      <c r="AS1752" s="333"/>
      <c r="AT1752" s="333"/>
      <c r="AU1752" s="329"/>
      <c r="AV1752" s="341"/>
      <c r="AW1752" s="269" t="s">
        <v>2486</v>
      </c>
      <c r="AX1752" s="334" t="s">
        <v>2869</v>
      </c>
      <c r="AY1752" s="270" t="s">
        <v>695</v>
      </c>
      <c r="AZ1752" s="173" t="s">
        <v>5516</v>
      </c>
      <c r="BA1752" s="265">
        <v>10.0</v>
      </c>
      <c r="BB1752" s="174" t="s">
        <v>245</v>
      </c>
      <c r="BC1752" s="341"/>
      <c r="BD1752" s="308"/>
      <c r="BE1752" s="342"/>
      <c r="BF1752" s="274" t="str">
        <f>IFERROR(__xludf.DUMMYFUNCTION("LOWER(Regexreplace(to_text(E1752),""[^A-Za-z0-9]"","""")&amp;""_""&amp;Regexreplace(to_text(F1752),""[^A-Za-z0-9]"",""""))"),"neptronic_evcbseries")</f>
        <v>neptronic_evcbseries</v>
      </c>
      <c r="BG1752" s="275" t="str">
        <f>IFERROR(__xludf.DUMMYFUNCTION("upper(Regexreplace(to_text(E1752),""[^A-Za-z0-9]"","""")&amp;""-""&amp;Regexreplace(to_text(F1752),""[^A-Za-z0-9]"",""""))"),"NEPTRONIC-EVCBSERIES")</f>
        <v>NEPTRONIC-EVCBSERIES</v>
      </c>
    </row>
    <row r="1753" ht="30.0" customHeight="1">
      <c r="A1753" s="173">
        <v>1745.0</v>
      </c>
      <c r="B1753" s="328" t="s">
        <v>670</v>
      </c>
      <c r="C1753" s="257" t="s">
        <v>6709</v>
      </c>
      <c r="D1753" s="173" t="s">
        <v>6709</v>
      </c>
      <c r="E1753" s="174" t="s">
        <v>2861</v>
      </c>
      <c r="F1753" s="173" t="s">
        <v>2862</v>
      </c>
      <c r="G1753" s="328" t="s">
        <v>673</v>
      </c>
      <c r="H1753" s="328" t="s">
        <v>2863</v>
      </c>
      <c r="I1753" s="258" t="s">
        <v>2864</v>
      </c>
      <c r="J1753" s="259" t="s">
        <v>1272</v>
      </c>
      <c r="K1753" s="260"/>
      <c r="L1753" s="359"/>
      <c r="M1753" s="359"/>
      <c r="N1753" s="173" t="s">
        <v>679</v>
      </c>
      <c r="O1753" s="173" t="s">
        <v>225</v>
      </c>
      <c r="P1753" s="262" t="str">
        <f t="shared" si="1"/>
        <v>IN-BLR-ANANTA-VAV-1325_8</v>
      </c>
      <c r="Q1753" s="173" t="s">
        <v>6710</v>
      </c>
      <c r="R1753" s="328" t="str">
        <f>IFS(C1753="","",C1753="n/a","N/A",LEN(C1753),Concatenate("{",char(34),"asset",char(34),":{",char(34),"guid",char(34),":",char(34),Q1753,char(34),",",char(34),"site",char(34),":",char(34),LOWER('2-Building'!$B$4),char(34),",",char(34),"name",char(34),":",char(34),LOWER(C1753),char(34),"}}"))</f>
        <v>{"asset":{"guid":"uuid://034d8113-937c-4439-9eef-05b84d88599a","site":"in-blr-ananta","name":"vav-1325"}}</v>
      </c>
      <c r="S1753" s="360" t="s">
        <v>5516</v>
      </c>
      <c r="T1753" s="330"/>
      <c r="U1753" s="330"/>
      <c r="V1753" s="331"/>
      <c r="W1753" s="332"/>
      <c r="X1753" s="333"/>
      <c r="Y1753" s="33" t="s">
        <v>2867</v>
      </c>
      <c r="Z1753" s="258">
        <v>121325.0</v>
      </c>
      <c r="AA1753" s="334">
        <v>11650.0</v>
      </c>
      <c r="AB1753" s="333"/>
      <c r="AC1753" s="333"/>
      <c r="AD1753" s="329"/>
      <c r="AE1753" s="331"/>
      <c r="AF1753" s="336"/>
      <c r="AG1753" s="337"/>
      <c r="AH1753" s="333"/>
      <c r="AI1753" s="333"/>
      <c r="AJ1753" s="333"/>
      <c r="AK1753" s="333"/>
      <c r="AL1753" s="333"/>
      <c r="AM1753" s="338"/>
      <c r="AN1753" s="333"/>
      <c r="AO1753" s="333"/>
      <c r="AP1753" s="333"/>
      <c r="AQ1753" s="333"/>
      <c r="AR1753" s="333"/>
      <c r="AS1753" s="333"/>
      <c r="AT1753" s="333"/>
      <c r="AU1753" s="329"/>
      <c r="AV1753" s="341"/>
      <c r="AW1753" s="269" t="s">
        <v>2486</v>
      </c>
      <c r="AX1753" s="334" t="s">
        <v>2869</v>
      </c>
      <c r="AY1753" s="270" t="s">
        <v>695</v>
      </c>
      <c r="AZ1753" s="173" t="s">
        <v>5516</v>
      </c>
      <c r="BA1753" s="265">
        <v>10.0</v>
      </c>
      <c r="BB1753" s="174" t="s">
        <v>245</v>
      </c>
      <c r="BC1753" s="341"/>
      <c r="BD1753" s="308"/>
      <c r="BE1753" s="342"/>
      <c r="BF1753" s="274" t="str">
        <f>IFERROR(__xludf.DUMMYFUNCTION("LOWER(Regexreplace(to_text(E1753),""[^A-Za-z0-9]"","""")&amp;""_""&amp;Regexreplace(to_text(F1753),""[^A-Za-z0-9]"",""""))"),"neptronic_evcbseries")</f>
        <v>neptronic_evcbseries</v>
      </c>
      <c r="BG1753" s="275" t="str">
        <f>IFERROR(__xludf.DUMMYFUNCTION("upper(Regexreplace(to_text(E1753),""[^A-Za-z0-9]"","""")&amp;""-""&amp;Regexreplace(to_text(F1753),""[^A-Za-z0-9]"",""""))"),"NEPTRONIC-EVCBSERIES")</f>
        <v>NEPTRONIC-EVCBSERIES</v>
      </c>
    </row>
    <row r="1754" ht="30.0" customHeight="1">
      <c r="A1754" s="258">
        <v>1746.0</v>
      </c>
      <c r="B1754" s="328" t="s">
        <v>670</v>
      </c>
      <c r="C1754" s="257" t="s">
        <v>6711</v>
      </c>
      <c r="D1754" s="173" t="s">
        <v>6711</v>
      </c>
      <c r="E1754" s="174" t="s">
        <v>2861</v>
      </c>
      <c r="F1754" s="173" t="s">
        <v>2862</v>
      </c>
      <c r="G1754" s="328" t="s">
        <v>673</v>
      </c>
      <c r="H1754" s="328" t="s">
        <v>2863</v>
      </c>
      <c r="I1754" s="258" t="s">
        <v>2864</v>
      </c>
      <c r="J1754" s="259" t="s">
        <v>1272</v>
      </c>
      <c r="K1754" s="260"/>
      <c r="L1754" s="359"/>
      <c r="M1754" s="359"/>
      <c r="N1754" s="173" t="s">
        <v>679</v>
      </c>
      <c r="O1754" s="173" t="s">
        <v>225</v>
      </c>
      <c r="P1754" s="262" t="str">
        <f t="shared" si="1"/>
        <v>IN-BLR-ANANTA-VAV-1326_8</v>
      </c>
      <c r="Q1754" s="173" t="s">
        <v>6712</v>
      </c>
      <c r="R1754" s="328" t="str">
        <f>IFS(C1754="","",C1754="n/a","N/A",LEN(C1754),Concatenate("{",char(34),"asset",char(34),":{",char(34),"guid",char(34),":",char(34),Q1754,char(34),",",char(34),"site",char(34),":",char(34),LOWER('2-Building'!$B$4),char(34),",",char(34),"name",char(34),":",char(34),LOWER(C1754),char(34),"}}"))</f>
        <v>{"asset":{"guid":"uuid://afc9c89f-2d66-4319-93f3-a717a2a6234c","site":"in-blr-ananta","name":"vav-1326"}}</v>
      </c>
      <c r="S1754" s="360" t="s">
        <v>5516</v>
      </c>
      <c r="T1754" s="330"/>
      <c r="U1754" s="330"/>
      <c r="V1754" s="331"/>
      <c r="W1754" s="332"/>
      <c r="X1754" s="333"/>
      <c r="Y1754" s="33" t="s">
        <v>2867</v>
      </c>
      <c r="Z1754" s="258">
        <v>121326.0</v>
      </c>
      <c r="AA1754" s="334">
        <v>11650.0</v>
      </c>
      <c r="AB1754" s="333"/>
      <c r="AC1754" s="333"/>
      <c r="AD1754" s="329"/>
      <c r="AE1754" s="331"/>
      <c r="AF1754" s="336"/>
      <c r="AG1754" s="337"/>
      <c r="AH1754" s="333"/>
      <c r="AI1754" s="333"/>
      <c r="AJ1754" s="333"/>
      <c r="AK1754" s="333"/>
      <c r="AL1754" s="333"/>
      <c r="AM1754" s="338"/>
      <c r="AN1754" s="333"/>
      <c r="AO1754" s="333"/>
      <c r="AP1754" s="333"/>
      <c r="AQ1754" s="333"/>
      <c r="AR1754" s="333"/>
      <c r="AS1754" s="333"/>
      <c r="AT1754" s="333"/>
      <c r="AU1754" s="329"/>
      <c r="AV1754" s="341"/>
      <c r="AW1754" s="269" t="s">
        <v>2486</v>
      </c>
      <c r="AX1754" s="334" t="s">
        <v>2869</v>
      </c>
      <c r="AY1754" s="270" t="s">
        <v>695</v>
      </c>
      <c r="AZ1754" s="173" t="s">
        <v>5516</v>
      </c>
      <c r="BA1754" s="265">
        <v>10.0</v>
      </c>
      <c r="BB1754" s="174" t="s">
        <v>245</v>
      </c>
      <c r="BC1754" s="341"/>
      <c r="BD1754" s="308"/>
      <c r="BE1754" s="342"/>
      <c r="BF1754" s="274" t="str">
        <f>IFERROR(__xludf.DUMMYFUNCTION("LOWER(Regexreplace(to_text(E1754),""[^A-Za-z0-9]"","""")&amp;""_""&amp;Regexreplace(to_text(F1754),""[^A-Za-z0-9]"",""""))"),"neptronic_evcbseries")</f>
        <v>neptronic_evcbseries</v>
      </c>
      <c r="BG1754" s="275" t="str">
        <f>IFERROR(__xludf.DUMMYFUNCTION("upper(Regexreplace(to_text(E1754),""[^A-Za-z0-9]"","""")&amp;""-""&amp;Regexreplace(to_text(F1754),""[^A-Za-z0-9]"",""""))"),"NEPTRONIC-EVCBSERIES")</f>
        <v>NEPTRONIC-EVCBSERIES</v>
      </c>
    </row>
    <row r="1755" ht="30.0" customHeight="1">
      <c r="A1755" s="173">
        <v>1747.0</v>
      </c>
      <c r="B1755" s="328" t="s">
        <v>670</v>
      </c>
      <c r="C1755" s="257" t="s">
        <v>6713</v>
      </c>
      <c r="D1755" s="173" t="s">
        <v>6713</v>
      </c>
      <c r="E1755" s="174" t="s">
        <v>2861</v>
      </c>
      <c r="F1755" s="173" t="s">
        <v>2862</v>
      </c>
      <c r="G1755" s="328" t="s">
        <v>673</v>
      </c>
      <c r="H1755" s="328" t="s">
        <v>2863</v>
      </c>
      <c r="I1755" s="258" t="s">
        <v>2864</v>
      </c>
      <c r="J1755" s="259" t="s">
        <v>1272</v>
      </c>
      <c r="K1755" s="260"/>
      <c r="L1755" s="359"/>
      <c r="M1755" s="359"/>
      <c r="N1755" s="173" t="s">
        <v>679</v>
      </c>
      <c r="O1755" s="173" t="s">
        <v>225</v>
      </c>
      <c r="P1755" s="262" t="str">
        <f t="shared" si="1"/>
        <v>IN-BLR-ANANTA-VAV-1327_8</v>
      </c>
      <c r="Q1755" s="173" t="s">
        <v>6714</v>
      </c>
      <c r="R1755" s="328" t="str">
        <f>IFS(C1755="","",C1755="n/a","N/A",LEN(C1755),Concatenate("{",char(34),"asset",char(34),":{",char(34),"guid",char(34),":",char(34),Q1755,char(34),",",char(34),"site",char(34),":",char(34),LOWER('2-Building'!$B$4),char(34),",",char(34),"name",char(34),":",char(34),LOWER(C1755),char(34),"}}"))</f>
        <v>{"asset":{"guid":"uuid://b3b978ec-0f13-4b97-8a8d-2cd4f3e397ff","site":"in-blr-ananta","name":"vav-1327"}}</v>
      </c>
      <c r="S1755" s="360" t="s">
        <v>5516</v>
      </c>
      <c r="T1755" s="330"/>
      <c r="U1755" s="330"/>
      <c r="V1755" s="331"/>
      <c r="W1755" s="332"/>
      <c r="X1755" s="333"/>
      <c r="Y1755" s="33" t="s">
        <v>2867</v>
      </c>
      <c r="Z1755" s="258">
        <v>121327.0</v>
      </c>
      <c r="AA1755" s="334">
        <v>11650.0</v>
      </c>
      <c r="AB1755" s="333"/>
      <c r="AC1755" s="333"/>
      <c r="AD1755" s="329"/>
      <c r="AE1755" s="331"/>
      <c r="AF1755" s="336"/>
      <c r="AG1755" s="337"/>
      <c r="AH1755" s="333"/>
      <c r="AI1755" s="333"/>
      <c r="AJ1755" s="333"/>
      <c r="AK1755" s="333"/>
      <c r="AL1755" s="333"/>
      <c r="AM1755" s="338"/>
      <c r="AN1755" s="333"/>
      <c r="AO1755" s="333"/>
      <c r="AP1755" s="333"/>
      <c r="AQ1755" s="333"/>
      <c r="AR1755" s="333"/>
      <c r="AS1755" s="333"/>
      <c r="AT1755" s="333"/>
      <c r="AU1755" s="329"/>
      <c r="AV1755" s="341"/>
      <c r="AW1755" s="269" t="s">
        <v>2486</v>
      </c>
      <c r="AX1755" s="334" t="s">
        <v>2869</v>
      </c>
      <c r="AY1755" s="270" t="s">
        <v>695</v>
      </c>
      <c r="AZ1755" s="173" t="s">
        <v>5516</v>
      </c>
      <c r="BA1755" s="265">
        <v>10.0</v>
      </c>
      <c r="BB1755" s="174" t="s">
        <v>245</v>
      </c>
      <c r="BC1755" s="341"/>
      <c r="BD1755" s="308"/>
      <c r="BE1755" s="342"/>
      <c r="BF1755" s="274" t="str">
        <f>IFERROR(__xludf.DUMMYFUNCTION("LOWER(Regexreplace(to_text(E1755),""[^A-Za-z0-9]"","""")&amp;""_""&amp;Regexreplace(to_text(F1755),""[^A-Za-z0-9]"",""""))"),"neptronic_evcbseries")</f>
        <v>neptronic_evcbseries</v>
      </c>
      <c r="BG1755" s="275" t="str">
        <f>IFERROR(__xludf.DUMMYFUNCTION("upper(Regexreplace(to_text(E1755),""[^A-Za-z0-9]"","""")&amp;""-""&amp;Regexreplace(to_text(F1755),""[^A-Za-z0-9]"",""""))"),"NEPTRONIC-EVCBSERIES")</f>
        <v>NEPTRONIC-EVCBSERIES</v>
      </c>
    </row>
    <row r="1756" ht="30.0" customHeight="1">
      <c r="A1756" s="258">
        <v>1748.0</v>
      </c>
      <c r="B1756" s="328" t="s">
        <v>670</v>
      </c>
      <c r="C1756" s="257" t="s">
        <v>6715</v>
      </c>
      <c r="D1756" s="173" t="s">
        <v>6715</v>
      </c>
      <c r="E1756" s="174" t="s">
        <v>2861</v>
      </c>
      <c r="F1756" s="173" t="s">
        <v>2862</v>
      </c>
      <c r="G1756" s="328" t="s">
        <v>673</v>
      </c>
      <c r="H1756" s="328" t="s">
        <v>2863</v>
      </c>
      <c r="I1756" s="258" t="s">
        <v>2864</v>
      </c>
      <c r="J1756" s="259" t="s">
        <v>1272</v>
      </c>
      <c r="K1756" s="260"/>
      <c r="L1756" s="359"/>
      <c r="M1756" s="359"/>
      <c r="N1756" s="173" t="s">
        <v>679</v>
      </c>
      <c r="O1756" s="173" t="s">
        <v>225</v>
      </c>
      <c r="P1756" s="262" t="str">
        <f t="shared" si="1"/>
        <v>IN-BLR-ANANTA-VAV-1328_8</v>
      </c>
      <c r="Q1756" s="173" t="s">
        <v>6716</v>
      </c>
      <c r="R1756" s="328" t="str">
        <f>IFS(C1756="","",C1756="n/a","N/A",LEN(C1756),Concatenate("{",char(34),"asset",char(34),":{",char(34),"guid",char(34),":",char(34),Q1756,char(34),",",char(34),"site",char(34),":",char(34),LOWER('2-Building'!$B$4),char(34),",",char(34),"name",char(34),":",char(34),LOWER(C1756),char(34),"}}"))</f>
        <v>{"asset":{"guid":"uuid://baf4ad76-7d0d-42e2-aa08-75e26717d850","site":"in-blr-ananta","name":"vav-1328"}}</v>
      </c>
      <c r="S1756" s="360" t="s">
        <v>5516</v>
      </c>
      <c r="T1756" s="330"/>
      <c r="U1756" s="330"/>
      <c r="V1756" s="331"/>
      <c r="W1756" s="332"/>
      <c r="X1756" s="333"/>
      <c r="Y1756" s="33" t="s">
        <v>2867</v>
      </c>
      <c r="Z1756" s="258">
        <v>121328.0</v>
      </c>
      <c r="AA1756" s="334">
        <v>11650.0</v>
      </c>
      <c r="AB1756" s="333"/>
      <c r="AC1756" s="333"/>
      <c r="AD1756" s="329"/>
      <c r="AE1756" s="331"/>
      <c r="AF1756" s="336"/>
      <c r="AG1756" s="337"/>
      <c r="AH1756" s="333"/>
      <c r="AI1756" s="333"/>
      <c r="AJ1756" s="333"/>
      <c r="AK1756" s="333"/>
      <c r="AL1756" s="333"/>
      <c r="AM1756" s="338"/>
      <c r="AN1756" s="333"/>
      <c r="AO1756" s="333"/>
      <c r="AP1756" s="333"/>
      <c r="AQ1756" s="333"/>
      <c r="AR1756" s="333"/>
      <c r="AS1756" s="333"/>
      <c r="AT1756" s="333"/>
      <c r="AU1756" s="329"/>
      <c r="AV1756" s="341"/>
      <c r="AW1756" s="269" t="s">
        <v>2486</v>
      </c>
      <c r="AX1756" s="334" t="s">
        <v>2869</v>
      </c>
      <c r="AY1756" s="270" t="s">
        <v>695</v>
      </c>
      <c r="AZ1756" s="173" t="s">
        <v>5516</v>
      </c>
      <c r="BA1756" s="265">
        <v>10.0</v>
      </c>
      <c r="BB1756" s="174" t="s">
        <v>245</v>
      </c>
      <c r="BC1756" s="341"/>
      <c r="BD1756" s="308"/>
      <c r="BE1756" s="342"/>
      <c r="BF1756" s="274" t="str">
        <f>IFERROR(__xludf.DUMMYFUNCTION("LOWER(Regexreplace(to_text(E1756),""[^A-Za-z0-9]"","""")&amp;""_""&amp;Regexreplace(to_text(F1756),""[^A-Za-z0-9]"",""""))"),"neptronic_evcbseries")</f>
        <v>neptronic_evcbseries</v>
      </c>
      <c r="BG1756" s="275" t="str">
        <f>IFERROR(__xludf.DUMMYFUNCTION("upper(Regexreplace(to_text(E1756),""[^A-Za-z0-9]"","""")&amp;""-""&amp;Regexreplace(to_text(F1756),""[^A-Za-z0-9]"",""""))"),"NEPTRONIC-EVCBSERIES")</f>
        <v>NEPTRONIC-EVCBSERIES</v>
      </c>
    </row>
    <row r="1757" ht="30.0" customHeight="1">
      <c r="A1757" s="173">
        <v>1749.0</v>
      </c>
      <c r="B1757" s="328" t="s">
        <v>670</v>
      </c>
      <c r="C1757" s="257" t="s">
        <v>6717</v>
      </c>
      <c r="D1757" s="173" t="s">
        <v>6717</v>
      </c>
      <c r="E1757" s="174" t="s">
        <v>2861</v>
      </c>
      <c r="F1757" s="173" t="s">
        <v>2862</v>
      </c>
      <c r="G1757" s="328" t="s">
        <v>673</v>
      </c>
      <c r="H1757" s="328" t="s">
        <v>2863</v>
      </c>
      <c r="I1757" s="258" t="s">
        <v>2864</v>
      </c>
      <c r="J1757" s="259" t="s">
        <v>1272</v>
      </c>
      <c r="K1757" s="260"/>
      <c r="L1757" s="359"/>
      <c r="M1757" s="359"/>
      <c r="N1757" s="173" t="s">
        <v>679</v>
      </c>
      <c r="O1757" s="173" t="s">
        <v>225</v>
      </c>
      <c r="P1757" s="262" t="str">
        <f t="shared" si="1"/>
        <v>IN-BLR-ANANTA-VAV-1329_8</v>
      </c>
      <c r="Q1757" s="173" t="s">
        <v>6718</v>
      </c>
      <c r="R1757" s="328" t="str">
        <f>IFS(C1757="","",C1757="n/a","N/A",LEN(C1757),Concatenate("{",char(34),"asset",char(34),":{",char(34),"guid",char(34),":",char(34),Q1757,char(34),",",char(34),"site",char(34),":",char(34),LOWER('2-Building'!$B$4),char(34),",",char(34),"name",char(34),":",char(34),LOWER(C1757),char(34),"}}"))</f>
        <v>{"asset":{"guid":"uuid://d31b5771-d63e-4479-81ce-515b1318e298","site":"in-blr-ananta","name":"vav-1329"}}</v>
      </c>
      <c r="S1757" s="360" t="s">
        <v>5516</v>
      </c>
      <c r="T1757" s="330"/>
      <c r="U1757" s="330"/>
      <c r="V1757" s="331"/>
      <c r="W1757" s="332"/>
      <c r="X1757" s="333"/>
      <c r="Y1757" s="33" t="s">
        <v>2867</v>
      </c>
      <c r="Z1757" s="258">
        <v>121329.0</v>
      </c>
      <c r="AA1757" s="334">
        <v>11650.0</v>
      </c>
      <c r="AB1757" s="333"/>
      <c r="AC1757" s="333"/>
      <c r="AD1757" s="329"/>
      <c r="AE1757" s="331"/>
      <c r="AF1757" s="336"/>
      <c r="AG1757" s="337"/>
      <c r="AH1757" s="333"/>
      <c r="AI1757" s="333"/>
      <c r="AJ1757" s="333"/>
      <c r="AK1757" s="333"/>
      <c r="AL1757" s="333"/>
      <c r="AM1757" s="338"/>
      <c r="AN1757" s="333"/>
      <c r="AO1757" s="333"/>
      <c r="AP1757" s="333"/>
      <c r="AQ1757" s="333"/>
      <c r="AR1757" s="333"/>
      <c r="AS1757" s="333"/>
      <c r="AT1757" s="333"/>
      <c r="AU1757" s="329"/>
      <c r="AV1757" s="341"/>
      <c r="AW1757" s="269" t="s">
        <v>2486</v>
      </c>
      <c r="AX1757" s="334" t="s">
        <v>2869</v>
      </c>
      <c r="AY1757" s="270" t="s">
        <v>695</v>
      </c>
      <c r="AZ1757" s="173" t="s">
        <v>5516</v>
      </c>
      <c r="BA1757" s="265">
        <v>10.0</v>
      </c>
      <c r="BB1757" s="174" t="s">
        <v>245</v>
      </c>
      <c r="BC1757" s="341"/>
      <c r="BD1757" s="308"/>
      <c r="BE1757" s="342"/>
      <c r="BF1757" s="274" t="str">
        <f>IFERROR(__xludf.DUMMYFUNCTION("LOWER(Regexreplace(to_text(E1757),""[^A-Za-z0-9]"","""")&amp;""_""&amp;Regexreplace(to_text(F1757),""[^A-Za-z0-9]"",""""))"),"neptronic_evcbseries")</f>
        <v>neptronic_evcbseries</v>
      </c>
      <c r="BG1757" s="275" t="str">
        <f>IFERROR(__xludf.DUMMYFUNCTION("upper(Regexreplace(to_text(E1757),""[^A-Za-z0-9]"","""")&amp;""-""&amp;Regexreplace(to_text(F1757),""[^A-Za-z0-9]"",""""))"),"NEPTRONIC-EVCBSERIES")</f>
        <v>NEPTRONIC-EVCBSERIES</v>
      </c>
    </row>
    <row r="1758" ht="30.0" customHeight="1">
      <c r="A1758" s="258">
        <v>1750.0</v>
      </c>
      <c r="B1758" s="328" t="s">
        <v>670</v>
      </c>
      <c r="C1758" s="257" t="s">
        <v>6719</v>
      </c>
      <c r="D1758" s="173" t="s">
        <v>6719</v>
      </c>
      <c r="E1758" s="174" t="s">
        <v>2861</v>
      </c>
      <c r="F1758" s="173" t="s">
        <v>2862</v>
      </c>
      <c r="G1758" s="328" t="s">
        <v>673</v>
      </c>
      <c r="H1758" s="328" t="s">
        <v>2863</v>
      </c>
      <c r="I1758" s="258" t="s">
        <v>2864</v>
      </c>
      <c r="J1758" s="259" t="s">
        <v>1272</v>
      </c>
      <c r="K1758" s="260"/>
      <c r="L1758" s="359"/>
      <c r="M1758" s="359"/>
      <c r="N1758" s="173" t="s">
        <v>679</v>
      </c>
      <c r="O1758" s="173" t="s">
        <v>225</v>
      </c>
      <c r="P1758" s="262" t="str">
        <f t="shared" si="1"/>
        <v>IN-BLR-ANANTA-VAV-1330_8</v>
      </c>
      <c r="Q1758" s="173" t="s">
        <v>6720</v>
      </c>
      <c r="R1758" s="328" t="str">
        <f>IFS(C1758="","",C1758="n/a","N/A",LEN(C1758),Concatenate("{",char(34),"asset",char(34),":{",char(34),"guid",char(34),":",char(34),Q1758,char(34),",",char(34),"site",char(34),":",char(34),LOWER('2-Building'!$B$4),char(34),",",char(34),"name",char(34),":",char(34),LOWER(C1758),char(34),"}}"))</f>
        <v>{"asset":{"guid":"uuid://f55f3781-9018-490c-8391-106355ec179c","site":"in-blr-ananta","name":"vav-1330"}}</v>
      </c>
      <c r="S1758" s="360" t="s">
        <v>5516</v>
      </c>
      <c r="T1758" s="330"/>
      <c r="U1758" s="330"/>
      <c r="V1758" s="331"/>
      <c r="W1758" s="332"/>
      <c r="X1758" s="333"/>
      <c r="Y1758" s="33" t="s">
        <v>2867</v>
      </c>
      <c r="Z1758" s="258">
        <v>121330.0</v>
      </c>
      <c r="AA1758" s="334">
        <v>11650.0</v>
      </c>
      <c r="AB1758" s="333"/>
      <c r="AC1758" s="333"/>
      <c r="AD1758" s="329"/>
      <c r="AE1758" s="331"/>
      <c r="AF1758" s="336"/>
      <c r="AG1758" s="337"/>
      <c r="AH1758" s="333"/>
      <c r="AI1758" s="333"/>
      <c r="AJ1758" s="333"/>
      <c r="AK1758" s="333"/>
      <c r="AL1758" s="333"/>
      <c r="AM1758" s="338"/>
      <c r="AN1758" s="333"/>
      <c r="AO1758" s="333"/>
      <c r="AP1758" s="333"/>
      <c r="AQ1758" s="333"/>
      <c r="AR1758" s="333"/>
      <c r="AS1758" s="333"/>
      <c r="AT1758" s="333"/>
      <c r="AU1758" s="329"/>
      <c r="AV1758" s="341"/>
      <c r="AW1758" s="269" t="s">
        <v>2486</v>
      </c>
      <c r="AX1758" s="334" t="s">
        <v>2869</v>
      </c>
      <c r="AY1758" s="270" t="s">
        <v>695</v>
      </c>
      <c r="AZ1758" s="173" t="s">
        <v>5516</v>
      </c>
      <c r="BA1758" s="265">
        <v>10.0</v>
      </c>
      <c r="BB1758" s="174" t="s">
        <v>245</v>
      </c>
      <c r="BC1758" s="341"/>
      <c r="BD1758" s="308"/>
      <c r="BE1758" s="342"/>
      <c r="BF1758" s="274" t="str">
        <f>IFERROR(__xludf.DUMMYFUNCTION("LOWER(Regexreplace(to_text(E1758),""[^A-Za-z0-9]"","""")&amp;""_""&amp;Regexreplace(to_text(F1758),""[^A-Za-z0-9]"",""""))"),"neptronic_evcbseries")</f>
        <v>neptronic_evcbseries</v>
      </c>
      <c r="BG1758" s="275" t="str">
        <f>IFERROR(__xludf.DUMMYFUNCTION("upper(Regexreplace(to_text(E1758),""[^A-Za-z0-9]"","""")&amp;""-""&amp;Regexreplace(to_text(F1758),""[^A-Za-z0-9]"",""""))"),"NEPTRONIC-EVCBSERIES")</f>
        <v>NEPTRONIC-EVCBSERIES</v>
      </c>
    </row>
    <row r="1759" ht="30.0" customHeight="1">
      <c r="A1759" s="173">
        <v>1751.0</v>
      </c>
      <c r="B1759" s="328" t="s">
        <v>670</v>
      </c>
      <c r="C1759" s="257" t="s">
        <v>6721</v>
      </c>
      <c r="D1759" s="173" t="s">
        <v>6721</v>
      </c>
      <c r="E1759" s="174" t="s">
        <v>2861</v>
      </c>
      <c r="F1759" s="173" t="s">
        <v>2862</v>
      </c>
      <c r="G1759" s="328" t="s">
        <v>673</v>
      </c>
      <c r="H1759" s="328" t="s">
        <v>2863</v>
      </c>
      <c r="I1759" s="258" t="s">
        <v>2864</v>
      </c>
      <c r="J1759" s="259" t="s">
        <v>1272</v>
      </c>
      <c r="K1759" s="260"/>
      <c r="L1759" s="359"/>
      <c r="M1759" s="359"/>
      <c r="N1759" s="173" t="s">
        <v>679</v>
      </c>
      <c r="O1759" s="173" t="s">
        <v>225</v>
      </c>
      <c r="P1759" s="262" t="str">
        <f t="shared" si="1"/>
        <v>IN-BLR-ANANTA-VAV-1331_8</v>
      </c>
      <c r="Q1759" s="173" t="s">
        <v>6722</v>
      </c>
      <c r="R1759" s="328" t="str">
        <f>IFS(C1759="","",C1759="n/a","N/A",LEN(C1759),Concatenate("{",char(34),"asset",char(34),":{",char(34),"guid",char(34),":",char(34),Q1759,char(34),",",char(34),"site",char(34),":",char(34),LOWER('2-Building'!$B$4),char(34),",",char(34),"name",char(34),":",char(34),LOWER(C1759),char(34),"}}"))</f>
        <v>{"asset":{"guid":"uuid://3b6cbfbc-a156-4fff-93fe-685355224011","site":"in-blr-ananta","name":"vav-1331"}}</v>
      </c>
      <c r="S1759" s="360" t="s">
        <v>5516</v>
      </c>
      <c r="T1759" s="330"/>
      <c r="U1759" s="330"/>
      <c r="V1759" s="331"/>
      <c r="W1759" s="332"/>
      <c r="X1759" s="333"/>
      <c r="Y1759" s="33" t="s">
        <v>2867</v>
      </c>
      <c r="Z1759" s="258">
        <v>121331.0</v>
      </c>
      <c r="AA1759" s="334">
        <v>11650.0</v>
      </c>
      <c r="AB1759" s="333"/>
      <c r="AC1759" s="333"/>
      <c r="AD1759" s="329"/>
      <c r="AE1759" s="331"/>
      <c r="AF1759" s="336"/>
      <c r="AG1759" s="337"/>
      <c r="AH1759" s="333"/>
      <c r="AI1759" s="333"/>
      <c r="AJ1759" s="333"/>
      <c r="AK1759" s="333"/>
      <c r="AL1759" s="333"/>
      <c r="AM1759" s="338"/>
      <c r="AN1759" s="333"/>
      <c r="AO1759" s="333"/>
      <c r="AP1759" s="333"/>
      <c r="AQ1759" s="333"/>
      <c r="AR1759" s="333"/>
      <c r="AS1759" s="333"/>
      <c r="AT1759" s="333"/>
      <c r="AU1759" s="329"/>
      <c r="AV1759" s="341"/>
      <c r="AW1759" s="269" t="s">
        <v>2486</v>
      </c>
      <c r="AX1759" s="334" t="s">
        <v>2869</v>
      </c>
      <c r="AY1759" s="270" t="s">
        <v>695</v>
      </c>
      <c r="AZ1759" s="173" t="s">
        <v>5516</v>
      </c>
      <c r="BA1759" s="265">
        <v>10.0</v>
      </c>
      <c r="BB1759" s="174" t="s">
        <v>245</v>
      </c>
      <c r="BC1759" s="341"/>
      <c r="BD1759" s="308"/>
      <c r="BE1759" s="342"/>
      <c r="BF1759" s="274" t="str">
        <f>IFERROR(__xludf.DUMMYFUNCTION("LOWER(Regexreplace(to_text(E1759),""[^A-Za-z0-9]"","""")&amp;""_""&amp;Regexreplace(to_text(F1759),""[^A-Za-z0-9]"",""""))"),"neptronic_evcbseries")</f>
        <v>neptronic_evcbseries</v>
      </c>
      <c r="BG1759" s="275" t="str">
        <f>IFERROR(__xludf.DUMMYFUNCTION("upper(Regexreplace(to_text(E1759),""[^A-Za-z0-9]"","""")&amp;""-""&amp;Regexreplace(to_text(F1759),""[^A-Za-z0-9]"",""""))"),"NEPTRONIC-EVCBSERIES")</f>
        <v>NEPTRONIC-EVCBSERIES</v>
      </c>
    </row>
    <row r="1760" ht="30.0" customHeight="1">
      <c r="A1760" s="258">
        <v>1752.0</v>
      </c>
      <c r="B1760" s="328" t="s">
        <v>670</v>
      </c>
      <c r="C1760" s="257" t="s">
        <v>6723</v>
      </c>
      <c r="D1760" s="173" t="s">
        <v>6723</v>
      </c>
      <c r="E1760" s="174" t="s">
        <v>2861</v>
      </c>
      <c r="F1760" s="173" t="s">
        <v>2862</v>
      </c>
      <c r="G1760" s="328" t="s">
        <v>673</v>
      </c>
      <c r="H1760" s="328" t="s">
        <v>2863</v>
      </c>
      <c r="I1760" s="258" t="s">
        <v>2864</v>
      </c>
      <c r="J1760" s="259" t="s">
        <v>1272</v>
      </c>
      <c r="K1760" s="260"/>
      <c r="L1760" s="359"/>
      <c r="M1760" s="359"/>
      <c r="N1760" s="173" t="s">
        <v>679</v>
      </c>
      <c r="O1760" s="173" t="s">
        <v>225</v>
      </c>
      <c r="P1760" s="262" t="str">
        <f t="shared" si="1"/>
        <v>IN-BLR-ANANTA-VAV-1332_8</v>
      </c>
      <c r="Q1760" s="173" t="s">
        <v>6724</v>
      </c>
      <c r="R1760" s="328" t="str">
        <f>IFS(C1760="","",C1760="n/a","N/A",LEN(C1760),Concatenate("{",char(34),"asset",char(34),":{",char(34),"guid",char(34),":",char(34),Q1760,char(34),",",char(34),"site",char(34),":",char(34),LOWER('2-Building'!$B$4),char(34),",",char(34),"name",char(34),":",char(34),LOWER(C1760),char(34),"}}"))</f>
        <v>{"asset":{"guid":"uuid://a99c5289-382e-447d-887c-90e4884f7b6a","site":"in-blr-ananta","name":"vav-1332"}}</v>
      </c>
      <c r="S1760" s="360" t="s">
        <v>5516</v>
      </c>
      <c r="T1760" s="330"/>
      <c r="U1760" s="330"/>
      <c r="V1760" s="331"/>
      <c r="W1760" s="332"/>
      <c r="X1760" s="333"/>
      <c r="Y1760" s="33" t="s">
        <v>2867</v>
      </c>
      <c r="Z1760" s="258">
        <v>121332.0</v>
      </c>
      <c r="AA1760" s="334">
        <v>11650.0</v>
      </c>
      <c r="AB1760" s="333"/>
      <c r="AC1760" s="333"/>
      <c r="AD1760" s="329"/>
      <c r="AE1760" s="331"/>
      <c r="AF1760" s="336"/>
      <c r="AG1760" s="337"/>
      <c r="AH1760" s="333"/>
      <c r="AI1760" s="333"/>
      <c r="AJ1760" s="333"/>
      <c r="AK1760" s="333"/>
      <c r="AL1760" s="333"/>
      <c r="AM1760" s="338"/>
      <c r="AN1760" s="333"/>
      <c r="AO1760" s="333"/>
      <c r="AP1760" s="333"/>
      <c r="AQ1760" s="333"/>
      <c r="AR1760" s="333"/>
      <c r="AS1760" s="333"/>
      <c r="AT1760" s="333"/>
      <c r="AU1760" s="329"/>
      <c r="AV1760" s="341"/>
      <c r="AW1760" s="269" t="s">
        <v>2486</v>
      </c>
      <c r="AX1760" s="334" t="s">
        <v>2869</v>
      </c>
      <c r="AY1760" s="270" t="s">
        <v>695</v>
      </c>
      <c r="AZ1760" s="173" t="s">
        <v>5516</v>
      </c>
      <c r="BA1760" s="265">
        <v>10.0</v>
      </c>
      <c r="BB1760" s="174" t="s">
        <v>245</v>
      </c>
      <c r="BC1760" s="341"/>
      <c r="BD1760" s="308"/>
      <c r="BE1760" s="342"/>
      <c r="BF1760" s="274" t="str">
        <f>IFERROR(__xludf.DUMMYFUNCTION("LOWER(Regexreplace(to_text(E1760),""[^A-Za-z0-9]"","""")&amp;""_""&amp;Regexreplace(to_text(F1760),""[^A-Za-z0-9]"",""""))"),"neptronic_evcbseries")</f>
        <v>neptronic_evcbseries</v>
      </c>
      <c r="BG1760" s="275" t="str">
        <f>IFERROR(__xludf.DUMMYFUNCTION("upper(Regexreplace(to_text(E1760),""[^A-Za-z0-9]"","""")&amp;""-""&amp;Regexreplace(to_text(F1760),""[^A-Za-z0-9]"",""""))"),"NEPTRONIC-EVCBSERIES")</f>
        <v>NEPTRONIC-EVCBSERIES</v>
      </c>
    </row>
    <row r="1761" ht="30.0" customHeight="1">
      <c r="A1761" s="173">
        <v>1753.0</v>
      </c>
      <c r="B1761" s="328" t="s">
        <v>670</v>
      </c>
      <c r="C1761" s="257" t="s">
        <v>6725</v>
      </c>
      <c r="D1761" s="173" t="s">
        <v>6725</v>
      </c>
      <c r="E1761" s="174" t="s">
        <v>2861</v>
      </c>
      <c r="F1761" s="173" t="s">
        <v>2862</v>
      </c>
      <c r="G1761" s="328" t="s">
        <v>673</v>
      </c>
      <c r="H1761" s="328" t="s">
        <v>2863</v>
      </c>
      <c r="I1761" s="258" t="s">
        <v>2864</v>
      </c>
      <c r="J1761" s="259" t="s">
        <v>1272</v>
      </c>
      <c r="K1761" s="260"/>
      <c r="L1761" s="359"/>
      <c r="M1761" s="359"/>
      <c r="N1761" s="173" t="s">
        <v>679</v>
      </c>
      <c r="O1761" s="173" t="s">
        <v>225</v>
      </c>
      <c r="P1761" s="262" t="str">
        <f t="shared" si="1"/>
        <v>IN-BLR-ANANTA-VAV-1333_8</v>
      </c>
      <c r="Q1761" s="173" t="s">
        <v>6726</v>
      </c>
      <c r="R1761" s="328" t="str">
        <f>IFS(C1761="","",C1761="n/a","N/A",LEN(C1761),Concatenate("{",char(34),"asset",char(34),":{",char(34),"guid",char(34),":",char(34),Q1761,char(34),",",char(34),"site",char(34),":",char(34),LOWER('2-Building'!$B$4),char(34),",",char(34),"name",char(34),":",char(34),LOWER(C1761),char(34),"}}"))</f>
        <v>{"asset":{"guid":"uuid://23139bc6-31c1-40cb-9177-4e7a9cdd062b","site":"in-blr-ananta","name":"vav-1333"}}</v>
      </c>
      <c r="S1761" s="360" t="s">
        <v>5516</v>
      </c>
      <c r="T1761" s="330"/>
      <c r="U1761" s="330"/>
      <c r="V1761" s="331"/>
      <c r="W1761" s="332"/>
      <c r="X1761" s="333"/>
      <c r="Y1761" s="33" t="s">
        <v>2867</v>
      </c>
      <c r="Z1761" s="258">
        <v>121333.0</v>
      </c>
      <c r="AA1761" s="334">
        <v>11650.0</v>
      </c>
      <c r="AB1761" s="333"/>
      <c r="AC1761" s="333"/>
      <c r="AD1761" s="329"/>
      <c r="AE1761" s="331"/>
      <c r="AF1761" s="336"/>
      <c r="AG1761" s="337"/>
      <c r="AH1761" s="333"/>
      <c r="AI1761" s="333"/>
      <c r="AJ1761" s="333"/>
      <c r="AK1761" s="333"/>
      <c r="AL1761" s="333"/>
      <c r="AM1761" s="338"/>
      <c r="AN1761" s="333"/>
      <c r="AO1761" s="333"/>
      <c r="AP1761" s="333"/>
      <c r="AQ1761" s="333"/>
      <c r="AR1761" s="333"/>
      <c r="AS1761" s="333"/>
      <c r="AT1761" s="333"/>
      <c r="AU1761" s="329"/>
      <c r="AV1761" s="341"/>
      <c r="AW1761" s="269" t="s">
        <v>2486</v>
      </c>
      <c r="AX1761" s="334" t="s">
        <v>2869</v>
      </c>
      <c r="AY1761" s="270" t="s">
        <v>695</v>
      </c>
      <c r="AZ1761" s="173" t="s">
        <v>5516</v>
      </c>
      <c r="BA1761" s="265">
        <v>10.0</v>
      </c>
      <c r="BB1761" s="174" t="s">
        <v>245</v>
      </c>
      <c r="BC1761" s="341"/>
      <c r="BD1761" s="308"/>
      <c r="BE1761" s="342"/>
      <c r="BF1761" s="274" t="str">
        <f>IFERROR(__xludf.DUMMYFUNCTION("LOWER(Regexreplace(to_text(E1761),""[^A-Za-z0-9]"","""")&amp;""_""&amp;Regexreplace(to_text(F1761),""[^A-Za-z0-9]"",""""))"),"neptronic_evcbseries")</f>
        <v>neptronic_evcbseries</v>
      </c>
      <c r="BG1761" s="275" t="str">
        <f>IFERROR(__xludf.DUMMYFUNCTION("upper(Regexreplace(to_text(E1761),""[^A-Za-z0-9]"","""")&amp;""-""&amp;Regexreplace(to_text(F1761),""[^A-Za-z0-9]"",""""))"),"NEPTRONIC-EVCBSERIES")</f>
        <v>NEPTRONIC-EVCBSERIES</v>
      </c>
    </row>
    <row r="1762" ht="30.0" customHeight="1">
      <c r="A1762" s="258">
        <v>1754.0</v>
      </c>
      <c r="B1762" s="328" t="s">
        <v>670</v>
      </c>
      <c r="C1762" s="257" t="s">
        <v>6727</v>
      </c>
      <c r="D1762" s="173" t="s">
        <v>6727</v>
      </c>
      <c r="E1762" s="174" t="s">
        <v>2861</v>
      </c>
      <c r="F1762" s="173" t="s">
        <v>2862</v>
      </c>
      <c r="G1762" s="328" t="s">
        <v>673</v>
      </c>
      <c r="H1762" s="328" t="s">
        <v>2863</v>
      </c>
      <c r="I1762" s="258" t="s">
        <v>2864</v>
      </c>
      <c r="J1762" s="259" t="s">
        <v>1272</v>
      </c>
      <c r="K1762" s="260"/>
      <c r="L1762" s="359"/>
      <c r="M1762" s="359"/>
      <c r="N1762" s="173" t="s">
        <v>679</v>
      </c>
      <c r="O1762" s="173" t="s">
        <v>225</v>
      </c>
      <c r="P1762" s="262" t="str">
        <f t="shared" si="1"/>
        <v>IN-BLR-ANANTA-VAV-1334_8</v>
      </c>
      <c r="Q1762" s="173" t="s">
        <v>6728</v>
      </c>
      <c r="R1762" s="328" t="str">
        <f>IFS(C1762="","",C1762="n/a","N/A",LEN(C1762),Concatenate("{",char(34),"asset",char(34),":{",char(34),"guid",char(34),":",char(34),Q1762,char(34),",",char(34),"site",char(34),":",char(34),LOWER('2-Building'!$B$4),char(34),",",char(34),"name",char(34),":",char(34),LOWER(C1762),char(34),"}}"))</f>
        <v>{"asset":{"guid":"uuid://1a715de3-8483-4a76-9479-ed2a8c0ac131","site":"in-blr-ananta","name":"vav-1334"}}</v>
      </c>
      <c r="S1762" s="360" t="s">
        <v>5516</v>
      </c>
      <c r="T1762" s="330"/>
      <c r="U1762" s="330"/>
      <c r="V1762" s="331"/>
      <c r="W1762" s="332"/>
      <c r="X1762" s="333"/>
      <c r="Y1762" s="33" t="s">
        <v>2867</v>
      </c>
      <c r="Z1762" s="258">
        <v>121334.0</v>
      </c>
      <c r="AA1762" s="334">
        <v>11650.0</v>
      </c>
      <c r="AB1762" s="333"/>
      <c r="AC1762" s="333"/>
      <c r="AD1762" s="329"/>
      <c r="AE1762" s="331"/>
      <c r="AF1762" s="336"/>
      <c r="AG1762" s="337"/>
      <c r="AH1762" s="333"/>
      <c r="AI1762" s="333"/>
      <c r="AJ1762" s="333"/>
      <c r="AK1762" s="333"/>
      <c r="AL1762" s="333"/>
      <c r="AM1762" s="338"/>
      <c r="AN1762" s="333"/>
      <c r="AO1762" s="333"/>
      <c r="AP1762" s="333"/>
      <c r="AQ1762" s="333"/>
      <c r="AR1762" s="333"/>
      <c r="AS1762" s="333"/>
      <c r="AT1762" s="333"/>
      <c r="AU1762" s="329"/>
      <c r="AV1762" s="341"/>
      <c r="AW1762" s="269" t="s">
        <v>2486</v>
      </c>
      <c r="AX1762" s="334" t="s">
        <v>2869</v>
      </c>
      <c r="AY1762" s="270" t="s">
        <v>695</v>
      </c>
      <c r="AZ1762" s="173" t="s">
        <v>5516</v>
      </c>
      <c r="BA1762" s="265">
        <v>10.0</v>
      </c>
      <c r="BB1762" s="174" t="s">
        <v>245</v>
      </c>
      <c r="BC1762" s="341"/>
      <c r="BD1762" s="308"/>
      <c r="BE1762" s="342"/>
      <c r="BF1762" s="274" t="str">
        <f>IFERROR(__xludf.DUMMYFUNCTION("LOWER(Regexreplace(to_text(E1762),""[^A-Za-z0-9]"","""")&amp;""_""&amp;Regexreplace(to_text(F1762),""[^A-Za-z0-9]"",""""))"),"neptronic_evcbseries")</f>
        <v>neptronic_evcbseries</v>
      </c>
      <c r="BG1762" s="275" t="str">
        <f>IFERROR(__xludf.DUMMYFUNCTION("upper(Regexreplace(to_text(E1762),""[^A-Za-z0-9]"","""")&amp;""-""&amp;Regexreplace(to_text(F1762),""[^A-Za-z0-9]"",""""))"),"NEPTRONIC-EVCBSERIES")</f>
        <v>NEPTRONIC-EVCBSERIES</v>
      </c>
    </row>
    <row r="1763" ht="30.0" customHeight="1">
      <c r="A1763" s="173">
        <v>1755.0</v>
      </c>
      <c r="B1763" s="328" t="s">
        <v>670</v>
      </c>
      <c r="C1763" s="257" t="s">
        <v>6729</v>
      </c>
      <c r="D1763" s="173" t="s">
        <v>6729</v>
      </c>
      <c r="E1763" s="174" t="s">
        <v>2861</v>
      </c>
      <c r="F1763" s="173" t="s">
        <v>2862</v>
      </c>
      <c r="G1763" s="328" t="s">
        <v>673</v>
      </c>
      <c r="H1763" s="328" t="s">
        <v>2863</v>
      </c>
      <c r="I1763" s="258" t="s">
        <v>2864</v>
      </c>
      <c r="J1763" s="259" t="s">
        <v>1272</v>
      </c>
      <c r="K1763" s="260"/>
      <c r="L1763" s="359"/>
      <c r="M1763" s="359"/>
      <c r="N1763" s="173" t="s">
        <v>679</v>
      </c>
      <c r="O1763" s="173" t="s">
        <v>225</v>
      </c>
      <c r="P1763" s="262" t="str">
        <f t="shared" si="1"/>
        <v>IN-BLR-ANANTA-VAV-1335_8</v>
      </c>
      <c r="Q1763" s="173" t="s">
        <v>6730</v>
      </c>
      <c r="R1763" s="328" t="str">
        <f>IFS(C1763="","",C1763="n/a","N/A",LEN(C1763),Concatenate("{",char(34),"asset",char(34),":{",char(34),"guid",char(34),":",char(34),Q1763,char(34),",",char(34),"site",char(34),":",char(34),LOWER('2-Building'!$B$4),char(34),",",char(34),"name",char(34),":",char(34),LOWER(C1763),char(34),"}}"))</f>
        <v>{"asset":{"guid":"uuid://cc84b70d-0d44-4de8-869f-52954b607a4d","site":"in-blr-ananta","name":"vav-1335"}}</v>
      </c>
      <c r="S1763" s="360" t="s">
        <v>5516</v>
      </c>
      <c r="T1763" s="330"/>
      <c r="U1763" s="330"/>
      <c r="V1763" s="331"/>
      <c r="W1763" s="332"/>
      <c r="X1763" s="333"/>
      <c r="Y1763" s="33" t="s">
        <v>2867</v>
      </c>
      <c r="Z1763" s="258">
        <v>121335.0</v>
      </c>
      <c r="AA1763" s="334">
        <v>11648.0</v>
      </c>
      <c r="AB1763" s="333"/>
      <c r="AC1763" s="333"/>
      <c r="AD1763" s="329"/>
      <c r="AE1763" s="331"/>
      <c r="AF1763" s="336"/>
      <c r="AG1763" s="337"/>
      <c r="AH1763" s="333"/>
      <c r="AI1763" s="333"/>
      <c r="AJ1763" s="333"/>
      <c r="AK1763" s="333"/>
      <c r="AL1763" s="333"/>
      <c r="AM1763" s="338"/>
      <c r="AN1763" s="333"/>
      <c r="AO1763" s="333"/>
      <c r="AP1763" s="333"/>
      <c r="AQ1763" s="333"/>
      <c r="AR1763" s="333"/>
      <c r="AS1763" s="333"/>
      <c r="AT1763" s="333"/>
      <c r="AU1763" s="329"/>
      <c r="AV1763" s="341"/>
      <c r="AW1763" s="269" t="s">
        <v>2476</v>
      </c>
      <c r="AX1763" s="334" t="s">
        <v>2869</v>
      </c>
      <c r="AY1763" s="270" t="s">
        <v>695</v>
      </c>
      <c r="AZ1763" s="173" t="s">
        <v>5516</v>
      </c>
      <c r="BA1763" s="265">
        <v>10.0</v>
      </c>
      <c r="BB1763" s="174" t="s">
        <v>245</v>
      </c>
      <c r="BC1763" s="341"/>
      <c r="BD1763" s="308"/>
      <c r="BE1763" s="342"/>
      <c r="BF1763" s="274" t="str">
        <f>IFERROR(__xludf.DUMMYFUNCTION("LOWER(Regexreplace(to_text(E1763),""[^A-Za-z0-9]"","""")&amp;""_""&amp;Regexreplace(to_text(F1763),""[^A-Za-z0-9]"",""""))"),"neptronic_evcbseries")</f>
        <v>neptronic_evcbseries</v>
      </c>
      <c r="BG1763" s="275" t="str">
        <f>IFERROR(__xludf.DUMMYFUNCTION("upper(Regexreplace(to_text(E1763),""[^A-Za-z0-9]"","""")&amp;""-""&amp;Regexreplace(to_text(F1763),""[^A-Za-z0-9]"",""""))"),"NEPTRONIC-EVCBSERIES")</f>
        <v>NEPTRONIC-EVCBSERIES</v>
      </c>
    </row>
    <row r="1764" ht="30.0" customHeight="1">
      <c r="A1764" s="258">
        <v>1756.0</v>
      </c>
      <c r="B1764" s="328" t="s">
        <v>670</v>
      </c>
      <c r="C1764" s="257" t="s">
        <v>6731</v>
      </c>
      <c r="D1764" s="173" t="s">
        <v>6731</v>
      </c>
      <c r="E1764" s="174" t="s">
        <v>2861</v>
      </c>
      <c r="F1764" s="173" t="s">
        <v>2862</v>
      </c>
      <c r="G1764" s="328" t="s">
        <v>673</v>
      </c>
      <c r="H1764" s="328" t="s">
        <v>2863</v>
      </c>
      <c r="I1764" s="258" t="s">
        <v>2864</v>
      </c>
      <c r="J1764" s="259" t="s">
        <v>1272</v>
      </c>
      <c r="K1764" s="260"/>
      <c r="L1764" s="359"/>
      <c r="M1764" s="359"/>
      <c r="N1764" s="173" t="s">
        <v>679</v>
      </c>
      <c r="O1764" s="173" t="s">
        <v>225</v>
      </c>
      <c r="P1764" s="262" t="str">
        <f t="shared" si="1"/>
        <v>IN-BLR-ANANTA-VAV-1336_8</v>
      </c>
      <c r="Q1764" s="173" t="s">
        <v>6732</v>
      </c>
      <c r="R1764" s="328" t="str">
        <f>IFS(C1764="","",C1764="n/a","N/A",LEN(C1764),Concatenate("{",char(34),"asset",char(34),":{",char(34),"guid",char(34),":",char(34),Q1764,char(34),",",char(34),"site",char(34),":",char(34),LOWER('2-Building'!$B$4),char(34),",",char(34),"name",char(34),":",char(34),LOWER(C1764),char(34),"}}"))</f>
        <v>{"asset":{"guid":"uuid://a4f9d366-2010-4f1e-a4ec-bcc75ab385d7","site":"in-blr-ananta","name":"vav-1336"}}</v>
      </c>
      <c r="S1764" s="360" t="s">
        <v>5516</v>
      </c>
      <c r="T1764" s="330"/>
      <c r="U1764" s="330"/>
      <c r="V1764" s="331"/>
      <c r="W1764" s="332"/>
      <c r="X1764" s="333"/>
      <c r="Y1764" s="33" t="s">
        <v>2867</v>
      </c>
      <c r="Z1764" s="258">
        <v>121336.0</v>
      </c>
      <c r="AA1764" s="334">
        <v>11648.0</v>
      </c>
      <c r="AB1764" s="333"/>
      <c r="AC1764" s="333"/>
      <c r="AD1764" s="329"/>
      <c r="AE1764" s="331"/>
      <c r="AF1764" s="336"/>
      <c r="AG1764" s="337"/>
      <c r="AH1764" s="333"/>
      <c r="AI1764" s="333"/>
      <c r="AJ1764" s="333"/>
      <c r="AK1764" s="333"/>
      <c r="AL1764" s="333"/>
      <c r="AM1764" s="338"/>
      <c r="AN1764" s="333"/>
      <c r="AO1764" s="333"/>
      <c r="AP1764" s="333"/>
      <c r="AQ1764" s="333"/>
      <c r="AR1764" s="333"/>
      <c r="AS1764" s="333"/>
      <c r="AT1764" s="333"/>
      <c r="AU1764" s="329"/>
      <c r="AV1764" s="341"/>
      <c r="AW1764" s="269" t="s">
        <v>2476</v>
      </c>
      <c r="AX1764" s="334" t="s">
        <v>2869</v>
      </c>
      <c r="AY1764" s="270" t="s">
        <v>695</v>
      </c>
      <c r="AZ1764" s="173" t="s">
        <v>5516</v>
      </c>
      <c r="BA1764" s="265">
        <v>10.0</v>
      </c>
      <c r="BB1764" s="174" t="s">
        <v>245</v>
      </c>
      <c r="BC1764" s="341"/>
      <c r="BD1764" s="308"/>
      <c r="BE1764" s="342"/>
      <c r="BF1764" s="274" t="str">
        <f>IFERROR(__xludf.DUMMYFUNCTION("LOWER(Regexreplace(to_text(E1764),""[^A-Za-z0-9]"","""")&amp;""_""&amp;Regexreplace(to_text(F1764),""[^A-Za-z0-9]"",""""))"),"neptronic_evcbseries")</f>
        <v>neptronic_evcbseries</v>
      </c>
      <c r="BG1764" s="275" t="str">
        <f>IFERROR(__xludf.DUMMYFUNCTION("upper(Regexreplace(to_text(E1764),""[^A-Za-z0-9]"","""")&amp;""-""&amp;Regexreplace(to_text(F1764),""[^A-Za-z0-9]"",""""))"),"NEPTRONIC-EVCBSERIES")</f>
        <v>NEPTRONIC-EVCBSERIES</v>
      </c>
    </row>
    <row r="1765" ht="30.0" customHeight="1">
      <c r="A1765" s="173">
        <v>1757.0</v>
      </c>
      <c r="B1765" s="328" t="s">
        <v>670</v>
      </c>
      <c r="C1765" s="257" t="s">
        <v>6733</v>
      </c>
      <c r="D1765" s="173" t="s">
        <v>6733</v>
      </c>
      <c r="E1765" s="174" t="s">
        <v>2861</v>
      </c>
      <c r="F1765" s="173" t="s">
        <v>2862</v>
      </c>
      <c r="G1765" s="328" t="s">
        <v>673</v>
      </c>
      <c r="H1765" s="328" t="s">
        <v>2863</v>
      </c>
      <c r="I1765" s="258" t="s">
        <v>2864</v>
      </c>
      <c r="J1765" s="259" t="s">
        <v>1272</v>
      </c>
      <c r="K1765" s="260"/>
      <c r="L1765" s="359"/>
      <c r="M1765" s="359"/>
      <c r="N1765" s="173" t="s">
        <v>679</v>
      </c>
      <c r="O1765" s="173" t="s">
        <v>225</v>
      </c>
      <c r="P1765" s="262" t="str">
        <f t="shared" si="1"/>
        <v>IN-BLR-ANANTA-VAV-1337_8</v>
      </c>
      <c r="Q1765" s="173" t="s">
        <v>6734</v>
      </c>
      <c r="R1765" s="328" t="str">
        <f>IFS(C1765="","",C1765="n/a","N/A",LEN(C1765),Concatenate("{",char(34),"asset",char(34),":{",char(34),"guid",char(34),":",char(34),Q1765,char(34),",",char(34),"site",char(34),":",char(34),LOWER('2-Building'!$B$4),char(34),",",char(34),"name",char(34),":",char(34),LOWER(C1765),char(34),"}}"))</f>
        <v>{"asset":{"guid":"uuid://874c70fd-0c2e-4b0c-ba69-27fa3b7328c4","site":"in-blr-ananta","name":"vav-1337"}}</v>
      </c>
      <c r="S1765" s="360" t="s">
        <v>5516</v>
      </c>
      <c r="T1765" s="330"/>
      <c r="U1765" s="330"/>
      <c r="V1765" s="331"/>
      <c r="W1765" s="332"/>
      <c r="X1765" s="333"/>
      <c r="Y1765" s="33" t="s">
        <v>2867</v>
      </c>
      <c r="Z1765" s="258">
        <v>121337.0</v>
      </c>
      <c r="AA1765" s="334">
        <v>11648.0</v>
      </c>
      <c r="AB1765" s="333"/>
      <c r="AC1765" s="333"/>
      <c r="AD1765" s="329"/>
      <c r="AE1765" s="331"/>
      <c r="AF1765" s="336"/>
      <c r="AG1765" s="337"/>
      <c r="AH1765" s="333"/>
      <c r="AI1765" s="333"/>
      <c r="AJ1765" s="333"/>
      <c r="AK1765" s="333"/>
      <c r="AL1765" s="333"/>
      <c r="AM1765" s="338"/>
      <c r="AN1765" s="333"/>
      <c r="AO1765" s="333"/>
      <c r="AP1765" s="333"/>
      <c r="AQ1765" s="333"/>
      <c r="AR1765" s="333"/>
      <c r="AS1765" s="333"/>
      <c r="AT1765" s="333"/>
      <c r="AU1765" s="329"/>
      <c r="AV1765" s="341"/>
      <c r="AW1765" s="269" t="s">
        <v>2476</v>
      </c>
      <c r="AX1765" s="334" t="s">
        <v>2869</v>
      </c>
      <c r="AY1765" s="270" t="s">
        <v>695</v>
      </c>
      <c r="AZ1765" s="173" t="s">
        <v>5516</v>
      </c>
      <c r="BA1765" s="265">
        <v>10.0</v>
      </c>
      <c r="BB1765" s="174" t="s">
        <v>245</v>
      </c>
      <c r="BC1765" s="341"/>
      <c r="BD1765" s="308"/>
      <c r="BE1765" s="342"/>
      <c r="BF1765" s="274" t="str">
        <f>IFERROR(__xludf.DUMMYFUNCTION("LOWER(Regexreplace(to_text(E1765),""[^A-Za-z0-9]"","""")&amp;""_""&amp;Regexreplace(to_text(F1765),""[^A-Za-z0-9]"",""""))"),"neptronic_evcbseries")</f>
        <v>neptronic_evcbseries</v>
      </c>
      <c r="BG1765" s="275" t="str">
        <f>IFERROR(__xludf.DUMMYFUNCTION("upper(Regexreplace(to_text(E1765),""[^A-Za-z0-9]"","""")&amp;""-""&amp;Regexreplace(to_text(F1765),""[^A-Za-z0-9]"",""""))"),"NEPTRONIC-EVCBSERIES")</f>
        <v>NEPTRONIC-EVCBSERIES</v>
      </c>
    </row>
    <row r="1766" ht="30.0" customHeight="1">
      <c r="A1766" s="258">
        <v>1758.0</v>
      </c>
      <c r="B1766" s="328" t="s">
        <v>670</v>
      </c>
      <c r="C1766" s="257" t="s">
        <v>6735</v>
      </c>
      <c r="D1766" s="173" t="s">
        <v>6735</v>
      </c>
      <c r="E1766" s="174" t="s">
        <v>2861</v>
      </c>
      <c r="F1766" s="173" t="s">
        <v>2862</v>
      </c>
      <c r="G1766" s="328" t="s">
        <v>673</v>
      </c>
      <c r="H1766" s="328" t="s">
        <v>2863</v>
      </c>
      <c r="I1766" s="258" t="s">
        <v>2864</v>
      </c>
      <c r="J1766" s="259" t="s">
        <v>1272</v>
      </c>
      <c r="K1766" s="260"/>
      <c r="L1766" s="359"/>
      <c r="M1766" s="359"/>
      <c r="N1766" s="173" t="s">
        <v>679</v>
      </c>
      <c r="O1766" s="173" t="s">
        <v>225</v>
      </c>
      <c r="P1766" s="262" t="str">
        <f t="shared" si="1"/>
        <v>IN-BLR-ANANTA-VAV-1338_8</v>
      </c>
      <c r="Q1766" s="173" t="s">
        <v>6736</v>
      </c>
      <c r="R1766" s="328" t="str">
        <f>IFS(C1766="","",C1766="n/a","N/A",LEN(C1766),Concatenate("{",char(34),"asset",char(34),":{",char(34),"guid",char(34),":",char(34),Q1766,char(34),",",char(34),"site",char(34),":",char(34),LOWER('2-Building'!$B$4),char(34),",",char(34),"name",char(34),":",char(34),LOWER(C1766),char(34),"}}"))</f>
        <v>{"asset":{"guid":"uuid://932f4dcd-699c-455e-86f3-69ca8cd6ea82","site":"in-blr-ananta","name":"vav-1338"}}</v>
      </c>
      <c r="S1766" s="360" t="s">
        <v>5516</v>
      </c>
      <c r="T1766" s="330"/>
      <c r="U1766" s="330"/>
      <c r="V1766" s="331"/>
      <c r="W1766" s="332"/>
      <c r="X1766" s="333"/>
      <c r="Y1766" s="33" t="s">
        <v>2867</v>
      </c>
      <c r="Z1766" s="258">
        <v>121338.0</v>
      </c>
      <c r="AA1766" s="334">
        <v>11648.0</v>
      </c>
      <c r="AB1766" s="333"/>
      <c r="AC1766" s="333"/>
      <c r="AD1766" s="329"/>
      <c r="AE1766" s="331"/>
      <c r="AF1766" s="336"/>
      <c r="AG1766" s="337"/>
      <c r="AH1766" s="333"/>
      <c r="AI1766" s="333"/>
      <c r="AJ1766" s="333"/>
      <c r="AK1766" s="333"/>
      <c r="AL1766" s="333"/>
      <c r="AM1766" s="338"/>
      <c r="AN1766" s="333"/>
      <c r="AO1766" s="333"/>
      <c r="AP1766" s="333"/>
      <c r="AQ1766" s="333"/>
      <c r="AR1766" s="333"/>
      <c r="AS1766" s="333"/>
      <c r="AT1766" s="333"/>
      <c r="AU1766" s="329"/>
      <c r="AV1766" s="341"/>
      <c r="AW1766" s="269" t="s">
        <v>2476</v>
      </c>
      <c r="AX1766" s="334" t="s">
        <v>2869</v>
      </c>
      <c r="AY1766" s="270" t="s">
        <v>695</v>
      </c>
      <c r="AZ1766" s="173" t="s">
        <v>5516</v>
      </c>
      <c r="BA1766" s="265">
        <v>10.0</v>
      </c>
      <c r="BB1766" s="174" t="s">
        <v>245</v>
      </c>
      <c r="BC1766" s="341"/>
      <c r="BD1766" s="308"/>
      <c r="BE1766" s="342"/>
      <c r="BF1766" s="274" t="str">
        <f>IFERROR(__xludf.DUMMYFUNCTION("LOWER(Regexreplace(to_text(E1766),""[^A-Za-z0-9]"","""")&amp;""_""&amp;Regexreplace(to_text(F1766),""[^A-Za-z0-9]"",""""))"),"neptronic_evcbseries")</f>
        <v>neptronic_evcbseries</v>
      </c>
      <c r="BG1766" s="275" t="str">
        <f>IFERROR(__xludf.DUMMYFUNCTION("upper(Regexreplace(to_text(E1766),""[^A-Za-z0-9]"","""")&amp;""-""&amp;Regexreplace(to_text(F1766),""[^A-Za-z0-9]"",""""))"),"NEPTRONIC-EVCBSERIES")</f>
        <v>NEPTRONIC-EVCBSERIES</v>
      </c>
    </row>
    <row r="1767" ht="30.0" customHeight="1">
      <c r="A1767" s="173">
        <v>1759.0</v>
      </c>
      <c r="B1767" s="328" t="s">
        <v>670</v>
      </c>
      <c r="C1767" s="257" t="s">
        <v>6737</v>
      </c>
      <c r="D1767" s="173" t="s">
        <v>6737</v>
      </c>
      <c r="E1767" s="174" t="s">
        <v>2861</v>
      </c>
      <c r="F1767" s="173" t="s">
        <v>2862</v>
      </c>
      <c r="G1767" s="328" t="s">
        <v>673</v>
      </c>
      <c r="H1767" s="328" t="s">
        <v>2863</v>
      </c>
      <c r="I1767" s="258" t="s">
        <v>2864</v>
      </c>
      <c r="J1767" s="259" t="s">
        <v>1272</v>
      </c>
      <c r="K1767" s="260"/>
      <c r="L1767" s="359"/>
      <c r="M1767" s="359"/>
      <c r="N1767" s="173" t="s">
        <v>679</v>
      </c>
      <c r="O1767" s="173" t="s">
        <v>225</v>
      </c>
      <c r="P1767" s="262" t="str">
        <f t="shared" si="1"/>
        <v>IN-BLR-ANANTA-VAV-1339_8</v>
      </c>
      <c r="Q1767" s="173" t="s">
        <v>6738</v>
      </c>
      <c r="R1767" s="328" t="str">
        <f>IFS(C1767="","",C1767="n/a","N/A",LEN(C1767),Concatenate("{",char(34),"asset",char(34),":{",char(34),"guid",char(34),":",char(34),Q1767,char(34),",",char(34),"site",char(34),":",char(34),LOWER('2-Building'!$B$4),char(34),",",char(34),"name",char(34),":",char(34),LOWER(C1767),char(34),"}}"))</f>
        <v>{"asset":{"guid":"uuid://a57166bb-8d1a-43f9-b98d-b6ec486da9a7","site":"in-blr-ananta","name":"vav-1339"}}</v>
      </c>
      <c r="S1767" s="360" t="s">
        <v>5516</v>
      </c>
      <c r="T1767" s="330"/>
      <c r="U1767" s="330"/>
      <c r="V1767" s="331"/>
      <c r="W1767" s="332"/>
      <c r="X1767" s="333"/>
      <c r="Y1767" s="33" t="s">
        <v>2867</v>
      </c>
      <c r="Z1767" s="258">
        <v>121339.0</v>
      </c>
      <c r="AA1767" s="334">
        <v>11648.0</v>
      </c>
      <c r="AB1767" s="333"/>
      <c r="AC1767" s="333"/>
      <c r="AD1767" s="329"/>
      <c r="AE1767" s="331"/>
      <c r="AF1767" s="336"/>
      <c r="AG1767" s="337"/>
      <c r="AH1767" s="333"/>
      <c r="AI1767" s="333"/>
      <c r="AJ1767" s="333"/>
      <c r="AK1767" s="333"/>
      <c r="AL1767" s="333"/>
      <c r="AM1767" s="338"/>
      <c r="AN1767" s="333"/>
      <c r="AO1767" s="333"/>
      <c r="AP1767" s="333"/>
      <c r="AQ1767" s="333"/>
      <c r="AR1767" s="333"/>
      <c r="AS1767" s="333"/>
      <c r="AT1767" s="333"/>
      <c r="AU1767" s="329"/>
      <c r="AV1767" s="341"/>
      <c r="AW1767" s="269" t="s">
        <v>2476</v>
      </c>
      <c r="AX1767" s="334" t="s">
        <v>2869</v>
      </c>
      <c r="AY1767" s="270" t="s">
        <v>695</v>
      </c>
      <c r="AZ1767" s="173" t="s">
        <v>5516</v>
      </c>
      <c r="BA1767" s="265">
        <v>10.0</v>
      </c>
      <c r="BB1767" s="174" t="s">
        <v>245</v>
      </c>
      <c r="BC1767" s="341"/>
      <c r="BD1767" s="308"/>
      <c r="BE1767" s="342"/>
      <c r="BF1767" s="274" t="str">
        <f>IFERROR(__xludf.DUMMYFUNCTION("LOWER(Regexreplace(to_text(E1767),""[^A-Za-z0-9]"","""")&amp;""_""&amp;Regexreplace(to_text(F1767),""[^A-Za-z0-9]"",""""))"),"neptronic_evcbseries")</f>
        <v>neptronic_evcbseries</v>
      </c>
      <c r="BG1767" s="275" t="str">
        <f>IFERROR(__xludf.DUMMYFUNCTION("upper(Regexreplace(to_text(E1767),""[^A-Za-z0-9]"","""")&amp;""-""&amp;Regexreplace(to_text(F1767),""[^A-Za-z0-9]"",""""))"),"NEPTRONIC-EVCBSERIES")</f>
        <v>NEPTRONIC-EVCBSERIES</v>
      </c>
    </row>
    <row r="1768" ht="30.0" customHeight="1">
      <c r="A1768" s="258">
        <v>1760.0</v>
      </c>
      <c r="B1768" s="328" t="s">
        <v>670</v>
      </c>
      <c r="C1768" s="257" t="s">
        <v>6739</v>
      </c>
      <c r="D1768" s="173" t="s">
        <v>6739</v>
      </c>
      <c r="E1768" s="174" t="s">
        <v>2861</v>
      </c>
      <c r="F1768" s="173" t="s">
        <v>2862</v>
      </c>
      <c r="G1768" s="328" t="s">
        <v>673</v>
      </c>
      <c r="H1768" s="328" t="s">
        <v>2863</v>
      </c>
      <c r="I1768" s="258" t="s">
        <v>2864</v>
      </c>
      <c r="J1768" s="259" t="s">
        <v>1272</v>
      </c>
      <c r="K1768" s="260"/>
      <c r="L1768" s="359"/>
      <c r="M1768" s="359"/>
      <c r="N1768" s="173" t="s">
        <v>679</v>
      </c>
      <c r="O1768" s="173" t="s">
        <v>225</v>
      </c>
      <c r="P1768" s="262" t="str">
        <f t="shared" si="1"/>
        <v>IN-BLR-ANANTA-VAV-1340_8</v>
      </c>
      <c r="Q1768" s="173" t="s">
        <v>6740</v>
      </c>
      <c r="R1768" s="328" t="str">
        <f>IFS(C1768="","",C1768="n/a","N/A",LEN(C1768),Concatenate("{",char(34),"asset",char(34),":{",char(34),"guid",char(34),":",char(34),Q1768,char(34),",",char(34),"site",char(34),":",char(34),LOWER('2-Building'!$B$4),char(34),",",char(34),"name",char(34),":",char(34),LOWER(C1768),char(34),"}}"))</f>
        <v>{"asset":{"guid":"uuid://1e746667-0a13-4736-8a07-9cf51aa1878b","site":"in-blr-ananta","name":"vav-1340"}}</v>
      </c>
      <c r="S1768" s="360" t="s">
        <v>5516</v>
      </c>
      <c r="T1768" s="330"/>
      <c r="U1768" s="330"/>
      <c r="V1768" s="331"/>
      <c r="W1768" s="332"/>
      <c r="X1768" s="333"/>
      <c r="Y1768" s="33" t="s">
        <v>2867</v>
      </c>
      <c r="Z1768" s="258">
        <v>121340.0</v>
      </c>
      <c r="AA1768" s="334">
        <v>11648.0</v>
      </c>
      <c r="AB1768" s="333"/>
      <c r="AC1768" s="333"/>
      <c r="AD1768" s="329"/>
      <c r="AE1768" s="331"/>
      <c r="AF1768" s="336"/>
      <c r="AG1768" s="337"/>
      <c r="AH1768" s="333"/>
      <c r="AI1768" s="333"/>
      <c r="AJ1768" s="333"/>
      <c r="AK1768" s="333"/>
      <c r="AL1768" s="333"/>
      <c r="AM1768" s="338"/>
      <c r="AN1768" s="333"/>
      <c r="AO1768" s="333"/>
      <c r="AP1768" s="333"/>
      <c r="AQ1768" s="333"/>
      <c r="AR1768" s="333"/>
      <c r="AS1768" s="333"/>
      <c r="AT1768" s="333"/>
      <c r="AU1768" s="329"/>
      <c r="AV1768" s="341"/>
      <c r="AW1768" s="269" t="s">
        <v>2476</v>
      </c>
      <c r="AX1768" s="334" t="s">
        <v>2869</v>
      </c>
      <c r="AY1768" s="270" t="s">
        <v>695</v>
      </c>
      <c r="AZ1768" s="173" t="s">
        <v>5516</v>
      </c>
      <c r="BA1768" s="265">
        <v>10.0</v>
      </c>
      <c r="BB1768" s="174" t="s">
        <v>245</v>
      </c>
      <c r="BC1768" s="341"/>
      <c r="BD1768" s="308"/>
      <c r="BE1768" s="342"/>
      <c r="BF1768" s="274" t="str">
        <f>IFERROR(__xludf.DUMMYFUNCTION("LOWER(Regexreplace(to_text(E1768),""[^A-Za-z0-9]"","""")&amp;""_""&amp;Regexreplace(to_text(F1768),""[^A-Za-z0-9]"",""""))"),"neptronic_evcbseries")</f>
        <v>neptronic_evcbseries</v>
      </c>
      <c r="BG1768" s="275" t="str">
        <f>IFERROR(__xludf.DUMMYFUNCTION("upper(Regexreplace(to_text(E1768),""[^A-Za-z0-9]"","""")&amp;""-""&amp;Regexreplace(to_text(F1768),""[^A-Za-z0-9]"",""""))"),"NEPTRONIC-EVCBSERIES")</f>
        <v>NEPTRONIC-EVCBSERIES</v>
      </c>
    </row>
    <row r="1769" ht="30.0" customHeight="1">
      <c r="A1769" s="173">
        <v>1761.0</v>
      </c>
      <c r="B1769" s="328" t="s">
        <v>670</v>
      </c>
      <c r="C1769" s="257" t="s">
        <v>6741</v>
      </c>
      <c r="D1769" s="173" t="s">
        <v>6741</v>
      </c>
      <c r="E1769" s="174" t="s">
        <v>2861</v>
      </c>
      <c r="F1769" s="173" t="s">
        <v>2862</v>
      </c>
      <c r="G1769" s="328" t="s">
        <v>673</v>
      </c>
      <c r="H1769" s="328" t="s">
        <v>2863</v>
      </c>
      <c r="I1769" s="258" t="s">
        <v>2864</v>
      </c>
      <c r="J1769" s="259" t="s">
        <v>1272</v>
      </c>
      <c r="K1769" s="260"/>
      <c r="L1769" s="359"/>
      <c r="M1769" s="359"/>
      <c r="N1769" s="173" t="s">
        <v>679</v>
      </c>
      <c r="O1769" s="173" t="s">
        <v>225</v>
      </c>
      <c r="P1769" s="262" t="str">
        <f t="shared" si="1"/>
        <v>IN-BLR-ANANTA-VAV-1341_8</v>
      </c>
      <c r="Q1769" s="173" t="s">
        <v>6742</v>
      </c>
      <c r="R1769" s="328" t="str">
        <f>IFS(C1769="","",C1769="n/a","N/A",LEN(C1769),Concatenate("{",char(34),"asset",char(34),":{",char(34),"guid",char(34),":",char(34),Q1769,char(34),",",char(34),"site",char(34),":",char(34),LOWER('2-Building'!$B$4),char(34),",",char(34),"name",char(34),":",char(34),LOWER(C1769),char(34),"}}"))</f>
        <v>{"asset":{"guid":"uuid://2da434aa-9a9d-41b1-9a4e-63de74ddd68d","site":"in-blr-ananta","name":"vav-1341"}}</v>
      </c>
      <c r="S1769" s="360" t="s">
        <v>5516</v>
      </c>
      <c r="T1769" s="330"/>
      <c r="U1769" s="330"/>
      <c r="V1769" s="331"/>
      <c r="W1769" s="332"/>
      <c r="X1769" s="333"/>
      <c r="Y1769" s="33" t="s">
        <v>2867</v>
      </c>
      <c r="Z1769" s="258">
        <v>121341.0</v>
      </c>
      <c r="AA1769" s="334">
        <v>11648.0</v>
      </c>
      <c r="AB1769" s="333"/>
      <c r="AC1769" s="333"/>
      <c r="AD1769" s="329"/>
      <c r="AE1769" s="331"/>
      <c r="AF1769" s="336"/>
      <c r="AG1769" s="337"/>
      <c r="AH1769" s="333"/>
      <c r="AI1769" s="333"/>
      <c r="AJ1769" s="333"/>
      <c r="AK1769" s="333"/>
      <c r="AL1769" s="333"/>
      <c r="AM1769" s="338"/>
      <c r="AN1769" s="333"/>
      <c r="AO1769" s="333"/>
      <c r="AP1769" s="333"/>
      <c r="AQ1769" s="333"/>
      <c r="AR1769" s="333"/>
      <c r="AS1769" s="333"/>
      <c r="AT1769" s="333"/>
      <c r="AU1769" s="329"/>
      <c r="AV1769" s="341"/>
      <c r="AW1769" s="269" t="s">
        <v>2476</v>
      </c>
      <c r="AX1769" s="334" t="s">
        <v>2869</v>
      </c>
      <c r="AY1769" s="270" t="s">
        <v>695</v>
      </c>
      <c r="AZ1769" s="173" t="s">
        <v>5516</v>
      </c>
      <c r="BA1769" s="265">
        <v>10.0</v>
      </c>
      <c r="BB1769" s="174" t="s">
        <v>245</v>
      </c>
      <c r="BC1769" s="341"/>
      <c r="BD1769" s="308"/>
      <c r="BE1769" s="342"/>
      <c r="BF1769" s="274" t="str">
        <f>IFERROR(__xludf.DUMMYFUNCTION("LOWER(Regexreplace(to_text(E1769),""[^A-Za-z0-9]"","""")&amp;""_""&amp;Regexreplace(to_text(F1769),""[^A-Za-z0-9]"",""""))"),"neptronic_evcbseries")</f>
        <v>neptronic_evcbseries</v>
      </c>
      <c r="BG1769" s="275" t="str">
        <f>IFERROR(__xludf.DUMMYFUNCTION("upper(Regexreplace(to_text(E1769),""[^A-Za-z0-9]"","""")&amp;""-""&amp;Regexreplace(to_text(F1769),""[^A-Za-z0-9]"",""""))"),"NEPTRONIC-EVCBSERIES")</f>
        <v>NEPTRONIC-EVCBSERIES</v>
      </c>
    </row>
    <row r="1770" ht="30.0" customHeight="1">
      <c r="A1770" s="258">
        <v>1762.0</v>
      </c>
      <c r="B1770" s="328" t="s">
        <v>670</v>
      </c>
      <c r="C1770" s="257" t="s">
        <v>6743</v>
      </c>
      <c r="D1770" s="173" t="s">
        <v>6743</v>
      </c>
      <c r="E1770" s="174" t="s">
        <v>2861</v>
      </c>
      <c r="F1770" s="173" t="s">
        <v>2862</v>
      </c>
      <c r="G1770" s="328" t="s">
        <v>673</v>
      </c>
      <c r="H1770" s="328" t="s">
        <v>2863</v>
      </c>
      <c r="I1770" s="258" t="s">
        <v>2864</v>
      </c>
      <c r="J1770" s="259" t="s">
        <v>1272</v>
      </c>
      <c r="K1770" s="260"/>
      <c r="L1770" s="359"/>
      <c r="M1770" s="359"/>
      <c r="N1770" s="173" t="s">
        <v>679</v>
      </c>
      <c r="O1770" s="173" t="s">
        <v>225</v>
      </c>
      <c r="P1770" s="262" t="str">
        <f t="shared" si="1"/>
        <v>IN-BLR-ANANTA-VAV-1342_8</v>
      </c>
      <c r="Q1770" s="173" t="s">
        <v>6744</v>
      </c>
      <c r="R1770" s="328" t="str">
        <f>IFS(C1770="","",C1770="n/a","N/A",LEN(C1770),Concatenate("{",char(34),"asset",char(34),":{",char(34),"guid",char(34),":",char(34),Q1770,char(34),",",char(34),"site",char(34),":",char(34),LOWER('2-Building'!$B$4),char(34),",",char(34),"name",char(34),":",char(34),LOWER(C1770),char(34),"}}"))</f>
        <v>{"asset":{"guid":"uuid://a0dbf264-9456-4eea-baec-2766b6fb0ec3","site":"in-blr-ananta","name":"vav-1342"}}</v>
      </c>
      <c r="S1770" s="360" t="s">
        <v>5516</v>
      </c>
      <c r="T1770" s="330"/>
      <c r="U1770" s="330"/>
      <c r="V1770" s="331"/>
      <c r="W1770" s="332"/>
      <c r="X1770" s="333"/>
      <c r="Y1770" s="33" t="s">
        <v>2867</v>
      </c>
      <c r="Z1770" s="258">
        <v>121342.0</v>
      </c>
      <c r="AA1770" s="334">
        <v>11648.0</v>
      </c>
      <c r="AB1770" s="333"/>
      <c r="AC1770" s="333"/>
      <c r="AD1770" s="329"/>
      <c r="AE1770" s="331"/>
      <c r="AF1770" s="336"/>
      <c r="AG1770" s="337"/>
      <c r="AH1770" s="333"/>
      <c r="AI1770" s="333"/>
      <c r="AJ1770" s="333"/>
      <c r="AK1770" s="333"/>
      <c r="AL1770" s="333"/>
      <c r="AM1770" s="338"/>
      <c r="AN1770" s="333"/>
      <c r="AO1770" s="333"/>
      <c r="AP1770" s="333"/>
      <c r="AQ1770" s="333"/>
      <c r="AR1770" s="333"/>
      <c r="AS1770" s="333"/>
      <c r="AT1770" s="333"/>
      <c r="AU1770" s="329"/>
      <c r="AV1770" s="341"/>
      <c r="AW1770" s="269" t="s">
        <v>2476</v>
      </c>
      <c r="AX1770" s="334" t="s">
        <v>2869</v>
      </c>
      <c r="AY1770" s="270" t="s">
        <v>695</v>
      </c>
      <c r="AZ1770" s="173" t="s">
        <v>5516</v>
      </c>
      <c r="BA1770" s="265">
        <v>10.0</v>
      </c>
      <c r="BB1770" s="174" t="s">
        <v>245</v>
      </c>
      <c r="BC1770" s="341"/>
      <c r="BD1770" s="308"/>
      <c r="BE1770" s="342"/>
      <c r="BF1770" s="274" t="str">
        <f>IFERROR(__xludf.DUMMYFUNCTION("LOWER(Regexreplace(to_text(E1770),""[^A-Za-z0-9]"","""")&amp;""_""&amp;Regexreplace(to_text(F1770),""[^A-Za-z0-9]"",""""))"),"neptronic_evcbseries")</f>
        <v>neptronic_evcbseries</v>
      </c>
      <c r="BG1770" s="275" t="str">
        <f>IFERROR(__xludf.DUMMYFUNCTION("upper(Regexreplace(to_text(E1770),""[^A-Za-z0-9]"","""")&amp;""-""&amp;Regexreplace(to_text(F1770),""[^A-Za-z0-9]"",""""))"),"NEPTRONIC-EVCBSERIES")</f>
        <v>NEPTRONIC-EVCBSERIES</v>
      </c>
    </row>
    <row r="1771" ht="30.0" customHeight="1">
      <c r="A1771" s="173">
        <v>1763.0</v>
      </c>
      <c r="B1771" s="328" t="s">
        <v>670</v>
      </c>
      <c r="C1771" s="257" t="s">
        <v>6745</v>
      </c>
      <c r="D1771" s="173" t="s">
        <v>6745</v>
      </c>
      <c r="E1771" s="174" t="s">
        <v>2861</v>
      </c>
      <c r="F1771" s="173" t="s">
        <v>2862</v>
      </c>
      <c r="G1771" s="328" t="s">
        <v>673</v>
      </c>
      <c r="H1771" s="328" t="s">
        <v>2863</v>
      </c>
      <c r="I1771" s="258" t="s">
        <v>2864</v>
      </c>
      <c r="J1771" s="259" t="s">
        <v>1272</v>
      </c>
      <c r="K1771" s="260"/>
      <c r="L1771" s="359"/>
      <c r="M1771" s="359"/>
      <c r="N1771" s="173" t="s">
        <v>679</v>
      </c>
      <c r="O1771" s="173" t="s">
        <v>225</v>
      </c>
      <c r="P1771" s="262" t="str">
        <f t="shared" si="1"/>
        <v>IN-BLR-ANANTA-VAV-1343_8</v>
      </c>
      <c r="Q1771" s="173" t="s">
        <v>6746</v>
      </c>
      <c r="R1771" s="328" t="str">
        <f>IFS(C1771="","",C1771="n/a","N/A",LEN(C1771),Concatenate("{",char(34),"asset",char(34),":{",char(34),"guid",char(34),":",char(34),Q1771,char(34),",",char(34),"site",char(34),":",char(34),LOWER('2-Building'!$B$4),char(34),",",char(34),"name",char(34),":",char(34),LOWER(C1771),char(34),"}}"))</f>
        <v>{"asset":{"guid":"uuid://6e18bc05-e153-4c6a-9d2e-803b45720082","site":"in-blr-ananta","name":"vav-1343"}}</v>
      </c>
      <c r="S1771" s="360" t="s">
        <v>5516</v>
      </c>
      <c r="T1771" s="330"/>
      <c r="U1771" s="330"/>
      <c r="V1771" s="331"/>
      <c r="W1771" s="332"/>
      <c r="X1771" s="333"/>
      <c r="Y1771" s="33" t="s">
        <v>2867</v>
      </c>
      <c r="Z1771" s="258">
        <v>121343.0</v>
      </c>
      <c r="AA1771" s="334">
        <v>11648.0</v>
      </c>
      <c r="AB1771" s="333"/>
      <c r="AC1771" s="333"/>
      <c r="AD1771" s="329"/>
      <c r="AE1771" s="331"/>
      <c r="AF1771" s="336"/>
      <c r="AG1771" s="337"/>
      <c r="AH1771" s="333"/>
      <c r="AI1771" s="333"/>
      <c r="AJ1771" s="333"/>
      <c r="AK1771" s="333"/>
      <c r="AL1771" s="333"/>
      <c r="AM1771" s="338"/>
      <c r="AN1771" s="333"/>
      <c r="AO1771" s="333"/>
      <c r="AP1771" s="333"/>
      <c r="AQ1771" s="333"/>
      <c r="AR1771" s="333"/>
      <c r="AS1771" s="333"/>
      <c r="AT1771" s="333"/>
      <c r="AU1771" s="329"/>
      <c r="AV1771" s="341"/>
      <c r="AW1771" s="269" t="s">
        <v>2476</v>
      </c>
      <c r="AX1771" s="334" t="s">
        <v>2869</v>
      </c>
      <c r="AY1771" s="270" t="s">
        <v>695</v>
      </c>
      <c r="AZ1771" s="173" t="s">
        <v>5516</v>
      </c>
      <c r="BA1771" s="265">
        <v>10.0</v>
      </c>
      <c r="BB1771" s="174" t="s">
        <v>245</v>
      </c>
      <c r="BC1771" s="341"/>
      <c r="BD1771" s="308"/>
      <c r="BE1771" s="342"/>
      <c r="BF1771" s="274" t="str">
        <f>IFERROR(__xludf.DUMMYFUNCTION("LOWER(Regexreplace(to_text(E1771),""[^A-Za-z0-9]"","""")&amp;""_""&amp;Regexreplace(to_text(F1771),""[^A-Za-z0-9]"",""""))"),"neptronic_evcbseries")</f>
        <v>neptronic_evcbseries</v>
      </c>
      <c r="BG1771" s="275" t="str">
        <f>IFERROR(__xludf.DUMMYFUNCTION("upper(Regexreplace(to_text(E1771),""[^A-Za-z0-9]"","""")&amp;""-""&amp;Regexreplace(to_text(F1771),""[^A-Za-z0-9]"",""""))"),"NEPTRONIC-EVCBSERIES")</f>
        <v>NEPTRONIC-EVCBSERIES</v>
      </c>
    </row>
    <row r="1772" ht="30.0" customHeight="1">
      <c r="A1772" s="258">
        <v>1764.0</v>
      </c>
      <c r="B1772" s="328" t="s">
        <v>670</v>
      </c>
      <c r="C1772" s="257" t="s">
        <v>6747</v>
      </c>
      <c r="D1772" s="173" t="s">
        <v>6747</v>
      </c>
      <c r="E1772" s="174" t="s">
        <v>2861</v>
      </c>
      <c r="F1772" s="173" t="s">
        <v>2862</v>
      </c>
      <c r="G1772" s="328" t="s">
        <v>673</v>
      </c>
      <c r="H1772" s="328" t="s">
        <v>2863</v>
      </c>
      <c r="I1772" s="258" t="s">
        <v>2864</v>
      </c>
      <c r="J1772" s="259" t="s">
        <v>1272</v>
      </c>
      <c r="K1772" s="260"/>
      <c r="L1772" s="359"/>
      <c r="M1772" s="359"/>
      <c r="N1772" s="173" t="s">
        <v>679</v>
      </c>
      <c r="O1772" s="173" t="s">
        <v>225</v>
      </c>
      <c r="P1772" s="262" t="str">
        <f t="shared" si="1"/>
        <v>IN-BLR-ANANTA-VAV-1344_8</v>
      </c>
      <c r="Q1772" s="173" t="s">
        <v>6748</v>
      </c>
      <c r="R1772" s="328" t="str">
        <f>IFS(C1772="","",C1772="n/a","N/A",LEN(C1772),Concatenate("{",char(34),"asset",char(34),":{",char(34),"guid",char(34),":",char(34),Q1772,char(34),",",char(34),"site",char(34),":",char(34),LOWER('2-Building'!$B$4),char(34),",",char(34),"name",char(34),":",char(34),LOWER(C1772),char(34),"}}"))</f>
        <v>{"asset":{"guid":"uuid://3db9c9e5-b6f0-4f38-af27-d005e722900a","site":"in-blr-ananta","name":"vav-1344"}}</v>
      </c>
      <c r="S1772" s="360" t="s">
        <v>5516</v>
      </c>
      <c r="T1772" s="330"/>
      <c r="U1772" s="330"/>
      <c r="V1772" s="331"/>
      <c r="W1772" s="332"/>
      <c r="X1772" s="333"/>
      <c r="Y1772" s="33" t="s">
        <v>2867</v>
      </c>
      <c r="Z1772" s="258">
        <v>121344.0</v>
      </c>
      <c r="AA1772" s="334">
        <v>11648.0</v>
      </c>
      <c r="AB1772" s="333"/>
      <c r="AC1772" s="333"/>
      <c r="AD1772" s="329"/>
      <c r="AE1772" s="331"/>
      <c r="AF1772" s="336"/>
      <c r="AG1772" s="337"/>
      <c r="AH1772" s="333"/>
      <c r="AI1772" s="333"/>
      <c r="AJ1772" s="333"/>
      <c r="AK1772" s="333"/>
      <c r="AL1772" s="333"/>
      <c r="AM1772" s="338"/>
      <c r="AN1772" s="333"/>
      <c r="AO1772" s="333"/>
      <c r="AP1772" s="333"/>
      <c r="AQ1772" s="333"/>
      <c r="AR1772" s="333"/>
      <c r="AS1772" s="333"/>
      <c r="AT1772" s="333"/>
      <c r="AU1772" s="329"/>
      <c r="AV1772" s="341"/>
      <c r="AW1772" s="269" t="s">
        <v>2476</v>
      </c>
      <c r="AX1772" s="334" t="s">
        <v>2869</v>
      </c>
      <c r="AY1772" s="270" t="s">
        <v>695</v>
      </c>
      <c r="AZ1772" s="173" t="s">
        <v>5516</v>
      </c>
      <c r="BA1772" s="265">
        <v>10.0</v>
      </c>
      <c r="BB1772" s="174" t="s">
        <v>245</v>
      </c>
      <c r="BC1772" s="341"/>
      <c r="BD1772" s="308"/>
      <c r="BE1772" s="342"/>
      <c r="BF1772" s="274" t="str">
        <f>IFERROR(__xludf.DUMMYFUNCTION("LOWER(Regexreplace(to_text(E1772),""[^A-Za-z0-9]"","""")&amp;""_""&amp;Regexreplace(to_text(F1772),""[^A-Za-z0-9]"",""""))"),"neptronic_evcbseries")</f>
        <v>neptronic_evcbseries</v>
      </c>
      <c r="BG1772" s="275" t="str">
        <f>IFERROR(__xludf.DUMMYFUNCTION("upper(Regexreplace(to_text(E1772),""[^A-Za-z0-9]"","""")&amp;""-""&amp;Regexreplace(to_text(F1772),""[^A-Za-z0-9]"",""""))"),"NEPTRONIC-EVCBSERIES")</f>
        <v>NEPTRONIC-EVCBSERIES</v>
      </c>
    </row>
    <row r="1773" ht="30.0" customHeight="1">
      <c r="A1773" s="173">
        <v>1765.0</v>
      </c>
      <c r="B1773" s="328" t="s">
        <v>670</v>
      </c>
      <c r="C1773" s="257" t="s">
        <v>6749</v>
      </c>
      <c r="D1773" s="173" t="s">
        <v>6749</v>
      </c>
      <c r="E1773" s="174" t="s">
        <v>2861</v>
      </c>
      <c r="F1773" s="173" t="s">
        <v>2862</v>
      </c>
      <c r="G1773" s="328" t="s">
        <v>673</v>
      </c>
      <c r="H1773" s="328" t="s">
        <v>2863</v>
      </c>
      <c r="I1773" s="258" t="s">
        <v>2864</v>
      </c>
      <c r="J1773" s="259" t="s">
        <v>1272</v>
      </c>
      <c r="K1773" s="260"/>
      <c r="L1773" s="359"/>
      <c r="M1773" s="359"/>
      <c r="N1773" s="173" t="s">
        <v>679</v>
      </c>
      <c r="O1773" s="173" t="s">
        <v>225</v>
      </c>
      <c r="P1773" s="262" t="str">
        <f t="shared" si="1"/>
        <v>IN-BLR-ANANTA-VAV-1345_8</v>
      </c>
      <c r="Q1773" s="173" t="s">
        <v>6750</v>
      </c>
      <c r="R1773" s="328" t="str">
        <f>IFS(C1773="","",C1773="n/a","N/A",LEN(C1773),Concatenate("{",char(34),"asset",char(34),":{",char(34),"guid",char(34),":",char(34),Q1773,char(34),",",char(34),"site",char(34),":",char(34),LOWER('2-Building'!$B$4),char(34),",",char(34),"name",char(34),":",char(34),LOWER(C1773),char(34),"}}"))</f>
        <v>{"asset":{"guid":"uuid://573d5bb0-9f3b-49b6-b9c5-3a13e3b9ced0","site":"in-blr-ananta","name":"vav-1345"}}</v>
      </c>
      <c r="S1773" s="360" t="s">
        <v>5516</v>
      </c>
      <c r="T1773" s="330"/>
      <c r="U1773" s="330"/>
      <c r="V1773" s="331"/>
      <c r="W1773" s="332"/>
      <c r="X1773" s="333"/>
      <c r="Y1773" s="33" t="s">
        <v>2867</v>
      </c>
      <c r="Z1773" s="258">
        <v>121345.0</v>
      </c>
      <c r="AA1773" s="334">
        <v>11648.0</v>
      </c>
      <c r="AB1773" s="333"/>
      <c r="AC1773" s="333"/>
      <c r="AD1773" s="329"/>
      <c r="AE1773" s="331"/>
      <c r="AF1773" s="336"/>
      <c r="AG1773" s="337"/>
      <c r="AH1773" s="333"/>
      <c r="AI1773" s="333"/>
      <c r="AJ1773" s="333"/>
      <c r="AK1773" s="333"/>
      <c r="AL1773" s="333"/>
      <c r="AM1773" s="338"/>
      <c r="AN1773" s="333"/>
      <c r="AO1773" s="333"/>
      <c r="AP1773" s="333"/>
      <c r="AQ1773" s="333"/>
      <c r="AR1773" s="333"/>
      <c r="AS1773" s="333"/>
      <c r="AT1773" s="333"/>
      <c r="AU1773" s="329"/>
      <c r="AV1773" s="341"/>
      <c r="AW1773" s="269" t="s">
        <v>2476</v>
      </c>
      <c r="AX1773" s="334" t="s">
        <v>2869</v>
      </c>
      <c r="AY1773" s="270" t="s">
        <v>695</v>
      </c>
      <c r="AZ1773" s="173" t="s">
        <v>5516</v>
      </c>
      <c r="BA1773" s="265">
        <v>10.0</v>
      </c>
      <c r="BB1773" s="174" t="s">
        <v>245</v>
      </c>
      <c r="BC1773" s="341"/>
      <c r="BD1773" s="308"/>
      <c r="BE1773" s="342"/>
      <c r="BF1773" s="274" t="str">
        <f>IFERROR(__xludf.DUMMYFUNCTION("LOWER(Regexreplace(to_text(E1773),""[^A-Za-z0-9]"","""")&amp;""_""&amp;Regexreplace(to_text(F1773),""[^A-Za-z0-9]"",""""))"),"neptronic_evcbseries")</f>
        <v>neptronic_evcbseries</v>
      </c>
      <c r="BG1773" s="275" t="str">
        <f>IFERROR(__xludf.DUMMYFUNCTION("upper(Regexreplace(to_text(E1773),""[^A-Za-z0-9]"","""")&amp;""-""&amp;Regexreplace(to_text(F1773),""[^A-Za-z0-9]"",""""))"),"NEPTRONIC-EVCBSERIES")</f>
        <v>NEPTRONIC-EVCBSERIES</v>
      </c>
    </row>
    <row r="1774" ht="30.0" customHeight="1">
      <c r="A1774" s="258">
        <v>1766.0</v>
      </c>
      <c r="B1774" s="328" t="s">
        <v>670</v>
      </c>
      <c r="C1774" s="257" t="s">
        <v>6751</v>
      </c>
      <c r="D1774" s="173" t="s">
        <v>6751</v>
      </c>
      <c r="E1774" s="174" t="s">
        <v>2861</v>
      </c>
      <c r="F1774" s="173" t="s">
        <v>2862</v>
      </c>
      <c r="G1774" s="328" t="s">
        <v>673</v>
      </c>
      <c r="H1774" s="328" t="s">
        <v>2863</v>
      </c>
      <c r="I1774" s="258" t="s">
        <v>2864</v>
      </c>
      <c r="J1774" s="259" t="s">
        <v>1272</v>
      </c>
      <c r="K1774" s="260"/>
      <c r="L1774" s="359"/>
      <c r="M1774" s="359"/>
      <c r="N1774" s="173" t="s">
        <v>679</v>
      </c>
      <c r="O1774" s="173" t="s">
        <v>225</v>
      </c>
      <c r="P1774" s="262" t="str">
        <f t="shared" si="1"/>
        <v>IN-BLR-ANANTA-VAV-1346_8</v>
      </c>
      <c r="Q1774" s="173" t="s">
        <v>6752</v>
      </c>
      <c r="R1774" s="328" t="str">
        <f>IFS(C1774="","",C1774="n/a","N/A",LEN(C1774),Concatenate("{",char(34),"asset",char(34),":{",char(34),"guid",char(34),":",char(34),Q1774,char(34),",",char(34),"site",char(34),":",char(34),LOWER('2-Building'!$B$4),char(34),",",char(34),"name",char(34),":",char(34),LOWER(C1774),char(34),"}}"))</f>
        <v>{"asset":{"guid":"uuid://37a9ba83-df07-4890-a209-a57c38207e2b","site":"in-blr-ananta","name":"vav-1346"}}</v>
      </c>
      <c r="S1774" s="360" t="s">
        <v>5516</v>
      </c>
      <c r="T1774" s="330"/>
      <c r="U1774" s="330"/>
      <c r="V1774" s="331"/>
      <c r="W1774" s="332"/>
      <c r="X1774" s="333"/>
      <c r="Y1774" s="33" t="s">
        <v>2867</v>
      </c>
      <c r="Z1774" s="258">
        <v>121346.0</v>
      </c>
      <c r="AA1774" s="334">
        <v>11648.0</v>
      </c>
      <c r="AB1774" s="333"/>
      <c r="AC1774" s="333"/>
      <c r="AD1774" s="329"/>
      <c r="AE1774" s="331"/>
      <c r="AF1774" s="336"/>
      <c r="AG1774" s="337"/>
      <c r="AH1774" s="333"/>
      <c r="AI1774" s="333"/>
      <c r="AJ1774" s="333"/>
      <c r="AK1774" s="333"/>
      <c r="AL1774" s="333"/>
      <c r="AM1774" s="338"/>
      <c r="AN1774" s="333"/>
      <c r="AO1774" s="333"/>
      <c r="AP1774" s="333"/>
      <c r="AQ1774" s="333"/>
      <c r="AR1774" s="333"/>
      <c r="AS1774" s="333"/>
      <c r="AT1774" s="333"/>
      <c r="AU1774" s="329"/>
      <c r="AV1774" s="341"/>
      <c r="AW1774" s="269" t="s">
        <v>2476</v>
      </c>
      <c r="AX1774" s="334" t="s">
        <v>2869</v>
      </c>
      <c r="AY1774" s="270" t="s">
        <v>695</v>
      </c>
      <c r="AZ1774" s="173" t="s">
        <v>5516</v>
      </c>
      <c r="BA1774" s="265">
        <v>10.0</v>
      </c>
      <c r="BB1774" s="174" t="s">
        <v>245</v>
      </c>
      <c r="BC1774" s="341"/>
      <c r="BD1774" s="308"/>
      <c r="BE1774" s="342"/>
      <c r="BF1774" s="274" t="str">
        <f>IFERROR(__xludf.DUMMYFUNCTION("LOWER(Regexreplace(to_text(E1774),""[^A-Za-z0-9]"","""")&amp;""_""&amp;Regexreplace(to_text(F1774),""[^A-Za-z0-9]"",""""))"),"neptronic_evcbseries")</f>
        <v>neptronic_evcbseries</v>
      </c>
      <c r="BG1774" s="275" t="str">
        <f>IFERROR(__xludf.DUMMYFUNCTION("upper(Regexreplace(to_text(E1774),""[^A-Za-z0-9]"","""")&amp;""-""&amp;Regexreplace(to_text(F1774),""[^A-Za-z0-9]"",""""))"),"NEPTRONIC-EVCBSERIES")</f>
        <v>NEPTRONIC-EVCBSERIES</v>
      </c>
    </row>
    <row r="1775" ht="30.0" customHeight="1">
      <c r="A1775" s="173">
        <v>1767.0</v>
      </c>
      <c r="B1775" s="328" t="s">
        <v>670</v>
      </c>
      <c r="C1775" s="257" t="s">
        <v>6753</v>
      </c>
      <c r="D1775" s="173" t="s">
        <v>6753</v>
      </c>
      <c r="E1775" s="174" t="s">
        <v>2861</v>
      </c>
      <c r="F1775" s="173" t="s">
        <v>2862</v>
      </c>
      <c r="G1775" s="328" t="s">
        <v>673</v>
      </c>
      <c r="H1775" s="328" t="s">
        <v>2863</v>
      </c>
      <c r="I1775" s="258" t="s">
        <v>2864</v>
      </c>
      <c r="J1775" s="259" t="s">
        <v>1272</v>
      </c>
      <c r="K1775" s="260"/>
      <c r="L1775" s="359"/>
      <c r="M1775" s="359"/>
      <c r="N1775" s="173" t="s">
        <v>679</v>
      </c>
      <c r="O1775" s="173" t="s">
        <v>225</v>
      </c>
      <c r="P1775" s="262" t="str">
        <f t="shared" si="1"/>
        <v>IN-BLR-ANANTA-VAV-1347_8</v>
      </c>
      <c r="Q1775" s="173" t="s">
        <v>6754</v>
      </c>
      <c r="R1775" s="328" t="str">
        <f>IFS(C1775="","",C1775="n/a","N/A",LEN(C1775),Concatenate("{",char(34),"asset",char(34),":{",char(34),"guid",char(34),":",char(34),Q1775,char(34),",",char(34),"site",char(34),":",char(34),LOWER('2-Building'!$B$4),char(34),",",char(34),"name",char(34),":",char(34),LOWER(C1775),char(34),"}}"))</f>
        <v>{"asset":{"guid":"uuid://270fbc6b-86a5-4397-b0af-c6480f5922d7","site":"in-blr-ananta","name":"vav-1347"}}</v>
      </c>
      <c r="S1775" s="360" t="s">
        <v>5516</v>
      </c>
      <c r="T1775" s="330"/>
      <c r="U1775" s="330"/>
      <c r="V1775" s="331"/>
      <c r="W1775" s="332"/>
      <c r="X1775" s="333"/>
      <c r="Y1775" s="33" t="s">
        <v>2867</v>
      </c>
      <c r="Z1775" s="258">
        <v>121347.0</v>
      </c>
      <c r="AA1775" s="334">
        <v>11648.0</v>
      </c>
      <c r="AB1775" s="333"/>
      <c r="AC1775" s="333"/>
      <c r="AD1775" s="329"/>
      <c r="AE1775" s="331"/>
      <c r="AF1775" s="336"/>
      <c r="AG1775" s="337"/>
      <c r="AH1775" s="333"/>
      <c r="AI1775" s="333"/>
      <c r="AJ1775" s="333"/>
      <c r="AK1775" s="333"/>
      <c r="AL1775" s="333"/>
      <c r="AM1775" s="338"/>
      <c r="AN1775" s="333"/>
      <c r="AO1775" s="333"/>
      <c r="AP1775" s="333"/>
      <c r="AQ1775" s="333"/>
      <c r="AR1775" s="333"/>
      <c r="AS1775" s="333"/>
      <c r="AT1775" s="333"/>
      <c r="AU1775" s="329"/>
      <c r="AV1775" s="341"/>
      <c r="AW1775" s="269" t="s">
        <v>2476</v>
      </c>
      <c r="AX1775" s="334" t="s">
        <v>2869</v>
      </c>
      <c r="AY1775" s="270" t="s">
        <v>695</v>
      </c>
      <c r="AZ1775" s="173" t="s">
        <v>5516</v>
      </c>
      <c r="BA1775" s="265">
        <v>10.0</v>
      </c>
      <c r="BB1775" s="174" t="s">
        <v>245</v>
      </c>
      <c r="BC1775" s="341"/>
      <c r="BD1775" s="308"/>
      <c r="BE1775" s="342"/>
      <c r="BF1775" s="274" t="str">
        <f>IFERROR(__xludf.DUMMYFUNCTION("LOWER(Regexreplace(to_text(E1775),""[^A-Za-z0-9]"","""")&amp;""_""&amp;Regexreplace(to_text(F1775),""[^A-Za-z0-9]"",""""))"),"neptronic_evcbseries")</f>
        <v>neptronic_evcbseries</v>
      </c>
      <c r="BG1775" s="275" t="str">
        <f>IFERROR(__xludf.DUMMYFUNCTION("upper(Regexreplace(to_text(E1775),""[^A-Za-z0-9]"","""")&amp;""-""&amp;Regexreplace(to_text(F1775),""[^A-Za-z0-9]"",""""))"),"NEPTRONIC-EVCBSERIES")</f>
        <v>NEPTRONIC-EVCBSERIES</v>
      </c>
    </row>
    <row r="1776" ht="30.0" customHeight="1">
      <c r="A1776" s="258">
        <v>1768.0</v>
      </c>
      <c r="B1776" s="328" t="s">
        <v>670</v>
      </c>
      <c r="C1776" s="257" t="s">
        <v>6755</v>
      </c>
      <c r="D1776" s="173" t="s">
        <v>6755</v>
      </c>
      <c r="E1776" s="174" t="s">
        <v>2861</v>
      </c>
      <c r="F1776" s="173" t="s">
        <v>2862</v>
      </c>
      <c r="G1776" s="328" t="s">
        <v>673</v>
      </c>
      <c r="H1776" s="328" t="s">
        <v>2863</v>
      </c>
      <c r="I1776" s="258" t="s">
        <v>2864</v>
      </c>
      <c r="J1776" s="259" t="s">
        <v>1272</v>
      </c>
      <c r="K1776" s="260"/>
      <c r="L1776" s="359"/>
      <c r="M1776" s="359"/>
      <c r="N1776" s="173" t="s">
        <v>679</v>
      </c>
      <c r="O1776" s="173" t="s">
        <v>225</v>
      </c>
      <c r="P1776" s="262" t="str">
        <f t="shared" si="1"/>
        <v>IN-BLR-ANANTA-VAV-1348_8</v>
      </c>
      <c r="Q1776" s="173" t="s">
        <v>6756</v>
      </c>
      <c r="R1776" s="328" t="str">
        <f>IFS(C1776="","",C1776="n/a","N/A",LEN(C1776),Concatenate("{",char(34),"asset",char(34),":{",char(34),"guid",char(34),":",char(34),Q1776,char(34),",",char(34),"site",char(34),":",char(34),LOWER('2-Building'!$B$4),char(34),",",char(34),"name",char(34),":",char(34),LOWER(C1776),char(34),"}}"))</f>
        <v>{"asset":{"guid":"uuid://ff1d953d-f465-4dcb-9077-669ddb570ce2","site":"in-blr-ananta","name":"vav-1348"}}</v>
      </c>
      <c r="S1776" s="360" t="s">
        <v>5516</v>
      </c>
      <c r="T1776" s="330"/>
      <c r="U1776" s="330"/>
      <c r="V1776" s="331"/>
      <c r="W1776" s="332"/>
      <c r="X1776" s="333"/>
      <c r="Y1776" s="33" t="s">
        <v>2867</v>
      </c>
      <c r="Z1776" s="258">
        <v>121348.0</v>
      </c>
      <c r="AA1776" s="334">
        <v>11648.0</v>
      </c>
      <c r="AB1776" s="333"/>
      <c r="AC1776" s="333"/>
      <c r="AD1776" s="329"/>
      <c r="AE1776" s="331"/>
      <c r="AF1776" s="336"/>
      <c r="AG1776" s="337"/>
      <c r="AH1776" s="333"/>
      <c r="AI1776" s="333"/>
      <c r="AJ1776" s="333"/>
      <c r="AK1776" s="333"/>
      <c r="AL1776" s="333"/>
      <c r="AM1776" s="338"/>
      <c r="AN1776" s="333"/>
      <c r="AO1776" s="333"/>
      <c r="AP1776" s="333"/>
      <c r="AQ1776" s="333"/>
      <c r="AR1776" s="333"/>
      <c r="AS1776" s="333"/>
      <c r="AT1776" s="333"/>
      <c r="AU1776" s="329"/>
      <c r="AV1776" s="341"/>
      <c r="AW1776" s="269" t="s">
        <v>2476</v>
      </c>
      <c r="AX1776" s="334" t="s">
        <v>2869</v>
      </c>
      <c r="AY1776" s="270" t="s">
        <v>695</v>
      </c>
      <c r="AZ1776" s="173" t="s">
        <v>5516</v>
      </c>
      <c r="BA1776" s="265">
        <v>10.0</v>
      </c>
      <c r="BB1776" s="174" t="s">
        <v>245</v>
      </c>
      <c r="BC1776" s="341"/>
      <c r="BD1776" s="308"/>
      <c r="BE1776" s="342"/>
      <c r="BF1776" s="274" t="str">
        <f>IFERROR(__xludf.DUMMYFUNCTION("LOWER(Regexreplace(to_text(E1776),""[^A-Za-z0-9]"","""")&amp;""_""&amp;Regexreplace(to_text(F1776),""[^A-Za-z0-9]"",""""))"),"neptronic_evcbseries")</f>
        <v>neptronic_evcbseries</v>
      </c>
      <c r="BG1776" s="275" t="str">
        <f>IFERROR(__xludf.DUMMYFUNCTION("upper(Regexreplace(to_text(E1776),""[^A-Za-z0-9]"","""")&amp;""-""&amp;Regexreplace(to_text(F1776),""[^A-Za-z0-9]"",""""))"),"NEPTRONIC-EVCBSERIES")</f>
        <v>NEPTRONIC-EVCBSERIES</v>
      </c>
    </row>
    <row r="1777" ht="30.0" customHeight="1">
      <c r="A1777" s="173">
        <v>1769.0</v>
      </c>
      <c r="B1777" s="328" t="s">
        <v>670</v>
      </c>
      <c r="C1777" s="257" t="s">
        <v>6757</v>
      </c>
      <c r="D1777" s="173" t="s">
        <v>6757</v>
      </c>
      <c r="E1777" s="174" t="s">
        <v>2861</v>
      </c>
      <c r="F1777" s="173" t="s">
        <v>2862</v>
      </c>
      <c r="G1777" s="328" t="s">
        <v>673</v>
      </c>
      <c r="H1777" s="328" t="s">
        <v>2863</v>
      </c>
      <c r="I1777" s="258" t="s">
        <v>2864</v>
      </c>
      <c r="J1777" s="259" t="s">
        <v>1272</v>
      </c>
      <c r="K1777" s="260"/>
      <c r="L1777" s="359"/>
      <c r="M1777" s="359"/>
      <c r="N1777" s="173" t="s">
        <v>679</v>
      </c>
      <c r="O1777" s="173" t="s">
        <v>225</v>
      </c>
      <c r="P1777" s="262" t="str">
        <f t="shared" si="1"/>
        <v>IN-BLR-ANANTA-VAV-1349_8</v>
      </c>
      <c r="Q1777" s="173" t="s">
        <v>6758</v>
      </c>
      <c r="R1777" s="328" t="str">
        <f>IFS(C1777="","",C1777="n/a","N/A",LEN(C1777),Concatenate("{",char(34),"asset",char(34),":{",char(34),"guid",char(34),":",char(34),Q1777,char(34),",",char(34),"site",char(34),":",char(34),LOWER('2-Building'!$B$4),char(34),",",char(34),"name",char(34),":",char(34),LOWER(C1777),char(34),"}}"))</f>
        <v>{"asset":{"guid":"uuid://9277efea-e11c-481c-9e2b-916f1c151aaa","site":"in-blr-ananta","name":"vav-1349"}}</v>
      </c>
      <c r="S1777" s="360" t="s">
        <v>5516</v>
      </c>
      <c r="T1777" s="330"/>
      <c r="U1777" s="330"/>
      <c r="V1777" s="331"/>
      <c r="W1777" s="332"/>
      <c r="X1777" s="333"/>
      <c r="Y1777" s="33" t="s">
        <v>2867</v>
      </c>
      <c r="Z1777" s="258">
        <v>121349.0</v>
      </c>
      <c r="AA1777" s="334">
        <v>11647.0</v>
      </c>
      <c r="AB1777" s="333"/>
      <c r="AC1777" s="333"/>
      <c r="AD1777" s="329"/>
      <c r="AE1777" s="331"/>
      <c r="AF1777" s="336"/>
      <c r="AG1777" s="337"/>
      <c r="AH1777" s="333"/>
      <c r="AI1777" s="333"/>
      <c r="AJ1777" s="333"/>
      <c r="AK1777" s="333"/>
      <c r="AL1777" s="333"/>
      <c r="AM1777" s="338"/>
      <c r="AN1777" s="333"/>
      <c r="AO1777" s="333"/>
      <c r="AP1777" s="333"/>
      <c r="AQ1777" s="333"/>
      <c r="AR1777" s="333"/>
      <c r="AS1777" s="333"/>
      <c r="AT1777" s="333"/>
      <c r="AU1777" s="329"/>
      <c r="AV1777" s="341"/>
      <c r="AW1777" s="269" t="s">
        <v>2476</v>
      </c>
      <c r="AX1777" s="334" t="s">
        <v>2869</v>
      </c>
      <c r="AY1777" s="270" t="s">
        <v>695</v>
      </c>
      <c r="AZ1777" s="173" t="s">
        <v>5516</v>
      </c>
      <c r="BA1777" s="265">
        <v>10.0</v>
      </c>
      <c r="BB1777" s="174" t="s">
        <v>245</v>
      </c>
      <c r="BC1777" s="341"/>
      <c r="BD1777" s="308"/>
      <c r="BE1777" s="342"/>
      <c r="BF1777" s="274" t="str">
        <f>IFERROR(__xludf.DUMMYFUNCTION("LOWER(Regexreplace(to_text(E1777),""[^A-Za-z0-9]"","""")&amp;""_""&amp;Regexreplace(to_text(F1777),""[^A-Za-z0-9]"",""""))"),"neptronic_evcbseries")</f>
        <v>neptronic_evcbseries</v>
      </c>
      <c r="BG1777" s="275" t="str">
        <f>IFERROR(__xludf.DUMMYFUNCTION("upper(Regexreplace(to_text(E1777),""[^A-Za-z0-9]"","""")&amp;""-""&amp;Regexreplace(to_text(F1777),""[^A-Za-z0-9]"",""""))"),"NEPTRONIC-EVCBSERIES")</f>
        <v>NEPTRONIC-EVCBSERIES</v>
      </c>
    </row>
    <row r="1778" ht="30.0" customHeight="1">
      <c r="A1778" s="258">
        <v>1770.0</v>
      </c>
      <c r="B1778" s="328" t="s">
        <v>670</v>
      </c>
      <c r="C1778" s="257" t="s">
        <v>6759</v>
      </c>
      <c r="D1778" s="173" t="s">
        <v>6759</v>
      </c>
      <c r="E1778" s="174" t="s">
        <v>2861</v>
      </c>
      <c r="F1778" s="173" t="s">
        <v>2862</v>
      </c>
      <c r="G1778" s="328" t="s">
        <v>673</v>
      </c>
      <c r="H1778" s="328" t="s">
        <v>2863</v>
      </c>
      <c r="I1778" s="258" t="s">
        <v>2864</v>
      </c>
      <c r="J1778" s="259" t="s">
        <v>1272</v>
      </c>
      <c r="K1778" s="260"/>
      <c r="L1778" s="359"/>
      <c r="M1778" s="359"/>
      <c r="N1778" s="173" t="s">
        <v>679</v>
      </c>
      <c r="O1778" s="173" t="s">
        <v>225</v>
      </c>
      <c r="P1778" s="262" t="str">
        <f t="shared" si="1"/>
        <v>IN-BLR-ANANTA-VAV-1350_8</v>
      </c>
      <c r="Q1778" s="173" t="s">
        <v>6760</v>
      </c>
      <c r="R1778" s="328" t="str">
        <f>IFS(C1778="","",C1778="n/a","N/A",LEN(C1778),Concatenate("{",char(34),"asset",char(34),":{",char(34),"guid",char(34),":",char(34),Q1778,char(34),",",char(34),"site",char(34),":",char(34),LOWER('2-Building'!$B$4),char(34),",",char(34),"name",char(34),":",char(34),LOWER(C1778),char(34),"}}"))</f>
        <v>{"asset":{"guid":"uuid://3a3d57bd-ea71-40a8-9be7-d0dd76ec2b18","site":"in-blr-ananta","name":"vav-1350"}}</v>
      </c>
      <c r="S1778" s="360" t="s">
        <v>5516</v>
      </c>
      <c r="T1778" s="330"/>
      <c r="U1778" s="330"/>
      <c r="V1778" s="331"/>
      <c r="W1778" s="332"/>
      <c r="X1778" s="333"/>
      <c r="Y1778" s="33" t="s">
        <v>2867</v>
      </c>
      <c r="Z1778" s="258">
        <v>121350.0</v>
      </c>
      <c r="AA1778" s="334">
        <v>11647.0</v>
      </c>
      <c r="AB1778" s="333"/>
      <c r="AC1778" s="333"/>
      <c r="AD1778" s="329"/>
      <c r="AE1778" s="331"/>
      <c r="AF1778" s="336"/>
      <c r="AG1778" s="337"/>
      <c r="AH1778" s="333"/>
      <c r="AI1778" s="333"/>
      <c r="AJ1778" s="333"/>
      <c r="AK1778" s="333"/>
      <c r="AL1778" s="333"/>
      <c r="AM1778" s="338"/>
      <c r="AN1778" s="333"/>
      <c r="AO1778" s="333"/>
      <c r="AP1778" s="333"/>
      <c r="AQ1778" s="333"/>
      <c r="AR1778" s="333"/>
      <c r="AS1778" s="333"/>
      <c r="AT1778" s="333"/>
      <c r="AU1778" s="329"/>
      <c r="AV1778" s="341"/>
      <c r="AW1778" s="269" t="s">
        <v>2476</v>
      </c>
      <c r="AX1778" s="334" t="s">
        <v>2869</v>
      </c>
      <c r="AY1778" s="270" t="s">
        <v>695</v>
      </c>
      <c r="AZ1778" s="173" t="s">
        <v>5516</v>
      </c>
      <c r="BA1778" s="265">
        <v>10.0</v>
      </c>
      <c r="BB1778" s="174" t="s">
        <v>245</v>
      </c>
      <c r="BC1778" s="341"/>
      <c r="BD1778" s="308"/>
      <c r="BE1778" s="342"/>
      <c r="BF1778" s="274" t="str">
        <f>IFERROR(__xludf.DUMMYFUNCTION("LOWER(Regexreplace(to_text(E1778),""[^A-Za-z0-9]"","""")&amp;""_""&amp;Regexreplace(to_text(F1778),""[^A-Za-z0-9]"",""""))"),"neptronic_evcbseries")</f>
        <v>neptronic_evcbseries</v>
      </c>
      <c r="BG1778" s="275" t="str">
        <f>IFERROR(__xludf.DUMMYFUNCTION("upper(Regexreplace(to_text(E1778),""[^A-Za-z0-9]"","""")&amp;""-""&amp;Regexreplace(to_text(F1778),""[^A-Za-z0-9]"",""""))"),"NEPTRONIC-EVCBSERIES")</f>
        <v>NEPTRONIC-EVCBSERIES</v>
      </c>
    </row>
    <row r="1779" ht="30.0" customHeight="1">
      <c r="A1779" s="173">
        <v>1771.0</v>
      </c>
      <c r="B1779" s="328" t="s">
        <v>670</v>
      </c>
      <c r="C1779" s="257" t="s">
        <v>6761</v>
      </c>
      <c r="D1779" s="173" t="s">
        <v>6761</v>
      </c>
      <c r="E1779" s="174" t="s">
        <v>2861</v>
      </c>
      <c r="F1779" s="173" t="s">
        <v>2862</v>
      </c>
      <c r="G1779" s="328" t="s">
        <v>673</v>
      </c>
      <c r="H1779" s="328" t="s">
        <v>2863</v>
      </c>
      <c r="I1779" s="258" t="s">
        <v>2864</v>
      </c>
      <c r="J1779" s="259" t="s">
        <v>1272</v>
      </c>
      <c r="K1779" s="260"/>
      <c r="L1779" s="359"/>
      <c r="M1779" s="359"/>
      <c r="N1779" s="173" t="s">
        <v>679</v>
      </c>
      <c r="O1779" s="173" t="s">
        <v>225</v>
      </c>
      <c r="P1779" s="262" t="str">
        <f t="shared" si="1"/>
        <v>IN-BLR-ANANTA-VAV-1351_8</v>
      </c>
      <c r="Q1779" s="173" t="s">
        <v>6762</v>
      </c>
      <c r="R1779" s="328" t="str">
        <f>IFS(C1779="","",C1779="n/a","N/A",LEN(C1779),Concatenate("{",char(34),"asset",char(34),":{",char(34),"guid",char(34),":",char(34),Q1779,char(34),",",char(34),"site",char(34),":",char(34),LOWER('2-Building'!$B$4),char(34),",",char(34),"name",char(34),":",char(34),LOWER(C1779),char(34),"}}"))</f>
        <v>{"asset":{"guid":"uuid://7af4d102-f339-4f76-8e09-fe5b20a2f70b","site":"in-blr-ananta","name":"vav-1351"}}</v>
      </c>
      <c r="S1779" s="360" t="s">
        <v>5516</v>
      </c>
      <c r="T1779" s="330"/>
      <c r="U1779" s="330"/>
      <c r="V1779" s="331"/>
      <c r="W1779" s="332"/>
      <c r="X1779" s="333"/>
      <c r="Y1779" s="33" t="s">
        <v>2867</v>
      </c>
      <c r="Z1779" s="258">
        <v>121351.0</v>
      </c>
      <c r="AA1779" s="334">
        <v>11647.0</v>
      </c>
      <c r="AB1779" s="333"/>
      <c r="AC1779" s="333"/>
      <c r="AD1779" s="329"/>
      <c r="AE1779" s="331"/>
      <c r="AF1779" s="336"/>
      <c r="AG1779" s="337"/>
      <c r="AH1779" s="333"/>
      <c r="AI1779" s="333"/>
      <c r="AJ1779" s="333"/>
      <c r="AK1779" s="333"/>
      <c r="AL1779" s="333"/>
      <c r="AM1779" s="338"/>
      <c r="AN1779" s="333"/>
      <c r="AO1779" s="333"/>
      <c r="AP1779" s="333"/>
      <c r="AQ1779" s="333"/>
      <c r="AR1779" s="333"/>
      <c r="AS1779" s="333"/>
      <c r="AT1779" s="333"/>
      <c r="AU1779" s="329"/>
      <c r="AV1779" s="341"/>
      <c r="AW1779" s="269" t="s">
        <v>2476</v>
      </c>
      <c r="AX1779" s="334" t="s">
        <v>2869</v>
      </c>
      <c r="AY1779" s="270" t="s">
        <v>695</v>
      </c>
      <c r="AZ1779" s="173" t="s">
        <v>5516</v>
      </c>
      <c r="BA1779" s="265">
        <v>10.0</v>
      </c>
      <c r="BB1779" s="174" t="s">
        <v>245</v>
      </c>
      <c r="BC1779" s="341"/>
      <c r="BD1779" s="308"/>
      <c r="BE1779" s="342"/>
      <c r="BF1779" s="274" t="str">
        <f>IFERROR(__xludf.DUMMYFUNCTION("LOWER(Regexreplace(to_text(E1779),""[^A-Za-z0-9]"","""")&amp;""_""&amp;Regexreplace(to_text(F1779),""[^A-Za-z0-9]"",""""))"),"neptronic_evcbseries")</f>
        <v>neptronic_evcbseries</v>
      </c>
      <c r="BG1779" s="275" t="str">
        <f>IFERROR(__xludf.DUMMYFUNCTION("upper(Regexreplace(to_text(E1779),""[^A-Za-z0-9]"","""")&amp;""-""&amp;Regexreplace(to_text(F1779),""[^A-Za-z0-9]"",""""))"),"NEPTRONIC-EVCBSERIES")</f>
        <v>NEPTRONIC-EVCBSERIES</v>
      </c>
    </row>
    <row r="1780" ht="30.0" customHeight="1">
      <c r="A1780" s="258">
        <v>1772.0</v>
      </c>
      <c r="B1780" s="328" t="s">
        <v>670</v>
      </c>
      <c r="C1780" s="257" t="s">
        <v>6763</v>
      </c>
      <c r="D1780" s="173" t="s">
        <v>6763</v>
      </c>
      <c r="E1780" s="174" t="s">
        <v>2861</v>
      </c>
      <c r="F1780" s="173" t="s">
        <v>2862</v>
      </c>
      <c r="G1780" s="328" t="s">
        <v>673</v>
      </c>
      <c r="H1780" s="328" t="s">
        <v>2863</v>
      </c>
      <c r="I1780" s="258" t="s">
        <v>2864</v>
      </c>
      <c r="J1780" s="259" t="s">
        <v>1272</v>
      </c>
      <c r="K1780" s="260"/>
      <c r="L1780" s="359"/>
      <c r="M1780" s="359"/>
      <c r="N1780" s="173" t="s">
        <v>679</v>
      </c>
      <c r="O1780" s="173" t="s">
        <v>225</v>
      </c>
      <c r="P1780" s="262" t="str">
        <f t="shared" si="1"/>
        <v>IN-BLR-ANANTA-VAV-1352_8</v>
      </c>
      <c r="Q1780" s="173" t="s">
        <v>6764</v>
      </c>
      <c r="R1780" s="328" t="str">
        <f>IFS(C1780="","",C1780="n/a","N/A",LEN(C1780),Concatenate("{",char(34),"asset",char(34),":{",char(34),"guid",char(34),":",char(34),Q1780,char(34),",",char(34),"site",char(34),":",char(34),LOWER('2-Building'!$B$4),char(34),",",char(34),"name",char(34),":",char(34),LOWER(C1780),char(34),"}}"))</f>
        <v>{"asset":{"guid":"uuid://b0d6e10d-a25a-41d7-a712-b3c71f0f32e7","site":"in-blr-ananta","name":"vav-1352"}}</v>
      </c>
      <c r="S1780" s="360" t="s">
        <v>5516</v>
      </c>
      <c r="T1780" s="330"/>
      <c r="U1780" s="330"/>
      <c r="V1780" s="331"/>
      <c r="W1780" s="332"/>
      <c r="X1780" s="333"/>
      <c r="Y1780" s="33" t="s">
        <v>2867</v>
      </c>
      <c r="Z1780" s="258">
        <v>121352.0</v>
      </c>
      <c r="AA1780" s="334">
        <v>11647.0</v>
      </c>
      <c r="AB1780" s="333"/>
      <c r="AC1780" s="333"/>
      <c r="AD1780" s="329"/>
      <c r="AE1780" s="331"/>
      <c r="AF1780" s="336"/>
      <c r="AG1780" s="337"/>
      <c r="AH1780" s="333"/>
      <c r="AI1780" s="333"/>
      <c r="AJ1780" s="333"/>
      <c r="AK1780" s="333"/>
      <c r="AL1780" s="333"/>
      <c r="AM1780" s="338"/>
      <c r="AN1780" s="333"/>
      <c r="AO1780" s="333"/>
      <c r="AP1780" s="333"/>
      <c r="AQ1780" s="333"/>
      <c r="AR1780" s="333"/>
      <c r="AS1780" s="333"/>
      <c r="AT1780" s="333"/>
      <c r="AU1780" s="329"/>
      <c r="AV1780" s="341"/>
      <c r="AW1780" s="269" t="s">
        <v>2476</v>
      </c>
      <c r="AX1780" s="334" t="s">
        <v>2869</v>
      </c>
      <c r="AY1780" s="270" t="s">
        <v>695</v>
      </c>
      <c r="AZ1780" s="173" t="s">
        <v>5516</v>
      </c>
      <c r="BA1780" s="265">
        <v>10.0</v>
      </c>
      <c r="BB1780" s="174" t="s">
        <v>245</v>
      </c>
      <c r="BC1780" s="341"/>
      <c r="BD1780" s="308"/>
      <c r="BE1780" s="342"/>
      <c r="BF1780" s="274" t="str">
        <f>IFERROR(__xludf.DUMMYFUNCTION("LOWER(Regexreplace(to_text(E1780),""[^A-Za-z0-9]"","""")&amp;""_""&amp;Regexreplace(to_text(F1780),""[^A-Za-z0-9]"",""""))"),"neptronic_evcbseries")</f>
        <v>neptronic_evcbseries</v>
      </c>
      <c r="BG1780" s="275" t="str">
        <f>IFERROR(__xludf.DUMMYFUNCTION("upper(Regexreplace(to_text(E1780),""[^A-Za-z0-9]"","""")&amp;""-""&amp;Regexreplace(to_text(F1780),""[^A-Za-z0-9]"",""""))"),"NEPTRONIC-EVCBSERIES")</f>
        <v>NEPTRONIC-EVCBSERIES</v>
      </c>
    </row>
    <row r="1781" ht="30.0" customHeight="1">
      <c r="A1781" s="173">
        <v>1773.0</v>
      </c>
      <c r="B1781" s="328" t="s">
        <v>670</v>
      </c>
      <c r="C1781" s="257" t="s">
        <v>6765</v>
      </c>
      <c r="D1781" s="173" t="s">
        <v>6765</v>
      </c>
      <c r="E1781" s="174" t="s">
        <v>2861</v>
      </c>
      <c r="F1781" s="173" t="s">
        <v>2862</v>
      </c>
      <c r="G1781" s="328" t="s">
        <v>673</v>
      </c>
      <c r="H1781" s="328" t="s">
        <v>2863</v>
      </c>
      <c r="I1781" s="258" t="s">
        <v>2864</v>
      </c>
      <c r="J1781" s="259" t="s">
        <v>1272</v>
      </c>
      <c r="K1781" s="260"/>
      <c r="L1781" s="359"/>
      <c r="M1781" s="359"/>
      <c r="N1781" s="173" t="s">
        <v>679</v>
      </c>
      <c r="O1781" s="173" t="s">
        <v>225</v>
      </c>
      <c r="P1781" s="262" t="str">
        <f t="shared" si="1"/>
        <v>IN-BLR-ANANTA-VAV-1353_8</v>
      </c>
      <c r="Q1781" s="173" t="s">
        <v>6766</v>
      </c>
      <c r="R1781" s="328" t="str">
        <f>IFS(C1781="","",C1781="n/a","N/A",LEN(C1781),Concatenate("{",char(34),"asset",char(34),":{",char(34),"guid",char(34),":",char(34),Q1781,char(34),",",char(34),"site",char(34),":",char(34),LOWER('2-Building'!$B$4),char(34),",",char(34),"name",char(34),":",char(34),LOWER(C1781),char(34),"}}"))</f>
        <v>{"asset":{"guid":"uuid://99c3630e-154b-44ee-803b-f11a26e2b039","site":"in-blr-ananta","name":"vav-1353"}}</v>
      </c>
      <c r="S1781" s="360" t="s">
        <v>5516</v>
      </c>
      <c r="T1781" s="330"/>
      <c r="U1781" s="330"/>
      <c r="V1781" s="331"/>
      <c r="W1781" s="332"/>
      <c r="X1781" s="333"/>
      <c r="Y1781" s="33" t="s">
        <v>2867</v>
      </c>
      <c r="Z1781" s="258">
        <v>121353.0</v>
      </c>
      <c r="AA1781" s="334">
        <v>11647.0</v>
      </c>
      <c r="AB1781" s="333"/>
      <c r="AC1781" s="333"/>
      <c r="AD1781" s="329"/>
      <c r="AE1781" s="331"/>
      <c r="AF1781" s="336"/>
      <c r="AG1781" s="337"/>
      <c r="AH1781" s="333"/>
      <c r="AI1781" s="333"/>
      <c r="AJ1781" s="333"/>
      <c r="AK1781" s="333"/>
      <c r="AL1781" s="333"/>
      <c r="AM1781" s="338"/>
      <c r="AN1781" s="333"/>
      <c r="AO1781" s="333"/>
      <c r="AP1781" s="333"/>
      <c r="AQ1781" s="333"/>
      <c r="AR1781" s="333"/>
      <c r="AS1781" s="333"/>
      <c r="AT1781" s="333"/>
      <c r="AU1781" s="329"/>
      <c r="AV1781" s="341"/>
      <c r="AW1781" s="269" t="s">
        <v>2476</v>
      </c>
      <c r="AX1781" s="334" t="s">
        <v>2869</v>
      </c>
      <c r="AY1781" s="270" t="s">
        <v>695</v>
      </c>
      <c r="AZ1781" s="173" t="s">
        <v>5516</v>
      </c>
      <c r="BA1781" s="265">
        <v>10.0</v>
      </c>
      <c r="BB1781" s="174" t="s">
        <v>245</v>
      </c>
      <c r="BC1781" s="341"/>
      <c r="BD1781" s="308"/>
      <c r="BE1781" s="342"/>
      <c r="BF1781" s="274" t="str">
        <f>IFERROR(__xludf.DUMMYFUNCTION("LOWER(Regexreplace(to_text(E1781),""[^A-Za-z0-9]"","""")&amp;""_""&amp;Regexreplace(to_text(F1781),""[^A-Za-z0-9]"",""""))"),"neptronic_evcbseries")</f>
        <v>neptronic_evcbseries</v>
      </c>
      <c r="BG1781" s="275" t="str">
        <f>IFERROR(__xludf.DUMMYFUNCTION("upper(Regexreplace(to_text(E1781),""[^A-Za-z0-9]"","""")&amp;""-""&amp;Regexreplace(to_text(F1781),""[^A-Za-z0-9]"",""""))"),"NEPTRONIC-EVCBSERIES")</f>
        <v>NEPTRONIC-EVCBSERIES</v>
      </c>
    </row>
    <row r="1782" ht="30.0" customHeight="1">
      <c r="A1782" s="258">
        <v>1774.0</v>
      </c>
      <c r="B1782" s="328" t="s">
        <v>670</v>
      </c>
      <c r="C1782" s="257" t="s">
        <v>6767</v>
      </c>
      <c r="D1782" s="173" t="s">
        <v>6767</v>
      </c>
      <c r="E1782" s="174" t="s">
        <v>2861</v>
      </c>
      <c r="F1782" s="173" t="s">
        <v>2862</v>
      </c>
      <c r="G1782" s="328" t="s">
        <v>673</v>
      </c>
      <c r="H1782" s="328" t="s">
        <v>2863</v>
      </c>
      <c r="I1782" s="258" t="s">
        <v>2864</v>
      </c>
      <c r="J1782" s="259" t="s">
        <v>1272</v>
      </c>
      <c r="K1782" s="260"/>
      <c r="L1782" s="359"/>
      <c r="M1782" s="359"/>
      <c r="N1782" s="173" t="s">
        <v>679</v>
      </c>
      <c r="O1782" s="173" t="s">
        <v>225</v>
      </c>
      <c r="P1782" s="262" t="str">
        <f t="shared" si="1"/>
        <v>IN-BLR-ANANTA-VAV-1354_8</v>
      </c>
      <c r="Q1782" s="173" t="s">
        <v>6768</v>
      </c>
      <c r="R1782" s="328" t="str">
        <f>IFS(C1782="","",C1782="n/a","N/A",LEN(C1782),Concatenate("{",char(34),"asset",char(34),":{",char(34),"guid",char(34),":",char(34),Q1782,char(34),",",char(34),"site",char(34),":",char(34),LOWER('2-Building'!$B$4),char(34),",",char(34),"name",char(34),":",char(34),LOWER(C1782),char(34),"}}"))</f>
        <v>{"asset":{"guid":"uuid://a8a8b932-d190-4f8c-a052-e5d146cc467c","site":"in-blr-ananta","name":"vav-1354"}}</v>
      </c>
      <c r="S1782" s="360" t="s">
        <v>5516</v>
      </c>
      <c r="T1782" s="330"/>
      <c r="U1782" s="330"/>
      <c r="V1782" s="331"/>
      <c r="W1782" s="332"/>
      <c r="X1782" s="333"/>
      <c r="Y1782" s="33" t="s">
        <v>2867</v>
      </c>
      <c r="Z1782" s="258">
        <v>121354.0</v>
      </c>
      <c r="AA1782" s="334">
        <v>11647.0</v>
      </c>
      <c r="AB1782" s="333"/>
      <c r="AC1782" s="333"/>
      <c r="AD1782" s="329"/>
      <c r="AE1782" s="331"/>
      <c r="AF1782" s="336"/>
      <c r="AG1782" s="337"/>
      <c r="AH1782" s="333"/>
      <c r="AI1782" s="333"/>
      <c r="AJ1782" s="333"/>
      <c r="AK1782" s="333"/>
      <c r="AL1782" s="333"/>
      <c r="AM1782" s="338"/>
      <c r="AN1782" s="333"/>
      <c r="AO1782" s="333"/>
      <c r="AP1782" s="333"/>
      <c r="AQ1782" s="333"/>
      <c r="AR1782" s="333"/>
      <c r="AS1782" s="333"/>
      <c r="AT1782" s="333"/>
      <c r="AU1782" s="329"/>
      <c r="AV1782" s="341"/>
      <c r="AW1782" s="269" t="s">
        <v>2476</v>
      </c>
      <c r="AX1782" s="334" t="s">
        <v>2869</v>
      </c>
      <c r="AY1782" s="270" t="s">
        <v>695</v>
      </c>
      <c r="AZ1782" s="173" t="s">
        <v>5516</v>
      </c>
      <c r="BA1782" s="265">
        <v>10.0</v>
      </c>
      <c r="BB1782" s="174" t="s">
        <v>245</v>
      </c>
      <c r="BC1782" s="341"/>
      <c r="BD1782" s="308"/>
      <c r="BE1782" s="342"/>
      <c r="BF1782" s="274" t="str">
        <f>IFERROR(__xludf.DUMMYFUNCTION("LOWER(Regexreplace(to_text(E1782),""[^A-Za-z0-9]"","""")&amp;""_""&amp;Regexreplace(to_text(F1782),""[^A-Za-z0-9]"",""""))"),"neptronic_evcbseries")</f>
        <v>neptronic_evcbseries</v>
      </c>
      <c r="BG1782" s="275" t="str">
        <f>IFERROR(__xludf.DUMMYFUNCTION("upper(Regexreplace(to_text(E1782),""[^A-Za-z0-9]"","""")&amp;""-""&amp;Regexreplace(to_text(F1782),""[^A-Za-z0-9]"",""""))"),"NEPTRONIC-EVCBSERIES")</f>
        <v>NEPTRONIC-EVCBSERIES</v>
      </c>
    </row>
    <row r="1783" ht="30.0" customHeight="1">
      <c r="A1783" s="173">
        <v>1775.0</v>
      </c>
      <c r="B1783" s="328" t="s">
        <v>670</v>
      </c>
      <c r="C1783" s="257" t="s">
        <v>6769</v>
      </c>
      <c r="D1783" s="173" t="s">
        <v>6769</v>
      </c>
      <c r="E1783" s="174" t="s">
        <v>2861</v>
      </c>
      <c r="F1783" s="173" t="s">
        <v>2862</v>
      </c>
      <c r="G1783" s="328" t="s">
        <v>673</v>
      </c>
      <c r="H1783" s="328" t="s">
        <v>2863</v>
      </c>
      <c r="I1783" s="258" t="s">
        <v>2864</v>
      </c>
      <c r="J1783" s="259" t="s">
        <v>1272</v>
      </c>
      <c r="K1783" s="260"/>
      <c r="L1783" s="359"/>
      <c r="M1783" s="359"/>
      <c r="N1783" s="173" t="s">
        <v>679</v>
      </c>
      <c r="O1783" s="173" t="s">
        <v>225</v>
      </c>
      <c r="P1783" s="262" t="str">
        <f t="shared" si="1"/>
        <v>IN-BLR-ANANTA-VAV-1355_8</v>
      </c>
      <c r="Q1783" s="173" t="s">
        <v>6770</v>
      </c>
      <c r="R1783" s="328" t="str">
        <f>IFS(C1783="","",C1783="n/a","N/A",LEN(C1783),Concatenate("{",char(34),"asset",char(34),":{",char(34),"guid",char(34),":",char(34),Q1783,char(34),",",char(34),"site",char(34),":",char(34),LOWER('2-Building'!$B$4),char(34),",",char(34),"name",char(34),":",char(34),LOWER(C1783),char(34),"}}"))</f>
        <v>{"asset":{"guid":"uuid://eabcfa74-3f41-463c-bcac-f06e7a30ab23","site":"in-blr-ananta","name":"vav-1355"}}</v>
      </c>
      <c r="S1783" s="360" t="s">
        <v>5516</v>
      </c>
      <c r="T1783" s="330"/>
      <c r="U1783" s="330"/>
      <c r="V1783" s="331"/>
      <c r="W1783" s="332"/>
      <c r="X1783" s="333"/>
      <c r="Y1783" s="33" t="s">
        <v>2867</v>
      </c>
      <c r="Z1783" s="258">
        <v>121355.0</v>
      </c>
      <c r="AA1783" s="334">
        <v>11647.0</v>
      </c>
      <c r="AB1783" s="333"/>
      <c r="AC1783" s="333"/>
      <c r="AD1783" s="329"/>
      <c r="AE1783" s="331"/>
      <c r="AF1783" s="336"/>
      <c r="AG1783" s="337"/>
      <c r="AH1783" s="333"/>
      <c r="AI1783" s="333"/>
      <c r="AJ1783" s="333"/>
      <c r="AK1783" s="333"/>
      <c r="AL1783" s="333"/>
      <c r="AM1783" s="338"/>
      <c r="AN1783" s="333"/>
      <c r="AO1783" s="333"/>
      <c r="AP1783" s="333"/>
      <c r="AQ1783" s="333"/>
      <c r="AR1783" s="333"/>
      <c r="AS1783" s="333"/>
      <c r="AT1783" s="333"/>
      <c r="AU1783" s="329"/>
      <c r="AV1783" s="341"/>
      <c r="AW1783" s="269" t="s">
        <v>2476</v>
      </c>
      <c r="AX1783" s="334" t="s">
        <v>2869</v>
      </c>
      <c r="AY1783" s="270" t="s">
        <v>695</v>
      </c>
      <c r="AZ1783" s="173" t="s">
        <v>5516</v>
      </c>
      <c r="BA1783" s="265">
        <v>10.0</v>
      </c>
      <c r="BB1783" s="174" t="s">
        <v>245</v>
      </c>
      <c r="BC1783" s="341"/>
      <c r="BD1783" s="308"/>
      <c r="BE1783" s="342"/>
      <c r="BF1783" s="274" t="str">
        <f>IFERROR(__xludf.DUMMYFUNCTION("LOWER(Regexreplace(to_text(E1783),""[^A-Za-z0-9]"","""")&amp;""_""&amp;Regexreplace(to_text(F1783),""[^A-Za-z0-9]"",""""))"),"neptronic_evcbseries")</f>
        <v>neptronic_evcbseries</v>
      </c>
      <c r="BG1783" s="275" t="str">
        <f>IFERROR(__xludf.DUMMYFUNCTION("upper(Regexreplace(to_text(E1783),""[^A-Za-z0-9]"","""")&amp;""-""&amp;Regexreplace(to_text(F1783),""[^A-Za-z0-9]"",""""))"),"NEPTRONIC-EVCBSERIES")</f>
        <v>NEPTRONIC-EVCBSERIES</v>
      </c>
    </row>
    <row r="1784" ht="30.0" customHeight="1">
      <c r="A1784" s="258">
        <v>1776.0</v>
      </c>
      <c r="B1784" s="328" t="s">
        <v>670</v>
      </c>
      <c r="C1784" s="257" t="s">
        <v>6771</v>
      </c>
      <c r="D1784" s="173" t="s">
        <v>6771</v>
      </c>
      <c r="E1784" s="174" t="s">
        <v>2861</v>
      </c>
      <c r="F1784" s="173" t="s">
        <v>2862</v>
      </c>
      <c r="G1784" s="328" t="s">
        <v>673</v>
      </c>
      <c r="H1784" s="328" t="s">
        <v>2863</v>
      </c>
      <c r="I1784" s="258" t="s">
        <v>2864</v>
      </c>
      <c r="J1784" s="259" t="s">
        <v>1272</v>
      </c>
      <c r="K1784" s="260"/>
      <c r="L1784" s="359"/>
      <c r="M1784" s="359"/>
      <c r="N1784" s="173" t="s">
        <v>679</v>
      </c>
      <c r="O1784" s="173" t="s">
        <v>225</v>
      </c>
      <c r="P1784" s="262" t="str">
        <f t="shared" si="1"/>
        <v>IN-BLR-ANANTA-VAV-1356_8</v>
      </c>
      <c r="Q1784" s="173" t="s">
        <v>6772</v>
      </c>
      <c r="R1784" s="328" t="str">
        <f>IFS(C1784="","",C1784="n/a","N/A",LEN(C1784),Concatenate("{",char(34),"asset",char(34),":{",char(34),"guid",char(34),":",char(34),Q1784,char(34),",",char(34),"site",char(34),":",char(34),LOWER('2-Building'!$B$4),char(34),",",char(34),"name",char(34),":",char(34),LOWER(C1784),char(34),"}}"))</f>
        <v>{"asset":{"guid":"uuid://e66aab02-e743-4eb5-9b5c-87b1ec31ba72","site":"in-blr-ananta","name":"vav-1356"}}</v>
      </c>
      <c r="S1784" s="360" t="s">
        <v>5516</v>
      </c>
      <c r="T1784" s="330"/>
      <c r="U1784" s="330"/>
      <c r="V1784" s="331"/>
      <c r="W1784" s="332"/>
      <c r="X1784" s="333"/>
      <c r="Y1784" s="33" t="s">
        <v>2867</v>
      </c>
      <c r="Z1784" s="258">
        <v>121356.0</v>
      </c>
      <c r="AA1784" s="334">
        <v>11647.0</v>
      </c>
      <c r="AB1784" s="333"/>
      <c r="AC1784" s="333"/>
      <c r="AD1784" s="329"/>
      <c r="AE1784" s="331"/>
      <c r="AF1784" s="336"/>
      <c r="AG1784" s="337"/>
      <c r="AH1784" s="333"/>
      <c r="AI1784" s="333"/>
      <c r="AJ1784" s="333"/>
      <c r="AK1784" s="333"/>
      <c r="AL1784" s="333"/>
      <c r="AM1784" s="338"/>
      <c r="AN1784" s="333"/>
      <c r="AO1784" s="333"/>
      <c r="AP1784" s="333"/>
      <c r="AQ1784" s="333"/>
      <c r="AR1784" s="333"/>
      <c r="AS1784" s="333"/>
      <c r="AT1784" s="333"/>
      <c r="AU1784" s="329"/>
      <c r="AV1784" s="341"/>
      <c r="AW1784" s="269" t="s">
        <v>2476</v>
      </c>
      <c r="AX1784" s="334" t="s">
        <v>2869</v>
      </c>
      <c r="AY1784" s="270" t="s">
        <v>695</v>
      </c>
      <c r="AZ1784" s="173" t="s">
        <v>5516</v>
      </c>
      <c r="BA1784" s="265">
        <v>10.0</v>
      </c>
      <c r="BB1784" s="174" t="s">
        <v>245</v>
      </c>
      <c r="BC1784" s="341"/>
      <c r="BD1784" s="308"/>
      <c r="BE1784" s="342"/>
      <c r="BF1784" s="274" t="str">
        <f>IFERROR(__xludf.DUMMYFUNCTION("LOWER(Regexreplace(to_text(E1784),""[^A-Za-z0-9]"","""")&amp;""_""&amp;Regexreplace(to_text(F1784),""[^A-Za-z0-9]"",""""))"),"neptronic_evcbseries")</f>
        <v>neptronic_evcbseries</v>
      </c>
      <c r="BG1784" s="275" t="str">
        <f>IFERROR(__xludf.DUMMYFUNCTION("upper(Regexreplace(to_text(E1784),""[^A-Za-z0-9]"","""")&amp;""-""&amp;Regexreplace(to_text(F1784),""[^A-Za-z0-9]"",""""))"),"NEPTRONIC-EVCBSERIES")</f>
        <v>NEPTRONIC-EVCBSERIES</v>
      </c>
    </row>
    <row r="1785" ht="30.0" customHeight="1">
      <c r="A1785" s="173">
        <v>1777.0</v>
      </c>
      <c r="B1785" s="328" t="s">
        <v>670</v>
      </c>
      <c r="C1785" s="257" t="s">
        <v>6773</v>
      </c>
      <c r="D1785" s="173" t="s">
        <v>6773</v>
      </c>
      <c r="E1785" s="174" t="s">
        <v>2861</v>
      </c>
      <c r="F1785" s="173" t="s">
        <v>2862</v>
      </c>
      <c r="G1785" s="328" t="s">
        <v>673</v>
      </c>
      <c r="H1785" s="328" t="s">
        <v>2863</v>
      </c>
      <c r="I1785" s="258" t="s">
        <v>2864</v>
      </c>
      <c r="J1785" s="259" t="s">
        <v>1272</v>
      </c>
      <c r="K1785" s="260"/>
      <c r="L1785" s="359"/>
      <c r="M1785" s="359"/>
      <c r="N1785" s="173" t="s">
        <v>679</v>
      </c>
      <c r="O1785" s="173" t="s">
        <v>225</v>
      </c>
      <c r="P1785" s="262" t="str">
        <f t="shared" si="1"/>
        <v>IN-BLR-ANANTA-VAV-1357_8</v>
      </c>
      <c r="Q1785" s="173" t="s">
        <v>6774</v>
      </c>
      <c r="R1785" s="328" t="str">
        <f>IFS(C1785="","",C1785="n/a","N/A",LEN(C1785),Concatenate("{",char(34),"asset",char(34),":{",char(34),"guid",char(34),":",char(34),Q1785,char(34),",",char(34),"site",char(34),":",char(34),LOWER('2-Building'!$B$4),char(34),",",char(34),"name",char(34),":",char(34),LOWER(C1785),char(34),"}}"))</f>
        <v>{"asset":{"guid":"uuid://853f8f77-0b73-4d12-9fb4-3dbd25f96d64","site":"in-blr-ananta","name":"vav-1357"}}</v>
      </c>
      <c r="S1785" s="360" t="s">
        <v>5516</v>
      </c>
      <c r="T1785" s="330"/>
      <c r="U1785" s="330"/>
      <c r="V1785" s="331"/>
      <c r="W1785" s="332"/>
      <c r="X1785" s="333"/>
      <c r="Y1785" s="33" t="s">
        <v>2867</v>
      </c>
      <c r="Z1785" s="258">
        <v>121357.0</v>
      </c>
      <c r="AA1785" s="334">
        <v>11647.0</v>
      </c>
      <c r="AB1785" s="333"/>
      <c r="AC1785" s="333"/>
      <c r="AD1785" s="329"/>
      <c r="AE1785" s="331"/>
      <c r="AF1785" s="336"/>
      <c r="AG1785" s="337"/>
      <c r="AH1785" s="333"/>
      <c r="AI1785" s="333"/>
      <c r="AJ1785" s="333"/>
      <c r="AK1785" s="333"/>
      <c r="AL1785" s="333"/>
      <c r="AM1785" s="338"/>
      <c r="AN1785" s="333"/>
      <c r="AO1785" s="333"/>
      <c r="AP1785" s="333"/>
      <c r="AQ1785" s="333"/>
      <c r="AR1785" s="333"/>
      <c r="AS1785" s="333"/>
      <c r="AT1785" s="333"/>
      <c r="AU1785" s="329"/>
      <c r="AV1785" s="341"/>
      <c r="AW1785" s="269" t="s">
        <v>2476</v>
      </c>
      <c r="AX1785" s="334" t="s">
        <v>2869</v>
      </c>
      <c r="AY1785" s="270" t="s">
        <v>695</v>
      </c>
      <c r="AZ1785" s="173" t="s">
        <v>5516</v>
      </c>
      <c r="BA1785" s="265">
        <v>10.0</v>
      </c>
      <c r="BB1785" s="174" t="s">
        <v>245</v>
      </c>
      <c r="BC1785" s="341"/>
      <c r="BD1785" s="308"/>
      <c r="BE1785" s="342"/>
      <c r="BF1785" s="274" t="str">
        <f>IFERROR(__xludf.DUMMYFUNCTION("LOWER(Regexreplace(to_text(E1785),""[^A-Za-z0-9]"","""")&amp;""_""&amp;Regexreplace(to_text(F1785),""[^A-Za-z0-9]"",""""))"),"neptronic_evcbseries")</f>
        <v>neptronic_evcbseries</v>
      </c>
      <c r="BG1785" s="275" t="str">
        <f>IFERROR(__xludf.DUMMYFUNCTION("upper(Regexreplace(to_text(E1785),""[^A-Za-z0-9]"","""")&amp;""-""&amp;Regexreplace(to_text(F1785),""[^A-Za-z0-9]"",""""))"),"NEPTRONIC-EVCBSERIES")</f>
        <v>NEPTRONIC-EVCBSERIES</v>
      </c>
    </row>
    <row r="1786" ht="30.0" customHeight="1">
      <c r="A1786" s="258">
        <v>1778.0</v>
      </c>
      <c r="B1786" s="328" t="s">
        <v>670</v>
      </c>
      <c r="C1786" s="257" t="s">
        <v>6775</v>
      </c>
      <c r="D1786" s="173" t="s">
        <v>6775</v>
      </c>
      <c r="E1786" s="174" t="s">
        <v>2861</v>
      </c>
      <c r="F1786" s="173" t="s">
        <v>2862</v>
      </c>
      <c r="G1786" s="328" t="s">
        <v>673</v>
      </c>
      <c r="H1786" s="328" t="s">
        <v>2863</v>
      </c>
      <c r="I1786" s="258" t="s">
        <v>2864</v>
      </c>
      <c r="J1786" s="259" t="s">
        <v>1272</v>
      </c>
      <c r="K1786" s="260"/>
      <c r="L1786" s="359"/>
      <c r="M1786" s="359"/>
      <c r="N1786" s="173" t="s">
        <v>679</v>
      </c>
      <c r="O1786" s="173" t="s">
        <v>225</v>
      </c>
      <c r="P1786" s="262" t="str">
        <f t="shared" si="1"/>
        <v>IN-BLR-ANANTA-VAV-1358_8</v>
      </c>
      <c r="Q1786" s="173" t="s">
        <v>6776</v>
      </c>
      <c r="R1786" s="328" t="str">
        <f>IFS(C1786="","",C1786="n/a","N/A",LEN(C1786),Concatenate("{",char(34),"asset",char(34),":{",char(34),"guid",char(34),":",char(34),Q1786,char(34),",",char(34),"site",char(34),":",char(34),LOWER('2-Building'!$B$4),char(34),",",char(34),"name",char(34),":",char(34),LOWER(C1786),char(34),"}}"))</f>
        <v>{"asset":{"guid":"uuid://467a406a-1ee7-4c0d-8775-4a6ff4b6b886","site":"in-blr-ananta","name":"vav-1358"}}</v>
      </c>
      <c r="S1786" s="360" t="s">
        <v>5516</v>
      </c>
      <c r="T1786" s="330"/>
      <c r="U1786" s="330"/>
      <c r="V1786" s="331"/>
      <c r="W1786" s="332"/>
      <c r="X1786" s="333"/>
      <c r="Y1786" s="33" t="s">
        <v>2867</v>
      </c>
      <c r="Z1786" s="258">
        <v>121358.0</v>
      </c>
      <c r="AA1786" s="334">
        <v>11647.0</v>
      </c>
      <c r="AB1786" s="333"/>
      <c r="AC1786" s="333"/>
      <c r="AD1786" s="329"/>
      <c r="AE1786" s="331"/>
      <c r="AF1786" s="336"/>
      <c r="AG1786" s="337"/>
      <c r="AH1786" s="333"/>
      <c r="AI1786" s="333"/>
      <c r="AJ1786" s="333"/>
      <c r="AK1786" s="333"/>
      <c r="AL1786" s="333"/>
      <c r="AM1786" s="338"/>
      <c r="AN1786" s="333"/>
      <c r="AO1786" s="333"/>
      <c r="AP1786" s="333"/>
      <c r="AQ1786" s="333"/>
      <c r="AR1786" s="333"/>
      <c r="AS1786" s="333"/>
      <c r="AT1786" s="333"/>
      <c r="AU1786" s="329"/>
      <c r="AV1786" s="341"/>
      <c r="AW1786" s="269" t="s">
        <v>2476</v>
      </c>
      <c r="AX1786" s="334" t="s">
        <v>2869</v>
      </c>
      <c r="AY1786" s="270" t="s">
        <v>695</v>
      </c>
      <c r="AZ1786" s="173" t="s">
        <v>5516</v>
      </c>
      <c r="BA1786" s="265">
        <v>10.0</v>
      </c>
      <c r="BB1786" s="174" t="s">
        <v>245</v>
      </c>
      <c r="BC1786" s="341"/>
      <c r="BD1786" s="308"/>
      <c r="BE1786" s="342"/>
      <c r="BF1786" s="274" t="str">
        <f>IFERROR(__xludf.DUMMYFUNCTION("LOWER(Regexreplace(to_text(E1786),""[^A-Za-z0-9]"","""")&amp;""_""&amp;Regexreplace(to_text(F1786),""[^A-Za-z0-9]"",""""))"),"neptronic_evcbseries")</f>
        <v>neptronic_evcbseries</v>
      </c>
      <c r="BG1786" s="275" t="str">
        <f>IFERROR(__xludf.DUMMYFUNCTION("upper(Regexreplace(to_text(E1786),""[^A-Za-z0-9]"","""")&amp;""-""&amp;Regexreplace(to_text(F1786),""[^A-Za-z0-9]"",""""))"),"NEPTRONIC-EVCBSERIES")</f>
        <v>NEPTRONIC-EVCBSERIES</v>
      </c>
    </row>
    <row r="1787" ht="30.0" customHeight="1">
      <c r="A1787" s="173">
        <v>1779.0</v>
      </c>
      <c r="B1787" s="328" t="s">
        <v>670</v>
      </c>
      <c r="C1787" s="257" t="s">
        <v>6777</v>
      </c>
      <c r="D1787" s="173" t="s">
        <v>6777</v>
      </c>
      <c r="E1787" s="174" t="s">
        <v>2861</v>
      </c>
      <c r="F1787" s="173" t="s">
        <v>2862</v>
      </c>
      <c r="G1787" s="328" t="s">
        <v>673</v>
      </c>
      <c r="H1787" s="328" t="s">
        <v>2863</v>
      </c>
      <c r="I1787" s="258" t="s">
        <v>2864</v>
      </c>
      <c r="J1787" s="259" t="s">
        <v>1272</v>
      </c>
      <c r="K1787" s="260"/>
      <c r="L1787" s="359"/>
      <c r="M1787" s="359"/>
      <c r="N1787" s="173" t="s">
        <v>679</v>
      </c>
      <c r="O1787" s="173" t="s">
        <v>225</v>
      </c>
      <c r="P1787" s="262" t="str">
        <f t="shared" si="1"/>
        <v>IN-BLR-ANANTA-VAV-1359_8</v>
      </c>
      <c r="Q1787" s="173" t="s">
        <v>6778</v>
      </c>
      <c r="R1787" s="328" t="str">
        <f>IFS(C1787="","",C1787="n/a","N/A",LEN(C1787),Concatenate("{",char(34),"asset",char(34),":{",char(34),"guid",char(34),":",char(34),Q1787,char(34),",",char(34),"site",char(34),":",char(34),LOWER('2-Building'!$B$4),char(34),",",char(34),"name",char(34),":",char(34),LOWER(C1787),char(34),"}}"))</f>
        <v>{"asset":{"guid":"uuid://eb43037c-dd7d-4af1-805a-95084da61a06","site":"in-blr-ananta","name":"vav-1359"}}</v>
      </c>
      <c r="S1787" s="360" t="s">
        <v>5516</v>
      </c>
      <c r="T1787" s="330"/>
      <c r="U1787" s="330"/>
      <c r="V1787" s="331"/>
      <c r="W1787" s="332"/>
      <c r="X1787" s="333"/>
      <c r="Y1787" s="33" t="s">
        <v>2867</v>
      </c>
      <c r="Z1787" s="258">
        <v>121359.0</v>
      </c>
      <c r="AA1787" s="334">
        <v>11647.0</v>
      </c>
      <c r="AB1787" s="333"/>
      <c r="AC1787" s="333"/>
      <c r="AD1787" s="329"/>
      <c r="AE1787" s="331"/>
      <c r="AF1787" s="336"/>
      <c r="AG1787" s="337"/>
      <c r="AH1787" s="333"/>
      <c r="AI1787" s="333"/>
      <c r="AJ1787" s="333"/>
      <c r="AK1787" s="333"/>
      <c r="AL1787" s="333"/>
      <c r="AM1787" s="338"/>
      <c r="AN1787" s="333"/>
      <c r="AO1787" s="333"/>
      <c r="AP1787" s="333"/>
      <c r="AQ1787" s="333"/>
      <c r="AR1787" s="333"/>
      <c r="AS1787" s="333"/>
      <c r="AT1787" s="333"/>
      <c r="AU1787" s="329"/>
      <c r="AV1787" s="341"/>
      <c r="AW1787" s="269" t="s">
        <v>2476</v>
      </c>
      <c r="AX1787" s="334" t="s">
        <v>2869</v>
      </c>
      <c r="AY1787" s="270" t="s">
        <v>695</v>
      </c>
      <c r="AZ1787" s="173" t="s">
        <v>5516</v>
      </c>
      <c r="BA1787" s="265">
        <v>10.0</v>
      </c>
      <c r="BB1787" s="174" t="s">
        <v>245</v>
      </c>
      <c r="BC1787" s="341"/>
      <c r="BD1787" s="308"/>
      <c r="BE1787" s="342"/>
      <c r="BF1787" s="274" t="str">
        <f>IFERROR(__xludf.DUMMYFUNCTION("LOWER(Regexreplace(to_text(E1787),""[^A-Za-z0-9]"","""")&amp;""_""&amp;Regexreplace(to_text(F1787),""[^A-Za-z0-9]"",""""))"),"neptronic_evcbseries")</f>
        <v>neptronic_evcbseries</v>
      </c>
      <c r="BG1787" s="275" t="str">
        <f>IFERROR(__xludf.DUMMYFUNCTION("upper(Regexreplace(to_text(E1787),""[^A-Za-z0-9]"","""")&amp;""-""&amp;Regexreplace(to_text(F1787),""[^A-Za-z0-9]"",""""))"),"NEPTRONIC-EVCBSERIES")</f>
        <v>NEPTRONIC-EVCBSERIES</v>
      </c>
    </row>
    <row r="1788" ht="30.0" customHeight="1">
      <c r="A1788" s="258">
        <v>1780.0</v>
      </c>
      <c r="B1788" s="328" t="s">
        <v>670</v>
      </c>
      <c r="C1788" s="257" t="s">
        <v>6779</v>
      </c>
      <c r="D1788" s="173" t="s">
        <v>6779</v>
      </c>
      <c r="E1788" s="174" t="s">
        <v>2861</v>
      </c>
      <c r="F1788" s="173" t="s">
        <v>2862</v>
      </c>
      <c r="G1788" s="328" t="s">
        <v>673</v>
      </c>
      <c r="H1788" s="328" t="s">
        <v>2863</v>
      </c>
      <c r="I1788" s="258" t="s">
        <v>2864</v>
      </c>
      <c r="J1788" s="259" t="s">
        <v>1272</v>
      </c>
      <c r="K1788" s="260"/>
      <c r="L1788" s="359"/>
      <c r="M1788" s="359"/>
      <c r="N1788" s="173" t="s">
        <v>679</v>
      </c>
      <c r="O1788" s="173" t="s">
        <v>225</v>
      </c>
      <c r="P1788" s="262" t="str">
        <f t="shared" si="1"/>
        <v>IN-BLR-ANANTA-VAV-1360_8</v>
      </c>
      <c r="Q1788" s="173" t="s">
        <v>6780</v>
      </c>
      <c r="R1788" s="328" t="str">
        <f>IFS(C1788="","",C1788="n/a","N/A",LEN(C1788),Concatenate("{",char(34),"asset",char(34),":{",char(34),"guid",char(34),":",char(34),Q1788,char(34),",",char(34),"site",char(34),":",char(34),LOWER('2-Building'!$B$4),char(34),",",char(34),"name",char(34),":",char(34),LOWER(C1788),char(34),"}}"))</f>
        <v>{"asset":{"guid":"uuid://9b014f1b-93e4-4228-8703-fbc0ad03bdcc","site":"in-blr-ananta","name":"vav-1360"}}</v>
      </c>
      <c r="S1788" s="360" t="s">
        <v>5516</v>
      </c>
      <c r="T1788" s="330"/>
      <c r="U1788" s="330"/>
      <c r="V1788" s="331"/>
      <c r="W1788" s="332"/>
      <c r="X1788" s="333"/>
      <c r="Y1788" s="33" t="s">
        <v>2867</v>
      </c>
      <c r="Z1788" s="258">
        <v>121360.0</v>
      </c>
      <c r="AA1788" s="334">
        <v>11647.0</v>
      </c>
      <c r="AB1788" s="333"/>
      <c r="AC1788" s="333"/>
      <c r="AD1788" s="329"/>
      <c r="AE1788" s="331"/>
      <c r="AF1788" s="336"/>
      <c r="AG1788" s="337"/>
      <c r="AH1788" s="333"/>
      <c r="AI1788" s="333"/>
      <c r="AJ1788" s="333"/>
      <c r="AK1788" s="333"/>
      <c r="AL1788" s="333"/>
      <c r="AM1788" s="338"/>
      <c r="AN1788" s="333"/>
      <c r="AO1788" s="333"/>
      <c r="AP1788" s="333"/>
      <c r="AQ1788" s="333"/>
      <c r="AR1788" s="333"/>
      <c r="AS1788" s="333"/>
      <c r="AT1788" s="333"/>
      <c r="AU1788" s="329"/>
      <c r="AV1788" s="341"/>
      <c r="AW1788" s="269" t="s">
        <v>2476</v>
      </c>
      <c r="AX1788" s="334" t="s">
        <v>2869</v>
      </c>
      <c r="AY1788" s="270" t="s">
        <v>695</v>
      </c>
      <c r="AZ1788" s="173" t="s">
        <v>5516</v>
      </c>
      <c r="BA1788" s="265">
        <v>10.0</v>
      </c>
      <c r="BB1788" s="174" t="s">
        <v>245</v>
      </c>
      <c r="BC1788" s="341"/>
      <c r="BD1788" s="308"/>
      <c r="BE1788" s="342"/>
      <c r="BF1788" s="274" t="str">
        <f>IFERROR(__xludf.DUMMYFUNCTION("LOWER(Regexreplace(to_text(E1788),""[^A-Za-z0-9]"","""")&amp;""_""&amp;Regexreplace(to_text(F1788),""[^A-Za-z0-9]"",""""))"),"neptronic_evcbseries")</f>
        <v>neptronic_evcbseries</v>
      </c>
      <c r="BG1788" s="275" t="str">
        <f>IFERROR(__xludf.DUMMYFUNCTION("upper(Regexreplace(to_text(E1788),""[^A-Za-z0-9]"","""")&amp;""-""&amp;Regexreplace(to_text(F1788),""[^A-Za-z0-9]"",""""))"),"NEPTRONIC-EVCBSERIES")</f>
        <v>NEPTRONIC-EVCBSERIES</v>
      </c>
    </row>
    <row r="1789" ht="30.0" customHeight="1">
      <c r="A1789" s="173">
        <v>1781.0</v>
      </c>
      <c r="B1789" s="328" t="s">
        <v>670</v>
      </c>
      <c r="C1789" s="257" t="s">
        <v>6781</v>
      </c>
      <c r="D1789" s="173" t="s">
        <v>6781</v>
      </c>
      <c r="E1789" s="174" t="s">
        <v>2861</v>
      </c>
      <c r="F1789" s="173" t="s">
        <v>2862</v>
      </c>
      <c r="G1789" s="328" t="s">
        <v>673</v>
      </c>
      <c r="H1789" s="328" t="s">
        <v>2863</v>
      </c>
      <c r="I1789" s="258" t="s">
        <v>2864</v>
      </c>
      <c r="J1789" s="259" t="s">
        <v>1272</v>
      </c>
      <c r="K1789" s="260"/>
      <c r="L1789" s="359"/>
      <c r="M1789" s="359"/>
      <c r="N1789" s="173" t="s">
        <v>679</v>
      </c>
      <c r="O1789" s="173" t="s">
        <v>225</v>
      </c>
      <c r="P1789" s="262" t="str">
        <f t="shared" si="1"/>
        <v>IN-BLR-ANANTA-VAV-1361_8</v>
      </c>
      <c r="Q1789" s="173" t="s">
        <v>6782</v>
      </c>
      <c r="R1789" s="328" t="str">
        <f>IFS(C1789="","",C1789="n/a","N/A",LEN(C1789),Concatenate("{",char(34),"asset",char(34),":{",char(34),"guid",char(34),":",char(34),Q1789,char(34),",",char(34),"site",char(34),":",char(34),LOWER('2-Building'!$B$4),char(34),",",char(34),"name",char(34),":",char(34),LOWER(C1789),char(34),"}}"))</f>
        <v>{"asset":{"guid":"uuid://6c4e6e18-8dd8-47dc-886b-c8f50b8d12a0","site":"in-blr-ananta","name":"vav-1361"}}</v>
      </c>
      <c r="S1789" s="360" t="s">
        <v>5516</v>
      </c>
      <c r="T1789" s="330"/>
      <c r="U1789" s="330"/>
      <c r="V1789" s="331"/>
      <c r="W1789" s="332"/>
      <c r="X1789" s="333"/>
      <c r="Y1789" s="33" t="s">
        <v>2867</v>
      </c>
      <c r="Z1789" s="258">
        <v>121361.0</v>
      </c>
      <c r="AA1789" s="334">
        <v>11647.0</v>
      </c>
      <c r="AB1789" s="333"/>
      <c r="AC1789" s="333"/>
      <c r="AD1789" s="329"/>
      <c r="AE1789" s="331"/>
      <c r="AF1789" s="336"/>
      <c r="AG1789" s="337"/>
      <c r="AH1789" s="333"/>
      <c r="AI1789" s="333"/>
      <c r="AJ1789" s="333"/>
      <c r="AK1789" s="333"/>
      <c r="AL1789" s="333"/>
      <c r="AM1789" s="338"/>
      <c r="AN1789" s="333"/>
      <c r="AO1789" s="333"/>
      <c r="AP1789" s="333"/>
      <c r="AQ1789" s="333"/>
      <c r="AR1789" s="333"/>
      <c r="AS1789" s="333"/>
      <c r="AT1789" s="333"/>
      <c r="AU1789" s="329"/>
      <c r="AV1789" s="341"/>
      <c r="AW1789" s="269" t="s">
        <v>2476</v>
      </c>
      <c r="AX1789" s="334" t="s">
        <v>2869</v>
      </c>
      <c r="AY1789" s="270" t="s">
        <v>695</v>
      </c>
      <c r="AZ1789" s="173" t="s">
        <v>5516</v>
      </c>
      <c r="BA1789" s="265">
        <v>10.0</v>
      </c>
      <c r="BB1789" s="174" t="s">
        <v>245</v>
      </c>
      <c r="BC1789" s="341"/>
      <c r="BD1789" s="308"/>
      <c r="BE1789" s="342"/>
      <c r="BF1789" s="274" t="str">
        <f>IFERROR(__xludf.DUMMYFUNCTION("LOWER(Regexreplace(to_text(E1789),""[^A-Za-z0-9]"","""")&amp;""_""&amp;Regexreplace(to_text(F1789),""[^A-Za-z0-9]"",""""))"),"neptronic_evcbseries")</f>
        <v>neptronic_evcbseries</v>
      </c>
      <c r="BG1789" s="275" t="str">
        <f>IFERROR(__xludf.DUMMYFUNCTION("upper(Regexreplace(to_text(E1789),""[^A-Za-z0-9]"","""")&amp;""-""&amp;Regexreplace(to_text(F1789),""[^A-Za-z0-9]"",""""))"),"NEPTRONIC-EVCBSERIES")</f>
        <v>NEPTRONIC-EVCBSERIES</v>
      </c>
    </row>
    <row r="1790" ht="30.0" customHeight="1">
      <c r="A1790" s="258">
        <v>1782.0</v>
      </c>
      <c r="B1790" s="328" t="s">
        <v>670</v>
      </c>
      <c r="C1790" s="257" t="s">
        <v>6783</v>
      </c>
      <c r="D1790" s="173" t="s">
        <v>6783</v>
      </c>
      <c r="E1790" s="174" t="s">
        <v>2861</v>
      </c>
      <c r="F1790" s="173" t="s">
        <v>2862</v>
      </c>
      <c r="G1790" s="328" t="s">
        <v>673</v>
      </c>
      <c r="H1790" s="328" t="s">
        <v>2863</v>
      </c>
      <c r="I1790" s="258" t="s">
        <v>2864</v>
      </c>
      <c r="J1790" s="259" t="s">
        <v>1272</v>
      </c>
      <c r="K1790" s="260"/>
      <c r="L1790" s="359"/>
      <c r="M1790" s="359"/>
      <c r="N1790" s="173" t="s">
        <v>679</v>
      </c>
      <c r="O1790" s="173" t="s">
        <v>225</v>
      </c>
      <c r="P1790" s="262" t="str">
        <f t="shared" si="1"/>
        <v>IN-BLR-ANANTA-VAV-1362_8</v>
      </c>
      <c r="Q1790" s="173" t="s">
        <v>6784</v>
      </c>
      <c r="R1790" s="328" t="str">
        <f>IFS(C1790="","",C1790="n/a","N/A",LEN(C1790),Concatenate("{",char(34),"asset",char(34),":{",char(34),"guid",char(34),":",char(34),Q1790,char(34),",",char(34),"site",char(34),":",char(34),LOWER('2-Building'!$B$4),char(34),",",char(34),"name",char(34),":",char(34),LOWER(C1790),char(34),"}}"))</f>
        <v>{"asset":{"guid":"uuid://b5ed697b-e224-4250-8e50-67b168b2d87f","site":"in-blr-ananta","name":"vav-1362"}}</v>
      </c>
      <c r="S1790" s="360" t="s">
        <v>5516</v>
      </c>
      <c r="T1790" s="330"/>
      <c r="U1790" s="330"/>
      <c r="V1790" s="331"/>
      <c r="W1790" s="332"/>
      <c r="X1790" s="333"/>
      <c r="Y1790" s="33" t="s">
        <v>2867</v>
      </c>
      <c r="Z1790" s="258">
        <v>121362.0</v>
      </c>
      <c r="AA1790" s="334">
        <v>11647.0</v>
      </c>
      <c r="AB1790" s="333"/>
      <c r="AC1790" s="333"/>
      <c r="AD1790" s="329"/>
      <c r="AE1790" s="331"/>
      <c r="AF1790" s="336"/>
      <c r="AG1790" s="337"/>
      <c r="AH1790" s="333"/>
      <c r="AI1790" s="333"/>
      <c r="AJ1790" s="333"/>
      <c r="AK1790" s="333"/>
      <c r="AL1790" s="333"/>
      <c r="AM1790" s="338"/>
      <c r="AN1790" s="333"/>
      <c r="AO1790" s="333"/>
      <c r="AP1790" s="333"/>
      <c r="AQ1790" s="333"/>
      <c r="AR1790" s="333"/>
      <c r="AS1790" s="333"/>
      <c r="AT1790" s="333"/>
      <c r="AU1790" s="329"/>
      <c r="AV1790" s="341"/>
      <c r="AW1790" s="269" t="s">
        <v>2476</v>
      </c>
      <c r="AX1790" s="334" t="s">
        <v>2869</v>
      </c>
      <c r="AY1790" s="270" t="s">
        <v>695</v>
      </c>
      <c r="AZ1790" s="173" t="s">
        <v>5516</v>
      </c>
      <c r="BA1790" s="265">
        <v>10.0</v>
      </c>
      <c r="BB1790" s="174" t="s">
        <v>245</v>
      </c>
      <c r="BC1790" s="341"/>
      <c r="BD1790" s="308"/>
      <c r="BE1790" s="342"/>
      <c r="BF1790" s="274" t="str">
        <f>IFERROR(__xludf.DUMMYFUNCTION("LOWER(Regexreplace(to_text(E1790),""[^A-Za-z0-9]"","""")&amp;""_""&amp;Regexreplace(to_text(F1790),""[^A-Za-z0-9]"",""""))"),"neptronic_evcbseries")</f>
        <v>neptronic_evcbseries</v>
      </c>
      <c r="BG1790" s="275" t="str">
        <f>IFERROR(__xludf.DUMMYFUNCTION("upper(Regexreplace(to_text(E1790),""[^A-Za-z0-9]"","""")&amp;""-""&amp;Regexreplace(to_text(F1790),""[^A-Za-z0-9]"",""""))"),"NEPTRONIC-EVCBSERIES")</f>
        <v>NEPTRONIC-EVCBSERIES</v>
      </c>
    </row>
    <row r="1791" ht="30.0" customHeight="1">
      <c r="A1791" s="173">
        <v>1783.0</v>
      </c>
      <c r="B1791" s="328" t="s">
        <v>670</v>
      </c>
      <c r="C1791" s="257" t="s">
        <v>6785</v>
      </c>
      <c r="D1791" s="173" t="s">
        <v>6785</v>
      </c>
      <c r="E1791" s="174" t="s">
        <v>2861</v>
      </c>
      <c r="F1791" s="173" t="s">
        <v>2862</v>
      </c>
      <c r="G1791" s="328" t="s">
        <v>673</v>
      </c>
      <c r="H1791" s="328" t="s">
        <v>2863</v>
      </c>
      <c r="I1791" s="258" t="s">
        <v>2864</v>
      </c>
      <c r="J1791" s="259" t="s">
        <v>1272</v>
      </c>
      <c r="K1791" s="260"/>
      <c r="L1791" s="359"/>
      <c r="M1791" s="359"/>
      <c r="N1791" s="173" t="s">
        <v>679</v>
      </c>
      <c r="O1791" s="173" t="s">
        <v>225</v>
      </c>
      <c r="P1791" s="262" t="str">
        <f t="shared" si="1"/>
        <v>IN-BLR-ANANTA-VAV-1363_8</v>
      </c>
      <c r="Q1791" s="173" t="s">
        <v>6786</v>
      </c>
      <c r="R1791" s="328" t="str">
        <f>IFS(C1791="","",C1791="n/a","N/A",LEN(C1791),Concatenate("{",char(34),"asset",char(34),":{",char(34),"guid",char(34),":",char(34),Q1791,char(34),",",char(34),"site",char(34),":",char(34),LOWER('2-Building'!$B$4),char(34),",",char(34),"name",char(34),":",char(34),LOWER(C1791),char(34),"}}"))</f>
        <v>{"asset":{"guid":"uuid://6b0907a2-9055-4e87-a792-c6d01904877d","site":"in-blr-ananta","name":"vav-1363"}}</v>
      </c>
      <c r="S1791" s="360" t="s">
        <v>5516</v>
      </c>
      <c r="T1791" s="330"/>
      <c r="U1791" s="330"/>
      <c r="V1791" s="331"/>
      <c r="W1791" s="332"/>
      <c r="X1791" s="333"/>
      <c r="Y1791" s="33" t="s">
        <v>2867</v>
      </c>
      <c r="Z1791" s="258">
        <v>121363.0</v>
      </c>
      <c r="AA1791" s="334">
        <v>11647.0</v>
      </c>
      <c r="AB1791" s="333"/>
      <c r="AC1791" s="333"/>
      <c r="AD1791" s="329"/>
      <c r="AE1791" s="331"/>
      <c r="AF1791" s="336"/>
      <c r="AG1791" s="337"/>
      <c r="AH1791" s="333"/>
      <c r="AI1791" s="333"/>
      <c r="AJ1791" s="333"/>
      <c r="AK1791" s="333"/>
      <c r="AL1791" s="333"/>
      <c r="AM1791" s="338"/>
      <c r="AN1791" s="333"/>
      <c r="AO1791" s="333"/>
      <c r="AP1791" s="333"/>
      <c r="AQ1791" s="333"/>
      <c r="AR1791" s="333"/>
      <c r="AS1791" s="333"/>
      <c r="AT1791" s="333"/>
      <c r="AU1791" s="329"/>
      <c r="AV1791" s="341"/>
      <c r="AW1791" s="269" t="s">
        <v>2476</v>
      </c>
      <c r="AX1791" s="334" t="s">
        <v>2869</v>
      </c>
      <c r="AY1791" s="270" t="s">
        <v>695</v>
      </c>
      <c r="AZ1791" s="173" t="s">
        <v>5516</v>
      </c>
      <c r="BA1791" s="265">
        <v>10.0</v>
      </c>
      <c r="BB1791" s="174" t="s">
        <v>245</v>
      </c>
      <c r="BC1791" s="341"/>
      <c r="BD1791" s="308"/>
      <c r="BE1791" s="342"/>
      <c r="BF1791" s="274" t="str">
        <f>IFERROR(__xludf.DUMMYFUNCTION("LOWER(Regexreplace(to_text(E1791),""[^A-Za-z0-9]"","""")&amp;""_""&amp;Regexreplace(to_text(F1791),""[^A-Za-z0-9]"",""""))"),"neptronic_evcbseries")</f>
        <v>neptronic_evcbseries</v>
      </c>
      <c r="BG1791" s="275" t="str">
        <f>IFERROR(__xludf.DUMMYFUNCTION("upper(Regexreplace(to_text(E1791),""[^A-Za-z0-9]"","""")&amp;""-""&amp;Regexreplace(to_text(F1791),""[^A-Za-z0-9]"",""""))"),"NEPTRONIC-EVCBSERIES")</f>
        <v>NEPTRONIC-EVCBSERIES</v>
      </c>
    </row>
    <row r="1792" ht="30.0" customHeight="1">
      <c r="A1792" s="258">
        <v>1784.0</v>
      </c>
      <c r="B1792" s="328" t="s">
        <v>670</v>
      </c>
      <c r="C1792" s="257" t="s">
        <v>6787</v>
      </c>
      <c r="D1792" s="173" t="s">
        <v>6787</v>
      </c>
      <c r="E1792" s="174" t="s">
        <v>2861</v>
      </c>
      <c r="F1792" s="173" t="s">
        <v>2862</v>
      </c>
      <c r="G1792" s="328" t="s">
        <v>673</v>
      </c>
      <c r="H1792" s="328" t="s">
        <v>2863</v>
      </c>
      <c r="I1792" s="258" t="s">
        <v>2864</v>
      </c>
      <c r="J1792" s="259" t="s">
        <v>1272</v>
      </c>
      <c r="K1792" s="260"/>
      <c r="L1792" s="359"/>
      <c r="M1792" s="359"/>
      <c r="N1792" s="173" t="s">
        <v>679</v>
      </c>
      <c r="O1792" s="173" t="s">
        <v>225</v>
      </c>
      <c r="P1792" s="262" t="str">
        <f t="shared" si="1"/>
        <v>IN-BLR-ANANTA-VAV-1364_8</v>
      </c>
      <c r="Q1792" s="173" t="s">
        <v>6788</v>
      </c>
      <c r="R1792" s="328" t="str">
        <f>IFS(C1792="","",C1792="n/a","N/A",LEN(C1792),Concatenate("{",char(34),"asset",char(34),":{",char(34),"guid",char(34),":",char(34),Q1792,char(34),",",char(34),"site",char(34),":",char(34),LOWER('2-Building'!$B$4),char(34),",",char(34),"name",char(34),":",char(34),LOWER(C1792),char(34),"}}"))</f>
        <v>{"asset":{"guid":"uuid://17c6d1f7-1337-4a05-b531-4eb9e2589200","site":"in-blr-ananta","name":"vav-1364"}}</v>
      </c>
      <c r="S1792" s="360" t="s">
        <v>5516</v>
      </c>
      <c r="T1792" s="330"/>
      <c r="U1792" s="330"/>
      <c r="V1792" s="331"/>
      <c r="W1792" s="332"/>
      <c r="X1792" s="333"/>
      <c r="Y1792" s="33" t="s">
        <v>2867</v>
      </c>
      <c r="Z1792" s="258">
        <v>121364.0</v>
      </c>
      <c r="AA1792" s="334">
        <v>11646.0</v>
      </c>
      <c r="AB1792" s="333"/>
      <c r="AC1792" s="333"/>
      <c r="AD1792" s="329"/>
      <c r="AE1792" s="331"/>
      <c r="AF1792" s="336"/>
      <c r="AG1792" s="337"/>
      <c r="AH1792" s="333"/>
      <c r="AI1792" s="333"/>
      <c r="AJ1792" s="333"/>
      <c r="AK1792" s="333"/>
      <c r="AL1792" s="333"/>
      <c r="AM1792" s="338"/>
      <c r="AN1792" s="333"/>
      <c r="AO1792" s="333"/>
      <c r="AP1792" s="333"/>
      <c r="AQ1792" s="333"/>
      <c r="AR1792" s="333"/>
      <c r="AS1792" s="333"/>
      <c r="AT1792" s="333"/>
      <c r="AU1792" s="329"/>
      <c r="AV1792" s="341"/>
      <c r="AW1792" s="269" t="s">
        <v>2496</v>
      </c>
      <c r="AX1792" s="334" t="s">
        <v>2869</v>
      </c>
      <c r="AY1792" s="270" t="s">
        <v>695</v>
      </c>
      <c r="AZ1792" s="173" t="s">
        <v>5516</v>
      </c>
      <c r="BA1792" s="265">
        <v>10.0</v>
      </c>
      <c r="BB1792" s="174" t="s">
        <v>245</v>
      </c>
      <c r="BC1792" s="341"/>
      <c r="BD1792" s="308"/>
      <c r="BE1792" s="342"/>
      <c r="BF1792" s="274" t="str">
        <f>IFERROR(__xludf.DUMMYFUNCTION("LOWER(Regexreplace(to_text(E1792),""[^A-Za-z0-9]"","""")&amp;""_""&amp;Regexreplace(to_text(F1792),""[^A-Za-z0-9]"",""""))"),"neptronic_evcbseries")</f>
        <v>neptronic_evcbseries</v>
      </c>
      <c r="BG1792" s="275" t="str">
        <f>IFERROR(__xludf.DUMMYFUNCTION("upper(Regexreplace(to_text(E1792),""[^A-Za-z0-9]"","""")&amp;""-""&amp;Regexreplace(to_text(F1792),""[^A-Za-z0-9]"",""""))"),"NEPTRONIC-EVCBSERIES")</f>
        <v>NEPTRONIC-EVCBSERIES</v>
      </c>
    </row>
    <row r="1793" ht="30.0" customHeight="1">
      <c r="A1793" s="173">
        <v>1785.0</v>
      </c>
      <c r="B1793" s="328" t="s">
        <v>670</v>
      </c>
      <c r="C1793" s="257" t="s">
        <v>6789</v>
      </c>
      <c r="D1793" s="173" t="s">
        <v>6789</v>
      </c>
      <c r="E1793" s="174" t="s">
        <v>2861</v>
      </c>
      <c r="F1793" s="173" t="s">
        <v>2862</v>
      </c>
      <c r="G1793" s="328" t="s">
        <v>673</v>
      </c>
      <c r="H1793" s="328" t="s">
        <v>2863</v>
      </c>
      <c r="I1793" s="258" t="s">
        <v>2864</v>
      </c>
      <c r="J1793" s="259" t="s">
        <v>1272</v>
      </c>
      <c r="K1793" s="260"/>
      <c r="L1793" s="359"/>
      <c r="M1793" s="359"/>
      <c r="N1793" s="173" t="s">
        <v>679</v>
      </c>
      <c r="O1793" s="173" t="s">
        <v>225</v>
      </c>
      <c r="P1793" s="262" t="str">
        <f t="shared" si="1"/>
        <v>IN-BLR-ANANTA-VAV-1365_8</v>
      </c>
      <c r="Q1793" s="173" t="s">
        <v>6790</v>
      </c>
      <c r="R1793" s="328" t="str">
        <f>IFS(C1793="","",C1793="n/a","N/A",LEN(C1793),Concatenate("{",char(34),"asset",char(34),":{",char(34),"guid",char(34),":",char(34),Q1793,char(34),",",char(34),"site",char(34),":",char(34),LOWER('2-Building'!$B$4),char(34),",",char(34),"name",char(34),":",char(34),LOWER(C1793),char(34),"}}"))</f>
        <v>{"asset":{"guid":"uuid://14b17971-2ec5-457d-b0fb-68cf62ce1f30","site":"in-blr-ananta","name":"vav-1365"}}</v>
      </c>
      <c r="S1793" s="360" t="s">
        <v>5516</v>
      </c>
      <c r="T1793" s="330"/>
      <c r="U1793" s="330"/>
      <c r="V1793" s="331"/>
      <c r="W1793" s="332"/>
      <c r="X1793" s="333"/>
      <c r="Y1793" s="33" t="s">
        <v>2867</v>
      </c>
      <c r="Z1793" s="258">
        <v>121365.0</v>
      </c>
      <c r="AA1793" s="334">
        <v>11646.0</v>
      </c>
      <c r="AB1793" s="333"/>
      <c r="AC1793" s="333"/>
      <c r="AD1793" s="329"/>
      <c r="AE1793" s="331"/>
      <c r="AF1793" s="336"/>
      <c r="AG1793" s="337"/>
      <c r="AH1793" s="333"/>
      <c r="AI1793" s="333"/>
      <c r="AJ1793" s="333"/>
      <c r="AK1793" s="333"/>
      <c r="AL1793" s="333"/>
      <c r="AM1793" s="338"/>
      <c r="AN1793" s="333"/>
      <c r="AO1793" s="333"/>
      <c r="AP1793" s="333"/>
      <c r="AQ1793" s="333"/>
      <c r="AR1793" s="333"/>
      <c r="AS1793" s="333"/>
      <c r="AT1793" s="333"/>
      <c r="AU1793" s="329"/>
      <c r="AV1793" s="341"/>
      <c r="AW1793" s="269" t="s">
        <v>2496</v>
      </c>
      <c r="AX1793" s="334" t="s">
        <v>2869</v>
      </c>
      <c r="AY1793" s="270" t="s">
        <v>695</v>
      </c>
      <c r="AZ1793" s="173" t="s">
        <v>5516</v>
      </c>
      <c r="BA1793" s="265">
        <v>10.0</v>
      </c>
      <c r="BB1793" s="174" t="s">
        <v>245</v>
      </c>
      <c r="BC1793" s="341"/>
      <c r="BD1793" s="308"/>
      <c r="BE1793" s="342"/>
      <c r="BF1793" s="274" t="str">
        <f>IFERROR(__xludf.DUMMYFUNCTION("LOWER(Regexreplace(to_text(E1793),""[^A-Za-z0-9]"","""")&amp;""_""&amp;Regexreplace(to_text(F1793),""[^A-Za-z0-9]"",""""))"),"neptronic_evcbseries")</f>
        <v>neptronic_evcbseries</v>
      </c>
      <c r="BG1793" s="275" t="str">
        <f>IFERROR(__xludf.DUMMYFUNCTION("upper(Regexreplace(to_text(E1793),""[^A-Za-z0-9]"","""")&amp;""-""&amp;Regexreplace(to_text(F1793),""[^A-Za-z0-9]"",""""))"),"NEPTRONIC-EVCBSERIES")</f>
        <v>NEPTRONIC-EVCBSERIES</v>
      </c>
    </row>
    <row r="1794" ht="30.0" customHeight="1">
      <c r="A1794" s="258">
        <v>1786.0</v>
      </c>
      <c r="B1794" s="328" t="s">
        <v>670</v>
      </c>
      <c r="C1794" s="257" t="s">
        <v>6791</v>
      </c>
      <c r="D1794" s="173" t="s">
        <v>6791</v>
      </c>
      <c r="E1794" s="174" t="s">
        <v>2861</v>
      </c>
      <c r="F1794" s="173" t="s">
        <v>2862</v>
      </c>
      <c r="G1794" s="328" t="s">
        <v>673</v>
      </c>
      <c r="H1794" s="328" t="s">
        <v>2863</v>
      </c>
      <c r="I1794" s="258" t="s">
        <v>2864</v>
      </c>
      <c r="J1794" s="259" t="s">
        <v>1272</v>
      </c>
      <c r="K1794" s="260"/>
      <c r="L1794" s="359"/>
      <c r="M1794" s="359"/>
      <c r="N1794" s="173" t="s">
        <v>679</v>
      </c>
      <c r="O1794" s="173" t="s">
        <v>225</v>
      </c>
      <c r="P1794" s="262" t="str">
        <f t="shared" si="1"/>
        <v>IN-BLR-ANANTA-VAV-1366_8</v>
      </c>
      <c r="Q1794" s="173" t="s">
        <v>6792</v>
      </c>
      <c r="R1794" s="328" t="str">
        <f>IFS(C1794="","",C1794="n/a","N/A",LEN(C1794),Concatenate("{",char(34),"asset",char(34),":{",char(34),"guid",char(34),":",char(34),Q1794,char(34),",",char(34),"site",char(34),":",char(34),LOWER('2-Building'!$B$4),char(34),",",char(34),"name",char(34),":",char(34),LOWER(C1794),char(34),"}}"))</f>
        <v>{"asset":{"guid":"uuid://6ca7d471-96c7-47f4-ae6f-41076176ea16","site":"in-blr-ananta","name":"vav-1366"}}</v>
      </c>
      <c r="S1794" s="360" t="s">
        <v>5516</v>
      </c>
      <c r="T1794" s="330"/>
      <c r="U1794" s="330"/>
      <c r="V1794" s="331"/>
      <c r="W1794" s="332"/>
      <c r="X1794" s="333"/>
      <c r="Y1794" s="33" t="s">
        <v>2867</v>
      </c>
      <c r="Z1794" s="258">
        <v>121366.0</v>
      </c>
      <c r="AA1794" s="334">
        <v>11646.0</v>
      </c>
      <c r="AB1794" s="333"/>
      <c r="AC1794" s="333"/>
      <c r="AD1794" s="329"/>
      <c r="AE1794" s="331"/>
      <c r="AF1794" s="336"/>
      <c r="AG1794" s="337"/>
      <c r="AH1794" s="333"/>
      <c r="AI1794" s="333"/>
      <c r="AJ1794" s="333"/>
      <c r="AK1794" s="333"/>
      <c r="AL1794" s="333"/>
      <c r="AM1794" s="338"/>
      <c r="AN1794" s="333"/>
      <c r="AO1794" s="333"/>
      <c r="AP1794" s="333"/>
      <c r="AQ1794" s="333"/>
      <c r="AR1794" s="333"/>
      <c r="AS1794" s="333"/>
      <c r="AT1794" s="333"/>
      <c r="AU1794" s="329"/>
      <c r="AV1794" s="341"/>
      <c r="AW1794" s="269" t="s">
        <v>2496</v>
      </c>
      <c r="AX1794" s="334" t="s">
        <v>2869</v>
      </c>
      <c r="AY1794" s="270" t="s">
        <v>695</v>
      </c>
      <c r="AZ1794" s="173" t="s">
        <v>5516</v>
      </c>
      <c r="BA1794" s="265">
        <v>10.0</v>
      </c>
      <c r="BB1794" s="174" t="s">
        <v>245</v>
      </c>
      <c r="BC1794" s="341"/>
      <c r="BD1794" s="308"/>
      <c r="BE1794" s="342"/>
      <c r="BF1794" s="274" t="str">
        <f>IFERROR(__xludf.DUMMYFUNCTION("LOWER(Regexreplace(to_text(E1794),""[^A-Za-z0-9]"","""")&amp;""_""&amp;Regexreplace(to_text(F1794),""[^A-Za-z0-9]"",""""))"),"neptronic_evcbseries")</f>
        <v>neptronic_evcbseries</v>
      </c>
      <c r="BG1794" s="275" t="str">
        <f>IFERROR(__xludf.DUMMYFUNCTION("upper(Regexreplace(to_text(E1794),""[^A-Za-z0-9]"","""")&amp;""-""&amp;Regexreplace(to_text(F1794),""[^A-Za-z0-9]"",""""))"),"NEPTRONIC-EVCBSERIES")</f>
        <v>NEPTRONIC-EVCBSERIES</v>
      </c>
    </row>
    <row r="1795" ht="30.0" customHeight="1">
      <c r="A1795" s="173">
        <v>1787.0</v>
      </c>
      <c r="B1795" s="328" t="s">
        <v>670</v>
      </c>
      <c r="C1795" s="257" t="s">
        <v>6793</v>
      </c>
      <c r="D1795" s="173" t="s">
        <v>6793</v>
      </c>
      <c r="E1795" s="174" t="s">
        <v>2861</v>
      </c>
      <c r="F1795" s="173" t="s">
        <v>2862</v>
      </c>
      <c r="G1795" s="328" t="s">
        <v>673</v>
      </c>
      <c r="H1795" s="328" t="s">
        <v>2863</v>
      </c>
      <c r="I1795" s="258" t="s">
        <v>2864</v>
      </c>
      <c r="J1795" s="259" t="s">
        <v>1272</v>
      </c>
      <c r="K1795" s="260"/>
      <c r="L1795" s="359"/>
      <c r="M1795" s="359"/>
      <c r="N1795" s="173" t="s">
        <v>679</v>
      </c>
      <c r="O1795" s="173" t="s">
        <v>225</v>
      </c>
      <c r="P1795" s="262" t="str">
        <f t="shared" si="1"/>
        <v>IN-BLR-ANANTA-VAV-1367_8</v>
      </c>
      <c r="Q1795" s="173" t="s">
        <v>6794</v>
      </c>
      <c r="R1795" s="328" t="str">
        <f>IFS(C1795="","",C1795="n/a","N/A",LEN(C1795),Concatenate("{",char(34),"asset",char(34),":{",char(34),"guid",char(34),":",char(34),Q1795,char(34),",",char(34),"site",char(34),":",char(34),LOWER('2-Building'!$B$4),char(34),",",char(34),"name",char(34),":",char(34),LOWER(C1795),char(34),"}}"))</f>
        <v>{"asset":{"guid":"uuid://4d4804d7-5bda-47fd-bfbc-224999dcd7ec","site":"in-blr-ananta","name":"vav-1367"}}</v>
      </c>
      <c r="S1795" s="360" t="s">
        <v>5516</v>
      </c>
      <c r="T1795" s="330"/>
      <c r="U1795" s="330"/>
      <c r="V1795" s="331"/>
      <c r="W1795" s="332"/>
      <c r="X1795" s="333"/>
      <c r="Y1795" s="33" t="s">
        <v>2867</v>
      </c>
      <c r="Z1795" s="258">
        <v>121367.0</v>
      </c>
      <c r="AA1795" s="334">
        <v>11646.0</v>
      </c>
      <c r="AB1795" s="333"/>
      <c r="AC1795" s="333"/>
      <c r="AD1795" s="329"/>
      <c r="AE1795" s="331"/>
      <c r="AF1795" s="336"/>
      <c r="AG1795" s="337"/>
      <c r="AH1795" s="333"/>
      <c r="AI1795" s="333"/>
      <c r="AJ1795" s="333"/>
      <c r="AK1795" s="333"/>
      <c r="AL1795" s="333"/>
      <c r="AM1795" s="338"/>
      <c r="AN1795" s="333"/>
      <c r="AO1795" s="333"/>
      <c r="AP1795" s="333"/>
      <c r="AQ1795" s="333"/>
      <c r="AR1795" s="333"/>
      <c r="AS1795" s="333"/>
      <c r="AT1795" s="333"/>
      <c r="AU1795" s="329"/>
      <c r="AV1795" s="341"/>
      <c r="AW1795" s="269" t="s">
        <v>2496</v>
      </c>
      <c r="AX1795" s="334" t="s">
        <v>2869</v>
      </c>
      <c r="AY1795" s="270" t="s">
        <v>695</v>
      </c>
      <c r="AZ1795" s="173" t="s">
        <v>5516</v>
      </c>
      <c r="BA1795" s="265">
        <v>10.0</v>
      </c>
      <c r="BB1795" s="174" t="s">
        <v>245</v>
      </c>
      <c r="BC1795" s="341"/>
      <c r="BD1795" s="308"/>
      <c r="BE1795" s="342"/>
      <c r="BF1795" s="274" t="str">
        <f>IFERROR(__xludf.DUMMYFUNCTION("LOWER(Regexreplace(to_text(E1795),""[^A-Za-z0-9]"","""")&amp;""_""&amp;Regexreplace(to_text(F1795),""[^A-Za-z0-9]"",""""))"),"neptronic_evcbseries")</f>
        <v>neptronic_evcbseries</v>
      </c>
      <c r="BG1795" s="275" t="str">
        <f>IFERROR(__xludf.DUMMYFUNCTION("upper(Regexreplace(to_text(E1795),""[^A-Za-z0-9]"","""")&amp;""-""&amp;Regexreplace(to_text(F1795),""[^A-Za-z0-9]"",""""))"),"NEPTRONIC-EVCBSERIES")</f>
        <v>NEPTRONIC-EVCBSERIES</v>
      </c>
    </row>
    <row r="1796" ht="30.0" customHeight="1">
      <c r="A1796" s="258">
        <v>1788.0</v>
      </c>
      <c r="B1796" s="328" t="s">
        <v>670</v>
      </c>
      <c r="C1796" s="257" t="s">
        <v>6795</v>
      </c>
      <c r="D1796" s="173" t="s">
        <v>6795</v>
      </c>
      <c r="E1796" s="174" t="s">
        <v>2861</v>
      </c>
      <c r="F1796" s="173" t="s">
        <v>2862</v>
      </c>
      <c r="G1796" s="328" t="s">
        <v>673</v>
      </c>
      <c r="H1796" s="328" t="s">
        <v>2863</v>
      </c>
      <c r="I1796" s="258" t="s">
        <v>2864</v>
      </c>
      <c r="J1796" s="259" t="s">
        <v>1272</v>
      </c>
      <c r="K1796" s="260"/>
      <c r="L1796" s="359"/>
      <c r="M1796" s="359"/>
      <c r="N1796" s="173" t="s">
        <v>679</v>
      </c>
      <c r="O1796" s="173" t="s">
        <v>225</v>
      </c>
      <c r="P1796" s="262" t="str">
        <f t="shared" si="1"/>
        <v>IN-BLR-ANANTA-VAV-1368_8</v>
      </c>
      <c r="Q1796" s="173" t="s">
        <v>6796</v>
      </c>
      <c r="R1796" s="328" t="str">
        <f>IFS(C1796="","",C1796="n/a","N/A",LEN(C1796),Concatenate("{",char(34),"asset",char(34),":{",char(34),"guid",char(34),":",char(34),Q1796,char(34),",",char(34),"site",char(34),":",char(34),LOWER('2-Building'!$B$4),char(34),",",char(34),"name",char(34),":",char(34),LOWER(C1796),char(34),"}}"))</f>
        <v>{"asset":{"guid":"uuid://d38e245d-cf89-4bdc-a0cf-2dbfa3001bd2","site":"in-blr-ananta","name":"vav-1368"}}</v>
      </c>
      <c r="S1796" s="360" t="s">
        <v>5516</v>
      </c>
      <c r="T1796" s="330"/>
      <c r="U1796" s="330"/>
      <c r="V1796" s="331"/>
      <c r="W1796" s="332"/>
      <c r="X1796" s="333"/>
      <c r="Y1796" s="33" t="s">
        <v>2867</v>
      </c>
      <c r="Z1796" s="258">
        <v>121368.0</v>
      </c>
      <c r="AA1796" s="334">
        <v>11646.0</v>
      </c>
      <c r="AB1796" s="333"/>
      <c r="AC1796" s="333"/>
      <c r="AD1796" s="329"/>
      <c r="AE1796" s="331"/>
      <c r="AF1796" s="336"/>
      <c r="AG1796" s="337"/>
      <c r="AH1796" s="333"/>
      <c r="AI1796" s="333"/>
      <c r="AJ1796" s="333"/>
      <c r="AK1796" s="333"/>
      <c r="AL1796" s="333"/>
      <c r="AM1796" s="338"/>
      <c r="AN1796" s="333"/>
      <c r="AO1796" s="333"/>
      <c r="AP1796" s="333"/>
      <c r="AQ1796" s="333"/>
      <c r="AR1796" s="333"/>
      <c r="AS1796" s="333"/>
      <c r="AT1796" s="333"/>
      <c r="AU1796" s="329"/>
      <c r="AV1796" s="341"/>
      <c r="AW1796" s="269" t="s">
        <v>2496</v>
      </c>
      <c r="AX1796" s="334" t="s">
        <v>2869</v>
      </c>
      <c r="AY1796" s="270" t="s">
        <v>695</v>
      </c>
      <c r="AZ1796" s="173" t="s">
        <v>5516</v>
      </c>
      <c r="BA1796" s="265">
        <v>10.0</v>
      </c>
      <c r="BB1796" s="174" t="s">
        <v>245</v>
      </c>
      <c r="BC1796" s="341"/>
      <c r="BD1796" s="308"/>
      <c r="BE1796" s="342"/>
      <c r="BF1796" s="274" t="str">
        <f>IFERROR(__xludf.DUMMYFUNCTION("LOWER(Regexreplace(to_text(E1796),""[^A-Za-z0-9]"","""")&amp;""_""&amp;Regexreplace(to_text(F1796),""[^A-Za-z0-9]"",""""))"),"neptronic_evcbseries")</f>
        <v>neptronic_evcbseries</v>
      </c>
      <c r="BG1796" s="275" t="str">
        <f>IFERROR(__xludf.DUMMYFUNCTION("upper(Regexreplace(to_text(E1796),""[^A-Za-z0-9]"","""")&amp;""-""&amp;Regexreplace(to_text(F1796),""[^A-Za-z0-9]"",""""))"),"NEPTRONIC-EVCBSERIES")</f>
        <v>NEPTRONIC-EVCBSERIES</v>
      </c>
    </row>
    <row r="1797" ht="30.0" customHeight="1">
      <c r="A1797" s="173">
        <v>1789.0</v>
      </c>
      <c r="B1797" s="328" t="s">
        <v>670</v>
      </c>
      <c r="C1797" s="257" t="s">
        <v>6797</v>
      </c>
      <c r="D1797" s="173" t="s">
        <v>6797</v>
      </c>
      <c r="E1797" s="174" t="s">
        <v>2861</v>
      </c>
      <c r="F1797" s="173" t="s">
        <v>2862</v>
      </c>
      <c r="G1797" s="328" t="s">
        <v>673</v>
      </c>
      <c r="H1797" s="328" t="s">
        <v>2863</v>
      </c>
      <c r="I1797" s="258" t="s">
        <v>2864</v>
      </c>
      <c r="J1797" s="259" t="s">
        <v>1272</v>
      </c>
      <c r="K1797" s="260"/>
      <c r="L1797" s="359"/>
      <c r="M1797" s="359"/>
      <c r="N1797" s="173" t="s">
        <v>679</v>
      </c>
      <c r="O1797" s="173" t="s">
        <v>225</v>
      </c>
      <c r="P1797" s="262" t="str">
        <f t="shared" si="1"/>
        <v>IN-BLR-ANANTA-VAV-1369_8</v>
      </c>
      <c r="Q1797" s="173" t="s">
        <v>6798</v>
      </c>
      <c r="R1797" s="328" t="str">
        <f>IFS(C1797="","",C1797="n/a","N/A",LEN(C1797),Concatenate("{",char(34),"asset",char(34),":{",char(34),"guid",char(34),":",char(34),Q1797,char(34),",",char(34),"site",char(34),":",char(34),LOWER('2-Building'!$B$4),char(34),",",char(34),"name",char(34),":",char(34),LOWER(C1797),char(34),"}}"))</f>
        <v>{"asset":{"guid":"uuid://e8d2e3d4-332a-441a-aae2-c8f80631ffe5","site":"in-blr-ananta","name":"vav-1369"}}</v>
      </c>
      <c r="S1797" s="360" t="s">
        <v>5516</v>
      </c>
      <c r="T1797" s="330"/>
      <c r="U1797" s="330"/>
      <c r="V1797" s="331"/>
      <c r="W1797" s="332"/>
      <c r="X1797" s="333"/>
      <c r="Y1797" s="33" t="s">
        <v>2867</v>
      </c>
      <c r="Z1797" s="258">
        <v>121369.0</v>
      </c>
      <c r="AA1797" s="334">
        <v>11646.0</v>
      </c>
      <c r="AB1797" s="333"/>
      <c r="AC1797" s="333"/>
      <c r="AD1797" s="329"/>
      <c r="AE1797" s="331"/>
      <c r="AF1797" s="336"/>
      <c r="AG1797" s="337"/>
      <c r="AH1797" s="333"/>
      <c r="AI1797" s="333"/>
      <c r="AJ1797" s="333"/>
      <c r="AK1797" s="333"/>
      <c r="AL1797" s="333"/>
      <c r="AM1797" s="338"/>
      <c r="AN1797" s="333"/>
      <c r="AO1797" s="333"/>
      <c r="AP1797" s="333"/>
      <c r="AQ1797" s="333"/>
      <c r="AR1797" s="333"/>
      <c r="AS1797" s="333"/>
      <c r="AT1797" s="333"/>
      <c r="AU1797" s="329"/>
      <c r="AV1797" s="341"/>
      <c r="AW1797" s="269" t="s">
        <v>2496</v>
      </c>
      <c r="AX1797" s="334" t="s">
        <v>2869</v>
      </c>
      <c r="AY1797" s="270" t="s">
        <v>695</v>
      </c>
      <c r="AZ1797" s="173" t="s">
        <v>5516</v>
      </c>
      <c r="BA1797" s="265">
        <v>10.0</v>
      </c>
      <c r="BB1797" s="174" t="s">
        <v>245</v>
      </c>
      <c r="BC1797" s="341"/>
      <c r="BD1797" s="308"/>
      <c r="BE1797" s="342"/>
      <c r="BF1797" s="274" t="str">
        <f>IFERROR(__xludf.DUMMYFUNCTION("LOWER(Regexreplace(to_text(E1797),""[^A-Za-z0-9]"","""")&amp;""_""&amp;Regexreplace(to_text(F1797),""[^A-Za-z0-9]"",""""))"),"neptronic_evcbseries")</f>
        <v>neptronic_evcbseries</v>
      </c>
      <c r="BG1797" s="275" t="str">
        <f>IFERROR(__xludf.DUMMYFUNCTION("upper(Regexreplace(to_text(E1797),""[^A-Za-z0-9]"","""")&amp;""-""&amp;Regexreplace(to_text(F1797),""[^A-Za-z0-9]"",""""))"),"NEPTRONIC-EVCBSERIES")</f>
        <v>NEPTRONIC-EVCBSERIES</v>
      </c>
    </row>
    <row r="1798" ht="30.0" customHeight="1">
      <c r="A1798" s="258">
        <v>1790.0</v>
      </c>
      <c r="B1798" s="328" t="s">
        <v>670</v>
      </c>
      <c r="C1798" s="257" t="s">
        <v>6799</v>
      </c>
      <c r="D1798" s="173" t="s">
        <v>6799</v>
      </c>
      <c r="E1798" s="174" t="s">
        <v>2861</v>
      </c>
      <c r="F1798" s="173" t="s">
        <v>2862</v>
      </c>
      <c r="G1798" s="328" t="s">
        <v>673</v>
      </c>
      <c r="H1798" s="328" t="s">
        <v>2863</v>
      </c>
      <c r="I1798" s="258" t="s">
        <v>2864</v>
      </c>
      <c r="J1798" s="259" t="s">
        <v>1272</v>
      </c>
      <c r="K1798" s="260"/>
      <c r="L1798" s="359"/>
      <c r="M1798" s="359"/>
      <c r="N1798" s="173" t="s">
        <v>679</v>
      </c>
      <c r="O1798" s="173" t="s">
        <v>225</v>
      </c>
      <c r="P1798" s="262" t="str">
        <f t="shared" si="1"/>
        <v>IN-BLR-ANANTA-VAV-1370_8</v>
      </c>
      <c r="Q1798" s="173" t="s">
        <v>6800</v>
      </c>
      <c r="R1798" s="328" t="str">
        <f>IFS(C1798="","",C1798="n/a","N/A",LEN(C1798),Concatenate("{",char(34),"asset",char(34),":{",char(34),"guid",char(34),":",char(34),Q1798,char(34),",",char(34),"site",char(34),":",char(34),LOWER('2-Building'!$B$4),char(34),",",char(34),"name",char(34),":",char(34),LOWER(C1798),char(34),"}}"))</f>
        <v>{"asset":{"guid":"uuid://53dc3260-4e29-41f9-9586-007d763be23d","site":"in-blr-ananta","name":"vav-1370"}}</v>
      </c>
      <c r="S1798" s="360" t="s">
        <v>5516</v>
      </c>
      <c r="T1798" s="330"/>
      <c r="U1798" s="330"/>
      <c r="V1798" s="331"/>
      <c r="W1798" s="332"/>
      <c r="X1798" s="333"/>
      <c r="Y1798" s="33" t="s">
        <v>2867</v>
      </c>
      <c r="Z1798" s="258">
        <v>121370.0</v>
      </c>
      <c r="AA1798" s="334">
        <v>11646.0</v>
      </c>
      <c r="AB1798" s="333"/>
      <c r="AC1798" s="333"/>
      <c r="AD1798" s="329"/>
      <c r="AE1798" s="331"/>
      <c r="AF1798" s="336"/>
      <c r="AG1798" s="337"/>
      <c r="AH1798" s="333"/>
      <c r="AI1798" s="333"/>
      <c r="AJ1798" s="333"/>
      <c r="AK1798" s="333"/>
      <c r="AL1798" s="333"/>
      <c r="AM1798" s="338"/>
      <c r="AN1798" s="333"/>
      <c r="AO1798" s="333"/>
      <c r="AP1798" s="333"/>
      <c r="AQ1798" s="333"/>
      <c r="AR1798" s="333"/>
      <c r="AS1798" s="333"/>
      <c r="AT1798" s="333"/>
      <c r="AU1798" s="329"/>
      <c r="AV1798" s="341"/>
      <c r="AW1798" s="269" t="s">
        <v>2496</v>
      </c>
      <c r="AX1798" s="334" t="s">
        <v>2869</v>
      </c>
      <c r="AY1798" s="270" t="s">
        <v>695</v>
      </c>
      <c r="AZ1798" s="173" t="s">
        <v>5516</v>
      </c>
      <c r="BA1798" s="265">
        <v>10.0</v>
      </c>
      <c r="BB1798" s="174" t="s">
        <v>245</v>
      </c>
      <c r="BC1798" s="341"/>
      <c r="BD1798" s="308"/>
      <c r="BE1798" s="342"/>
      <c r="BF1798" s="274" t="str">
        <f>IFERROR(__xludf.DUMMYFUNCTION("LOWER(Regexreplace(to_text(E1798),""[^A-Za-z0-9]"","""")&amp;""_""&amp;Regexreplace(to_text(F1798),""[^A-Za-z0-9]"",""""))"),"neptronic_evcbseries")</f>
        <v>neptronic_evcbseries</v>
      </c>
      <c r="BG1798" s="275" t="str">
        <f>IFERROR(__xludf.DUMMYFUNCTION("upper(Regexreplace(to_text(E1798),""[^A-Za-z0-9]"","""")&amp;""-""&amp;Regexreplace(to_text(F1798),""[^A-Za-z0-9]"",""""))"),"NEPTRONIC-EVCBSERIES")</f>
        <v>NEPTRONIC-EVCBSERIES</v>
      </c>
    </row>
    <row r="1799" ht="30.0" customHeight="1">
      <c r="A1799" s="173">
        <v>1791.0</v>
      </c>
      <c r="B1799" s="328" t="s">
        <v>670</v>
      </c>
      <c r="C1799" s="257" t="s">
        <v>6801</v>
      </c>
      <c r="D1799" s="173" t="s">
        <v>6801</v>
      </c>
      <c r="E1799" s="174" t="s">
        <v>2861</v>
      </c>
      <c r="F1799" s="173" t="s">
        <v>2862</v>
      </c>
      <c r="G1799" s="328" t="s">
        <v>673</v>
      </c>
      <c r="H1799" s="328" t="s">
        <v>2863</v>
      </c>
      <c r="I1799" s="258" t="s">
        <v>2864</v>
      </c>
      <c r="J1799" s="259" t="s">
        <v>1272</v>
      </c>
      <c r="K1799" s="260"/>
      <c r="L1799" s="359"/>
      <c r="M1799" s="359"/>
      <c r="N1799" s="173" t="s">
        <v>679</v>
      </c>
      <c r="O1799" s="173" t="s">
        <v>225</v>
      </c>
      <c r="P1799" s="262" t="str">
        <f t="shared" si="1"/>
        <v>IN-BLR-ANANTA-VAV-1371_8</v>
      </c>
      <c r="Q1799" s="173" t="s">
        <v>6802</v>
      </c>
      <c r="R1799" s="328" t="str">
        <f>IFS(C1799="","",C1799="n/a","N/A",LEN(C1799),Concatenate("{",char(34),"asset",char(34),":{",char(34),"guid",char(34),":",char(34),Q1799,char(34),",",char(34),"site",char(34),":",char(34),LOWER('2-Building'!$B$4),char(34),",",char(34),"name",char(34),":",char(34),LOWER(C1799),char(34),"}}"))</f>
        <v>{"asset":{"guid":"uuid://e2f4692a-3bae-413e-a14c-2dea049c675a","site":"in-blr-ananta","name":"vav-1371"}}</v>
      </c>
      <c r="S1799" s="360" t="s">
        <v>5516</v>
      </c>
      <c r="T1799" s="330"/>
      <c r="U1799" s="330"/>
      <c r="V1799" s="331"/>
      <c r="W1799" s="332"/>
      <c r="X1799" s="333"/>
      <c r="Y1799" s="33" t="s">
        <v>2867</v>
      </c>
      <c r="Z1799" s="258">
        <v>121371.0</v>
      </c>
      <c r="AA1799" s="334">
        <v>11646.0</v>
      </c>
      <c r="AB1799" s="333"/>
      <c r="AC1799" s="333"/>
      <c r="AD1799" s="329"/>
      <c r="AE1799" s="331"/>
      <c r="AF1799" s="336"/>
      <c r="AG1799" s="337"/>
      <c r="AH1799" s="333"/>
      <c r="AI1799" s="333"/>
      <c r="AJ1799" s="333"/>
      <c r="AK1799" s="333"/>
      <c r="AL1799" s="333"/>
      <c r="AM1799" s="338"/>
      <c r="AN1799" s="333"/>
      <c r="AO1799" s="333"/>
      <c r="AP1799" s="333"/>
      <c r="AQ1799" s="333"/>
      <c r="AR1799" s="333"/>
      <c r="AS1799" s="333"/>
      <c r="AT1799" s="333"/>
      <c r="AU1799" s="329"/>
      <c r="AV1799" s="341"/>
      <c r="AW1799" s="269" t="s">
        <v>2496</v>
      </c>
      <c r="AX1799" s="334" t="s">
        <v>2869</v>
      </c>
      <c r="AY1799" s="270" t="s">
        <v>695</v>
      </c>
      <c r="AZ1799" s="173" t="s">
        <v>5516</v>
      </c>
      <c r="BA1799" s="265">
        <v>10.0</v>
      </c>
      <c r="BB1799" s="174" t="s">
        <v>245</v>
      </c>
      <c r="BC1799" s="341"/>
      <c r="BD1799" s="308"/>
      <c r="BE1799" s="342"/>
      <c r="BF1799" s="274" t="str">
        <f>IFERROR(__xludf.DUMMYFUNCTION("LOWER(Regexreplace(to_text(E1799),""[^A-Za-z0-9]"","""")&amp;""_""&amp;Regexreplace(to_text(F1799),""[^A-Za-z0-9]"",""""))"),"neptronic_evcbseries")</f>
        <v>neptronic_evcbseries</v>
      </c>
      <c r="BG1799" s="275" t="str">
        <f>IFERROR(__xludf.DUMMYFUNCTION("upper(Regexreplace(to_text(E1799),""[^A-Za-z0-9]"","""")&amp;""-""&amp;Regexreplace(to_text(F1799),""[^A-Za-z0-9]"",""""))"),"NEPTRONIC-EVCBSERIES")</f>
        <v>NEPTRONIC-EVCBSERIES</v>
      </c>
    </row>
    <row r="1800" ht="30.0" customHeight="1">
      <c r="A1800" s="258">
        <v>1792.0</v>
      </c>
      <c r="B1800" s="328" t="s">
        <v>670</v>
      </c>
      <c r="C1800" s="257" t="s">
        <v>6803</v>
      </c>
      <c r="D1800" s="173" t="s">
        <v>6803</v>
      </c>
      <c r="E1800" s="174" t="s">
        <v>2861</v>
      </c>
      <c r="F1800" s="173" t="s">
        <v>2862</v>
      </c>
      <c r="G1800" s="328" t="s">
        <v>673</v>
      </c>
      <c r="H1800" s="328" t="s">
        <v>2863</v>
      </c>
      <c r="I1800" s="258" t="s">
        <v>2864</v>
      </c>
      <c r="J1800" s="259" t="s">
        <v>1272</v>
      </c>
      <c r="K1800" s="260"/>
      <c r="L1800" s="359"/>
      <c r="M1800" s="359"/>
      <c r="N1800" s="173" t="s">
        <v>679</v>
      </c>
      <c r="O1800" s="173" t="s">
        <v>225</v>
      </c>
      <c r="P1800" s="262" t="str">
        <f t="shared" si="1"/>
        <v>IN-BLR-ANANTA-VAV-1372_8</v>
      </c>
      <c r="Q1800" s="173" t="s">
        <v>6804</v>
      </c>
      <c r="R1800" s="328" t="str">
        <f>IFS(C1800="","",C1800="n/a","N/A",LEN(C1800),Concatenate("{",char(34),"asset",char(34),":{",char(34),"guid",char(34),":",char(34),Q1800,char(34),",",char(34),"site",char(34),":",char(34),LOWER('2-Building'!$B$4),char(34),",",char(34),"name",char(34),":",char(34),LOWER(C1800),char(34),"}}"))</f>
        <v>{"asset":{"guid":"uuid://9b57c318-6765-433a-8068-ac2ff4724d7c","site":"in-blr-ananta","name":"vav-1372"}}</v>
      </c>
      <c r="S1800" s="360" t="s">
        <v>5516</v>
      </c>
      <c r="T1800" s="330"/>
      <c r="U1800" s="330"/>
      <c r="V1800" s="331"/>
      <c r="W1800" s="332"/>
      <c r="X1800" s="333"/>
      <c r="Y1800" s="33" t="s">
        <v>2867</v>
      </c>
      <c r="Z1800" s="258">
        <v>121372.0</v>
      </c>
      <c r="AA1800" s="334">
        <v>11646.0</v>
      </c>
      <c r="AB1800" s="333"/>
      <c r="AC1800" s="333"/>
      <c r="AD1800" s="329"/>
      <c r="AE1800" s="331"/>
      <c r="AF1800" s="336"/>
      <c r="AG1800" s="337"/>
      <c r="AH1800" s="333"/>
      <c r="AI1800" s="333"/>
      <c r="AJ1800" s="333"/>
      <c r="AK1800" s="333"/>
      <c r="AL1800" s="333"/>
      <c r="AM1800" s="338"/>
      <c r="AN1800" s="333"/>
      <c r="AO1800" s="333"/>
      <c r="AP1800" s="333"/>
      <c r="AQ1800" s="333"/>
      <c r="AR1800" s="333"/>
      <c r="AS1800" s="333"/>
      <c r="AT1800" s="333"/>
      <c r="AU1800" s="329"/>
      <c r="AV1800" s="341"/>
      <c r="AW1800" s="269" t="s">
        <v>2496</v>
      </c>
      <c r="AX1800" s="334" t="s">
        <v>2869</v>
      </c>
      <c r="AY1800" s="270" t="s">
        <v>695</v>
      </c>
      <c r="AZ1800" s="173" t="s">
        <v>5516</v>
      </c>
      <c r="BA1800" s="265">
        <v>10.0</v>
      </c>
      <c r="BB1800" s="174" t="s">
        <v>245</v>
      </c>
      <c r="BC1800" s="341"/>
      <c r="BD1800" s="308"/>
      <c r="BE1800" s="342"/>
      <c r="BF1800" s="274" t="str">
        <f>IFERROR(__xludf.DUMMYFUNCTION("LOWER(Regexreplace(to_text(E1800),""[^A-Za-z0-9]"","""")&amp;""_""&amp;Regexreplace(to_text(F1800),""[^A-Za-z0-9]"",""""))"),"neptronic_evcbseries")</f>
        <v>neptronic_evcbseries</v>
      </c>
      <c r="BG1800" s="275" t="str">
        <f>IFERROR(__xludf.DUMMYFUNCTION("upper(Regexreplace(to_text(E1800),""[^A-Za-z0-9]"","""")&amp;""-""&amp;Regexreplace(to_text(F1800),""[^A-Za-z0-9]"",""""))"),"NEPTRONIC-EVCBSERIES")</f>
        <v>NEPTRONIC-EVCBSERIES</v>
      </c>
    </row>
    <row r="1801" ht="30.0" customHeight="1">
      <c r="A1801" s="173">
        <v>1793.0</v>
      </c>
      <c r="B1801" s="328" t="s">
        <v>670</v>
      </c>
      <c r="C1801" s="257" t="s">
        <v>6805</v>
      </c>
      <c r="D1801" s="173" t="s">
        <v>6805</v>
      </c>
      <c r="E1801" s="174" t="s">
        <v>2861</v>
      </c>
      <c r="F1801" s="173" t="s">
        <v>2862</v>
      </c>
      <c r="G1801" s="328" t="s">
        <v>673</v>
      </c>
      <c r="H1801" s="328" t="s">
        <v>2863</v>
      </c>
      <c r="I1801" s="258" t="s">
        <v>2864</v>
      </c>
      <c r="J1801" s="259" t="s">
        <v>1272</v>
      </c>
      <c r="K1801" s="260"/>
      <c r="L1801" s="359"/>
      <c r="M1801" s="359"/>
      <c r="N1801" s="173" t="s">
        <v>679</v>
      </c>
      <c r="O1801" s="173" t="s">
        <v>225</v>
      </c>
      <c r="P1801" s="262" t="str">
        <f t="shared" si="1"/>
        <v>IN-BLR-ANANTA-VAV-1373_8</v>
      </c>
      <c r="Q1801" s="173" t="s">
        <v>6806</v>
      </c>
      <c r="R1801" s="328" t="str">
        <f>IFS(C1801="","",C1801="n/a","N/A",LEN(C1801),Concatenate("{",char(34),"asset",char(34),":{",char(34),"guid",char(34),":",char(34),Q1801,char(34),",",char(34),"site",char(34),":",char(34),LOWER('2-Building'!$B$4),char(34),",",char(34),"name",char(34),":",char(34),LOWER(C1801),char(34),"}}"))</f>
        <v>{"asset":{"guid":"uuid://4bd24ecb-34b3-49ea-9f20-e74dbcc7ab12","site":"in-blr-ananta","name":"vav-1373"}}</v>
      </c>
      <c r="S1801" s="360" t="s">
        <v>5516</v>
      </c>
      <c r="T1801" s="330"/>
      <c r="U1801" s="330"/>
      <c r="V1801" s="331"/>
      <c r="W1801" s="332"/>
      <c r="X1801" s="333"/>
      <c r="Y1801" s="33" t="s">
        <v>2867</v>
      </c>
      <c r="Z1801" s="258">
        <v>121373.0</v>
      </c>
      <c r="AA1801" s="334">
        <v>11646.0</v>
      </c>
      <c r="AB1801" s="333"/>
      <c r="AC1801" s="333"/>
      <c r="AD1801" s="329"/>
      <c r="AE1801" s="331"/>
      <c r="AF1801" s="336"/>
      <c r="AG1801" s="337"/>
      <c r="AH1801" s="333"/>
      <c r="AI1801" s="333"/>
      <c r="AJ1801" s="333"/>
      <c r="AK1801" s="333"/>
      <c r="AL1801" s="333"/>
      <c r="AM1801" s="338"/>
      <c r="AN1801" s="333"/>
      <c r="AO1801" s="333"/>
      <c r="AP1801" s="333"/>
      <c r="AQ1801" s="333"/>
      <c r="AR1801" s="333"/>
      <c r="AS1801" s="333"/>
      <c r="AT1801" s="333"/>
      <c r="AU1801" s="329"/>
      <c r="AV1801" s="341"/>
      <c r="AW1801" s="269" t="s">
        <v>2496</v>
      </c>
      <c r="AX1801" s="334" t="s">
        <v>2869</v>
      </c>
      <c r="AY1801" s="270" t="s">
        <v>695</v>
      </c>
      <c r="AZ1801" s="173" t="s">
        <v>5516</v>
      </c>
      <c r="BA1801" s="265">
        <v>10.0</v>
      </c>
      <c r="BB1801" s="174" t="s">
        <v>245</v>
      </c>
      <c r="BC1801" s="341"/>
      <c r="BD1801" s="308"/>
      <c r="BE1801" s="342"/>
      <c r="BF1801" s="274" t="str">
        <f>IFERROR(__xludf.DUMMYFUNCTION("LOWER(Regexreplace(to_text(E1801),""[^A-Za-z0-9]"","""")&amp;""_""&amp;Regexreplace(to_text(F1801),""[^A-Za-z0-9]"",""""))"),"neptronic_evcbseries")</f>
        <v>neptronic_evcbseries</v>
      </c>
      <c r="BG1801" s="275" t="str">
        <f>IFERROR(__xludf.DUMMYFUNCTION("upper(Regexreplace(to_text(E1801),""[^A-Za-z0-9]"","""")&amp;""-""&amp;Regexreplace(to_text(F1801),""[^A-Za-z0-9]"",""""))"),"NEPTRONIC-EVCBSERIES")</f>
        <v>NEPTRONIC-EVCBSERIES</v>
      </c>
    </row>
    <row r="1802" ht="30.0" customHeight="1">
      <c r="A1802" s="258">
        <v>1794.0</v>
      </c>
      <c r="B1802" s="328" t="s">
        <v>670</v>
      </c>
      <c r="C1802" s="257" t="s">
        <v>6807</v>
      </c>
      <c r="D1802" s="173" t="s">
        <v>6807</v>
      </c>
      <c r="E1802" s="174" t="s">
        <v>2861</v>
      </c>
      <c r="F1802" s="173" t="s">
        <v>2862</v>
      </c>
      <c r="G1802" s="328" t="s">
        <v>673</v>
      </c>
      <c r="H1802" s="328" t="s">
        <v>2863</v>
      </c>
      <c r="I1802" s="258" t="s">
        <v>2864</v>
      </c>
      <c r="J1802" s="259" t="s">
        <v>1272</v>
      </c>
      <c r="K1802" s="260"/>
      <c r="L1802" s="359"/>
      <c r="M1802" s="359"/>
      <c r="N1802" s="173" t="s">
        <v>679</v>
      </c>
      <c r="O1802" s="173" t="s">
        <v>225</v>
      </c>
      <c r="P1802" s="262" t="str">
        <f t="shared" si="1"/>
        <v>IN-BLR-ANANTA-VAV-1374_8</v>
      </c>
      <c r="Q1802" s="173" t="s">
        <v>6808</v>
      </c>
      <c r="R1802" s="328" t="str">
        <f>IFS(C1802="","",C1802="n/a","N/A",LEN(C1802),Concatenate("{",char(34),"asset",char(34),":{",char(34),"guid",char(34),":",char(34),Q1802,char(34),",",char(34),"site",char(34),":",char(34),LOWER('2-Building'!$B$4),char(34),",",char(34),"name",char(34),":",char(34),LOWER(C1802),char(34),"}}"))</f>
        <v>{"asset":{"guid":"uuid://fe4e81a5-2970-483f-8f17-58b2b8f69090","site":"in-blr-ananta","name":"vav-1374"}}</v>
      </c>
      <c r="S1802" s="360" t="s">
        <v>5516</v>
      </c>
      <c r="T1802" s="330"/>
      <c r="U1802" s="330"/>
      <c r="V1802" s="331"/>
      <c r="W1802" s="332"/>
      <c r="X1802" s="333"/>
      <c r="Y1802" s="33" t="s">
        <v>2867</v>
      </c>
      <c r="Z1802" s="258">
        <v>121374.0</v>
      </c>
      <c r="AA1802" s="334">
        <v>11646.0</v>
      </c>
      <c r="AB1802" s="333"/>
      <c r="AC1802" s="333"/>
      <c r="AD1802" s="329"/>
      <c r="AE1802" s="331"/>
      <c r="AF1802" s="336"/>
      <c r="AG1802" s="337"/>
      <c r="AH1802" s="333"/>
      <c r="AI1802" s="333"/>
      <c r="AJ1802" s="333"/>
      <c r="AK1802" s="333"/>
      <c r="AL1802" s="333"/>
      <c r="AM1802" s="338"/>
      <c r="AN1802" s="333"/>
      <c r="AO1802" s="333"/>
      <c r="AP1802" s="333"/>
      <c r="AQ1802" s="333"/>
      <c r="AR1802" s="333"/>
      <c r="AS1802" s="333"/>
      <c r="AT1802" s="333"/>
      <c r="AU1802" s="329"/>
      <c r="AV1802" s="341"/>
      <c r="AW1802" s="269" t="s">
        <v>2496</v>
      </c>
      <c r="AX1802" s="334" t="s">
        <v>2869</v>
      </c>
      <c r="AY1802" s="270" t="s">
        <v>695</v>
      </c>
      <c r="AZ1802" s="173" t="s">
        <v>5516</v>
      </c>
      <c r="BA1802" s="265">
        <v>10.0</v>
      </c>
      <c r="BB1802" s="174" t="s">
        <v>245</v>
      </c>
      <c r="BC1802" s="341"/>
      <c r="BD1802" s="308"/>
      <c r="BE1802" s="342"/>
      <c r="BF1802" s="274" t="str">
        <f>IFERROR(__xludf.DUMMYFUNCTION("LOWER(Regexreplace(to_text(E1802),""[^A-Za-z0-9]"","""")&amp;""_""&amp;Regexreplace(to_text(F1802),""[^A-Za-z0-9]"",""""))"),"neptronic_evcbseries")</f>
        <v>neptronic_evcbseries</v>
      </c>
      <c r="BG1802" s="275" t="str">
        <f>IFERROR(__xludf.DUMMYFUNCTION("upper(Regexreplace(to_text(E1802),""[^A-Za-z0-9]"","""")&amp;""-""&amp;Regexreplace(to_text(F1802),""[^A-Za-z0-9]"",""""))"),"NEPTRONIC-EVCBSERIES")</f>
        <v>NEPTRONIC-EVCBSERIES</v>
      </c>
    </row>
    <row r="1803" ht="30.0" customHeight="1">
      <c r="A1803" s="173">
        <v>1795.0</v>
      </c>
      <c r="B1803" s="328" t="s">
        <v>670</v>
      </c>
      <c r="C1803" s="257" t="s">
        <v>6809</v>
      </c>
      <c r="D1803" s="173" t="s">
        <v>6809</v>
      </c>
      <c r="E1803" s="174" t="s">
        <v>2861</v>
      </c>
      <c r="F1803" s="173" t="s">
        <v>2862</v>
      </c>
      <c r="G1803" s="328" t="s">
        <v>673</v>
      </c>
      <c r="H1803" s="328" t="s">
        <v>2863</v>
      </c>
      <c r="I1803" s="258" t="s">
        <v>2864</v>
      </c>
      <c r="J1803" s="259" t="s">
        <v>1272</v>
      </c>
      <c r="K1803" s="260"/>
      <c r="L1803" s="359"/>
      <c r="M1803" s="359"/>
      <c r="N1803" s="173" t="s">
        <v>679</v>
      </c>
      <c r="O1803" s="173" t="s">
        <v>225</v>
      </c>
      <c r="P1803" s="262" t="str">
        <f t="shared" si="1"/>
        <v>IN-BLR-ANANTA-VAV-1375_8</v>
      </c>
      <c r="Q1803" s="173" t="s">
        <v>6810</v>
      </c>
      <c r="R1803" s="328" t="str">
        <f>IFS(C1803="","",C1803="n/a","N/A",LEN(C1803),Concatenate("{",char(34),"asset",char(34),":{",char(34),"guid",char(34),":",char(34),Q1803,char(34),",",char(34),"site",char(34),":",char(34),LOWER('2-Building'!$B$4),char(34),",",char(34),"name",char(34),":",char(34),LOWER(C1803),char(34),"}}"))</f>
        <v>{"asset":{"guid":"uuid://25170859-1c5e-42ab-b0a3-a43ee06831fd","site":"in-blr-ananta","name":"vav-1375"}}</v>
      </c>
      <c r="S1803" s="360" t="s">
        <v>5516</v>
      </c>
      <c r="T1803" s="330"/>
      <c r="U1803" s="330"/>
      <c r="V1803" s="331"/>
      <c r="W1803" s="332"/>
      <c r="X1803" s="333"/>
      <c r="Y1803" s="33" t="s">
        <v>2867</v>
      </c>
      <c r="Z1803" s="258">
        <v>121375.0</v>
      </c>
      <c r="AA1803" s="334">
        <v>11646.0</v>
      </c>
      <c r="AB1803" s="333"/>
      <c r="AC1803" s="333"/>
      <c r="AD1803" s="329"/>
      <c r="AE1803" s="331"/>
      <c r="AF1803" s="336"/>
      <c r="AG1803" s="337"/>
      <c r="AH1803" s="333"/>
      <c r="AI1803" s="333"/>
      <c r="AJ1803" s="333"/>
      <c r="AK1803" s="333"/>
      <c r="AL1803" s="333"/>
      <c r="AM1803" s="338"/>
      <c r="AN1803" s="333"/>
      <c r="AO1803" s="333"/>
      <c r="AP1803" s="333"/>
      <c r="AQ1803" s="333"/>
      <c r="AR1803" s="333"/>
      <c r="AS1803" s="333"/>
      <c r="AT1803" s="333"/>
      <c r="AU1803" s="329"/>
      <c r="AV1803" s="341"/>
      <c r="AW1803" s="269" t="s">
        <v>2496</v>
      </c>
      <c r="AX1803" s="334" t="s">
        <v>2869</v>
      </c>
      <c r="AY1803" s="270" t="s">
        <v>695</v>
      </c>
      <c r="AZ1803" s="173" t="s">
        <v>5516</v>
      </c>
      <c r="BA1803" s="265">
        <v>10.0</v>
      </c>
      <c r="BB1803" s="174" t="s">
        <v>245</v>
      </c>
      <c r="BC1803" s="341"/>
      <c r="BD1803" s="308"/>
      <c r="BE1803" s="342"/>
      <c r="BF1803" s="274" t="str">
        <f>IFERROR(__xludf.DUMMYFUNCTION("LOWER(Regexreplace(to_text(E1803),""[^A-Za-z0-9]"","""")&amp;""_""&amp;Regexreplace(to_text(F1803),""[^A-Za-z0-9]"",""""))"),"neptronic_evcbseries")</f>
        <v>neptronic_evcbseries</v>
      </c>
      <c r="BG1803" s="275" t="str">
        <f>IFERROR(__xludf.DUMMYFUNCTION("upper(Regexreplace(to_text(E1803),""[^A-Za-z0-9]"","""")&amp;""-""&amp;Regexreplace(to_text(F1803),""[^A-Za-z0-9]"",""""))"),"NEPTRONIC-EVCBSERIES")</f>
        <v>NEPTRONIC-EVCBSERIES</v>
      </c>
    </row>
    <row r="1804" ht="30.0" customHeight="1">
      <c r="A1804" s="258">
        <v>1796.0</v>
      </c>
      <c r="B1804" s="328" t="s">
        <v>670</v>
      </c>
      <c r="C1804" s="257" t="s">
        <v>6811</v>
      </c>
      <c r="D1804" s="173" t="s">
        <v>6811</v>
      </c>
      <c r="E1804" s="174" t="s">
        <v>2861</v>
      </c>
      <c r="F1804" s="173" t="s">
        <v>2862</v>
      </c>
      <c r="G1804" s="328" t="s">
        <v>673</v>
      </c>
      <c r="H1804" s="328" t="s">
        <v>2863</v>
      </c>
      <c r="I1804" s="258" t="s">
        <v>2864</v>
      </c>
      <c r="J1804" s="259" t="s">
        <v>1272</v>
      </c>
      <c r="K1804" s="260"/>
      <c r="L1804" s="359"/>
      <c r="M1804" s="359"/>
      <c r="N1804" s="173" t="s">
        <v>679</v>
      </c>
      <c r="O1804" s="173" t="s">
        <v>225</v>
      </c>
      <c r="P1804" s="262" t="str">
        <f t="shared" si="1"/>
        <v>IN-BLR-ANANTA-VAV-1376_8</v>
      </c>
      <c r="Q1804" s="173" t="s">
        <v>6812</v>
      </c>
      <c r="R1804" s="328" t="str">
        <f>IFS(C1804="","",C1804="n/a","N/A",LEN(C1804),Concatenate("{",char(34),"asset",char(34),":{",char(34),"guid",char(34),":",char(34),Q1804,char(34),",",char(34),"site",char(34),":",char(34),LOWER('2-Building'!$B$4),char(34),",",char(34),"name",char(34),":",char(34),LOWER(C1804),char(34),"}}"))</f>
        <v>{"asset":{"guid":"uuid://ae507039-0708-4cf9-b2c2-20833661f6de","site":"in-blr-ananta","name":"vav-1376"}}</v>
      </c>
      <c r="S1804" s="360" t="s">
        <v>5516</v>
      </c>
      <c r="T1804" s="330"/>
      <c r="U1804" s="330"/>
      <c r="V1804" s="331"/>
      <c r="W1804" s="332"/>
      <c r="X1804" s="333"/>
      <c r="Y1804" s="33" t="s">
        <v>2867</v>
      </c>
      <c r="Z1804" s="258">
        <v>121376.0</v>
      </c>
      <c r="AA1804" s="334">
        <v>11646.0</v>
      </c>
      <c r="AB1804" s="333"/>
      <c r="AC1804" s="333"/>
      <c r="AD1804" s="329"/>
      <c r="AE1804" s="331"/>
      <c r="AF1804" s="336"/>
      <c r="AG1804" s="337"/>
      <c r="AH1804" s="333"/>
      <c r="AI1804" s="333"/>
      <c r="AJ1804" s="333"/>
      <c r="AK1804" s="333"/>
      <c r="AL1804" s="333"/>
      <c r="AM1804" s="338"/>
      <c r="AN1804" s="333"/>
      <c r="AO1804" s="333"/>
      <c r="AP1804" s="333"/>
      <c r="AQ1804" s="333"/>
      <c r="AR1804" s="333"/>
      <c r="AS1804" s="333"/>
      <c r="AT1804" s="333"/>
      <c r="AU1804" s="329"/>
      <c r="AV1804" s="341"/>
      <c r="AW1804" s="269" t="s">
        <v>2496</v>
      </c>
      <c r="AX1804" s="334" t="s">
        <v>2869</v>
      </c>
      <c r="AY1804" s="270" t="s">
        <v>695</v>
      </c>
      <c r="AZ1804" s="173" t="s">
        <v>5516</v>
      </c>
      <c r="BA1804" s="265">
        <v>10.0</v>
      </c>
      <c r="BB1804" s="174" t="s">
        <v>245</v>
      </c>
      <c r="BC1804" s="341"/>
      <c r="BD1804" s="308"/>
      <c r="BE1804" s="342"/>
      <c r="BF1804" s="274" t="str">
        <f>IFERROR(__xludf.DUMMYFUNCTION("LOWER(Regexreplace(to_text(E1804),""[^A-Za-z0-9]"","""")&amp;""_""&amp;Regexreplace(to_text(F1804),""[^A-Za-z0-9]"",""""))"),"neptronic_evcbseries")</f>
        <v>neptronic_evcbseries</v>
      </c>
      <c r="BG1804" s="275" t="str">
        <f>IFERROR(__xludf.DUMMYFUNCTION("upper(Regexreplace(to_text(E1804),""[^A-Za-z0-9]"","""")&amp;""-""&amp;Regexreplace(to_text(F1804),""[^A-Za-z0-9]"",""""))"),"NEPTRONIC-EVCBSERIES")</f>
        <v>NEPTRONIC-EVCBSERIES</v>
      </c>
    </row>
    <row r="1805" ht="30.0" customHeight="1">
      <c r="A1805" s="173">
        <v>1797.0</v>
      </c>
      <c r="B1805" s="328" t="s">
        <v>670</v>
      </c>
      <c r="C1805" s="257" t="s">
        <v>6813</v>
      </c>
      <c r="D1805" s="173" t="s">
        <v>6813</v>
      </c>
      <c r="E1805" s="174" t="s">
        <v>2861</v>
      </c>
      <c r="F1805" s="173" t="s">
        <v>2862</v>
      </c>
      <c r="G1805" s="328" t="s">
        <v>673</v>
      </c>
      <c r="H1805" s="328" t="s">
        <v>2863</v>
      </c>
      <c r="I1805" s="258" t="s">
        <v>2864</v>
      </c>
      <c r="J1805" s="259" t="s">
        <v>1272</v>
      </c>
      <c r="K1805" s="260"/>
      <c r="L1805" s="359"/>
      <c r="M1805" s="359"/>
      <c r="N1805" s="173" t="s">
        <v>679</v>
      </c>
      <c r="O1805" s="173" t="s">
        <v>225</v>
      </c>
      <c r="P1805" s="262" t="str">
        <f t="shared" si="1"/>
        <v>IN-BLR-ANANTA-VAV-1377_8</v>
      </c>
      <c r="Q1805" s="173" t="s">
        <v>6814</v>
      </c>
      <c r="R1805" s="328" t="str">
        <f>IFS(C1805="","",C1805="n/a","N/A",LEN(C1805),Concatenate("{",char(34),"asset",char(34),":{",char(34),"guid",char(34),":",char(34),Q1805,char(34),",",char(34),"site",char(34),":",char(34),LOWER('2-Building'!$B$4),char(34),",",char(34),"name",char(34),":",char(34),LOWER(C1805),char(34),"}}"))</f>
        <v>{"asset":{"guid":"uuid://92766c92-44b4-4802-aca8-ee6378eae0a7","site":"in-blr-ananta","name":"vav-1377"}}</v>
      </c>
      <c r="S1805" s="360" t="s">
        <v>5516</v>
      </c>
      <c r="T1805" s="330"/>
      <c r="U1805" s="330"/>
      <c r="V1805" s="331"/>
      <c r="W1805" s="332"/>
      <c r="X1805" s="333"/>
      <c r="Y1805" s="33" t="s">
        <v>2867</v>
      </c>
      <c r="Z1805" s="258">
        <v>121377.0</v>
      </c>
      <c r="AA1805" s="334">
        <v>11646.0</v>
      </c>
      <c r="AB1805" s="333"/>
      <c r="AC1805" s="333"/>
      <c r="AD1805" s="329"/>
      <c r="AE1805" s="331"/>
      <c r="AF1805" s="336"/>
      <c r="AG1805" s="337"/>
      <c r="AH1805" s="333"/>
      <c r="AI1805" s="333"/>
      <c r="AJ1805" s="333"/>
      <c r="AK1805" s="333"/>
      <c r="AL1805" s="333"/>
      <c r="AM1805" s="338"/>
      <c r="AN1805" s="333"/>
      <c r="AO1805" s="333"/>
      <c r="AP1805" s="333"/>
      <c r="AQ1805" s="333"/>
      <c r="AR1805" s="333"/>
      <c r="AS1805" s="333"/>
      <c r="AT1805" s="333"/>
      <c r="AU1805" s="329"/>
      <c r="AV1805" s="341"/>
      <c r="AW1805" s="269" t="s">
        <v>2496</v>
      </c>
      <c r="AX1805" s="334" t="s">
        <v>2869</v>
      </c>
      <c r="AY1805" s="270" t="s">
        <v>695</v>
      </c>
      <c r="AZ1805" s="173" t="s">
        <v>5516</v>
      </c>
      <c r="BA1805" s="265">
        <v>10.0</v>
      </c>
      <c r="BB1805" s="174" t="s">
        <v>245</v>
      </c>
      <c r="BC1805" s="341"/>
      <c r="BD1805" s="308"/>
      <c r="BE1805" s="342"/>
      <c r="BF1805" s="274" t="str">
        <f>IFERROR(__xludf.DUMMYFUNCTION("LOWER(Regexreplace(to_text(E1805),""[^A-Za-z0-9]"","""")&amp;""_""&amp;Regexreplace(to_text(F1805),""[^A-Za-z0-9]"",""""))"),"neptronic_evcbseries")</f>
        <v>neptronic_evcbseries</v>
      </c>
      <c r="BG1805" s="275" t="str">
        <f>IFERROR(__xludf.DUMMYFUNCTION("upper(Regexreplace(to_text(E1805),""[^A-Za-z0-9]"","""")&amp;""-""&amp;Regexreplace(to_text(F1805),""[^A-Za-z0-9]"",""""))"),"NEPTRONIC-EVCBSERIES")</f>
        <v>NEPTRONIC-EVCBSERIES</v>
      </c>
    </row>
    <row r="1806" ht="30.0" customHeight="1">
      <c r="A1806" s="258">
        <v>1798.0</v>
      </c>
      <c r="B1806" s="328" t="s">
        <v>670</v>
      </c>
      <c r="C1806" s="257" t="s">
        <v>6815</v>
      </c>
      <c r="D1806" s="173" t="s">
        <v>6815</v>
      </c>
      <c r="E1806" s="174" t="s">
        <v>2861</v>
      </c>
      <c r="F1806" s="173" t="s">
        <v>2862</v>
      </c>
      <c r="G1806" s="328" t="s">
        <v>673</v>
      </c>
      <c r="H1806" s="328" t="s">
        <v>2863</v>
      </c>
      <c r="I1806" s="258" t="s">
        <v>2864</v>
      </c>
      <c r="J1806" s="259" t="s">
        <v>1272</v>
      </c>
      <c r="K1806" s="260"/>
      <c r="L1806" s="359"/>
      <c r="M1806" s="359"/>
      <c r="N1806" s="173" t="s">
        <v>679</v>
      </c>
      <c r="O1806" s="173" t="s">
        <v>225</v>
      </c>
      <c r="P1806" s="262" t="str">
        <f t="shared" si="1"/>
        <v>IN-BLR-ANANTA-VAV-1378_8</v>
      </c>
      <c r="Q1806" s="173" t="s">
        <v>6816</v>
      </c>
      <c r="R1806" s="328" t="str">
        <f>IFS(C1806="","",C1806="n/a","N/A",LEN(C1806),Concatenate("{",char(34),"asset",char(34),":{",char(34),"guid",char(34),":",char(34),Q1806,char(34),",",char(34),"site",char(34),":",char(34),LOWER('2-Building'!$B$4),char(34),",",char(34),"name",char(34),":",char(34),LOWER(C1806),char(34),"}}"))</f>
        <v>{"asset":{"guid":"uuid://c10bb0ec-53ed-42c0-9d4a-c938d74f5cef","site":"in-blr-ananta","name":"vav-1378"}}</v>
      </c>
      <c r="S1806" s="360" t="s">
        <v>5516</v>
      </c>
      <c r="T1806" s="330"/>
      <c r="U1806" s="330"/>
      <c r="V1806" s="331"/>
      <c r="W1806" s="332"/>
      <c r="X1806" s="333"/>
      <c r="Y1806" s="33" t="s">
        <v>2867</v>
      </c>
      <c r="Z1806" s="258">
        <v>121378.0</v>
      </c>
      <c r="AA1806" s="334">
        <v>11646.0</v>
      </c>
      <c r="AB1806" s="333"/>
      <c r="AC1806" s="333"/>
      <c r="AD1806" s="329"/>
      <c r="AE1806" s="331"/>
      <c r="AF1806" s="336"/>
      <c r="AG1806" s="337"/>
      <c r="AH1806" s="333"/>
      <c r="AI1806" s="333"/>
      <c r="AJ1806" s="333"/>
      <c r="AK1806" s="333"/>
      <c r="AL1806" s="333"/>
      <c r="AM1806" s="338"/>
      <c r="AN1806" s="333"/>
      <c r="AO1806" s="333"/>
      <c r="AP1806" s="333"/>
      <c r="AQ1806" s="333"/>
      <c r="AR1806" s="333"/>
      <c r="AS1806" s="333"/>
      <c r="AT1806" s="333"/>
      <c r="AU1806" s="329"/>
      <c r="AV1806" s="341"/>
      <c r="AW1806" s="269" t="s">
        <v>2496</v>
      </c>
      <c r="AX1806" s="334" t="s">
        <v>2869</v>
      </c>
      <c r="AY1806" s="270" t="s">
        <v>695</v>
      </c>
      <c r="AZ1806" s="173" t="s">
        <v>5516</v>
      </c>
      <c r="BA1806" s="265">
        <v>10.0</v>
      </c>
      <c r="BB1806" s="174" t="s">
        <v>245</v>
      </c>
      <c r="BC1806" s="341"/>
      <c r="BD1806" s="308"/>
      <c r="BE1806" s="342"/>
      <c r="BF1806" s="274" t="str">
        <f>IFERROR(__xludf.DUMMYFUNCTION("LOWER(Regexreplace(to_text(E1806),""[^A-Za-z0-9]"","""")&amp;""_""&amp;Regexreplace(to_text(F1806),""[^A-Za-z0-9]"",""""))"),"neptronic_evcbseries")</f>
        <v>neptronic_evcbseries</v>
      </c>
      <c r="BG1806" s="275" t="str">
        <f>IFERROR(__xludf.DUMMYFUNCTION("upper(Regexreplace(to_text(E1806),""[^A-Za-z0-9]"","""")&amp;""-""&amp;Regexreplace(to_text(F1806),""[^A-Za-z0-9]"",""""))"),"NEPTRONIC-EVCBSERIES")</f>
        <v>NEPTRONIC-EVCBSERIES</v>
      </c>
    </row>
    <row r="1807" ht="30.0" customHeight="1">
      <c r="A1807" s="173">
        <v>1799.0</v>
      </c>
      <c r="B1807" s="328" t="s">
        <v>670</v>
      </c>
      <c r="C1807" s="257" t="s">
        <v>6817</v>
      </c>
      <c r="D1807" s="173" t="s">
        <v>6817</v>
      </c>
      <c r="E1807" s="174" t="s">
        <v>2861</v>
      </c>
      <c r="F1807" s="173" t="s">
        <v>2862</v>
      </c>
      <c r="G1807" s="328" t="s">
        <v>673</v>
      </c>
      <c r="H1807" s="328" t="s">
        <v>2863</v>
      </c>
      <c r="I1807" s="258" t="s">
        <v>2864</v>
      </c>
      <c r="J1807" s="259" t="s">
        <v>1272</v>
      </c>
      <c r="K1807" s="260"/>
      <c r="L1807" s="359"/>
      <c r="M1807" s="359"/>
      <c r="N1807" s="173" t="s">
        <v>679</v>
      </c>
      <c r="O1807" s="173" t="s">
        <v>225</v>
      </c>
      <c r="P1807" s="262" t="str">
        <f t="shared" si="1"/>
        <v>IN-BLR-ANANTA-VAV-1379_8</v>
      </c>
      <c r="Q1807" s="173" t="s">
        <v>6818</v>
      </c>
      <c r="R1807" s="328" t="str">
        <f>IFS(C1807="","",C1807="n/a","N/A",LEN(C1807),Concatenate("{",char(34),"asset",char(34),":{",char(34),"guid",char(34),":",char(34),Q1807,char(34),",",char(34),"site",char(34),":",char(34),LOWER('2-Building'!$B$4),char(34),",",char(34),"name",char(34),":",char(34),LOWER(C1807),char(34),"}}"))</f>
        <v>{"asset":{"guid":"uuid://790811b5-4c9a-4410-85ec-7c52b7ec23ee","site":"in-blr-ananta","name":"vav-1379"}}</v>
      </c>
      <c r="S1807" s="360" t="s">
        <v>5516</v>
      </c>
      <c r="T1807" s="330"/>
      <c r="U1807" s="330"/>
      <c r="V1807" s="331"/>
      <c r="W1807" s="332"/>
      <c r="X1807" s="333"/>
      <c r="Y1807" s="33" t="s">
        <v>2867</v>
      </c>
      <c r="Z1807" s="258">
        <v>121379.0</v>
      </c>
      <c r="AA1807" s="334">
        <v>11646.0</v>
      </c>
      <c r="AB1807" s="333"/>
      <c r="AC1807" s="333"/>
      <c r="AD1807" s="329"/>
      <c r="AE1807" s="331"/>
      <c r="AF1807" s="336"/>
      <c r="AG1807" s="337"/>
      <c r="AH1807" s="333"/>
      <c r="AI1807" s="333"/>
      <c r="AJ1807" s="333"/>
      <c r="AK1807" s="333"/>
      <c r="AL1807" s="333"/>
      <c r="AM1807" s="338"/>
      <c r="AN1807" s="333"/>
      <c r="AO1807" s="333"/>
      <c r="AP1807" s="333"/>
      <c r="AQ1807" s="333"/>
      <c r="AR1807" s="333"/>
      <c r="AS1807" s="333"/>
      <c r="AT1807" s="333"/>
      <c r="AU1807" s="329"/>
      <c r="AV1807" s="341"/>
      <c r="AW1807" s="269" t="s">
        <v>2496</v>
      </c>
      <c r="AX1807" s="334" t="s">
        <v>2869</v>
      </c>
      <c r="AY1807" s="270" t="s">
        <v>695</v>
      </c>
      <c r="AZ1807" s="173" t="s">
        <v>5516</v>
      </c>
      <c r="BA1807" s="265">
        <v>10.0</v>
      </c>
      <c r="BB1807" s="174" t="s">
        <v>245</v>
      </c>
      <c r="BC1807" s="341"/>
      <c r="BD1807" s="308"/>
      <c r="BE1807" s="342"/>
      <c r="BF1807" s="274" t="str">
        <f>IFERROR(__xludf.DUMMYFUNCTION("LOWER(Regexreplace(to_text(E1807),""[^A-Za-z0-9]"","""")&amp;""_""&amp;Regexreplace(to_text(F1807),""[^A-Za-z0-9]"",""""))"),"neptronic_evcbseries")</f>
        <v>neptronic_evcbseries</v>
      </c>
      <c r="BG1807" s="275" t="str">
        <f>IFERROR(__xludf.DUMMYFUNCTION("upper(Regexreplace(to_text(E1807),""[^A-Za-z0-9]"","""")&amp;""-""&amp;Regexreplace(to_text(F1807),""[^A-Za-z0-9]"",""""))"),"NEPTRONIC-EVCBSERIES")</f>
        <v>NEPTRONIC-EVCBSERIES</v>
      </c>
    </row>
    <row r="1808" ht="30.0" customHeight="1">
      <c r="A1808" s="258">
        <v>1800.0</v>
      </c>
      <c r="B1808" s="328" t="s">
        <v>670</v>
      </c>
      <c r="C1808" s="257" t="s">
        <v>6819</v>
      </c>
      <c r="D1808" s="173" t="s">
        <v>6819</v>
      </c>
      <c r="E1808" s="174" t="s">
        <v>2861</v>
      </c>
      <c r="F1808" s="173" t="s">
        <v>2862</v>
      </c>
      <c r="G1808" s="328" t="s">
        <v>673</v>
      </c>
      <c r="H1808" s="328" t="s">
        <v>2863</v>
      </c>
      <c r="I1808" s="258" t="s">
        <v>2864</v>
      </c>
      <c r="J1808" s="259" t="s">
        <v>1272</v>
      </c>
      <c r="K1808" s="260"/>
      <c r="L1808" s="359"/>
      <c r="M1808" s="359"/>
      <c r="N1808" s="173" t="s">
        <v>679</v>
      </c>
      <c r="O1808" s="173" t="s">
        <v>225</v>
      </c>
      <c r="P1808" s="262" t="str">
        <f t="shared" si="1"/>
        <v>IN-BLR-ANANTA-VAV-1380_8</v>
      </c>
      <c r="Q1808" s="173" t="s">
        <v>6820</v>
      </c>
      <c r="R1808" s="328" t="str">
        <f>IFS(C1808="","",C1808="n/a","N/A",LEN(C1808),Concatenate("{",char(34),"asset",char(34),":{",char(34),"guid",char(34),":",char(34),Q1808,char(34),",",char(34),"site",char(34),":",char(34),LOWER('2-Building'!$B$4),char(34),",",char(34),"name",char(34),":",char(34),LOWER(C1808),char(34),"}}"))</f>
        <v>{"asset":{"guid":"uuid://3b203234-380b-416c-881e-78417d7d00fe","site":"in-blr-ananta","name":"vav-1380"}}</v>
      </c>
      <c r="S1808" s="360" t="s">
        <v>5516</v>
      </c>
      <c r="T1808" s="330"/>
      <c r="U1808" s="330"/>
      <c r="V1808" s="331"/>
      <c r="W1808" s="332"/>
      <c r="X1808" s="333"/>
      <c r="Y1808" s="33" t="s">
        <v>2867</v>
      </c>
      <c r="Z1808" s="258">
        <v>121380.0</v>
      </c>
      <c r="AA1808" s="334">
        <v>11646.0</v>
      </c>
      <c r="AB1808" s="333"/>
      <c r="AC1808" s="333"/>
      <c r="AD1808" s="329"/>
      <c r="AE1808" s="331"/>
      <c r="AF1808" s="336"/>
      <c r="AG1808" s="337"/>
      <c r="AH1808" s="333"/>
      <c r="AI1808" s="333"/>
      <c r="AJ1808" s="333"/>
      <c r="AK1808" s="333"/>
      <c r="AL1808" s="333"/>
      <c r="AM1808" s="338"/>
      <c r="AN1808" s="333"/>
      <c r="AO1808" s="333"/>
      <c r="AP1808" s="333"/>
      <c r="AQ1808" s="333"/>
      <c r="AR1808" s="333"/>
      <c r="AS1808" s="333"/>
      <c r="AT1808" s="333"/>
      <c r="AU1808" s="329"/>
      <c r="AV1808" s="341"/>
      <c r="AW1808" s="269" t="s">
        <v>2496</v>
      </c>
      <c r="AX1808" s="334" t="s">
        <v>2869</v>
      </c>
      <c r="AY1808" s="270" t="s">
        <v>695</v>
      </c>
      <c r="AZ1808" s="173" t="s">
        <v>5516</v>
      </c>
      <c r="BA1808" s="265">
        <v>10.0</v>
      </c>
      <c r="BB1808" s="174" t="s">
        <v>245</v>
      </c>
      <c r="BC1808" s="341"/>
      <c r="BD1808" s="308"/>
      <c r="BE1808" s="342"/>
      <c r="BF1808" s="274" t="str">
        <f>IFERROR(__xludf.DUMMYFUNCTION("LOWER(Regexreplace(to_text(E1808),""[^A-Za-z0-9]"","""")&amp;""_""&amp;Regexreplace(to_text(F1808),""[^A-Za-z0-9]"",""""))"),"neptronic_evcbseries")</f>
        <v>neptronic_evcbseries</v>
      </c>
      <c r="BG1808" s="275" t="str">
        <f>IFERROR(__xludf.DUMMYFUNCTION("upper(Regexreplace(to_text(E1808),""[^A-Za-z0-9]"","""")&amp;""-""&amp;Regexreplace(to_text(F1808),""[^A-Za-z0-9]"",""""))"),"NEPTRONIC-EVCBSERIES")</f>
        <v>NEPTRONIC-EVCBSERIES</v>
      </c>
    </row>
    <row r="1809" ht="30.0" customHeight="1">
      <c r="A1809" s="173">
        <v>1801.0</v>
      </c>
      <c r="B1809" s="328" t="s">
        <v>670</v>
      </c>
      <c r="C1809" s="257" t="s">
        <v>6821</v>
      </c>
      <c r="D1809" s="173" t="s">
        <v>6821</v>
      </c>
      <c r="E1809" s="174" t="s">
        <v>2861</v>
      </c>
      <c r="F1809" s="173" t="s">
        <v>2862</v>
      </c>
      <c r="G1809" s="328" t="s">
        <v>673</v>
      </c>
      <c r="H1809" s="328" t="s">
        <v>2863</v>
      </c>
      <c r="I1809" s="258" t="s">
        <v>2864</v>
      </c>
      <c r="J1809" s="259" t="s">
        <v>1272</v>
      </c>
      <c r="K1809" s="260"/>
      <c r="L1809" s="359"/>
      <c r="M1809" s="359"/>
      <c r="N1809" s="173" t="s">
        <v>679</v>
      </c>
      <c r="O1809" s="173" t="s">
        <v>225</v>
      </c>
      <c r="P1809" s="262" t="str">
        <f t="shared" si="1"/>
        <v>IN-BLR-ANANTA-VAV-1381_8</v>
      </c>
      <c r="Q1809" s="173" t="s">
        <v>6822</v>
      </c>
      <c r="R1809" s="328" t="str">
        <f>IFS(C1809="","",C1809="n/a","N/A",LEN(C1809),Concatenate("{",char(34),"asset",char(34),":{",char(34),"guid",char(34),":",char(34),Q1809,char(34),",",char(34),"site",char(34),":",char(34),LOWER('2-Building'!$B$4),char(34),",",char(34),"name",char(34),":",char(34),LOWER(C1809),char(34),"}}"))</f>
        <v>{"asset":{"guid":"uuid://99e9647b-d76c-4926-afc6-92bf302d14a4","site":"in-blr-ananta","name":"vav-1381"}}</v>
      </c>
      <c r="S1809" s="360" t="s">
        <v>5516</v>
      </c>
      <c r="T1809" s="330"/>
      <c r="U1809" s="330"/>
      <c r="V1809" s="331"/>
      <c r="W1809" s="332"/>
      <c r="X1809" s="333"/>
      <c r="Y1809" s="33" t="s">
        <v>2867</v>
      </c>
      <c r="Z1809" s="258">
        <v>121381.0</v>
      </c>
      <c r="AA1809" s="334">
        <v>11646.0</v>
      </c>
      <c r="AB1809" s="333"/>
      <c r="AC1809" s="333"/>
      <c r="AD1809" s="329"/>
      <c r="AE1809" s="331"/>
      <c r="AF1809" s="336"/>
      <c r="AG1809" s="337"/>
      <c r="AH1809" s="333"/>
      <c r="AI1809" s="333"/>
      <c r="AJ1809" s="333"/>
      <c r="AK1809" s="333"/>
      <c r="AL1809" s="333"/>
      <c r="AM1809" s="338"/>
      <c r="AN1809" s="333"/>
      <c r="AO1809" s="333"/>
      <c r="AP1809" s="333"/>
      <c r="AQ1809" s="333"/>
      <c r="AR1809" s="333"/>
      <c r="AS1809" s="333"/>
      <c r="AT1809" s="333"/>
      <c r="AU1809" s="329"/>
      <c r="AV1809" s="341"/>
      <c r="AW1809" s="269" t="s">
        <v>2496</v>
      </c>
      <c r="AX1809" s="334" t="s">
        <v>2869</v>
      </c>
      <c r="AY1809" s="270" t="s">
        <v>695</v>
      </c>
      <c r="AZ1809" s="173" t="s">
        <v>5516</v>
      </c>
      <c r="BA1809" s="265">
        <v>10.0</v>
      </c>
      <c r="BB1809" s="174" t="s">
        <v>245</v>
      </c>
      <c r="BC1809" s="341"/>
      <c r="BD1809" s="308"/>
      <c r="BE1809" s="342"/>
      <c r="BF1809" s="274" t="str">
        <f>IFERROR(__xludf.DUMMYFUNCTION("LOWER(Regexreplace(to_text(E1809),""[^A-Za-z0-9]"","""")&amp;""_""&amp;Regexreplace(to_text(F1809),""[^A-Za-z0-9]"",""""))"),"neptronic_evcbseries")</f>
        <v>neptronic_evcbseries</v>
      </c>
      <c r="BG1809" s="275" t="str">
        <f>IFERROR(__xludf.DUMMYFUNCTION("upper(Regexreplace(to_text(E1809),""[^A-Za-z0-9]"","""")&amp;""-""&amp;Regexreplace(to_text(F1809),""[^A-Za-z0-9]"",""""))"),"NEPTRONIC-EVCBSERIES")</f>
        <v>NEPTRONIC-EVCBSERIES</v>
      </c>
    </row>
    <row r="1810" ht="30.0" customHeight="1">
      <c r="A1810" s="258">
        <v>1802.0</v>
      </c>
      <c r="B1810" s="328" t="s">
        <v>670</v>
      </c>
      <c r="C1810" s="257" t="s">
        <v>6823</v>
      </c>
      <c r="D1810" s="173" t="s">
        <v>6823</v>
      </c>
      <c r="E1810" s="174" t="s">
        <v>2861</v>
      </c>
      <c r="F1810" s="173" t="s">
        <v>2862</v>
      </c>
      <c r="G1810" s="328" t="s">
        <v>673</v>
      </c>
      <c r="H1810" s="328" t="s">
        <v>2863</v>
      </c>
      <c r="I1810" s="258" t="s">
        <v>2864</v>
      </c>
      <c r="J1810" s="259" t="s">
        <v>1272</v>
      </c>
      <c r="K1810" s="260"/>
      <c r="L1810" s="359"/>
      <c r="M1810" s="359"/>
      <c r="N1810" s="173" t="s">
        <v>679</v>
      </c>
      <c r="O1810" s="173" t="s">
        <v>225</v>
      </c>
      <c r="P1810" s="262" t="str">
        <f t="shared" si="1"/>
        <v>IN-BLR-ANANTA-VAV-1382_8</v>
      </c>
      <c r="Q1810" s="173" t="s">
        <v>6824</v>
      </c>
      <c r="R1810" s="328" t="str">
        <f>IFS(C1810="","",C1810="n/a","N/A",LEN(C1810),Concatenate("{",char(34),"asset",char(34),":{",char(34),"guid",char(34),":",char(34),Q1810,char(34),",",char(34),"site",char(34),":",char(34),LOWER('2-Building'!$B$4),char(34),",",char(34),"name",char(34),":",char(34),LOWER(C1810),char(34),"}}"))</f>
        <v>{"asset":{"guid":"uuid://e0271211-5cc7-4db5-8904-6f5ace72950f","site":"in-blr-ananta","name":"vav-1382"}}</v>
      </c>
      <c r="S1810" s="360" t="s">
        <v>5516</v>
      </c>
      <c r="T1810" s="330"/>
      <c r="U1810" s="330"/>
      <c r="V1810" s="331"/>
      <c r="W1810" s="332"/>
      <c r="X1810" s="333"/>
      <c r="Y1810" s="33" t="s">
        <v>2867</v>
      </c>
      <c r="Z1810" s="258">
        <v>121382.0</v>
      </c>
      <c r="AA1810" s="334">
        <v>11646.0</v>
      </c>
      <c r="AB1810" s="333"/>
      <c r="AC1810" s="333"/>
      <c r="AD1810" s="329"/>
      <c r="AE1810" s="331"/>
      <c r="AF1810" s="336"/>
      <c r="AG1810" s="337"/>
      <c r="AH1810" s="333"/>
      <c r="AI1810" s="333"/>
      <c r="AJ1810" s="333"/>
      <c r="AK1810" s="333"/>
      <c r="AL1810" s="333"/>
      <c r="AM1810" s="338"/>
      <c r="AN1810" s="333"/>
      <c r="AO1810" s="333"/>
      <c r="AP1810" s="333"/>
      <c r="AQ1810" s="333"/>
      <c r="AR1810" s="333"/>
      <c r="AS1810" s="333"/>
      <c r="AT1810" s="333"/>
      <c r="AU1810" s="329"/>
      <c r="AV1810" s="341"/>
      <c r="AW1810" s="269" t="s">
        <v>2496</v>
      </c>
      <c r="AX1810" s="334" t="s">
        <v>2869</v>
      </c>
      <c r="AY1810" s="270" t="s">
        <v>695</v>
      </c>
      <c r="AZ1810" s="173" t="s">
        <v>5516</v>
      </c>
      <c r="BA1810" s="265">
        <v>10.0</v>
      </c>
      <c r="BB1810" s="174" t="s">
        <v>245</v>
      </c>
      <c r="BC1810" s="341"/>
      <c r="BD1810" s="308"/>
      <c r="BE1810" s="342"/>
      <c r="BF1810" s="274" t="str">
        <f>IFERROR(__xludf.DUMMYFUNCTION("LOWER(Regexreplace(to_text(E1810),""[^A-Za-z0-9]"","""")&amp;""_""&amp;Regexreplace(to_text(F1810),""[^A-Za-z0-9]"",""""))"),"neptronic_evcbseries")</f>
        <v>neptronic_evcbseries</v>
      </c>
      <c r="BG1810" s="275" t="str">
        <f>IFERROR(__xludf.DUMMYFUNCTION("upper(Regexreplace(to_text(E1810),""[^A-Za-z0-9]"","""")&amp;""-""&amp;Regexreplace(to_text(F1810),""[^A-Za-z0-9]"",""""))"),"NEPTRONIC-EVCBSERIES")</f>
        <v>NEPTRONIC-EVCBSERIES</v>
      </c>
    </row>
    <row r="1811" ht="30.0" customHeight="1">
      <c r="A1811" s="173">
        <v>1803.0</v>
      </c>
      <c r="B1811" s="328" t="s">
        <v>670</v>
      </c>
      <c r="C1811" s="257" t="s">
        <v>6825</v>
      </c>
      <c r="D1811" s="173" t="s">
        <v>6825</v>
      </c>
      <c r="E1811" s="174" t="s">
        <v>2861</v>
      </c>
      <c r="F1811" s="173" t="s">
        <v>2862</v>
      </c>
      <c r="G1811" s="328" t="s">
        <v>673</v>
      </c>
      <c r="H1811" s="328" t="s">
        <v>2863</v>
      </c>
      <c r="I1811" s="258" t="s">
        <v>2864</v>
      </c>
      <c r="J1811" s="259" t="s">
        <v>1272</v>
      </c>
      <c r="K1811" s="260"/>
      <c r="L1811" s="359"/>
      <c r="M1811" s="359"/>
      <c r="N1811" s="173" t="s">
        <v>679</v>
      </c>
      <c r="O1811" s="173" t="s">
        <v>225</v>
      </c>
      <c r="P1811" s="262" t="str">
        <f t="shared" si="1"/>
        <v>IN-BLR-ANANTA-VAV-1383_8</v>
      </c>
      <c r="Q1811" s="173" t="s">
        <v>6826</v>
      </c>
      <c r="R1811" s="328" t="str">
        <f>IFS(C1811="","",C1811="n/a","N/A",LEN(C1811),Concatenate("{",char(34),"asset",char(34),":{",char(34),"guid",char(34),":",char(34),Q1811,char(34),",",char(34),"site",char(34),":",char(34),LOWER('2-Building'!$B$4),char(34),",",char(34),"name",char(34),":",char(34),LOWER(C1811),char(34),"}}"))</f>
        <v>{"asset":{"guid":"uuid://b702b632-8ee8-44ef-bdc6-63a3d036db53","site":"in-blr-ananta","name":"vav-1383"}}</v>
      </c>
      <c r="S1811" s="360" t="s">
        <v>5516</v>
      </c>
      <c r="T1811" s="330"/>
      <c r="U1811" s="330"/>
      <c r="V1811" s="331"/>
      <c r="W1811" s="332"/>
      <c r="X1811" s="333"/>
      <c r="Y1811" s="33" t="s">
        <v>2867</v>
      </c>
      <c r="Z1811" s="258">
        <v>121383.0</v>
      </c>
      <c r="AA1811" s="334">
        <v>11646.0</v>
      </c>
      <c r="AB1811" s="333"/>
      <c r="AC1811" s="333"/>
      <c r="AD1811" s="329"/>
      <c r="AE1811" s="331"/>
      <c r="AF1811" s="336"/>
      <c r="AG1811" s="337"/>
      <c r="AH1811" s="333"/>
      <c r="AI1811" s="333"/>
      <c r="AJ1811" s="333"/>
      <c r="AK1811" s="333"/>
      <c r="AL1811" s="333"/>
      <c r="AM1811" s="338"/>
      <c r="AN1811" s="333"/>
      <c r="AO1811" s="333"/>
      <c r="AP1811" s="333"/>
      <c r="AQ1811" s="333"/>
      <c r="AR1811" s="333"/>
      <c r="AS1811" s="333"/>
      <c r="AT1811" s="333"/>
      <c r="AU1811" s="329"/>
      <c r="AV1811" s="341"/>
      <c r="AW1811" s="269" t="s">
        <v>2496</v>
      </c>
      <c r="AX1811" s="334" t="s">
        <v>2869</v>
      </c>
      <c r="AY1811" s="270" t="s">
        <v>695</v>
      </c>
      <c r="AZ1811" s="173" t="s">
        <v>5516</v>
      </c>
      <c r="BA1811" s="265">
        <v>10.0</v>
      </c>
      <c r="BB1811" s="174" t="s">
        <v>245</v>
      </c>
      <c r="BC1811" s="341"/>
      <c r="BD1811" s="308"/>
      <c r="BE1811" s="342"/>
      <c r="BF1811" s="274" t="str">
        <f>IFERROR(__xludf.DUMMYFUNCTION("LOWER(Regexreplace(to_text(E1811),""[^A-Za-z0-9]"","""")&amp;""_""&amp;Regexreplace(to_text(F1811),""[^A-Za-z0-9]"",""""))"),"neptronic_evcbseries")</f>
        <v>neptronic_evcbseries</v>
      </c>
      <c r="BG1811" s="275" t="str">
        <f>IFERROR(__xludf.DUMMYFUNCTION("upper(Regexreplace(to_text(E1811),""[^A-Za-z0-9]"","""")&amp;""-""&amp;Regexreplace(to_text(F1811),""[^A-Za-z0-9]"",""""))"),"NEPTRONIC-EVCBSERIES")</f>
        <v>NEPTRONIC-EVCBSERIES</v>
      </c>
    </row>
    <row r="1812" ht="30.0" customHeight="1">
      <c r="A1812" s="258">
        <v>1804.0</v>
      </c>
      <c r="B1812" s="328" t="s">
        <v>670</v>
      </c>
      <c r="C1812" s="257" t="s">
        <v>6827</v>
      </c>
      <c r="D1812" s="173" t="s">
        <v>6827</v>
      </c>
      <c r="E1812" s="174" t="s">
        <v>2861</v>
      </c>
      <c r="F1812" s="173" t="s">
        <v>2862</v>
      </c>
      <c r="G1812" s="328" t="s">
        <v>673</v>
      </c>
      <c r="H1812" s="328" t="s">
        <v>2863</v>
      </c>
      <c r="I1812" s="258" t="s">
        <v>2864</v>
      </c>
      <c r="J1812" s="259" t="s">
        <v>1272</v>
      </c>
      <c r="K1812" s="260"/>
      <c r="L1812" s="359"/>
      <c r="M1812" s="359"/>
      <c r="N1812" s="173" t="s">
        <v>679</v>
      </c>
      <c r="O1812" s="173" t="s">
        <v>225</v>
      </c>
      <c r="P1812" s="262" t="str">
        <f t="shared" si="1"/>
        <v>IN-BLR-ANANTA-VAV-1384_8</v>
      </c>
      <c r="Q1812" s="173" t="s">
        <v>6828</v>
      </c>
      <c r="R1812" s="328" t="str">
        <f>IFS(C1812="","",C1812="n/a","N/A",LEN(C1812),Concatenate("{",char(34),"asset",char(34),":{",char(34),"guid",char(34),":",char(34),Q1812,char(34),",",char(34),"site",char(34),":",char(34),LOWER('2-Building'!$B$4),char(34),",",char(34),"name",char(34),":",char(34),LOWER(C1812),char(34),"}}"))</f>
        <v>{"asset":{"guid":"uuid://5b153160-b748-470e-b61b-6f083f4eb21a","site":"in-blr-ananta","name":"vav-1384"}}</v>
      </c>
      <c r="S1812" s="360" t="s">
        <v>5516</v>
      </c>
      <c r="T1812" s="330"/>
      <c r="U1812" s="330"/>
      <c r="V1812" s="331"/>
      <c r="W1812" s="332"/>
      <c r="X1812" s="333"/>
      <c r="Y1812" s="33" t="s">
        <v>2867</v>
      </c>
      <c r="Z1812" s="258">
        <v>121384.0</v>
      </c>
      <c r="AA1812" s="334">
        <v>11646.0</v>
      </c>
      <c r="AB1812" s="333"/>
      <c r="AC1812" s="333"/>
      <c r="AD1812" s="329"/>
      <c r="AE1812" s="331"/>
      <c r="AF1812" s="336"/>
      <c r="AG1812" s="337"/>
      <c r="AH1812" s="333"/>
      <c r="AI1812" s="333"/>
      <c r="AJ1812" s="333"/>
      <c r="AK1812" s="333"/>
      <c r="AL1812" s="333"/>
      <c r="AM1812" s="338"/>
      <c r="AN1812" s="333"/>
      <c r="AO1812" s="333"/>
      <c r="AP1812" s="333"/>
      <c r="AQ1812" s="333"/>
      <c r="AR1812" s="333"/>
      <c r="AS1812" s="333"/>
      <c r="AT1812" s="333"/>
      <c r="AU1812" s="329"/>
      <c r="AV1812" s="341"/>
      <c r="AW1812" s="269" t="s">
        <v>2496</v>
      </c>
      <c r="AX1812" s="334" t="s">
        <v>2869</v>
      </c>
      <c r="AY1812" s="270" t="s">
        <v>695</v>
      </c>
      <c r="AZ1812" s="173" t="s">
        <v>5516</v>
      </c>
      <c r="BA1812" s="265">
        <v>10.0</v>
      </c>
      <c r="BB1812" s="174" t="s">
        <v>245</v>
      </c>
      <c r="BC1812" s="341"/>
      <c r="BD1812" s="308"/>
      <c r="BE1812" s="342"/>
      <c r="BF1812" s="274" t="str">
        <f>IFERROR(__xludf.DUMMYFUNCTION("LOWER(Regexreplace(to_text(E1812),""[^A-Za-z0-9]"","""")&amp;""_""&amp;Regexreplace(to_text(F1812),""[^A-Za-z0-9]"",""""))"),"neptronic_evcbseries")</f>
        <v>neptronic_evcbseries</v>
      </c>
      <c r="BG1812" s="275" t="str">
        <f>IFERROR(__xludf.DUMMYFUNCTION("upper(Regexreplace(to_text(E1812),""[^A-Za-z0-9]"","""")&amp;""-""&amp;Regexreplace(to_text(F1812),""[^A-Za-z0-9]"",""""))"),"NEPTRONIC-EVCBSERIES")</f>
        <v>NEPTRONIC-EVCBSERIES</v>
      </c>
    </row>
    <row r="1813" ht="30.0" customHeight="1">
      <c r="A1813" s="173">
        <v>1805.0</v>
      </c>
      <c r="B1813" s="328" t="s">
        <v>670</v>
      </c>
      <c r="C1813" s="257" t="s">
        <v>6829</v>
      </c>
      <c r="D1813" s="173" t="s">
        <v>6829</v>
      </c>
      <c r="E1813" s="174" t="s">
        <v>2861</v>
      </c>
      <c r="F1813" s="173" t="s">
        <v>2862</v>
      </c>
      <c r="G1813" s="328" t="s">
        <v>673</v>
      </c>
      <c r="H1813" s="328" t="s">
        <v>2863</v>
      </c>
      <c r="I1813" s="258" t="s">
        <v>2864</v>
      </c>
      <c r="J1813" s="259" t="s">
        <v>1272</v>
      </c>
      <c r="K1813" s="260"/>
      <c r="L1813" s="359"/>
      <c r="M1813" s="359"/>
      <c r="N1813" s="173" t="s">
        <v>679</v>
      </c>
      <c r="O1813" s="173" t="s">
        <v>225</v>
      </c>
      <c r="P1813" s="262" t="str">
        <f t="shared" si="1"/>
        <v>IN-BLR-ANANTA-VAV-1385_8</v>
      </c>
      <c r="Q1813" s="173" t="s">
        <v>6830</v>
      </c>
      <c r="R1813" s="328" t="str">
        <f>IFS(C1813="","",C1813="n/a","N/A",LEN(C1813),Concatenate("{",char(34),"asset",char(34),":{",char(34),"guid",char(34),":",char(34),Q1813,char(34),",",char(34),"site",char(34),":",char(34),LOWER('2-Building'!$B$4),char(34),",",char(34),"name",char(34),":",char(34),LOWER(C1813),char(34),"}}"))</f>
        <v>{"asset":{"guid":"uuid://c03286b4-79af-4347-994f-0192a6804d92","site":"in-blr-ananta","name":"vav-1385"}}</v>
      </c>
      <c r="S1813" s="360" t="s">
        <v>5516</v>
      </c>
      <c r="T1813" s="330"/>
      <c r="U1813" s="330"/>
      <c r="V1813" s="331"/>
      <c r="W1813" s="332"/>
      <c r="X1813" s="333"/>
      <c r="Y1813" s="33" t="s">
        <v>2867</v>
      </c>
      <c r="Z1813" s="258">
        <v>121385.0</v>
      </c>
      <c r="AA1813" s="334">
        <v>11645.0</v>
      </c>
      <c r="AB1813" s="333"/>
      <c r="AC1813" s="333"/>
      <c r="AD1813" s="329"/>
      <c r="AE1813" s="331"/>
      <c r="AF1813" s="336"/>
      <c r="AG1813" s="337"/>
      <c r="AH1813" s="333"/>
      <c r="AI1813" s="333"/>
      <c r="AJ1813" s="333"/>
      <c r="AK1813" s="333"/>
      <c r="AL1813" s="333"/>
      <c r="AM1813" s="338"/>
      <c r="AN1813" s="333"/>
      <c r="AO1813" s="333"/>
      <c r="AP1813" s="333"/>
      <c r="AQ1813" s="333"/>
      <c r="AR1813" s="333"/>
      <c r="AS1813" s="333"/>
      <c r="AT1813" s="333"/>
      <c r="AU1813" s="329"/>
      <c r="AV1813" s="341"/>
      <c r="AW1813" s="269" t="s">
        <v>2496</v>
      </c>
      <c r="AX1813" s="334" t="s">
        <v>2869</v>
      </c>
      <c r="AY1813" s="270" t="s">
        <v>695</v>
      </c>
      <c r="AZ1813" s="173" t="s">
        <v>5516</v>
      </c>
      <c r="BA1813" s="265">
        <v>10.0</v>
      </c>
      <c r="BB1813" s="174" t="s">
        <v>245</v>
      </c>
      <c r="BC1813" s="341"/>
      <c r="BD1813" s="308"/>
      <c r="BE1813" s="342"/>
      <c r="BF1813" s="274" t="str">
        <f>IFERROR(__xludf.DUMMYFUNCTION("LOWER(Regexreplace(to_text(E1813),""[^A-Za-z0-9]"","""")&amp;""_""&amp;Regexreplace(to_text(F1813),""[^A-Za-z0-9]"",""""))"),"neptronic_evcbseries")</f>
        <v>neptronic_evcbseries</v>
      </c>
      <c r="BG1813" s="275" t="str">
        <f>IFERROR(__xludf.DUMMYFUNCTION("upper(Regexreplace(to_text(E1813),""[^A-Za-z0-9]"","""")&amp;""-""&amp;Regexreplace(to_text(F1813),""[^A-Za-z0-9]"",""""))"),"NEPTRONIC-EVCBSERIES")</f>
        <v>NEPTRONIC-EVCBSERIES</v>
      </c>
    </row>
    <row r="1814" ht="30.0" customHeight="1">
      <c r="A1814" s="258">
        <v>1806.0</v>
      </c>
      <c r="B1814" s="328" t="s">
        <v>670</v>
      </c>
      <c r="C1814" s="257" t="s">
        <v>6831</v>
      </c>
      <c r="D1814" s="173" t="s">
        <v>6831</v>
      </c>
      <c r="E1814" s="174" t="s">
        <v>2861</v>
      </c>
      <c r="F1814" s="173" t="s">
        <v>2862</v>
      </c>
      <c r="G1814" s="328" t="s">
        <v>673</v>
      </c>
      <c r="H1814" s="328" t="s">
        <v>2863</v>
      </c>
      <c r="I1814" s="258" t="s">
        <v>2864</v>
      </c>
      <c r="J1814" s="259" t="s">
        <v>1272</v>
      </c>
      <c r="K1814" s="260"/>
      <c r="L1814" s="359"/>
      <c r="M1814" s="359"/>
      <c r="N1814" s="173" t="s">
        <v>679</v>
      </c>
      <c r="O1814" s="173" t="s">
        <v>225</v>
      </c>
      <c r="P1814" s="262" t="str">
        <f t="shared" si="1"/>
        <v>IN-BLR-ANANTA-VAV-1386_8</v>
      </c>
      <c r="Q1814" s="173" t="s">
        <v>6832</v>
      </c>
      <c r="R1814" s="328" t="str">
        <f>IFS(C1814="","",C1814="n/a","N/A",LEN(C1814),Concatenate("{",char(34),"asset",char(34),":{",char(34),"guid",char(34),":",char(34),Q1814,char(34),",",char(34),"site",char(34),":",char(34),LOWER('2-Building'!$B$4),char(34),",",char(34),"name",char(34),":",char(34),LOWER(C1814),char(34),"}}"))</f>
        <v>{"asset":{"guid":"uuid://37868c26-f9a2-419c-bd00-6775ab1cbfc7","site":"in-blr-ananta","name":"vav-1386"}}</v>
      </c>
      <c r="S1814" s="360" t="s">
        <v>5516</v>
      </c>
      <c r="T1814" s="330"/>
      <c r="U1814" s="330"/>
      <c r="V1814" s="331"/>
      <c r="W1814" s="332"/>
      <c r="X1814" s="333"/>
      <c r="Y1814" s="33" t="s">
        <v>2867</v>
      </c>
      <c r="Z1814" s="258">
        <v>121386.0</v>
      </c>
      <c r="AA1814" s="334">
        <v>11645.0</v>
      </c>
      <c r="AB1814" s="333"/>
      <c r="AC1814" s="333"/>
      <c r="AD1814" s="329"/>
      <c r="AE1814" s="331"/>
      <c r="AF1814" s="336"/>
      <c r="AG1814" s="337"/>
      <c r="AH1814" s="333"/>
      <c r="AI1814" s="333"/>
      <c r="AJ1814" s="333"/>
      <c r="AK1814" s="333"/>
      <c r="AL1814" s="333"/>
      <c r="AM1814" s="338"/>
      <c r="AN1814" s="333"/>
      <c r="AO1814" s="333"/>
      <c r="AP1814" s="333"/>
      <c r="AQ1814" s="333"/>
      <c r="AR1814" s="333"/>
      <c r="AS1814" s="333"/>
      <c r="AT1814" s="333"/>
      <c r="AU1814" s="329"/>
      <c r="AV1814" s="341"/>
      <c r="AW1814" s="269" t="s">
        <v>2496</v>
      </c>
      <c r="AX1814" s="334" t="s">
        <v>2869</v>
      </c>
      <c r="AY1814" s="270" t="s">
        <v>695</v>
      </c>
      <c r="AZ1814" s="173" t="s">
        <v>5516</v>
      </c>
      <c r="BA1814" s="265">
        <v>10.0</v>
      </c>
      <c r="BB1814" s="174" t="s">
        <v>245</v>
      </c>
      <c r="BC1814" s="341"/>
      <c r="BD1814" s="308"/>
      <c r="BE1814" s="342"/>
      <c r="BF1814" s="274" t="str">
        <f>IFERROR(__xludf.DUMMYFUNCTION("LOWER(Regexreplace(to_text(E1814),""[^A-Za-z0-9]"","""")&amp;""_""&amp;Regexreplace(to_text(F1814),""[^A-Za-z0-9]"",""""))"),"neptronic_evcbseries")</f>
        <v>neptronic_evcbseries</v>
      </c>
      <c r="BG1814" s="275" t="str">
        <f>IFERROR(__xludf.DUMMYFUNCTION("upper(Regexreplace(to_text(E1814),""[^A-Za-z0-9]"","""")&amp;""-""&amp;Regexreplace(to_text(F1814),""[^A-Za-z0-9]"",""""))"),"NEPTRONIC-EVCBSERIES")</f>
        <v>NEPTRONIC-EVCBSERIES</v>
      </c>
    </row>
    <row r="1815" ht="30.0" customHeight="1">
      <c r="A1815" s="173">
        <v>1807.0</v>
      </c>
      <c r="B1815" s="328" t="s">
        <v>670</v>
      </c>
      <c r="C1815" s="257" t="s">
        <v>6833</v>
      </c>
      <c r="D1815" s="173" t="s">
        <v>6833</v>
      </c>
      <c r="E1815" s="174" t="s">
        <v>2861</v>
      </c>
      <c r="F1815" s="173" t="s">
        <v>2862</v>
      </c>
      <c r="G1815" s="328" t="s">
        <v>673</v>
      </c>
      <c r="H1815" s="328" t="s">
        <v>2863</v>
      </c>
      <c r="I1815" s="258" t="s">
        <v>2864</v>
      </c>
      <c r="J1815" s="259" t="s">
        <v>1272</v>
      </c>
      <c r="K1815" s="260"/>
      <c r="L1815" s="359"/>
      <c r="M1815" s="359"/>
      <c r="N1815" s="173" t="s">
        <v>679</v>
      </c>
      <c r="O1815" s="173" t="s">
        <v>225</v>
      </c>
      <c r="P1815" s="262" t="str">
        <f t="shared" si="1"/>
        <v>IN-BLR-ANANTA-VAV-1387_8</v>
      </c>
      <c r="Q1815" s="173" t="s">
        <v>6834</v>
      </c>
      <c r="R1815" s="328" t="str">
        <f>IFS(C1815="","",C1815="n/a","N/A",LEN(C1815),Concatenate("{",char(34),"asset",char(34),":{",char(34),"guid",char(34),":",char(34),Q1815,char(34),",",char(34),"site",char(34),":",char(34),LOWER('2-Building'!$B$4),char(34),",",char(34),"name",char(34),":",char(34),LOWER(C1815),char(34),"}}"))</f>
        <v>{"asset":{"guid":"uuid://5dc278f5-0e63-41f7-bde0-d3edac0ec6bd","site":"in-blr-ananta","name":"vav-1387"}}</v>
      </c>
      <c r="S1815" s="360" t="s">
        <v>5516</v>
      </c>
      <c r="T1815" s="330"/>
      <c r="U1815" s="330"/>
      <c r="V1815" s="331"/>
      <c r="W1815" s="332"/>
      <c r="X1815" s="333"/>
      <c r="Y1815" s="33" t="s">
        <v>2867</v>
      </c>
      <c r="Z1815" s="258">
        <v>121387.0</v>
      </c>
      <c r="AA1815" s="334">
        <v>11645.0</v>
      </c>
      <c r="AB1815" s="333"/>
      <c r="AC1815" s="333"/>
      <c r="AD1815" s="329"/>
      <c r="AE1815" s="331"/>
      <c r="AF1815" s="336"/>
      <c r="AG1815" s="337"/>
      <c r="AH1815" s="333"/>
      <c r="AI1815" s="333"/>
      <c r="AJ1815" s="333"/>
      <c r="AK1815" s="333"/>
      <c r="AL1815" s="333"/>
      <c r="AM1815" s="338"/>
      <c r="AN1815" s="333"/>
      <c r="AO1815" s="333"/>
      <c r="AP1815" s="333"/>
      <c r="AQ1815" s="333"/>
      <c r="AR1815" s="333"/>
      <c r="AS1815" s="333"/>
      <c r="AT1815" s="333"/>
      <c r="AU1815" s="329"/>
      <c r="AV1815" s="341"/>
      <c r="AW1815" s="269" t="s">
        <v>2496</v>
      </c>
      <c r="AX1815" s="334" t="s">
        <v>2869</v>
      </c>
      <c r="AY1815" s="270" t="s">
        <v>695</v>
      </c>
      <c r="AZ1815" s="173" t="s">
        <v>5516</v>
      </c>
      <c r="BA1815" s="265">
        <v>10.0</v>
      </c>
      <c r="BB1815" s="174" t="s">
        <v>245</v>
      </c>
      <c r="BC1815" s="341"/>
      <c r="BD1815" s="308"/>
      <c r="BE1815" s="342"/>
      <c r="BF1815" s="274" t="str">
        <f>IFERROR(__xludf.DUMMYFUNCTION("LOWER(Regexreplace(to_text(E1815),""[^A-Za-z0-9]"","""")&amp;""_""&amp;Regexreplace(to_text(F1815),""[^A-Za-z0-9]"",""""))"),"neptronic_evcbseries")</f>
        <v>neptronic_evcbseries</v>
      </c>
      <c r="BG1815" s="275" t="str">
        <f>IFERROR(__xludf.DUMMYFUNCTION("upper(Regexreplace(to_text(E1815),""[^A-Za-z0-9]"","""")&amp;""-""&amp;Regexreplace(to_text(F1815),""[^A-Za-z0-9]"",""""))"),"NEPTRONIC-EVCBSERIES")</f>
        <v>NEPTRONIC-EVCBSERIES</v>
      </c>
    </row>
    <row r="1816" ht="30.0" customHeight="1">
      <c r="A1816" s="258">
        <v>1808.0</v>
      </c>
      <c r="B1816" s="328" t="s">
        <v>670</v>
      </c>
      <c r="C1816" s="257" t="s">
        <v>6835</v>
      </c>
      <c r="D1816" s="173" t="s">
        <v>6835</v>
      </c>
      <c r="E1816" s="174" t="s">
        <v>2861</v>
      </c>
      <c r="F1816" s="173" t="s">
        <v>2862</v>
      </c>
      <c r="G1816" s="328" t="s">
        <v>673</v>
      </c>
      <c r="H1816" s="328" t="s">
        <v>2863</v>
      </c>
      <c r="I1816" s="258" t="s">
        <v>2864</v>
      </c>
      <c r="J1816" s="259" t="s">
        <v>1272</v>
      </c>
      <c r="K1816" s="260"/>
      <c r="L1816" s="359"/>
      <c r="M1816" s="359"/>
      <c r="N1816" s="173" t="s">
        <v>679</v>
      </c>
      <c r="O1816" s="173" t="s">
        <v>225</v>
      </c>
      <c r="P1816" s="262" t="str">
        <f t="shared" si="1"/>
        <v>IN-BLR-ANANTA-VAV-1388_8</v>
      </c>
      <c r="Q1816" s="173" t="s">
        <v>6836</v>
      </c>
      <c r="R1816" s="328" t="str">
        <f>IFS(C1816="","",C1816="n/a","N/A",LEN(C1816),Concatenate("{",char(34),"asset",char(34),":{",char(34),"guid",char(34),":",char(34),Q1816,char(34),",",char(34),"site",char(34),":",char(34),LOWER('2-Building'!$B$4),char(34),",",char(34),"name",char(34),":",char(34),LOWER(C1816),char(34),"}}"))</f>
        <v>{"asset":{"guid":"uuid://956ff28e-56ac-4308-8e11-a6b97abcdd8a","site":"in-blr-ananta","name":"vav-1388"}}</v>
      </c>
      <c r="S1816" s="360" t="s">
        <v>5516</v>
      </c>
      <c r="T1816" s="330"/>
      <c r="U1816" s="330"/>
      <c r="V1816" s="331"/>
      <c r="W1816" s="332"/>
      <c r="X1816" s="333"/>
      <c r="Y1816" s="33" t="s">
        <v>2867</v>
      </c>
      <c r="Z1816" s="258">
        <v>121388.0</v>
      </c>
      <c r="AA1816" s="334">
        <v>11645.0</v>
      </c>
      <c r="AB1816" s="333"/>
      <c r="AC1816" s="333"/>
      <c r="AD1816" s="329"/>
      <c r="AE1816" s="331"/>
      <c r="AF1816" s="336"/>
      <c r="AG1816" s="337"/>
      <c r="AH1816" s="333"/>
      <c r="AI1816" s="333"/>
      <c r="AJ1816" s="333"/>
      <c r="AK1816" s="333"/>
      <c r="AL1816" s="333"/>
      <c r="AM1816" s="338"/>
      <c r="AN1816" s="333"/>
      <c r="AO1816" s="333"/>
      <c r="AP1816" s="333"/>
      <c r="AQ1816" s="333"/>
      <c r="AR1816" s="333"/>
      <c r="AS1816" s="333"/>
      <c r="AT1816" s="333"/>
      <c r="AU1816" s="329"/>
      <c r="AV1816" s="341"/>
      <c r="AW1816" s="269" t="s">
        <v>2496</v>
      </c>
      <c r="AX1816" s="334" t="s">
        <v>2869</v>
      </c>
      <c r="AY1816" s="270" t="s">
        <v>695</v>
      </c>
      <c r="AZ1816" s="173" t="s">
        <v>5516</v>
      </c>
      <c r="BA1816" s="265">
        <v>10.0</v>
      </c>
      <c r="BB1816" s="174" t="s">
        <v>245</v>
      </c>
      <c r="BC1816" s="341"/>
      <c r="BD1816" s="308"/>
      <c r="BE1816" s="342"/>
      <c r="BF1816" s="274" t="str">
        <f>IFERROR(__xludf.DUMMYFUNCTION("LOWER(Regexreplace(to_text(E1816),""[^A-Za-z0-9]"","""")&amp;""_""&amp;Regexreplace(to_text(F1816),""[^A-Za-z0-9]"",""""))"),"neptronic_evcbseries")</f>
        <v>neptronic_evcbseries</v>
      </c>
      <c r="BG1816" s="275" t="str">
        <f>IFERROR(__xludf.DUMMYFUNCTION("upper(Regexreplace(to_text(E1816),""[^A-Za-z0-9]"","""")&amp;""-""&amp;Regexreplace(to_text(F1816),""[^A-Za-z0-9]"",""""))"),"NEPTRONIC-EVCBSERIES")</f>
        <v>NEPTRONIC-EVCBSERIES</v>
      </c>
    </row>
    <row r="1817" ht="30.0" customHeight="1">
      <c r="A1817" s="173">
        <v>1809.0</v>
      </c>
      <c r="B1817" s="328" t="s">
        <v>670</v>
      </c>
      <c r="C1817" s="257" t="s">
        <v>6837</v>
      </c>
      <c r="D1817" s="173" t="s">
        <v>6837</v>
      </c>
      <c r="E1817" s="174" t="s">
        <v>2861</v>
      </c>
      <c r="F1817" s="173" t="s">
        <v>2862</v>
      </c>
      <c r="G1817" s="328" t="s">
        <v>673</v>
      </c>
      <c r="H1817" s="328" t="s">
        <v>2863</v>
      </c>
      <c r="I1817" s="258" t="s">
        <v>2864</v>
      </c>
      <c r="J1817" s="259" t="s">
        <v>1272</v>
      </c>
      <c r="K1817" s="260"/>
      <c r="L1817" s="359"/>
      <c r="M1817" s="359"/>
      <c r="N1817" s="173" t="s">
        <v>679</v>
      </c>
      <c r="O1817" s="173" t="s">
        <v>225</v>
      </c>
      <c r="P1817" s="262" t="str">
        <f t="shared" si="1"/>
        <v>IN-BLR-ANANTA-VAV-1389_8</v>
      </c>
      <c r="Q1817" s="173" t="s">
        <v>6838</v>
      </c>
      <c r="R1817" s="328" t="str">
        <f>IFS(C1817="","",C1817="n/a","N/A",LEN(C1817),Concatenate("{",char(34),"asset",char(34),":{",char(34),"guid",char(34),":",char(34),Q1817,char(34),",",char(34),"site",char(34),":",char(34),LOWER('2-Building'!$B$4),char(34),",",char(34),"name",char(34),":",char(34),LOWER(C1817),char(34),"}}"))</f>
        <v>{"asset":{"guid":"uuid://fd62d37b-a7a8-4b4e-a0e2-4217b499cc26","site":"in-blr-ananta","name":"vav-1389"}}</v>
      </c>
      <c r="S1817" s="360" t="s">
        <v>5516</v>
      </c>
      <c r="T1817" s="330"/>
      <c r="U1817" s="330"/>
      <c r="V1817" s="331"/>
      <c r="W1817" s="332"/>
      <c r="X1817" s="333"/>
      <c r="Y1817" s="33" t="s">
        <v>2867</v>
      </c>
      <c r="Z1817" s="258">
        <v>121389.0</v>
      </c>
      <c r="AA1817" s="334">
        <v>11645.0</v>
      </c>
      <c r="AB1817" s="333"/>
      <c r="AC1817" s="333"/>
      <c r="AD1817" s="329"/>
      <c r="AE1817" s="331"/>
      <c r="AF1817" s="336"/>
      <c r="AG1817" s="337"/>
      <c r="AH1817" s="333"/>
      <c r="AI1817" s="333"/>
      <c r="AJ1817" s="333"/>
      <c r="AK1817" s="333"/>
      <c r="AL1817" s="333"/>
      <c r="AM1817" s="338"/>
      <c r="AN1817" s="333"/>
      <c r="AO1817" s="333"/>
      <c r="AP1817" s="333"/>
      <c r="AQ1817" s="333"/>
      <c r="AR1817" s="333"/>
      <c r="AS1817" s="333"/>
      <c r="AT1817" s="333"/>
      <c r="AU1817" s="329"/>
      <c r="AV1817" s="341"/>
      <c r="AW1817" s="269" t="s">
        <v>2496</v>
      </c>
      <c r="AX1817" s="334" t="s">
        <v>2869</v>
      </c>
      <c r="AY1817" s="270" t="s">
        <v>695</v>
      </c>
      <c r="AZ1817" s="173" t="s">
        <v>5516</v>
      </c>
      <c r="BA1817" s="265">
        <v>10.0</v>
      </c>
      <c r="BB1817" s="174" t="s">
        <v>245</v>
      </c>
      <c r="BC1817" s="341"/>
      <c r="BD1817" s="308"/>
      <c r="BE1817" s="342"/>
      <c r="BF1817" s="274" t="str">
        <f>IFERROR(__xludf.DUMMYFUNCTION("LOWER(Regexreplace(to_text(E1817),""[^A-Za-z0-9]"","""")&amp;""_""&amp;Regexreplace(to_text(F1817),""[^A-Za-z0-9]"",""""))"),"neptronic_evcbseries")</f>
        <v>neptronic_evcbseries</v>
      </c>
      <c r="BG1817" s="275" t="str">
        <f>IFERROR(__xludf.DUMMYFUNCTION("upper(Regexreplace(to_text(E1817),""[^A-Za-z0-9]"","""")&amp;""-""&amp;Regexreplace(to_text(F1817),""[^A-Za-z0-9]"",""""))"),"NEPTRONIC-EVCBSERIES")</f>
        <v>NEPTRONIC-EVCBSERIES</v>
      </c>
    </row>
    <row r="1818" ht="30.0" customHeight="1">
      <c r="A1818" s="258">
        <v>1810.0</v>
      </c>
      <c r="B1818" s="328" t="s">
        <v>670</v>
      </c>
      <c r="C1818" s="257" t="s">
        <v>6839</v>
      </c>
      <c r="D1818" s="173" t="s">
        <v>6839</v>
      </c>
      <c r="E1818" s="174" t="s">
        <v>2861</v>
      </c>
      <c r="F1818" s="173" t="s">
        <v>2862</v>
      </c>
      <c r="G1818" s="328" t="s">
        <v>673</v>
      </c>
      <c r="H1818" s="328" t="s">
        <v>2863</v>
      </c>
      <c r="I1818" s="258" t="s">
        <v>2864</v>
      </c>
      <c r="J1818" s="259" t="s">
        <v>1272</v>
      </c>
      <c r="K1818" s="260"/>
      <c r="L1818" s="359"/>
      <c r="M1818" s="359"/>
      <c r="N1818" s="173" t="s">
        <v>679</v>
      </c>
      <c r="O1818" s="173" t="s">
        <v>225</v>
      </c>
      <c r="P1818" s="262" t="str">
        <f t="shared" si="1"/>
        <v>IN-BLR-ANANTA-VAV-1390_8</v>
      </c>
      <c r="Q1818" s="173" t="s">
        <v>6840</v>
      </c>
      <c r="R1818" s="328" t="str">
        <f>IFS(C1818="","",C1818="n/a","N/A",LEN(C1818),Concatenate("{",char(34),"asset",char(34),":{",char(34),"guid",char(34),":",char(34),Q1818,char(34),",",char(34),"site",char(34),":",char(34),LOWER('2-Building'!$B$4),char(34),",",char(34),"name",char(34),":",char(34),LOWER(C1818),char(34),"}}"))</f>
        <v>{"asset":{"guid":"uuid://c481044d-ce97-42fa-bd1e-e03ed023bc8e","site":"in-blr-ananta","name":"vav-1390"}}</v>
      </c>
      <c r="S1818" s="360" t="s">
        <v>5516</v>
      </c>
      <c r="T1818" s="330"/>
      <c r="U1818" s="330"/>
      <c r="V1818" s="331"/>
      <c r="W1818" s="332"/>
      <c r="X1818" s="333"/>
      <c r="Y1818" s="33" t="s">
        <v>2867</v>
      </c>
      <c r="Z1818" s="258">
        <v>121390.0</v>
      </c>
      <c r="AA1818" s="334">
        <v>11645.0</v>
      </c>
      <c r="AB1818" s="333"/>
      <c r="AC1818" s="333"/>
      <c r="AD1818" s="329"/>
      <c r="AE1818" s="331"/>
      <c r="AF1818" s="336"/>
      <c r="AG1818" s="337"/>
      <c r="AH1818" s="333"/>
      <c r="AI1818" s="333"/>
      <c r="AJ1818" s="333"/>
      <c r="AK1818" s="333"/>
      <c r="AL1818" s="333"/>
      <c r="AM1818" s="338"/>
      <c r="AN1818" s="333"/>
      <c r="AO1818" s="333"/>
      <c r="AP1818" s="333"/>
      <c r="AQ1818" s="333"/>
      <c r="AR1818" s="333"/>
      <c r="AS1818" s="333"/>
      <c r="AT1818" s="333"/>
      <c r="AU1818" s="329"/>
      <c r="AV1818" s="341"/>
      <c r="AW1818" s="269" t="s">
        <v>2496</v>
      </c>
      <c r="AX1818" s="334" t="s">
        <v>2869</v>
      </c>
      <c r="AY1818" s="270" t="s">
        <v>695</v>
      </c>
      <c r="AZ1818" s="173" t="s">
        <v>5516</v>
      </c>
      <c r="BA1818" s="265">
        <v>10.0</v>
      </c>
      <c r="BB1818" s="174" t="s">
        <v>245</v>
      </c>
      <c r="BC1818" s="341"/>
      <c r="BD1818" s="308"/>
      <c r="BE1818" s="342"/>
      <c r="BF1818" s="274" t="str">
        <f>IFERROR(__xludf.DUMMYFUNCTION("LOWER(Regexreplace(to_text(E1818),""[^A-Za-z0-9]"","""")&amp;""_""&amp;Regexreplace(to_text(F1818),""[^A-Za-z0-9]"",""""))"),"neptronic_evcbseries")</f>
        <v>neptronic_evcbseries</v>
      </c>
      <c r="BG1818" s="275" t="str">
        <f>IFERROR(__xludf.DUMMYFUNCTION("upper(Regexreplace(to_text(E1818),""[^A-Za-z0-9]"","""")&amp;""-""&amp;Regexreplace(to_text(F1818),""[^A-Za-z0-9]"",""""))"),"NEPTRONIC-EVCBSERIES")</f>
        <v>NEPTRONIC-EVCBSERIES</v>
      </c>
    </row>
    <row r="1819" ht="30.0" customHeight="1">
      <c r="A1819" s="173">
        <v>1811.0</v>
      </c>
      <c r="B1819" s="328" t="s">
        <v>670</v>
      </c>
      <c r="C1819" s="257" t="s">
        <v>6841</v>
      </c>
      <c r="D1819" s="173" t="s">
        <v>6841</v>
      </c>
      <c r="E1819" s="174" t="s">
        <v>2861</v>
      </c>
      <c r="F1819" s="173" t="s">
        <v>2862</v>
      </c>
      <c r="G1819" s="328" t="s">
        <v>673</v>
      </c>
      <c r="H1819" s="328" t="s">
        <v>2863</v>
      </c>
      <c r="I1819" s="258" t="s">
        <v>2864</v>
      </c>
      <c r="J1819" s="259" t="s">
        <v>1272</v>
      </c>
      <c r="K1819" s="260"/>
      <c r="L1819" s="359"/>
      <c r="M1819" s="359"/>
      <c r="N1819" s="173" t="s">
        <v>679</v>
      </c>
      <c r="O1819" s="173" t="s">
        <v>225</v>
      </c>
      <c r="P1819" s="262" t="str">
        <f t="shared" si="1"/>
        <v>IN-BLR-ANANTA-VAV-1391_8</v>
      </c>
      <c r="Q1819" s="173" t="s">
        <v>6842</v>
      </c>
      <c r="R1819" s="328" t="str">
        <f>IFS(C1819="","",C1819="n/a","N/A",LEN(C1819),Concatenate("{",char(34),"asset",char(34),":{",char(34),"guid",char(34),":",char(34),Q1819,char(34),",",char(34),"site",char(34),":",char(34),LOWER('2-Building'!$B$4),char(34),",",char(34),"name",char(34),":",char(34),LOWER(C1819),char(34),"}}"))</f>
        <v>{"asset":{"guid":"uuid://fdbd51c9-9271-4d15-a7a7-0cb23f995919","site":"in-blr-ananta","name":"vav-1391"}}</v>
      </c>
      <c r="S1819" s="360" t="s">
        <v>5516</v>
      </c>
      <c r="T1819" s="330"/>
      <c r="U1819" s="330"/>
      <c r="V1819" s="331"/>
      <c r="W1819" s="332"/>
      <c r="X1819" s="333"/>
      <c r="Y1819" s="33" t="s">
        <v>2867</v>
      </c>
      <c r="Z1819" s="258">
        <v>121391.0</v>
      </c>
      <c r="AA1819" s="334">
        <v>11645.0</v>
      </c>
      <c r="AB1819" s="333"/>
      <c r="AC1819" s="333"/>
      <c r="AD1819" s="329"/>
      <c r="AE1819" s="331"/>
      <c r="AF1819" s="336"/>
      <c r="AG1819" s="337"/>
      <c r="AH1819" s="333"/>
      <c r="AI1819" s="333"/>
      <c r="AJ1819" s="333"/>
      <c r="AK1819" s="333"/>
      <c r="AL1819" s="333"/>
      <c r="AM1819" s="338"/>
      <c r="AN1819" s="333"/>
      <c r="AO1819" s="333"/>
      <c r="AP1819" s="333"/>
      <c r="AQ1819" s="333"/>
      <c r="AR1819" s="333"/>
      <c r="AS1819" s="333"/>
      <c r="AT1819" s="333"/>
      <c r="AU1819" s="329"/>
      <c r="AV1819" s="341"/>
      <c r="AW1819" s="269" t="s">
        <v>2496</v>
      </c>
      <c r="AX1819" s="334" t="s">
        <v>2869</v>
      </c>
      <c r="AY1819" s="270" t="s">
        <v>695</v>
      </c>
      <c r="AZ1819" s="173" t="s">
        <v>5516</v>
      </c>
      <c r="BA1819" s="265">
        <v>10.0</v>
      </c>
      <c r="BB1819" s="174" t="s">
        <v>245</v>
      </c>
      <c r="BC1819" s="341"/>
      <c r="BD1819" s="308"/>
      <c r="BE1819" s="342"/>
      <c r="BF1819" s="274" t="str">
        <f>IFERROR(__xludf.DUMMYFUNCTION("LOWER(Regexreplace(to_text(E1819),""[^A-Za-z0-9]"","""")&amp;""_""&amp;Regexreplace(to_text(F1819),""[^A-Za-z0-9]"",""""))"),"neptronic_evcbseries")</f>
        <v>neptronic_evcbseries</v>
      </c>
      <c r="BG1819" s="275" t="str">
        <f>IFERROR(__xludf.DUMMYFUNCTION("upper(Regexreplace(to_text(E1819),""[^A-Za-z0-9]"","""")&amp;""-""&amp;Regexreplace(to_text(F1819),""[^A-Za-z0-9]"",""""))"),"NEPTRONIC-EVCBSERIES")</f>
        <v>NEPTRONIC-EVCBSERIES</v>
      </c>
    </row>
    <row r="1820" ht="30.0" customHeight="1">
      <c r="A1820" s="258">
        <v>1812.0</v>
      </c>
      <c r="B1820" s="328" t="s">
        <v>670</v>
      </c>
      <c r="C1820" s="257" t="s">
        <v>6843</v>
      </c>
      <c r="D1820" s="173" t="s">
        <v>6843</v>
      </c>
      <c r="E1820" s="174" t="s">
        <v>2861</v>
      </c>
      <c r="F1820" s="173" t="s">
        <v>2862</v>
      </c>
      <c r="G1820" s="328" t="s">
        <v>673</v>
      </c>
      <c r="H1820" s="328" t="s">
        <v>2863</v>
      </c>
      <c r="I1820" s="258" t="s">
        <v>2864</v>
      </c>
      <c r="J1820" s="259" t="s">
        <v>1272</v>
      </c>
      <c r="K1820" s="260"/>
      <c r="L1820" s="359"/>
      <c r="M1820" s="359"/>
      <c r="N1820" s="173" t="s">
        <v>679</v>
      </c>
      <c r="O1820" s="173" t="s">
        <v>225</v>
      </c>
      <c r="P1820" s="262" t="str">
        <f t="shared" si="1"/>
        <v>IN-BLR-ANANTA-VAV-1392_8</v>
      </c>
      <c r="Q1820" s="173" t="s">
        <v>6844</v>
      </c>
      <c r="R1820" s="328" t="str">
        <f>IFS(C1820="","",C1820="n/a","N/A",LEN(C1820),Concatenate("{",char(34),"asset",char(34),":{",char(34),"guid",char(34),":",char(34),Q1820,char(34),",",char(34),"site",char(34),":",char(34),LOWER('2-Building'!$B$4),char(34),",",char(34),"name",char(34),":",char(34),LOWER(C1820),char(34),"}}"))</f>
        <v>{"asset":{"guid":"uuid://3e3beed9-8c6d-4725-8656-c7f1023ab00f","site":"in-blr-ananta","name":"vav-1392"}}</v>
      </c>
      <c r="S1820" s="360" t="s">
        <v>5516</v>
      </c>
      <c r="T1820" s="330"/>
      <c r="U1820" s="330"/>
      <c r="V1820" s="331"/>
      <c r="W1820" s="332"/>
      <c r="X1820" s="333"/>
      <c r="Y1820" s="33" t="s">
        <v>2867</v>
      </c>
      <c r="Z1820" s="258">
        <v>121392.0</v>
      </c>
      <c r="AA1820" s="334">
        <v>11645.0</v>
      </c>
      <c r="AB1820" s="333"/>
      <c r="AC1820" s="333"/>
      <c r="AD1820" s="329"/>
      <c r="AE1820" s="331"/>
      <c r="AF1820" s="336"/>
      <c r="AG1820" s="337"/>
      <c r="AH1820" s="333"/>
      <c r="AI1820" s="333"/>
      <c r="AJ1820" s="333"/>
      <c r="AK1820" s="333"/>
      <c r="AL1820" s="333"/>
      <c r="AM1820" s="338"/>
      <c r="AN1820" s="333"/>
      <c r="AO1820" s="333"/>
      <c r="AP1820" s="333"/>
      <c r="AQ1820" s="333"/>
      <c r="AR1820" s="333"/>
      <c r="AS1820" s="333"/>
      <c r="AT1820" s="333"/>
      <c r="AU1820" s="329"/>
      <c r="AV1820" s="341"/>
      <c r="AW1820" s="269" t="s">
        <v>2496</v>
      </c>
      <c r="AX1820" s="334" t="s">
        <v>2869</v>
      </c>
      <c r="AY1820" s="270" t="s">
        <v>695</v>
      </c>
      <c r="AZ1820" s="173" t="s">
        <v>5516</v>
      </c>
      <c r="BA1820" s="265">
        <v>10.0</v>
      </c>
      <c r="BB1820" s="174" t="s">
        <v>245</v>
      </c>
      <c r="BC1820" s="341"/>
      <c r="BD1820" s="308"/>
      <c r="BE1820" s="342"/>
      <c r="BF1820" s="274" t="str">
        <f>IFERROR(__xludf.DUMMYFUNCTION("LOWER(Regexreplace(to_text(E1820),""[^A-Za-z0-9]"","""")&amp;""_""&amp;Regexreplace(to_text(F1820),""[^A-Za-z0-9]"",""""))"),"neptronic_evcbseries")</f>
        <v>neptronic_evcbseries</v>
      </c>
      <c r="BG1820" s="275" t="str">
        <f>IFERROR(__xludf.DUMMYFUNCTION("upper(Regexreplace(to_text(E1820),""[^A-Za-z0-9]"","""")&amp;""-""&amp;Regexreplace(to_text(F1820),""[^A-Za-z0-9]"",""""))"),"NEPTRONIC-EVCBSERIES")</f>
        <v>NEPTRONIC-EVCBSERIES</v>
      </c>
    </row>
    <row r="1821" ht="30.0" customHeight="1">
      <c r="A1821" s="173">
        <v>1813.0</v>
      </c>
      <c r="B1821" s="328" t="s">
        <v>670</v>
      </c>
      <c r="C1821" s="257" t="s">
        <v>6845</v>
      </c>
      <c r="D1821" s="173" t="s">
        <v>6845</v>
      </c>
      <c r="E1821" s="174" t="s">
        <v>2861</v>
      </c>
      <c r="F1821" s="173" t="s">
        <v>2862</v>
      </c>
      <c r="G1821" s="328" t="s">
        <v>673</v>
      </c>
      <c r="H1821" s="328" t="s">
        <v>2863</v>
      </c>
      <c r="I1821" s="258" t="s">
        <v>2864</v>
      </c>
      <c r="J1821" s="259" t="s">
        <v>1272</v>
      </c>
      <c r="K1821" s="260"/>
      <c r="L1821" s="359"/>
      <c r="M1821" s="359"/>
      <c r="N1821" s="173" t="s">
        <v>679</v>
      </c>
      <c r="O1821" s="173" t="s">
        <v>225</v>
      </c>
      <c r="P1821" s="262" t="str">
        <f t="shared" si="1"/>
        <v>IN-BLR-ANANTA-VAV-1393_8</v>
      </c>
      <c r="Q1821" s="173" t="s">
        <v>6846</v>
      </c>
      <c r="R1821" s="328" t="str">
        <f>IFS(C1821="","",C1821="n/a","N/A",LEN(C1821),Concatenate("{",char(34),"asset",char(34),":{",char(34),"guid",char(34),":",char(34),Q1821,char(34),",",char(34),"site",char(34),":",char(34),LOWER('2-Building'!$B$4),char(34),",",char(34),"name",char(34),":",char(34),LOWER(C1821),char(34),"}}"))</f>
        <v>{"asset":{"guid":"uuid://b6f1d504-d16a-48d3-83f0-c8d0938dc3e8","site":"in-blr-ananta","name":"vav-1393"}}</v>
      </c>
      <c r="S1821" s="360" t="s">
        <v>5516</v>
      </c>
      <c r="T1821" s="330"/>
      <c r="U1821" s="330"/>
      <c r="V1821" s="331"/>
      <c r="W1821" s="332"/>
      <c r="X1821" s="333"/>
      <c r="Y1821" s="33" t="s">
        <v>2867</v>
      </c>
      <c r="Z1821" s="258">
        <v>121393.0</v>
      </c>
      <c r="AA1821" s="334">
        <v>11645.0</v>
      </c>
      <c r="AB1821" s="333"/>
      <c r="AC1821" s="333"/>
      <c r="AD1821" s="329"/>
      <c r="AE1821" s="331"/>
      <c r="AF1821" s="336"/>
      <c r="AG1821" s="337"/>
      <c r="AH1821" s="333"/>
      <c r="AI1821" s="333"/>
      <c r="AJ1821" s="333"/>
      <c r="AK1821" s="333"/>
      <c r="AL1821" s="333"/>
      <c r="AM1821" s="338"/>
      <c r="AN1821" s="333"/>
      <c r="AO1821" s="333"/>
      <c r="AP1821" s="333"/>
      <c r="AQ1821" s="333"/>
      <c r="AR1821" s="333"/>
      <c r="AS1821" s="333"/>
      <c r="AT1821" s="333"/>
      <c r="AU1821" s="329"/>
      <c r="AV1821" s="341"/>
      <c r="AW1821" s="269" t="s">
        <v>2496</v>
      </c>
      <c r="AX1821" s="334" t="s">
        <v>2869</v>
      </c>
      <c r="AY1821" s="270" t="s">
        <v>695</v>
      </c>
      <c r="AZ1821" s="173" t="s">
        <v>5516</v>
      </c>
      <c r="BA1821" s="265">
        <v>10.0</v>
      </c>
      <c r="BB1821" s="174" t="s">
        <v>245</v>
      </c>
      <c r="BC1821" s="341"/>
      <c r="BD1821" s="308"/>
      <c r="BE1821" s="342"/>
      <c r="BF1821" s="274" t="str">
        <f>IFERROR(__xludf.DUMMYFUNCTION("LOWER(Regexreplace(to_text(E1821),""[^A-Za-z0-9]"","""")&amp;""_""&amp;Regexreplace(to_text(F1821),""[^A-Za-z0-9]"",""""))"),"neptronic_evcbseries")</f>
        <v>neptronic_evcbseries</v>
      </c>
      <c r="BG1821" s="275" t="str">
        <f>IFERROR(__xludf.DUMMYFUNCTION("upper(Regexreplace(to_text(E1821),""[^A-Za-z0-9]"","""")&amp;""-""&amp;Regexreplace(to_text(F1821),""[^A-Za-z0-9]"",""""))"),"NEPTRONIC-EVCBSERIES")</f>
        <v>NEPTRONIC-EVCBSERIES</v>
      </c>
    </row>
    <row r="1822" ht="30.0" customHeight="1">
      <c r="A1822" s="258">
        <v>1814.0</v>
      </c>
      <c r="B1822" s="328" t="s">
        <v>670</v>
      </c>
      <c r="C1822" s="257" t="s">
        <v>6847</v>
      </c>
      <c r="D1822" s="173" t="s">
        <v>6847</v>
      </c>
      <c r="E1822" s="174" t="s">
        <v>2861</v>
      </c>
      <c r="F1822" s="173" t="s">
        <v>2862</v>
      </c>
      <c r="G1822" s="328" t="s">
        <v>673</v>
      </c>
      <c r="H1822" s="328" t="s">
        <v>2863</v>
      </c>
      <c r="I1822" s="258" t="s">
        <v>2864</v>
      </c>
      <c r="J1822" s="259" t="s">
        <v>1272</v>
      </c>
      <c r="K1822" s="260"/>
      <c r="L1822" s="359"/>
      <c r="M1822" s="359"/>
      <c r="N1822" s="173" t="s">
        <v>679</v>
      </c>
      <c r="O1822" s="173" t="s">
        <v>225</v>
      </c>
      <c r="P1822" s="262" t="str">
        <f t="shared" si="1"/>
        <v>IN-BLR-ANANTA-VAV-1394_8</v>
      </c>
      <c r="Q1822" s="173" t="s">
        <v>6848</v>
      </c>
      <c r="R1822" s="328" t="str">
        <f>IFS(C1822="","",C1822="n/a","N/A",LEN(C1822),Concatenate("{",char(34),"asset",char(34),":{",char(34),"guid",char(34),":",char(34),Q1822,char(34),",",char(34),"site",char(34),":",char(34),LOWER('2-Building'!$B$4),char(34),",",char(34),"name",char(34),":",char(34),LOWER(C1822),char(34),"}}"))</f>
        <v>{"asset":{"guid":"uuid://e621bfe0-ad06-466c-aa16-851acdd31351","site":"in-blr-ananta","name":"vav-1394"}}</v>
      </c>
      <c r="S1822" s="360" t="s">
        <v>5516</v>
      </c>
      <c r="T1822" s="330"/>
      <c r="U1822" s="330"/>
      <c r="V1822" s="331"/>
      <c r="W1822" s="332"/>
      <c r="X1822" s="333"/>
      <c r="Y1822" s="33" t="s">
        <v>2867</v>
      </c>
      <c r="Z1822" s="258">
        <v>121394.0</v>
      </c>
      <c r="AA1822" s="334">
        <v>11645.0</v>
      </c>
      <c r="AB1822" s="333"/>
      <c r="AC1822" s="333"/>
      <c r="AD1822" s="329"/>
      <c r="AE1822" s="331"/>
      <c r="AF1822" s="336"/>
      <c r="AG1822" s="337"/>
      <c r="AH1822" s="333"/>
      <c r="AI1822" s="333"/>
      <c r="AJ1822" s="333"/>
      <c r="AK1822" s="333"/>
      <c r="AL1822" s="333"/>
      <c r="AM1822" s="338"/>
      <c r="AN1822" s="333"/>
      <c r="AO1822" s="333"/>
      <c r="AP1822" s="333"/>
      <c r="AQ1822" s="333"/>
      <c r="AR1822" s="333"/>
      <c r="AS1822" s="333"/>
      <c r="AT1822" s="333"/>
      <c r="AU1822" s="329"/>
      <c r="AV1822" s="341"/>
      <c r="AW1822" s="269" t="s">
        <v>2496</v>
      </c>
      <c r="AX1822" s="334" t="s">
        <v>2869</v>
      </c>
      <c r="AY1822" s="270" t="s">
        <v>695</v>
      </c>
      <c r="AZ1822" s="173" t="s">
        <v>5516</v>
      </c>
      <c r="BA1822" s="265">
        <v>10.0</v>
      </c>
      <c r="BB1822" s="174" t="s">
        <v>245</v>
      </c>
      <c r="BC1822" s="341"/>
      <c r="BD1822" s="308"/>
      <c r="BE1822" s="342"/>
      <c r="BF1822" s="274" t="str">
        <f>IFERROR(__xludf.DUMMYFUNCTION("LOWER(Regexreplace(to_text(E1822),""[^A-Za-z0-9]"","""")&amp;""_""&amp;Regexreplace(to_text(F1822),""[^A-Za-z0-9]"",""""))"),"neptronic_evcbseries")</f>
        <v>neptronic_evcbseries</v>
      </c>
      <c r="BG1822" s="275" t="str">
        <f>IFERROR(__xludf.DUMMYFUNCTION("upper(Regexreplace(to_text(E1822),""[^A-Za-z0-9]"","""")&amp;""-""&amp;Regexreplace(to_text(F1822),""[^A-Za-z0-9]"",""""))"),"NEPTRONIC-EVCBSERIES")</f>
        <v>NEPTRONIC-EVCBSERIES</v>
      </c>
    </row>
    <row r="1823" ht="30.0" customHeight="1">
      <c r="A1823" s="173">
        <v>1815.0</v>
      </c>
      <c r="B1823" s="328" t="s">
        <v>670</v>
      </c>
      <c r="C1823" s="257" t="s">
        <v>6849</v>
      </c>
      <c r="D1823" s="173" t="s">
        <v>6849</v>
      </c>
      <c r="E1823" s="174" t="s">
        <v>2861</v>
      </c>
      <c r="F1823" s="173" t="s">
        <v>2862</v>
      </c>
      <c r="G1823" s="328" t="s">
        <v>673</v>
      </c>
      <c r="H1823" s="328" t="s">
        <v>2863</v>
      </c>
      <c r="I1823" s="258" t="s">
        <v>2864</v>
      </c>
      <c r="J1823" s="259" t="s">
        <v>1272</v>
      </c>
      <c r="K1823" s="260"/>
      <c r="L1823" s="359"/>
      <c r="M1823" s="359"/>
      <c r="N1823" s="173" t="s">
        <v>679</v>
      </c>
      <c r="O1823" s="173" t="s">
        <v>225</v>
      </c>
      <c r="P1823" s="262" t="str">
        <f t="shared" si="1"/>
        <v>IN-BLR-ANANTA-VAV-1395_8</v>
      </c>
      <c r="Q1823" s="173" t="s">
        <v>6850</v>
      </c>
      <c r="R1823" s="328" t="str">
        <f>IFS(C1823="","",C1823="n/a","N/A",LEN(C1823),Concatenate("{",char(34),"asset",char(34),":{",char(34),"guid",char(34),":",char(34),Q1823,char(34),",",char(34),"site",char(34),":",char(34),LOWER('2-Building'!$B$4),char(34),",",char(34),"name",char(34),":",char(34),LOWER(C1823),char(34),"}}"))</f>
        <v>{"asset":{"guid":"uuid://12f9e767-f3ba-4299-b50c-971a1f729e75","site":"in-blr-ananta","name":"vav-1395"}}</v>
      </c>
      <c r="S1823" s="360" t="s">
        <v>5516</v>
      </c>
      <c r="T1823" s="330"/>
      <c r="U1823" s="330"/>
      <c r="V1823" s="331"/>
      <c r="W1823" s="332"/>
      <c r="X1823" s="333"/>
      <c r="Y1823" s="33" t="s">
        <v>2867</v>
      </c>
      <c r="Z1823" s="258">
        <v>121395.0</v>
      </c>
      <c r="AA1823" s="334">
        <v>11645.0</v>
      </c>
      <c r="AB1823" s="333"/>
      <c r="AC1823" s="333"/>
      <c r="AD1823" s="329"/>
      <c r="AE1823" s="331"/>
      <c r="AF1823" s="336"/>
      <c r="AG1823" s="337"/>
      <c r="AH1823" s="333"/>
      <c r="AI1823" s="333"/>
      <c r="AJ1823" s="333"/>
      <c r="AK1823" s="333"/>
      <c r="AL1823" s="333"/>
      <c r="AM1823" s="338"/>
      <c r="AN1823" s="333"/>
      <c r="AO1823" s="333"/>
      <c r="AP1823" s="333"/>
      <c r="AQ1823" s="333"/>
      <c r="AR1823" s="333"/>
      <c r="AS1823" s="333"/>
      <c r="AT1823" s="333"/>
      <c r="AU1823" s="329"/>
      <c r="AV1823" s="341"/>
      <c r="AW1823" s="269" t="s">
        <v>2496</v>
      </c>
      <c r="AX1823" s="334" t="s">
        <v>2869</v>
      </c>
      <c r="AY1823" s="270" t="s">
        <v>695</v>
      </c>
      <c r="AZ1823" s="173" t="s">
        <v>5516</v>
      </c>
      <c r="BA1823" s="265">
        <v>10.0</v>
      </c>
      <c r="BB1823" s="174" t="s">
        <v>245</v>
      </c>
      <c r="BC1823" s="341"/>
      <c r="BD1823" s="308"/>
      <c r="BE1823" s="342"/>
      <c r="BF1823" s="274" t="str">
        <f>IFERROR(__xludf.DUMMYFUNCTION("LOWER(Regexreplace(to_text(E1823),""[^A-Za-z0-9]"","""")&amp;""_""&amp;Regexreplace(to_text(F1823),""[^A-Za-z0-9]"",""""))"),"neptronic_evcbseries")</f>
        <v>neptronic_evcbseries</v>
      </c>
      <c r="BG1823" s="275" t="str">
        <f>IFERROR(__xludf.DUMMYFUNCTION("upper(Regexreplace(to_text(E1823),""[^A-Za-z0-9]"","""")&amp;""-""&amp;Regexreplace(to_text(F1823),""[^A-Za-z0-9]"",""""))"),"NEPTRONIC-EVCBSERIES")</f>
        <v>NEPTRONIC-EVCBSERIES</v>
      </c>
    </row>
    <row r="1824" ht="30.0" customHeight="1">
      <c r="A1824" s="258">
        <v>1816.0</v>
      </c>
      <c r="B1824" s="328" t="s">
        <v>670</v>
      </c>
      <c r="C1824" s="257" t="s">
        <v>6851</v>
      </c>
      <c r="D1824" s="173" t="s">
        <v>6851</v>
      </c>
      <c r="E1824" s="174" t="s">
        <v>2861</v>
      </c>
      <c r="F1824" s="173" t="s">
        <v>2862</v>
      </c>
      <c r="G1824" s="328" t="s">
        <v>673</v>
      </c>
      <c r="H1824" s="328" t="s">
        <v>2863</v>
      </c>
      <c r="I1824" s="258" t="s">
        <v>2864</v>
      </c>
      <c r="J1824" s="259" t="s">
        <v>1272</v>
      </c>
      <c r="K1824" s="260"/>
      <c r="L1824" s="359"/>
      <c r="M1824" s="359"/>
      <c r="N1824" s="173" t="s">
        <v>679</v>
      </c>
      <c r="O1824" s="173" t="s">
        <v>225</v>
      </c>
      <c r="P1824" s="262" t="str">
        <f t="shared" si="1"/>
        <v>IN-BLR-ANANTA-VAV-1396_8</v>
      </c>
      <c r="Q1824" s="173" t="s">
        <v>6852</v>
      </c>
      <c r="R1824" s="328" t="str">
        <f>IFS(C1824="","",C1824="n/a","N/A",LEN(C1824),Concatenate("{",char(34),"asset",char(34),":{",char(34),"guid",char(34),":",char(34),Q1824,char(34),",",char(34),"site",char(34),":",char(34),LOWER('2-Building'!$B$4),char(34),",",char(34),"name",char(34),":",char(34),LOWER(C1824),char(34),"}}"))</f>
        <v>{"asset":{"guid":"uuid://f8a4735c-ffb6-4bf2-b17c-312d02d0a05c","site":"in-blr-ananta","name":"vav-1396"}}</v>
      </c>
      <c r="S1824" s="360" t="s">
        <v>5516</v>
      </c>
      <c r="T1824" s="330"/>
      <c r="U1824" s="330"/>
      <c r="V1824" s="331"/>
      <c r="W1824" s="332"/>
      <c r="X1824" s="333"/>
      <c r="Y1824" s="33" t="s">
        <v>2867</v>
      </c>
      <c r="Z1824" s="258">
        <v>121396.0</v>
      </c>
      <c r="AA1824" s="334">
        <v>11645.0</v>
      </c>
      <c r="AB1824" s="333"/>
      <c r="AC1824" s="333"/>
      <c r="AD1824" s="329"/>
      <c r="AE1824" s="331"/>
      <c r="AF1824" s="336"/>
      <c r="AG1824" s="337"/>
      <c r="AH1824" s="333"/>
      <c r="AI1824" s="333"/>
      <c r="AJ1824" s="333"/>
      <c r="AK1824" s="333"/>
      <c r="AL1824" s="333"/>
      <c r="AM1824" s="338"/>
      <c r="AN1824" s="333"/>
      <c r="AO1824" s="333"/>
      <c r="AP1824" s="333"/>
      <c r="AQ1824" s="333"/>
      <c r="AR1824" s="333"/>
      <c r="AS1824" s="333"/>
      <c r="AT1824" s="333"/>
      <c r="AU1824" s="329"/>
      <c r="AV1824" s="341"/>
      <c r="AW1824" s="269" t="s">
        <v>2496</v>
      </c>
      <c r="AX1824" s="334" t="s">
        <v>2869</v>
      </c>
      <c r="AY1824" s="270" t="s">
        <v>695</v>
      </c>
      <c r="AZ1824" s="173" t="s">
        <v>5516</v>
      </c>
      <c r="BA1824" s="265">
        <v>10.0</v>
      </c>
      <c r="BB1824" s="174" t="s">
        <v>245</v>
      </c>
      <c r="BC1824" s="341"/>
      <c r="BD1824" s="308"/>
      <c r="BE1824" s="342"/>
      <c r="BF1824" s="274" t="str">
        <f>IFERROR(__xludf.DUMMYFUNCTION("LOWER(Regexreplace(to_text(E1824),""[^A-Za-z0-9]"","""")&amp;""_""&amp;Regexreplace(to_text(F1824),""[^A-Za-z0-9]"",""""))"),"neptronic_evcbseries")</f>
        <v>neptronic_evcbseries</v>
      </c>
      <c r="BG1824" s="275" t="str">
        <f>IFERROR(__xludf.DUMMYFUNCTION("upper(Regexreplace(to_text(E1824),""[^A-Za-z0-9]"","""")&amp;""-""&amp;Regexreplace(to_text(F1824),""[^A-Za-z0-9]"",""""))"),"NEPTRONIC-EVCBSERIES")</f>
        <v>NEPTRONIC-EVCBSERIES</v>
      </c>
    </row>
    <row r="1825" ht="30.0" customHeight="1">
      <c r="A1825" s="173">
        <v>1817.0</v>
      </c>
      <c r="B1825" s="328" t="s">
        <v>670</v>
      </c>
      <c r="C1825" s="257" t="s">
        <v>6853</v>
      </c>
      <c r="D1825" s="173" t="s">
        <v>6853</v>
      </c>
      <c r="E1825" s="174" t="s">
        <v>2861</v>
      </c>
      <c r="F1825" s="173" t="s">
        <v>2862</v>
      </c>
      <c r="G1825" s="328" t="s">
        <v>673</v>
      </c>
      <c r="H1825" s="328" t="s">
        <v>2863</v>
      </c>
      <c r="I1825" s="258" t="s">
        <v>2864</v>
      </c>
      <c r="J1825" s="259" t="s">
        <v>1272</v>
      </c>
      <c r="K1825" s="260"/>
      <c r="L1825" s="359"/>
      <c r="M1825" s="359"/>
      <c r="N1825" s="173" t="s">
        <v>679</v>
      </c>
      <c r="O1825" s="173" t="s">
        <v>225</v>
      </c>
      <c r="P1825" s="262" t="str">
        <f t="shared" si="1"/>
        <v>IN-BLR-ANANTA-VAV-1397_8</v>
      </c>
      <c r="Q1825" s="173" t="s">
        <v>6854</v>
      </c>
      <c r="R1825" s="328" t="str">
        <f>IFS(C1825="","",C1825="n/a","N/A",LEN(C1825),Concatenate("{",char(34),"asset",char(34),":{",char(34),"guid",char(34),":",char(34),Q1825,char(34),",",char(34),"site",char(34),":",char(34),LOWER('2-Building'!$B$4),char(34),",",char(34),"name",char(34),":",char(34),LOWER(C1825),char(34),"}}"))</f>
        <v>{"asset":{"guid":"uuid://40f9a7f5-55f2-4e18-b8ad-990314e3ee13","site":"in-blr-ananta","name":"vav-1397"}}</v>
      </c>
      <c r="S1825" s="360" t="s">
        <v>5516</v>
      </c>
      <c r="T1825" s="330"/>
      <c r="U1825" s="330"/>
      <c r="V1825" s="331"/>
      <c r="W1825" s="332"/>
      <c r="X1825" s="333"/>
      <c r="Y1825" s="33" t="s">
        <v>2867</v>
      </c>
      <c r="Z1825" s="258">
        <v>121397.0</v>
      </c>
      <c r="AA1825" s="334">
        <v>11645.0</v>
      </c>
      <c r="AB1825" s="333"/>
      <c r="AC1825" s="333"/>
      <c r="AD1825" s="329"/>
      <c r="AE1825" s="331"/>
      <c r="AF1825" s="336"/>
      <c r="AG1825" s="337"/>
      <c r="AH1825" s="333"/>
      <c r="AI1825" s="333"/>
      <c r="AJ1825" s="333"/>
      <c r="AK1825" s="333"/>
      <c r="AL1825" s="333"/>
      <c r="AM1825" s="338"/>
      <c r="AN1825" s="333"/>
      <c r="AO1825" s="333"/>
      <c r="AP1825" s="333"/>
      <c r="AQ1825" s="333"/>
      <c r="AR1825" s="333"/>
      <c r="AS1825" s="333"/>
      <c r="AT1825" s="333"/>
      <c r="AU1825" s="329"/>
      <c r="AV1825" s="341"/>
      <c r="AW1825" s="269" t="s">
        <v>2496</v>
      </c>
      <c r="AX1825" s="334" t="s">
        <v>2869</v>
      </c>
      <c r="AY1825" s="270" t="s">
        <v>695</v>
      </c>
      <c r="AZ1825" s="173" t="s">
        <v>5516</v>
      </c>
      <c r="BA1825" s="265">
        <v>10.0</v>
      </c>
      <c r="BB1825" s="174" t="s">
        <v>245</v>
      </c>
      <c r="BC1825" s="341"/>
      <c r="BD1825" s="308"/>
      <c r="BE1825" s="342"/>
      <c r="BF1825" s="274" t="str">
        <f>IFERROR(__xludf.DUMMYFUNCTION("LOWER(Regexreplace(to_text(E1825),""[^A-Za-z0-9]"","""")&amp;""_""&amp;Regexreplace(to_text(F1825),""[^A-Za-z0-9]"",""""))"),"neptronic_evcbseries")</f>
        <v>neptronic_evcbseries</v>
      </c>
      <c r="BG1825" s="275" t="str">
        <f>IFERROR(__xludf.DUMMYFUNCTION("upper(Regexreplace(to_text(E1825),""[^A-Za-z0-9]"","""")&amp;""-""&amp;Regexreplace(to_text(F1825),""[^A-Za-z0-9]"",""""))"),"NEPTRONIC-EVCBSERIES")</f>
        <v>NEPTRONIC-EVCBSERIES</v>
      </c>
    </row>
    <row r="1826" ht="30.0" customHeight="1">
      <c r="A1826" s="258">
        <v>1818.0</v>
      </c>
      <c r="B1826" s="328" t="s">
        <v>670</v>
      </c>
      <c r="C1826" s="257" t="s">
        <v>6855</v>
      </c>
      <c r="D1826" s="173" t="s">
        <v>6855</v>
      </c>
      <c r="E1826" s="174" t="s">
        <v>2861</v>
      </c>
      <c r="F1826" s="173" t="s">
        <v>2862</v>
      </c>
      <c r="G1826" s="328" t="s">
        <v>673</v>
      </c>
      <c r="H1826" s="328" t="s">
        <v>2863</v>
      </c>
      <c r="I1826" s="258" t="s">
        <v>2864</v>
      </c>
      <c r="J1826" s="259" t="s">
        <v>1272</v>
      </c>
      <c r="K1826" s="260"/>
      <c r="L1826" s="359"/>
      <c r="M1826" s="359"/>
      <c r="N1826" s="173" t="s">
        <v>679</v>
      </c>
      <c r="O1826" s="173" t="s">
        <v>225</v>
      </c>
      <c r="P1826" s="262" t="str">
        <f t="shared" si="1"/>
        <v>IN-BLR-ANANTA-VAV-1398_8</v>
      </c>
      <c r="Q1826" s="173" t="s">
        <v>6856</v>
      </c>
      <c r="R1826" s="328" t="str">
        <f>IFS(C1826="","",C1826="n/a","N/A",LEN(C1826),Concatenate("{",char(34),"asset",char(34),":{",char(34),"guid",char(34),":",char(34),Q1826,char(34),",",char(34),"site",char(34),":",char(34),LOWER('2-Building'!$B$4),char(34),",",char(34),"name",char(34),":",char(34),LOWER(C1826),char(34),"}}"))</f>
        <v>{"asset":{"guid":"uuid://2a5898a0-21e3-4eda-bce4-7cb288208630","site":"in-blr-ananta","name":"vav-1398"}}</v>
      </c>
      <c r="S1826" s="360" t="s">
        <v>5516</v>
      </c>
      <c r="T1826" s="330"/>
      <c r="U1826" s="330"/>
      <c r="V1826" s="331"/>
      <c r="W1826" s="332"/>
      <c r="X1826" s="333"/>
      <c r="Y1826" s="33" t="s">
        <v>2867</v>
      </c>
      <c r="Z1826" s="258">
        <v>121398.0</v>
      </c>
      <c r="AA1826" s="334">
        <v>11645.0</v>
      </c>
      <c r="AB1826" s="333"/>
      <c r="AC1826" s="333"/>
      <c r="AD1826" s="329"/>
      <c r="AE1826" s="331"/>
      <c r="AF1826" s="336"/>
      <c r="AG1826" s="337"/>
      <c r="AH1826" s="333"/>
      <c r="AI1826" s="333"/>
      <c r="AJ1826" s="333"/>
      <c r="AK1826" s="333"/>
      <c r="AL1826" s="333"/>
      <c r="AM1826" s="338"/>
      <c r="AN1826" s="333"/>
      <c r="AO1826" s="333"/>
      <c r="AP1826" s="333"/>
      <c r="AQ1826" s="333"/>
      <c r="AR1826" s="333"/>
      <c r="AS1826" s="333"/>
      <c r="AT1826" s="333"/>
      <c r="AU1826" s="329"/>
      <c r="AV1826" s="341"/>
      <c r="AW1826" s="269" t="s">
        <v>2496</v>
      </c>
      <c r="AX1826" s="334" t="s">
        <v>2869</v>
      </c>
      <c r="AY1826" s="270" t="s">
        <v>695</v>
      </c>
      <c r="AZ1826" s="173" t="s">
        <v>5516</v>
      </c>
      <c r="BA1826" s="265">
        <v>10.0</v>
      </c>
      <c r="BB1826" s="174" t="s">
        <v>245</v>
      </c>
      <c r="BC1826" s="341"/>
      <c r="BD1826" s="308"/>
      <c r="BE1826" s="342"/>
      <c r="BF1826" s="274" t="str">
        <f>IFERROR(__xludf.DUMMYFUNCTION("LOWER(Regexreplace(to_text(E1826),""[^A-Za-z0-9]"","""")&amp;""_""&amp;Regexreplace(to_text(F1826),""[^A-Za-z0-9]"",""""))"),"neptronic_evcbseries")</f>
        <v>neptronic_evcbseries</v>
      </c>
      <c r="BG1826" s="275" t="str">
        <f>IFERROR(__xludf.DUMMYFUNCTION("upper(Regexreplace(to_text(E1826),""[^A-Za-z0-9]"","""")&amp;""-""&amp;Regexreplace(to_text(F1826),""[^A-Za-z0-9]"",""""))"),"NEPTRONIC-EVCBSERIES")</f>
        <v>NEPTRONIC-EVCBSERIES</v>
      </c>
    </row>
    <row r="1827" ht="30.0" customHeight="1">
      <c r="A1827" s="173">
        <v>1819.0</v>
      </c>
      <c r="B1827" s="328" t="s">
        <v>670</v>
      </c>
      <c r="C1827" s="257" t="s">
        <v>6857</v>
      </c>
      <c r="D1827" s="173" t="s">
        <v>6857</v>
      </c>
      <c r="E1827" s="174" t="s">
        <v>2861</v>
      </c>
      <c r="F1827" s="173" t="s">
        <v>2862</v>
      </c>
      <c r="G1827" s="328" t="s">
        <v>673</v>
      </c>
      <c r="H1827" s="328" t="s">
        <v>2863</v>
      </c>
      <c r="I1827" s="258" t="s">
        <v>2864</v>
      </c>
      <c r="J1827" s="259" t="s">
        <v>1272</v>
      </c>
      <c r="K1827" s="260"/>
      <c r="L1827" s="359"/>
      <c r="M1827" s="359"/>
      <c r="N1827" s="173" t="s">
        <v>679</v>
      </c>
      <c r="O1827" s="173" t="s">
        <v>225</v>
      </c>
      <c r="P1827" s="262" t="str">
        <f t="shared" si="1"/>
        <v>IN-BLR-ANANTA-VAV-1399_8</v>
      </c>
      <c r="Q1827" s="173" t="s">
        <v>6858</v>
      </c>
      <c r="R1827" s="328" t="str">
        <f>IFS(C1827="","",C1827="n/a","N/A",LEN(C1827),Concatenate("{",char(34),"asset",char(34),":{",char(34),"guid",char(34),":",char(34),Q1827,char(34),",",char(34),"site",char(34),":",char(34),LOWER('2-Building'!$B$4),char(34),",",char(34),"name",char(34),":",char(34),LOWER(C1827),char(34),"}}"))</f>
        <v>{"asset":{"guid":"uuid://79ea488d-04df-4b06-8ad2-c04b784e7c3d","site":"in-blr-ananta","name":"vav-1399"}}</v>
      </c>
      <c r="S1827" s="360" t="s">
        <v>5516</v>
      </c>
      <c r="T1827" s="330"/>
      <c r="U1827" s="330"/>
      <c r="V1827" s="331"/>
      <c r="W1827" s="332"/>
      <c r="X1827" s="333"/>
      <c r="Y1827" s="33" t="s">
        <v>2867</v>
      </c>
      <c r="Z1827" s="258">
        <v>121399.0</v>
      </c>
      <c r="AA1827" s="334">
        <v>11645.0</v>
      </c>
      <c r="AB1827" s="333"/>
      <c r="AC1827" s="333"/>
      <c r="AD1827" s="329"/>
      <c r="AE1827" s="331"/>
      <c r="AF1827" s="336"/>
      <c r="AG1827" s="337"/>
      <c r="AH1827" s="333"/>
      <c r="AI1827" s="333"/>
      <c r="AJ1827" s="333"/>
      <c r="AK1827" s="333"/>
      <c r="AL1827" s="333"/>
      <c r="AM1827" s="338"/>
      <c r="AN1827" s="333"/>
      <c r="AO1827" s="333"/>
      <c r="AP1827" s="333"/>
      <c r="AQ1827" s="333"/>
      <c r="AR1827" s="333"/>
      <c r="AS1827" s="333"/>
      <c r="AT1827" s="333"/>
      <c r="AU1827" s="329"/>
      <c r="AV1827" s="341"/>
      <c r="AW1827" s="269" t="s">
        <v>2496</v>
      </c>
      <c r="AX1827" s="334" t="s">
        <v>2869</v>
      </c>
      <c r="AY1827" s="270" t="s">
        <v>695</v>
      </c>
      <c r="AZ1827" s="173" t="s">
        <v>5516</v>
      </c>
      <c r="BA1827" s="265">
        <v>10.0</v>
      </c>
      <c r="BB1827" s="174" t="s">
        <v>245</v>
      </c>
      <c r="BC1827" s="341"/>
      <c r="BD1827" s="308"/>
      <c r="BE1827" s="342"/>
      <c r="BF1827" s="274" t="str">
        <f>IFERROR(__xludf.DUMMYFUNCTION("LOWER(Regexreplace(to_text(E1827),""[^A-Za-z0-9]"","""")&amp;""_""&amp;Regexreplace(to_text(F1827),""[^A-Za-z0-9]"",""""))"),"neptronic_evcbseries")</f>
        <v>neptronic_evcbseries</v>
      </c>
      <c r="BG1827" s="275" t="str">
        <f>IFERROR(__xludf.DUMMYFUNCTION("upper(Regexreplace(to_text(E1827),""[^A-Za-z0-9]"","""")&amp;""-""&amp;Regexreplace(to_text(F1827),""[^A-Za-z0-9]"",""""))"),"NEPTRONIC-EVCBSERIES")</f>
        <v>NEPTRONIC-EVCBSERIES</v>
      </c>
    </row>
    <row r="1828" ht="30.0" customHeight="1">
      <c r="A1828" s="258">
        <v>1820.0</v>
      </c>
      <c r="B1828" s="328" t="s">
        <v>670</v>
      </c>
      <c r="C1828" s="257" t="s">
        <v>6859</v>
      </c>
      <c r="D1828" s="173" t="s">
        <v>6859</v>
      </c>
      <c r="E1828" s="174" t="s">
        <v>2861</v>
      </c>
      <c r="F1828" s="173" t="s">
        <v>2862</v>
      </c>
      <c r="G1828" s="328" t="s">
        <v>673</v>
      </c>
      <c r="H1828" s="328" t="s">
        <v>2863</v>
      </c>
      <c r="I1828" s="258" t="s">
        <v>2864</v>
      </c>
      <c r="J1828" s="259" t="s">
        <v>1272</v>
      </c>
      <c r="K1828" s="260"/>
      <c r="L1828" s="359"/>
      <c r="M1828" s="359"/>
      <c r="N1828" s="173" t="s">
        <v>679</v>
      </c>
      <c r="O1828" s="173" t="s">
        <v>225</v>
      </c>
      <c r="P1828" s="262" t="str">
        <f t="shared" si="1"/>
        <v>IN-BLR-ANANTA-VAV-1400_8</v>
      </c>
      <c r="Q1828" s="173" t="s">
        <v>6860</v>
      </c>
      <c r="R1828" s="328" t="str">
        <f>IFS(C1828="","",C1828="n/a","N/A",LEN(C1828),Concatenate("{",char(34),"asset",char(34),":{",char(34),"guid",char(34),":",char(34),Q1828,char(34),",",char(34),"site",char(34),":",char(34),LOWER('2-Building'!$B$4),char(34),",",char(34),"name",char(34),":",char(34),LOWER(C1828),char(34),"}}"))</f>
        <v>{"asset":{"guid":"uuid://7bc23157-ebec-47c5-bc36-e811a745f2f9","site":"in-blr-ananta","name":"vav-1400"}}</v>
      </c>
      <c r="S1828" s="360" t="s">
        <v>5516</v>
      </c>
      <c r="T1828" s="330"/>
      <c r="U1828" s="330"/>
      <c r="V1828" s="331"/>
      <c r="W1828" s="332"/>
      <c r="X1828" s="333"/>
      <c r="Y1828" s="33" t="s">
        <v>2867</v>
      </c>
      <c r="Z1828" s="258">
        <v>121400.0</v>
      </c>
      <c r="AA1828" s="334">
        <v>11645.0</v>
      </c>
      <c r="AB1828" s="333"/>
      <c r="AC1828" s="333"/>
      <c r="AD1828" s="329"/>
      <c r="AE1828" s="331"/>
      <c r="AF1828" s="336"/>
      <c r="AG1828" s="337"/>
      <c r="AH1828" s="333"/>
      <c r="AI1828" s="333"/>
      <c r="AJ1828" s="333"/>
      <c r="AK1828" s="333"/>
      <c r="AL1828" s="333"/>
      <c r="AM1828" s="338"/>
      <c r="AN1828" s="333"/>
      <c r="AO1828" s="333"/>
      <c r="AP1828" s="333"/>
      <c r="AQ1828" s="333"/>
      <c r="AR1828" s="333"/>
      <c r="AS1828" s="333"/>
      <c r="AT1828" s="333"/>
      <c r="AU1828" s="329"/>
      <c r="AV1828" s="341"/>
      <c r="AW1828" s="269" t="s">
        <v>2496</v>
      </c>
      <c r="AX1828" s="334" t="s">
        <v>2869</v>
      </c>
      <c r="AY1828" s="270" t="s">
        <v>695</v>
      </c>
      <c r="AZ1828" s="173" t="s">
        <v>5516</v>
      </c>
      <c r="BA1828" s="265">
        <v>10.0</v>
      </c>
      <c r="BB1828" s="174" t="s">
        <v>245</v>
      </c>
      <c r="BC1828" s="341"/>
      <c r="BD1828" s="308"/>
      <c r="BE1828" s="342"/>
      <c r="BF1828" s="274" t="str">
        <f>IFERROR(__xludf.DUMMYFUNCTION("LOWER(Regexreplace(to_text(E1828),""[^A-Za-z0-9]"","""")&amp;""_""&amp;Regexreplace(to_text(F1828),""[^A-Za-z0-9]"",""""))"),"neptronic_evcbseries")</f>
        <v>neptronic_evcbseries</v>
      </c>
      <c r="BG1828" s="275" t="str">
        <f>IFERROR(__xludf.DUMMYFUNCTION("upper(Regexreplace(to_text(E1828),""[^A-Za-z0-9]"","""")&amp;""-""&amp;Regexreplace(to_text(F1828),""[^A-Za-z0-9]"",""""))"),"NEPTRONIC-EVCBSERIES")</f>
        <v>NEPTRONIC-EVCBSERIES</v>
      </c>
    </row>
    <row r="1829" ht="30.0" customHeight="1">
      <c r="A1829" s="173">
        <v>1821.0</v>
      </c>
      <c r="B1829" s="328" t="s">
        <v>670</v>
      </c>
      <c r="C1829" s="257" t="s">
        <v>6861</v>
      </c>
      <c r="D1829" s="173" t="s">
        <v>6861</v>
      </c>
      <c r="E1829" s="174" t="s">
        <v>2861</v>
      </c>
      <c r="F1829" s="173" t="s">
        <v>2862</v>
      </c>
      <c r="G1829" s="328" t="s">
        <v>673</v>
      </c>
      <c r="H1829" s="328" t="s">
        <v>2863</v>
      </c>
      <c r="I1829" s="258" t="s">
        <v>2864</v>
      </c>
      <c r="J1829" s="259" t="s">
        <v>1272</v>
      </c>
      <c r="K1829" s="260"/>
      <c r="L1829" s="359"/>
      <c r="M1829" s="359"/>
      <c r="N1829" s="173" t="s">
        <v>679</v>
      </c>
      <c r="O1829" s="173" t="s">
        <v>225</v>
      </c>
      <c r="P1829" s="262" t="str">
        <f t="shared" si="1"/>
        <v>IN-BLR-ANANTA-VAV-1401_8</v>
      </c>
      <c r="Q1829" s="173" t="s">
        <v>6862</v>
      </c>
      <c r="R1829" s="328" t="str">
        <f>IFS(C1829="","",C1829="n/a","N/A",LEN(C1829),Concatenate("{",char(34),"asset",char(34),":{",char(34),"guid",char(34),":",char(34),Q1829,char(34),",",char(34),"site",char(34),":",char(34),LOWER('2-Building'!$B$4),char(34),",",char(34),"name",char(34),":",char(34),LOWER(C1829),char(34),"}}"))</f>
        <v>{"asset":{"guid":"uuid://e2b7bfef-31d0-464b-b02d-01ffa6afa510","site":"in-blr-ananta","name":"vav-1401"}}</v>
      </c>
      <c r="S1829" s="360" t="s">
        <v>5516</v>
      </c>
      <c r="T1829" s="330"/>
      <c r="U1829" s="330"/>
      <c r="V1829" s="331"/>
      <c r="W1829" s="332"/>
      <c r="X1829" s="333"/>
      <c r="Y1829" s="33" t="s">
        <v>2867</v>
      </c>
      <c r="Z1829" s="258">
        <v>121401.0</v>
      </c>
      <c r="AA1829" s="334">
        <v>11645.0</v>
      </c>
      <c r="AB1829" s="333"/>
      <c r="AC1829" s="333"/>
      <c r="AD1829" s="329"/>
      <c r="AE1829" s="331"/>
      <c r="AF1829" s="336"/>
      <c r="AG1829" s="337"/>
      <c r="AH1829" s="333"/>
      <c r="AI1829" s="333"/>
      <c r="AJ1829" s="333"/>
      <c r="AK1829" s="333"/>
      <c r="AL1829" s="333"/>
      <c r="AM1829" s="338"/>
      <c r="AN1829" s="333"/>
      <c r="AO1829" s="333"/>
      <c r="AP1829" s="333"/>
      <c r="AQ1829" s="333"/>
      <c r="AR1829" s="333"/>
      <c r="AS1829" s="333"/>
      <c r="AT1829" s="333"/>
      <c r="AU1829" s="329"/>
      <c r="AV1829" s="341"/>
      <c r="AW1829" s="269" t="s">
        <v>2496</v>
      </c>
      <c r="AX1829" s="334" t="s">
        <v>2869</v>
      </c>
      <c r="AY1829" s="270" t="s">
        <v>695</v>
      </c>
      <c r="AZ1829" s="173" t="s">
        <v>5516</v>
      </c>
      <c r="BA1829" s="265">
        <v>10.0</v>
      </c>
      <c r="BB1829" s="174" t="s">
        <v>245</v>
      </c>
      <c r="BC1829" s="341"/>
      <c r="BD1829" s="308"/>
      <c r="BE1829" s="342"/>
      <c r="BF1829" s="274" t="str">
        <f>IFERROR(__xludf.DUMMYFUNCTION("LOWER(Regexreplace(to_text(E1829),""[^A-Za-z0-9]"","""")&amp;""_""&amp;Regexreplace(to_text(F1829),""[^A-Za-z0-9]"",""""))"),"neptronic_evcbseries")</f>
        <v>neptronic_evcbseries</v>
      </c>
      <c r="BG1829" s="275" t="str">
        <f>IFERROR(__xludf.DUMMYFUNCTION("upper(Regexreplace(to_text(E1829),""[^A-Za-z0-9]"","""")&amp;""-""&amp;Regexreplace(to_text(F1829),""[^A-Za-z0-9]"",""""))"),"NEPTRONIC-EVCBSERIES")</f>
        <v>NEPTRONIC-EVCBSERIES</v>
      </c>
    </row>
    <row r="1830" ht="30.0" customHeight="1">
      <c r="A1830" s="258">
        <v>1822.0</v>
      </c>
      <c r="B1830" s="328" t="s">
        <v>670</v>
      </c>
      <c r="C1830" s="257" t="s">
        <v>6863</v>
      </c>
      <c r="D1830" s="173" t="s">
        <v>6863</v>
      </c>
      <c r="E1830" s="174" t="s">
        <v>2861</v>
      </c>
      <c r="F1830" s="173" t="s">
        <v>2862</v>
      </c>
      <c r="G1830" s="328" t="s">
        <v>673</v>
      </c>
      <c r="H1830" s="328" t="s">
        <v>2863</v>
      </c>
      <c r="I1830" s="258" t="s">
        <v>2864</v>
      </c>
      <c r="J1830" s="259" t="s">
        <v>1272</v>
      </c>
      <c r="K1830" s="260"/>
      <c r="L1830" s="359"/>
      <c r="M1830" s="359"/>
      <c r="N1830" s="173" t="s">
        <v>679</v>
      </c>
      <c r="O1830" s="173" t="s">
        <v>225</v>
      </c>
      <c r="P1830" s="262" t="str">
        <f t="shared" si="1"/>
        <v>IN-BLR-ANANTA-VAV-1402_8</v>
      </c>
      <c r="Q1830" s="173" t="s">
        <v>6864</v>
      </c>
      <c r="R1830" s="328" t="str">
        <f>IFS(C1830="","",C1830="n/a","N/A",LEN(C1830),Concatenate("{",char(34),"asset",char(34),":{",char(34),"guid",char(34),":",char(34),Q1830,char(34),",",char(34),"site",char(34),":",char(34),LOWER('2-Building'!$B$4),char(34),",",char(34),"name",char(34),":",char(34),LOWER(C1830),char(34),"}}"))</f>
        <v>{"asset":{"guid":"uuid://89cc3540-76d6-48ec-a2b6-c5548ac34e2a","site":"in-blr-ananta","name":"vav-1402"}}</v>
      </c>
      <c r="S1830" s="360" t="s">
        <v>5516</v>
      </c>
      <c r="T1830" s="330"/>
      <c r="U1830" s="330"/>
      <c r="V1830" s="331"/>
      <c r="W1830" s="332"/>
      <c r="X1830" s="333"/>
      <c r="Y1830" s="33" t="s">
        <v>2867</v>
      </c>
      <c r="Z1830" s="258">
        <v>121402.0</v>
      </c>
      <c r="AA1830" s="334">
        <v>11645.0</v>
      </c>
      <c r="AB1830" s="333"/>
      <c r="AC1830" s="333"/>
      <c r="AD1830" s="329"/>
      <c r="AE1830" s="331"/>
      <c r="AF1830" s="336"/>
      <c r="AG1830" s="337"/>
      <c r="AH1830" s="333"/>
      <c r="AI1830" s="333"/>
      <c r="AJ1830" s="333"/>
      <c r="AK1830" s="333"/>
      <c r="AL1830" s="333"/>
      <c r="AM1830" s="338"/>
      <c r="AN1830" s="333"/>
      <c r="AO1830" s="333"/>
      <c r="AP1830" s="333"/>
      <c r="AQ1830" s="333"/>
      <c r="AR1830" s="333"/>
      <c r="AS1830" s="333"/>
      <c r="AT1830" s="333"/>
      <c r="AU1830" s="329"/>
      <c r="AV1830" s="341"/>
      <c r="AW1830" s="269" t="s">
        <v>2496</v>
      </c>
      <c r="AX1830" s="334" t="s">
        <v>2869</v>
      </c>
      <c r="AY1830" s="270" t="s">
        <v>695</v>
      </c>
      <c r="AZ1830" s="173" t="s">
        <v>5516</v>
      </c>
      <c r="BA1830" s="265">
        <v>10.0</v>
      </c>
      <c r="BB1830" s="174" t="s">
        <v>245</v>
      </c>
      <c r="BC1830" s="341"/>
      <c r="BD1830" s="308"/>
      <c r="BE1830" s="342"/>
      <c r="BF1830" s="274" t="str">
        <f>IFERROR(__xludf.DUMMYFUNCTION("LOWER(Regexreplace(to_text(E1830),""[^A-Za-z0-9]"","""")&amp;""_""&amp;Regexreplace(to_text(F1830),""[^A-Za-z0-9]"",""""))"),"neptronic_evcbseries")</f>
        <v>neptronic_evcbseries</v>
      </c>
      <c r="BG1830" s="275" t="str">
        <f>IFERROR(__xludf.DUMMYFUNCTION("upper(Regexreplace(to_text(E1830),""[^A-Za-z0-9]"","""")&amp;""-""&amp;Regexreplace(to_text(F1830),""[^A-Za-z0-9]"",""""))"),"NEPTRONIC-EVCBSERIES")</f>
        <v>NEPTRONIC-EVCBSERIES</v>
      </c>
    </row>
    <row r="1831" ht="30.0" customHeight="1">
      <c r="A1831" s="173">
        <v>1823.0</v>
      </c>
      <c r="B1831" s="328" t="s">
        <v>670</v>
      </c>
      <c r="C1831" s="257" t="s">
        <v>6865</v>
      </c>
      <c r="D1831" s="173" t="s">
        <v>6865</v>
      </c>
      <c r="E1831" s="174" t="s">
        <v>2861</v>
      </c>
      <c r="F1831" s="173" t="s">
        <v>2862</v>
      </c>
      <c r="G1831" s="328" t="s">
        <v>673</v>
      </c>
      <c r="H1831" s="328" t="s">
        <v>2863</v>
      </c>
      <c r="I1831" s="258" t="s">
        <v>2864</v>
      </c>
      <c r="J1831" s="259" t="s">
        <v>1272</v>
      </c>
      <c r="K1831" s="260"/>
      <c r="L1831" s="359"/>
      <c r="M1831" s="359"/>
      <c r="N1831" s="173" t="s">
        <v>679</v>
      </c>
      <c r="O1831" s="173" t="s">
        <v>225</v>
      </c>
      <c r="P1831" s="262" t="str">
        <f t="shared" si="1"/>
        <v>IN-BLR-ANANTA-VAV-1403_8</v>
      </c>
      <c r="Q1831" s="173" t="s">
        <v>6866</v>
      </c>
      <c r="R1831" s="328" t="str">
        <f>IFS(C1831="","",C1831="n/a","N/A",LEN(C1831),Concatenate("{",char(34),"asset",char(34),":{",char(34),"guid",char(34),":",char(34),Q1831,char(34),",",char(34),"site",char(34),":",char(34),LOWER('2-Building'!$B$4),char(34),",",char(34),"name",char(34),":",char(34),LOWER(C1831),char(34),"}}"))</f>
        <v>{"asset":{"guid":"uuid://b7a1dc71-5f54-4b60-9557-7ee483cd01af","site":"in-blr-ananta","name":"vav-1403"}}</v>
      </c>
      <c r="S1831" s="360" t="s">
        <v>5516</v>
      </c>
      <c r="T1831" s="330"/>
      <c r="U1831" s="330"/>
      <c r="V1831" s="331"/>
      <c r="W1831" s="332"/>
      <c r="X1831" s="333"/>
      <c r="Y1831" s="33" t="s">
        <v>2867</v>
      </c>
      <c r="Z1831" s="258">
        <v>121403.0</v>
      </c>
      <c r="AA1831" s="334">
        <v>11645.0</v>
      </c>
      <c r="AB1831" s="333"/>
      <c r="AC1831" s="333"/>
      <c r="AD1831" s="329"/>
      <c r="AE1831" s="331"/>
      <c r="AF1831" s="336"/>
      <c r="AG1831" s="337"/>
      <c r="AH1831" s="333"/>
      <c r="AI1831" s="333"/>
      <c r="AJ1831" s="333"/>
      <c r="AK1831" s="333"/>
      <c r="AL1831" s="333"/>
      <c r="AM1831" s="338"/>
      <c r="AN1831" s="333"/>
      <c r="AO1831" s="333"/>
      <c r="AP1831" s="333"/>
      <c r="AQ1831" s="333"/>
      <c r="AR1831" s="333"/>
      <c r="AS1831" s="333"/>
      <c r="AT1831" s="333"/>
      <c r="AU1831" s="329"/>
      <c r="AV1831" s="341"/>
      <c r="AW1831" s="269" t="s">
        <v>2496</v>
      </c>
      <c r="AX1831" s="334" t="s">
        <v>2869</v>
      </c>
      <c r="AY1831" s="270" t="s">
        <v>695</v>
      </c>
      <c r="AZ1831" s="173" t="s">
        <v>5516</v>
      </c>
      <c r="BA1831" s="265">
        <v>10.0</v>
      </c>
      <c r="BB1831" s="174" t="s">
        <v>245</v>
      </c>
      <c r="BC1831" s="341"/>
      <c r="BD1831" s="308"/>
      <c r="BE1831" s="342"/>
      <c r="BF1831" s="274" t="str">
        <f>IFERROR(__xludf.DUMMYFUNCTION("LOWER(Regexreplace(to_text(E1831),""[^A-Za-z0-9]"","""")&amp;""_""&amp;Regexreplace(to_text(F1831),""[^A-Za-z0-9]"",""""))"),"neptronic_evcbseries")</f>
        <v>neptronic_evcbseries</v>
      </c>
      <c r="BG1831" s="275" t="str">
        <f>IFERROR(__xludf.DUMMYFUNCTION("upper(Regexreplace(to_text(E1831),""[^A-Za-z0-9]"","""")&amp;""-""&amp;Regexreplace(to_text(F1831),""[^A-Za-z0-9]"",""""))"),"NEPTRONIC-EVCBSERIES")</f>
        <v>NEPTRONIC-EVCBSERIES</v>
      </c>
    </row>
    <row r="1832" ht="30.0" customHeight="1">
      <c r="A1832" s="258">
        <v>1824.0</v>
      </c>
      <c r="B1832" s="328" t="s">
        <v>670</v>
      </c>
      <c r="C1832" s="257" t="s">
        <v>6867</v>
      </c>
      <c r="D1832" s="173" t="s">
        <v>6867</v>
      </c>
      <c r="E1832" s="174" t="s">
        <v>2861</v>
      </c>
      <c r="F1832" s="173" t="s">
        <v>2862</v>
      </c>
      <c r="G1832" s="328" t="s">
        <v>673</v>
      </c>
      <c r="H1832" s="328" t="s">
        <v>2863</v>
      </c>
      <c r="I1832" s="258" t="s">
        <v>2864</v>
      </c>
      <c r="J1832" s="259" t="s">
        <v>1272</v>
      </c>
      <c r="K1832" s="260"/>
      <c r="L1832" s="359"/>
      <c r="M1832" s="359"/>
      <c r="N1832" s="173" t="s">
        <v>679</v>
      </c>
      <c r="O1832" s="173" t="s">
        <v>225</v>
      </c>
      <c r="P1832" s="262" t="str">
        <f t="shared" si="1"/>
        <v>IN-BLR-ANANTA-VAV-1404_8</v>
      </c>
      <c r="Q1832" s="173" t="s">
        <v>6868</v>
      </c>
      <c r="R1832" s="328" t="str">
        <f>IFS(C1832="","",C1832="n/a","N/A",LEN(C1832),Concatenate("{",char(34),"asset",char(34),":{",char(34),"guid",char(34),":",char(34),Q1832,char(34),",",char(34),"site",char(34),":",char(34),LOWER('2-Building'!$B$4),char(34),",",char(34),"name",char(34),":",char(34),LOWER(C1832),char(34),"}}"))</f>
        <v>{"asset":{"guid":"uuid://ba37ba03-37c2-4478-af22-60d637d38b87","site":"in-blr-ananta","name":"vav-1404"}}</v>
      </c>
      <c r="S1832" s="360" t="s">
        <v>5516</v>
      </c>
      <c r="T1832" s="330"/>
      <c r="U1832" s="330"/>
      <c r="V1832" s="331"/>
      <c r="W1832" s="332"/>
      <c r="X1832" s="333"/>
      <c r="Y1832" s="33" t="s">
        <v>2867</v>
      </c>
      <c r="Z1832" s="258">
        <v>121404.0</v>
      </c>
      <c r="AA1832" s="334">
        <v>11645.0</v>
      </c>
      <c r="AB1832" s="333"/>
      <c r="AC1832" s="333"/>
      <c r="AD1832" s="329"/>
      <c r="AE1832" s="331"/>
      <c r="AF1832" s="336"/>
      <c r="AG1832" s="337"/>
      <c r="AH1832" s="333"/>
      <c r="AI1832" s="333"/>
      <c r="AJ1832" s="333"/>
      <c r="AK1832" s="333"/>
      <c r="AL1832" s="333"/>
      <c r="AM1832" s="338"/>
      <c r="AN1832" s="333"/>
      <c r="AO1832" s="333"/>
      <c r="AP1832" s="333"/>
      <c r="AQ1832" s="333"/>
      <c r="AR1832" s="333"/>
      <c r="AS1832" s="333"/>
      <c r="AT1832" s="333"/>
      <c r="AU1832" s="329"/>
      <c r="AV1832" s="341"/>
      <c r="AW1832" s="269" t="s">
        <v>2496</v>
      </c>
      <c r="AX1832" s="334" t="s">
        <v>2869</v>
      </c>
      <c r="AY1832" s="270" t="s">
        <v>695</v>
      </c>
      <c r="AZ1832" s="173" t="s">
        <v>5516</v>
      </c>
      <c r="BA1832" s="265">
        <v>10.0</v>
      </c>
      <c r="BB1832" s="174" t="s">
        <v>245</v>
      </c>
      <c r="BC1832" s="341"/>
      <c r="BD1832" s="308"/>
      <c r="BE1832" s="342"/>
      <c r="BF1832" s="274" t="str">
        <f>IFERROR(__xludf.DUMMYFUNCTION("LOWER(Regexreplace(to_text(E1832),""[^A-Za-z0-9]"","""")&amp;""_""&amp;Regexreplace(to_text(F1832),""[^A-Za-z0-9]"",""""))"),"neptronic_evcbseries")</f>
        <v>neptronic_evcbseries</v>
      </c>
      <c r="BG1832" s="275" t="str">
        <f>IFERROR(__xludf.DUMMYFUNCTION("upper(Regexreplace(to_text(E1832),""[^A-Za-z0-9]"","""")&amp;""-""&amp;Regexreplace(to_text(F1832),""[^A-Za-z0-9]"",""""))"),"NEPTRONIC-EVCBSERIES")</f>
        <v>NEPTRONIC-EVCBSERIES</v>
      </c>
    </row>
    <row r="1833" ht="30.0" customHeight="1">
      <c r="A1833" s="173">
        <v>1825.0</v>
      </c>
      <c r="B1833" s="328" t="s">
        <v>670</v>
      </c>
      <c r="C1833" s="257" t="s">
        <v>6869</v>
      </c>
      <c r="D1833" s="173" t="s">
        <v>6869</v>
      </c>
      <c r="E1833" s="174" t="s">
        <v>2861</v>
      </c>
      <c r="F1833" s="173" t="s">
        <v>2862</v>
      </c>
      <c r="G1833" s="328" t="s">
        <v>673</v>
      </c>
      <c r="H1833" s="328" t="s">
        <v>2863</v>
      </c>
      <c r="I1833" s="258" t="s">
        <v>2864</v>
      </c>
      <c r="J1833" s="259" t="s">
        <v>1272</v>
      </c>
      <c r="K1833" s="260"/>
      <c r="L1833" s="359"/>
      <c r="M1833" s="359"/>
      <c r="N1833" s="173" t="s">
        <v>679</v>
      </c>
      <c r="O1833" s="173" t="s">
        <v>225</v>
      </c>
      <c r="P1833" s="262" t="str">
        <f t="shared" si="1"/>
        <v>IN-BLR-ANANTA-VAV-1405_8</v>
      </c>
      <c r="Q1833" s="173" t="s">
        <v>6870</v>
      </c>
      <c r="R1833" s="328" t="str">
        <f>IFS(C1833="","",C1833="n/a","N/A",LEN(C1833),Concatenate("{",char(34),"asset",char(34),":{",char(34),"guid",char(34),":",char(34),Q1833,char(34),",",char(34),"site",char(34),":",char(34),LOWER('2-Building'!$B$4),char(34),",",char(34),"name",char(34),":",char(34),LOWER(C1833),char(34),"}}"))</f>
        <v>{"asset":{"guid":"uuid://f9d867cf-f6db-4fb6-8c76-7b0be35de814","site":"in-blr-ananta","name":"vav-1405"}}</v>
      </c>
      <c r="S1833" s="360" t="s">
        <v>5516</v>
      </c>
      <c r="T1833" s="330"/>
      <c r="U1833" s="330"/>
      <c r="V1833" s="331"/>
      <c r="W1833" s="332"/>
      <c r="X1833" s="333"/>
      <c r="Y1833" s="33" t="s">
        <v>2867</v>
      </c>
      <c r="Z1833" s="258">
        <v>121405.0</v>
      </c>
      <c r="AA1833" s="334">
        <v>11645.0</v>
      </c>
      <c r="AB1833" s="333"/>
      <c r="AC1833" s="333"/>
      <c r="AD1833" s="329"/>
      <c r="AE1833" s="331"/>
      <c r="AF1833" s="336"/>
      <c r="AG1833" s="337"/>
      <c r="AH1833" s="333"/>
      <c r="AI1833" s="333"/>
      <c r="AJ1833" s="333"/>
      <c r="AK1833" s="333"/>
      <c r="AL1833" s="333"/>
      <c r="AM1833" s="338"/>
      <c r="AN1833" s="333"/>
      <c r="AO1833" s="333"/>
      <c r="AP1833" s="333"/>
      <c r="AQ1833" s="333"/>
      <c r="AR1833" s="333"/>
      <c r="AS1833" s="333"/>
      <c r="AT1833" s="333"/>
      <c r="AU1833" s="329"/>
      <c r="AV1833" s="341"/>
      <c r="AW1833" s="269" t="s">
        <v>2496</v>
      </c>
      <c r="AX1833" s="334" t="s">
        <v>2869</v>
      </c>
      <c r="AY1833" s="270" t="s">
        <v>695</v>
      </c>
      <c r="AZ1833" s="173" t="s">
        <v>5516</v>
      </c>
      <c r="BA1833" s="265">
        <v>10.0</v>
      </c>
      <c r="BB1833" s="174" t="s">
        <v>245</v>
      </c>
      <c r="BC1833" s="341"/>
      <c r="BD1833" s="308"/>
      <c r="BE1833" s="342"/>
      <c r="BF1833" s="274" t="str">
        <f>IFERROR(__xludf.DUMMYFUNCTION("LOWER(Regexreplace(to_text(E1833),""[^A-Za-z0-9]"","""")&amp;""_""&amp;Regexreplace(to_text(F1833),""[^A-Za-z0-9]"",""""))"),"neptronic_evcbseries")</f>
        <v>neptronic_evcbseries</v>
      </c>
      <c r="BG1833" s="275" t="str">
        <f>IFERROR(__xludf.DUMMYFUNCTION("upper(Regexreplace(to_text(E1833),""[^A-Za-z0-9]"","""")&amp;""-""&amp;Regexreplace(to_text(F1833),""[^A-Za-z0-9]"",""""))"),"NEPTRONIC-EVCBSERIES")</f>
        <v>NEPTRONIC-EVCBSERIES</v>
      </c>
    </row>
    <row r="1834" ht="30.0" customHeight="1">
      <c r="A1834" s="258">
        <v>1826.0</v>
      </c>
      <c r="B1834" s="328" t="s">
        <v>670</v>
      </c>
      <c r="C1834" s="257" t="s">
        <v>6871</v>
      </c>
      <c r="D1834" s="173" t="s">
        <v>6871</v>
      </c>
      <c r="E1834" s="174" t="s">
        <v>2861</v>
      </c>
      <c r="F1834" s="173" t="s">
        <v>2862</v>
      </c>
      <c r="G1834" s="328" t="s">
        <v>673</v>
      </c>
      <c r="H1834" s="328" t="s">
        <v>2863</v>
      </c>
      <c r="I1834" s="258" t="s">
        <v>2864</v>
      </c>
      <c r="J1834" s="259" t="s">
        <v>1272</v>
      </c>
      <c r="K1834" s="260"/>
      <c r="L1834" s="359"/>
      <c r="M1834" s="359"/>
      <c r="N1834" s="173" t="s">
        <v>679</v>
      </c>
      <c r="O1834" s="173" t="s">
        <v>225</v>
      </c>
      <c r="P1834" s="262" t="str">
        <f t="shared" si="1"/>
        <v>IN-BLR-ANANTA-VAV-1406_8</v>
      </c>
      <c r="Q1834" s="173" t="s">
        <v>6872</v>
      </c>
      <c r="R1834" s="328" t="str">
        <f>IFS(C1834="","",C1834="n/a","N/A",LEN(C1834),Concatenate("{",char(34),"asset",char(34),":{",char(34),"guid",char(34),":",char(34),Q1834,char(34),",",char(34),"site",char(34),":",char(34),LOWER('2-Building'!$B$4),char(34),",",char(34),"name",char(34),":",char(34),LOWER(C1834),char(34),"}}"))</f>
        <v>{"asset":{"guid":"uuid://d0c47543-cf03-49b4-afac-6ae21d51d9a0","site":"in-blr-ananta","name":"vav-1406"}}</v>
      </c>
      <c r="S1834" s="360" t="s">
        <v>5516</v>
      </c>
      <c r="T1834" s="330"/>
      <c r="U1834" s="330"/>
      <c r="V1834" s="331"/>
      <c r="W1834" s="332"/>
      <c r="X1834" s="333"/>
      <c r="Y1834" s="33" t="s">
        <v>2867</v>
      </c>
      <c r="Z1834" s="258">
        <v>121406.0</v>
      </c>
      <c r="AA1834" s="334">
        <v>11653.0</v>
      </c>
      <c r="AB1834" s="333"/>
      <c r="AC1834" s="333"/>
      <c r="AD1834" s="329"/>
      <c r="AE1834" s="331"/>
      <c r="AF1834" s="336"/>
      <c r="AG1834" s="337"/>
      <c r="AH1834" s="333"/>
      <c r="AI1834" s="333"/>
      <c r="AJ1834" s="333"/>
      <c r="AK1834" s="333"/>
      <c r="AL1834" s="333"/>
      <c r="AM1834" s="338"/>
      <c r="AN1834" s="333"/>
      <c r="AO1834" s="333"/>
      <c r="AP1834" s="333"/>
      <c r="AQ1834" s="333"/>
      <c r="AR1834" s="333"/>
      <c r="AS1834" s="333"/>
      <c r="AT1834" s="333"/>
      <c r="AU1834" s="329"/>
      <c r="AV1834" s="341"/>
      <c r="AW1834" s="269" t="s">
        <v>2506</v>
      </c>
      <c r="AX1834" s="334" t="s">
        <v>2869</v>
      </c>
      <c r="AY1834" s="270" t="s">
        <v>695</v>
      </c>
      <c r="AZ1834" s="173" t="s">
        <v>5516</v>
      </c>
      <c r="BA1834" s="265">
        <v>10.0</v>
      </c>
      <c r="BB1834" s="174" t="s">
        <v>245</v>
      </c>
      <c r="BC1834" s="341"/>
      <c r="BD1834" s="308"/>
      <c r="BE1834" s="342"/>
      <c r="BF1834" s="274" t="str">
        <f>IFERROR(__xludf.DUMMYFUNCTION("LOWER(Regexreplace(to_text(E1834),""[^A-Za-z0-9]"","""")&amp;""_""&amp;Regexreplace(to_text(F1834),""[^A-Za-z0-9]"",""""))"),"neptronic_evcbseries")</f>
        <v>neptronic_evcbseries</v>
      </c>
      <c r="BG1834" s="275" t="str">
        <f>IFERROR(__xludf.DUMMYFUNCTION("upper(Regexreplace(to_text(E1834),""[^A-Za-z0-9]"","""")&amp;""-""&amp;Regexreplace(to_text(F1834),""[^A-Za-z0-9]"",""""))"),"NEPTRONIC-EVCBSERIES")</f>
        <v>NEPTRONIC-EVCBSERIES</v>
      </c>
    </row>
    <row r="1835" ht="30.0" customHeight="1">
      <c r="A1835" s="173">
        <v>1827.0</v>
      </c>
      <c r="B1835" s="328" t="s">
        <v>670</v>
      </c>
      <c r="C1835" s="257" t="s">
        <v>6873</v>
      </c>
      <c r="D1835" s="173" t="s">
        <v>6873</v>
      </c>
      <c r="E1835" s="174" t="s">
        <v>2861</v>
      </c>
      <c r="F1835" s="173" t="s">
        <v>2862</v>
      </c>
      <c r="G1835" s="328" t="s">
        <v>673</v>
      </c>
      <c r="H1835" s="328" t="s">
        <v>2863</v>
      </c>
      <c r="I1835" s="258" t="s">
        <v>2864</v>
      </c>
      <c r="J1835" s="259" t="s">
        <v>1272</v>
      </c>
      <c r="K1835" s="260"/>
      <c r="L1835" s="359"/>
      <c r="M1835" s="359"/>
      <c r="N1835" s="173" t="s">
        <v>679</v>
      </c>
      <c r="O1835" s="173" t="s">
        <v>225</v>
      </c>
      <c r="P1835" s="262" t="str">
        <f t="shared" si="1"/>
        <v>IN-BLR-ANANTA-VAV-1407_8</v>
      </c>
      <c r="Q1835" s="173" t="s">
        <v>6874</v>
      </c>
      <c r="R1835" s="328" t="str">
        <f>IFS(C1835="","",C1835="n/a","N/A",LEN(C1835),Concatenate("{",char(34),"asset",char(34),":{",char(34),"guid",char(34),":",char(34),Q1835,char(34),",",char(34),"site",char(34),":",char(34),LOWER('2-Building'!$B$4),char(34),",",char(34),"name",char(34),":",char(34),LOWER(C1835),char(34),"}}"))</f>
        <v>{"asset":{"guid":"uuid://3796af04-b207-486e-a29f-fd16942e8db6","site":"in-blr-ananta","name":"vav-1407"}}</v>
      </c>
      <c r="S1835" s="360" t="s">
        <v>5516</v>
      </c>
      <c r="T1835" s="330"/>
      <c r="U1835" s="330"/>
      <c r="V1835" s="331"/>
      <c r="W1835" s="332"/>
      <c r="X1835" s="333"/>
      <c r="Y1835" s="33" t="s">
        <v>2867</v>
      </c>
      <c r="Z1835" s="258">
        <v>121407.0</v>
      </c>
      <c r="AA1835" s="334">
        <v>11653.0</v>
      </c>
      <c r="AB1835" s="333"/>
      <c r="AC1835" s="333"/>
      <c r="AD1835" s="329"/>
      <c r="AE1835" s="331"/>
      <c r="AF1835" s="336"/>
      <c r="AG1835" s="337"/>
      <c r="AH1835" s="333"/>
      <c r="AI1835" s="333"/>
      <c r="AJ1835" s="333"/>
      <c r="AK1835" s="333"/>
      <c r="AL1835" s="333"/>
      <c r="AM1835" s="338"/>
      <c r="AN1835" s="333"/>
      <c r="AO1835" s="333"/>
      <c r="AP1835" s="333"/>
      <c r="AQ1835" s="333"/>
      <c r="AR1835" s="333"/>
      <c r="AS1835" s="333"/>
      <c r="AT1835" s="333"/>
      <c r="AU1835" s="329"/>
      <c r="AV1835" s="341"/>
      <c r="AW1835" s="269" t="s">
        <v>2506</v>
      </c>
      <c r="AX1835" s="334" t="s">
        <v>2869</v>
      </c>
      <c r="AY1835" s="270" t="s">
        <v>695</v>
      </c>
      <c r="AZ1835" s="173" t="s">
        <v>5516</v>
      </c>
      <c r="BA1835" s="265">
        <v>10.0</v>
      </c>
      <c r="BB1835" s="174" t="s">
        <v>245</v>
      </c>
      <c r="BC1835" s="341"/>
      <c r="BD1835" s="308"/>
      <c r="BE1835" s="342"/>
      <c r="BF1835" s="274" t="str">
        <f>IFERROR(__xludf.DUMMYFUNCTION("LOWER(Regexreplace(to_text(E1835),""[^A-Za-z0-9]"","""")&amp;""_""&amp;Regexreplace(to_text(F1835),""[^A-Za-z0-9]"",""""))"),"neptronic_evcbseries")</f>
        <v>neptronic_evcbseries</v>
      </c>
      <c r="BG1835" s="275" t="str">
        <f>IFERROR(__xludf.DUMMYFUNCTION("upper(Regexreplace(to_text(E1835),""[^A-Za-z0-9]"","""")&amp;""-""&amp;Regexreplace(to_text(F1835),""[^A-Za-z0-9]"",""""))"),"NEPTRONIC-EVCBSERIES")</f>
        <v>NEPTRONIC-EVCBSERIES</v>
      </c>
    </row>
    <row r="1836" ht="30.0" customHeight="1">
      <c r="A1836" s="258">
        <v>1828.0</v>
      </c>
      <c r="B1836" s="328" t="s">
        <v>670</v>
      </c>
      <c r="C1836" s="257" t="s">
        <v>6875</v>
      </c>
      <c r="D1836" s="173" t="s">
        <v>6875</v>
      </c>
      <c r="E1836" s="174" t="s">
        <v>2861</v>
      </c>
      <c r="F1836" s="173" t="s">
        <v>2862</v>
      </c>
      <c r="G1836" s="328" t="s">
        <v>673</v>
      </c>
      <c r="H1836" s="328" t="s">
        <v>2863</v>
      </c>
      <c r="I1836" s="258" t="s">
        <v>2864</v>
      </c>
      <c r="J1836" s="259" t="s">
        <v>1272</v>
      </c>
      <c r="K1836" s="260"/>
      <c r="L1836" s="359"/>
      <c r="M1836" s="359"/>
      <c r="N1836" s="173" t="s">
        <v>679</v>
      </c>
      <c r="O1836" s="173" t="s">
        <v>225</v>
      </c>
      <c r="P1836" s="262" t="str">
        <f t="shared" si="1"/>
        <v>IN-BLR-ANANTA-VAV-1408_8</v>
      </c>
      <c r="Q1836" s="173" t="s">
        <v>6876</v>
      </c>
      <c r="R1836" s="328" t="str">
        <f>IFS(C1836="","",C1836="n/a","N/A",LEN(C1836),Concatenate("{",char(34),"asset",char(34),":{",char(34),"guid",char(34),":",char(34),Q1836,char(34),",",char(34),"site",char(34),":",char(34),LOWER('2-Building'!$B$4),char(34),",",char(34),"name",char(34),":",char(34),LOWER(C1836),char(34),"}}"))</f>
        <v>{"asset":{"guid":"uuid://e19df2ab-ae3d-470f-aba0-e18677a67d1a","site":"in-blr-ananta","name":"vav-1408"}}</v>
      </c>
      <c r="S1836" s="360" t="s">
        <v>5516</v>
      </c>
      <c r="T1836" s="330"/>
      <c r="U1836" s="330"/>
      <c r="V1836" s="331"/>
      <c r="W1836" s="332"/>
      <c r="X1836" s="333"/>
      <c r="Y1836" s="33" t="s">
        <v>2867</v>
      </c>
      <c r="Z1836" s="258">
        <v>121408.0</v>
      </c>
      <c r="AA1836" s="334">
        <v>11653.0</v>
      </c>
      <c r="AB1836" s="333"/>
      <c r="AC1836" s="333"/>
      <c r="AD1836" s="329"/>
      <c r="AE1836" s="331"/>
      <c r="AF1836" s="336"/>
      <c r="AG1836" s="337"/>
      <c r="AH1836" s="333"/>
      <c r="AI1836" s="333"/>
      <c r="AJ1836" s="333"/>
      <c r="AK1836" s="333"/>
      <c r="AL1836" s="333"/>
      <c r="AM1836" s="338"/>
      <c r="AN1836" s="333"/>
      <c r="AO1836" s="333"/>
      <c r="AP1836" s="333"/>
      <c r="AQ1836" s="333"/>
      <c r="AR1836" s="333"/>
      <c r="AS1836" s="333"/>
      <c r="AT1836" s="333"/>
      <c r="AU1836" s="329"/>
      <c r="AV1836" s="341"/>
      <c r="AW1836" s="269" t="s">
        <v>2506</v>
      </c>
      <c r="AX1836" s="334" t="s">
        <v>2869</v>
      </c>
      <c r="AY1836" s="270" t="s">
        <v>695</v>
      </c>
      <c r="AZ1836" s="173" t="s">
        <v>5516</v>
      </c>
      <c r="BA1836" s="265">
        <v>10.0</v>
      </c>
      <c r="BB1836" s="174" t="s">
        <v>245</v>
      </c>
      <c r="BC1836" s="341"/>
      <c r="BD1836" s="308"/>
      <c r="BE1836" s="342"/>
      <c r="BF1836" s="274" t="str">
        <f>IFERROR(__xludf.DUMMYFUNCTION("LOWER(Regexreplace(to_text(E1836),""[^A-Za-z0-9]"","""")&amp;""_""&amp;Regexreplace(to_text(F1836),""[^A-Za-z0-9]"",""""))"),"neptronic_evcbseries")</f>
        <v>neptronic_evcbseries</v>
      </c>
      <c r="BG1836" s="275" t="str">
        <f>IFERROR(__xludf.DUMMYFUNCTION("upper(Regexreplace(to_text(E1836),""[^A-Za-z0-9]"","""")&amp;""-""&amp;Regexreplace(to_text(F1836),""[^A-Za-z0-9]"",""""))"),"NEPTRONIC-EVCBSERIES")</f>
        <v>NEPTRONIC-EVCBSERIES</v>
      </c>
    </row>
    <row r="1837" ht="30.0" customHeight="1">
      <c r="A1837" s="173">
        <v>1829.0</v>
      </c>
      <c r="B1837" s="328" t="s">
        <v>670</v>
      </c>
      <c r="C1837" s="257" t="s">
        <v>6877</v>
      </c>
      <c r="D1837" s="173" t="s">
        <v>6877</v>
      </c>
      <c r="E1837" s="174" t="s">
        <v>2861</v>
      </c>
      <c r="F1837" s="173" t="s">
        <v>2862</v>
      </c>
      <c r="G1837" s="328" t="s">
        <v>673</v>
      </c>
      <c r="H1837" s="328" t="s">
        <v>2863</v>
      </c>
      <c r="I1837" s="258" t="s">
        <v>2864</v>
      </c>
      <c r="J1837" s="259" t="s">
        <v>1272</v>
      </c>
      <c r="K1837" s="260"/>
      <c r="L1837" s="359"/>
      <c r="M1837" s="359"/>
      <c r="N1837" s="173" t="s">
        <v>679</v>
      </c>
      <c r="O1837" s="173" t="s">
        <v>225</v>
      </c>
      <c r="P1837" s="262" t="str">
        <f t="shared" si="1"/>
        <v>IN-BLR-ANANTA-VAV-1409_8</v>
      </c>
      <c r="Q1837" s="173" t="s">
        <v>6878</v>
      </c>
      <c r="R1837" s="328" t="str">
        <f>IFS(C1837="","",C1837="n/a","N/A",LEN(C1837),Concatenate("{",char(34),"asset",char(34),":{",char(34),"guid",char(34),":",char(34),Q1837,char(34),",",char(34),"site",char(34),":",char(34),LOWER('2-Building'!$B$4),char(34),",",char(34),"name",char(34),":",char(34),LOWER(C1837),char(34),"}}"))</f>
        <v>{"asset":{"guid":"uuid://361a0cde-b593-4192-9ac0-07a87557ecbe","site":"in-blr-ananta","name":"vav-1409"}}</v>
      </c>
      <c r="S1837" s="360" t="s">
        <v>5516</v>
      </c>
      <c r="T1837" s="330"/>
      <c r="U1837" s="330"/>
      <c r="V1837" s="331"/>
      <c r="W1837" s="332"/>
      <c r="X1837" s="333"/>
      <c r="Y1837" s="33" t="s">
        <v>2867</v>
      </c>
      <c r="Z1837" s="258">
        <v>121409.0</v>
      </c>
      <c r="AA1837" s="334">
        <v>11653.0</v>
      </c>
      <c r="AB1837" s="333"/>
      <c r="AC1837" s="333"/>
      <c r="AD1837" s="329"/>
      <c r="AE1837" s="331"/>
      <c r="AF1837" s="336"/>
      <c r="AG1837" s="337"/>
      <c r="AH1837" s="333"/>
      <c r="AI1837" s="333"/>
      <c r="AJ1837" s="333"/>
      <c r="AK1837" s="333"/>
      <c r="AL1837" s="333"/>
      <c r="AM1837" s="338"/>
      <c r="AN1837" s="333"/>
      <c r="AO1837" s="333"/>
      <c r="AP1837" s="333"/>
      <c r="AQ1837" s="333"/>
      <c r="AR1837" s="333"/>
      <c r="AS1837" s="333"/>
      <c r="AT1837" s="333"/>
      <c r="AU1837" s="329"/>
      <c r="AV1837" s="341"/>
      <c r="AW1837" s="269" t="s">
        <v>2506</v>
      </c>
      <c r="AX1837" s="334" t="s">
        <v>2869</v>
      </c>
      <c r="AY1837" s="270" t="s">
        <v>695</v>
      </c>
      <c r="AZ1837" s="173" t="s">
        <v>5516</v>
      </c>
      <c r="BA1837" s="265">
        <v>10.0</v>
      </c>
      <c r="BB1837" s="174" t="s">
        <v>245</v>
      </c>
      <c r="BC1837" s="341"/>
      <c r="BD1837" s="308"/>
      <c r="BE1837" s="342"/>
      <c r="BF1837" s="274" t="str">
        <f>IFERROR(__xludf.DUMMYFUNCTION("LOWER(Regexreplace(to_text(E1837),""[^A-Za-z0-9]"","""")&amp;""_""&amp;Regexreplace(to_text(F1837),""[^A-Za-z0-9]"",""""))"),"neptronic_evcbseries")</f>
        <v>neptronic_evcbseries</v>
      </c>
      <c r="BG1837" s="275" t="str">
        <f>IFERROR(__xludf.DUMMYFUNCTION("upper(Regexreplace(to_text(E1837),""[^A-Za-z0-9]"","""")&amp;""-""&amp;Regexreplace(to_text(F1837),""[^A-Za-z0-9]"",""""))"),"NEPTRONIC-EVCBSERIES")</f>
        <v>NEPTRONIC-EVCBSERIES</v>
      </c>
    </row>
    <row r="1838" ht="30.0" customHeight="1">
      <c r="A1838" s="258">
        <v>1830.0</v>
      </c>
      <c r="B1838" s="328" t="s">
        <v>670</v>
      </c>
      <c r="C1838" s="257" t="s">
        <v>6879</v>
      </c>
      <c r="D1838" s="173" t="s">
        <v>6879</v>
      </c>
      <c r="E1838" s="174" t="s">
        <v>2861</v>
      </c>
      <c r="F1838" s="173" t="s">
        <v>2862</v>
      </c>
      <c r="G1838" s="328" t="s">
        <v>673</v>
      </c>
      <c r="H1838" s="328" t="s">
        <v>2863</v>
      </c>
      <c r="I1838" s="258" t="s">
        <v>2864</v>
      </c>
      <c r="J1838" s="259" t="s">
        <v>1272</v>
      </c>
      <c r="K1838" s="260"/>
      <c r="L1838" s="359"/>
      <c r="M1838" s="359"/>
      <c r="N1838" s="173" t="s">
        <v>679</v>
      </c>
      <c r="O1838" s="173" t="s">
        <v>225</v>
      </c>
      <c r="P1838" s="262" t="str">
        <f t="shared" si="1"/>
        <v>IN-BLR-ANANTA-VAV-1410_8</v>
      </c>
      <c r="Q1838" s="173" t="s">
        <v>6880</v>
      </c>
      <c r="R1838" s="328" t="str">
        <f>IFS(C1838="","",C1838="n/a","N/A",LEN(C1838),Concatenate("{",char(34),"asset",char(34),":{",char(34),"guid",char(34),":",char(34),Q1838,char(34),",",char(34),"site",char(34),":",char(34),LOWER('2-Building'!$B$4),char(34),",",char(34),"name",char(34),":",char(34),LOWER(C1838),char(34),"}}"))</f>
        <v>{"asset":{"guid":"uuid://e06b6e93-7a39-47fb-8498-80433ef01a50","site":"in-blr-ananta","name":"vav-1410"}}</v>
      </c>
      <c r="S1838" s="360" t="s">
        <v>5516</v>
      </c>
      <c r="T1838" s="330"/>
      <c r="U1838" s="330"/>
      <c r="V1838" s="331"/>
      <c r="W1838" s="332"/>
      <c r="X1838" s="333"/>
      <c r="Y1838" s="33" t="s">
        <v>2867</v>
      </c>
      <c r="Z1838" s="258">
        <v>121410.0</v>
      </c>
      <c r="AA1838" s="334">
        <v>11653.0</v>
      </c>
      <c r="AB1838" s="333"/>
      <c r="AC1838" s="333"/>
      <c r="AD1838" s="329"/>
      <c r="AE1838" s="331"/>
      <c r="AF1838" s="336"/>
      <c r="AG1838" s="337"/>
      <c r="AH1838" s="333"/>
      <c r="AI1838" s="333"/>
      <c r="AJ1838" s="333"/>
      <c r="AK1838" s="333"/>
      <c r="AL1838" s="333"/>
      <c r="AM1838" s="338"/>
      <c r="AN1838" s="333"/>
      <c r="AO1838" s="333"/>
      <c r="AP1838" s="333"/>
      <c r="AQ1838" s="333"/>
      <c r="AR1838" s="333"/>
      <c r="AS1838" s="333"/>
      <c r="AT1838" s="333"/>
      <c r="AU1838" s="329"/>
      <c r="AV1838" s="341"/>
      <c r="AW1838" s="269" t="s">
        <v>2506</v>
      </c>
      <c r="AX1838" s="334" t="s">
        <v>2869</v>
      </c>
      <c r="AY1838" s="270" t="s">
        <v>695</v>
      </c>
      <c r="AZ1838" s="173" t="s">
        <v>5516</v>
      </c>
      <c r="BA1838" s="265">
        <v>10.0</v>
      </c>
      <c r="BB1838" s="174" t="s">
        <v>245</v>
      </c>
      <c r="BC1838" s="341"/>
      <c r="BD1838" s="308"/>
      <c r="BE1838" s="342"/>
      <c r="BF1838" s="274" t="str">
        <f>IFERROR(__xludf.DUMMYFUNCTION("LOWER(Regexreplace(to_text(E1838),""[^A-Za-z0-9]"","""")&amp;""_""&amp;Regexreplace(to_text(F1838),""[^A-Za-z0-9]"",""""))"),"neptronic_evcbseries")</f>
        <v>neptronic_evcbseries</v>
      </c>
      <c r="BG1838" s="275" t="str">
        <f>IFERROR(__xludf.DUMMYFUNCTION("upper(Regexreplace(to_text(E1838),""[^A-Za-z0-9]"","""")&amp;""-""&amp;Regexreplace(to_text(F1838),""[^A-Za-z0-9]"",""""))"),"NEPTRONIC-EVCBSERIES")</f>
        <v>NEPTRONIC-EVCBSERIES</v>
      </c>
    </row>
    <row r="1839" ht="30.0" customHeight="1">
      <c r="A1839" s="173">
        <v>1831.0</v>
      </c>
      <c r="B1839" s="328" t="s">
        <v>670</v>
      </c>
      <c r="C1839" s="257" t="s">
        <v>6881</v>
      </c>
      <c r="D1839" s="173" t="s">
        <v>6881</v>
      </c>
      <c r="E1839" s="174" t="s">
        <v>2861</v>
      </c>
      <c r="F1839" s="173" t="s">
        <v>2862</v>
      </c>
      <c r="G1839" s="328" t="s">
        <v>673</v>
      </c>
      <c r="H1839" s="328" t="s">
        <v>2863</v>
      </c>
      <c r="I1839" s="258" t="s">
        <v>2864</v>
      </c>
      <c r="J1839" s="259" t="s">
        <v>1272</v>
      </c>
      <c r="K1839" s="260"/>
      <c r="L1839" s="359"/>
      <c r="M1839" s="359"/>
      <c r="N1839" s="173" t="s">
        <v>679</v>
      </c>
      <c r="O1839" s="173" t="s">
        <v>225</v>
      </c>
      <c r="P1839" s="262" t="str">
        <f t="shared" si="1"/>
        <v>IN-BLR-ANANTA-VAV-1411_8</v>
      </c>
      <c r="Q1839" s="173" t="s">
        <v>6882</v>
      </c>
      <c r="R1839" s="328" t="str">
        <f>IFS(C1839="","",C1839="n/a","N/A",LEN(C1839),Concatenate("{",char(34),"asset",char(34),":{",char(34),"guid",char(34),":",char(34),Q1839,char(34),",",char(34),"site",char(34),":",char(34),LOWER('2-Building'!$B$4),char(34),",",char(34),"name",char(34),":",char(34),LOWER(C1839),char(34),"}}"))</f>
        <v>{"asset":{"guid":"uuid://5f05adca-1cb1-41b8-9831-b6f5753c9c36","site":"in-blr-ananta","name":"vav-1411"}}</v>
      </c>
      <c r="S1839" s="360" t="s">
        <v>5516</v>
      </c>
      <c r="T1839" s="330"/>
      <c r="U1839" s="330"/>
      <c r="V1839" s="331"/>
      <c r="W1839" s="332"/>
      <c r="X1839" s="333"/>
      <c r="Y1839" s="33" t="s">
        <v>2867</v>
      </c>
      <c r="Z1839" s="258">
        <v>121411.0</v>
      </c>
      <c r="AA1839" s="334">
        <v>11653.0</v>
      </c>
      <c r="AB1839" s="333"/>
      <c r="AC1839" s="333"/>
      <c r="AD1839" s="329"/>
      <c r="AE1839" s="331"/>
      <c r="AF1839" s="336"/>
      <c r="AG1839" s="337"/>
      <c r="AH1839" s="333"/>
      <c r="AI1839" s="333"/>
      <c r="AJ1839" s="333"/>
      <c r="AK1839" s="333"/>
      <c r="AL1839" s="333"/>
      <c r="AM1839" s="338"/>
      <c r="AN1839" s="333"/>
      <c r="AO1839" s="333"/>
      <c r="AP1839" s="333"/>
      <c r="AQ1839" s="333"/>
      <c r="AR1839" s="333"/>
      <c r="AS1839" s="333"/>
      <c r="AT1839" s="333"/>
      <c r="AU1839" s="329"/>
      <c r="AV1839" s="341"/>
      <c r="AW1839" s="269" t="s">
        <v>2506</v>
      </c>
      <c r="AX1839" s="334" t="s">
        <v>2869</v>
      </c>
      <c r="AY1839" s="270" t="s">
        <v>695</v>
      </c>
      <c r="AZ1839" s="173" t="s">
        <v>5516</v>
      </c>
      <c r="BA1839" s="265">
        <v>10.0</v>
      </c>
      <c r="BB1839" s="174" t="s">
        <v>245</v>
      </c>
      <c r="BC1839" s="341"/>
      <c r="BD1839" s="308"/>
      <c r="BE1839" s="342"/>
      <c r="BF1839" s="274" t="str">
        <f>IFERROR(__xludf.DUMMYFUNCTION("LOWER(Regexreplace(to_text(E1839),""[^A-Za-z0-9]"","""")&amp;""_""&amp;Regexreplace(to_text(F1839),""[^A-Za-z0-9]"",""""))"),"neptronic_evcbseries")</f>
        <v>neptronic_evcbseries</v>
      </c>
      <c r="BG1839" s="275" t="str">
        <f>IFERROR(__xludf.DUMMYFUNCTION("upper(Regexreplace(to_text(E1839),""[^A-Za-z0-9]"","""")&amp;""-""&amp;Regexreplace(to_text(F1839),""[^A-Za-z0-9]"",""""))"),"NEPTRONIC-EVCBSERIES")</f>
        <v>NEPTRONIC-EVCBSERIES</v>
      </c>
    </row>
    <row r="1840" ht="30.0" customHeight="1">
      <c r="A1840" s="258">
        <v>1832.0</v>
      </c>
      <c r="B1840" s="328" t="s">
        <v>670</v>
      </c>
      <c r="C1840" s="257" t="s">
        <v>6883</v>
      </c>
      <c r="D1840" s="173" t="s">
        <v>6883</v>
      </c>
      <c r="E1840" s="174" t="s">
        <v>2861</v>
      </c>
      <c r="F1840" s="173" t="s">
        <v>2862</v>
      </c>
      <c r="G1840" s="328" t="s">
        <v>673</v>
      </c>
      <c r="H1840" s="328" t="s">
        <v>2863</v>
      </c>
      <c r="I1840" s="258" t="s">
        <v>2864</v>
      </c>
      <c r="J1840" s="259" t="s">
        <v>1272</v>
      </c>
      <c r="K1840" s="260"/>
      <c r="L1840" s="359"/>
      <c r="M1840" s="359"/>
      <c r="N1840" s="173" t="s">
        <v>679</v>
      </c>
      <c r="O1840" s="173" t="s">
        <v>225</v>
      </c>
      <c r="P1840" s="262" t="str">
        <f t="shared" si="1"/>
        <v>IN-BLR-ANANTA-VAV-1412_8</v>
      </c>
      <c r="Q1840" s="173" t="s">
        <v>6884</v>
      </c>
      <c r="R1840" s="328" t="str">
        <f>IFS(C1840="","",C1840="n/a","N/A",LEN(C1840),Concatenate("{",char(34),"asset",char(34),":{",char(34),"guid",char(34),":",char(34),Q1840,char(34),",",char(34),"site",char(34),":",char(34),LOWER('2-Building'!$B$4),char(34),",",char(34),"name",char(34),":",char(34),LOWER(C1840),char(34),"}}"))</f>
        <v>{"asset":{"guid":"uuid://54c8e976-b02a-402f-aebb-aa3c3a4f5ed7","site":"in-blr-ananta","name":"vav-1412"}}</v>
      </c>
      <c r="S1840" s="360" t="s">
        <v>5516</v>
      </c>
      <c r="T1840" s="330"/>
      <c r="U1840" s="330"/>
      <c r="V1840" s="331"/>
      <c r="W1840" s="332"/>
      <c r="X1840" s="333"/>
      <c r="Y1840" s="33" t="s">
        <v>2867</v>
      </c>
      <c r="Z1840" s="258">
        <v>121412.0</v>
      </c>
      <c r="AA1840" s="334">
        <v>11653.0</v>
      </c>
      <c r="AB1840" s="333"/>
      <c r="AC1840" s="333"/>
      <c r="AD1840" s="329"/>
      <c r="AE1840" s="331"/>
      <c r="AF1840" s="336"/>
      <c r="AG1840" s="337"/>
      <c r="AH1840" s="333"/>
      <c r="AI1840" s="333"/>
      <c r="AJ1840" s="333"/>
      <c r="AK1840" s="333"/>
      <c r="AL1840" s="333"/>
      <c r="AM1840" s="338"/>
      <c r="AN1840" s="333"/>
      <c r="AO1840" s="333"/>
      <c r="AP1840" s="333"/>
      <c r="AQ1840" s="333"/>
      <c r="AR1840" s="333"/>
      <c r="AS1840" s="333"/>
      <c r="AT1840" s="333"/>
      <c r="AU1840" s="329"/>
      <c r="AV1840" s="341"/>
      <c r="AW1840" s="269" t="s">
        <v>2506</v>
      </c>
      <c r="AX1840" s="334" t="s">
        <v>2869</v>
      </c>
      <c r="AY1840" s="270" t="s">
        <v>695</v>
      </c>
      <c r="AZ1840" s="173" t="s">
        <v>5516</v>
      </c>
      <c r="BA1840" s="265">
        <v>10.0</v>
      </c>
      <c r="BB1840" s="174" t="s">
        <v>245</v>
      </c>
      <c r="BC1840" s="341"/>
      <c r="BD1840" s="308"/>
      <c r="BE1840" s="342"/>
      <c r="BF1840" s="274" t="str">
        <f>IFERROR(__xludf.DUMMYFUNCTION("LOWER(Regexreplace(to_text(E1840),""[^A-Za-z0-9]"","""")&amp;""_""&amp;Regexreplace(to_text(F1840),""[^A-Za-z0-9]"",""""))"),"neptronic_evcbseries")</f>
        <v>neptronic_evcbseries</v>
      </c>
      <c r="BG1840" s="275" t="str">
        <f>IFERROR(__xludf.DUMMYFUNCTION("upper(Regexreplace(to_text(E1840),""[^A-Za-z0-9]"","""")&amp;""-""&amp;Regexreplace(to_text(F1840),""[^A-Za-z0-9]"",""""))"),"NEPTRONIC-EVCBSERIES")</f>
        <v>NEPTRONIC-EVCBSERIES</v>
      </c>
    </row>
    <row r="1841" ht="30.0" customHeight="1">
      <c r="A1841" s="173">
        <v>1833.0</v>
      </c>
      <c r="B1841" s="328" t="s">
        <v>670</v>
      </c>
      <c r="C1841" s="257" t="s">
        <v>6885</v>
      </c>
      <c r="D1841" s="173" t="s">
        <v>6885</v>
      </c>
      <c r="E1841" s="174" t="s">
        <v>2861</v>
      </c>
      <c r="F1841" s="173" t="s">
        <v>2862</v>
      </c>
      <c r="G1841" s="328" t="s">
        <v>673</v>
      </c>
      <c r="H1841" s="328" t="s">
        <v>2863</v>
      </c>
      <c r="I1841" s="258" t="s">
        <v>2864</v>
      </c>
      <c r="J1841" s="259" t="s">
        <v>1272</v>
      </c>
      <c r="K1841" s="260"/>
      <c r="L1841" s="359"/>
      <c r="M1841" s="359"/>
      <c r="N1841" s="173" t="s">
        <v>679</v>
      </c>
      <c r="O1841" s="173" t="s">
        <v>225</v>
      </c>
      <c r="P1841" s="262" t="str">
        <f t="shared" si="1"/>
        <v>IN-BLR-ANANTA-VAV-1413_8</v>
      </c>
      <c r="Q1841" s="173" t="s">
        <v>6886</v>
      </c>
      <c r="R1841" s="328" t="str">
        <f>IFS(C1841="","",C1841="n/a","N/A",LEN(C1841),Concatenate("{",char(34),"asset",char(34),":{",char(34),"guid",char(34),":",char(34),Q1841,char(34),",",char(34),"site",char(34),":",char(34),LOWER('2-Building'!$B$4),char(34),",",char(34),"name",char(34),":",char(34),LOWER(C1841),char(34),"}}"))</f>
        <v>{"asset":{"guid":"uuid://5f400606-1c08-44e8-90f8-7a03badec714","site":"in-blr-ananta","name":"vav-1413"}}</v>
      </c>
      <c r="S1841" s="360" t="s">
        <v>5516</v>
      </c>
      <c r="T1841" s="330"/>
      <c r="U1841" s="330"/>
      <c r="V1841" s="331"/>
      <c r="W1841" s="332"/>
      <c r="X1841" s="333"/>
      <c r="Y1841" s="33" t="s">
        <v>2867</v>
      </c>
      <c r="Z1841" s="258">
        <v>121413.0</v>
      </c>
      <c r="AA1841" s="334">
        <v>11653.0</v>
      </c>
      <c r="AB1841" s="333"/>
      <c r="AC1841" s="333"/>
      <c r="AD1841" s="329"/>
      <c r="AE1841" s="331"/>
      <c r="AF1841" s="336"/>
      <c r="AG1841" s="337"/>
      <c r="AH1841" s="333"/>
      <c r="AI1841" s="333"/>
      <c r="AJ1841" s="333"/>
      <c r="AK1841" s="333"/>
      <c r="AL1841" s="333"/>
      <c r="AM1841" s="338"/>
      <c r="AN1841" s="333"/>
      <c r="AO1841" s="333"/>
      <c r="AP1841" s="333"/>
      <c r="AQ1841" s="333"/>
      <c r="AR1841" s="333"/>
      <c r="AS1841" s="333"/>
      <c r="AT1841" s="333"/>
      <c r="AU1841" s="329"/>
      <c r="AV1841" s="341"/>
      <c r="AW1841" s="269" t="s">
        <v>2506</v>
      </c>
      <c r="AX1841" s="334" t="s">
        <v>2869</v>
      </c>
      <c r="AY1841" s="270" t="s">
        <v>695</v>
      </c>
      <c r="AZ1841" s="173" t="s">
        <v>5516</v>
      </c>
      <c r="BA1841" s="265">
        <v>10.0</v>
      </c>
      <c r="BB1841" s="174" t="s">
        <v>245</v>
      </c>
      <c r="BC1841" s="341"/>
      <c r="BD1841" s="308"/>
      <c r="BE1841" s="342"/>
      <c r="BF1841" s="274" t="str">
        <f>IFERROR(__xludf.DUMMYFUNCTION("LOWER(Regexreplace(to_text(E1841),""[^A-Za-z0-9]"","""")&amp;""_""&amp;Regexreplace(to_text(F1841),""[^A-Za-z0-9]"",""""))"),"neptronic_evcbseries")</f>
        <v>neptronic_evcbseries</v>
      </c>
      <c r="BG1841" s="275" t="str">
        <f>IFERROR(__xludf.DUMMYFUNCTION("upper(Regexreplace(to_text(E1841),""[^A-Za-z0-9]"","""")&amp;""-""&amp;Regexreplace(to_text(F1841),""[^A-Za-z0-9]"",""""))"),"NEPTRONIC-EVCBSERIES")</f>
        <v>NEPTRONIC-EVCBSERIES</v>
      </c>
    </row>
    <row r="1842" ht="30.0" customHeight="1">
      <c r="A1842" s="258">
        <v>1834.0</v>
      </c>
      <c r="B1842" s="328" t="s">
        <v>670</v>
      </c>
      <c r="C1842" s="257" t="s">
        <v>6887</v>
      </c>
      <c r="D1842" s="173" t="s">
        <v>6887</v>
      </c>
      <c r="E1842" s="174" t="s">
        <v>2861</v>
      </c>
      <c r="F1842" s="173" t="s">
        <v>2862</v>
      </c>
      <c r="G1842" s="328" t="s">
        <v>673</v>
      </c>
      <c r="H1842" s="328" t="s">
        <v>2863</v>
      </c>
      <c r="I1842" s="258" t="s">
        <v>2864</v>
      </c>
      <c r="J1842" s="259" t="s">
        <v>1272</v>
      </c>
      <c r="K1842" s="260"/>
      <c r="L1842" s="359"/>
      <c r="M1842" s="359"/>
      <c r="N1842" s="173" t="s">
        <v>679</v>
      </c>
      <c r="O1842" s="173" t="s">
        <v>225</v>
      </c>
      <c r="P1842" s="262" t="str">
        <f t="shared" si="1"/>
        <v>IN-BLR-ANANTA-VAV-1414_8</v>
      </c>
      <c r="Q1842" s="173" t="s">
        <v>6888</v>
      </c>
      <c r="R1842" s="328" t="str">
        <f>IFS(C1842="","",C1842="n/a","N/A",LEN(C1842),Concatenate("{",char(34),"asset",char(34),":{",char(34),"guid",char(34),":",char(34),Q1842,char(34),",",char(34),"site",char(34),":",char(34),LOWER('2-Building'!$B$4),char(34),",",char(34),"name",char(34),":",char(34),LOWER(C1842),char(34),"}}"))</f>
        <v>{"asset":{"guid":"uuid://d7dc8dca-7250-493b-ab76-027ff2606d0c","site":"in-blr-ananta","name":"vav-1414"}}</v>
      </c>
      <c r="S1842" s="360" t="s">
        <v>5516</v>
      </c>
      <c r="T1842" s="330"/>
      <c r="U1842" s="330"/>
      <c r="V1842" s="331"/>
      <c r="W1842" s="332"/>
      <c r="X1842" s="333"/>
      <c r="Y1842" s="33" t="s">
        <v>2867</v>
      </c>
      <c r="Z1842" s="258">
        <v>121414.0</v>
      </c>
      <c r="AA1842" s="334">
        <v>11653.0</v>
      </c>
      <c r="AB1842" s="333"/>
      <c r="AC1842" s="333"/>
      <c r="AD1842" s="329"/>
      <c r="AE1842" s="331"/>
      <c r="AF1842" s="336"/>
      <c r="AG1842" s="337"/>
      <c r="AH1842" s="333"/>
      <c r="AI1842" s="333"/>
      <c r="AJ1842" s="333"/>
      <c r="AK1842" s="333"/>
      <c r="AL1842" s="333"/>
      <c r="AM1842" s="338"/>
      <c r="AN1842" s="333"/>
      <c r="AO1842" s="333"/>
      <c r="AP1842" s="333"/>
      <c r="AQ1842" s="333"/>
      <c r="AR1842" s="333"/>
      <c r="AS1842" s="333"/>
      <c r="AT1842" s="333"/>
      <c r="AU1842" s="329"/>
      <c r="AV1842" s="341"/>
      <c r="AW1842" s="269" t="s">
        <v>2506</v>
      </c>
      <c r="AX1842" s="334" t="s">
        <v>2869</v>
      </c>
      <c r="AY1842" s="270" t="s">
        <v>695</v>
      </c>
      <c r="AZ1842" s="173" t="s">
        <v>5516</v>
      </c>
      <c r="BA1842" s="265">
        <v>10.0</v>
      </c>
      <c r="BB1842" s="174" t="s">
        <v>245</v>
      </c>
      <c r="BC1842" s="341"/>
      <c r="BD1842" s="308"/>
      <c r="BE1842" s="342"/>
      <c r="BF1842" s="274" t="str">
        <f>IFERROR(__xludf.DUMMYFUNCTION("LOWER(Regexreplace(to_text(E1842),""[^A-Za-z0-9]"","""")&amp;""_""&amp;Regexreplace(to_text(F1842),""[^A-Za-z0-9]"",""""))"),"neptronic_evcbseries")</f>
        <v>neptronic_evcbseries</v>
      </c>
      <c r="BG1842" s="275" t="str">
        <f>IFERROR(__xludf.DUMMYFUNCTION("upper(Regexreplace(to_text(E1842),""[^A-Za-z0-9]"","""")&amp;""-""&amp;Regexreplace(to_text(F1842),""[^A-Za-z0-9]"",""""))"),"NEPTRONIC-EVCBSERIES")</f>
        <v>NEPTRONIC-EVCBSERIES</v>
      </c>
    </row>
    <row r="1843" ht="30.0" customHeight="1">
      <c r="A1843" s="173">
        <v>1835.0</v>
      </c>
      <c r="B1843" s="328" t="s">
        <v>670</v>
      </c>
      <c r="C1843" s="257" t="s">
        <v>6889</v>
      </c>
      <c r="D1843" s="173" t="s">
        <v>6889</v>
      </c>
      <c r="E1843" s="174" t="s">
        <v>2861</v>
      </c>
      <c r="F1843" s="173" t="s">
        <v>2862</v>
      </c>
      <c r="G1843" s="328" t="s">
        <v>673</v>
      </c>
      <c r="H1843" s="328" t="s">
        <v>2863</v>
      </c>
      <c r="I1843" s="258" t="s">
        <v>2864</v>
      </c>
      <c r="J1843" s="259" t="s">
        <v>1272</v>
      </c>
      <c r="K1843" s="260"/>
      <c r="L1843" s="359"/>
      <c r="M1843" s="359"/>
      <c r="N1843" s="173" t="s">
        <v>679</v>
      </c>
      <c r="O1843" s="173" t="s">
        <v>225</v>
      </c>
      <c r="P1843" s="262" t="str">
        <f t="shared" si="1"/>
        <v>IN-BLR-ANANTA-VAV-1415_8</v>
      </c>
      <c r="Q1843" s="173" t="s">
        <v>6890</v>
      </c>
      <c r="R1843" s="328" t="str">
        <f>IFS(C1843="","",C1843="n/a","N/A",LEN(C1843),Concatenate("{",char(34),"asset",char(34),":{",char(34),"guid",char(34),":",char(34),Q1843,char(34),",",char(34),"site",char(34),":",char(34),LOWER('2-Building'!$B$4),char(34),",",char(34),"name",char(34),":",char(34),LOWER(C1843),char(34),"}}"))</f>
        <v>{"asset":{"guid":"uuid://8b69a368-35f9-40d6-9f78-33ff5d07d77f","site":"in-blr-ananta","name":"vav-1415"}}</v>
      </c>
      <c r="S1843" s="360" t="s">
        <v>5516</v>
      </c>
      <c r="T1843" s="330"/>
      <c r="U1843" s="330"/>
      <c r="V1843" s="331"/>
      <c r="W1843" s="332"/>
      <c r="X1843" s="333"/>
      <c r="Y1843" s="33" t="s">
        <v>2867</v>
      </c>
      <c r="Z1843" s="258">
        <v>121415.0</v>
      </c>
      <c r="AA1843" s="334">
        <v>11653.0</v>
      </c>
      <c r="AB1843" s="333"/>
      <c r="AC1843" s="333"/>
      <c r="AD1843" s="329"/>
      <c r="AE1843" s="331"/>
      <c r="AF1843" s="336"/>
      <c r="AG1843" s="337"/>
      <c r="AH1843" s="333"/>
      <c r="AI1843" s="333"/>
      <c r="AJ1843" s="333"/>
      <c r="AK1843" s="333"/>
      <c r="AL1843" s="333"/>
      <c r="AM1843" s="338"/>
      <c r="AN1843" s="333"/>
      <c r="AO1843" s="333"/>
      <c r="AP1843" s="333"/>
      <c r="AQ1843" s="333"/>
      <c r="AR1843" s="333"/>
      <c r="AS1843" s="333"/>
      <c r="AT1843" s="333"/>
      <c r="AU1843" s="329"/>
      <c r="AV1843" s="341"/>
      <c r="AW1843" s="269" t="s">
        <v>2506</v>
      </c>
      <c r="AX1843" s="334" t="s">
        <v>2869</v>
      </c>
      <c r="AY1843" s="270" t="s">
        <v>695</v>
      </c>
      <c r="AZ1843" s="173" t="s">
        <v>5516</v>
      </c>
      <c r="BA1843" s="265">
        <v>10.0</v>
      </c>
      <c r="BB1843" s="174" t="s">
        <v>245</v>
      </c>
      <c r="BC1843" s="341"/>
      <c r="BD1843" s="308"/>
      <c r="BE1843" s="342"/>
      <c r="BF1843" s="274" t="str">
        <f>IFERROR(__xludf.DUMMYFUNCTION("LOWER(Regexreplace(to_text(E1843),""[^A-Za-z0-9]"","""")&amp;""_""&amp;Regexreplace(to_text(F1843),""[^A-Za-z0-9]"",""""))"),"neptronic_evcbseries")</f>
        <v>neptronic_evcbseries</v>
      </c>
      <c r="BG1843" s="275" t="str">
        <f>IFERROR(__xludf.DUMMYFUNCTION("upper(Regexreplace(to_text(E1843),""[^A-Za-z0-9]"","""")&amp;""-""&amp;Regexreplace(to_text(F1843),""[^A-Za-z0-9]"",""""))"),"NEPTRONIC-EVCBSERIES")</f>
        <v>NEPTRONIC-EVCBSERIES</v>
      </c>
    </row>
    <row r="1844" ht="30.0" customHeight="1">
      <c r="A1844" s="258">
        <v>1836.0</v>
      </c>
      <c r="B1844" s="328" t="s">
        <v>670</v>
      </c>
      <c r="C1844" s="257" t="s">
        <v>6891</v>
      </c>
      <c r="D1844" s="173" t="s">
        <v>6891</v>
      </c>
      <c r="E1844" s="174" t="s">
        <v>2861</v>
      </c>
      <c r="F1844" s="173" t="s">
        <v>2862</v>
      </c>
      <c r="G1844" s="328" t="s">
        <v>673</v>
      </c>
      <c r="H1844" s="328" t="s">
        <v>2863</v>
      </c>
      <c r="I1844" s="258" t="s">
        <v>2864</v>
      </c>
      <c r="J1844" s="259" t="s">
        <v>1272</v>
      </c>
      <c r="K1844" s="260"/>
      <c r="L1844" s="359"/>
      <c r="M1844" s="359"/>
      <c r="N1844" s="173" t="s">
        <v>679</v>
      </c>
      <c r="O1844" s="173" t="s">
        <v>225</v>
      </c>
      <c r="P1844" s="262" t="str">
        <f t="shared" si="1"/>
        <v>IN-BLR-ANANTA-VAV-1416_8</v>
      </c>
      <c r="Q1844" s="173" t="s">
        <v>6892</v>
      </c>
      <c r="R1844" s="328" t="str">
        <f>IFS(C1844="","",C1844="n/a","N/A",LEN(C1844),Concatenate("{",char(34),"asset",char(34),":{",char(34),"guid",char(34),":",char(34),Q1844,char(34),",",char(34),"site",char(34),":",char(34),LOWER('2-Building'!$B$4),char(34),",",char(34),"name",char(34),":",char(34),LOWER(C1844),char(34),"}}"))</f>
        <v>{"asset":{"guid":"uuid://74363a55-7f86-4f81-85a9-c2e4653904a4","site":"in-blr-ananta","name":"vav-1416"}}</v>
      </c>
      <c r="S1844" s="360" t="s">
        <v>5516</v>
      </c>
      <c r="T1844" s="330"/>
      <c r="U1844" s="330"/>
      <c r="V1844" s="331"/>
      <c r="W1844" s="332"/>
      <c r="X1844" s="333"/>
      <c r="Y1844" s="33" t="s">
        <v>2867</v>
      </c>
      <c r="Z1844" s="258">
        <v>121416.0</v>
      </c>
      <c r="AA1844" s="334">
        <v>11653.0</v>
      </c>
      <c r="AB1844" s="333"/>
      <c r="AC1844" s="333"/>
      <c r="AD1844" s="329"/>
      <c r="AE1844" s="331"/>
      <c r="AF1844" s="336"/>
      <c r="AG1844" s="337"/>
      <c r="AH1844" s="333"/>
      <c r="AI1844" s="333"/>
      <c r="AJ1844" s="333"/>
      <c r="AK1844" s="333"/>
      <c r="AL1844" s="333"/>
      <c r="AM1844" s="338"/>
      <c r="AN1844" s="333"/>
      <c r="AO1844" s="333"/>
      <c r="AP1844" s="333"/>
      <c r="AQ1844" s="333"/>
      <c r="AR1844" s="333"/>
      <c r="AS1844" s="333"/>
      <c r="AT1844" s="333"/>
      <c r="AU1844" s="329"/>
      <c r="AV1844" s="341"/>
      <c r="AW1844" s="269" t="s">
        <v>2506</v>
      </c>
      <c r="AX1844" s="334" t="s">
        <v>2869</v>
      </c>
      <c r="AY1844" s="270" t="s">
        <v>695</v>
      </c>
      <c r="AZ1844" s="173" t="s">
        <v>5516</v>
      </c>
      <c r="BA1844" s="265">
        <v>10.0</v>
      </c>
      <c r="BB1844" s="174" t="s">
        <v>245</v>
      </c>
      <c r="BC1844" s="341"/>
      <c r="BD1844" s="308"/>
      <c r="BE1844" s="342"/>
      <c r="BF1844" s="274" t="str">
        <f>IFERROR(__xludf.DUMMYFUNCTION("LOWER(Regexreplace(to_text(E1844),""[^A-Za-z0-9]"","""")&amp;""_""&amp;Regexreplace(to_text(F1844),""[^A-Za-z0-9]"",""""))"),"neptronic_evcbseries")</f>
        <v>neptronic_evcbseries</v>
      </c>
      <c r="BG1844" s="275" t="str">
        <f>IFERROR(__xludf.DUMMYFUNCTION("upper(Regexreplace(to_text(E1844),""[^A-Za-z0-9]"","""")&amp;""-""&amp;Regexreplace(to_text(F1844),""[^A-Za-z0-9]"",""""))"),"NEPTRONIC-EVCBSERIES")</f>
        <v>NEPTRONIC-EVCBSERIES</v>
      </c>
    </row>
    <row r="1845" ht="30.0" customHeight="1">
      <c r="A1845" s="173">
        <v>1837.0</v>
      </c>
      <c r="B1845" s="328" t="s">
        <v>670</v>
      </c>
      <c r="C1845" s="257" t="s">
        <v>6893</v>
      </c>
      <c r="D1845" s="173" t="s">
        <v>6893</v>
      </c>
      <c r="E1845" s="174" t="s">
        <v>2861</v>
      </c>
      <c r="F1845" s="173" t="s">
        <v>2862</v>
      </c>
      <c r="G1845" s="328" t="s">
        <v>673</v>
      </c>
      <c r="H1845" s="328" t="s">
        <v>2863</v>
      </c>
      <c r="I1845" s="258" t="s">
        <v>2864</v>
      </c>
      <c r="J1845" s="259" t="s">
        <v>1272</v>
      </c>
      <c r="K1845" s="260"/>
      <c r="L1845" s="359"/>
      <c r="M1845" s="359"/>
      <c r="N1845" s="173" t="s">
        <v>679</v>
      </c>
      <c r="O1845" s="173" t="s">
        <v>225</v>
      </c>
      <c r="P1845" s="262" t="str">
        <f t="shared" si="1"/>
        <v>IN-BLR-ANANTA-VAV-1417_8</v>
      </c>
      <c r="Q1845" s="173" t="s">
        <v>6894</v>
      </c>
      <c r="R1845" s="328" t="str">
        <f>IFS(C1845="","",C1845="n/a","N/A",LEN(C1845),Concatenate("{",char(34),"asset",char(34),":{",char(34),"guid",char(34),":",char(34),Q1845,char(34),",",char(34),"site",char(34),":",char(34),LOWER('2-Building'!$B$4),char(34),",",char(34),"name",char(34),":",char(34),LOWER(C1845),char(34),"}}"))</f>
        <v>{"asset":{"guid":"uuid://1ce9e58b-cc06-4b1b-a3eb-ddfcb1b8148b","site":"in-blr-ananta","name":"vav-1417"}}</v>
      </c>
      <c r="S1845" s="360" t="s">
        <v>5516</v>
      </c>
      <c r="T1845" s="330"/>
      <c r="U1845" s="330"/>
      <c r="V1845" s="331"/>
      <c r="W1845" s="332"/>
      <c r="X1845" s="333"/>
      <c r="Y1845" s="33" t="s">
        <v>2867</v>
      </c>
      <c r="Z1845" s="258">
        <v>121417.0</v>
      </c>
      <c r="AA1845" s="334">
        <v>11653.0</v>
      </c>
      <c r="AB1845" s="333"/>
      <c r="AC1845" s="333"/>
      <c r="AD1845" s="329"/>
      <c r="AE1845" s="331"/>
      <c r="AF1845" s="336"/>
      <c r="AG1845" s="337"/>
      <c r="AH1845" s="333"/>
      <c r="AI1845" s="333"/>
      <c r="AJ1845" s="333"/>
      <c r="AK1845" s="333"/>
      <c r="AL1845" s="333"/>
      <c r="AM1845" s="338"/>
      <c r="AN1845" s="333"/>
      <c r="AO1845" s="333"/>
      <c r="AP1845" s="333"/>
      <c r="AQ1845" s="333"/>
      <c r="AR1845" s="333"/>
      <c r="AS1845" s="333"/>
      <c r="AT1845" s="333"/>
      <c r="AU1845" s="329"/>
      <c r="AV1845" s="341"/>
      <c r="AW1845" s="269" t="s">
        <v>2506</v>
      </c>
      <c r="AX1845" s="334" t="s">
        <v>2869</v>
      </c>
      <c r="AY1845" s="270" t="s">
        <v>695</v>
      </c>
      <c r="AZ1845" s="173" t="s">
        <v>5516</v>
      </c>
      <c r="BA1845" s="265">
        <v>10.0</v>
      </c>
      <c r="BB1845" s="174" t="s">
        <v>245</v>
      </c>
      <c r="BC1845" s="341"/>
      <c r="BD1845" s="308"/>
      <c r="BE1845" s="342"/>
      <c r="BF1845" s="274" t="str">
        <f>IFERROR(__xludf.DUMMYFUNCTION("LOWER(Regexreplace(to_text(E1845),""[^A-Za-z0-9]"","""")&amp;""_""&amp;Regexreplace(to_text(F1845),""[^A-Za-z0-9]"",""""))"),"neptronic_evcbseries")</f>
        <v>neptronic_evcbseries</v>
      </c>
      <c r="BG1845" s="275" t="str">
        <f>IFERROR(__xludf.DUMMYFUNCTION("upper(Regexreplace(to_text(E1845),""[^A-Za-z0-9]"","""")&amp;""-""&amp;Regexreplace(to_text(F1845),""[^A-Za-z0-9]"",""""))"),"NEPTRONIC-EVCBSERIES")</f>
        <v>NEPTRONIC-EVCBSERIES</v>
      </c>
    </row>
    <row r="1846" ht="30.0" customHeight="1">
      <c r="A1846" s="258">
        <v>1838.0</v>
      </c>
      <c r="B1846" s="328" t="s">
        <v>670</v>
      </c>
      <c r="C1846" s="257" t="s">
        <v>6895</v>
      </c>
      <c r="D1846" s="173" t="s">
        <v>6895</v>
      </c>
      <c r="E1846" s="174" t="s">
        <v>2861</v>
      </c>
      <c r="F1846" s="173" t="s">
        <v>2862</v>
      </c>
      <c r="G1846" s="328" t="s">
        <v>673</v>
      </c>
      <c r="H1846" s="328" t="s">
        <v>2863</v>
      </c>
      <c r="I1846" s="258" t="s">
        <v>2864</v>
      </c>
      <c r="J1846" s="259" t="s">
        <v>1272</v>
      </c>
      <c r="K1846" s="260"/>
      <c r="L1846" s="359"/>
      <c r="M1846" s="359"/>
      <c r="N1846" s="173" t="s">
        <v>679</v>
      </c>
      <c r="O1846" s="173" t="s">
        <v>225</v>
      </c>
      <c r="P1846" s="262" t="str">
        <f t="shared" si="1"/>
        <v>IN-BLR-ANANTA-VAV-1418_8</v>
      </c>
      <c r="Q1846" s="173" t="s">
        <v>6896</v>
      </c>
      <c r="R1846" s="328" t="str">
        <f>IFS(C1846="","",C1846="n/a","N/A",LEN(C1846),Concatenate("{",char(34),"asset",char(34),":{",char(34),"guid",char(34),":",char(34),Q1846,char(34),",",char(34),"site",char(34),":",char(34),LOWER('2-Building'!$B$4),char(34),",",char(34),"name",char(34),":",char(34),LOWER(C1846),char(34),"}}"))</f>
        <v>{"asset":{"guid":"uuid://c41a526c-4b99-4f1e-bd11-d4b054bcd724","site":"in-blr-ananta","name":"vav-1418"}}</v>
      </c>
      <c r="S1846" s="360" t="s">
        <v>5516</v>
      </c>
      <c r="T1846" s="330"/>
      <c r="U1846" s="330"/>
      <c r="V1846" s="331"/>
      <c r="W1846" s="332"/>
      <c r="X1846" s="333"/>
      <c r="Y1846" s="33" t="s">
        <v>2867</v>
      </c>
      <c r="Z1846" s="258">
        <v>121418.0</v>
      </c>
      <c r="AA1846" s="334">
        <v>11653.0</v>
      </c>
      <c r="AB1846" s="333"/>
      <c r="AC1846" s="333"/>
      <c r="AD1846" s="329"/>
      <c r="AE1846" s="331"/>
      <c r="AF1846" s="336"/>
      <c r="AG1846" s="337"/>
      <c r="AH1846" s="333"/>
      <c r="AI1846" s="333"/>
      <c r="AJ1846" s="333"/>
      <c r="AK1846" s="333"/>
      <c r="AL1846" s="333"/>
      <c r="AM1846" s="338"/>
      <c r="AN1846" s="333"/>
      <c r="AO1846" s="333"/>
      <c r="AP1846" s="333"/>
      <c r="AQ1846" s="333"/>
      <c r="AR1846" s="333"/>
      <c r="AS1846" s="333"/>
      <c r="AT1846" s="333"/>
      <c r="AU1846" s="329"/>
      <c r="AV1846" s="341"/>
      <c r="AW1846" s="269" t="s">
        <v>2506</v>
      </c>
      <c r="AX1846" s="334" t="s">
        <v>2869</v>
      </c>
      <c r="AY1846" s="270" t="s">
        <v>695</v>
      </c>
      <c r="AZ1846" s="173" t="s">
        <v>5516</v>
      </c>
      <c r="BA1846" s="265">
        <v>10.0</v>
      </c>
      <c r="BB1846" s="174" t="s">
        <v>245</v>
      </c>
      <c r="BC1846" s="341"/>
      <c r="BD1846" s="308"/>
      <c r="BE1846" s="342"/>
      <c r="BF1846" s="274" t="str">
        <f>IFERROR(__xludf.DUMMYFUNCTION("LOWER(Regexreplace(to_text(E1846),""[^A-Za-z0-9]"","""")&amp;""_""&amp;Regexreplace(to_text(F1846),""[^A-Za-z0-9]"",""""))"),"neptronic_evcbseries")</f>
        <v>neptronic_evcbseries</v>
      </c>
      <c r="BG1846" s="275" t="str">
        <f>IFERROR(__xludf.DUMMYFUNCTION("upper(Regexreplace(to_text(E1846),""[^A-Za-z0-9]"","""")&amp;""-""&amp;Regexreplace(to_text(F1846),""[^A-Za-z0-9]"",""""))"),"NEPTRONIC-EVCBSERIES")</f>
        <v>NEPTRONIC-EVCBSERIES</v>
      </c>
    </row>
    <row r="1847" ht="30.0" customHeight="1">
      <c r="A1847" s="173">
        <v>1839.0</v>
      </c>
      <c r="B1847" s="328" t="s">
        <v>670</v>
      </c>
      <c r="C1847" s="257" t="s">
        <v>6897</v>
      </c>
      <c r="D1847" s="173" t="s">
        <v>6897</v>
      </c>
      <c r="E1847" s="174" t="s">
        <v>2861</v>
      </c>
      <c r="F1847" s="173" t="s">
        <v>2862</v>
      </c>
      <c r="G1847" s="328" t="s">
        <v>673</v>
      </c>
      <c r="H1847" s="328" t="s">
        <v>2863</v>
      </c>
      <c r="I1847" s="258" t="s">
        <v>2864</v>
      </c>
      <c r="J1847" s="259" t="s">
        <v>1272</v>
      </c>
      <c r="K1847" s="260"/>
      <c r="L1847" s="359"/>
      <c r="M1847" s="359"/>
      <c r="N1847" s="173" t="s">
        <v>679</v>
      </c>
      <c r="O1847" s="173" t="s">
        <v>225</v>
      </c>
      <c r="P1847" s="262" t="str">
        <f t="shared" si="1"/>
        <v>IN-BLR-ANANTA-VAV-1419_8</v>
      </c>
      <c r="Q1847" s="173" t="s">
        <v>6898</v>
      </c>
      <c r="R1847" s="328" t="str">
        <f>IFS(C1847="","",C1847="n/a","N/A",LEN(C1847),Concatenate("{",char(34),"asset",char(34),":{",char(34),"guid",char(34),":",char(34),Q1847,char(34),",",char(34),"site",char(34),":",char(34),LOWER('2-Building'!$B$4),char(34),",",char(34),"name",char(34),":",char(34),LOWER(C1847),char(34),"}}"))</f>
        <v>{"asset":{"guid":"uuid://bfa4239b-4640-4706-bbae-b945a4137657","site":"in-blr-ananta","name":"vav-1419"}}</v>
      </c>
      <c r="S1847" s="360" t="s">
        <v>5516</v>
      </c>
      <c r="T1847" s="330"/>
      <c r="U1847" s="330"/>
      <c r="V1847" s="331"/>
      <c r="W1847" s="332"/>
      <c r="X1847" s="333"/>
      <c r="Y1847" s="33" t="s">
        <v>2867</v>
      </c>
      <c r="Z1847" s="258">
        <v>121419.0</v>
      </c>
      <c r="AA1847" s="334">
        <v>11653.0</v>
      </c>
      <c r="AB1847" s="333"/>
      <c r="AC1847" s="333"/>
      <c r="AD1847" s="329"/>
      <c r="AE1847" s="331"/>
      <c r="AF1847" s="336"/>
      <c r="AG1847" s="337"/>
      <c r="AH1847" s="333"/>
      <c r="AI1847" s="333"/>
      <c r="AJ1847" s="333"/>
      <c r="AK1847" s="333"/>
      <c r="AL1847" s="333"/>
      <c r="AM1847" s="338"/>
      <c r="AN1847" s="333"/>
      <c r="AO1847" s="333"/>
      <c r="AP1847" s="333"/>
      <c r="AQ1847" s="333"/>
      <c r="AR1847" s="333"/>
      <c r="AS1847" s="333"/>
      <c r="AT1847" s="333"/>
      <c r="AU1847" s="329"/>
      <c r="AV1847" s="341"/>
      <c r="AW1847" s="269" t="s">
        <v>2506</v>
      </c>
      <c r="AX1847" s="334" t="s">
        <v>2869</v>
      </c>
      <c r="AY1847" s="270" t="s">
        <v>695</v>
      </c>
      <c r="AZ1847" s="173" t="s">
        <v>5516</v>
      </c>
      <c r="BA1847" s="265">
        <v>10.0</v>
      </c>
      <c r="BB1847" s="174" t="s">
        <v>245</v>
      </c>
      <c r="BC1847" s="341"/>
      <c r="BD1847" s="308"/>
      <c r="BE1847" s="342"/>
      <c r="BF1847" s="274" t="str">
        <f>IFERROR(__xludf.DUMMYFUNCTION("LOWER(Regexreplace(to_text(E1847),""[^A-Za-z0-9]"","""")&amp;""_""&amp;Regexreplace(to_text(F1847),""[^A-Za-z0-9]"",""""))"),"neptronic_evcbseries")</f>
        <v>neptronic_evcbseries</v>
      </c>
      <c r="BG1847" s="275" t="str">
        <f>IFERROR(__xludf.DUMMYFUNCTION("upper(Regexreplace(to_text(E1847),""[^A-Za-z0-9]"","""")&amp;""-""&amp;Regexreplace(to_text(F1847),""[^A-Za-z0-9]"",""""))"),"NEPTRONIC-EVCBSERIES")</f>
        <v>NEPTRONIC-EVCBSERIES</v>
      </c>
    </row>
    <row r="1848" ht="30.0" customHeight="1">
      <c r="A1848" s="258">
        <v>1840.0</v>
      </c>
      <c r="B1848" s="328" t="s">
        <v>670</v>
      </c>
      <c r="C1848" s="257" t="s">
        <v>6899</v>
      </c>
      <c r="D1848" s="173" t="s">
        <v>6899</v>
      </c>
      <c r="E1848" s="174" t="s">
        <v>2861</v>
      </c>
      <c r="F1848" s="173" t="s">
        <v>2862</v>
      </c>
      <c r="G1848" s="328" t="s">
        <v>673</v>
      </c>
      <c r="H1848" s="328" t="s">
        <v>2863</v>
      </c>
      <c r="I1848" s="258" t="s">
        <v>2864</v>
      </c>
      <c r="J1848" s="259" t="s">
        <v>1272</v>
      </c>
      <c r="K1848" s="260"/>
      <c r="L1848" s="359"/>
      <c r="M1848" s="359"/>
      <c r="N1848" s="173" t="s">
        <v>679</v>
      </c>
      <c r="O1848" s="173" t="s">
        <v>225</v>
      </c>
      <c r="P1848" s="262" t="str">
        <f t="shared" si="1"/>
        <v>IN-BLR-ANANTA-VAV-1420_8</v>
      </c>
      <c r="Q1848" s="173" t="s">
        <v>6900</v>
      </c>
      <c r="R1848" s="328" t="str">
        <f>IFS(C1848="","",C1848="n/a","N/A",LEN(C1848),Concatenate("{",char(34),"asset",char(34),":{",char(34),"guid",char(34),":",char(34),Q1848,char(34),",",char(34),"site",char(34),":",char(34),LOWER('2-Building'!$B$4),char(34),",",char(34),"name",char(34),":",char(34),LOWER(C1848),char(34),"}}"))</f>
        <v>{"asset":{"guid":"uuid://d1ba338c-9575-47ec-8838-add79b809513","site":"in-blr-ananta","name":"vav-1420"}}</v>
      </c>
      <c r="S1848" s="360" t="s">
        <v>5516</v>
      </c>
      <c r="T1848" s="330"/>
      <c r="U1848" s="330"/>
      <c r="V1848" s="331"/>
      <c r="W1848" s="332"/>
      <c r="X1848" s="333"/>
      <c r="Y1848" s="33" t="s">
        <v>2867</v>
      </c>
      <c r="Z1848" s="258">
        <v>121420.0</v>
      </c>
      <c r="AA1848" s="334">
        <v>11653.0</v>
      </c>
      <c r="AB1848" s="333"/>
      <c r="AC1848" s="333"/>
      <c r="AD1848" s="329"/>
      <c r="AE1848" s="331"/>
      <c r="AF1848" s="336"/>
      <c r="AG1848" s="337"/>
      <c r="AH1848" s="333"/>
      <c r="AI1848" s="333"/>
      <c r="AJ1848" s="333"/>
      <c r="AK1848" s="333"/>
      <c r="AL1848" s="333"/>
      <c r="AM1848" s="338"/>
      <c r="AN1848" s="333"/>
      <c r="AO1848" s="333"/>
      <c r="AP1848" s="333"/>
      <c r="AQ1848" s="333"/>
      <c r="AR1848" s="333"/>
      <c r="AS1848" s="333"/>
      <c r="AT1848" s="333"/>
      <c r="AU1848" s="329"/>
      <c r="AV1848" s="341"/>
      <c r="AW1848" s="269" t="s">
        <v>2506</v>
      </c>
      <c r="AX1848" s="334" t="s">
        <v>2869</v>
      </c>
      <c r="AY1848" s="270" t="s">
        <v>695</v>
      </c>
      <c r="AZ1848" s="173" t="s">
        <v>5516</v>
      </c>
      <c r="BA1848" s="265">
        <v>10.0</v>
      </c>
      <c r="BB1848" s="174" t="s">
        <v>245</v>
      </c>
      <c r="BC1848" s="341"/>
      <c r="BD1848" s="308"/>
      <c r="BE1848" s="342"/>
      <c r="BF1848" s="274" t="str">
        <f>IFERROR(__xludf.DUMMYFUNCTION("LOWER(Regexreplace(to_text(E1848),""[^A-Za-z0-9]"","""")&amp;""_""&amp;Regexreplace(to_text(F1848),""[^A-Za-z0-9]"",""""))"),"neptronic_evcbseries")</f>
        <v>neptronic_evcbseries</v>
      </c>
      <c r="BG1848" s="275" t="str">
        <f>IFERROR(__xludf.DUMMYFUNCTION("upper(Regexreplace(to_text(E1848),""[^A-Za-z0-9]"","""")&amp;""-""&amp;Regexreplace(to_text(F1848),""[^A-Za-z0-9]"",""""))"),"NEPTRONIC-EVCBSERIES")</f>
        <v>NEPTRONIC-EVCBSERIES</v>
      </c>
    </row>
    <row r="1849" ht="30.0" customHeight="1">
      <c r="A1849" s="173">
        <v>1841.0</v>
      </c>
      <c r="B1849" s="328" t="s">
        <v>670</v>
      </c>
      <c r="C1849" s="257" t="s">
        <v>6901</v>
      </c>
      <c r="D1849" s="173" t="s">
        <v>6901</v>
      </c>
      <c r="E1849" s="174" t="s">
        <v>2861</v>
      </c>
      <c r="F1849" s="173" t="s">
        <v>2862</v>
      </c>
      <c r="G1849" s="328" t="s">
        <v>673</v>
      </c>
      <c r="H1849" s="328" t="s">
        <v>2863</v>
      </c>
      <c r="I1849" s="258" t="s">
        <v>2864</v>
      </c>
      <c r="J1849" s="259" t="s">
        <v>1272</v>
      </c>
      <c r="K1849" s="260"/>
      <c r="L1849" s="359"/>
      <c r="M1849" s="359"/>
      <c r="N1849" s="173" t="s">
        <v>679</v>
      </c>
      <c r="O1849" s="173" t="s">
        <v>225</v>
      </c>
      <c r="P1849" s="262" t="str">
        <f t="shared" si="1"/>
        <v>IN-BLR-ANANTA-VAV-1421_8</v>
      </c>
      <c r="Q1849" s="173" t="s">
        <v>6902</v>
      </c>
      <c r="R1849" s="328" t="str">
        <f>IFS(C1849="","",C1849="n/a","N/A",LEN(C1849),Concatenate("{",char(34),"asset",char(34),":{",char(34),"guid",char(34),":",char(34),Q1849,char(34),",",char(34),"site",char(34),":",char(34),LOWER('2-Building'!$B$4),char(34),",",char(34),"name",char(34),":",char(34),LOWER(C1849),char(34),"}}"))</f>
        <v>{"asset":{"guid":"uuid://cc17e760-a595-4bd5-a622-9fea4cee66fc","site":"in-blr-ananta","name":"vav-1421"}}</v>
      </c>
      <c r="S1849" s="360" t="s">
        <v>5516</v>
      </c>
      <c r="T1849" s="330"/>
      <c r="U1849" s="330"/>
      <c r="V1849" s="331"/>
      <c r="W1849" s="332"/>
      <c r="X1849" s="333"/>
      <c r="Y1849" s="33" t="s">
        <v>2867</v>
      </c>
      <c r="Z1849" s="258">
        <v>121421.0</v>
      </c>
      <c r="AA1849" s="334">
        <v>11653.0</v>
      </c>
      <c r="AB1849" s="333"/>
      <c r="AC1849" s="333"/>
      <c r="AD1849" s="329"/>
      <c r="AE1849" s="331"/>
      <c r="AF1849" s="336"/>
      <c r="AG1849" s="337"/>
      <c r="AH1849" s="333"/>
      <c r="AI1849" s="333"/>
      <c r="AJ1849" s="333"/>
      <c r="AK1849" s="333"/>
      <c r="AL1849" s="333"/>
      <c r="AM1849" s="338"/>
      <c r="AN1849" s="333"/>
      <c r="AO1849" s="333"/>
      <c r="AP1849" s="333"/>
      <c r="AQ1849" s="333"/>
      <c r="AR1849" s="333"/>
      <c r="AS1849" s="333"/>
      <c r="AT1849" s="333"/>
      <c r="AU1849" s="329"/>
      <c r="AV1849" s="341"/>
      <c r="AW1849" s="269" t="s">
        <v>2506</v>
      </c>
      <c r="AX1849" s="334" t="s">
        <v>2869</v>
      </c>
      <c r="AY1849" s="270" t="s">
        <v>695</v>
      </c>
      <c r="AZ1849" s="173" t="s">
        <v>5516</v>
      </c>
      <c r="BA1849" s="265">
        <v>10.0</v>
      </c>
      <c r="BB1849" s="174" t="s">
        <v>245</v>
      </c>
      <c r="BC1849" s="341"/>
      <c r="BD1849" s="308"/>
      <c r="BE1849" s="342"/>
      <c r="BF1849" s="274" t="str">
        <f>IFERROR(__xludf.DUMMYFUNCTION("LOWER(Regexreplace(to_text(E1849),""[^A-Za-z0-9]"","""")&amp;""_""&amp;Regexreplace(to_text(F1849),""[^A-Za-z0-9]"",""""))"),"neptronic_evcbseries")</f>
        <v>neptronic_evcbseries</v>
      </c>
      <c r="BG1849" s="275" t="str">
        <f>IFERROR(__xludf.DUMMYFUNCTION("upper(Regexreplace(to_text(E1849),""[^A-Za-z0-9]"","""")&amp;""-""&amp;Regexreplace(to_text(F1849),""[^A-Za-z0-9]"",""""))"),"NEPTRONIC-EVCBSERIES")</f>
        <v>NEPTRONIC-EVCBSERIES</v>
      </c>
    </row>
    <row r="1850" ht="30.0" customHeight="1">
      <c r="A1850" s="258">
        <v>1842.0</v>
      </c>
      <c r="B1850" s="328" t="s">
        <v>670</v>
      </c>
      <c r="C1850" s="257" t="s">
        <v>6903</v>
      </c>
      <c r="D1850" s="173" t="s">
        <v>6903</v>
      </c>
      <c r="E1850" s="174" t="s">
        <v>2861</v>
      </c>
      <c r="F1850" s="173" t="s">
        <v>2862</v>
      </c>
      <c r="G1850" s="328" t="s">
        <v>673</v>
      </c>
      <c r="H1850" s="328" t="s">
        <v>2863</v>
      </c>
      <c r="I1850" s="258" t="s">
        <v>2864</v>
      </c>
      <c r="J1850" s="259" t="s">
        <v>1272</v>
      </c>
      <c r="K1850" s="260"/>
      <c r="L1850" s="359"/>
      <c r="M1850" s="359"/>
      <c r="N1850" s="173" t="s">
        <v>679</v>
      </c>
      <c r="O1850" s="173" t="s">
        <v>225</v>
      </c>
      <c r="P1850" s="262" t="str">
        <f t="shared" si="1"/>
        <v>IN-BLR-ANANTA-VAV-1422_8</v>
      </c>
      <c r="Q1850" s="173" t="s">
        <v>6904</v>
      </c>
      <c r="R1850" s="328" t="str">
        <f>IFS(C1850="","",C1850="n/a","N/A",LEN(C1850),Concatenate("{",char(34),"asset",char(34),":{",char(34),"guid",char(34),":",char(34),Q1850,char(34),",",char(34),"site",char(34),":",char(34),LOWER('2-Building'!$B$4),char(34),",",char(34),"name",char(34),":",char(34),LOWER(C1850),char(34),"}}"))</f>
        <v>{"asset":{"guid":"uuid://be045ae9-6008-4e8b-a6f1-622017411b94","site":"in-blr-ananta","name":"vav-1422"}}</v>
      </c>
      <c r="S1850" s="360" t="s">
        <v>5516</v>
      </c>
      <c r="T1850" s="330"/>
      <c r="U1850" s="330"/>
      <c r="V1850" s="331"/>
      <c r="W1850" s="332"/>
      <c r="X1850" s="333"/>
      <c r="Y1850" s="33" t="s">
        <v>2867</v>
      </c>
      <c r="Z1850" s="258">
        <v>121422.0</v>
      </c>
      <c r="AA1850" s="334">
        <v>11653.0</v>
      </c>
      <c r="AB1850" s="333"/>
      <c r="AC1850" s="333"/>
      <c r="AD1850" s="329"/>
      <c r="AE1850" s="331"/>
      <c r="AF1850" s="336"/>
      <c r="AG1850" s="337"/>
      <c r="AH1850" s="333"/>
      <c r="AI1850" s="333"/>
      <c r="AJ1850" s="333"/>
      <c r="AK1850" s="333"/>
      <c r="AL1850" s="333"/>
      <c r="AM1850" s="338"/>
      <c r="AN1850" s="333"/>
      <c r="AO1850" s="333"/>
      <c r="AP1850" s="333"/>
      <c r="AQ1850" s="333"/>
      <c r="AR1850" s="333"/>
      <c r="AS1850" s="333"/>
      <c r="AT1850" s="333"/>
      <c r="AU1850" s="329"/>
      <c r="AV1850" s="341"/>
      <c r="AW1850" s="269" t="s">
        <v>2506</v>
      </c>
      <c r="AX1850" s="334" t="s">
        <v>2869</v>
      </c>
      <c r="AY1850" s="270" t="s">
        <v>695</v>
      </c>
      <c r="AZ1850" s="173" t="s">
        <v>5516</v>
      </c>
      <c r="BA1850" s="265">
        <v>10.0</v>
      </c>
      <c r="BB1850" s="174" t="s">
        <v>245</v>
      </c>
      <c r="BC1850" s="341"/>
      <c r="BD1850" s="308"/>
      <c r="BE1850" s="342"/>
      <c r="BF1850" s="274" t="str">
        <f>IFERROR(__xludf.DUMMYFUNCTION("LOWER(Regexreplace(to_text(E1850),""[^A-Za-z0-9]"","""")&amp;""_""&amp;Regexreplace(to_text(F1850),""[^A-Za-z0-9]"",""""))"),"neptronic_evcbseries")</f>
        <v>neptronic_evcbseries</v>
      </c>
      <c r="BG1850" s="275" t="str">
        <f>IFERROR(__xludf.DUMMYFUNCTION("upper(Regexreplace(to_text(E1850),""[^A-Za-z0-9]"","""")&amp;""-""&amp;Regexreplace(to_text(F1850),""[^A-Za-z0-9]"",""""))"),"NEPTRONIC-EVCBSERIES")</f>
        <v>NEPTRONIC-EVCBSERIES</v>
      </c>
    </row>
    <row r="1851" ht="30.0" customHeight="1">
      <c r="A1851" s="173">
        <v>1843.0</v>
      </c>
      <c r="B1851" s="328" t="s">
        <v>670</v>
      </c>
      <c r="C1851" s="257" t="s">
        <v>6905</v>
      </c>
      <c r="D1851" s="173" t="s">
        <v>6905</v>
      </c>
      <c r="E1851" s="174" t="s">
        <v>2861</v>
      </c>
      <c r="F1851" s="173" t="s">
        <v>2862</v>
      </c>
      <c r="G1851" s="328" t="s">
        <v>673</v>
      </c>
      <c r="H1851" s="328" t="s">
        <v>2863</v>
      </c>
      <c r="I1851" s="258" t="s">
        <v>2864</v>
      </c>
      <c r="J1851" s="259" t="s">
        <v>1272</v>
      </c>
      <c r="K1851" s="260"/>
      <c r="L1851" s="359"/>
      <c r="M1851" s="359"/>
      <c r="N1851" s="173" t="s">
        <v>679</v>
      </c>
      <c r="O1851" s="173" t="s">
        <v>225</v>
      </c>
      <c r="P1851" s="262" t="str">
        <f t="shared" si="1"/>
        <v>IN-BLR-ANANTA-VAV-1423_8</v>
      </c>
      <c r="Q1851" s="173" t="s">
        <v>6906</v>
      </c>
      <c r="R1851" s="328" t="str">
        <f>IFS(C1851="","",C1851="n/a","N/A",LEN(C1851),Concatenate("{",char(34),"asset",char(34),":{",char(34),"guid",char(34),":",char(34),Q1851,char(34),",",char(34),"site",char(34),":",char(34),LOWER('2-Building'!$B$4),char(34),",",char(34),"name",char(34),":",char(34),LOWER(C1851),char(34),"}}"))</f>
        <v>{"asset":{"guid":"uuid://d78c7d8e-0eb6-4ac5-852b-983ee3bda207","site":"in-blr-ananta","name":"vav-1423"}}</v>
      </c>
      <c r="S1851" s="360" t="s">
        <v>5516</v>
      </c>
      <c r="T1851" s="330"/>
      <c r="U1851" s="330"/>
      <c r="V1851" s="331"/>
      <c r="W1851" s="332"/>
      <c r="X1851" s="333"/>
      <c r="Y1851" s="33" t="s">
        <v>2867</v>
      </c>
      <c r="Z1851" s="258">
        <v>121423.0</v>
      </c>
      <c r="AA1851" s="334">
        <v>11653.0</v>
      </c>
      <c r="AB1851" s="333"/>
      <c r="AC1851" s="333"/>
      <c r="AD1851" s="329"/>
      <c r="AE1851" s="331"/>
      <c r="AF1851" s="336"/>
      <c r="AG1851" s="337"/>
      <c r="AH1851" s="333"/>
      <c r="AI1851" s="333"/>
      <c r="AJ1851" s="333"/>
      <c r="AK1851" s="333"/>
      <c r="AL1851" s="333"/>
      <c r="AM1851" s="338"/>
      <c r="AN1851" s="333"/>
      <c r="AO1851" s="333"/>
      <c r="AP1851" s="333"/>
      <c r="AQ1851" s="333"/>
      <c r="AR1851" s="333"/>
      <c r="AS1851" s="333"/>
      <c r="AT1851" s="333"/>
      <c r="AU1851" s="329"/>
      <c r="AV1851" s="341"/>
      <c r="AW1851" s="269" t="s">
        <v>2506</v>
      </c>
      <c r="AX1851" s="334" t="s">
        <v>2869</v>
      </c>
      <c r="AY1851" s="270" t="s">
        <v>695</v>
      </c>
      <c r="AZ1851" s="173" t="s">
        <v>5516</v>
      </c>
      <c r="BA1851" s="265">
        <v>10.0</v>
      </c>
      <c r="BB1851" s="174" t="s">
        <v>245</v>
      </c>
      <c r="BC1851" s="341"/>
      <c r="BD1851" s="308"/>
      <c r="BE1851" s="342"/>
      <c r="BF1851" s="274" t="str">
        <f>IFERROR(__xludf.DUMMYFUNCTION("LOWER(Regexreplace(to_text(E1851),""[^A-Za-z0-9]"","""")&amp;""_""&amp;Regexreplace(to_text(F1851),""[^A-Za-z0-9]"",""""))"),"neptronic_evcbseries")</f>
        <v>neptronic_evcbseries</v>
      </c>
      <c r="BG1851" s="275" t="str">
        <f>IFERROR(__xludf.DUMMYFUNCTION("upper(Regexreplace(to_text(E1851),""[^A-Za-z0-9]"","""")&amp;""-""&amp;Regexreplace(to_text(F1851),""[^A-Za-z0-9]"",""""))"),"NEPTRONIC-EVCBSERIES")</f>
        <v>NEPTRONIC-EVCBSERIES</v>
      </c>
    </row>
    <row r="1852" ht="30.0" customHeight="1">
      <c r="A1852" s="258">
        <v>1844.0</v>
      </c>
      <c r="B1852" s="328" t="s">
        <v>670</v>
      </c>
      <c r="C1852" s="257" t="s">
        <v>6907</v>
      </c>
      <c r="D1852" s="173" t="s">
        <v>6907</v>
      </c>
      <c r="E1852" s="174" t="s">
        <v>2861</v>
      </c>
      <c r="F1852" s="173" t="s">
        <v>2862</v>
      </c>
      <c r="G1852" s="328" t="s">
        <v>673</v>
      </c>
      <c r="H1852" s="328" t="s">
        <v>2863</v>
      </c>
      <c r="I1852" s="258" t="s">
        <v>2864</v>
      </c>
      <c r="J1852" s="259" t="s">
        <v>1272</v>
      </c>
      <c r="K1852" s="260"/>
      <c r="L1852" s="359"/>
      <c r="M1852" s="359"/>
      <c r="N1852" s="173" t="s">
        <v>679</v>
      </c>
      <c r="O1852" s="173" t="s">
        <v>225</v>
      </c>
      <c r="P1852" s="262" t="str">
        <f t="shared" si="1"/>
        <v>IN-BLR-ANANTA-VAV-1424_8</v>
      </c>
      <c r="Q1852" s="173" t="s">
        <v>6908</v>
      </c>
      <c r="R1852" s="328" t="str">
        <f>IFS(C1852="","",C1852="n/a","N/A",LEN(C1852),Concatenate("{",char(34),"asset",char(34),":{",char(34),"guid",char(34),":",char(34),Q1852,char(34),",",char(34),"site",char(34),":",char(34),LOWER('2-Building'!$B$4),char(34),",",char(34),"name",char(34),":",char(34),LOWER(C1852),char(34),"}}"))</f>
        <v>{"asset":{"guid":"uuid://5bddc969-9d6d-40b7-9c3a-7b65ba900943","site":"in-blr-ananta","name":"vav-1424"}}</v>
      </c>
      <c r="S1852" s="360" t="s">
        <v>5516</v>
      </c>
      <c r="T1852" s="330"/>
      <c r="U1852" s="330"/>
      <c r="V1852" s="331"/>
      <c r="W1852" s="332"/>
      <c r="X1852" s="333"/>
      <c r="Y1852" s="33" t="s">
        <v>2867</v>
      </c>
      <c r="Z1852" s="258">
        <v>121424.0</v>
      </c>
      <c r="AA1852" s="334">
        <v>11654.0</v>
      </c>
      <c r="AB1852" s="333"/>
      <c r="AC1852" s="333"/>
      <c r="AD1852" s="329"/>
      <c r="AE1852" s="331"/>
      <c r="AF1852" s="336"/>
      <c r="AG1852" s="337"/>
      <c r="AH1852" s="333"/>
      <c r="AI1852" s="333"/>
      <c r="AJ1852" s="333"/>
      <c r="AK1852" s="333"/>
      <c r="AL1852" s="333"/>
      <c r="AM1852" s="338"/>
      <c r="AN1852" s="333"/>
      <c r="AO1852" s="333"/>
      <c r="AP1852" s="333"/>
      <c r="AQ1852" s="333"/>
      <c r="AR1852" s="333"/>
      <c r="AS1852" s="333"/>
      <c r="AT1852" s="333"/>
      <c r="AU1852" s="329"/>
      <c r="AV1852" s="341"/>
      <c r="AW1852" s="269" t="s">
        <v>2506</v>
      </c>
      <c r="AX1852" s="334" t="s">
        <v>2869</v>
      </c>
      <c r="AY1852" s="270" t="s">
        <v>695</v>
      </c>
      <c r="AZ1852" s="173" t="s">
        <v>5516</v>
      </c>
      <c r="BA1852" s="265">
        <v>10.0</v>
      </c>
      <c r="BB1852" s="174" t="s">
        <v>245</v>
      </c>
      <c r="BC1852" s="341"/>
      <c r="BD1852" s="308"/>
      <c r="BE1852" s="342"/>
      <c r="BF1852" s="274" t="str">
        <f>IFERROR(__xludf.DUMMYFUNCTION("LOWER(Regexreplace(to_text(E1852),""[^A-Za-z0-9]"","""")&amp;""_""&amp;Regexreplace(to_text(F1852),""[^A-Za-z0-9]"",""""))"),"neptronic_evcbseries")</f>
        <v>neptronic_evcbseries</v>
      </c>
      <c r="BG1852" s="275" t="str">
        <f>IFERROR(__xludf.DUMMYFUNCTION("upper(Regexreplace(to_text(E1852),""[^A-Za-z0-9]"","""")&amp;""-""&amp;Regexreplace(to_text(F1852),""[^A-Za-z0-9]"",""""))"),"NEPTRONIC-EVCBSERIES")</f>
        <v>NEPTRONIC-EVCBSERIES</v>
      </c>
    </row>
    <row r="1853" ht="30.0" customHeight="1">
      <c r="A1853" s="173">
        <v>1845.0</v>
      </c>
      <c r="B1853" s="328" t="s">
        <v>670</v>
      </c>
      <c r="C1853" s="257" t="s">
        <v>6909</v>
      </c>
      <c r="D1853" s="173" t="s">
        <v>6909</v>
      </c>
      <c r="E1853" s="174" t="s">
        <v>2861</v>
      </c>
      <c r="F1853" s="173" t="s">
        <v>2862</v>
      </c>
      <c r="G1853" s="328" t="s">
        <v>673</v>
      </c>
      <c r="H1853" s="328" t="s">
        <v>2863</v>
      </c>
      <c r="I1853" s="258" t="s">
        <v>2864</v>
      </c>
      <c r="J1853" s="259" t="s">
        <v>1272</v>
      </c>
      <c r="K1853" s="260"/>
      <c r="L1853" s="359"/>
      <c r="M1853" s="359"/>
      <c r="N1853" s="173" t="s">
        <v>679</v>
      </c>
      <c r="O1853" s="173" t="s">
        <v>225</v>
      </c>
      <c r="P1853" s="262" t="str">
        <f t="shared" si="1"/>
        <v>IN-BLR-ANANTA-VAV-1425_8</v>
      </c>
      <c r="Q1853" s="173" t="s">
        <v>6910</v>
      </c>
      <c r="R1853" s="328" t="str">
        <f>IFS(C1853="","",C1853="n/a","N/A",LEN(C1853),Concatenate("{",char(34),"asset",char(34),":{",char(34),"guid",char(34),":",char(34),Q1853,char(34),",",char(34),"site",char(34),":",char(34),LOWER('2-Building'!$B$4),char(34),",",char(34),"name",char(34),":",char(34),LOWER(C1853),char(34),"}}"))</f>
        <v>{"asset":{"guid":"uuid://6d74261e-d4cc-44f7-849a-67e8b5cea290","site":"in-blr-ananta","name":"vav-1425"}}</v>
      </c>
      <c r="S1853" s="360" t="s">
        <v>5516</v>
      </c>
      <c r="T1853" s="330"/>
      <c r="U1853" s="330"/>
      <c r="V1853" s="331"/>
      <c r="W1853" s="332"/>
      <c r="X1853" s="333"/>
      <c r="Y1853" s="33" t="s">
        <v>2867</v>
      </c>
      <c r="Z1853" s="258">
        <v>121425.0</v>
      </c>
      <c r="AA1853" s="334">
        <v>11654.0</v>
      </c>
      <c r="AB1853" s="333"/>
      <c r="AC1853" s="333"/>
      <c r="AD1853" s="329"/>
      <c r="AE1853" s="331"/>
      <c r="AF1853" s="336"/>
      <c r="AG1853" s="337"/>
      <c r="AH1853" s="333"/>
      <c r="AI1853" s="333"/>
      <c r="AJ1853" s="333"/>
      <c r="AK1853" s="333"/>
      <c r="AL1853" s="333"/>
      <c r="AM1853" s="338"/>
      <c r="AN1853" s="333"/>
      <c r="AO1853" s="333"/>
      <c r="AP1853" s="333"/>
      <c r="AQ1853" s="333"/>
      <c r="AR1853" s="333"/>
      <c r="AS1853" s="333"/>
      <c r="AT1853" s="333"/>
      <c r="AU1853" s="329"/>
      <c r="AV1853" s="341"/>
      <c r="AW1853" s="269" t="s">
        <v>2506</v>
      </c>
      <c r="AX1853" s="334" t="s">
        <v>2869</v>
      </c>
      <c r="AY1853" s="270" t="s">
        <v>695</v>
      </c>
      <c r="AZ1853" s="173" t="s">
        <v>5516</v>
      </c>
      <c r="BA1853" s="265">
        <v>10.0</v>
      </c>
      <c r="BB1853" s="174" t="s">
        <v>245</v>
      </c>
      <c r="BC1853" s="341"/>
      <c r="BD1853" s="308"/>
      <c r="BE1853" s="342"/>
      <c r="BF1853" s="274" t="str">
        <f>IFERROR(__xludf.DUMMYFUNCTION("LOWER(Regexreplace(to_text(E1853),""[^A-Za-z0-9]"","""")&amp;""_""&amp;Regexreplace(to_text(F1853),""[^A-Za-z0-9]"",""""))"),"neptronic_evcbseries")</f>
        <v>neptronic_evcbseries</v>
      </c>
      <c r="BG1853" s="275" t="str">
        <f>IFERROR(__xludf.DUMMYFUNCTION("upper(Regexreplace(to_text(E1853),""[^A-Za-z0-9]"","""")&amp;""-""&amp;Regexreplace(to_text(F1853),""[^A-Za-z0-9]"",""""))"),"NEPTRONIC-EVCBSERIES")</f>
        <v>NEPTRONIC-EVCBSERIES</v>
      </c>
    </row>
    <row r="1854" ht="30.0" customHeight="1">
      <c r="A1854" s="258">
        <v>1846.0</v>
      </c>
      <c r="B1854" s="328" t="s">
        <v>670</v>
      </c>
      <c r="C1854" s="257" t="s">
        <v>6911</v>
      </c>
      <c r="D1854" s="173" t="s">
        <v>6911</v>
      </c>
      <c r="E1854" s="174" t="s">
        <v>2861</v>
      </c>
      <c r="F1854" s="173" t="s">
        <v>2862</v>
      </c>
      <c r="G1854" s="328" t="s">
        <v>673</v>
      </c>
      <c r="H1854" s="328" t="s">
        <v>2863</v>
      </c>
      <c r="I1854" s="258" t="s">
        <v>2864</v>
      </c>
      <c r="J1854" s="259" t="s">
        <v>1272</v>
      </c>
      <c r="K1854" s="260"/>
      <c r="L1854" s="359"/>
      <c r="M1854" s="359"/>
      <c r="N1854" s="173" t="s">
        <v>679</v>
      </c>
      <c r="O1854" s="173" t="s">
        <v>225</v>
      </c>
      <c r="P1854" s="262" t="str">
        <f t="shared" si="1"/>
        <v>IN-BLR-ANANTA-VAV-1426_8</v>
      </c>
      <c r="Q1854" s="173" t="s">
        <v>6912</v>
      </c>
      <c r="R1854" s="328" t="str">
        <f>IFS(C1854="","",C1854="n/a","N/A",LEN(C1854),Concatenate("{",char(34),"asset",char(34),":{",char(34),"guid",char(34),":",char(34),Q1854,char(34),",",char(34),"site",char(34),":",char(34),LOWER('2-Building'!$B$4),char(34),",",char(34),"name",char(34),":",char(34),LOWER(C1854),char(34),"}}"))</f>
        <v>{"asset":{"guid":"uuid://ca89345a-73d5-489a-bd16-b61a9045bb8f","site":"in-blr-ananta","name":"vav-1426"}}</v>
      </c>
      <c r="S1854" s="360" t="s">
        <v>5516</v>
      </c>
      <c r="T1854" s="330"/>
      <c r="U1854" s="330"/>
      <c r="V1854" s="331"/>
      <c r="W1854" s="332"/>
      <c r="X1854" s="333"/>
      <c r="Y1854" s="33" t="s">
        <v>2867</v>
      </c>
      <c r="Z1854" s="258">
        <v>121426.0</v>
      </c>
      <c r="AA1854" s="334">
        <v>11653.0</v>
      </c>
      <c r="AB1854" s="333"/>
      <c r="AC1854" s="333"/>
      <c r="AD1854" s="329"/>
      <c r="AE1854" s="331"/>
      <c r="AF1854" s="336"/>
      <c r="AG1854" s="337"/>
      <c r="AH1854" s="333"/>
      <c r="AI1854" s="333"/>
      <c r="AJ1854" s="333"/>
      <c r="AK1854" s="333"/>
      <c r="AL1854" s="333"/>
      <c r="AM1854" s="338"/>
      <c r="AN1854" s="333"/>
      <c r="AO1854" s="333"/>
      <c r="AP1854" s="333"/>
      <c r="AQ1854" s="333"/>
      <c r="AR1854" s="333"/>
      <c r="AS1854" s="333"/>
      <c r="AT1854" s="333"/>
      <c r="AU1854" s="329"/>
      <c r="AV1854" s="341"/>
      <c r="AW1854" s="269" t="s">
        <v>2506</v>
      </c>
      <c r="AX1854" s="334" t="s">
        <v>2869</v>
      </c>
      <c r="AY1854" s="270" t="s">
        <v>695</v>
      </c>
      <c r="AZ1854" s="173" t="s">
        <v>5516</v>
      </c>
      <c r="BA1854" s="265">
        <v>10.0</v>
      </c>
      <c r="BB1854" s="174" t="s">
        <v>245</v>
      </c>
      <c r="BC1854" s="341"/>
      <c r="BD1854" s="308"/>
      <c r="BE1854" s="342"/>
      <c r="BF1854" s="274" t="str">
        <f>IFERROR(__xludf.DUMMYFUNCTION("LOWER(Regexreplace(to_text(E1854),""[^A-Za-z0-9]"","""")&amp;""_""&amp;Regexreplace(to_text(F1854),""[^A-Za-z0-9]"",""""))"),"neptronic_evcbseries")</f>
        <v>neptronic_evcbseries</v>
      </c>
      <c r="BG1854" s="275" t="str">
        <f>IFERROR(__xludf.DUMMYFUNCTION("upper(Regexreplace(to_text(E1854),""[^A-Za-z0-9]"","""")&amp;""-""&amp;Regexreplace(to_text(F1854),""[^A-Za-z0-9]"",""""))"),"NEPTRONIC-EVCBSERIES")</f>
        <v>NEPTRONIC-EVCBSERIES</v>
      </c>
    </row>
    <row r="1855" ht="30.0" customHeight="1">
      <c r="A1855" s="173">
        <v>1847.0</v>
      </c>
      <c r="B1855" s="328" t="s">
        <v>670</v>
      </c>
      <c r="C1855" s="257" t="s">
        <v>6913</v>
      </c>
      <c r="D1855" s="173" t="s">
        <v>6913</v>
      </c>
      <c r="E1855" s="174" t="s">
        <v>2861</v>
      </c>
      <c r="F1855" s="173" t="s">
        <v>2862</v>
      </c>
      <c r="G1855" s="328" t="s">
        <v>673</v>
      </c>
      <c r="H1855" s="328" t="s">
        <v>2863</v>
      </c>
      <c r="I1855" s="258" t="s">
        <v>2864</v>
      </c>
      <c r="J1855" s="259" t="s">
        <v>1272</v>
      </c>
      <c r="K1855" s="260"/>
      <c r="L1855" s="359"/>
      <c r="M1855" s="359"/>
      <c r="N1855" s="173" t="s">
        <v>679</v>
      </c>
      <c r="O1855" s="173" t="s">
        <v>225</v>
      </c>
      <c r="P1855" s="262" t="str">
        <f t="shared" si="1"/>
        <v>IN-BLR-ANANTA-VAV-1427_8</v>
      </c>
      <c r="Q1855" s="173" t="s">
        <v>6914</v>
      </c>
      <c r="R1855" s="328" t="str">
        <f>IFS(C1855="","",C1855="n/a","N/A",LEN(C1855),Concatenate("{",char(34),"asset",char(34),":{",char(34),"guid",char(34),":",char(34),Q1855,char(34),",",char(34),"site",char(34),":",char(34),LOWER('2-Building'!$B$4),char(34),",",char(34),"name",char(34),":",char(34),LOWER(C1855),char(34),"}}"))</f>
        <v>{"asset":{"guid":"uuid://1810442e-b334-438b-9c77-83b5e0a891e0","site":"in-blr-ananta","name":"vav-1427"}}</v>
      </c>
      <c r="S1855" s="360" t="s">
        <v>5516</v>
      </c>
      <c r="T1855" s="330"/>
      <c r="U1855" s="330"/>
      <c r="V1855" s="331"/>
      <c r="W1855" s="332"/>
      <c r="X1855" s="333"/>
      <c r="Y1855" s="33" t="s">
        <v>2867</v>
      </c>
      <c r="Z1855" s="258">
        <v>121427.0</v>
      </c>
      <c r="AA1855" s="334">
        <v>11654.0</v>
      </c>
      <c r="AB1855" s="333"/>
      <c r="AC1855" s="333"/>
      <c r="AD1855" s="329"/>
      <c r="AE1855" s="331"/>
      <c r="AF1855" s="336"/>
      <c r="AG1855" s="337"/>
      <c r="AH1855" s="333"/>
      <c r="AI1855" s="333"/>
      <c r="AJ1855" s="333"/>
      <c r="AK1855" s="333"/>
      <c r="AL1855" s="333"/>
      <c r="AM1855" s="338"/>
      <c r="AN1855" s="333"/>
      <c r="AO1855" s="333"/>
      <c r="AP1855" s="333"/>
      <c r="AQ1855" s="333"/>
      <c r="AR1855" s="333"/>
      <c r="AS1855" s="333"/>
      <c r="AT1855" s="333"/>
      <c r="AU1855" s="329"/>
      <c r="AV1855" s="341"/>
      <c r="AW1855" s="269" t="s">
        <v>2506</v>
      </c>
      <c r="AX1855" s="334" t="s">
        <v>2869</v>
      </c>
      <c r="AY1855" s="270" t="s">
        <v>695</v>
      </c>
      <c r="AZ1855" s="173" t="s">
        <v>5516</v>
      </c>
      <c r="BA1855" s="265">
        <v>10.0</v>
      </c>
      <c r="BB1855" s="174" t="s">
        <v>245</v>
      </c>
      <c r="BC1855" s="341"/>
      <c r="BD1855" s="308"/>
      <c r="BE1855" s="342"/>
      <c r="BF1855" s="274" t="str">
        <f>IFERROR(__xludf.DUMMYFUNCTION("LOWER(Regexreplace(to_text(E1855),""[^A-Za-z0-9]"","""")&amp;""_""&amp;Regexreplace(to_text(F1855),""[^A-Za-z0-9]"",""""))"),"neptronic_evcbseries")</f>
        <v>neptronic_evcbseries</v>
      </c>
      <c r="BG1855" s="275" t="str">
        <f>IFERROR(__xludf.DUMMYFUNCTION("upper(Regexreplace(to_text(E1855),""[^A-Za-z0-9]"","""")&amp;""-""&amp;Regexreplace(to_text(F1855),""[^A-Za-z0-9]"",""""))"),"NEPTRONIC-EVCBSERIES")</f>
        <v>NEPTRONIC-EVCBSERIES</v>
      </c>
    </row>
    <row r="1856" ht="30.0" customHeight="1">
      <c r="A1856" s="258">
        <v>1848.0</v>
      </c>
      <c r="B1856" s="328" t="s">
        <v>670</v>
      </c>
      <c r="C1856" s="257" t="s">
        <v>6915</v>
      </c>
      <c r="D1856" s="173" t="s">
        <v>6915</v>
      </c>
      <c r="E1856" s="174" t="s">
        <v>2861</v>
      </c>
      <c r="F1856" s="173" t="s">
        <v>2862</v>
      </c>
      <c r="G1856" s="328" t="s">
        <v>673</v>
      </c>
      <c r="H1856" s="328" t="s">
        <v>2863</v>
      </c>
      <c r="I1856" s="258" t="s">
        <v>2864</v>
      </c>
      <c r="J1856" s="259" t="s">
        <v>1272</v>
      </c>
      <c r="K1856" s="260"/>
      <c r="L1856" s="359"/>
      <c r="M1856" s="359"/>
      <c r="N1856" s="173" t="s">
        <v>679</v>
      </c>
      <c r="O1856" s="173" t="s">
        <v>225</v>
      </c>
      <c r="P1856" s="262" t="str">
        <f t="shared" si="1"/>
        <v>IN-BLR-ANANTA-VAV-1428_8</v>
      </c>
      <c r="Q1856" s="173" t="s">
        <v>6916</v>
      </c>
      <c r="R1856" s="328" t="str">
        <f>IFS(C1856="","",C1856="n/a","N/A",LEN(C1856),Concatenate("{",char(34),"asset",char(34),":{",char(34),"guid",char(34),":",char(34),Q1856,char(34),",",char(34),"site",char(34),":",char(34),LOWER('2-Building'!$B$4),char(34),",",char(34),"name",char(34),":",char(34),LOWER(C1856),char(34),"}}"))</f>
        <v>{"asset":{"guid":"uuid://316d8e0f-96f0-4dba-a8bd-52b677b49707","site":"in-blr-ananta","name":"vav-1428"}}</v>
      </c>
      <c r="S1856" s="360" t="s">
        <v>5516</v>
      </c>
      <c r="T1856" s="330"/>
      <c r="U1856" s="330"/>
      <c r="V1856" s="331"/>
      <c r="W1856" s="332"/>
      <c r="X1856" s="333"/>
      <c r="Y1856" s="33" t="s">
        <v>2867</v>
      </c>
      <c r="Z1856" s="258">
        <v>121428.0</v>
      </c>
      <c r="AA1856" s="334">
        <v>11654.0</v>
      </c>
      <c r="AB1856" s="333"/>
      <c r="AC1856" s="333"/>
      <c r="AD1856" s="329"/>
      <c r="AE1856" s="331"/>
      <c r="AF1856" s="336"/>
      <c r="AG1856" s="337"/>
      <c r="AH1856" s="333"/>
      <c r="AI1856" s="333"/>
      <c r="AJ1856" s="333"/>
      <c r="AK1856" s="333"/>
      <c r="AL1856" s="333"/>
      <c r="AM1856" s="338"/>
      <c r="AN1856" s="333"/>
      <c r="AO1856" s="333"/>
      <c r="AP1856" s="333"/>
      <c r="AQ1856" s="333"/>
      <c r="AR1856" s="333"/>
      <c r="AS1856" s="333"/>
      <c r="AT1856" s="333"/>
      <c r="AU1856" s="329"/>
      <c r="AV1856" s="341"/>
      <c r="AW1856" s="269" t="s">
        <v>2506</v>
      </c>
      <c r="AX1856" s="334" t="s">
        <v>2869</v>
      </c>
      <c r="AY1856" s="270" t="s">
        <v>695</v>
      </c>
      <c r="AZ1856" s="173" t="s">
        <v>5516</v>
      </c>
      <c r="BA1856" s="265">
        <v>10.0</v>
      </c>
      <c r="BB1856" s="174" t="s">
        <v>245</v>
      </c>
      <c r="BC1856" s="341"/>
      <c r="BD1856" s="308"/>
      <c r="BE1856" s="342"/>
      <c r="BF1856" s="274" t="str">
        <f>IFERROR(__xludf.DUMMYFUNCTION("LOWER(Regexreplace(to_text(E1856),""[^A-Za-z0-9]"","""")&amp;""_""&amp;Regexreplace(to_text(F1856),""[^A-Za-z0-9]"",""""))"),"neptronic_evcbseries")</f>
        <v>neptronic_evcbseries</v>
      </c>
      <c r="BG1856" s="275" t="str">
        <f>IFERROR(__xludf.DUMMYFUNCTION("upper(Regexreplace(to_text(E1856),""[^A-Za-z0-9]"","""")&amp;""-""&amp;Regexreplace(to_text(F1856),""[^A-Za-z0-9]"",""""))"),"NEPTRONIC-EVCBSERIES")</f>
        <v>NEPTRONIC-EVCBSERIES</v>
      </c>
    </row>
    <row r="1857" ht="30.0" customHeight="1">
      <c r="A1857" s="173">
        <v>1849.0</v>
      </c>
      <c r="B1857" s="328" t="s">
        <v>670</v>
      </c>
      <c r="C1857" s="257" t="s">
        <v>6917</v>
      </c>
      <c r="D1857" s="173" t="s">
        <v>6917</v>
      </c>
      <c r="E1857" s="174" t="s">
        <v>2861</v>
      </c>
      <c r="F1857" s="173" t="s">
        <v>2862</v>
      </c>
      <c r="G1857" s="328" t="s">
        <v>673</v>
      </c>
      <c r="H1857" s="328" t="s">
        <v>2863</v>
      </c>
      <c r="I1857" s="258" t="s">
        <v>2864</v>
      </c>
      <c r="J1857" s="259" t="s">
        <v>1272</v>
      </c>
      <c r="K1857" s="260"/>
      <c r="L1857" s="359"/>
      <c r="M1857" s="359"/>
      <c r="N1857" s="173" t="s">
        <v>679</v>
      </c>
      <c r="O1857" s="173" t="s">
        <v>225</v>
      </c>
      <c r="P1857" s="262" t="str">
        <f t="shared" si="1"/>
        <v>IN-BLR-ANANTA-VAV-1429_8</v>
      </c>
      <c r="Q1857" s="173" t="s">
        <v>6918</v>
      </c>
      <c r="R1857" s="328" t="str">
        <f>IFS(C1857="","",C1857="n/a","N/A",LEN(C1857),Concatenate("{",char(34),"asset",char(34),":{",char(34),"guid",char(34),":",char(34),Q1857,char(34),",",char(34),"site",char(34),":",char(34),LOWER('2-Building'!$B$4),char(34),",",char(34),"name",char(34),":",char(34),LOWER(C1857),char(34),"}}"))</f>
        <v>{"asset":{"guid":"uuid://436493b6-96bd-4c26-937b-7421c3207a75","site":"in-blr-ananta","name":"vav-1429"}}</v>
      </c>
      <c r="S1857" s="360" t="s">
        <v>5516</v>
      </c>
      <c r="T1857" s="330"/>
      <c r="U1857" s="330"/>
      <c r="V1857" s="331"/>
      <c r="W1857" s="332"/>
      <c r="X1857" s="333"/>
      <c r="Y1857" s="33" t="s">
        <v>2867</v>
      </c>
      <c r="Z1857" s="258">
        <v>121429.0</v>
      </c>
      <c r="AA1857" s="334">
        <v>11654.0</v>
      </c>
      <c r="AB1857" s="333"/>
      <c r="AC1857" s="333"/>
      <c r="AD1857" s="329"/>
      <c r="AE1857" s="331"/>
      <c r="AF1857" s="336"/>
      <c r="AG1857" s="337"/>
      <c r="AH1857" s="333"/>
      <c r="AI1857" s="333"/>
      <c r="AJ1857" s="333"/>
      <c r="AK1857" s="333"/>
      <c r="AL1857" s="333"/>
      <c r="AM1857" s="338"/>
      <c r="AN1857" s="333"/>
      <c r="AO1857" s="333"/>
      <c r="AP1857" s="333"/>
      <c r="AQ1857" s="333"/>
      <c r="AR1857" s="333"/>
      <c r="AS1857" s="333"/>
      <c r="AT1857" s="333"/>
      <c r="AU1857" s="329"/>
      <c r="AV1857" s="341"/>
      <c r="AW1857" s="269" t="s">
        <v>2506</v>
      </c>
      <c r="AX1857" s="334" t="s">
        <v>2869</v>
      </c>
      <c r="AY1857" s="270" t="s">
        <v>695</v>
      </c>
      <c r="AZ1857" s="173" t="s">
        <v>5516</v>
      </c>
      <c r="BA1857" s="265">
        <v>10.0</v>
      </c>
      <c r="BB1857" s="174" t="s">
        <v>245</v>
      </c>
      <c r="BC1857" s="341"/>
      <c r="BD1857" s="308"/>
      <c r="BE1857" s="342"/>
      <c r="BF1857" s="274" t="str">
        <f>IFERROR(__xludf.DUMMYFUNCTION("LOWER(Regexreplace(to_text(E1857),""[^A-Za-z0-9]"","""")&amp;""_""&amp;Regexreplace(to_text(F1857),""[^A-Za-z0-9]"",""""))"),"neptronic_evcbseries")</f>
        <v>neptronic_evcbseries</v>
      </c>
      <c r="BG1857" s="275" t="str">
        <f>IFERROR(__xludf.DUMMYFUNCTION("upper(Regexreplace(to_text(E1857),""[^A-Za-z0-9]"","""")&amp;""-""&amp;Regexreplace(to_text(F1857),""[^A-Za-z0-9]"",""""))"),"NEPTRONIC-EVCBSERIES")</f>
        <v>NEPTRONIC-EVCBSERIES</v>
      </c>
    </row>
    <row r="1858" ht="30.0" customHeight="1">
      <c r="A1858" s="258">
        <v>1850.0</v>
      </c>
      <c r="B1858" s="328" t="s">
        <v>670</v>
      </c>
      <c r="C1858" s="257" t="s">
        <v>6919</v>
      </c>
      <c r="D1858" s="173" t="s">
        <v>6919</v>
      </c>
      <c r="E1858" s="174" t="s">
        <v>2861</v>
      </c>
      <c r="F1858" s="173" t="s">
        <v>2862</v>
      </c>
      <c r="G1858" s="328" t="s">
        <v>673</v>
      </c>
      <c r="H1858" s="328" t="s">
        <v>2863</v>
      </c>
      <c r="I1858" s="258" t="s">
        <v>2864</v>
      </c>
      <c r="J1858" s="259" t="s">
        <v>1272</v>
      </c>
      <c r="K1858" s="260"/>
      <c r="L1858" s="359"/>
      <c r="M1858" s="359"/>
      <c r="N1858" s="173" t="s">
        <v>679</v>
      </c>
      <c r="O1858" s="173" t="s">
        <v>225</v>
      </c>
      <c r="P1858" s="262" t="str">
        <f t="shared" si="1"/>
        <v>IN-BLR-ANANTA-VAV-1430_8</v>
      </c>
      <c r="Q1858" s="173" t="s">
        <v>6920</v>
      </c>
      <c r="R1858" s="328" t="str">
        <f>IFS(C1858="","",C1858="n/a","N/A",LEN(C1858),Concatenate("{",char(34),"asset",char(34),":{",char(34),"guid",char(34),":",char(34),Q1858,char(34),",",char(34),"site",char(34),":",char(34),LOWER('2-Building'!$B$4),char(34),",",char(34),"name",char(34),":",char(34),LOWER(C1858),char(34),"}}"))</f>
        <v>{"asset":{"guid":"uuid://2081eed2-1d21-4ef0-898c-112fcc9d3d8f","site":"in-blr-ananta","name":"vav-1430"}}</v>
      </c>
      <c r="S1858" s="360" t="s">
        <v>5516</v>
      </c>
      <c r="T1858" s="330"/>
      <c r="U1858" s="330"/>
      <c r="V1858" s="331"/>
      <c r="W1858" s="332"/>
      <c r="X1858" s="333"/>
      <c r="Y1858" s="33" t="s">
        <v>2867</v>
      </c>
      <c r="Z1858" s="258">
        <v>121430.0</v>
      </c>
      <c r="AA1858" s="334">
        <v>11654.0</v>
      </c>
      <c r="AB1858" s="333"/>
      <c r="AC1858" s="333"/>
      <c r="AD1858" s="329"/>
      <c r="AE1858" s="331"/>
      <c r="AF1858" s="336"/>
      <c r="AG1858" s="337"/>
      <c r="AH1858" s="333"/>
      <c r="AI1858" s="333"/>
      <c r="AJ1858" s="333"/>
      <c r="AK1858" s="333"/>
      <c r="AL1858" s="333"/>
      <c r="AM1858" s="338"/>
      <c r="AN1858" s="333"/>
      <c r="AO1858" s="333"/>
      <c r="AP1858" s="333"/>
      <c r="AQ1858" s="333"/>
      <c r="AR1858" s="333"/>
      <c r="AS1858" s="333"/>
      <c r="AT1858" s="333"/>
      <c r="AU1858" s="329"/>
      <c r="AV1858" s="341"/>
      <c r="AW1858" s="269" t="s">
        <v>2506</v>
      </c>
      <c r="AX1858" s="334" t="s">
        <v>2869</v>
      </c>
      <c r="AY1858" s="270" t="s">
        <v>695</v>
      </c>
      <c r="AZ1858" s="173" t="s">
        <v>5516</v>
      </c>
      <c r="BA1858" s="265">
        <v>10.0</v>
      </c>
      <c r="BB1858" s="174" t="s">
        <v>245</v>
      </c>
      <c r="BC1858" s="341"/>
      <c r="BD1858" s="308"/>
      <c r="BE1858" s="342"/>
      <c r="BF1858" s="274" t="str">
        <f>IFERROR(__xludf.DUMMYFUNCTION("LOWER(Regexreplace(to_text(E1858),""[^A-Za-z0-9]"","""")&amp;""_""&amp;Regexreplace(to_text(F1858),""[^A-Za-z0-9]"",""""))"),"neptronic_evcbseries")</f>
        <v>neptronic_evcbseries</v>
      </c>
      <c r="BG1858" s="275" t="str">
        <f>IFERROR(__xludf.DUMMYFUNCTION("upper(Regexreplace(to_text(E1858),""[^A-Za-z0-9]"","""")&amp;""-""&amp;Regexreplace(to_text(F1858),""[^A-Za-z0-9]"",""""))"),"NEPTRONIC-EVCBSERIES")</f>
        <v>NEPTRONIC-EVCBSERIES</v>
      </c>
    </row>
    <row r="1859" ht="30.0" customHeight="1">
      <c r="A1859" s="173">
        <v>1851.0</v>
      </c>
      <c r="B1859" s="328" t="s">
        <v>670</v>
      </c>
      <c r="C1859" s="257" t="s">
        <v>6921</v>
      </c>
      <c r="D1859" s="173" t="s">
        <v>6921</v>
      </c>
      <c r="E1859" s="174" t="s">
        <v>2861</v>
      </c>
      <c r="F1859" s="173" t="s">
        <v>2862</v>
      </c>
      <c r="G1859" s="328" t="s">
        <v>673</v>
      </c>
      <c r="H1859" s="328" t="s">
        <v>2863</v>
      </c>
      <c r="I1859" s="258" t="s">
        <v>2864</v>
      </c>
      <c r="J1859" s="259" t="s">
        <v>1272</v>
      </c>
      <c r="K1859" s="260"/>
      <c r="L1859" s="359"/>
      <c r="M1859" s="359"/>
      <c r="N1859" s="173" t="s">
        <v>679</v>
      </c>
      <c r="O1859" s="173" t="s">
        <v>225</v>
      </c>
      <c r="P1859" s="262" t="str">
        <f t="shared" si="1"/>
        <v>IN-BLR-ANANTA-VAV-1431_8</v>
      </c>
      <c r="Q1859" s="173" t="s">
        <v>6922</v>
      </c>
      <c r="R1859" s="328" t="str">
        <f>IFS(C1859="","",C1859="n/a","N/A",LEN(C1859),Concatenate("{",char(34),"asset",char(34),":{",char(34),"guid",char(34),":",char(34),Q1859,char(34),",",char(34),"site",char(34),":",char(34),LOWER('2-Building'!$B$4),char(34),",",char(34),"name",char(34),":",char(34),LOWER(C1859),char(34),"}}"))</f>
        <v>{"asset":{"guid":"uuid://0af1af3d-de6a-40c7-a66c-44c4e3d0624d","site":"in-blr-ananta","name":"vav-1431"}}</v>
      </c>
      <c r="S1859" s="360" t="s">
        <v>5516</v>
      </c>
      <c r="T1859" s="330"/>
      <c r="U1859" s="330"/>
      <c r="V1859" s="331"/>
      <c r="W1859" s="332"/>
      <c r="X1859" s="333"/>
      <c r="Y1859" s="33" t="s">
        <v>2867</v>
      </c>
      <c r="Z1859" s="258">
        <v>121431.0</v>
      </c>
      <c r="AA1859" s="334">
        <v>11654.0</v>
      </c>
      <c r="AB1859" s="333"/>
      <c r="AC1859" s="333"/>
      <c r="AD1859" s="329"/>
      <c r="AE1859" s="331"/>
      <c r="AF1859" s="336"/>
      <c r="AG1859" s="337"/>
      <c r="AH1859" s="333"/>
      <c r="AI1859" s="333"/>
      <c r="AJ1859" s="333"/>
      <c r="AK1859" s="333"/>
      <c r="AL1859" s="333"/>
      <c r="AM1859" s="338"/>
      <c r="AN1859" s="333"/>
      <c r="AO1859" s="333"/>
      <c r="AP1859" s="333"/>
      <c r="AQ1859" s="333"/>
      <c r="AR1859" s="333"/>
      <c r="AS1859" s="333"/>
      <c r="AT1859" s="333"/>
      <c r="AU1859" s="329"/>
      <c r="AV1859" s="341"/>
      <c r="AW1859" s="269" t="s">
        <v>2506</v>
      </c>
      <c r="AX1859" s="334" t="s">
        <v>2869</v>
      </c>
      <c r="AY1859" s="270" t="s">
        <v>695</v>
      </c>
      <c r="AZ1859" s="173" t="s">
        <v>5516</v>
      </c>
      <c r="BA1859" s="265">
        <v>10.0</v>
      </c>
      <c r="BB1859" s="174" t="s">
        <v>245</v>
      </c>
      <c r="BC1859" s="341"/>
      <c r="BD1859" s="308"/>
      <c r="BE1859" s="342"/>
      <c r="BF1859" s="274" t="str">
        <f>IFERROR(__xludf.DUMMYFUNCTION("LOWER(Regexreplace(to_text(E1859),""[^A-Za-z0-9]"","""")&amp;""_""&amp;Regexreplace(to_text(F1859),""[^A-Za-z0-9]"",""""))"),"neptronic_evcbseries")</f>
        <v>neptronic_evcbseries</v>
      </c>
      <c r="BG1859" s="275" t="str">
        <f>IFERROR(__xludf.DUMMYFUNCTION("upper(Regexreplace(to_text(E1859),""[^A-Za-z0-9]"","""")&amp;""-""&amp;Regexreplace(to_text(F1859),""[^A-Za-z0-9]"",""""))"),"NEPTRONIC-EVCBSERIES")</f>
        <v>NEPTRONIC-EVCBSERIES</v>
      </c>
    </row>
    <row r="1860" ht="30.0" customHeight="1">
      <c r="A1860" s="258">
        <v>1852.0</v>
      </c>
      <c r="B1860" s="328" t="s">
        <v>670</v>
      </c>
      <c r="C1860" s="257" t="s">
        <v>6923</v>
      </c>
      <c r="D1860" s="173" t="s">
        <v>6923</v>
      </c>
      <c r="E1860" s="174" t="s">
        <v>2861</v>
      </c>
      <c r="F1860" s="173" t="s">
        <v>2862</v>
      </c>
      <c r="G1860" s="328" t="s">
        <v>673</v>
      </c>
      <c r="H1860" s="328" t="s">
        <v>2863</v>
      </c>
      <c r="I1860" s="258" t="s">
        <v>2864</v>
      </c>
      <c r="J1860" s="259" t="s">
        <v>1272</v>
      </c>
      <c r="K1860" s="260"/>
      <c r="L1860" s="359"/>
      <c r="M1860" s="359"/>
      <c r="N1860" s="173" t="s">
        <v>679</v>
      </c>
      <c r="O1860" s="173" t="s">
        <v>225</v>
      </c>
      <c r="P1860" s="262" t="str">
        <f t="shared" si="1"/>
        <v>IN-BLR-ANANTA-VAV-1432_8</v>
      </c>
      <c r="Q1860" s="173" t="s">
        <v>6924</v>
      </c>
      <c r="R1860" s="328" t="str">
        <f>IFS(C1860="","",C1860="n/a","N/A",LEN(C1860),Concatenate("{",char(34),"asset",char(34),":{",char(34),"guid",char(34),":",char(34),Q1860,char(34),",",char(34),"site",char(34),":",char(34),LOWER('2-Building'!$B$4),char(34),",",char(34),"name",char(34),":",char(34),LOWER(C1860),char(34),"}}"))</f>
        <v>{"asset":{"guid":"uuid://d37a7635-37e6-44bd-8c4a-6b6227543599","site":"in-blr-ananta","name":"vav-1432"}}</v>
      </c>
      <c r="S1860" s="360" t="s">
        <v>5516</v>
      </c>
      <c r="T1860" s="330"/>
      <c r="U1860" s="330"/>
      <c r="V1860" s="331"/>
      <c r="W1860" s="332"/>
      <c r="X1860" s="333"/>
      <c r="Y1860" s="33" t="s">
        <v>2867</v>
      </c>
      <c r="Z1860" s="258">
        <v>121432.0</v>
      </c>
      <c r="AA1860" s="334">
        <v>11654.0</v>
      </c>
      <c r="AB1860" s="333"/>
      <c r="AC1860" s="333"/>
      <c r="AD1860" s="329"/>
      <c r="AE1860" s="331"/>
      <c r="AF1860" s="336"/>
      <c r="AG1860" s="337"/>
      <c r="AH1860" s="333"/>
      <c r="AI1860" s="333"/>
      <c r="AJ1860" s="333"/>
      <c r="AK1860" s="333"/>
      <c r="AL1860" s="333"/>
      <c r="AM1860" s="338"/>
      <c r="AN1860" s="333"/>
      <c r="AO1860" s="333"/>
      <c r="AP1860" s="333"/>
      <c r="AQ1860" s="333"/>
      <c r="AR1860" s="333"/>
      <c r="AS1860" s="333"/>
      <c r="AT1860" s="333"/>
      <c r="AU1860" s="329"/>
      <c r="AV1860" s="341"/>
      <c r="AW1860" s="269" t="s">
        <v>2506</v>
      </c>
      <c r="AX1860" s="334" t="s">
        <v>2869</v>
      </c>
      <c r="AY1860" s="270" t="s">
        <v>695</v>
      </c>
      <c r="AZ1860" s="173" t="s">
        <v>5516</v>
      </c>
      <c r="BA1860" s="265">
        <v>10.0</v>
      </c>
      <c r="BB1860" s="174" t="s">
        <v>245</v>
      </c>
      <c r="BC1860" s="341"/>
      <c r="BD1860" s="308"/>
      <c r="BE1860" s="342"/>
      <c r="BF1860" s="274" t="str">
        <f>IFERROR(__xludf.DUMMYFUNCTION("LOWER(Regexreplace(to_text(E1860),""[^A-Za-z0-9]"","""")&amp;""_""&amp;Regexreplace(to_text(F1860),""[^A-Za-z0-9]"",""""))"),"neptronic_evcbseries")</f>
        <v>neptronic_evcbseries</v>
      </c>
      <c r="BG1860" s="275" t="str">
        <f>IFERROR(__xludf.DUMMYFUNCTION("upper(Regexreplace(to_text(E1860),""[^A-Za-z0-9]"","""")&amp;""-""&amp;Regexreplace(to_text(F1860),""[^A-Za-z0-9]"",""""))"),"NEPTRONIC-EVCBSERIES")</f>
        <v>NEPTRONIC-EVCBSERIES</v>
      </c>
    </row>
    <row r="1861" ht="30.0" customHeight="1">
      <c r="A1861" s="173">
        <v>1853.0</v>
      </c>
      <c r="B1861" s="328" t="s">
        <v>670</v>
      </c>
      <c r="C1861" s="257" t="s">
        <v>6925</v>
      </c>
      <c r="D1861" s="173" t="s">
        <v>6925</v>
      </c>
      <c r="E1861" s="174" t="s">
        <v>2861</v>
      </c>
      <c r="F1861" s="173" t="s">
        <v>2862</v>
      </c>
      <c r="G1861" s="328" t="s">
        <v>673</v>
      </c>
      <c r="H1861" s="328" t="s">
        <v>2863</v>
      </c>
      <c r="I1861" s="258" t="s">
        <v>2864</v>
      </c>
      <c r="J1861" s="259" t="s">
        <v>1272</v>
      </c>
      <c r="K1861" s="260"/>
      <c r="L1861" s="359"/>
      <c r="M1861" s="359"/>
      <c r="N1861" s="173" t="s">
        <v>679</v>
      </c>
      <c r="O1861" s="173" t="s">
        <v>225</v>
      </c>
      <c r="P1861" s="262" t="str">
        <f t="shared" si="1"/>
        <v>IN-BLR-ANANTA-VAV-1433_8</v>
      </c>
      <c r="Q1861" s="173" t="s">
        <v>6926</v>
      </c>
      <c r="R1861" s="328" t="str">
        <f>IFS(C1861="","",C1861="n/a","N/A",LEN(C1861),Concatenate("{",char(34),"asset",char(34),":{",char(34),"guid",char(34),":",char(34),Q1861,char(34),",",char(34),"site",char(34),":",char(34),LOWER('2-Building'!$B$4),char(34),",",char(34),"name",char(34),":",char(34),LOWER(C1861),char(34),"}}"))</f>
        <v>{"asset":{"guid":"uuid://0a074f7c-fe28-4471-8bec-41caed9041fd","site":"in-blr-ananta","name":"vav-1433"}}</v>
      </c>
      <c r="S1861" s="360" t="s">
        <v>5516</v>
      </c>
      <c r="T1861" s="330"/>
      <c r="U1861" s="330"/>
      <c r="V1861" s="331"/>
      <c r="W1861" s="332"/>
      <c r="X1861" s="333"/>
      <c r="Y1861" s="33" t="s">
        <v>2867</v>
      </c>
      <c r="Z1861" s="258">
        <v>121433.0</v>
      </c>
      <c r="AA1861" s="334">
        <v>11654.0</v>
      </c>
      <c r="AB1861" s="333"/>
      <c r="AC1861" s="333"/>
      <c r="AD1861" s="329"/>
      <c r="AE1861" s="331"/>
      <c r="AF1861" s="336"/>
      <c r="AG1861" s="337"/>
      <c r="AH1861" s="333"/>
      <c r="AI1861" s="333"/>
      <c r="AJ1861" s="333"/>
      <c r="AK1861" s="333"/>
      <c r="AL1861" s="333"/>
      <c r="AM1861" s="338"/>
      <c r="AN1861" s="333"/>
      <c r="AO1861" s="333"/>
      <c r="AP1861" s="333"/>
      <c r="AQ1861" s="333"/>
      <c r="AR1861" s="333"/>
      <c r="AS1861" s="333"/>
      <c r="AT1861" s="333"/>
      <c r="AU1861" s="329"/>
      <c r="AV1861" s="341"/>
      <c r="AW1861" s="269" t="s">
        <v>2506</v>
      </c>
      <c r="AX1861" s="334" t="s">
        <v>2869</v>
      </c>
      <c r="AY1861" s="270" t="s">
        <v>695</v>
      </c>
      <c r="AZ1861" s="173" t="s">
        <v>5516</v>
      </c>
      <c r="BA1861" s="265">
        <v>10.0</v>
      </c>
      <c r="BB1861" s="174" t="s">
        <v>245</v>
      </c>
      <c r="BC1861" s="341"/>
      <c r="BD1861" s="308"/>
      <c r="BE1861" s="342"/>
      <c r="BF1861" s="274" t="str">
        <f>IFERROR(__xludf.DUMMYFUNCTION("LOWER(Regexreplace(to_text(E1861),""[^A-Za-z0-9]"","""")&amp;""_""&amp;Regexreplace(to_text(F1861),""[^A-Za-z0-9]"",""""))"),"neptronic_evcbseries")</f>
        <v>neptronic_evcbseries</v>
      </c>
      <c r="BG1861" s="275" t="str">
        <f>IFERROR(__xludf.DUMMYFUNCTION("upper(Regexreplace(to_text(E1861),""[^A-Za-z0-9]"","""")&amp;""-""&amp;Regexreplace(to_text(F1861),""[^A-Za-z0-9]"",""""))"),"NEPTRONIC-EVCBSERIES")</f>
        <v>NEPTRONIC-EVCBSERIES</v>
      </c>
    </row>
    <row r="1862" ht="30.0" customHeight="1">
      <c r="A1862" s="258">
        <v>1854.0</v>
      </c>
      <c r="B1862" s="328" t="s">
        <v>670</v>
      </c>
      <c r="C1862" s="257" t="s">
        <v>6927</v>
      </c>
      <c r="D1862" s="173" t="s">
        <v>6927</v>
      </c>
      <c r="E1862" s="174" t="s">
        <v>2861</v>
      </c>
      <c r="F1862" s="173" t="s">
        <v>2862</v>
      </c>
      <c r="G1862" s="328" t="s">
        <v>673</v>
      </c>
      <c r="H1862" s="328" t="s">
        <v>2863</v>
      </c>
      <c r="I1862" s="258" t="s">
        <v>2864</v>
      </c>
      <c r="J1862" s="259" t="s">
        <v>1272</v>
      </c>
      <c r="K1862" s="260"/>
      <c r="L1862" s="359"/>
      <c r="M1862" s="359"/>
      <c r="N1862" s="173" t="s">
        <v>679</v>
      </c>
      <c r="O1862" s="173" t="s">
        <v>225</v>
      </c>
      <c r="P1862" s="262" t="str">
        <f t="shared" si="1"/>
        <v>IN-BLR-ANANTA-VAV-1434_8</v>
      </c>
      <c r="Q1862" s="173" t="s">
        <v>6928</v>
      </c>
      <c r="R1862" s="328" t="str">
        <f>IFS(C1862="","",C1862="n/a","N/A",LEN(C1862),Concatenate("{",char(34),"asset",char(34),":{",char(34),"guid",char(34),":",char(34),Q1862,char(34),",",char(34),"site",char(34),":",char(34),LOWER('2-Building'!$B$4),char(34),",",char(34),"name",char(34),":",char(34),LOWER(C1862),char(34),"}}"))</f>
        <v>{"asset":{"guid":"uuid://d2540b1a-4880-48de-8db1-0075a314f828","site":"in-blr-ananta","name":"vav-1434"}}</v>
      </c>
      <c r="S1862" s="360" t="s">
        <v>5516</v>
      </c>
      <c r="T1862" s="330"/>
      <c r="U1862" s="330"/>
      <c r="V1862" s="331"/>
      <c r="W1862" s="332"/>
      <c r="X1862" s="333"/>
      <c r="Y1862" s="33" t="s">
        <v>2867</v>
      </c>
      <c r="Z1862" s="258">
        <v>121434.0</v>
      </c>
      <c r="AA1862" s="334">
        <v>11654.0</v>
      </c>
      <c r="AB1862" s="333"/>
      <c r="AC1862" s="333"/>
      <c r="AD1862" s="329"/>
      <c r="AE1862" s="331"/>
      <c r="AF1862" s="336"/>
      <c r="AG1862" s="337"/>
      <c r="AH1862" s="333"/>
      <c r="AI1862" s="333"/>
      <c r="AJ1862" s="333"/>
      <c r="AK1862" s="333"/>
      <c r="AL1862" s="333"/>
      <c r="AM1862" s="338"/>
      <c r="AN1862" s="333"/>
      <c r="AO1862" s="333"/>
      <c r="AP1862" s="333"/>
      <c r="AQ1862" s="333"/>
      <c r="AR1862" s="333"/>
      <c r="AS1862" s="333"/>
      <c r="AT1862" s="333"/>
      <c r="AU1862" s="329"/>
      <c r="AV1862" s="341"/>
      <c r="AW1862" s="269" t="s">
        <v>2506</v>
      </c>
      <c r="AX1862" s="334" t="s">
        <v>2869</v>
      </c>
      <c r="AY1862" s="270" t="s">
        <v>695</v>
      </c>
      <c r="AZ1862" s="173" t="s">
        <v>5516</v>
      </c>
      <c r="BA1862" s="265">
        <v>10.0</v>
      </c>
      <c r="BB1862" s="174" t="s">
        <v>245</v>
      </c>
      <c r="BC1862" s="341"/>
      <c r="BD1862" s="308"/>
      <c r="BE1862" s="342"/>
      <c r="BF1862" s="274" t="str">
        <f>IFERROR(__xludf.DUMMYFUNCTION("LOWER(Regexreplace(to_text(E1862),""[^A-Za-z0-9]"","""")&amp;""_""&amp;Regexreplace(to_text(F1862),""[^A-Za-z0-9]"",""""))"),"neptronic_evcbseries")</f>
        <v>neptronic_evcbseries</v>
      </c>
      <c r="BG1862" s="275" t="str">
        <f>IFERROR(__xludf.DUMMYFUNCTION("upper(Regexreplace(to_text(E1862),""[^A-Za-z0-9]"","""")&amp;""-""&amp;Regexreplace(to_text(F1862),""[^A-Za-z0-9]"",""""))"),"NEPTRONIC-EVCBSERIES")</f>
        <v>NEPTRONIC-EVCBSERIES</v>
      </c>
    </row>
    <row r="1863" ht="30.0" customHeight="1">
      <c r="A1863" s="173">
        <v>1855.0</v>
      </c>
      <c r="B1863" s="328" t="s">
        <v>670</v>
      </c>
      <c r="C1863" s="257" t="s">
        <v>6929</v>
      </c>
      <c r="D1863" s="173" t="s">
        <v>6929</v>
      </c>
      <c r="E1863" s="174" t="s">
        <v>2861</v>
      </c>
      <c r="F1863" s="173" t="s">
        <v>2862</v>
      </c>
      <c r="G1863" s="328" t="s">
        <v>673</v>
      </c>
      <c r="H1863" s="328" t="s">
        <v>2863</v>
      </c>
      <c r="I1863" s="258" t="s">
        <v>2864</v>
      </c>
      <c r="J1863" s="259" t="s">
        <v>1272</v>
      </c>
      <c r="K1863" s="260"/>
      <c r="L1863" s="359"/>
      <c r="M1863" s="359"/>
      <c r="N1863" s="173" t="s">
        <v>679</v>
      </c>
      <c r="O1863" s="173" t="s">
        <v>225</v>
      </c>
      <c r="P1863" s="262" t="str">
        <f t="shared" si="1"/>
        <v>IN-BLR-ANANTA-VAV-1435_8</v>
      </c>
      <c r="Q1863" s="173" t="s">
        <v>6930</v>
      </c>
      <c r="R1863" s="328" t="str">
        <f>IFS(C1863="","",C1863="n/a","N/A",LEN(C1863),Concatenate("{",char(34),"asset",char(34),":{",char(34),"guid",char(34),":",char(34),Q1863,char(34),",",char(34),"site",char(34),":",char(34),LOWER('2-Building'!$B$4),char(34),",",char(34),"name",char(34),":",char(34),LOWER(C1863),char(34),"}}"))</f>
        <v>{"asset":{"guid":"uuid://deb30663-03d9-43a3-b3c9-6fda2e050259","site":"in-blr-ananta","name":"vav-1435"}}</v>
      </c>
      <c r="S1863" s="360" t="s">
        <v>5516</v>
      </c>
      <c r="T1863" s="330"/>
      <c r="U1863" s="330"/>
      <c r="V1863" s="331"/>
      <c r="W1863" s="332"/>
      <c r="X1863" s="333"/>
      <c r="Y1863" s="33" t="s">
        <v>2867</v>
      </c>
      <c r="Z1863" s="258">
        <v>121435.0</v>
      </c>
      <c r="AA1863" s="334">
        <v>11654.0</v>
      </c>
      <c r="AB1863" s="333"/>
      <c r="AC1863" s="333"/>
      <c r="AD1863" s="329"/>
      <c r="AE1863" s="331"/>
      <c r="AF1863" s="336"/>
      <c r="AG1863" s="337"/>
      <c r="AH1863" s="333"/>
      <c r="AI1863" s="333"/>
      <c r="AJ1863" s="333"/>
      <c r="AK1863" s="333"/>
      <c r="AL1863" s="333"/>
      <c r="AM1863" s="338"/>
      <c r="AN1863" s="333"/>
      <c r="AO1863" s="333"/>
      <c r="AP1863" s="333"/>
      <c r="AQ1863" s="333"/>
      <c r="AR1863" s="333"/>
      <c r="AS1863" s="333"/>
      <c r="AT1863" s="333"/>
      <c r="AU1863" s="329"/>
      <c r="AV1863" s="341"/>
      <c r="AW1863" s="269" t="s">
        <v>2506</v>
      </c>
      <c r="AX1863" s="334" t="s">
        <v>2869</v>
      </c>
      <c r="AY1863" s="270" t="s">
        <v>695</v>
      </c>
      <c r="AZ1863" s="173" t="s">
        <v>5516</v>
      </c>
      <c r="BA1863" s="265">
        <v>10.0</v>
      </c>
      <c r="BB1863" s="174" t="s">
        <v>245</v>
      </c>
      <c r="BC1863" s="341"/>
      <c r="BD1863" s="308"/>
      <c r="BE1863" s="342"/>
      <c r="BF1863" s="274" t="str">
        <f>IFERROR(__xludf.DUMMYFUNCTION("LOWER(Regexreplace(to_text(E1863),""[^A-Za-z0-9]"","""")&amp;""_""&amp;Regexreplace(to_text(F1863),""[^A-Za-z0-9]"",""""))"),"neptronic_evcbseries")</f>
        <v>neptronic_evcbseries</v>
      </c>
      <c r="BG1863" s="275" t="str">
        <f>IFERROR(__xludf.DUMMYFUNCTION("upper(Regexreplace(to_text(E1863),""[^A-Za-z0-9]"","""")&amp;""-""&amp;Regexreplace(to_text(F1863),""[^A-Za-z0-9]"",""""))"),"NEPTRONIC-EVCBSERIES")</f>
        <v>NEPTRONIC-EVCBSERIES</v>
      </c>
    </row>
    <row r="1864" ht="30.0" customHeight="1">
      <c r="A1864" s="258">
        <v>1856.0</v>
      </c>
      <c r="B1864" s="328" t="s">
        <v>670</v>
      </c>
      <c r="C1864" s="257" t="s">
        <v>6931</v>
      </c>
      <c r="D1864" s="173" t="s">
        <v>6931</v>
      </c>
      <c r="E1864" s="174" t="s">
        <v>2861</v>
      </c>
      <c r="F1864" s="173" t="s">
        <v>2862</v>
      </c>
      <c r="G1864" s="328" t="s">
        <v>673</v>
      </c>
      <c r="H1864" s="328" t="s">
        <v>2863</v>
      </c>
      <c r="I1864" s="258" t="s">
        <v>2864</v>
      </c>
      <c r="J1864" s="259" t="s">
        <v>1272</v>
      </c>
      <c r="K1864" s="260"/>
      <c r="L1864" s="359"/>
      <c r="M1864" s="359"/>
      <c r="N1864" s="173" t="s">
        <v>679</v>
      </c>
      <c r="O1864" s="173" t="s">
        <v>225</v>
      </c>
      <c r="P1864" s="262" t="str">
        <f t="shared" si="1"/>
        <v>IN-BLR-ANANTA-VAV-1436_8</v>
      </c>
      <c r="Q1864" s="173" t="s">
        <v>6932</v>
      </c>
      <c r="R1864" s="328" t="str">
        <f>IFS(C1864="","",C1864="n/a","N/A",LEN(C1864),Concatenate("{",char(34),"asset",char(34),":{",char(34),"guid",char(34),":",char(34),Q1864,char(34),",",char(34),"site",char(34),":",char(34),LOWER('2-Building'!$B$4),char(34),",",char(34),"name",char(34),":",char(34),LOWER(C1864),char(34),"}}"))</f>
        <v>{"asset":{"guid":"uuid://8e464837-15f3-4ce7-a0d4-82c9be47f7de","site":"in-blr-ananta","name":"vav-1436"}}</v>
      </c>
      <c r="S1864" s="360" t="s">
        <v>5516</v>
      </c>
      <c r="T1864" s="330"/>
      <c r="U1864" s="330"/>
      <c r="V1864" s="331"/>
      <c r="W1864" s="332"/>
      <c r="X1864" s="333"/>
      <c r="Y1864" s="33" t="s">
        <v>2867</v>
      </c>
      <c r="Z1864" s="258">
        <v>121436.0</v>
      </c>
      <c r="AA1864" s="334">
        <v>11654.0</v>
      </c>
      <c r="AB1864" s="333"/>
      <c r="AC1864" s="333"/>
      <c r="AD1864" s="329"/>
      <c r="AE1864" s="331"/>
      <c r="AF1864" s="336"/>
      <c r="AG1864" s="337"/>
      <c r="AH1864" s="333"/>
      <c r="AI1864" s="333"/>
      <c r="AJ1864" s="333"/>
      <c r="AK1864" s="333"/>
      <c r="AL1864" s="333"/>
      <c r="AM1864" s="338"/>
      <c r="AN1864" s="333"/>
      <c r="AO1864" s="333"/>
      <c r="AP1864" s="333"/>
      <c r="AQ1864" s="333"/>
      <c r="AR1864" s="333"/>
      <c r="AS1864" s="333"/>
      <c r="AT1864" s="333"/>
      <c r="AU1864" s="329"/>
      <c r="AV1864" s="341"/>
      <c r="AW1864" s="269" t="s">
        <v>2506</v>
      </c>
      <c r="AX1864" s="334" t="s">
        <v>2869</v>
      </c>
      <c r="AY1864" s="270" t="s">
        <v>695</v>
      </c>
      <c r="AZ1864" s="173" t="s">
        <v>5516</v>
      </c>
      <c r="BA1864" s="265">
        <v>10.0</v>
      </c>
      <c r="BB1864" s="174" t="s">
        <v>245</v>
      </c>
      <c r="BC1864" s="341"/>
      <c r="BD1864" s="308"/>
      <c r="BE1864" s="342"/>
      <c r="BF1864" s="274" t="str">
        <f>IFERROR(__xludf.DUMMYFUNCTION("LOWER(Regexreplace(to_text(E1864),""[^A-Za-z0-9]"","""")&amp;""_""&amp;Regexreplace(to_text(F1864),""[^A-Za-z0-9]"",""""))"),"neptronic_evcbseries")</f>
        <v>neptronic_evcbseries</v>
      </c>
      <c r="BG1864" s="275" t="str">
        <f>IFERROR(__xludf.DUMMYFUNCTION("upper(Regexreplace(to_text(E1864),""[^A-Za-z0-9]"","""")&amp;""-""&amp;Regexreplace(to_text(F1864),""[^A-Za-z0-9]"",""""))"),"NEPTRONIC-EVCBSERIES")</f>
        <v>NEPTRONIC-EVCBSERIES</v>
      </c>
    </row>
    <row r="1865" ht="30.0" customHeight="1">
      <c r="A1865" s="173">
        <v>1857.0</v>
      </c>
      <c r="B1865" s="328" t="s">
        <v>670</v>
      </c>
      <c r="C1865" s="257" t="s">
        <v>6933</v>
      </c>
      <c r="D1865" s="173" t="s">
        <v>6933</v>
      </c>
      <c r="E1865" s="174" t="s">
        <v>2861</v>
      </c>
      <c r="F1865" s="173" t="s">
        <v>2862</v>
      </c>
      <c r="G1865" s="328" t="s">
        <v>673</v>
      </c>
      <c r="H1865" s="328" t="s">
        <v>2863</v>
      </c>
      <c r="I1865" s="258" t="s">
        <v>2864</v>
      </c>
      <c r="J1865" s="259" t="s">
        <v>1272</v>
      </c>
      <c r="K1865" s="260"/>
      <c r="L1865" s="359"/>
      <c r="M1865" s="359"/>
      <c r="N1865" s="173" t="s">
        <v>679</v>
      </c>
      <c r="O1865" s="173" t="s">
        <v>225</v>
      </c>
      <c r="P1865" s="262" t="str">
        <f t="shared" si="1"/>
        <v>IN-BLR-ANANTA-VAV-1437_8</v>
      </c>
      <c r="Q1865" s="173" t="s">
        <v>6934</v>
      </c>
      <c r="R1865" s="328" t="str">
        <f>IFS(C1865="","",C1865="n/a","N/A",LEN(C1865),Concatenate("{",char(34),"asset",char(34),":{",char(34),"guid",char(34),":",char(34),Q1865,char(34),",",char(34),"site",char(34),":",char(34),LOWER('2-Building'!$B$4),char(34),",",char(34),"name",char(34),":",char(34),LOWER(C1865),char(34),"}}"))</f>
        <v>{"asset":{"guid":"uuid://4320846b-662f-46a5-b8f1-787eef08c8cd","site":"in-blr-ananta","name":"vav-1437"}}</v>
      </c>
      <c r="S1865" s="360" t="s">
        <v>5516</v>
      </c>
      <c r="T1865" s="330"/>
      <c r="U1865" s="330"/>
      <c r="V1865" s="331"/>
      <c r="W1865" s="332"/>
      <c r="X1865" s="333"/>
      <c r="Y1865" s="33" t="s">
        <v>2867</v>
      </c>
      <c r="Z1865" s="258">
        <v>121437.0</v>
      </c>
      <c r="AA1865" s="334">
        <v>11654.0</v>
      </c>
      <c r="AB1865" s="333"/>
      <c r="AC1865" s="333"/>
      <c r="AD1865" s="329"/>
      <c r="AE1865" s="331"/>
      <c r="AF1865" s="336"/>
      <c r="AG1865" s="337"/>
      <c r="AH1865" s="333"/>
      <c r="AI1865" s="333"/>
      <c r="AJ1865" s="333"/>
      <c r="AK1865" s="333"/>
      <c r="AL1865" s="333"/>
      <c r="AM1865" s="338"/>
      <c r="AN1865" s="333"/>
      <c r="AO1865" s="333"/>
      <c r="AP1865" s="333"/>
      <c r="AQ1865" s="333"/>
      <c r="AR1865" s="333"/>
      <c r="AS1865" s="333"/>
      <c r="AT1865" s="333"/>
      <c r="AU1865" s="329"/>
      <c r="AV1865" s="341"/>
      <c r="AW1865" s="269" t="s">
        <v>2506</v>
      </c>
      <c r="AX1865" s="334" t="s">
        <v>2869</v>
      </c>
      <c r="AY1865" s="270" t="s">
        <v>695</v>
      </c>
      <c r="AZ1865" s="173" t="s">
        <v>5516</v>
      </c>
      <c r="BA1865" s="265">
        <v>10.0</v>
      </c>
      <c r="BB1865" s="174" t="s">
        <v>245</v>
      </c>
      <c r="BC1865" s="341"/>
      <c r="BD1865" s="308"/>
      <c r="BE1865" s="342"/>
      <c r="BF1865" s="274" t="str">
        <f>IFERROR(__xludf.DUMMYFUNCTION("LOWER(Regexreplace(to_text(E1865),""[^A-Za-z0-9]"","""")&amp;""_""&amp;Regexreplace(to_text(F1865),""[^A-Za-z0-9]"",""""))"),"neptronic_evcbseries")</f>
        <v>neptronic_evcbseries</v>
      </c>
      <c r="BG1865" s="275" t="str">
        <f>IFERROR(__xludf.DUMMYFUNCTION("upper(Regexreplace(to_text(E1865),""[^A-Za-z0-9]"","""")&amp;""-""&amp;Regexreplace(to_text(F1865),""[^A-Za-z0-9]"",""""))"),"NEPTRONIC-EVCBSERIES")</f>
        <v>NEPTRONIC-EVCBSERIES</v>
      </c>
    </row>
    <row r="1866" ht="30.0" customHeight="1">
      <c r="A1866" s="258">
        <v>1858.0</v>
      </c>
      <c r="B1866" s="328" t="s">
        <v>670</v>
      </c>
      <c r="C1866" s="257" t="s">
        <v>6935</v>
      </c>
      <c r="D1866" s="173" t="s">
        <v>6935</v>
      </c>
      <c r="E1866" s="174" t="s">
        <v>2861</v>
      </c>
      <c r="F1866" s="173" t="s">
        <v>2862</v>
      </c>
      <c r="G1866" s="328" t="s">
        <v>673</v>
      </c>
      <c r="H1866" s="328" t="s">
        <v>2863</v>
      </c>
      <c r="I1866" s="258" t="s">
        <v>2864</v>
      </c>
      <c r="J1866" s="259" t="s">
        <v>1272</v>
      </c>
      <c r="K1866" s="260"/>
      <c r="L1866" s="359"/>
      <c r="M1866" s="359"/>
      <c r="N1866" s="173" t="s">
        <v>679</v>
      </c>
      <c r="O1866" s="173" t="s">
        <v>225</v>
      </c>
      <c r="P1866" s="262" t="str">
        <f t="shared" si="1"/>
        <v>IN-BLR-ANANTA-VAV-1438_8</v>
      </c>
      <c r="Q1866" s="173" t="s">
        <v>6936</v>
      </c>
      <c r="R1866" s="328" t="str">
        <f>IFS(C1866="","",C1866="n/a","N/A",LEN(C1866),Concatenate("{",char(34),"asset",char(34),":{",char(34),"guid",char(34),":",char(34),Q1866,char(34),",",char(34),"site",char(34),":",char(34),LOWER('2-Building'!$B$4),char(34),",",char(34),"name",char(34),":",char(34),LOWER(C1866),char(34),"}}"))</f>
        <v>{"asset":{"guid":"uuid://aab8bc69-7f1a-4ea9-9eaf-a8b24cbb6244","site":"in-blr-ananta","name":"vav-1438"}}</v>
      </c>
      <c r="S1866" s="360" t="s">
        <v>5516</v>
      </c>
      <c r="T1866" s="330"/>
      <c r="U1866" s="330"/>
      <c r="V1866" s="331"/>
      <c r="W1866" s="332"/>
      <c r="X1866" s="333"/>
      <c r="Y1866" s="33" t="s">
        <v>2867</v>
      </c>
      <c r="Z1866" s="258">
        <v>121438.0</v>
      </c>
      <c r="AA1866" s="334">
        <v>11654.0</v>
      </c>
      <c r="AB1866" s="333"/>
      <c r="AC1866" s="333"/>
      <c r="AD1866" s="329"/>
      <c r="AE1866" s="331"/>
      <c r="AF1866" s="336"/>
      <c r="AG1866" s="337"/>
      <c r="AH1866" s="333"/>
      <c r="AI1866" s="333"/>
      <c r="AJ1866" s="333"/>
      <c r="AK1866" s="333"/>
      <c r="AL1866" s="333"/>
      <c r="AM1866" s="338"/>
      <c r="AN1866" s="333"/>
      <c r="AO1866" s="333"/>
      <c r="AP1866" s="333"/>
      <c r="AQ1866" s="333"/>
      <c r="AR1866" s="333"/>
      <c r="AS1866" s="333"/>
      <c r="AT1866" s="333"/>
      <c r="AU1866" s="329"/>
      <c r="AV1866" s="341"/>
      <c r="AW1866" s="269" t="s">
        <v>2506</v>
      </c>
      <c r="AX1866" s="334" t="s">
        <v>2869</v>
      </c>
      <c r="AY1866" s="270" t="s">
        <v>695</v>
      </c>
      <c r="AZ1866" s="173" t="s">
        <v>5516</v>
      </c>
      <c r="BA1866" s="265">
        <v>10.0</v>
      </c>
      <c r="BB1866" s="174" t="s">
        <v>245</v>
      </c>
      <c r="BC1866" s="341"/>
      <c r="BD1866" s="308"/>
      <c r="BE1866" s="342"/>
      <c r="BF1866" s="274" t="str">
        <f>IFERROR(__xludf.DUMMYFUNCTION("LOWER(Regexreplace(to_text(E1866),""[^A-Za-z0-9]"","""")&amp;""_""&amp;Regexreplace(to_text(F1866),""[^A-Za-z0-9]"",""""))"),"neptronic_evcbseries")</f>
        <v>neptronic_evcbseries</v>
      </c>
      <c r="BG1866" s="275" t="str">
        <f>IFERROR(__xludf.DUMMYFUNCTION("upper(Regexreplace(to_text(E1866),""[^A-Za-z0-9]"","""")&amp;""-""&amp;Regexreplace(to_text(F1866),""[^A-Za-z0-9]"",""""))"),"NEPTRONIC-EVCBSERIES")</f>
        <v>NEPTRONIC-EVCBSERIES</v>
      </c>
    </row>
    <row r="1867" ht="30.0" customHeight="1">
      <c r="A1867" s="173">
        <v>1859.0</v>
      </c>
      <c r="B1867" s="328" t="s">
        <v>670</v>
      </c>
      <c r="C1867" s="257" t="s">
        <v>6937</v>
      </c>
      <c r="D1867" s="173" t="s">
        <v>6937</v>
      </c>
      <c r="E1867" s="174" t="s">
        <v>2861</v>
      </c>
      <c r="F1867" s="173" t="s">
        <v>2862</v>
      </c>
      <c r="G1867" s="328" t="s">
        <v>673</v>
      </c>
      <c r="H1867" s="328" t="s">
        <v>2863</v>
      </c>
      <c r="I1867" s="258" t="s">
        <v>2864</v>
      </c>
      <c r="J1867" s="259" t="s">
        <v>1272</v>
      </c>
      <c r="K1867" s="260"/>
      <c r="L1867" s="359"/>
      <c r="M1867" s="359"/>
      <c r="N1867" s="173" t="s">
        <v>679</v>
      </c>
      <c r="O1867" s="173" t="s">
        <v>225</v>
      </c>
      <c r="P1867" s="262" t="str">
        <f t="shared" si="1"/>
        <v>IN-BLR-ANANTA-VAV-1439_8</v>
      </c>
      <c r="Q1867" s="173" t="s">
        <v>6938</v>
      </c>
      <c r="R1867" s="328" t="str">
        <f>IFS(C1867="","",C1867="n/a","N/A",LEN(C1867),Concatenate("{",char(34),"asset",char(34),":{",char(34),"guid",char(34),":",char(34),Q1867,char(34),",",char(34),"site",char(34),":",char(34),LOWER('2-Building'!$B$4),char(34),",",char(34),"name",char(34),":",char(34),LOWER(C1867),char(34),"}}"))</f>
        <v>{"asset":{"guid":"uuid://88d69868-b748-4c5d-aa1b-cd3b3cd7134c","site":"in-blr-ananta","name":"vav-1439"}}</v>
      </c>
      <c r="S1867" s="360" t="s">
        <v>5516</v>
      </c>
      <c r="T1867" s="330"/>
      <c r="U1867" s="330"/>
      <c r="V1867" s="331"/>
      <c r="W1867" s="332"/>
      <c r="X1867" s="333"/>
      <c r="Y1867" s="33" t="s">
        <v>2867</v>
      </c>
      <c r="Z1867" s="258">
        <v>121439.0</v>
      </c>
      <c r="AA1867" s="334">
        <v>11654.0</v>
      </c>
      <c r="AB1867" s="333"/>
      <c r="AC1867" s="333"/>
      <c r="AD1867" s="329"/>
      <c r="AE1867" s="331"/>
      <c r="AF1867" s="336"/>
      <c r="AG1867" s="337"/>
      <c r="AH1867" s="333"/>
      <c r="AI1867" s="333"/>
      <c r="AJ1867" s="333"/>
      <c r="AK1867" s="333"/>
      <c r="AL1867" s="333"/>
      <c r="AM1867" s="338"/>
      <c r="AN1867" s="333"/>
      <c r="AO1867" s="333"/>
      <c r="AP1867" s="333"/>
      <c r="AQ1867" s="333"/>
      <c r="AR1867" s="333"/>
      <c r="AS1867" s="333"/>
      <c r="AT1867" s="333"/>
      <c r="AU1867" s="329"/>
      <c r="AV1867" s="341"/>
      <c r="AW1867" s="269" t="s">
        <v>2506</v>
      </c>
      <c r="AX1867" s="334" t="s">
        <v>2869</v>
      </c>
      <c r="AY1867" s="270" t="s">
        <v>695</v>
      </c>
      <c r="AZ1867" s="173" t="s">
        <v>5516</v>
      </c>
      <c r="BA1867" s="265">
        <v>10.0</v>
      </c>
      <c r="BB1867" s="174" t="s">
        <v>245</v>
      </c>
      <c r="BC1867" s="341"/>
      <c r="BD1867" s="308"/>
      <c r="BE1867" s="342"/>
      <c r="BF1867" s="274" t="str">
        <f>IFERROR(__xludf.DUMMYFUNCTION("LOWER(Regexreplace(to_text(E1867),""[^A-Za-z0-9]"","""")&amp;""_""&amp;Regexreplace(to_text(F1867),""[^A-Za-z0-9]"",""""))"),"neptronic_evcbseries")</f>
        <v>neptronic_evcbseries</v>
      </c>
      <c r="BG1867" s="275" t="str">
        <f>IFERROR(__xludf.DUMMYFUNCTION("upper(Regexreplace(to_text(E1867),""[^A-Za-z0-9]"","""")&amp;""-""&amp;Regexreplace(to_text(F1867),""[^A-Za-z0-9]"",""""))"),"NEPTRONIC-EVCBSERIES")</f>
        <v>NEPTRONIC-EVCBSERIES</v>
      </c>
    </row>
    <row r="1868" ht="30.0" customHeight="1">
      <c r="A1868" s="258">
        <v>1860.0</v>
      </c>
      <c r="B1868" s="328" t="s">
        <v>670</v>
      </c>
      <c r="C1868" s="257" t="s">
        <v>6939</v>
      </c>
      <c r="D1868" s="173" t="s">
        <v>6939</v>
      </c>
      <c r="E1868" s="174" t="s">
        <v>2861</v>
      </c>
      <c r="F1868" s="173" t="s">
        <v>2862</v>
      </c>
      <c r="G1868" s="328" t="s">
        <v>673</v>
      </c>
      <c r="H1868" s="328" t="s">
        <v>2863</v>
      </c>
      <c r="I1868" s="258" t="s">
        <v>2864</v>
      </c>
      <c r="J1868" s="259" t="s">
        <v>1272</v>
      </c>
      <c r="K1868" s="260"/>
      <c r="L1868" s="359"/>
      <c r="M1868" s="359"/>
      <c r="N1868" s="173" t="s">
        <v>679</v>
      </c>
      <c r="O1868" s="173" t="s">
        <v>225</v>
      </c>
      <c r="P1868" s="262" t="str">
        <f t="shared" si="1"/>
        <v>IN-BLR-ANANTA-VAV-1440_8</v>
      </c>
      <c r="Q1868" s="173" t="s">
        <v>6940</v>
      </c>
      <c r="R1868" s="328" t="str">
        <f>IFS(C1868="","",C1868="n/a","N/A",LEN(C1868),Concatenate("{",char(34),"asset",char(34),":{",char(34),"guid",char(34),":",char(34),Q1868,char(34),",",char(34),"site",char(34),":",char(34),LOWER('2-Building'!$B$4),char(34),",",char(34),"name",char(34),":",char(34),LOWER(C1868),char(34),"}}"))</f>
        <v>{"asset":{"guid":"uuid://aecdf528-9401-4d36-a478-7d03c597b75c","site":"in-blr-ananta","name":"vav-1440"}}</v>
      </c>
      <c r="S1868" s="360" t="s">
        <v>5516</v>
      </c>
      <c r="T1868" s="330"/>
      <c r="U1868" s="330"/>
      <c r="V1868" s="331"/>
      <c r="W1868" s="332"/>
      <c r="X1868" s="333"/>
      <c r="Y1868" s="33" t="s">
        <v>2867</v>
      </c>
      <c r="Z1868" s="258">
        <v>121440.0</v>
      </c>
      <c r="AA1868" s="334">
        <v>11654.0</v>
      </c>
      <c r="AB1868" s="333"/>
      <c r="AC1868" s="333"/>
      <c r="AD1868" s="329"/>
      <c r="AE1868" s="331"/>
      <c r="AF1868" s="336"/>
      <c r="AG1868" s="337"/>
      <c r="AH1868" s="333"/>
      <c r="AI1868" s="333"/>
      <c r="AJ1868" s="333"/>
      <c r="AK1868" s="333"/>
      <c r="AL1868" s="333"/>
      <c r="AM1868" s="338"/>
      <c r="AN1868" s="333"/>
      <c r="AO1868" s="333"/>
      <c r="AP1868" s="333"/>
      <c r="AQ1868" s="333"/>
      <c r="AR1868" s="333"/>
      <c r="AS1868" s="333"/>
      <c r="AT1868" s="333"/>
      <c r="AU1868" s="329"/>
      <c r="AV1868" s="341"/>
      <c r="AW1868" s="269" t="s">
        <v>2506</v>
      </c>
      <c r="AX1868" s="334" t="s">
        <v>2869</v>
      </c>
      <c r="AY1868" s="270" t="s">
        <v>695</v>
      </c>
      <c r="AZ1868" s="173" t="s">
        <v>5516</v>
      </c>
      <c r="BA1868" s="265">
        <v>10.0</v>
      </c>
      <c r="BB1868" s="174" t="s">
        <v>245</v>
      </c>
      <c r="BC1868" s="341"/>
      <c r="BD1868" s="308"/>
      <c r="BE1868" s="342"/>
      <c r="BF1868" s="274" t="str">
        <f>IFERROR(__xludf.DUMMYFUNCTION("LOWER(Regexreplace(to_text(E1868),""[^A-Za-z0-9]"","""")&amp;""_""&amp;Regexreplace(to_text(F1868),""[^A-Za-z0-9]"",""""))"),"neptronic_evcbseries")</f>
        <v>neptronic_evcbseries</v>
      </c>
      <c r="BG1868" s="275" t="str">
        <f>IFERROR(__xludf.DUMMYFUNCTION("upper(Regexreplace(to_text(E1868),""[^A-Za-z0-9]"","""")&amp;""-""&amp;Regexreplace(to_text(F1868),""[^A-Za-z0-9]"",""""))"),"NEPTRONIC-EVCBSERIES")</f>
        <v>NEPTRONIC-EVCBSERIES</v>
      </c>
    </row>
    <row r="1869" ht="30.0" customHeight="1">
      <c r="A1869" s="173">
        <v>1861.0</v>
      </c>
      <c r="B1869" s="328" t="s">
        <v>670</v>
      </c>
      <c r="C1869" s="257" t="s">
        <v>6941</v>
      </c>
      <c r="D1869" s="173" t="s">
        <v>6941</v>
      </c>
      <c r="E1869" s="174" t="s">
        <v>2861</v>
      </c>
      <c r="F1869" s="173" t="s">
        <v>2862</v>
      </c>
      <c r="G1869" s="328" t="s">
        <v>673</v>
      </c>
      <c r="H1869" s="328" t="s">
        <v>2863</v>
      </c>
      <c r="I1869" s="258" t="s">
        <v>2864</v>
      </c>
      <c r="J1869" s="259" t="s">
        <v>1272</v>
      </c>
      <c r="K1869" s="260"/>
      <c r="L1869" s="359"/>
      <c r="M1869" s="359"/>
      <c r="N1869" s="173" t="s">
        <v>679</v>
      </c>
      <c r="O1869" s="173" t="s">
        <v>225</v>
      </c>
      <c r="P1869" s="262" t="str">
        <f t="shared" si="1"/>
        <v>IN-BLR-ANANTA-VAV-1441_8</v>
      </c>
      <c r="Q1869" s="173" t="s">
        <v>6942</v>
      </c>
      <c r="R1869" s="328" t="str">
        <f>IFS(C1869="","",C1869="n/a","N/A",LEN(C1869),Concatenate("{",char(34),"asset",char(34),":{",char(34),"guid",char(34),":",char(34),Q1869,char(34),",",char(34),"site",char(34),":",char(34),LOWER('2-Building'!$B$4),char(34),",",char(34),"name",char(34),":",char(34),LOWER(C1869),char(34),"}}"))</f>
        <v>{"asset":{"guid":"uuid://70fbeb48-94c3-471e-af96-76071c70b71b","site":"in-blr-ananta","name":"vav-1441"}}</v>
      </c>
      <c r="S1869" s="360" t="s">
        <v>5516</v>
      </c>
      <c r="T1869" s="330"/>
      <c r="U1869" s="330"/>
      <c r="V1869" s="331"/>
      <c r="W1869" s="332"/>
      <c r="X1869" s="333"/>
      <c r="Y1869" s="33" t="s">
        <v>2867</v>
      </c>
      <c r="Z1869" s="258">
        <v>121441.0</v>
      </c>
      <c r="AA1869" s="334">
        <v>11654.0</v>
      </c>
      <c r="AB1869" s="333"/>
      <c r="AC1869" s="333"/>
      <c r="AD1869" s="329"/>
      <c r="AE1869" s="331"/>
      <c r="AF1869" s="336"/>
      <c r="AG1869" s="337"/>
      <c r="AH1869" s="333"/>
      <c r="AI1869" s="333"/>
      <c r="AJ1869" s="333"/>
      <c r="AK1869" s="333"/>
      <c r="AL1869" s="333"/>
      <c r="AM1869" s="338"/>
      <c r="AN1869" s="333"/>
      <c r="AO1869" s="333"/>
      <c r="AP1869" s="333"/>
      <c r="AQ1869" s="333"/>
      <c r="AR1869" s="333"/>
      <c r="AS1869" s="333"/>
      <c r="AT1869" s="333"/>
      <c r="AU1869" s="329"/>
      <c r="AV1869" s="341"/>
      <c r="AW1869" s="269" t="s">
        <v>2506</v>
      </c>
      <c r="AX1869" s="334" t="s">
        <v>2869</v>
      </c>
      <c r="AY1869" s="270" t="s">
        <v>695</v>
      </c>
      <c r="AZ1869" s="173" t="s">
        <v>5516</v>
      </c>
      <c r="BA1869" s="265">
        <v>10.0</v>
      </c>
      <c r="BB1869" s="174" t="s">
        <v>245</v>
      </c>
      <c r="BC1869" s="341"/>
      <c r="BD1869" s="308"/>
      <c r="BE1869" s="342"/>
      <c r="BF1869" s="274" t="str">
        <f>IFERROR(__xludf.DUMMYFUNCTION("LOWER(Regexreplace(to_text(E1869),""[^A-Za-z0-9]"","""")&amp;""_""&amp;Regexreplace(to_text(F1869),""[^A-Za-z0-9]"",""""))"),"neptronic_evcbseries")</f>
        <v>neptronic_evcbseries</v>
      </c>
      <c r="BG1869" s="275" t="str">
        <f>IFERROR(__xludf.DUMMYFUNCTION("upper(Regexreplace(to_text(E1869),""[^A-Za-z0-9]"","""")&amp;""-""&amp;Regexreplace(to_text(F1869),""[^A-Za-z0-9]"",""""))"),"NEPTRONIC-EVCBSERIES")</f>
        <v>NEPTRONIC-EVCBSERIES</v>
      </c>
    </row>
    <row r="1870" ht="30.0" customHeight="1">
      <c r="A1870" s="258">
        <v>1862.0</v>
      </c>
      <c r="B1870" s="328" t="s">
        <v>670</v>
      </c>
      <c r="C1870" s="257" t="s">
        <v>6943</v>
      </c>
      <c r="D1870" s="173" t="s">
        <v>6943</v>
      </c>
      <c r="E1870" s="174" t="s">
        <v>2861</v>
      </c>
      <c r="F1870" s="173" t="s">
        <v>2862</v>
      </c>
      <c r="G1870" s="328" t="s">
        <v>673</v>
      </c>
      <c r="H1870" s="328" t="s">
        <v>2863</v>
      </c>
      <c r="I1870" s="258" t="s">
        <v>2864</v>
      </c>
      <c r="J1870" s="259" t="s">
        <v>1272</v>
      </c>
      <c r="K1870" s="260"/>
      <c r="L1870" s="359"/>
      <c r="M1870" s="359"/>
      <c r="N1870" s="173" t="s">
        <v>679</v>
      </c>
      <c r="O1870" s="173" t="s">
        <v>225</v>
      </c>
      <c r="P1870" s="262" t="str">
        <f t="shared" si="1"/>
        <v>IN-BLR-ANANTA-VAV-1442_8</v>
      </c>
      <c r="Q1870" s="173" t="s">
        <v>6944</v>
      </c>
      <c r="R1870" s="328" t="str">
        <f>IFS(C1870="","",C1870="n/a","N/A",LEN(C1870),Concatenate("{",char(34),"asset",char(34),":{",char(34),"guid",char(34),":",char(34),Q1870,char(34),",",char(34),"site",char(34),":",char(34),LOWER('2-Building'!$B$4),char(34),",",char(34),"name",char(34),":",char(34),LOWER(C1870),char(34),"}}"))</f>
        <v>{"asset":{"guid":"uuid://e2a214ef-6925-4e14-b621-87c3d64e42b5","site":"in-blr-ananta","name":"vav-1442"}}</v>
      </c>
      <c r="S1870" s="360" t="s">
        <v>5516</v>
      </c>
      <c r="T1870" s="330"/>
      <c r="U1870" s="330"/>
      <c r="V1870" s="331"/>
      <c r="W1870" s="332"/>
      <c r="X1870" s="333"/>
      <c r="Y1870" s="33" t="s">
        <v>2867</v>
      </c>
      <c r="Z1870" s="258">
        <v>121442.0</v>
      </c>
      <c r="AA1870" s="334">
        <v>11654.0</v>
      </c>
      <c r="AB1870" s="333"/>
      <c r="AC1870" s="333"/>
      <c r="AD1870" s="329"/>
      <c r="AE1870" s="331"/>
      <c r="AF1870" s="336"/>
      <c r="AG1870" s="337"/>
      <c r="AH1870" s="333"/>
      <c r="AI1870" s="333"/>
      <c r="AJ1870" s="333"/>
      <c r="AK1870" s="333"/>
      <c r="AL1870" s="333"/>
      <c r="AM1870" s="338"/>
      <c r="AN1870" s="333"/>
      <c r="AO1870" s="333"/>
      <c r="AP1870" s="333"/>
      <c r="AQ1870" s="333"/>
      <c r="AR1870" s="333"/>
      <c r="AS1870" s="333"/>
      <c r="AT1870" s="333"/>
      <c r="AU1870" s="329"/>
      <c r="AV1870" s="341"/>
      <c r="AW1870" s="269" t="s">
        <v>2506</v>
      </c>
      <c r="AX1870" s="334" t="s">
        <v>2869</v>
      </c>
      <c r="AY1870" s="270" t="s">
        <v>695</v>
      </c>
      <c r="AZ1870" s="173" t="s">
        <v>5516</v>
      </c>
      <c r="BA1870" s="265">
        <v>10.0</v>
      </c>
      <c r="BB1870" s="174" t="s">
        <v>245</v>
      </c>
      <c r="BC1870" s="341"/>
      <c r="BD1870" s="308"/>
      <c r="BE1870" s="342"/>
      <c r="BF1870" s="274" t="str">
        <f>IFERROR(__xludf.DUMMYFUNCTION("LOWER(Regexreplace(to_text(E1870),""[^A-Za-z0-9]"","""")&amp;""_""&amp;Regexreplace(to_text(F1870),""[^A-Za-z0-9]"",""""))"),"neptronic_evcbseries")</f>
        <v>neptronic_evcbseries</v>
      </c>
      <c r="BG1870" s="275" t="str">
        <f>IFERROR(__xludf.DUMMYFUNCTION("upper(Regexreplace(to_text(E1870),""[^A-Za-z0-9]"","""")&amp;""-""&amp;Regexreplace(to_text(F1870),""[^A-Za-z0-9]"",""""))"),"NEPTRONIC-EVCBSERIES")</f>
        <v>NEPTRONIC-EVCBSERIES</v>
      </c>
    </row>
    <row r="1871" ht="30.0" customHeight="1">
      <c r="A1871" s="173">
        <v>1863.0</v>
      </c>
      <c r="B1871" s="328" t="s">
        <v>670</v>
      </c>
      <c r="C1871" s="257" t="s">
        <v>6945</v>
      </c>
      <c r="D1871" s="173" t="s">
        <v>6945</v>
      </c>
      <c r="E1871" s="174" t="s">
        <v>2861</v>
      </c>
      <c r="F1871" s="173" t="s">
        <v>2862</v>
      </c>
      <c r="G1871" s="328" t="s">
        <v>673</v>
      </c>
      <c r="H1871" s="328" t="s">
        <v>2863</v>
      </c>
      <c r="I1871" s="258" t="s">
        <v>2864</v>
      </c>
      <c r="J1871" s="259" t="s">
        <v>1272</v>
      </c>
      <c r="K1871" s="260"/>
      <c r="L1871" s="359"/>
      <c r="M1871" s="359"/>
      <c r="N1871" s="173" t="s">
        <v>679</v>
      </c>
      <c r="O1871" s="173" t="s">
        <v>225</v>
      </c>
      <c r="P1871" s="262" t="str">
        <f t="shared" si="1"/>
        <v>IN-BLR-ANANTA-VAV-1443_8</v>
      </c>
      <c r="Q1871" s="173" t="s">
        <v>6946</v>
      </c>
      <c r="R1871" s="328" t="str">
        <f>IFS(C1871="","",C1871="n/a","N/A",LEN(C1871),Concatenate("{",char(34),"asset",char(34),":{",char(34),"guid",char(34),":",char(34),Q1871,char(34),",",char(34),"site",char(34),":",char(34),LOWER('2-Building'!$B$4),char(34),",",char(34),"name",char(34),":",char(34),LOWER(C1871),char(34),"}}"))</f>
        <v>{"asset":{"guid":"uuid://7759808c-6734-4e45-8df9-3a32082dfd55","site":"in-blr-ananta","name":"vav-1443"}}</v>
      </c>
      <c r="S1871" s="360" t="s">
        <v>5516</v>
      </c>
      <c r="T1871" s="330"/>
      <c r="U1871" s="330"/>
      <c r="V1871" s="331"/>
      <c r="W1871" s="332"/>
      <c r="X1871" s="333"/>
      <c r="Y1871" s="33" t="s">
        <v>2867</v>
      </c>
      <c r="Z1871" s="258">
        <v>121443.0</v>
      </c>
      <c r="AA1871" s="334">
        <v>11654.0</v>
      </c>
      <c r="AB1871" s="333"/>
      <c r="AC1871" s="333"/>
      <c r="AD1871" s="329"/>
      <c r="AE1871" s="331"/>
      <c r="AF1871" s="336"/>
      <c r="AG1871" s="337"/>
      <c r="AH1871" s="333"/>
      <c r="AI1871" s="333"/>
      <c r="AJ1871" s="333"/>
      <c r="AK1871" s="333"/>
      <c r="AL1871" s="333"/>
      <c r="AM1871" s="338"/>
      <c r="AN1871" s="333"/>
      <c r="AO1871" s="333"/>
      <c r="AP1871" s="333"/>
      <c r="AQ1871" s="333"/>
      <c r="AR1871" s="333"/>
      <c r="AS1871" s="333"/>
      <c r="AT1871" s="333"/>
      <c r="AU1871" s="329"/>
      <c r="AV1871" s="341"/>
      <c r="AW1871" s="269" t="s">
        <v>2506</v>
      </c>
      <c r="AX1871" s="334" t="s">
        <v>2869</v>
      </c>
      <c r="AY1871" s="270" t="s">
        <v>695</v>
      </c>
      <c r="AZ1871" s="173" t="s">
        <v>5516</v>
      </c>
      <c r="BA1871" s="265">
        <v>10.0</v>
      </c>
      <c r="BB1871" s="174" t="s">
        <v>245</v>
      </c>
      <c r="BC1871" s="341"/>
      <c r="BD1871" s="308"/>
      <c r="BE1871" s="342"/>
      <c r="BF1871" s="274" t="str">
        <f>IFERROR(__xludf.DUMMYFUNCTION("LOWER(Regexreplace(to_text(E1871),""[^A-Za-z0-9]"","""")&amp;""_""&amp;Regexreplace(to_text(F1871),""[^A-Za-z0-9]"",""""))"),"neptronic_evcbseries")</f>
        <v>neptronic_evcbseries</v>
      </c>
      <c r="BG1871" s="275" t="str">
        <f>IFERROR(__xludf.DUMMYFUNCTION("upper(Regexreplace(to_text(E1871),""[^A-Za-z0-9]"","""")&amp;""-""&amp;Regexreplace(to_text(F1871),""[^A-Za-z0-9]"",""""))"),"NEPTRONIC-EVCBSERIES")</f>
        <v>NEPTRONIC-EVCBSERIES</v>
      </c>
    </row>
    <row r="1872" ht="30.0" customHeight="1">
      <c r="A1872" s="258">
        <v>1864.0</v>
      </c>
      <c r="B1872" s="328" t="s">
        <v>670</v>
      </c>
      <c r="C1872" s="257" t="s">
        <v>6947</v>
      </c>
      <c r="D1872" s="173" t="s">
        <v>6947</v>
      </c>
      <c r="E1872" s="174" t="s">
        <v>2861</v>
      </c>
      <c r="F1872" s="173" t="s">
        <v>2862</v>
      </c>
      <c r="G1872" s="328" t="s">
        <v>673</v>
      </c>
      <c r="H1872" s="328" t="s">
        <v>2863</v>
      </c>
      <c r="I1872" s="258" t="s">
        <v>2864</v>
      </c>
      <c r="J1872" s="259" t="s">
        <v>1272</v>
      </c>
      <c r="K1872" s="260"/>
      <c r="L1872" s="359"/>
      <c r="M1872" s="359"/>
      <c r="N1872" s="173" t="s">
        <v>679</v>
      </c>
      <c r="O1872" s="173" t="s">
        <v>225</v>
      </c>
      <c r="P1872" s="262" t="str">
        <f t="shared" si="1"/>
        <v>IN-BLR-ANANTA-VAV-1444_8</v>
      </c>
      <c r="Q1872" s="173" t="s">
        <v>6948</v>
      </c>
      <c r="R1872" s="328" t="str">
        <f>IFS(C1872="","",C1872="n/a","N/A",LEN(C1872),Concatenate("{",char(34),"asset",char(34),":{",char(34),"guid",char(34),":",char(34),Q1872,char(34),",",char(34),"site",char(34),":",char(34),LOWER('2-Building'!$B$4),char(34),",",char(34),"name",char(34),":",char(34),LOWER(C1872),char(34),"}}"))</f>
        <v>{"asset":{"guid":"uuid://2cbb6b9c-24fc-4d29-acc0-a7dddaf18d2b","site":"in-blr-ananta","name":"vav-1444"}}</v>
      </c>
      <c r="S1872" s="360" t="s">
        <v>5516</v>
      </c>
      <c r="T1872" s="330"/>
      <c r="U1872" s="330"/>
      <c r="V1872" s="331"/>
      <c r="W1872" s="332"/>
      <c r="X1872" s="333"/>
      <c r="Y1872" s="33" t="s">
        <v>2867</v>
      </c>
      <c r="Z1872" s="258">
        <v>121444.0</v>
      </c>
      <c r="AA1872" s="334">
        <v>11651.0</v>
      </c>
      <c r="AB1872" s="333"/>
      <c r="AC1872" s="333"/>
      <c r="AD1872" s="329"/>
      <c r="AE1872" s="331"/>
      <c r="AF1872" s="336"/>
      <c r="AG1872" s="337"/>
      <c r="AH1872" s="333"/>
      <c r="AI1872" s="333"/>
      <c r="AJ1872" s="333"/>
      <c r="AK1872" s="333"/>
      <c r="AL1872" s="333"/>
      <c r="AM1872" s="338"/>
      <c r="AN1872" s="333"/>
      <c r="AO1872" s="333"/>
      <c r="AP1872" s="333"/>
      <c r="AQ1872" s="333"/>
      <c r="AR1872" s="333"/>
      <c r="AS1872" s="333"/>
      <c r="AT1872" s="333"/>
      <c r="AU1872" s="329"/>
      <c r="AV1872" s="341"/>
      <c r="AW1872" s="269" t="s">
        <v>2466</v>
      </c>
      <c r="AX1872" s="334" t="s">
        <v>2869</v>
      </c>
      <c r="AY1872" s="270" t="s">
        <v>695</v>
      </c>
      <c r="AZ1872" s="173" t="s">
        <v>5516</v>
      </c>
      <c r="BA1872" s="265">
        <v>10.0</v>
      </c>
      <c r="BB1872" s="174" t="s">
        <v>245</v>
      </c>
      <c r="BC1872" s="341"/>
      <c r="BD1872" s="308"/>
      <c r="BE1872" s="342"/>
      <c r="BF1872" s="274" t="str">
        <f>IFERROR(__xludf.DUMMYFUNCTION("LOWER(Regexreplace(to_text(E1872),""[^A-Za-z0-9]"","""")&amp;""_""&amp;Regexreplace(to_text(F1872),""[^A-Za-z0-9]"",""""))"),"neptronic_evcbseries")</f>
        <v>neptronic_evcbseries</v>
      </c>
      <c r="BG1872" s="275" t="str">
        <f>IFERROR(__xludf.DUMMYFUNCTION("upper(Regexreplace(to_text(E1872),""[^A-Za-z0-9]"","""")&amp;""-""&amp;Regexreplace(to_text(F1872),""[^A-Za-z0-9]"",""""))"),"NEPTRONIC-EVCBSERIES")</f>
        <v>NEPTRONIC-EVCBSERIES</v>
      </c>
    </row>
    <row r="1873" ht="30.0" customHeight="1">
      <c r="A1873" s="173">
        <v>1865.0</v>
      </c>
      <c r="B1873" s="328" t="s">
        <v>670</v>
      </c>
      <c r="C1873" s="257" t="s">
        <v>6949</v>
      </c>
      <c r="D1873" s="173" t="s">
        <v>6949</v>
      </c>
      <c r="E1873" s="174" t="s">
        <v>2861</v>
      </c>
      <c r="F1873" s="173" t="s">
        <v>2862</v>
      </c>
      <c r="G1873" s="328" t="s">
        <v>673</v>
      </c>
      <c r="H1873" s="328" t="s">
        <v>2863</v>
      </c>
      <c r="I1873" s="258" t="s">
        <v>2864</v>
      </c>
      <c r="J1873" s="259" t="s">
        <v>1272</v>
      </c>
      <c r="K1873" s="260"/>
      <c r="L1873" s="359"/>
      <c r="M1873" s="359"/>
      <c r="N1873" s="173" t="s">
        <v>679</v>
      </c>
      <c r="O1873" s="173" t="s">
        <v>225</v>
      </c>
      <c r="P1873" s="262" t="str">
        <f t="shared" si="1"/>
        <v>IN-BLR-ANANTA-VAV-1445_8</v>
      </c>
      <c r="Q1873" s="173" t="s">
        <v>6950</v>
      </c>
      <c r="R1873" s="328" t="str">
        <f>IFS(C1873="","",C1873="n/a","N/A",LEN(C1873),Concatenate("{",char(34),"asset",char(34),":{",char(34),"guid",char(34),":",char(34),Q1873,char(34),",",char(34),"site",char(34),":",char(34),LOWER('2-Building'!$B$4),char(34),",",char(34),"name",char(34),":",char(34),LOWER(C1873),char(34),"}}"))</f>
        <v>{"asset":{"guid":"uuid://10f446b2-a295-4122-91eb-fe8466be4e2f","site":"in-blr-ananta","name":"vav-1445"}}</v>
      </c>
      <c r="S1873" s="360" t="s">
        <v>5516</v>
      </c>
      <c r="T1873" s="330"/>
      <c r="U1873" s="330"/>
      <c r="V1873" s="331"/>
      <c r="W1873" s="332"/>
      <c r="X1873" s="333"/>
      <c r="Y1873" s="33" t="s">
        <v>2867</v>
      </c>
      <c r="Z1873" s="258">
        <v>121445.0</v>
      </c>
      <c r="AA1873" s="334">
        <v>11651.0</v>
      </c>
      <c r="AB1873" s="333"/>
      <c r="AC1873" s="333"/>
      <c r="AD1873" s="329"/>
      <c r="AE1873" s="331"/>
      <c r="AF1873" s="336"/>
      <c r="AG1873" s="337"/>
      <c r="AH1873" s="333"/>
      <c r="AI1873" s="333"/>
      <c r="AJ1873" s="333"/>
      <c r="AK1873" s="333"/>
      <c r="AL1873" s="333"/>
      <c r="AM1873" s="338"/>
      <c r="AN1873" s="333"/>
      <c r="AO1873" s="333"/>
      <c r="AP1873" s="333"/>
      <c r="AQ1873" s="333"/>
      <c r="AR1873" s="333"/>
      <c r="AS1873" s="333"/>
      <c r="AT1873" s="333"/>
      <c r="AU1873" s="329"/>
      <c r="AV1873" s="341"/>
      <c r="AW1873" s="269" t="s">
        <v>2466</v>
      </c>
      <c r="AX1873" s="334" t="s">
        <v>2869</v>
      </c>
      <c r="AY1873" s="270" t="s">
        <v>695</v>
      </c>
      <c r="AZ1873" s="173" t="s">
        <v>5516</v>
      </c>
      <c r="BA1873" s="265">
        <v>10.0</v>
      </c>
      <c r="BB1873" s="174" t="s">
        <v>245</v>
      </c>
      <c r="BC1873" s="341"/>
      <c r="BD1873" s="308"/>
      <c r="BE1873" s="342"/>
      <c r="BF1873" s="274" t="str">
        <f>IFERROR(__xludf.DUMMYFUNCTION("LOWER(Regexreplace(to_text(E1873),""[^A-Za-z0-9]"","""")&amp;""_""&amp;Regexreplace(to_text(F1873),""[^A-Za-z0-9]"",""""))"),"neptronic_evcbseries")</f>
        <v>neptronic_evcbseries</v>
      </c>
      <c r="BG1873" s="275" t="str">
        <f>IFERROR(__xludf.DUMMYFUNCTION("upper(Regexreplace(to_text(E1873),""[^A-Za-z0-9]"","""")&amp;""-""&amp;Regexreplace(to_text(F1873),""[^A-Za-z0-9]"",""""))"),"NEPTRONIC-EVCBSERIES")</f>
        <v>NEPTRONIC-EVCBSERIES</v>
      </c>
    </row>
    <row r="1874" ht="30.0" customHeight="1">
      <c r="A1874" s="258">
        <v>1866.0</v>
      </c>
      <c r="B1874" s="328" t="s">
        <v>670</v>
      </c>
      <c r="C1874" s="257" t="s">
        <v>6951</v>
      </c>
      <c r="D1874" s="173" t="s">
        <v>6951</v>
      </c>
      <c r="E1874" s="174" t="s">
        <v>2861</v>
      </c>
      <c r="F1874" s="173" t="s">
        <v>2862</v>
      </c>
      <c r="G1874" s="328" t="s">
        <v>673</v>
      </c>
      <c r="H1874" s="328" t="s">
        <v>2863</v>
      </c>
      <c r="I1874" s="258" t="s">
        <v>2864</v>
      </c>
      <c r="J1874" s="259" t="s">
        <v>1272</v>
      </c>
      <c r="K1874" s="260"/>
      <c r="L1874" s="359"/>
      <c r="M1874" s="359"/>
      <c r="N1874" s="173" t="s">
        <v>679</v>
      </c>
      <c r="O1874" s="173" t="s">
        <v>225</v>
      </c>
      <c r="P1874" s="262" t="str">
        <f t="shared" si="1"/>
        <v>IN-BLR-ANANTA-VAV-1446_8</v>
      </c>
      <c r="Q1874" s="173" t="s">
        <v>6952</v>
      </c>
      <c r="R1874" s="328" t="str">
        <f>IFS(C1874="","",C1874="n/a","N/A",LEN(C1874),Concatenate("{",char(34),"asset",char(34),":{",char(34),"guid",char(34),":",char(34),Q1874,char(34),",",char(34),"site",char(34),":",char(34),LOWER('2-Building'!$B$4),char(34),",",char(34),"name",char(34),":",char(34),LOWER(C1874),char(34),"}}"))</f>
        <v>{"asset":{"guid":"uuid://c5431bdd-449c-44fc-867c-bf9cd7d16ca2","site":"in-blr-ananta","name":"vav-1446"}}</v>
      </c>
      <c r="S1874" s="360" t="s">
        <v>5516</v>
      </c>
      <c r="T1874" s="330"/>
      <c r="U1874" s="330"/>
      <c r="V1874" s="331"/>
      <c r="W1874" s="332"/>
      <c r="X1874" s="333"/>
      <c r="Y1874" s="33" t="s">
        <v>2867</v>
      </c>
      <c r="Z1874" s="258">
        <v>121446.0</v>
      </c>
      <c r="AA1874" s="334">
        <v>11651.0</v>
      </c>
      <c r="AB1874" s="333"/>
      <c r="AC1874" s="333"/>
      <c r="AD1874" s="329"/>
      <c r="AE1874" s="331"/>
      <c r="AF1874" s="336"/>
      <c r="AG1874" s="337"/>
      <c r="AH1874" s="333"/>
      <c r="AI1874" s="333"/>
      <c r="AJ1874" s="333"/>
      <c r="AK1874" s="333"/>
      <c r="AL1874" s="333"/>
      <c r="AM1874" s="338"/>
      <c r="AN1874" s="333"/>
      <c r="AO1874" s="333"/>
      <c r="AP1874" s="333"/>
      <c r="AQ1874" s="333"/>
      <c r="AR1874" s="333"/>
      <c r="AS1874" s="333"/>
      <c r="AT1874" s="333"/>
      <c r="AU1874" s="329"/>
      <c r="AV1874" s="341"/>
      <c r="AW1874" s="269" t="s">
        <v>2466</v>
      </c>
      <c r="AX1874" s="334" t="s">
        <v>2869</v>
      </c>
      <c r="AY1874" s="270" t="s">
        <v>695</v>
      </c>
      <c r="AZ1874" s="173" t="s">
        <v>5516</v>
      </c>
      <c r="BA1874" s="265">
        <v>10.0</v>
      </c>
      <c r="BB1874" s="174" t="s">
        <v>245</v>
      </c>
      <c r="BC1874" s="341"/>
      <c r="BD1874" s="308"/>
      <c r="BE1874" s="342"/>
      <c r="BF1874" s="274" t="str">
        <f>IFERROR(__xludf.DUMMYFUNCTION("LOWER(Regexreplace(to_text(E1874),""[^A-Za-z0-9]"","""")&amp;""_""&amp;Regexreplace(to_text(F1874),""[^A-Za-z0-9]"",""""))"),"neptronic_evcbseries")</f>
        <v>neptronic_evcbseries</v>
      </c>
      <c r="BG1874" s="275" t="str">
        <f>IFERROR(__xludf.DUMMYFUNCTION("upper(Regexreplace(to_text(E1874),""[^A-Za-z0-9]"","""")&amp;""-""&amp;Regexreplace(to_text(F1874),""[^A-Za-z0-9]"",""""))"),"NEPTRONIC-EVCBSERIES")</f>
        <v>NEPTRONIC-EVCBSERIES</v>
      </c>
    </row>
    <row r="1875" ht="30.0" customHeight="1">
      <c r="A1875" s="173">
        <v>1867.0</v>
      </c>
      <c r="B1875" s="328" t="s">
        <v>670</v>
      </c>
      <c r="C1875" s="257" t="s">
        <v>6953</v>
      </c>
      <c r="D1875" s="173" t="s">
        <v>6953</v>
      </c>
      <c r="E1875" s="174" t="s">
        <v>2861</v>
      </c>
      <c r="F1875" s="173" t="s">
        <v>2862</v>
      </c>
      <c r="G1875" s="328" t="s">
        <v>673</v>
      </c>
      <c r="H1875" s="328" t="s">
        <v>2863</v>
      </c>
      <c r="I1875" s="258" t="s">
        <v>2864</v>
      </c>
      <c r="J1875" s="259" t="s">
        <v>1272</v>
      </c>
      <c r="K1875" s="260"/>
      <c r="L1875" s="359"/>
      <c r="M1875" s="359"/>
      <c r="N1875" s="173" t="s">
        <v>679</v>
      </c>
      <c r="O1875" s="173" t="s">
        <v>225</v>
      </c>
      <c r="P1875" s="262" t="str">
        <f t="shared" si="1"/>
        <v>IN-BLR-ANANTA-VAV-1447_8</v>
      </c>
      <c r="Q1875" s="173" t="s">
        <v>6954</v>
      </c>
      <c r="R1875" s="328" t="str">
        <f>IFS(C1875="","",C1875="n/a","N/A",LEN(C1875),Concatenate("{",char(34),"asset",char(34),":{",char(34),"guid",char(34),":",char(34),Q1875,char(34),",",char(34),"site",char(34),":",char(34),LOWER('2-Building'!$B$4),char(34),",",char(34),"name",char(34),":",char(34),LOWER(C1875),char(34),"}}"))</f>
        <v>{"asset":{"guid":"uuid://69197153-9db8-40d2-bfcb-7c995437bac2","site":"in-blr-ananta","name":"vav-1447"}}</v>
      </c>
      <c r="S1875" s="360" t="s">
        <v>5516</v>
      </c>
      <c r="T1875" s="330"/>
      <c r="U1875" s="330"/>
      <c r="V1875" s="331"/>
      <c r="W1875" s="332"/>
      <c r="X1875" s="333"/>
      <c r="Y1875" s="33" t="s">
        <v>2867</v>
      </c>
      <c r="Z1875" s="258">
        <v>121447.0</v>
      </c>
      <c r="AA1875" s="334">
        <v>11651.0</v>
      </c>
      <c r="AB1875" s="333"/>
      <c r="AC1875" s="333"/>
      <c r="AD1875" s="329"/>
      <c r="AE1875" s="331"/>
      <c r="AF1875" s="336"/>
      <c r="AG1875" s="337"/>
      <c r="AH1875" s="333"/>
      <c r="AI1875" s="333"/>
      <c r="AJ1875" s="333"/>
      <c r="AK1875" s="333"/>
      <c r="AL1875" s="333"/>
      <c r="AM1875" s="338"/>
      <c r="AN1875" s="333"/>
      <c r="AO1875" s="333"/>
      <c r="AP1875" s="333"/>
      <c r="AQ1875" s="333"/>
      <c r="AR1875" s="333"/>
      <c r="AS1875" s="333"/>
      <c r="AT1875" s="333"/>
      <c r="AU1875" s="329"/>
      <c r="AV1875" s="341"/>
      <c r="AW1875" s="269" t="s">
        <v>2466</v>
      </c>
      <c r="AX1875" s="334" t="s">
        <v>2869</v>
      </c>
      <c r="AY1875" s="270" t="s">
        <v>695</v>
      </c>
      <c r="AZ1875" s="173" t="s">
        <v>5516</v>
      </c>
      <c r="BA1875" s="265">
        <v>10.0</v>
      </c>
      <c r="BB1875" s="174" t="s">
        <v>245</v>
      </c>
      <c r="BC1875" s="341"/>
      <c r="BD1875" s="308"/>
      <c r="BE1875" s="342"/>
      <c r="BF1875" s="274" t="str">
        <f>IFERROR(__xludf.DUMMYFUNCTION("LOWER(Regexreplace(to_text(E1875),""[^A-Za-z0-9]"","""")&amp;""_""&amp;Regexreplace(to_text(F1875),""[^A-Za-z0-9]"",""""))"),"neptronic_evcbseries")</f>
        <v>neptronic_evcbseries</v>
      </c>
      <c r="BG1875" s="275" t="str">
        <f>IFERROR(__xludf.DUMMYFUNCTION("upper(Regexreplace(to_text(E1875),""[^A-Za-z0-9]"","""")&amp;""-""&amp;Regexreplace(to_text(F1875),""[^A-Za-z0-9]"",""""))"),"NEPTRONIC-EVCBSERIES")</f>
        <v>NEPTRONIC-EVCBSERIES</v>
      </c>
    </row>
    <row r="1876" ht="30.0" customHeight="1">
      <c r="A1876" s="258">
        <v>1868.0</v>
      </c>
      <c r="B1876" s="328" t="s">
        <v>670</v>
      </c>
      <c r="C1876" s="257" t="s">
        <v>6955</v>
      </c>
      <c r="D1876" s="173" t="s">
        <v>6955</v>
      </c>
      <c r="E1876" s="174" t="s">
        <v>2861</v>
      </c>
      <c r="F1876" s="173" t="s">
        <v>2862</v>
      </c>
      <c r="G1876" s="328" t="s">
        <v>673</v>
      </c>
      <c r="H1876" s="328" t="s">
        <v>2863</v>
      </c>
      <c r="I1876" s="258" t="s">
        <v>2864</v>
      </c>
      <c r="J1876" s="259" t="s">
        <v>1272</v>
      </c>
      <c r="K1876" s="260"/>
      <c r="L1876" s="359"/>
      <c r="M1876" s="359"/>
      <c r="N1876" s="173" t="s">
        <v>679</v>
      </c>
      <c r="O1876" s="173" t="s">
        <v>225</v>
      </c>
      <c r="P1876" s="262" t="str">
        <f t="shared" si="1"/>
        <v>IN-BLR-ANANTA-VAV-1448_8</v>
      </c>
      <c r="Q1876" s="173" t="s">
        <v>6956</v>
      </c>
      <c r="R1876" s="328" t="str">
        <f>IFS(C1876="","",C1876="n/a","N/A",LEN(C1876),Concatenate("{",char(34),"asset",char(34),":{",char(34),"guid",char(34),":",char(34),Q1876,char(34),",",char(34),"site",char(34),":",char(34),LOWER('2-Building'!$B$4),char(34),",",char(34),"name",char(34),":",char(34),LOWER(C1876),char(34),"}}"))</f>
        <v>{"asset":{"guid":"uuid://f92d28b8-c2bc-46c4-a79b-67afe7187388","site":"in-blr-ananta","name":"vav-1448"}}</v>
      </c>
      <c r="S1876" s="360" t="s">
        <v>5516</v>
      </c>
      <c r="T1876" s="330"/>
      <c r="U1876" s="330"/>
      <c r="V1876" s="331"/>
      <c r="W1876" s="332"/>
      <c r="X1876" s="333"/>
      <c r="Y1876" s="33" t="s">
        <v>2867</v>
      </c>
      <c r="Z1876" s="258">
        <v>121448.0</v>
      </c>
      <c r="AA1876" s="334">
        <v>11651.0</v>
      </c>
      <c r="AB1876" s="333"/>
      <c r="AC1876" s="333"/>
      <c r="AD1876" s="329"/>
      <c r="AE1876" s="331"/>
      <c r="AF1876" s="336"/>
      <c r="AG1876" s="337"/>
      <c r="AH1876" s="333"/>
      <c r="AI1876" s="333"/>
      <c r="AJ1876" s="333"/>
      <c r="AK1876" s="333"/>
      <c r="AL1876" s="333"/>
      <c r="AM1876" s="338"/>
      <c r="AN1876" s="333"/>
      <c r="AO1876" s="333"/>
      <c r="AP1876" s="333"/>
      <c r="AQ1876" s="333"/>
      <c r="AR1876" s="333"/>
      <c r="AS1876" s="333"/>
      <c r="AT1876" s="333"/>
      <c r="AU1876" s="329"/>
      <c r="AV1876" s="341"/>
      <c r="AW1876" s="269" t="s">
        <v>2466</v>
      </c>
      <c r="AX1876" s="334" t="s">
        <v>2869</v>
      </c>
      <c r="AY1876" s="270" t="s">
        <v>695</v>
      </c>
      <c r="AZ1876" s="173" t="s">
        <v>5516</v>
      </c>
      <c r="BA1876" s="265">
        <v>10.0</v>
      </c>
      <c r="BB1876" s="174" t="s">
        <v>245</v>
      </c>
      <c r="BC1876" s="341"/>
      <c r="BD1876" s="308"/>
      <c r="BE1876" s="342"/>
      <c r="BF1876" s="274" t="str">
        <f>IFERROR(__xludf.DUMMYFUNCTION("LOWER(Regexreplace(to_text(E1876),""[^A-Za-z0-9]"","""")&amp;""_""&amp;Regexreplace(to_text(F1876),""[^A-Za-z0-9]"",""""))"),"neptronic_evcbseries")</f>
        <v>neptronic_evcbseries</v>
      </c>
      <c r="BG1876" s="275" t="str">
        <f>IFERROR(__xludf.DUMMYFUNCTION("upper(Regexreplace(to_text(E1876),""[^A-Za-z0-9]"","""")&amp;""-""&amp;Regexreplace(to_text(F1876),""[^A-Za-z0-9]"",""""))"),"NEPTRONIC-EVCBSERIES")</f>
        <v>NEPTRONIC-EVCBSERIES</v>
      </c>
    </row>
    <row r="1877" ht="30.0" customHeight="1">
      <c r="A1877" s="173">
        <v>1869.0</v>
      </c>
      <c r="B1877" s="328" t="s">
        <v>670</v>
      </c>
      <c r="C1877" s="257" t="s">
        <v>6957</v>
      </c>
      <c r="D1877" s="173" t="s">
        <v>6957</v>
      </c>
      <c r="E1877" s="174" t="s">
        <v>2861</v>
      </c>
      <c r="F1877" s="173" t="s">
        <v>2862</v>
      </c>
      <c r="G1877" s="328" t="s">
        <v>673</v>
      </c>
      <c r="H1877" s="328" t="s">
        <v>2863</v>
      </c>
      <c r="I1877" s="258" t="s">
        <v>2864</v>
      </c>
      <c r="J1877" s="259" t="s">
        <v>1272</v>
      </c>
      <c r="K1877" s="260"/>
      <c r="L1877" s="359"/>
      <c r="M1877" s="359"/>
      <c r="N1877" s="173" t="s">
        <v>679</v>
      </c>
      <c r="O1877" s="173" t="s">
        <v>225</v>
      </c>
      <c r="P1877" s="262" t="str">
        <f t="shared" si="1"/>
        <v>IN-BLR-ANANTA-VAV-1449_8</v>
      </c>
      <c r="Q1877" s="173" t="s">
        <v>6958</v>
      </c>
      <c r="R1877" s="328" t="str">
        <f>IFS(C1877="","",C1877="n/a","N/A",LEN(C1877),Concatenate("{",char(34),"asset",char(34),":{",char(34),"guid",char(34),":",char(34),Q1877,char(34),",",char(34),"site",char(34),":",char(34),LOWER('2-Building'!$B$4),char(34),",",char(34),"name",char(34),":",char(34),LOWER(C1877),char(34),"}}"))</f>
        <v>{"asset":{"guid":"uuid://897729eb-b9aa-4ebc-a5d1-3fb37deae378","site":"in-blr-ananta","name":"vav-1449"}}</v>
      </c>
      <c r="S1877" s="360" t="s">
        <v>5516</v>
      </c>
      <c r="T1877" s="330"/>
      <c r="U1877" s="330"/>
      <c r="V1877" s="331"/>
      <c r="W1877" s="332"/>
      <c r="X1877" s="333"/>
      <c r="Y1877" s="33" t="s">
        <v>2867</v>
      </c>
      <c r="Z1877" s="258">
        <v>121449.0</v>
      </c>
      <c r="AA1877" s="334">
        <v>11651.0</v>
      </c>
      <c r="AB1877" s="333"/>
      <c r="AC1877" s="333"/>
      <c r="AD1877" s="329"/>
      <c r="AE1877" s="331"/>
      <c r="AF1877" s="336"/>
      <c r="AG1877" s="337"/>
      <c r="AH1877" s="333"/>
      <c r="AI1877" s="333"/>
      <c r="AJ1877" s="333"/>
      <c r="AK1877" s="333"/>
      <c r="AL1877" s="333"/>
      <c r="AM1877" s="338"/>
      <c r="AN1877" s="333"/>
      <c r="AO1877" s="333"/>
      <c r="AP1877" s="333"/>
      <c r="AQ1877" s="333"/>
      <c r="AR1877" s="333"/>
      <c r="AS1877" s="333"/>
      <c r="AT1877" s="333"/>
      <c r="AU1877" s="329"/>
      <c r="AV1877" s="341"/>
      <c r="AW1877" s="269" t="s">
        <v>2466</v>
      </c>
      <c r="AX1877" s="334" t="s">
        <v>2869</v>
      </c>
      <c r="AY1877" s="270" t="s">
        <v>695</v>
      </c>
      <c r="AZ1877" s="173" t="s">
        <v>5516</v>
      </c>
      <c r="BA1877" s="265">
        <v>10.0</v>
      </c>
      <c r="BB1877" s="174" t="s">
        <v>245</v>
      </c>
      <c r="BC1877" s="341"/>
      <c r="BD1877" s="308"/>
      <c r="BE1877" s="342"/>
      <c r="BF1877" s="274" t="str">
        <f>IFERROR(__xludf.DUMMYFUNCTION("LOWER(Regexreplace(to_text(E1877),""[^A-Za-z0-9]"","""")&amp;""_""&amp;Regexreplace(to_text(F1877),""[^A-Za-z0-9]"",""""))"),"neptronic_evcbseries")</f>
        <v>neptronic_evcbseries</v>
      </c>
      <c r="BG1877" s="275" t="str">
        <f>IFERROR(__xludf.DUMMYFUNCTION("upper(Regexreplace(to_text(E1877),""[^A-Za-z0-9]"","""")&amp;""-""&amp;Regexreplace(to_text(F1877),""[^A-Za-z0-9]"",""""))"),"NEPTRONIC-EVCBSERIES")</f>
        <v>NEPTRONIC-EVCBSERIES</v>
      </c>
    </row>
    <row r="1878" ht="30.0" customHeight="1">
      <c r="A1878" s="258">
        <v>1870.0</v>
      </c>
      <c r="B1878" s="328" t="s">
        <v>670</v>
      </c>
      <c r="C1878" s="257" t="s">
        <v>6959</v>
      </c>
      <c r="D1878" s="173" t="s">
        <v>6959</v>
      </c>
      <c r="E1878" s="174" t="s">
        <v>2861</v>
      </c>
      <c r="F1878" s="173" t="s">
        <v>2862</v>
      </c>
      <c r="G1878" s="328" t="s">
        <v>673</v>
      </c>
      <c r="H1878" s="328" t="s">
        <v>2863</v>
      </c>
      <c r="I1878" s="258" t="s">
        <v>2864</v>
      </c>
      <c r="J1878" s="259" t="s">
        <v>1272</v>
      </c>
      <c r="K1878" s="260"/>
      <c r="L1878" s="359"/>
      <c r="M1878" s="359"/>
      <c r="N1878" s="173" t="s">
        <v>679</v>
      </c>
      <c r="O1878" s="173" t="s">
        <v>225</v>
      </c>
      <c r="P1878" s="262" t="str">
        <f t="shared" si="1"/>
        <v>IN-BLR-ANANTA-VAV-1450_8</v>
      </c>
      <c r="Q1878" s="173" t="s">
        <v>6960</v>
      </c>
      <c r="R1878" s="328" t="str">
        <f>IFS(C1878="","",C1878="n/a","N/A",LEN(C1878),Concatenate("{",char(34),"asset",char(34),":{",char(34),"guid",char(34),":",char(34),Q1878,char(34),",",char(34),"site",char(34),":",char(34),LOWER('2-Building'!$B$4),char(34),",",char(34),"name",char(34),":",char(34),LOWER(C1878),char(34),"}}"))</f>
        <v>{"asset":{"guid":"uuid://d5626ba4-035a-4d64-971e-06ec581d34f7","site":"in-blr-ananta","name":"vav-1450"}}</v>
      </c>
      <c r="S1878" s="360" t="s">
        <v>5516</v>
      </c>
      <c r="T1878" s="330"/>
      <c r="U1878" s="330"/>
      <c r="V1878" s="331"/>
      <c r="W1878" s="332"/>
      <c r="X1878" s="333"/>
      <c r="Y1878" s="33" t="s">
        <v>2867</v>
      </c>
      <c r="Z1878" s="258">
        <v>121450.0</v>
      </c>
      <c r="AA1878" s="334">
        <v>11651.0</v>
      </c>
      <c r="AB1878" s="333"/>
      <c r="AC1878" s="333"/>
      <c r="AD1878" s="329"/>
      <c r="AE1878" s="331"/>
      <c r="AF1878" s="336"/>
      <c r="AG1878" s="337"/>
      <c r="AH1878" s="333"/>
      <c r="AI1878" s="333"/>
      <c r="AJ1878" s="333"/>
      <c r="AK1878" s="333"/>
      <c r="AL1878" s="333"/>
      <c r="AM1878" s="338"/>
      <c r="AN1878" s="333"/>
      <c r="AO1878" s="333"/>
      <c r="AP1878" s="333"/>
      <c r="AQ1878" s="333"/>
      <c r="AR1878" s="333"/>
      <c r="AS1878" s="333"/>
      <c r="AT1878" s="333"/>
      <c r="AU1878" s="329"/>
      <c r="AV1878" s="341"/>
      <c r="AW1878" s="269" t="s">
        <v>2466</v>
      </c>
      <c r="AX1878" s="334" t="s">
        <v>2869</v>
      </c>
      <c r="AY1878" s="270" t="s">
        <v>695</v>
      </c>
      <c r="AZ1878" s="173" t="s">
        <v>5516</v>
      </c>
      <c r="BA1878" s="265">
        <v>10.0</v>
      </c>
      <c r="BB1878" s="174" t="s">
        <v>245</v>
      </c>
      <c r="BC1878" s="341"/>
      <c r="BD1878" s="308"/>
      <c r="BE1878" s="342"/>
      <c r="BF1878" s="274" t="str">
        <f>IFERROR(__xludf.DUMMYFUNCTION("LOWER(Regexreplace(to_text(E1878),""[^A-Za-z0-9]"","""")&amp;""_""&amp;Regexreplace(to_text(F1878),""[^A-Za-z0-9]"",""""))"),"neptronic_evcbseries")</f>
        <v>neptronic_evcbseries</v>
      </c>
      <c r="BG1878" s="275" t="str">
        <f>IFERROR(__xludf.DUMMYFUNCTION("upper(Regexreplace(to_text(E1878),""[^A-Za-z0-9]"","""")&amp;""-""&amp;Regexreplace(to_text(F1878),""[^A-Za-z0-9]"",""""))"),"NEPTRONIC-EVCBSERIES")</f>
        <v>NEPTRONIC-EVCBSERIES</v>
      </c>
    </row>
    <row r="1879" ht="30.0" customHeight="1">
      <c r="A1879" s="173">
        <v>1871.0</v>
      </c>
      <c r="B1879" s="328" t="s">
        <v>670</v>
      </c>
      <c r="C1879" s="257" t="s">
        <v>6961</v>
      </c>
      <c r="D1879" s="173" t="s">
        <v>6961</v>
      </c>
      <c r="E1879" s="174" t="s">
        <v>2861</v>
      </c>
      <c r="F1879" s="173" t="s">
        <v>2862</v>
      </c>
      <c r="G1879" s="328" t="s">
        <v>673</v>
      </c>
      <c r="H1879" s="328" t="s">
        <v>2863</v>
      </c>
      <c r="I1879" s="258" t="s">
        <v>2864</v>
      </c>
      <c r="J1879" s="259" t="s">
        <v>1272</v>
      </c>
      <c r="K1879" s="260"/>
      <c r="L1879" s="359"/>
      <c r="M1879" s="359"/>
      <c r="N1879" s="173" t="s">
        <v>679</v>
      </c>
      <c r="O1879" s="173" t="s">
        <v>225</v>
      </c>
      <c r="P1879" s="262" t="str">
        <f t="shared" si="1"/>
        <v>IN-BLR-ANANTA-VAV-1451_8</v>
      </c>
      <c r="Q1879" s="173" t="s">
        <v>6962</v>
      </c>
      <c r="R1879" s="328" t="str">
        <f>IFS(C1879="","",C1879="n/a","N/A",LEN(C1879),Concatenate("{",char(34),"asset",char(34),":{",char(34),"guid",char(34),":",char(34),Q1879,char(34),",",char(34),"site",char(34),":",char(34),LOWER('2-Building'!$B$4),char(34),",",char(34),"name",char(34),":",char(34),LOWER(C1879),char(34),"}}"))</f>
        <v>{"asset":{"guid":"uuid://cb0ad6c4-580b-48a2-84a1-ed60eb699a40","site":"in-blr-ananta","name":"vav-1451"}}</v>
      </c>
      <c r="S1879" s="360" t="s">
        <v>5516</v>
      </c>
      <c r="T1879" s="330"/>
      <c r="U1879" s="330"/>
      <c r="V1879" s="331"/>
      <c r="W1879" s="332"/>
      <c r="X1879" s="333"/>
      <c r="Y1879" s="33" t="s">
        <v>2867</v>
      </c>
      <c r="Z1879" s="258">
        <v>121451.0</v>
      </c>
      <c r="AA1879" s="334">
        <v>11651.0</v>
      </c>
      <c r="AB1879" s="333"/>
      <c r="AC1879" s="333"/>
      <c r="AD1879" s="329"/>
      <c r="AE1879" s="331"/>
      <c r="AF1879" s="336"/>
      <c r="AG1879" s="337"/>
      <c r="AH1879" s="333"/>
      <c r="AI1879" s="333"/>
      <c r="AJ1879" s="333"/>
      <c r="AK1879" s="333"/>
      <c r="AL1879" s="333"/>
      <c r="AM1879" s="338"/>
      <c r="AN1879" s="333"/>
      <c r="AO1879" s="333"/>
      <c r="AP1879" s="333"/>
      <c r="AQ1879" s="333"/>
      <c r="AR1879" s="333"/>
      <c r="AS1879" s="333"/>
      <c r="AT1879" s="333"/>
      <c r="AU1879" s="329"/>
      <c r="AV1879" s="341"/>
      <c r="AW1879" s="269" t="s">
        <v>2466</v>
      </c>
      <c r="AX1879" s="334" t="s">
        <v>2869</v>
      </c>
      <c r="AY1879" s="270" t="s">
        <v>695</v>
      </c>
      <c r="AZ1879" s="173" t="s">
        <v>5516</v>
      </c>
      <c r="BA1879" s="265">
        <v>10.0</v>
      </c>
      <c r="BB1879" s="174" t="s">
        <v>245</v>
      </c>
      <c r="BC1879" s="341"/>
      <c r="BD1879" s="308"/>
      <c r="BE1879" s="342"/>
      <c r="BF1879" s="274" t="str">
        <f>IFERROR(__xludf.DUMMYFUNCTION("LOWER(Regexreplace(to_text(E1879),""[^A-Za-z0-9]"","""")&amp;""_""&amp;Regexreplace(to_text(F1879),""[^A-Za-z0-9]"",""""))"),"neptronic_evcbseries")</f>
        <v>neptronic_evcbseries</v>
      </c>
      <c r="BG1879" s="275" t="str">
        <f>IFERROR(__xludf.DUMMYFUNCTION("upper(Regexreplace(to_text(E1879),""[^A-Za-z0-9]"","""")&amp;""-""&amp;Regexreplace(to_text(F1879),""[^A-Za-z0-9]"",""""))"),"NEPTRONIC-EVCBSERIES")</f>
        <v>NEPTRONIC-EVCBSERIES</v>
      </c>
    </row>
    <row r="1880" ht="30.0" customHeight="1">
      <c r="A1880" s="258">
        <v>1872.0</v>
      </c>
      <c r="B1880" s="328" t="s">
        <v>670</v>
      </c>
      <c r="C1880" s="257" t="s">
        <v>6963</v>
      </c>
      <c r="D1880" s="173" t="s">
        <v>6963</v>
      </c>
      <c r="E1880" s="174" t="s">
        <v>2861</v>
      </c>
      <c r="F1880" s="173" t="s">
        <v>2862</v>
      </c>
      <c r="G1880" s="328" t="s">
        <v>673</v>
      </c>
      <c r="H1880" s="328" t="s">
        <v>2863</v>
      </c>
      <c r="I1880" s="258" t="s">
        <v>2864</v>
      </c>
      <c r="J1880" s="259" t="s">
        <v>1272</v>
      </c>
      <c r="K1880" s="260"/>
      <c r="L1880" s="359"/>
      <c r="M1880" s="359"/>
      <c r="N1880" s="173" t="s">
        <v>679</v>
      </c>
      <c r="O1880" s="173" t="s">
        <v>225</v>
      </c>
      <c r="P1880" s="262" t="str">
        <f t="shared" si="1"/>
        <v>IN-BLR-ANANTA-VAV-1452_8</v>
      </c>
      <c r="Q1880" s="173" t="s">
        <v>6964</v>
      </c>
      <c r="R1880" s="328" t="str">
        <f>IFS(C1880="","",C1880="n/a","N/A",LEN(C1880),Concatenate("{",char(34),"asset",char(34),":{",char(34),"guid",char(34),":",char(34),Q1880,char(34),",",char(34),"site",char(34),":",char(34),LOWER('2-Building'!$B$4),char(34),",",char(34),"name",char(34),":",char(34),LOWER(C1880),char(34),"}}"))</f>
        <v>{"asset":{"guid":"uuid://6512fbce-fced-4f08-a620-4b7d1ff44a76","site":"in-blr-ananta","name":"vav-1452"}}</v>
      </c>
      <c r="S1880" s="360" t="s">
        <v>5516</v>
      </c>
      <c r="T1880" s="330"/>
      <c r="U1880" s="330"/>
      <c r="V1880" s="331"/>
      <c r="W1880" s="332"/>
      <c r="X1880" s="333"/>
      <c r="Y1880" s="33" t="s">
        <v>2867</v>
      </c>
      <c r="Z1880" s="258">
        <v>121452.0</v>
      </c>
      <c r="AA1880" s="334">
        <v>11651.0</v>
      </c>
      <c r="AB1880" s="333"/>
      <c r="AC1880" s="333"/>
      <c r="AD1880" s="329"/>
      <c r="AE1880" s="331"/>
      <c r="AF1880" s="336"/>
      <c r="AG1880" s="337"/>
      <c r="AH1880" s="333"/>
      <c r="AI1880" s="333"/>
      <c r="AJ1880" s="333"/>
      <c r="AK1880" s="333"/>
      <c r="AL1880" s="333"/>
      <c r="AM1880" s="338"/>
      <c r="AN1880" s="333"/>
      <c r="AO1880" s="333"/>
      <c r="AP1880" s="333"/>
      <c r="AQ1880" s="333"/>
      <c r="AR1880" s="333"/>
      <c r="AS1880" s="333"/>
      <c r="AT1880" s="333"/>
      <c r="AU1880" s="329"/>
      <c r="AV1880" s="341"/>
      <c r="AW1880" s="269" t="s">
        <v>2466</v>
      </c>
      <c r="AX1880" s="334" t="s">
        <v>2869</v>
      </c>
      <c r="AY1880" s="270" t="s">
        <v>695</v>
      </c>
      <c r="AZ1880" s="173" t="s">
        <v>5516</v>
      </c>
      <c r="BA1880" s="265">
        <v>10.0</v>
      </c>
      <c r="BB1880" s="174" t="s">
        <v>245</v>
      </c>
      <c r="BC1880" s="341"/>
      <c r="BD1880" s="308"/>
      <c r="BE1880" s="342"/>
      <c r="BF1880" s="274" t="str">
        <f>IFERROR(__xludf.DUMMYFUNCTION("LOWER(Regexreplace(to_text(E1880),""[^A-Za-z0-9]"","""")&amp;""_""&amp;Regexreplace(to_text(F1880),""[^A-Za-z0-9]"",""""))"),"neptronic_evcbseries")</f>
        <v>neptronic_evcbseries</v>
      </c>
      <c r="BG1880" s="275" t="str">
        <f>IFERROR(__xludf.DUMMYFUNCTION("upper(Regexreplace(to_text(E1880),""[^A-Za-z0-9]"","""")&amp;""-""&amp;Regexreplace(to_text(F1880),""[^A-Za-z0-9]"",""""))"),"NEPTRONIC-EVCBSERIES")</f>
        <v>NEPTRONIC-EVCBSERIES</v>
      </c>
    </row>
    <row r="1881" ht="30.0" customHeight="1">
      <c r="A1881" s="173">
        <v>1873.0</v>
      </c>
      <c r="B1881" s="328" t="s">
        <v>670</v>
      </c>
      <c r="C1881" s="257" t="s">
        <v>6965</v>
      </c>
      <c r="D1881" s="173" t="s">
        <v>6965</v>
      </c>
      <c r="E1881" s="174" t="s">
        <v>2861</v>
      </c>
      <c r="F1881" s="173" t="s">
        <v>2862</v>
      </c>
      <c r="G1881" s="328" t="s">
        <v>673</v>
      </c>
      <c r="H1881" s="328" t="s">
        <v>2863</v>
      </c>
      <c r="I1881" s="258" t="s">
        <v>2864</v>
      </c>
      <c r="J1881" s="259" t="s">
        <v>1272</v>
      </c>
      <c r="K1881" s="260"/>
      <c r="L1881" s="359"/>
      <c r="M1881" s="359"/>
      <c r="N1881" s="173" t="s">
        <v>679</v>
      </c>
      <c r="O1881" s="173" t="s">
        <v>225</v>
      </c>
      <c r="P1881" s="262" t="str">
        <f t="shared" si="1"/>
        <v>IN-BLR-ANANTA-VAV-1453_8</v>
      </c>
      <c r="Q1881" s="173" t="s">
        <v>6966</v>
      </c>
      <c r="R1881" s="328" t="str">
        <f>IFS(C1881="","",C1881="n/a","N/A",LEN(C1881),Concatenate("{",char(34),"asset",char(34),":{",char(34),"guid",char(34),":",char(34),Q1881,char(34),",",char(34),"site",char(34),":",char(34),LOWER('2-Building'!$B$4),char(34),",",char(34),"name",char(34),":",char(34),LOWER(C1881),char(34),"}}"))</f>
        <v>{"asset":{"guid":"uuid://a08d57fc-13f6-41f4-aba9-179fa5906e71","site":"in-blr-ananta","name":"vav-1453"}}</v>
      </c>
      <c r="S1881" s="360" t="s">
        <v>5516</v>
      </c>
      <c r="T1881" s="330"/>
      <c r="U1881" s="330"/>
      <c r="V1881" s="331"/>
      <c r="W1881" s="332"/>
      <c r="X1881" s="333"/>
      <c r="Y1881" s="33" t="s">
        <v>2867</v>
      </c>
      <c r="Z1881" s="258">
        <v>121453.0</v>
      </c>
      <c r="AA1881" s="334">
        <v>11651.0</v>
      </c>
      <c r="AB1881" s="333"/>
      <c r="AC1881" s="333"/>
      <c r="AD1881" s="329"/>
      <c r="AE1881" s="331"/>
      <c r="AF1881" s="336"/>
      <c r="AG1881" s="337"/>
      <c r="AH1881" s="333"/>
      <c r="AI1881" s="333"/>
      <c r="AJ1881" s="333"/>
      <c r="AK1881" s="333"/>
      <c r="AL1881" s="333"/>
      <c r="AM1881" s="338"/>
      <c r="AN1881" s="333"/>
      <c r="AO1881" s="333"/>
      <c r="AP1881" s="333"/>
      <c r="AQ1881" s="333"/>
      <c r="AR1881" s="333"/>
      <c r="AS1881" s="333"/>
      <c r="AT1881" s="333"/>
      <c r="AU1881" s="329"/>
      <c r="AV1881" s="341"/>
      <c r="AW1881" s="269" t="s">
        <v>2466</v>
      </c>
      <c r="AX1881" s="334" t="s">
        <v>2869</v>
      </c>
      <c r="AY1881" s="270" t="s">
        <v>695</v>
      </c>
      <c r="AZ1881" s="173" t="s">
        <v>5516</v>
      </c>
      <c r="BA1881" s="265">
        <v>10.0</v>
      </c>
      <c r="BB1881" s="174" t="s">
        <v>245</v>
      </c>
      <c r="BC1881" s="341"/>
      <c r="BD1881" s="308"/>
      <c r="BE1881" s="342"/>
      <c r="BF1881" s="274" t="str">
        <f>IFERROR(__xludf.DUMMYFUNCTION("LOWER(Regexreplace(to_text(E1881),""[^A-Za-z0-9]"","""")&amp;""_""&amp;Regexreplace(to_text(F1881),""[^A-Za-z0-9]"",""""))"),"neptronic_evcbseries")</f>
        <v>neptronic_evcbseries</v>
      </c>
      <c r="BG1881" s="275" t="str">
        <f>IFERROR(__xludf.DUMMYFUNCTION("upper(Regexreplace(to_text(E1881),""[^A-Za-z0-9]"","""")&amp;""-""&amp;Regexreplace(to_text(F1881),""[^A-Za-z0-9]"",""""))"),"NEPTRONIC-EVCBSERIES")</f>
        <v>NEPTRONIC-EVCBSERIES</v>
      </c>
    </row>
    <row r="1882" ht="30.0" customHeight="1">
      <c r="A1882" s="258">
        <v>1874.0</v>
      </c>
      <c r="B1882" s="328" t="s">
        <v>670</v>
      </c>
      <c r="C1882" s="257" t="s">
        <v>6967</v>
      </c>
      <c r="D1882" s="173" t="s">
        <v>6967</v>
      </c>
      <c r="E1882" s="174" t="s">
        <v>2861</v>
      </c>
      <c r="F1882" s="173" t="s">
        <v>2862</v>
      </c>
      <c r="G1882" s="328" t="s">
        <v>673</v>
      </c>
      <c r="H1882" s="328" t="s">
        <v>2863</v>
      </c>
      <c r="I1882" s="258" t="s">
        <v>2864</v>
      </c>
      <c r="J1882" s="259" t="s">
        <v>1272</v>
      </c>
      <c r="K1882" s="260"/>
      <c r="L1882" s="359"/>
      <c r="M1882" s="359"/>
      <c r="N1882" s="173" t="s">
        <v>679</v>
      </c>
      <c r="O1882" s="173" t="s">
        <v>225</v>
      </c>
      <c r="P1882" s="262" t="str">
        <f t="shared" si="1"/>
        <v>IN-BLR-ANANTA-VAV-1454_8</v>
      </c>
      <c r="Q1882" s="173" t="s">
        <v>6968</v>
      </c>
      <c r="R1882" s="328" t="str">
        <f>IFS(C1882="","",C1882="n/a","N/A",LEN(C1882),Concatenate("{",char(34),"asset",char(34),":{",char(34),"guid",char(34),":",char(34),Q1882,char(34),",",char(34),"site",char(34),":",char(34),LOWER('2-Building'!$B$4),char(34),",",char(34),"name",char(34),":",char(34),LOWER(C1882),char(34),"}}"))</f>
        <v>{"asset":{"guid":"uuid://b0262345-a5eb-4ff1-8a89-e7bfb3258983","site":"in-blr-ananta","name":"vav-1454"}}</v>
      </c>
      <c r="S1882" s="360" t="s">
        <v>5516</v>
      </c>
      <c r="T1882" s="330"/>
      <c r="U1882" s="330"/>
      <c r="V1882" s="331"/>
      <c r="W1882" s="332"/>
      <c r="X1882" s="333"/>
      <c r="Y1882" s="33" t="s">
        <v>2867</v>
      </c>
      <c r="Z1882" s="258">
        <v>121454.0</v>
      </c>
      <c r="AA1882" s="334">
        <v>11651.0</v>
      </c>
      <c r="AB1882" s="333"/>
      <c r="AC1882" s="333"/>
      <c r="AD1882" s="329"/>
      <c r="AE1882" s="331"/>
      <c r="AF1882" s="336"/>
      <c r="AG1882" s="337"/>
      <c r="AH1882" s="333"/>
      <c r="AI1882" s="333"/>
      <c r="AJ1882" s="333"/>
      <c r="AK1882" s="333"/>
      <c r="AL1882" s="333"/>
      <c r="AM1882" s="338"/>
      <c r="AN1882" s="333"/>
      <c r="AO1882" s="333"/>
      <c r="AP1882" s="333"/>
      <c r="AQ1882" s="333"/>
      <c r="AR1882" s="333"/>
      <c r="AS1882" s="333"/>
      <c r="AT1882" s="333"/>
      <c r="AU1882" s="329"/>
      <c r="AV1882" s="341"/>
      <c r="AW1882" s="269" t="s">
        <v>2466</v>
      </c>
      <c r="AX1882" s="334" t="s">
        <v>2869</v>
      </c>
      <c r="AY1882" s="270" t="s">
        <v>695</v>
      </c>
      <c r="AZ1882" s="173" t="s">
        <v>5516</v>
      </c>
      <c r="BA1882" s="265">
        <v>10.0</v>
      </c>
      <c r="BB1882" s="174" t="s">
        <v>245</v>
      </c>
      <c r="BC1882" s="341"/>
      <c r="BD1882" s="308"/>
      <c r="BE1882" s="342"/>
      <c r="BF1882" s="274" t="str">
        <f>IFERROR(__xludf.DUMMYFUNCTION("LOWER(Regexreplace(to_text(E1882),""[^A-Za-z0-9]"","""")&amp;""_""&amp;Regexreplace(to_text(F1882),""[^A-Za-z0-9]"",""""))"),"neptronic_evcbseries")</f>
        <v>neptronic_evcbseries</v>
      </c>
      <c r="BG1882" s="275" t="str">
        <f>IFERROR(__xludf.DUMMYFUNCTION("upper(Regexreplace(to_text(E1882),""[^A-Za-z0-9]"","""")&amp;""-""&amp;Regexreplace(to_text(F1882),""[^A-Za-z0-9]"",""""))"),"NEPTRONIC-EVCBSERIES")</f>
        <v>NEPTRONIC-EVCBSERIES</v>
      </c>
    </row>
    <row r="1883" ht="30.0" customHeight="1">
      <c r="A1883" s="173">
        <v>1875.0</v>
      </c>
      <c r="B1883" s="328" t="s">
        <v>670</v>
      </c>
      <c r="C1883" s="257" t="s">
        <v>6969</v>
      </c>
      <c r="D1883" s="173" t="s">
        <v>6969</v>
      </c>
      <c r="E1883" s="174" t="s">
        <v>2861</v>
      </c>
      <c r="F1883" s="173" t="s">
        <v>2862</v>
      </c>
      <c r="G1883" s="328" t="s">
        <v>673</v>
      </c>
      <c r="H1883" s="328" t="s">
        <v>2863</v>
      </c>
      <c r="I1883" s="258" t="s">
        <v>2864</v>
      </c>
      <c r="J1883" s="259" t="s">
        <v>1272</v>
      </c>
      <c r="K1883" s="260"/>
      <c r="L1883" s="359"/>
      <c r="M1883" s="359"/>
      <c r="N1883" s="173" t="s">
        <v>679</v>
      </c>
      <c r="O1883" s="173" t="s">
        <v>225</v>
      </c>
      <c r="P1883" s="262" t="str">
        <f t="shared" si="1"/>
        <v>IN-BLR-ANANTA-VAV-1455_8</v>
      </c>
      <c r="Q1883" s="173" t="s">
        <v>6970</v>
      </c>
      <c r="R1883" s="328" t="str">
        <f>IFS(C1883="","",C1883="n/a","N/A",LEN(C1883),Concatenate("{",char(34),"asset",char(34),":{",char(34),"guid",char(34),":",char(34),Q1883,char(34),",",char(34),"site",char(34),":",char(34),LOWER('2-Building'!$B$4),char(34),",",char(34),"name",char(34),":",char(34),LOWER(C1883),char(34),"}}"))</f>
        <v>{"asset":{"guid":"uuid://4bc4df52-c31c-4112-92d5-2fa80cb11cf5","site":"in-blr-ananta","name":"vav-1455"}}</v>
      </c>
      <c r="S1883" s="360" t="s">
        <v>5516</v>
      </c>
      <c r="T1883" s="330"/>
      <c r="U1883" s="330"/>
      <c r="V1883" s="331"/>
      <c r="W1883" s="332"/>
      <c r="X1883" s="333"/>
      <c r="Y1883" s="33" t="s">
        <v>2867</v>
      </c>
      <c r="Z1883" s="258">
        <v>121455.0</v>
      </c>
      <c r="AA1883" s="334">
        <v>11651.0</v>
      </c>
      <c r="AB1883" s="333"/>
      <c r="AC1883" s="333"/>
      <c r="AD1883" s="329"/>
      <c r="AE1883" s="331"/>
      <c r="AF1883" s="336"/>
      <c r="AG1883" s="337"/>
      <c r="AH1883" s="333"/>
      <c r="AI1883" s="333"/>
      <c r="AJ1883" s="333"/>
      <c r="AK1883" s="333"/>
      <c r="AL1883" s="333"/>
      <c r="AM1883" s="338"/>
      <c r="AN1883" s="333"/>
      <c r="AO1883" s="333"/>
      <c r="AP1883" s="333"/>
      <c r="AQ1883" s="333"/>
      <c r="AR1883" s="333"/>
      <c r="AS1883" s="333"/>
      <c r="AT1883" s="333"/>
      <c r="AU1883" s="329"/>
      <c r="AV1883" s="341"/>
      <c r="AW1883" s="269" t="s">
        <v>2466</v>
      </c>
      <c r="AX1883" s="334" t="s">
        <v>2869</v>
      </c>
      <c r="AY1883" s="270" t="s">
        <v>695</v>
      </c>
      <c r="AZ1883" s="173" t="s">
        <v>5516</v>
      </c>
      <c r="BA1883" s="265">
        <v>10.0</v>
      </c>
      <c r="BB1883" s="174" t="s">
        <v>245</v>
      </c>
      <c r="BC1883" s="341"/>
      <c r="BD1883" s="308"/>
      <c r="BE1883" s="342"/>
      <c r="BF1883" s="274" t="str">
        <f>IFERROR(__xludf.DUMMYFUNCTION("LOWER(Regexreplace(to_text(E1883),""[^A-Za-z0-9]"","""")&amp;""_""&amp;Regexreplace(to_text(F1883),""[^A-Za-z0-9]"",""""))"),"neptronic_evcbseries")</f>
        <v>neptronic_evcbseries</v>
      </c>
      <c r="BG1883" s="275" t="str">
        <f>IFERROR(__xludf.DUMMYFUNCTION("upper(Regexreplace(to_text(E1883),""[^A-Za-z0-9]"","""")&amp;""-""&amp;Regexreplace(to_text(F1883),""[^A-Za-z0-9]"",""""))"),"NEPTRONIC-EVCBSERIES")</f>
        <v>NEPTRONIC-EVCBSERIES</v>
      </c>
    </row>
    <row r="1884" ht="30.0" customHeight="1">
      <c r="A1884" s="258">
        <v>1876.0</v>
      </c>
      <c r="B1884" s="328" t="s">
        <v>670</v>
      </c>
      <c r="C1884" s="257" t="s">
        <v>6971</v>
      </c>
      <c r="D1884" s="173" t="s">
        <v>6971</v>
      </c>
      <c r="E1884" s="174" t="s">
        <v>2861</v>
      </c>
      <c r="F1884" s="173" t="s">
        <v>2862</v>
      </c>
      <c r="G1884" s="328" t="s">
        <v>673</v>
      </c>
      <c r="H1884" s="328" t="s">
        <v>2863</v>
      </c>
      <c r="I1884" s="258" t="s">
        <v>2864</v>
      </c>
      <c r="J1884" s="259" t="s">
        <v>1272</v>
      </c>
      <c r="K1884" s="260"/>
      <c r="L1884" s="359"/>
      <c r="M1884" s="359"/>
      <c r="N1884" s="173" t="s">
        <v>679</v>
      </c>
      <c r="O1884" s="173" t="s">
        <v>225</v>
      </c>
      <c r="P1884" s="262" t="str">
        <f t="shared" si="1"/>
        <v>IN-BLR-ANANTA-VAV-1456_8</v>
      </c>
      <c r="Q1884" s="173" t="s">
        <v>6972</v>
      </c>
      <c r="R1884" s="328" t="str">
        <f>IFS(C1884="","",C1884="n/a","N/A",LEN(C1884),Concatenate("{",char(34),"asset",char(34),":{",char(34),"guid",char(34),":",char(34),Q1884,char(34),",",char(34),"site",char(34),":",char(34),LOWER('2-Building'!$B$4),char(34),",",char(34),"name",char(34),":",char(34),LOWER(C1884),char(34),"}}"))</f>
        <v>{"asset":{"guid":"uuid://1c4425ac-1368-4385-972f-4f6e4126523b","site":"in-blr-ananta","name":"vav-1456"}}</v>
      </c>
      <c r="S1884" s="360" t="s">
        <v>5516</v>
      </c>
      <c r="T1884" s="330"/>
      <c r="U1884" s="330"/>
      <c r="V1884" s="331"/>
      <c r="W1884" s="332"/>
      <c r="X1884" s="333"/>
      <c r="Y1884" s="33" t="s">
        <v>2867</v>
      </c>
      <c r="Z1884" s="258">
        <v>121456.0</v>
      </c>
      <c r="AA1884" s="334">
        <v>11651.0</v>
      </c>
      <c r="AB1884" s="333"/>
      <c r="AC1884" s="333"/>
      <c r="AD1884" s="329"/>
      <c r="AE1884" s="331"/>
      <c r="AF1884" s="336"/>
      <c r="AG1884" s="337"/>
      <c r="AH1884" s="333"/>
      <c r="AI1884" s="333"/>
      <c r="AJ1884" s="333"/>
      <c r="AK1884" s="333"/>
      <c r="AL1884" s="333"/>
      <c r="AM1884" s="338"/>
      <c r="AN1884" s="333"/>
      <c r="AO1884" s="333"/>
      <c r="AP1884" s="333"/>
      <c r="AQ1884" s="333"/>
      <c r="AR1884" s="333"/>
      <c r="AS1884" s="333"/>
      <c r="AT1884" s="333"/>
      <c r="AU1884" s="329"/>
      <c r="AV1884" s="341"/>
      <c r="AW1884" s="269" t="s">
        <v>2466</v>
      </c>
      <c r="AX1884" s="334" t="s">
        <v>2869</v>
      </c>
      <c r="AY1884" s="270" t="s">
        <v>695</v>
      </c>
      <c r="AZ1884" s="173" t="s">
        <v>5516</v>
      </c>
      <c r="BA1884" s="265">
        <v>10.0</v>
      </c>
      <c r="BB1884" s="174" t="s">
        <v>245</v>
      </c>
      <c r="BC1884" s="341"/>
      <c r="BD1884" s="308"/>
      <c r="BE1884" s="342"/>
      <c r="BF1884" s="274" t="str">
        <f>IFERROR(__xludf.DUMMYFUNCTION("LOWER(Regexreplace(to_text(E1884),""[^A-Za-z0-9]"","""")&amp;""_""&amp;Regexreplace(to_text(F1884),""[^A-Za-z0-9]"",""""))"),"neptronic_evcbseries")</f>
        <v>neptronic_evcbseries</v>
      </c>
      <c r="BG1884" s="275" t="str">
        <f>IFERROR(__xludf.DUMMYFUNCTION("upper(Regexreplace(to_text(E1884),""[^A-Za-z0-9]"","""")&amp;""-""&amp;Regexreplace(to_text(F1884),""[^A-Za-z0-9]"",""""))"),"NEPTRONIC-EVCBSERIES")</f>
        <v>NEPTRONIC-EVCBSERIES</v>
      </c>
    </row>
    <row r="1885" ht="30.0" customHeight="1">
      <c r="A1885" s="173">
        <v>1877.0</v>
      </c>
      <c r="B1885" s="328" t="s">
        <v>670</v>
      </c>
      <c r="C1885" s="257" t="s">
        <v>6973</v>
      </c>
      <c r="D1885" s="173" t="s">
        <v>6973</v>
      </c>
      <c r="E1885" s="174" t="s">
        <v>2861</v>
      </c>
      <c r="F1885" s="173" t="s">
        <v>2862</v>
      </c>
      <c r="G1885" s="328" t="s">
        <v>673</v>
      </c>
      <c r="H1885" s="328" t="s">
        <v>2863</v>
      </c>
      <c r="I1885" s="258" t="s">
        <v>2864</v>
      </c>
      <c r="J1885" s="259" t="s">
        <v>1272</v>
      </c>
      <c r="K1885" s="260"/>
      <c r="L1885" s="359"/>
      <c r="M1885" s="359"/>
      <c r="N1885" s="173" t="s">
        <v>679</v>
      </c>
      <c r="O1885" s="173" t="s">
        <v>225</v>
      </c>
      <c r="P1885" s="262" t="str">
        <f t="shared" si="1"/>
        <v>IN-BLR-ANANTA-VAV-1457_8</v>
      </c>
      <c r="Q1885" s="173" t="s">
        <v>6974</v>
      </c>
      <c r="R1885" s="328" t="str">
        <f>IFS(C1885="","",C1885="n/a","N/A",LEN(C1885),Concatenate("{",char(34),"asset",char(34),":{",char(34),"guid",char(34),":",char(34),Q1885,char(34),",",char(34),"site",char(34),":",char(34),LOWER('2-Building'!$B$4),char(34),",",char(34),"name",char(34),":",char(34),LOWER(C1885),char(34),"}}"))</f>
        <v>{"asset":{"guid":"uuid://73ad1c03-196a-45b3-9428-db5436ddcfc7","site":"in-blr-ananta","name":"vav-1457"}}</v>
      </c>
      <c r="S1885" s="360" t="s">
        <v>5516</v>
      </c>
      <c r="T1885" s="330"/>
      <c r="U1885" s="330"/>
      <c r="V1885" s="331"/>
      <c r="W1885" s="332"/>
      <c r="X1885" s="333"/>
      <c r="Y1885" s="33" t="s">
        <v>2867</v>
      </c>
      <c r="Z1885" s="258">
        <v>121457.0</v>
      </c>
      <c r="AA1885" s="334">
        <v>11651.0</v>
      </c>
      <c r="AB1885" s="333"/>
      <c r="AC1885" s="333"/>
      <c r="AD1885" s="329"/>
      <c r="AE1885" s="331"/>
      <c r="AF1885" s="336"/>
      <c r="AG1885" s="337"/>
      <c r="AH1885" s="333"/>
      <c r="AI1885" s="333"/>
      <c r="AJ1885" s="333"/>
      <c r="AK1885" s="333"/>
      <c r="AL1885" s="333"/>
      <c r="AM1885" s="338"/>
      <c r="AN1885" s="333"/>
      <c r="AO1885" s="333"/>
      <c r="AP1885" s="333"/>
      <c r="AQ1885" s="333"/>
      <c r="AR1885" s="333"/>
      <c r="AS1885" s="333"/>
      <c r="AT1885" s="333"/>
      <c r="AU1885" s="329"/>
      <c r="AV1885" s="341"/>
      <c r="AW1885" s="269" t="s">
        <v>2466</v>
      </c>
      <c r="AX1885" s="334" t="s">
        <v>2869</v>
      </c>
      <c r="AY1885" s="270" t="s">
        <v>695</v>
      </c>
      <c r="AZ1885" s="173" t="s">
        <v>5516</v>
      </c>
      <c r="BA1885" s="265">
        <v>10.0</v>
      </c>
      <c r="BB1885" s="174" t="s">
        <v>245</v>
      </c>
      <c r="BC1885" s="341"/>
      <c r="BD1885" s="308"/>
      <c r="BE1885" s="342"/>
      <c r="BF1885" s="274" t="str">
        <f>IFERROR(__xludf.DUMMYFUNCTION("LOWER(Regexreplace(to_text(E1885),""[^A-Za-z0-9]"","""")&amp;""_""&amp;Regexreplace(to_text(F1885),""[^A-Za-z0-9]"",""""))"),"neptronic_evcbseries")</f>
        <v>neptronic_evcbseries</v>
      </c>
      <c r="BG1885" s="275" t="str">
        <f>IFERROR(__xludf.DUMMYFUNCTION("upper(Regexreplace(to_text(E1885),""[^A-Za-z0-9]"","""")&amp;""-""&amp;Regexreplace(to_text(F1885),""[^A-Za-z0-9]"",""""))"),"NEPTRONIC-EVCBSERIES")</f>
        <v>NEPTRONIC-EVCBSERIES</v>
      </c>
    </row>
    <row r="1886" ht="30.0" customHeight="1">
      <c r="A1886" s="258">
        <v>1878.0</v>
      </c>
      <c r="B1886" s="328" t="s">
        <v>670</v>
      </c>
      <c r="C1886" s="257" t="s">
        <v>6975</v>
      </c>
      <c r="D1886" s="173" t="s">
        <v>6975</v>
      </c>
      <c r="E1886" s="174" t="s">
        <v>2861</v>
      </c>
      <c r="F1886" s="173" t="s">
        <v>2862</v>
      </c>
      <c r="G1886" s="328" t="s">
        <v>673</v>
      </c>
      <c r="H1886" s="328" t="s">
        <v>2863</v>
      </c>
      <c r="I1886" s="258" t="s">
        <v>2864</v>
      </c>
      <c r="J1886" s="259" t="s">
        <v>1272</v>
      </c>
      <c r="K1886" s="260"/>
      <c r="L1886" s="359"/>
      <c r="M1886" s="359"/>
      <c r="N1886" s="173" t="s">
        <v>679</v>
      </c>
      <c r="O1886" s="173" t="s">
        <v>225</v>
      </c>
      <c r="P1886" s="262" t="str">
        <f t="shared" si="1"/>
        <v>IN-BLR-ANANTA-VAV-1458_8</v>
      </c>
      <c r="Q1886" s="173" t="s">
        <v>6976</v>
      </c>
      <c r="R1886" s="328" t="str">
        <f>IFS(C1886="","",C1886="n/a","N/A",LEN(C1886),Concatenate("{",char(34),"asset",char(34),":{",char(34),"guid",char(34),":",char(34),Q1886,char(34),",",char(34),"site",char(34),":",char(34),LOWER('2-Building'!$B$4),char(34),",",char(34),"name",char(34),":",char(34),LOWER(C1886),char(34),"}}"))</f>
        <v>{"asset":{"guid":"uuid://2f8648bb-34ca-4abe-a04f-684c3f5e0492","site":"in-blr-ananta","name":"vav-1458"}}</v>
      </c>
      <c r="S1886" s="360" t="s">
        <v>5516</v>
      </c>
      <c r="T1886" s="330"/>
      <c r="U1886" s="330"/>
      <c r="V1886" s="331"/>
      <c r="W1886" s="332"/>
      <c r="X1886" s="333"/>
      <c r="Y1886" s="33" t="s">
        <v>2867</v>
      </c>
      <c r="Z1886" s="258">
        <v>121458.0</v>
      </c>
      <c r="AA1886" s="334">
        <v>11651.0</v>
      </c>
      <c r="AB1886" s="333"/>
      <c r="AC1886" s="333"/>
      <c r="AD1886" s="329"/>
      <c r="AE1886" s="331"/>
      <c r="AF1886" s="336"/>
      <c r="AG1886" s="337"/>
      <c r="AH1886" s="333"/>
      <c r="AI1886" s="333"/>
      <c r="AJ1886" s="333"/>
      <c r="AK1886" s="333"/>
      <c r="AL1886" s="333"/>
      <c r="AM1886" s="338"/>
      <c r="AN1886" s="333"/>
      <c r="AO1886" s="333"/>
      <c r="AP1886" s="333"/>
      <c r="AQ1886" s="333"/>
      <c r="AR1886" s="333"/>
      <c r="AS1886" s="333"/>
      <c r="AT1886" s="333"/>
      <c r="AU1886" s="329"/>
      <c r="AV1886" s="341"/>
      <c r="AW1886" s="269" t="s">
        <v>2466</v>
      </c>
      <c r="AX1886" s="334" t="s">
        <v>2869</v>
      </c>
      <c r="AY1886" s="270" t="s">
        <v>695</v>
      </c>
      <c r="AZ1886" s="173" t="s">
        <v>5516</v>
      </c>
      <c r="BA1886" s="265">
        <v>10.0</v>
      </c>
      <c r="BB1886" s="174" t="s">
        <v>245</v>
      </c>
      <c r="BC1886" s="341"/>
      <c r="BD1886" s="308"/>
      <c r="BE1886" s="342"/>
      <c r="BF1886" s="274" t="str">
        <f>IFERROR(__xludf.DUMMYFUNCTION("LOWER(Regexreplace(to_text(E1886),""[^A-Za-z0-9]"","""")&amp;""_""&amp;Regexreplace(to_text(F1886),""[^A-Za-z0-9]"",""""))"),"neptronic_evcbseries")</f>
        <v>neptronic_evcbseries</v>
      </c>
      <c r="BG1886" s="275" t="str">
        <f>IFERROR(__xludf.DUMMYFUNCTION("upper(Regexreplace(to_text(E1886),""[^A-Za-z0-9]"","""")&amp;""-""&amp;Regexreplace(to_text(F1886),""[^A-Za-z0-9]"",""""))"),"NEPTRONIC-EVCBSERIES")</f>
        <v>NEPTRONIC-EVCBSERIES</v>
      </c>
    </row>
    <row r="1887" ht="30.0" customHeight="1">
      <c r="A1887" s="173">
        <v>1879.0</v>
      </c>
      <c r="B1887" s="328" t="s">
        <v>670</v>
      </c>
      <c r="C1887" s="257" t="s">
        <v>6977</v>
      </c>
      <c r="D1887" s="173" t="s">
        <v>6977</v>
      </c>
      <c r="E1887" s="174" t="s">
        <v>2861</v>
      </c>
      <c r="F1887" s="173" t="s">
        <v>2862</v>
      </c>
      <c r="G1887" s="328" t="s">
        <v>673</v>
      </c>
      <c r="H1887" s="328" t="s">
        <v>2863</v>
      </c>
      <c r="I1887" s="258" t="s">
        <v>2864</v>
      </c>
      <c r="J1887" s="259" t="s">
        <v>1272</v>
      </c>
      <c r="K1887" s="260"/>
      <c r="L1887" s="359"/>
      <c r="M1887" s="359"/>
      <c r="N1887" s="173" t="s">
        <v>679</v>
      </c>
      <c r="O1887" s="173" t="s">
        <v>225</v>
      </c>
      <c r="P1887" s="262" t="str">
        <f t="shared" si="1"/>
        <v>IN-BLR-ANANTA-VAV-1459_8</v>
      </c>
      <c r="Q1887" s="173" t="s">
        <v>6978</v>
      </c>
      <c r="R1887" s="328" t="str">
        <f>IFS(C1887="","",C1887="n/a","N/A",LEN(C1887),Concatenate("{",char(34),"asset",char(34),":{",char(34),"guid",char(34),":",char(34),Q1887,char(34),",",char(34),"site",char(34),":",char(34),LOWER('2-Building'!$B$4),char(34),",",char(34),"name",char(34),":",char(34),LOWER(C1887),char(34),"}}"))</f>
        <v>{"asset":{"guid":"uuid://b82b6b92-c68c-46b2-8d6e-92cf93060d2b","site":"in-blr-ananta","name":"vav-1459"}}</v>
      </c>
      <c r="S1887" s="360" t="s">
        <v>5516</v>
      </c>
      <c r="T1887" s="330"/>
      <c r="U1887" s="330"/>
      <c r="V1887" s="331"/>
      <c r="W1887" s="332"/>
      <c r="X1887" s="333"/>
      <c r="Y1887" s="33" t="s">
        <v>2867</v>
      </c>
      <c r="Z1887" s="258">
        <v>121459.0</v>
      </c>
      <c r="AA1887" s="334">
        <v>11652.0</v>
      </c>
      <c r="AB1887" s="333"/>
      <c r="AC1887" s="333"/>
      <c r="AD1887" s="329"/>
      <c r="AE1887" s="331"/>
      <c r="AF1887" s="336"/>
      <c r="AG1887" s="337"/>
      <c r="AH1887" s="333"/>
      <c r="AI1887" s="333"/>
      <c r="AJ1887" s="333"/>
      <c r="AK1887" s="333"/>
      <c r="AL1887" s="333"/>
      <c r="AM1887" s="338"/>
      <c r="AN1887" s="333"/>
      <c r="AO1887" s="333"/>
      <c r="AP1887" s="333"/>
      <c r="AQ1887" s="333"/>
      <c r="AR1887" s="333"/>
      <c r="AS1887" s="333"/>
      <c r="AT1887" s="333"/>
      <c r="AU1887" s="329"/>
      <c r="AV1887" s="341"/>
      <c r="AW1887" s="269" t="s">
        <v>2466</v>
      </c>
      <c r="AX1887" s="334" t="s">
        <v>2869</v>
      </c>
      <c r="AY1887" s="270" t="s">
        <v>695</v>
      </c>
      <c r="AZ1887" s="173" t="s">
        <v>5516</v>
      </c>
      <c r="BA1887" s="265">
        <v>10.0</v>
      </c>
      <c r="BB1887" s="174" t="s">
        <v>245</v>
      </c>
      <c r="BC1887" s="341"/>
      <c r="BD1887" s="308"/>
      <c r="BE1887" s="342"/>
      <c r="BF1887" s="274" t="str">
        <f>IFERROR(__xludf.DUMMYFUNCTION("LOWER(Regexreplace(to_text(E1887),""[^A-Za-z0-9]"","""")&amp;""_""&amp;Regexreplace(to_text(F1887),""[^A-Za-z0-9]"",""""))"),"neptronic_evcbseries")</f>
        <v>neptronic_evcbseries</v>
      </c>
      <c r="BG1887" s="275" t="str">
        <f>IFERROR(__xludf.DUMMYFUNCTION("upper(Regexreplace(to_text(E1887),""[^A-Za-z0-9]"","""")&amp;""-""&amp;Regexreplace(to_text(F1887),""[^A-Za-z0-9]"",""""))"),"NEPTRONIC-EVCBSERIES")</f>
        <v>NEPTRONIC-EVCBSERIES</v>
      </c>
    </row>
    <row r="1888" ht="30.0" customHeight="1">
      <c r="A1888" s="258">
        <v>1880.0</v>
      </c>
      <c r="B1888" s="328" t="s">
        <v>670</v>
      </c>
      <c r="C1888" s="257" t="s">
        <v>6979</v>
      </c>
      <c r="D1888" s="173" t="s">
        <v>6979</v>
      </c>
      <c r="E1888" s="174" t="s">
        <v>2861</v>
      </c>
      <c r="F1888" s="173" t="s">
        <v>2862</v>
      </c>
      <c r="G1888" s="328" t="s">
        <v>673</v>
      </c>
      <c r="H1888" s="328" t="s">
        <v>2863</v>
      </c>
      <c r="I1888" s="258" t="s">
        <v>2864</v>
      </c>
      <c r="J1888" s="259" t="s">
        <v>1272</v>
      </c>
      <c r="K1888" s="260"/>
      <c r="L1888" s="359"/>
      <c r="M1888" s="359"/>
      <c r="N1888" s="173" t="s">
        <v>679</v>
      </c>
      <c r="O1888" s="173" t="s">
        <v>225</v>
      </c>
      <c r="P1888" s="262" t="str">
        <f t="shared" si="1"/>
        <v>IN-BLR-ANANTA-VAV-1460_8</v>
      </c>
      <c r="Q1888" s="173" t="s">
        <v>6980</v>
      </c>
      <c r="R1888" s="328" t="str">
        <f>IFS(C1888="","",C1888="n/a","N/A",LEN(C1888),Concatenate("{",char(34),"asset",char(34),":{",char(34),"guid",char(34),":",char(34),Q1888,char(34),",",char(34),"site",char(34),":",char(34),LOWER('2-Building'!$B$4),char(34),",",char(34),"name",char(34),":",char(34),LOWER(C1888),char(34),"}}"))</f>
        <v>{"asset":{"guid":"uuid://34de397c-d33d-4def-9ce5-9f566744ccf0","site":"in-blr-ananta","name":"vav-1460"}}</v>
      </c>
      <c r="S1888" s="360" t="s">
        <v>5516</v>
      </c>
      <c r="T1888" s="330"/>
      <c r="U1888" s="330"/>
      <c r="V1888" s="331"/>
      <c r="W1888" s="332"/>
      <c r="X1888" s="333"/>
      <c r="Y1888" s="33" t="s">
        <v>2867</v>
      </c>
      <c r="Z1888" s="258">
        <v>121460.0</v>
      </c>
      <c r="AA1888" s="334">
        <v>11652.0</v>
      </c>
      <c r="AB1888" s="333"/>
      <c r="AC1888" s="333"/>
      <c r="AD1888" s="329"/>
      <c r="AE1888" s="331"/>
      <c r="AF1888" s="336"/>
      <c r="AG1888" s="337"/>
      <c r="AH1888" s="333"/>
      <c r="AI1888" s="333"/>
      <c r="AJ1888" s="333"/>
      <c r="AK1888" s="333"/>
      <c r="AL1888" s="333"/>
      <c r="AM1888" s="338"/>
      <c r="AN1888" s="333"/>
      <c r="AO1888" s="333"/>
      <c r="AP1888" s="333"/>
      <c r="AQ1888" s="333"/>
      <c r="AR1888" s="333"/>
      <c r="AS1888" s="333"/>
      <c r="AT1888" s="333"/>
      <c r="AU1888" s="329"/>
      <c r="AV1888" s="341"/>
      <c r="AW1888" s="269" t="s">
        <v>2466</v>
      </c>
      <c r="AX1888" s="334" t="s">
        <v>2869</v>
      </c>
      <c r="AY1888" s="270" t="s">
        <v>695</v>
      </c>
      <c r="AZ1888" s="173" t="s">
        <v>5516</v>
      </c>
      <c r="BA1888" s="265">
        <v>10.0</v>
      </c>
      <c r="BB1888" s="174" t="s">
        <v>245</v>
      </c>
      <c r="BC1888" s="341"/>
      <c r="BD1888" s="308"/>
      <c r="BE1888" s="342"/>
      <c r="BF1888" s="274" t="str">
        <f>IFERROR(__xludf.DUMMYFUNCTION("LOWER(Regexreplace(to_text(E1888),""[^A-Za-z0-9]"","""")&amp;""_""&amp;Regexreplace(to_text(F1888),""[^A-Za-z0-9]"",""""))"),"neptronic_evcbseries")</f>
        <v>neptronic_evcbseries</v>
      </c>
      <c r="BG1888" s="275" t="str">
        <f>IFERROR(__xludf.DUMMYFUNCTION("upper(Regexreplace(to_text(E1888),""[^A-Za-z0-9]"","""")&amp;""-""&amp;Regexreplace(to_text(F1888),""[^A-Za-z0-9]"",""""))"),"NEPTRONIC-EVCBSERIES")</f>
        <v>NEPTRONIC-EVCBSERIES</v>
      </c>
    </row>
    <row r="1889" ht="30.0" customHeight="1">
      <c r="A1889" s="173">
        <v>1881.0</v>
      </c>
      <c r="B1889" s="328" t="s">
        <v>670</v>
      </c>
      <c r="C1889" s="257" t="s">
        <v>6981</v>
      </c>
      <c r="D1889" s="173" t="s">
        <v>6981</v>
      </c>
      <c r="E1889" s="174" t="s">
        <v>2861</v>
      </c>
      <c r="F1889" s="173" t="s">
        <v>2862</v>
      </c>
      <c r="G1889" s="328" t="s">
        <v>673</v>
      </c>
      <c r="H1889" s="328" t="s">
        <v>2863</v>
      </c>
      <c r="I1889" s="258" t="s">
        <v>2864</v>
      </c>
      <c r="J1889" s="259" t="s">
        <v>1272</v>
      </c>
      <c r="K1889" s="260"/>
      <c r="L1889" s="359"/>
      <c r="M1889" s="359"/>
      <c r="N1889" s="173" t="s">
        <v>679</v>
      </c>
      <c r="O1889" s="173" t="s">
        <v>225</v>
      </c>
      <c r="P1889" s="262" t="str">
        <f t="shared" si="1"/>
        <v>IN-BLR-ANANTA-VAV-1461_8</v>
      </c>
      <c r="Q1889" s="173" t="s">
        <v>6982</v>
      </c>
      <c r="R1889" s="328" t="str">
        <f>IFS(C1889="","",C1889="n/a","N/A",LEN(C1889),Concatenate("{",char(34),"asset",char(34),":{",char(34),"guid",char(34),":",char(34),Q1889,char(34),",",char(34),"site",char(34),":",char(34),LOWER('2-Building'!$B$4),char(34),",",char(34),"name",char(34),":",char(34),LOWER(C1889),char(34),"}}"))</f>
        <v>{"asset":{"guid":"uuid://6deaad71-5c9a-4e70-b275-efa57e16dd50","site":"in-blr-ananta","name":"vav-1461"}}</v>
      </c>
      <c r="S1889" s="360" t="s">
        <v>5516</v>
      </c>
      <c r="T1889" s="330"/>
      <c r="U1889" s="330"/>
      <c r="V1889" s="331"/>
      <c r="W1889" s="332"/>
      <c r="X1889" s="333"/>
      <c r="Y1889" s="33" t="s">
        <v>2867</v>
      </c>
      <c r="Z1889" s="258">
        <v>121461.0</v>
      </c>
      <c r="AA1889" s="334">
        <v>11652.0</v>
      </c>
      <c r="AB1889" s="333"/>
      <c r="AC1889" s="333"/>
      <c r="AD1889" s="329"/>
      <c r="AE1889" s="331"/>
      <c r="AF1889" s="336"/>
      <c r="AG1889" s="337"/>
      <c r="AH1889" s="333"/>
      <c r="AI1889" s="333"/>
      <c r="AJ1889" s="333"/>
      <c r="AK1889" s="333"/>
      <c r="AL1889" s="333"/>
      <c r="AM1889" s="338"/>
      <c r="AN1889" s="333"/>
      <c r="AO1889" s="333"/>
      <c r="AP1889" s="333"/>
      <c r="AQ1889" s="333"/>
      <c r="AR1889" s="333"/>
      <c r="AS1889" s="333"/>
      <c r="AT1889" s="333"/>
      <c r="AU1889" s="329"/>
      <c r="AV1889" s="341"/>
      <c r="AW1889" s="269" t="s">
        <v>2466</v>
      </c>
      <c r="AX1889" s="334" t="s">
        <v>2869</v>
      </c>
      <c r="AY1889" s="270" t="s">
        <v>695</v>
      </c>
      <c r="AZ1889" s="173" t="s">
        <v>5516</v>
      </c>
      <c r="BA1889" s="265">
        <v>10.0</v>
      </c>
      <c r="BB1889" s="174" t="s">
        <v>245</v>
      </c>
      <c r="BC1889" s="341"/>
      <c r="BD1889" s="308"/>
      <c r="BE1889" s="342"/>
      <c r="BF1889" s="274" t="str">
        <f>IFERROR(__xludf.DUMMYFUNCTION("LOWER(Regexreplace(to_text(E1889),""[^A-Za-z0-9]"","""")&amp;""_""&amp;Regexreplace(to_text(F1889),""[^A-Za-z0-9]"",""""))"),"neptronic_evcbseries")</f>
        <v>neptronic_evcbseries</v>
      </c>
      <c r="BG1889" s="275" t="str">
        <f>IFERROR(__xludf.DUMMYFUNCTION("upper(Regexreplace(to_text(E1889),""[^A-Za-z0-9]"","""")&amp;""-""&amp;Regexreplace(to_text(F1889),""[^A-Za-z0-9]"",""""))"),"NEPTRONIC-EVCBSERIES")</f>
        <v>NEPTRONIC-EVCBSERIES</v>
      </c>
    </row>
    <row r="1890" ht="30.0" customHeight="1">
      <c r="A1890" s="258">
        <v>1882.0</v>
      </c>
      <c r="B1890" s="328" t="s">
        <v>670</v>
      </c>
      <c r="C1890" s="257" t="s">
        <v>6983</v>
      </c>
      <c r="D1890" s="173" t="s">
        <v>6983</v>
      </c>
      <c r="E1890" s="174" t="s">
        <v>2861</v>
      </c>
      <c r="F1890" s="173" t="s">
        <v>2862</v>
      </c>
      <c r="G1890" s="328" t="s">
        <v>673</v>
      </c>
      <c r="H1890" s="328" t="s">
        <v>2863</v>
      </c>
      <c r="I1890" s="258" t="s">
        <v>2864</v>
      </c>
      <c r="J1890" s="259" t="s">
        <v>1272</v>
      </c>
      <c r="K1890" s="260"/>
      <c r="L1890" s="359"/>
      <c r="M1890" s="359"/>
      <c r="N1890" s="173" t="s">
        <v>679</v>
      </c>
      <c r="O1890" s="173" t="s">
        <v>225</v>
      </c>
      <c r="P1890" s="262" t="str">
        <f t="shared" si="1"/>
        <v>IN-BLR-ANANTA-VAV-1462_8</v>
      </c>
      <c r="Q1890" s="173" t="s">
        <v>6984</v>
      </c>
      <c r="R1890" s="328" t="str">
        <f>IFS(C1890="","",C1890="n/a","N/A",LEN(C1890),Concatenate("{",char(34),"asset",char(34),":{",char(34),"guid",char(34),":",char(34),Q1890,char(34),",",char(34),"site",char(34),":",char(34),LOWER('2-Building'!$B$4),char(34),",",char(34),"name",char(34),":",char(34),LOWER(C1890),char(34),"}}"))</f>
        <v>{"asset":{"guid":"uuid://199c22e3-6291-4ce1-b72d-142603f746ba","site":"in-blr-ananta","name":"vav-1462"}}</v>
      </c>
      <c r="S1890" s="360" t="s">
        <v>5516</v>
      </c>
      <c r="T1890" s="330"/>
      <c r="U1890" s="330"/>
      <c r="V1890" s="331"/>
      <c r="W1890" s="332"/>
      <c r="X1890" s="333"/>
      <c r="Y1890" s="33" t="s">
        <v>2867</v>
      </c>
      <c r="Z1890" s="258">
        <v>121462.0</v>
      </c>
      <c r="AA1890" s="334">
        <v>11652.0</v>
      </c>
      <c r="AB1890" s="333"/>
      <c r="AC1890" s="333"/>
      <c r="AD1890" s="329"/>
      <c r="AE1890" s="331"/>
      <c r="AF1890" s="336"/>
      <c r="AG1890" s="337"/>
      <c r="AH1890" s="333"/>
      <c r="AI1890" s="333"/>
      <c r="AJ1890" s="333"/>
      <c r="AK1890" s="333"/>
      <c r="AL1890" s="333"/>
      <c r="AM1890" s="338"/>
      <c r="AN1890" s="333"/>
      <c r="AO1890" s="333"/>
      <c r="AP1890" s="333"/>
      <c r="AQ1890" s="333"/>
      <c r="AR1890" s="333"/>
      <c r="AS1890" s="333"/>
      <c r="AT1890" s="333"/>
      <c r="AU1890" s="329"/>
      <c r="AV1890" s="341"/>
      <c r="AW1890" s="269" t="s">
        <v>2466</v>
      </c>
      <c r="AX1890" s="334" t="s">
        <v>2869</v>
      </c>
      <c r="AY1890" s="270" t="s">
        <v>695</v>
      </c>
      <c r="AZ1890" s="173" t="s">
        <v>5516</v>
      </c>
      <c r="BA1890" s="265">
        <v>10.0</v>
      </c>
      <c r="BB1890" s="174" t="s">
        <v>245</v>
      </c>
      <c r="BC1890" s="341"/>
      <c r="BD1890" s="308"/>
      <c r="BE1890" s="342"/>
      <c r="BF1890" s="274" t="str">
        <f>IFERROR(__xludf.DUMMYFUNCTION("LOWER(Regexreplace(to_text(E1890),""[^A-Za-z0-9]"","""")&amp;""_""&amp;Regexreplace(to_text(F1890),""[^A-Za-z0-9]"",""""))"),"neptronic_evcbseries")</f>
        <v>neptronic_evcbseries</v>
      </c>
      <c r="BG1890" s="275" t="str">
        <f>IFERROR(__xludf.DUMMYFUNCTION("upper(Regexreplace(to_text(E1890),""[^A-Za-z0-9]"","""")&amp;""-""&amp;Regexreplace(to_text(F1890),""[^A-Za-z0-9]"",""""))"),"NEPTRONIC-EVCBSERIES")</f>
        <v>NEPTRONIC-EVCBSERIES</v>
      </c>
    </row>
    <row r="1891" ht="30.0" customHeight="1">
      <c r="A1891" s="173">
        <v>1883.0</v>
      </c>
      <c r="B1891" s="328" t="s">
        <v>670</v>
      </c>
      <c r="C1891" s="257" t="s">
        <v>6985</v>
      </c>
      <c r="D1891" s="173" t="s">
        <v>6985</v>
      </c>
      <c r="E1891" s="174" t="s">
        <v>2861</v>
      </c>
      <c r="F1891" s="173" t="s">
        <v>2862</v>
      </c>
      <c r="G1891" s="328" t="s">
        <v>673</v>
      </c>
      <c r="H1891" s="328" t="s">
        <v>2863</v>
      </c>
      <c r="I1891" s="258" t="s">
        <v>2864</v>
      </c>
      <c r="J1891" s="259" t="s">
        <v>1272</v>
      </c>
      <c r="K1891" s="260"/>
      <c r="L1891" s="359"/>
      <c r="M1891" s="359"/>
      <c r="N1891" s="173" t="s">
        <v>679</v>
      </c>
      <c r="O1891" s="173" t="s">
        <v>225</v>
      </c>
      <c r="P1891" s="262" t="str">
        <f t="shared" si="1"/>
        <v>IN-BLR-ANANTA-VAV-1463_8</v>
      </c>
      <c r="Q1891" s="173" t="s">
        <v>6986</v>
      </c>
      <c r="R1891" s="328" t="str">
        <f>IFS(C1891="","",C1891="n/a","N/A",LEN(C1891),Concatenate("{",char(34),"asset",char(34),":{",char(34),"guid",char(34),":",char(34),Q1891,char(34),",",char(34),"site",char(34),":",char(34),LOWER('2-Building'!$B$4),char(34),",",char(34),"name",char(34),":",char(34),LOWER(C1891),char(34),"}}"))</f>
        <v>{"asset":{"guid":"uuid://de250d12-eb82-4c33-ab19-54ca9fd560d4","site":"in-blr-ananta","name":"vav-1463"}}</v>
      </c>
      <c r="S1891" s="360" t="s">
        <v>5516</v>
      </c>
      <c r="T1891" s="330"/>
      <c r="U1891" s="330"/>
      <c r="V1891" s="331"/>
      <c r="W1891" s="332"/>
      <c r="X1891" s="333"/>
      <c r="Y1891" s="33" t="s">
        <v>2867</v>
      </c>
      <c r="Z1891" s="258">
        <v>121463.0</v>
      </c>
      <c r="AA1891" s="334">
        <v>11652.0</v>
      </c>
      <c r="AB1891" s="333"/>
      <c r="AC1891" s="333"/>
      <c r="AD1891" s="329"/>
      <c r="AE1891" s="331"/>
      <c r="AF1891" s="336"/>
      <c r="AG1891" s="337"/>
      <c r="AH1891" s="333"/>
      <c r="AI1891" s="333"/>
      <c r="AJ1891" s="333"/>
      <c r="AK1891" s="333"/>
      <c r="AL1891" s="333"/>
      <c r="AM1891" s="338"/>
      <c r="AN1891" s="333"/>
      <c r="AO1891" s="333"/>
      <c r="AP1891" s="333"/>
      <c r="AQ1891" s="333"/>
      <c r="AR1891" s="333"/>
      <c r="AS1891" s="333"/>
      <c r="AT1891" s="333"/>
      <c r="AU1891" s="329"/>
      <c r="AV1891" s="341"/>
      <c r="AW1891" s="269" t="s">
        <v>2466</v>
      </c>
      <c r="AX1891" s="334" t="s">
        <v>2869</v>
      </c>
      <c r="AY1891" s="270" t="s">
        <v>695</v>
      </c>
      <c r="AZ1891" s="173" t="s">
        <v>5516</v>
      </c>
      <c r="BA1891" s="265">
        <v>10.0</v>
      </c>
      <c r="BB1891" s="174" t="s">
        <v>245</v>
      </c>
      <c r="BC1891" s="341"/>
      <c r="BD1891" s="308"/>
      <c r="BE1891" s="342"/>
      <c r="BF1891" s="274" t="str">
        <f>IFERROR(__xludf.DUMMYFUNCTION("LOWER(Regexreplace(to_text(E1891),""[^A-Za-z0-9]"","""")&amp;""_""&amp;Regexreplace(to_text(F1891),""[^A-Za-z0-9]"",""""))"),"neptronic_evcbseries")</f>
        <v>neptronic_evcbseries</v>
      </c>
      <c r="BG1891" s="275" t="str">
        <f>IFERROR(__xludf.DUMMYFUNCTION("upper(Regexreplace(to_text(E1891),""[^A-Za-z0-9]"","""")&amp;""-""&amp;Regexreplace(to_text(F1891),""[^A-Za-z0-9]"",""""))"),"NEPTRONIC-EVCBSERIES")</f>
        <v>NEPTRONIC-EVCBSERIES</v>
      </c>
    </row>
    <row r="1892" ht="30.0" customHeight="1">
      <c r="A1892" s="258">
        <v>1884.0</v>
      </c>
      <c r="B1892" s="328" t="s">
        <v>670</v>
      </c>
      <c r="C1892" s="257" t="s">
        <v>6987</v>
      </c>
      <c r="D1892" s="173" t="s">
        <v>6987</v>
      </c>
      <c r="E1892" s="174" t="s">
        <v>2861</v>
      </c>
      <c r="F1892" s="173" t="s">
        <v>2862</v>
      </c>
      <c r="G1892" s="328" t="s">
        <v>673</v>
      </c>
      <c r="H1892" s="328" t="s">
        <v>2863</v>
      </c>
      <c r="I1892" s="258" t="s">
        <v>2864</v>
      </c>
      <c r="J1892" s="259" t="s">
        <v>1272</v>
      </c>
      <c r="K1892" s="260"/>
      <c r="L1892" s="359"/>
      <c r="M1892" s="359"/>
      <c r="N1892" s="173" t="s">
        <v>679</v>
      </c>
      <c r="O1892" s="173" t="s">
        <v>225</v>
      </c>
      <c r="P1892" s="262" t="str">
        <f t="shared" si="1"/>
        <v>IN-BLR-ANANTA-VAV-1464_8</v>
      </c>
      <c r="Q1892" s="173" t="s">
        <v>6988</v>
      </c>
      <c r="R1892" s="328" t="str">
        <f>IFS(C1892="","",C1892="n/a","N/A",LEN(C1892),Concatenate("{",char(34),"asset",char(34),":{",char(34),"guid",char(34),":",char(34),Q1892,char(34),",",char(34),"site",char(34),":",char(34),LOWER('2-Building'!$B$4),char(34),",",char(34),"name",char(34),":",char(34),LOWER(C1892),char(34),"}}"))</f>
        <v>{"asset":{"guid":"uuid://2782856e-93f0-4da3-8681-110032edb173","site":"in-blr-ananta","name":"vav-1464"}}</v>
      </c>
      <c r="S1892" s="360" t="s">
        <v>5516</v>
      </c>
      <c r="T1892" s="330"/>
      <c r="U1892" s="330"/>
      <c r="V1892" s="331"/>
      <c r="W1892" s="332"/>
      <c r="X1892" s="333"/>
      <c r="Y1892" s="33" t="s">
        <v>2867</v>
      </c>
      <c r="Z1892" s="258">
        <v>121464.0</v>
      </c>
      <c r="AA1892" s="334">
        <v>11652.0</v>
      </c>
      <c r="AB1892" s="333"/>
      <c r="AC1892" s="333"/>
      <c r="AD1892" s="329"/>
      <c r="AE1892" s="331"/>
      <c r="AF1892" s="336"/>
      <c r="AG1892" s="337"/>
      <c r="AH1892" s="333"/>
      <c r="AI1892" s="333"/>
      <c r="AJ1892" s="333"/>
      <c r="AK1892" s="333"/>
      <c r="AL1892" s="333"/>
      <c r="AM1892" s="338"/>
      <c r="AN1892" s="333"/>
      <c r="AO1892" s="333"/>
      <c r="AP1892" s="333"/>
      <c r="AQ1892" s="333"/>
      <c r="AR1892" s="333"/>
      <c r="AS1892" s="333"/>
      <c r="AT1892" s="333"/>
      <c r="AU1892" s="329"/>
      <c r="AV1892" s="341"/>
      <c r="AW1892" s="269" t="s">
        <v>2466</v>
      </c>
      <c r="AX1892" s="334" t="s">
        <v>2869</v>
      </c>
      <c r="AY1892" s="270" t="s">
        <v>695</v>
      </c>
      <c r="AZ1892" s="173" t="s">
        <v>5516</v>
      </c>
      <c r="BA1892" s="265">
        <v>10.0</v>
      </c>
      <c r="BB1892" s="174" t="s">
        <v>245</v>
      </c>
      <c r="BC1892" s="341"/>
      <c r="BD1892" s="308"/>
      <c r="BE1892" s="342"/>
      <c r="BF1892" s="274" t="str">
        <f>IFERROR(__xludf.DUMMYFUNCTION("LOWER(Regexreplace(to_text(E1892),""[^A-Za-z0-9]"","""")&amp;""_""&amp;Regexreplace(to_text(F1892),""[^A-Za-z0-9]"",""""))"),"neptronic_evcbseries")</f>
        <v>neptronic_evcbseries</v>
      </c>
      <c r="BG1892" s="275" t="str">
        <f>IFERROR(__xludf.DUMMYFUNCTION("upper(Regexreplace(to_text(E1892),""[^A-Za-z0-9]"","""")&amp;""-""&amp;Regexreplace(to_text(F1892),""[^A-Za-z0-9]"",""""))"),"NEPTRONIC-EVCBSERIES")</f>
        <v>NEPTRONIC-EVCBSERIES</v>
      </c>
    </row>
    <row r="1893" ht="30.0" customHeight="1">
      <c r="A1893" s="173">
        <v>1885.0</v>
      </c>
      <c r="B1893" s="328" t="s">
        <v>670</v>
      </c>
      <c r="C1893" s="257" t="s">
        <v>6989</v>
      </c>
      <c r="D1893" s="173" t="s">
        <v>6989</v>
      </c>
      <c r="E1893" s="174" t="s">
        <v>2861</v>
      </c>
      <c r="F1893" s="173" t="s">
        <v>2862</v>
      </c>
      <c r="G1893" s="328" t="s">
        <v>673</v>
      </c>
      <c r="H1893" s="328" t="s">
        <v>2863</v>
      </c>
      <c r="I1893" s="258" t="s">
        <v>2864</v>
      </c>
      <c r="J1893" s="259" t="s">
        <v>1272</v>
      </c>
      <c r="K1893" s="260"/>
      <c r="L1893" s="359"/>
      <c r="M1893" s="359"/>
      <c r="N1893" s="173" t="s">
        <v>679</v>
      </c>
      <c r="O1893" s="173" t="s">
        <v>225</v>
      </c>
      <c r="P1893" s="262" t="str">
        <f t="shared" si="1"/>
        <v>IN-BLR-ANANTA-VAV-1465_8</v>
      </c>
      <c r="Q1893" s="173" t="s">
        <v>6990</v>
      </c>
      <c r="R1893" s="328" t="str">
        <f>IFS(C1893="","",C1893="n/a","N/A",LEN(C1893),Concatenate("{",char(34),"asset",char(34),":{",char(34),"guid",char(34),":",char(34),Q1893,char(34),",",char(34),"site",char(34),":",char(34),LOWER('2-Building'!$B$4),char(34),",",char(34),"name",char(34),":",char(34),LOWER(C1893),char(34),"}}"))</f>
        <v>{"asset":{"guid":"uuid://356bd6c5-3e64-40ca-805a-a1a880ab4efd","site":"in-blr-ananta","name":"vav-1465"}}</v>
      </c>
      <c r="S1893" s="360" t="s">
        <v>5516</v>
      </c>
      <c r="T1893" s="330"/>
      <c r="U1893" s="330"/>
      <c r="V1893" s="331"/>
      <c r="W1893" s="332"/>
      <c r="X1893" s="333"/>
      <c r="Y1893" s="33" t="s">
        <v>2867</v>
      </c>
      <c r="Z1893" s="258">
        <v>121465.0</v>
      </c>
      <c r="AA1893" s="334">
        <v>11652.0</v>
      </c>
      <c r="AB1893" s="333"/>
      <c r="AC1893" s="333"/>
      <c r="AD1893" s="329"/>
      <c r="AE1893" s="331"/>
      <c r="AF1893" s="336"/>
      <c r="AG1893" s="337"/>
      <c r="AH1893" s="333"/>
      <c r="AI1893" s="333"/>
      <c r="AJ1893" s="333"/>
      <c r="AK1893" s="333"/>
      <c r="AL1893" s="333"/>
      <c r="AM1893" s="338"/>
      <c r="AN1893" s="333"/>
      <c r="AO1893" s="333"/>
      <c r="AP1893" s="333"/>
      <c r="AQ1893" s="333"/>
      <c r="AR1893" s="333"/>
      <c r="AS1893" s="333"/>
      <c r="AT1893" s="333"/>
      <c r="AU1893" s="329"/>
      <c r="AV1893" s="341"/>
      <c r="AW1893" s="269" t="s">
        <v>2466</v>
      </c>
      <c r="AX1893" s="334" t="s">
        <v>2869</v>
      </c>
      <c r="AY1893" s="270" t="s">
        <v>695</v>
      </c>
      <c r="AZ1893" s="173" t="s">
        <v>5516</v>
      </c>
      <c r="BA1893" s="265">
        <v>10.0</v>
      </c>
      <c r="BB1893" s="174" t="s">
        <v>245</v>
      </c>
      <c r="BC1893" s="341"/>
      <c r="BD1893" s="308"/>
      <c r="BE1893" s="342"/>
      <c r="BF1893" s="274" t="str">
        <f>IFERROR(__xludf.DUMMYFUNCTION("LOWER(Regexreplace(to_text(E1893),""[^A-Za-z0-9]"","""")&amp;""_""&amp;Regexreplace(to_text(F1893),""[^A-Za-z0-9]"",""""))"),"neptronic_evcbseries")</f>
        <v>neptronic_evcbseries</v>
      </c>
      <c r="BG1893" s="275" t="str">
        <f>IFERROR(__xludf.DUMMYFUNCTION("upper(Regexreplace(to_text(E1893),""[^A-Za-z0-9]"","""")&amp;""-""&amp;Regexreplace(to_text(F1893),""[^A-Za-z0-9]"",""""))"),"NEPTRONIC-EVCBSERIES")</f>
        <v>NEPTRONIC-EVCBSERIES</v>
      </c>
    </row>
    <row r="1894" ht="30.0" customHeight="1">
      <c r="A1894" s="258">
        <v>1886.0</v>
      </c>
      <c r="B1894" s="328" t="s">
        <v>670</v>
      </c>
      <c r="C1894" s="257" t="s">
        <v>6991</v>
      </c>
      <c r="D1894" s="173" t="s">
        <v>6991</v>
      </c>
      <c r="E1894" s="174" t="s">
        <v>2861</v>
      </c>
      <c r="F1894" s="173" t="s">
        <v>2862</v>
      </c>
      <c r="G1894" s="328" t="s">
        <v>673</v>
      </c>
      <c r="H1894" s="328" t="s">
        <v>2863</v>
      </c>
      <c r="I1894" s="258" t="s">
        <v>2864</v>
      </c>
      <c r="J1894" s="259" t="s">
        <v>1272</v>
      </c>
      <c r="K1894" s="260"/>
      <c r="L1894" s="359"/>
      <c r="M1894" s="359"/>
      <c r="N1894" s="173" t="s">
        <v>679</v>
      </c>
      <c r="O1894" s="173" t="s">
        <v>225</v>
      </c>
      <c r="P1894" s="262" t="str">
        <f t="shared" si="1"/>
        <v>IN-BLR-ANANTA-VAV-1466_8</v>
      </c>
      <c r="Q1894" s="173" t="s">
        <v>6992</v>
      </c>
      <c r="R1894" s="328" t="str">
        <f>IFS(C1894="","",C1894="n/a","N/A",LEN(C1894),Concatenate("{",char(34),"asset",char(34),":{",char(34),"guid",char(34),":",char(34),Q1894,char(34),",",char(34),"site",char(34),":",char(34),LOWER('2-Building'!$B$4),char(34),",",char(34),"name",char(34),":",char(34),LOWER(C1894),char(34),"}}"))</f>
        <v>{"asset":{"guid":"uuid://543a7ce0-a8ce-4df6-82dc-84483e76ea60","site":"in-blr-ananta","name":"vav-1466"}}</v>
      </c>
      <c r="S1894" s="360" t="s">
        <v>5516</v>
      </c>
      <c r="T1894" s="330"/>
      <c r="U1894" s="330"/>
      <c r="V1894" s="331"/>
      <c r="W1894" s="332"/>
      <c r="X1894" s="333"/>
      <c r="Y1894" s="33" t="s">
        <v>2867</v>
      </c>
      <c r="Z1894" s="258">
        <v>121466.0</v>
      </c>
      <c r="AA1894" s="334">
        <v>11652.0</v>
      </c>
      <c r="AB1894" s="333"/>
      <c r="AC1894" s="333"/>
      <c r="AD1894" s="329"/>
      <c r="AE1894" s="331"/>
      <c r="AF1894" s="336"/>
      <c r="AG1894" s="337"/>
      <c r="AH1894" s="333"/>
      <c r="AI1894" s="333"/>
      <c r="AJ1894" s="333"/>
      <c r="AK1894" s="333"/>
      <c r="AL1894" s="333"/>
      <c r="AM1894" s="338"/>
      <c r="AN1894" s="333"/>
      <c r="AO1894" s="333"/>
      <c r="AP1894" s="333"/>
      <c r="AQ1894" s="333"/>
      <c r="AR1894" s="333"/>
      <c r="AS1894" s="333"/>
      <c r="AT1894" s="333"/>
      <c r="AU1894" s="329"/>
      <c r="AV1894" s="341"/>
      <c r="AW1894" s="269" t="s">
        <v>2466</v>
      </c>
      <c r="AX1894" s="334" t="s">
        <v>2869</v>
      </c>
      <c r="AY1894" s="270" t="s">
        <v>695</v>
      </c>
      <c r="AZ1894" s="173" t="s">
        <v>5516</v>
      </c>
      <c r="BA1894" s="265">
        <v>10.0</v>
      </c>
      <c r="BB1894" s="174" t="s">
        <v>245</v>
      </c>
      <c r="BC1894" s="341"/>
      <c r="BD1894" s="308"/>
      <c r="BE1894" s="342"/>
      <c r="BF1894" s="274" t="str">
        <f>IFERROR(__xludf.DUMMYFUNCTION("LOWER(Regexreplace(to_text(E1894),""[^A-Za-z0-9]"","""")&amp;""_""&amp;Regexreplace(to_text(F1894),""[^A-Za-z0-9]"",""""))"),"neptronic_evcbseries")</f>
        <v>neptronic_evcbseries</v>
      </c>
      <c r="BG1894" s="275" t="str">
        <f>IFERROR(__xludf.DUMMYFUNCTION("upper(Regexreplace(to_text(E1894),""[^A-Za-z0-9]"","""")&amp;""-""&amp;Regexreplace(to_text(F1894),""[^A-Za-z0-9]"",""""))"),"NEPTRONIC-EVCBSERIES")</f>
        <v>NEPTRONIC-EVCBSERIES</v>
      </c>
    </row>
    <row r="1895" ht="30.0" customHeight="1">
      <c r="A1895" s="173">
        <v>1887.0</v>
      </c>
      <c r="B1895" s="328" t="s">
        <v>670</v>
      </c>
      <c r="C1895" s="257" t="s">
        <v>6993</v>
      </c>
      <c r="D1895" s="173" t="s">
        <v>6993</v>
      </c>
      <c r="E1895" s="174" t="s">
        <v>2861</v>
      </c>
      <c r="F1895" s="173" t="s">
        <v>2862</v>
      </c>
      <c r="G1895" s="328" t="s">
        <v>673</v>
      </c>
      <c r="H1895" s="328" t="s">
        <v>2863</v>
      </c>
      <c r="I1895" s="258" t="s">
        <v>2864</v>
      </c>
      <c r="J1895" s="259" t="s">
        <v>1272</v>
      </c>
      <c r="K1895" s="260"/>
      <c r="L1895" s="359"/>
      <c r="M1895" s="359"/>
      <c r="N1895" s="173" t="s">
        <v>679</v>
      </c>
      <c r="O1895" s="173" t="s">
        <v>225</v>
      </c>
      <c r="P1895" s="262" t="str">
        <f t="shared" si="1"/>
        <v>IN-BLR-ANANTA-VAV-1467_8</v>
      </c>
      <c r="Q1895" s="173" t="s">
        <v>6994</v>
      </c>
      <c r="R1895" s="328" t="str">
        <f>IFS(C1895="","",C1895="n/a","N/A",LEN(C1895),Concatenate("{",char(34),"asset",char(34),":{",char(34),"guid",char(34),":",char(34),Q1895,char(34),",",char(34),"site",char(34),":",char(34),LOWER('2-Building'!$B$4),char(34),",",char(34),"name",char(34),":",char(34),LOWER(C1895),char(34),"}}"))</f>
        <v>{"asset":{"guid":"uuid://d7d72243-4305-496b-80d0-be7c6c26714d","site":"in-blr-ananta","name":"vav-1467"}}</v>
      </c>
      <c r="S1895" s="360" t="s">
        <v>5516</v>
      </c>
      <c r="T1895" s="330"/>
      <c r="U1895" s="330"/>
      <c r="V1895" s="331"/>
      <c r="W1895" s="332"/>
      <c r="X1895" s="333"/>
      <c r="Y1895" s="33" t="s">
        <v>2867</v>
      </c>
      <c r="Z1895" s="258">
        <v>121467.0</v>
      </c>
      <c r="AA1895" s="334">
        <v>11652.0</v>
      </c>
      <c r="AB1895" s="333"/>
      <c r="AC1895" s="333"/>
      <c r="AD1895" s="329"/>
      <c r="AE1895" s="331"/>
      <c r="AF1895" s="336"/>
      <c r="AG1895" s="337"/>
      <c r="AH1895" s="333"/>
      <c r="AI1895" s="333"/>
      <c r="AJ1895" s="333"/>
      <c r="AK1895" s="333"/>
      <c r="AL1895" s="333"/>
      <c r="AM1895" s="338"/>
      <c r="AN1895" s="333"/>
      <c r="AO1895" s="333"/>
      <c r="AP1895" s="333"/>
      <c r="AQ1895" s="333"/>
      <c r="AR1895" s="333"/>
      <c r="AS1895" s="333"/>
      <c r="AT1895" s="333"/>
      <c r="AU1895" s="329"/>
      <c r="AV1895" s="341"/>
      <c r="AW1895" s="269" t="s">
        <v>2466</v>
      </c>
      <c r="AX1895" s="334" t="s">
        <v>2869</v>
      </c>
      <c r="AY1895" s="270" t="s">
        <v>695</v>
      </c>
      <c r="AZ1895" s="173" t="s">
        <v>5516</v>
      </c>
      <c r="BA1895" s="265">
        <v>10.0</v>
      </c>
      <c r="BB1895" s="174" t="s">
        <v>245</v>
      </c>
      <c r="BC1895" s="341"/>
      <c r="BD1895" s="308"/>
      <c r="BE1895" s="342"/>
      <c r="BF1895" s="274" t="str">
        <f>IFERROR(__xludf.DUMMYFUNCTION("LOWER(Regexreplace(to_text(E1895),""[^A-Za-z0-9]"","""")&amp;""_""&amp;Regexreplace(to_text(F1895),""[^A-Za-z0-9]"",""""))"),"neptronic_evcbseries")</f>
        <v>neptronic_evcbseries</v>
      </c>
      <c r="BG1895" s="275" t="str">
        <f>IFERROR(__xludf.DUMMYFUNCTION("upper(Regexreplace(to_text(E1895),""[^A-Za-z0-9]"","""")&amp;""-""&amp;Regexreplace(to_text(F1895),""[^A-Za-z0-9]"",""""))"),"NEPTRONIC-EVCBSERIES")</f>
        <v>NEPTRONIC-EVCBSERIES</v>
      </c>
    </row>
    <row r="1896" ht="30.0" customHeight="1">
      <c r="A1896" s="258">
        <v>1888.0</v>
      </c>
      <c r="B1896" s="328" t="s">
        <v>670</v>
      </c>
      <c r="C1896" s="257" t="s">
        <v>6995</v>
      </c>
      <c r="D1896" s="173" t="s">
        <v>6995</v>
      </c>
      <c r="E1896" s="174" t="s">
        <v>2861</v>
      </c>
      <c r="F1896" s="173" t="s">
        <v>2862</v>
      </c>
      <c r="G1896" s="328" t="s">
        <v>673</v>
      </c>
      <c r="H1896" s="328" t="s">
        <v>2863</v>
      </c>
      <c r="I1896" s="258" t="s">
        <v>2864</v>
      </c>
      <c r="J1896" s="259" t="s">
        <v>1272</v>
      </c>
      <c r="K1896" s="260"/>
      <c r="L1896" s="359"/>
      <c r="M1896" s="359"/>
      <c r="N1896" s="173" t="s">
        <v>679</v>
      </c>
      <c r="O1896" s="173" t="s">
        <v>225</v>
      </c>
      <c r="P1896" s="262" t="str">
        <f t="shared" si="1"/>
        <v>IN-BLR-ANANTA-VAV-1468_8</v>
      </c>
      <c r="Q1896" s="173" t="s">
        <v>6996</v>
      </c>
      <c r="R1896" s="328" t="str">
        <f>IFS(C1896="","",C1896="n/a","N/A",LEN(C1896),Concatenate("{",char(34),"asset",char(34),":{",char(34),"guid",char(34),":",char(34),Q1896,char(34),",",char(34),"site",char(34),":",char(34),LOWER('2-Building'!$B$4),char(34),",",char(34),"name",char(34),":",char(34),LOWER(C1896),char(34),"}}"))</f>
        <v>{"asset":{"guid":"uuid://6a94cd8a-53ec-4d92-b80f-09b6113ab59c","site":"in-blr-ananta","name":"vav-1468"}}</v>
      </c>
      <c r="S1896" s="360" t="s">
        <v>5516</v>
      </c>
      <c r="T1896" s="330"/>
      <c r="U1896" s="330"/>
      <c r="V1896" s="331"/>
      <c r="W1896" s="332"/>
      <c r="X1896" s="333"/>
      <c r="Y1896" s="33" t="s">
        <v>2867</v>
      </c>
      <c r="Z1896" s="258">
        <v>121468.0</v>
      </c>
      <c r="AA1896" s="334">
        <v>11652.0</v>
      </c>
      <c r="AB1896" s="333"/>
      <c r="AC1896" s="333"/>
      <c r="AD1896" s="329"/>
      <c r="AE1896" s="331"/>
      <c r="AF1896" s="336"/>
      <c r="AG1896" s="337"/>
      <c r="AH1896" s="333"/>
      <c r="AI1896" s="333"/>
      <c r="AJ1896" s="333"/>
      <c r="AK1896" s="333"/>
      <c r="AL1896" s="333"/>
      <c r="AM1896" s="338"/>
      <c r="AN1896" s="333"/>
      <c r="AO1896" s="333"/>
      <c r="AP1896" s="333"/>
      <c r="AQ1896" s="333"/>
      <c r="AR1896" s="333"/>
      <c r="AS1896" s="333"/>
      <c r="AT1896" s="333"/>
      <c r="AU1896" s="329"/>
      <c r="AV1896" s="341"/>
      <c r="AW1896" s="269" t="s">
        <v>2466</v>
      </c>
      <c r="AX1896" s="334" t="s">
        <v>2869</v>
      </c>
      <c r="AY1896" s="270" t="s">
        <v>695</v>
      </c>
      <c r="AZ1896" s="173" t="s">
        <v>5516</v>
      </c>
      <c r="BA1896" s="265">
        <v>10.0</v>
      </c>
      <c r="BB1896" s="174" t="s">
        <v>245</v>
      </c>
      <c r="BC1896" s="341"/>
      <c r="BD1896" s="308"/>
      <c r="BE1896" s="342"/>
      <c r="BF1896" s="274" t="str">
        <f>IFERROR(__xludf.DUMMYFUNCTION("LOWER(Regexreplace(to_text(E1896),""[^A-Za-z0-9]"","""")&amp;""_""&amp;Regexreplace(to_text(F1896),""[^A-Za-z0-9]"",""""))"),"neptronic_evcbseries")</f>
        <v>neptronic_evcbseries</v>
      </c>
      <c r="BG1896" s="275" t="str">
        <f>IFERROR(__xludf.DUMMYFUNCTION("upper(Regexreplace(to_text(E1896),""[^A-Za-z0-9]"","""")&amp;""-""&amp;Regexreplace(to_text(F1896),""[^A-Za-z0-9]"",""""))"),"NEPTRONIC-EVCBSERIES")</f>
        <v>NEPTRONIC-EVCBSERIES</v>
      </c>
    </row>
    <row r="1897" ht="30.0" customHeight="1">
      <c r="A1897" s="173">
        <v>1889.0</v>
      </c>
      <c r="B1897" s="328" t="s">
        <v>670</v>
      </c>
      <c r="C1897" s="257" t="s">
        <v>6997</v>
      </c>
      <c r="D1897" s="173" t="s">
        <v>6997</v>
      </c>
      <c r="E1897" s="174" t="s">
        <v>2861</v>
      </c>
      <c r="F1897" s="173" t="s">
        <v>2862</v>
      </c>
      <c r="G1897" s="328" t="s">
        <v>673</v>
      </c>
      <c r="H1897" s="328" t="s">
        <v>2863</v>
      </c>
      <c r="I1897" s="258" t="s">
        <v>2864</v>
      </c>
      <c r="J1897" s="259" t="s">
        <v>1272</v>
      </c>
      <c r="K1897" s="260"/>
      <c r="L1897" s="359"/>
      <c r="M1897" s="359"/>
      <c r="N1897" s="173" t="s">
        <v>679</v>
      </c>
      <c r="O1897" s="173" t="s">
        <v>225</v>
      </c>
      <c r="P1897" s="262" t="str">
        <f t="shared" si="1"/>
        <v>IN-BLR-ANANTA-VAV-1469_8</v>
      </c>
      <c r="Q1897" s="173" t="s">
        <v>6998</v>
      </c>
      <c r="R1897" s="328" t="str">
        <f>IFS(C1897="","",C1897="n/a","N/A",LEN(C1897),Concatenate("{",char(34),"asset",char(34),":{",char(34),"guid",char(34),":",char(34),Q1897,char(34),",",char(34),"site",char(34),":",char(34),LOWER('2-Building'!$B$4),char(34),",",char(34),"name",char(34),":",char(34),LOWER(C1897),char(34),"}}"))</f>
        <v>{"asset":{"guid":"uuid://c2a13b27-14cf-4e69-86bd-88b6fb3d29b7","site":"in-blr-ananta","name":"vav-1469"}}</v>
      </c>
      <c r="S1897" s="360" t="s">
        <v>5516</v>
      </c>
      <c r="T1897" s="330"/>
      <c r="U1897" s="330"/>
      <c r="V1897" s="331"/>
      <c r="W1897" s="332"/>
      <c r="X1897" s="333"/>
      <c r="Y1897" s="33" t="s">
        <v>2867</v>
      </c>
      <c r="Z1897" s="258">
        <v>121469.0</v>
      </c>
      <c r="AA1897" s="334">
        <v>11652.0</v>
      </c>
      <c r="AB1897" s="333"/>
      <c r="AC1897" s="333"/>
      <c r="AD1897" s="329"/>
      <c r="AE1897" s="331"/>
      <c r="AF1897" s="336"/>
      <c r="AG1897" s="337"/>
      <c r="AH1897" s="333"/>
      <c r="AI1897" s="333"/>
      <c r="AJ1897" s="333"/>
      <c r="AK1897" s="333"/>
      <c r="AL1897" s="333"/>
      <c r="AM1897" s="338"/>
      <c r="AN1897" s="333"/>
      <c r="AO1897" s="333"/>
      <c r="AP1897" s="333"/>
      <c r="AQ1897" s="333"/>
      <c r="AR1897" s="333"/>
      <c r="AS1897" s="333"/>
      <c r="AT1897" s="333"/>
      <c r="AU1897" s="329"/>
      <c r="AV1897" s="341"/>
      <c r="AW1897" s="269" t="s">
        <v>2466</v>
      </c>
      <c r="AX1897" s="334" t="s">
        <v>2869</v>
      </c>
      <c r="AY1897" s="270" t="s">
        <v>695</v>
      </c>
      <c r="AZ1897" s="173" t="s">
        <v>5516</v>
      </c>
      <c r="BA1897" s="265">
        <v>10.0</v>
      </c>
      <c r="BB1897" s="174" t="s">
        <v>245</v>
      </c>
      <c r="BC1897" s="341"/>
      <c r="BD1897" s="308"/>
      <c r="BE1897" s="342"/>
      <c r="BF1897" s="274" t="str">
        <f>IFERROR(__xludf.DUMMYFUNCTION("LOWER(Regexreplace(to_text(E1897),""[^A-Za-z0-9]"","""")&amp;""_""&amp;Regexreplace(to_text(F1897),""[^A-Za-z0-9]"",""""))"),"neptronic_evcbseries")</f>
        <v>neptronic_evcbseries</v>
      </c>
      <c r="BG1897" s="275" t="str">
        <f>IFERROR(__xludf.DUMMYFUNCTION("upper(Regexreplace(to_text(E1897),""[^A-Za-z0-9]"","""")&amp;""-""&amp;Regexreplace(to_text(F1897),""[^A-Za-z0-9]"",""""))"),"NEPTRONIC-EVCBSERIES")</f>
        <v>NEPTRONIC-EVCBSERIES</v>
      </c>
    </row>
    <row r="1898" ht="30.0" customHeight="1">
      <c r="A1898" s="258">
        <v>1890.0</v>
      </c>
      <c r="B1898" s="328" t="s">
        <v>670</v>
      </c>
      <c r="C1898" s="257" t="s">
        <v>6999</v>
      </c>
      <c r="D1898" s="173" t="s">
        <v>6999</v>
      </c>
      <c r="E1898" s="174" t="s">
        <v>2861</v>
      </c>
      <c r="F1898" s="173" t="s">
        <v>2862</v>
      </c>
      <c r="G1898" s="328" t="s">
        <v>673</v>
      </c>
      <c r="H1898" s="328" t="s">
        <v>2863</v>
      </c>
      <c r="I1898" s="258" t="s">
        <v>2864</v>
      </c>
      <c r="J1898" s="259" t="s">
        <v>1272</v>
      </c>
      <c r="K1898" s="260"/>
      <c r="L1898" s="359"/>
      <c r="M1898" s="359"/>
      <c r="N1898" s="173" t="s">
        <v>679</v>
      </c>
      <c r="O1898" s="173" t="s">
        <v>225</v>
      </c>
      <c r="P1898" s="262" t="str">
        <f t="shared" si="1"/>
        <v>IN-BLR-ANANTA-VAV-1470_8</v>
      </c>
      <c r="Q1898" s="173" t="s">
        <v>7000</v>
      </c>
      <c r="R1898" s="328" t="str">
        <f>IFS(C1898="","",C1898="n/a","N/A",LEN(C1898),Concatenate("{",char(34),"asset",char(34),":{",char(34),"guid",char(34),":",char(34),Q1898,char(34),",",char(34),"site",char(34),":",char(34),LOWER('2-Building'!$B$4),char(34),",",char(34),"name",char(34),":",char(34),LOWER(C1898),char(34),"}}"))</f>
        <v>{"asset":{"guid":"uuid://af17cbdc-f292-4544-a688-13a1cb53b3d4","site":"in-blr-ananta","name":"vav-1470"}}</v>
      </c>
      <c r="S1898" s="360" t="s">
        <v>5516</v>
      </c>
      <c r="T1898" s="330"/>
      <c r="U1898" s="330"/>
      <c r="V1898" s="331"/>
      <c r="W1898" s="332"/>
      <c r="X1898" s="333"/>
      <c r="Y1898" s="33" t="s">
        <v>2867</v>
      </c>
      <c r="Z1898" s="258">
        <v>121470.0</v>
      </c>
      <c r="AA1898" s="334">
        <v>11652.0</v>
      </c>
      <c r="AB1898" s="333"/>
      <c r="AC1898" s="333"/>
      <c r="AD1898" s="329"/>
      <c r="AE1898" s="331"/>
      <c r="AF1898" s="336"/>
      <c r="AG1898" s="337"/>
      <c r="AH1898" s="333"/>
      <c r="AI1898" s="333"/>
      <c r="AJ1898" s="333"/>
      <c r="AK1898" s="333"/>
      <c r="AL1898" s="333"/>
      <c r="AM1898" s="338"/>
      <c r="AN1898" s="333"/>
      <c r="AO1898" s="333"/>
      <c r="AP1898" s="333"/>
      <c r="AQ1898" s="333"/>
      <c r="AR1898" s="333"/>
      <c r="AS1898" s="333"/>
      <c r="AT1898" s="333"/>
      <c r="AU1898" s="329"/>
      <c r="AV1898" s="341"/>
      <c r="AW1898" s="269" t="s">
        <v>2466</v>
      </c>
      <c r="AX1898" s="334" t="s">
        <v>2869</v>
      </c>
      <c r="AY1898" s="270" t="s">
        <v>695</v>
      </c>
      <c r="AZ1898" s="173" t="s">
        <v>5516</v>
      </c>
      <c r="BA1898" s="265">
        <v>10.0</v>
      </c>
      <c r="BB1898" s="174" t="s">
        <v>245</v>
      </c>
      <c r="BC1898" s="341"/>
      <c r="BD1898" s="308"/>
      <c r="BE1898" s="342"/>
      <c r="BF1898" s="274" t="str">
        <f>IFERROR(__xludf.DUMMYFUNCTION("LOWER(Regexreplace(to_text(E1898),""[^A-Za-z0-9]"","""")&amp;""_""&amp;Regexreplace(to_text(F1898),""[^A-Za-z0-9]"",""""))"),"neptronic_evcbseries")</f>
        <v>neptronic_evcbseries</v>
      </c>
      <c r="BG1898" s="275" t="str">
        <f>IFERROR(__xludf.DUMMYFUNCTION("upper(Regexreplace(to_text(E1898),""[^A-Za-z0-9]"","""")&amp;""-""&amp;Regexreplace(to_text(F1898),""[^A-Za-z0-9]"",""""))"),"NEPTRONIC-EVCBSERIES")</f>
        <v>NEPTRONIC-EVCBSERIES</v>
      </c>
    </row>
    <row r="1899" ht="30.0" customHeight="1">
      <c r="A1899" s="173">
        <v>1891.0</v>
      </c>
      <c r="B1899" s="328" t="s">
        <v>670</v>
      </c>
      <c r="C1899" s="257" t="s">
        <v>7001</v>
      </c>
      <c r="D1899" s="173" t="s">
        <v>7001</v>
      </c>
      <c r="E1899" s="174" t="s">
        <v>2861</v>
      </c>
      <c r="F1899" s="173" t="s">
        <v>2862</v>
      </c>
      <c r="G1899" s="328" t="s">
        <v>673</v>
      </c>
      <c r="H1899" s="328" t="s">
        <v>2863</v>
      </c>
      <c r="I1899" s="258" t="s">
        <v>2864</v>
      </c>
      <c r="J1899" s="259" t="s">
        <v>1272</v>
      </c>
      <c r="K1899" s="260"/>
      <c r="L1899" s="359"/>
      <c r="M1899" s="359"/>
      <c r="N1899" s="173" t="s">
        <v>679</v>
      </c>
      <c r="O1899" s="173" t="s">
        <v>225</v>
      </c>
      <c r="P1899" s="262" t="str">
        <f t="shared" si="1"/>
        <v>IN-BLR-ANANTA-VAV-1471_8</v>
      </c>
      <c r="Q1899" s="173" t="s">
        <v>7002</v>
      </c>
      <c r="R1899" s="328" t="str">
        <f>IFS(C1899="","",C1899="n/a","N/A",LEN(C1899),Concatenate("{",char(34),"asset",char(34),":{",char(34),"guid",char(34),":",char(34),Q1899,char(34),",",char(34),"site",char(34),":",char(34),LOWER('2-Building'!$B$4),char(34),",",char(34),"name",char(34),":",char(34),LOWER(C1899),char(34),"}}"))</f>
        <v>{"asset":{"guid":"uuid://fe60b038-41c9-4a44-95eb-803c77bba123","site":"in-blr-ananta","name":"vav-1471"}}</v>
      </c>
      <c r="S1899" s="360" t="s">
        <v>5516</v>
      </c>
      <c r="T1899" s="330"/>
      <c r="U1899" s="330"/>
      <c r="V1899" s="331"/>
      <c r="W1899" s="332"/>
      <c r="X1899" s="333"/>
      <c r="Y1899" s="33" t="s">
        <v>2867</v>
      </c>
      <c r="Z1899" s="258">
        <v>121471.0</v>
      </c>
      <c r="AA1899" s="334">
        <v>11652.0</v>
      </c>
      <c r="AB1899" s="333"/>
      <c r="AC1899" s="333"/>
      <c r="AD1899" s="329"/>
      <c r="AE1899" s="331"/>
      <c r="AF1899" s="336"/>
      <c r="AG1899" s="337"/>
      <c r="AH1899" s="333"/>
      <c r="AI1899" s="333"/>
      <c r="AJ1899" s="333"/>
      <c r="AK1899" s="333"/>
      <c r="AL1899" s="333"/>
      <c r="AM1899" s="338"/>
      <c r="AN1899" s="333"/>
      <c r="AO1899" s="333"/>
      <c r="AP1899" s="333"/>
      <c r="AQ1899" s="333"/>
      <c r="AR1899" s="333"/>
      <c r="AS1899" s="333"/>
      <c r="AT1899" s="333"/>
      <c r="AU1899" s="329"/>
      <c r="AV1899" s="341"/>
      <c r="AW1899" s="269" t="s">
        <v>2466</v>
      </c>
      <c r="AX1899" s="334" t="s">
        <v>2869</v>
      </c>
      <c r="AY1899" s="270" t="s">
        <v>695</v>
      </c>
      <c r="AZ1899" s="173" t="s">
        <v>5516</v>
      </c>
      <c r="BA1899" s="265">
        <v>10.0</v>
      </c>
      <c r="BB1899" s="174" t="s">
        <v>245</v>
      </c>
      <c r="BC1899" s="341"/>
      <c r="BD1899" s="308"/>
      <c r="BE1899" s="342"/>
      <c r="BF1899" s="274" t="str">
        <f>IFERROR(__xludf.DUMMYFUNCTION("LOWER(Regexreplace(to_text(E1899),""[^A-Za-z0-9]"","""")&amp;""_""&amp;Regexreplace(to_text(F1899),""[^A-Za-z0-9]"",""""))"),"neptronic_evcbseries")</f>
        <v>neptronic_evcbseries</v>
      </c>
      <c r="BG1899" s="275" t="str">
        <f>IFERROR(__xludf.DUMMYFUNCTION("upper(Regexreplace(to_text(E1899),""[^A-Za-z0-9]"","""")&amp;""-""&amp;Regexreplace(to_text(F1899),""[^A-Za-z0-9]"",""""))"),"NEPTRONIC-EVCBSERIES")</f>
        <v>NEPTRONIC-EVCBSERIES</v>
      </c>
    </row>
    <row r="1900" ht="30.0" customHeight="1">
      <c r="A1900" s="258">
        <v>1892.0</v>
      </c>
      <c r="B1900" s="328" t="s">
        <v>670</v>
      </c>
      <c r="C1900" s="257" t="s">
        <v>7003</v>
      </c>
      <c r="D1900" s="173" t="s">
        <v>7003</v>
      </c>
      <c r="E1900" s="174" t="s">
        <v>2861</v>
      </c>
      <c r="F1900" s="173" t="s">
        <v>2862</v>
      </c>
      <c r="G1900" s="328" t="s">
        <v>673</v>
      </c>
      <c r="H1900" s="328" t="s">
        <v>2863</v>
      </c>
      <c r="I1900" s="258" t="s">
        <v>2864</v>
      </c>
      <c r="J1900" s="259" t="s">
        <v>1272</v>
      </c>
      <c r="K1900" s="260"/>
      <c r="L1900" s="359"/>
      <c r="M1900" s="359"/>
      <c r="N1900" s="173" t="s">
        <v>679</v>
      </c>
      <c r="O1900" s="173" t="s">
        <v>225</v>
      </c>
      <c r="P1900" s="262" t="str">
        <f t="shared" si="1"/>
        <v>IN-BLR-ANANTA-VAV-1472_8</v>
      </c>
      <c r="Q1900" s="173" t="s">
        <v>7004</v>
      </c>
      <c r="R1900" s="328" t="str">
        <f>IFS(C1900="","",C1900="n/a","N/A",LEN(C1900),Concatenate("{",char(34),"asset",char(34),":{",char(34),"guid",char(34),":",char(34),Q1900,char(34),",",char(34),"site",char(34),":",char(34),LOWER('2-Building'!$B$4),char(34),",",char(34),"name",char(34),":",char(34),LOWER(C1900),char(34),"}}"))</f>
        <v>{"asset":{"guid":"uuid://701d7c02-625f-4ded-842e-31315e86c8dd","site":"in-blr-ananta","name":"vav-1472"}}</v>
      </c>
      <c r="S1900" s="360" t="s">
        <v>5516</v>
      </c>
      <c r="T1900" s="330"/>
      <c r="U1900" s="330"/>
      <c r="V1900" s="331"/>
      <c r="W1900" s="332"/>
      <c r="X1900" s="333"/>
      <c r="Y1900" s="33" t="s">
        <v>2867</v>
      </c>
      <c r="Z1900" s="258">
        <v>121472.0</v>
      </c>
      <c r="AA1900" s="334">
        <v>11652.0</v>
      </c>
      <c r="AB1900" s="333"/>
      <c r="AC1900" s="333"/>
      <c r="AD1900" s="329"/>
      <c r="AE1900" s="331"/>
      <c r="AF1900" s="336"/>
      <c r="AG1900" s="337"/>
      <c r="AH1900" s="333"/>
      <c r="AI1900" s="333"/>
      <c r="AJ1900" s="333"/>
      <c r="AK1900" s="333"/>
      <c r="AL1900" s="333"/>
      <c r="AM1900" s="338"/>
      <c r="AN1900" s="333"/>
      <c r="AO1900" s="333"/>
      <c r="AP1900" s="333"/>
      <c r="AQ1900" s="333"/>
      <c r="AR1900" s="333"/>
      <c r="AS1900" s="333"/>
      <c r="AT1900" s="333"/>
      <c r="AU1900" s="329"/>
      <c r="AV1900" s="341"/>
      <c r="AW1900" s="269" t="s">
        <v>2466</v>
      </c>
      <c r="AX1900" s="334" t="s">
        <v>2869</v>
      </c>
      <c r="AY1900" s="270" t="s">
        <v>695</v>
      </c>
      <c r="AZ1900" s="173" t="s">
        <v>5516</v>
      </c>
      <c r="BA1900" s="265">
        <v>10.0</v>
      </c>
      <c r="BB1900" s="174" t="s">
        <v>245</v>
      </c>
      <c r="BC1900" s="341"/>
      <c r="BD1900" s="308"/>
      <c r="BE1900" s="342"/>
      <c r="BF1900" s="274" t="str">
        <f>IFERROR(__xludf.DUMMYFUNCTION("LOWER(Regexreplace(to_text(E1900),""[^A-Za-z0-9]"","""")&amp;""_""&amp;Regexreplace(to_text(F1900),""[^A-Za-z0-9]"",""""))"),"neptronic_evcbseries")</f>
        <v>neptronic_evcbseries</v>
      </c>
      <c r="BG1900" s="275" t="str">
        <f>IFERROR(__xludf.DUMMYFUNCTION("upper(Regexreplace(to_text(E1900),""[^A-Za-z0-9]"","""")&amp;""-""&amp;Regexreplace(to_text(F1900),""[^A-Za-z0-9]"",""""))"),"NEPTRONIC-EVCBSERIES")</f>
        <v>NEPTRONIC-EVCBSERIES</v>
      </c>
    </row>
    <row r="1901" ht="30.0" customHeight="1">
      <c r="A1901" s="173">
        <v>1893.0</v>
      </c>
      <c r="B1901" s="328" t="s">
        <v>670</v>
      </c>
      <c r="C1901" s="257" t="s">
        <v>7005</v>
      </c>
      <c r="D1901" s="173" t="s">
        <v>7005</v>
      </c>
      <c r="E1901" s="174" t="s">
        <v>2861</v>
      </c>
      <c r="F1901" s="173" t="s">
        <v>2862</v>
      </c>
      <c r="G1901" s="328" t="s">
        <v>673</v>
      </c>
      <c r="H1901" s="328" t="s">
        <v>2863</v>
      </c>
      <c r="I1901" s="258" t="s">
        <v>2864</v>
      </c>
      <c r="J1901" s="259" t="s">
        <v>1272</v>
      </c>
      <c r="K1901" s="260"/>
      <c r="L1901" s="359"/>
      <c r="M1901" s="359"/>
      <c r="N1901" s="173" t="s">
        <v>679</v>
      </c>
      <c r="O1901" s="173" t="s">
        <v>225</v>
      </c>
      <c r="P1901" s="262" t="str">
        <f t="shared" si="1"/>
        <v>IN-BLR-ANANTA-VAV-1473_8</v>
      </c>
      <c r="Q1901" s="173" t="s">
        <v>7006</v>
      </c>
      <c r="R1901" s="328" t="str">
        <f>IFS(C1901="","",C1901="n/a","N/A",LEN(C1901),Concatenate("{",char(34),"asset",char(34),":{",char(34),"guid",char(34),":",char(34),Q1901,char(34),",",char(34),"site",char(34),":",char(34),LOWER('2-Building'!$B$4),char(34),",",char(34),"name",char(34),":",char(34),LOWER(C1901),char(34),"}}"))</f>
        <v>{"asset":{"guid":"uuid://41ac9b15-1291-49b5-9b20-63ca277218f8","site":"in-blr-ananta","name":"vav-1473"}}</v>
      </c>
      <c r="S1901" s="360" t="s">
        <v>5516</v>
      </c>
      <c r="T1901" s="330"/>
      <c r="U1901" s="330"/>
      <c r="V1901" s="331"/>
      <c r="W1901" s="332"/>
      <c r="X1901" s="333"/>
      <c r="Y1901" s="33" t="s">
        <v>2867</v>
      </c>
      <c r="Z1901" s="258">
        <v>121473.0</v>
      </c>
      <c r="AA1901" s="334">
        <v>11652.0</v>
      </c>
      <c r="AB1901" s="333"/>
      <c r="AC1901" s="333"/>
      <c r="AD1901" s="329"/>
      <c r="AE1901" s="331"/>
      <c r="AF1901" s="336"/>
      <c r="AG1901" s="337"/>
      <c r="AH1901" s="333"/>
      <c r="AI1901" s="333"/>
      <c r="AJ1901" s="333"/>
      <c r="AK1901" s="333"/>
      <c r="AL1901" s="333"/>
      <c r="AM1901" s="338"/>
      <c r="AN1901" s="333"/>
      <c r="AO1901" s="333"/>
      <c r="AP1901" s="333"/>
      <c r="AQ1901" s="333"/>
      <c r="AR1901" s="333"/>
      <c r="AS1901" s="333"/>
      <c r="AT1901" s="333"/>
      <c r="AU1901" s="329"/>
      <c r="AV1901" s="341"/>
      <c r="AW1901" s="269" t="s">
        <v>2466</v>
      </c>
      <c r="AX1901" s="334" t="s">
        <v>2869</v>
      </c>
      <c r="AY1901" s="270" t="s">
        <v>695</v>
      </c>
      <c r="AZ1901" s="173" t="s">
        <v>5516</v>
      </c>
      <c r="BA1901" s="265">
        <v>10.0</v>
      </c>
      <c r="BB1901" s="174" t="s">
        <v>245</v>
      </c>
      <c r="BC1901" s="341"/>
      <c r="BD1901" s="308"/>
      <c r="BE1901" s="342"/>
      <c r="BF1901" s="274" t="str">
        <f>IFERROR(__xludf.DUMMYFUNCTION("LOWER(Regexreplace(to_text(E1901),""[^A-Za-z0-9]"","""")&amp;""_""&amp;Regexreplace(to_text(F1901),""[^A-Za-z0-9]"",""""))"),"neptronic_evcbseries")</f>
        <v>neptronic_evcbseries</v>
      </c>
      <c r="BG1901" s="275" t="str">
        <f>IFERROR(__xludf.DUMMYFUNCTION("upper(Regexreplace(to_text(E1901),""[^A-Za-z0-9]"","""")&amp;""-""&amp;Regexreplace(to_text(F1901),""[^A-Za-z0-9]"",""""))"),"NEPTRONIC-EVCBSERIES")</f>
        <v>NEPTRONIC-EVCBSERIES</v>
      </c>
    </row>
    <row r="1902" ht="30.0" customHeight="1">
      <c r="A1902" s="258">
        <v>1894.0</v>
      </c>
      <c r="B1902" s="328" t="s">
        <v>670</v>
      </c>
      <c r="C1902" s="257" t="s">
        <v>7007</v>
      </c>
      <c r="D1902" s="173" t="s">
        <v>7007</v>
      </c>
      <c r="E1902" s="174" t="s">
        <v>2861</v>
      </c>
      <c r="F1902" s="173" t="s">
        <v>2862</v>
      </c>
      <c r="G1902" s="328" t="s">
        <v>673</v>
      </c>
      <c r="H1902" s="328" t="s">
        <v>2863</v>
      </c>
      <c r="I1902" s="258" t="s">
        <v>2864</v>
      </c>
      <c r="J1902" s="259" t="s">
        <v>1272</v>
      </c>
      <c r="K1902" s="260"/>
      <c r="L1902" s="359"/>
      <c r="M1902" s="359"/>
      <c r="N1902" s="173" t="s">
        <v>679</v>
      </c>
      <c r="O1902" s="173" t="s">
        <v>225</v>
      </c>
      <c r="P1902" s="262" t="str">
        <f t="shared" si="1"/>
        <v>IN-BLR-ANANTA-VAV-1474_8</v>
      </c>
      <c r="Q1902" s="173" t="s">
        <v>7008</v>
      </c>
      <c r="R1902" s="328" t="str">
        <f>IFS(C1902="","",C1902="n/a","N/A",LEN(C1902),Concatenate("{",char(34),"asset",char(34),":{",char(34),"guid",char(34),":",char(34),Q1902,char(34),",",char(34),"site",char(34),":",char(34),LOWER('2-Building'!$B$4),char(34),",",char(34),"name",char(34),":",char(34),LOWER(C1902),char(34),"}}"))</f>
        <v>{"asset":{"guid":"uuid://57c4aac2-b5d5-40fe-89c6-5972ffab256f","site":"in-blr-ananta","name":"vav-1474"}}</v>
      </c>
      <c r="S1902" s="360" t="s">
        <v>5516</v>
      </c>
      <c r="T1902" s="330"/>
      <c r="U1902" s="330"/>
      <c r="V1902" s="331"/>
      <c r="W1902" s="332"/>
      <c r="X1902" s="333"/>
      <c r="Y1902" s="33" t="s">
        <v>2867</v>
      </c>
      <c r="Z1902" s="258">
        <v>121474.0</v>
      </c>
      <c r="AA1902" s="334">
        <v>11655.0</v>
      </c>
      <c r="AB1902" s="333"/>
      <c r="AC1902" s="333"/>
      <c r="AD1902" s="329"/>
      <c r="AE1902" s="331"/>
      <c r="AF1902" s="336"/>
      <c r="AG1902" s="337"/>
      <c r="AH1902" s="333"/>
      <c r="AI1902" s="333"/>
      <c r="AJ1902" s="333"/>
      <c r="AK1902" s="333"/>
      <c r="AL1902" s="333"/>
      <c r="AM1902" s="338"/>
      <c r="AN1902" s="333"/>
      <c r="AO1902" s="333"/>
      <c r="AP1902" s="333"/>
      <c r="AQ1902" s="333"/>
      <c r="AR1902" s="333"/>
      <c r="AS1902" s="333"/>
      <c r="AT1902" s="333"/>
      <c r="AU1902" s="329"/>
      <c r="AV1902" s="341"/>
      <c r="AW1902" s="269" t="s">
        <v>1277</v>
      </c>
      <c r="AX1902" s="334" t="s">
        <v>2869</v>
      </c>
      <c r="AY1902" s="270" t="s">
        <v>695</v>
      </c>
      <c r="AZ1902" s="173" t="s">
        <v>5516</v>
      </c>
      <c r="BA1902" s="265">
        <v>10.0</v>
      </c>
      <c r="BB1902" s="174" t="s">
        <v>245</v>
      </c>
      <c r="BC1902" s="341"/>
      <c r="BD1902" s="308"/>
      <c r="BE1902" s="342"/>
      <c r="BF1902" s="274" t="str">
        <f>IFERROR(__xludf.DUMMYFUNCTION("LOWER(Regexreplace(to_text(E1902),""[^A-Za-z0-9]"","""")&amp;""_""&amp;Regexreplace(to_text(F1902),""[^A-Za-z0-9]"",""""))"),"neptronic_evcbseries")</f>
        <v>neptronic_evcbseries</v>
      </c>
      <c r="BG1902" s="275" t="str">
        <f>IFERROR(__xludf.DUMMYFUNCTION("upper(Regexreplace(to_text(E1902),""[^A-Za-z0-9]"","""")&amp;""-""&amp;Regexreplace(to_text(F1902),""[^A-Za-z0-9]"",""""))"),"NEPTRONIC-EVCBSERIES")</f>
        <v>NEPTRONIC-EVCBSERIES</v>
      </c>
    </row>
    <row r="1903" ht="30.0" customHeight="1">
      <c r="A1903" s="173">
        <v>1895.0</v>
      </c>
      <c r="B1903" s="328" t="s">
        <v>670</v>
      </c>
      <c r="C1903" s="257" t="s">
        <v>7009</v>
      </c>
      <c r="D1903" s="173" t="s">
        <v>7009</v>
      </c>
      <c r="E1903" s="174" t="s">
        <v>2861</v>
      </c>
      <c r="F1903" s="173" t="s">
        <v>2862</v>
      </c>
      <c r="G1903" s="328" t="s">
        <v>673</v>
      </c>
      <c r="H1903" s="328" t="s">
        <v>2863</v>
      </c>
      <c r="I1903" s="258" t="s">
        <v>2864</v>
      </c>
      <c r="J1903" s="259" t="s">
        <v>1272</v>
      </c>
      <c r="K1903" s="260"/>
      <c r="L1903" s="359"/>
      <c r="M1903" s="359"/>
      <c r="N1903" s="173" t="s">
        <v>679</v>
      </c>
      <c r="O1903" s="173" t="s">
        <v>225</v>
      </c>
      <c r="P1903" s="262" t="str">
        <f t="shared" si="1"/>
        <v>IN-BLR-ANANTA-VAV-1475_8</v>
      </c>
      <c r="Q1903" s="173" t="s">
        <v>7010</v>
      </c>
      <c r="R1903" s="328" t="str">
        <f>IFS(C1903="","",C1903="n/a","N/A",LEN(C1903),Concatenate("{",char(34),"asset",char(34),":{",char(34),"guid",char(34),":",char(34),Q1903,char(34),",",char(34),"site",char(34),":",char(34),LOWER('2-Building'!$B$4),char(34),",",char(34),"name",char(34),":",char(34),LOWER(C1903),char(34),"}}"))</f>
        <v>{"asset":{"guid":"uuid://25c6ce92-5ae5-4133-bb84-90876f18c8d5","site":"in-blr-ananta","name":"vav-1475"}}</v>
      </c>
      <c r="S1903" s="360" t="s">
        <v>5516</v>
      </c>
      <c r="T1903" s="330"/>
      <c r="U1903" s="330"/>
      <c r="V1903" s="331"/>
      <c r="W1903" s="332"/>
      <c r="X1903" s="333"/>
      <c r="Y1903" s="33" t="s">
        <v>2867</v>
      </c>
      <c r="Z1903" s="258">
        <v>121475.0</v>
      </c>
      <c r="AA1903" s="334">
        <v>11655.0</v>
      </c>
      <c r="AB1903" s="333"/>
      <c r="AC1903" s="333"/>
      <c r="AD1903" s="329"/>
      <c r="AE1903" s="331"/>
      <c r="AF1903" s="336"/>
      <c r="AG1903" s="337"/>
      <c r="AH1903" s="333"/>
      <c r="AI1903" s="333"/>
      <c r="AJ1903" s="333"/>
      <c r="AK1903" s="333"/>
      <c r="AL1903" s="333"/>
      <c r="AM1903" s="338"/>
      <c r="AN1903" s="333"/>
      <c r="AO1903" s="333"/>
      <c r="AP1903" s="333"/>
      <c r="AQ1903" s="333"/>
      <c r="AR1903" s="333"/>
      <c r="AS1903" s="333"/>
      <c r="AT1903" s="333"/>
      <c r="AU1903" s="329"/>
      <c r="AV1903" s="341"/>
      <c r="AW1903" s="269" t="s">
        <v>1277</v>
      </c>
      <c r="AX1903" s="334" t="s">
        <v>2869</v>
      </c>
      <c r="AY1903" s="270" t="s">
        <v>695</v>
      </c>
      <c r="AZ1903" s="173" t="s">
        <v>5516</v>
      </c>
      <c r="BA1903" s="265">
        <v>10.0</v>
      </c>
      <c r="BB1903" s="174" t="s">
        <v>245</v>
      </c>
      <c r="BC1903" s="341"/>
      <c r="BD1903" s="308"/>
      <c r="BE1903" s="342"/>
      <c r="BF1903" s="274" t="str">
        <f>IFERROR(__xludf.DUMMYFUNCTION("LOWER(Regexreplace(to_text(E1903),""[^A-Za-z0-9]"","""")&amp;""_""&amp;Regexreplace(to_text(F1903),""[^A-Za-z0-9]"",""""))"),"neptronic_evcbseries")</f>
        <v>neptronic_evcbseries</v>
      </c>
      <c r="BG1903" s="275" t="str">
        <f>IFERROR(__xludf.DUMMYFUNCTION("upper(Regexreplace(to_text(E1903),""[^A-Za-z0-9]"","""")&amp;""-""&amp;Regexreplace(to_text(F1903),""[^A-Za-z0-9]"",""""))"),"NEPTRONIC-EVCBSERIES")</f>
        <v>NEPTRONIC-EVCBSERIES</v>
      </c>
    </row>
    <row r="1904" ht="30.0" customHeight="1">
      <c r="A1904" s="258">
        <v>1896.0</v>
      </c>
      <c r="B1904" s="328" t="s">
        <v>670</v>
      </c>
      <c r="C1904" s="257" t="s">
        <v>7011</v>
      </c>
      <c r="D1904" s="173" t="s">
        <v>7011</v>
      </c>
      <c r="E1904" s="174" t="s">
        <v>2861</v>
      </c>
      <c r="F1904" s="173" t="s">
        <v>2862</v>
      </c>
      <c r="G1904" s="328" t="s">
        <v>673</v>
      </c>
      <c r="H1904" s="328" t="s">
        <v>2863</v>
      </c>
      <c r="I1904" s="258" t="s">
        <v>2864</v>
      </c>
      <c r="J1904" s="259" t="s">
        <v>1272</v>
      </c>
      <c r="K1904" s="260"/>
      <c r="L1904" s="359"/>
      <c r="M1904" s="359"/>
      <c r="N1904" s="173" t="s">
        <v>679</v>
      </c>
      <c r="O1904" s="173" t="s">
        <v>225</v>
      </c>
      <c r="P1904" s="262" t="str">
        <f t="shared" si="1"/>
        <v>IN-BLR-ANANTA-VAV-1476_8</v>
      </c>
      <c r="Q1904" s="173" t="s">
        <v>7012</v>
      </c>
      <c r="R1904" s="328" t="str">
        <f>IFS(C1904="","",C1904="n/a","N/A",LEN(C1904),Concatenate("{",char(34),"asset",char(34),":{",char(34),"guid",char(34),":",char(34),Q1904,char(34),",",char(34),"site",char(34),":",char(34),LOWER('2-Building'!$B$4),char(34),",",char(34),"name",char(34),":",char(34),LOWER(C1904),char(34),"}}"))</f>
        <v>{"asset":{"guid":"uuid://f005e3ba-3ec3-48ac-8098-29f6fcb1de6d","site":"in-blr-ananta","name":"vav-1476"}}</v>
      </c>
      <c r="S1904" s="360" t="s">
        <v>5516</v>
      </c>
      <c r="T1904" s="330"/>
      <c r="U1904" s="330"/>
      <c r="V1904" s="331"/>
      <c r="W1904" s="332"/>
      <c r="X1904" s="333"/>
      <c r="Y1904" s="33" t="s">
        <v>2867</v>
      </c>
      <c r="Z1904" s="258">
        <v>121476.0</v>
      </c>
      <c r="AA1904" s="334">
        <v>11655.0</v>
      </c>
      <c r="AB1904" s="333"/>
      <c r="AC1904" s="333"/>
      <c r="AD1904" s="329"/>
      <c r="AE1904" s="331"/>
      <c r="AF1904" s="336"/>
      <c r="AG1904" s="337"/>
      <c r="AH1904" s="333"/>
      <c r="AI1904" s="333"/>
      <c r="AJ1904" s="333"/>
      <c r="AK1904" s="333"/>
      <c r="AL1904" s="333"/>
      <c r="AM1904" s="338"/>
      <c r="AN1904" s="333"/>
      <c r="AO1904" s="333"/>
      <c r="AP1904" s="333"/>
      <c r="AQ1904" s="333"/>
      <c r="AR1904" s="333"/>
      <c r="AS1904" s="333"/>
      <c r="AT1904" s="333"/>
      <c r="AU1904" s="329"/>
      <c r="AV1904" s="341"/>
      <c r="AW1904" s="269" t="s">
        <v>1277</v>
      </c>
      <c r="AX1904" s="334" t="s">
        <v>2869</v>
      </c>
      <c r="AY1904" s="270" t="s">
        <v>695</v>
      </c>
      <c r="AZ1904" s="173" t="s">
        <v>5516</v>
      </c>
      <c r="BA1904" s="265">
        <v>10.0</v>
      </c>
      <c r="BB1904" s="174" t="s">
        <v>245</v>
      </c>
      <c r="BC1904" s="341"/>
      <c r="BD1904" s="308"/>
      <c r="BE1904" s="342"/>
      <c r="BF1904" s="274" t="str">
        <f>IFERROR(__xludf.DUMMYFUNCTION("LOWER(Regexreplace(to_text(E1904),""[^A-Za-z0-9]"","""")&amp;""_""&amp;Regexreplace(to_text(F1904),""[^A-Za-z0-9]"",""""))"),"neptronic_evcbseries")</f>
        <v>neptronic_evcbseries</v>
      </c>
      <c r="BG1904" s="275" t="str">
        <f>IFERROR(__xludf.DUMMYFUNCTION("upper(Regexreplace(to_text(E1904),""[^A-Za-z0-9]"","""")&amp;""-""&amp;Regexreplace(to_text(F1904),""[^A-Za-z0-9]"",""""))"),"NEPTRONIC-EVCBSERIES")</f>
        <v>NEPTRONIC-EVCBSERIES</v>
      </c>
    </row>
    <row r="1905" ht="30.0" customHeight="1">
      <c r="A1905" s="173">
        <v>1897.0</v>
      </c>
      <c r="B1905" s="328" t="s">
        <v>670</v>
      </c>
      <c r="C1905" s="257" t="s">
        <v>7013</v>
      </c>
      <c r="D1905" s="173" t="s">
        <v>7013</v>
      </c>
      <c r="E1905" s="174" t="s">
        <v>2861</v>
      </c>
      <c r="F1905" s="173" t="s">
        <v>2862</v>
      </c>
      <c r="G1905" s="328" t="s">
        <v>673</v>
      </c>
      <c r="H1905" s="328" t="s">
        <v>2863</v>
      </c>
      <c r="I1905" s="258" t="s">
        <v>2864</v>
      </c>
      <c r="J1905" s="259" t="s">
        <v>1272</v>
      </c>
      <c r="K1905" s="260"/>
      <c r="L1905" s="359"/>
      <c r="M1905" s="359"/>
      <c r="N1905" s="173" t="s">
        <v>679</v>
      </c>
      <c r="O1905" s="173" t="s">
        <v>225</v>
      </c>
      <c r="P1905" s="262" t="str">
        <f t="shared" si="1"/>
        <v>IN-BLR-ANANTA-VAV-1477_8</v>
      </c>
      <c r="Q1905" s="173" t="s">
        <v>7014</v>
      </c>
      <c r="R1905" s="328" t="str">
        <f>IFS(C1905="","",C1905="n/a","N/A",LEN(C1905),Concatenate("{",char(34),"asset",char(34),":{",char(34),"guid",char(34),":",char(34),Q1905,char(34),",",char(34),"site",char(34),":",char(34),LOWER('2-Building'!$B$4),char(34),",",char(34),"name",char(34),":",char(34),LOWER(C1905),char(34),"}}"))</f>
        <v>{"asset":{"guid":"uuid://56f3bd65-c9dd-45b3-a63e-d7cfd8e008c7","site":"in-blr-ananta","name":"vav-1477"}}</v>
      </c>
      <c r="S1905" s="360" t="s">
        <v>5516</v>
      </c>
      <c r="T1905" s="330"/>
      <c r="U1905" s="330"/>
      <c r="V1905" s="331"/>
      <c r="W1905" s="332"/>
      <c r="X1905" s="333"/>
      <c r="Y1905" s="33" t="s">
        <v>2867</v>
      </c>
      <c r="Z1905" s="258">
        <v>121477.0</v>
      </c>
      <c r="AA1905" s="334">
        <v>11655.0</v>
      </c>
      <c r="AB1905" s="333"/>
      <c r="AC1905" s="333"/>
      <c r="AD1905" s="329"/>
      <c r="AE1905" s="331"/>
      <c r="AF1905" s="336"/>
      <c r="AG1905" s="337"/>
      <c r="AH1905" s="333"/>
      <c r="AI1905" s="333"/>
      <c r="AJ1905" s="333"/>
      <c r="AK1905" s="333"/>
      <c r="AL1905" s="333"/>
      <c r="AM1905" s="338"/>
      <c r="AN1905" s="333"/>
      <c r="AO1905" s="333"/>
      <c r="AP1905" s="333"/>
      <c r="AQ1905" s="333"/>
      <c r="AR1905" s="333"/>
      <c r="AS1905" s="333"/>
      <c r="AT1905" s="333"/>
      <c r="AU1905" s="329"/>
      <c r="AV1905" s="341"/>
      <c r="AW1905" s="269" t="s">
        <v>1277</v>
      </c>
      <c r="AX1905" s="334" t="s">
        <v>2869</v>
      </c>
      <c r="AY1905" s="270" t="s">
        <v>695</v>
      </c>
      <c r="AZ1905" s="173" t="s">
        <v>5516</v>
      </c>
      <c r="BA1905" s="265">
        <v>10.0</v>
      </c>
      <c r="BB1905" s="174" t="s">
        <v>245</v>
      </c>
      <c r="BC1905" s="341"/>
      <c r="BD1905" s="308"/>
      <c r="BE1905" s="342"/>
      <c r="BF1905" s="274" t="str">
        <f>IFERROR(__xludf.DUMMYFUNCTION("LOWER(Regexreplace(to_text(E1905),""[^A-Za-z0-9]"","""")&amp;""_""&amp;Regexreplace(to_text(F1905),""[^A-Za-z0-9]"",""""))"),"neptronic_evcbseries")</f>
        <v>neptronic_evcbseries</v>
      </c>
      <c r="BG1905" s="275" t="str">
        <f>IFERROR(__xludf.DUMMYFUNCTION("upper(Regexreplace(to_text(E1905),""[^A-Za-z0-9]"","""")&amp;""-""&amp;Regexreplace(to_text(F1905),""[^A-Za-z0-9]"",""""))"),"NEPTRONIC-EVCBSERIES")</f>
        <v>NEPTRONIC-EVCBSERIES</v>
      </c>
    </row>
    <row r="1906" ht="30.0" customHeight="1">
      <c r="A1906" s="258">
        <v>1898.0</v>
      </c>
      <c r="B1906" s="328" t="s">
        <v>670</v>
      </c>
      <c r="C1906" s="257" t="s">
        <v>7015</v>
      </c>
      <c r="D1906" s="173" t="s">
        <v>7015</v>
      </c>
      <c r="E1906" s="174" t="s">
        <v>2861</v>
      </c>
      <c r="F1906" s="173" t="s">
        <v>2862</v>
      </c>
      <c r="G1906" s="328" t="s">
        <v>673</v>
      </c>
      <c r="H1906" s="328" t="s">
        <v>2863</v>
      </c>
      <c r="I1906" s="258" t="s">
        <v>2864</v>
      </c>
      <c r="J1906" s="259" t="s">
        <v>1272</v>
      </c>
      <c r="K1906" s="260"/>
      <c r="L1906" s="359"/>
      <c r="M1906" s="359"/>
      <c r="N1906" s="173" t="s">
        <v>679</v>
      </c>
      <c r="O1906" s="173" t="s">
        <v>225</v>
      </c>
      <c r="P1906" s="262" t="str">
        <f t="shared" si="1"/>
        <v>IN-BLR-ANANTA-VAV-1478_8</v>
      </c>
      <c r="Q1906" s="173" t="s">
        <v>7016</v>
      </c>
      <c r="R1906" s="328" t="str">
        <f>IFS(C1906="","",C1906="n/a","N/A",LEN(C1906),Concatenate("{",char(34),"asset",char(34),":{",char(34),"guid",char(34),":",char(34),Q1906,char(34),",",char(34),"site",char(34),":",char(34),LOWER('2-Building'!$B$4),char(34),",",char(34),"name",char(34),":",char(34),LOWER(C1906),char(34),"}}"))</f>
        <v>{"asset":{"guid":"uuid://1ff2d401-f899-4ea0-9825-ca1f0cae7271","site":"in-blr-ananta","name":"vav-1478"}}</v>
      </c>
      <c r="S1906" s="360" t="s">
        <v>5516</v>
      </c>
      <c r="T1906" s="330"/>
      <c r="U1906" s="330"/>
      <c r="V1906" s="331"/>
      <c r="W1906" s="332"/>
      <c r="X1906" s="333"/>
      <c r="Y1906" s="33" t="s">
        <v>2867</v>
      </c>
      <c r="Z1906" s="258">
        <v>121478.0</v>
      </c>
      <c r="AA1906" s="334">
        <v>11655.0</v>
      </c>
      <c r="AB1906" s="333"/>
      <c r="AC1906" s="333"/>
      <c r="AD1906" s="329"/>
      <c r="AE1906" s="331"/>
      <c r="AF1906" s="336"/>
      <c r="AG1906" s="337"/>
      <c r="AH1906" s="333"/>
      <c r="AI1906" s="333"/>
      <c r="AJ1906" s="333"/>
      <c r="AK1906" s="333"/>
      <c r="AL1906" s="333"/>
      <c r="AM1906" s="338"/>
      <c r="AN1906" s="333"/>
      <c r="AO1906" s="333"/>
      <c r="AP1906" s="333"/>
      <c r="AQ1906" s="333"/>
      <c r="AR1906" s="333"/>
      <c r="AS1906" s="333"/>
      <c r="AT1906" s="333"/>
      <c r="AU1906" s="329"/>
      <c r="AV1906" s="341"/>
      <c r="AW1906" s="269" t="s">
        <v>1277</v>
      </c>
      <c r="AX1906" s="334" t="s">
        <v>2869</v>
      </c>
      <c r="AY1906" s="270" t="s">
        <v>695</v>
      </c>
      <c r="AZ1906" s="173" t="s">
        <v>5516</v>
      </c>
      <c r="BA1906" s="265">
        <v>10.0</v>
      </c>
      <c r="BB1906" s="174" t="s">
        <v>245</v>
      </c>
      <c r="BC1906" s="341"/>
      <c r="BD1906" s="308"/>
      <c r="BE1906" s="342"/>
      <c r="BF1906" s="274" t="str">
        <f>IFERROR(__xludf.DUMMYFUNCTION("LOWER(Regexreplace(to_text(E1906),""[^A-Za-z0-9]"","""")&amp;""_""&amp;Regexreplace(to_text(F1906),""[^A-Za-z0-9]"",""""))"),"neptronic_evcbseries")</f>
        <v>neptronic_evcbseries</v>
      </c>
      <c r="BG1906" s="275" t="str">
        <f>IFERROR(__xludf.DUMMYFUNCTION("upper(Regexreplace(to_text(E1906),""[^A-Za-z0-9]"","""")&amp;""-""&amp;Regexreplace(to_text(F1906),""[^A-Za-z0-9]"",""""))"),"NEPTRONIC-EVCBSERIES")</f>
        <v>NEPTRONIC-EVCBSERIES</v>
      </c>
    </row>
    <row r="1907" ht="30.0" customHeight="1">
      <c r="A1907" s="173">
        <v>1899.0</v>
      </c>
      <c r="B1907" s="328" t="s">
        <v>670</v>
      </c>
      <c r="C1907" s="257" t="s">
        <v>7017</v>
      </c>
      <c r="D1907" s="173" t="s">
        <v>7017</v>
      </c>
      <c r="E1907" s="174" t="s">
        <v>2861</v>
      </c>
      <c r="F1907" s="173" t="s">
        <v>2862</v>
      </c>
      <c r="G1907" s="328" t="s">
        <v>673</v>
      </c>
      <c r="H1907" s="328" t="s">
        <v>2863</v>
      </c>
      <c r="I1907" s="258" t="s">
        <v>2864</v>
      </c>
      <c r="J1907" s="259" t="s">
        <v>1272</v>
      </c>
      <c r="K1907" s="260"/>
      <c r="L1907" s="359"/>
      <c r="M1907" s="359"/>
      <c r="N1907" s="173" t="s">
        <v>679</v>
      </c>
      <c r="O1907" s="173" t="s">
        <v>225</v>
      </c>
      <c r="P1907" s="262" t="str">
        <f t="shared" si="1"/>
        <v>IN-BLR-ANANTA-VAV-1479_8</v>
      </c>
      <c r="Q1907" s="173" t="s">
        <v>7018</v>
      </c>
      <c r="R1907" s="328" t="str">
        <f>IFS(C1907="","",C1907="n/a","N/A",LEN(C1907),Concatenate("{",char(34),"asset",char(34),":{",char(34),"guid",char(34),":",char(34),Q1907,char(34),",",char(34),"site",char(34),":",char(34),LOWER('2-Building'!$B$4),char(34),",",char(34),"name",char(34),":",char(34),LOWER(C1907),char(34),"}}"))</f>
        <v>{"asset":{"guid":"uuid://810e2efa-5ab3-49c6-bd1c-901c287ae1e7","site":"in-blr-ananta","name":"vav-1479"}}</v>
      </c>
      <c r="S1907" s="360" t="s">
        <v>5516</v>
      </c>
      <c r="T1907" s="330"/>
      <c r="U1907" s="330"/>
      <c r="V1907" s="331"/>
      <c r="W1907" s="332"/>
      <c r="X1907" s="333"/>
      <c r="Y1907" s="33" t="s">
        <v>2867</v>
      </c>
      <c r="Z1907" s="258">
        <v>121479.0</v>
      </c>
      <c r="AA1907" s="334">
        <v>11655.0</v>
      </c>
      <c r="AB1907" s="333"/>
      <c r="AC1907" s="333"/>
      <c r="AD1907" s="329"/>
      <c r="AE1907" s="331"/>
      <c r="AF1907" s="336"/>
      <c r="AG1907" s="337"/>
      <c r="AH1907" s="333"/>
      <c r="AI1907" s="333"/>
      <c r="AJ1907" s="333"/>
      <c r="AK1907" s="333"/>
      <c r="AL1907" s="333"/>
      <c r="AM1907" s="338"/>
      <c r="AN1907" s="333"/>
      <c r="AO1907" s="333"/>
      <c r="AP1907" s="333"/>
      <c r="AQ1907" s="333"/>
      <c r="AR1907" s="333"/>
      <c r="AS1907" s="333"/>
      <c r="AT1907" s="333"/>
      <c r="AU1907" s="329"/>
      <c r="AV1907" s="341"/>
      <c r="AW1907" s="269" t="s">
        <v>1277</v>
      </c>
      <c r="AX1907" s="334" t="s">
        <v>2869</v>
      </c>
      <c r="AY1907" s="270" t="s">
        <v>695</v>
      </c>
      <c r="AZ1907" s="173" t="s">
        <v>5516</v>
      </c>
      <c r="BA1907" s="265">
        <v>10.0</v>
      </c>
      <c r="BB1907" s="174" t="s">
        <v>245</v>
      </c>
      <c r="BC1907" s="341"/>
      <c r="BD1907" s="308"/>
      <c r="BE1907" s="342"/>
      <c r="BF1907" s="274" t="str">
        <f>IFERROR(__xludf.DUMMYFUNCTION("LOWER(Regexreplace(to_text(E1907),""[^A-Za-z0-9]"","""")&amp;""_""&amp;Regexreplace(to_text(F1907),""[^A-Za-z0-9]"",""""))"),"neptronic_evcbseries")</f>
        <v>neptronic_evcbseries</v>
      </c>
      <c r="BG1907" s="275" t="str">
        <f>IFERROR(__xludf.DUMMYFUNCTION("upper(Regexreplace(to_text(E1907),""[^A-Za-z0-9]"","""")&amp;""-""&amp;Regexreplace(to_text(F1907),""[^A-Za-z0-9]"",""""))"),"NEPTRONIC-EVCBSERIES")</f>
        <v>NEPTRONIC-EVCBSERIES</v>
      </c>
    </row>
    <row r="1908" ht="30.0" customHeight="1">
      <c r="A1908" s="258">
        <v>1900.0</v>
      </c>
      <c r="B1908" s="328" t="s">
        <v>670</v>
      </c>
      <c r="C1908" s="257" t="s">
        <v>7019</v>
      </c>
      <c r="D1908" s="173" t="s">
        <v>7019</v>
      </c>
      <c r="E1908" s="174" t="s">
        <v>2861</v>
      </c>
      <c r="F1908" s="173" t="s">
        <v>2862</v>
      </c>
      <c r="G1908" s="328" t="s">
        <v>673</v>
      </c>
      <c r="H1908" s="328" t="s">
        <v>2863</v>
      </c>
      <c r="I1908" s="258" t="s">
        <v>2864</v>
      </c>
      <c r="J1908" s="259" t="s">
        <v>1272</v>
      </c>
      <c r="K1908" s="260"/>
      <c r="L1908" s="359"/>
      <c r="M1908" s="359"/>
      <c r="N1908" s="173" t="s">
        <v>679</v>
      </c>
      <c r="O1908" s="173" t="s">
        <v>225</v>
      </c>
      <c r="P1908" s="262" t="str">
        <f t="shared" si="1"/>
        <v>IN-BLR-ANANTA-VAV-1480_8</v>
      </c>
      <c r="Q1908" s="173" t="s">
        <v>7020</v>
      </c>
      <c r="R1908" s="328" t="str">
        <f>IFS(C1908="","",C1908="n/a","N/A",LEN(C1908),Concatenate("{",char(34),"asset",char(34),":{",char(34),"guid",char(34),":",char(34),Q1908,char(34),",",char(34),"site",char(34),":",char(34),LOWER('2-Building'!$B$4),char(34),",",char(34),"name",char(34),":",char(34),LOWER(C1908),char(34),"}}"))</f>
        <v>{"asset":{"guid":"uuid://a79871b3-4e8b-462a-ad70-158e3ab24252","site":"in-blr-ananta","name":"vav-1480"}}</v>
      </c>
      <c r="S1908" s="360" t="s">
        <v>5516</v>
      </c>
      <c r="T1908" s="330"/>
      <c r="U1908" s="330"/>
      <c r="V1908" s="331"/>
      <c r="W1908" s="332"/>
      <c r="X1908" s="333"/>
      <c r="Y1908" s="33" t="s">
        <v>2867</v>
      </c>
      <c r="Z1908" s="258">
        <v>121480.0</v>
      </c>
      <c r="AA1908" s="334">
        <v>11655.0</v>
      </c>
      <c r="AB1908" s="333"/>
      <c r="AC1908" s="333"/>
      <c r="AD1908" s="329"/>
      <c r="AE1908" s="331"/>
      <c r="AF1908" s="336"/>
      <c r="AG1908" s="337"/>
      <c r="AH1908" s="333"/>
      <c r="AI1908" s="333"/>
      <c r="AJ1908" s="333"/>
      <c r="AK1908" s="333"/>
      <c r="AL1908" s="333"/>
      <c r="AM1908" s="338"/>
      <c r="AN1908" s="333"/>
      <c r="AO1908" s="333"/>
      <c r="AP1908" s="333"/>
      <c r="AQ1908" s="333"/>
      <c r="AR1908" s="333"/>
      <c r="AS1908" s="333"/>
      <c r="AT1908" s="333"/>
      <c r="AU1908" s="329"/>
      <c r="AV1908" s="341"/>
      <c r="AW1908" s="269" t="s">
        <v>1277</v>
      </c>
      <c r="AX1908" s="334" t="s">
        <v>2869</v>
      </c>
      <c r="AY1908" s="270" t="s">
        <v>695</v>
      </c>
      <c r="AZ1908" s="173" t="s">
        <v>5516</v>
      </c>
      <c r="BA1908" s="265">
        <v>10.0</v>
      </c>
      <c r="BB1908" s="174" t="s">
        <v>245</v>
      </c>
      <c r="BC1908" s="341"/>
      <c r="BD1908" s="308"/>
      <c r="BE1908" s="342"/>
      <c r="BF1908" s="274" t="str">
        <f>IFERROR(__xludf.DUMMYFUNCTION("LOWER(Regexreplace(to_text(E1908),""[^A-Za-z0-9]"","""")&amp;""_""&amp;Regexreplace(to_text(F1908),""[^A-Za-z0-9]"",""""))"),"neptronic_evcbseries")</f>
        <v>neptronic_evcbseries</v>
      </c>
      <c r="BG1908" s="275" t="str">
        <f>IFERROR(__xludf.DUMMYFUNCTION("upper(Regexreplace(to_text(E1908),""[^A-Za-z0-9]"","""")&amp;""-""&amp;Regexreplace(to_text(F1908),""[^A-Za-z0-9]"",""""))"),"NEPTRONIC-EVCBSERIES")</f>
        <v>NEPTRONIC-EVCBSERIES</v>
      </c>
    </row>
    <row r="1909" ht="30.0" customHeight="1">
      <c r="A1909" s="173">
        <v>1901.0</v>
      </c>
      <c r="B1909" s="328" t="s">
        <v>670</v>
      </c>
      <c r="C1909" s="257" t="s">
        <v>7021</v>
      </c>
      <c r="D1909" s="173" t="s">
        <v>7021</v>
      </c>
      <c r="E1909" s="174" t="s">
        <v>2861</v>
      </c>
      <c r="F1909" s="173" t="s">
        <v>2862</v>
      </c>
      <c r="G1909" s="328" t="s">
        <v>673</v>
      </c>
      <c r="H1909" s="328" t="s">
        <v>2863</v>
      </c>
      <c r="I1909" s="258" t="s">
        <v>2864</v>
      </c>
      <c r="J1909" s="259" t="s">
        <v>1272</v>
      </c>
      <c r="K1909" s="260"/>
      <c r="L1909" s="359"/>
      <c r="M1909" s="359"/>
      <c r="N1909" s="173" t="s">
        <v>679</v>
      </c>
      <c r="O1909" s="173" t="s">
        <v>225</v>
      </c>
      <c r="P1909" s="262" t="str">
        <f t="shared" si="1"/>
        <v>IN-BLR-ANANTA-VAV-1481_8</v>
      </c>
      <c r="Q1909" s="173" t="s">
        <v>7022</v>
      </c>
      <c r="R1909" s="328" t="str">
        <f>IFS(C1909="","",C1909="n/a","N/A",LEN(C1909),Concatenate("{",char(34),"asset",char(34),":{",char(34),"guid",char(34),":",char(34),Q1909,char(34),",",char(34),"site",char(34),":",char(34),LOWER('2-Building'!$B$4),char(34),",",char(34),"name",char(34),":",char(34),LOWER(C1909),char(34),"}}"))</f>
        <v>{"asset":{"guid":"uuid://b3171012-ffe5-412a-833f-225d0cec31f7","site":"in-blr-ananta","name":"vav-1481"}}</v>
      </c>
      <c r="S1909" s="360" t="s">
        <v>5516</v>
      </c>
      <c r="T1909" s="330"/>
      <c r="U1909" s="330"/>
      <c r="V1909" s="331"/>
      <c r="W1909" s="332"/>
      <c r="X1909" s="333"/>
      <c r="Y1909" s="33" t="s">
        <v>2867</v>
      </c>
      <c r="Z1909" s="258">
        <v>121481.0</v>
      </c>
      <c r="AA1909" s="334">
        <v>11655.0</v>
      </c>
      <c r="AB1909" s="333"/>
      <c r="AC1909" s="333"/>
      <c r="AD1909" s="329"/>
      <c r="AE1909" s="331"/>
      <c r="AF1909" s="336"/>
      <c r="AG1909" s="337"/>
      <c r="AH1909" s="333"/>
      <c r="AI1909" s="333"/>
      <c r="AJ1909" s="333"/>
      <c r="AK1909" s="333"/>
      <c r="AL1909" s="333"/>
      <c r="AM1909" s="338"/>
      <c r="AN1909" s="333"/>
      <c r="AO1909" s="333"/>
      <c r="AP1909" s="333"/>
      <c r="AQ1909" s="333"/>
      <c r="AR1909" s="333"/>
      <c r="AS1909" s="333"/>
      <c r="AT1909" s="333"/>
      <c r="AU1909" s="329"/>
      <c r="AV1909" s="341"/>
      <c r="AW1909" s="269" t="s">
        <v>1277</v>
      </c>
      <c r="AX1909" s="334" t="s">
        <v>2869</v>
      </c>
      <c r="AY1909" s="270" t="s">
        <v>695</v>
      </c>
      <c r="AZ1909" s="173" t="s">
        <v>5516</v>
      </c>
      <c r="BA1909" s="265">
        <v>10.0</v>
      </c>
      <c r="BB1909" s="174" t="s">
        <v>245</v>
      </c>
      <c r="BC1909" s="341"/>
      <c r="BD1909" s="308"/>
      <c r="BE1909" s="342"/>
      <c r="BF1909" s="274" t="str">
        <f>IFERROR(__xludf.DUMMYFUNCTION("LOWER(Regexreplace(to_text(E1909),""[^A-Za-z0-9]"","""")&amp;""_""&amp;Regexreplace(to_text(F1909),""[^A-Za-z0-9]"",""""))"),"neptronic_evcbseries")</f>
        <v>neptronic_evcbseries</v>
      </c>
      <c r="BG1909" s="275" t="str">
        <f>IFERROR(__xludf.DUMMYFUNCTION("upper(Regexreplace(to_text(E1909),""[^A-Za-z0-9]"","""")&amp;""-""&amp;Regexreplace(to_text(F1909),""[^A-Za-z0-9]"",""""))"),"NEPTRONIC-EVCBSERIES")</f>
        <v>NEPTRONIC-EVCBSERIES</v>
      </c>
    </row>
    <row r="1910" ht="30.0" customHeight="1">
      <c r="A1910" s="258">
        <v>1902.0</v>
      </c>
      <c r="B1910" s="328" t="s">
        <v>670</v>
      </c>
      <c r="C1910" s="257" t="s">
        <v>7023</v>
      </c>
      <c r="D1910" s="173" t="s">
        <v>7023</v>
      </c>
      <c r="E1910" s="174" t="s">
        <v>2861</v>
      </c>
      <c r="F1910" s="173" t="s">
        <v>2862</v>
      </c>
      <c r="G1910" s="328" t="s">
        <v>673</v>
      </c>
      <c r="H1910" s="328" t="s">
        <v>2863</v>
      </c>
      <c r="I1910" s="258" t="s">
        <v>2864</v>
      </c>
      <c r="J1910" s="259" t="s">
        <v>1272</v>
      </c>
      <c r="K1910" s="260"/>
      <c r="L1910" s="359"/>
      <c r="M1910" s="359"/>
      <c r="N1910" s="173" t="s">
        <v>679</v>
      </c>
      <c r="O1910" s="173" t="s">
        <v>225</v>
      </c>
      <c r="P1910" s="262" t="str">
        <f t="shared" si="1"/>
        <v>IN-BLR-ANANTA-VAV-1482_8</v>
      </c>
      <c r="Q1910" s="173" t="s">
        <v>7024</v>
      </c>
      <c r="R1910" s="328" t="str">
        <f>IFS(C1910="","",C1910="n/a","N/A",LEN(C1910),Concatenate("{",char(34),"asset",char(34),":{",char(34),"guid",char(34),":",char(34),Q1910,char(34),",",char(34),"site",char(34),":",char(34),LOWER('2-Building'!$B$4),char(34),",",char(34),"name",char(34),":",char(34),LOWER(C1910),char(34),"}}"))</f>
        <v>{"asset":{"guid":"uuid://2ccb73cb-e563-4f3f-b428-ab6d80802ccd","site":"in-blr-ananta","name":"vav-1482"}}</v>
      </c>
      <c r="S1910" s="360" t="s">
        <v>5516</v>
      </c>
      <c r="T1910" s="330"/>
      <c r="U1910" s="330"/>
      <c r="V1910" s="331"/>
      <c r="W1910" s="332"/>
      <c r="X1910" s="333"/>
      <c r="Y1910" s="33" t="s">
        <v>2867</v>
      </c>
      <c r="Z1910" s="258">
        <v>121482.0</v>
      </c>
      <c r="AA1910" s="334">
        <v>11655.0</v>
      </c>
      <c r="AB1910" s="333"/>
      <c r="AC1910" s="333"/>
      <c r="AD1910" s="329"/>
      <c r="AE1910" s="331"/>
      <c r="AF1910" s="336"/>
      <c r="AG1910" s="337"/>
      <c r="AH1910" s="333"/>
      <c r="AI1910" s="333"/>
      <c r="AJ1910" s="333"/>
      <c r="AK1910" s="333"/>
      <c r="AL1910" s="333"/>
      <c r="AM1910" s="338"/>
      <c r="AN1910" s="333"/>
      <c r="AO1910" s="333"/>
      <c r="AP1910" s="333"/>
      <c r="AQ1910" s="333"/>
      <c r="AR1910" s="333"/>
      <c r="AS1910" s="333"/>
      <c r="AT1910" s="333"/>
      <c r="AU1910" s="329"/>
      <c r="AV1910" s="341"/>
      <c r="AW1910" s="269" t="s">
        <v>1277</v>
      </c>
      <c r="AX1910" s="334" t="s">
        <v>2869</v>
      </c>
      <c r="AY1910" s="270" t="s">
        <v>695</v>
      </c>
      <c r="AZ1910" s="173" t="s">
        <v>5516</v>
      </c>
      <c r="BA1910" s="265">
        <v>10.0</v>
      </c>
      <c r="BB1910" s="174" t="s">
        <v>245</v>
      </c>
      <c r="BC1910" s="341"/>
      <c r="BD1910" s="308"/>
      <c r="BE1910" s="342"/>
      <c r="BF1910" s="274" t="str">
        <f>IFERROR(__xludf.DUMMYFUNCTION("LOWER(Regexreplace(to_text(E1910),""[^A-Za-z0-9]"","""")&amp;""_""&amp;Regexreplace(to_text(F1910),""[^A-Za-z0-9]"",""""))"),"neptronic_evcbseries")</f>
        <v>neptronic_evcbseries</v>
      </c>
      <c r="BG1910" s="275" t="str">
        <f>IFERROR(__xludf.DUMMYFUNCTION("upper(Regexreplace(to_text(E1910),""[^A-Za-z0-9]"","""")&amp;""-""&amp;Regexreplace(to_text(F1910),""[^A-Za-z0-9]"",""""))"),"NEPTRONIC-EVCBSERIES")</f>
        <v>NEPTRONIC-EVCBSERIES</v>
      </c>
    </row>
    <row r="1911" ht="30.0" customHeight="1">
      <c r="A1911" s="173">
        <v>1903.0</v>
      </c>
      <c r="B1911" s="328" t="s">
        <v>670</v>
      </c>
      <c r="C1911" s="257" t="s">
        <v>7025</v>
      </c>
      <c r="D1911" s="173" t="s">
        <v>7025</v>
      </c>
      <c r="E1911" s="174" t="s">
        <v>2861</v>
      </c>
      <c r="F1911" s="173" t="s">
        <v>2862</v>
      </c>
      <c r="G1911" s="328" t="s">
        <v>673</v>
      </c>
      <c r="H1911" s="328" t="s">
        <v>2863</v>
      </c>
      <c r="I1911" s="258" t="s">
        <v>2864</v>
      </c>
      <c r="J1911" s="259" t="s">
        <v>1272</v>
      </c>
      <c r="K1911" s="260"/>
      <c r="L1911" s="359"/>
      <c r="M1911" s="359"/>
      <c r="N1911" s="173" t="s">
        <v>679</v>
      </c>
      <c r="O1911" s="173" t="s">
        <v>225</v>
      </c>
      <c r="P1911" s="262" t="str">
        <f t="shared" si="1"/>
        <v>IN-BLR-ANANTA-VAV-1483_8</v>
      </c>
      <c r="Q1911" s="173" t="s">
        <v>7026</v>
      </c>
      <c r="R1911" s="328" t="str">
        <f>IFS(C1911="","",C1911="n/a","N/A",LEN(C1911),Concatenate("{",char(34),"asset",char(34),":{",char(34),"guid",char(34),":",char(34),Q1911,char(34),",",char(34),"site",char(34),":",char(34),LOWER('2-Building'!$B$4),char(34),",",char(34),"name",char(34),":",char(34),LOWER(C1911),char(34),"}}"))</f>
        <v>{"asset":{"guid":"uuid://a8437dfc-c5fe-4f50-8a70-dc68f14c644b","site":"in-blr-ananta","name":"vav-1483"}}</v>
      </c>
      <c r="S1911" s="360" t="s">
        <v>5516</v>
      </c>
      <c r="T1911" s="330"/>
      <c r="U1911" s="330"/>
      <c r="V1911" s="331"/>
      <c r="W1911" s="332"/>
      <c r="X1911" s="333"/>
      <c r="Y1911" s="33" t="s">
        <v>2867</v>
      </c>
      <c r="Z1911" s="258">
        <v>121483.0</v>
      </c>
      <c r="AA1911" s="334">
        <v>11655.0</v>
      </c>
      <c r="AB1911" s="333"/>
      <c r="AC1911" s="333"/>
      <c r="AD1911" s="329"/>
      <c r="AE1911" s="331"/>
      <c r="AF1911" s="336"/>
      <c r="AG1911" s="337"/>
      <c r="AH1911" s="333"/>
      <c r="AI1911" s="333"/>
      <c r="AJ1911" s="333"/>
      <c r="AK1911" s="333"/>
      <c r="AL1911" s="333"/>
      <c r="AM1911" s="338"/>
      <c r="AN1911" s="333"/>
      <c r="AO1911" s="333"/>
      <c r="AP1911" s="333"/>
      <c r="AQ1911" s="333"/>
      <c r="AR1911" s="333"/>
      <c r="AS1911" s="333"/>
      <c r="AT1911" s="333"/>
      <c r="AU1911" s="329"/>
      <c r="AV1911" s="341"/>
      <c r="AW1911" s="269" t="s">
        <v>1277</v>
      </c>
      <c r="AX1911" s="334" t="s">
        <v>2869</v>
      </c>
      <c r="AY1911" s="270" t="s">
        <v>695</v>
      </c>
      <c r="AZ1911" s="173" t="s">
        <v>5516</v>
      </c>
      <c r="BA1911" s="265">
        <v>10.0</v>
      </c>
      <c r="BB1911" s="174" t="s">
        <v>245</v>
      </c>
      <c r="BC1911" s="341"/>
      <c r="BD1911" s="308"/>
      <c r="BE1911" s="342"/>
      <c r="BF1911" s="274" t="str">
        <f>IFERROR(__xludf.DUMMYFUNCTION("LOWER(Regexreplace(to_text(E1911),""[^A-Za-z0-9]"","""")&amp;""_""&amp;Regexreplace(to_text(F1911),""[^A-Za-z0-9]"",""""))"),"neptronic_evcbseries")</f>
        <v>neptronic_evcbseries</v>
      </c>
      <c r="BG1911" s="275" t="str">
        <f>IFERROR(__xludf.DUMMYFUNCTION("upper(Regexreplace(to_text(E1911),""[^A-Za-z0-9]"","""")&amp;""-""&amp;Regexreplace(to_text(F1911),""[^A-Za-z0-9]"",""""))"),"NEPTRONIC-EVCBSERIES")</f>
        <v>NEPTRONIC-EVCBSERIES</v>
      </c>
    </row>
    <row r="1912" ht="30.0" customHeight="1">
      <c r="A1912" s="258">
        <v>1904.0</v>
      </c>
      <c r="B1912" s="328" t="s">
        <v>670</v>
      </c>
      <c r="C1912" s="257" t="s">
        <v>7027</v>
      </c>
      <c r="D1912" s="173" t="s">
        <v>7027</v>
      </c>
      <c r="E1912" s="174" t="s">
        <v>2861</v>
      </c>
      <c r="F1912" s="173" t="s">
        <v>2862</v>
      </c>
      <c r="G1912" s="328" t="s">
        <v>673</v>
      </c>
      <c r="H1912" s="328" t="s">
        <v>2863</v>
      </c>
      <c r="I1912" s="258" t="s">
        <v>2864</v>
      </c>
      <c r="J1912" s="259" t="s">
        <v>1272</v>
      </c>
      <c r="K1912" s="260"/>
      <c r="L1912" s="359"/>
      <c r="M1912" s="359"/>
      <c r="N1912" s="173" t="s">
        <v>679</v>
      </c>
      <c r="O1912" s="173" t="s">
        <v>225</v>
      </c>
      <c r="P1912" s="262" t="str">
        <f t="shared" si="1"/>
        <v>IN-BLR-ANANTA-VAV-1484_8</v>
      </c>
      <c r="Q1912" s="173" t="s">
        <v>7028</v>
      </c>
      <c r="R1912" s="328" t="str">
        <f>IFS(C1912="","",C1912="n/a","N/A",LEN(C1912),Concatenate("{",char(34),"asset",char(34),":{",char(34),"guid",char(34),":",char(34),Q1912,char(34),",",char(34),"site",char(34),":",char(34),LOWER('2-Building'!$B$4),char(34),",",char(34),"name",char(34),":",char(34),LOWER(C1912),char(34),"}}"))</f>
        <v>{"asset":{"guid":"uuid://b451556c-ce9e-4a9b-bd70-8d95132f2837","site":"in-blr-ananta","name":"vav-1484"}}</v>
      </c>
      <c r="S1912" s="360" t="s">
        <v>5516</v>
      </c>
      <c r="T1912" s="330"/>
      <c r="U1912" s="330"/>
      <c r="V1912" s="331"/>
      <c r="W1912" s="332"/>
      <c r="X1912" s="333"/>
      <c r="Y1912" s="33" t="s">
        <v>2867</v>
      </c>
      <c r="Z1912" s="258">
        <v>121484.0</v>
      </c>
      <c r="AA1912" s="334">
        <v>11655.0</v>
      </c>
      <c r="AB1912" s="333"/>
      <c r="AC1912" s="333"/>
      <c r="AD1912" s="329"/>
      <c r="AE1912" s="331"/>
      <c r="AF1912" s="336"/>
      <c r="AG1912" s="337"/>
      <c r="AH1912" s="333"/>
      <c r="AI1912" s="333"/>
      <c r="AJ1912" s="333"/>
      <c r="AK1912" s="333"/>
      <c r="AL1912" s="333"/>
      <c r="AM1912" s="338"/>
      <c r="AN1912" s="333"/>
      <c r="AO1912" s="333"/>
      <c r="AP1912" s="333"/>
      <c r="AQ1912" s="333"/>
      <c r="AR1912" s="333"/>
      <c r="AS1912" s="333"/>
      <c r="AT1912" s="333"/>
      <c r="AU1912" s="329"/>
      <c r="AV1912" s="341"/>
      <c r="AW1912" s="269" t="s">
        <v>1277</v>
      </c>
      <c r="AX1912" s="334" t="s">
        <v>2869</v>
      </c>
      <c r="AY1912" s="270" t="s">
        <v>695</v>
      </c>
      <c r="AZ1912" s="173" t="s">
        <v>5516</v>
      </c>
      <c r="BA1912" s="265">
        <v>10.0</v>
      </c>
      <c r="BB1912" s="174" t="s">
        <v>245</v>
      </c>
      <c r="BC1912" s="341"/>
      <c r="BD1912" s="308"/>
      <c r="BE1912" s="342"/>
      <c r="BF1912" s="274" t="str">
        <f>IFERROR(__xludf.DUMMYFUNCTION("LOWER(Regexreplace(to_text(E1912),""[^A-Za-z0-9]"","""")&amp;""_""&amp;Regexreplace(to_text(F1912),""[^A-Za-z0-9]"",""""))"),"neptronic_evcbseries")</f>
        <v>neptronic_evcbseries</v>
      </c>
      <c r="BG1912" s="275" t="str">
        <f>IFERROR(__xludf.DUMMYFUNCTION("upper(Regexreplace(to_text(E1912),""[^A-Za-z0-9]"","""")&amp;""-""&amp;Regexreplace(to_text(F1912),""[^A-Za-z0-9]"",""""))"),"NEPTRONIC-EVCBSERIES")</f>
        <v>NEPTRONIC-EVCBSERIES</v>
      </c>
    </row>
    <row r="1913" ht="30.0" customHeight="1">
      <c r="A1913" s="173">
        <v>1905.0</v>
      </c>
      <c r="B1913" s="328" t="s">
        <v>670</v>
      </c>
      <c r="C1913" s="257" t="s">
        <v>7029</v>
      </c>
      <c r="D1913" s="173" t="s">
        <v>7029</v>
      </c>
      <c r="E1913" s="174" t="s">
        <v>2861</v>
      </c>
      <c r="F1913" s="173" t="s">
        <v>2862</v>
      </c>
      <c r="G1913" s="328" t="s">
        <v>673</v>
      </c>
      <c r="H1913" s="328" t="s">
        <v>2863</v>
      </c>
      <c r="I1913" s="258" t="s">
        <v>2864</v>
      </c>
      <c r="J1913" s="259" t="s">
        <v>1272</v>
      </c>
      <c r="K1913" s="260"/>
      <c r="L1913" s="359"/>
      <c r="M1913" s="359"/>
      <c r="N1913" s="173" t="s">
        <v>679</v>
      </c>
      <c r="O1913" s="173" t="s">
        <v>225</v>
      </c>
      <c r="P1913" s="262" t="str">
        <f t="shared" si="1"/>
        <v>IN-BLR-ANANTA-VAV-1485_8</v>
      </c>
      <c r="Q1913" s="173" t="s">
        <v>7030</v>
      </c>
      <c r="R1913" s="328" t="str">
        <f>IFS(C1913="","",C1913="n/a","N/A",LEN(C1913),Concatenate("{",char(34),"asset",char(34),":{",char(34),"guid",char(34),":",char(34),Q1913,char(34),",",char(34),"site",char(34),":",char(34),LOWER('2-Building'!$B$4),char(34),",",char(34),"name",char(34),":",char(34),LOWER(C1913),char(34),"}}"))</f>
        <v>{"asset":{"guid":"uuid://ee062b9f-f4e3-4a69-9f8b-cfc78d23ea64","site":"in-blr-ananta","name":"vav-1485"}}</v>
      </c>
      <c r="S1913" s="360" t="s">
        <v>5516</v>
      </c>
      <c r="T1913" s="330"/>
      <c r="U1913" s="330"/>
      <c r="V1913" s="331"/>
      <c r="W1913" s="332"/>
      <c r="X1913" s="333"/>
      <c r="Y1913" s="33" t="s">
        <v>2867</v>
      </c>
      <c r="Z1913" s="258">
        <v>121485.0</v>
      </c>
      <c r="AA1913" s="334">
        <v>11655.0</v>
      </c>
      <c r="AB1913" s="333"/>
      <c r="AC1913" s="333"/>
      <c r="AD1913" s="329"/>
      <c r="AE1913" s="331"/>
      <c r="AF1913" s="336"/>
      <c r="AG1913" s="337"/>
      <c r="AH1913" s="333"/>
      <c r="AI1913" s="333"/>
      <c r="AJ1913" s="333"/>
      <c r="AK1913" s="333"/>
      <c r="AL1913" s="333"/>
      <c r="AM1913" s="338"/>
      <c r="AN1913" s="333"/>
      <c r="AO1913" s="333"/>
      <c r="AP1913" s="333"/>
      <c r="AQ1913" s="333"/>
      <c r="AR1913" s="333"/>
      <c r="AS1913" s="333"/>
      <c r="AT1913" s="333"/>
      <c r="AU1913" s="329"/>
      <c r="AV1913" s="341"/>
      <c r="AW1913" s="269" t="s">
        <v>1277</v>
      </c>
      <c r="AX1913" s="334" t="s">
        <v>2869</v>
      </c>
      <c r="AY1913" s="270" t="s">
        <v>695</v>
      </c>
      <c r="AZ1913" s="173" t="s">
        <v>5516</v>
      </c>
      <c r="BA1913" s="265">
        <v>10.0</v>
      </c>
      <c r="BB1913" s="174" t="s">
        <v>245</v>
      </c>
      <c r="BC1913" s="341"/>
      <c r="BD1913" s="308"/>
      <c r="BE1913" s="342"/>
      <c r="BF1913" s="274" t="str">
        <f>IFERROR(__xludf.DUMMYFUNCTION("LOWER(Regexreplace(to_text(E1913),""[^A-Za-z0-9]"","""")&amp;""_""&amp;Regexreplace(to_text(F1913),""[^A-Za-z0-9]"",""""))"),"neptronic_evcbseries")</f>
        <v>neptronic_evcbseries</v>
      </c>
      <c r="BG1913" s="275" t="str">
        <f>IFERROR(__xludf.DUMMYFUNCTION("upper(Regexreplace(to_text(E1913),""[^A-Za-z0-9]"","""")&amp;""-""&amp;Regexreplace(to_text(F1913),""[^A-Za-z0-9]"",""""))"),"NEPTRONIC-EVCBSERIES")</f>
        <v>NEPTRONIC-EVCBSERIES</v>
      </c>
    </row>
    <row r="1914" ht="30.0" customHeight="1">
      <c r="A1914" s="258">
        <v>1906.0</v>
      </c>
      <c r="B1914" s="328" t="s">
        <v>670</v>
      </c>
      <c r="C1914" s="257" t="s">
        <v>7031</v>
      </c>
      <c r="D1914" s="173" t="s">
        <v>7031</v>
      </c>
      <c r="E1914" s="174" t="s">
        <v>2861</v>
      </c>
      <c r="F1914" s="173" t="s">
        <v>2862</v>
      </c>
      <c r="G1914" s="328" t="s">
        <v>673</v>
      </c>
      <c r="H1914" s="328" t="s">
        <v>2863</v>
      </c>
      <c r="I1914" s="258" t="s">
        <v>2864</v>
      </c>
      <c r="J1914" s="259" t="s">
        <v>1272</v>
      </c>
      <c r="K1914" s="260"/>
      <c r="L1914" s="359"/>
      <c r="M1914" s="359"/>
      <c r="N1914" s="173" t="s">
        <v>679</v>
      </c>
      <c r="O1914" s="173" t="s">
        <v>225</v>
      </c>
      <c r="P1914" s="262" t="str">
        <f t="shared" si="1"/>
        <v>IN-BLR-ANANTA-VAV-1486_8</v>
      </c>
      <c r="Q1914" s="173" t="s">
        <v>7032</v>
      </c>
      <c r="R1914" s="328" t="str">
        <f>IFS(C1914="","",C1914="n/a","N/A",LEN(C1914),Concatenate("{",char(34),"asset",char(34),":{",char(34),"guid",char(34),":",char(34),Q1914,char(34),",",char(34),"site",char(34),":",char(34),LOWER('2-Building'!$B$4),char(34),",",char(34),"name",char(34),":",char(34),LOWER(C1914),char(34),"}}"))</f>
        <v>{"asset":{"guid":"uuid://8e6da2a7-b759-4d18-ab3e-6a3765d9c89a","site":"in-blr-ananta","name":"vav-1486"}}</v>
      </c>
      <c r="S1914" s="360" t="s">
        <v>5516</v>
      </c>
      <c r="T1914" s="330"/>
      <c r="U1914" s="330"/>
      <c r="V1914" s="331"/>
      <c r="W1914" s="332"/>
      <c r="X1914" s="333"/>
      <c r="Y1914" s="33" t="s">
        <v>2867</v>
      </c>
      <c r="Z1914" s="258">
        <v>121486.0</v>
      </c>
      <c r="AA1914" s="334">
        <v>11655.0</v>
      </c>
      <c r="AB1914" s="333"/>
      <c r="AC1914" s="333"/>
      <c r="AD1914" s="329"/>
      <c r="AE1914" s="331"/>
      <c r="AF1914" s="336"/>
      <c r="AG1914" s="337"/>
      <c r="AH1914" s="333"/>
      <c r="AI1914" s="333"/>
      <c r="AJ1914" s="333"/>
      <c r="AK1914" s="333"/>
      <c r="AL1914" s="333"/>
      <c r="AM1914" s="338"/>
      <c r="AN1914" s="333"/>
      <c r="AO1914" s="333"/>
      <c r="AP1914" s="333"/>
      <c r="AQ1914" s="333"/>
      <c r="AR1914" s="333"/>
      <c r="AS1914" s="333"/>
      <c r="AT1914" s="333"/>
      <c r="AU1914" s="329"/>
      <c r="AV1914" s="341"/>
      <c r="AW1914" s="269" t="s">
        <v>1277</v>
      </c>
      <c r="AX1914" s="334" t="s">
        <v>2869</v>
      </c>
      <c r="AY1914" s="270" t="s">
        <v>695</v>
      </c>
      <c r="AZ1914" s="173" t="s">
        <v>5516</v>
      </c>
      <c r="BA1914" s="265">
        <v>10.0</v>
      </c>
      <c r="BB1914" s="174" t="s">
        <v>245</v>
      </c>
      <c r="BC1914" s="341"/>
      <c r="BD1914" s="308"/>
      <c r="BE1914" s="342"/>
      <c r="BF1914" s="274" t="str">
        <f>IFERROR(__xludf.DUMMYFUNCTION("LOWER(Regexreplace(to_text(E1914),""[^A-Za-z0-9]"","""")&amp;""_""&amp;Regexreplace(to_text(F1914),""[^A-Za-z0-9]"",""""))"),"neptronic_evcbseries")</f>
        <v>neptronic_evcbseries</v>
      </c>
      <c r="BG1914" s="275" t="str">
        <f>IFERROR(__xludf.DUMMYFUNCTION("upper(Regexreplace(to_text(E1914),""[^A-Za-z0-9]"","""")&amp;""-""&amp;Regexreplace(to_text(F1914),""[^A-Za-z0-9]"",""""))"),"NEPTRONIC-EVCBSERIES")</f>
        <v>NEPTRONIC-EVCBSERIES</v>
      </c>
    </row>
    <row r="1915" ht="30.0" customHeight="1">
      <c r="A1915" s="173">
        <v>1907.0</v>
      </c>
      <c r="B1915" s="328" t="s">
        <v>670</v>
      </c>
      <c r="C1915" s="257" t="s">
        <v>7033</v>
      </c>
      <c r="D1915" s="173" t="s">
        <v>7033</v>
      </c>
      <c r="E1915" s="174" t="s">
        <v>2861</v>
      </c>
      <c r="F1915" s="173" t="s">
        <v>2862</v>
      </c>
      <c r="G1915" s="328" t="s">
        <v>673</v>
      </c>
      <c r="H1915" s="328" t="s">
        <v>2863</v>
      </c>
      <c r="I1915" s="258" t="s">
        <v>2864</v>
      </c>
      <c r="J1915" s="259" t="s">
        <v>1272</v>
      </c>
      <c r="K1915" s="260"/>
      <c r="L1915" s="359"/>
      <c r="M1915" s="359"/>
      <c r="N1915" s="173" t="s">
        <v>679</v>
      </c>
      <c r="O1915" s="173" t="s">
        <v>225</v>
      </c>
      <c r="P1915" s="262" t="str">
        <f t="shared" si="1"/>
        <v>IN-BLR-ANANTA-VAV-1487_8</v>
      </c>
      <c r="Q1915" s="173" t="s">
        <v>7034</v>
      </c>
      <c r="R1915" s="328" t="str">
        <f>IFS(C1915="","",C1915="n/a","N/A",LEN(C1915),Concatenate("{",char(34),"asset",char(34),":{",char(34),"guid",char(34),":",char(34),Q1915,char(34),",",char(34),"site",char(34),":",char(34),LOWER('2-Building'!$B$4),char(34),",",char(34),"name",char(34),":",char(34),LOWER(C1915),char(34),"}}"))</f>
        <v>{"asset":{"guid":"uuid://e7cefd51-ac65-4e8d-b4e4-c83358ebae7f","site":"in-blr-ananta","name":"vav-1487"}}</v>
      </c>
      <c r="S1915" s="360" t="s">
        <v>5516</v>
      </c>
      <c r="T1915" s="330"/>
      <c r="U1915" s="330"/>
      <c r="V1915" s="331"/>
      <c r="W1915" s="332"/>
      <c r="X1915" s="333"/>
      <c r="Y1915" s="33" t="s">
        <v>2867</v>
      </c>
      <c r="Z1915" s="258">
        <v>121487.0</v>
      </c>
      <c r="AA1915" s="334">
        <v>11655.0</v>
      </c>
      <c r="AB1915" s="333"/>
      <c r="AC1915" s="333"/>
      <c r="AD1915" s="329"/>
      <c r="AE1915" s="331"/>
      <c r="AF1915" s="336"/>
      <c r="AG1915" s="337"/>
      <c r="AH1915" s="333"/>
      <c r="AI1915" s="333"/>
      <c r="AJ1915" s="333"/>
      <c r="AK1915" s="333"/>
      <c r="AL1915" s="333"/>
      <c r="AM1915" s="338"/>
      <c r="AN1915" s="333"/>
      <c r="AO1915" s="333"/>
      <c r="AP1915" s="333"/>
      <c r="AQ1915" s="333"/>
      <c r="AR1915" s="333"/>
      <c r="AS1915" s="333"/>
      <c r="AT1915" s="333"/>
      <c r="AU1915" s="329"/>
      <c r="AV1915" s="341"/>
      <c r="AW1915" s="269" t="s">
        <v>1277</v>
      </c>
      <c r="AX1915" s="334" t="s">
        <v>2869</v>
      </c>
      <c r="AY1915" s="270" t="s">
        <v>695</v>
      </c>
      <c r="AZ1915" s="173" t="s">
        <v>5516</v>
      </c>
      <c r="BA1915" s="265">
        <v>10.0</v>
      </c>
      <c r="BB1915" s="174" t="s">
        <v>245</v>
      </c>
      <c r="BC1915" s="341"/>
      <c r="BD1915" s="308"/>
      <c r="BE1915" s="342"/>
      <c r="BF1915" s="274" t="str">
        <f>IFERROR(__xludf.DUMMYFUNCTION("LOWER(Regexreplace(to_text(E1915),""[^A-Za-z0-9]"","""")&amp;""_""&amp;Regexreplace(to_text(F1915),""[^A-Za-z0-9]"",""""))"),"neptronic_evcbseries")</f>
        <v>neptronic_evcbseries</v>
      </c>
      <c r="BG1915" s="275" t="str">
        <f>IFERROR(__xludf.DUMMYFUNCTION("upper(Regexreplace(to_text(E1915),""[^A-Za-z0-9]"","""")&amp;""-""&amp;Regexreplace(to_text(F1915),""[^A-Za-z0-9]"",""""))"),"NEPTRONIC-EVCBSERIES")</f>
        <v>NEPTRONIC-EVCBSERIES</v>
      </c>
    </row>
    <row r="1916" ht="30.0" customHeight="1">
      <c r="A1916" s="258">
        <v>1908.0</v>
      </c>
      <c r="B1916" s="328" t="s">
        <v>670</v>
      </c>
      <c r="C1916" s="257" t="s">
        <v>7035</v>
      </c>
      <c r="D1916" s="173" t="s">
        <v>7035</v>
      </c>
      <c r="E1916" s="174" t="s">
        <v>2861</v>
      </c>
      <c r="F1916" s="173" t="s">
        <v>2862</v>
      </c>
      <c r="G1916" s="328" t="s">
        <v>673</v>
      </c>
      <c r="H1916" s="328" t="s">
        <v>2863</v>
      </c>
      <c r="I1916" s="258" t="s">
        <v>2864</v>
      </c>
      <c r="J1916" s="259" t="s">
        <v>1272</v>
      </c>
      <c r="K1916" s="260"/>
      <c r="L1916" s="359"/>
      <c r="M1916" s="359"/>
      <c r="N1916" s="173" t="s">
        <v>679</v>
      </c>
      <c r="O1916" s="173" t="s">
        <v>225</v>
      </c>
      <c r="P1916" s="262" t="str">
        <f t="shared" si="1"/>
        <v>IN-BLR-ANANTA-VAV-1488_8</v>
      </c>
      <c r="Q1916" s="173" t="s">
        <v>7036</v>
      </c>
      <c r="R1916" s="328" t="str">
        <f>IFS(C1916="","",C1916="n/a","N/A",LEN(C1916),Concatenate("{",char(34),"asset",char(34),":{",char(34),"guid",char(34),":",char(34),Q1916,char(34),",",char(34),"site",char(34),":",char(34),LOWER('2-Building'!$B$4),char(34),",",char(34),"name",char(34),":",char(34),LOWER(C1916),char(34),"}}"))</f>
        <v>{"asset":{"guid":"uuid://f12c7c21-1e88-47db-9482-8122a1733fc0","site":"in-blr-ananta","name":"vav-1488"}}</v>
      </c>
      <c r="S1916" s="360" t="s">
        <v>5516</v>
      </c>
      <c r="T1916" s="330"/>
      <c r="U1916" s="330"/>
      <c r="V1916" s="331"/>
      <c r="W1916" s="332"/>
      <c r="X1916" s="333"/>
      <c r="Y1916" s="33" t="s">
        <v>2867</v>
      </c>
      <c r="Z1916" s="258">
        <v>121488.0</v>
      </c>
      <c r="AA1916" s="334">
        <v>11655.0</v>
      </c>
      <c r="AB1916" s="333"/>
      <c r="AC1916" s="333"/>
      <c r="AD1916" s="329"/>
      <c r="AE1916" s="331"/>
      <c r="AF1916" s="336"/>
      <c r="AG1916" s="337"/>
      <c r="AH1916" s="333"/>
      <c r="AI1916" s="333"/>
      <c r="AJ1916" s="333"/>
      <c r="AK1916" s="333"/>
      <c r="AL1916" s="333"/>
      <c r="AM1916" s="338"/>
      <c r="AN1916" s="333"/>
      <c r="AO1916" s="333"/>
      <c r="AP1916" s="333"/>
      <c r="AQ1916" s="333"/>
      <c r="AR1916" s="333"/>
      <c r="AS1916" s="333"/>
      <c r="AT1916" s="333"/>
      <c r="AU1916" s="329"/>
      <c r="AV1916" s="341"/>
      <c r="AW1916" s="269" t="s">
        <v>1277</v>
      </c>
      <c r="AX1916" s="334" t="s">
        <v>2869</v>
      </c>
      <c r="AY1916" s="270" t="s">
        <v>695</v>
      </c>
      <c r="AZ1916" s="173" t="s">
        <v>5516</v>
      </c>
      <c r="BA1916" s="265">
        <v>10.0</v>
      </c>
      <c r="BB1916" s="174" t="s">
        <v>245</v>
      </c>
      <c r="BC1916" s="341"/>
      <c r="BD1916" s="308"/>
      <c r="BE1916" s="342"/>
      <c r="BF1916" s="274" t="str">
        <f>IFERROR(__xludf.DUMMYFUNCTION("LOWER(Regexreplace(to_text(E1916),""[^A-Za-z0-9]"","""")&amp;""_""&amp;Regexreplace(to_text(F1916),""[^A-Za-z0-9]"",""""))"),"neptronic_evcbseries")</f>
        <v>neptronic_evcbseries</v>
      </c>
      <c r="BG1916" s="275" t="str">
        <f>IFERROR(__xludf.DUMMYFUNCTION("upper(Regexreplace(to_text(E1916),""[^A-Za-z0-9]"","""")&amp;""-""&amp;Regexreplace(to_text(F1916),""[^A-Za-z0-9]"",""""))"),"NEPTRONIC-EVCBSERIES")</f>
        <v>NEPTRONIC-EVCBSERIES</v>
      </c>
    </row>
    <row r="1917" ht="30.0" customHeight="1">
      <c r="A1917" s="173">
        <v>1909.0</v>
      </c>
      <c r="B1917" s="328" t="s">
        <v>670</v>
      </c>
      <c r="C1917" s="257" t="s">
        <v>7037</v>
      </c>
      <c r="D1917" s="173" t="s">
        <v>7037</v>
      </c>
      <c r="E1917" s="174" t="s">
        <v>2861</v>
      </c>
      <c r="F1917" s="173" t="s">
        <v>2862</v>
      </c>
      <c r="G1917" s="328" t="s">
        <v>673</v>
      </c>
      <c r="H1917" s="328" t="s">
        <v>2863</v>
      </c>
      <c r="I1917" s="258" t="s">
        <v>2864</v>
      </c>
      <c r="J1917" s="259" t="s">
        <v>1272</v>
      </c>
      <c r="K1917" s="260"/>
      <c r="L1917" s="359"/>
      <c r="M1917" s="359"/>
      <c r="N1917" s="173" t="s">
        <v>679</v>
      </c>
      <c r="O1917" s="173" t="s">
        <v>225</v>
      </c>
      <c r="P1917" s="262" t="str">
        <f t="shared" si="1"/>
        <v>IN-BLR-ANANTA-VAV-1489_8</v>
      </c>
      <c r="Q1917" s="173" t="s">
        <v>7038</v>
      </c>
      <c r="R1917" s="328" t="str">
        <f>IFS(C1917="","",C1917="n/a","N/A",LEN(C1917),Concatenate("{",char(34),"asset",char(34),":{",char(34),"guid",char(34),":",char(34),Q1917,char(34),",",char(34),"site",char(34),":",char(34),LOWER('2-Building'!$B$4),char(34),",",char(34),"name",char(34),":",char(34),LOWER(C1917),char(34),"}}"))</f>
        <v>{"asset":{"guid":"uuid://f89be8f4-8f34-4592-b183-9bdf153767b2","site":"in-blr-ananta","name":"vav-1489"}}</v>
      </c>
      <c r="S1917" s="360" t="s">
        <v>5516</v>
      </c>
      <c r="T1917" s="330"/>
      <c r="U1917" s="330"/>
      <c r="V1917" s="331"/>
      <c r="W1917" s="332"/>
      <c r="X1917" s="333"/>
      <c r="Y1917" s="33" t="s">
        <v>2867</v>
      </c>
      <c r="Z1917" s="258">
        <v>121489.0</v>
      </c>
      <c r="AA1917" s="334">
        <v>11655.0</v>
      </c>
      <c r="AB1917" s="333"/>
      <c r="AC1917" s="333"/>
      <c r="AD1917" s="329"/>
      <c r="AE1917" s="331"/>
      <c r="AF1917" s="336"/>
      <c r="AG1917" s="337"/>
      <c r="AH1917" s="333"/>
      <c r="AI1917" s="333"/>
      <c r="AJ1917" s="333"/>
      <c r="AK1917" s="333"/>
      <c r="AL1917" s="333"/>
      <c r="AM1917" s="338"/>
      <c r="AN1917" s="333"/>
      <c r="AO1917" s="333"/>
      <c r="AP1917" s="333"/>
      <c r="AQ1917" s="333"/>
      <c r="AR1917" s="333"/>
      <c r="AS1917" s="333"/>
      <c r="AT1917" s="333"/>
      <c r="AU1917" s="329"/>
      <c r="AV1917" s="341"/>
      <c r="AW1917" s="269" t="s">
        <v>1277</v>
      </c>
      <c r="AX1917" s="334" t="s">
        <v>2869</v>
      </c>
      <c r="AY1917" s="270" t="s">
        <v>695</v>
      </c>
      <c r="AZ1917" s="173" t="s">
        <v>5516</v>
      </c>
      <c r="BA1917" s="265">
        <v>10.0</v>
      </c>
      <c r="BB1917" s="174" t="s">
        <v>245</v>
      </c>
      <c r="BC1917" s="341"/>
      <c r="BD1917" s="308"/>
      <c r="BE1917" s="342"/>
      <c r="BF1917" s="274" t="str">
        <f>IFERROR(__xludf.DUMMYFUNCTION("LOWER(Regexreplace(to_text(E1917),""[^A-Za-z0-9]"","""")&amp;""_""&amp;Regexreplace(to_text(F1917),""[^A-Za-z0-9]"",""""))"),"neptronic_evcbseries")</f>
        <v>neptronic_evcbseries</v>
      </c>
      <c r="BG1917" s="275" t="str">
        <f>IFERROR(__xludf.DUMMYFUNCTION("upper(Regexreplace(to_text(E1917),""[^A-Za-z0-9]"","""")&amp;""-""&amp;Regexreplace(to_text(F1917),""[^A-Za-z0-9]"",""""))"),"NEPTRONIC-EVCBSERIES")</f>
        <v>NEPTRONIC-EVCBSERIES</v>
      </c>
    </row>
    <row r="1918" ht="30.0" customHeight="1">
      <c r="A1918" s="258">
        <v>1910.0</v>
      </c>
      <c r="B1918" s="328" t="s">
        <v>670</v>
      </c>
      <c r="C1918" s="257" t="s">
        <v>7039</v>
      </c>
      <c r="D1918" s="173" t="s">
        <v>7039</v>
      </c>
      <c r="E1918" s="174" t="s">
        <v>2861</v>
      </c>
      <c r="F1918" s="173" t="s">
        <v>2862</v>
      </c>
      <c r="G1918" s="328" t="s">
        <v>673</v>
      </c>
      <c r="H1918" s="328" t="s">
        <v>2863</v>
      </c>
      <c r="I1918" s="258" t="s">
        <v>2864</v>
      </c>
      <c r="J1918" s="259" t="s">
        <v>1272</v>
      </c>
      <c r="K1918" s="260"/>
      <c r="L1918" s="359"/>
      <c r="M1918" s="359"/>
      <c r="N1918" s="173" t="s">
        <v>679</v>
      </c>
      <c r="O1918" s="173" t="s">
        <v>225</v>
      </c>
      <c r="P1918" s="262" t="str">
        <f t="shared" si="1"/>
        <v>IN-BLR-ANANTA-VAV-1490_8</v>
      </c>
      <c r="Q1918" s="173" t="s">
        <v>7040</v>
      </c>
      <c r="R1918" s="328" t="str">
        <f>IFS(C1918="","",C1918="n/a","N/A",LEN(C1918),Concatenate("{",char(34),"asset",char(34),":{",char(34),"guid",char(34),":",char(34),Q1918,char(34),",",char(34),"site",char(34),":",char(34),LOWER('2-Building'!$B$4),char(34),",",char(34),"name",char(34),":",char(34),LOWER(C1918),char(34),"}}"))</f>
        <v>{"asset":{"guid":"uuid://763b3895-31d0-4363-8206-73b1f76f8b80","site":"in-blr-ananta","name":"vav-1490"}}</v>
      </c>
      <c r="S1918" s="360" t="s">
        <v>5516</v>
      </c>
      <c r="T1918" s="330"/>
      <c r="U1918" s="330"/>
      <c r="V1918" s="331"/>
      <c r="W1918" s="332"/>
      <c r="X1918" s="333"/>
      <c r="Y1918" s="33" t="s">
        <v>2867</v>
      </c>
      <c r="Z1918" s="258">
        <v>121490.0</v>
      </c>
      <c r="AA1918" s="334">
        <v>11655.0</v>
      </c>
      <c r="AB1918" s="333"/>
      <c r="AC1918" s="333"/>
      <c r="AD1918" s="329"/>
      <c r="AE1918" s="331"/>
      <c r="AF1918" s="336"/>
      <c r="AG1918" s="337"/>
      <c r="AH1918" s="333"/>
      <c r="AI1918" s="333"/>
      <c r="AJ1918" s="333"/>
      <c r="AK1918" s="333"/>
      <c r="AL1918" s="333"/>
      <c r="AM1918" s="338"/>
      <c r="AN1918" s="333"/>
      <c r="AO1918" s="333"/>
      <c r="AP1918" s="333"/>
      <c r="AQ1918" s="333"/>
      <c r="AR1918" s="333"/>
      <c r="AS1918" s="333"/>
      <c r="AT1918" s="333"/>
      <c r="AU1918" s="329"/>
      <c r="AV1918" s="341"/>
      <c r="AW1918" s="269" t="s">
        <v>1277</v>
      </c>
      <c r="AX1918" s="334" t="s">
        <v>2869</v>
      </c>
      <c r="AY1918" s="270" t="s">
        <v>695</v>
      </c>
      <c r="AZ1918" s="173" t="s">
        <v>5516</v>
      </c>
      <c r="BA1918" s="265">
        <v>10.0</v>
      </c>
      <c r="BB1918" s="174" t="s">
        <v>245</v>
      </c>
      <c r="BC1918" s="341"/>
      <c r="BD1918" s="308"/>
      <c r="BE1918" s="342"/>
      <c r="BF1918" s="274" t="str">
        <f>IFERROR(__xludf.DUMMYFUNCTION("LOWER(Regexreplace(to_text(E1918),""[^A-Za-z0-9]"","""")&amp;""_""&amp;Regexreplace(to_text(F1918),""[^A-Za-z0-9]"",""""))"),"neptronic_evcbseries")</f>
        <v>neptronic_evcbseries</v>
      </c>
      <c r="BG1918" s="275" t="str">
        <f>IFERROR(__xludf.DUMMYFUNCTION("upper(Regexreplace(to_text(E1918),""[^A-Za-z0-9]"","""")&amp;""-""&amp;Regexreplace(to_text(F1918),""[^A-Za-z0-9]"",""""))"),"NEPTRONIC-EVCBSERIES")</f>
        <v>NEPTRONIC-EVCBSERIES</v>
      </c>
    </row>
    <row r="1919" ht="30.0" customHeight="1">
      <c r="A1919" s="173">
        <v>1911.0</v>
      </c>
      <c r="B1919" s="328" t="s">
        <v>670</v>
      </c>
      <c r="C1919" s="257" t="s">
        <v>7041</v>
      </c>
      <c r="D1919" s="173" t="s">
        <v>7041</v>
      </c>
      <c r="E1919" s="174" t="s">
        <v>2861</v>
      </c>
      <c r="F1919" s="173" t="s">
        <v>2862</v>
      </c>
      <c r="G1919" s="328" t="s">
        <v>673</v>
      </c>
      <c r="H1919" s="328" t="s">
        <v>2863</v>
      </c>
      <c r="I1919" s="258" t="s">
        <v>2864</v>
      </c>
      <c r="J1919" s="259" t="s">
        <v>1272</v>
      </c>
      <c r="K1919" s="260"/>
      <c r="L1919" s="359"/>
      <c r="M1919" s="359"/>
      <c r="N1919" s="173" t="s">
        <v>679</v>
      </c>
      <c r="O1919" s="173" t="s">
        <v>225</v>
      </c>
      <c r="P1919" s="262" t="str">
        <f t="shared" si="1"/>
        <v>IN-BLR-ANANTA-VAV-1491_8</v>
      </c>
      <c r="Q1919" s="173" t="s">
        <v>7042</v>
      </c>
      <c r="R1919" s="328" t="str">
        <f>IFS(C1919="","",C1919="n/a","N/A",LEN(C1919),Concatenate("{",char(34),"asset",char(34),":{",char(34),"guid",char(34),":",char(34),Q1919,char(34),",",char(34),"site",char(34),":",char(34),LOWER('2-Building'!$B$4),char(34),",",char(34),"name",char(34),":",char(34),LOWER(C1919),char(34),"}}"))</f>
        <v>{"asset":{"guid":"uuid://13df17dc-3744-4a05-a773-42244f743688","site":"in-blr-ananta","name":"vav-1491"}}</v>
      </c>
      <c r="S1919" s="360" t="s">
        <v>5516</v>
      </c>
      <c r="T1919" s="330"/>
      <c r="U1919" s="330"/>
      <c r="V1919" s="331"/>
      <c r="W1919" s="332"/>
      <c r="X1919" s="333"/>
      <c r="Y1919" s="33" t="s">
        <v>2867</v>
      </c>
      <c r="Z1919" s="258">
        <v>121491.0</v>
      </c>
      <c r="AA1919" s="334">
        <v>11655.0</v>
      </c>
      <c r="AB1919" s="333"/>
      <c r="AC1919" s="333"/>
      <c r="AD1919" s="329"/>
      <c r="AE1919" s="331"/>
      <c r="AF1919" s="336"/>
      <c r="AG1919" s="337"/>
      <c r="AH1919" s="333"/>
      <c r="AI1919" s="333"/>
      <c r="AJ1919" s="333"/>
      <c r="AK1919" s="333"/>
      <c r="AL1919" s="333"/>
      <c r="AM1919" s="338"/>
      <c r="AN1919" s="333"/>
      <c r="AO1919" s="333"/>
      <c r="AP1919" s="333"/>
      <c r="AQ1919" s="333"/>
      <c r="AR1919" s="333"/>
      <c r="AS1919" s="333"/>
      <c r="AT1919" s="333"/>
      <c r="AU1919" s="329"/>
      <c r="AV1919" s="341"/>
      <c r="AW1919" s="269" t="s">
        <v>1277</v>
      </c>
      <c r="AX1919" s="334" t="s">
        <v>2869</v>
      </c>
      <c r="AY1919" s="270" t="s">
        <v>695</v>
      </c>
      <c r="AZ1919" s="173" t="s">
        <v>5516</v>
      </c>
      <c r="BA1919" s="265">
        <v>10.0</v>
      </c>
      <c r="BB1919" s="174" t="s">
        <v>245</v>
      </c>
      <c r="BC1919" s="341"/>
      <c r="BD1919" s="308"/>
      <c r="BE1919" s="342"/>
      <c r="BF1919" s="274" t="str">
        <f>IFERROR(__xludf.DUMMYFUNCTION("LOWER(Regexreplace(to_text(E1919),""[^A-Za-z0-9]"","""")&amp;""_""&amp;Regexreplace(to_text(F1919),""[^A-Za-z0-9]"",""""))"),"neptronic_evcbseries")</f>
        <v>neptronic_evcbseries</v>
      </c>
      <c r="BG1919" s="275" t="str">
        <f>IFERROR(__xludf.DUMMYFUNCTION("upper(Regexreplace(to_text(E1919),""[^A-Za-z0-9]"","""")&amp;""-""&amp;Regexreplace(to_text(F1919),""[^A-Za-z0-9]"",""""))"),"NEPTRONIC-EVCBSERIES")</f>
        <v>NEPTRONIC-EVCBSERIES</v>
      </c>
    </row>
    <row r="1920" ht="30.0" customHeight="1">
      <c r="A1920" s="258">
        <v>1912.0</v>
      </c>
      <c r="B1920" s="328" t="s">
        <v>670</v>
      </c>
      <c r="C1920" s="257" t="s">
        <v>7043</v>
      </c>
      <c r="D1920" s="173" t="s">
        <v>7043</v>
      </c>
      <c r="E1920" s="174" t="s">
        <v>2861</v>
      </c>
      <c r="F1920" s="173" t="s">
        <v>2862</v>
      </c>
      <c r="G1920" s="328" t="s">
        <v>673</v>
      </c>
      <c r="H1920" s="328" t="s">
        <v>2863</v>
      </c>
      <c r="I1920" s="258" t="s">
        <v>2864</v>
      </c>
      <c r="J1920" s="259" t="s">
        <v>1272</v>
      </c>
      <c r="K1920" s="260"/>
      <c r="L1920" s="359"/>
      <c r="M1920" s="359"/>
      <c r="N1920" s="173" t="s">
        <v>679</v>
      </c>
      <c r="O1920" s="173" t="s">
        <v>225</v>
      </c>
      <c r="P1920" s="262" t="str">
        <f t="shared" si="1"/>
        <v>IN-BLR-ANANTA-VAV-1492_8</v>
      </c>
      <c r="Q1920" s="173" t="s">
        <v>7044</v>
      </c>
      <c r="R1920" s="328" t="str">
        <f>IFS(C1920="","",C1920="n/a","N/A",LEN(C1920),Concatenate("{",char(34),"asset",char(34),":{",char(34),"guid",char(34),":",char(34),Q1920,char(34),",",char(34),"site",char(34),":",char(34),LOWER('2-Building'!$B$4),char(34),",",char(34),"name",char(34),":",char(34),LOWER(C1920),char(34),"}}"))</f>
        <v>{"asset":{"guid":"uuid://70a2307b-ecef-45eb-8c1b-a225f658da1a","site":"in-blr-ananta","name":"vav-1492"}}</v>
      </c>
      <c r="S1920" s="360" t="s">
        <v>5516</v>
      </c>
      <c r="T1920" s="330"/>
      <c r="U1920" s="330"/>
      <c r="V1920" s="331"/>
      <c r="W1920" s="332"/>
      <c r="X1920" s="333"/>
      <c r="Y1920" s="33" t="s">
        <v>2867</v>
      </c>
      <c r="Z1920" s="258">
        <v>121492.0</v>
      </c>
      <c r="AA1920" s="334">
        <v>11655.0</v>
      </c>
      <c r="AB1920" s="333"/>
      <c r="AC1920" s="333"/>
      <c r="AD1920" s="329"/>
      <c r="AE1920" s="331"/>
      <c r="AF1920" s="336"/>
      <c r="AG1920" s="337"/>
      <c r="AH1920" s="333"/>
      <c r="AI1920" s="333"/>
      <c r="AJ1920" s="333"/>
      <c r="AK1920" s="333"/>
      <c r="AL1920" s="333"/>
      <c r="AM1920" s="338"/>
      <c r="AN1920" s="333"/>
      <c r="AO1920" s="333"/>
      <c r="AP1920" s="333"/>
      <c r="AQ1920" s="333"/>
      <c r="AR1920" s="333"/>
      <c r="AS1920" s="333"/>
      <c r="AT1920" s="333"/>
      <c r="AU1920" s="329"/>
      <c r="AV1920" s="341"/>
      <c r="AW1920" s="269" t="s">
        <v>1277</v>
      </c>
      <c r="AX1920" s="334" t="s">
        <v>2869</v>
      </c>
      <c r="AY1920" s="270" t="s">
        <v>695</v>
      </c>
      <c r="AZ1920" s="173" t="s">
        <v>5516</v>
      </c>
      <c r="BA1920" s="265">
        <v>10.0</v>
      </c>
      <c r="BB1920" s="174" t="s">
        <v>245</v>
      </c>
      <c r="BC1920" s="341"/>
      <c r="BD1920" s="308"/>
      <c r="BE1920" s="342"/>
      <c r="BF1920" s="274" t="str">
        <f>IFERROR(__xludf.DUMMYFUNCTION("LOWER(Regexreplace(to_text(E1920),""[^A-Za-z0-9]"","""")&amp;""_""&amp;Regexreplace(to_text(F1920),""[^A-Za-z0-9]"",""""))"),"neptronic_evcbseries")</f>
        <v>neptronic_evcbseries</v>
      </c>
      <c r="BG1920" s="275" t="str">
        <f>IFERROR(__xludf.DUMMYFUNCTION("upper(Regexreplace(to_text(E1920),""[^A-Za-z0-9]"","""")&amp;""-""&amp;Regexreplace(to_text(F1920),""[^A-Za-z0-9]"",""""))"),"NEPTRONIC-EVCBSERIES")</f>
        <v>NEPTRONIC-EVCBSERIES</v>
      </c>
    </row>
    <row r="1921" ht="30.0" customHeight="1">
      <c r="A1921" s="173">
        <v>1913.0</v>
      </c>
      <c r="B1921" s="328" t="s">
        <v>670</v>
      </c>
      <c r="C1921" s="257" t="s">
        <v>7045</v>
      </c>
      <c r="D1921" s="173" t="s">
        <v>7045</v>
      </c>
      <c r="E1921" s="174" t="s">
        <v>2861</v>
      </c>
      <c r="F1921" s="173" t="s">
        <v>2862</v>
      </c>
      <c r="G1921" s="328" t="s">
        <v>673</v>
      </c>
      <c r="H1921" s="328" t="s">
        <v>2863</v>
      </c>
      <c r="I1921" s="258" t="s">
        <v>2864</v>
      </c>
      <c r="J1921" s="259" t="s">
        <v>1272</v>
      </c>
      <c r="K1921" s="260"/>
      <c r="L1921" s="359"/>
      <c r="M1921" s="359"/>
      <c r="N1921" s="173" t="s">
        <v>679</v>
      </c>
      <c r="O1921" s="173" t="s">
        <v>225</v>
      </c>
      <c r="P1921" s="262" t="str">
        <f t="shared" si="1"/>
        <v>IN-BLR-ANANTA-VAV-1493_8</v>
      </c>
      <c r="Q1921" s="173" t="s">
        <v>7046</v>
      </c>
      <c r="R1921" s="328" t="str">
        <f>IFS(C1921="","",C1921="n/a","N/A",LEN(C1921),Concatenate("{",char(34),"asset",char(34),":{",char(34),"guid",char(34),":",char(34),Q1921,char(34),",",char(34),"site",char(34),":",char(34),LOWER('2-Building'!$B$4),char(34),",",char(34),"name",char(34),":",char(34),LOWER(C1921),char(34),"}}"))</f>
        <v>{"asset":{"guid":"uuid://8e549ad4-8864-41d6-a2f1-0a1605587673","site":"in-blr-ananta","name":"vav-1493"}}</v>
      </c>
      <c r="S1921" s="360" t="s">
        <v>5516</v>
      </c>
      <c r="T1921" s="330"/>
      <c r="U1921" s="330"/>
      <c r="V1921" s="331"/>
      <c r="W1921" s="332"/>
      <c r="X1921" s="333"/>
      <c r="Y1921" s="33" t="s">
        <v>2867</v>
      </c>
      <c r="Z1921" s="258">
        <v>121493.0</v>
      </c>
      <c r="AA1921" s="334">
        <v>11656.0</v>
      </c>
      <c r="AB1921" s="333"/>
      <c r="AC1921" s="333"/>
      <c r="AD1921" s="329"/>
      <c r="AE1921" s="331"/>
      <c r="AF1921" s="336"/>
      <c r="AG1921" s="337"/>
      <c r="AH1921" s="333"/>
      <c r="AI1921" s="333"/>
      <c r="AJ1921" s="333"/>
      <c r="AK1921" s="333"/>
      <c r="AL1921" s="333"/>
      <c r="AM1921" s="338"/>
      <c r="AN1921" s="333"/>
      <c r="AO1921" s="333"/>
      <c r="AP1921" s="333"/>
      <c r="AQ1921" s="333"/>
      <c r="AR1921" s="333"/>
      <c r="AS1921" s="333"/>
      <c r="AT1921" s="333"/>
      <c r="AU1921" s="329"/>
      <c r="AV1921" s="341"/>
      <c r="AW1921" s="269" t="s">
        <v>2456</v>
      </c>
      <c r="AX1921" s="334" t="s">
        <v>2869</v>
      </c>
      <c r="AY1921" s="270" t="s">
        <v>695</v>
      </c>
      <c r="AZ1921" s="173" t="s">
        <v>5516</v>
      </c>
      <c r="BA1921" s="265">
        <v>10.0</v>
      </c>
      <c r="BB1921" s="174" t="s">
        <v>245</v>
      </c>
      <c r="BC1921" s="341"/>
      <c r="BD1921" s="308"/>
      <c r="BE1921" s="342"/>
      <c r="BF1921" s="274" t="str">
        <f>IFERROR(__xludf.DUMMYFUNCTION("LOWER(Regexreplace(to_text(E1921),""[^A-Za-z0-9]"","""")&amp;""_""&amp;Regexreplace(to_text(F1921),""[^A-Za-z0-9]"",""""))"),"neptronic_evcbseries")</f>
        <v>neptronic_evcbseries</v>
      </c>
      <c r="BG1921" s="275" t="str">
        <f>IFERROR(__xludf.DUMMYFUNCTION("upper(Regexreplace(to_text(E1921),""[^A-Za-z0-9]"","""")&amp;""-""&amp;Regexreplace(to_text(F1921),""[^A-Za-z0-9]"",""""))"),"NEPTRONIC-EVCBSERIES")</f>
        <v>NEPTRONIC-EVCBSERIES</v>
      </c>
    </row>
    <row r="1922" ht="30.0" customHeight="1">
      <c r="A1922" s="258">
        <v>1914.0</v>
      </c>
      <c r="B1922" s="328" t="s">
        <v>670</v>
      </c>
      <c r="C1922" s="257" t="s">
        <v>7047</v>
      </c>
      <c r="D1922" s="173" t="s">
        <v>7047</v>
      </c>
      <c r="E1922" s="174" t="s">
        <v>2861</v>
      </c>
      <c r="F1922" s="173" t="s">
        <v>2862</v>
      </c>
      <c r="G1922" s="328" t="s">
        <v>673</v>
      </c>
      <c r="H1922" s="328" t="s">
        <v>2863</v>
      </c>
      <c r="I1922" s="258" t="s">
        <v>2864</v>
      </c>
      <c r="J1922" s="259" t="s">
        <v>1272</v>
      </c>
      <c r="K1922" s="260"/>
      <c r="L1922" s="359"/>
      <c r="M1922" s="359"/>
      <c r="N1922" s="173" t="s">
        <v>679</v>
      </c>
      <c r="O1922" s="173" t="s">
        <v>225</v>
      </c>
      <c r="P1922" s="262" t="str">
        <f t="shared" si="1"/>
        <v>IN-BLR-ANANTA-VAV-1494_8</v>
      </c>
      <c r="Q1922" s="173" t="s">
        <v>7048</v>
      </c>
      <c r="R1922" s="328" t="str">
        <f>IFS(C1922="","",C1922="n/a","N/A",LEN(C1922),Concatenate("{",char(34),"asset",char(34),":{",char(34),"guid",char(34),":",char(34),Q1922,char(34),",",char(34),"site",char(34),":",char(34),LOWER('2-Building'!$B$4),char(34),",",char(34),"name",char(34),":",char(34),LOWER(C1922),char(34),"}}"))</f>
        <v>{"asset":{"guid":"uuid://5729110e-05cb-4c1e-bf4b-e9df3c6edae7","site":"in-blr-ananta","name":"vav-1494"}}</v>
      </c>
      <c r="S1922" s="360" t="s">
        <v>5516</v>
      </c>
      <c r="T1922" s="330"/>
      <c r="U1922" s="330"/>
      <c r="V1922" s="331"/>
      <c r="W1922" s="332"/>
      <c r="X1922" s="333"/>
      <c r="Y1922" s="33" t="s">
        <v>2867</v>
      </c>
      <c r="Z1922" s="258">
        <v>121494.0</v>
      </c>
      <c r="AA1922" s="334">
        <v>11656.0</v>
      </c>
      <c r="AB1922" s="333"/>
      <c r="AC1922" s="333"/>
      <c r="AD1922" s="329"/>
      <c r="AE1922" s="331"/>
      <c r="AF1922" s="336"/>
      <c r="AG1922" s="337"/>
      <c r="AH1922" s="333"/>
      <c r="AI1922" s="333"/>
      <c r="AJ1922" s="333"/>
      <c r="AK1922" s="333"/>
      <c r="AL1922" s="333"/>
      <c r="AM1922" s="338"/>
      <c r="AN1922" s="333"/>
      <c r="AO1922" s="333"/>
      <c r="AP1922" s="333"/>
      <c r="AQ1922" s="333"/>
      <c r="AR1922" s="333"/>
      <c r="AS1922" s="333"/>
      <c r="AT1922" s="333"/>
      <c r="AU1922" s="329"/>
      <c r="AV1922" s="341"/>
      <c r="AW1922" s="269" t="s">
        <v>2456</v>
      </c>
      <c r="AX1922" s="334" t="s">
        <v>2869</v>
      </c>
      <c r="AY1922" s="270" t="s">
        <v>695</v>
      </c>
      <c r="AZ1922" s="173" t="s">
        <v>5516</v>
      </c>
      <c r="BA1922" s="265">
        <v>10.0</v>
      </c>
      <c r="BB1922" s="174" t="s">
        <v>245</v>
      </c>
      <c r="BC1922" s="341"/>
      <c r="BD1922" s="308"/>
      <c r="BE1922" s="342"/>
      <c r="BF1922" s="274" t="str">
        <f>IFERROR(__xludf.DUMMYFUNCTION("LOWER(Regexreplace(to_text(E1922),""[^A-Za-z0-9]"","""")&amp;""_""&amp;Regexreplace(to_text(F1922),""[^A-Za-z0-9]"",""""))"),"neptronic_evcbseries")</f>
        <v>neptronic_evcbseries</v>
      </c>
      <c r="BG1922" s="275" t="str">
        <f>IFERROR(__xludf.DUMMYFUNCTION("upper(Regexreplace(to_text(E1922),""[^A-Za-z0-9]"","""")&amp;""-""&amp;Regexreplace(to_text(F1922),""[^A-Za-z0-9]"",""""))"),"NEPTRONIC-EVCBSERIES")</f>
        <v>NEPTRONIC-EVCBSERIES</v>
      </c>
    </row>
    <row r="1923" ht="30.0" customHeight="1">
      <c r="A1923" s="173">
        <v>1915.0</v>
      </c>
      <c r="B1923" s="328" t="s">
        <v>670</v>
      </c>
      <c r="C1923" s="257" t="s">
        <v>7049</v>
      </c>
      <c r="D1923" s="173" t="s">
        <v>7049</v>
      </c>
      <c r="E1923" s="174" t="s">
        <v>2861</v>
      </c>
      <c r="F1923" s="173" t="s">
        <v>2862</v>
      </c>
      <c r="G1923" s="328" t="s">
        <v>673</v>
      </c>
      <c r="H1923" s="328" t="s">
        <v>2863</v>
      </c>
      <c r="I1923" s="258" t="s">
        <v>2864</v>
      </c>
      <c r="J1923" s="259" t="s">
        <v>1272</v>
      </c>
      <c r="K1923" s="260"/>
      <c r="L1923" s="359"/>
      <c r="M1923" s="359"/>
      <c r="N1923" s="173" t="s">
        <v>679</v>
      </c>
      <c r="O1923" s="173" t="s">
        <v>225</v>
      </c>
      <c r="P1923" s="262" t="str">
        <f t="shared" si="1"/>
        <v>IN-BLR-ANANTA-VAV-1495_8</v>
      </c>
      <c r="Q1923" s="173" t="s">
        <v>7050</v>
      </c>
      <c r="R1923" s="328" t="str">
        <f>IFS(C1923="","",C1923="n/a","N/A",LEN(C1923),Concatenate("{",char(34),"asset",char(34),":{",char(34),"guid",char(34),":",char(34),Q1923,char(34),",",char(34),"site",char(34),":",char(34),LOWER('2-Building'!$B$4),char(34),",",char(34),"name",char(34),":",char(34),LOWER(C1923),char(34),"}}"))</f>
        <v>{"asset":{"guid":"uuid://640d1590-c431-4b23-b99e-b1f41218f1d4","site":"in-blr-ananta","name":"vav-1495"}}</v>
      </c>
      <c r="S1923" s="360" t="s">
        <v>5516</v>
      </c>
      <c r="T1923" s="330"/>
      <c r="U1923" s="330"/>
      <c r="V1923" s="331"/>
      <c r="W1923" s="332"/>
      <c r="X1923" s="333"/>
      <c r="Y1923" s="33" t="s">
        <v>2867</v>
      </c>
      <c r="Z1923" s="258">
        <v>121495.0</v>
      </c>
      <c r="AA1923" s="334">
        <v>11656.0</v>
      </c>
      <c r="AB1923" s="333"/>
      <c r="AC1923" s="333"/>
      <c r="AD1923" s="329"/>
      <c r="AE1923" s="331"/>
      <c r="AF1923" s="336"/>
      <c r="AG1923" s="337"/>
      <c r="AH1923" s="333"/>
      <c r="AI1923" s="333"/>
      <c r="AJ1923" s="333"/>
      <c r="AK1923" s="333"/>
      <c r="AL1923" s="333"/>
      <c r="AM1923" s="338"/>
      <c r="AN1923" s="333"/>
      <c r="AO1923" s="333"/>
      <c r="AP1923" s="333"/>
      <c r="AQ1923" s="333"/>
      <c r="AR1923" s="333"/>
      <c r="AS1923" s="333"/>
      <c r="AT1923" s="333"/>
      <c r="AU1923" s="329"/>
      <c r="AV1923" s="341"/>
      <c r="AW1923" s="269" t="s">
        <v>2456</v>
      </c>
      <c r="AX1923" s="334" t="s">
        <v>2869</v>
      </c>
      <c r="AY1923" s="270" t="s">
        <v>695</v>
      </c>
      <c r="AZ1923" s="173" t="s">
        <v>5516</v>
      </c>
      <c r="BA1923" s="265">
        <v>10.0</v>
      </c>
      <c r="BB1923" s="174" t="s">
        <v>245</v>
      </c>
      <c r="BC1923" s="341"/>
      <c r="BD1923" s="308"/>
      <c r="BE1923" s="342"/>
      <c r="BF1923" s="274" t="str">
        <f>IFERROR(__xludf.DUMMYFUNCTION("LOWER(Regexreplace(to_text(E1923),""[^A-Za-z0-9]"","""")&amp;""_""&amp;Regexreplace(to_text(F1923),""[^A-Za-z0-9]"",""""))"),"neptronic_evcbseries")</f>
        <v>neptronic_evcbseries</v>
      </c>
      <c r="BG1923" s="275" t="str">
        <f>IFERROR(__xludf.DUMMYFUNCTION("upper(Regexreplace(to_text(E1923),""[^A-Za-z0-9]"","""")&amp;""-""&amp;Regexreplace(to_text(F1923),""[^A-Za-z0-9]"",""""))"),"NEPTRONIC-EVCBSERIES")</f>
        <v>NEPTRONIC-EVCBSERIES</v>
      </c>
    </row>
    <row r="1924" ht="30.0" customHeight="1">
      <c r="A1924" s="258">
        <v>1916.0</v>
      </c>
      <c r="B1924" s="328" t="s">
        <v>670</v>
      </c>
      <c r="C1924" s="257" t="s">
        <v>7051</v>
      </c>
      <c r="D1924" s="173" t="s">
        <v>7051</v>
      </c>
      <c r="E1924" s="174" t="s">
        <v>2861</v>
      </c>
      <c r="F1924" s="173" t="s">
        <v>2862</v>
      </c>
      <c r="G1924" s="328" t="s">
        <v>673</v>
      </c>
      <c r="H1924" s="328" t="s">
        <v>2863</v>
      </c>
      <c r="I1924" s="258" t="s">
        <v>2864</v>
      </c>
      <c r="J1924" s="259" t="s">
        <v>1272</v>
      </c>
      <c r="K1924" s="260"/>
      <c r="L1924" s="359"/>
      <c r="M1924" s="359"/>
      <c r="N1924" s="173" t="s">
        <v>679</v>
      </c>
      <c r="O1924" s="173" t="s">
        <v>225</v>
      </c>
      <c r="P1924" s="262" t="str">
        <f t="shared" si="1"/>
        <v>IN-BLR-ANANTA-VAV-1496_8</v>
      </c>
      <c r="Q1924" s="173" t="s">
        <v>7052</v>
      </c>
      <c r="R1924" s="328" t="str">
        <f>IFS(C1924="","",C1924="n/a","N/A",LEN(C1924),Concatenate("{",char(34),"asset",char(34),":{",char(34),"guid",char(34),":",char(34),Q1924,char(34),",",char(34),"site",char(34),":",char(34),LOWER('2-Building'!$B$4),char(34),",",char(34),"name",char(34),":",char(34),LOWER(C1924),char(34),"}}"))</f>
        <v>{"asset":{"guid":"uuid://d353595e-76cb-4381-912f-2c812a76000f","site":"in-blr-ananta","name":"vav-1496"}}</v>
      </c>
      <c r="S1924" s="360" t="s">
        <v>5516</v>
      </c>
      <c r="T1924" s="330"/>
      <c r="U1924" s="330"/>
      <c r="V1924" s="331"/>
      <c r="W1924" s="332"/>
      <c r="X1924" s="333"/>
      <c r="Y1924" s="33" t="s">
        <v>2867</v>
      </c>
      <c r="Z1924" s="258">
        <v>121496.0</v>
      </c>
      <c r="AA1924" s="334">
        <v>11656.0</v>
      </c>
      <c r="AB1924" s="333"/>
      <c r="AC1924" s="333"/>
      <c r="AD1924" s="329"/>
      <c r="AE1924" s="331"/>
      <c r="AF1924" s="336"/>
      <c r="AG1924" s="337"/>
      <c r="AH1924" s="333"/>
      <c r="AI1924" s="333"/>
      <c r="AJ1924" s="333"/>
      <c r="AK1924" s="333"/>
      <c r="AL1924" s="333"/>
      <c r="AM1924" s="338"/>
      <c r="AN1924" s="333"/>
      <c r="AO1924" s="333"/>
      <c r="AP1924" s="333"/>
      <c r="AQ1924" s="333"/>
      <c r="AR1924" s="333"/>
      <c r="AS1924" s="333"/>
      <c r="AT1924" s="333"/>
      <c r="AU1924" s="329"/>
      <c r="AV1924" s="341"/>
      <c r="AW1924" s="269" t="s">
        <v>2456</v>
      </c>
      <c r="AX1924" s="334" t="s">
        <v>2869</v>
      </c>
      <c r="AY1924" s="270" t="s">
        <v>695</v>
      </c>
      <c r="AZ1924" s="173" t="s">
        <v>5516</v>
      </c>
      <c r="BA1924" s="265">
        <v>10.0</v>
      </c>
      <c r="BB1924" s="174" t="s">
        <v>245</v>
      </c>
      <c r="BC1924" s="341"/>
      <c r="BD1924" s="308"/>
      <c r="BE1924" s="342"/>
      <c r="BF1924" s="274" t="str">
        <f>IFERROR(__xludf.DUMMYFUNCTION("LOWER(Regexreplace(to_text(E1924),""[^A-Za-z0-9]"","""")&amp;""_""&amp;Regexreplace(to_text(F1924),""[^A-Za-z0-9]"",""""))"),"neptronic_evcbseries")</f>
        <v>neptronic_evcbseries</v>
      </c>
      <c r="BG1924" s="275" t="str">
        <f>IFERROR(__xludf.DUMMYFUNCTION("upper(Regexreplace(to_text(E1924),""[^A-Za-z0-9]"","""")&amp;""-""&amp;Regexreplace(to_text(F1924),""[^A-Za-z0-9]"",""""))"),"NEPTRONIC-EVCBSERIES")</f>
        <v>NEPTRONIC-EVCBSERIES</v>
      </c>
    </row>
    <row r="1925" ht="30.0" customHeight="1">
      <c r="A1925" s="173">
        <v>1917.0</v>
      </c>
      <c r="B1925" s="328" t="s">
        <v>670</v>
      </c>
      <c r="C1925" s="257" t="s">
        <v>7053</v>
      </c>
      <c r="D1925" s="173" t="s">
        <v>7053</v>
      </c>
      <c r="E1925" s="174" t="s">
        <v>2861</v>
      </c>
      <c r="F1925" s="173" t="s">
        <v>2862</v>
      </c>
      <c r="G1925" s="328" t="s">
        <v>673</v>
      </c>
      <c r="H1925" s="328" t="s">
        <v>2863</v>
      </c>
      <c r="I1925" s="258" t="s">
        <v>2864</v>
      </c>
      <c r="J1925" s="259" t="s">
        <v>1272</v>
      </c>
      <c r="K1925" s="260"/>
      <c r="L1925" s="359"/>
      <c r="M1925" s="359"/>
      <c r="N1925" s="173" t="s">
        <v>679</v>
      </c>
      <c r="O1925" s="173" t="s">
        <v>225</v>
      </c>
      <c r="P1925" s="262" t="str">
        <f t="shared" si="1"/>
        <v>IN-BLR-ANANTA-VAV-1497_8</v>
      </c>
      <c r="Q1925" s="173" t="s">
        <v>7054</v>
      </c>
      <c r="R1925" s="328" t="str">
        <f>IFS(C1925="","",C1925="n/a","N/A",LEN(C1925),Concatenate("{",char(34),"asset",char(34),":{",char(34),"guid",char(34),":",char(34),Q1925,char(34),",",char(34),"site",char(34),":",char(34),LOWER('2-Building'!$B$4),char(34),",",char(34),"name",char(34),":",char(34),LOWER(C1925),char(34),"}}"))</f>
        <v>{"asset":{"guid":"uuid://59fd420f-b903-44c2-8a70-6277de8895f4","site":"in-blr-ananta","name":"vav-1497"}}</v>
      </c>
      <c r="S1925" s="360" t="s">
        <v>5516</v>
      </c>
      <c r="T1925" s="330"/>
      <c r="U1925" s="330"/>
      <c r="V1925" s="331"/>
      <c r="W1925" s="332"/>
      <c r="X1925" s="333"/>
      <c r="Y1925" s="33" t="s">
        <v>2867</v>
      </c>
      <c r="Z1925" s="258">
        <v>121497.0</v>
      </c>
      <c r="AA1925" s="334">
        <v>11656.0</v>
      </c>
      <c r="AB1925" s="333"/>
      <c r="AC1925" s="333"/>
      <c r="AD1925" s="329"/>
      <c r="AE1925" s="331"/>
      <c r="AF1925" s="336"/>
      <c r="AG1925" s="337"/>
      <c r="AH1925" s="333"/>
      <c r="AI1925" s="333"/>
      <c r="AJ1925" s="333"/>
      <c r="AK1925" s="333"/>
      <c r="AL1925" s="333"/>
      <c r="AM1925" s="338"/>
      <c r="AN1925" s="333"/>
      <c r="AO1925" s="333"/>
      <c r="AP1925" s="333"/>
      <c r="AQ1925" s="333"/>
      <c r="AR1925" s="333"/>
      <c r="AS1925" s="333"/>
      <c r="AT1925" s="333"/>
      <c r="AU1925" s="329"/>
      <c r="AV1925" s="341"/>
      <c r="AW1925" s="269" t="s">
        <v>2456</v>
      </c>
      <c r="AX1925" s="334" t="s">
        <v>2869</v>
      </c>
      <c r="AY1925" s="270" t="s">
        <v>695</v>
      </c>
      <c r="AZ1925" s="173" t="s">
        <v>5516</v>
      </c>
      <c r="BA1925" s="265">
        <v>10.0</v>
      </c>
      <c r="BB1925" s="174" t="s">
        <v>245</v>
      </c>
      <c r="BC1925" s="341"/>
      <c r="BD1925" s="308"/>
      <c r="BE1925" s="342"/>
      <c r="BF1925" s="274" t="str">
        <f>IFERROR(__xludf.DUMMYFUNCTION("LOWER(Regexreplace(to_text(E1925),""[^A-Za-z0-9]"","""")&amp;""_""&amp;Regexreplace(to_text(F1925),""[^A-Za-z0-9]"",""""))"),"neptronic_evcbseries")</f>
        <v>neptronic_evcbseries</v>
      </c>
      <c r="BG1925" s="275" t="str">
        <f>IFERROR(__xludf.DUMMYFUNCTION("upper(Regexreplace(to_text(E1925),""[^A-Za-z0-9]"","""")&amp;""-""&amp;Regexreplace(to_text(F1925),""[^A-Za-z0-9]"",""""))"),"NEPTRONIC-EVCBSERIES")</f>
        <v>NEPTRONIC-EVCBSERIES</v>
      </c>
    </row>
    <row r="1926" ht="30.0" customHeight="1">
      <c r="A1926" s="258">
        <v>1918.0</v>
      </c>
      <c r="B1926" s="328" t="s">
        <v>670</v>
      </c>
      <c r="C1926" s="257" t="s">
        <v>7055</v>
      </c>
      <c r="D1926" s="173" t="s">
        <v>7055</v>
      </c>
      <c r="E1926" s="174" t="s">
        <v>2861</v>
      </c>
      <c r="F1926" s="173" t="s">
        <v>2862</v>
      </c>
      <c r="G1926" s="328" t="s">
        <v>673</v>
      </c>
      <c r="H1926" s="328" t="s">
        <v>2863</v>
      </c>
      <c r="I1926" s="258" t="s">
        <v>2864</v>
      </c>
      <c r="J1926" s="259" t="s">
        <v>1272</v>
      </c>
      <c r="K1926" s="260"/>
      <c r="L1926" s="359"/>
      <c r="M1926" s="359"/>
      <c r="N1926" s="173" t="s">
        <v>679</v>
      </c>
      <c r="O1926" s="173" t="s">
        <v>225</v>
      </c>
      <c r="P1926" s="262" t="str">
        <f t="shared" si="1"/>
        <v>IN-BLR-ANANTA-VAV-1498_8</v>
      </c>
      <c r="Q1926" s="173" t="s">
        <v>7056</v>
      </c>
      <c r="R1926" s="328" t="str">
        <f>IFS(C1926="","",C1926="n/a","N/A",LEN(C1926),Concatenate("{",char(34),"asset",char(34),":{",char(34),"guid",char(34),":",char(34),Q1926,char(34),",",char(34),"site",char(34),":",char(34),LOWER('2-Building'!$B$4),char(34),",",char(34),"name",char(34),":",char(34),LOWER(C1926),char(34),"}}"))</f>
        <v>{"asset":{"guid":"uuid://3f158992-ba31-4681-aa79-b28f69377007","site":"in-blr-ananta","name":"vav-1498"}}</v>
      </c>
      <c r="S1926" s="360" t="s">
        <v>5516</v>
      </c>
      <c r="T1926" s="330"/>
      <c r="U1926" s="330"/>
      <c r="V1926" s="331"/>
      <c r="W1926" s="332"/>
      <c r="X1926" s="333"/>
      <c r="Y1926" s="33" t="s">
        <v>2867</v>
      </c>
      <c r="Z1926" s="258">
        <v>121498.0</v>
      </c>
      <c r="AA1926" s="334">
        <v>11656.0</v>
      </c>
      <c r="AB1926" s="333"/>
      <c r="AC1926" s="333"/>
      <c r="AD1926" s="329"/>
      <c r="AE1926" s="331"/>
      <c r="AF1926" s="336"/>
      <c r="AG1926" s="337"/>
      <c r="AH1926" s="333"/>
      <c r="AI1926" s="333"/>
      <c r="AJ1926" s="333"/>
      <c r="AK1926" s="333"/>
      <c r="AL1926" s="333"/>
      <c r="AM1926" s="338"/>
      <c r="AN1926" s="333"/>
      <c r="AO1926" s="333"/>
      <c r="AP1926" s="333"/>
      <c r="AQ1926" s="333"/>
      <c r="AR1926" s="333"/>
      <c r="AS1926" s="333"/>
      <c r="AT1926" s="333"/>
      <c r="AU1926" s="329"/>
      <c r="AV1926" s="341"/>
      <c r="AW1926" s="269" t="s">
        <v>2456</v>
      </c>
      <c r="AX1926" s="334" t="s">
        <v>2869</v>
      </c>
      <c r="AY1926" s="270" t="s">
        <v>695</v>
      </c>
      <c r="AZ1926" s="173" t="s">
        <v>5516</v>
      </c>
      <c r="BA1926" s="265">
        <v>10.0</v>
      </c>
      <c r="BB1926" s="174" t="s">
        <v>245</v>
      </c>
      <c r="BC1926" s="341"/>
      <c r="BD1926" s="308"/>
      <c r="BE1926" s="342"/>
      <c r="BF1926" s="274" t="str">
        <f>IFERROR(__xludf.DUMMYFUNCTION("LOWER(Regexreplace(to_text(E1926),""[^A-Za-z0-9]"","""")&amp;""_""&amp;Regexreplace(to_text(F1926),""[^A-Za-z0-9]"",""""))"),"neptronic_evcbseries")</f>
        <v>neptronic_evcbseries</v>
      </c>
      <c r="BG1926" s="275" t="str">
        <f>IFERROR(__xludf.DUMMYFUNCTION("upper(Regexreplace(to_text(E1926),""[^A-Za-z0-9]"","""")&amp;""-""&amp;Regexreplace(to_text(F1926),""[^A-Za-z0-9]"",""""))"),"NEPTRONIC-EVCBSERIES")</f>
        <v>NEPTRONIC-EVCBSERIES</v>
      </c>
    </row>
    <row r="1927" ht="30.0" customHeight="1">
      <c r="A1927" s="173">
        <v>1919.0</v>
      </c>
      <c r="B1927" s="328" t="s">
        <v>670</v>
      </c>
      <c r="C1927" s="257" t="s">
        <v>7057</v>
      </c>
      <c r="D1927" s="173" t="s">
        <v>7057</v>
      </c>
      <c r="E1927" s="174" t="s">
        <v>2861</v>
      </c>
      <c r="F1927" s="173" t="s">
        <v>2862</v>
      </c>
      <c r="G1927" s="328" t="s">
        <v>673</v>
      </c>
      <c r="H1927" s="328" t="s">
        <v>2863</v>
      </c>
      <c r="I1927" s="258" t="s">
        <v>2864</v>
      </c>
      <c r="J1927" s="259" t="s">
        <v>1272</v>
      </c>
      <c r="K1927" s="260"/>
      <c r="L1927" s="359"/>
      <c r="M1927" s="359"/>
      <c r="N1927" s="173" t="s">
        <v>679</v>
      </c>
      <c r="O1927" s="173" t="s">
        <v>225</v>
      </c>
      <c r="P1927" s="262" t="str">
        <f t="shared" si="1"/>
        <v>IN-BLR-ANANTA-VAV-1499_8</v>
      </c>
      <c r="Q1927" s="173" t="s">
        <v>7058</v>
      </c>
      <c r="R1927" s="328" t="str">
        <f>IFS(C1927="","",C1927="n/a","N/A",LEN(C1927),Concatenate("{",char(34),"asset",char(34),":{",char(34),"guid",char(34),":",char(34),Q1927,char(34),",",char(34),"site",char(34),":",char(34),LOWER('2-Building'!$B$4),char(34),",",char(34),"name",char(34),":",char(34),LOWER(C1927),char(34),"}}"))</f>
        <v>{"asset":{"guid":"uuid://b0ce1a3b-74c5-41a3-9bef-fb2107ec9234","site":"in-blr-ananta","name":"vav-1499"}}</v>
      </c>
      <c r="S1927" s="360" t="s">
        <v>5516</v>
      </c>
      <c r="T1927" s="330"/>
      <c r="U1927" s="330"/>
      <c r="V1927" s="331"/>
      <c r="W1927" s="332"/>
      <c r="X1927" s="333"/>
      <c r="Y1927" s="33" t="s">
        <v>2867</v>
      </c>
      <c r="Z1927" s="258">
        <v>121499.0</v>
      </c>
      <c r="AA1927" s="334">
        <v>11656.0</v>
      </c>
      <c r="AB1927" s="333"/>
      <c r="AC1927" s="333"/>
      <c r="AD1927" s="329"/>
      <c r="AE1927" s="331"/>
      <c r="AF1927" s="336"/>
      <c r="AG1927" s="337"/>
      <c r="AH1927" s="333"/>
      <c r="AI1927" s="333"/>
      <c r="AJ1927" s="333"/>
      <c r="AK1927" s="333"/>
      <c r="AL1927" s="333"/>
      <c r="AM1927" s="338"/>
      <c r="AN1927" s="333"/>
      <c r="AO1927" s="333"/>
      <c r="AP1927" s="333"/>
      <c r="AQ1927" s="333"/>
      <c r="AR1927" s="333"/>
      <c r="AS1927" s="333"/>
      <c r="AT1927" s="333"/>
      <c r="AU1927" s="329"/>
      <c r="AV1927" s="341"/>
      <c r="AW1927" s="269" t="s">
        <v>2456</v>
      </c>
      <c r="AX1927" s="334" t="s">
        <v>2869</v>
      </c>
      <c r="AY1927" s="270" t="s">
        <v>695</v>
      </c>
      <c r="AZ1927" s="173" t="s">
        <v>5516</v>
      </c>
      <c r="BA1927" s="265">
        <v>10.0</v>
      </c>
      <c r="BB1927" s="174" t="s">
        <v>245</v>
      </c>
      <c r="BC1927" s="341"/>
      <c r="BD1927" s="308"/>
      <c r="BE1927" s="342"/>
      <c r="BF1927" s="274" t="str">
        <f>IFERROR(__xludf.DUMMYFUNCTION("LOWER(Regexreplace(to_text(E1927),""[^A-Za-z0-9]"","""")&amp;""_""&amp;Regexreplace(to_text(F1927),""[^A-Za-z0-9]"",""""))"),"neptronic_evcbseries")</f>
        <v>neptronic_evcbseries</v>
      </c>
      <c r="BG1927" s="275" t="str">
        <f>IFERROR(__xludf.DUMMYFUNCTION("upper(Regexreplace(to_text(E1927),""[^A-Za-z0-9]"","""")&amp;""-""&amp;Regexreplace(to_text(F1927),""[^A-Za-z0-9]"",""""))"),"NEPTRONIC-EVCBSERIES")</f>
        <v>NEPTRONIC-EVCBSERIES</v>
      </c>
    </row>
    <row r="1928" ht="30.0" customHeight="1">
      <c r="A1928" s="258">
        <v>1920.0</v>
      </c>
      <c r="B1928" s="328" t="s">
        <v>670</v>
      </c>
      <c r="C1928" s="257" t="s">
        <v>7059</v>
      </c>
      <c r="D1928" s="173" t="s">
        <v>7059</v>
      </c>
      <c r="E1928" s="174" t="s">
        <v>2861</v>
      </c>
      <c r="F1928" s="173" t="s">
        <v>2862</v>
      </c>
      <c r="G1928" s="328" t="s">
        <v>673</v>
      </c>
      <c r="H1928" s="328" t="s">
        <v>2863</v>
      </c>
      <c r="I1928" s="258" t="s">
        <v>2864</v>
      </c>
      <c r="J1928" s="259" t="s">
        <v>1272</v>
      </c>
      <c r="K1928" s="260"/>
      <c r="L1928" s="359"/>
      <c r="M1928" s="359"/>
      <c r="N1928" s="173" t="s">
        <v>679</v>
      </c>
      <c r="O1928" s="173" t="s">
        <v>225</v>
      </c>
      <c r="P1928" s="262" t="str">
        <f t="shared" si="1"/>
        <v>IN-BLR-ANANTA-VAV-1500_8</v>
      </c>
      <c r="Q1928" s="173" t="s">
        <v>7060</v>
      </c>
      <c r="R1928" s="328" t="str">
        <f>IFS(C1928="","",C1928="n/a","N/A",LEN(C1928),Concatenate("{",char(34),"asset",char(34),":{",char(34),"guid",char(34),":",char(34),Q1928,char(34),",",char(34),"site",char(34),":",char(34),LOWER('2-Building'!$B$4),char(34),",",char(34),"name",char(34),":",char(34),LOWER(C1928),char(34),"}}"))</f>
        <v>{"asset":{"guid":"uuid://b498c149-7d00-4641-b356-eacc9a27964c","site":"in-blr-ananta","name":"vav-1500"}}</v>
      </c>
      <c r="S1928" s="360" t="s">
        <v>5516</v>
      </c>
      <c r="T1928" s="330"/>
      <c r="U1928" s="330"/>
      <c r="V1928" s="331"/>
      <c r="W1928" s="332"/>
      <c r="X1928" s="333"/>
      <c r="Y1928" s="33" t="s">
        <v>2867</v>
      </c>
      <c r="Z1928" s="258">
        <v>121500.0</v>
      </c>
      <c r="AA1928" s="334">
        <v>11656.0</v>
      </c>
      <c r="AB1928" s="333"/>
      <c r="AC1928" s="333"/>
      <c r="AD1928" s="329"/>
      <c r="AE1928" s="331"/>
      <c r="AF1928" s="336"/>
      <c r="AG1928" s="337"/>
      <c r="AH1928" s="333"/>
      <c r="AI1928" s="333"/>
      <c r="AJ1928" s="333"/>
      <c r="AK1928" s="333"/>
      <c r="AL1928" s="333"/>
      <c r="AM1928" s="338"/>
      <c r="AN1928" s="333"/>
      <c r="AO1928" s="333"/>
      <c r="AP1928" s="333"/>
      <c r="AQ1928" s="333"/>
      <c r="AR1928" s="333"/>
      <c r="AS1928" s="333"/>
      <c r="AT1928" s="333"/>
      <c r="AU1928" s="329"/>
      <c r="AV1928" s="341"/>
      <c r="AW1928" s="269" t="s">
        <v>2456</v>
      </c>
      <c r="AX1928" s="334" t="s">
        <v>2869</v>
      </c>
      <c r="AY1928" s="270" t="s">
        <v>695</v>
      </c>
      <c r="AZ1928" s="173" t="s">
        <v>5516</v>
      </c>
      <c r="BA1928" s="265">
        <v>10.0</v>
      </c>
      <c r="BB1928" s="174" t="s">
        <v>245</v>
      </c>
      <c r="BC1928" s="341"/>
      <c r="BD1928" s="308"/>
      <c r="BE1928" s="342"/>
      <c r="BF1928" s="274" t="str">
        <f>IFERROR(__xludf.DUMMYFUNCTION("LOWER(Regexreplace(to_text(E1928),""[^A-Za-z0-9]"","""")&amp;""_""&amp;Regexreplace(to_text(F1928),""[^A-Za-z0-9]"",""""))"),"neptronic_evcbseries")</f>
        <v>neptronic_evcbseries</v>
      </c>
      <c r="BG1928" s="275" t="str">
        <f>IFERROR(__xludf.DUMMYFUNCTION("upper(Regexreplace(to_text(E1928),""[^A-Za-z0-9]"","""")&amp;""-""&amp;Regexreplace(to_text(F1928),""[^A-Za-z0-9]"",""""))"),"NEPTRONIC-EVCBSERIES")</f>
        <v>NEPTRONIC-EVCBSERIES</v>
      </c>
    </row>
    <row r="1929" ht="30.0" customHeight="1">
      <c r="A1929" s="173">
        <v>1921.0</v>
      </c>
      <c r="B1929" s="328" t="s">
        <v>670</v>
      </c>
      <c r="C1929" s="257" t="s">
        <v>7061</v>
      </c>
      <c r="D1929" s="173" t="s">
        <v>7061</v>
      </c>
      <c r="E1929" s="174" t="s">
        <v>2861</v>
      </c>
      <c r="F1929" s="173" t="s">
        <v>2862</v>
      </c>
      <c r="G1929" s="328" t="s">
        <v>673</v>
      </c>
      <c r="H1929" s="328" t="s">
        <v>2863</v>
      </c>
      <c r="I1929" s="258" t="s">
        <v>2864</v>
      </c>
      <c r="J1929" s="259" t="s">
        <v>1272</v>
      </c>
      <c r="K1929" s="260"/>
      <c r="L1929" s="359"/>
      <c r="M1929" s="359"/>
      <c r="N1929" s="173" t="s">
        <v>679</v>
      </c>
      <c r="O1929" s="173" t="s">
        <v>225</v>
      </c>
      <c r="P1929" s="262" t="str">
        <f t="shared" si="1"/>
        <v>IN-BLR-ANANTA-VAV-1501_8</v>
      </c>
      <c r="Q1929" s="173" t="s">
        <v>7062</v>
      </c>
      <c r="R1929" s="328" t="str">
        <f>IFS(C1929="","",C1929="n/a","N/A",LEN(C1929),Concatenate("{",char(34),"asset",char(34),":{",char(34),"guid",char(34),":",char(34),Q1929,char(34),",",char(34),"site",char(34),":",char(34),LOWER('2-Building'!$B$4),char(34),",",char(34),"name",char(34),":",char(34),LOWER(C1929),char(34),"}}"))</f>
        <v>{"asset":{"guid":"uuid://4ceb180f-93df-43cb-a511-5c15219a6a5b","site":"in-blr-ananta","name":"vav-1501"}}</v>
      </c>
      <c r="S1929" s="360" t="s">
        <v>5516</v>
      </c>
      <c r="T1929" s="330"/>
      <c r="U1929" s="330"/>
      <c r="V1929" s="331"/>
      <c r="W1929" s="332"/>
      <c r="X1929" s="333"/>
      <c r="Y1929" s="33" t="s">
        <v>2867</v>
      </c>
      <c r="Z1929" s="258">
        <v>121501.0</v>
      </c>
      <c r="AA1929" s="334">
        <v>11656.0</v>
      </c>
      <c r="AB1929" s="333"/>
      <c r="AC1929" s="333"/>
      <c r="AD1929" s="329"/>
      <c r="AE1929" s="331"/>
      <c r="AF1929" s="336"/>
      <c r="AG1929" s="337"/>
      <c r="AH1929" s="333"/>
      <c r="AI1929" s="333"/>
      <c r="AJ1929" s="333"/>
      <c r="AK1929" s="333"/>
      <c r="AL1929" s="333"/>
      <c r="AM1929" s="338"/>
      <c r="AN1929" s="333"/>
      <c r="AO1929" s="333"/>
      <c r="AP1929" s="333"/>
      <c r="AQ1929" s="333"/>
      <c r="AR1929" s="333"/>
      <c r="AS1929" s="333"/>
      <c r="AT1929" s="333"/>
      <c r="AU1929" s="329"/>
      <c r="AV1929" s="341"/>
      <c r="AW1929" s="269" t="s">
        <v>2456</v>
      </c>
      <c r="AX1929" s="334" t="s">
        <v>2869</v>
      </c>
      <c r="AY1929" s="270" t="s">
        <v>695</v>
      </c>
      <c r="AZ1929" s="173" t="s">
        <v>5516</v>
      </c>
      <c r="BA1929" s="265">
        <v>10.0</v>
      </c>
      <c r="BB1929" s="174" t="s">
        <v>245</v>
      </c>
      <c r="BC1929" s="341"/>
      <c r="BD1929" s="308"/>
      <c r="BE1929" s="342"/>
      <c r="BF1929" s="274" t="str">
        <f>IFERROR(__xludf.DUMMYFUNCTION("LOWER(Regexreplace(to_text(E1929),""[^A-Za-z0-9]"","""")&amp;""_""&amp;Regexreplace(to_text(F1929),""[^A-Za-z0-9]"",""""))"),"neptronic_evcbseries")</f>
        <v>neptronic_evcbseries</v>
      </c>
      <c r="BG1929" s="275" t="str">
        <f>IFERROR(__xludf.DUMMYFUNCTION("upper(Regexreplace(to_text(E1929),""[^A-Za-z0-9]"","""")&amp;""-""&amp;Regexreplace(to_text(F1929),""[^A-Za-z0-9]"",""""))"),"NEPTRONIC-EVCBSERIES")</f>
        <v>NEPTRONIC-EVCBSERIES</v>
      </c>
    </row>
    <row r="1930" ht="30.0" customHeight="1">
      <c r="A1930" s="258">
        <v>1922.0</v>
      </c>
      <c r="B1930" s="328" t="s">
        <v>670</v>
      </c>
      <c r="C1930" s="257" t="s">
        <v>7063</v>
      </c>
      <c r="D1930" s="173" t="s">
        <v>7063</v>
      </c>
      <c r="E1930" s="174" t="s">
        <v>2861</v>
      </c>
      <c r="F1930" s="173" t="s">
        <v>2862</v>
      </c>
      <c r="G1930" s="328" t="s">
        <v>673</v>
      </c>
      <c r="H1930" s="328" t="s">
        <v>2863</v>
      </c>
      <c r="I1930" s="258" t="s">
        <v>2864</v>
      </c>
      <c r="J1930" s="259" t="s">
        <v>1272</v>
      </c>
      <c r="K1930" s="260"/>
      <c r="L1930" s="359"/>
      <c r="M1930" s="359"/>
      <c r="N1930" s="173" t="s">
        <v>679</v>
      </c>
      <c r="O1930" s="173" t="s">
        <v>225</v>
      </c>
      <c r="P1930" s="262" t="str">
        <f t="shared" si="1"/>
        <v>IN-BLR-ANANTA-VAV-1502_8</v>
      </c>
      <c r="Q1930" s="173" t="s">
        <v>7064</v>
      </c>
      <c r="R1930" s="328" t="str">
        <f>IFS(C1930="","",C1930="n/a","N/A",LEN(C1930),Concatenate("{",char(34),"asset",char(34),":{",char(34),"guid",char(34),":",char(34),Q1930,char(34),",",char(34),"site",char(34),":",char(34),LOWER('2-Building'!$B$4),char(34),",",char(34),"name",char(34),":",char(34),LOWER(C1930),char(34),"}}"))</f>
        <v>{"asset":{"guid":"uuid://59bd8dd4-4138-41bb-9e15-6a80c4a6a743","site":"in-blr-ananta","name":"vav-1502"}}</v>
      </c>
      <c r="S1930" s="360" t="s">
        <v>5516</v>
      </c>
      <c r="T1930" s="330"/>
      <c r="U1930" s="330"/>
      <c r="V1930" s="331"/>
      <c r="W1930" s="332"/>
      <c r="X1930" s="333"/>
      <c r="Y1930" s="33" t="s">
        <v>2867</v>
      </c>
      <c r="Z1930" s="258">
        <v>121502.0</v>
      </c>
      <c r="AA1930" s="334">
        <v>11656.0</v>
      </c>
      <c r="AB1930" s="333"/>
      <c r="AC1930" s="333"/>
      <c r="AD1930" s="329"/>
      <c r="AE1930" s="331"/>
      <c r="AF1930" s="336"/>
      <c r="AG1930" s="337"/>
      <c r="AH1930" s="333"/>
      <c r="AI1930" s="333"/>
      <c r="AJ1930" s="333"/>
      <c r="AK1930" s="333"/>
      <c r="AL1930" s="333"/>
      <c r="AM1930" s="338"/>
      <c r="AN1930" s="333"/>
      <c r="AO1930" s="333"/>
      <c r="AP1930" s="333"/>
      <c r="AQ1930" s="333"/>
      <c r="AR1930" s="333"/>
      <c r="AS1930" s="333"/>
      <c r="AT1930" s="333"/>
      <c r="AU1930" s="329"/>
      <c r="AV1930" s="341"/>
      <c r="AW1930" s="269" t="s">
        <v>2456</v>
      </c>
      <c r="AX1930" s="334" t="s">
        <v>2869</v>
      </c>
      <c r="AY1930" s="270" t="s">
        <v>695</v>
      </c>
      <c r="AZ1930" s="173" t="s">
        <v>5516</v>
      </c>
      <c r="BA1930" s="265">
        <v>10.0</v>
      </c>
      <c r="BB1930" s="174" t="s">
        <v>245</v>
      </c>
      <c r="BC1930" s="341"/>
      <c r="BD1930" s="308"/>
      <c r="BE1930" s="342"/>
      <c r="BF1930" s="274" t="str">
        <f>IFERROR(__xludf.DUMMYFUNCTION("LOWER(Regexreplace(to_text(E1930),""[^A-Za-z0-9]"","""")&amp;""_""&amp;Regexreplace(to_text(F1930),""[^A-Za-z0-9]"",""""))"),"neptronic_evcbseries")</f>
        <v>neptronic_evcbseries</v>
      </c>
      <c r="BG1930" s="275" t="str">
        <f>IFERROR(__xludf.DUMMYFUNCTION("upper(Regexreplace(to_text(E1930),""[^A-Za-z0-9]"","""")&amp;""-""&amp;Regexreplace(to_text(F1930),""[^A-Za-z0-9]"",""""))"),"NEPTRONIC-EVCBSERIES")</f>
        <v>NEPTRONIC-EVCBSERIES</v>
      </c>
    </row>
    <row r="1931" ht="30.0" customHeight="1">
      <c r="A1931" s="173">
        <v>1923.0</v>
      </c>
      <c r="B1931" s="328" t="s">
        <v>670</v>
      </c>
      <c r="C1931" s="257" t="s">
        <v>7065</v>
      </c>
      <c r="D1931" s="173" t="s">
        <v>7065</v>
      </c>
      <c r="E1931" s="174" t="s">
        <v>2861</v>
      </c>
      <c r="F1931" s="173" t="s">
        <v>2862</v>
      </c>
      <c r="G1931" s="328" t="s">
        <v>673</v>
      </c>
      <c r="H1931" s="328" t="s">
        <v>2863</v>
      </c>
      <c r="I1931" s="258" t="s">
        <v>2864</v>
      </c>
      <c r="J1931" s="259" t="s">
        <v>1272</v>
      </c>
      <c r="K1931" s="260"/>
      <c r="L1931" s="359"/>
      <c r="M1931" s="359"/>
      <c r="N1931" s="173" t="s">
        <v>679</v>
      </c>
      <c r="O1931" s="173" t="s">
        <v>225</v>
      </c>
      <c r="P1931" s="262" t="str">
        <f t="shared" si="1"/>
        <v>IN-BLR-ANANTA-VAV-1503_8</v>
      </c>
      <c r="Q1931" s="173" t="s">
        <v>7066</v>
      </c>
      <c r="R1931" s="328" t="str">
        <f>IFS(C1931="","",C1931="n/a","N/A",LEN(C1931),Concatenate("{",char(34),"asset",char(34),":{",char(34),"guid",char(34),":",char(34),Q1931,char(34),",",char(34),"site",char(34),":",char(34),LOWER('2-Building'!$B$4),char(34),",",char(34),"name",char(34),":",char(34),LOWER(C1931),char(34),"}}"))</f>
        <v>{"asset":{"guid":"uuid://1d76e420-4ad2-479d-a94a-a3dd47f2cf12","site":"in-blr-ananta","name":"vav-1503"}}</v>
      </c>
      <c r="S1931" s="360" t="s">
        <v>5516</v>
      </c>
      <c r="T1931" s="330"/>
      <c r="U1931" s="330"/>
      <c r="V1931" s="331"/>
      <c r="W1931" s="332"/>
      <c r="X1931" s="333"/>
      <c r="Y1931" s="33" t="s">
        <v>2867</v>
      </c>
      <c r="Z1931" s="258">
        <v>121503.0</v>
      </c>
      <c r="AA1931" s="334">
        <v>11656.0</v>
      </c>
      <c r="AB1931" s="333"/>
      <c r="AC1931" s="333"/>
      <c r="AD1931" s="329"/>
      <c r="AE1931" s="331"/>
      <c r="AF1931" s="336"/>
      <c r="AG1931" s="337"/>
      <c r="AH1931" s="333"/>
      <c r="AI1931" s="333"/>
      <c r="AJ1931" s="333"/>
      <c r="AK1931" s="333"/>
      <c r="AL1931" s="333"/>
      <c r="AM1931" s="338"/>
      <c r="AN1931" s="333"/>
      <c r="AO1931" s="333"/>
      <c r="AP1931" s="333"/>
      <c r="AQ1931" s="333"/>
      <c r="AR1931" s="333"/>
      <c r="AS1931" s="333"/>
      <c r="AT1931" s="333"/>
      <c r="AU1931" s="329"/>
      <c r="AV1931" s="341"/>
      <c r="AW1931" s="269" t="s">
        <v>2456</v>
      </c>
      <c r="AX1931" s="334" t="s">
        <v>2869</v>
      </c>
      <c r="AY1931" s="270" t="s">
        <v>695</v>
      </c>
      <c r="AZ1931" s="173" t="s">
        <v>5516</v>
      </c>
      <c r="BA1931" s="265">
        <v>10.0</v>
      </c>
      <c r="BB1931" s="174" t="s">
        <v>245</v>
      </c>
      <c r="BC1931" s="341"/>
      <c r="BD1931" s="308"/>
      <c r="BE1931" s="342"/>
      <c r="BF1931" s="274" t="str">
        <f>IFERROR(__xludf.DUMMYFUNCTION("LOWER(Regexreplace(to_text(E1931),""[^A-Za-z0-9]"","""")&amp;""_""&amp;Regexreplace(to_text(F1931),""[^A-Za-z0-9]"",""""))"),"neptronic_evcbseries")</f>
        <v>neptronic_evcbseries</v>
      </c>
      <c r="BG1931" s="275" t="str">
        <f>IFERROR(__xludf.DUMMYFUNCTION("upper(Regexreplace(to_text(E1931),""[^A-Za-z0-9]"","""")&amp;""-""&amp;Regexreplace(to_text(F1931),""[^A-Za-z0-9]"",""""))"),"NEPTRONIC-EVCBSERIES")</f>
        <v>NEPTRONIC-EVCBSERIES</v>
      </c>
    </row>
    <row r="1932" ht="30.0" customHeight="1">
      <c r="A1932" s="258">
        <v>1924.0</v>
      </c>
      <c r="B1932" s="328" t="s">
        <v>670</v>
      </c>
      <c r="C1932" s="257" t="s">
        <v>7067</v>
      </c>
      <c r="D1932" s="173" t="s">
        <v>7067</v>
      </c>
      <c r="E1932" s="174" t="s">
        <v>2861</v>
      </c>
      <c r="F1932" s="173" t="s">
        <v>2862</v>
      </c>
      <c r="G1932" s="328" t="s">
        <v>673</v>
      </c>
      <c r="H1932" s="328" t="s">
        <v>2863</v>
      </c>
      <c r="I1932" s="258" t="s">
        <v>2864</v>
      </c>
      <c r="J1932" s="259" t="s">
        <v>1272</v>
      </c>
      <c r="K1932" s="260"/>
      <c r="L1932" s="359"/>
      <c r="M1932" s="359"/>
      <c r="N1932" s="173" t="s">
        <v>679</v>
      </c>
      <c r="O1932" s="173" t="s">
        <v>225</v>
      </c>
      <c r="P1932" s="262" t="str">
        <f t="shared" si="1"/>
        <v>IN-BLR-ANANTA-VAV-1504_8</v>
      </c>
      <c r="Q1932" s="173" t="s">
        <v>7068</v>
      </c>
      <c r="R1932" s="328" t="str">
        <f>IFS(C1932="","",C1932="n/a","N/A",LEN(C1932),Concatenate("{",char(34),"asset",char(34),":{",char(34),"guid",char(34),":",char(34),Q1932,char(34),",",char(34),"site",char(34),":",char(34),LOWER('2-Building'!$B$4),char(34),",",char(34),"name",char(34),":",char(34),LOWER(C1932),char(34),"}}"))</f>
        <v>{"asset":{"guid":"uuid://e9c79d35-5b9d-4a14-bf78-a0fbcf1aaefd","site":"in-blr-ananta","name":"vav-1504"}}</v>
      </c>
      <c r="S1932" s="360" t="s">
        <v>5516</v>
      </c>
      <c r="T1932" s="330"/>
      <c r="U1932" s="330"/>
      <c r="V1932" s="331"/>
      <c r="W1932" s="332"/>
      <c r="X1932" s="333"/>
      <c r="Y1932" s="33" t="s">
        <v>2867</v>
      </c>
      <c r="Z1932" s="258">
        <v>121504.0</v>
      </c>
      <c r="AA1932" s="334">
        <v>11656.0</v>
      </c>
      <c r="AB1932" s="333"/>
      <c r="AC1932" s="333"/>
      <c r="AD1932" s="329"/>
      <c r="AE1932" s="331"/>
      <c r="AF1932" s="336"/>
      <c r="AG1932" s="337"/>
      <c r="AH1932" s="333"/>
      <c r="AI1932" s="333"/>
      <c r="AJ1932" s="333"/>
      <c r="AK1932" s="333"/>
      <c r="AL1932" s="333"/>
      <c r="AM1932" s="338"/>
      <c r="AN1932" s="333"/>
      <c r="AO1932" s="333"/>
      <c r="AP1932" s="333"/>
      <c r="AQ1932" s="333"/>
      <c r="AR1932" s="333"/>
      <c r="AS1932" s="333"/>
      <c r="AT1932" s="333"/>
      <c r="AU1932" s="329"/>
      <c r="AV1932" s="341"/>
      <c r="AW1932" s="269" t="s">
        <v>2456</v>
      </c>
      <c r="AX1932" s="334" t="s">
        <v>2869</v>
      </c>
      <c r="AY1932" s="270" t="s">
        <v>695</v>
      </c>
      <c r="AZ1932" s="173" t="s">
        <v>5516</v>
      </c>
      <c r="BA1932" s="265">
        <v>10.0</v>
      </c>
      <c r="BB1932" s="174" t="s">
        <v>245</v>
      </c>
      <c r="BC1932" s="341"/>
      <c r="BD1932" s="308"/>
      <c r="BE1932" s="342"/>
      <c r="BF1932" s="274" t="str">
        <f>IFERROR(__xludf.DUMMYFUNCTION("LOWER(Regexreplace(to_text(E1932),""[^A-Za-z0-9]"","""")&amp;""_""&amp;Regexreplace(to_text(F1932),""[^A-Za-z0-9]"",""""))"),"neptronic_evcbseries")</f>
        <v>neptronic_evcbseries</v>
      </c>
      <c r="BG1932" s="275" t="str">
        <f>IFERROR(__xludf.DUMMYFUNCTION("upper(Regexreplace(to_text(E1932),""[^A-Za-z0-9]"","""")&amp;""-""&amp;Regexreplace(to_text(F1932),""[^A-Za-z0-9]"",""""))"),"NEPTRONIC-EVCBSERIES")</f>
        <v>NEPTRONIC-EVCBSERIES</v>
      </c>
    </row>
    <row r="1933" ht="30.0" customHeight="1">
      <c r="A1933" s="173">
        <v>1925.0</v>
      </c>
      <c r="B1933" s="328" t="s">
        <v>670</v>
      </c>
      <c r="C1933" s="257" t="s">
        <v>7069</v>
      </c>
      <c r="D1933" s="173" t="s">
        <v>7069</v>
      </c>
      <c r="E1933" s="174" t="s">
        <v>2861</v>
      </c>
      <c r="F1933" s="173" t="s">
        <v>2862</v>
      </c>
      <c r="G1933" s="328" t="s">
        <v>673</v>
      </c>
      <c r="H1933" s="328" t="s">
        <v>2863</v>
      </c>
      <c r="I1933" s="258" t="s">
        <v>2864</v>
      </c>
      <c r="J1933" s="259" t="s">
        <v>1272</v>
      </c>
      <c r="K1933" s="260"/>
      <c r="L1933" s="359"/>
      <c r="M1933" s="359"/>
      <c r="N1933" s="173" t="s">
        <v>679</v>
      </c>
      <c r="O1933" s="173" t="s">
        <v>225</v>
      </c>
      <c r="P1933" s="262" t="str">
        <f t="shared" si="1"/>
        <v>IN-BLR-ANANTA-VAV-1505_8</v>
      </c>
      <c r="Q1933" s="173" t="s">
        <v>7070</v>
      </c>
      <c r="R1933" s="328" t="str">
        <f>IFS(C1933="","",C1933="n/a","N/A",LEN(C1933),Concatenate("{",char(34),"asset",char(34),":{",char(34),"guid",char(34),":",char(34),Q1933,char(34),",",char(34),"site",char(34),":",char(34),LOWER('2-Building'!$B$4),char(34),",",char(34),"name",char(34),":",char(34),LOWER(C1933),char(34),"}}"))</f>
        <v>{"asset":{"guid":"uuid://897b4410-03be-4d76-b5fa-bbba55ae323b","site":"in-blr-ananta","name":"vav-1505"}}</v>
      </c>
      <c r="S1933" s="360" t="s">
        <v>5516</v>
      </c>
      <c r="T1933" s="330"/>
      <c r="U1933" s="330"/>
      <c r="V1933" s="331"/>
      <c r="W1933" s="332"/>
      <c r="X1933" s="333"/>
      <c r="Y1933" s="33" t="s">
        <v>2867</v>
      </c>
      <c r="Z1933" s="258">
        <v>121505.0</v>
      </c>
      <c r="AA1933" s="334">
        <v>11656.0</v>
      </c>
      <c r="AB1933" s="333"/>
      <c r="AC1933" s="333"/>
      <c r="AD1933" s="329"/>
      <c r="AE1933" s="331"/>
      <c r="AF1933" s="336"/>
      <c r="AG1933" s="337"/>
      <c r="AH1933" s="333"/>
      <c r="AI1933" s="333"/>
      <c r="AJ1933" s="333"/>
      <c r="AK1933" s="333"/>
      <c r="AL1933" s="333"/>
      <c r="AM1933" s="338"/>
      <c r="AN1933" s="333"/>
      <c r="AO1933" s="333"/>
      <c r="AP1933" s="333"/>
      <c r="AQ1933" s="333"/>
      <c r="AR1933" s="333"/>
      <c r="AS1933" s="333"/>
      <c r="AT1933" s="333"/>
      <c r="AU1933" s="329"/>
      <c r="AV1933" s="341"/>
      <c r="AW1933" s="269" t="s">
        <v>2456</v>
      </c>
      <c r="AX1933" s="334" t="s">
        <v>2869</v>
      </c>
      <c r="AY1933" s="270" t="s">
        <v>695</v>
      </c>
      <c r="AZ1933" s="173" t="s">
        <v>5516</v>
      </c>
      <c r="BA1933" s="265">
        <v>10.0</v>
      </c>
      <c r="BB1933" s="174" t="s">
        <v>245</v>
      </c>
      <c r="BC1933" s="341"/>
      <c r="BD1933" s="308"/>
      <c r="BE1933" s="342"/>
      <c r="BF1933" s="274" t="str">
        <f>IFERROR(__xludf.DUMMYFUNCTION("LOWER(Regexreplace(to_text(E1933),""[^A-Za-z0-9]"","""")&amp;""_""&amp;Regexreplace(to_text(F1933),""[^A-Za-z0-9]"",""""))"),"neptronic_evcbseries")</f>
        <v>neptronic_evcbseries</v>
      </c>
      <c r="BG1933" s="275" t="str">
        <f>IFERROR(__xludf.DUMMYFUNCTION("upper(Regexreplace(to_text(E1933),""[^A-Za-z0-9]"","""")&amp;""-""&amp;Regexreplace(to_text(F1933),""[^A-Za-z0-9]"",""""))"),"NEPTRONIC-EVCBSERIES")</f>
        <v>NEPTRONIC-EVCBSERIES</v>
      </c>
    </row>
    <row r="1934" ht="30.0" customHeight="1">
      <c r="A1934" s="258">
        <v>1926.0</v>
      </c>
      <c r="B1934" s="328" t="s">
        <v>670</v>
      </c>
      <c r="C1934" s="257" t="s">
        <v>7071</v>
      </c>
      <c r="D1934" s="173" t="s">
        <v>7071</v>
      </c>
      <c r="E1934" s="174" t="s">
        <v>2861</v>
      </c>
      <c r="F1934" s="173" t="s">
        <v>2862</v>
      </c>
      <c r="G1934" s="328" t="s">
        <v>673</v>
      </c>
      <c r="H1934" s="328" t="s">
        <v>2863</v>
      </c>
      <c r="I1934" s="258" t="s">
        <v>2864</v>
      </c>
      <c r="J1934" s="259" t="s">
        <v>1272</v>
      </c>
      <c r="K1934" s="260"/>
      <c r="L1934" s="359"/>
      <c r="M1934" s="359"/>
      <c r="N1934" s="173" t="s">
        <v>679</v>
      </c>
      <c r="O1934" s="173" t="s">
        <v>225</v>
      </c>
      <c r="P1934" s="262" t="str">
        <f t="shared" si="1"/>
        <v>IN-BLR-ANANTA-VAV-1506_8</v>
      </c>
      <c r="Q1934" s="173" t="s">
        <v>7072</v>
      </c>
      <c r="R1934" s="328" t="str">
        <f>IFS(C1934="","",C1934="n/a","N/A",LEN(C1934),Concatenate("{",char(34),"asset",char(34),":{",char(34),"guid",char(34),":",char(34),Q1934,char(34),",",char(34),"site",char(34),":",char(34),LOWER('2-Building'!$B$4),char(34),",",char(34),"name",char(34),":",char(34),LOWER(C1934),char(34),"}}"))</f>
        <v>{"asset":{"guid":"uuid://1281dcec-2fc7-42f9-8a5f-dee9221cd978","site":"in-blr-ananta","name":"vav-1506"}}</v>
      </c>
      <c r="S1934" s="360" t="s">
        <v>5516</v>
      </c>
      <c r="T1934" s="330"/>
      <c r="U1934" s="330"/>
      <c r="V1934" s="331"/>
      <c r="W1934" s="332"/>
      <c r="X1934" s="333"/>
      <c r="Y1934" s="33" t="s">
        <v>2867</v>
      </c>
      <c r="Z1934" s="258">
        <v>121506.0</v>
      </c>
      <c r="AA1934" s="334">
        <v>11656.0</v>
      </c>
      <c r="AB1934" s="333"/>
      <c r="AC1934" s="333"/>
      <c r="AD1934" s="329"/>
      <c r="AE1934" s="331"/>
      <c r="AF1934" s="336"/>
      <c r="AG1934" s="337"/>
      <c r="AH1934" s="333"/>
      <c r="AI1934" s="333"/>
      <c r="AJ1934" s="333"/>
      <c r="AK1934" s="333"/>
      <c r="AL1934" s="333"/>
      <c r="AM1934" s="338"/>
      <c r="AN1934" s="333"/>
      <c r="AO1934" s="333"/>
      <c r="AP1934" s="333"/>
      <c r="AQ1934" s="333"/>
      <c r="AR1934" s="333"/>
      <c r="AS1934" s="333"/>
      <c r="AT1934" s="333"/>
      <c r="AU1934" s="329"/>
      <c r="AV1934" s="341"/>
      <c r="AW1934" s="269" t="s">
        <v>2456</v>
      </c>
      <c r="AX1934" s="334" t="s">
        <v>2869</v>
      </c>
      <c r="AY1934" s="270" t="s">
        <v>695</v>
      </c>
      <c r="AZ1934" s="173" t="s">
        <v>5516</v>
      </c>
      <c r="BA1934" s="265">
        <v>10.0</v>
      </c>
      <c r="BB1934" s="174" t="s">
        <v>245</v>
      </c>
      <c r="BC1934" s="341"/>
      <c r="BD1934" s="308"/>
      <c r="BE1934" s="342"/>
      <c r="BF1934" s="274" t="str">
        <f>IFERROR(__xludf.DUMMYFUNCTION("LOWER(Regexreplace(to_text(E1934),""[^A-Za-z0-9]"","""")&amp;""_""&amp;Regexreplace(to_text(F1934),""[^A-Za-z0-9]"",""""))"),"neptronic_evcbseries")</f>
        <v>neptronic_evcbseries</v>
      </c>
      <c r="BG1934" s="275" t="str">
        <f>IFERROR(__xludf.DUMMYFUNCTION("upper(Regexreplace(to_text(E1934),""[^A-Za-z0-9]"","""")&amp;""-""&amp;Regexreplace(to_text(F1934),""[^A-Za-z0-9]"",""""))"),"NEPTRONIC-EVCBSERIES")</f>
        <v>NEPTRONIC-EVCBSERIES</v>
      </c>
    </row>
    <row r="1935" ht="30.0" customHeight="1">
      <c r="A1935" s="173">
        <v>1927.0</v>
      </c>
      <c r="B1935" s="328" t="s">
        <v>670</v>
      </c>
      <c r="C1935" s="257" t="s">
        <v>7073</v>
      </c>
      <c r="D1935" s="173" t="s">
        <v>7073</v>
      </c>
      <c r="E1935" s="174" t="s">
        <v>2861</v>
      </c>
      <c r="F1935" s="173" t="s">
        <v>2862</v>
      </c>
      <c r="G1935" s="328" t="s">
        <v>673</v>
      </c>
      <c r="H1935" s="328" t="s">
        <v>2863</v>
      </c>
      <c r="I1935" s="258" t="s">
        <v>2864</v>
      </c>
      <c r="J1935" s="259" t="s">
        <v>1272</v>
      </c>
      <c r="K1935" s="260"/>
      <c r="L1935" s="359"/>
      <c r="M1935" s="359"/>
      <c r="N1935" s="173" t="s">
        <v>679</v>
      </c>
      <c r="O1935" s="173" t="s">
        <v>225</v>
      </c>
      <c r="P1935" s="262" t="str">
        <f t="shared" si="1"/>
        <v>IN-BLR-ANANTA-VAV-1507_8</v>
      </c>
      <c r="Q1935" s="173" t="s">
        <v>7074</v>
      </c>
      <c r="R1935" s="328" t="str">
        <f>IFS(C1935="","",C1935="n/a","N/A",LEN(C1935),Concatenate("{",char(34),"asset",char(34),":{",char(34),"guid",char(34),":",char(34),Q1935,char(34),",",char(34),"site",char(34),":",char(34),LOWER('2-Building'!$B$4),char(34),",",char(34),"name",char(34),":",char(34),LOWER(C1935),char(34),"}}"))</f>
        <v>{"asset":{"guid":"uuid://209126c7-3c52-474d-8739-883011e5d329","site":"in-blr-ananta","name":"vav-1507"}}</v>
      </c>
      <c r="S1935" s="360" t="s">
        <v>5516</v>
      </c>
      <c r="T1935" s="330"/>
      <c r="U1935" s="330"/>
      <c r="V1935" s="331"/>
      <c r="W1935" s="332"/>
      <c r="X1935" s="333"/>
      <c r="Y1935" s="33" t="s">
        <v>2867</v>
      </c>
      <c r="Z1935" s="258">
        <v>121507.0</v>
      </c>
      <c r="AA1935" s="339">
        <v>11656.0</v>
      </c>
      <c r="AB1935" s="333"/>
      <c r="AC1935" s="333"/>
      <c r="AD1935" s="329"/>
      <c r="AE1935" s="331"/>
      <c r="AF1935" s="336"/>
      <c r="AG1935" s="337"/>
      <c r="AH1935" s="333"/>
      <c r="AI1935" s="333"/>
      <c r="AJ1935" s="333"/>
      <c r="AK1935" s="333"/>
      <c r="AL1935" s="333"/>
      <c r="AM1935" s="338"/>
      <c r="AN1935" s="333"/>
      <c r="AO1935" s="333"/>
      <c r="AP1935" s="333"/>
      <c r="AQ1935" s="333"/>
      <c r="AR1935" s="333"/>
      <c r="AS1935" s="333"/>
      <c r="AT1935" s="333"/>
      <c r="AU1935" s="329"/>
      <c r="AV1935" s="341"/>
      <c r="AW1935" s="269" t="s">
        <v>2456</v>
      </c>
      <c r="AX1935" s="334" t="s">
        <v>2869</v>
      </c>
      <c r="AY1935" s="270" t="s">
        <v>695</v>
      </c>
      <c r="AZ1935" s="173" t="s">
        <v>5516</v>
      </c>
      <c r="BA1935" s="265">
        <v>10.0</v>
      </c>
      <c r="BB1935" s="174" t="s">
        <v>245</v>
      </c>
      <c r="BC1935" s="341"/>
      <c r="BD1935" s="308"/>
      <c r="BE1935" s="342"/>
      <c r="BF1935" s="274" t="str">
        <f>IFERROR(__xludf.DUMMYFUNCTION("LOWER(Regexreplace(to_text(E1935),""[^A-Za-z0-9]"","""")&amp;""_""&amp;Regexreplace(to_text(F1935),""[^A-Za-z0-9]"",""""))"),"neptronic_evcbseries")</f>
        <v>neptronic_evcbseries</v>
      </c>
      <c r="BG1935" s="275" t="str">
        <f>IFERROR(__xludf.DUMMYFUNCTION("upper(Regexreplace(to_text(E1935),""[^A-Za-z0-9]"","""")&amp;""-""&amp;Regexreplace(to_text(F1935),""[^A-Za-z0-9]"",""""))"),"NEPTRONIC-EVCBSERIES")</f>
        <v>NEPTRONIC-EVCBSERIES</v>
      </c>
    </row>
    <row r="1936" ht="30.0" customHeight="1">
      <c r="A1936" s="258">
        <v>1928.0</v>
      </c>
      <c r="B1936" s="328" t="s">
        <v>670</v>
      </c>
      <c r="C1936" s="257" t="s">
        <v>7075</v>
      </c>
      <c r="D1936" s="173" t="s">
        <v>7075</v>
      </c>
      <c r="E1936" s="174" t="s">
        <v>2861</v>
      </c>
      <c r="F1936" s="173" t="s">
        <v>2862</v>
      </c>
      <c r="G1936" s="328" t="s">
        <v>673</v>
      </c>
      <c r="H1936" s="328" t="s">
        <v>2863</v>
      </c>
      <c r="I1936" s="258" t="s">
        <v>2864</v>
      </c>
      <c r="J1936" s="259" t="s">
        <v>1272</v>
      </c>
      <c r="K1936" s="260"/>
      <c r="L1936" s="359"/>
      <c r="M1936" s="359"/>
      <c r="N1936" s="173" t="s">
        <v>679</v>
      </c>
      <c r="O1936" s="173" t="s">
        <v>225</v>
      </c>
      <c r="P1936" s="262" t="str">
        <f t="shared" si="1"/>
        <v>IN-BLR-ANANTA-VAV-1508_8</v>
      </c>
      <c r="Q1936" s="173" t="s">
        <v>7076</v>
      </c>
      <c r="R1936" s="328" t="str">
        <f>IFS(C1936="","",C1936="n/a","N/A",LEN(C1936),Concatenate("{",char(34),"asset",char(34),":{",char(34),"guid",char(34),":",char(34),Q1936,char(34),",",char(34),"site",char(34),":",char(34),LOWER('2-Building'!$B$4),char(34),",",char(34),"name",char(34),":",char(34),LOWER(C1936),char(34),"}}"))</f>
        <v>{"asset":{"guid":"uuid://4c5e4df1-a39e-4838-83e6-e6126f8a156b","site":"in-blr-ananta","name":"vav-1508"}}</v>
      </c>
      <c r="S1936" s="360" t="s">
        <v>5516</v>
      </c>
      <c r="T1936" s="330"/>
      <c r="U1936" s="330"/>
      <c r="V1936" s="331"/>
      <c r="W1936" s="332"/>
      <c r="X1936" s="333"/>
      <c r="Y1936" s="33" t="s">
        <v>2867</v>
      </c>
      <c r="Z1936" s="258">
        <v>121508.0</v>
      </c>
      <c r="AA1936" s="339">
        <v>11656.0</v>
      </c>
      <c r="AB1936" s="333"/>
      <c r="AC1936" s="333"/>
      <c r="AD1936" s="329"/>
      <c r="AE1936" s="331"/>
      <c r="AF1936" s="336"/>
      <c r="AG1936" s="337"/>
      <c r="AH1936" s="333"/>
      <c r="AI1936" s="333"/>
      <c r="AJ1936" s="333"/>
      <c r="AK1936" s="333"/>
      <c r="AL1936" s="333"/>
      <c r="AM1936" s="338"/>
      <c r="AN1936" s="333"/>
      <c r="AO1936" s="333"/>
      <c r="AP1936" s="333"/>
      <c r="AQ1936" s="333"/>
      <c r="AR1936" s="333"/>
      <c r="AS1936" s="333"/>
      <c r="AT1936" s="333"/>
      <c r="AU1936" s="329"/>
      <c r="AV1936" s="341"/>
      <c r="AW1936" s="269" t="s">
        <v>2456</v>
      </c>
      <c r="AX1936" s="334" t="s">
        <v>2869</v>
      </c>
      <c r="AY1936" s="270" t="s">
        <v>695</v>
      </c>
      <c r="AZ1936" s="173" t="s">
        <v>5516</v>
      </c>
      <c r="BA1936" s="265">
        <v>10.0</v>
      </c>
      <c r="BB1936" s="174" t="s">
        <v>245</v>
      </c>
      <c r="BC1936" s="341"/>
      <c r="BD1936" s="308"/>
      <c r="BE1936" s="342"/>
      <c r="BF1936" s="274" t="str">
        <f>IFERROR(__xludf.DUMMYFUNCTION("LOWER(Regexreplace(to_text(E1936),""[^A-Za-z0-9]"","""")&amp;""_""&amp;Regexreplace(to_text(F1936),""[^A-Za-z0-9]"",""""))"),"neptronic_evcbseries")</f>
        <v>neptronic_evcbseries</v>
      </c>
      <c r="BG1936" s="275" t="str">
        <f>IFERROR(__xludf.DUMMYFUNCTION("upper(Regexreplace(to_text(E1936),""[^A-Za-z0-9]"","""")&amp;""-""&amp;Regexreplace(to_text(F1936),""[^A-Za-z0-9]"",""""))"),"NEPTRONIC-EVCBSERIES")</f>
        <v>NEPTRONIC-EVCBSERIES</v>
      </c>
    </row>
    <row r="1937" ht="30.0" customHeight="1">
      <c r="A1937" s="173">
        <v>1929.0</v>
      </c>
      <c r="B1937" s="328" t="s">
        <v>670</v>
      </c>
      <c r="C1937" s="257" t="s">
        <v>7077</v>
      </c>
      <c r="D1937" s="173" t="s">
        <v>7077</v>
      </c>
      <c r="E1937" s="174" t="s">
        <v>2861</v>
      </c>
      <c r="F1937" s="173" t="s">
        <v>2862</v>
      </c>
      <c r="G1937" s="328" t="s">
        <v>673</v>
      </c>
      <c r="H1937" s="328" t="s">
        <v>2863</v>
      </c>
      <c r="I1937" s="258" t="s">
        <v>2864</v>
      </c>
      <c r="J1937" s="259"/>
      <c r="K1937" s="260"/>
      <c r="L1937" s="359"/>
      <c r="M1937" s="359"/>
      <c r="N1937" s="173" t="s">
        <v>679</v>
      </c>
      <c r="O1937" s="173" t="s">
        <v>225</v>
      </c>
      <c r="P1937" s="262" t="str">
        <f t="shared" si="1"/>
        <v>IN-BLR-ANANTA-VAV-1509_</v>
      </c>
      <c r="Q1937" s="173" t="s">
        <v>7078</v>
      </c>
      <c r="R1937" s="328" t="str">
        <f>IFS(C1937="","",C1937="n/a","N/A",LEN(C1937),Concatenate("{",char(34),"asset",char(34),":{",char(34),"guid",char(34),":",char(34),Q1937,char(34),",",char(34),"site",char(34),":",char(34),LOWER('2-Building'!$B$4),char(34),",",char(34),"name",char(34),":",char(34),LOWER(C1937),char(34),"}}"))</f>
        <v>{"asset":{"guid":"uuid://2cd77b1d-0111-4f63-9946-b1cef47d7398","site":"in-blr-ananta","name":"vav-1509"}}</v>
      </c>
      <c r="S1937" s="360" t="s">
        <v>5516</v>
      </c>
      <c r="T1937" s="330"/>
      <c r="U1937" s="330"/>
      <c r="V1937" s="331"/>
      <c r="W1937" s="332"/>
      <c r="X1937" s="333"/>
      <c r="Y1937" s="33" t="s">
        <v>2867</v>
      </c>
      <c r="Z1937" s="258">
        <v>121509.0</v>
      </c>
      <c r="AA1937" s="333"/>
      <c r="AB1937" s="333"/>
      <c r="AC1937" s="333"/>
      <c r="AD1937" s="329"/>
      <c r="AE1937" s="331"/>
      <c r="AF1937" s="336"/>
      <c r="AG1937" s="337"/>
      <c r="AH1937" s="333"/>
      <c r="AI1937" s="333"/>
      <c r="AJ1937" s="333"/>
      <c r="AK1937" s="333"/>
      <c r="AL1937" s="333"/>
      <c r="AM1937" s="338"/>
      <c r="AN1937" s="333"/>
      <c r="AO1937" s="333"/>
      <c r="AP1937" s="333"/>
      <c r="AQ1937" s="333"/>
      <c r="AR1937" s="333"/>
      <c r="AS1937" s="333"/>
      <c r="AT1937" s="333"/>
      <c r="AU1937" s="329"/>
      <c r="AV1937" s="341"/>
      <c r="AW1937" s="269"/>
      <c r="AX1937" s="334" t="s">
        <v>2869</v>
      </c>
      <c r="AY1937" s="270" t="s">
        <v>695</v>
      </c>
      <c r="AZ1937" s="173" t="s">
        <v>5516</v>
      </c>
      <c r="BA1937" s="265">
        <v>10.0</v>
      </c>
      <c r="BB1937" s="174" t="s">
        <v>245</v>
      </c>
      <c r="BC1937" s="341"/>
      <c r="BD1937" s="308"/>
      <c r="BE1937" s="342"/>
      <c r="BF1937" s="274" t="str">
        <f>IFERROR(__xludf.DUMMYFUNCTION("LOWER(Regexreplace(to_text(E1937),""[^A-Za-z0-9]"","""")&amp;""_""&amp;Regexreplace(to_text(F1937),""[^A-Za-z0-9]"",""""))"),"neptronic_evcbseries")</f>
        <v>neptronic_evcbseries</v>
      </c>
      <c r="BG1937" s="275" t="str">
        <f>IFERROR(__xludf.DUMMYFUNCTION("upper(Regexreplace(to_text(E1937),""[^A-Za-z0-9]"","""")&amp;""-""&amp;Regexreplace(to_text(F1937),""[^A-Za-z0-9]"",""""))"),"NEPTRONIC-EVCBSERIES")</f>
        <v>NEPTRONIC-EVCBSERIES</v>
      </c>
    </row>
    <row r="1938" ht="30.0" customHeight="1">
      <c r="A1938" s="258">
        <v>1930.0</v>
      </c>
      <c r="B1938" s="328" t="s">
        <v>670</v>
      </c>
      <c r="C1938" s="257" t="s">
        <v>7079</v>
      </c>
      <c r="D1938" s="173" t="s">
        <v>7079</v>
      </c>
      <c r="E1938" s="174" t="s">
        <v>2861</v>
      </c>
      <c r="F1938" s="173" t="s">
        <v>2862</v>
      </c>
      <c r="G1938" s="328" t="s">
        <v>673</v>
      </c>
      <c r="H1938" s="328" t="s">
        <v>2863</v>
      </c>
      <c r="I1938" s="258" t="s">
        <v>2864</v>
      </c>
      <c r="J1938" s="259"/>
      <c r="K1938" s="260"/>
      <c r="L1938" s="359"/>
      <c r="M1938" s="359"/>
      <c r="N1938" s="173" t="s">
        <v>679</v>
      </c>
      <c r="O1938" s="173" t="s">
        <v>225</v>
      </c>
      <c r="P1938" s="262" t="str">
        <f t="shared" si="1"/>
        <v>IN-BLR-ANANTA-VAV-1510_</v>
      </c>
      <c r="Q1938" s="173" t="s">
        <v>7080</v>
      </c>
      <c r="R1938" s="328" t="str">
        <f>IFS(C1938="","",C1938="n/a","N/A",LEN(C1938),Concatenate("{",char(34),"asset",char(34),":{",char(34),"guid",char(34),":",char(34),Q1938,char(34),",",char(34),"site",char(34),":",char(34),LOWER('2-Building'!$B$4),char(34),",",char(34),"name",char(34),":",char(34),LOWER(C1938),char(34),"}}"))</f>
        <v>{"asset":{"guid":"uuid://971376d5-adb5-4939-a14a-dce40880dfe1","site":"in-blr-ananta","name":"vav-1510"}}</v>
      </c>
      <c r="S1938" s="360" t="s">
        <v>5516</v>
      </c>
      <c r="T1938" s="330"/>
      <c r="U1938" s="330"/>
      <c r="V1938" s="331"/>
      <c r="W1938" s="332"/>
      <c r="X1938" s="333"/>
      <c r="Y1938" s="33" t="s">
        <v>2867</v>
      </c>
      <c r="Z1938" s="258">
        <v>121510.0</v>
      </c>
      <c r="AA1938" s="333"/>
      <c r="AB1938" s="333"/>
      <c r="AC1938" s="333"/>
      <c r="AD1938" s="329"/>
      <c r="AE1938" s="331"/>
      <c r="AF1938" s="336"/>
      <c r="AG1938" s="337"/>
      <c r="AH1938" s="333"/>
      <c r="AI1938" s="333"/>
      <c r="AJ1938" s="333"/>
      <c r="AK1938" s="333"/>
      <c r="AL1938" s="333"/>
      <c r="AM1938" s="338"/>
      <c r="AN1938" s="333"/>
      <c r="AO1938" s="333"/>
      <c r="AP1938" s="333"/>
      <c r="AQ1938" s="333"/>
      <c r="AR1938" s="333"/>
      <c r="AS1938" s="333"/>
      <c r="AT1938" s="333"/>
      <c r="AU1938" s="329"/>
      <c r="AV1938" s="341"/>
      <c r="AW1938" s="269"/>
      <c r="AX1938" s="334" t="s">
        <v>2869</v>
      </c>
      <c r="AY1938" s="270" t="s">
        <v>695</v>
      </c>
      <c r="AZ1938" s="173" t="s">
        <v>5516</v>
      </c>
      <c r="BA1938" s="265">
        <v>10.0</v>
      </c>
      <c r="BB1938" s="174" t="s">
        <v>245</v>
      </c>
      <c r="BC1938" s="341"/>
      <c r="BD1938" s="308"/>
      <c r="BE1938" s="342"/>
      <c r="BF1938" s="274" t="str">
        <f>IFERROR(__xludf.DUMMYFUNCTION("LOWER(Regexreplace(to_text(E1938),""[^A-Za-z0-9]"","""")&amp;""_""&amp;Regexreplace(to_text(F1938),""[^A-Za-z0-9]"",""""))"),"neptronic_evcbseries")</f>
        <v>neptronic_evcbseries</v>
      </c>
      <c r="BG1938" s="275" t="str">
        <f>IFERROR(__xludf.DUMMYFUNCTION("upper(Regexreplace(to_text(E1938),""[^A-Za-z0-9]"","""")&amp;""-""&amp;Regexreplace(to_text(F1938),""[^A-Za-z0-9]"",""""))"),"NEPTRONIC-EVCBSERIES")</f>
        <v>NEPTRONIC-EVCBSERIES</v>
      </c>
    </row>
    <row r="1939" ht="30.0" customHeight="1">
      <c r="A1939" s="173">
        <v>1931.0</v>
      </c>
      <c r="B1939" s="328" t="s">
        <v>670</v>
      </c>
      <c r="C1939" s="257" t="s">
        <v>7081</v>
      </c>
      <c r="D1939" s="173" t="s">
        <v>7081</v>
      </c>
      <c r="E1939" s="174" t="s">
        <v>2861</v>
      </c>
      <c r="F1939" s="173" t="s">
        <v>2862</v>
      </c>
      <c r="G1939" s="328" t="s">
        <v>673</v>
      </c>
      <c r="H1939" s="328" t="s">
        <v>2863</v>
      </c>
      <c r="I1939" s="258" t="s">
        <v>2864</v>
      </c>
      <c r="J1939" s="259"/>
      <c r="K1939" s="260"/>
      <c r="L1939" s="359"/>
      <c r="M1939" s="359"/>
      <c r="N1939" s="173" t="s">
        <v>679</v>
      </c>
      <c r="O1939" s="173" t="s">
        <v>225</v>
      </c>
      <c r="P1939" s="262" t="str">
        <f t="shared" si="1"/>
        <v>IN-BLR-ANANTA-VAV-1511_</v>
      </c>
      <c r="Q1939" s="173" t="s">
        <v>7082</v>
      </c>
      <c r="R1939" s="328" t="str">
        <f>IFS(C1939="","",C1939="n/a","N/A",LEN(C1939),Concatenate("{",char(34),"asset",char(34),":{",char(34),"guid",char(34),":",char(34),Q1939,char(34),",",char(34),"site",char(34),":",char(34),LOWER('2-Building'!$B$4),char(34),",",char(34),"name",char(34),":",char(34),LOWER(C1939),char(34),"}}"))</f>
        <v>{"asset":{"guid":"uuid://6a70031c-6533-4928-a46d-734a8578319b","site":"in-blr-ananta","name":"vav-1511"}}</v>
      </c>
      <c r="S1939" s="360" t="s">
        <v>5516</v>
      </c>
      <c r="T1939" s="330"/>
      <c r="U1939" s="330"/>
      <c r="V1939" s="331"/>
      <c r="W1939" s="332"/>
      <c r="X1939" s="333"/>
      <c r="Y1939" s="33" t="s">
        <v>2867</v>
      </c>
      <c r="Z1939" s="258">
        <v>121511.0</v>
      </c>
      <c r="AA1939" s="333"/>
      <c r="AB1939" s="333"/>
      <c r="AC1939" s="333"/>
      <c r="AD1939" s="329"/>
      <c r="AE1939" s="331"/>
      <c r="AF1939" s="336"/>
      <c r="AG1939" s="337"/>
      <c r="AH1939" s="333"/>
      <c r="AI1939" s="333"/>
      <c r="AJ1939" s="333"/>
      <c r="AK1939" s="333"/>
      <c r="AL1939" s="333"/>
      <c r="AM1939" s="338"/>
      <c r="AN1939" s="333"/>
      <c r="AO1939" s="333"/>
      <c r="AP1939" s="333"/>
      <c r="AQ1939" s="333"/>
      <c r="AR1939" s="333"/>
      <c r="AS1939" s="333"/>
      <c r="AT1939" s="333"/>
      <c r="AU1939" s="329"/>
      <c r="AV1939" s="341"/>
      <c r="AW1939" s="269"/>
      <c r="AX1939" s="334" t="s">
        <v>2869</v>
      </c>
      <c r="AY1939" s="270" t="s">
        <v>695</v>
      </c>
      <c r="AZ1939" s="173" t="s">
        <v>5516</v>
      </c>
      <c r="BA1939" s="265">
        <v>10.0</v>
      </c>
      <c r="BB1939" s="174" t="s">
        <v>245</v>
      </c>
      <c r="BC1939" s="341"/>
      <c r="BD1939" s="308"/>
      <c r="BE1939" s="342"/>
      <c r="BF1939" s="274" t="str">
        <f>IFERROR(__xludf.DUMMYFUNCTION("LOWER(Regexreplace(to_text(E1939),""[^A-Za-z0-9]"","""")&amp;""_""&amp;Regexreplace(to_text(F1939),""[^A-Za-z0-9]"",""""))"),"neptronic_evcbseries")</f>
        <v>neptronic_evcbseries</v>
      </c>
      <c r="BG1939" s="275" t="str">
        <f>IFERROR(__xludf.DUMMYFUNCTION("upper(Regexreplace(to_text(E1939),""[^A-Za-z0-9]"","""")&amp;""-""&amp;Regexreplace(to_text(F1939),""[^A-Za-z0-9]"",""""))"),"NEPTRONIC-EVCBSERIES")</f>
        <v>NEPTRONIC-EVCBSERIES</v>
      </c>
    </row>
    <row r="1940" ht="30.0" customHeight="1">
      <c r="A1940" s="258">
        <v>1932.0</v>
      </c>
      <c r="B1940" s="328" t="s">
        <v>670</v>
      </c>
      <c r="C1940" s="257" t="s">
        <v>7083</v>
      </c>
      <c r="D1940" s="173" t="s">
        <v>7083</v>
      </c>
      <c r="E1940" s="174" t="s">
        <v>2861</v>
      </c>
      <c r="F1940" s="173" t="s">
        <v>2862</v>
      </c>
      <c r="G1940" s="328" t="s">
        <v>673</v>
      </c>
      <c r="H1940" s="328" t="s">
        <v>2863</v>
      </c>
      <c r="I1940" s="258" t="s">
        <v>2864</v>
      </c>
      <c r="J1940" s="259"/>
      <c r="K1940" s="260"/>
      <c r="L1940" s="359"/>
      <c r="M1940" s="359"/>
      <c r="N1940" s="173" t="s">
        <v>679</v>
      </c>
      <c r="O1940" s="173" t="s">
        <v>225</v>
      </c>
      <c r="P1940" s="262" t="str">
        <f t="shared" si="1"/>
        <v>IN-BLR-ANANTA-VAV-1512_</v>
      </c>
      <c r="Q1940" s="173" t="s">
        <v>7084</v>
      </c>
      <c r="R1940" s="328" t="str">
        <f>IFS(C1940="","",C1940="n/a","N/A",LEN(C1940),Concatenate("{",char(34),"asset",char(34),":{",char(34),"guid",char(34),":",char(34),Q1940,char(34),",",char(34),"site",char(34),":",char(34),LOWER('2-Building'!$B$4),char(34),",",char(34),"name",char(34),":",char(34),LOWER(C1940),char(34),"}}"))</f>
        <v>{"asset":{"guid":"uuid://020a3cac-4b4a-4863-bac0-5af6c9bfab6b","site":"in-blr-ananta","name":"vav-1512"}}</v>
      </c>
      <c r="S1940" s="360" t="s">
        <v>5516</v>
      </c>
      <c r="T1940" s="330"/>
      <c r="U1940" s="330"/>
      <c r="V1940" s="331"/>
      <c r="W1940" s="332"/>
      <c r="X1940" s="333"/>
      <c r="Y1940" s="33" t="s">
        <v>2867</v>
      </c>
      <c r="Z1940" s="258">
        <v>121512.0</v>
      </c>
      <c r="AA1940" s="333"/>
      <c r="AB1940" s="333"/>
      <c r="AC1940" s="333"/>
      <c r="AD1940" s="329"/>
      <c r="AE1940" s="331"/>
      <c r="AF1940" s="336"/>
      <c r="AG1940" s="337"/>
      <c r="AH1940" s="333"/>
      <c r="AI1940" s="333"/>
      <c r="AJ1940" s="333"/>
      <c r="AK1940" s="333"/>
      <c r="AL1940" s="333"/>
      <c r="AM1940" s="338"/>
      <c r="AN1940" s="333"/>
      <c r="AO1940" s="333"/>
      <c r="AP1940" s="333"/>
      <c r="AQ1940" s="333"/>
      <c r="AR1940" s="333"/>
      <c r="AS1940" s="333"/>
      <c r="AT1940" s="333"/>
      <c r="AU1940" s="329"/>
      <c r="AV1940" s="341"/>
      <c r="AW1940" s="269"/>
      <c r="AX1940" s="334" t="s">
        <v>2869</v>
      </c>
      <c r="AY1940" s="270" t="s">
        <v>695</v>
      </c>
      <c r="AZ1940" s="173" t="s">
        <v>5516</v>
      </c>
      <c r="BA1940" s="265">
        <v>10.0</v>
      </c>
      <c r="BB1940" s="174" t="s">
        <v>245</v>
      </c>
      <c r="BC1940" s="341"/>
      <c r="BD1940" s="308"/>
      <c r="BE1940" s="342"/>
      <c r="BF1940" s="274" t="str">
        <f>IFERROR(__xludf.DUMMYFUNCTION("LOWER(Regexreplace(to_text(E1940),""[^A-Za-z0-9]"","""")&amp;""_""&amp;Regexreplace(to_text(F1940),""[^A-Za-z0-9]"",""""))"),"neptronic_evcbseries")</f>
        <v>neptronic_evcbseries</v>
      </c>
      <c r="BG1940" s="275" t="str">
        <f>IFERROR(__xludf.DUMMYFUNCTION("upper(Regexreplace(to_text(E1940),""[^A-Za-z0-9]"","""")&amp;""-""&amp;Regexreplace(to_text(F1940),""[^A-Za-z0-9]"",""""))"),"NEPTRONIC-EVCBSERIES")</f>
        <v>NEPTRONIC-EVCBSERIES</v>
      </c>
    </row>
    <row r="1941" ht="30.0" customHeight="1">
      <c r="A1941" s="173">
        <v>1933.0</v>
      </c>
      <c r="B1941" s="328" t="s">
        <v>670</v>
      </c>
      <c r="C1941" s="257" t="s">
        <v>7085</v>
      </c>
      <c r="D1941" s="173" t="s">
        <v>7085</v>
      </c>
      <c r="E1941" s="174" t="s">
        <v>2861</v>
      </c>
      <c r="F1941" s="173" t="s">
        <v>2862</v>
      </c>
      <c r="G1941" s="328" t="s">
        <v>673</v>
      </c>
      <c r="H1941" s="328" t="s">
        <v>2863</v>
      </c>
      <c r="I1941" s="258" t="s">
        <v>2864</v>
      </c>
      <c r="J1941" s="259"/>
      <c r="K1941" s="260"/>
      <c r="L1941" s="359"/>
      <c r="M1941" s="359"/>
      <c r="N1941" s="173" t="s">
        <v>679</v>
      </c>
      <c r="O1941" s="173" t="s">
        <v>225</v>
      </c>
      <c r="P1941" s="262" t="str">
        <f t="shared" si="1"/>
        <v>IN-BLR-ANANTA-VAV-1513_</v>
      </c>
      <c r="Q1941" s="173" t="s">
        <v>7086</v>
      </c>
      <c r="R1941" s="328" t="str">
        <f>IFS(C1941="","",C1941="n/a","N/A",LEN(C1941),Concatenate("{",char(34),"asset",char(34),":{",char(34),"guid",char(34),":",char(34),Q1941,char(34),",",char(34),"site",char(34),":",char(34),LOWER('2-Building'!$B$4),char(34),",",char(34),"name",char(34),":",char(34),LOWER(C1941),char(34),"}}"))</f>
        <v>{"asset":{"guid":"uuid://2cb53179-0184-43f7-b199-d656da8aaea3","site":"in-blr-ananta","name":"vav-1513"}}</v>
      </c>
      <c r="S1941" s="360" t="s">
        <v>5516</v>
      </c>
      <c r="T1941" s="330"/>
      <c r="U1941" s="330"/>
      <c r="V1941" s="331"/>
      <c r="W1941" s="332"/>
      <c r="X1941" s="333"/>
      <c r="Y1941" s="33" t="s">
        <v>2867</v>
      </c>
      <c r="Z1941" s="258">
        <v>121513.0</v>
      </c>
      <c r="AA1941" s="333"/>
      <c r="AB1941" s="333"/>
      <c r="AC1941" s="333"/>
      <c r="AD1941" s="329"/>
      <c r="AE1941" s="331"/>
      <c r="AF1941" s="336"/>
      <c r="AG1941" s="337"/>
      <c r="AH1941" s="333"/>
      <c r="AI1941" s="333"/>
      <c r="AJ1941" s="333"/>
      <c r="AK1941" s="333"/>
      <c r="AL1941" s="333"/>
      <c r="AM1941" s="338"/>
      <c r="AN1941" s="333"/>
      <c r="AO1941" s="333"/>
      <c r="AP1941" s="333"/>
      <c r="AQ1941" s="333"/>
      <c r="AR1941" s="333"/>
      <c r="AS1941" s="333"/>
      <c r="AT1941" s="333"/>
      <c r="AU1941" s="329"/>
      <c r="AV1941" s="341"/>
      <c r="AW1941" s="269"/>
      <c r="AX1941" s="334" t="s">
        <v>2869</v>
      </c>
      <c r="AY1941" s="270" t="s">
        <v>695</v>
      </c>
      <c r="AZ1941" s="173" t="s">
        <v>5516</v>
      </c>
      <c r="BA1941" s="265">
        <v>10.0</v>
      </c>
      <c r="BB1941" s="174" t="s">
        <v>245</v>
      </c>
      <c r="BC1941" s="341"/>
      <c r="BD1941" s="308"/>
      <c r="BE1941" s="342"/>
      <c r="BF1941" s="274" t="str">
        <f>IFERROR(__xludf.DUMMYFUNCTION("LOWER(Regexreplace(to_text(E1941),""[^A-Za-z0-9]"","""")&amp;""_""&amp;Regexreplace(to_text(F1941),""[^A-Za-z0-9]"",""""))"),"neptronic_evcbseries")</f>
        <v>neptronic_evcbseries</v>
      </c>
      <c r="BG1941" s="275" t="str">
        <f>IFERROR(__xludf.DUMMYFUNCTION("upper(Regexreplace(to_text(E1941),""[^A-Za-z0-9]"","""")&amp;""-""&amp;Regexreplace(to_text(F1941),""[^A-Za-z0-9]"",""""))"),"NEPTRONIC-EVCBSERIES")</f>
        <v>NEPTRONIC-EVCBSERIES</v>
      </c>
    </row>
    <row r="1942" ht="30.0" customHeight="1">
      <c r="A1942" s="258">
        <v>1934.0</v>
      </c>
      <c r="B1942" s="328" t="s">
        <v>670</v>
      </c>
      <c r="C1942" s="257" t="s">
        <v>7087</v>
      </c>
      <c r="D1942" s="173" t="s">
        <v>7087</v>
      </c>
      <c r="E1942" s="174" t="s">
        <v>2861</v>
      </c>
      <c r="F1942" s="173" t="s">
        <v>2862</v>
      </c>
      <c r="G1942" s="328" t="s">
        <v>673</v>
      </c>
      <c r="H1942" s="328" t="s">
        <v>2863</v>
      </c>
      <c r="I1942" s="258" t="s">
        <v>2864</v>
      </c>
      <c r="J1942" s="259"/>
      <c r="K1942" s="260"/>
      <c r="L1942" s="359"/>
      <c r="M1942" s="359"/>
      <c r="N1942" s="173" t="s">
        <v>679</v>
      </c>
      <c r="O1942" s="173" t="s">
        <v>225</v>
      </c>
      <c r="P1942" s="262" t="str">
        <f t="shared" si="1"/>
        <v>IN-BLR-ANANTA-VAV-1514_</v>
      </c>
      <c r="Q1942" s="173" t="s">
        <v>7088</v>
      </c>
      <c r="R1942" s="328" t="str">
        <f>IFS(C1942="","",C1942="n/a","N/A",LEN(C1942),Concatenate("{",char(34),"asset",char(34),":{",char(34),"guid",char(34),":",char(34),Q1942,char(34),",",char(34),"site",char(34),":",char(34),LOWER('2-Building'!$B$4),char(34),",",char(34),"name",char(34),":",char(34),LOWER(C1942),char(34),"}}"))</f>
        <v>{"asset":{"guid":"uuid://4c24c03c-80c8-47f7-8d6a-3497f20962bc","site":"in-blr-ananta","name":"vav-1514"}}</v>
      </c>
      <c r="S1942" s="360" t="s">
        <v>5516</v>
      </c>
      <c r="T1942" s="330"/>
      <c r="U1942" s="330"/>
      <c r="V1942" s="331"/>
      <c r="W1942" s="332"/>
      <c r="X1942" s="333"/>
      <c r="Y1942" s="33" t="s">
        <v>2867</v>
      </c>
      <c r="Z1942" s="258">
        <v>121514.0</v>
      </c>
      <c r="AA1942" s="333"/>
      <c r="AB1942" s="333"/>
      <c r="AC1942" s="333"/>
      <c r="AD1942" s="329"/>
      <c r="AE1942" s="331"/>
      <c r="AF1942" s="336"/>
      <c r="AG1942" s="337"/>
      <c r="AH1942" s="333"/>
      <c r="AI1942" s="333"/>
      <c r="AJ1942" s="333"/>
      <c r="AK1942" s="333"/>
      <c r="AL1942" s="333"/>
      <c r="AM1942" s="338"/>
      <c r="AN1942" s="333"/>
      <c r="AO1942" s="333"/>
      <c r="AP1942" s="333"/>
      <c r="AQ1942" s="333"/>
      <c r="AR1942" s="333"/>
      <c r="AS1942" s="333"/>
      <c r="AT1942" s="333"/>
      <c r="AU1942" s="329"/>
      <c r="AV1942" s="341"/>
      <c r="AW1942" s="269"/>
      <c r="AX1942" s="334" t="s">
        <v>2869</v>
      </c>
      <c r="AY1942" s="270" t="s">
        <v>695</v>
      </c>
      <c r="AZ1942" s="173" t="s">
        <v>5516</v>
      </c>
      <c r="BA1942" s="265">
        <v>10.0</v>
      </c>
      <c r="BB1942" s="174" t="s">
        <v>245</v>
      </c>
      <c r="BC1942" s="341"/>
      <c r="BD1942" s="308"/>
      <c r="BE1942" s="342"/>
      <c r="BF1942" s="274" t="str">
        <f>IFERROR(__xludf.DUMMYFUNCTION("LOWER(Regexreplace(to_text(E1942),""[^A-Za-z0-9]"","""")&amp;""_""&amp;Regexreplace(to_text(F1942),""[^A-Za-z0-9]"",""""))"),"neptronic_evcbseries")</f>
        <v>neptronic_evcbseries</v>
      </c>
      <c r="BG1942" s="275" t="str">
        <f>IFERROR(__xludf.DUMMYFUNCTION("upper(Regexreplace(to_text(E1942),""[^A-Za-z0-9]"","""")&amp;""-""&amp;Regexreplace(to_text(F1942),""[^A-Za-z0-9]"",""""))"),"NEPTRONIC-EVCBSERIES")</f>
        <v>NEPTRONIC-EVCBSERIES</v>
      </c>
    </row>
    <row r="1943" ht="30.0" customHeight="1">
      <c r="A1943" s="173">
        <v>1935.0</v>
      </c>
      <c r="B1943" s="328" t="s">
        <v>670</v>
      </c>
      <c r="C1943" s="257" t="s">
        <v>7089</v>
      </c>
      <c r="D1943" s="173" t="s">
        <v>7089</v>
      </c>
      <c r="E1943" s="174" t="s">
        <v>2861</v>
      </c>
      <c r="F1943" s="173" t="s">
        <v>2862</v>
      </c>
      <c r="G1943" s="328" t="s">
        <v>673</v>
      </c>
      <c r="H1943" s="328" t="s">
        <v>2863</v>
      </c>
      <c r="I1943" s="258" t="s">
        <v>2864</v>
      </c>
      <c r="J1943" s="259"/>
      <c r="K1943" s="260"/>
      <c r="L1943" s="359"/>
      <c r="M1943" s="359"/>
      <c r="N1943" s="173" t="s">
        <v>679</v>
      </c>
      <c r="O1943" s="173" t="s">
        <v>225</v>
      </c>
      <c r="P1943" s="262" t="str">
        <f t="shared" si="1"/>
        <v>IN-BLR-ANANTA-VAV-1515_</v>
      </c>
      <c r="Q1943" s="173" t="s">
        <v>7090</v>
      </c>
      <c r="R1943" s="328" t="str">
        <f>IFS(C1943="","",C1943="n/a","N/A",LEN(C1943),Concatenate("{",char(34),"asset",char(34),":{",char(34),"guid",char(34),":",char(34),Q1943,char(34),",",char(34),"site",char(34),":",char(34),LOWER('2-Building'!$B$4),char(34),",",char(34),"name",char(34),":",char(34),LOWER(C1943),char(34),"}}"))</f>
        <v>{"asset":{"guid":"uuid://0cbec98f-42f1-4d64-9d7a-ba1a2cb28947","site":"in-blr-ananta","name":"vav-1515"}}</v>
      </c>
      <c r="S1943" s="360" t="s">
        <v>5516</v>
      </c>
      <c r="T1943" s="330"/>
      <c r="U1943" s="330"/>
      <c r="V1943" s="331"/>
      <c r="W1943" s="332"/>
      <c r="X1943" s="333"/>
      <c r="Y1943" s="33" t="s">
        <v>2867</v>
      </c>
      <c r="Z1943" s="258">
        <v>121515.0</v>
      </c>
      <c r="AA1943" s="333"/>
      <c r="AB1943" s="333"/>
      <c r="AC1943" s="333"/>
      <c r="AD1943" s="329"/>
      <c r="AE1943" s="331"/>
      <c r="AF1943" s="336"/>
      <c r="AG1943" s="337"/>
      <c r="AH1943" s="333"/>
      <c r="AI1943" s="333"/>
      <c r="AJ1943" s="333"/>
      <c r="AK1943" s="333"/>
      <c r="AL1943" s="333"/>
      <c r="AM1943" s="338"/>
      <c r="AN1943" s="333"/>
      <c r="AO1943" s="333"/>
      <c r="AP1943" s="333"/>
      <c r="AQ1943" s="333"/>
      <c r="AR1943" s="333"/>
      <c r="AS1943" s="333"/>
      <c r="AT1943" s="333"/>
      <c r="AU1943" s="329"/>
      <c r="AV1943" s="341"/>
      <c r="AW1943" s="269"/>
      <c r="AX1943" s="334" t="s">
        <v>2869</v>
      </c>
      <c r="AY1943" s="270" t="s">
        <v>695</v>
      </c>
      <c r="AZ1943" s="173" t="s">
        <v>5516</v>
      </c>
      <c r="BA1943" s="265">
        <v>10.0</v>
      </c>
      <c r="BB1943" s="174" t="s">
        <v>245</v>
      </c>
      <c r="BC1943" s="341"/>
      <c r="BD1943" s="308"/>
      <c r="BE1943" s="342"/>
      <c r="BF1943" s="274" t="str">
        <f>IFERROR(__xludf.DUMMYFUNCTION("LOWER(Regexreplace(to_text(E1943),""[^A-Za-z0-9]"","""")&amp;""_""&amp;Regexreplace(to_text(F1943),""[^A-Za-z0-9]"",""""))"),"neptronic_evcbseries")</f>
        <v>neptronic_evcbseries</v>
      </c>
      <c r="BG1943" s="275" t="str">
        <f>IFERROR(__xludf.DUMMYFUNCTION("upper(Regexreplace(to_text(E1943),""[^A-Za-z0-9]"","""")&amp;""-""&amp;Regexreplace(to_text(F1943),""[^A-Za-z0-9]"",""""))"),"NEPTRONIC-EVCBSERIES")</f>
        <v>NEPTRONIC-EVCBSERIES</v>
      </c>
    </row>
    <row r="1944" ht="30.0" customHeight="1">
      <c r="A1944" s="258">
        <v>1936.0</v>
      </c>
      <c r="B1944" s="328" t="s">
        <v>670</v>
      </c>
      <c r="C1944" s="257" t="s">
        <v>7091</v>
      </c>
      <c r="D1944" s="173" t="s">
        <v>7091</v>
      </c>
      <c r="E1944" s="174" t="s">
        <v>2861</v>
      </c>
      <c r="F1944" s="173" t="s">
        <v>2862</v>
      </c>
      <c r="G1944" s="328" t="s">
        <v>673</v>
      </c>
      <c r="H1944" s="328" t="s">
        <v>2863</v>
      </c>
      <c r="I1944" s="258" t="s">
        <v>2864</v>
      </c>
      <c r="J1944" s="259"/>
      <c r="K1944" s="260"/>
      <c r="L1944" s="359"/>
      <c r="M1944" s="359"/>
      <c r="N1944" s="173" t="s">
        <v>679</v>
      </c>
      <c r="O1944" s="173" t="s">
        <v>225</v>
      </c>
      <c r="P1944" s="262" t="str">
        <f t="shared" si="1"/>
        <v>IN-BLR-ANANTA-VAV-1516_</v>
      </c>
      <c r="Q1944" s="173" t="s">
        <v>7092</v>
      </c>
      <c r="R1944" s="328" t="str">
        <f>IFS(C1944="","",C1944="n/a","N/A",LEN(C1944),Concatenate("{",char(34),"asset",char(34),":{",char(34),"guid",char(34),":",char(34),Q1944,char(34),",",char(34),"site",char(34),":",char(34),LOWER('2-Building'!$B$4),char(34),",",char(34),"name",char(34),":",char(34),LOWER(C1944),char(34),"}}"))</f>
        <v>{"asset":{"guid":"uuid://8f575ead-c155-4c1c-9522-53023eb9cd91","site":"in-blr-ananta","name":"vav-1516"}}</v>
      </c>
      <c r="S1944" s="360" t="s">
        <v>5516</v>
      </c>
      <c r="T1944" s="330"/>
      <c r="U1944" s="330"/>
      <c r="V1944" s="331"/>
      <c r="W1944" s="332"/>
      <c r="X1944" s="333"/>
      <c r="Y1944" s="33" t="s">
        <v>2867</v>
      </c>
      <c r="Z1944" s="258">
        <v>121516.0</v>
      </c>
      <c r="AA1944" s="333"/>
      <c r="AB1944" s="333"/>
      <c r="AC1944" s="333"/>
      <c r="AD1944" s="329"/>
      <c r="AE1944" s="331"/>
      <c r="AF1944" s="336"/>
      <c r="AG1944" s="337"/>
      <c r="AH1944" s="333"/>
      <c r="AI1944" s="333"/>
      <c r="AJ1944" s="333"/>
      <c r="AK1944" s="333"/>
      <c r="AL1944" s="333"/>
      <c r="AM1944" s="338"/>
      <c r="AN1944" s="333"/>
      <c r="AO1944" s="333"/>
      <c r="AP1944" s="333"/>
      <c r="AQ1944" s="333"/>
      <c r="AR1944" s="333"/>
      <c r="AS1944" s="333"/>
      <c r="AT1944" s="333"/>
      <c r="AU1944" s="329"/>
      <c r="AV1944" s="341"/>
      <c r="AW1944" s="269"/>
      <c r="AX1944" s="334" t="s">
        <v>2869</v>
      </c>
      <c r="AY1944" s="270" t="s">
        <v>695</v>
      </c>
      <c r="AZ1944" s="173" t="s">
        <v>5516</v>
      </c>
      <c r="BA1944" s="265">
        <v>10.0</v>
      </c>
      <c r="BB1944" s="174" t="s">
        <v>245</v>
      </c>
      <c r="BC1944" s="341"/>
      <c r="BD1944" s="308"/>
      <c r="BE1944" s="342"/>
      <c r="BF1944" s="274" t="str">
        <f>IFERROR(__xludf.DUMMYFUNCTION("LOWER(Regexreplace(to_text(E1944),""[^A-Za-z0-9]"","""")&amp;""_""&amp;Regexreplace(to_text(F1944),""[^A-Za-z0-9]"",""""))"),"neptronic_evcbseries")</f>
        <v>neptronic_evcbseries</v>
      </c>
      <c r="BG1944" s="275" t="str">
        <f>IFERROR(__xludf.DUMMYFUNCTION("upper(Regexreplace(to_text(E1944),""[^A-Za-z0-9]"","""")&amp;""-""&amp;Regexreplace(to_text(F1944),""[^A-Za-z0-9]"",""""))"),"NEPTRONIC-EVCBSERIES")</f>
        <v>NEPTRONIC-EVCBSERIES</v>
      </c>
    </row>
    <row r="1945" ht="30.0" customHeight="1">
      <c r="A1945" s="173">
        <v>1937.0</v>
      </c>
      <c r="B1945" s="328" t="s">
        <v>670</v>
      </c>
      <c r="C1945" s="257" t="s">
        <v>7093</v>
      </c>
      <c r="D1945" s="173" t="s">
        <v>7093</v>
      </c>
      <c r="E1945" s="174" t="s">
        <v>2861</v>
      </c>
      <c r="F1945" s="173" t="s">
        <v>2862</v>
      </c>
      <c r="G1945" s="328" t="s">
        <v>673</v>
      </c>
      <c r="H1945" s="328" t="s">
        <v>2863</v>
      </c>
      <c r="I1945" s="258" t="s">
        <v>2864</v>
      </c>
      <c r="J1945" s="259"/>
      <c r="K1945" s="260"/>
      <c r="L1945" s="359"/>
      <c r="M1945" s="359"/>
      <c r="N1945" s="173" t="s">
        <v>679</v>
      </c>
      <c r="O1945" s="173" t="s">
        <v>225</v>
      </c>
      <c r="P1945" s="262" t="str">
        <f t="shared" si="1"/>
        <v>IN-BLR-ANANTA-VAV-1517_</v>
      </c>
      <c r="Q1945" s="173" t="s">
        <v>7094</v>
      </c>
      <c r="R1945" s="328" t="str">
        <f>IFS(C1945="","",C1945="n/a","N/A",LEN(C1945),Concatenate("{",char(34),"asset",char(34),":{",char(34),"guid",char(34),":",char(34),Q1945,char(34),",",char(34),"site",char(34),":",char(34),LOWER('2-Building'!$B$4),char(34),",",char(34),"name",char(34),":",char(34),LOWER(C1945),char(34),"}}"))</f>
        <v>{"asset":{"guid":"uuid://73a3d0c4-94e4-4205-805b-4eae7ea1e13c","site":"in-blr-ananta","name":"vav-1517"}}</v>
      </c>
      <c r="S1945" s="360" t="s">
        <v>5516</v>
      </c>
      <c r="T1945" s="330"/>
      <c r="U1945" s="330"/>
      <c r="V1945" s="331"/>
      <c r="W1945" s="332"/>
      <c r="X1945" s="333"/>
      <c r="Y1945" s="33" t="s">
        <v>2867</v>
      </c>
      <c r="Z1945" s="258">
        <v>121517.0</v>
      </c>
      <c r="AA1945" s="333"/>
      <c r="AB1945" s="333"/>
      <c r="AC1945" s="333"/>
      <c r="AD1945" s="329"/>
      <c r="AE1945" s="331"/>
      <c r="AF1945" s="336"/>
      <c r="AG1945" s="337"/>
      <c r="AH1945" s="333"/>
      <c r="AI1945" s="333"/>
      <c r="AJ1945" s="333"/>
      <c r="AK1945" s="333"/>
      <c r="AL1945" s="333"/>
      <c r="AM1945" s="338"/>
      <c r="AN1945" s="333"/>
      <c r="AO1945" s="333"/>
      <c r="AP1945" s="333"/>
      <c r="AQ1945" s="333"/>
      <c r="AR1945" s="333"/>
      <c r="AS1945" s="333"/>
      <c r="AT1945" s="333"/>
      <c r="AU1945" s="329"/>
      <c r="AV1945" s="341"/>
      <c r="AW1945" s="269"/>
      <c r="AX1945" s="334" t="s">
        <v>2869</v>
      </c>
      <c r="AY1945" s="270" t="s">
        <v>695</v>
      </c>
      <c r="AZ1945" s="173" t="s">
        <v>5516</v>
      </c>
      <c r="BA1945" s="265">
        <v>10.0</v>
      </c>
      <c r="BB1945" s="174" t="s">
        <v>245</v>
      </c>
      <c r="BC1945" s="341"/>
      <c r="BD1945" s="308"/>
      <c r="BE1945" s="342"/>
      <c r="BF1945" s="274" t="str">
        <f>IFERROR(__xludf.DUMMYFUNCTION("LOWER(Regexreplace(to_text(E1945),""[^A-Za-z0-9]"","""")&amp;""_""&amp;Regexreplace(to_text(F1945),""[^A-Za-z0-9]"",""""))"),"neptronic_evcbseries")</f>
        <v>neptronic_evcbseries</v>
      </c>
      <c r="BG1945" s="275" t="str">
        <f>IFERROR(__xludf.DUMMYFUNCTION("upper(Regexreplace(to_text(E1945),""[^A-Za-z0-9]"","""")&amp;""-""&amp;Regexreplace(to_text(F1945),""[^A-Za-z0-9]"",""""))"),"NEPTRONIC-EVCBSERIES")</f>
        <v>NEPTRONIC-EVCBSERIES</v>
      </c>
    </row>
    <row r="1946" ht="30.0" customHeight="1">
      <c r="A1946" s="258">
        <v>1938.0</v>
      </c>
      <c r="B1946" s="328" t="s">
        <v>670</v>
      </c>
      <c r="C1946" s="257" t="s">
        <v>7095</v>
      </c>
      <c r="D1946" s="173" t="s">
        <v>7095</v>
      </c>
      <c r="E1946" s="174" t="s">
        <v>2861</v>
      </c>
      <c r="F1946" s="173" t="s">
        <v>2862</v>
      </c>
      <c r="G1946" s="328" t="s">
        <v>673</v>
      </c>
      <c r="H1946" s="328" t="s">
        <v>2863</v>
      </c>
      <c r="I1946" s="258" t="s">
        <v>2864</v>
      </c>
      <c r="J1946" s="259"/>
      <c r="K1946" s="260"/>
      <c r="L1946" s="359"/>
      <c r="M1946" s="359"/>
      <c r="N1946" s="173" t="s">
        <v>679</v>
      </c>
      <c r="O1946" s="173" t="s">
        <v>225</v>
      </c>
      <c r="P1946" s="262" t="str">
        <f t="shared" si="1"/>
        <v>IN-BLR-ANANTA-VAV-1518_</v>
      </c>
      <c r="Q1946" s="173" t="s">
        <v>7096</v>
      </c>
      <c r="R1946" s="328" t="str">
        <f>IFS(C1946="","",C1946="n/a","N/A",LEN(C1946),Concatenate("{",char(34),"asset",char(34),":{",char(34),"guid",char(34),":",char(34),Q1946,char(34),",",char(34),"site",char(34),":",char(34),LOWER('2-Building'!$B$4),char(34),",",char(34),"name",char(34),":",char(34),LOWER(C1946),char(34),"}}"))</f>
        <v>{"asset":{"guid":"uuid://3817293e-aaf7-441c-a946-f3e8d969a0df","site":"in-blr-ananta","name":"vav-1518"}}</v>
      </c>
      <c r="S1946" s="360" t="s">
        <v>5516</v>
      </c>
      <c r="T1946" s="330"/>
      <c r="U1946" s="330"/>
      <c r="V1946" s="331"/>
      <c r="W1946" s="332"/>
      <c r="X1946" s="333"/>
      <c r="Y1946" s="33" t="s">
        <v>2867</v>
      </c>
      <c r="Z1946" s="258">
        <v>121518.0</v>
      </c>
      <c r="AA1946" s="333"/>
      <c r="AB1946" s="333"/>
      <c r="AC1946" s="333"/>
      <c r="AD1946" s="329"/>
      <c r="AE1946" s="331"/>
      <c r="AF1946" s="336"/>
      <c r="AG1946" s="337"/>
      <c r="AH1946" s="333"/>
      <c r="AI1946" s="333"/>
      <c r="AJ1946" s="333"/>
      <c r="AK1946" s="333"/>
      <c r="AL1946" s="333"/>
      <c r="AM1946" s="338"/>
      <c r="AN1946" s="333"/>
      <c r="AO1946" s="333"/>
      <c r="AP1946" s="333"/>
      <c r="AQ1946" s="333"/>
      <c r="AR1946" s="333"/>
      <c r="AS1946" s="333"/>
      <c r="AT1946" s="333"/>
      <c r="AU1946" s="329"/>
      <c r="AV1946" s="341"/>
      <c r="AW1946" s="269"/>
      <c r="AX1946" s="334" t="s">
        <v>2869</v>
      </c>
      <c r="AY1946" s="270" t="s">
        <v>695</v>
      </c>
      <c r="AZ1946" s="173" t="s">
        <v>5516</v>
      </c>
      <c r="BA1946" s="265">
        <v>10.0</v>
      </c>
      <c r="BB1946" s="174" t="s">
        <v>245</v>
      </c>
      <c r="BC1946" s="341"/>
      <c r="BD1946" s="308"/>
      <c r="BE1946" s="342"/>
      <c r="BF1946" s="274" t="str">
        <f>IFERROR(__xludf.DUMMYFUNCTION("LOWER(Regexreplace(to_text(E1946),""[^A-Za-z0-9]"","""")&amp;""_""&amp;Regexreplace(to_text(F1946),""[^A-Za-z0-9]"",""""))"),"neptronic_evcbseries")</f>
        <v>neptronic_evcbseries</v>
      </c>
      <c r="BG1946" s="275" t="str">
        <f>IFERROR(__xludf.DUMMYFUNCTION("upper(Regexreplace(to_text(E1946),""[^A-Za-z0-9]"","""")&amp;""-""&amp;Regexreplace(to_text(F1946),""[^A-Za-z0-9]"",""""))"),"NEPTRONIC-EVCBSERIES")</f>
        <v>NEPTRONIC-EVCBSERIES</v>
      </c>
    </row>
    <row r="1947" ht="30.0" customHeight="1">
      <c r="A1947" s="173">
        <v>1939.0</v>
      </c>
      <c r="B1947" s="328" t="s">
        <v>670</v>
      </c>
      <c r="C1947" s="257" t="s">
        <v>7097</v>
      </c>
      <c r="D1947" s="173" t="s">
        <v>7097</v>
      </c>
      <c r="E1947" s="174" t="s">
        <v>2861</v>
      </c>
      <c r="F1947" s="173" t="s">
        <v>2862</v>
      </c>
      <c r="G1947" s="328" t="s">
        <v>673</v>
      </c>
      <c r="H1947" s="328" t="s">
        <v>2863</v>
      </c>
      <c r="I1947" s="258" t="s">
        <v>2864</v>
      </c>
      <c r="J1947" s="259"/>
      <c r="K1947" s="260"/>
      <c r="L1947" s="359"/>
      <c r="M1947" s="359"/>
      <c r="N1947" s="173" t="s">
        <v>679</v>
      </c>
      <c r="O1947" s="173" t="s">
        <v>225</v>
      </c>
      <c r="P1947" s="262" t="str">
        <f t="shared" si="1"/>
        <v>IN-BLR-ANANTA-VAV-1519_</v>
      </c>
      <c r="Q1947" s="173" t="s">
        <v>7098</v>
      </c>
      <c r="R1947" s="328" t="str">
        <f>IFS(C1947="","",C1947="n/a","N/A",LEN(C1947),Concatenate("{",char(34),"asset",char(34),":{",char(34),"guid",char(34),":",char(34),Q1947,char(34),",",char(34),"site",char(34),":",char(34),LOWER('2-Building'!$B$4),char(34),",",char(34),"name",char(34),":",char(34),LOWER(C1947),char(34),"}}"))</f>
        <v>{"asset":{"guid":"uuid://59360e3b-d5b4-40e2-8417-197bfff192f5","site":"in-blr-ananta","name":"vav-1519"}}</v>
      </c>
      <c r="S1947" s="360" t="s">
        <v>5516</v>
      </c>
      <c r="T1947" s="330"/>
      <c r="U1947" s="330"/>
      <c r="V1947" s="331"/>
      <c r="W1947" s="332"/>
      <c r="X1947" s="333"/>
      <c r="Y1947" s="33" t="s">
        <v>2867</v>
      </c>
      <c r="Z1947" s="258">
        <v>121519.0</v>
      </c>
      <c r="AA1947" s="333"/>
      <c r="AB1947" s="333"/>
      <c r="AC1947" s="333"/>
      <c r="AD1947" s="329"/>
      <c r="AE1947" s="331"/>
      <c r="AF1947" s="336"/>
      <c r="AG1947" s="337"/>
      <c r="AH1947" s="333"/>
      <c r="AI1947" s="333"/>
      <c r="AJ1947" s="333"/>
      <c r="AK1947" s="333"/>
      <c r="AL1947" s="333"/>
      <c r="AM1947" s="338"/>
      <c r="AN1947" s="333"/>
      <c r="AO1947" s="333"/>
      <c r="AP1947" s="333"/>
      <c r="AQ1947" s="333"/>
      <c r="AR1947" s="333"/>
      <c r="AS1947" s="333"/>
      <c r="AT1947" s="333"/>
      <c r="AU1947" s="329"/>
      <c r="AV1947" s="341"/>
      <c r="AW1947" s="269"/>
      <c r="AX1947" s="334" t="s">
        <v>2869</v>
      </c>
      <c r="AY1947" s="270" t="s">
        <v>695</v>
      </c>
      <c r="AZ1947" s="173" t="s">
        <v>5516</v>
      </c>
      <c r="BA1947" s="265">
        <v>10.0</v>
      </c>
      <c r="BB1947" s="174" t="s">
        <v>245</v>
      </c>
      <c r="BC1947" s="341"/>
      <c r="BD1947" s="308"/>
      <c r="BE1947" s="342"/>
      <c r="BF1947" s="274" t="str">
        <f>IFERROR(__xludf.DUMMYFUNCTION("LOWER(Regexreplace(to_text(E1947),""[^A-Za-z0-9]"","""")&amp;""_""&amp;Regexreplace(to_text(F1947),""[^A-Za-z0-9]"",""""))"),"neptronic_evcbseries")</f>
        <v>neptronic_evcbseries</v>
      </c>
      <c r="BG1947" s="275" t="str">
        <f>IFERROR(__xludf.DUMMYFUNCTION("upper(Regexreplace(to_text(E1947),""[^A-Za-z0-9]"","""")&amp;""-""&amp;Regexreplace(to_text(F1947),""[^A-Za-z0-9]"",""""))"),"NEPTRONIC-EVCBSERIES")</f>
        <v>NEPTRONIC-EVCBSERIES</v>
      </c>
    </row>
    <row r="1948" ht="30.0" customHeight="1">
      <c r="A1948" s="258">
        <v>1940.0</v>
      </c>
      <c r="B1948" s="328" t="s">
        <v>670</v>
      </c>
      <c r="C1948" s="257" t="s">
        <v>7099</v>
      </c>
      <c r="D1948" s="173" t="s">
        <v>7099</v>
      </c>
      <c r="E1948" s="174" t="s">
        <v>2861</v>
      </c>
      <c r="F1948" s="173" t="s">
        <v>2862</v>
      </c>
      <c r="G1948" s="328" t="s">
        <v>673</v>
      </c>
      <c r="H1948" s="328" t="s">
        <v>2863</v>
      </c>
      <c r="I1948" s="258" t="s">
        <v>2864</v>
      </c>
      <c r="J1948" s="259"/>
      <c r="K1948" s="260"/>
      <c r="L1948" s="359"/>
      <c r="M1948" s="359"/>
      <c r="N1948" s="173" t="s">
        <v>679</v>
      </c>
      <c r="O1948" s="173" t="s">
        <v>225</v>
      </c>
      <c r="P1948" s="262" t="str">
        <f t="shared" si="1"/>
        <v>IN-BLR-ANANTA-VAV-1520_</v>
      </c>
      <c r="Q1948" s="173" t="s">
        <v>7100</v>
      </c>
      <c r="R1948" s="328" t="str">
        <f>IFS(C1948="","",C1948="n/a","N/A",LEN(C1948),Concatenate("{",char(34),"asset",char(34),":{",char(34),"guid",char(34),":",char(34),Q1948,char(34),",",char(34),"site",char(34),":",char(34),LOWER('2-Building'!$B$4),char(34),",",char(34),"name",char(34),":",char(34),LOWER(C1948),char(34),"}}"))</f>
        <v>{"asset":{"guid":"uuid://dcceccb3-cea0-4798-aa28-fd55aa4c48b0","site":"in-blr-ananta","name":"vav-1520"}}</v>
      </c>
      <c r="S1948" s="360" t="s">
        <v>5516</v>
      </c>
      <c r="T1948" s="330"/>
      <c r="U1948" s="330"/>
      <c r="V1948" s="331"/>
      <c r="W1948" s="332"/>
      <c r="X1948" s="333"/>
      <c r="Y1948" s="33" t="s">
        <v>2867</v>
      </c>
      <c r="Z1948" s="258">
        <v>121520.0</v>
      </c>
      <c r="AA1948" s="333"/>
      <c r="AB1948" s="333"/>
      <c r="AC1948" s="333"/>
      <c r="AD1948" s="329"/>
      <c r="AE1948" s="331"/>
      <c r="AF1948" s="336"/>
      <c r="AG1948" s="337"/>
      <c r="AH1948" s="333"/>
      <c r="AI1948" s="333"/>
      <c r="AJ1948" s="333"/>
      <c r="AK1948" s="333"/>
      <c r="AL1948" s="333"/>
      <c r="AM1948" s="338"/>
      <c r="AN1948" s="333"/>
      <c r="AO1948" s="333"/>
      <c r="AP1948" s="333"/>
      <c r="AQ1948" s="333"/>
      <c r="AR1948" s="333"/>
      <c r="AS1948" s="333"/>
      <c r="AT1948" s="333"/>
      <c r="AU1948" s="329"/>
      <c r="AV1948" s="341"/>
      <c r="AW1948" s="269"/>
      <c r="AX1948" s="334" t="s">
        <v>2869</v>
      </c>
      <c r="AY1948" s="270" t="s">
        <v>695</v>
      </c>
      <c r="AZ1948" s="173" t="s">
        <v>5516</v>
      </c>
      <c r="BA1948" s="265">
        <v>10.0</v>
      </c>
      <c r="BB1948" s="174" t="s">
        <v>245</v>
      </c>
      <c r="BC1948" s="341"/>
      <c r="BD1948" s="308"/>
      <c r="BE1948" s="342"/>
      <c r="BF1948" s="274" t="str">
        <f>IFERROR(__xludf.DUMMYFUNCTION("LOWER(Regexreplace(to_text(E1948),""[^A-Za-z0-9]"","""")&amp;""_""&amp;Regexreplace(to_text(F1948),""[^A-Za-z0-9]"",""""))"),"neptronic_evcbseries")</f>
        <v>neptronic_evcbseries</v>
      </c>
      <c r="BG1948" s="275" t="str">
        <f>IFERROR(__xludf.DUMMYFUNCTION("upper(Regexreplace(to_text(E1948),""[^A-Za-z0-9]"","""")&amp;""-""&amp;Regexreplace(to_text(F1948),""[^A-Za-z0-9]"",""""))"),"NEPTRONIC-EVCBSERIES")</f>
        <v>NEPTRONIC-EVCBSERIES</v>
      </c>
    </row>
    <row r="1949" ht="30.0" customHeight="1">
      <c r="A1949" s="173">
        <v>1941.0</v>
      </c>
      <c r="B1949" s="328" t="s">
        <v>670</v>
      </c>
      <c r="C1949" s="257" t="s">
        <v>7101</v>
      </c>
      <c r="D1949" s="173" t="s">
        <v>7101</v>
      </c>
      <c r="E1949" s="174" t="s">
        <v>2861</v>
      </c>
      <c r="F1949" s="173" t="s">
        <v>2862</v>
      </c>
      <c r="G1949" s="328" t="s">
        <v>673</v>
      </c>
      <c r="H1949" s="328" t="s">
        <v>2863</v>
      </c>
      <c r="I1949" s="258" t="s">
        <v>2864</v>
      </c>
      <c r="J1949" s="259"/>
      <c r="K1949" s="260"/>
      <c r="L1949" s="359"/>
      <c r="M1949" s="359"/>
      <c r="N1949" s="173" t="s">
        <v>679</v>
      </c>
      <c r="O1949" s="173" t="s">
        <v>225</v>
      </c>
      <c r="P1949" s="262" t="str">
        <f t="shared" si="1"/>
        <v>IN-BLR-ANANTA-VAV-1521_</v>
      </c>
      <c r="Q1949" s="173" t="s">
        <v>7102</v>
      </c>
      <c r="R1949" s="328" t="str">
        <f>IFS(C1949="","",C1949="n/a","N/A",LEN(C1949),Concatenate("{",char(34),"asset",char(34),":{",char(34),"guid",char(34),":",char(34),Q1949,char(34),",",char(34),"site",char(34),":",char(34),LOWER('2-Building'!$B$4),char(34),",",char(34),"name",char(34),":",char(34),LOWER(C1949),char(34),"}}"))</f>
        <v>{"asset":{"guid":"uuid://7a2d5ab6-ac9b-4240-8f37-724f85eb2cf4","site":"in-blr-ananta","name":"vav-1521"}}</v>
      </c>
      <c r="S1949" s="360" t="s">
        <v>5516</v>
      </c>
      <c r="T1949" s="330"/>
      <c r="U1949" s="330"/>
      <c r="V1949" s="331"/>
      <c r="W1949" s="332"/>
      <c r="X1949" s="333"/>
      <c r="Y1949" s="33" t="s">
        <v>2867</v>
      </c>
      <c r="Z1949" s="258">
        <v>121521.0</v>
      </c>
      <c r="AA1949" s="333"/>
      <c r="AB1949" s="333"/>
      <c r="AC1949" s="333"/>
      <c r="AD1949" s="329"/>
      <c r="AE1949" s="331"/>
      <c r="AF1949" s="336"/>
      <c r="AG1949" s="337"/>
      <c r="AH1949" s="333"/>
      <c r="AI1949" s="333"/>
      <c r="AJ1949" s="333"/>
      <c r="AK1949" s="333"/>
      <c r="AL1949" s="333"/>
      <c r="AM1949" s="338"/>
      <c r="AN1949" s="333"/>
      <c r="AO1949" s="333"/>
      <c r="AP1949" s="333"/>
      <c r="AQ1949" s="333"/>
      <c r="AR1949" s="333"/>
      <c r="AS1949" s="333"/>
      <c r="AT1949" s="333"/>
      <c r="AU1949" s="329"/>
      <c r="AV1949" s="341"/>
      <c r="AW1949" s="269"/>
      <c r="AX1949" s="334" t="s">
        <v>2869</v>
      </c>
      <c r="AY1949" s="270" t="s">
        <v>695</v>
      </c>
      <c r="AZ1949" s="173" t="s">
        <v>5516</v>
      </c>
      <c r="BA1949" s="265">
        <v>10.0</v>
      </c>
      <c r="BB1949" s="174" t="s">
        <v>245</v>
      </c>
      <c r="BC1949" s="341"/>
      <c r="BD1949" s="308"/>
      <c r="BE1949" s="342"/>
      <c r="BF1949" s="274" t="str">
        <f>IFERROR(__xludf.DUMMYFUNCTION("LOWER(Regexreplace(to_text(E1949),""[^A-Za-z0-9]"","""")&amp;""_""&amp;Regexreplace(to_text(F1949),""[^A-Za-z0-9]"",""""))"),"neptronic_evcbseries")</f>
        <v>neptronic_evcbseries</v>
      </c>
      <c r="BG1949" s="275" t="str">
        <f>IFERROR(__xludf.DUMMYFUNCTION("upper(Regexreplace(to_text(E1949),""[^A-Za-z0-9]"","""")&amp;""-""&amp;Regexreplace(to_text(F1949),""[^A-Za-z0-9]"",""""))"),"NEPTRONIC-EVCBSERIES")</f>
        <v>NEPTRONIC-EVCBSERIES</v>
      </c>
    </row>
    <row r="1950" ht="30.0" customHeight="1">
      <c r="A1950" s="258">
        <v>1942.0</v>
      </c>
      <c r="B1950" s="328" t="s">
        <v>670</v>
      </c>
      <c r="C1950" s="257" t="s">
        <v>7103</v>
      </c>
      <c r="D1950" s="173" t="s">
        <v>7103</v>
      </c>
      <c r="E1950" s="174" t="s">
        <v>2861</v>
      </c>
      <c r="F1950" s="173" t="s">
        <v>2862</v>
      </c>
      <c r="G1950" s="328" t="s">
        <v>673</v>
      </c>
      <c r="H1950" s="328" t="s">
        <v>2863</v>
      </c>
      <c r="I1950" s="258" t="s">
        <v>2864</v>
      </c>
      <c r="J1950" s="259"/>
      <c r="K1950" s="260"/>
      <c r="L1950" s="359"/>
      <c r="M1950" s="359"/>
      <c r="N1950" s="173" t="s">
        <v>679</v>
      </c>
      <c r="O1950" s="173" t="s">
        <v>225</v>
      </c>
      <c r="P1950" s="262" t="str">
        <f t="shared" si="1"/>
        <v>IN-BLR-ANANTA-VAV-1522_</v>
      </c>
      <c r="Q1950" s="173" t="s">
        <v>7104</v>
      </c>
      <c r="R1950" s="328" t="str">
        <f>IFS(C1950="","",C1950="n/a","N/A",LEN(C1950),Concatenate("{",char(34),"asset",char(34),":{",char(34),"guid",char(34),":",char(34),Q1950,char(34),",",char(34),"site",char(34),":",char(34),LOWER('2-Building'!$B$4),char(34),",",char(34),"name",char(34),":",char(34),LOWER(C1950),char(34),"}}"))</f>
        <v>{"asset":{"guid":"uuid://b8de1306-9d51-4afc-b2bf-7060a8eead95","site":"in-blr-ananta","name":"vav-1522"}}</v>
      </c>
      <c r="S1950" s="360" t="s">
        <v>5516</v>
      </c>
      <c r="T1950" s="330"/>
      <c r="U1950" s="330"/>
      <c r="V1950" s="331"/>
      <c r="W1950" s="332"/>
      <c r="X1950" s="333"/>
      <c r="Y1950" s="33" t="s">
        <v>2867</v>
      </c>
      <c r="Z1950" s="258">
        <v>121522.0</v>
      </c>
      <c r="AA1950" s="333"/>
      <c r="AB1950" s="333"/>
      <c r="AC1950" s="333"/>
      <c r="AD1950" s="329"/>
      <c r="AE1950" s="331"/>
      <c r="AF1950" s="336"/>
      <c r="AG1950" s="337"/>
      <c r="AH1950" s="333"/>
      <c r="AI1950" s="333"/>
      <c r="AJ1950" s="333"/>
      <c r="AK1950" s="333"/>
      <c r="AL1950" s="333"/>
      <c r="AM1950" s="338"/>
      <c r="AN1950" s="333"/>
      <c r="AO1950" s="333"/>
      <c r="AP1950" s="333"/>
      <c r="AQ1950" s="333"/>
      <c r="AR1950" s="333"/>
      <c r="AS1950" s="333"/>
      <c r="AT1950" s="333"/>
      <c r="AU1950" s="329"/>
      <c r="AV1950" s="341"/>
      <c r="AW1950" s="269"/>
      <c r="AX1950" s="334" t="s">
        <v>2869</v>
      </c>
      <c r="AY1950" s="270" t="s">
        <v>695</v>
      </c>
      <c r="AZ1950" s="173" t="s">
        <v>5516</v>
      </c>
      <c r="BA1950" s="265">
        <v>10.0</v>
      </c>
      <c r="BB1950" s="174" t="s">
        <v>245</v>
      </c>
      <c r="BC1950" s="341"/>
      <c r="BD1950" s="308"/>
      <c r="BE1950" s="342"/>
      <c r="BF1950" s="274" t="str">
        <f>IFERROR(__xludf.DUMMYFUNCTION("LOWER(Regexreplace(to_text(E1950),""[^A-Za-z0-9]"","""")&amp;""_""&amp;Regexreplace(to_text(F1950),""[^A-Za-z0-9]"",""""))"),"neptronic_evcbseries")</f>
        <v>neptronic_evcbseries</v>
      </c>
      <c r="BG1950" s="275" t="str">
        <f>IFERROR(__xludf.DUMMYFUNCTION("upper(Regexreplace(to_text(E1950),""[^A-Za-z0-9]"","""")&amp;""-""&amp;Regexreplace(to_text(F1950),""[^A-Za-z0-9]"",""""))"),"NEPTRONIC-EVCBSERIES")</f>
        <v>NEPTRONIC-EVCBSERIES</v>
      </c>
    </row>
    <row r="1951" ht="30.0" customHeight="1">
      <c r="A1951" s="173">
        <v>1943.0</v>
      </c>
      <c r="B1951" s="328" t="s">
        <v>670</v>
      </c>
      <c r="C1951" s="257" t="s">
        <v>7105</v>
      </c>
      <c r="D1951" s="173" t="s">
        <v>7105</v>
      </c>
      <c r="E1951" s="174" t="s">
        <v>2861</v>
      </c>
      <c r="F1951" s="173" t="s">
        <v>2862</v>
      </c>
      <c r="G1951" s="328" t="s">
        <v>673</v>
      </c>
      <c r="H1951" s="328" t="s">
        <v>2863</v>
      </c>
      <c r="I1951" s="258" t="s">
        <v>2864</v>
      </c>
      <c r="J1951" s="259"/>
      <c r="K1951" s="260"/>
      <c r="L1951" s="359"/>
      <c r="M1951" s="359"/>
      <c r="N1951" s="173" t="s">
        <v>679</v>
      </c>
      <c r="O1951" s="173" t="s">
        <v>225</v>
      </c>
      <c r="P1951" s="262" t="str">
        <f t="shared" si="1"/>
        <v>IN-BLR-ANANTA-VAV-1523_</v>
      </c>
      <c r="Q1951" s="173" t="s">
        <v>7106</v>
      </c>
      <c r="R1951" s="328" t="str">
        <f>IFS(C1951="","",C1951="n/a","N/A",LEN(C1951),Concatenate("{",char(34),"asset",char(34),":{",char(34),"guid",char(34),":",char(34),Q1951,char(34),",",char(34),"site",char(34),":",char(34),LOWER('2-Building'!$B$4),char(34),",",char(34),"name",char(34),":",char(34),LOWER(C1951),char(34),"}}"))</f>
        <v>{"asset":{"guid":"uuid://7b14a5f9-d48a-4642-b20f-c25440f8e909","site":"in-blr-ananta","name":"vav-1523"}}</v>
      </c>
      <c r="S1951" s="360" t="s">
        <v>5516</v>
      </c>
      <c r="T1951" s="330"/>
      <c r="U1951" s="330"/>
      <c r="V1951" s="331"/>
      <c r="W1951" s="332"/>
      <c r="X1951" s="333"/>
      <c r="Y1951" s="33" t="s">
        <v>2867</v>
      </c>
      <c r="Z1951" s="258">
        <v>121523.0</v>
      </c>
      <c r="AA1951" s="333"/>
      <c r="AB1951" s="333"/>
      <c r="AC1951" s="333"/>
      <c r="AD1951" s="329"/>
      <c r="AE1951" s="331"/>
      <c r="AF1951" s="336"/>
      <c r="AG1951" s="337"/>
      <c r="AH1951" s="333"/>
      <c r="AI1951" s="333"/>
      <c r="AJ1951" s="333"/>
      <c r="AK1951" s="333"/>
      <c r="AL1951" s="333"/>
      <c r="AM1951" s="338"/>
      <c r="AN1951" s="333"/>
      <c r="AO1951" s="333"/>
      <c r="AP1951" s="333"/>
      <c r="AQ1951" s="333"/>
      <c r="AR1951" s="333"/>
      <c r="AS1951" s="333"/>
      <c r="AT1951" s="333"/>
      <c r="AU1951" s="329"/>
      <c r="AV1951" s="341"/>
      <c r="AW1951" s="269"/>
      <c r="AX1951" s="334" t="s">
        <v>2869</v>
      </c>
      <c r="AY1951" s="270" t="s">
        <v>695</v>
      </c>
      <c r="AZ1951" s="173" t="s">
        <v>5516</v>
      </c>
      <c r="BA1951" s="265">
        <v>10.0</v>
      </c>
      <c r="BB1951" s="174" t="s">
        <v>245</v>
      </c>
      <c r="BC1951" s="341"/>
      <c r="BD1951" s="308"/>
      <c r="BE1951" s="342"/>
      <c r="BF1951" s="274" t="str">
        <f>IFERROR(__xludf.DUMMYFUNCTION("LOWER(Regexreplace(to_text(E1951),""[^A-Za-z0-9]"","""")&amp;""_""&amp;Regexreplace(to_text(F1951),""[^A-Za-z0-9]"",""""))"),"neptronic_evcbseries")</f>
        <v>neptronic_evcbseries</v>
      </c>
      <c r="BG1951" s="275" t="str">
        <f>IFERROR(__xludf.DUMMYFUNCTION("upper(Regexreplace(to_text(E1951),""[^A-Za-z0-9]"","""")&amp;""-""&amp;Regexreplace(to_text(F1951),""[^A-Za-z0-9]"",""""))"),"NEPTRONIC-EVCBSERIES")</f>
        <v>NEPTRONIC-EVCBSERIES</v>
      </c>
    </row>
    <row r="1952" ht="30.0" customHeight="1">
      <c r="A1952" s="258">
        <v>1944.0</v>
      </c>
      <c r="B1952" s="328" t="s">
        <v>670</v>
      </c>
      <c r="C1952" s="257" t="s">
        <v>7107</v>
      </c>
      <c r="D1952" s="173" t="s">
        <v>7107</v>
      </c>
      <c r="E1952" s="174" t="s">
        <v>2861</v>
      </c>
      <c r="F1952" s="173" t="s">
        <v>2862</v>
      </c>
      <c r="G1952" s="328" t="s">
        <v>673</v>
      </c>
      <c r="H1952" s="328" t="s">
        <v>2863</v>
      </c>
      <c r="I1952" s="258" t="s">
        <v>2864</v>
      </c>
      <c r="J1952" s="259"/>
      <c r="K1952" s="260"/>
      <c r="L1952" s="359"/>
      <c r="M1952" s="359"/>
      <c r="N1952" s="173" t="s">
        <v>679</v>
      </c>
      <c r="O1952" s="173" t="s">
        <v>225</v>
      </c>
      <c r="P1952" s="262" t="str">
        <f t="shared" si="1"/>
        <v>IN-BLR-ANANTA-VAV-1524_</v>
      </c>
      <c r="Q1952" s="173" t="s">
        <v>7108</v>
      </c>
      <c r="R1952" s="328" t="str">
        <f>IFS(C1952="","",C1952="n/a","N/A",LEN(C1952),Concatenate("{",char(34),"asset",char(34),":{",char(34),"guid",char(34),":",char(34),Q1952,char(34),",",char(34),"site",char(34),":",char(34),LOWER('2-Building'!$B$4),char(34),",",char(34),"name",char(34),":",char(34),LOWER(C1952),char(34),"}}"))</f>
        <v>{"asset":{"guid":"uuid://1eb3c2f0-dc8c-4ae4-8f51-a89e1f2c8f92","site":"in-blr-ananta","name":"vav-1524"}}</v>
      </c>
      <c r="S1952" s="360" t="s">
        <v>5516</v>
      </c>
      <c r="T1952" s="330"/>
      <c r="U1952" s="330"/>
      <c r="V1952" s="331"/>
      <c r="W1952" s="332"/>
      <c r="X1952" s="333"/>
      <c r="Y1952" s="33" t="s">
        <v>2867</v>
      </c>
      <c r="Z1952" s="258">
        <v>121524.0</v>
      </c>
      <c r="AA1952" s="333"/>
      <c r="AB1952" s="333"/>
      <c r="AC1952" s="333"/>
      <c r="AD1952" s="329"/>
      <c r="AE1952" s="331"/>
      <c r="AF1952" s="336"/>
      <c r="AG1952" s="337"/>
      <c r="AH1952" s="333"/>
      <c r="AI1952" s="333"/>
      <c r="AJ1952" s="333"/>
      <c r="AK1952" s="333"/>
      <c r="AL1952" s="333"/>
      <c r="AM1952" s="338"/>
      <c r="AN1952" s="333"/>
      <c r="AO1952" s="333"/>
      <c r="AP1952" s="333"/>
      <c r="AQ1952" s="333"/>
      <c r="AR1952" s="333"/>
      <c r="AS1952" s="333"/>
      <c r="AT1952" s="333"/>
      <c r="AU1952" s="329"/>
      <c r="AV1952" s="341"/>
      <c r="AW1952" s="269"/>
      <c r="AX1952" s="334" t="s">
        <v>2869</v>
      </c>
      <c r="AY1952" s="270" t="s">
        <v>695</v>
      </c>
      <c r="AZ1952" s="173" t="s">
        <v>5516</v>
      </c>
      <c r="BA1952" s="265">
        <v>10.0</v>
      </c>
      <c r="BB1952" s="174" t="s">
        <v>245</v>
      </c>
      <c r="BC1952" s="341"/>
      <c r="BD1952" s="308"/>
      <c r="BE1952" s="342"/>
      <c r="BF1952" s="274" t="str">
        <f>IFERROR(__xludf.DUMMYFUNCTION("LOWER(Regexreplace(to_text(E1952),""[^A-Za-z0-9]"","""")&amp;""_""&amp;Regexreplace(to_text(F1952),""[^A-Za-z0-9]"",""""))"),"neptronic_evcbseries")</f>
        <v>neptronic_evcbseries</v>
      </c>
      <c r="BG1952" s="275" t="str">
        <f>IFERROR(__xludf.DUMMYFUNCTION("upper(Regexreplace(to_text(E1952),""[^A-Za-z0-9]"","""")&amp;""-""&amp;Regexreplace(to_text(F1952),""[^A-Za-z0-9]"",""""))"),"NEPTRONIC-EVCBSERIES")</f>
        <v>NEPTRONIC-EVCBSERIES</v>
      </c>
    </row>
    <row r="1953" ht="30.0" customHeight="1">
      <c r="A1953" s="173">
        <v>1945.0</v>
      </c>
      <c r="B1953" s="328" t="s">
        <v>670</v>
      </c>
      <c r="C1953" s="257" t="s">
        <v>7109</v>
      </c>
      <c r="D1953" s="173" t="s">
        <v>7109</v>
      </c>
      <c r="E1953" s="174" t="s">
        <v>2861</v>
      </c>
      <c r="F1953" s="173" t="s">
        <v>2862</v>
      </c>
      <c r="G1953" s="328" t="s">
        <v>673</v>
      </c>
      <c r="H1953" s="328" t="s">
        <v>2863</v>
      </c>
      <c r="I1953" s="258" t="s">
        <v>2864</v>
      </c>
      <c r="J1953" s="259"/>
      <c r="K1953" s="260"/>
      <c r="L1953" s="359"/>
      <c r="M1953" s="359"/>
      <c r="N1953" s="173" t="s">
        <v>679</v>
      </c>
      <c r="O1953" s="173" t="s">
        <v>225</v>
      </c>
      <c r="P1953" s="262" t="str">
        <f t="shared" si="1"/>
        <v>IN-BLR-ANANTA-VAV-1525_</v>
      </c>
      <c r="Q1953" s="173" t="s">
        <v>7110</v>
      </c>
      <c r="R1953" s="328" t="str">
        <f>IFS(C1953="","",C1953="n/a","N/A",LEN(C1953),Concatenate("{",char(34),"asset",char(34),":{",char(34),"guid",char(34),":",char(34),Q1953,char(34),",",char(34),"site",char(34),":",char(34),LOWER('2-Building'!$B$4),char(34),",",char(34),"name",char(34),":",char(34),LOWER(C1953),char(34),"}}"))</f>
        <v>{"asset":{"guid":"uuid://984924a7-98c4-4b22-b70b-5ccf242136ad","site":"in-blr-ananta","name":"vav-1525"}}</v>
      </c>
      <c r="S1953" s="360" t="s">
        <v>5516</v>
      </c>
      <c r="T1953" s="330"/>
      <c r="U1953" s="330"/>
      <c r="V1953" s="331"/>
      <c r="W1953" s="332"/>
      <c r="X1953" s="333"/>
      <c r="Y1953" s="33" t="s">
        <v>2867</v>
      </c>
      <c r="Z1953" s="258">
        <v>121525.0</v>
      </c>
      <c r="AA1953" s="333"/>
      <c r="AB1953" s="333"/>
      <c r="AC1953" s="333"/>
      <c r="AD1953" s="329"/>
      <c r="AE1953" s="331"/>
      <c r="AF1953" s="336"/>
      <c r="AG1953" s="337"/>
      <c r="AH1953" s="333"/>
      <c r="AI1953" s="333"/>
      <c r="AJ1953" s="333"/>
      <c r="AK1953" s="333"/>
      <c r="AL1953" s="333"/>
      <c r="AM1953" s="338"/>
      <c r="AN1953" s="333"/>
      <c r="AO1953" s="333"/>
      <c r="AP1953" s="333"/>
      <c r="AQ1953" s="333"/>
      <c r="AR1953" s="333"/>
      <c r="AS1953" s="333"/>
      <c r="AT1953" s="333"/>
      <c r="AU1953" s="329"/>
      <c r="AV1953" s="341"/>
      <c r="AW1953" s="269"/>
      <c r="AX1953" s="334" t="s">
        <v>2869</v>
      </c>
      <c r="AY1953" s="270" t="s">
        <v>695</v>
      </c>
      <c r="AZ1953" s="173" t="s">
        <v>5516</v>
      </c>
      <c r="BA1953" s="265">
        <v>10.0</v>
      </c>
      <c r="BB1953" s="174" t="s">
        <v>245</v>
      </c>
      <c r="BC1953" s="341"/>
      <c r="BD1953" s="308"/>
      <c r="BE1953" s="342"/>
      <c r="BF1953" s="274" t="str">
        <f>IFERROR(__xludf.DUMMYFUNCTION("LOWER(Regexreplace(to_text(E1953),""[^A-Za-z0-9]"","""")&amp;""_""&amp;Regexreplace(to_text(F1953),""[^A-Za-z0-9]"",""""))"),"neptronic_evcbseries")</f>
        <v>neptronic_evcbseries</v>
      </c>
      <c r="BG1953" s="275" t="str">
        <f>IFERROR(__xludf.DUMMYFUNCTION("upper(Regexreplace(to_text(E1953),""[^A-Za-z0-9]"","""")&amp;""-""&amp;Regexreplace(to_text(F1953),""[^A-Za-z0-9]"",""""))"),"NEPTRONIC-EVCBSERIES")</f>
        <v>NEPTRONIC-EVCBSERIES</v>
      </c>
    </row>
    <row r="1954" ht="30.0" customHeight="1">
      <c r="A1954" s="258">
        <v>1946.0</v>
      </c>
      <c r="B1954" s="328" t="s">
        <v>670</v>
      </c>
      <c r="C1954" s="257" t="s">
        <v>7111</v>
      </c>
      <c r="D1954" s="173" t="s">
        <v>7111</v>
      </c>
      <c r="E1954" s="174" t="s">
        <v>2861</v>
      </c>
      <c r="F1954" s="173" t="s">
        <v>2862</v>
      </c>
      <c r="G1954" s="328" t="s">
        <v>673</v>
      </c>
      <c r="H1954" s="328" t="s">
        <v>2863</v>
      </c>
      <c r="I1954" s="258" t="s">
        <v>2864</v>
      </c>
      <c r="J1954" s="259"/>
      <c r="K1954" s="260"/>
      <c r="L1954" s="359"/>
      <c r="M1954" s="359"/>
      <c r="N1954" s="173" t="s">
        <v>679</v>
      </c>
      <c r="O1954" s="173" t="s">
        <v>225</v>
      </c>
      <c r="P1954" s="262" t="str">
        <f t="shared" si="1"/>
        <v>IN-BLR-ANANTA-VAV-1526_</v>
      </c>
      <c r="Q1954" s="173" t="s">
        <v>7112</v>
      </c>
      <c r="R1954" s="328" t="str">
        <f>IFS(C1954="","",C1954="n/a","N/A",LEN(C1954),Concatenate("{",char(34),"asset",char(34),":{",char(34),"guid",char(34),":",char(34),Q1954,char(34),",",char(34),"site",char(34),":",char(34),LOWER('2-Building'!$B$4),char(34),",",char(34),"name",char(34),":",char(34),LOWER(C1954),char(34),"}}"))</f>
        <v>{"asset":{"guid":"uuid://c60ae84b-413f-41d8-99e4-77ceff36fd8b","site":"in-blr-ananta","name":"vav-1526"}}</v>
      </c>
      <c r="S1954" s="360" t="s">
        <v>5516</v>
      </c>
      <c r="T1954" s="330"/>
      <c r="U1954" s="330"/>
      <c r="V1954" s="331"/>
      <c r="W1954" s="332"/>
      <c r="X1954" s="333"/>
      <c r="Y1954" s="33" t="s">
        <v>2867</v>
      </c>
      <c r="Z1954" s="258">
        <v>121526.0</v>
      </c>
      <c r="AA1954" s="333"/>
      <c r="AB1954" s="333"/>
      <c r="AC1954" s="333"/>
      <c r="AD1954" s="329"/>
      <c r="AE1954" s="331"/>
      <c r="AF1954" s="336"/>
      <c r="AG1954" s="337"/>
      <c r="AH1954" s="333"/>
      <c r="AI1954" s="333"/>
      <c r="AJ1954" s="333"/>
      <c r="AK1954" s="333"/>
      <c r="AL1954" s="333"/>
      <c r="AM1954" s="338"/>
      <c r="AN1954" s="333"/>
      <c r="AO1954" s="333"/>
      <c r="AP1954" s="333"/>
      <c r="AQ1954" s="333"/>
      <c r="AR1954" s="333"/>
      <c r="AS1954" s="333"/>
      <c r="AT1954" s="333"/>
      <c r="AU1954" s="329"/>
      <c r="AV1954" s="341"/>
      <c r="AW1954" s="269"/>
      <c r="AX1954" s="334" t="s">
        <v>2869</v>
      </c>
      <c r="AY1954" s="270" t="s">
        <v>695</v>
      </c>
      <c r="AZ1954" s="173" t="s">
        <v>5516</v>
      </c>
      <c r="BA1954" s="265">
        <v>10.0</v>
      </c>
      <c r="BB1954" s="174" t="s">
        <v>245</v>
      </c>
      <c r="BC1954" s="341"/>
      <c r="BD1954" s="308"/>
      <c r="BE1954" s="342"/>
      <c r="BF1954" s="274" t="str">
        <f>IFERROR(__xludf.DUMMYFUNCTION("LOWER(Regexreplace(to_text(E1954),""[^A-Za-z0-9]"","""")&amp;""_""&amp;Regexreplace(to_text(F1954),""[^A-Za-z0-9]"",""""))"),"neptronic_evcbseries")</f>
        <v>neptronic_evcbseries</v>
      </c>
      <c r="BG1954" s="275" t="str">
        <f>IFERROR(__xludf.DUMMYFUNCTION("upper(Regexreplace(to_text(E1954),""[^A-Za-z0-9]"","""")&amp;""-""&amp;Regexreplace(to_text(F1954),""[^A-Za-z0-9]"",""""))"),"NEPTRONIC-EVCBSERIES")</f>
        <v>NEPTRONIC-EVCBSERIES</v>
      </c>
    </row>
    <row r="1955" ht="30.0" customHeight="1">
      <c r="A1955" s="173">
        <v>1947.0</v>
      </c>
      <c r="B1955" s="328" t="s">
        <v>670</v>
      </c>
      <c r="C1955" s="257" t="s">
        <v>7113</v>
      </c>
      <c r="D1955" s="173" t="s">
        <v>7113</v>
      </c>
      <c r="E1955" s="174" t="s">
        <v>2861</v>
      </c>
      <c r="F1955" s="173" t="s">
        <v>2862</v>
      </c>
      <c r="G1955" s="328" t="s">
        <v>673</v>
      </c>
      <c r="H1955" s="328" t="s">
        <v>2863</v>
      </c>
      <c r="I1955" s="258" t="s">
        <v>2864</v>
      </c>
      <c r="J1955" s="259"/>
      <c r="K1955" s="260"/>
      <c r="L1955" s="359"/>
      <c r="M1955" s="359"/>
      <c r="N1955" s="173" t="s">
        <v>679</v>
      </c>
      <c r="O1955" s="173" t="s">
        <v>225</v>
      </c>
      <c r="P1955" s="262" t="str">
        <f t="shared" si="1"/>
        <v>IN-BLR-ANANTA-VAV-1527_</v>
      </c>
      <c r="Q1955" s="173" t="s">
        <v>7114</v>
      </c>
      <c r="R1955" s="328" t="str">
        <f>IFS(C1955="","",C1955="n/a","N/A",LEN(C1955),Concatenate("{",char(34),"asset",char(34),":{",char(34),"guid",char(34),":",char(34),Q1955,char(34),",",char(34),"site",char(34),":",char(34),LOWER('2-Building'!$B$4),char(34),",",char(34),"name",char(34),":",char(34),LOWER(C1955),char(34),"}}"))</f>
        <v>{"asset":{"guid":"uuid://4df605ee-0bc4-48fd-a4b7-2a744ef0d9d1","site":"in-blr-ananta","name":"vav-1527"}}</v>
      </c>
      <c r="S1955" s="360" t="s">
        <v>5516</v>
      </c>
      <c r="T1955" s="330"/>
      <c r="U1955" s="330"/>
      <c r="V1955" s="331"/>
      <c r="W1955" s="332"/>
      <c r="X1955" s="333"/>
      <c r="Y1955" s="33" t="s">
        <v>2867</v>
      </c>
      <c r="Z1955" s="258">
        <v>121527.0</v>
      </c>
      <c r="AA1955" s="333"/>
      <c r="AB1955" s="333"/>
      <c r="AC1955" s="333"/>
      <c r="AD1955" s="329"/>
      <c r="AE1955" s="331"/>
      <c r="AF1955" s="336"/>
      <c r="AG1955" s="337"/>
      <c r="AH1955" s="333"/>
      <c r="AI1955" s="333"/>
      <c r="AJ1955" s="333"/>
      <c r="AK1955" s="333"/>
      <c r="AL1955" s="333"/>
      <c r="AM1955" s="338"/>
      <c r="AN1955" s="333"/>
      <c r="AO1955" s="333"/>
      <c r="AP1955" s="333"/>
      <c r="AQ1955" s="333"/>
      <c r="AR1955" s="333"/>
      <c r="AS1955" s="333"/>
      <c r="AT1955" s="333"/>
      <c r="AU1955" s="329"/>
      <c r="AV1955" s="341"/>
      <c r="AW1955" s="269"/>
      <c r="AX1955" s="334" t="s">
        <v>2869</v>
      </c>
      <c r="AY1955" s="270" t="s">
        <v>695</v>
      </c>
      <c r="AZ1955" s="173" t="s">
        <v>5516</v>
      </c>
      <c r="BA1955" s="265">
        <v>10.0</v>
      </c>
      <c r="BB1955" s="174" t="s">
        <v>245</v>
      </c>
      <c r="BC1955" s="341"/>
      <c r="BD1955" s="308"/>
      <c r="BE1955" s="342"/>
      <c r="BF1955" s="274" t="str">
        <f>IFERROR(__xludf.DUMMYFUNCTION("LOWER(Regexreplace(to_text(E1955),""[^A-Za-z0-9]"","""")&amp;""_""&amp;Regexreplace(to_text(F1955),""[^A-Za-z0-9]"",""""))"),"neptronic_evcbseries")</f>
        <v>neptronic_evcbseries</v>
      </c>
      <c r="BG1955" s="275" t="str">
        <f>IFERROR(__xludf.DUMMYFUNCTION("upper(Regexreplace(to_text(E1955),""[^A-Za-z0-9]"","""")&amp;""-""&amp;Regexreplace(to_text(F1955),""[^A-Za-z0-9]"",""""))"),"NEPTRONIC-EVCBSERIES")</f>
        <v>NEPTRONIC-EVCBSERIES</v>
      </c>
    </row>
    <row r="1956" ht="30.0" customHeight="1">
      <c r="A1956" s="258">
        <v>1948.0</v>
      </c>
      <c r="B1956" s="328" t="s">
        <v>670</v>
      </c>
      <c r="C1956" s="257" t="s">
        <v>7115</v>
      </c>
      <c r="D1956" s="173" t="s">
        <v>7115</v>
      </c>
      <c r="E1956" s="174" t="s">
        <v>2861</v>
      </c>
      <c r="F1956" s="173" t="s">
        <v>2862</v>
      </c>
      <c r="G1956" s="328" t="s">
        <v>673</v>
      </c>
      <c r="H1956" s="328" t="s">
        <v>2863</v>
      </c>
      <c r="I1956" s="258" t="s">
        <v>2864</v>
      </c>
      <c r="J1956" s="259"/>
      <c r="K1956" s="260"/>
      <c r="L1956" s="359"/>
      <c r="M1956" s="359"/>
      <c r="N1956" s="173" t="s">
        <v>679</v>
      </c>
      <c r="O1956" s="173" t="s">
        <v>225</v>
      </c>
      <c r="P1956" s="262" t="str">
        <f t="shared" si="1"/>
        <v>IN-BLR-ANANTA-VAV-1528_</v>
      </c>
      <c r="Q1956" s="173" t="s">
        <v>7116</v>
      </c>
      <c r="R1956" s="328" t="str">
        <f>IFS(C1956="","",C1956="n/a","N/A",LEN(C1956),Concatenate("{",char(34),"asset",char(34),":{",char(34),"guid",char(34),":",char(34),Q1956,char(34),",",char(34),"site",char(34),":",char(34),LOWER('2-Building'!$B$4),char(34),",",char(34),"name",char(34),":",char(34),LOWER(C1956),char(34),"}}"))</f>
        <v>{"asset":{"guid":"uuid://34e47564-e6e9-4bf2-aabb-5fc2b2b6ca9d","site":"in-blr-ananta","name":"vav-1528"}}</v>
      </c>
      <c r="S1956" s="360" t="s">
        <v>5516</v>
      </c>
      <c r="T1956" s="330"/>
      <c r="U1956" s="330"/>
      <c r="V1956" s="331"/>
      <c r="W1956" s="332"/>
      <c r="X1956" s="333"/>
      <c r="Y1956" s="33" t="s">
        <v>2867</v>
      </c>
      <c r="Z1956" s="258">
        <v>121528.0</v>
      </c>
      <c r="AA1956" s="333"/>
      <c r="AB1956" s="333"/>
      <c r="AC1956" s="333"/>
      <c r="AD1956" s="329"/>
      <c r="AE1956" s="331"/>
      <c r="AF1956" s="336"/>
      <c r="AG1956" s="337"/>
      <c r="AH1956" s="333"/>
      <c r="AI1956" s="333"/>
      <c r="AJ1956" s="333"/>
      <c r="AK1956" s="333"/>
      <c r="AL1956" s="333"/>
      <c r="AM1956" s="338"/>
      <c r="AN1956" s="333"/>
      <c r="AO1956" s="333"/>
      <c r="AP1956" s="333"/>
      <c r="AQ1956" s="333"/>
      <c r="AR1956" s="333"/>
      <c r="AS1956" s="333"/>
      <c r="AT1956" s="333"/>
      <c r="AU1956" s="329"/>
      <c r="AV1956" s="341"/>
      <c r="AW1956" s="269"/>
      <c r="AX1956" s="334" t="s">
        <v>2869</v>
      </c>
      <c r="AY1956" s="270" t="s">
        <v>695</v>
      </c>
      <c r="AZ1956" s="173" t="s">
        <v>5516</v>
      </c>
      <c r="BA1956" s="265">
        <v>10.0</v>
      </c>
      <c r="BB1956" s="174" t="s">
        <v>245</v>
      </c>
      <c r="BC1956" s="341"/>
      <c r="BD1956" s="308"/>
      <c r="BE1956" s="342"/>
      <c r="BF1956" s="274" t="str">
        <f>IFERROR(__xludf.DUMMYFUNCTION("LOWER(Regexreplace(to_text(E1956),""[^A-Za-z0-9]"","""")&amp;""_""&amp;Regexreplace(to_text(F1956),""[^A-Za-z0-9]"",""""))"),"neptronic_evcbseries")</f>
        <v>neptronic_evcbseries</v>
      </c>
      <c r="BG1956" s="275" t="str">
        <f>IFERROR(__xludf.DUMMYFUNCTION("upper(Regexreplace(to_text(E1956),""[^A-Za-z0-9]"","""")&amp;""-""&amp;Regexreplace(to_text(F1956),""[^A-Za-z0-9]"",""""))"),"NEPTRONIC-EVCBSERIES")</f>
        <v>NEPTRONIC-EVCBSERIES</v>
      </c>
    </row>
    <row r="1957" ht="30.0" customHeight="1">
      <c r="A1957" s="173">
        <v>1949.0</v>
      </c>
      <c r="B1957" s="328" t="s">
        <v>670</v>
      </c>
      <c r="C1957" s="257" t="s">
        <v>7117</v>
      </c>
      <c r="D1957" s="173" t="s">
        <v>7117</v>
      </c>
      <c r="E1957" s="174" t="s">
        <v>2861</v>
      </c>
      <c r="F1957" s="173" t="s">
        <v>2862</v>
      </c>
      <c r="G1957" s="328" t="s">
        <v>673</v>
      </c>
      <c r="H1957" s="328" t="s">
        <v>2863</v>
      </c>
      <c r="I1957" s="258" t="s">
        <v>2864</v>
      </c>
      <c r="J1957" s="259"/>
      <c r="K1957" s="260"/>
      <c r="L1957" s="359"/>
      <c r="M1957" s="359"/>
      <c r="N1957" s="173" t="s">
        <v>679</v>
      </c>
      <c r="O1957" s="173" t="s">
        <v>225</v>
      </c>
      <c r="P1957" s="262" t="str">
        <f t="shared" si="1"/>
        <v>IN-BLR-ANANTA-VAV-1529_</v>
      </c>
      <c r="Q1957" s="173" t="s">
        <v>7118</v>
      </c>
      <c r="R1957" s="328" t="str">
        <f>IFS(C1957="","",C1957="n/a","N/A",LEN(C1957),Concatenate("{",char(34),"asset",char(34),":{",char(34),"guid",char(34),":",char(34),Q1957,char(34),",",char(34),"site",char(34),":",char(34),LOWER('2-Building'!$B$4),char(34),",",char(34),"name",char(34),":",char(34),LOWER(C1957),char(34),"}}"))</f>
        <v>{"asset":{"guid":"uuid://b15f894a-17aa-46e0-b3a0-182368cee28b","site":"in-blr-ananta","name":"vav-1529"}}</v>
      </c>
      <c r="S1957" s="360" t="s">
        <v>5516</v>
      </c>
      <c r="T1957" s="330"/>
      <c r="U1957" s="330"/>
      <c r="V1957" s="331"/>
      <c r="W1957" s="332"/>
      <c r="X1957" s="333"/>
      <c r="Y1957" s="33" t="s">
        <v>2867</v>
      </c>
      <c r="Z1957" s="258">
        <v>121529.0</v>
      </c>
      <c r="AA1957" s="333"/>
      <c r="AB1957" s="333"/>
      <c r="AC1957" s="333"/>
      <c r="AD1957" s="329"/>
      <c r="AE1957" s="331"/>
      <c r="AF1957" s="336"/>
      <c r="AG1957" s="337"/>
      <c r="AH1957" s="333"/>
      <c r="AI1957" s="333"/>
      <c r="AJ1957" s="333"/>
      <c r="AK1957" s="333"/>
      <c r="AL1957" s="333"/>
      <c r="AM1957" s="338"/>
      <c r="AN1957" s="333"/>
      <c r="AO1957" s="333"/>
      <c r="AP1957" s="333"/>
      <c r="AQ1957" s="333"/>
      <c r="AR1957" s="333"/>
      <c r="AS1957" s="333"/>
      <c r="AT1957" s="333"/>
      <c r="AU1957" s="329"/>
      <c r="AV1957" s="341"/>
      <c r="AW1957" s="269"/>
      <c r="AX1957" s="334" t="s">
        <v>2869</v>
      </c>
      <c r="AY1957" s="270" t="s">
        <v>695</v>
      </c>
      <c r="AZ1957" s="173" t="s">
        <v>5516</v>
      </c>
      <c r="BA1957" s="265">
        <v>10.0</v>
      </c>
      <c r="BB1957" s="174" t="s">
        <v>245</v>
      </c>
      <c r="BC1957" s="341"/>
      <c r="BD1957" s="308"/>
      <c r="BE1957" s="342"/>
      <c r="BF1957" s="274" t="str">
        <f>IFERROR(__xludf.DUMMYFUNCTION("LOWER(Regexreplace(to_text(E1957),""[^A-Za-z0-9]"","""")&amp;""_""&amp;Regexreplace(to_text(F1957),""[^A-Za-z0-9]"",""""))"),"neptronic_evcbseries")</f>
        <v>neptronic_evcbseries</v>
      </c>
      <c r="BG1957" s="275" t="str">
        <f>IFERROR(__xludf.DUMMYFUNCTION("upper(Regexreplace(to_text(E1957),""[^A-Za-z0-9]"","""")&amp;""-""&amp;Regexreplace(to_text(F1957),""[^A-Za-z0-9]"",""""))"),"NEPTRONIC-EVCBSERIES")</f>
        <v>NEPTRONIC-EVCBSERIES</v>
      </c>
    </row>
    <row r="1958" ht="30.0" customHeight="1">
      <c r="A1958" s="258">
        <v>1950.0</v>
      </c>
      <c r="B1958" s="328" t="s">
        <v>670</v>
      </c>
      <c r="C1958" s="257" t="s">
        <v>7119</v>
      </c>
      <c r="D1958" s="173" t="s">
        <v>7119</v>
      </c>
      <c r="E1958" s="174" t="s">
        <v>2861</v>
      </c>
      <c r="F1958" s="173" t="s">
        <v>2862</v>
      </c>
      <c r="G1958" s="328" t="s">
        <v>673</v>
      </c>
      <c r="H1958" s="328" t="s">
        <v>2863</v>
      </c>
      <c r="I1958" s="258" t="s">
        <v>2864</v>
      </c>
      <c r="J1958" s="259"/>
      <c r="K1958" s="260"/>
      <c r="L1958" s="359"/>
      <c r="M1958" s="359"/>
      <c r="N1958" s="173" t="s">
        <v>679</v>
      </c>
      <c r="O1958" s="173" t="s">
        <v>225</v>
      </c>
      <c r="P1958" s="262" t="str">
        <f t="shared" si="1"/>
        <v>IN-BLR-ANANTA-VAV-1530_</v>
      </c>
      <c r="Q1958" s="173" t="s">
        <v>7120</v>
      </c>
      <c r="R1958" s="328" t="str">
        <f>IFS(C1958="","",C1958="n/a","N/A",LEN(C1958),Concatenate("{",char(34),"asset",char(34),":{",char(34),"guid",char(34),":",char(34),Q1958,char(34),",",char(34),"site",char(34),":",char(34),LOWER('2-Building'!$B$4),char(34),",",char(34),"name",char(34),":",char(34),LOWER(C1958),char(34),"}}"))</f>
        <v>{"asset":{"guid":"uuid://7dab5c73-8f16-442b-ba4f-b71848f310d6","site":"in-blr-ananta","name":"vav-1530"}}</v>
      </c>
      <c r="S1958" s="360" t="s">
        <v>5516</v>
      </c>
      <c r="T1958" s="330"/>
      <c r="U1958" s="330"/>
      <c r="V1958" s="331"/>
      <c r="W1958" s="332"/>
      <c r="X1958" s="333"/>
      <c r="Y1958" s="33" t="s">
        <v>2867</v>
      </c>
      <c r="Z1958" s="258">
        <v>121530.0</v>
      </c>
      <c r="AA1958" s="333"/>
      <c r="AB1958" s="333"/>
      <c r="AC1958" s="333"/>
      <c r="AD1958" s="329"/>
      <c r="AE1958" s="331"/>
      <c r="AF1958" s="336"/>
      <c r="AG1958" s="337"/>
      <c r="AH1958" s="333"/>
      <c r="AI1958" s="333"/>
      <c r="AJ1958" s="333"/>
      <c r="AK1958" s="333"/>
      <c r="AL1958" s="333"/>
      <c r="AM1958" s="338"/>
      <c r="AN1958" s="333"/>
      <c r="AO1958" s="333"/>
      <c r="AP1958" s="333"/>
      <c r="AQ1958" s="333"/>
      <c r="AR1958" s="333"/>
      <c r="AS1958" s="333"/>
      <c r="AT1958" s="333"/>
      <c r="AU1958" s="329"/>
      <c r="AV1958" s="341"/>
      <c r="AW1958" s="269"/>
      <c r="AX1958" s="334" t="s">
        <v>2869</v>
      </c>
      <c r="AY1958" s="270" t="s">
        <v>695</v>
      </c>
      <c r="AZ1958" s="173" t="s">
        <v>5516</v>
      </c>
      <c r="BA1958" s="265">
        <v>10.0</v>
      </c>
      <c r="BB1958" s="174" t="s">
        <v>245</v>
      </c>
      <c r="BC1958" s="341"/>
      <c r="BD1958" s="308"/>
      <c r="BE1958" s="342"/>
      <c r="BF1958" s="274" t="str">
        <f>IFERROR(__xludf.DUMMYFUNCTION("LOWER(Regexreplace(to_text(E1958),""[^A-Za-z0-9]"","""")&amp;""_""&amp;Regexreplace(to_text(F1958),""[^A-Za-z0-9]"",""""))"),"neptronic_evcbseries")</f>
        <v>neptronic_evcbseries</v>
      </c>
      <c r="BG1958" s="275" t="str">
        <f>IFERROR(__xludf.DUMMYFUNCTION("upper(Regexreplace(to_text(E1958),""[^A-Za-z0-9]"","""")&amp;""-""&amp;Regexreplace(to_text(F1958),""[^A-Za-z0-9]"",""""))"),"NEPTRONIC-EVCBSERIES")</f>
        <v>NEPTRONIC-EVCBSERIES</v>
      </c>
    </row>
    <row r="1959" ht="30.0" customHeight="1">
      <c r="A1959" s="173">
        <v>1951.0</v>
      </c>
      <c r="B1959" s="328" t="s">
        <v>670</v>
      </c>
      <c r="C1959" s="257" t="s">
        <v>7121</v>
      </c>
      <c r="D1959" s="173" t="s">
        <v>7121</v>
      </c>
      <c r="E1959" s="174" t="s">
        <v>2861</v>
      </c>
      <c r="F1959" s="173" t="s">
        <v>2862</v>
      </c>
      <c r="G1959" s="328" t="s">
        <v>673</v>
      </c>
      <c r="H1959" s="328" t="s">
        <v>2863</v>
      </c>
      <c r="I1959" s="258" t="s">
        <v>2864</v>
      </c>
      <c r="J1959" s="259"/>
      <c r="K1959" s="260"/>
      <c r="L1959" s="359"/>
      <c r="M1959" s="359"/>
      <c r="N1959" s="173" t="s">
        <v>679</v>
      </c>
      <c r="O1959" s="173" t="s">
        <v>225</v>
      </c>
      <c r="P1959" s="262" t="str">
        <f t="shared" si="1"/>
        <v>IN-BLR-ANANTA-VAV-1531_</v>
      </c>
      <c r="Q1959" s="173" t="s">
        <v>7122</v>
      </c>
      <c r="R1959" s="328" t="str">
        <f>IFS(C1959="","",C1959="n/a","N/A",LEN(C1959),Concatenate("{",char(34),"asset",char(34),":{",char(34),"guid",char(34),":",char(34),Q1959,char(34),",",char(34),"site",char(34),":",char(34),LOWER('2-Building'!$B$4),char(34),",",char(34),"name",char(34),":",char(34),LOWER(C1959),char(34),"}}"))</f>
        <v>{"asset":{"guid":"uuid://94b93997-b7d7-417c-9e2c-edda02ae8d86","site":"in-blr-ananta","name":"vav-1531"}}</v>
      </c>
      <c r="S1959" s="360" t="s">
        <v>5516</v>
      </c>
      <c r="T1959" s="330"/>
      <c r="U1959" s="330"/>
      <c r="V1959" s="331"/>
      <c r="W1959" s="332"/>
      <c r="X1959" s="333"/>
      <c r="Y1959" s="33" t="s">
        <v>2867</v>
      </c>
      <c r="Z1959" s="258">
        <v>121531.0</v>
      </c>
      <c r="AA1959" s="333"/>
      <c r="AB1959" s="333"/>
      <c r="AC1959" s="333"/>
      <c r="AD1959" s="329"/>
      <c r="AE1959" s="331"/>
      <c r="AF1959" s="336"/>
      <c r="AG1959" s="337"/>
      <c r="AH1959" s="333"/>
      <c r="AI1959" s="333"/>
      <c r="AJ1959" s="333"/>
      <c r="AK1959" s="333"/>
      <c r="AL1959" s="333"/>
      <c r="AM1959" s="338"/>
      <c r="AN1959" s="333"/>
      <c r="AO1959" s="333"/>
      <c r="AP1959" s="333"/>
      <c r="AQ1959" s="333"/>
      <c r="AR1959" s="333"/>
      <c r="AS1959" s="333"/>
      <c r="AT1959" s="333"/>
      <c r="AU1959" s="329"/>
      <c r="AV1959" s="341"/>
      <c r="AW1959" s="269"/>
      <c r="AX1959" s="334" t="s">
        <v>2869</v>
      </c>
      <c r="AY1959" s="270" t="s">
        <v>695</v>
      </c>
      <c r="AZ1959" s="173" t="s">
        <v>5516</v>
      </c>
      <c r="BA1959" s="265">
        <v>10.0</v>
      </c>
      <c r="BB1959" s="174" t="s">
        <v>245</v>
      </c>
      <c r="BC1959" s="341"/>
      <c r="BD1959" s="308"/>
      <c r="BE1959" s="342"/>
      <c r="BF1959" s="274" t="str">
        <f>IFERROR(__xludf.DUMMYFUNCTION("LOWER(Regexreplace(to_text(E1959),""[^A-Za-z0-9]"","""")&amp;""_""&amp;Regexreplace(to_text(F1959),""[^A-Za-z0-9]"",""""))"),"neptronic_evcbseries")</f>
        <v>neptronic_evcbseries</v>
      </c>
      <c r="BG1959" s="275" t="str">
        <f>IFERROR(__xludf.DUMMYFUNCTION("upper(Regexreplace(to_text(E1959),""[^A-Za-z0-9]"","""")&amp;""-""&amp;Regexreplace(to_text(F1959),""[^A-Za-z0-9]"",""""))"),"NEPTRONIC-EVCBSERIES")</f>
        <v>NEPTRONIC-EVCBSERIES</v>
      </c>
    </row>
    <row r="1960" ht="30.0" customHeight="1">
      <c r="A1960" s="258">
        <v>1952.0</v>
      </c>
      <c r="B1960" s="328" t="s">
        <v>670</v>
      </c>
      <c r="C1960" s="257" t="s">
        <v>7123</v>
      </c>
      <c r="D1960" s="173" t="s">
        <v>7123</v>
      </c>
      <c r="E1960" s="174" t="s">
        <v>2861</v>
      </c>
      <c r="F1960" s="173" t="s">
        <v>2862</v>
      </c>
      <c r="G1960" s="328" t="s">
        <v>673</v>
      </c>
      <c r="H1960" s="328" t="s">
        <v>2863</v>
      </c>
      <c r="I1960" s="258" t="s">
        <v>2864</v>
      </c>
      <c r="J1960" s="259"/>
      <c r="K1960" s="260"/>
      <c r="L1960" s="359"/>
      <c r="M1960" s="359"/>
      <c r="N1960" s="173" t="s">
        <v>679</v>
      </c>
      <c r="O1960" s="173" t="s">
        <v>225</v>
      </c>
      <c r="P1960" s="262" t="str">
        <f t="shared" si="1"/>
        <v>IN-BLR-ANANTA-VAV-1532_</v>
      </c>
      <c r="Q1960" s="173" t="s">
        <v>7124</v>
      </c>
      <c r="R1960" s="328" t="str">
        <f>IFS(C1960="","",C1960="n/a","N/A",LEN(C1960),Concatenate("{",char(34),"asset",char(34),":{",char(34),"guid",char(34),":",char(34),Q1960,char(34),",",char(34),"site",char(34),":",char(34),LOWER('2-Building'!$B$4),char(34),",",char(34),"name",char(34),":",char(34),LOWER(C1960),char(34),"}}"))</f>
        <v>{"asset":{"guid":"uuid://ccbedd10-3c44-405a-81d5-fdea4deba1d4","site":"in-blr-ananta","name":"vav-1532"}}</v>
      </c>
      <c r="S1960" s="360" t="s">
        <v>5516</v>
      </c>
      <c r="T1960" s="330"/>
      <c r="U1960" s="330"/>
      <c r="V1960" s="331"/>
      <c r="W1960" s="332"/>
      <c r="X1960" s="333"/>
      <c r="Y1960" s="33" t="s">
        <v>2867</v>
      </c>
      <c r="Z1960" s="258">
        <v>121532.0</v>
      </c>
      <c r="AA1960" s="333"/>
      <c r="AB1960" s="333"/>
      <c r="AC1960" s="333"/>
      <c r="AD1960" s="329"/>
      <c r="AE1960" s="331"/>
      <c r="AF1960" s="336"/>
      <c r="AG1960" s="337"/>
      <c r="AH1960" s="333"/>
      <c r="AI1960" s="333"/>
      <c r="AJ1960" s="333"/>
      <c r="AK1960" s="333"/>
      <c r="AL1960" s="333"/>
      <c r="AM1960" s="338"/>
      <c r="AN1960" s="333"/>
      <c r="AO1960" s="333"/>
      <c r="AP1960" s="333"/>
      <c r="AQ1960" s="333"/>
      <c r="AR1960" s="333"/>
      <c r="AS1960" s="333"/>
      <c r="AT1960" s="333"/>
      <c r="AU1960" s="329"/>
      <c r="AV1960" s="341"/>
      <c r="AW1960" s="269"/>
      <c r="AX1960" s="334" t="s">
        <v>2869</v>
      </c>
      <c r="AY1960" s="270" t="s">
        <v>695</v>
      </c>
      <c r="AZ1960" s="173" t="s">
        <v>5516</v>
      </c>
      <c r="BA1960" s="265">
        <v>10.0</v>
      </c>
      <c r="BB1960" s="174" t="s">
        <v>245</v>
      </c>
      <c r="BC1960" s="341"/>
      <c r="BD1960" s="308"/>
      <c r="BE1960" s="342"/>
      <c r="BF1960" s="274" t="str">
        <f>IFERROR(__xludf.DUMMYFUNCTION("LOWER(Regexreplace(to_text(E1960),""[^A-Za-z0-9]"","""")&amp;""_""&amp;Regexreplace(to_text(F1960),""[^A-Za-z0-9]"",""""))"),"neptronic_evcbseries")</f>
        <v>neptronic_evcbseries</v>
      </c>
      <c r="BG1960" s="275" t="str">
        <f>IFERROR(__xludf.DUMMYFUNCTION("upper(Regexreplace(to_text(E1960),""[^A-Za-z0-9]"","""")&amp;""-""&amp;Regexreplace(to_text(F1960),""[^A-Za-z0-9]"",""""))"),"NEPTRONIC-EVCBSERIES")</f>
        <v>NEPTRONIC-EVCBSERIES</v>
      </c>
    </row>
    <row r="1961" ht="30.0" customHeight="1">
      <c r="A1961" s="173">
        <v>1953.0</v>
      </c>
      <c r="B1961" s="328" t="s">
        <v>670</v>
      </c>
      <c r="C1961" s="257" t="s">
        <v>7125</v>
      </c>
      <c r="D1961" s="173" t="s">
        <v>7125</v>
      </c>
      <c r="E1961" s="174" t="s">
        <v>2861</v>
      </c>
      <c r="F1961" s="173" t="s">
        <v>2862</v>
      </c>
      <c r="G1961" s="328" t="s">
        <v>673</v>
      </c>
      <c r="H1961" s="328" t="s">
        <v>2863</v>
      </c>
      <c r="I1961" s="258" t="s">
        <v>2864</v>
      </c>
      <c r="J1961" s="259"/>
      <c r="K1961" s="260"/>
      <c r="L1961" s="359"/>
      <c r="M1961" s="359"/>
      <c r="N1961" s="173" t="s">
        <v>679</v>
      </c>
      <c r="O1961" s="173" t="s">
        <v>225</v>
      </c>
      <c r="P1961" s="262" t="str">
        <f t="shared" si="1"/>
        <v>IN-BLR-ANANTA-VAV-1533_</v>
      </c>
      <c r="Q1961" s="173" t="s">
        <v>7126</v>
      </c>
      <c r="R1961" s="328" t="str">
        <f>IFS(C1961="","",C1961="n/a","N/A",LEN(C1961),Concatenate("{",char(34),"asset",char(34),":{",char(34),"guid",char(34),":",char(34),Q1961,char(34),",",char(34),"site",char(34),":",char(34),LOWER('2-Building'!$B$4),char(34),",",char(34),"name",char(34),":",char(34),LOWER(C1961),char(34),"}}"))</f>
        <v>{"asset":{"guid":"uuid://019b2984-b342-4ccd-b28b-cc8cfd9bb88b","site":"in-blr-ananta","name":"vav-1533"}}</v>
      </c>
      <c r="S1961" s="360" t="s">
        <v>5516</v>
      </c>
      <c r="T1961" s="330"/>
      <c r="U1961" s="330"/>
      <c r="V1961" s="331"/>
      <c r="W1961" s="332"/>
      <c r="X1961" s="333"/>
      <c r="Y1961" s="33" t="s">
        <v>2867</v>
      </c>
      <c r="Z1961" s="258">
        <v>121533.0</v>
      </c>
      <c r="AA1961" s="333"/>
      <c r="AB1961" s="333"/>
      <c r="AC1961" s="333"/>
      <c r="AD1961" s="329"/>
      <c r="AE1961" s="331"/>
      <c r="AF1961" s="336"/>
      <c r="AG1961" s="337"/>
      <c r="AH1961" s="333"/>
      <c r="AI1961" s="333"/>
      <c r="AJ1961" s="333"/>
      <c r="AK1961" s="333"/>
      <c r="AL1961" s="333"/>
      <c r="AM1961" s="338"/>
      <c r="AN1961" s="333"/>
      <c r="AO1961" s="333"/>
      <c r="AP1961" s="333"/>
      <c r="AQ1961" s="333"/>
      <c r="AR1961" s="333"/>
      <c r="AS1961" s="333"/>
      <c r="AT1961" s="333"/>
      <c r="AU1961" s="329"/>
      <c r="AV1961" s="341"/>
      <c r="AW1961" s="269"/>
      <c r="AX1961" s="334" t="s">
        <v>2869</v>
      </c>
      <c r="AY1961" s="270" t="s">
        <v>695</v>
      </c>
      <c r="AZ1961" s="173" t="s">
        <v>5516</v>
      </c>
      <c r="BA1961" s="265">
        <v>10.0</v>
      </c>
      <c r="BB1961" s="174" t="s">
        <v>245</v>
      </c>
      <c r="BC1961" s="341"/>
      <c r="BD1961" s="308"/>
      <c r="BE1961" s="342"/>
      <c r="BF1961" s="274" t="str">
        <f>IFERROR(__xludf.DUMMYFUNCTION("LOWER(Regexreplace(to_text(E1961),""[^A-Za-z0-9]"","""")&amp;""_""&amp;Regexreplace(to_text(F1961),""[^A-Za-z0-9]"",""""))"),"neptronic_evcbseries")</f>
        <v>neptronic_evcbseries</v>
      </c>
      <c r="BG1961" s="275" t="str">
        <f>IFERROR(__xludf.DUMMYFUNCTION("upper(Regexreplace(to_text(E1961),""[^A-Za-z0-9]"","""")&amp;""-""&amp;Regexreplace(to_text(F1961),""[^A-Za-z0-9]"",""""))"),"NEPTRONIC-EVCBSERIES")</f>
        <v>NEPTRONIC-EVCBSERIES</v>
      </c>
    </row>
    <row r="1962" ht="30.0" customHeight="1">
      <c r="A1962" s="258">
        <v>1954.0</v>
      </c>
      <c r="B1962" s="328" t="s">
        <v>670</v>
      </c>
      <c r="C1962" s="257" t="s">
        <v>7127</v>
      </c>
      <c r="D1962" s="173" t="s">
        <v>7127</v>
      </c>
      <c r="E1962" s="174" t="s">
        <v>2861</v>
      </c>
      <c r="F1962" s="173" t="s">
        <v>2862</v>
      </c>
      <c r="G1962" s="328" t="s">
        <v>673</v>
      </c>
      <c r="H1962" s="328" t="s">
        <v>2863</v>
      </c>
      <c r="I1962" s="258" t="s">
        <v>2864</v>
      </c>
      <c r="J1962" s="259"/>
      <c r="K1962" s="260"/>
      <c r="L1962" s="359"/>
      <c r="M1962" s="359"/>
      <c r="N1962" s="173" t="s">
        <v>679</v>
      </c>
      <c r="O1962" s="173" t="s">
        <v>225</v>
      </c>
      <c r="P1962" s="262" t="str">
        <f t="shared" si="1"/>
        <v>IN-BLR-ANANTA-VAV-1534_</v>
      </c>
      <c r="Q1962" s="173" t="s">
        <v>7128</v>
      </c>
      <c r="R1962" s="328" t="str">
        <f>IFS(C1962="","",C1962="n/a","N/A",LEN(C1962),Concatenate("{",char(34),"asset",char(34),":{",char(34),"guid",char(34),":",char(34),Q1962,char(34),",",char(34),"site",char(34),":",char(34),LOWER('2-Building'!$B$4),char(34),",",char(34),"name",char(34),":",char(34),LOWER(C1962),char(34),"}}"))</f>
        <v>{"asset":{"guid":"uuid://af604f1f-97c1-49f5-9e9b-35129638b7bc","site":"in-blr-ananta","name":"vav-1534"}}</v>
      </c>
      <c r="S1962" s="360" t="s">
        <v>5516</v>
      </c>
      <c r="T1962" s="330"/>
      <c r="U1962" s="330"/>
      <c r="V1962" s="331"/>
      <c r="W1962" s="332"/>
      <c r="X1962" s="333"/>
      <c r="Y1962" s="33" t="s">
        <v>2867</v>
      </c>
      <c r="Z1962" s="258">
        <v>121534.0</v>
      </c>
      <c r="AA1962" s="333"/>
      <c r="AB1962" s="333"/>
      <c r="AC1962" s="333"/>
      <c r="AD1962" s="329"/>
      <c r="AE1962" s="331"/>
      <c r="AF1962" s="336"/>
      <c r="AG1962" s="337"/>
      <c r="AH1962" s="333"/>
      <c r="AI1962" s="333"/>
      <c r="AJ1962" s="333"/>
      <c r="AK1962" s="333"/>
      <c r="AL1962" s="333"/>
      <c r="AM1962" s="338"/>
      <c r="AN1962" s="333"/>
      <c r="AO1962" s="333"/>
      <c r="AP1962" s="333"/>
      <c r="AQ1962" s="333"/>
      <c r="AR1962" s="333"/>
      <c r="AS1962" s="333"/>
      <c r="AT1962" s="333"/>
      <c r="AU1962" s="329"/>
      <c r="AV1962" s="341"/>
      <c r="AW1962" s="269"/>
      <c r="AX1962" s="334" t="s">
        <v>2869</v>
      </c>
      <c r="AY1962" s="270" t="s">
        <v>695</v>
      </c>
      <c r="AZ1962" s="173" t="s">
        <v>5516</v>
      </c>
      <c r="BA1962" s="265">
        <v>10.0</v>
      </c>
      <c r="BB1962" s="174" t="s">
        <v>245</v>
      </c>
      <c r="BC1962" s="341"/>
      <c r="BD1962" s="308"/>
      <c r="BE1962" s="342"/>
      <c r="BF1962" s="274" t="str">
        <f>IFERROR(__xludf.DUMMYFUNCTION("LOWER(Regexreplace(to_text(E1962),""[^A-Za-z0-9]"","""")&amp;""_""&amp;Regexreplace(to_text(F1962),""[^A-Za-z0-9]"",""""))"),"neptronic_evcbseries")</f>
        <v>neptronic_evcbseries</v>
      </c>
      <c r="BG1962" s="275" t="str">
        <f>IFERROR(__xludf.DUMMYFUNCTION("upper(Regexreplace(to_text(E1962),""[^A-Za-z0-9]"","""")&amp;""-""&amp;Regexreplace(to_text(F1962),""[^A-Za-z0-9]"",""""))"),"NEPTRONIC-EVCBSERIES")</f>
        <v>NEPTRONIC-EVCBSERIES</v>
      </c>
    </row>
    <row r="1963" ht="30.0" customHeight="1">
      <c r="A1963" s="173">
        <v>1955.0</v>
      </c>
      <c r="B1963" s="328" t="s">
        <v>670</v>
      </c>
      <c r="C1963" s="257" t="s">
        <v>7129</v>
      </c>
      <c r="D1963" s="173" t="s">
        <v>7129</v>
      </c>
      <c r="E1963" s="174" t="s">
        <v>2861</v>
      </c>
      <c r="F1963" s="173" t="s">
        <v>2862</v>
      </c>
      <c r="G1963" s="328" t="s">
        <v>673</v>
      </c>
      <c r="H1963" s="328" t="s">
        <v>2863</v>
      </c>
      <c r="I1963" s="258" t="s">
        <v>2864</v>
      </c>
      <c r="J1963" s="259"/>
      <c r="K1963" s="260"/>
      <c r="L1963" s="359"/>
      <c r="M1963" s="359"/>
      <c r="N1963" s="173" t="s">
        <v>679</v>
      </c>
      <c r="O1963" s="173" t="s">
        <v>225</v>
      </c>
      <c r="P1963" s="262" t="str">
        <f t="shared" si="1"/>
        <v>IN-BLR-ANANTA-VAV-1535_</v>
      </c>
      <c r="Q1963" s="173" t="s">
        <v>7130</v>
      </c>
      <c r="R1963" s="328" t="str">
        <f>IFS(C1963="","",C1963="n/a","N/A",LEN(C1963),Concatenate("{",char(34),"asset",char(34),":{",char(34),"guid",char(34),":",char(34),Q1963,char(34),",",char(34),"site",char(34),":",char(34),LOWER('2-Building'!$B$4),char(34),",",char(34),"name",char(34),":",char(34),LOWER(C1963),char(34),"}}"))</f>
        <v>{"asset":{"guid":"uuid://de34f59e-a0bf-4a8f-a857-4a7d7599c002","site":"in-blr-ananta","name":"vav-1535"}}</v>
      </c>
      <c r="S1963" s="360" t="s">
        <v>5516</v>
      </c>
      <c r="T1963" s="330"/>
      <c r="U1963" s="330"/>
      <c r="V1963" s="331"/>
      <c r="W1963" s="332"/>
      <c r="X1963" s="333"/>
      <c r="Y1963" s="33" t="s">
        <v>2867</v>
      </c>
      <c r="Z1963" s="258">
        <v>121535.0</v>
      </c>
      <c r="AA1963" s="333"/>
      <c r="AB1963" s="333"/>
      <c r="AC1963" s="333"/>
      <c r="AD1963" s="329"/>
      <c r="AE1963" s="331"/>
      <c r="AF1963" s="336"/>
      <c r="AG1963" s="337"/>
      <c r="AH1963" s="333"/>
      <c r="AI1963" s="333"/>
      <c r="AJ1963" s="333"/>
      <c r="AK1963" s="333"/>
      <c r="AL1963" s="333"/>
      <c r="AM1963" s="338"/>
      <c r="AN1963" s="333"/>
      <c r="AO1963" s="333"/>
      <c r="AP1963" s="333"/>
      <c r="AQ1963" s="333"/>
      <c r="AR1963" s="333"/>
      <c r="AS1963" s="333"/>
      <c r="AT1963" s="333"/>
      <c r="AU1963" s="329"/>
      <c r="AV1963" s="341"/>
      <c r="AW1963" s="269"/>
      <c r="AX1963" s="334" t="s">
        <v>2869</v>
      </c>
      <c r="AY1963" s="270" t="s">
        <v>695</v>
      </c>
      <c r="AZ1963" s="173" t="s">
        <v>5516</v>
      </c>
      <c r="BA1963" s="265">
        <v>10.0</v>
      </c>
      <c r="BB1963" s="174" t="s">
        <v>245</v>
      </c>
      <c r="BC1963" s="341"/>
      <c r="BD1963" s="308"/>
      <c r="BE1963" s="342"/>
      <c r="BF1963" s="274" t="str">
        <f>IFERROR(__xludf.DUMMYFUNCTION("LOWER(Regexreplace(to_text(E1963),""[^A-Za-z0-9]"","""")&amp;""_""&amp;Regexreplace(to_text(F1963),""[^A-Za-z0-9]"",""""))"),"neptronic_evcbseries")</f>
        <v>neptronic_evcbseries</v>
      </c>
      <c r="BG1963" s="275" t="str">
        <f>IFERROR(__xludf.DUMMYFUNCTION("upper(Regexreplace(to_text(E1963),""[^A-Za-z0-9]"","""")&amp;""-""&amp;Regexreplace(to_text(F1963),""[^A-Za-z0-9]"",""""))"),"NEPTRONIC-EVCBSERIES")</f>
        <v>NEPTRONIC-EVCBSERIES</v>
      </c>
    </row>
    <row r="1964" ht="30.0" customHeight="1">
      <c r="A1964" s="258">
        <v>1956.0</v>
      </c>
      <c r="B1964" s="328" t="s">
        <v>670</v>
      </c>
      <c r="C1964" s="257" t="s">
        <v>7131</v>
      </c>
      <c r="D1964" s="173" t="s">
        <v>7131</v>
      </c>
      <c r="E1964" s="174" t="s">
        <v>2861</v>
      </c>
      <c r="F1964" s="173" t="s">
        <v>2862</v>
      </c>
      <c r="G1964" s="328" t="s">
        <v>673</v>
      </c>
      <c r="H1964" s="328" t="s">
        <v>2863</v>
      </c>
      <c r="I1964" s="258" t="s">
        <v>2864</v>
      </c>
      <c r="J1964" s="259"/>
      <c r="K1964" s="260"/>
      <c r="L1964" s="359"/>
      <c r="M1964" s="359"/>
      <c r="N1964" s="173" t="s">
        <v>679</v>
      </c>
      <c r="O1964" s="173" t="s">
        <v>225</v>
      </c>
      <c r="P1964" s="262" t="str">
        <f t="shared" si="1"/>
        <v>IN-BLR-ANANTA-VAV-1536_</v>
      </c>
      <c r="Q1964" s="173" t="s">
        <v>7132</v>
      </c>
      <c r="R1964" s="328" t="str">
        <f>IFS(C1964="","",C1964="n/a","N/A",LEN(C1964),Concatenate("{",char(34),"asset",char(34),":{",char(34),"guid",char(34),":",char(34),Q1964,char(34),",",char(34),"site",char(34),":",char(34),LOWER('2-Building'!$B$4),char(34),",",char(34),"name",char(34),":",char(34),LOWER(C1964),char(34),"}}"))</f>
        <v>{"asset":{"guid":"uuid://94e22b9d-2954-41ae-abea-d06630bdc43c","site":"in-blr-ananta","name":"vav-1536"}}</v>
      </c>
      <c r="S1964" s="360" t="s">
        <v>5516</v>
      </c>
      <c r="T1964" s="330"/>
      <c r="U1964" s="330"/>
      <c r="V1964" s="331"/>
      <c r="W1964" s="332"/>
      <c r="X1964" s="333"/>
      <c r="Y1964" s="33" t="s">
        <v>2867</v>
      </c>
      <c r="Z1964" s="258">
        <v>121536.0</v>
      </c>
      <c r="AA1964" s="333"/>
      <c r="AB1964" s="333"/>
      <c r="AC1964" s="333"/>
      <c r="AD1964" s="329"/>
      <c r="AE1964" s="331"/>
      <c r="AF1964" s="336"/>
      <c r="AG1964" s="337"/>
      <c r="AH1964" s="333"/>
      <c r="AI1964" s="333"/>
      <c r="AJ1964" s="333"/>
      <c r="AK1964" s="333"/>
      <c r="AL1964" s="333"/>
      <c r="AM1964" s="338"/>
      <c r="AN1964" s="333"/>
      <c r="AO1964" s="333"/>
      <c r="AP1964" s="333"/>
      <c r="AQ1964" s="333"/>
      <c r="AR1964" s="333"/>
      <c r="AS1964" s="333"/>
      <c r="AT1964" s="333"/>
      <c r="AU1964" s="329"/>
      <c r="AV1964" s="341"/>
      <c r="AW1964" s="269"/>
      <c r="AX1964" s="334" t="s">
        <v>2869</v>
      </c>
      <c r="AY1964" s="270" t="s">
        <v>695</v>
      </c>
      <c r="AZ1964" s="173" t="s">
        <v>5516</v>
      </c>
      <c r="BA1964" s="265">
        <v>10.0</v>
      </c>
      <c r="BB1964" s="174" t="s">
        <v>245</v>
      </c>
      <c r="BC1964" s="341"/>
      <c r="BD1964" s="308"/>
      <c r="BE1964" s="342"/>
      <c r="BF1964" s="274" t="str">
        <f>IFERROR(__xludf.DUMMYFUNCTION("LOWER(Regexreplace(to_text(E1964),""[^A-Za-z0-9]"","""")&amp;""_""&amp;Regexreplace(to_text(F1964),""[^A-Za-z0-9]"",""""))"),"neptronic_evcbseries")</f>
        <v>neptronic_evcbseries</v>
      </c>
      <c r="BG1964" s="275" t="str">
        <f>IFERROR(__xludf.DUMMYFUNCTION("upper(Regexreplace(to_text(E1964),""[^A-Za-z0-9]"","""")&amp;""-""&amp;Regexreplace(to_text(F1964),""[^A-Za-z0-9]"",""""))"),"NEPTRONIC-EVCBSERIES")</f>
        <v>NEPTRONIC-EVCBSERIES</v>
      </c>
    </row>
    <row r="1965" ht="30.0" customHeight="1">
      <c r="A1965" s="173">
        <v>1957.0</v>
      </c>
      <c r="B1965" s="328" t="s">
        <v>670</v>
      </c>
      <c r="C1965" s="257" t="s">
        <v>7133</v>
      </c>
      <c r="D1965" s="173" t="s">
        <v>7133</v>
      </c>
      <c r="E1965" s="174" t="s">
        <v>2861</v>
      </c>
      <c r="F1965" s="173" t="s">
        <v>2862</v>
      </c>
      <c r="G1965" s="328" t="s">
        <v>673</v>
      </c>
      <c r="H1965" s="328" t="s">
        <v>2863</v>
      </c>
      <c r="I1965" s="258" t="s">
        <v>2864</v>
      </c>
      <c r="J1965" s="259"/>
      <c r="K1965" s="260"/>
      <c r="L1965" s="359"/>
      <c r="M1965" s="359"/>
      <c r="N1965" s="173" t="s">
        <v>679</v>
      </c>
      <c r="O1965" s="173" t="s">
        <v>225</v>
      </c>
      <c r="P1965" s="262" t="str">
        <f t="shared" si="1"/>
        <v>IN-BLR-ANANTA-VAV-1537_</v>
      </c>
      <c r="Q1965" s="173" t="s">
        <v>7134</v>
      </c>
      <c r="R1965" s="328" t="str">
        <f>IFS(C1965="","",C1965="n/a","N/A",LEN(C1965),Concatenate("{",char(34),"asset",char(34),":{",char(34),"guid",char(34),":",char(34),Q1965,char(34),",",char(34),"site",char(34),":",char(34),LOWER('2-Building'!$B$4),char(34),",",char(34),"name",char(34),":",char(34),LOWER(C1965),char(34),"}}"))</f>
        <v>{"asset":{"guid":"uuid://3c91e19e-e2c3-4c0d-8b78-cadbd44f7a27","site":"in-blr-ananta","name":"vav-1537"}}</v>
      </c>
      <c r="S1965" s="360" t="s">
        <v>5516</v>
      </c>
      <c r="T1965" s="330"/>
      <c r="U1965" s="330"/>
      <c r="V1965" s="331"/>
      <c r="W1965" s="332"/>
      <c r="X1965" s="333"/>
      <c r="Y1965" s="33" t="s">
        <v>2867</v>
      </c>
      <c r="Z1965" s="258">
        <v>121537.0</v>
      </c>
      <c r="AA1965" s="333"/>
      <c r="AB1965" s="333"/>
      <c r="AC1965" s="333"/>
      <c r="AD1965" s="329"/>
      <c r="AE1965" s="331"/>
      <c r="AF1965" s="336"/>
      <c r="AG1965" s="337"/>
      <c r="AH1965" s="333"/>
      <c r="AI1965" s="333"/>
      <c r="AJ1965" s="333"/>
      <c r="AK1965" s="333"/>
      <c r="AL1965" s="333"/>
      <c r="AM1965" s="338"/>
      <c r="AN1965" s="333"/>
      <c r="AO1965" s="333"/>
      <c r="AP1965" s="333"/>
      <c r="AQ1965" s="333"/>
      <c r="AR1965" s="333"/>
      <c r="AS1965" s="333"/>
      <c r="AT1965" s="333"/>
      <c r="AU1965" s="329"/>
      <c r="AV1965" s="341"/>
      <c r="AW1965" s="269"/>
      <c r="AX1965" s="334" t="s">
        <v>2869</v>
      </c>
      <c r="AY1965" s="270" t="s">
        <v>695</v>
      </c>
      <c r="AZ1965" s="173" t="s">
        <v>5516</v>
      </c>
      <c r="BA1965" s="265">
        <v>10.0</v>
      </c>
      <c r="BB1965" s="174" t="s">
        <v>245</v>
      </c>
      <c r="BC1965" s="341"/>
      <c r="BD1965" s="308"/>
      <c r="BE1965" s="342"/>
      <c r="BF1965" s="274" t="str">
        <f>IFERROR(__xludf.DUMMYFUNCTION("LOWER(Regexreplace(to_text(E1965),""[^A-Za-z0-9]"","""")&amp;""_""&amp;Regexreplace(to_text(F1965),""[^A-Za-z0-9]"",""""))"),"neptronic_evcbseries")</f>
        <v>neptronic_evcbseries</v>
      </c>
      <c r="BG1965" s="275" t="str">
        <f>IFERROR(__xludf.DUMMYFUNCTION("upper(Regexreplace(to_text(E1965),""[^A-Za-z0-9]"","""")&amp;""-""&amp;Regexreplace(to_text(F1965),""[^A-Za-z0-9]"",""""))"),"NEPTRONIC-EVCBSERIES")</f>
        <v>NEPTRONIC-EVCBSERIES</v>
      </c>
    </row>
    <row r="1966" ht="30.0" customHeight="1">
      <c r="A1966" s="258">
        <v>1958.0</v>
      </c>
      <c r="B1966" s="328" t="s">
        <v>670</v>
      </c>
      <c r="C1966" s="257" t="s">
        <v>7135</v>
      </c>
      <c r="D1966" s="173" t="s">
        <v>7135</v>
      </c>
      <c r="E1966" s="174" t="s">
        <v>2861</v>
      </c>
      <c r="F1966" s="173" t="s">
        <v>2862</v>
      </c>
      <c r="G1966" s="328" t="s">
        <v>673</v>
      </c>
      <c r="H1966" s="328" t="s">
        <v>2863</v>
      </c>
      <c r="I1966" s="258" t="s">
        <v>2864</v>
      </c>
      <c r="J1966" s="259"/>
      <c r="K1966" s="260"/>
      <c r="L1966" s="359"/>
      <c r="M1966" s="359"/>
      <c r="N1966" s="173" t="s">
        <v>679</v>
      </c>
      <c r="O1966" s="173" t="s">
        <v>225</v>
      </c>
      <c r="P1966" s="262" t="str">
        <f t="shared" si="1"/>
        <v>IN-BLR-ANANTA-VAV-1538_</v>
      </c>
      <c r="Q1966" s="173" t="s">
        <v>7136</v>
      </c>
      <c r="R1966" s="328" t="str">
        <f>IFS(C1966="","",C1966="n/a","N/A",LEN(C1966),Concatenate("{",char(34),"asset",char(34),":{",char(34),"guid",char(34),":",char(34),Q1966,char(34),",",char(34),"site",char(34),":",char(34),LOWER('2-Building'!$B$4),char(34),",",char(34),"name",char(34),":",char(34),LOWER(C1966),char(34),"}}"))</f>
        <v>{"asset":{"guid":"uuid://ca2a2669-9c40-4c64-a67a-0a3511f01c2e","site":"in-blr-ananta","name":"vav-1538"}}</v>
      </c>
      <c r="S1966" s="360" t="s">
        <v>5516</v>
      </c>
      <c r="T1966" s="330"/>
      <c r="U1966" s="330"/>
      <c r="V1966" s="331"/>
      <c r="W1966" s="332"/>
      <c r="X1966" s="333"/>
      <c r="Y1966" s="33" t="s">
        <v>2867</v>
      </c>
      <c r="Z1966" s="258">
        <v>121538.0</v>
      </c>
      <c r="AA1966" s="333"/>
      <c r="AB1966" s="333"/>
      <c r="AC1966" s="333"/>
      <c r="AD1966" s="329"/>
      <c r="AE1966" s="331"/>
      <c r="AF1966" s="336"/>
      <c r="AG1966" s="337"/>
      <c r="AH1966" s="333"/>
      <c r="AI1966" s="333"/>
      <c r="AJ1966" s="333"/>
      <c r="AK1966" s="333"/>
      <c r="AL1966" s="333"/>
      <c r="AM1966" s="338"/>
      <c r="AN1966" s="333"/>
      <c r="AO1966" s="333"/>
      <c r="AP1966" s="333"/>
      <c r="AQ1966" s="333"/>
      <c r="AR1966" s="333"/>
      <c r="AS1966" s="333"/>
      <c r="AT1966" s="333"/>
      <c r="AU1966" s="329"/>
      <c r="AV1966" s="341"/>
      <c r="AW1966" s="269"/>
      <c r="AX1966" s="334" t="s">
        <v>2869</v>
      </c>
      <c r="AY1966" s="270" t="s">
        <v>695</v>
      </c>
      <c r="AZ1966" s="173" t="s">
        <v>5516</v>
      </c>
      <c r="BA1966" s="265">
        <v>10.0</v>
      </c>
      <c r="BB1966" s="174" t="s">
        <v>245</v>
      </c>
      <c r="BC1966" s="341"/>
      <c r="BD1966" s="308"/>
      <c r="BE1966" s="342"/>
      <c r="BF1966" s="274" t="str">
        <f>IFERROR(__xludf.DUMMYFUNCTION("LOWER(Regexreplace(to_text(E1966),""[^A-Za-z0-9]"","""")&amp;""_""&amp;Regexreplace(to_text(F1966),""[^A-Za-z0-9]"",""""))"),"neptronic_evcbseries")</f>
        <v>neptronic_evcbseries</v>
      </c>
      <c r="BG1966" s="275" t="str">
        <f>IFERROR(__xludf.DUMMYFUNCTION("upper(Regexreplace(to_text(E1966),""[^A-Za-z0-9]"","""")&amp;""-""&amp;Regexreplace(to_text(F1966),""[^A-Za-z0-9]"",""""))"),"NEPTRONIC-EVCBSERIES")</f>
        <v>NEPTRONIC-EVCBSERIES</v>
      </c>
    </row>
    <row r="1967" ht="30.0" customHeight="1">
      <c r="A1967" s="173">
        <v>1959.0</v>
      </c>
      <c r="B1967" s="328" t="s">
        <v>670</v>
      </c>
      <c r="C1967" s="257" t="s">
        <v>7137</v>
      </c>
      <c r="D1967" s="173" t="s">
        <v>7137</v>
      </c>
      <c r="E1967" s="174" t="s">
        <v>2861</v>
      </c>
      <c r="F1967" s="173" t="s">
        <v>2862</v>
      </c>
      <c r="G1967" s="328" t="s">
        <v>673</v>
      </c>
      <c r="H1967" s="328" t="s">
        <v>2863</v>
      </c>
      <c r="I1967" s="258" t="s">
        <v>2864</v>
      </c>
      <c r="J1967" s="259"/>
      <c r="K1967" s="260"/>
      <c r="L1967" s="359"/>
      <c r="M1967" s="359"/>
      <c r="N1967" s="173" t="s">
        <v>679</v>
      </c>
      <c r="O1967" s="173" t="s">
        <v>225</v>
      </c>
      <c r="P1967" s="262" t="str">
        <f t="shared" si="1"/>
        <v>IN-BLR-ANANTA-VAV-1539_</v>
      </c>
      <c r="Q1967" s="173" t="s">
        <v>7138</v>
      </c>
      <c r="R1967" s="328" t="str">
        <f>IFS(C1967="","",C1967="n/a","N/A",LEN(C1967),Concatenate("{",char(34),"asset",char(34),":{",char(34),"guid",char(34),":",char(34),Q1967,char(34),",",char(34),"site",char(34),":",char(34),LOWER('2-Building'!$B$4),char(34),",",char(34),"name",char(34),":",char(34),LOWER(C1967),char(34),"}}"))</f>
        <v>{"asset":{"guid":"uuid://e3fefae1-e4dd-4153-8162-fcc2299776b6","site":"in-blr-ananta","name":"vav-1539"}}</v>
      </c>
      <c r="S1967" s="360" t="s">
        <v>5516</v>
      </c>
      <c r="T1967" s="330"/>
      <c r="U1967" s="330"/>
      <c r="V1967" s="331"/>
      <c r="W1967" s="332"/>
      <c r="X1967" s="333"/>
      <c r="Y1967" s="33" t="s">
        <v>2867</v>
      </c>
      <c r="Z1967" s="258">
        <v>121539.0</v>
      </c>
      <c r="AA1967" s="333"/>
      <c r="AB1967" s="333"/>
      <c r="AC1967" s="333"/>
      <c r="AD1967" s="329"/>
      <c r="AE1967" s="331"/>
      <c r="AF1967" s="336"/>
      <c r="AG1967" s="337"/>
      <c r="AH1967" s="333"/>
      <c r="AI1967" s="333"/>
      <c r="AJ1967" s="333"/>
      <c r="AK1967" s="333"/>
      <c r="AL1967" s="333"/>
      <c r="AM1967" s="338"/>
      <c r="AN1967" s="333"/>
      <c r="AO1967" s="333"/>
      <c r="AP1967" s="333"/>
      <c r="AQ1967" s="333"/>
      <c r="AR1967" s="333"/>
      <c r="AS1967" s="333"/>
      <c r="AT1967" s="333"/>
      <c r="AU1967" s="329"/>
      <c r="AV1967" s="341"/>
      <c r="AW1967" s="269"/>
      <c r="AX1967" s="334" t="s">
        <v>2869</v>
      </c>
      <c r="AY1967" s="270" t="s">
        <v>695</v>
      </c>
      <c r="AZ1967" s="173" t="s">
        <v>5516</v>
      </c>
      <c r="BA1967" s="265">
        <v>10.0</v>
      </c>
      <c r="BB1967" s="174" t="s">
        <v>245</v>
      </c>
      <c r="BC1967" s="341"/>
      <c r="BD1967" s="308"/>
      <c r="BE1967" s="342"/>
      <c r="BF1967" s="274" t="str">
        <f>IFERROR(__xludf.DUMMYFUNCTION("LOWER(Regexreplace(to_text(E1967),""[^A-Za-z0-9]"","""")&amp;""_""&amp;Regexreplace(to_text(F1967),""[^A-Za-z0-9]"",""""))"),"neptronic_evcbseries")</f>
        <v>neptronic_evcbseries</v>
      </c>
      <c r="BG1967" s="275" t="str">
        <f>IFERROR(__xludf.DUMMYFUNCTION("upper(Regexreplace(to_text(E1967),""[^A-Za-z0-9]"","""")&amp;""-""&amp;Regexreplace(to_text(F1967),""[^A-Za-z0-9]"",""""))"),"NEPTRONIC-EVCBSERIES")</f>
        <v>NEPTRONIC-EVCBSERIES</v>
      </c>
    </row>
    <row r="1968" ht="30.0" customHeight="1">
      <c r="A1968" s="258">
        <v>1960.0</v>
      </c>
      <c r="B1968" s="328" t="s">
        <v>670</v>
      </c>
      <c r="C1968" s="257" t="s">
        <v>7139</v>
      </c>
      <c r="D1968" s="173" t="s">
        <v>7139</v>
      </c>
      <c r="E1968" s="174" t="s">
        <v>2861</v>
      </c>
      <c r="F1968" s="173" t="s">
        <v>2862</v>
      </c>
      <c r="G1968" s="328" t="s">
        <v>673</v>
      </c>
      <c r="H1968" s="328" t="s">
        <v>2863</v>
      </c>
      <c r="I1968" s="258" t="s">
        <v>2864</v>
      </c>
      <c r="J1968" s="259"/>
      <c r="K1968" s="260"/>
      <c r="L1968" s="359"/>
      <c r="M1968" s="359"/>
      <c r="N1968" s="173" t="s">
        <v>679</v>
      </c>
      <c r="O1968" s="173" t="s">
        <v>225</v>
      </c>
      <c r="P1968" s="262" t="str">
        <f t="shared" si="1"/>
        <v>IN-BLR-ANANTA-VAV-1540_</v>
      </c>
      <c r="Q1968" s="173" t="s">
        <v>7140</v>
      </c>
      <c r="R1968" s="328" t="str">
        <f>IFS(C1968="","",C1968="n/a","N/A",LEN(C1968),Concatenate("{",char(34),"asset",char(34),":{",char(34),"guid",char(34),":",char(34),Q1968,char(34),",",char(34),"site",char(34),":",char(34),LOWER('2-Building'!$B$4),char(34),",",char(34),"name",char(34),":",char(34),LOWER(C1968),char(34),"}}"))</f>
        <v>{"asset":{"guid":"uuid://b65b9a58-d6e3-41a9-b5c0-ec6e0e5fa9d8","site":"in-blr-ananta","name":"vav-1540"}}</v>
      </c>
      <c r="S1968" s="360" t="s">
        <v>5516</v>
      </c>
      <c r="T1968" s="330"/>
      <c r="U1968" s="330"/>
      <c r="V1968" s="331"/>
      <c r="W1968" s="332"/>
      <c r="X1968" s="333"/>
      <c r="Y1968" s="33" t="s">
        <v>2867</v>
      </c>
      <c r="Z1968" s="258">
        <v>121540.0</v>
      </c>
      <c r="AA1968" s="333"/>
      <c r="AB1968" s="333"/>
      <c r="AC1968" s="333"/>
      <c r="AD1968" s="329"/>
      <c r="AE1968" s="331"/>
      <c r="AF1968" s="336"/>
      <c r="AG1968" s="337"/>
      <c r="AH1968" s="333"/>
      <c r="AI1968" s="333"/>
      <c r="AJ1968" s="333"/>
      <c r="AK1968" s="333"/>
      <c r="AL1968" s="333"/>
      <c r="AM1968" s="338"/>
      <c r="AN1968" s="333"/>
      <c r="AO1968" s="333"/>
      <c r="AP1968" s="333"/>
      <c r="AQ1968" s="333"/>
      <c r="AR1968" s="333"/>
      <c r="AS1968" s="333"/>
      <c r="AT1968" s="333"/>
      <c r="AU1968" s="329"/>
      <c r="AV1968" s="341"/>
      <c r="AW1968" s="269"/>
      <c r="AX1968" s="334" t="s">
        <v>2869</v>
      </c>
      <c r="AY1968" s="270" t="s">
        <v>695</v>
      </c>
      <c r="AZ1968" s="173" t="s">
        <v>5516</v>
      </c>
      <c r="BA1968" s="265">
        <v>10.0</v>
      </c>
      <c r="BB1968" s="174" t="s">
        <v>245</v>
      </c>
      <c r="BC1968" s="341"/>
      <c r="BD1968" s="308"/>
      <c r="BE1968" s="342"/>
      <c r="BF1968" s="274" t="str">
        <f>IFERROR(__xludf.DUMMYFUNCTION("LOWER(Regexreplace(to_text(E1968),""[^A-Za-z0-9]"","""")&amp;""_""&amp;Regexreplace(to_text(F1968),""[^A-Za-z0-9]"",""""))"),"neptronic_evcbseries")</f>
        <v>neptronic_evcbseries</v>
      </c>
      <c r="BG1968" s="275" t="str">
        <f>IFERROR(__xludf.DUMMYFUNCTION("upper(Regexreplace(to_text(E1968),""[^A-Za-z0-9]"","""")&amp;""-""&amp;Regexreplace(to_text(F1968),""[^A-Za-z0-9]"",""""))"),"NEPTRONIC-EVCBSERIES")</f>
        <v>NEPTRONIC-EVCBSERIES</v>
      </c>
    </row>
    <row r="1969" ht="30.0" customHeight="1">
      <c r="A1969" s="173">
        <v>1961.0</v>
      </c>
      <c r="B1969" s="328" t="s">
        <v>670</v>
      </c>
      <c r="C1969" s="257" t="s">
        <v>7141</v>
      </c>
      <c r="D1969" s="173" t="s">
        <v>7141</v>
      </c>
      <c r="E1969" s="174" t="s">
        <v>2861</v>
      </c>
      <c r="F1969" s="173" t="s">
        <v>2862</v>
      </c>
      <c r="G1969" s="328" t="s">
        <v>673</v>
      </c>
      <c r="H1969" s="328" t="s">
        <v>2863</v>
      </c>
      <c r="I1969" s="258" t="s">
        <v>2864</v>
      </c>
      <c r="J1969" s="259"/>
      <c r="K1969" s="260"/>
      <c r="L1969" s="359"/>
      <c r="M1969" s="359"/>
      <c r="N1969" s="173" t="s">
        <v>679</v>
      </c>
      <c r="O1969" s="173" t="s">
        <v>225</v>
      </c>
      <c r="P1969" s="262" t="str">
        <f t="shared" si="1"/>
        <v>IN-BLR-ANANTA-VAV-1541_</v>
      </c>
      <c r="Q1969" s="173" t="s">
        <v>7142</v>
      </c>
      <c r="R1969" s="328" t="str">
        <f>IFS(C1969="","",C1969="n/a","N/A",LEN(C1969),Concatenate("{",char(34),"asset",char(34),":{",char(34),"guid",char(34),":",char(34),Q1969,char(34),",",char(34),"site",char(34),":",char(34),LOWER('2-Building'!$B$4),char(34),",",char(34),"name",char(34),":",char(34),LOWER(C1969),char(34),"}}"))</f>
        <v>{"asset":{"guid":"uuid://ff800d41-2f7e-4ab5-9afc-2af53ed5bbcc","site":"in-blr-ananta","name":"vav-1541"}}</v>
      </c>
      <c r="S1969" s="360" t="s">
        <v>5516</v>
      </c>
      <c r="T1969" s="330"/>
      <c r="U1969" s="330"/>
      <c r="V1969" s="331"/>
      <c r="W1969" s="332"/>
      <c r="X1969" s="333"/>
      <c r="Y1969" s="33" t="s">
        <v>2867</v>
      </c>
      <c r="Z1969" s="258">
        <v>121541.0</v>
      </c>
      <c r="AA1969" s="333"/>
      <c r="AB1969" s="333"/>
      <c r="AC1969" s="333"/>
      <c r="AD1969" s="329"/>
      <c r="AE1969" s="331"/>
      <c r="AF1969" s="336"/>
      <c r="AG1969" s="337"/>
      <c r="AH1969" s="333"/>
      <c r="AI1969" s="333"/>
      <c r="AJ1969" s="333"/>
      <c r="AK1969" s="333"/>
      <c r="AL1969" s="333"/>
      <c r="AM1969" s="338"/>
      <c r="AN1969" s="333"/>
      <c r="AO1969" s="333"/>
      <c r="AP1969" s="333"/>
      <c r="AQ1969" s="333"/>
      <c r="AR1969" s="333"/>
      <c r="AS1969" s="333"/>
      <c r="AT1969" s="333"/>
      <c r="AU1969" s="329"/>
      <c r="AV1969" s="341"/>
      <c r="AW1969" s="269"/>
      <c r="AX1969" s="334" t="s">
        <v>2869</v>
      </c>
      <c r="AY1969" s="270" t="s">
        <v>695</v>
      </c>
      <c r="AZ1969" s="173" t="s">
        <v>5516</v>
      </c>
      <c r="BA1969" s="265">
        <v>10.0</v>
      </c>
      <c r="BB1969" s="174" t="s">
        <v>245</v>
      </c>
      <c r="BC1969" s="341"/>
      <c r="BD1969" s="308"/>
      <c r="BE1969" s="342"/>
      <c r="BF1969" s="274" t="str">
        <f>IFERROR(__xludf.DUMMYFUNCTION("LOWER(Regexreplace(to_text(E1969),""[^A-Za-z0-9]"","""")&amp;""_""&amp;Regexreplace(to_text(F1969),""[^A-Za-z0-9]"",""""))"),"neptronic_evcbseries")</f>
        <v>neptronic_evcbseries</v>
      </c>
      <c r="BG1969" s="275" t="str">
        <f>IFERROR(__xludf.DUMMYFUNCTION("upper(Regexreplace(to_text(E1969),""[^A-Za-z0-9]"","""")&amp;""-""&amp;Regexreplace(to_text(F1969),""[^A-Za-z0-9]"",""""))"),"NEPTRONIC-EVCBSERIES")</f>
        <v>NEPTRONIC-EVCBSERIES</v>
      </c>
    </row>
    <row r="1970" ht="30.0" customHeight="1">
      <c r="A1970" s="258">
        <v>1962.0</v>
      </c>
      <c r="B1970" s="328" t="s">
        <v>670</v>
      </c>
      <c r="C1970" s="257" t="s">
        <v>7143</v>
      </c>
      <c r="D1970" s="173" t="s">
        <v>7143</v>
      </c>
      <c r="E1970" s="174" t="s">
        <v>2861</v>
      </c>
      <c r="F1970" s="173" t="s">
        <v>2862</v>
      </c>
      <c r="G1970" s="328" t="s">
        <v>673</v>
      </c>
      <c r="H1970" s="328" t="s">
        <v>2863</v>
      </c>
      <c r="I1970" s="258" t="s">
        <v>2864</v>
      </c>
      <c r="J1970" s="259"/>
      <c r="K1970" s="260"/>
      <c r="L1970" s="359"/>
      <c r="M1970" s="359"/>
      <c r="N1970" s="173" t="s">
        <v>679</v>
      </c>
      <c r="O1970" s="173" t="s">
        <v>225</v>
      </c>
      <c r="P1970" s="262" t="str">
        <f t="shared" si="1"/>
        <v>IN-BLR-ANANTA-VAV-1542_</v>
      </c>
      <c r="Q1970" s="173" t="s">
        <v>7144</v>
      </c>
      <c r="R1970" s="328" t="str">
        <f>IFS(C1970="","",C1970="n/a","N/A",LEN(C1970),Concatenate("{",char(34),"asset",char(34),":{",char(34),"guid",char(34),":",char(34),Q1970,char(34),",",char(34),"site",char(34),":",char(34),LOWER('2-Building'!$B$4),char(34),",",char(34),"name",char(34),":",char(34),LOWER(C1970),char(34),"}}"))</f>
        <v>{"asset":{"guid":"uuid://d0ca29eb-faf2-4cfd-88d8-2fc8224f5509","site":"in-blr-ananta","name":"vav-1542"}}</v>
      </c>
      <c r="S1970" s="360" t="s">
        <v>5516</v>
      </c>
      <c r="T1970" s="330"/>
      <c r="U1970" s="330"/>
      <c r="V1970" s="331"/>
      <c r="W1970" s="332"/>
      <c r="X1970" s="333"/>
      <c r="Y1970" s="33" t="s">
        <v>2867</v>
      </c>
      <c r="Z1970" s="258">
        <v>121542.0</v>
      </c>
      <c r="AA1970" s="333"/>
      <c r="AB1970" s="333"/>
      <c r="AC1970" s="333"/>
      <c r="AD1970" s="329"/>
      <c r="AE1970" s="331"/>
      <c r="AF1970" s="336"/>
      <c r="AG1970" s="337"/>
      <c r="AH1970" s="333"/>
      <c r="AI1970" s="333"/>
      <c r="AJ1970" s="333"/>
      <c r="AK1970" s="333"/>
      <c r="AL1970" s="333"/>
      <c r="AM1970" s="338"/>
      <c r="AN1970" s="333"/>
      <c r="AO1970" s="333"/>
      <c r="AP1970" s="333"/>
      <c r="AQ1970" s="333"/>
      <c r="AR1970" s="333"/>
      <c r="AS1970" s="333"/>
      <c r="AT1970" s="333"/>
      <c r="AU1970" s="329"/>
      <c r="AV1970" s="341"/>
      <c r="AW1970" s="269"/>
      <c r="AX1970" s="334" t="s">
        <v>2869</v>
      </c>
      <c r="AY1970" s="270" t="s">
        <v>695</v>
      </c>
      <c r="AZ1970" s="173" t="s">
        <v>5516</v>
      </c>
      <c r="BA1970" s="265">
        <v>10.0</v>
      </c>
      <c r="BB1970" s="174" t="s">
        <v>245</v>
      </c>
      <c r="BC1970" s="341"/>
      <c r="BD1970" s="308"/>
      <c r="BE1970" s="342"/>
      <c r="BF1970" s="274" t="str">
        <f>IFERROR(__xludf.DUMMYFUNCTION("LOWER(Regexreplace(to_text(E1970),""[^A-Za-z0-9]"","""")&amp;""_""&amp;Regexreplace(to_text(F1970),""[^A-Za-z0-9]"",""""))"),"neptronic_evcbseries")</f>
        <v>neptronic_evcbseries</v>
      </c>
      <c r="BG1970" s="275" t="str">
        <f>IFERROR(__xludf.DUMMYFUNCTION("upper(Regexreplace(to_text(E1970),""[^A-Za-z0-9]"","""")&amp;""-""&amp;Regexreplace(to_text(F1970),""[^A-Za-z0-9]"",""""))"),"NEPTRONIC-EVCBSERIES")</f>
        <v>NEPTRONIC-EVCBSERIES</v>
      </c>
    </row>
    <row r="1971" ht="30.0" customHeight="1">
      <c r="A1971" s="173">
        <v>1963.0</v>
      </c>
      <c r="B1971" s="328" t="s">
        <v>670</v>
      </c>
      <c r="C1971" s="257" t="s">
        <v>7145</v>
      </c>
      <c r="D1971" s="173" t="s">
        <v>7145</v>
      </c>
      <c r="E1971" s="174" t="s">
        <v>2861</v>
      </c>
      <c r="F1971" s="173" t="s">
        <v>2862</v>
      </c>
      <c r="G1971" s="328" t="s">
        <v>673</v>
      </c>
      <c r="H1971" s="328" t="s">
        <v>2863</v>
      </c>
      <c r="I1971" s="258" t="s">
        <v>2864</v>
      </c>
      <c r="J1971" s="259"/>
      <c r="K1971" s="260"/>
      <c r="L1971" s="359"/>
      <c r="M1971" s="359"/>
      <c r="N1971" s="173" t="s">
        <v>679</v>
      </c>
      <c r="O1971" s="173" t="s">
        <v>225</v>
      </c>
      <c r="P1971" s="262" t="str">
        <f t="shared" si="1"/>
        <v>IN-BLR-ANANTA-VAV-1543_</v>
      </c>
      <c r="Q1971" s="173" t="s">
        <v>7146</v>
      </c>
      <c r="R1971" s="328" t="str">
        <f>IFS(C1971="","",C1971="n/a","N/A",LEN(C1971),Concatenate("{",char(34),"asset",char(34),":{",char(34),"guid",char(34),":",char(34),Q1971,char(34),",",char(34),"site",char(34),":",char(34),LOWER('2-Building'!$B$4),char(34),",",char(34),"name",char(34),":",char(34),LOWER(C1971),char(34),"}}"))</f>
        <v>{"asset":{"guid":"uuid://657a50e0-3aca-47d0-b9c0-28bc927f30ad","site":"in-blr-ananta","name":"vav-1543"}}</v>
      </c>
      <c r="S1971" s="360" t="s">
        <v>5516</v>
      </c>
      <c r="T1971" s="330"/>
      <c r="U1971" s="330"/>
      <c r="V1971" s="331"/>
      <c r="W1971" s="332"/>
      <c r="X1971" s="333"/>
      <c r="Y1971" s="33" t="s">
        <v>2867</v>
      </c>
      <c r="Z1971" s="258">
        <v>121543.0</v>
      </c>
      <c r="AA1971" s="333"/>
      <c r="AB1971" s="333"/>
      <c r="AC1971" s="333"/>
      <c r="AD1971" s="329"/>
      <c r="AE1971" s="331"/>
      <c r="AF1971" s="336"/>
      <c r="AG1971" s="337"/>
      <c r="AH1971" s="333"/>
      <c r="AI1971" s="333"/>
      <c r="AJ1971" s="333"/>
      <c r="AK1971" s="333"/>
      <c r="AL1971" s="333"/>
      <c r="AM1971" s="338"/>
      <c r="AN1971" s="333"/>
      <c r="AO1971" s="333"/>
      <c r="AP1971" s="333"/>
      <c r="AQ1971" s="333"/>
      <c r="AR1971" s="333"/>
      <c r="AS1971" s="333"/>
      <c r="AT1971" s="333"/>
      <c r="AU1971" s="329"/>
      <c r="AV1971" s="341"/>
      <c r="AW1971" s="269"/>
      <c r="AX1971" s="334" t="s">
        <v>2869</v>
      </c>
      <c r="AY1971" s="270" t="s">
        <v>695</v>
      </c>
      <c r="AZ1971" s="173" t="s">
        <v>5516</v>
      </c>
      <c r="BA1971" s="265">
        <v>10.0</v>
      </c>
      <c r="BB1971" s="174" t="s">
        <v>245</v>
      </c>
      <c r="BC1971" s="341"/>
      <c r="BD1971" s="308"/>
      <c r="BE1971" s="342"/>
      <c r="BF1971" s="274" t="str">
        <f>IFERROR(__xludf.DUMMYFUNCTION("LOWER(Regexreplace(to_text(E1971),""[^A-Za-z0-9]"","""")&amp;""_""&amp;Regexreplace(to_text(F1971),""[^A-Za-z0-9]"",""""))"),"neptronic_evcbseries")</f>
        <v>neptronic_evcbseries</v>
      </c>
      <c r="BG1971" s="275" t="str">
        <f>IFERROR(__xludf.DUMMYFUNCTION("upper(Regexreplace(to_text(E1971),""[^A-Za-z0-9]"","""")&amp;""-""&amp;Regexreplace(to_text(F1971),""[^A-Za-z0-9]"",""""))"),"NEPTRONIC-EVCBSERIES")</f>
        <v>NEPTRONIC-EVCBSERIES</v>
      </c>
    </row>
    <row r="1972" ht="30.0" customHeight="1">
      <c r="A1972" s="258">
        <v>1964.0</v>
      </c>
      <c r="B1972" s="328" t="s">
        <v>670</v>
      </c>
      <c r="C1972" s="257" t="s">
        <v>7147</v>
      </c>
      <c r="D1972" s="173" t="s">
        <v>7147</v>
      </c>
      <c r="E1972" s="174" t="s">
        <v>2861</v>
      </c>
      <c r="F1972" s="173" t="s">
        <v>2862</v>
      </c>
      <c r="G1972" s="328" t="s">
        <v>673</v>
      </c>
      <c r="H1972" s="328" t="s">
        <v>2863</v>
      </c>
      <c r="I1972" s="258" t="s">
        <v>2864</v>
      </c>
      <c r="J1972" s="259"/>
      <c r="K1972" s="260"/>
      <c r="L1972" s="359"/>
      <c r="M1972" s="359"/>
      <c r="N1972" s="173" t="s">
        <v>679</v>
      </c>
      <c r="O1972" s="173" t="s">
        <v>225</v>
      </c>
      <c r="P1972" s="262" t="str">
        <f t="shared" si="1"/>
        <v>IN-BLR-ANANTA-VAV-1544_</v>
      </c>
      <c r="Q1972" s="173" t="s">
        <v>7148</v>
      </c>
      <c r="R1972" s="328" t="str">
        <f>IFS(C1972="","",C1972="n/a","N/A",LEN(C1972),Concatenate("{",char(34),"asset",char(34),":{",char(34),"guid",char(34),":",char(34),Q1972,char(34),",",char(34),"site",char(34),":",char(34),LOWER('2-Building'!$B$4),char(34),",",char(34),"name",char(34),":",char(34),LOWER(C1972),char(34),"}}"))</f>
        <v>{"asset":{"guid":"uuid://0664148e-85eb-492a-8622-e40442e3e384","site":"in-blr-ananta","name":"vav-1544"}}</v>
      </c>
      <c r="S1972" s="360" t="s">
        <v>5516</v>
      </c>
      <c r="T1972" s="330"/>
      <c r="U1972" s="330"/>
      <c r="V1972" s="331"/>
      <c r="W1972" s="332"/>
      <c r="X1972" s="333"/>
      <c r="Y1972" s="33" t="s">
        <v>2867</v>
      </c>
      <c r="Z1972" s="258">
        <v>121544.0</v>
      </c>
      <c r="AA1972" s="333"/>
      <c r="AB1972" s="333"/>
      <c r="AC1972" s="333"/>
      <c r="AD1972" s="329"/>
      <c r="AE1972" s="331"/>
      <c r="AF1972" s="336"/>
      <c r="AG1972" s="337"/>
      <c r="AH1972" s="333"/>
      <c r="AI1972" s="333"/>
      <c r="AJ1972" s="333"/>
      <c r="AK1972" s="333"/>
      <c r="AL1972" s="333"/>
      <c r="AM1972" s="338"/>
      <c r="AN1972" s="333"/>
      <c r="AO1972" s="333"/>
      <c r="AP1972" s="333"/>
      <c r="AQ1972" s="333"/>
      <c r="AR1972" s="333"/>
      <c r="AS1972" s="333"/>
      <c r="AT1972" s="333"/>
      <c r="AU1972" s="329"/>
      <c r="AV1972" s="341"/>
      <c r="AW1972" s="269"/>
      <c r="AX1972" s="334" t="s">
        <v>2869</v>
      </c>
      <c r="AY1972" s="270" t="s">
        <v>695</v>
      </c>
      <c r="AZ1972" s="173" t="s">
        <v>5516</v>
      </c>
      <c r="BA1972" s="265">
        <v>10.0</v>
      </c>
      <c r="BB1972" s="174" t="s">
        <v>245</v>
      </c>
      <c r="BC1972" s="341"/>
      <c r="BD1972" s="308"/>
      <c r="BE1972" s="342"/>
      <c r="BF1972" s="274" t="str">
        <f>IFERROR(__xludf.DUMMYFUNCTION("LOWER(Regexreplace(to_text(E1972),""[^A-Za-z0-9]"","""")&amp;""_""&amp;Regexreplace(to_text(F1972),""[^A-Za-z0-9]"",""""))"),"neptronic_evcbseries")</f>
        <v>neptronic_evcbseries</v>
      </c>
      <c r="BG1972" s="275" t="str">
        <f>IFERROR(__xludf.DUMMYFUNCTION("upper(Regexreplace(to_text(E1972),""[^A-Za-z0-9]"","""")&amp;""-""&amp;Regexreplace(to_text(F1972),""[^A-Za-z0-9]"",""""))"),"NEPTRONIC-EVCBSERIES")</f>
        <v>NEPTRONIC-EVCBSERIES</v>
      </c>
    </row>
    <row r="1973" ht="30.0" customHeight="1">
      <c r="A1973" s="173">
        <v>1965.0</v>
      </c>
      <c r="B1973" s="328" t="s">
        <v>670</v>
      </c>
      <c r="C1973" s="257" t="s">
        <v>7149</v>
      </c>
      <c r="D1973" s="173" t="s">
        <v>7149</v>
      </c>
      <c r="E1973" s="174" t="s">
        <v>2861</v>
      </c>
      <c r="F1973" s="173" t="s">
        <v>2862</v>
      </c>
      <c r="G1973" s="328" t="s">
        <v>673</v>
      </c>
      <c r="H1973" s="328" t="s">
        <v>2863</v>
      </c>
      <c r="I1973" s="258" t="s">
        <v>2864</v>
      </c>
      <c r="J1973" s="259"/>
      <c r="K1973" s="260"/>
      <c r="L1973" s="359"/>
      <c r="M1973" s="359"/>
      <c r="N1973" s="173" t="s">
        <v>679</v>
      </c>
      <c r="O1973" s="173" t="s">
        <v>225</v>
      </c>
      <c r="P1973" s="262" t="str">
        <f t="shared" si="1"/>
        <v>IN-BLR-ANANTA-VAV-1545_</v>
      </c>
      <c r="Q1973" s="173" t="s">
        <v>7150</v>
      </c>
      <c r="R1973" s="328" t="str">
        <f>IFS(C1973="","",C1973="n/a","N/A",LEN(C1973),Concatenate("{",char(34),"asset",char(34),":{",char(34),"guid",char(34),":",char(34),Q1973,char(34),",",char(34),"site",char(34),":",char(34),LOWER('2-Building'!$B$4),char(34),",",char(34),"name",char(34),":",char(34),LOWER(C1973),char(34),"}}"))</f>
        <v>{"asset":{"guid":"uuid://52ee0467-32f7-4358-854e-293bc05d91a2","site":"in-blr-ananta","name":"vav-1545"}}</v>
      </c>
      <c r="S1973" s="360" t="s">
        <v>5516</v>
      </c>
      <c r="T1973" s="330"/>
      <c r="U1973" s="330"/>
      <c r="V1973" s="331"/>
      <c r="W1973" s="332"/>
      <c r="X1973" s="333"/>
      <c r="Y1973" s="33" t="s">
        <v>2867</v>
      </c>
      <c r="Z1973" s="258">
        <v>121545.0</v>
      </c>
      <c r="AA1973" s="333"/>
      <c r="AB1973" s="333"/>
      <c r="AC1973" s="333"/>
      <c r="AD1973" s="329"/>
      <c r="AE1973" s="331"/>
      <c r="AF1973" s="336"/>
      <c r="AG1973" s="337"/>
      <c r="AH1973" s="333"/>
      <c r="AI1973" s="333"/>
      <c r="AJ1973" s="333"/>
      <c r="AK1973" s="333"/>
      <c r="AL1973" s="333"/>
      <c r="AM1973" s="338"/>
      <c r="AN1973" s="333"/>
      <c r="AO1973" s="333"/>
      <c r="AP1973" s="333"/>
      <c r="AQ1973" s="333"/>
      <c r="AR1973" s="333"/>
      <c r="AS1973" s="333"/>
      <c r="AT1973" s="333"/>
      <c r="AU1973" s="329"/>
      <c r="AV1973" s="341"/>
      <c r="AW1973" s="269"/>
      <c r="AX1973" s="334" t="s">
        <v>2869</v>
      </c>
      <c r="AY1973" s="270" t="s">
        <v>695</v>
      </c>
      <c r="AZ1973" s="173" t="s">
        <v>5516</v>
      </c>
      <c r="BA1973" s="265">
        <v>10.0</v>
      </c>
      <c r="BB1973" s="174" t="s">
        <v>245</v>
      </c>
      <c r="BC1973" s="341"/>
      <c r="BD1973" s="308"/>
      <c r="BE1973" s="342"/>
      <c r="BF1973" s="274" t="str">
        <f>IFERROR(__xludf.DUMMYFUNCTION("LOWER(Regexreplace(to_text(E1973),""[^A-Za-z0-9]"","""")&amp;""_""&amp;Regexreplace(to_text(F1973),""[^A-Za-z0-9]"",""""))"),"neptronic_evcbseries")</f>
        <v>neptronic_evcbseries</v>
      </c>
      <c r="BG1973" s="275" t="str">
        <f>IFERROR(__xludf.DUMMYFUNCTION("upper(Regexreplace(to_text(E1973),""[^A-Za-z0-9]"","""")&amp;""-""&amp;Regexreplace(to_text(F1973),""[^A-Za-z0-9]"",""""))"),"NEPTRONIC-EVCBSERIES")</f>
        <v>NEPTRONIC-EVCBSERIES</v>
      </c>
    </row>
    <row r="1974" ht="30.0" customHeight="1">
      <c r="A1974" s="258">
        <v>1966.0</v>
      </c>
      <c r="B1974" s="328" t="s">
        <v>670</v>
      </c>
      <c r="C1974" s="257" t="s">
        <v>7151</v>
      </c>
      <c r="D1974" s="173" t="s">
        <v>7151</v>
      </c>
      <c r="E1974" s="174" t="s">
        <v>2861</v>
      </c>
      <c r="F1974" s="173" t="s">
        <v>2862</v>
      </c>
      <c r="G1974" s="328" t="s">
        <v>673</v>
      </c>
      <c r="H1974" s="328" t="s">
        <v>2863</v>
      </c>
      <c r="I1974" s="258" t="s">
        <v>2864</v>
      </c>
      <c r="J1974" s="259"/>
      <c r="K1974" s="260"/>
      <c r="L1974" s="359"/>
      <c r="M1974" s="359"/>
      <c r="N1974" s="173" t="s">
        <v>679</v>
      </c>
      <c r="O1974" s="173" t="s">
        <v>225</v>
      </c>
      <c r="P1974" s="262" t="str">
        <f t="shared" si="1"/>
        <v>IN-BLR-ANANTA-VAV-1546_</v>
      </c>
      <c r="Q1974" s="173" t="s">
        <v>7152</v>
      </c>
      <c r="R1974" s="328" t="str">
        <f>IFS(C1974="","",C1974="n/a","N/A",LEN(C1974),Concatenate("{",char(34),"asset",char(34),":{",char(34),"guid",char(34),":",char(34),Q1974,char(34),",",char(34),"site",char(34),":",char(34),LOWER('2-Building'!$B$4),char(34),",",char(34),"name",char(34),":",char(34),LOWER(C1974),char(34),"}}"))</f>
        <v>{"asset":{"guid":"uuid://844d85ba-55bd-420e-8c7f-9c0b1db5bd4b","site":"in-blr-ananta","name":"vav-1546"}}</v>
      </c>
      <c r="S1974" s="360" t="s">
        <v>5516</v>
      </c>
      <c r="T1974" s="330"/>
      <c r="U1974" s="330"/>
      <c r="V1974" s="331"/>
      <c r="W1974" s="332"/>
      <c r="X1974" s="333"/>
      <c r="Y1974" s="33" t="s">
        <v>2867</v>
      </c>
      <c r="Z1974" s="258">
        <v>121546.0</v>
      </c>
      <c r="AA1974" s="333"/>
      <c r="AB1974" s="333"/>
      <c r="AC1974" s="333"/>
      <c r="AD1974" s="329"/>
      <c r="AE1974" s="331"/>
      <c r="AF1974" s="336"/>
      <c r="AG1974" s="337"/>
      <c r="AH1974" s="333"/>
      <c r="AI1974" s="333"/>
      <c r="AJ1974" s="333"/>
      <c r="AK1974" s="333"/>
      <c r="AL1974" s="333"/>
      <c r="AM1974" s="338"/>
      <c r="AN1974" s="333"/>
      <c r="AO1974" s="333"/>
      <c r="AP1974" s="333"/>
      <c r="AQ1974" s="333"/>
      <c r="AR1974" s="333"/>
      <c r="AS1974" s="333"/>
      <c r="AT1974" s="333"/>
      <c r="AU1974" s="329"/>
      <c r="AV1974" s="341"/>
      <c r="AW1974" s="269"/>
      <c r="AX1974" s="334" t="s">
        <v>2869</v>
      </c>
      <c r="AY1974" s="270" t="s">
        <v>695</v>
      </c>
      <c r="AZ1974" s="173" t="s">
        <v>5516</v>
      </c>
      <c r="BA1974" s="265">
        <v>10.0</v>
      </c>
      <c r="BB1974" s="174" t="s">
        <v>245</v>
      </c>
      <c r="BC1974" s="341"/>
      <c r="BD1974" s="308"/>
      <c r="BE1974" s="342"/>
      <c r="BF1974" s="274" t="str">
        <f>IFERROR(__xludf.DUMMYFUNCTION("LOWER(Regexreplace(to_text(E1974),""[^A-Za-z0-9]"","""")&amp;""_""&amp;Regexreplace(to_text(F1974),""[^A-Za-z0-9]"",""""))"),"neptronic_evcbseries")</f>
        <v>neptronic_evcbseries</v>
      </c>
      <c r="BG1974" s="275" t="str">
        <f>IFERROR(__xludf.DUMMYFUNCTION("upper(Regexreplace(to_text(E1974),""[^A-Za-z0-9]"","""")&amp;""-""&amp;Regexreplace(to_text(F1974),""[^A-Za-z0-9]"",""""))"),"NEPTRONIC-EVCBSERIES")</f>
        <v>NEPTRONIC-EVCBSERIES</v>
      </c>
    </row>
    <row r="1975" ht="30.0" customHeight="1">
      <c r="A1975" s="173">
        <v>1967.0</v>
      </c>
      <c r="B1975" s="328" t="s">
        <v>670</v>
      </c>
      <c r="C1975" s="257" t="s">
        <v>7153</v>
      </c>
      <c r="D1975" s="173" t="s">
        <v>7153</v>
      </c>
      <c r="E1975" s="174" t="s">
        <v>2861</v>
      </c>
      <c r="F1975" s="173" t="s">
        <v>2862</v>
      </c>
      <c r="G1975" s="328" t="s">
        <v>673</v>
      </c>
      <c r="H1975" s="328" t="s">
        <v>2863</v>
      </c>
      <c r="I1975" s="258" t="s">
        <v>2864</v>
      </c>
      <c r="J1975" s="259"/>
      <c r="K1975" s="260"/>
      <c r="L1975" s="359"/>
      <c r="M1975" s="359"/>
      <c r="N1975" s="173" t="s">
        <v>679</v>
      </c>
      <c r="O1975" s="173" t="s">
        <v>225</v>
      </c>
      <c r="P1975" s="262" t="str">
        <f t="shared" si="1"/>
        <v>IN-BLR-ANANTA-VAV-1547_</v>
      </c>
      <c r="Q1975" s="173" t="s">
        <v>7154</v>
      </c>
      <c r="R1975" s="328" t="str">
        <f>IFS(C1975="","",C1975="n/a","N/A",LEN(C1975),Concatenate("{",char(34),"asset",char(34),":{",char(34),"guid",char(34),":",char(34),Q1975,char(34),",",char(34),"site",char(34),":",char(34),LOWER('2-Building'!$B$4),char(34),",",char(34),"name",char(34),":",char(34),LOWER(C1975),char(34),"}}"))</f>
        <v>{"asset":{"guid":"uuid://7d341b64-306c-4c2f-bb29-00e0dd490d49","site":"in-blr-ananta","name":"vav-1547"}}</v>
      </c>
      <c r="S1975" s="360" t="s">
        <v>5516</v>
      </c>
      <c r="T1975" s="330"/>
      <c r="U1975" s="330"/>
      <c r="V1975" s="331"/>
      <c r="W1975" s="332"/>
      <c r="X1975" s="333"/>
      <c r="Y1975" s="33" t="s">
        <v>2867</v>
      </c>
      <c r="Z1975" s="258">
        <v>121547.0</v>
      </c>
      <c r="AA1975" s="333"/>
      <c r="AB1975" s="333"/>
      <c r="AC1975" s="333"/>
      <c r="AD1975" s="329"/>
      <c r="AE1975" s="331"/>
      <c r="AF1975" s="336"/>
      <c r="AG1975" s="337"/>
      <c r="AH1975" s="333"/>
      <c r="AI1975" s="333"/>
      <c r="AJ1975" s="333"/>
      <c r="AK1975" s="333"/>
      <c r="AL1975" s="333"/>
      <c r="AM1975" s="338"/>
      <c r="AN1975" s="333"/>
      <c r="AO1975" s="333"/>
      <c r="AP1975" s="333"/>
      <c r="AQ1975" s="333"/>
      <c r="AR1975" s="333"/>
      <c r="AS1975" s="333"/>
      <c r="AT1975" s="333"/>
      <c r="AU1975" s="329"/>
      <c r="AV1975" s="341"/>
      <c r="AW1975" s="269"/>
      <c r="AX1975" s="334" t="s">
        <v>2869</v>
      </c>
      <c r="AY1975" s="270" t="s">
        <v>695</v>
      </c>
      <c r="AZ1975" s="173" t="s">
        <v>5516</v>
      </c>
      <c r="BA1975" s="265">
        <v>10.0</v>
      </c>
      <c r="BB1975" s="174" t="s">
        <v>245</v>
      </c>
      <c r="BC1975" s="341"/>
      <c r="BD1975" s="308"/>
      <c r="BE1975" s="342"/>
      <c r="BF1975" s="274" t="str">
        <f>IFERROR(__xludf.DUMMYFUNCTION("LOWER(Regexreplace(to_text(E1975),""[^A-Za-z0-9]"","""")&amp;""_""&amp;Regexreplace(to_text(F1975),""[^A-Za-z0-9]"",""""))"),"neptronic_evcbseries")</f>
        <v>neptronic_evcbseries</v>
      </c>
      <c r="BG1975" s="275" t="str">
        <f>IFERROR(__xludf.DUMMYFUNCTION("upper(Regexreplace(to_text(E1975),""[^A-Za-z0-9]"","""")&amp;""-""&amp;Regexreplace(to_text(F1975),""[^A-Za-z0-9]"",""""))"),"NEPTRONIC-EVCBSERIES")</f>
        <v>NEPTRONIC-EVCBSERIES</v>
      </c>
    </row>
    <row r="1976" ht="30.0" customHeight="1">
      <c r="A1976" s="258">
        <v>1968.0</v>
      </c>
      <c r="B1976" s="328" t="s">
        <v>670</v>
      </c>
      <c r="C1976" s="257" t="s">
        <v>7155</v>
      </c>
      <c r="D1976" s="173" t="s">
        <v>7155</v>
      </c>
      <c r="E1976" s="174" t="s">
        <v>2861</v>
      </c>
      <c r="F1976" s="173" t="s">
        <v>2862</v>
      </c>
      <c r="G1976" s="328" t="s">
        <v>673</v>
      </c>
      <c r="H1976" s="328" t="s">
        <v>2863</v>
      </c>
      <c r="I1976" s="258" t="s">
        <v>2864</v>
      </c>
      <c r="J1976" s="259"/>
      <c r="K1976" s="260"/>
      <c r="L1976" s="359"/>
      <c r="M1976" s="359"/>
      <c r="N1976" s="173" t="s">
        <v>679</v>
      </c>
      <c r="O1976" s="173" t="s">
        <v>225</v>
      </c>
      <c r="P1976" s="262" t="str">
        <f t="shared" si="1"/>
        <v>IN-BLR-ANANTA-VAV-1548_</v>
      </c>
      <c r="Q1976" s="173" t="s">
        <v>7156</v>
      </c>
      <c r="R1976" s="328" t="str">
        <f>IFS(C1976="","",C1976="n/a","N/A",LEN(C1976),Concatenate("{",char(34),"asset",char(34),":{",char(34),"guid",char(34),":",char(34),Q1976,char(34),",",char(34),"site",char(34),":",char(34),LOWER('2-Building'!$B$4),char(34),",",char(34),"name",char(34),":",char(34),LOWER(C1976),char(34),"}}"))</f>
        <v>{"asset":{"guid":"uuid://3dc0eed0-5bf3-4689-b11c-101f0347a6b3","site":"in-blr-ananta","name":"vav-1548"}}</v>
      </c>
      <c r="S1976" s="360" t="s">
        <v>5516</v>
      </c>
      <c r="T1976" s="330"/>
      <c r="U1976" s="330"/>
      <c r="V1976" s="331"/>
      <c r="W1976" s="332"/>
      <c r="X1976" s="333"/>
      <c r="Y1976" s="33" t="s">
        <v>2867</v>
      </c>
      <c r="Z1976" s="258">
        <v>121548.0</v>
      </c>
      <c r="AA1976" s="333"/>
      <c r="AB1976" s="333"/>
      <c r="AC1976" s="333"/>
      <c r="AD1976" s="329"/>
      <c r="AE1976" s="331"/>
      <c r="AF1976" s="336"/>
      <c r="AG1976" s="337"/>
      <c r="AH1976" s="333"/>
      <c r="AI1976" s="333"/>
      <c r="AJ1976" s="333"/>
      <c r="AK1976" s="333"/>
      <c r="AL1976" s="333"/>
      <c r="AM1976" s="338"/>
      <c r="AN1976" s="333"/>
      <c r="AO1976" s="333"/>
      <c r="AP1976" s="333"/>
      <c r="AQ1976" s="333"/>
      <c r="AR1976" s="333"/>
      <c r="AS1976" s="333"/>
      <c r="AT1976" s="333"/>
      <c r="AU1976" s="329"/>
      <c r="AV1976" s="341"/>
      <c r="AW1976" s="269"/>
      <c r="AX1976" s="334" t="s">
        <v>2869</v>
      </c>
      <c r="AY1976" s="270" t="s">
        <v>695</v>
      </c>
      <c r="AZ1976" s="173" t="s">
        <v>5516</v>
      </c>
      <c r="BA1976" s="265">
        <v>10.0</v>
      </c>
      <c r="BB1976" s="174" t="s">
        <v>245</v>
      </c>
      <c r="BC1976" s="341"/>
      <c r="BD1976" s="308"/>
      <c r="BE1976" s="342"/>
      <c r="BF1976" s="274" t="str">
        <f>IFERROR(__xludf.DUMMYFUNCTION("LOWER(Regexreplace(to_text(E1976),""[^A-Za-z0-9]"","""")&amp;""_""&amp;Regexreplace(to_text(F1976),""[^A-Za-z0-9]"",""""))"),"neptronic_evcbseries")</f>
        <v>neptronic_evcbseries</v>
      </c>
      <c r="BG1976" s="275" t="str">
        <f>IFERROR(__xludf.DUMMYFUNCTION("upper(Regexreplace(to_text(E1976),""[^A-Za-z0-9]"","""")&amp;""-""&amp;Regexreplace(to_text(F1976),""[^A-Za-z0-9]"",""""))"),"NEPTRONIC-EVCBSERIES")</f>
        <v>NEPTRONIC-EVCBSERIES</v>
      </c>
    </row>
    <row r="1977" ht="30.0" customHeight="1">
      <c r="A1977" s="173">
        <v>1969.0</v>
      </c>
      <c r="B1977" s="328" t="s">
        <v>670</v>
      </c>
      <c r="C1977" s="257" t="s">
        <v>7157</v>
      </c>
      <c r="D1977" s="173" t="s">
        <v>7157</v>
      </c>
      <c r="E1977" s="174" t="s">
        <v>2861</v>
      </c>
      <c r="F1977" s="173" t="s">
        <v>2862</v>
      </c>
      <c r="G1977" s="328" t="s">
        <v>673</v>
      </c>
      <c r="H1977" s="328" t="s">
        <v>2863</v>
      </c>
      <c r="I1977" s="258" t="s">
        <v>2864</v>
      </c>
      <c r="J1977" s="259"/>
      <c r="K1977" s="260"/>
      <c r="L1977" s="359"/>
      <c r="M1977" s="359"/>
      <c r="N1977" s="173" t="s">
        <v>679</v>
      </c>
      <c r="O1977" s="173" t="s">
        <v>225</v>
      </c>
      <c r="P1977" s="262" t="str">
        <f t="shared" si="1"/>
        <v>IN-BLR-ANANTA-VAV-1549_</v>
      </c>
      <c r="Q1977" s="173" t="s">
        <v>7158</v>
      </c>
      <c r="R1977" s="328" t="str">
        <f>IFS(C1977="","",C1977="n/a","N/A",LEN(C1977),Concatenate("{",char(34),"asset",char(34),":{",char(34),"guid",char(34),":",char(34),Q1977,char(34),",",char(34),"site",char(34),":",char(34),LOWER('2-Building'!$B$4),char(34),",",char(34),"name",char(34),":",char(34),LOWER(C1977),char(34),"}}"))</f>
        <v>{"asset":{"guid":"uuid://3f23f9a7-a09d-42b1-8aaf-8e905142b8ac","site":"in-blr-ananta","name":"vav-1549"}}</v>
      </c>
      <c r="S1977" s="360" t="s">
        <v>5516</v>
      </c>
      <c r="T1977" s="330"/>
      <c r="U1977" s="330"/>
      <c r="V1977" s="331"/>
      <c r="W1977" s="332"/>
      <c r="X1977" s="333"/>
      <c r="Y1977" s="33" t="s">
        <v>2867</v>
      </c>
      <c r="Z1977" s="258">
        <v>121549.0</v>
      </c>
      <c r="AA1977" s="333"/>
      <c r="AB1977" s="333"/>
      <c r="AC1977" s="333"/>
      <c r="AD1977" s="329"/>
      <c r="AE1977" s="331"/>
      <c r="AF1977" s="336"/>
      <c r="AG1977" s="337"/>
      <c r="AH1977" s="333"/>
      <c r="AI1977" s="333"/>
      <c r="AJ1977" s="333"/>
      <c r="AK1977" s="333"/>
      <c r="AL1977" s="333"/>
      <c r="AM1977" s="338"/>
      <c r="AN1977" s="333"/>
      <c r="AO1977" s="333"/>
      <c r="AP1977" s="333"/>
      <c r="AQ1977" s="333"/>
      <c r="AR1977" s="333"/>
      <c r="AS1977" s="333"/>
      <c r="AT1977" s="333"/>
      <c r="AU1977" s="329"/>
      <c r="AV1977" s="341"/>
      <c r="AW1977" s="269"/>
      <c r="AX1977" s="334" t="s">
        <v>2869</v>
      </c>
      <c r="AY1977" s="270" t="s">
        <v>695</v>
      </c>
      <c r="AZ1977" s="173" t="s">
        <v>5516</v>
      </c>
      <c r="BA1977" s="265">
        <v>10.0</v>
      </c>
      <c r="BB1977" s="174" t="s">
        <v>245</v>
      </c>
      <c r="BC1977" s="341"/>
      <c r="BD1977" s="308"/>
      <c r="BE1977" s="342"/>
      <c r="BF1977" s="274" t="str">
        <f>IFERROR(__xludf.DUMMYFUNCTION("LOWER(Regexreplace(to_text(E1977),""[^A-Za-z0-9]"","""")&amp;""_""&amp;Regexreplace(to_text(F1977),""[^A-Za-z0-9]"",""""))"),"neptronic_evcbseries")</f>
        <v>neptronic_evcbseries</v>
      </c>
      <c r="BG1977" s="275" t="str">
        <f>IFERROR(__xludf.DUMMYFUNCTION("upper(Regexreplace(to_text(E1977),""[^A-Za-z0-9]"","""")&amp;""-""&amp;Regexreplace(to_text(F1977),""[^A-Za-z0-9]"",""""))"),"NEPTRONIC-EVCBSERIES")</f>
        <v>NEPTRONIC-EVCBSERIES</v>
      </c>
    </row>
    <row r="1978" ht="30.0" customHeight="1">
      <c r="A1978" s="258">
        <v>1970.0</v>
      </c>
      <c r="B1978" s="328" t="s">
        <v>670</v>
      </c>
      <c r="C1978" s="257" t="s">
        <v>7159</v>
      </c>
      <c r="D1978" s="173" t="s">
        <v>7159</v>
      </c>
      <c r="E1978" s="174" t="s">
        <v>2861</v>
      </c>
      <c r="F1978" s="173" t="s">
        <v>2862</v>
      </c>
      <c r="G1978" s="328" t="s">
        <v>673</v>
      </c>
      <c r="H1978" s="328" t="s">
        <v>2863</v>
      </c>
      <c r="I1978" s="258" t="s">
        <v>2864</v>
      </c>
      <c r="J1978" s="259"/>
      <c r="K1978" s="260"/>
      <c r="L1978" s="359"/>
      <c r="M1978" s="359"/>
      <c r="N1978" s="173" t="s">
        <v>679</v>
      </c>
      <c r="O1978" s="173" t="s">
        <v>225</v>
      </c>
      <c r="P1978" s="262" t="str">
        <f t="shared" si="1"/>
        <v>IN-BLR-ANANTA-VAV-1550_</v>
      </c>
      <c r="Q1978" s="173" t="s">
        <v>7160</v>
      </c>
      <c r="R1978" s="328" t="str">
        <f>IFS(C1978="","",C1978="n/a","N/A",LEN(C1978),Concatenate("{",char(34),"asset",char(34),":{",char(34),"guid",char(34),":",char(34),Q1978,char(34),",",char(34),"site",char(34),":",char(34),LOWER('2-Building'!$B$4),char(34),",",char(34),"name",char(34),":",char(34),LOWER(C1978),char(34),"}}"))</f>
        <v>{"asset":{"guid":"uuid://467e80d3-3f5c-4a23-a5df-efc6c66db767","site":"in-blr-ananta","name":"vav-1550"}}</v>
      </c>
      <c r="S1978" s="360" t="s">
        <v>5516</v>
      </c>
      <c r="T1978" s="330"/>
      <c r="U1978" s="330"/>
      <c r="V1978" s="331"/>
      <c r="W1978" s="332"/>
      <c r="X1978" s="333"/>
      <c r="Y1978" s="33" t="s">
        <v>2867</v>
      </c>
      <c r="Z1978" s="258">
        <v>121550.0</v>
      </c>
      <c r="AA1978" s="333"/>
      <c r="AB1978" s="333"/>
      <c r="AC1978" s="333"/>
      <c r="AD1978" s="329"/>
      <c r="AE1978" s="331"/>
      <c r="AF1978" s="336"/>
      <c r="AG1978" s="337"/>
      <c r="AH1978" s="333"/>
      <c r="AI1978" s="333"/>
      <c r="AJ1978" s="333"/>
      <c r="AK1978" s="333"/>
      <c r="AL1978" s="333"/>
      <c r="AM1978" s="338"/>
      <c r="AN1978" s="333"/>
      <c r="AO1978" s="333"/>
      <c r="AP1978" s="333"/>
      <c r="AQ1978" s="333"/>
      <c r="AR1978" s="333"/>
      <c r="AS1978" s="333"/>
      <c r="AT1978" s="333"/>
      <c r="AU1978" s="329"/>
      <c r="AV1978" s="341"/>
      <c r="AW1978" s="269"/>
      <c r="AX1978" s="334" t="s">
        <v>2869</v>
      </c>
      <c r="AY1978" s="270" t="s">
        <v>695</v>
      </c>
      <c r="AZ1978" s="173" t="s">
        <v>5516</v>
      </c>
      <c r="BA1978" s="265">
        <v>10.0</v>
      </c>
      <c r="BB1978" s="174" t="s">
        <v>245</v>
      </c>
      <c r="BC1978" s="341"/>
      <c r="BD1978" s="308"/>
      <c r="BE1978" s="342"/>
      <c r="BF1978" s="274" t="str">
        <f>IFERROR(__xludf.DUMMYFUNCTION("LOWER(Regexreplace(to_text(E1978),""[^A-Za-z0-9]"","""")&amp;""_""&amp;Regexreplace(to_text(F1978),""[^A-Za-z0-9]"",""""))"),"neptronic_evcbseries")</f>
        <v>neptronic_evcbseries</v>
      </c>
      <c r="BG1978" s="275" t="str">
        <f>IFERROR(__xludf.DUMMYFUNCTION("upper(Regexreplace(to_text(E1978),""[^A-Za-z0-9]"","""")&amp;""-""&amp;Regexreplace(to_text(F1978),""[^A-Za-z0-9]"",""""))"),"NEPTRONIC-EVCBSERIES")</f>
        <v>NEPTRONIC-EVCBSERIES</v>
      </c>
    </row>
    <row r="1979" ht="30.0" customHeight="1">
      <c r="A1979" s="173">
        <v>1971.0</v>
      </c>
      <c r="B1979" s="328" t="s">
        <v>670</v>
      </c>
      <c r="C1979" s="257" t="s">
        <v>7161</v>
      </c>
      <c r="D1979" s="173" t="s">
        <v>7161</v>
      </c>
      <c r="E1979" s="174" t="s">
        <v>2861</v>
      </c>
      <c r="F1979" s="173" t="s">
        <v>2862</v>
      </c>
      <c r="G1979" s="328" t="s">
        <v>673</v>
      </c>
      <c r="H1979" s="328" t="s">
        <v>2863</v>
      </c>
      <c r="I1979" s="258" t="s">
        <v>2864</v>
      </c>
      <c r="J1979" s="259"/>
      <c r="K1979" s="260"/>
      <c r="L1979" s="359"/>
      <c r="M1979" s="359"/>
      <c r="N1979" s="173" t="s">
        <v>679</v>
      </c>
      <c r="O1979" s="173" t="s">
        <v>225</v>
      </c>
      <c r="P1979" s="262" t="str">
        <f t="shared" si="1"/>
        <v>IN-BLR-ANANTA-VAV-1551_</v>
      </c>
      <c r="Q1979" s="173" t="s">
        <v>7162</v>
      </c>
      <c r="R1979" s="328" t="str">
        <f>IFS(C1979="","",C1979="n/a","N/A",LEN(C1979),Concatenate("{",char(34),"asset",char(34),":{",char(34),"guid",char(34),":",char(34),Q1979,char(34),",",char(34),"site",char(34),":",char(34),LOWER('2-Building'!$B$4),char(34),",",char(34),"name",char(34),":",char(34),LOWER(C1979),char(34),"}}"))</f>
        <v>{"asset":{"guid":"uuid://a4b5e1fb-174d-4973-948d-e9a8096e6e3f","site":"in-blr-ananta","name":"vav-1551"}}</v>
      </c>
      <c r="S1979" s="360" t="s">
        <v>5516</v>
      </c>
      <c r="T1979" s="330"/>
      <c r="U1979" s="330"/>
      <c r="V1979" s="331"/>
      <c r="W1979" s="332"/>
      <c r="X1979" s="333"/>
      <c r="Y1979" s="33" t="s">
        <v>2867</v>
      </c>
      <c r="Z1979" s="258">
        <v>121551.0</v>
      </c>
      <c r="AA1979" s="333"/>
      <c r="AB1979" s="333"/>
      <c r="AC1979" s="333"/>
      <c r="AD1979" s="329"/>
      <c r="AE1979" s="331"/>
      <c r="AF1979" s="336"/>
      <c r="AG1979" s="337"/>
      <c r="AH1979" s="333"/>
      <c r="AI1979" s="333"/>
      <c r="AJ1979" s="333"/>
      <c r="AK1979" s="333"/>
      <c r="AL1979" s="333"/>
      <c r="AM1979" s="338"/>
      <c r="AN1979" s="333"/>
      <c r="AO1979" s="333"/>
      <c r="AP1979" s="333"/>
      <c r="AQ1979" s="333"/>
      <c r="AR1979" s="333"/>
      <c r="AS1979" s="333"/>
      <c r="AT1979" s="333"/>
      <c r="AU1979" s="329"/>
      <c r="AV1979" s="341"/>
      <c r="AW1979" s="269"/>
      <c r="AX1979" s="334" t="s">
        <v>2869</v>
      </c>
      <c r="AY1979" s="270" t="s">
        <v>695</v>
      </c>
      <c r="AZ1979" s="173" t="s">
        <v>5516</v>
      </c>
      <c r="BA1979" s="265">
        <v>10.0</v>
      </c>
      <c r="BB1979" s="174" t="s">
        <v>245</v>
      </c>
      <c r="BC1979" s="341"/>
      <c r="BD1979" s="308"/>
      <c r="BE1979" s="342"/>
      <c r="BF1979" s="274" t="str">
        <f>IFERROR(__xludf.DUMMYFUNCTION("LOWER(Regexreplace(to_text(E1979),""[^A-Za-z0-9]"","""")&amp;""_""&amp;Regexreplace(to_text(F1979),""[^A-Za-z0-9]"",""""))"),"neptronic_evcbseries")</f>
        <v>neptronic_evcbseries</v>
      </c>
      <c r="BG1979" s="275" t="str">
        <f>IFERROR(__xludf.DUMMYFUNCTION("upper(Regexreplace(to_text(E1979),""[^A-Za-z0-9]"","""")&amp;""-""&amp;Regexreplace(to_text(F1979),""[^A-Za-z0-9]"",""""))"),"NEPTRONIC-EVCBSERIES")</f>
        <v>NEPTRONIC-EVCBSERIES</v>
      </c>
    </row>
    <row r="1980" ht="30.0" customHeight="1">
      <c r="A1980" s="258">
        <v>1972.0</v>
      </c>
      <c r="B1980" s="328" t="s">
        <v>670</v>
      </c>
      <c r="C1980" s="257" t="s">
        <v>7163</v>
      </c>
      <c r="D1980" s="173" t="s">
        <v>7163</v>
      </c>
      <c r="E1980" s="174" t="s">
        <v>2861</v>
      </c>
      <c r="F1980" s="173" t="s">
        <v>2862</v>
      </c>
      <c r="G1980" s="328" t="s">
        <v>673</v>
      </c>
      <c r="H1980" s="328" t="s">
        <v>2863</v>
      </c>
      <c r="I1980" s="258" t="s">
        <v>2864</v>
      </c>
      <c r="J1980" s="259"/>
      <c r="K1980" s="260"/>
      <c r="L1980" s="359"/>
      <c r="M1980" s="359"/>
      <c r="N1980" s="173" t="s">
        <v>679</v>
      </c>
      <c r="O1980" s="173" t="s">
        <v>225</v>
      </c>
      <c r="P1980" s="262" t="str">
        <f t="shared" si="1"/>
        <v>IN-BLR-ANANTA-VAV-1552_</v>
      </c>
      <c r="Q1980" s="173" t="s">
        <v>7164</v>
      </c>
      <c r="R1980" s="328" t="str">
        <f>IFS(C1980="","",C1980="n/a","N/A",LEN(C1980),Concatenate("{",char(34),"asset",char(34),":{",char(34),"guid",char(34),":",char(34),Q1980,char(34),",",char(34),"site",char(34),":",char(34),LOWER('2-Building'!$B$4),char(34),",",char(34),"name",char(34),":",char(34),LOWER(C1980),char(34),"}}"))</f>
        <v>{"asset":{"guid":"uuid://36e83223-f0a9-406b-b0f2-7832cde2ca72","site":"in-blr-ananta","name":"vav-1552"}}</v>
      </c>
      <c r="S1980" s="360" t="s">
        <v>5516</v>
      </c>
      <c r="T1980" s="330"/>
      <c r="U1980" s="330"/>
      <c r="V1980" s="331"/>
      <c r="W1980" s="332"/>
      <c r="X1980" s="333"/>
      <c r="Y1980" s="33" t="s">
        <v>2867</v>
      </c>
      <c r="Z1980" s="258">
        <v>121552.0</v>
      </c>
      <c r="AA1980" s="333"/>
      <c r="AB1980" s="333"/>
      <c r="AC1980" s="333"/>
      <c r="AD1980" s="329"/>
      <c r="AE1980" s="331"/>
      <c r="AF1980" s="336"/>
      <c r="AG1980" s="337"/>
      <c r="AH1980" s="333"/>
      <c r="AI1980" s="333"/>
      <c r="AJ1980" s="333"/>
      <c r="AK1980" s="333"/>
      <c r="AL1980" s="333"/>
      <c r="AM1980" s="338"/>
      <c r="AN1980" s="333"/>
      <c r="AO1980" s="333"/>
      <c r="AP1980" s="333"/>
      <c r="AQ1980" s="333"/>
      <c r="AR1980" s="333"/>
      <c r="AS1980" s="333"/>
      <c r="AT1980" s="333"/>
      <c r="AU1980" s="329"/>
      <c r="AV1980" s="341"/>
      <c r="AW1980" s="269"/>
      <c r="AX1980" s="334" t="s">
        <v>2869</v>
      </c>
      <c r="AY1980" s="270" t="s">
        <v>695</v>
      </c>
      <c r="AZ1980" s="173" t="s">
        <v>5516</v>
      </c>
      <c r="BA1980" s="265">
        <v>10.0</v>
      </c>
      <c r="BB1980" s="174" t="s">
        <v>245</v>
      </c>
      <c r="BC1980" s="341"/>
      <c r="BD1980" s="308"/>
      <c r="BE1980" s="342"/>
      <c r="BF1980" s="274" t="str">
        <f>IFERROR(__xludf.DUMMYFUNCTION("LOWER(Regexreplace(to_text(E1980),""[^A-Za-z0-9]"","""")&amp;""_""&amp;Regexreplace(to_text(F1980),""[^A-Za-z0-9]"",""""))"),"neptronic_evcbseries")</f>
        <v>neptronic_evcbseries</v>
      </c>
      <c r="BG1980" s="275" t="str">
        <f>IFERROR(__xludf.DUMMYFUNCTION("upper(Regexreplace(to_text(E1980),""[^A-Za-z0-9]"","""")&amp;""-""&amp;Regexreplace(to_text(F1980),""[^A-Za-z0-9]"",""""))"),"NEPTRONIC-EVCBSERIES")</f>
        <v>NEPTRONIC-EVCBSERIES</v>
      </c>
    </row>
    <row r="1981" ht="30.0" customHeight="1">
      <c r="A1981" s="173">
        <v>1973.0</v>
      </c>
      <c r="B1981" s="328" t="s">
        <v>670</v>
      </c>
      <c r="C1981" s="257" t="s">
        <v>7165</v>
      </c>
      <c r="D1981" s="173" t="s">
        <v>7165</v>
      </c>
      <c r="E1981" s="174" t="s">
        <v>2861</v>
      </c>
      <c r="F1981" s="173" t="s">
        <v>2862</v>
      </c>
      <c r="G1981" s="328" t="s">
        <v>673</v>
      </c>
      <c r="H1981" s="328" t="s">
        <v>2863</v>
      </c>
      <c r="I1981" s="258" t="s">
        <v>2864</v>
      </c>
      <c r="J1981" s="259"/>
      <c r="K1981" s="260"/>
      <c r="L1981" s="359"/>
      <c r="M1981" s="359"/>
      <c r="N1981" s="173" t="s">
        <v>679</v>
      </c>
      <c r="O1981" s="173" t="s">
        <v>225</v>
      </c>
      <c r="P1981" s="262" t="str">
        <f t="shared" si="1"/>
        <v>IN-BLR-ANANTA-VAV-1553_</v>
      </c>
      <c r="Q1981" s="173" t="s">
        <v>7166</v>
      </c>
      <c r="R1981" s="328" t="str">
        <f>IFS(C1981="","",C1981="n/a","N/A",LEN(C1981),Concatenate("{",char(34),"asset",char(34),":{",char(34),"guid",char(34),":",char(34),Q1981,char(34),",",char(34),"site",char(34),":",char(34),LOWER('2-Building'!$B$4),char(34),",",char(34),"name",char(34),":",char(34),LOWER(C1981),char(34),"}}"))</f>
        <v>{"asset":{"guid":"uuid://59cae752-c5de-48e7-8096-35468131393f","site":"in-blr-ananta","name":"vav-1553"}}</v>
      </c>
      <c r="S1981" s="360" t="s">
        <v>5516</v>
      </c>
      <c r="T1981" s="330"/>
      <c r="U1981" s="330"/>
      <c r="V1981" s="331"/>
      <c r="W1981" s="332"/>
      <c r="X1981" s="333"/>
      <c r="Y1981" s="33" t="s">
        <v>2867</v>
      </c>
      <c r="Z1981" s="258">
        <v>121553.0</v>
      </c>
      <c r="AA1981" s="333"/>
      <c r="AB1981" s="333"/>
      <c r="AC1981" s="333"/>
      <c r="AD1981" s="329"/>
      <c r="AE1981" s="331"/>
      <c r="AF1981" s="336"/>
      <c r="AG1981" s="337"/>
      <c r="AH1981" s="333"/>
      <c r="AI1981" s="333"/>
      <c r="AJ1981" s="333"/>
      <c r="AK1981" s="333"/>
      <c r="AL1981" s="333"/>
      <c r="AM1981" s="338"/>
      <c r="AN1981" s="333"/>
      <c r="AO1981" s="333"/>
      <c r="AP1981" s="333"/>
      <c r="AQ1981" s="333"/>
      <c r="AR1981" s="333"/>
      <c r="AS1981" s="333"/>
      <c r="AT1981" s="333"/>
      <c r="AU1981" s="329"/>
      <c r="AV1981" s="341"/>
      <c r="AW1981" s="269"/>
      <c r="AX1981" s="334" t="s">
        <v>2869</v>
      </c>
      <c r="AY1981" s="270" t="s">
        <v>695</v>
      </c>
      <c r="AZ1981" s="173" t="s">
        <v>5516</v>
      </c>
      <c r="BA1981" s="265">
        <v>10.0</v>
      </c>
      <c r="BB1981" s="174" t="s">
        <v>245</v>
      </c>
      <c r="BC1981" s="341"/>
      <c r="BD1981" s="308"/>
      <c r="BE1981" s="342"/>
      <c r="BF1981" s="274" t="str">
        <f>IFERROR(__xludf.DUMMYFUNCTION("LOWER(Regexreplace(to_text(E1981),""[^A-Za-z0-9]"","""")&amp;""_""&amp;Regexreplace(to_text(F1981),""[^A-Za-z0-9]"",""""))"),"neptronic_evcbseries")</f>
        <v>neptronic_evcbseries</v>
      </c>
      <c r="BG1981" s="275" t="str">
        <f>IFERROR(__xludf.DUMMYFUNCTION("upper(Regexreplace(to_text(E1981),""[^A-Za-z0-9]"","""")&amp;""-""&amp;Regexreplace(to_text(F1981),""[^A-Za-z0-9]"",""""))"),"NEPTRONIC-EVCBSERIES")</f>
        <v>NEPTRONIC-EVCBSERIES</v>
      </c>
    </row>
    <row r="1982" ht="30.0" customHeight="1">
      <c r="A1982" s="258">
        <v>1974.0</v>
      </c>
      <c r="B1982" s="328" t="s">
        <v>670</v>
      </c>
      <c r="C1982" s="257" t="s">
        <v>7167</v>
      </c>
      <c r="D1982" s="173" t="s">
        <v>7167</v>
      </c>
      <c r="E1982" s="174" t="s">
        <v>2861</v>
      </c>
      <c r="F1982" s="173" t="s">
        <v>2862</v>
      </c>
      <c r="G1982" s="328" t="s">
        <v>673</v>
      </c>
      <c r="H1982" s="328" t="s">
        <v>2863</v>
      </c>
      <c r="I1982" s="258" t="s">
        <v>2864</v>
      </c>
      <c r="J1982" s="259"/>
      <c r="K1982" s="260"/>
      <c r="L1982" s="359"/>
      <c r="M1982" s="359"/>
      <c r="N1982" s="173" t="s">
        <v>679</v>
      </c>
      <c r="O1982" s="173" t="s">
        <v>225</v>
      </c>
      <c r="P1982" s="262" t="str">
        <f t="shared" si="1"/>
        <v>IN-BLR-ANANTA-VAV-1554_</v>
      </c>
      <c r="Q1982" s="173" t="s">
        <v>7168</v>
      </c>
      <c r="R1982" s="328" t="str">
        <f>IFS(C1982="","",C1982="n/a","N/A",LEN(C1982),Concatenate("{",char(34),"asset",char(34),":{",char(34),"guid",char(34),":",char(34),Q1982,char(34),",",char(34),"site",char(34),":",char(34),LOWER('2-Building'!$B$4),char(34),",",char(34),"name",char(34),":",char(34),LOWER(C1982),char(34),"}}"))</f>
        <v>{"asset":{"guid":"uuid://8f3efbcf-50a5-4d8a-976a-7338082ac5fe","site":"in-blr-ananta","name":"vav-1554"}}</v>
      </c>
      <c r="S1982" s="360" t="s">
        <v>5516</v>
      </c>
      <c r="T1982" s="330"/>
      <c r="U1982" s="330"/>
      <c r="V1982" s="331"/>
      <c r="W1982" s="332"/>
      <c r="X1982" s="333"/>
      <c r="Y1982" s="33" t="s">
        <v>2867</v>
      </c>
      <c r="Z1982" s="258">
        <v>121554.0</v>
      </c>
      <c r="AA1982" s="333"/>
      <c r="AB1982" s="333"/>
      <c r="AC1982" s="333"/>
      <c r="AD1982" s="329"/>
      <c r="AE1982" s="331"/>
      <c r="AF1982" s="336"/>
      <c r="AG1982" s="337"/>
      <c r="AH1982" s="333"/>
      <c r="AI1982" s="333"/>
      <c r="AJ1982" s="333"/>
      <c r="AK1982" s="333"/>
      <c r="AL1982" s="333"/>
      <c r="AM1982" s="338"/>
      <c r="AN1982" s="333"/>
      <c r="AO1982" s="333"/>
      <c r="AP1982" s="333"/>
      <c r="AQ1982" s="333"/>
      <c r="AR1982" s="333"/>
      <c r="AS1982" s="333"/>
      <c r="AT1982" s="333"/>
      <c r="AU1982" s="329"/>
      <c r="AV1982" s="341"/>
      <c r="AW1982" s="269"/>
      <c r="AX1982" s="334" t="s">
        <v>2869</v>
      </c>
      <c r="AY1982" s="270" t="s">
        <v>695</v>
      </c>
      <c r="AZ1982" s="173" t="s">
        <v>5516</v>
      </c>
      <c r="BA1982" s="265">
        <v>10.0</v>
      </c>
      <c r="BB1982" s="174" t="s">
        <v>245</v>
      </c>
      <c r="BC1982" s="341"/>
      <c r="BD1982" s="308"/>
      <c r="BE1982" s="342"/>
      <c r="BF1982" s="274" t="str">
        <f>IFERROR(__xludf.DUMMYFUNCTION("LOWER(Regexreplace(to_text(E1982),""[^A-Za-z0-9]"","""")&amp;""_""&amp;Regexreplace(to_text(F1982),""[^A-Za-z0-9]"",""""))"),"neptronic_evcbseries")</f>
        <v>neptronic_evcbseries</v>
      </c>
      <c r="BG1982" s="275" t="str">
        <f>IFERROR(__xludf.DUMMYFUNCTION("upper(Regexreplace(to_text(E1982),""[^A-Za-z0-9]"","""")&amp;""-""&amp;Regexreplace(to_text(F1982),""[^A-Za-z0-9]"",""""))"),"NEPTRONIC-EVCBSERIES")</f>
        <v>NEPTRONIC-EVCBSERIES</v>
      </c>
    </row>
    <row r="1983" ht="30.0" customHeight="1">
      <c r="A1983" s="173">
        <v>1975.0</v>
      </c>
      <c r="B1983" s="328" t="s">
        <v>670</v>
      </c>
      <c r="C1983" s="257" t="s">
        <v>7169</v>
      </c>
      <c r="D1983" s="173" t="s">
        <v>7169</v>
      </c>
      <c r="E1983" s="174" t="s">
        <v>2861</v>
      </c>
      <c r="F1983" s="173" t="s">
        <v>2862</v>
      </c>
      <c r="G1983" s="328" t="s">
        <v>673</v>
      </c>
      <c r="H1983" s="328" t="s">
        <v>2863</v>
      </c>
      <c r="I1983" s="258" t="s">
        <v>2864</v>
      </c>
      <c r="J1983" s="259"/>
      <c r="K1983" s="260"/>
      <c r="L1983" s="359"/>
      <c r="M1983" s="359"/>
      <c r="N1983" s="173" t="s">
        <v>679</v>
      </c>
      <c r="O1983" s="173" t="s">
        <v>225</v>
      </c>
      <c r="P1983" s="262" t="str">
        <f t="shared" si="1"/>
        <v>IN-BLR-ANANTA-VAV-1555_</v>
      </c>
      <c r="Q1983" s="173" t="s">
        <v>7170</v>
      </c>
      <c r="R1983" s="328" t="str">
        <f>IFS(C1983="","",C1983="n/a","N/A",LEN(C1983),Concatenate("{",char(34),"asset",char(34),":{",char(34),"guid",char(34),":",char(34),Q1983,char(34),",",char(34),"site",char(34),":",char(34),LOWER('2-Building'!$B$4),char(34),",",char(34),"name",char(34),":",char(34),LOWER(C1983),char(34),"}}"))</f>
        <v>{"asset":{"guid":"uuid://84af9458-1653-4ea9-9c7a-6f6092237de8","site":"in-blr-ananta","name":"vav-1555"}}</v>
      </c>
      <c r="S1983" s="360" t="s">
        <v>5516</v>
      </c>
      <c r="T1983" s="330"/>
      <c r="U1983" s="330"/>
      <c r="V1983" s="331"/>
      <c r="W1983" s="332"/>
      <c r="X1983" s="333"/>
      <c r="Y1983" s="33" t="s">
        <v>2867</v>
      </c>
      <c r="Z1983" s="258">
        <v>121555.0</v>
      </c>
      <c r="AA1983" s="333"/>
      <c r="AB1983" s="333"/>
      <c r="AC1983" s="333"/>
      <c r="AD1983" s="329"/>
      <c r="AE1983" s="331"/>
      <c r="AF1983" s="336"/>
      <c r="AG1983" s="337"/>
      <c r="AH1983" s="333"/>
      <c r="AI1983" s="333"/>
      <c r="AJ1983" s="333"/>
      <c r="AK1983" s="333"/>
      <c r="AL1983" s="333"/>
      <c r="AM1983" s="338"/>
      <c r="AN1983" s="333"/>
      <c r="AO1983" s="333"/>
      <c r="AP1983" s="333"/>
      <c r="AQ1983" s="333"/>
      <c r="AR1983" s="333"/>
      <c r="AS1983" s="333"/>
      <c r="AT1983" s="333"/>
      <c r="AU1983" s="329"/>
      <c r="AV1983" s="341"/>
      <c r="AW1983" s="269"/>
      <c r="AX1983" s="334" t="s">
        <v>2869</v>
      </c>
      <c r="AY1983" s="270" t="s">
        <v>695</v>
      </c>
      <c r="AZ1983" s="173" t="s">
        <v>5516</v>
      </c>
      <c r="BA1983" s="265">
        <v>10.0</v>
      </c>
      <c r="BB1983" s="174" t="s">
        <v>245</v>
      </c>
      <c r="BC1983" s="341"/>
      <c r="BD1983" s="308"/>
      <c r="BE1983" s="342"/>
      <c r="BF1983" s="274" t="str">
        <f>IFERROR(__xludf.DUMMYFUNCTION("LOWER(Regexreplace(to_text(E1983),""[^A-Za-z0-9]"","""")&amp;""_""&amp;Regexreplace(to_text(F1983),""[^A-Za-z0-9]"",""""))"),"neptronic_evcbseries")</f>
        <v>neptronic_evcbseries</v>
      </c>
      <c r="BG1983" s="275" t="str">
        <f>IFERROR(__xludf.DUMMYFUNCTION("upper(Regexreplace(to_text(E1983),""[^A-Za-z0-9]"","""")&amp;""-""&amp;Regexreplace(to_text(F1983),""[^A-Za-z0-9]"",""""))"),"NEPTRONIC-EVCBSERIES")</f>
        <v>NEPTRONIC-EVCBSERIES</v>
      </c>
    </row>
    <row r="1984" ht="30.0" customHeight="1">
      <c r="A1984" s="258">
        <v>1976.0</v>
      </c>
      <c r="B1984" s="328" t="s">
        <v>670</v>
      </c>
      <c r="C1984" s="257" t="s">
        <v>7171</v>
      </c>
      <c r="D1984" s="173" t="s">
        <v>7171</v>
      </c>
      <c r="E1984" s="174" t="s">
        <v>2861</v>
      </c>
      <c r="F1984" s="173" t="s">
        <v>2862</v>
      </c>
      <c r="G1984" s="328" t="s">
        <v>673</v>
      </c>
      <c r="H1984" s="328" t="s">
        <v>2863</v>
      </c>
      <c r="I1984" s="258" t="s">
        <v>2864</v>
      </c>
      <c r="J1984" s="259"/>
      <c r="K1984" s="260"/>
      <c r="L1984" s="359"/>
      <c r="M1984" s="359"/>
      <c r="N1984" s="173" t="s">
        <v>679</v>
      </c>
      <c r="O1984" s="173" t="s">
        <v>225</v>
      </c>
      <c r="P1984" s="262" t="str">
        <f t="shared" si="1"/>
        <v>IN-BLR-ANANTA-VAV-1556_</v>
      </c>
      <c r="Q1984" s="173" t="s">
        <v>7172</v>
      </c>
      <c r="R1984" s="328" t="str">
        <f>IFS(C1984="","",C1984="n/a","N/A",LEN(C1984),Concatenate("{",char(34),"asset",char(34),":{",char(34),"guid",char(34),":",char(34),Q1984,char(34),",",char(34),"site",char(34),":",char(34),LOWER('2-Building'!$B$4),char(34),",",char(34),"name",char(34),":",char(34),LOWER(C1984),char(34),"}}"))</f>
        <v>{"asset":{"guid":"uuid://4c9d7e4a-c3ff-4881-acc5-78ba41b52f7c","site":"in-blr-ananta","name":"vav-1556"}}</v>
      </c>
      <c r="S1984" s="360" t="s">
        <v>5516</v>
      </c>
      <c r="T1984" s="330"/>
      <c r="U1984" s="330"/>
      <c r="V1984" s="331"/>
      <c r="W1984" s="332"/>
      <c r="X1984" s="333"/>
      <c r="Y1984" s="33" t="s">
        <v>2867</v>
      </c>
      <c r="Z1984" s="258">
        <v>121556.0</v>
      </c>
      <c r="AA1984" s="333"/>
      <c r="AB1984" s="333"/>
      <c r="AC1984" s="333"/>
      <c r="AD1984" s="329"/>
      <c r="AE1984" s="331"/>
      <c r="AF1984" s="336"/>
      <c r="AG1984" s="337"/>
      <c r="AH1984" s="333"/>
      <c r="AI1984" s="333"/>
      <c r="AJ1984" s="333"/>
      <c r="AK1984" s="333"/>
      <c r="AL1984" s="333"/>
      <c r="AM1984" s="338"/>
      <c r="AN1984" s="333"/>
      <c r="AO1984" s="333"/>
      <c r="AP1984" s="333"/>
      <c r="AQ1984" s="333"/>
      <c r="AR1984" s="333"/>
      <c r="AS1984" s="333"/>
      <c r="AT1984" s="333"/>
      <c r="AU1984" s="329"/>
      <c r="AV1984" s="341"/>
      <c r="AW1984" s="269"/>
      <c r="AX1984" s="334" t="s">
        <v>2869</v>
      </c>
      <c r="AY1984" s="270" t="s">
        <v>695</v>
      </c>
      <c r="AZ1984" s="173" t="s">
        <v>5516</v>
      </c>
      <c r="BA1984" s="265">
        <v>10.0</v>
      </c>
      <c r="BB1984" s="174" t="s">
        <v>245</v>
      </c>
      <c r="BC1984" s="341"/>
      <c r="BD1984" s="308"/>
      <c r="BE1984" s="342"/>
      <c r="BF1984" s="274" t="str">
        <f>IFERROR(__xludf.DUMMYFUNCTION("LOWER(Regexreplace(to_text(E1984),""[^A-Za-z0-9]"","""")&amp;""_""&amp;Regexreplace(to_text(F1984),""[^A-Za-z0-9]"",""""))"),"neptronic_evcbseries")</f>
        <v>neptronic_evcbseries</v>
      </c>
      <c r="BG1984" s="275" t="str">
        <f>IFERROR(__xludf.DUMMYFUNCTION("upper(Regexreplace(to_text(E1984),""[^A-Za-z0-9]"","""")&amp;""-""&amp;Regexreplace(to_text(F1984),""[^A-Za-z0-9]"",""""))"),"NEPTRONIC-EVCBSERIES")</f>
        <v>NEPTRONIC-EVCBSERIES</v>
      </c>
    </row>
    <row r="1985" ht="30.0" customHeight="1">
      <c r="A1985" s="173">
        <v>1977.0</v>
      </c>
      <c r="B1985" s="328" t="s">
        <v>670</v>
      </c>
      <c r="C1985" s="257" t="s">
        <v>7173</v>
      </c>
      <c r="D1985" s="173" t="s">
        <v>7173</v>
      </c>
      <c r="E1985" s="174" t="s">
        <v>2861</v>
      </c>
      <c r="F1985" s="173" t="s">
        <v>2862</v>
      </c>
      <c r="G1985" s="328" t="s">
        <v>673</v>
      </c>
      <c r="H1985" s="328" t="s">
        <v>2863</v>
      </c>
      <c r="I1985" s="258" t="s">
        <v>2864</v>
      </c>
      <c r="J1985" s="259"/>
      <c r="K1985" s="260"/>
      <c r="L1985" s="359"/>
      <c r="M1985" s="359"/>
      <c r="N1985" s="173" t="s">
        <v>679</v>
      </c>
      <c r="O1985" s="173" t="s">
        <v>225</v>
      </c>
      <c r="P1985" s="262" t="str">
        <f t="shared" si="1"/>
        <v>IN-BLR-ANANTA-VAV-1557_</v>
      </c>
      <c r="Q1985" s="173" t="s">
        <v>7174</v>
      </c>
      <c r="R1985" s="328" t="str">
        <f>IFS(C1985="","",C1985="n/a","N/A",LEN(C1985),Concatenate("{",char(34),"asset",char(34),":{",char(34),"guid",char(34),":",char(34),Q1985,char(34),",",char(34),"site",char(34),":",char(34),LOWER('2-Building'!$B$4),char(34),",",char(34),"name",char(34),":",char(34),LOWER(C1985),char(34),"}}"))</f>
        <v>{"asset":{"guid":"uuid://daf41adb-f5d5-41e3-8af5-a74a8e1638a0","site":"in-blr-ananta","name":"vav-1557"}}</v>
      </c>
      <c r="S1985" s="360" t="s">
        <v>5516</v>
      </c>
      <c r="T1985" s="330"/>
      <c r="U1985" s="330"/>
      <c r="V1985" s="331"/>
      <c r="W1985" s="332"/>
      <c r="X1985" s="333"/>
      <c r="Y1985" s="33" t="s">
        <v>2867</v>
      </c>
      <c r="Z1985" s="258">
        <v>121557.0</v>
      </c>
      <c r="AA1985" s="333"/>
      <c r="AB1985" s="333"/>
      <c r="AC1985" s="333"/>
      <c r="AD1985" s="329"/>
      <c r="AE1985" s="331"/>
      <c r="AF1985" s="336"/>
      <c r="AG1985" s="337"/>
      <c r="AH1985" s="333"/>
      <c r="AI1985" s="333"/>
      <c r="AJ1985" s="333"/>
      <c r="AK1985" s="333"/>
      <c r="AL1985" s="333"/>
      <c r="AM1985" s="338"/>
      <c r="AN1985" s="333"/>
      <c r="AO1985" s="333"/>
      <c r="AP1985" s="333"/>
      <c r="AQ1985" s="333"/>
      <c r="AR1985" s="333"/>
      <c r="AS1985" s="333"/>
      <c r="AT1985" s="333"/>
      <c r="AU1985" s="329"/>
      <c r="AV1985" s="341"/>
      <c r="AW1985" s="269"/>
      <c r="AX1985" s="334" t="s">
        <v>2869</v>
      </c>
      <c r="AY1985" s="270" t="s">
        <v>695</v>
      </c>
      <c r="AZ1985" s="173" t="s">
        <v>5516</v>
      </c>
      <c r="BA1985" s="265">
        <v>10.0</v>
      </c>
      <c r="BB1985" s="174" t="s">
        <v>245</v>
      </c>
      <c r="BC1985" s="341"/>
      <c r="BD1985" s="308"/>
      <c r="BE1985" s="342"/>
      <c r="BF1985" s="274" t="str">
        <f>IFERROR(__xludf.DUMMYFUNCTION("LOWER(Regexreplace(to_text(E1985),""[^A-Za-z0-9]"","""")&amp;""_""&amp;Regexreplace(to_text(F1985),""[^A-Za-z0-9]"",""""))"),"neptronic_evcbseries")</f>
        <v>neptronic_evcbseries</v>
      </c>
      <c r="BG1985" s="275" t="str">
        <f>IFERROR(__xludf.DUMMYFUNCTION("upper(Regexreplace(to_text(E1985),""[^A-Za-z0-9]"","""")&amp;""-""&amp;Regexreplace(to_text(F1985),""[^A-Za-z0-9]"",""""))"),"NEPTRONIC-EVCBSERIES")</f>
        <v>NEPTRONIC-EVCBSERIES</v>
      </c>
    </row>
    <row r="1986" ht="30.0" customHeight="1">
      <c r="A1986" s="258">
        <v>1978.0</v>
      </c>
      <c r="B1986" s="328" t="s">
        <v>670</v>
      </c>
      <c r="C1986" s="257" t="s">
        <v>7175</v>
      </c>
      <c r="D1986" s="173" t="s">
        <v>7175</v>
      </c>
      <c r="E1986" s="174" t="s">
        <v>2861</v>
      </c>
      <c r="F1986" s="173" t="s">
        <v>2862</v>
      </c>
      <c r="G1986" s="328" t="s">
        <v>673</v>
      </c>
      <c r="H1986" s="328" t="s">
        <v>2863</v>
      </c>
      <c r="I1986" s="258" t="s">
        <v>2864</v>
      </c>
      <c r="J1986" s="259"/>
      <c r="K1986" s="260"/>
      <c r="L1986" s="359"/>
      <c r="M1986" s="359"/>
      <c r="N1986" s="173" t="s">
        <v>679</v>
      </c>
      <c r="O1986" s="173" t="s">
        <v>225</v>
      </c>
      <c r="P1986" s="262" t="str">
        <f t="shared" si="1"/>
        <v>IN-BLR-ANANTA-VAV-1558_</v>
      </c>
      <c r="Q1986" s="173" t="s">
        <v>7176</v>
      </c>
      <c r="R1986" s="328" t="str">
        <f>IFS(C1986="","",C1986="n/a","N/A",LEN(C1986),Concatenate("{",char(34),"asset",char(34),":{",char(34),"guid",char(34),":",char(34),Q1986,char(34),",",char(34),"site",char(34),":",char(34),LOWER('2-Building'!$B$4),char(34),",",char(34),"name",char(34),":",char(34),LOWER(C1986),char(34),"}}"))</f>
        <v>{"asset":{"guid":"uuid://3a01a646-06e1-4a71-94c9-faa39dae035d","site":"in-blr-ananta","name":"vav-1558"}}</v>
      </c>
      <c r="S1986" s="360" t="s">
        <v>5516</v>
      </c>
      <c r="T1986" s="330"/>
      <c r="U1986" s="330"/>
      <c r="V1986" s="331"/>
      <c r="W1986" s="332"/>
      <c r="X1986" s="333"/>
      <c r="Y1986" s="33" t="s">
        <v>2867</v>
      </c>
      <c r="Z1986" s="258">
        <v>121558.0</v>
      </c>
      <c r="AA1986" s="333"/>
      <c r="AB1986" s="333"/>
      <c r="AC1986" s="333"/>
      <c r="AD1986" s="329"/>
      <c r="AE1986" s="331"/>
      <c r="AF1986" s="336"/>
      <c r="AG1986" s="337"/>
      <c r="AH1986" s="333"/>
      <c r="AI1986" s="333"/>
      <c r="AJ1986" s="333"/>
      <c r="AK1986" s="333"/>
      <c r="AL1986" s="333"/>
      <c r="AM1986" s="338"/>
      <c r="AN1986" s="333"/>
      <c r="AO1986" s="333"/>
      <c r="AP1986" s="333"/>
      <c r="AQ1986" s="333"/>
      <c r="AR1986" s="333"/>
      <c r="AS1986" s="333"/>
      <c r="AT1986" s="333"/>
      <c r="AU1986" s="329"/>
      <c r="AV1986" s="341"/>
      <c r="AW1986" s="269"/>
      <c r="AX1986" s="334" t="s">
        <v>2869</v>
      </c>
      <c r="AY1986" s="270" t="s">
        <v>695</v>
      </c>
      <c r="AZ1986" s="173" t="s">
        <v>5516</v>
      </c>
      <c r="BA1986" s="265">
        <v>10.0</v>
      </c>
      <c r="BB1986" s="174" t="s">
        <v>245</v>
      </c>
      <c r="BC1986" s="341"/>
      <c r="BD1986" s="308"/>
      <c r="BE1986" s="342"/>
      <c r="BF1986" s="274" t="str">
        <f>IFERROR(__xludf.DUMMYFUNCTION("LOWER(Regexreplace(to_text(E1986),""[^A-Za-z0-9]"","""")&amp;""_""&amp;Regexreplace(to_text(F1986),""[^A-Za-z0-9]"",""""))"),"neptronic_evcbseries")</f>
        <v>neptronic_evcbseries</v>
      </c>
      <c r="BG1986" s="275" t="str">
        <f>IFERROR(__xludf.DUMMYFUNCTION("upper(Regexreplace(to_text(E1986),""[^A-Za-z0-9]"","""")&amp;""-""&amp;Regexreplace(to_text(F1986),""[^A-Za-z0-9]"",""""))"),"NEPTRONIC-EVCBSERIES")</f>
        <v>NEPTRONIC-EVCBSERIES</v>
      </c>
    </row>
    <row r="1987" ht="30.0" customHeight="1">
      <c r="A1987" s="173">
        <v>1979.0</v>
      </c>
      <c r="B1987" s="328" t="s">
        <v>670</v>
      </c>
      <c r="C1987" s="257" t="s">
        <v>7177</v>
      </c>
      <c r="D1987" s="173" t="s">
        <v>7177</v>
      </c>
      <c r="E1987" s="174" t="s">
        <v>2861</v>
      </c>
      <c r="F1987" s="173" t="s">
        <v>2862</v>
      </c>
      <c r="G1987" s="328" t="s">
        <v>673</v>
      </c>
      <c r="H1987" s="328" t="s">
        <v>2863</v>
      </c>
      <c r="I1987" s="258" t="s">
        <v>2864</v>
      </c>
      <c r="J1987" s="259"/>
      <c r="K1987" s="260"/>
      <c r="L1987" s="359"/>
      <c r="M1987" s="359"/>
      <c r="N1987" s="173" t="s">
        <v>679</v>
      </c>
      <c r="O1987" s="173" t="s">
        <v>225</v>
      </c>
      <c r="P1987" s="262" t="str">
        <f t="shared" si="1"/>
        <v>IN-BLR-ANANTA-VAV-1559_</v>
      </c>
      <c r="Q1987" s="173" t="s">
        <v>7178</v>
      </c>
      <c r="R1987" s="328" t="str">
        <f>IFS(C1987="","",C1987="n/a","N/A",LEN(C1987),Concatenate("{",char(34),"asset",char(34),":{",char(34),"guid",char(34),":",char(34),Q1987,char(34),",",char(34),"site",char(34),":",char(34),LOWER('2-Building'!$B$4),char(34),",",char(34),"name",char(34),":",char(34),LOWER(C1987),char(34),"}}"))</f>
        <v>{"asset":{"guid":"uuid://8a4a562d-c2fc-463c-b836-b959e0c27f37","site":"in-blr-ananta","name":"vav-1559"}}</v>
      </c>
      <c r="S1987" s="360" t="s">
        <v>5516</v>
      </c>
      <c r="T1987" s="330"/>
      <c r="U1987" s="330"/>
      <c r="V1987" s="331"/>
      <c r="W1987" s="332"/>
      <c r="X1987" s="333"/>
      <c r="Y1987" s="33" t="s">
        <v>2867</v>
      </c>
      <c r="Z1987" s="258">
        <v>121559.0</v>
      </c>
      <c r="AA1987" s="333"/>
      <c r="AB1987" s="333"/>
      <c r="AC1987" s="333"/>
      <c r="AD1987" s="329"/>
      <c r="AE1987" s="331"/>
      <c r="AF1987" s="336"/>
      <c r="AG1987" s="337"/>
      <c r="AH1987" s="333"/>
      <c r="AI1987" s="333"/>
      <c r="AJ1987" s="333"/>
      <c r="AK1987" s="333"/>
      <c r="AL1987" s="333"/>
      <c r="AM1987" s="338"/>
      <c r="AN1987" s="333"/>
      <c r="AO1987" s="333"/>
      <c r="AP1987" s="333"/>
      <c r="AQ1987" s="333"/>
      <c r="AR1987" s="333"/>
      <c r="AS1987" s="333"/>
      <c r="AT1987" s="333"/>
      <c r="AU1987" s="329"/>
      <c r="AV1987" s="341"/>
      <c r="AW1987" s="269"/>
      <c r="AX1987" s="334" t="s">
        <v>2869</v>
      </c>
      <c r="AY1987" s="270" t="s">
        <v>695</v>
      </c>
      <c r="AZ1987" s="173" t="s">
        <v>5516</v>
      </c>
      <c r="BA1987" s="265">
        <v>10.0</v>
      </c>
      <c r="BB1987" s="174" t="s">
        <v>245</v>
      </c>
      <c r="BC1987" s="341"/>
      <c r="BD1987" s="308"/>
      <c r="BE1987" s="342"/>
      <c r="BF1987" s="274" t="str">
        <f>IFERROR(__xludf.DUMMYFUNCTION("LOWER(Regexreplace(to_text(E1987),""[^A-Za-z0-9]"","""")&amp;""_""&amp;Regexreplace(to_text(F1987),""[^A-Za-z0-9]"",""""))"),"neptronic_evcbseries")</f>
        <v>neptronic_evcbseries</v>
      </c>
      <c r="BG1987" s="275" t="str">
        <f>IFERROR(__xludf.DUMMYFUNCTION("upper(Regexreplace(to_text(E1987),""[^A-Za-z0-9]"","""")&amp;""-""&amp;Regexreplace(to_text(F1987),""[^A-Za-z0-9]"",""""))"),"NEPTRONIC-EVCBSERIES")</f>
        <v>NEPTRONIC-EVCBSERIES</v>
      </c>
    </row>
    <row r="1988" ht="30.0" customHeight="1">
      <c r="A1988" s="258">
        <v>1980.0</v>
      </c>
      <c r="B1988" s="328" t="s">
        <v>670</v>
      </c>
      <c r="C1988" s="257" t="s">
        <v>7179</v>
      </c>
      <c r="D1988" s="173" t="s">
        <v>7179</v>
      </c>
      <c r="E1988" s="174" t="s">
        <v>2861</v>
      </c>
      <c r="F1988" s="173" t="s">
        <v>2862</v>
      </c>
      <c r="G1988" s="328" t="s">
        <v>673</v>
      </c>
      <c r="H1988" s="328" t="s">
        <v>2863</v>
      </c>
      <c r="I1988" s="258" t="s">
        <v>2864</v>
      </c>
      <c r="J1988" s="259"/>
      <c r="K1988" s="260"/>
      <c r="L1988" s="359"/>
      <c r="M1988" s="359"/>
      <c r="N1988" s="173" t="s">
        <v>679</v>
      </c>
      <c r="O1988" s="173" t="s">
        <v>225</v>
      </c>
      <c r="P1988" s="262" t="str">
        <f t="shared" si="1"/>
        <v>IN-BLR-ANANTA-VAV-1560_</v>
      </c>
      <c r="Q1988" s="173" t="s">
        <v>7180</v>
      </c>
      <c r="R1988" s="328" t="str">
        <f>IFS(C1988="","",C1988="n/a","N/A",LEN(C1988),Concatenate("{",char(34),"asset",char(34),":{",char(34),"guid",char(34),":",char(34),Q1988,char(34),",",char(34),"site",char(34),":",char(34),LOWER('2-Building'!$B$4),char(34),",",char(34),"name",char(34),":",char(34),LOWER(C1988),char(34),"}}"))</f>
        <v>{"asset":{"guid":"uuid://009377de-4e94-441a-aba4-91adcd8bd344","site":"in-blr-ananta","name":"vav-1560"}}</v>
      </c>
      <c r="S1988" s="360" t="s">
        <v>5516</v>
      </c>
      <c r="T1988" s="330"/>
      <c r="U1988" s="330"/>
      <c r="V1988" s="331"/>
      <c r="W1988" s="332"/>
      <c r="X1988" s="333"/>
      <c r="Y1988" s="33" t="s">
        <v>2867</v>
      </c>
      <c r="Z1988" s="258">
        <v>121560.0</v>
      </c>
      <c r="AA1988" s="333"/>
      <c r="AB1988" s="333"/>
      <c r="AC1988" s="333"/>
      <c r="AD1988" s="329"/>
      <c r="AE1988" s="331"/>
      <c r="AF1988" s="336"/>
      <c r="AG1988" s="337"/>
      <c r="AH1988" s="333"/>
      <c r="AI1988" s="333"/>
      <c r="AJ1988" s="333"/>
      <c r="AK1988" s="333"/>
      <c r="AL1988" s="333"/>
      <c r="AM1988" s="338"/>
      <c r="AN1988" s="333"/>
      <c r="AO1988" s="333"/>
      <c r="AP1988" s="333"/>
      <c r="AQ1988" s="333"/>
      <c r="AR1988" s="333"/>
      <c r="AS1988" s="333"/>
      <c r="AT1988" s="333"/>
      <c r="AU1988" s="329"/>
      <c r="AV1988" s="341"/>
      <c r="AW1988" s="269"/>
      <c r="AX1988" s="334" t="s">
        <v>2869</v>
      </c>
      <c r="AY1988" s="270" t="s">
        <v>695</v>
      </c>
      <c r="AZ1988" s="173" t="s">
        <v>5516</v>
      </c>
      <c r="BA1988" s="265">
        <v>10.0</v>
      </c>
      <c r="BB1988" s="174" t="s">
        <v>245</v>
      </c>
      <c r="BC1988" s="341"/>
      <c r="BD1988" s="308"/>
      <c r="BE1988" s="342"/>
      <c r="BF1988" s="274" t="str">
        <f>IFERROR(__xludf.DUMMYFUNCTION("LOWER(Regexreplace(to_text(E1988),""[^A-Za-z0-9]"","""")&amp;""_""&amp;Regexreplace(to_text(F1988),""[^A-Za-z0-9]"",""""))"),"neptronic_evcbseries")</f>
        <v>neptronic_evcbseries</v>
      </c>
      <c r="BG1988" s="275" t="str">
        <f>IFERROR(__xludf.DUMMYFUNCTION("upper(Regexreplace(to_text(E1988),""[^A-Za-z0-9]"","""")&amp;""-""&amp;Regexreplace(to_text(F1988),""[^A-Za-z0-9]"",""""))"),"NEPTRONIC-EVCBSERIES")</f>
        <v>NEPTRONIC-EVCBSERIES</v>
      </c>
    </row>
    <row r="1989" ht="30.0" customHeight="1">
      <c r="A1989" s="173">
        <v>1981.0</v>
      </c>
      <c r="B1989" s="328" t="s">
        <v>670</v>
      </c>
      <c r="C1989" s="257" t="s">
        <v>7181</v>
      </c>
      <c r="D1989" s="173" t="s">
        <v>7181</v>
      </c>
      <c r="E1989" s="174" t="s">
        <v>2861</v>
      </c>
      <c r="F1989" s="173" t="s">
        <v>2862</v>
      </c>
      <c r="G1989" s="328" t="s">
        <v>673</v>
      </c>
      <c r="H1989" s="328" t="s">
        <v>2863</v>
      </c>
      <c r="I1989" s="258" t="s">
        <v>2864</v>
      </c>
      <c r="J1989" s="259"/>
      <c r="K1989" s="260"/>
      <c r="L1989" s="359"/>
      <c r="M1989" s="359"/>
      <c r="N1989" s="173" t="s">
        <v>679</v>
      </c>
      <c r="O1989" s="173" t="s">
        <v>225</v>
      </c>
      <c r="P1989" s="262" t="str">
        <f t="shared" si="1"/>
        <v>IN-BLR-ANANTA-VAV-1561_</v>
      </c>
      <c r="Q1989" s="173" t="s">
        <v>7182</v>
      </c>
      <c r="R1989" s="328" t="str">
        <f>IFS(C1989="","",C1989="n/a","N/A",LEN(C1989),Concatenate("{",char(34),"asset",char(34),":{",char(34),"guid",char(34),":",char(34),Q1989,char(34),",",char(34),"site",char(34),":",char(34),LOWER('2-Building'!$B$4),char(34),",",char(34),"name",char(34),":",char(34),LOWER(C1989),char(34),"}}"))</f>
        <v>{"asset":{"guid":"uuid://e951bb5a-ac5f-44c9-a20b-2e7dbc635ac7","site":"in-blr-ananta","name":"vav-1561"}}</v>
      </c>
      <c r="S1989" s="360" t="s">
        <v>5516</v>
      </c>
      <c r="T1989" s="330"/>
      <c r="U1989" s="330"/>
      <c r="V1989" s="331"/>
      <c r="W1989" s="332"/>
      <c r="X1989" s="333"/>
      <c r="Y1989" s="33" t="s">
        <v>2867</v>
      </c>
      <c r="Z1989" s="258">
        <v>121561.0</v>
      </c>
      <c r="AA1989" s="333"/>
      <c r="AB1989" s="333"/>
      <c r="AC1989" s="333"/>
      <c r="AD1989" s="329"/>
      <c r="AE1989" s="331"/>
      <c r="AF1989" s="336"/>
      <c r="AG1989" s="337"/>
      <c r="AH1989" s="333"/>
      <c r="AI1989" s="333"/>
      <c r="AJ1989" s="333"/>
      <c r="AK1989" s="333"/>
      <c r="AL1989" s="333"/>
      <c r="AM1989" s="338"/>
      <c r="AN1989" s="333"/>
      <c r="AO1989" s="333"/>
      <c r="AP1989" s="333"/>
      <c r="AQ1989" s="333"/>
      <c r="AR1989" s="333"/>
      <c r="AS1989" s="333"/>
      <c r="AT1989" s="333"/>
      <c r="AU1989" s="329"/>
      <c r="AV1989" s="341"/>
      <c r="AW1989" s="269"/>
      <c r="AX1989" s="334" t="s">
        <v>2869</v>
      </c>
      <c r="AY1989" s="270" t="s">
        <v>695</v>
      </c>
      <c r="AZ1989" s="173" t="s">
        <v>5516</v>
      </c>
      <c r="BA1989" s="265">
        <v>10.0</v>
      </c>
      <c r="BB1989" s="174" t="s">
        <v>245</v>
      </c>
      <c r="BC1989" s="341"/>
      <c r="BD1989" s="308"/>
      <c r="BE1989" s="342"/>
      <c r="BF1989" s="274" t="str">
        <f>IFERROR(__xludf.DUMMYFUNCTION("LOWER(Regexreplace(to_text(E1989),""[^A-Za-z0-9]"","""")&amp;""_""&amp;Regexreplace(to_text(F1989),""[^A-Za-z0-9]"",""""))"),"neptronic_evcbseries")</f>
        <v>neptronic_evcbseries</v>
      </c>
      <c r="BG1989" s="275" t="str">
        <f>IFERROR(__xludf.DUMMYFUNCTION("upper(Regexreplace(to_text(E1989),""[^A-Za-z0-9]"","""")&amp;""-""&amp;Regexreplace(to_text(F1989),""[^A-Za-z0-9]"",""""))"),"NEPTRONIC-EVCBSERIES")</f>
        <v>NEPTRONIC-EVCBSERIES</v>
      </c>
    </row>
    <row r="1990" ht="30.0" customHeight="1">
      <c r="A1990" s="258">
        <v>1982.0</v>
      </c>
      <c r="B1990" s="328" t="s">
        <v>670</v>
      </c>
      <c r="C1990" s="257" t="s">
        <v>7183</v>
      </c>
      <c r="D1990" s="173" t="s">
        <v>7183</v>
      </c>
      <c r="E1990" s="174" t="s">
        <v>2861</v>
      </c>
      <c r="F1990" s="173" t="s">
        <v>2862</v>
      </c>
      <c r="G1990" s="328" t="s">
        <v>673</v>
      </c>
      <c r="H1990" s="328" t="s">
        <v>2863</v>
      </c>
      <c r="I1990" s="258" t="s">
        <v>2864</v>
      </c>
      <c r="J1990" s="259"/>
      <c r="K1990" s="260"/>
      <c r="L1990" s="359"/>
      <c r="M1990" s="359"/>
      <c r="N1990" s="173" t="s">
        <v>679</v>
      </c>
      <c r="O1990" s="173" t="s">
        <v>225</v>
      </c>
      <c r="P1990" s="262" t="str">
        <f t="shared" si="1"/>
        <v>IN-BLR-ANANTA-VAV-1562_</v>
      </c>
      <c r="Q1990" s="173" t="s">
        <v>7184</v>
      </c>
      <c r="R1990" s="328" t="str">
        <f>IFS(C1990="","",C1990="n/a","N/A",LEN(C1990),Concatenate("{",char(34),"asset",char(34),":{",char(34),"guid",char(34),":",char(34),Q1990,char(34),",",char(34),"site",char(34),":",char(34),LOWER('2-Building'!$B$4),char(34),",",char(34),"name",char(34),":",char(34),LOWER(C1990),char(34),"}}"))</f>
        <v>{"asset":{"guid":"uuid://87999ea8-e5f7-4cca-a862-1a661afceed6","site":"in-blr-ananta","name":"vav-1562"}}</v>
      </c>
      <c r="S1990" s="360" t="s">
        <v>5516</v>
      </c>
      <c r="T1990" s="330"/>
      <c r="U1990" s="330"/>
      <c r="V1990" s="331"/>
      <c r="W1990" s="332"/>
      <c r="X1990" s="333"/>
      <c r="Y1990" s="33" t="s">
        <v>2867</v>
      </c>
      <c r="Z1990" s="258">
        <v>121562.0</v>
      </c>
      <c r="AA1990" s="333"/>
      <c r="AB1990" s="333"/>
      <c r="AC1990" s="333"/>
      <c r="AD1990" s="329"/>
      <c r="AE1990" s="331"/>
      <c r="AF1990" s="336"/>
      <c r="AG1990" s="337"/>
      <c r="AH1990" s="333"/>
      <c r="AI1990" s="333"/>
      <c r="AJ1990" s="333"/>
      <c r="AK1990" s="333"/>
      <c r="AL1990" s="333"/>
      <c r="AM1990" s="338"/>
      <c r="AN1990" s="333"/>
      <c r="AO1990" s="333"/>
      <c r="AP1990" s="333"/>
      <c r="AQ1990" s="333"/>
      <c r="AR1990" s="333"/>
      <c r="AS1990" s="333"/>
      <c r="AT1990" s="333"/>
      <c r="AU1990" s="329"/>
      <c r="AV1990" s="341"/>
      <c r="AW1990" s="269"/>
      <c r="AX1990" s="334" t="s">
        <v>2869</v>
      </c>
      <c r="AY1990" s="270" t="s">
        <v>695</v>
      </c>
      <c r="AZ1990" s="173" t="s">
        <v>5516</v>
      </c>
      <c r="BA1990" s="265">
        <v>10.0</v>
      </c>
      <c r="BB1990" s="174" t="s">
        <v>245</v>
      </c>
      <c r="BC1990" s="341"/>
      <c r="BD1990" s="308"/>
      <c r="BE1990" s="342"/>
      <c r="BF1990" s="274" t="str">
        <f>IFERROR(__xludf.DUMMYFUNCTION("LOWER(Regexreplace(to_text(E1990),""[^A-Za-z0-9]"","""")&amp;""_""&amp;Regexreplace(to_text(F1990),""[^A-Za-z0-9]"",""""))"),"neptronic_evcbseries")</f>
        <v>neptronic_evcbseries</v>
      </c>
      <c r="BG1990" s="275" t="str">
        <f>IFERROR(__xludf.DUMMYFUNCTION("upper(Regexreplace(to_text(E1990),""[^A-Za-z0-9]"","""")&amp;""-""&amp;Regexreplace(to_text(F1990),""[^A-Za-z0-9]"",""""))"),"NEPTRONIC-EVCBSERIES")</f>
        <v>NEPTRONIC-EVCBSERIES</v>
      </c>
    </row>
    <row r="1991" ht="30.0" customHeight="1">
      <c r="A1991" s="173">
        <v>1983.0</v>
      </c>
      <c r="B1991" s="328" t="s">
        <v>670</v>
      </c>
      <c r="C1991" s="257" t="s">
        <v>7185</v>
      </c>
      <c r="D1991" s="173" t="s">
        <v>7185</v>
      </c>
      <c r="E1991" s="174" t="s">
        <v>2861</v>
      </c>
      <c r="F1991" s="173" t="s">
        <v>2862</v>
      </c>
      <c r="G1991" s="328" t="s">
        <v>673</v>
      </c>
      <c r="H1991" s="328" t="s">
        <v>2863</v>
      </c>
      <c r="I1991" s="258" t="s">
        <v>2864</v>
      </c>
      <c r="J1991" s="259"/>
      <c r="K1991" s="260"/>
      <c r="L1991" s="359"/>
      <c r="M1991" s="359"/>
      <c r="N1991" s="173" t="s">
        <v>679</v>
      </c>
      <c r="O1991" s="173" t="s">
        <v>225</v>
      </c>
      <c r="P1991" s="262" t="str">
        <f t="shared" si="1"/>
        <v>IN-BLR-ANANTA-VAV-1563_</v>
      </c>
      <c r="Q1991" s="173" t="s">
        <v>7186</v>
      </c>
      <c r="R1991" s="328" t="str">
        <f>IFS(C1991="","",C1991="n/a","N/A",LEN(C1991),Concatenate("{",char(34),"asset",char(34),":{",char(34),"guid",char(34),":",char(34),Q1991,char(34),",",char(34),"site",char(34),":",char(34),LOWER('2-Building'!$B$4),char(34),",",char(34),"name",char(34),":",char(34),LOWER(C1991),char(34),"}}"))</f>
        <v>{"asset":{"guid":"uuid://cd583ac8-6394-484e-ad9a-e3035a58650f","site":"in-blr-ananta","name":"vav-1563"}}</v>
      </c>
      <c r="S1991" s="360" t="s">
        <v>5516</v>
      </c>
      <c r="T1991" s="330"/>
      <c r="U1991" s="330"/>
      <c r="V1991" s="331"/>
      <c r="W1991" s="332"/>
      <c r="X1991" s="333"/>
      <c r="Y1991" s="33" t="s">
        <v>2867</v>
      </c>
      <c r="Z1991" s="258">
        <v>121563.0</v>
      </c>
      <c r="AA1991" s="333"/>
      <c r="AB1991" s="333"/>
      <c r="AC1991" s="333"/>
      <c r="AD1991" s="329"/>
      <c r="AE1991" s="331"/>
      <c r="AF1991" s="336"/>
      <c r="AG1991" s="337"/>
      <c r="AH1991" s="333"/>
      <c r="AI1991" s="333"/>
      <c r="AJ1991" s="333"/>
      <c r="AK1991" s="333"/>
      <c r="AL1991" s="333"/>
      <c r="AM1991" s="338"/>
      <c r="AN1991" s="333"/>
      <c r="AO1991" s="333"/>
      <c r="AP1991" s="333"/>
      <c r="AQ1991" s="333"/>
      <c r="AR1991" s="333"/>
      <c r="AS1991" s="333"/>
      <c r="AT1991" s="333"/>
      <c r="AU1991" s="329"/>
      <c r="AV1991" s="341"/>
      <c r="AW1991" s="269"/>
      <c r="AX1991" s="334" t="s">
        <v>2869</v>
      </c>
      <c r="AY1991" s="270" t="s">
        <v>695</v>
      </c>
      <c r="AZ1991" s="173" t="s">
        <v>5516</v>
      </c>
      <c r="BA1991" s="265">
        <v>10.0</v>
      </c>
      <c r="BB1991" s="174" t="s">
        <v>245</v>
      </c>
      <c r="BC1991" s="341"/>
      <c r="BD1991" s="308"/>
      <c r="BE1991" s="342"/>
      <c r="BF1991" s="274" t="str">
        <f>IFERROR(__xludf.DUMMYFUNCTION("LOWER(Regexreplace(to_text(E1991),""[^A-Za-z0-9]"","""")&amp;""_""&amp;Regexreplace(to_text(F1991),""[^A-Za-z0-9]"",""""))"),"neptronic_evcbseries")</f>
        <v>neptronic_evcbseries</v>
      </c>
      <c r="BG1991" s="275" t="str">
        <f>IFERROR(__xludf.DUMMYFUNCTION("upper(Regexreplace(to_text(E1991),""[^A-Za-z0-9]"","""")&amp;""-""&amp;Regexreplace(to_text(F1991),""[^A-Za-z0-9]"",""""))"),"NEPTRONIC-EVCBSERIES")</f>
        <v>NEPTRONIC-EVCBSERIES</v>
      </c>
    </row>
    <row r="1992" ht="30.0" customHeight="1">
      <c r="A1992" s="258">
        <v>1984.0</v>
      </c>
      <c r="B1992" s="328" t="s">
        <v>670</v>
      </c>
      <c r="C1992" s="257" t="s">
        <v>7187</v>
      </c>
      <c r="D1992" s="173" t="s">
        <v>7187</v>
      </c>
      <c r="E1992" s="174" t="s">
        <v>2861</v>
      </c>
      <c r="F1992" s="173" t="s">
        <v>2862</v>
      </c>
      <c r="G1992" s="328" t="s">
        <v>673</v>
      </c>
      <c r="H1992" s="328" t="s">
        <v>2863</v>
      </c>
      <c r="I1992" s="258" t="s">
        <v>2864</v>
      </c>
      <c r="J1992" s="259"/>
      <c r="K1992" s="260"/>
      <c r="L1992" s="359"/>
      <c r="M1992" s="359"/>
      <c r="N1992" s="173" t="s">
        <v>679</v>
      </c>
      <c r="O1992" s="173" t="s">
        <v>225</v>
      </c>
      <c r="P1992" s="262" t="str">
        <f t="shared" si="1"/>
        <v>IN-BLR-ANANTA-VAV-1564_</v>
      </c>
      <c r="Q1992" s="173" t="s">
        <v>7188</v>
      </c>
      <c r="R1992" s="328" t="str">
        <f>IFS(C1992="","",C1992="n/a","N/A",LEN(C1992),Concatenate("{",char(34),"asset",char(34),":{",char(34),"guid",char(34),":",char(34),Q1992,char(34),",",char(34),"site",char(34),":",char(34),LOWER('2-Building'!$B$4),char(34),",",char(34),"name",char(34),":",char(34),LOWER(C1992),char(34),"}}"))</f>
        <v>{"asset":{"guid":"uuid://a7639eae-c1cb-4cc4-aaa8-d2d27bd81ce8","site":"in-blr-ananta","name":"vav-1564"}}</v>
      </c>
      <c r="S1992" s="360" t="s">
        <v>5516</v>
      </c>
      <c r="T1992" s="330"/>
      <c r="U1992" s="330"/>
      <c r="V1992" s="331"/>
      <c r="W1992" s="332"/>
      <c r="X1992" s="333"/>
      <c r="Y1992" s="33" t="s">
        <v>2867</v>
      </c>
      <c r="Z1992" s="258">
        <v>121564.0</v>
      </c>
      <c r="AA1992" s="333"/>
      <c r="AB1992" s="333"/>
      <c r="AC1992" s="333"/>
      <c r="AD1992" s="329"/>
      <c r="AE1992" s="331"/>
      <c r="AF1992" s="336"/>
      <c r="AG1992" s="337"/>
      <c r="AH1992" s="333"/>
      <c r="AI1992" s="333"/>
      <c r="AJ1992" s="333"/>
      <c r="AK1992" s="333"/>
      <c r="AL1992" s="333"/>
      <c r="AM1992" s="338"/>
      <c r="AN1992" s="333"/>
      <c r="AO1992" s="333"/>
      <c r="AP1992" s="333"/>
      <c r="AQ1992" s="333"/>
      <c r="AR1992" s="333"/>
      <c r="AS1992" s="333"/>
      <c r="AT1992" s="333"/>
      <c r="AU1992" s="329"/>
      <c r="AV1992" s="341"/>
      <c r="AW1992" s="269"/>
      <c r="AX1992" s="334" t="s">
        <v>2869</v>
      </c>
      <c r="AY1992" s="270" t="s">
        <v>695</v>
      </c>
      <c r="AZ1992" s="173" t="s">
        <v>5516</v>
      </c>
      <c r="BA1992" s="265">
        <v>10.0</v>
      </c>
      <c r="BB1992" s="174" t="s">
        <v>245</v>
      </c>
      <c r="BC1992" s="341"/>
      <c r="BD1992" s="308"/>
      <c r="BE1992" s="342"/>
      <c r="BF1992" s="274" t="str">
        <f>IFERROR(__xludf.DUMMYFUNCTION("LOWER(Regexreplace(to_text(E1992),""[^A-Za-z0-9]"","""")&amp;""_""&amp;Regexreplace(to_text(F1992),""[^A-Za-z0-9]"",""""))"),"neptronic_evcbseries")</f>
        <v>neptronic_evcbseries</v>
      </c>
      <c r="BG1992" s="275" t="str">
        <f>IFERROR(__xludf.DUMMYFUNCTION("upper(Regexreplace(to_text(E1992),""[^A-Za-z0-9]"","""")&amp;""-""&amp;Regexreplace(to_text(F1992),""[^A-Za-z0-9]"",""""))"),"NEPTRONIC-EVCBSERIES")</f>
        <v>NEPTRONIC-EVCBSERIES</v>
      </c>
    </row>
    <row r="1993" ht="30.0" customHeight="1">
      <c r="A1993" s="173">
        <v>1985.0</v>
      </c>
      <c r="B1993" s="328" t="s">
        <v>670</v>
      </c>
      <c r="C1993" s="257" t="s">
        <v>7189</v>
      </c>
      <c r="D1993" s="173" t="s">
        <v>7189</v>
      </c>
      <c r="E1993" s="174" t="s">
        <v>2861</v>
      </c>
      <c r="F1993" s="173" t="s">
        <v>2862</v>
      </c>
      <c r="G1993" s="328" t="s">
        <v>673</v>
      </c>
      <c r="H1993" s="328" t="s">
        <v>2863</v>
      </c>
      <c r="I1993" s="258" t="s">
        <v>2864</v>
      </c>
      <c r="J1993" s="259"/>
      <c r="K1993" s="260"/>
      <c r="L1993" s="359"/>
      <c r="M1993" s="359"/>
      <c r="N1993" s="173" t="s">
        <v>679</v>
      </c>
      <c r="O1993" s="173" t="s">
        <v>225</v>
      </c>
      <c r="P1993" s="262" t="str">
        <f t="shared" si="1"/>
        <v>IN-BLR-ANANTA-VAV-1565_</v>
      </c>
      <c r="Q1993" s="173" t="s">
        <v>7190</v>
      </c>
      <c r="R1993" s="328" t="str">
        <f>IFS(C1993="","",C1993="n/a","N/A",LEN(C1993),Concatenate("{",char(34),"asset",char(34),":{",char(34),"guid",char(34),":",char(34),Q1993,char(34),",",char(34),"site",char(34),":",char(34),LOWER('2-Building'!$B$4),char(34),",",char(34),"name",char(34),":",char(34),LOWER(C1993),char(34),"}}"))</f>
        <v>{"asset":{"guid":"uuid://bf26aafb-719d-43f8-a241-b6c6938559a2","site":"in-blr-ananta","name":"vav-1565"}}</v>
      </c>
      <c r="S1993" s="360" t="s">
        <v>5516</v>
      </c>
      <c r="T1993" s="330"/>
      <c r="U1993" s="330"/>
      <c r="V1993" s="331"/>
      <c r="W1993" s="332"/>
      <c r="X1993" s="333"/>
      <c r="Y1993" s="33" t="s">
        <v>2867</v>
      </c>
      <c r="Z1993" s="258">
        <v>121565.0</v>
      </c>
      <c r="AA1993" s="333"/>
      <c r="AB1993" s="333"/>
      <c r="AC1993" s="333"/>
      <c r="AD1993" s="329"/>
      <c r="AE1993" s="331"/>
      <c r="AF1993" s="336"/>
      <c r="AG1993" s="337"/>
      <c r="AH1993" s="333"/>
      <c r="AI1993" s="333"/>
      <c r="AJ1993" s="333"/>
      <c r="AK1993" s="333"/>
      <c r="AL1993" s="333"/>
      <c r="AM1993" s="338"/>
      <c r="AN1993" s="333"/>
      <c r="AO1993" s="333"/>
      <c r="AP1993" s="333"/>
      <c r="AQ1993" s="333"/>
      <c r="AR1993" s="333"/>
      <c r="AS1993" s="333"/>
      <c r="AT1993" s="333"/>
      <c r="AU1993" s="329"/>
      <c r="AV1993" s="341"/>
      <c r="AW1993" s="269"/>
      <c r="AX1993" s="334" t="s">
        <v>2869</v>
      </c>
      <c r="AY1993" s="270" t="s">
        <v>695</v>
      </c>
      <c r="AZ1993" s="173" t="s">
        <v>5516</v>
      </c>
      <c r="BA1993" s="265">
        <v>10.0</v>
      </c>
      <c r="BB1993" s="174" t="s">
        <v>245</v>
      </c>
      <c r="BC1993" s="341"/>
      <c r="BD1993" s="308"/>
      <c r="BE1993" s="342"/>
      <c r="BF1993" s="274" t="str">
        <f>IFERROR(__xludf.DUMMYFUNCTION("LOWER(Regexreplace(to_text(E1993),""[^A-Za-z0-9]"","""")&amp;""_""&amp;Regexreplace(to_text(F1993),""[^A-Za-z0-9]"",""""))"),"neptronic_evcbseries")</f>
        <v>neptronic_evcbseries</v>
      </c>
      <c r="BG1993" s="275" t="str">
        <f>IFERROR(__xludf.DUMMYFUNCTION("upper(Regexreplace(to_text(E1993),""[^A-Za-z0-9]"","""")&amp;""-""&amp;Regexreplace(to_text(F1993),""[^A-Za-z0-9]"",""""))"),"NEPTRONIC-EVCBSERIES")</f>
        <v>NEPTRONIC-EVCBSERIES</v>
      </c>
    </row>
    <row r="1994" ht="30.0" customHeight="1">
      <c r="A1994" s="258">
        <v>1986.0</v>
      </c>
      <c r="B1994" s="328" t="s">
        <v>670</v>
      </c>
      <c r="C1994" s="257" t="s">
        <v>7191</v>
      </c>
      <c r="D1994" s="173" t="s">
        <v>7191</v>
      </c>
      <c r="E1994" s="174" t="s">
        <v>2861</v>
      </c>
      <c r="F1994" s="173" t="s">
        <v>2862</v>
      </c>
      <c r="G1994" s="328" t="s">
        <v>673</v>
      </c>
      <c r="H1994" s="328" t="s">
        <v>2863</v>
      </c>
      <c r="I1994" s="258" t="s">
        <v>2864</v>
      </c>
      <c r="J1994" s="259"/>
      <c r="K1994" s="260"/>
      <c r="L1994" s="359"/>
      <c r="M1994" s="359"/>
      <c r="N1994" s="173" t="s">
        <v>679</v>
      </c>
      <c r="O1994" s="173" t="s">
        <v>225</v>
      </c>
      <c r="P1994" s="262" t="str">
        <f t="shared" si="1"/>
        <v>IN-BLR-ANANTA-VAV-1566_</v>
      </c>
      <c r="Q1994" s="173" t="s">
        <v>7192</v>
      </c>
      <c r="R1994" s="328" t="str">
        <f>IFS(C1994="","",C1994="n/a","N/A",LEN(C1994),Concatenate("{",char(34),"asset",char(34),":{",char(34),"guid",char(34),":",char(34),Q1994,char(34),",",char(34),"site",char(34),":",char(34),LOWER('2-Building'!$B$4),char(34),",",char(34),"name",char(34),":",char(34),LOWER(C1994),char(34),"}}"))</f>
        <v>{"asset":{"guid":"uuid://3047b36e-c7e2-45c1-bf4f-5bb353b46d32","site":"in-blr-ananta","name":"vav-1566"}}</v>
      </c>
      <c r="S1994" s="360" t="s">
        <v>5516</v>
      </c>
      <c r="T1994" s="330"/>
      <c r="U1994" s="330"/>
      <c r="V1994" s="331"/>
      <c r="W1994" s="332"/>
      <c r="X1994" s="333"/>
      <c r="Y1994" s="33" t="s">
        <v>2867</v>
      </c>
      <c r="Z1994" s="258">
        <v>121566.0</v>
      </c>
      <c r="AA1994" s="333"/>
      <c r="AB1994" s="333"/>
      <c r="AC1994" s="333"/>
      <c r="AD1994" s="329"/>
      <c r="AE1994" s="331"/>
      <c r="AF1994" s="336"/>
      <c r="AG1994" s="337"/>
      <c r="AH1994" s="333"/>
      <c r="AI1994" s="333"/>
      <c r="AJ1994" s="333"/>
      <c r="AK1994" s="333"/>
      <c r="AL1994" s="333"/>
      <c r="AM1994" s="338"/>
      <c r="AN1994" s="333"/>
      <c r="AO1994" s="333"/>
      <c r="AP1994" s="333"/>
      <c r="AQ1994" s="333"/>
      <c r="AR1994" s="333"/>
      <c r="AS1994" s="333"/>
      <c r="AT1994" s="333"/>
      <c r="AU1994" s="329"/>
      <c r="AV1994" s="341"/>
      <c r="AW1994" s="269"/>
      <c r="AX1994" s="334" t="s">
        <v>2869</v>
      </c>
      <c r="AY1994" s="270" t="s">
        <v>695</v>
      </c>
      <c r="AZ1994" s="173" t="s">
        <v>5516</v>
      </c>
      <c r="BA1994" s="265">
        <v>10.0</v>
      </c>
      <c r="BB1994" s="174" t="s">
        <v>245</v>
      </c>
      <c r="BC1994" s="341"/>
      <c r="BD1994" s="308"/>
      <c r="BE1994" s="342"/>
      <c r="BF1994" s="274" t="str">
        <f>IFERROR(__xludf.DUMMYFUNCTION("LOWER(Regexreplace(to_text(E1994),""[^A-Za-z0-9]"","""")&amp;""_""&amp;Regexreplace(to_text(F1994),""[^A-Za-z0-9]"",""""))"),"neptronic_evcbseries")</f>
        <v>neptronic_evcbseries</v>
      </c>
      <c r="BG1994" s="275" t="str">
        <f>IFERROR(__xludf.DUMMYFUNCTION("upper(Regexreplace(to_text(E1994),""[^A-Za-z0-9]"","""")&amp;""-""&amp;Regexreplace(to_text(F1994),""[^A-Za-z0-9]"",""""))"),"NEPTRONIC-EVCBSERIES")</f>
        <v>NEPTRONIC-EVCBSERIES</v>
      </c>
    </row>
    <row r="1995" ht="30.0" customHeight="1">
      <c r="A1995" s="173">
        <v>1987.0</v>
      </c>
      <c r="B1995" s="328" t="s">
        <v>670</v>
      </c>
      <c r="C1995" s="257" t="s">
        <v>7193</v>
      </c>
      <c r="D1995" s="173" t="s">
        <v>7193</v>
      </c>
      <c r="E1995" s="174" t="s">
        <v>2861</v>
      </c>
      <c r="F1995" s="173" t="s">
        <v>2862</v>
      </c>
      <c r="G1995" s="328" t="s">
        <v>673</v>
      </c>
      <c r="H1995" s="328" t="s">
        <v>2863</v>
      </c>
      <c r="I1995" s="258" t="s">
        <v>2864</v>
      </c>
      <c r="J1995" s="259"/>
      <c r="K1995" s="260"/>
      <c r="L1995" s="359"/>
      <c r="M1995" s="359"/>
      <c r="N1995" s="173" t="s">
        <v>679</v>
      </c>
      <c r="O1995" s="173" t="s">
        <v>225</v>
      </c>
      <c r="P1995" s="262" t="str">
        <f t="shared" si="1"/>
        <v>IN-BLR-ANANTA-VAV-1567_</v>
      </c>
      <c r="Q1995" s="173" t="s">
        <v>7194</v>
      </c>
      <c r="R1995" s="328" t="str">
        <f>IFS(C1995="","",C1995="n/a","N/A",LEN(C1995),Concatenate("{",char(34),"asset",char(34),":{",char(34),"guid",char(34),":",char(34),Q1995,char(34),",",char(34),"site",char(34),":",char(34),LOWER('2-Building'!$B$4),char(34),",",char(34),"name",char(34),":",char(34),LOWER(C1995),char(34),"}}"))</f>
        <v>{"asset":{"guid":"uuid://117afd9c-caf8-4d95-8128-74a1f9253500","site":"in-blr-ananta","name":"vav-1567"}}</v>
      </c>
      <c r="S1995" s="360" t="s">
        <v>5516</v>
      </c>
      <c r="T1995" s="330"/>
      <c r="U1995" s="330"/>
      <c r="V1995" s="331"/>
      <c r="W1995" s="332"/>
      <c r="X1995" s="333"/>
      <c r="Y1995" s="33" t="s">
        <v>2867</v>
      </c>
      <c r="Z1995" s="258">
        <v>121567.0</v>
      </c>
      <c r="AA1995" s="333"/>
      <c r="AB1995" s="333"/>
      <c r="AC1995" s="333"/>
      <c r="AD1995" s="329"/>
      <c r="AE1995" s="331"/>
      <c r="AF1995" s="336"/>
      <c r="AG1995" s="337"/>
      <c r="AH1995" s="333"/>
      <c r="AI1995" s="333"/>
      <c r="AJ1995" s="333"/>
      <c r="AK1995" s="333"/>
      <c r="AL1995" s="333"/>
      <c r="AM1995" s="338"/>
      <c r="AN1995" s="333"/>
      <c r="AO1995" s="333"/>
      <c r="AP1995" s="333"/>
      <c r="AQ1995" s="333"/>
      <c r="AR1995" s="333"/>
      <c r="AS1995" s="333"/>
      <c r="AT1995" s="333"/>
      <c r="AU1995" s="329"/>
      <c r="AV1995" s="341"/>
      <c r="AW1995" s="269"/>
      <c r="AX1995" s="334" t="s">
        <v>2869</v>
      </c>
      <c r="AY1995" s="270" t="s">
        <v>695</v>
      </c>
      <c r="AZ1995" s="173" t="s">
        <v>5516</v>
      </c>
      <c r="BA1995" s="265">
        <v>10.0</v>
      </c>
      <c r="BB1995" s="174" t="s">
        <v>245</v>
      </c>
      <c r="BC1995" s="341"/>
      <c r="BD1995" s="308"/>
      <c r="BE1995" s="342"/>
      <c r="BF1995" s="274" t="str">
        <f>IFERROR(__xludf.DUMMYFUNCTION("LOWER(Regexreplace(to_text(E1995),""[^A-Za-z0-9]"","""")&amp;""_""&amp;Regexreplace(to_text(F1995),""[^A-Za-z0-9]"",""""))"),"neptronic_evcbseries")</f>
        <v>neptronic_evcbseries</v>
      </c>
      <c r="BG1995" s="275" t="str">
        <f>IFERROR(__xludf.DUMMYFUNCTION("upper(Regexreplace(to_text(E1995),""[^A-Za-z0-9]"","""")&amp;""-""&amp;Regexreplace(to_text(F1995),""[^A-Za-z0-9]"",""""))"),"NEPTRONIC-EVCBSERIES")</f>
        <v>NEPTRONIC-EVCBSERIES</v>
      </c>
    </row>
    <row r="1996" ht="30.0" customHeight="1">
      <c r="A1996" s="258">
        <v>1988.0</v>
      </c>
      <c r="B1996" s="328" t="s">
        <v>670</v>
      </c>
      <c r="C1996" s="257" t="s">
        <v>7195</v>
      </c>
      <c r="D1996" s="173" t="s">
        <v>7195</v>
      </c>
      <c r="E1996" s="174" t="s">
        <v>2861</v>
      </c>
      <c r="F1996" s="173" t="s">
        <v>2862</v>
      </c>
      <c r="G1996" s="328" t="s">
        <v>673</v>
      </c>
      <c r="H1996" s="328" t="s">
        <v>2863</v>
      </c>
      <c r="I1996" s="258" t="s">
        <v>2864</v>
      </c>
      <c r="J1996" s="259"/>
      <c r="K1996" s="260"/>
      <c r="L1996" s="359"/>
      <c r="M1996" s="359"/>
      <c r="N1996" s="173" t="s">
        <v>679</v>
      </c>
      <c r="O1996" s="173" t="s">
        <v>225</v>
      </c>
      <c r="P1996" s="262" t="str">
        <f t="shared" si="1"/>
        <v>IN-BLR-ANANTA-VAV-1568_</v>
      </c>
      <c r="Q1996" s="173" t="s">
        <v>7196</v>
      </c>
      <c r="R1996" s="328" t="str">
        <f>IFS(C1996="","",C1996="n/a","N/A",LEN(C1996),Concatenate("{",char(34),"asset",char(34),":{",char(34),"guid",char(34),":",char(34),Q1996,char(34),",",char(34),"site",char(34),":",char(34),LOWER('2-Building'!$B$4),char(34),",",char(34),"name",char(34),":",char(34),LOWER(C1996),char(34),"}}"))</f>
        <v>{"asset":{"guid":"uuid://b41439b9-ba38-4c26-a92c-f13438a6778f","site":"in-blr-ananta","name":"vav-1568"}}</v>
      </c>
      <c r="S1996" s="360" t="s">
        <v>5516</v>
      </c>
      <c r="T1996" s="330"/>
      <c r="U1996" s="330"/>
      <c r="V1996" s="331"/>
      <c r="W1996" s="332"/>
      <c r="X1996" s="333"/>
      <c r="Y1996" s="33" t="s">
        <v>2867</v>
      </c>
      <c r="Z1996" s="258">
        <v>121568.0</v>
      </c>
      <c r="AA1996" s="333"/>
      <c r="AB1996" s="333"/>
      <c r="AC1996" s="333"/>
      <c r="AD1996" s="329"/>
      <c r="AE1996" s="331"/>
      <c r="AF1996" s="336"/>
      <c r="AG1996" s="337"/>
      <c r="AH1996" s="333"/>
      <c r="AI1996" s="333"/>
      <c r="AJ1996" s="333"/>
      <c r="AK1996" s="333"/>
      <c r="AL1996" s="333"/>
      <c r="AM1996" s="338"/>
      <c r="AN1996" s="333"/>
      <c r="AO1996" s="333"/>
      <c r="AP1996" s="333"/>
      <c r="AQ1996" s="333"/>
      <c r="AR1996" s="333"/>
      <c r="AS1996" s="333"/>
      <c r="AT1996" s="333"/>
      <c r="AU1996" s="329"/>
      <c r="AV1996" s="341"/>
      <c r="AW1996" s="269"/>
      <c r="AX1996" s="334" t="s">
        <v>2869</v>
      </c>
      <c r="AY1996" s="270" t="s">
        <v>695</v>
      </c>
      <c r="AZ1996" s="173" t="s">
        <v>5516</v>
      </c>
      <c r="BA1996" s="265">
        <v>10.0</v>
      </c>
      <c r="BB1996" s="174" t="s">
        <v>245</v>
      </c>
      <c r="BC1996" s="341"/>
      <c r="BD1996" s="308"/>
      <c r="BE1996" s="342"/>
      <c r="BF1996" s="274" t="str">
        <f>IFERROR(__xludf.DUMMYFUNCTION("LOWER(Regexreplace(to_text(E1996),""[^A-Za-z0-9]"","""")&amp;""_""&amp;Regexreplace(to_text(F1996),""[^A-Za-z0-9]"",""""))"),"neptronic_evcbseries")</f>
        <v>neptronic_evcbseries</v>
      </c>
      <c r="BG1996" s="275" t="str">
        <f>IFERROR(__xludf.DUMMYFUNCTION("upper(Regexreplace(to_text(E1996),""[^A-Za-z0-9]"","""")&amp;""-""&amp;Regexreplace(to_text(F1996),""[^A-Za-z0-9]"",""""))"),"NEPTRONIC-EVCBSERIES")</f>
        <v>NEPTRONIC-EVCBSERIES</v>
      </c>
    </row>
    <row r="1997" ht="30.0" customHeight="1">
      <c r="A1997" s="173">
        <v>1989.0</v>
      </c>
      <c r="B1997" s="328" t="s">
        <v>670</v>
      </c>
      <c r="C1997" s="257" t="s">
        <v>7197</v>
      </c>
      <c r="D1997" s="173" t="s">
        <v>7197</v>
      </c>
      <c r="E1997" s="174" t="s">
        <v>2861</v>
      </c>
      <c r="F1997" s="173" t="s">
        <v>2862</v>
      </c>
      <c r="G1997" s="328" t="s">
        <v>673</v>
      </c>
      <c r="H1997" s="328" t="s">
        <v>2863</v>
      </c>
      <c r="I1997" s="258" t="s">
        <v>2864</v>
      </c>
      <c r="J1997" s="259"/>
      <c r="K1997" s="260"/>
      <c r="L1997" s="359"/>
      <c r="M1997" s="359"/>
      <c r="N1997" s="173" t="s">
        <v>679</v>
      </c>
      <c r="O1997" s="173" t="s">
        <v>225</v>
      </c>
      <c r="P1997" s="262" t="str">
        <f t="shared" si="1"/>
        <v>IN-BLR-ANANTA-VAV-1569_</v>
      </c>
      <c r="Q1997" s="173" t="s">
        <v>7198</v>
      </c>
      <c r="R1997" s="328" t="str">
        <f>IFS(C1997="","",C1997="n/a","N/A",LEN(C1997),Concatenate("{",char(34),"asset",char(34),":{",char(34),"guid",char(34),":",char(34),Q1997,char(34),",",char(34),"site",char(34),":",char(34),LOWER('2-Building'!$B$4),char(34),",",char(34),"name",char(34),":",char(34),LOWER(C1997),char(34),"}}"))</f>
        <v>{"asset":{"guid":"uuid://aa3462a4-36c2-4a99-b1ed-eeb5dca2f19e","site":"in-blr-ananta","name":"vav-1569"}}</v>
      </c>
      <c r="S1997" s="360" t="s">
        <v>5516</v>
      </c>
      <c r="T1997" s="330"/>
      <c r="U1997" s="330"/>
      <c r="V1997" s="331"/>
      <c r="W1997" s="332"/>
      <c r="X1997" s="333"/>
      <c r="Y1997" s="33" t="s">
        <v>2867</v>
      </c>
      <c r="Z1997" s="258">
        <v>121569.0</v>
      </c>
      <c r="AA1997" s="333"/>
      <c r="AB1997" s="333"/>
      <c r="AC1997" s="333"/>
      <c r="AD1997" s="329"/>
      <c r="AE1997" s="331"/>
      <c r="AF1997" s="336"/>
      <c r="AG1997" s="337"/>
      <c r="AH1997" s="333"/>
      <c r="AI1997" s="333"/>
      <c r="AJ1997" s="333"/>
      <c r="AK1997" s="333"/>
      <c r="AL1997" s="333"/>
      <c r="AM1997" s="338"/>
      <c r="AN1997" s="333"/>
      <c r="AO1997" s="333"/>
      <c r="AP1997" s="333"/>
      <c r="AQ1997" s="333"/>
      <c r="AR1997" s="333"/>
      <c r="AS1997" s="333"/>
      <c r="AT1997" s="333"/>
      <c r="AU1997" s="329"/>
      <c r="AV1997" s="341"/>
      <c r="AW1997" s="269"/>
      <c r="AX1997" s="334" t="s">
        <v>2869</v>
      </c>
      <c r="AY1997" s="270" t="s">
        <v>695</v>
      </c>
      <c r="AZ1997" s="173" t="s">
        <v>5516</v>
      </c>
      <c r="BA1997" s="265">
        <v>10.0</v>
      </c>
      <c r="BB1997" s="174" t="s">
        <v>245</v>
      </c>
      <c r="BC1997" s="341"/>
      <c r="BD1997" s="308"/>
      <c r="BE1997" s="342"/>
      <c r="BF1997" s="274" t="str">
        <f>IFERROR(__xludf.DUMMYFUNCTION("LOWER(Regexreplace(to_text(E1997),""[^A-Za-z0-9]"","""")&amp;""_""&amp;Regexreplace(to_text(F1997),""[^A-Za-z0-9]"",""""))"),"neptronic_evcbseries")</f>
        <v>neptronic_evcbseries</v>
      </c>
      <c r="BG1997" s="275" t="str">
        <f>IFERROR(__xludf.DUMMYFUNCTION("upper(Regexreplace(to_text(E1997),""[^A-Za-z0-9]"","""")&amp;""-""&amp;Regexreplace(to_text(F1997),""[^A-Za-z0-9]"",""""))"),"NEPTRONIC-EVCBSERIES")</f>
        <v>NEPTRONIC-EVCBSERIES</v>
      </c>
    </row>
    <row r="1998" ht="30.0" customHeight="1">
      <c r="A1998" s="258">
        <v>1990.0</v>
      </c>
      <c r="B1998" s="328" t="s">
        <v>670</v>
      </c>
      <c r="C1998" s="257" t="s">
        <v>7199</v>
      </c>
      <c r="D1998" s="173" t="s">
        <v>7199</v>
      </c>
      <c r="E1998" s="174" t="s">
        <v>2861</v>
      </c>
      <c r="F1998" s="173" t="s">
        <v>2862</v>
      </c>
      <c r="G1998" s="328" t="s">
        <v>673</v>
      </c>
      <c r="H1998" s="328" t="s">
        <v>2863</v>
      </c>
      <c r="I1998" s="258" t="s">
        <v>2864</v>
      </c>
      <c r="J1998" s="259"/>
      <c r="K1998" s="260"/>
      <c r="L1998" s="359"/>
      <c r="M1998" s="359"/>
      <c r="N1998" s="173" t="s">
        <v>679</v>
      </c>
      <c r="O1998" s="173" t="s">
        <v>225</v>
      </c>
      <c r="P1998" s="262" t="str">
        <f t="shared" si="1"/>
        <v>IN-BLR-ANANTA-VAV-1570_</v>
      </c>
      <c r="Q1998" s="173" t="s">
        <v>7200</v>
      </c>
      <c r="R1998" s="328" t="str">
        <f>IFS(C1998="","",C1998="n/a","N/A",LEN(C1998),Concatenate("{",char(34),"asset",char(34),":{",char(34),"guid",char(34),":",char(34),Q1998,char(34),",",char(34),"site",char(34),":",char(34),LOWER('2-Building'!$B$4),char(34),",",char(34),"name",char(34),":",char(34),LOWER(C1998),char(34),"}}"))</f>
        <v>{"asset":{"guid":"uuid://6cf1ddcd-59ce-4de0-81f1-8a94d4a828fd","site":"in-blr-ananta","name":"vav-1570"}}</v>
      </c>
      <c r="S1998" s="360" t="s">
        <v>5516</v>
      </c>
      <c r="T1998" s="330"/>
      <c r="U1998" s="330"/>
      <c r="V1998" s="331"/>
      <c r="W1998" s="332"/>
      <c r="X1998" s="333"/>
      <c r="Y1998" s="33" t="s">
        <v>2867</v>
      </c>
      <c r="Z1998" s="258">
        <v>121570.0</v>
      </c>
      <c r="AA1998" s="333"/>
      <c r="AB1998" s="333"/>
      <c r="AC1998" s="333"/>
      <c r="AD1998" s="329"/>
      <c r="AE1998" s="331"/>
      <c r="AF1998" s="336"/>
      <c r="AG1998" s="337"/>
      <c r="AH1998" s="333"/>
      <c r="AI1998" s="333"/>
      <c r="AJ1998" s="333"/>
      <c r="AK1998" s="333"/>
      <c r="AL1998" s="333"/>
      <c r="AM1998" s="338"/>
      <c r="AN1998" s="333"/>
      <c r="AO1998" s="333"/>
      <c r="AP1998" s="333"/>
      <c r="AQ1998" s="333"/>
      <c r="AR1998" s="333"/>
      <c r="AS1998" s="333"/>
      <c r="AT1998" s="333"/>
      <c r="AU1998" s="329"/>
      <c r="AV1998" s="341"/>
      <c r="AW1998" s="269"/>
      <c r="AX1998" s="334" t="s">
        <v>2869</v>
      </c>
      <c r="AY1998" s="270" t="s">
        <v>695</v>
      </c>
      <c r="AZ1998" s="173" t="s">
        <v>5516</v>
      </c>
      <c r="BA1998" s="265">
        <v>10.0</v>
      </c>
      <c r="BB1998" s="174" t="s">
        <v>245</v>
      </c>
      <c r="BC1998" s="341"/>
      <c r="BD1998" s="308"/>
      <c r="BE1998" s="342"/>
      <c r="BF1998" s="274" t="str">
        <f>IFERROR(__xludf.DUMMYFUNCTION("LOWER(Regexreplace(to_text(E1998),""[^A-Za-z0-9]"","""")&amp;""_""&amp;Regexreplace(to_text(F1998),""[^A-Za-z0-9]"",""""))"),"neptronic_evcbseries")</f>
        <v>neptronic_evcbseries</v>
      </c>
      <c r="BG1998" s="275" t="str">
        <f>IFERROR(__xludf.DUMMYFUNCTION("upper(Regexreplace(to_text(E1998),""[^A-Za-z0-9]"","""")&amp;""-""&amp;Regexreplace(to_text(F1998),""[^A-Za-z0-9]"",""""))"),"NEPTRONIC-EVCBSERIES")</f>
        <v>NEPTRONIC-EVCBSERIES</v>
      </c>
    </row>
    <row r="1999" ht="30.0" customHeight="1">
      <c r="A1999" s="173">
        <v>1991.0</v>
      </c>
      <c r="B1999" s="328" t="s">
        <v>670</v>
      </c>
      <c r="C1999" s="257" t="s">
        <v>7201</v>
      </c>
      <c r="D1999" s="173" t="s">
        <v>7201</v>
      </c>
      <c r="E1999" s="174" t="s">
        <v>2861</v>
      </c>
      <c r="F1999" s="173" t="s">
        <v>2862</v>
      </c>
      <c r="G1999" s="328" t="s">
        <v>673</v>
      </c>
      <c r="H1999" s="328" t="s">
        <v>2863</v>
      </c>
      <c r="I1999" s="258" t="s">
        <v>2864</v>
      </c>
      <c r="J1999" s="259"/>
      <c r="K1999" s="260"/>
      <c r="L1999" s="359"/>
      <c r="M1999" s="359"/>
      <c r="N1999" s="173" t="s">
        <v>679</v>
      </c>
      <c r="O1999" s="173"/>
      <c r="P1999" s="262" t="str">
        <f t="shared" si="1"/>
        <v>IN-BLR-ANANTA-VAV-1571_</v>
      </c>
      <c r="Q1999" s="173" t="s">
        <v>7202</v>
      </c>
      <c r="R1999" s="328" t="str">
        <f>IFS(C1999="","",C1999="n/a","N/A",LEN(C1999),Concatenate("{",char(34),"asset",char(34),":{",char(34),"guid",char(34),":",char(34),Q1999,char(34),",",char(34),"site",char(34),":",char(34),LOWER('2-Building'!$B$4),char(34),",",char(34),"name",char(34),":",char(34),LOWER(C1999),char(34),"}}"))</f>
        <v>{"asset":{"guid":"uuid://aa9151c0-1aa8-47cc-bbf1-d8c857ff2f20","site":"in-blr-ananta","name":"vav-1571"}}</v>
      </c>
      <c r="S1999" s="360" t="s">
        <v>5516</v>
      </c>
      <c r="T1999" s="330"/>
      <c r="U1999" s="330"/>
      <c r="V1999" s="331"/>
      <c r="W1999" s="332"/>
      <c r="X1999" s="333"/>
      <c r="Y1999" s="33" t="s">
        <v>2867</v>
      </c>
      <c r="Z1999" s="258">
        <v>121571.0</v>
      </c>
      <c r="AA1999" s="333"/>
      <c r="AB1999" s="333"/>
      <c r="AC1999" s="333"/>
      <c r="AD1999" s="329"/>
      <c r="AE1999" s="331"/>
      <c r="AF1999" s="336"/>
      <c r="AG1999" s="337"/>
      <c r="AH1999" s="333"/>
      <c r="AI1999" s="333"/>
      <c r="AJ1999" s="333"/>
      <c r="AK1999" s="333"/>
      <c r="AL1999" s="333"/>
      <c r="AM1999" s="338"/>
      <c r="AN1999" s="333"/>
      <c r="AO1999" s="333"/>
      <c r="AP1999" s="333"/>
      <c r="AQ1999" s="333"/>
      <c r="AR1999" s="333"/>
      <c r="AS1999" s="333"/>
      <c r="AT1999" s="333"/>
      <c r="AU1999" s="329"/>
      <c r="AV1999" s="341"/>
      <c r="AW1999" s="269"/>
      <c r="AX1999" s="334" t="s">
        <v>2869</v>
      </c>
      <c r="AY1999" s="270" t="s">
        <v>695</v>
      </c>
      <c r="AZ1999" s="173" t="s">
        <v>5516</v>
      </c>
      <c r="BA1999" s="265">
        <v>10.0</v>
      </c>
      <c r="BB1999" s="174" t="s">
        <v>245</v>
      </c>
      <c r="BC1999" s="341"/>
      <c r="BD1999" s="308"/>
      <c r="BE1999" s="342"/>
      <c r="BF1999" s="274" t="str">
        <f>IFERROR(__xludf.DUMMYFUNCTION("LOWER(Regexreplace(to_text(E1999),""[^A-Za-z0-9]"","""")&amp;""_""&amp;Regexreplace(to_text(F1999),""[^A-Za-z0-9]"",""""))"),"neptronic_evcbseries")</f>
        <v>neptronic_evcbseries</v>
      </c>
      <c r="BG1999" s="275" t="str">
        <f>IFERROR(__xludf.DUMMYFUNCTION("upper(Regexreplace(to_text(E1999),""[^A-Za-z0-9]"","""")&amp;""-""&amp;Regexreplace(to_text(F1999),""[^A-Za-z0-9]"",""""))"),"NEPTRONIC-EVCBSERIES")</f>
        <v>NEPTRONIC-EVCBSERIES</v>
      </c>
    </row>
    <row r="2000" ht="30.0" customHeight="1">
      <c r="A2000" s="258">
        <v>1992.0</v>
      </c>
      <c r="B2000" s="328" t="s">
        <v>670</v>
      </c>
      <c r="C2000" s="257" t="s">
        <v>7203</v>
      </c>
      <c r="D2000" s="173" t="s">
        <v>7203</v>
      </c>
      <c r="E2000" s="174" t="s">
        <v>2861</v>
      </c>
      <c r="F2000" s="173" t="s">
        <v>2862</v>
      </c>
      <c r="G2000" s="328" t="s">
        <v>673</v>
      </c>
      <c r="H2000" s="328" t="s">
        <v>2863</v>
      </c>
      <c r="I2000" s="258" t="s">
        <v>2864</v>
      </c>
      <c r="J2000" s="259"/>
      <c r="K2000" s="260"/>
      <c r="L2000" s="359"/>
      <c r="M2000" s="359"/>
      <c r="N2000" s="173" t="s">
        <v>679</v>
      </c>
      <c r="O2000" s="173"/>
      <c r="P2000" s="262" t="str">
        <f t="shared" si="1"/>
        <v>IN-BLR-ANANTA-VAV-1572_</v>
      </c>
      <c r="Q2000" s="173" t="s">
        <v>7204</v>
      </c>
      <c r="R2000" s="328" t="str">
        <f>IFS(C2000="","",C2000="n/a","N/A",LEN(C2000),Concatenate("{",char(34),"asset",char(34),":{",char(34),"guid",char(34),":",char(34),Q2000,char(34),",",char(34),"site",char(34),":",char(34),LOWER('2-Building'!$B$4),char(34),",",char(34),"name",char(34),":",char(34),LOWER(C2000),char(34),"}}"))</f>
        <v>{"asset":{"guid":"uuid://1eaa98b0-e72d-40c0-8e2a-097435f4bc75","site":"in-blr-ananta","name":"vav-1572"}}</v>
      </c>
      <c r="S2000" s="360" t="s">
        <v>5516</v>
      </c>
      <c r="T2000" s="330"/>
      <c r="U2000" s="330"/>
      <c r="V2000" s="331"/>
      <c r="W2000" s="332"/>
      <c r="X2000" s="333"/>
      <c r="Y2000" s="33" t="s">
        <v>2867</v>
      </c>
      <c r="Z2000" s="258">
        <v>121572.0</v>
      </c>
      <c r="AA2000" s="333"/>
      <c r="AB2000" s="333"/>
      <c r="AC2000" s="333"/>
      <c r="AD2000" s="329"/>
      <c r="AE2000" s="331"/>
      <c r="AF2000" s="336"/>
      <c r="AG2000" s="337"/>
      <c r="AH2000" s="333"/>
      <c r="AI2000" s="333"/>
      <c r="AJ2000" s="333"/>
      <c r="AK2000" s="333"/>
      <c r="AL2000" s="333"/>
      <c r="AM2000" s="338"/>
      <c r="AN2000" s="333"/>
      <c r="AO2000" s="333"/>
      <c r="AP2000" s="333"/>
      <c r="AQ2000" s="333"/>
      <c r="AR2000" s="333"/>
      <c r="AS2000" s="333"/>
      <c r="AT2000" s="333"/>
      <c r="AU2000" s="329"/>
      <c r="AV2000" s="341"/>
      <c r="AW2000" s="269"/>
      <c r="AX2000" s="334" t="s">
        <v>2869</v>
      </c>
      <c r="AY2000" s="270" t="s">
        <v>695</v>
      </c>
      <c r="AZ2000" s="173" t="s">
        <v>5516</v>
      </c>
      <c r="BA2000" s="265">
        <v>10.0</v>
      </c>
      <c r="BB2000" s="174" t="s">
        <v>245</v>
      </c>
      <c r="BC2000" s="341"/>
      <c r="BD2000" s="308"/>
      <c r="BE2000" s="342"/>
      <c r="BF2000" s="274" t="str">
        <f>IFERROR(__xludf.DUMMYFUNCTION("LOWER(Regexreplace(to_text(E2000),""[^A-Za-z0-9]"","""")&amp;""_""&amp;Regexreplace(to_text(F2000),""[^A-Za-z0-9]"",""""))"),"neptronic_evcbseries")</f>
        <v>neptronic_evcbseries</v>
      </c>
      <c r="BG2000" s="275" t="str">
        <f>IFERROR(__xludf.DUMMYFUNCTION("upper(Regexreplace(to_text(E2000),""[^A-Za-z0-9]"","""")&amp;""-""&amp;Regexreplace(to_text(F2000),""[^A-Za-z0-9]"",""""))"),"NEPTRONIC-EVCBSERIES")</f>
        <v>NEPTRONIC-EVCBSERIES</v>
      </c>
    </row>
    <row r="2001" ht="30.0" customHeight="1">
      <c r="A2001" s="173">
        <v>1993.0</v>
      </c>
      <c r="B2001" s="328" t="s">
        <v>670</v>
      </c>
      <c r="C2001" s="257" t="s">
        <v>7205</v>
      </c>
      <c r="D2001" s="173" t="s">
        <v>7205</v>
      </c>
      <c r="E2001" s="174" t="s">
        <v>2861</v>
      </c>
      <c r="F2001" s="173" t="s">
        <v>2862</v>
      </c>
      <c r="G2001" s="328" t="s">
        <v>673</v>
      </c>
      <c r="H2001" s="328" t="s">
        <v>2863</v>
      </c>
      <c r="I2001" s="258" t="s">
        <v>2864</v>
      </c>
      <c r="J2001" s="259"/>
      <c r="K2001" s="260"/>
      <c r="L2001" s="359"/>
      <c r="M2001" s="359"/>
      <c r="N2001" s="173" t="s">
        <v>679</v>
      </c>
      <c r="O2001" s="173"/>
      <c r="P2001" s="262" t="str">
        <f t="shared" si="1"/>
        <v>IN-BLR-ANANTA-VAV-1573_</v>
      </c>
      <c r="Q2001" s="173" t="s">
        <v>7206</v>
      </c>
      <c r="R2001" s="328" t="str">
        <f>IFS(C2001="","",C2001="n/a","N/A",LEN(C2001),Concatenate("{",char(34),"asset",char(34),":{",char(34),"guid",char(34),":",char(34),Q2001,char(34),",",char(34),"site",char(34),":",char(34),LOWER('2-Building'!$B$4),char(34),",",char(34),"name",char(34),":",char(34),LOWER(C2001),char(34),"}}"))</f>
        <v>{"asset":{"guid":"uuid://b8e6d72a-053a-4fbc-b0d7-12f287d9f870","site":"in-blr-ananta","name":"vav-1573"}}</v>
      </c>
      <c r="S2001" s="360" t="s">
        <v>5516</v>
      </c>
      <c r="T2001" s="330"/>
      <c r="U2001" s="330"/>
      <c r="V2001" s="331"/>
      <c r="W2001" s="332"/>
      <c r="X2001" s="333"/>
      <c r="Y2001" s="33" t="s">
        <v>2867</v>
      </c>
      <c r="Z2001" s="258">
        <v>121573.0</v>
      </c>
      <c r="AA2001" s="333"/>
      <c r="AB2001" s="333"/>
      <c r="AC2001" s="333"/>
      <c r="AD2001" s="329"/>
      <c r="AE2001" s="331"/>
      <c r="AF2001" s="336"/>
      <c r="AG2001" s="337"/>
      <c r="AH2001" s="333"/>
      <c r="AI2001" s="333"/>
      <c r="AJ2001" s="333"/>
      <c r="AK2001" s="333"/>
      <c r="AL2001" s="333"/>
      <c r="AM2001" s="338"/>
      <c r="AN2001" s="333"/>
      <c r="AO2001" s="333"/>
      <c r="AP2001" s="333"/>
      <c r="AQ2001" s="333"/>
      <c r="AR2001" s="333"/>
      <c r="AS2001" s="333"/>
      <c r="AT2001" s="333"/>
      <c r="AU2001" s="329"/>
      <c r="AV2001" s="341"/>
      <c r="AW2001" s="269"/>
      <c r="AX2001" s="334" t="s">
        <v>2869</v>
      </c>
      <c r="AY2001" s="270" t="s">
        <v>695</v>
      </c>
      <c r="AZ2001" s="173" t="s">
        <v>5516</v>
      </c>
      <c r="BA2001" s="265">
        <v>10.0</v>
      </c>
      <c r="BB2001" s="174" t="s">
        <v>245</v>
      </c>
      <c r="BC2001" s="341"/>
      <c r="BD2001" s="308"/>
      <c r="BE2001" s="342"/>
      <c r="BF2001" s="274" t="str">
        <f>IFERROR(__xludf.DUMMYFUNCTION("LOWER(Regexreplace(to_text(E2001),""[^A-Za-z0-9]"","""")&amp;""_""&amp;Regexreplace(to_text(F2001),""[^A-Za-z0-9]"",""""))"),"neptronic_evcbseries")</f>
        <v>neptronic_evcbseries</v>
      </c>
      <c r="BG2001" s="275" t="str">
        <f>IFERROR(__xludf.DUMMYFUNCTION("upper(Regexreplace(to_text(E2001),""[^A-Za-z0-9]"","""")&amp;""-""&amp;Regexreplace(to_text(F2001),""[^A-Za-z0-9]"",""""))"),"NEPTRONIC-EVCBSERIES")</f>
        <v>NEPTRONIC-EVCBSERIES</v>
      </c>
    </row>
    <row r="2002" ht="30.0" customHeight="1">
      <c r="A2002" s="258">
        <v>1994.0</v>
      </c>
      <c r="B2002" s="328" t="s">
        <v>670</v>
      </c>
      <c r="C2002" s="257" t="s">
        <v>7207</v>
      </c>
      <c r="D2002" s="173" t="s">
        <v>7207</v>
      </c>
      <c r="E2002" s="174" t="s">
        <v>2861</v>
      </c>
      <c r="F2002" s="173" t="s">
        <v>2862</v>
      </c>
      <c r="G2002" s="328" t="s">
        <v>673</v>
      </c>
      <c r="H2002" s="328" t="s">
        <v>2863</v>
      </c>
      <c r="I2002" s="258" t="s">
        <v>2864</v>
      </c>
      <c r="J2002" s="259"/>
      <c r="K2002" s="260"/>
      <c r="L2002" s="359"/>
      <c r="M2002" s="359"/>
      <c r="N2002" s="173" t="s">
        <v>679</v>
      </c>
      <c r="O2002" s="173"/>
      <c r="P2002" s="262" t="str">
        <f t="shared" si="1"/>
        <v>IN-BLR-ANANTA-VAV-1574_</v>
      </c>
      <c r="Q2002" s="173" t="s">
        <v>7208</v>
      </c>
      <c r="R2002" s="328" t="str">
        <f>IFS(C2002="","",C2002="n/a","N/A",LEN(C2002),Concatenate("{",char(34),"asset",char(34),":{",char(34),"guid",char(34),":",char(34),Q2002,char(34),",",char(34),"site",char(34),":",char(34),LOWER('2-Building'!$B$4),char(34),",",char(34),"name",char(34),":",char(34),LOWER(C2002),char(34),"}}"))</f>
        <v>{"asset":{"guid":"uuid://8dd950dc-a6e0-4d9c-86e4-db4c906eac2f","site":"in-blr-ananta","name":"vav-1574"}}</v>
      </c>
      <c r="S2002" s="360" t="s">
        <v>5516</v>
      </c>
      <c r="T2002" s="330"/>
      <c r="U2002" s="330"/>
      <c r="V2002" s="331"/>
      <c r="W2002" s="332"/>
      <c r="X2002" s="333"/>
      <c r="Y2002" s="33" t="s">
        <v>2867</v>
      </c>
      <c r="Z2002" s="258">
        <v>121574.0</v>
      </c>
      <c r="AA2002" s="333"/>
      <c r="AB2002" s="333"/>
      <c r="AC2002" s="333"/>
      <c r="AD2002" s="329"/>
      <c r="AE2002" s="331"/>
      <c r="AF2002" s="336"/>
      <c r="AG2002" s="337"/>
      <c r="AH2002" s="333"/>
      <c r="AI2002" s="333"/>
      <c r="AJ2002" s="333"/>
      <c r="AK2002" s="333"/>
      <c r="AL2002" s="333"/>
      <c r="AM2002" s="338"/>
      <c r="AN2002" s="333"/>
      <c r="AO2002" s="333"/>
      <c r="AP2002" s="333"/>
      <c r="AQ2002" s="333"/>
      <c r="AR2002" s="333"/>
      <c r="AS2002" s="333"/>
      <c r="AT2002" s="333"/>
      <c r="AU2002" s="329"/>
      <c r="AV2002" s="341"/>
      <c r="AW2002" s="269"/>
      <c r="AX2002" s="334" t="s">
        <v>2869</v>
      </c>
      <c r="AY2002" s="270" t="s">
        <v>695</v>
      </c>
      <c r="AZ2002" s="173" t="s">
        <v>5516</v>
      </c>
      <c r="BA2002" s="265">
        <v>10.0</v>
      </c>
      <c r="BB2002" s="174" t="s">
        <v>245</v>
      </c>
      <c r="BC2002" s="341"/>
      <c r="BD2002" s="308"/>
      <c r="BE2002" s="342"/>
      <c r="BF2002" s="274" t="str">
        <f>IFERROR(__xludf.DUMMYFUNCTION("LOWER(Regexreplace(to_text(E2002),""[^A-Za-z0-9]"","""")&amp;""_""&amp;Regexreplace(to_text(F2002),""[^A-Za-z0-9]"",""""))"),"neptronic_evcbseries")</f>
        <v>neptronic_evcbseries</v>
      </c>
      <c r="BG2002" s="275" t="str">
        <f>IFERROR(__xludf.DUMMYFUNCTION("upper(Regexreplace(to_text(E2002),""[^A-Za-z0-9]"","""")&amp;""-""&amp;Regexreplace(to_text(F2002),""[^A-Za-z0-9]"",""""))"),"NEPTRONIC-EVCBSERIES")</f>
        <v>NEPTRONIC-EVCBSERIES</v>
      </c>
    </row>
    <row r="2003" ht="30.0" customHeight="1">
      <c r="A2003" s="173">
        <v>1995.0</v>
      </c>
      <c r="B2003" s="328" t="s">
        <v>670</v>
      </c>
      <c r="C2003" s="257" t="s">
        <v>7209</v>
      </c>
      <c r="D2003" s="173" t="s">
        <v>7209</v>
      </c>
      <c r="E2003" s="174" t="s">
        <v>2861</v>
      </c>
      <c r="F2003" s="173" t="s">
        <v>2862</v>
      </c>
      <c r="G2003" s="328" t="s">
        <v>673</v>
      </c>
      <c r="H2003" s="328" t="s">
        <v>2863</v>
      </c>
      <c r="I2003" s="258" t="s">
        <v>2864</v>
      </c>
      <c r="J2003" s="259"/>
      <c r="K2003" s="260"/>
      <c r="L2003" s="359"/>
      <c r="M2003" s="359"/>
      <c r="N2003" s="173" t="s">
        <v>679</v>
      </c>
      <c r="O2003" s="173"/>
      <c r="P2003" s="262" t="str">
        <f t="shared" si="1"/>
        <v>IN-BLR-ANANTA-VAV-1575_</v>
      </c>
      <c r="Q2003" s="173" t="s">
        <v>7210</v>
      </c>
      <c r="R2003" s="328" t="str">
        <f>IFS(C2003="","",C2003="n/a","N/A",LEN(C2003),Concatenate("{",char(34),"asset",char(34),":{",char(34),"guid",char(34),":",char(34),Q2003,char(34),",",char(34),"site",char(34),":",char(34),LOWER('2-Building'!$B$4),char(34),",",char(34),"name",char(34),":",char(34),LOWER(C2003),char(34),"}}"))</f>
        <v>{"asset":{"guid":"uuid://282c898e-9c1d-41c1-a93c-626334911f5d","site":"in-blr-ananta","name":"vav-1575"}}</v>
      </c>
      <c r="S2003" s="360" t="s">
        <v>5516</v>
      </c>
      <c r="T2003" s="330"/>
      <c r="U2003" s="330"/>
      <c r="V2003" s="331"/>
      <c r="W2003" s="332"/>
      <c r="X2003" s="333"/>
      <c r="Y2003" s="33" t="s">
        <v>2867</v>
      </c>
      <c r="Z2003" s="258">
        <v>121575.0</v>
      </c>
      <c r="AA2003" s="333"/>
      <c r="AB2003" s="333"/>
      <c r="AC2003" s="333"/>
      <c r="AD2003" s="329"/>
      <c r="AE2003" s="331"/>
      <c r="AF2003" s="336"/>
      <c r="AG2003" s="337"/>
      <c r="AH2003" s="333"/>
      <c r="AI2003" s="333"/>
      <c r="AJ2003" s="333"/>
      <c r="AK2003" s="333"/>
      <c r="AL2003" s="333"/>
      <c r="AM2003" s="338"/>
      <c r="AN2003" s="333"/>
      <c r="AO2003" s="333"/>
      <c r="AP2003" s="333"/>
      <c r="AQ2003" s="333"/>
      <c r="AR2003" s="333"/>
      <c r="AS2003" s="333"/>
      <c r="AT2003" s="333"/>
      <c r="AU2003" s="329"/>
      <c r="AV2003" s="341"/>
      <c r="AW2003" s="269"/>
      <c r="AX2003" s="334" t="s">
        <v>2869</v>
      </c>
      <c r="AY2003" s="270" t="s">
        <v>695</v>
      </c>
      <c r="AZ2003" s="173" t="s">
        <v>5516</v>
      </c>
      <c r="BA2003" s="265">
        <v>10.0</v>
      </c>
      <c r="BB2003" s="174" t="s">
        <v>245</v>
      </c>
      <c r="BC2003" s="341"/>
      <c r="BD2003" s="308"/>
      <c r="BE2003" s="342"/>
      <c r="BF2003" s="274" t="str">
        <f>IFERROR(__xludf.DUMMYFUNCTION("LOWER(Regexreplace(to_text(E2003),""[^A-Za-z0-9]"","""")&amp;""_""&amp;Regexreplace(to_text(F2003),""[^A-Za-z0-9]"",""""))"),"neptronic_evcbseries")</f>
        <v>neptronic_evcbseries</v>
      </c>
      <c r="BG2003" s="275" t="str">
        <f>IFERROR(__xludf.DUMMYFUNCTION("upper(Regexreplace(to_text(E2003),""[^A-Za-z0-9]"","""")&amp;""-""&amp;Regexreplace(to_text(F2003),""[^A-Za-z0-9]"",""""))"),"NEPTRONIC-EVCBSERIES")</f>
        <v>NEPTRONIC-EVCBSERIES</v>
      </c>
    </row>
    <row r="2004" ht="30.0" customHeight="1">
      <c r="A2004" s="258">
        <v>1996.0</v>
      </c>
      <c r="B2004" s="328" t="s">
        <v>670</v>
      </c>
      <c r="C2004" s="257" t="s">
        <v>7211</v>
      </c>
      <c r="D2004" s="173" t="s">
        <v>7211</v>
      </c>
      <c r="E2004" s="174" t="s">
        <v>2861</v>
      </c>
      <c r="F2004" s="173" t="s">
        <v>2862</v>
      </c>
      <c r="G2004" s="328" t="s">
        <v>673</v>
      </c>
      <c r="H2004" s="328" t="s">
        <v>2863</v>
      </c>
      <c r="I2004" s="258" t="s">
        <v>2864</v>
      </c>
      <c r="J2004" s="259"/>
      <c r="K2004" s="260"/>
      <c r="L2004" s="359"/>
      <c r="M2004" s="359"/>
      <c r="N2004" s="173" t="s">
        <v>679</v>
      </c>
      <c r="O2004" s="173"/>
      <c r="P2004" s="262" t="str">
        <f t="shared" si="1"/>
        <v>IN-BLR-ANANTA-VAV-1576_</v>
      </c>
      <c r="Q2004" s="173" t="s">
        <v>7212</v>
      </c>
      <c r="R2004" s="328" t="str">
        <f>IFS(C2004="","",C2004="n/a","N/A",LEN(C2004),Concatenate("{",char(34),"asset",char(34),":{",char(34),"guid",char(34),":",char(34),Q2004,char(34),",",char(34),"site",char(34),":",char(34),LOWER('2-Building'!$B$4),char(34),",",char(34),"name",char(34),":",char(34),LOWER(C2004),char(34),"}}"))</f>
        <v>{"asset":{"guid":"uuid://359d5839-d23b-4fe0-a773-7db73434cba5","site":"in-blr-ananta","name":"vav-1576"}}</v>
      </c>
      <c r="S2004" s="360" t="s">
        <v>5516</v>
      </c>
      <c r="T2004" s="330"/>
      <c r="U2004" s="330"/>
      <c r="V2004" s="331"/>
      <c r="W2004" s="332"/>
      <c r="X2004" s="333"/>
      <c r="Y2004" s="33" t="s">
        <v>2867</v>
      </c>
      <c r="Z2004" s="258">
        <v>121576.0</v>
      </c>
      <c r="AA2004" s="333"/>
      <c r="AB2004" s="333"/>
      <c r="AC2004" s="333"/>
      <c r="AD2004" s="329"/>
      <c r="AE2004" s="331"/>
      <c r="AF2004" s="336"/>
      <c r="AG2004" s="337"/>
      <c r="AH2004" s="333"/>
      <c r="AI2004" s="333"/>
      <c r="AJ2004" s="333"/>
      <c r="AK2004" s="333"/>
      <c r="AL2004" s="333"/>
      <c r="AM2004" s="338"/>
      <c r="AN2004" s="333"/>
      <c r="AO2004" s="333"/>
      <c r="AP2004" s="333"/>
      <c r="AQ2004" s="333"/>
      <c r="AR2004" s="333"/>
      <c r="AS2004" s="333"/>
      <c r="AT2004" s="333"/>
      <c r="AU2004" s="329"/>
      <c r="AV2004" s="341"/>
      <c r="AW2004" s="269"/>
      <c r="AX2004" s="334" t="s">
        <v>2869</v>
      </c>
      <c r="AY2004" s="270" t="s">
        <v>695</v>
      </c>
      <c r="AZ2004" s="173" t="s">
        <v>5516</v>
      </c>
      <c r="BA2004" s="265">
        <v>10.0</v>
      </c>
      <c r="BB2004" s="174" t="s">
        <v>245</v>
      </c>
      <c r="BC2004" s="341"/>
      <c r="BD2004" s="308"/>
      <c r="BE2004" s="342"/>
      <c r="BF2004" s="274" t="str">
        <f>IFERROR(__xludf.DUMMYFUNCTION("LOWER(Regexreplace(to_text(E2004),""[^A-Za-z0-9]"","""")&amp;""_""&amp;Regexreplace(to_text(F2004),""[^A-Za-z0-9]"",""""))"),"neptronic_evcbseries")</f>
        <v>neptronic_evcbseries</v>
      </c>
      <c r="BG2004" s="275" t="str">
        <f>IFERROR(__xludf.DUMMYFUNCTION("upper(Regexreplace(to_text(E2004),""[^A-Za-z0-9]"","""")&amp;""-""&amp;Regexreplace(to_text(F2004),""[^A-Za-z0-9]"",""""))"),"NEPTRONIC-EVCBSERIES")</f>
        <v>NEPTRONIC-EVCBSERIES</v>
      </c>
    </row>
    <row r="2005" ht="30.0" customHeight="1">
      <c r="A2005" s="173">
        <v>1997.0</v>
      </c>
      <c r="B2005" s="328" t="s">
        <v>670</v>
      </c>
      <c r="C2005" s="257" t="s">
        <v>7213</v>
      </c>
      <c r="D2005" s="173" t="s">
        <v>7213</v>
      </c>
      <c r="E2005" s="174" t="s">
        <v>2861</v>
      </c>
      <c r="F2005" s="173" t="s">
        <v>2862</v>
      </c>
      <c r="G2005" s="328" t="s">
        <v>673</v>
      </c>
      <c r="H2005" s="328" t="s">
        <v>2863</v>
      </c>
      <c r="I2005" s="258" t="s">
        <v>2864</v>
      </c>
      <c r="J2005" s="259"/>
      <c r="K2005" s="260"/>
      <c r="L2005" s="359"/>
      <c r="M2005" s="359"/>
      <c r="N2005" s="173" t="s">
        <v>679</v>
      </c>
      <c r="O2005" s="173"/>
      <c r="P2005" s="262" t="str">
        <f t="shared" si="1"/>
        <v>IN-BLR-ANANTA-VAV-1577_</v>
      </c>
      <c r="Q2005" s="173" t="s">
        <v>7214</v>
      </c>
      <c r="R2005" s="328" t="str">
        <f>IFS(C2005="","",C2005="n/a","N/A",LEN(C2005),Concatenate("{",char(34),"asset",char(34),":{",char(34),"guid",char(34),":",char(34),Q2005,char(34),",",char(34),"site",char(34),":",char(34),LOWER('2-Building'!$B$4),char(34),",",char(34),"name",char(34),":",char(34),LOWER(C2005),char(34),"}}"))</f>
        <v>{"asset":{"guid":"uuid://4c9ba00b-dee6-4842-a945-695eabcfdb98","site":"in-blr-ananta","name":"vav-1577"}}</v>
      </c>
      <c r="S2005" s="360" t="s">
        <v>5516</v>
      </c>
      <c r="T2005" s="330"/>
      <c r="U2005" s="330"/>
      <c r="V2005" s="331"/>
      <c r="W2005" s="332"/>
      <c r="X2005" s="333"/>
      <c r="Y2005" s="33" t="s">
        <v>2867</v>
      </c>
      <c r="Z2005" s="258">
        <v>121577.0</v>
      </c>
      <c r="AA2005" s="333"/>
      <c r="AB2005" s="333"/>
      <c r="AC2005" s="333"/>
      <c r="AD2005" s="329"/>
      <c r="AE2005" s="331"/>
      <c r="AF2005" s="336"/>
      <c r="AG2005" s="337"/>
      <c r="AH2005" s="333"/>
      <c r="AI2005" s="333"/>
      <c r="AJ2005" s="333"/>
      <c r="AK2005" s="333"/>
      <c r="AL2005" s="333"/>
      <c r="AM2005" s="338"/>
      <c r="AN2005" s="333"/>
      <c r="AO2005" s="333"/>
      <c r="AP2005" s="333"/>
      <c r="AQ2005" s="333"/>
      <c r="AR2005" s="333"/>
      <c r="AS2005" s="333"/>
      <c r="AT2005" s="333"/>
      <c r="AU2005" s="329"/>
      <c r="AV2005" s="341"/>
      <c r="AW2005" s="269"/>
      <c r="AX2005" s="334" t="s">
        <v>2869</v>
      </c>
      <c r="AY2005" s="270" t="s">
        <v>695</v>
      </c>
      <c r="AZ2005" s="173" t="s">
        <v>5516</v>
      </c>
      <c r="BA2005" s="265">
        <v>10.0</v>
      </c>
      <c r="BB2005" s="174" t="s">
        <v>245</v>
      </c>
      <c r="BC2005" s="341"/>
      <c r="BD2005" s="308"/>
      <c r="BE2005" s="342"/>
      <c r="BF2005" s="274" t="str">
        <f>IFERROR(__xludf.DUMMYFUNCTION("LOWER(Regexreplace(to_text(E2005),""[^A-Za-z0-9]"","""")&amp;""_""&amp;Regexreplace(to_text(F2005),""[^A-Za-z0-9]"",""""))"),"neptronic_evcbseries")</f>
        <v>neptronic_evcbseries</v>
      </c>
      <c r="BG2005" s="275" t="str">
        <f>IFERROR(__xludf.DUMMYFUNCTION("upper(Regexreplace(to_text(E2005),""[^A-Za-z0-9]"","""")&amp;""-""&amp;Regexreplace(to_text(F2005),""[^A-Za-z0-9]"",""""))"),"NEPTRONIC-EVCBSERIES")</f>
        <v>NEPTRONIC-EVCBSERIES</v>
      </c>
    </row>
    <row r="2006" ht="30.0" customHeight="1">
      <c r="A2006" s="258">
        <v>1998.0</v>
      </c>
      <c r="B2006" s="328" t="s">
        <v>670</v>
      </c>
      <c r="C2006" s="257" t="s">
        <v>7215</v>
      </c>
      <c r="D2006" s="173" t="s">
        <v>7215</v>
      </c>
      <c r="E2006" s="174" t="s">
        <v>2861</v>
      </c>
      <c r="F2006" s="173" t="s">
        <v>2862</v>
      </c>
      <c r="G2006" s="328" t="s">
        <v>673</v>
      </c>
      <c r="H2006" s="328" t="s">
        <v>2863</v>
      </c>
      <c r="I2006" s="258" t="s">
        <v>2864</v>
      </c>
      <c r="J2006" s="259"/>
      <c r="K2006" s="260"/>
      <c r="L2006" s="359"/>
      <c r="M2006" s="359"/>
      <c r="N2006" s="173" t="s">
        <v>679</v>
      </c>
      <c r="O2006" s="173"/>
      <c r="P2006" s="262" t="str">
        <f t="shared" si="1"/>
        <v>IN-BLR-ANANTA-VAV-1578_</v>
      </c>
      <c r="Q2006" s="173" t="s">
        <v>7216</v>
      </c>
      <c r="R2006" s="328" t="str">
        <f>IFS(C2006="","",C2006="n/a","N/A",LEN(C2006),Concatenate("{",char(34),"asset",char(34),":{",char(34),"guid",char(34),":",char(34),Q2006,char(34),",",char(34),"site",char(34),":",char(34),LOWER('2-Building'!$B$4),char(34),",",char(34),"name",char(34),":",char(34),LOWER(C2006),char(34),"}}"))</f>
        <v>{"asset":{"guid":"uuid://831e4230-1cd3-419d-afd9-cc1ef47c0403","site":"in-blr-ananta","name":"vav-1578"}}</v>
      </c>
      <c r="S2006" s="360" t="s">
        <v>5516</v>
      </c>
      <c r="T2006" s="330"/>
      <c r="U2006" s="330"/>
      <c r="V2006" s="331"/>
      <c r="W2006" s="332"/>
      <c r="X2006" s="333"/>
      <c r="Y2006" s="33" t="s">
        <v>2867</v>
      </c>
      <c r="Z2006" s="258">
        <v>121578.0</v>
      </c>
      <c r="AA2006" s="333"/>
      <c r="AB2006" s="333"/>
      <c r="AC2006" s="333"/>
      <c r="AD2006" s="329"/>
      <c r="AE2006" s="331"/>
      <c r="AF2006" s="336"/>
      <c r="AG2006" s="337"/>
      <c r="AH2006" s="333"/>
      <c r="AI2006" s="333"/>
      <c r="AJ2006" s="333"/>
      <c r="AK2006" s="333"/>
      <c r="AL2006" s="333"/>
      <c r="AM2006" s="338"/>
      <c r="AN2006" s="333"/>
      <c r="AO2006" s="333"/>
      <c r="AP2006" s="333"/>
      <c r="AQ2006" s="333"/>
      <c r="AR2006" s="333"/>
      <c r="AS2006" s="333"/>
      <c r="AT2006" s="333"/>
      <c r="AU2006" s="329"/>
      <c r="AV2006" s="341"/>
      <c r="AW2006" s="269"/>
      <c r="AX2006" s="334" t="s">
        <v>2869</v>
      </c>
      <c r="AY2006" s="270" t="s">
        <v>695</v>
      </c>
      <c r="AZ2006" s="173" t="s">
        <v>5516</v>
      </c>
      <c r="BA2006" s="265">
        <v>10.0</v>
      </c>
      <c r="BB2006" s="174" t="s">
        <v>245</v>
      </c>
      <c r="BC2006" s="341"/>
      <c r="BD2006" s="308"/>
      <c r="BE2006" s="342"/>
      <c r="BF2006" s="274" t="str">
        <f>IFERROR(__xludf.DUMMYFUNCTION("LOWER(Regexreplace(to_text(E2006),""[^A-Za-z0-9]"","""")&amp;""_""&amp;Regexreplace(to_text(F2006),""[^A-Za-z0-9]"",""""))"),"neptronic_evcbseries")</f>
        <v>neptronic_evcbseries</v>
      </c>
      <c r="BG2006" s="275" t="str">
        <f>IFERROR(__xludf.DUMMYFUNCTION("upper(Regexreplace(to_text(E2006),""[^A-Za-z0-9]"","""")&amp;""-""&amp;Regexreplace(to_text(F2006),""[^A-Za-z0-9]"",""""))"),"NEPTRONIC-EVCBSERIES")</f>
        <v>NEPTRONIC-EVCBSERIES</v>
      </c>
    </row>
    <row r="2007" ht="30.0" customHeight="1">
      <c r="A2007" s="173">
        <v>1999.0</v>
      </c>
      <c r="B2007" s="328" t="s">
        <v>670</v>
      </c>
      <c r="C2007" s="257" t="s">
        <v>7217</v>
      </c>
      <c r="D2007" s="173" t="s">
        <v>7217</v>
      </c>
      <c r="E2007" s="174" t="s">
        <v>2861</v>
      </c>
      <c r="F2007" s="173" t="s">
        <v>2862</v>
      </c>
      <c r="G2007" s="328" t="s">
        <v>673</v>
      </c>
      <c r="H2007" s="328" t="s">
        <v>2863</v>
      </c>
      <c r="I2007" s="258" t="s">
        <v>2864</v>
      </c>
      <c r="J2007" s="259"/>
      <c r="K2007" s="260"/>
      <c r="L2007" s="359"/>
      <c r="M2007" s="359"/>
      <c r="N2007" s="173" t="s">
        <v>679</v>
      </c>
      <c r="O2007" s="173"/>
      <c r="P2007" s="262" t="str">
        <f t="shared" si="1"/>
        <v>IN-BLR-ANANTA-VAV-1579_</v>
      </c>
      <c r="Q2007" s="173" t="s">
        <v>7218</v>
      </c>
      <c r="R2007" s="328" t="str">
        <f>IFS(C2007="","",C2007="n/a","N/A",LEN(C2007),Concatenate("{",char(34),"asset",char(34),":{",char(34),"guid",char(34),":",char(34),Q2007,char(34),",",char(34),"site",char(34),":",char(34),LOWER('2-Building'!$B$4),char(34),",",char(34),"name",char(34),":",char(34),LOWER(C2007),char(34),"}}"))</f>
        <v>{"asset":{"guid":"uuid://7794382b-ffec-4acd-820f-beeb98bec46a","site":"in-blr-ananta","name":"vav-1579"}}</v>
      </c>
      <c r="S2007" s="360" t="s">
        <v>5516</v>
      </c>
      <c r="T2007" s="330"/>
      <c r="U2007" s="330"/>
      <c r="V2007" s="331"/>
      <c r="W2007" s="332"/>
      <c r="X2007" s="333"/>
      <c r="Y2007" s="33" t="s">
        <v>2867</v>
      </c>
      <c r="Z2007" s="258">
        <v>121579.0</v>
      </c>
      <c r="AA2007" s="333"/>
      <c r="AB2007" s="333"/>
      <c r="AC2007" s="333"/>
      <c r="AD2007" s="329"/>
      <c r="AE2007" s="331"/>
      <c r="AF2007" s="336"/>
      <c r="AG2007" s="337"/>
      <c r="AH2007" s="333"/>
      <c r="AI2007" s="333"/>
      <c r="AJ2007" s="333"/>
      <c r="AK2007" s="333"/>
      <c r="AL2007" s="333"/>
      <c r="AM2007" s="338"/>
      <c r="AN2007" s="333"/>
      <c r="AO2007" s="333"/>
      <c r="AP2007" s="333"/>
      <c r="AQ2007" s="333"/>
      <c r="AR2007" s="333"/>
      <c r="AS2007" s="333"/>
      <c r="AT2007" s="333"/>
      <c r="AU2007" s="329"/>
      <c r="AV2007" s="341"/>
      <c r="AW2007" s="269"/>
      <c r="AX2007" s="334" t="s">
        <v>2869</v>
      </c>
      <c r="AY2007" s="270" t="s">
        <v>695</v>
      </c>
      <c r="AZ2007" s="173" t="s">
        <v>5516</v>
      </c>
      <c r="BA2007" s="265">
        <v>10.0</v>
      </c>
      <c r="BB2007" s="174" t="s">
        <v>245</v>
      </c>
      <c r="BC2007" s="341"/>
      <c r="BD2007" s="308"/>
      <c r="BE2007" s="342"/>
      <c r="BF2007" s="274" t="str">
        <f>IFERROR(__xludf.DUMMYFUNCTION("LOWER(Regexreplace(to_text(E2007),""[^A-Za-z0-9]"","""")&amp;""_""&amp;Regexreplace(to_text(F2007),""[^A-Za-z0-9]"",""""))"),"neptronic_evcbseries")</f>
        <v>neptronic_evcbseries</v>
      </c>
      <c r="BG2007" s="275" t="str">
        <f>IFERROR(__xludf.DUMMYFUNCTION("upper(Regexreplace(to_text(E2007),""[^A-Za-z0-9]"","""")&amp;""-""&amp;Regexreplace(to_text(F2007),""[^A-Za-z0-9]"",""""))"),"NEPTRONIC-EVCBSERIES")</f>
        <v>NEPTRONIC-EVCBSERIES</v>
      </c>
    </row>
    <row r="2008" ht="30.0" customHeight="1">
      <c r="A2008" s="258">
        <v>2000.0</v>
      </c>
      <c r="B2008" s="328" t="s">
        <v>670</v>
      </c>
      <c r="C2008" s="257" t="s">
        <v>7219</v>
      </c>
      <c r="D2008" s="173" t="s">
        <v>7219</v>
      </c>
      <c r="E2008" s="174" t="s">
        <v>2861</v>
      </c>
      <c r="F2008" s="173" t="s">
        <v>2862</v>
      </c>
      <c r="G2008" s="328" t="s">
        <v>673</v>
      </c>
      <c r="H2008" s="328" t="s">
        <v>2863</v>
      </c>
      <c r="I2008" s="258" t="s">
        <v>2864</v>
      </c>
      <c r="J2008" s="259"/>
      <c r="K2008" s="260"/>
      <c r="L2008" s="359"/>
      <c r="M2008" s="359"/>
      <c r="N2008" s="173" t="s">
        <v>679</v>
      </c>
      <c r="O2008" s="173"/>
      <c r="P2008" s="262" t="str">
        <f t="shared" si="1"/>
        <v>IN-BLR-ANANTA-VAV-1580_</v>
      </c>
      <c r="Q2008" s="173" t="s">
        <v>7220</v>
      </c>
      <c r="R2008" s="328" t="str">
        <f>IFS(C2008="","",C2008="n/a","N/A",LEN(C2008),Concatenate("{",char(34),"asset",char(34),":{",char(34),"guid",char(34),":",char(34),Q2008,char(34),",",char(34),"site",char(34),":",char(34),LOWER('2-Building'!$B$4),char(34),",",char(34),"name",char(34),":",char(34),LOWER(C2008),char(34),"}}"))</f>
        <v>{"asset":{"guid":"uuid://3d08fef1-89b4-4a5d-8192-9838fa36edcf","site":"in-blr-ananta","name":"vav-1580"}}</v>
      </c>
      <c r="S2008" s="360" t="s">
        <v>5516</v>
      </c>
      <c r="T2008" s="330"/>
      <c r="U2008" s="330"/>
      <c r="V2008" s="331"/>
      <c r="W2008" s="332"/>
      <c r="X2008" s="333"/>
      <c r="Y2008" s="33" t="s">
        <v>2867</v>
      </c>
      <c r="Z2008" s="258">
        <v>121580.0</v>
      </c>
      <c r="AA2008" s="333"/>
      <c r="AB2008" s="333"/>
      <c r="AC2008" s="333"/>
      <c r="AD2008" s="329"/>
      <c r="AE2008" s="331"/>
      <c r="AF2008" s="336"/>
      <c r="AG2008" s="337"/>
      <c r="AH2008" s="333"/>
      <c r="AI2008" s="333"/>
      <c r="AJ2008" s="333"/>
      <c r="AK2008" s="333"/>
      <c r="AL2008" s="333"/>
      <c r="AM2008" s="338"/>
      <c r="AN2008" s="333"/>
      <c r="AO2008" s="333"/>
      <c r="AP2008" s="333"/>
      <c r="AQ2008" s="333"/>
      <c r="AR2008" s="333"/>
      <c r="AS2008" s="333"/>
      <c r="AT2008" s="333"/>
      <c r="AU2008" s="329"/>
      <c r="AV2008" s="341"/>
      <c r="AW2008" s="269"/>
      <c r="AX2008" s="334" t="s">
        <v>2869</v>
      </c>
      <c r="AY2008" s="270" t="s">
        <v>695</v>
      </c>
      <c r="AZ2008" s="173" t="s">
        <v>5516</v>
      </c>
      <c r="BA2008" s="265">
        <v>10.0</v>
      </c>
      <c r="BB2008" s="174" t="s">
        <v>245</v>
      </c>
      <c r="BC2008" s="341"/>
      <c r="BD2008" s="308"/>
      <c r="BE2008" s="342"/>
      <c r="BF2008" s="274" t="str">
        <f>IFERROR(__xludf.DUMMYFUNCTION("LOWER(Regexreplace(to_text(E2008),""[^A-Za-z0-9]"","""")&amp;""_""&amp;Regexreplace(to_text(F2008),""[^A-Za-z0-9]"",""""))"),"neptronic_evcbseries")</f>
        <v>neptronic_evcbseries</v>
      </c>
      <c r="BG2008" s="275" t="str">
        <f>IFERROR(__xludf.DUMMYFUNCTION("upper(Regexreplace(to_text(E2008),""[^A-Za-z0-9]"","""")&amp;""-""&amp;Regexreplace(to_text(F2008),""[^A-Za-z0-9]"",""""))"),"NEPTRONIC-EVCBSERIES")</f>
        <v>NEPTRONIC-EVCBSERIES</v>
      </c>
    </row>
    <row r="2009" ht="30.0" customHeight="1">
      <c r="A2009" s="173">
        <v>2001.0</v>
      </c>
      <c r="B2009" s="328" t="s">
        <v>670</v>
      </c>
      <c r="C2009" s="257" t="s">
        <v>7221</v>
      </c>
      <c r="D2009" s="173" t="s">
        <v>7221</v>
      </c>
      <c r="E2009" s="174" t="s">
        <v>2861</v>
      </c>
      <c r="F2009" s="173" t="s">
        <v>2862</v>
      </c>
      <c r="G2009" s="328" t="s">
        <v>673</v>
      </c>
      <c r="H2009" s="328" t="s">
        <v>2863</v>
      </c>
      <c r="I2009" s="258" t="s">
        <v>2864</v>
      </c>
      <c r="J2009" s="259"/>
      <c r="K2009" s="260"/>
      <c r="L2009" s="359"/>
      <c r="M2009" s="359"/>
      <c r="N2009" s="173" t="s">
        <v>679</v>
      </c>
      <c r="O2009" s="173"/>
      <c r="P2009" s="262" t="str">
        <f t="shared" si="1"/>
        <v>IN-BLR-ANANTA-VAV-1581_</v>
      </c>
      <c r="Q2009" s="173" t="s">
        <v>7222</v>
      </c>
      <c r="R2009" s="328" t="str">
        <f>IFS(C2009="","",C2009="n/a","N/A",LEN(C2009),Concatenate("{",char(34),"asset",char(34),":{",char(34),"guid",char(34),":",char(34),Q2009,char(34),",",char(34),"site",char(34),":",char(34),LOWER('2-Building'!$B$4),char(34),",",char(34),"name",char(34),":",char(34),LOWER(C2009),char(34),"}}"))</f>
        <v>{"asset":{"guid":"uuid://876e3740-77ea-4ccb-8210-b67c40453f9d","site":"in-blr-ananta","name":"vav-1581"}}</v>
      </c>
      <c r="S2009" s="360" t="s">
        <v>5516</v>
      </c>
      <c r="T2009" s="330"/>
      <c r="U2009" s="330"/>
      <c r="V2009" s="331"/>
      <c r="W2009" s="332"/>
      <c r="X2009" s="333"/>
      <c r="Y2009" s="33" t="s">
        <v>2867</v>
      </c>
      <c r="Z2009" s="258">
        <v>121581.0</v>
      </c>
      <c r="AA2009" s="333"/>
      <c r="AB2009" s="333"/>
      <c r="AC2009" s="333"/>
      <c r="AD2009" s="329"/>
      <c r="AE2009" s="331"/>
      <c r="AF2009" s="336"/>
      <c r="AG2009" s="337"/>
      <c r="AH2009" s="333"/>
      <c r="AI2009" s="333"/>
      <c r="AJ2009" s="333"/>
      <c r="AK2009" s="333"/>
      <c r="AL2009" s="333"/>
      <c r="AM2009" s="338"/>
      <c r="AN2009" s="333"/>
      <c r="AO2009" s="333"/>
      <c r="AP2009" s="333"/>
      <c r="AQ2009" s="333"/>
      <c r="AR2009" s="333"/>
      <c r="AS2009" s="333"/>
      <c r="AT2009" s="333"/>
      <c r="AU2009" s="329"/>
      <c r="AV2009" s="341"/>
      <c r="AW2009" s="269"/>
      <c r="AX2009" s="334" t="s">
        <v>2869</v>
      </c>
      <c r="AY2009" s="270" t="s">
        <v>695</v>
      </c>
      <c r="AZ2009" s="173" t="s">
        <v>5516</v>
      </c>
      <c r="BA2009" s="265">
        <v>10.0</v>
      </c>
      <c r="BB2009" s="174" t="s">
        <v>245</v>
      </c>
      <c r="BC2009" s="341"/>
      <c r="BD2009" s="308"/>
      <c r="BE2009" s="342"/>
      <c r="BF2009" s="274" t="str">
        <f>IFERROR(__xludf.DUMMYFUNCTION("LOWER(Regexreplace(to_text(E2009),""[^A-Za-z0-9]"","""")&amp;""_""&amp;Regexreplace(to_text(F2009),""[^A-Za-z0-9]"",""""))"),"neptronic_evcbseries")</f>
        <v>neptronic_evcbseries</v>
      </c>
      <c r="BG2009" s="275" t="str">
        <f>IFERROR(__xludf.DUMMYFUNCTION("upper(Regexreplace(to_text(E2009),""[^A-Za-z0-9]"","""")&amp;""-""&amp;Regexreplace(to_text(F2009),""[^A-Za-z0-9]"",""""))"),"NEPTRONIC-EVCBSERIES")</f>
        <v>NEPTRONIC-EVCBSERIES</v>
      </c>
    </row>
    <row r="2010" ht="30.0" customHeight="1">
      <c r="A2010" s="258">
        <v>2002.0</v>
      </c>
      <c r="B2010" s="328" t="s">
        <v>670</v>
      </c>
      <c r="C2010" s="257" t="s">
        <v>7223</v>
      </c>
      <c r="D2010" s="173" t="s">
        <v>7223</v>
      </c>
      <c r="E2010" s="174" t="s">
        <v>2861</v>
      </c>
      <c r="F2010" s="173" t="s">
        <v>2862</v>
      </c>
      <c r="G2010" s="328" t="s">
        <v>673</v>
      </c>
      <c r="H2010" s="328" t="s">
        <v>2863</v>
      </c>
      <c r="I2010" s="258" t="s">
        <v>2864</v>
      </c>
      <c r="J2010" s="259"/>
      <c r="K2010" s="260"/>
      <c r="L2010" s="359"/>
      <c r="M2010" s="359"/>
      <c r="N2010" s="173" t="s">
        <v>679</v>
      </c>
      <c r="O2010" s="173"/>
      <c r="P2010" s="262" t="str">
        <f t="shared" si="1"/>
        <v>IN-BLR-ANANTA-VAV-1582_</v>
      </c>
      <c r="Q2010" s="173" t="s">
        <v>7224</v>
      </c>
      <c r="R2010" s="328" t="str">
        <f>IFS(C2010="","",C2010="n/a","N/A",LEN(C2010),Concatenate("{",char(34),"asset",char(34),":{",char(34),"guid",char(34),":",char(34),Q2010,char(34),",",char(34),"site",char(34),":",char(34),LOWER('2-Building'!$B$4),char(34),",",char(34),"name",char(34),":",char(34),LOWER(C2010),char(34),"}}"))</f>
        <v>{"asset":{"guid":"uuid://cfb70d64-cc1d-4d59-b910-d2fac3448440","site":"in-blr-ananta","name":"vav-1582"}}</v>
      </c>
      <c r="S2010" s="360" t="s">
        <v>5516</v>
      </c>
      <c r="T2010" s="330"/>
      <c r="U2010" s="330"/>
      <c r="V2010" s="331"/>
      <c r="W2010" s="332"/>
      <c r="X2010" s="333"/>
      <c r="Y2010" s="33" t="s">
        <v>2867</v>
      </c>
      <c r="Z2010" s="258">
        <v>121582.0</v>
      </c>
      <c r="AA2010" s="333"/>
      <c r="AB2010" s="333"/>
      <c r="AC2010" s="333"/>
      <c r="AD2010" s="329"/>
      <c r="AE2010" s="331"/>
      <c r="AF2010" s="336"/>
      <c r="AG2010" s="337"/>
      <c r="AH2010" s="333"/>
      <c r="AI2010" s="333"/>
      <c r="AJ2010" s="333"/>
      <c r="AK2010" s="333"/>
      <c r="AL2010" s="333"/>
      <c r="AM2010" s="338"/>
      <c r="AN2010" s="333"/>
      <c r="AO2010" s="333"/>
      <c r="AP2010" s="333"/>
      <c r="AQ2010" s="333"/>
      <c r="AR2010" s="333"/>
      <c r="AS2010" s="333"/>
      <c r="AT2010" s="333"/>
      <c r="AU2010" s="329"/>
      <c r="AV2010" s="341"/>
      <c r="AW2010" s="269"/>
      <c r="AX2010" s="334" t="s">
        <v>2869</v>
      </c>
      <c r="AY2010" s="270" t="s">
        <v>695</v>
      </c>
      <c r="AZ2010" s="173" t="s">
        <v>5516</v>
      </c>
      <c r="BA2010" s="265">
        <v>10.0</v>
      </c>
      <c r="BB2010" s="174" t="s">
        <v>245</v>
      </c>
      <c r="BC2010" s="341"/>
      <c r="BD2010" s="308"/>
      <c r="BE2010" s="342"/>
      <c r="BF2010" s="274" t="str">
        <f>IFERROR(__xludf.DUMMYFUNCTION("LOWER(Regexreplace(to_text(E2010),""[^A-Za-z0-9]"","""")&amp;""_""&amp;Regexreplace(to_text(F2010),""[^A-Za-z0-9]"",""""))"),"neptronic_evcbseries")</f>
        <v>neptronic_evcbseries</v>
      </c>
      <c r="BG2010" s="275" t="str">
        <f>IFERROR(__xludf.DUMMYFUNCTION("upper(Regexreplace(to_text(E2010),""[^A-Za-z0-9]"","""")&amp;""-""&amp;Regexreplace(to_text(F2010),""[^A-Za-z0-9]"",""""))"),"NEPTRONIC-EVCBSERIES")</f>
        <v>NEPTRONIC-EVCBSERIES</v>
      </c>
    </row>
    <row r="2011" ht="30.0" customHeight="1">
      <c r="A2011" s="173">
        <v>2003.0</v>
      </c>
      <c r="B2011" s="328" t="s">
        <v>670</v>
      </c>
      <c r="C2011" s="257" t="s">
        <v>7225</v>
      </c>
      <c r="D2011" s="173" t="s">
        <v>7225</v>
      </c>
      <c r="E2011" s="174" t="s">
        <v>2861</v>
      </c>
      <c r="F2011" s="173" t="s">
        <v>2862</v>
      </c>
      <c r="G2011" s="328" t="s">
        <v>673</v>
      </c>
      <c r="H2011" s="328" t="s">
        <v>2863</v>
      </c>
      <c r="I2011" s="258" t="s">
        <v>2864</v>
      </c>
      <c r="J2011" s="259"/>
      <c r="K2011" s="260"/>
      <c r="L2011" s="359"/>
      <c r="M2011" s="359"/>
      <c r="N2011" s="173" t="s">
        <v>679</v>
      </c>
      <c r="O2011" s="173"/>
      <c r="P2011" s="262" t="str">
        <f t="shared" si="1"/>
        <v>IN-BLR-ANANTA-VAV-1583_</v>
      </c>
      <c r="Q2011" s="173" t="s">
        <v>7226</v>
      </c>
      <c r="R2011" s="328" t="str">
        <f>IFS(C2011="","",C2011="n/a","N/A",LEN(C2011),Concatenate("{",char(34),"asset",char(34),":{",char(34),"guid",char(34),":",char(34),Q2011,char(34),",",char(34),"site",char(34),":",char(34),LOWER('2-Building'!$B$4),char(34),",",char(34),"name",char(34),":",char(34),LOWER(C2011),char(34),"}}"))</f>
        <v>{"asset":{"guid":"uuid://c05e5f42-90a5-4bf0-ad9d-08cd52e92059","site":"in-blr-ananta","name":"vav-1583"}}</v>
      </c>
      <c r="S2011" s="360" t="s">
        <v>5516</v>
      </c>
      <c r="T2011" s="330"/>
      <c r="U2011" s="330"/>
      <c r="V2011" s="331"/>
      <c r="W2011" s="332"/>
      <c r="X2011" s="333"/>
      <c r="Y2011" s="33" t="s">
        <v>2867</v>
      </c>
      <c r="Z2011" s="258">
        <v>121583.0</v>
      </c>
      <c r="AA2011" s="333"/>
      <c r="AB2011" s="333"/>
      <c r="AC2011" s="333"/>
      <c r="AD2011" s="329"/>
      <c r="AE2011" s="331"/>
      <c r="AF2011" s="336"/>
      <c r="AG2011" s="337"/>
      <c r="AH2011" s="333"/>
      <c r="AI2011" s="333"/>
      <c r="AJ2011" s="333"/>
      <c r="AK2011" s="333"/>
      <c r="AL2011" s="333"/>
      <c r="AM2011" s="338"/>
      <c r="AN2011" s="333"/>
      <c r="AO2011" s="333"/>
      <c r="AP2011" s="333"/>
      <c r="AQ2011" s="333"/>
      <c r="AR2011" s="333"/>
      <c r="AS2011" s="333"/>
      <c r="AT2011" s="333"/>
      <c r="AU2011" s="329"/>
      <c r="AV2011" s="341"/>
      <c r="AW2011" s="269"/>
      <c r="AX2011" s="334" t="s">
        <v>2869</v>
      </c>
      <c r="AY2011" s="270" t="s">
        <v>695</v>
      </c>
      <c r="AZ2011" s="173" t="s">
        <v>5516</v>
      </c>
      <c r="BA2011" s="265">
        <v>10.0</v>
      </c>
      <c r="BB2011" s="174" t="s">
        <v>245</v>
      </c>
      <c r="BC2011" s="341"/>
      <c r="BD2011" s="308"/>
      <c r="BE2011" s="342"/>
      <c r="BF2011" s="274" t="str">
        <f>IFERROR(__xludf.DUMMYFUNCTION("LOWER(Regexreplace(to_text(E2011),""[^A-Za-z0-9]"","""")&amp;""_""&amp;Regexreplace(to_text(F2011),""[^A-Za-z0-9]"",""""))"),"neptronic_evcbseries")</f>
        <v>neptronic_evcbseries</v>
      </c>
      <c r="BG2011" s="275" t="str">
        <f>IFERROR(__xludf.DUMMYFUNCTION("upper(Regexreplace(to_text(E2011),""[^A-Za-z0-9]"","""")&amp;""-""&amp;Regexreplace(to_text(F2011),""[^A-Za-z0-9]"",""""))"),"NEPTRONIC-EVCBSERIES")</f>
        <v>NEPTRONIC-EVCBSERIES</v>
      </c>
    </row>
    <row r="2012" ht="30.0" customHeight="1">
      <c r="A2012" s="258">
        <v>2004.0</v>
      </c>
      <c r="B2012" s="328" t="s">
        <v>670</v>
      </c>
      <c r="C2012" s="257" t="s">
        <v>7227</v>
      </c>
      <c r="D2012" s="173" t="s">
        <v>7227</v>
      </c>
      <c r="E2012" s="174" t="s">
        <v>2861</v>
      </c>
      <c r="F2012" s="173" t="s">
        <v>2862</v>
      </c>
      <c r="G2012" s="328" t="s">
        <v>673</v>
      </c>
      <c r="H2012" s="328" t="s">
        <v>2863</v>
      </c>
      <c r="I2012" s="258" t="s">
        <v>2864</v>
      </c>
      <c r="J2012" s="259"/>
      <c r="K2012" s="260"/>
      <c r="L2012" s="359"/>
      <c r="M2012" s="359"/>
      <c r="N2012" s="173" t="s">
        <v>679</v>
      </c>
      <c r="O2012" s="173"/>
      <c r="P2012" s="262" t="str">
        <f t="shared" si="1"/>
        <v>IN-BLR-ANANTA-VAV-1584_</v>
      </c>
      <c r="Q2012" s="173" t="s">
        <v>7228</v>
      </c>
      <c r="R2012" s="328" t="str">
        <f>IFS(C2012="","",C2012="n/a","N/A",LEN(C2012),Concatenate("{",char(34),"asset",char(34),":{",char(34),"guid",char(34),":",char(34),Q2012,char(34),",",char(34),"site",char(34),":",char(34),LOWER('2-Building'!$B$4),char(34),",",char(34),"name",char(34),":",char(34),LOWER(C2012),char(34),"}}"))</f>
        <v>{"asset":{"guid":"uuid://81c5b5e3-7cc4-4a6b-8052-6580785be383","site":"in-blr-ananta","name":"vav-1584"}}</v>
      </c>
      <c r="S2012" s="360" t="s">
        <v>5516</v>
      </c>
      <c r="T2012" s="330"/>
      <c r="U2012" s="330"/>
      <c r="V2012" s="331"/>
      <c r="W2012" s="332"/>
      <c r="X2012" s="333"/>
      <c r="Y2012" s="33" t="s">
        <v>2867</v>
      </c>
      <c r="Z2012" s="258">
        <v>121584.0</v>
      </c>
      <c r="AA2012" s="333"/>
      <c r="AB2012" s="333"/>
      <c r="AC2012" s="333"/>
      <c r="AD2012" s="329"/>
      <c r="AE2012" s="331"/>
      <c r="AF2012" s="336"/>
      <c r="AG2012" s="337"/>
      <c r="AH2012" s="333"/>
      <c r="AI2012" s="333"/>
      <c r="AJ2012" s="333"/>
      <c r="AK2012" s="333"/>
      <c r="AL2012" s="333"/>
      <c r="AM2012" s="338"/>
      <c r="AN2012" s="333"/>
      <c r="AO2012" s="333"/>
      <c r="AP2012" s="333"/>
      <c r="AQ2012" s="333"/>
      <c r="AR2012" s="333"/>
      <c r="AS2012" s="333"/>
      <c r="AT2012" s="333"/>
      <c r="AU2012" s="329"/>
      <c r="AV2012" s="341"/>
      <c r="AW2012" s="269"/>
      <c r="AX2012" s="334" t="s">
        <v>2869</v>
      </c>
      <c r="AY2012" s="270" t="s">
        <v>695</v>
      </c>
      <c r="AZ2012" s="173" t="s">
        <v>5516</v>
      </c>
      <c r="BA2012" s="265">
        <v>10.0</v>
      </c>
      <c r="BB2012" s="174" t="s">
        <v>245</v>
      </c>
      <c r="BC2012" s="341"/>
      <c r="BD2012" s="308"/>
      <c r="BE2012" s="342"/>
      <c r="BF2012" s="274" t="str">
        <f>IFERROR(__xludf.DUMMYFUNCTION("LOWER(Regexreplace(to_text(E2012),""[^A-Za-z0-9]"","""")&amp;""_""&amp;Regexreplace(to_text(F2012),""[^A-Za-z0-9]"",""""))"),"neptronic_evcbseries")</f>
        <v>neptronic_evcbseries</v>
      </c>
      <c r="BG2012" s="275" t="str">
        <f>IFERROR(__xludf.DUMMYFUNCTION("upper(Regexreplace(to_text(E2012),""[^A-Za-z0-9]"","""")&amp;""-""&amp;Regexreplace(to_text(F2012),""[^A-Za-z0-9]"",""""))"),"NEPTRONIC-EVCBSERIES")</f>
        <v>NEPTRONIC-EVCBSERIES</v>
      </c>
    </row>
    <row r="2013" ht="30.0" customHeight="1">
      <c r="A2013" s="173">
        <v>2005.0</v>
      </c>
      <c r="B2013" s="328" t="s">
        <v>670</v>
      </c>
      <c r="C2013" s="257" t="s">
        <v>7229</v>
      </c>
      <c r="D2013" s="173" t="s">
        <v>7229</v>
      </c>
      <c r="E2013" s="174" t="s">
        <v>2861</v>
      </c>
      <c r="F2013" s="173" t="s">
        <v>2862</v>
      </c>
      <c r="G2013" s="328" t="s">
        <v>673</v>
      </c>
      <c r="H2013" s="328" t="s">
        <v>2863</v>
      </c>
      <c r="I2013" s="258" t="s">
        <v>2864</v>
      </c>
      <c r="J2013" s="259"/>
      <c r="K2013" s="260"/>
      <c r="L2013" s="359"/>
      <c r="M2013" s="359"/>
      <c r="N2013" s="173" t="s">
        <v>679</v>
      </c>
      <c r="O2013" s="173"/>
      <c r="P2013" s="262" t="str">
        <f t="shared" si="1"/>
        <v>IN-BLR-ANANTA-VAV-1585_</v>
      </c>
      <c r="Q2013" s="173" t="s">
        <v>7230</v>
      </c>
      <c r="R2013" s="328" t="str">
        <f>IFS(C2013="","",C2013="n/a","N/A",LEN(C2013),Concatenate("{",char(34),"asset",char(34),":{",char(34),"guid",char(34),":",char(34),Q2013,char(34),",",char(34),"site",char(34),":",char(34),LOWER('2-Building'!$B$4),char(34),",",char(34),"name",char(34),":",char(34),LOWER(C2013),char(34),"}}"))</f>
        <v>{"asset":{"guid":"uuid://beeab895-481f-4631-9506-ca65d33bdd81","site":"in-blr-ananta","name":"vav-1585"}}</v>
      </c>
      <c r="S2013" s="360" t="s">
        <v>5516</v>
      </c>
      <c r="T2013" s="330"/>
      <c r="U2013" s="330"/>
      <c r="V2013" s="331"/>
      <c r="W2013" s="332"/>
      <c r="X2013" s="333"/>
      <c r="Y2013" s="33" t="s">
        <v>2867</v>
      </c>
      <c r="Z2013" s="258">
        <v>121585.0</v>
      </c>
      <c r="AA2013" s="333"/>
      <c r="AB2013" s="333"/>
      <c r="AC2013" s="333"/>
      <c r="AD2013" s="329"/>
      <c r="AE2013" s="331"/>
      <c r="AF2013" s="336"/>
      <c r="AG2013" s="337"/>
      <c r="AH2013" s="333"/>
      <c r="AI2013" s="333"/>
      <c r="AJ2013" s="333"/>
      <c r="AK2013" s="333"/>
      <c r="AL2013" s="333"/>
      <c r="AM2013" s="338"/>
      <c r="AN2013" s="333"/>
      <c r="AO2013" s="333"/>
      <c r="AP2013" s="333"/>
      <c r="AQ2013" s="333"/>
      <c r="AR2013" s="333"/>
      <c r="AS2013" s="333"/>
      <c r="AT2013" s="333"/>
      <c r="AU2013" s="329"/>
      <c r="AV2013" s="341"/>
      <c r="AW2013" s="269"/>
      <c r="AX2013" s="334" t="s">
        <v>2869</v>
      </c>
      <c r="AY2013" s="270" t="s">
        <v>695</v>
      </c>
      <c r="AZ2013" s="173" t="s">
        <v>5516</v>
      </c>
      <c r="BA2013" s="265">
        <v>10.0</v>
      </c>
      <c r="BB2013" s="174" t="s">
        <v>245</v>
      </c>
      <c r="BC2013" s="341"/>
      <c r="BD2013" s="308"/>
      <c r="BE2013" s="342"/>
      <c r="BF2013" s="274" t="str">
        <f>IFERROR(__xludf.DUMMYFUNCTION("LOWER(Regexreplace(to_text(E2013),""[^A-Za-z0-9]"","""")&amp;""_""&amp;Regexreplace(to_text(F2013),""[^A-Za-z0-9]"",""""))"),"neptronic_evcbseries")</f>
        <v>neptronic_evcbseries</v>
      </c>
      <c r="BG2013" s="275" t="str">
        <f>IFERROR(__xludf.DUMMYFUNCTION("upper(Regexreplace(to_text(E2013),""[^A-Za-z0-9]"","""")&amp;""-""&amp;Regexreplace(to_text(F2013),""[^A-Za-z0-9]"",""""))"),"NEPTRONIC-EVCBSERIES")</f>
        <v>NEPTRONIC-EVCBSERIES</v>
      </c>
    </row>
    <row r="2014" ht="30.0" customHeight="1">
      <c r="A2014" s="258">
        <v>2006.0</v>
      </c>
      <c r="B2014" s="328" t="s">
        <v>670</v>
      </c>
      <c r="C2014" s="257" t="s">
        <v>7231</v>
      </c>
      <c r="D2014" s="173" t="s">
        <v>7231</v>
      </c>
      <c r="E2014" s="174" t="s">
        <v>2861</v>
      </c>
      <c r="F2014" s="173" t="s">
        <v>2862</v>
      </c>
      <c r="G2014" s="328" t="s">
        <v>673</v>
      </c>
      <c r="H2014" s="328" t="s">
        <v>2863</v>
      </c>
      <c r="I2014" s="258" t="s">
        <v>2864</v>
      </c>
      <c r="J2014" s="259"/>
      <c r="K2014" s="260"/>
      <c r="L2014" s="359"/>
      <c r="M2014" s="359"/>
      <c r="N2014" s="173" t="s">
        <v>679</v>
      </c>
      <c r="O2014" s="173"/>
      <c r="P2014" s="262" t="str">
        <f t="shared" si="1"/>
        <v>IN-BLR-ANANTA-VAV-1586_</v>
      </c>
      <c r="Q2014" s="173" t="s">
        <v>7232</v>
      </c>
      <c r="R2014" s="328" t="str">
        <f>IFS(C2014="","",C2014="n/a","N/A",LEN(C2014),Concatenate("{",char(34),"asset",char(34),":{",char(34),"guid",char(34),":",char(34),Q2014,char(34),",",char(34),"site",char(34),":",char(34),LOWER('2-Building'!$B$4),char(34),",",char(34),"name",char(34),":",char(34),LOWER(C2014),char(34),"}}"))</f>
        <v>{"asset":{"guid":"uuid://66410abd-e557-4d49-b609-b9ecfedd7c53","site":"in-blr-ananta","name":"vav-1586"}}</v>
      </c>
      <c r="S2014" s="360" t="s">
        <v>5516</v>
      </c>
      <c r="T2014" s="330"/>
      <c r="U2014" s="330"/>
      <c r="V2014" s="331"/>
      <c r="W2014" s="332"/>
      <c r="X2014" s="333"/>
      <c r="Y2014" s="33" t="s">
        <v>2867</v>
      </c>
      <c r="Z2014" s="258">
        <v>121586.0</v>
      </c>
      <c r="AA2014" s="333"/>
      <c r="AB2014" s="333"/>
      <c r="AC2014" s="333"/>
      <c r="AD2014" s="329"/>
      <c r="AE2014" s="331"/>
      <c r="AF2014" s="336"/>
      <c r="AG2014" s="337"/>
      <c r="AH2014" s="333"/>
      <c r="AI2014" s="333"/>
      <c r="AJ2014" s="333"/>
      <c r="AK2014" s="333"/>
      <c r="AL2014" s="328" t="s">
        <v>688</v>
      </c>
      <c r="AM2014" s="338"/>
      <c r="AN2014" s="333"/>
      <c r="AO2014" s="333"/>
      <c r="AP2014" s="333"/>
      <c r="AQ2014" s="333"/>
      <c r="AR2014" s="333"/>
      <c r="AS2014" s="333"/>
      <c r="AT2014" s="333"/>
      <c r="AU2014" s="329"/>
      <c r="AV2014" s="341"/>
      <c r="AW2014" s="269"/>
      <c r="AX2014" s="334" t="s">
        <v>2869</v>
      </c>
      <c r="AY2014" s="270" t="s">
        <v>695</v>
      </c>
      <c r="AZ2014" s="173" t="s">
        <v>5516</v>
      </c>
      <c r="BA2014" s="265">
        <v>10.0</v>
      </c>
      <c r="BB2014" s="174" t="s">
        <v>245</v>
      </c>
      <c r="BC2014" s="341"/>
      <c r="BD2014" s="308"/>
      <c r="BE2014" s="342"/>
      <c r="BF2014" s="274" t="str">
        <f>IFERROR(__xludf.DUMMYFUNCTION("LOWER(Regexreplace(to_text(E2014),""[^A-Za-z0-9]"","""")&amp;""_""&amp;Regexreplace(to_text(F2014),""[^A-Za-z0-9]"",""""))"),"neptronic_evcbseries")</f>
        <v>neptronic_evcbseries</v>
      </c>
      <c r="BG2014" s="275" t="str">
        <f>IFERROR(__xludf.DUMMYFUNCTION("upper(Regexreplace(to_text(E2014),""[^A-Za-z0-9]"","""")&amp;""-""&amp;Regexreplace(to_text(F2014),""[^A-Za-z0-9]"",""""))"),"NEPTRONIC-EVCBSERIES")</f>
        <v>NEPTRONIC-EVCBSERIES</v>
      </c>
    </row>
    <row r="2015" ht="30.0" customHeight="1">
      <c r="A2015" s="173">
        <v>2007.0</v>
      </c>
      <c r="B2015" s="328" t="s">
        <v>670</v>
      </c>
      <c r="C2015" s="257" t="s">
        <v>7233</v>
      </c>
      <c r="D2015" s="173" t="s">
        <v>7233</v>
      </c>
      <c r="E2015" s="174" t="s">
        <v>2861</v>
      </c>
      <c r="F2015" s="173" t="s">
        <v>2862</v>
      </c>
      <c r="G2015" s="328" t="s">
        <v>673</v>
      </c>
      <c r="H2015" s="328" t="s">
        <v>2863</v>
      </c>
      <c r="I2015" s="258" t="s">
        <v>2864</v>
      </c>
      <c r="J2015" s="259"/>
      <c r="K2015" s="260"/>
      <c r="L2015" s="359"/>
      <c r="M2015" s="359"/>
      <c r="N2015" s="173" t="s">
        <v>679</v>
      </c>
      <c r="O2015" s="173"/>
      <c r="P2015" s="262" t="str">
        <f t="shared" si="1"/>
        <v>IN-BLR-ANANTA-VAV-1587_</v>
      </c>
      <c r="Q2015" s="173" t="s">
        <v>7234</v>
      </c>
      <c r="R2015" s="328" t="str">
        <f>IFS(C2015="","",C2015="n/a","N/A",LEN(C2015),Concatenate("{",char(34),"asset",char(34),":{",char(34),"guid",char(34),":",char(34),Q2015,char(34),",",char(34),"site",char(34),":",char(34),LOWER('2-Building'!$B$4),char(34),",",char(34),"name",char(34),":",char(34),LOWER(C2015),char(34),"}}"))</f>
        <v>{"asset":{"guid":"uuid://5d02738a-4468-45d8-af84-9be6736e4c54","site":"in-blr-ananta","name":"vav-1587"}}</v>
      </c>
      <c r="S2015" s="360" t="s">
        <v>5516</v>
      </c>
      <c r="T2015" s="330"/>
      <c r="U2015" s="330"/>
      <c r="V2015" s="331"/>
      <c r="W2015" s="332"/>
      <c r="X2015" s="333"/>
      <c r="Y2015" s="33" t="s">
        <v>2867</v>
      </c>
      <c r="Z2015" s="258">
        <v>121587.0</v>
      </c>
      <c r="AA2015" s="333"/>
      <c r="AB2015" s="333"/>
      <c r="AC2015" s="333"/>
      <c r="AD2015" s="329"/>
      <c r="AE2015" s="331"/>
      <c r="AF2015" s="336"/>
      <c r="AG2015" s="337"/>
      <c r="AH2015" s="333"/>
      <c r="AI2015" s="333"/>
      <c r="AJ2015" s="333"/>
      <c r="AK2015" s="328" t="s">
        <v>1107</v>
      </c>
      <c r="AL2015" s="328" t="s">
        <v>688</v>
      </c>
      <c r="AM2015" s="338"/>
      <c r="AN2015" s="333"/>
      <c r="AO2015" s="333"/>
      <c r="AP2015" s="333"/>
      <c r="AQ2015" s="333"/>
      <c r="AR2015" s="333"/>
      <c r="AS2015" s="333"/>
      <c r="AT2015" s="333"/>
      <c r="AU2015" s="329"/>
      <c r="AV2015" s="341"/>
      <c r="AW2015" s="269"/>
      <c r="AX2015" s="334" t="s">
        <v>2869</v>
      </c>
      <c r="AY2015" s="270" t="s">
        <v>695</v>
      </c>
      <c r="AZ2015" s="173" t="s">
        <v>5516</v>
      </c>
      <c r="BA2015" s="265">
        <v>10.0</v>
      </c>
      <c r="BB2015" s="174" t="s">
        <v>245</v>
      </c>
      <c r="BC2015" s="341"/>
      <c r="BD2015" s="308"/>
      <c r="BE2015" s="342"/>
      <c r="BF2015" s="274" t="str">
        <f>IFERROR(__xludf.DUMMYFUNCTION("LOWER(Regexreplace(to_text(E2015),""[^A-Za-z0-9]"","""")&amp;""_""&amp;Regexreplace(to_text(F2015),""[^A-Za-z0-9]"",""""))"),"neptronic_evcbseries")</f>
        <v>neptronic_evcbseries</v>
      </c>
      <c r="BG2015" s="275" t="str">
        <f>IFERROR(__xludf.DUMMYFUNCTION("upper(Regexreplace(to_text(E2015),""[^A-Za-z0-9]"","""")&amp;""-""&amp;Regexreplace(to_text(F2015),""[^A-Za-z0-9]"",""""))"),"NEPTRONIC-EVCBSERIES")</f>
        <v>NEPTRONIC-EVCBSERIES</v>
      </c>
    </row>
    <row r="2016" ht="30.0" customHeight="1">
      <c r="A2016" s="258">
        <v>2008.0</v>
      </c>
      <c r="B2016" s="328" t="s">
        <v>670</v>
      </c>
      <c r="C2016" s="257" t="s">
        <v>7235</v>
      </c>
      <c r="D2016" s="173" t="s">
        <v>7235</v>
      </c>
      <c r="E2016" s="174" t="s">
        <v>2861</v>
      </c>
      <c r="F2016" s="173" t="s">
        <v>2862</v>
      </c>
      <c r="G2016" s="328" t="s">
        <v>673</v>
      </c>
      <c r="H2016" s="328" t="s">
        <v>2863</v>
      </c>
      <c r="I2016" s="258" t="s">
        <v>2864</v>
      </c>
      <c r="J2016" s="259"/>
      <c r="K2016" s="260"/>
      <c r="L2016" s="359"/>
      <c r="M2016" s="359"/>
      <c r="N2016" s="173" t="s">
        <v>679</v>
      </c>
      <c r="O2016" s="173"/>
      <c r="P2016" s="262" t="str">
        <f t="shared" si="1"/>
        <v>IN-BLR-ANANTA-VAV-1588_</v>
      </c>
      <c r="Q2016" s="173" t="s">
        <v>7236</v>
      </c>
      <c r="R2016" s="328" t="str">
        <f>IFS(C2016="","",C2016="n/a","N/A",LEN(C2016),Concatenate("{",char(34),"asset",char(34),":{",char(34),"guid",char(34),":",char(34),Q2016,char(34),",",char(34),"site",char(34),":",char(34),LOWER('2-Building'!$B$4),char(34),",",char(34),"name",char(34),":",char(34),LOWER(C2016),char(34),"}}"))</f>
        <v>{"asset":{"guid":"uuid://164afea1-c36a-4201-9e98-e6c1b18eeeb3","site":"in-blr-ananta","name":"vav-1588"}}</v>
      </c>
      <c r="S2016" s="360" t="s">
        <v>5516</v>
      </c>
      <c r="T2016" s="330"/>
      <c r="U2016" s="330"/>
      <c r="V2016" s="331"/>
      <c r="W2016" s="332"/>
      <c r="X2016" s="333"/>
      <c r="Y2016" s="33" t="s">
        <v>2867</v>
      </c>
      <c r="Z2016" s="258">
        <v>121588.0</v>
      </c>
      <c r="AA2016" s="333"/>
      <c r="AB2016" s="333"/>
      <c r="AC2016" s="333"/>
      <c r="AD2016" s="329"/>
      <c r="AE2016" s="331"/>
      <c r="AF2016" s="336"/>
      <c r="AG2016" s="337"/>
      <c r="AH2016" s="333"/>
      <c r="AI2016" s="333"/>
      <c r="AJ2016" s="333"/>
      <c r="AK2016" s="328" t="s">
        <v>1112</v>
      </c>
      <c r="AL2016" s="328" t="s">
        <v>688</v>
      </c>
      <c r="AM2016" s="338"/>
      <c r="AN2016" s="333"/>
      <c r="AO2016" s="333"/>
      <c r="AP2016" s="333"/>
      <c r="AQ2016" s="333"/>
      <c r="AR2016" s="333"/>
      <c r="AS2016" s="333"/>
      <c r="AT2016" s="333"/>
      <c r="AU2016" s="329"/>
      <c r="AV2016" s="341"/>
      <c r="AW2016" s="269"/>
      <c r="AX2016" s="334" t="s">
        <v>2869</v>
      </c>
      <c r="AY2016" s="270" t="s">
        <v>695</v>
      </c>
      <c r="AZ2016" s="173" t="s">
        <v>5516</v>
      </c>
      <c r="BA2016" s="265">
        <v>10.0</v>
      </c>
      <c r="BB2016" s="174" t="s">
        <v>245</v>
      </c>
      <c r="BC2016" s="341"/>
      <c r="BD2016" s="308"/>
      <c r="BE2016" s="342"/>
      <c r="BF2016" s="274" t="str">
        <f>IFERROR(__xludf.DUMMYFUNCTION("LOWER(Regexreplace(to_text(E2016),""[^A-Za-z0-9]"","""")&amp;""_""&amp;Regexreplace(to_text(F2016),""[^A-Za-z0-9]"",""""))"),"neptronic_evcbseries")</f>
        <v>neptronic_evcbseries</v>
      </c>
      <c r="BG2016" s="275" t="str">
        <f>IFERROR(__xludf.DUMMYFUNCTION("upper(Regexreplace(to_text(E2016),""[^A-Za-z0-9]"","""")&amp;""-""&amp;Regexreplace(to_text(F2016),""[^A-Za-z0-9]"",""""))"),"NEPTRONIC-EVCBSERIES")</f>
        <v>NEPTRONIC-EVCBSERIES</v>
      </c>
    </row>
    <row r="2017" ht="30.0" customHeight="1">
      <c r="A2017" s="173">
        <v>2009.0</v>
      </c>
      <c r="B2017" s="328" t="s">
        <v>670</v>
      </c>
      <c r="C2017" s="257" t="s">
        <v>7237</v>
      </c>
      <c r="D2017" s="173" t="s">
        <v>7237</v>
      </c>
      <c r="E2017" s="174" t="s">
        <v>2861</v>
      </c>
      <c r="F2017" s="173" t="s">
        <v>2862</v>
      </c>
      <c r="G2017" s="328" t="s">
        <v>673</v>
      </c>
      <c r="H2017" s="328" t="s">
        <v>2863</v>
      </c>
      <c r="I2017" s="258" t="s">
        <v>2864</v>
      </c>
      <c r="J2017" s="259"/>
      <c r="K2017" s="260"/>
      <c r="L2017" s="359"/>
      <c r="M2017" s="359"/>
      <c r="N2017" s="173" t="s">
        <v>679</v>
      </c>
      <c r="O2017" s="173"/>
      <c r="P2017" s="262" t="str">
        <f t="shared" si="1"/>
        <v>IN-BLR-ANANTA-VAV-1589_</v>
      </c>
      <c r="Q2017" s="173" t="s">
        <v>7238</v>
      </c>
      <c r="R2017" s="328" t="str">
        <f>IFS(C2017="","",C2017="n/a","N/A",LEN(C2017),Concatenate("{",char(34),"asset",char(34),":{",char(34),"guid",char(34),":",char(34),Q2017,char(34),",",char(34),"site",char(34),":",char(34),LOWER('2-Building'!$B$4),char(34),",",char(34),"name",char(34),":",char(34),LOWER(C2017),char(34),"}}"))</f>
        <v>{"asset":{"guid":"uuid://3120b506-b758-491d-a13c-252864a77fea","site":"in-blr-ananta","name":"vav-1589"}}</v>
      </c>
      <c r="S2017" s="360" t="s">
        <v>5516</v>
      </c>
      <c r="T2017" s="330"/>
      <c r="U2017" s="330"/>
      <c r="V2017" s="331"/>
      <c r="W2017" s="332"/>
      <c r="X2017" s="333"/>
      <c r="Y2017" s="33" t="s">
        <v>2867</v>
      </c>
      <c r="Z2017" s="258">
        <v>121589.0</v>
      </c>
      <c r="AA2017" s="333"/>
      <c r="AB2017" s="333"/>
      <c r="AC2017" s="333"/>
      <c r="AD2017" s="329"/>
      <c r="AE2017" s="331"/>
      <c r="AF2017" s="336"/>
      <c r="AG2017" s="337"/>
      <c r="AH2017" s="333"/>
      <c r="AI2017" s="333"/>
      <c r="AJ2017" s="333"/>
      <c r="AK2017" s="328" t="s">
        <v>1117</v>
      </c>
      <c r="AL2017" s="328" t="s">
        <v>688</v>
      </c>
      <c r="AM2017" s="338"/>
      <c r="AN2017" s="333"/>
      <c r="AO2017" s="333"/>
      <c r="AP2017" s="333"/>
      <c r="AQ2017" s="333"/>
      <c r="AR2017" s="333"/>
      <c r="AS2017" s="333"/>
      <c r="AT2017" s="333"/>
      <c r="AU2017" s="329"/>
      <c r="AV2017" s="341"/>
      <c r="AW2017" s="269"/>
      <c r="AX2017" s="334" t="s">
        <v>2869</v>
      </c>
      <c r="AY2017" s="270" t="s">
        <v>695</v>
      </c>
      <c r="AZ2017" s="173" t="s">
        <v>5516</v>
      </c>
      <c r="BA2017" s="265">
        <v>10.0</v>
      </c>
      <c r="BB2017" s="174" t="s">
        <v>245</v>
      </c>
      <c r="BC2017" s="341"/>
      <c r="BD2017" s="308"/>
      <c r="BE2017" s="342"/>
      <c r="BF2017" s="274" t="str">
        <f>IFERROR(__xludf.DUMMYFUNCTION("LOWER(Regexreplace(to_text(E2017),""[^A-Za-z0-9]"","""")&amp;""_""&amp;Regexreplace(to_text(F2017),""[^A-Za-z0-9]"",""""))"),"neptronic_evcbseries")</f>
        <v>neptronic_evcbseries</v>
      </c>
      <c r="BG2017" s="275" t="str">
        <f>IFERROR(__xludf.DUMMYFUNCTION("upper(Regexreplace(to_text(E2017),""[^A-Za-z0-9]"","""")&amp;""-""&amp;Regexreplace(to_text(F2017),""[^A-Za-z0-9]"",""""))"),"NEPTRONIC-EVCBSERIES")</f>
        <v>NEPTRONIC-EVCBSERIES</v>
      </c>
    </row>
    <row r="2018" ht="30.0" customHeight="1">
      <c r="A2018" s="258">
        <v>2010.0</v>
      </c>
      <c r="B2018" s="328" t="s">
        <v>670</v>
      </c>
      <c r="C2018" s="257" t="s">
        <v>7239</v>
      </c>
      <c r="D2018" s="173" t="s">
        <v>7239</v>
      </c>
      <c r="E2018" s="174" t="s">
        <v>2861</v>
      </c>
      <c r="F2018" s="173" t="s">
        <v>2862</v>
      </c>
      <c r="G2018" s="328" t="s">
        <v>673</v>
      </c>
      <c r="H2018" s="328" t="s">
        <v>2863</v>
      </c>
      <c r="I2018" s="258" t="s">
        <v>2864</v>
      </c>
      <c r="J2018" s="259"/>
      <c r="K2018" s="260"/>
      <c r="L2018" s="359"/>
      <c r="M2018" s="359"/>
      <c r="N2018" s="173" t="s">
        <v>679</v>
      </c>
      <c r="O2018" s="173"/>
      <c r="P2018" s="262" t="str">
        <f t="shared" si="1"/>
        <v>IN-BLR-ANANTA-VAV-1590_</v>
      </c>
      <c r="Q2018" s="173" t="s">
        <v>7240</v>
      </c>
      <c r="R2018" s="328" t="str">
        <f>IFS(C2018="","",C2018="n/a","N/A",LEN(C2018),Concatenate("{",char(34),"asset",char(34),":{",char(34),"guid",char(34),":",char(34),Q2018,char(34),",",char(34),"site",char(34),":",char(34),LOWER('2-Building'!$B$4),char(34),",",char(34),"name",char(34),":",char(34),LOWER(C2018),char(34),"}}"))</f>
        <v>{"asset":{"guid":"uuid://40b8eabe-e975-44e7-843b-8fcb62b4fe54","site":"in-blr-ananta","name":"vav-1590"}}</v>
      </c>
      <c r="S2018" s="360" t="s">
        <v>5516</v>
      </c>
      <c r="T2018" s="330"/>
      <c r="U2018" s="330"/>
      <c r="V2018" s="331"/>
      <c r="W2018" s="332"/>
      <c r="X2018" s="333"/>
      <c r="Y2018" s="33" t="s">
        <v>2867</v>
      </c>
      <c r="Z2018" s="258">
        <v>121590.0</v>
      </c>
      <c r="AA2018" s="333"/>
      <c r="AB2018" s="333"/>
      <c r="AC2018" s="333"/>
      <c r="AD2018" s="329"/>
      <c r="AE2018" s="331"/>
      <c r="AF2018" s="336"/>
      <c r="AG2018" s="337"/>
      <c r="AH2018" s="333"/>
      <c r="AI2018" s="333"/>
      <c r="AJ2018" s="333"/>
      <c r="AK2018" s="328" t="s">
        <v>1122</v>
      </c>
      <c r="AL2018" s="328" t="s">
        <v>688</v>
      </c>
      <c r="AM2018" s="338"/>
      <c r="AN2018" s="333"/>
      <c r="AO2018" s="333"/>
      <c r="AP2018" s="333"/>
      <c r="AQ2018" s="333"/>
      <c r="AR2018" s="333"/>
      <c r="AS2018" s="333"/>
      <c r="AT2018" s="333"/>
      <c r="AU2018" s="329"/>
      <c r="AV2018" s="341"/>
      <c r="AW2018" s="269"/>
      <c r="AX2018" s="334" t="s">
        <v>2869</v>
      </c>
      <c r="AY2018" s="270" t="s">
        <v>695</v>
      </c>
      <c r="AZ2018" s="173" t="s">
        <v>5516</v>
      </c>
      <c r="BA2018" s="265">
        <v>10.0</v>
      </c>
      <c r="BB2018" s="174" t="s">
        <v>245</v>
      </c>
      <c r="BC2018" s="341"/>
      <c r="BD2018" s="308"/>
      <c r="BE2018" s="342"/>
      <c r="BF2018" s="274" t="str">
        <f>IFERROR(__xludf.DUMMYFUNCTION("LOWER(Regexreplace(to_text(E2018),""[^A-Za-z0-9]"","""")&amp;""_""&amp;Regexreplace(to_text(F2018),""[^A-Za-z0-9]"",""""))"),"neptronic_evcbseries")</f>
        <v>neptronic_evcbseries</v>
      </c>
      <c r="BG2018" s="275" t="str">
        <f>IFERROR(__xludf.DUMMYFUNCTION("upper(Regexreplace(to_text(E2018),""[^A-Za-z0-9]"","""")&amp;""-""&amp;Regexreplace(to_text(F2018),""[^A-Za-z0-9]"",""""))"),"NEPTRONIC-EVCBSERIES")</f>
        <v>NEPTRONIC-EVCBSERIES</v>
      </c>
    </row>
    <row r="2019" ht="30.0" customHeight="1">
      <c r="A2019" s="173">
        <v>2011.0</v>
      </c>
      <c r="B2019" s="328" t="s">
        <v>670</v>
      </c>
      <c r="C2019" s="257" t="s">
        <v>7241</v>
      </c>
      <c r="D2019" s="173" t="s">
        <v>7241</v>
      </c>
      <c r="E2019" s="174" t="s">
        <v>2861</v>
      </c>
      <c r="F2019" s="173" t="s">
        <v>2862</v>
      </c>
      <c r="G2019" s="328" t="s">
        <v>673</v>
      </c>
      <c r="H2019" s="328" t="s">
        <v>2863</v>
      </c>
      <c r="I2019" s="258" t="s">
        <v>2864</v>
      </c>
      <c r="J2019" s="259"/>
      <c r="K2019" s="260"/>
      <c r="L2019" s="359"/>
      <c r="M2019" s="359"/>
      <c r="N2019" s="173" t="s">
        <v>679</v>
      </c>
      <c r="O2019" s="173"/>
      <c r="P2019" s="262" t="str">
        <f t="shared" si="1"/>
        <v>IN-BLR-ANANTA-VAV-1591_</v>
      </c>
      <c r="Q2019" s="173" t="s">
        <v>7242</v>
      </c>
      <c r="R2019" s="328" t="str">
        <f>IFS(C2019="","",C2019="n/a","N/A",LEN(C2019),Concatenate("{",char(34),"asset",char(34),":{",char(34),"guid",char(34),":",char(34),Q2019,char(34),",",char(34),"site",char(34),":",char(34),LOWER('2-Building'!$B$4),char(34),",",char(34),"name",char(34),":",char(34),LOWER(C2019),char(34),"}}"))</f>
        <v>{"asset":{"guid":"uuid://d6d69cdd-9224-4d6d-bc7a-8a96c6b95345","site":"in-blr-ananta","name":"vav-1591"}}</v>
      </c>
      <c r="S2019" s="360" t="s">
        <v>5516</v>
      </c>
      <c r="T2019" s="330"/>
      <c r="U2019" s="330"/>
      <c r="V2019" s="331"/>
      <c r="W2019" s="332"/>
      <c r="X2019" s="333"/>
      <c r="Y2019" s="33" t="s">
        <v>2867</v>
      </c>
      <c r="Z2019" s="258">
        <v>121591.0</v>
      </c>
      <c r="AA2019" s="333"/>
      <c r="AB2019" s="333"/>
      <c r="AC2019" s="333"/>
      <c r="AD2019" s="329"/>
      <c r="AE2019" s="331"/>
      <c r="AF2019" s="336"/>
      <c r="AG2019" s="337"/>
      <c r="AH2019" s="333"/>
      <c r="AI2019" s="333"/>
      <c r="AJ2019" s="333"/>
      <c r="AK2019" s="328" t="s">
        <v>1127</v>
      </c>
      <c r="AL2019" s="328" t="s">
        <v>688</v>
      </c>
      <c r="AM2019" s="338"/>
      <c r="AN2019" s="333"/>
      <c r="AO2019" s="333"/>
      <c r="AP2019" s="333"/>
      <c r="AQ2019" s="333"/>
      <c r="AR2019" s="333"/>
      <c r="AS2019" s="333"/>
      <c r="AT2019" s="333"/>
      <c r="AU2019" s="329"/>
      <c r="AV2019" s="341"/>
      <c r="AW2019" s="269"/>
      <c r="AX2019" s="334" t="s">
        <v>2869</v>
      </c>
      <c r="AY2019" s="270" t="s">
        <v>695</v>
      </c>
      <c r="AZ2019" s="173" t="s">
        <v>5516</v>
      </c>
      <c r="BA2019" s="265">
        <v>10.0</v>
      </c>
      <c r="BB2019" s="174" t="s">
        <v>245</v>
      </c>
      <c r="BC2019" s="341"/>
      <c r="BD2019" s="308"/>
      <c r="BE2019" s="342"/>
      <c r="BF2019" s="274" t="str">
        <f>IFERROR(__xludf.DUMMYFUNCTION("LOWER(Regexreplace(to_text(E2019),""[^A-Za-z0-9]"","""")&amp;""_""&amp;Regexreplace(to_text(F2019),""[^A-Za-z0-9]"",""""))"),"neptronic_evcbseries")</f>
        <v>neptronic_evcbseries</v>
      </c>
      <c r="BG2019" s="275" t="str">
        <f>IFERROR(__xludf.DUMMYFUNCTION("upper(Regexreplace(to_text(E2019),""[^A-Za-z0-9]"","""")&amp;""-""&amp;Regexreplace(to_text(F2019),""[^A-Za-z0-9]"",""""))"),"NEPTRONIC-EVCBSERIES")</f>
        <v>NEPTRONIC-EVCBSERIES</v>
      </c>
    </row>
    <row r="2020" ht="30.0" customHeight="1">
      <c r="A2020" s="258">
        <v>2012.0</v>
      </c>
      <c r="B2020" s="328" t="s">
        <v>670</v>
      </c>
      <c r="C2020" s="257" t="s">
        <v>7243</v>
      </c>
      <c r="D2020" s="173" t="s">
        <v>7243</v>
      </c>
      <c r="E2020" s="174" t="s">
        <v>2861</v>
      </c>
      <c r="F2020" s="173" t="s">
        <v>2862</v>
      </c>
      <c r="G2020" s="328" t="s">
        <v>673</v>
      </c>
      <c r="H2020" s="328" t="s">
        <v>2863</v>
      </c>
      <c r="I2020" s="258" t="s">
        <v>2864</v>
      </c>
      <c r="J2020" s="259"/>
      <c r="K2020" s="260"/>
      <c r="L2020" s="359"/>
      <c r="M2020" s="359"/>
      <c r="N2020" s="173" t="s">
        <v>679</v>
      </c>
      <c r="O2020" s="173"/>
      <c r="P2020" s="262" t="str">
        <f t="shared" si="1"/>
        <v>IN-BLR-ANANTA-VAV-1592_</v>
      </c>
      <c r="Q2020" s="173" t="s">
        <v>7244</v>
      </c>
      <c r="R2020" s="328" t="str">
        <f>IFS(C2020="","",C2020="n/a","N/A",LEN(C2020),Concatenate("{",char(34),"asset",char(34),":{",char(34),"guid",char(34),":",char(34),Q2020,char(34),",",char(34),"site",char(34),":",char(34),LOWER('2-Building'!$B$4),char(34),",",char(34),"name",char(34),":",char(34),LOWER(C2020),char(34),"}}"))</f>
        <v>{"asset":{"guid":"uuid://ab9fabfa-dc0f-4f84-8f55-58925339c635","site":"in-blr-ananta","name":"vav-1592"}}</v>
      </c>
      <c r="S2020" s="360" t="s">
        <v>5516</v>
      </c>
      <c r="T2020" s="330"/>
      <c r="U2020" s="330"/>
      <c r="V2020" s="331"/>
      <c r="W2020" s="332"/>
      <c r="X2020" s="333"/>
      <c r="Y2020" s="33" t="s">
        <v>2867</v>
      </c>
      <c r="Z2020" s="258">
        <v>121592.0</v>
      </c>
      <c r="AA2020" s="333"/>
      <c r="AB2020" s="333"/>
      <c r="AC2020" s="333"/>
      <c r="AD2020" s="329"/>
      <c r="AE2020" s="331"/>
      <c r="AF2020" s="336"/>
      <c r="AG2020" s="337"/>
      <c r="AH2020" s="333"/>
      <c r="AI2020" s="333"/>
      <c r="AJ2020" s="333"/>
      <c r="AK2020" s="328" t="s">
        <v>1132</v>
      </c>
      <c r="AL2020" s="328" t="s">
        <v>688</v>
      </c>
      <c r="AM2020" s="338"/>
      <c r="AN2020" s="333"/>
      <c r="AO2020" s="333"/>
      <c r="AP2020" s="333"/>
      <c r="AQ2020" s="333"/>
      <c r="AR2020" s="333"/>
      <c r="AS2020" s="333"/>
      <c r="AT2020" s="333"/>
      <c r="AU2020" s="329"/>
      <c r="AV2020" s="341"/>
      <c r="AW2020" s="269"/>
      <c r="AX2020" s="334" t="s">
        <v>2869</v>
      </c>
      <c r="AY2020" s="270" t="s">
        <v>695</v>
      </c>
      <c r="AZ2020" s="173" t="s">
        <v>5516</v>
      </c>
      <c r="BA2020" s="265">
        <v>10.0</v>
      </c>
      <c r="BB2020" s="174" t="s">
        <v>245</v>
      </c>
      <c r="BC2020" s="341"/>
      <c r="BD2020" s="308"/>
      <c r="BE2020" s="342"/>
      <c r="BF2020" s="274" t="str">
        <f>IFERROR(__xludf.DUMMYFUNCTION("LOWER(Regexreplace(to_text(E2020),""[^A-Za-z0-9]"","""")&amp;""_""&amp;Regexreplace(to_text(F2020),""[^A-Za-z0-9]"",""""))"),"neptronic_evcbseries")</f>
        <v>neptronic_evcbseries</v>
      </c>
      <c r="BG2020" s="275" t="str">
        <f>IFERROR(__xludf.DUMMYFUNCTION("upper(Regexreplace(to_text(E2020),""[^A-Za-z0-9]"","""")&amp;""-""&amp;Regexreplace(to_text(F2020),""[^A-Za-z0-9]"",""""))"),"NEPTRONIC-EVCBSERIES")</f>
        <v>NEPTRONIC-EVCBSERIES</v>
      </c>
    </row>
    <row r="2021" ht="30.0" customHeight="1">
      <c r="A2021" s="173">
        <v>2013.0</v>
      </c>
      <c r="B2021" s="328" t="s">
        <v>670</v>
      </c>
      <c r="C2021" s="257" t="s">
        <v>7245</v>
      </c>
      <c r="D2021" s="173" t="s">
        <v>7245</v>
      </c>
      <c r="E2021" s="174" t="s">
        <v>2861</v>
      </c>
      <c r="F2021" s="173" t="s">
        <v>2862</v>
      </c>
      <c r="G2021" s="328" t="s">
        <v>673</v>
      </c>
      <c r="H2021" s="328" t="s">
        <v>2863</v>
      </c>
      <c r="I2021" s="258" t="s">
        <v>2864</v>
      </c>
      <c r="J2021" s="259"/>
      <c r="K2021" s="260"/>
      <c r="L2021" s="359"/>
      <c r="M2021" s="359"/>
      <c r="N2021" s="173" t="s">
        <v>679</v>
      </c>
      <c r="O2021" s="173"/>
      <c r="P2021" s="262" t="str">
        <f t="shared" si="1"/>
        <v>IN-BLR-ANANTA-VAV-1593_</v>
      </c>
      <c r="Q2021" s="173" t="s">
        <v>7246</v>
      </c>
      <c r="R2021" s="328" t="str">
        <f>IFS(C2021="","",C2021="n/a","N/A",LEN(C2021),Concatenate("{",char(34),"asset",char(34),":{",char(34),"guid",char(34),":",char(34),Q2021,char(34),",",char(34),"site",char(34),":",char(34),LOWER('2-Building'!$B$4),char(34),",",char(34),"name",char(34),":",char(34),LOWER(C2021),char(34),"}}"))</f>
        <v>{"asset":{"guid":"uuid://8e51aa05-5bc6-45d9-9d70-76b15df8ce25","site":"in-blr-ananta","name":"vav-1593"}}</v>
      </c>
      <c r="S2021" s="360" t="s">
        <v>5516</v>
      </c>
      <c r="T2021" s="330"/>
      <c r="U2021" s="330"/>
      <c r="V2021" s="331"/>
      <c r="W2021" s="332"/>
      <c r="X2021" s="333"/>
      <c r="Y2021" s="33" t="s">
        <v>2867</v>
      </c>
      <c r="Z2021" s="258">
        <v>121593.0</v>
      </c>
      <c r="AA2021" s="333"/>
      <c r="AB2021" s="333"/>
      <c r="AC2021" s="333"/>
      <c r="AD2021" s="329"/>
      <c r="AE2021" s="331"/>
      <c r="AF2021" s="336"/>
      <c r="AG2021" s="337"/>
      <c r="AH2021" s="333"/>
      <c r="AI2021" s="333"/>
      <c r="AJ2021" s="333"/>
      <c r="AK2021" s="328" t="s">
        <v>1137</v>
      </c>
      <c r="AL2021" s="328" t="s">
        <v>688</v>
      </c>
      <c r="AM2021" s="338"/>
      <c r="AN2021" s="333"/>
      <c r="AO2021" s="333"/>
      <c r="AP2021" s="333"/>
      <c r="AQ2021" s="333"/>
      <c r="AR2021" s="333"/>
      <c r="AS2021" s="333"/>
      <c r="AT2021" s="333"/>
      <c r="AU2021" s="329"/>
      <c r="AV2021" s="341"/>
      <c r="AW2021" s="269"/>
      <c r="AX2021" s="334" t="s">
        <v>2869</v>
      </c>
      <c r="AY2021" s="270" t="s">
        <v>695</v>
      </c>
      <c r="AZ2021" s="173" t="s">
        <v>5516</v>
      </c>
      <c r="BA2021" s="265">
        <v>10.0</v>
      </c>
      <c r="BB2021" s="174" t="s">
        <v>245</v>
      </c>
      <c r="BC2021" s="341"/>
      <c r="BD2021" s="308"/>
      <c r="BE2021" s="342"/>
      <c r="BF2021" s="274" t="str">
        <f>IFERROR(__xludf.DUMMYFUNCTION("LOWER(Regexreplace(to_text(E2021),""[^A-Za-z0-9]"","""")&amp;""_""&amp;Regexreplace(to_text(F2021),""[^A-Za-z0-9]"",""""))"),"neptronic_evcbseries")</f>
        <v>neptronic_evcbseries</v>
      </c>
      <c r="BG2021" s="275" t="str">
        <f>IFERROR(__xludf.DUMMYFUNCTION("upper(Regexreplace(to_text(E2021),""[^A-Za-z0-9]"","""")&amp;""-""&amp;Regexreplace(to_text(F2021),""[^A-Za-z0-9]"",""""))"),"NEPTRONIC-EVCBSERIES")</f>
        <v>NEPTRONIC-EVCBSERIES</v>
      </c>
    </row>
    <row r="2022" ht="30.0" customHeight="1">
      <c r="A2022" s="258">
        <v>2014.0</v>
      </c>
      <c r="B2022" s="328" t="s">
        <v>670</v>
      </c>
      <c r="C2022" s="257" t="s">
        <v>7247</v>
      </c>
      <c r="D2022" s="173" t="s">
        <v>7247</v>
      </c>
      <c r="E2022" s="174" t="s">
        <v>2861</v>
      </c>
      <c r="F2022" s="173" t="s">
        <v>2862</v>
      </c>
      <c r="G2022" s="328" t="s">
        <v>673</v>
      </c>
      <c r="H2022" s="328" t="s">
        <v>2863</v>
      </c>
      <c r="I2022" s="258" t="s">
        <v>2864</v>
      </c>
      <c r="J2022" s="259"/>
      <c r="K2022" s="260"/>
      <c r="L2022" s="359"/>
      <c r="M2022" s="359"/>
      <c r="N2022" s="173" t="s">
        <v>679</v>
      </c>
      <c r="O2022" s="173"/>
      <c r="P2022" s="262" t="str">
        <f t="shared" si="1"/>
        <v>IN-BLR-ANANTA-VAV-1594_</v>
      </c>
      <c r="Q2022" s="173" t="s">
        <v>7248</v>
      </c>
      <c r="R2022" s="328" t="str">
        <f>IFS(C2022="","",C2022="n/a","N/A",LEN(C2022),Concatenate("{",char(34),"asset",char(34),":{",char(34),"guid",char(34),":",char(34),Q2022,char(34),",",char(34),"site",char(34),":",char(34),LOWER('2-Building'!$B$4),char(34),",",char(34),"name",char(34),":",char(34),LOWER(C2022),char(34),"}}"))</f>
        <v>{"asset":{"guid":"uuid://aed99121-9822-44e4-9890-8b61728d489e","site":"in-blr-ananta","name":"vav-1594"}}</v>
      </c>
      <c r="S2022" s="360" t="s">
        <v>5516</v>
      </c>
      <c r="T2022" s="330"/>
      <c r="U2022" s="330"/>
      <c r="V2022" s="331"/>
      <c r="W2022" s="332"/>
      <c r="X2022" s="333"/>
      <c r="Y2022" s="33" t="s">
        <v>2867</v>
      </c>
      <c r="Z2022" s="258">
        <v>121594.0</v>
      </c>
      <c r="AA2022" s="333"/>
      <c r="AB2022" s="333"/>
      <c r="AC2022" s="333"/>
      <c r="AD2022" s="329"/>
      <c r="AE2022" s="331"/>
      <c r="AF2022" s="336"/>
      <c r="AG2022" s="337"/>
      <c r="AH2022" s="333"/>
      <c r="AI2022" s="333"/>
      <c r="AJ2022" s="333"/>
      <c r="AK2022" s="328" t="s">
        <v>1142</v>
      </c>
      <c r="AL2022" s="328" t="s">
        <v>688</v>
      </c>
      <c r="AM2022" s="338"/>
      <c r="AN2022" s="333"/>
      <c r="AO2022" s="333"/>
      <c r="AP2022" s="333"/>
      <c r="AQ2022" s="333"/>
      <c r="AR2022" s="333"/>
      <c r="AS2022" s="333"/>
      <c r="AT2022" s="333"/>
      <c r="AU2022" s="329"/>
      <c r="AV2022" s="341"/>
      <c r="AW2022" s="269"/>
      <c r="AX2022" s="334" t="s">
        <v>2869</v>
      </c>
      <c r="AY2022" s="270" t="s">
        <v>695</v>
      </c>
      <c r="AZ2022" s="173" t="s">
        <v>5516</v>
      </c>
      <c r="BA2022" s="265">
        <v>10.0</v>
      </c>
      <c r="BB2022" s="174" t="s">
        <v>245</v>
      </c>
      <c r="BC2022" s="341"/>
      <c r="BD2022" s="308"/>
      <c r="BE2022" s="342"/>
      <c r="BF2022" s="274" t="str">
        <f>IFERROR(__xludf.DUMMYFUNCTION("LOWER(Regexreplace(to_text(E2022),""[^A-Za-z0-9]"","""")&amp;""_""&amp;Regexreplace(to_text(F2022),""[^A-Za-z0-9]"",""""))"),"neptronic_evcbseries")</f>
        <v>neptronic_evcbseries</v>
      </c>
      <c r="BG2022" s="275" t="str">
        <f>IFERROR(__xludf.DUMMYFUNCTION("upper(Regexreplace(to_text(E2022),""[^A-Za-z0-9]"","""")&amp;""-""&amp;Regexreplace(to_text(F2022),""[^A-Za-z0-9]"",""""))"),"NEPTRONIC-EVCBSERIES")</f>
        <v>NEPTRONIC-EVCBSERIES</v>
      </c>
    </row>
    <row r="2023" ht="30.0" customHeight="1">
      <c r="A2023" s="173">
        <v>2015.0</v>
      </c>
      <c r="B2023" s="328" t="s">
        <v>670</v>
      </c>
      <c r="C2023" s="257" t="s">
        <v>7249</v>
      </c>
      <c r="D2023" s="173" t="s">
        <v>7249</v>
      </c>
      <c r="E2023" s="174" t="s">
        <v>2861</v>
      </c>
      <c r="F2023" s="173" t="s">
        <v>2862</v>
      </c>
      <c r="G2023" s="328" t="s">
        <v>673</v>
      </c>
      <c r="H2023" s="328" t="s">
        <v>2863</v>
      </c>
      <c r="I2023" s="258" t="s">
        <v>2864</v>
      </c>
      <c r="J2023" s="259"/>
      <c r="K2023" s="260"/>
      <c r="L2023" s="359"/>
      <c r="M2023" s="359"/>
      <c r="N2023" s="173" t="s">
        <v>679</v>
      </c>
      <c r="O2023" s="173"/>
      <c r="P2023" s="262" t="str">
        <f t="shared" si="1"/>
        <v>IN-BLR-ANANTA-VAV-1595_</v>
      </c>
      <c r="Q2023" s="173" t="s">
        <v>7250</v>
      </c>
      <c r="R2023" s="328" t="str">
        <f>IFS(C2023="","",C2023="n/a","N/A",LEN(C2023),Concatenate("{",char(34),"asset",char(34),":{",char(34),"guid",char(34),":",char(34),Q2023,char(34),",",char(34),"site",char(34),":",char(34),LOWER('2-Building'!$B$4),char(34),",",char(34),"name",char(34),":",char(34),LOWER(C2023),char(34),"}}"))</f>
        <v>{"asset":{"guid":"uuid://d585b36a-00c0-42a5-b935-78ca5061ae7b","site":"in-blr-ananta","name":"vav-1595"}}</v>
      </c>
      <c r="S2023" s="360" t="s">
        <v>5516</v>
      </c>
      <c r="T2023" s="330"/>
      <c r="U2023" s="330"/>
      <c r="V2023" s="331"/>
      <c r="W2023" s="332"/>
      <c r="X2023" s="333"/>
      <c r="Y2023" s="33" t="s">
        <v>2867</v>
      </c>
      <c r="Z2023" s="258">
        <v>121595.0</v>
      </c>
      <c r="AA2023" s="333"/>
      <c r="AB2023" s="333"/>
      <c r="AC2023" s="333"/>
      <c r="AD2023" s="329"/>
      <c r="AE2023" s="331"/>
      <c r="AF2023" s="336"/>
      <c r="AG2023" s="337"/>
      <c r="AH2023" s="333"/>
      <c r="AI2023" s="333"/>
      <c r="AJ2023" s="333"/>
      <c r="AK2023" s="328" t="s">
        <v>1147</v>
      </c>
      <c r="AL2023" s="328" t="s">
        <v>688</v>
      </c>
      <c r="AM2023" s="338"/>
      <c r="AN2023" s="333"/>
      <c r="AO2023" s="333"/>
      <c r="AP2023" s="333"/>
      <c r="AQ2023" s="333"/>
      <c r="AR2023" s="333"/>
      <c r="AS2023" s="333"/>
      <c r="AT2023" s="333"/>
      <c r="AU2023" s="329"/>
      <c r="AV2023" s="341"/>
      <c r="AW2023" s="269"/>
      <c r="AX2023" s="334" t="s">
        <v>2869</v>
      </c>
      <c r="AY2023" s="270" t="s">
        <v>695</v>
      </c>
      <c r="AZ2023" s="173" t="s">
        <v>5516</v>
      </c>
      <c r="BA2023" s="265">
        <v>10.0</v>
      </c>
      <c r="BB2023" s="174" t="s">
        <v>245</v>
      </c>
      <c r="BC2023" s="341"/>
      <c r="BD2023" s="308"/>
      <c r="BE2023" s="342"/>
      <c r="BF2023" s="274" t="str">
        <f>IFERROR(__xludf.DUMMYFUNCTION("LOWER(Regexreplace(to_text(E2023),""[^A-Za-z0-9]"","""")&amp;""_""&amp;Regexreplace(to_text(F2023),""[^A-Za-z0-9]"",""""))"),"neptronic_evcbseries")</f>
        <v>neptronic_evcbseries</v>
      </c>
      <c r="BG2023" s="275" t="str">
        <f>IFERROR(__xludf.DUMMYFUNCTION("upper(Regexreplace(to_text(E2023),""[^A-Za-z0-9]"","""")&amp;""-""&amp;Regexreplace(to_text(F2023),""[^A-Za-z0-9]"",""""))"),"NEPTRONIC-EVCBSERIES")</f>
        <v>NEPTRONIC-EVCBSERIES</v>
      </c>
    </row>
    <row r="2024" ht="30.0" customHeight="1">
      <c r="A2024" s="258">
        <v>2016.0</v>
      </c>
      <c r="B2024" s="328" t="s">
        <v>670</v>
      </c>
      <c r="C2024" s="257" t="s">
        <v>7251</v>
      </c>
      <c r="D2024" s="173" t="s">
        <v>7251</v>
      </c>
      <c r="E2024" s="174" t="s">
        <v>2861</v>
      </c>
      <c r="F2024" s="173" t="s">
        <v>2862</v>
      </c>
      <c r="G2024" s="328" t="s">
        <v>673</v>
      </c>
      <c r="H2024" s="328" t="s">
        <v>2863</v>
      </c>
      <c r="I2024" s="258" t="s">
        <v>2864</v>
      </c>
      <c r="J2024" s="259"/>
      <c r="K2024" s="260"/>
      <c r="L2024" s="359"/>
      <c r="M2024" s="359"/>
      <c r="N2024" s="173" t="s">
        <v>679</v>
      </c>
      <c r="O2024" s="173"/>
      <c r="P2024" s="262" t="str">
        <f t="shared" si="1"/>
        <v>IN-BLR-ANANTA-VAV-1596_</v>
      </c>
      <c r="Q2024" s="173" t="s">
        <v>7252</v>
      </c>
      <c r="R2024" s="328" t="str">
        <f>IFS(C2024="","",C2024="n/a","N/A",LEN(C2024),Concatenate("{",char(34),"asset",char(34),":{",char(34),"guid",char(34),":",char(34),Q2024,char(34),",",char(34),"site",char(34),":",char(34),LOWER('2-Building'!$B$4),char(34),",",char(34),"name",char(34),":",char(34),LOWER(C2024),char(34),"}}"))</f>
        <v>{"asset":{"guid":"uuid://d3b99560-e277-4d0f-a70b-08fdb9ded4b4","site":"in-blr-ananta","name":"vav-1596"}}</v>
      </c>
      <c r="S2024" s="360" t="s">
        <v>5516</v>
      </c>
      <c r="T2024" s="330"/>
      <c r="U2024" s="330"/>
      <c r="V2024" s="331"/>
      <c r="W2024" s="332"/>
      <c r="X2024" s="333"/>
      <c r="Y2024" s="33" t="s">
        <v>2867</v>
      </c>
      <c r="Z2024" s="258">
        <v>121596.0</v>
      </c>
      <c r="AA2024" s="333"/>
      <c r="AB2024" s="333"/>
      <c r="AC2024" s="333"/>
      <c r="AD2024" s="329"/>
      <c r="AE2024" s="331"/>
      <c r="AF2024" s="336"/>
      <c r="AG2024" s="337"/>
      <c r="AH2024" s="333"/>
      <c r="AI2024" s="333"/>
      <c r="AJ2024" s="333"/>
      <c r="AK2024" s="328" t="s">
        <v>1154</v>
      </c>
      <c r="AL2024" s="328" t="s">
        <v>688</v>
      </c>
      <c r="AM2024" s="338"/>
      <c r="AN2024" s="333"/>
      <c r="AO2024" s="333"/>
      <c r="AP2024" s="333"/>
      <c r="AQ2024" s="333"/>
      <c r="AR2024" s="333"/>
      <c r="AS2024" s="333"/>
      <c r="AT2024" s="333"/>
      <c r="AU2024" s="329"/>
      <c r="AV2024" s="341"/>
      <c r="AW2024" s="269"/>
      <c r="AX2024" s="334" t="s">
        <v>2869</v>
      </c>
      <c r="AY2024" s="270" t="s">
        <v>695</v>
      </c>
      <c r="AZ2024" s="173" t="s">
        <v>5516</v>
      </c>
      <c r="BA2024" s="265">
        <v>10.0</v>
      </c>
      <c r="BB2024" s="174" t="s">
        <v>245</v>
      </c>
      <c r="BC2024" s="341"/>
      <c r="BD2024" s="308"/>
      <c r="BE2024" s="342"/>
      <c r="BF2024" s="274" t="str">
        <f>IFERROR(__xludf.DUMMYFUNCTION("LOWER(Regexreplace(to_text(E2024),""[^A-Za-z0-9]"","""")&amp;""_""&amp;Regexreplace(to_text(F2024),""[^A-Za-z0-9]"",""""))"),"neptronic_evcbseries")</f>
        <v>neptronic_evcbseries</v>
      </c>
      <c r="BG2024" s="275" t="str">
        <f>IFERROR(__xludf.DUMMYFUNCTION("upper(Regexreplace(to_text(E2024),""[^A-Za-z0-9]"","""")&amp;""-""&amp;Regexreplace(to_text(F2024),""[^A-Za-z0-9]"",""""))"),"NEPTRONIC-EVCBSERIES")</f>
        <v>NEPTRONIC-EVCBSERIES</v>
      </c>
    </row>
    <row r="2025" ht="30.0" customHeight="1">
      <c r="A2025" s="173">
        <v>2017.0</v>
      </c>
      <c r="B2025" s="328" t="s">
        <v>670</v>
      </c>
      <c r="C2025" s="257" t="s">
        <v>7253</v>
      </c>
      <c r="D2025" s="173" t="s">
        <v>7253</v>
      </c>
      <c r="E2025" s="174" t="s">
        <v>2861</v>
      </c>
      <c r="F2025" s="173" t="s">
        <v>2862</v>
      </c>
      <c r="G2025" s="328" t="s">
        <v>673</v>
      </c>
      <c r="H2025" s="328" t="s">
        <v>2863</v>
      </c>
      <c r="I2025" s="258" t="s">
        <v>2864</v>
      </c>
      <c r="J2025" s="259"/>
      <c r="K2025" s="260"/>
      <c r="L2025" s="359"/>
      <c r="M2025" s="359"/>
      <c r="N2025" s="173" t="s">
        <v>679</v>
      </c>
      <c r="O2025" s="173"/>
      <c r="P2025" s="262" t="str">
        <f t="shared" si="1"/>
        <v>IN-BLR-ANANTA-VAV-1597_</v>
      </c>
      <c r="Q2025" s="173" t="s">
        <v>7254</v>
      </c>
      <c r="R2025" s="328" t="str">
        <f>IFS(C2025="","",C2025="n/a","N/A",LEN(C2025),Concatenate("{",char(34),"asset",char(34),":{",char(34),"guid",char(34),":",char(34),Q2025,char(34),",",char(34),"site",char(34),":",char(34),LOWER('2-Building'!$B$4),char(34),",",char(34),"name",char(34),":",char(34),LOWER(C2025),char(34),"}}"))</f>
        <v>{"asset":{"guid":"uuid://dce6e198-0c4d-40a5-88ad-0b19db2e31f8","site":"in-blr-ananta","name":"vav-1597"}}</v>
      </c>
      <c r="S2025" s="360" t="s">
        <v>5516</v>
      </c>
      <c r="T2025" s="330"/>
      <c r="U2025" s="330"/>
      <c r="V2025" s="331"/>
      <c r="W2025" s="332"/>
      <c r="X2025" s="333"/>
      <c r="Y2025" s="33" t="s">
        <v>2867</v>
      </c>
      <c r="Z2025" s="258">
        <v>121597.0</v>
      </c>
      <c r="AA2025" s="333"/>
      <c r="AB2025" s="333"/>
      <c r="AC2025" s="333"/>
      <c r="AD2025" s="329"/>
      <c r="AE2025" s="331"/>
      <c r="AF2025" s="336"/>
      <c r="AG2025" s="337"/>
      <c r="AH2025" s="333"/>
      <c r="AI2025" s="333"/>
      <c r="AJ2025" s="333"/>
      <c r="AK2025" s="328" t="s">
        <v>1159</v>
      </c>
      <c r="AL2025" s="328" t="s">
        <v>688</v>
      </c>
      <c r="AM2025" s="338"/>
      <c r="AN2025" s="333"/>
      <c r="AO2025" s="333"/>
      <c r="AP2025" s="333"/>
      <c r="AQ2025" s="333"/>
      <c r="AR2025" s="333"/>
      <c r="AS2025" s="333"/>
      <c r="AT2025" s="333"/>
      <c r="AU2025" s="329"/>
      <c r="AV2025" s="341"/>
      <c r="AW2025" s="269"/>
      <c r="AX2025" s="334" t="s">
        <v>2869</v>
      </c>
      <c r="AY2025" s="270" t="s">
        <v>695</v>
      </c>
      <c r="AZ2025" s="173" t="s">
        <v>5516</v>
      </c>
      <c r="BA2025" s="265">
        <v>10.0</v>
      </c>
      <c r="BB2025" s="174" t="s">
        <v>245</v>
      </c>
      <c r="BC2025" s="341"/>
      <c r="BD2025" s="308"/>
      <c r="BE2025" s="342"/>
      <c r="BF2025" s="274" t="str">
        <f>IFERROR(__xludf.DUMMYFUNCTION("LOWER(Regexreplace(to_text(E2025),""[^A-Za-z0-9]"","""")&amp;""_""&amp;Regexreplace(to_text(F2025),""[^A-Za-z0-9]"",""""))"),"neptronic_evcbseries")</f>
        <v>neptronic_evcbseries</v>
      </c>
      <c r="BG2025" s="275" t="str">
        <f>IFERROR(__xludf.DUMMYFUNCTION("upper(Regexreplace(to_text(E2025),""[^A-Za-z0-9]"","""")&amp;""-""&amp;Regexreplace(to_text(F2025),""[^A-Za-z0-9]"",""""))"),"NEPTRONIC-EVCBSERIES")</f>
        <v>NEPTRONIC-EVCBSERIES</v>
      </c>
    </row>
    <row r="2026" ht="30.0" customHeight="1">
      <c r="A2026" s="258">
        <v>2018.0</v>
      </c>
      <c r="B2026" s="328" t="s">
        <v>670</v>
      </c>
      <c r="C2026" s="257" t="s">
        <v>7255</v>
      </c>
      <c r="D2026" s="173" t="s">
        <v>7255</v>
      </c>
      <c r="E2026" s="174" t="s">
        <v>2861</v>
      </c>
      <c r="F2026" s="173" t="s">
        <v>2862</v>
      </c>
      <c r="G2026" s="328" t="s">
        <v>673</v>
      </c>
      <c r="H2026" s="328" t="s">
        <v>2863</v>
      </c>
      <c r="I2026" s="258" t="s">
        <v>2864</v>
      </c>
      <c r="J2026" s="259"/>
      <c r="K2026" s="260"/>
      <c r="L2026" s="359"/>
      <c r="M2026" s="359"/>
      <c r="N2026" s="173" t="s">
        <v>679</v>
      </c>
      <c r="O2026" s="173"/>
      <c r="P2026" s="262" t="str">
        <f t="shared" si="1"/>
        <v>IN-BLR-ANANTA-VAV-1598_</v>
      </c>
      <c r="Q2026" s="173" t="s">
        <v>7256</v>
      </c>
      <c r="R2026" s="328" t="str">
        <f>IFS(C2026="","",C2026="n/a","N/A",LEN(C2026),Concatenate("{",char(34),"asset",char(34),":{",char(34),"guid",char(34),":",char(34),Q2026,char(34),",",char(34),"site",char(34),":",char(34),LOWER('2-Building'!$B$4),char(34),",",char(34),"name",char(34),":",char(34),LOWER(C2026),char(34),"}}"))</f>
        <v>{"asset":{"guid":"uuid://139753c7-aa84-42de-ad80-e850cd96d41b","site":"in-blr-ananta","name":"vav-1598"}}</v>
      </c>
      <c r="S2026" s="360" t="s">
        <v>5516</v>
      </c>
      <c r="T2026" s="330"/>
      <c r="U2026" s="330"/>
      <c r="V2026" s="331"/>
      <c r="W2026" s="332"/>
      <c r="X2026" s="333"/>
      <c r="Y2026" s="33" t="s">
        <v>2867</v>
      </c>
      <c r="Z2026" s="258">
        <v>121598.0</v>
      </c>
      <c r="AA2026" s="333"/>
      <c r="AB2026" s="333"/>
      <c r="AC2026" s="333"/>
      <c r="AD2026" s="329"/>
      <c r="AE2026" s="331"/>
      <c r="AF2026" s="336"/>
      <c r="AG2026" s="337"/>
      <c r="AH2026" s="333"/>
      <c r="AI2026" s="333"/>
      <c r="AJ2026" s="333"/>
      <c r="AK2026" s="328" t="s">
        <v>1164</v>
      </c>
      <c r="AL2026" s="328" t="s">
        <v>688</v>
      </c>
      <c r="AM2026" s="338"/>
      <c r="AN2026" s="333"/>
      <c r="AO2026" s="333"/>
      <c r="AP2026" s="333"/>
      <c r="AQ2026" s="333"/>
      <c r="AR2026" s="333"/>
      <c r="AS2026" s="333"/>
      <c r="AT2026" s="333"/>
      <c r="AU2026" s="329"/>
      <c r="AV2026" s="341"/>
      <c r="AW2026" s="269"/>
      <c r="AX2026" s="334" t="s">
        <v>2869</v>
      </c>
      <c r="AY2026" s="270" t="s">
        <v>695</v>
      </c>
      <c r="AZ2026" s="173" t="s">
        <v>5516</v>
      </c>
      <c r="BA2026" s="265">
        <v>10.0</v>
      </c>
      <c r="BB2026" s="174" t="s">
        <v>245</v>
      </c>
      <c r="BC2026" s="341"/>
      <c r="BD2026" s="308"/>
      <c r="BE2026" s="342"/>
      <c r="BF2026" s="274" t="str">
        <f>IFERROR(__xludf.DUMMYFUNCTION("LOWER(Regexreplace(to_text(E2026),""[^A-Za-z0-9]"","""")&amp;""_""&amp;Regexreplace(to_text(F2026),""[^A-Za-z0-9]"",""""))"),"neptronic_evcbseries")</f>
        <v>neptronic_evcbseries</v>
      </c>
      <c r="BG2026" s="275" t="str">
        <f>IFERROR(__xludf.DUMMYFUNCTION("upper(Regexreplace(to_text(E2026),""[^A-Za-z0-9]"","""")&amp;""-""&amp;Regexreplace(to_text(F2026),""[^A-Za-z0-9]"",""""))"),"NEPTRONIC-EVCBSERIES")</f>
        <v>NEPTRONIC-EVCBSERIES</v>
      </c>
    </row>
    <row r="2027" ht="30.0" customHeight="1">
      <c r="A2027" s="173">
        <v>2019.0</v>
      </c>
      <c r="B2027" s="328" t="s">
        <v>670</v>
      </c>
      <c r="C2027" s="257" t="s">
        <v>7257</v>
      </c>
      <c r="D2027" s="173" t="s">
        <v>7257</v>
      </c>
      <c r="E2027" s="174" t="s">
        <v>2861</v>
      </c>
      <c r="F2027" s="173" t="s">
        <v>2862</v>
      </c>
      <c r="G2027" s="328" t="s">
        <v>673</v>
      </c>
      <c r="H2027" s="328" t="s">
        <v>2863</v>
      </c>
      <c r="I2027" s="258" t="s">
        <v>2864</v>
      </c>
      <c r="J2027" s="259"/>
      <c r="K2027" s="260"/>
      <c r="L2027" s="359"/>
      <c r="M2027" s="359"/>
      <c r="N2027" s="173" t="s">
        <v>679</v>
      </c>
      <c r="O2027" s="173"/>
      <c r="P2027" s="262" t="str">
        <f t="shared" si="1"/>
        <v>IN-BLR-ANANTA-VAV-1599_</v>
      </c>
      <c r="Q2027" s="173" t="s">
        <v>7258</v>
      </c>
      <c r="R2027" s="328" t="str">
        <f>IFS(C2027="","",C2027="n/a","N/A",LEN(C2027),Concatenate("{",char(34),"asset",char(34),":{",char(34),"guid",char(34),":",char(34),Q2027,char(34),",",char(34),"site",char(34),":",char(34),LOWER('2-Building'!$B$4),char(34),",",char(34),"name",char(34),":",char(34),LOWER(C2027),char(34),"}}"))</f>
        <v>{"asset":{"guid":"uuid://3115bf54-c117-48a1-9bbd-fa7b382db08c","site":"in-blr-ananta","name":"vav-1599"}}</v>
      </c>
      <c r="S2027" s="360" t="s">
        <v>5516</v>
      </c>
      <c r="T2027" s="330"/>
      <c r="U2027" s="330"/>
      <c r="V2027" s="331"/>
      <c r="W2027" s="332"/>
      <c r="X2027" s="333"/>
      <c r="Y2027" s="33" t="s">
        <v>2867</v>
      </c>
      <c r="Z2027" s="258">
        <v>121599.0</v>
      </c>
      <c r="AA2027" s="333"/>
      <c r="AB2027" s="333"/>
      <c r="AC2027" s="333"/>
      <c r="AD2027" s="329"/>
      <c r="AE2027" s="331"/>
      <c r="AF2027" s="336"/>
      <c r="AG2027" s="337"/>
      <c r="AH2027" s="333"/>
      <c r="AI2027" s="333"/>
      <c r="AJ2027" s="333"/>
      <c r="AK2027" s="328" t="s">
        <v>1169</v>
      </c>
      <c r="AL2027" s="328" t="s">
        <v>688</v>
      </c>
      <c r="AM2027" s="338"/>
      <c r="AN2027" s="333"/>
      <c r="AO2027" s="333"/>
      <c r="AP2027" s="333"/>
      <c r="AQ2027" s="333"/>
      <c r="AR2027" s="333"/>
      <c r="AS2027" s="333"/>
      <c r="AT2027" s="333"/>
      <c r="AU2027" s="329"/>
      <c r="AV2027" s="341"/>
      <c r="AW2027" s="269"/>
      <c r="AX2027" s="334" t="s">
        <v>2869</v>
      </c>
      <c r="AY2027" s="270" t="s">
        <v>695</v>
      </c>
      <c r="AZ2027" s="173" t="s">
        <v>5516</v>
      </c>
      <c r="BA2027" s="265">
        <v>10.0</v>
      </c>
      <c r="BB2027" s="174" t="s">
        <v>245</v>
      </c>
      <c r="BC2027" s="341"/>
      <c r="BD2027" s="308"/>
      <c r="BE2027" s="342"/>
      <c r="BF2027" s="274" t="str">
        <f>IFERROR(__xludf.DUMMYFUNCTION("LOWER(Regexreplace(to_text(E2027),""[^A-Za-z0-9]"","""")&amp;""_""&amp;Regexreplace(to_text(F2027),""[^A-Za-z0-9]"",""""))"),"neptronic_evcbseries")</f>
        <v>neptronic_evcbseries</v>
      </c>
      <c r="BG2027" s="275" t="str">
        <f>IFERROR(__xludf.DUMMYFUNCTION("upper(Regexreplace(to_text(E2027),""[^A-Za-z0-9]"","""")&amp;""-""&amp;Regexreplace(to_text(F2027),""[^A-Za-z0-9]"",""""))"),"NEPTRONIC-EVCBSERIES")</f>
        <v>NEPTRONIC-EVCBSERIES</v>
      </c>
    </row>
    <row r="2028" ht="30.0" customHeight="1">
      <c r="A2028" s="258">
        <v>2020.0</v>
      </c>
      <c r="B2028" s="328" t="s">
        <v>670</v>
      </c>
      <c r="C2028" s="257" t="s">
        <v>7259</v>
      </c>
      <c r="D2028" s="173" t="s">
        <v>7259</v>
      </c>
      <c r="E2028" s="174" t="s">
        <v>2861</v>
      </c>
      <c r="F2028" s="173" t="s">
        <v>2862</v>
      </c>
      <c r="G2028" s="328" t="s">
        <v>673</v>
      </c>
      <c r="H2028" s="328" t="s">
        <v>2863</v>
      </c>
      <c r="I2028" s="258" t="s">
        <v>2864</v>
      </c>
      <c r="J2028" s="259"/>
      <c r="K2028" s="260"/>
      <c r="L2028" s="359"/>
      <c r="M2028" s="359"/>
      <c r="N2028" s="173" t="s">
        <v>679</v>
      </c>
      <c r="O2028" s="173"/>
      <c r="P2028" s="262" t="str">
        <f t="shared" si="1"/>
        <v>IN-BLR-ANANTA-VAV-1600_</v>
      </c>
      <c r="Q2028" s="173" t="s">
        <v>7260</v>
      </c>
      <c r="R2028" s="328" t="str">
        <f>IFS(C2028="","",C2028="n/a","N/A",LEN(C2028),Concatenate("{",char(34),"asset",char(34),":{",char(34),"guid",char(34),":",char(34),Q2028,char(34),",",char(34),"site",char(34),":",char(34),LOWER('2-Building'!$B$4),char(34),",",char(34),"name",char(34),":",char(34),LOWER(C2028),char(34),"}}"))</f>
        <v>{"asset":{"guid":"uuid://298f236e-1c35-459b-b3a3-3cf8148026c1","site":"in-blr-ananta","name":"vav-1600"}}</v>
      </c>
      <c r="S2028" s="360" t="s">
        <v>5516</v>
      </c>
      <c r="T2028" s="330"/>
      <c r="U2028" s="330"/>
      <c r="V2028" s="331"/>
      <c r="W2028" s="332"/>
      <c r="X2028" s="333"/>
      <c r="Y2028" s="33" t="s">
        <v>2867</v>
      </c>
      <c r="Z2028" s="258">
        <v>121600.0</v>
      </c>
      <c r="AA2028" s="333"/>
      <c r="AB2028" s="333"/>
      <c r="AC2028" s="333"/>
      <c r="AD2028" s="329"/>
      <c r="AE2028" s="331"/>
      <c r="AF2028" s="336"/>
      <c r="AG2028" s="337"/>
      <c r="AH2028" s="333"/>
      <c r="AI2028" s="333"/>
      <c r="AJ2028" s="333"/>
      <c r="AK2028" s="328" t="s">
        <v>1174</v>
      </c>
      <c r="AL2028" s="328" t="s">
        <v>688</v>
      </c>
      <c r="AM2028" s="338"/>
      <c r="AN2028" s="333"/>
      <c r="AO2028" s="333"/>
      <c r="AP2028" s="333"/>
      <c r="AQ2028" s="333"/>
      <c r="AR2028" s="333"/>
      <c r="AS2028" s="333"/>
      <c r="AT2028" s="333"/>
      <c r="AU2028" s="329"/>
      <c r="AV2028" s="341"/>
      <c r="AW2028" s="269"/>
      <c r="AX2028" s="334" t="s">
        <v>2869</v>
      </c>
      <c r="AY2028" s="270" t="s">
        <v>695</v>
      </c>
      <c r="AZ2028" s="173" t="s">
        <v>5516</v>
      </c>
      <c r="BA2028" s="265">
        <v>10.0</v>
      </c>
      <c r="BB2028" s="174" t="s">
        <v>245</v>
      </c>
      <c r="BC2028" s="341"/>
      <c r="BD2028" s="308"/>
      <c r="BE2028" s="342"/>
      <c r="BF2028" s="274" t="str">
        <f>IFERROR(__xludf.DUMMYFUNCTION("LOWER(Regexreplace(to_text(E2028),""[^A-Za-z0-9]"","""")&amp;""_""&amp;Regexreplace(to_text(F2028),""[^A-Za-z0-9]"",""""))"),"neptronic_evcbseries")</f>
        <v>neptronic_evcbseries</v>
      </c>
      <c r="BG2028" s="275" t="str">
        <f>IFERROR(__xludf.DUMMYFUNCTION("upper(Regexreplace(to_text(E2028),""[^A-Za-z0-9]"","""")&amp;""-""&amp;Regexreplace(to_text(F2028),""[^A-Za-z0-9]"",""""))"),"NEPTRONIC-EVCBSERIES")</f>
        <v>NEPTRONIC-EVCBSERIES</v>
      </c>
    </row>
    <row r="2029" ht="30.0" customHeight="1">
      <c r="A2029" s="173">
        <v>2021.0</v>
      </c>
      <c r="B2029" s="328" t="s">
        <v>670</v>
      </c>
      <c r="C2029" s="257" t="s">
        <v>7261</v>
      </c>
      <c r="D2029" s="173" t="s">
        <v>7261</v>
      </c>
      <c r="E2029" s="174" t="s">
        <v>2861</v>
      </c>
      <c r="F2029" s="173" t="s">
        <v>2862</v>
      </c>
      <c r="G2029" s="328" t="s">
        <v>673</v>
      </c>
      <c r="H2029" s="328" t="s">
        <v>2863</v>
      </c>
      <c r="I2029" s="258" t="s">
        <v>2864</v>
      </c>
      <c r="J2029" s="259"/>
      <c r="K2029" s="260"/>
      <c r="L2029" s="359"/>
      <c r="M2029" s="359"/>
      <c r="N2029" s="173" t="s">
        <v>679</v>
      </c>
      <c r="O2029" s="173"/>
      <c r="P2029" s="262" t="str">
        <f t="shared" si="1"/>
        <v>IN-BLR-ANANTA-VAV-1601_</v>
      </c>
      <c r="Q2029" s="173" t="s">
        <v>7262</v>
      </c>
      <c r="R2029" s="328" t="str">
        <f>IFS(C2029="","",C2029="n/a","N/A",LEN(C2029),Concatenate("{",char(34),"asset",char(34),":{",char(34),"guid",char(34),":",char(34),Q2029,char(34),",",char(34),"site",char(34),":",char(34),LOWER('2-Building'!$B$4),char(34),",",char(34),"name",char(34),":",char(34),LOWER(C2029),char(34),"}}"))</f>
        <v>{"asset":{"guid":"uuid://ada77f2e-f768-4501-8344-d8c60e644684","site":"in-blr-ananta","name":"vav-1601"}}</v>
      </c>
      <c r="S2029" s="360" t="s">
        <v>5516</v>
      </c>
      <c r="T2029" s="330"/>
      <c r="U2029" s="330"/>
      <c r="V2029" s="331"/>
      <c r="W2029" s="332"/>
      <c r="X2029" s="333"/>
      <c r="Y2029" s="33" t="s">
        <v>2867</v>
      </c>
      <c r="Z2029" s="258">
        <v>121601.0</v>
      </c>
      <c r="AA2029" s="333"/>
      <c r="AB2029" s="333"/>
      <c r="AC2029" s="333"/>
      <c r="AD2029" s="329"/>
      <c r="AE2029" s="331"/>
      <c r="AF2029" s="336"/>
      <c r="AG2029" s="337"/>
      <c r="AH2029" s="333"/>
      <c r="AI2029" s="333"/>
      <c r="AJ2029" s="333"/>
      <c r="AK2029" s="328" t="s">
        <v>1179</v>
      </c>
      <c r="AL2029" s="328" t="s">
        <v>688</v>
      </c>
      <c r="AM2029" s="338"/>
      <c r="AN2029" s="333"/>
      <c r="AO2029" s="333"/>
      <c r="AP2029" s="333"/>
      <c r="AQ2029" s="333"/>
      <c r="AR2029" s="333"/>
      <c r="AS2029" s="333"/>
      <c r="AT2029" s="333"/>
      <c r="AU2029" s="329"/>
      <c r="AV2029" s="341"/>
      <c r="AW2029" s="269"/>
      <c r="AX2029" s="334" t="s">
        <v>2869</v>
      </c>
      <c r="AY2029" s="270" t="s">
        <v>695</v>
      </c>
      <c r="AZ2029" s="173" t="s">
        <v>5516</v>
      </c>
      <c r="BA2029" s="265">
        <v>10.0</v>
      </c>
      <c r="BB2029" s="174" t="s">
        <v>245</v>
      </c>
      <c r="BC2029" s="341"/>
      <c r="BD2029" s="308"/>
      <c r="BE2029" s="342"/>
      <c r="BF2029" s="274" t="str">
        <f>IFERROR(__xludf.DUMMYFUNCTION("LOWER(Regexreplace(to_text(E2029),""[^A-Za-z0-9]"","""")&amp;""_""&amp;Regexreplace(to_text(F2029),""[^A-Za-z0-9]"",""""))"),"neptronic_evcbseries")</f>
        <v>neptronic_evcbseries</v>
      </c>
      <c r="BG2029" s="275" t="str">
        <f>IFERROR(__xludf.DUMMYFUNCTION("upper(Regexreplace(to_text(E2029),""[^A-Za-z0-9]"","""")&amp;""-""&amp;Regexreplace(to_text(F2029),""[^A-Za-z0-9]"",""""))"),"NEPTRONIC-EVCBSERIES")</f>
        <v>NEPTRONIC-EVCBSERIES</v>
      </c>
    </row>
    <row r="2030" ht="30.0" customHeight="1">
      <c r="A2030" s="258">
        <v>2022.0</v>
      </c>
      <c r="B2030" s="328" t="s">
        <v>670</v>
      </c>
      <c r="C2030" s="257" t="s">
        <v>7263</v>
      </c>
      <c r="D2030" s="173" t="s">
        <v>7263</v>
      </c>
      <c r="E2030" s="174" t="s">
        <v>2861</v>
      </c>
      <c r="F2030" s="173" t="s">
        <v>2862</v>
      </c>
      <c r="G2030" s="328" t="s">
        <v>673</v>
      </c>
      <c r="H2030" s="328" t="s">
        <v>2863</v>
      </c>
      <c r="I2030" s="258" t="s">
        <v>2864</v>
      </c>
      <c r="J2030" s="259"/>
      <c r="K2030" s="260"/>
      <c r="L2030" s="359"/>
      <c r="M2030" s="359"/>
      <c r="N2030" s="173" t="s">
        <v>679</v>
      </c>
      <c r="O2030" s="173"/>
      <c r="P2030" s="262" t="str">
        <f t="shared" si="1"/>
        <v>IN-BLR-ANANTA-VAV-1602_</v>
      </c>
      <c r="Q2030" s="173" t="s">
        <v>7264</v>
      </c>
      <c r="R2030" s="328" t="str">
        <f>IFS(C2030="","",C2030="n/a","N/A",LEN(C2030),Concatenate("{",char(34),"asset",char(34),":{",char(34),"guid",char(34),":",char(34),Q2030,char(34),",",char(34),"site",char(34),":",char(34),LOWER('2-Building'!$B$4),char(34),",",char(34),"name",char(34),":",char(34),LOWER(C2030),char(34),"}}"))</f>
        <v>{"asset":{"guid":"uuid://d8c3cd0d-5336-4d33-be5e-9cce9cf46255","site":"in-blr-ananta","name":"vav-1602"}}</v>
      </c>
      <c r="S2030" s="360" t="s">
        <v>5516</v>
      </c>
      <c r="T2030" s="330"/>
      <c r="U2030" s="330"/>
      <c r="V2030" s="331"/>
      <c r="W2030" s="332"/>
      <c r="X2030" s="333"/>
      <c r="Y2030" s="33" t="s">
        <v>2867</v>
      </c>
      <c r="Z2030" s="258">
        <v>121602.0</v>
      </c>
      <c r="AA2030" s="333"/>
      <c r="AB2030" s="333"/>
      <c r="AC2030" s="333"/>
      <c r="AD2030" s="329"/>
      <c r="AE2030" s="331"/>
      <c r="AF2030" s="336"/>
      <c r="AG2030" s="337"/>
      <c r="AH2030" s="333"/>
      <c r="AI2030" s="333"/>
      <c r="AJ2030" s="333"/>
      <c r="AK2030" s="328" t="s">
        <v>1184</v>
      </c>
      <c r="AL2030" s="328" t="s">
        <v>688</v>
      </c>
      <c r="AM2030" s="338"/>
      <c r="AN2030" s="333"/>
      <c r="AO2030" s="333"/>
      <c r="AP2030" s="333"/>
      <c r="AQ2030" s="333"/>
      <c r="AR2030" s="333"/>
      <c r="AS2030" s="333"/>
      <c r="AT2030" s="333"/>
      <c r="AU2030" s="329"/>
      <c r="AV2030" s="341"/>
      <c r="AW2030" s="269"/>
      <c r="AX2030" s="334" t="s">
        <v>2869</v>
      </c>
      <c r="AY2030" s="270" t="s">
        <v>695</v>
      </c>
      <c r="AZ2030" s="173" t="s">
        <v>5516</v>
      </c>
      <c r="BA2030" s="265">
        <v>10.0</v>
      </c>
      <c r="BB2030" s="174" t="s">
        <v>245</v>
      </c>
      <c r="BC2030" s="341"/>
      <c r="BD2030" s="308"/>
      <c r="BE2030" s="342"/>
      <c r="BF2030" s="274" t="str">
        <f>IFERROR(__xludf.DUMMYFUNCTION("LOWER(Regexreplace(to_text(E2030),""[^A-Za-z0-9]"","""")&amp;""_""&amp;Regexreplace(to_text(F2030),""[^A-Za-z0-9]"",""""))"),"neptronic_evcbseries")</f>
        <v>neptronic_evcbseries</v>
      </c>
      <c r="BG2030" s="275" t="str">
        <f>IFERROR(__xludf.DUMMYFUNCTION("upper(Regexreplace(to_text(E2030),""[^A-Za-z0-9]"","""")&amp;""-""&amp;Regexreplace(to_text(F2030),""[^A-Za-z0-9]"",""""))"),"NEPTRONIC-EVCBSERIES")</f>
        <v>NEPTRONIC-EVCBSERIES</v>
      </c>
    </row>
    <row r="2031" ht="30.0" customHeight="1">
      <c r="A2031" s="173">
        <v>2023.0</v>
      </c>
      <c r="B2031" s="328" t="s">
        <v>670</v>
      </c>
      <c r="C2031" s="257" t="s">
        <v>7265</v>
      </c>
      <c r="D2031" s="173" t="s">
        <v>7265</v>
      </c>
      <c r="E2031" s="174" t="s">
        <v>2861</v>
      </c>
      <c r="F2031" s="173" t="s">
        <v>2862</v>
      </c>
      <c r="G2031" s="328" t="s">
        <v>673</v>
      </c>
      <c r="H2031" s="328" t="s">
        <v>2863</v>
      </c>
      <c r="I2031" s="258" t="s">
        <v>2864</v>
      </c>
      <c r="J2031" s="259"/>
      <c r="K2031" s="260"/>
      <c r="L2031" s="359"/>
      <c r="M2031" s="359"/>
      <c r="N2031" s="173" t="s">
        <v>679</v>
      </c>
      <c r="O2031" s="173"/>
      <c r="P2031" s="262" t="str">
        <f t="shared" si="1"/>
        <v>IN-BLR-ANANTA-VAV-1603_</v>
      </c>
      <c r="Q2031" s="173" t="s">
        <v>7266</v>
      </c>
      <c r="R2031" s="328" t="str">
        <f>IFS(C2031="","",C2031="n/a","N/A",LEN(C2031),Concatenate("{",char(34),"asset",char(34),":{",char(34),"guid",char(34),":",char(34),Q2031,char(34),",",char(34),"site",char(34),":",char(34),LOWER('2-Building'!$B$4),char(34),",",char(34),"name",char(34),":",char(34),LOWER(C2031),char(34),"}}"))</f>
        <v>{"asset":{"guid":"uuid://b4440121-7ed9-4a7f-b7ac-a7b327a1a30e","site":"in-blr-ananta","name":"vav-1603"}}</v>
      </c>
      <c r="S2031" s="360" t="s">
        <v>5516</v>
      </c>
      <c r="T2031" s="330"/>
      <c r="U2031" s="330"/>
      <c r="V2031" s="331"/>
      <c r="W2031" s="332"/>
      <c r="X2031" s="333"/>
      <c r="Y2031" s="33" t="s">
        <v>2867</v>
      </c>
      <c r="Z2031" s="258">
        <v>121603.0</v>
      </c>
      <c r="AA2031" s="333"/>
      <c r="AB2031" s="333"/>
      <c r="AC2031" s="333"/>
      <c r="AD2031" s="329"/>
      <c r="AE2031" s="331"/>
      <c r="AF2031" s="336"/>
      <c r="AG2031" s="337"/>
      <c r="AH2031" s="333"/>
      <c r="AI2031" s="333"/>
      <c r="AJ2031" s="333"/>
      <c r="AK2031" s="328" t="s">
        <v>1189</v>
      </c>
      <c r="AL2031" s="328" t="s">
        <v>688</v>
      </c>
      <c r="AM2031" s="338"/>
      <c r="AN2031" s="333"/>
      <c r="AO2031" s="333"/>
      <c r="AP2031" s="333"/>
      <c r="AQ2031" s="333"/>
      <c r="AR2031" s="333"/>
      <c r="AS2031" s="333"/>
      <c r="AT2031" s="333"/>
      <c r="AU2031" s="329"/>
      <c r="AV2031" s="341"/>
      <c r="AW2031" s="269"/>
      <c r="AX2031" s="334" t="s">
        <v>2869</v>
      </c>
      <c r="AY2031" s="270" t="s">
        <v>695</v>
      </c>
      <c r="AZ2031" s="173" t="s">
        <v>5516</v>
      </c>
      <c r="BA2031" s="265">
        <v>10.0</v>
      </c>
      <c r="BB2031" s="174" t="s">
        <v>245</v>
      </c>
      <c r="BC2031" s="341"/>
      <c r="BD2031" s="308"/>
      <c r="BE2031" s="342"/>
      <c r="BF2031" s="274" t="str">
        <f>IFERROR(__xludf.DUMMYFUNCTION("LOWER(Regexreplace(to_text(E2031),""[^A-Za-z0-9]"","""")&amp;""_""&amp;Regexreplace(to_text(F2031),""[^A-Za-z0-9]"",""""))"),"neptronic_evcbseries")</f>
        <v>neptronic_evcbseries</v>
      </c>
      <c r="BG2031" s="275" t="str">
        <f>IFERROR(__xludf.DUMMYFUNCTION("upper(Regexreplace(to_text(E2031),""[^A-Za-z0-9]"","""")&amp;""-""&amp;Regexreplace(to_text(F2031),""[^A-Za-z0-9]"",""""))"),"NEPTRONIC-EVCBSERIES")</f>
        <v>NEPTRONIC-EVCBSERIES</v>
      </c>
    </row>
    <row r="2032" ht="30.0" customHeight="1">
      <c r="A2032" s="258">
        <v>2024.0</v>
      </c>
      <c r="B2032" s="328" t="s">
        <v>670</v>
      </c>
      <c r="C2032" s="257" t="s">
        <v>7267</v>
      </c>
      <c r="D2032" s="173" t="s">
        <v>7267</v>
      </c>
      <c r="E2032" s="174" t="s">
        <v>2861</v>
      </c>
      <c r="F2032" s="173" t="s">
        <v>2862</v>
      </c>
      <c r="G2032" s="328" t="s">
        <v>673</v>
      </c>
      <c r="H2032" s="328" t="s">
        <v>2863</v>
      </c>
      <c r="I2032" s="258" t="s">
        <v>2864</v>
      </c>
      <c r="J2032" s="259"/>
      <c r="K2032" s="260"/>
      <c r="L2032" s="359"/>
      <c r="M2032" s="359"/>
      <c r="N2032" s="173" t="s">
        <v>679</v>
      </c>
      <c r="O2032" s="173"/>
      <c r="P2032" s="262" t="str">
        <f t="shared" si="1"/>
        <v>IN-BLR-ANANTA-VAV-1604_</v>
      </c>
      <c r="Q2032" s="173" t="s">
        <v>7268</v>
      </c>
      <c r="R2032" s="328" t="str">
        <f>IFS(C2032="","",C2032="n/a","N/A",LEN(C2032),Concatenate("{",char(34),"asset",char(34),":{",char(34),"guid",char(34),":",char(34),Q2032,char(34),",",char(34),"site",char(34),":",char(34),LOWER('2-Building'!$B$4),char(34),",",char(34),"name",char(34),":",char(34),LOWER(C2032),char(34),"}}"))</f>
        <v>{"asset":{"guid":"uuid://34304c43-9491-4d08-b3db-cb1a0bb71606","site":"in-blr-ananta","name":"vav-1604"}}</v>
      </c>
      <c r="S2032" s="360" t="s">
        <v>5516</v>
      </c>
      <c r="T2032" s="330"/>
      <c r="U2032" s="330"/>
      <c r="V2032" s="331"/>
      <c r="W2032" s="332"/>
      <c r="X2032" s="333"/>
      <c r="Y2032" s="33" t="s">
        <v>2867</v>
      </c>
      <c r="Z2032" s="258">
        <v>121604.0</v>
      </c>
      <c r="AA2032" s="333"/>
      <c r="AB2032" s="333"/>
      <c r="AC2032" s="333"/>
      <c r="AD2032" s="329"/>
      <c r="AE2032" s="331"/>
      <c r="AF2032" s="336"/>
      <c r="AG2032" s="337"/>
      <c r="AH2032" s="333"/>
      <c r="AI2032" s="333"/>
      <c r="AJ2032" s="333"/>
      <c r="AK2032" s="328" t="s">
        <v>1194</v>
      </c>
      <c r="AL2032" s="328" t="s">
        <v>688</v>
      </c>
      <c r="AM2032" s="338"/>
      <c r="AN2032" s="333"/>
      <c r="AO2032" s="333"/>
      <c r="AP2032" s="333"/>
      <c r="AQ2032" s="333"/>
      <c r="AR2032" s="333"/>
      <c r="AS2032" s="333"/>
      <c r="AT2032" s="333"/>
      <c r="AU2032" s="329"/>
      <c r="AV2032" s="341"/>
      <c r="AW2032" s="269"/>
      <c r="AX2032" s="334" t="s">
        <v>2869</v>
      </c>
      <c r="AY2032" s="270" t="s">
        <v>695</v>
      </c>
      <c r="AZ2032" s="173" t="s">
        <v>5516</v>
      </c>
      <c r="BA2032" s="265">
        <v>10.0</v>
      </c>
      <c r="BB2032" s="174" t="s">
        <v>245</v>
      </c>
      <c r="BC2032" s="341"/>
      <c r="BD2032" s="308"/>
      <c r="BE2032" s="342"/>
      <c r="BF2032" s="274" t="str">
        <f>IFERROR(__xludf.DUMMYFUNCTION("LOWER(Regexreplace(to_text(E2032),""[^A-Za-z0-9]"","""")&amp;""_""&amp;Regexreplace(to_text(F2032),""[^A-Za-z0-9]"",""""))"),"neptronic_evcbseries")</f>
        <v>neptronic_evcbseries</v>
      </c>
      <c r="BG2032" s="275" t="str">
        <f>IFERROR(__xludf.DUMMYFUNCTION("upper(Regexreplace(to_text(E2032),""[^A-Za-z0-9]"","""")&amp;""-""&amp;Regexreplace(to_text(F2032),""[^A-Za-z0-9]"",""""))"),"NEPTRONIC-EVCBSERIES")</f>
        <v>NEPTRONIC-EVCBSERIES</v>
      </c>
    </row>
    <row r="2033" ht="30.0" customHeight="1">
      <c r="A2033" s="173">
        <v>2025.0</v>
      </c>
      <c r="B2033" s="328" t="s">
        <v>670</v>
      </c>
      <c r="C2033" s="257" t="s">
        <v>7269</v>
      </c>
      <c r="D2033" s="173" t="s">
        <v>7269</v>
      </c>
      <c r="E2033" s="174" t="s">
        <v>2861</v>
      </c>
      <c r="F2033" s="173" t="s">
        <v>2862</v>
      </c>
      <c r="G2033" s="328" t="s">
        <v>673</v>
      </c>
      <c r="H2033" s="328" t="s">
        <v>2863</v>
      </c>
      <c r="I2033" s="258" t="s">
        <v>2864</v>
      </c>
      <c r="J2033" s="259"/>
      <c r="K2033" s="260"/>
      <c r="L2033" s="359"/>
      <c r="M2033" s="359"/>
      <c r="N2033" s="173" t="s">
        <v>679</v>
      </c>
      <c r="O2033" s="173"/>
      <c r="P2033" s="262" t="str">
        <f t="shared" si="1"/>
        <v>IN-BLR-ANANTA-VAV-1605_</v>
      </c>
      <c r="Q2033" s="173" t="s">
        <v>7270</v>
      </c>
      <c r="R2033" s="328" t="str">
        <f>IFS(C2033="","",C2033="n/a","N/A",LEN(C2033),Concatenate("{",char(34),"asset",char(34),":{",char(34),"guid",char(34),":",char(34),Q2033,char(34),",",char(34),"site",char(34),":",char(34),LOWER('2-Building'!$B$4),char(34),",",char(34),"name",char(34),":",char(34),LOWER(C2033),char(34),"}}"))</f>
        <v>{"asset":{"guid":"uuid://366632e9-5516-4ce3-9585-8f0105280118","site":"in-blr-ananta","name":"vav-1605"}}</v>
      </c>
      <c r="S2033" s="360" t="s">
        <v>5516</v>
      </c>
      <c r="T2033" s="330"/>
      <c r="U2033" s="330"/>
      <c r="V2033" s="331"/>
      <c r="W2033" s="332"/>
      <c r="X2033" s="333"/>
      <c r="Y2033" s="33" t="s">
        <v>2867</v>
      </c>
      <c r="Z2033" s="258">
        <v>121605.0</v>
      </c>
      <c r="AA2033" s="333"/>
      <c r="AB2033" s="333"/>
      <c r="AC2033" s="333"/>
      <c r="AD2033" s="329"/>
      <c r="AE2033" s="331"/>
      <c r="AF2033" s="336"/>
      <c r="AG2033" s="337"/>
      <c r="AH2033" s="333"/>
      <c r="AI2033" s="333"/>
      <c r="AJ2033" s="333"/>
      <c r="AK2033" s="328" t="s">
        <v>1199</v>
      </c>
      <c r="AL2033" s="328" t="s">
        <v>688</v>
      </c>
      <c r="AM2033" s="338"/>
      <c r="AN2033" s="333"/>
      <c r="AO2033" s="333"/>
      <c r="AP2033" s="333"/>
      <c r="AQ2033" s="333"/>
      <c r="AR2033" s="333"/>
      <c r="AS2033" s="333"/>
      <c r="AT2033" s="333"/>
      <c r="AU2033" s="329"/>
      <c r="AV2033" s="341"/>
      <c r="AW2033" s="269"/>
      <c r="AX2033" s="334" t="s">
        <v>2869</v>
      </c>
      <c r="AY2033" s="270" t="s">
        <v>695</v>
      </c>
      <c r="AZ2033" s="173" t="s">
        <v>5516</v>
      </c>
      <c r="BA2033" s="265">
        <v>10.0</v>
      </c>
      <c r="BB2033" s="174" t="s">
        <v>245</v>
      </c>
      <c r="BC2033" s="341"/>
      <c r="BD2033" s="308"/>
      <c r="BE2033" s="342"/>
      <c r="BF2033" s="274" t="str">
        <f>IFERROR(__xludf.DUMMYFUNCTION("LOWER(Regexreplace(to_text(E2033),""[^A-Za-z0-9]"","""")&amp;""_""&amp;Regexreplace(to_text(F2033),""[^A-Za-z0-9]"",""""))"),"neptronic_evcbseries")</f>
        <v>neptronic_evcbseries</v>
      </c>
      <c r="BG2033" s="275" t="str">
        <f>IFERROR(__xludf.DUMMYFUNCTION("upper(Regexreplace(to_text(E2033),""[^A-Za-z0-9]"","""")&amp;""-""&amp;Regexreplace(to_text(F2033),""[^A-Za-z0-9]"",""""))"),"NEPTRONIC-EVCBSERIES")</f>
        <v>NEPTRONIC-EVCBSERIES</v>
      </c>
    </row>
    <row r="2034" ht="30.0" customHeight="1">
      <c r="A2034" s="258">
        <v>2026.0</v>
      </c>
      <c r="B2034" s="328" t="s">
        <v>670</v>
      </c>
      <c r="C2034" s="257" t="s">
        <v>7271</v>
      </c>
      <c r="D2034" s="173" t="s">
        <v>7271</v>
      </c>
      <c r="E2034" s="174" t="s">
        <v>2861</v>
      </c>
      <c r="F2034" s="173" t="s">
        <v>2862</v>
      </c>
      <c r="G2034" s="328" t="s">
        <v>673</v>
      </c>
      <c r="H2034" s="328" t="s">
        <v>2863</v>
      </c>
      <c r="I2034" s="258" t="s">
        <v>2864</v>
      </c>
      <c r="J2034" s="259"/>
      <c r="K2034" s="260"/>
      <c r="L2034" s="359"/>
      <c r="M2034" s="359"/>
      <c r="N2034" s="173" t="s">
        <v>679</v>
      </c>
      <c r="O2034" s="173"/>
      <c r="P2034" s="262" t="str">
        <f t="shared" si="1"/>
        <v>IN-BLR-ANANTA-VAV-1606_</v>
      </c>
      <c r="Q2034" s="173" t="s">
        <v>7272</v>
      </c>
      <c r="R2034" s="328" t="str">
        <f>IFS(C2034="","",C2034="n/a","N/A",LEN(C2034),Concatenate("{",char(34),"asset",char(34),":{",char(34),"guid",char(34),":",char(34),Q2034,char(34),",",char(34),"site",char(34),":",char(34),LOWER('2-Building'!$B$4),char(34),",",char(34),"name",char(34),":",char(34),LOWER(C2034),char(34),"}}"))</f>
        <v>{"asset":{"guid":"uuid://43acbc93-4e40-4b11-bdd6-eec14e844310","site":"in-blr-ananta","name":"vav-1606"}}</v>
      </c>
      <c r="S2034" s="360" t="s">
        <v>5516</v>
      </c>
      <c r="T2034" s="330"/>
      <c r="U2034" s="330"/>
      <c r="V2034" s="331"/>
      <c r="W2034" s="332"/>
      <c r="X2034" s="333"/>
      <c r="Y2034" s="33" t="s">
        <v>2867</v>
      </c>
      <c r="Z2034" s="258">
        <v>121606.0</v>
      </c>
      <c r="AA2034" s="333"/>
      <c r="AB2034" s="333"/>
      <c r="AC2034" s="333"/>
      <c r="AD2034" s="329"/>
      <c r="AE2034" s="331"/>
      <c r="AF2034" s="336"/>
      <c r="AG2034" s="337"/>
      <c r="AH2034" s="333"/>
      <c r="AI2034" s="333"/>
      <c r="AJ2034" s="333"/>
      <c r="AK2034" s="328" t="s">
        <v>1204</v>
      </c>
      <c r="AL2034" s="328" t="s">
        <v>688</v>
      </c>
      <c r="AM2034" s="338"/>
      <c r="AN2034" s="333"/>
      <c r="AO2034" s="333"/>
      <c r="AP2034" s="333"/>
      <c r="AQ2034" s="333"/>
      <c r="AR2034" s="333"/>
      <c r="AS2034" s="333"/>
      <c r="AT2034" s="333"/>
      <c r="AU2034" s="329"/>
      <c r="AV2034" s="341"/>
      <c r="AW2034" s="269"/>
      <c r="AX2034" s="334" t="s">
        <v>2869</v>
      </c>
      <c r="AY2034" s="270" t="s">
        <v>695</v>
      </c>
      <c r="AZ2034" s="173" t="s">
        <v>5516</v>
      </c>
      <c r="BA2034" s="265">
        <v>10.0</v>
      </c>
      <c r="BB2034" s="174" t="s">
        <v>245</v>
      </c>
      <c r="BC2034" s="341"/>
      <c r="BD2034" s="308"/>
      <c r="BE2034" s="342"/>
      <c r="BF2034" s="274" t="str">
        <f>IFERROR(__xludf.DUMMYFUNCTION("LOWER(Regexreplace(to_text(E2034),""[^A-Za-z0-9]"","""")&amp;""_""&amp;Regexreplace(to_text(F2034),""[^A-Za-z0-9]"",""""))"),"neptronic_evcbseries")</f>
        <v>neptronic_evcbseries</v>
      </c>
      <c r="BG2034" s="275" t="str">
        <f>IFERROR(__xludf.DUMMYFUNCTION("upper(Regexreplace(to_text(E2034),""[^A-Za-z0-9]"","""")&amp;""-""&amp;Regexreplace(to_text(F2034),""[^A-Za-z0-9]"",""""))"),"NEPTRONIC-EVCBSERIES")</f>
        <v>NEPTRONIC-EVCBSERIES</v>
      </c>
    </row>
    <row r="2035" ht="30.0" customHeight="1">
      <c r="A2035" s="173">
        <v>2027.0</v>
      </c>
      <c r="B2035" s="328" t="s">
        <v>670</v>
      </c>
      <c r="C2035" s="257" t="s">
        <v>7273</v>
      </c>
      <c r="D2035" s="173" t="s">
        <v>7273</v>
      </c>
      <c r="E2035" s="174" t="s">
        <v>2861</v>
      </c>
      <c r="F2035" s="173" t="s">
        <v>2862</v>
      </c>
      <c r="G2035" s="328" t="s">
        <v>673</v>
      </c>
      <c r="H2035" s="328" t="s">
        <v>2863</v>
      </c>
      <c r="I2035" s="258" t="s">
        <v>2864</v>
      </c>
      <c r="J2035" s="259"/>
      <c r="K2035" s="260"/>
      <c r="L2035" s="359"/>
      <c r="M2035" s="359"/>
      <c r="N2035" s="173" t="s">
        <v>679</v>
      </c>
      <c r="O2035" s="173"/>
      <c r="P2035" s="262" t="str">
        <f t="shared" si="1"/>
        <v>IN-BLR-ANANTA-VAV-1607_</v>
      </c>
      <c r="Q2035" s="173" t="s">
        <v>7274</v>
      </c>
      <c r="R2035" s="328" t="str">
        <f>IFS(C2035="","",C2035="n/a","N/A",LEN(C2035),Concatenate("{",char(34),"asset",char(34),":{",char(34),"guid",char(34),":",char(34),Q2035,char(34),",",char(34),"site",char(34),":",char(34),LOWER('2-Building'!$B$4),char(34),",",char(34),"name",char(34),":",char(34),LOWER(C2035),char(34),"}}"))</f>
        <v>{"asset":{"guid":"uuid://cd9500cb-86c0-4f34-a789-d001f2ead6f7","site":"in-blr-ananta","name":"vav-1607"}}</v>
      </c>
      <c r="S2035" s="360" t="s">
        <v>5516</v>
      </c>
      <c r="T2035" s="330"/>
      <c r="U2035" s="330"/>
      <c r="V2035" s="331"/>
      <c r="W2035" s="332"/>
      <c r="X2035" s="333"/>
      <c r="Y2035" s="33" t="s">
        <v>2867</v>
      </c>
      <c r="Z2035" s="258">
        <v>121607.0</v>
      </c>
      <c r="AA2035" s="333"/>
      <c r="AB2035" s="333"/>
      <c r="AC2035" s="333"/>
      <c r="AD2035" s="329"/>
      <c r="AE2035" s="331"/>
      <c r="AF2035" s="336"/>
      <c r="AG2035" s="337"/>
      <c r="AH2035" s="333"/>
      <c r="AI2035" s="333"/>
      <c r="AJ2035" s="333"/>
      <c r="AK2035" s="328" t="s">
        <v>1209</v>
      </c>
      <c r="AL2035" s="328" t="s">
        <v>688</v>
      </c>
      <c r="AM2035" s="338"/>
      <c r="AN2035" s="333"/>
      <c r="AO2035" s="333"/>
      <c r="AP2035" s="333"/>
      <c r="AQ2035" s="333"/>
      <c r="AR2035" s="333"/>
      <c r="AS2035" s="333"/>
      <c r="AT2035" s="333"/>
      <c r="AU2035" s="329"/>
      <c r="AV2035" s="341"/>
      <c r="AW2035" s="269"/>
      <c r="AX2035" s="334" t="s">
        <v>2869</v>
      </c>
      <c r="AY2035" s="270" t="s">
        <v>695</v>
      </c>
      <c r="AZ2035" s="173" t="s">
        <v>5516</v>
      </c>
      <c r="BA2035" s="265">
        <v>10.0</v>
      </c>
      <c r="BB2035" s="174" t="s">
        <v>245</v>
      </c>
      <c r="BC2035" s="341"/>
      <c r="BD2035" s="308"/>
      <c r="BE2035" s="342"/>
      <c r="BF2035" s="274" t="str">
        <f>IFERROR(__xludf.DUMMYFUNCTION("LOWER(Regexreplace(to_text(E2035),""[^A-Za-z0-9]"","""")&amp;""_""&amp;Regexreplace(to_text(F2035),""[^A-Za-z0-9]"",""""))"),"neptronic_evcbseries")</f>
        <v>neptronic_evcbseries</v>
      </c>
      <c r="BG2035" s="275" t="str">
        <f>IFERROR(__xludf.DUMMYFUNCTION("upper(Regexreplace(to_text(E2035),""[^A-Za-z0-9]"","""")&amp;""-""&amp;Regexreplace(to_text(F2035),""[^A-Za-z0-9]"",""""))"),"NEPTRONIC-EVCBSERIES")</f>
        <v>NEPTRONIC-EVCBSERIES</v>
      </c>
    </row>
    <row r="2036" ht="30.0" customHeight="1">
      <c r="A2036" s="258">
        <v>2028.0</v>
      </c>
      <c r="B2036" s="328" t="s">
        <v>670</v>
      </c>
      <c r="C2036" s="257" t="s">
        <v>7275</v>
      </c>
      <c r="D2036" s="173" t="s">
        <v>7275</v>
      </c>
      <c r="E2036" s="174" t="s">
        <v>2861</v>
      </c>
      <c r="F2036" s="173" t="s">
        <v>2862</v>
      </c>
      <c r="G2036" s="328" t="s">
        <v>673</v>
      </c>
      <c r="H2036" s="328" t="s">
        <v>2863</v>
      </c>
      <c r="I2036" s="258" t="s">
        <v>2864</v>
      </c>
      <c r="J2036" s="259"/>
      <c r="K2036" s="260"/>
      <c r="L2036" s="359"/>
      <c r="M2036" s="359"/>
      <c r="N2036" s="173" t="s">
        <v>679</v>
      </c>
      <c r="O2036" s="173"/>
      <c r="P2036" s="262" t="str">
        <f t="shared" si="1"/>
        <v>IN-BLR-ANANTA-VAV-1608_</v>
      </c>
      <c r="Q2036" s="173" t="s">
        <v>7276</v>
      </c>
      <c r="R2036" s="328" t="str">
        <f>IFS(C2036="","",C2036="n/a","N/A",LEN(C2036),Concatenate("{",char(34),"asset",char(34),":{",char(34),"guid",char(34),":",char(34),Q2036,char(34),",",char(34),"site",char(34),":",char(34),LOWER('2-Building'!$B$4),char(34),",",char(34),"name",char(34),":",char(34),LOWER(C2036),char(34),"}}"))</f>
        <v>{"asset":{"guid":"uuid://bbe78c04-c06f-4a67-9b44-29785d2a50a9","site":"in-blr-ananta","name":"vav-1608"}}</v>
      </c>
      <c r="S2036" s="360" t="s">
        <v>5516</v>
      </c>
      <c r="T2036" s="330"/>
      <c r="U2036" s="330"/>
      <c r="V2036" s="331"/>
      <c r="W2036" s="332"/>
      <c r="X2036" s="333"/>
      <c r="Y2036" s="33" t="s">
        <v>2867</v>
      </c>
      <c r="Z2036" s="258">
        <v>121608.0</v>
      </c>
      <c r="AA2036" s="333"/>
      <c r="AB2036" s="333"/>
      <c r="AC2036" s="333"/>
      <c r="AD2036" s="329"/>
      <c r="AE2036" s="331"/>
      <c r="AF2036" s="336"/>
      <c r="AG2036" s="337"/>
      <c r="AH2036" s="333"/>
      <c r="AI2036" s="333"/>
      <c r="AJ2036" s="333"/>
      <c r="AK2036" s="328" t="s">
        <v>1215</v>
      </c>
      <c r="AL2036" s="328" t="s">
        <v>688</v>
      </c>
      <c r="AM2036" s="338"/>
      <c r="AN2036" s="333"/>
      <c r="AO2036" s="333"/>
      <c r="AP2036" s="333"/>
      <c r="AQ2036" s="333"/>
      <c r="AR2036" s="333"/>
      <c r="AS2036" s="333"/>
      <c r="AT2036" s="333"/>
      <c r="AU2036" s="329"/>
      <c r="AV2036" s="341"/>
      <c r="AW2036" s="269"/>
      <c r="AX2036" s="334" t="s">
        <v>2869</v>
      </c>
      <c r="AY2036" s="270" t="s">
        <v>695</v>
      </c>
      <c r="AZ2036" s="173" t="s">
        <v>5516</v>
      </c>
      <c r="BA2036" s="265">
        <v>10.0</v>
      </c>
      <c r="BB2036" s="174" t="s">
        <v>245</v>
      </c>
      <c r="BC2036" s="341"/>
      <c r="BD2036" s="308"/>
      <c r="BE2036" s="342"/>
      <c r="BF2036" s="274" t="str">
        <f>IFERROR(__xludf.DUMMYFUNCTION("LOWER(Regexreplace(to_text(E2036),""[^A-Za-z0-9]"","""")&amp;""_""&amp;Regexreplace(to_text(F2036),""[^A-Za-z0-9]"",""""))"),"neptronic_evcbseries")</f>
        <v>neptronic_evcbseries</v>
      </c>
      <c r="BG2036" s="275" t="str">
        <f>IFERROR(__xludf.DUMMYFUNCTION("upper(Regexreplace(to_text(E2036),""[^A-Za-z0-9]"","""")&amp;""-""&amp;Regexreplace(to_text(F2036),""[^A-Za-z0-9]"",""""))"),"NEPTRONIC-EVCBSERIES")</f>
        <v>NEPTRONIC-EVCBSERIES</v>
      </c>
    </row>
    <row r="2037" ht="30.0" customHeight="1">
      <c r="A2037" s="173">
        <v>2029.0</v>
      </c>
      <c r="B2037" s="328" t="s">
        <v>670</v>
      </c>
      <c r="C2037" s="257" t="s">
        <v>7277</v>
      </c>
      <c r="D2037" s="173" t="s">
        <v>7277</v>
      </c>
      <c r="E2037" s="174" t="s">
        <v>2861</v>
      </c>
      <c r="F2037" s="173" t="s">
        <v>2862</v>
      </c>
      <c r="G2037" s="328" t="s">
        <v>673</v>
      </c>
      <c r="H2037" s="328" t="s">
        <v>2863</v>
      </c>
      <c r="I2037" s="258" t="s">
        <v>2864</v>
      </c>
      <c r="J2037" s="259"/>
      <c r="K2037" s="260"/>
      <c r="L2037" s="359"/>
      <c r="M2037" s="359"/>
      <c r="N2037" s="173" t="s">
        <v>679</v>
      </c>
      <c r="O2037" s="173"/>
      <c r="P2037" s="262" t="str">
        <f t="shared" si="1"/>
        <v>IN-BLR-ANANTA-VAV-1609_</v>
      </c>
      <c r="Q2037" s="173" t="s">
        <v>7278</v>
      </c>
      <c r="R2037" s="328" t="str">
        <f>IFS(C2037="","",C2037="n/a","N/A",LEN(C2037),Concatenate("{",char(34),"asset",char(34),":{",char(34),"guid",char(34),":",char(34),Q2037,char(34),",",char(34),"site",char(34),":",char(34),LOWER('2-Building'!$B$4),char(34),",",char(34),"name",char(34),":",char(34),LOWER(C2037),char(34),"}}"))</f>
        <v>{"asset":{"guid":"uuid://2033f258-795c-43bf-93fd-3d48d8deecc2","site":"in-blr-ananta","name":"vav-1609"}}</v>
      </c>
      <c r="S2037" s="360" t="s">
        <v>5516</v>
      </c>
      <c r="T2037" s="330"/>
      <c r="U2037" s="330"/>
      <c r="V2037" s="331"/>
      <c r="W2037" s="332"/>
      <c r="X2037" s="333"/>
      <c r="Y2037" s="33" t="s">
        <v>2867</v>
      </c>
      <c r="Z2037" s="258">
        <v>121609.0</v>
      </c>
      <c r="AA2037" s="333"/>
      <c r="AB2037" s="333"/>
      <c r="AC2037" s="333"/>
      <c r="AD2037" s="329"/>
      <c r="AE2037" s="331"/>
      <c r="AF2037" s="336"/>
      <c r="AG2037" s="337"/>
      <c r="AH2037" s="333"/>
      <c r="AI2037" s="333"/>
      <c r="AJ2037" s="333"/>
      <c r="AK2037" s="328" t="s">
        <v>1220</v>
      </c>
      <c r="AL2037" s="328" t="s">
        <v>688</v>
      </c>
      <c r="AM2037" s="338"/>
      <c r="AN2037" s="333"/>
      <c r="AO2037" s="333"/>
      <c r="AP2037" s="333"/>
      <c r="AQ2037" s="333"/>
      <c r="AR2037" s="333"/>
      <c r="AS2037" s="333"/>
      <c r="AT2037" s="333"/>
      <c r="AU2037" s="329"/>
      <c r="AV2037" s="341"/>
      <c r="AW2037" s="269"/>
      <c r="AX2037" s="334" t="s">
        <v>2869</v>
      </c>
      <c r="AY2037" s="270" t="s">
        <v>695</v>
      </c>
      <c r="AZ2037" s="173" t="s">
        <v>5516</v>
      </c>
      <c r="BA2037" s="265">
        <v>10.0</v>
      </c>
      <c r="BB2037" s="174" t="s">
        <v>245</v>
      </c>
      <c r="BC2037" s="341"/>
      <c r="BD2037" s="308"/>
      <c r="BE2037" s="342"/>
      <c r="BF2037" s="274" t="str">
        <f>IFERROR(__xludf.DUMMYFUNCTION("LOWER(Regexreplace(to_text(E2037),""[^A-Za-z0-9]"","""")&amp;""_""&amp;Regexreplace(to_text(F2037),""[^A-Za-z0-9]"",""""))"),"neptronic_evcbseries")</f>
        <v>neptronic_evcbseries</v>
      </c>
      <c r="BG2037" s="275" t="str">
        <f>IFERROR(__xludf.DUMMYFUNCTION("upper(Regexreplace(to_text(E2037),""[^A-Za-z0-9]"","""")&amp;""-""&amp;Regexreplace(to_text(F2037),""[^A-Za-z0-9]"",""""))"),"NEPTRONIC-EVCBSERIES")</f>
        <v>NEPTRONIC-EVCBSERIES</v>
      </c>
    </row>
    <row r="2038" ht="30.0" customHeight="1">
      <c r="A2038" s="258">
        <v>2030.0</v>
      </c>
      <c r="B2038" s="328" t="s">
        <v>670</v>
      </c>
      <c r="C2038" s="257" t="s">
        <v>7279</v>
      </c>
      <c r="D2038" s="173" t="s">
        <v>7279</v>
      </c>
      <c r="E2038" s="174" t="s">
        <v>2861</v>
      </c>
      <c r="F2038" s="173" t="s">
        <v>2862</v>
      </c>
      <c r="G2038" s="328" t="s">
        <v>673</v>
      </c>
      <c r="H2038" s="328" t="s">
        <v>2863</v>
      </c>
      <c r="I2038" s="258" t="s">
        <v>2864</v>
      </c>
      <c r="J2038" s="259"/>
      <c r="K2038" s="260"/>
      <c r="L2038" s="359"/>
      <c r="M2038" s="359"/>
      <c r="N2038" s="173" t="s">
        <v>679</v>
      </c>
      <c r="O2038" s="173"/>
      <c r="P2038" s="262" t="str">
        <f t="shared" si="1"/>
        <v>IN-BLR-ANANTA-VAV-1610_</v>
      </c>
      <c r="Q2038" s="173" t="s">
        <v>7280</v>
      </c>
      <c r="R2038" s="328" t="str">
        <f>IFS(C2038="","",C2038="n/a","N/A",LEN(C2038),Concatenate("{",char(34),"asset",char(34),":{",char(34),"guid",char(34),":",char(34),Q2038,char(34),",",char(34),"site",char(34),":",char(34),LOWER('2-Building'!$B$4),char(34),",",char(34),"name",char(34),":",char(34),LOWER(C2038),char(34),"}}"))</f>
        <v>{"asset":{"guid":"uuid://ad7fa402-0a6b-4295-8ad9-2b17156a1590","site":"in-blr-ananta","name":"vav-1610"}}</v>
      </c>
      <c r="S2038" s="360" t="s">
        <v>5516</v>
      </c>
      <c r="T2038" s="330"/>
      <c r="U2038" s="330"/>
      <c r="V2038" s="331"/>
      <c r="W2038" s="332"/>
      <c r="X2038" s="333"/>
      <c r="Y2038" s="33" t="s">
        <v>2867</v>
      </c>
      <c r="Z2038" s="258">
        <v>121610.0</v>
      </c>
      <c r="AA2038" s="333"/>
      <c r="AB2038" s="333"/>
      <c r="AC2038" s="333"/>
      <c r="AD2038" s="329"/>
      <c r="AE2038" s="331"/>
      <c r="AF2038" s="336"/>
      <c r="AG2038" s="337"/>
      <c r="AH2038" s="333"/>
      <c r="AI2038" s="333"/>
      <c r="AJ2038" s="333"/>
      <c r="AK2038" s="328" t="s">
        <v>1225</v>
      </c>
      <c r="AL2038" s="328" t="s">
        <v>688</v>
      </c>
      <c r="AM2038" s="338"/>
      <c r="AN2038" s="333"/>
      <c r="AO2038" s="333"/>
      <c r="AP2038" s="333"/>
      <c r="AQ2038" s="333"/>
      <c r="AR2038" s="333"/>
      <c r="AS2038" s="333"/>
      <c r="AT2038" s="333"/>
      <c r="AU2038" s="329"/>
      <c r="AV2038" s="341"/>
      <c r="AW2038" s="269"/>
      <c r="AX2038" s="334" t="s">
        <v>2869</v>
      </c>
      <c r="AY2038" s="270" t="s">
        <v>695</v>
      </c>
      <c r="AZ2038" s="173" t="s">
        <v>5516</v>
      </c>
      <c r="BA2038" s="265">
        <v>10.0</v>
      </c>
      <c r="BB2038" s="174" t="s">
        <v>245</v>
      </c>
      <c r="BC2038" s="341"/>
      <c r="BD2038" s="308"/>
      <c r="BE2038" s="342"/>
      <c r="BF2038" s="274" t="str">
        <f>IFERROR(__xludf.DUMMYFUNCTION("LOWER(Regexreplace(to_text(E2038),""[^A-Za-z0-9]"","""")&amp;""_""&amp;Regexreplace(to_text(F2038),""[^A-Za-z0-9]"",""""))"),"neptronic_evcbseries")</f>
        <v>neptronic_evcbseries</v>
      </c>
      <c r="BG2038" s="275" t="str">
        <f>IFERROR(__xludf.DUMMYFUNCTION("upper(Regexreplace(to_text(E2038),""[^A-Za-z0-9]"","""")&amp;""-""&amp;Regexreplace(to_text(F2038),""[^A-Za-z0-9]"",""""))"),"NEPTRONIC-EVCBSERIES")</f>
        <v>NEPTRONIC-EVCBSERIES</v>
      </c>
    </row>
    <row r="2039" ht="30.0" customHeight="1">
      <c r="A2039" s="173">
        <v>2031.0</v>
      </c>
      <c r="B2039" s="328" t="s">
        <v>670</v>
      </c>
      <c r="C2039" s="257" t="s">
        <v>7281</v>
      </c>
      <c r="D2039" s="173" t="s">
        <v>7281</v>
      </c>
      <c r="E2039" s="174" t="s">
        <v>2861</v>
      </c>
      <c r="F2039" s="173" t="s">
        <v>2862</v>
      </c>
      <c r="G2039" s="328" t="s">
        <v>673</v>
      </c>
      <c r="H2039" s="328" t="s">
        <v>2863</v>
      </c>
      <c r="I2039" s="258" t="s">
        <v>2864</v>
      </c>
      <c r="J2039" s="259"/>
      <c r="K2039" s="260"/>
      <c r="L2039" s="359"/>
      <c r="M2039" s="359"/>
      <c r="N2039" s="173" t="s">
        <v>679</v>
      </c>
      <c r="O2039" s="173"/>
      <c r="P2039" s="262" t="str">
        <f t="shared" si="1"/>
        <v>IN-BLR-ANANTA-VAV-1611_</v>
      </c>
      <c r="Q2039" s="173" t="s">
        <v>7282</v>
      </c>
      <c r="R2039" s="328" t="str">
        <f>IFS(C2039="","",C2039="n/a","N/A",LEN(C2039),Concatenate("{",char(34),"asset",char(34),":{",char(34),"guid",char(34),":",char(34),Q2039,char(34),",",char(34),"site",char(34),":",char(34),LOWER('2-Building'!$B$4),char(34),",",char(34),"name",char(34),":",char(34),LOWER(C2039),char(34),"}}"))</f>
        <v>{"asset":{"guid":"uuid://7e7c3916-3f7c-4690-b50c-0fe37e21feae","site":"in-blr-ananta","name":"vav-1611"}}</v>
      </c>
      <c r="S2039" s="360" t="s">
        <v>5516</v>
      </c>
      <c r="T2039" s="330"/>
      <c r="U2039" s="330"/>
      <c r="V2039" s="331"/>
      <c r="W2039" s="332"/>
      <c r="X2039" s="333"/>
      <c r="Y2039" s="33" t="s">
        <v>2867</v>
      </c>
      <c r="Z2039" s="258">
        <v>121611.0</v>
      </c>
      <c r="AA2039" s="333"/>
      <c r="AB2039" s="333"/>
      <c r="AC2039" s="333"/>
      <c r="AD2039" s="329"/>
      <c r="AE2039" s="331"/>
      <c r="AF2039" s="336"/>
      <c r="AG2039" s="337"/>
      <c r="AH2039" s="333"/>
      <c r="AI2039" s="333"/>
      <c r="AJ2039" s="333"/>
      <c r="AK2039" s="328" t="s">
        <v>1230</v>
      </c>
      <c r="AL2039" s="328" t="s">
        <v>688</v>
      </c>
      <c r="AM2039" s="338"/>
      <c r="AN2039" s="333"/>
      <c r="AO2039" s="333"/>
      <c r="AP2039" s="333"/>
      <c r="AQ2039" s="333"/>
      <c r="AR2039" s="333"/>
      <c r="AS2039" s="333"/>
      <c r="AT2039" s="333"/>
      <c r="AU2039" s="329"/>
      <c r="AV2039" s="341"/>
      <c r="AW2039" s="269"/>
      <c r="AX2039" s="334" t="s">
        <v>2869</v>
      </c>
      <c r="AY2039" s="270" t="s">
        <v>695</v>
      </c>
      <c r="AZ2039" s="173" t="s">
        <v>5516</v>
      </c>
      <c r="BA2039" s="265">
        <v>10.0</v>
      </c>
      <c r="BB2039" s="174" t="s">
        <v>245</v>
      </c>
      <c r="BC2039" s="341"/>
      <c r="BD2039" s="308"/>
      <c r="BE2039" s="342"/>
      <c r="BF2039" s="274" t="str">
        <f>IFERROR(__xludf.DUMMYFUNCTION("LOWER(Regexreplace(to_text(E2039),""[^A-Za-z0-9]"","""")&amp;""_""&amp;Regexreplace(to_text(F2039),""[^A-Za-z0-9]"",""""))"),"neptronic_evcbseries")</f>
        <v>neptronic_evcbseries</v>
      </c>
      <c r="BG2039" s="275" t="str">
        <f>IFERROR(__xludf.DUMMYFUNCTION("upper(Regexreplace(to_text(E2039),""[^A-Za-z0-9]"","""")&amp;""-""&amp;Regexreplace(to_text(F2039),""[^A-Za-z0-9]"",""""))"),"NEPTRONIC-EVCBSERIES")</f>
        <v>NEPTRONIC-EVCBSERIES</v>
      </c>
    </row>
    <row r="2040" ht="30.0" customHeight="1">
      <c r="A2040" s="258">
        <v>2032.0</v>
      </c>
      <c r="B2040" s="328" t="s">
        <v>670</v>
      </c>
      <c r="C2040" s="257" t="s">
        <v>7283</v>
      </c>
      <c r="D2040" s="173" t="s">
        <v>7283</v>
      </c>
      <c r="E2040" s="174" t="s">
        <v>2861</v>
      </c>
      <c r="F2040" s="173" t="s">
        <v>2862</v>
      </c>
      <c r="G2040" s="328" t="s">
        <v>673</v>
      </c>
      <c r="H2040" s="328" t="s">
        <v>2863</v>
      </c>
      <c r="I2040" s="258" t="s">
        <v>2864</v>
      </c>
      <c r="J2040" s="259"/>
      <c r="K2040" s="260"/>
      <c r="L2040" s="359"/>
      <c r="M2040" s="359"/>
      <c r="N2040" s="173" t="s">
        <v>679</v>
      </c>
      <c r="O2040" s="173"/>
      <c r="P2040" s="262" t="str">
        <f t="shared" si="1"/>
        <v>IN-BLR-ANANTA-VAV-1612_</v>
      </c>
      <c r="Q2040" s="173" t="s">
        <v>7284</v>
      </c>
      <c r="R2040" s="328" t="str">
        <f>IFS(C2040="","",C2040="n/a","N/A",LEN(C2040),Concatenate("{",char(34),"asset",char(34),":{",char(34),"guid",char(34),":",char(34),Q2040,char(34),",",char(34),"site",char(34),":",char(34),LOWER('2-Building'!$B$4),char(34),",",char(34),"name",char(34),":",char(34),LOWER(C2040),char(34),"}}"))</f>
        <v>{"asset":{"guid":"uuid://4ed4e130-39c3-4f7c-ac38-599fc7af27df","site":"in-blr-ananta","name":"vav-1612"}}</v>
      </c>
      <c r="S2040" s="360" t="s">
        <v>5516</v>
      </c>
      <c r="T2040" s="330"/>
      <c r="U2040" s="330"/>
      <c r="V2040" s="331"/>
      <c r="W2040" s="332"/>
      <c r="X2040" s="333"/>
      <c r="Y2040" s="33" t="s">
        <v>2867</v>
      </c>
      <c r="Z2040" s="258">
        <v>121612.0</v>
      </c>
      <c r="AA2040" s="333"/>
      <c r="AB2040" s="333"/>
      <c r="AC2040" s="333"/>
      <c r="AD2040" s="329"/>
      <c r="AE2040" s="331"/>
      <c r="AF2040" s="336"/>
      <c r="AG2040" s="337"/>
      <c r="AH2040" s="333"/>
      <c r="AI2040" s="333"/>
      <c r="AJ2040" s="333"/>
      <c r="AK2040" s="328" t="s">
        <v>1235</v>
      </c>
      <c r="AL2040" s="328" t="s">
        <v>688</v>
      </c>
      <c r="AM2040" s="338"/>
      <c r="AN2040" s="333"/>
      <c r="AO2040" s="333"/>
      <c r="AP2040" s="333"/>
      <c r="AQ2040" s="333"/>
      <c r="AR2040" s="333"/>
      <c r="AS2040" s="333"/>
      <c r="AT2040" s="333"/>
      <c r="AU2040" s="329"/>
      <c r="AV2040" s="341"/>
      <c r="AW2040" s="269"/>
      <c r="AX2040" s="334" t="s">
        <v>2869</v>
      </c>
      <c r="AY2040" s="270" t="s">
        <v>695</v>
      </c>
      <c r="AZ2040" s="173" t="s">
        <v>5516</v>
      </c>
      <c r="BA2040" s="265">
        <v>10.0</v>
      </c>
      <c r="BB2040" s="174" t="s">
        <v>245</v>
      </c>
      <c r="BC2040" s="341"/>
      <c r="BD2040" s="308"/>
      <c r="BE2040" s="342"/>
      <c r="BF2040" s="274" t="str">
        <f>IFERROR(__xludf.DUMMYFUNCTION("LOWER(Regexreplace(to_text(E2040),""[^A-Za-z0-9]"","""")&amp;""_""&amp;Regexreplace(to_text(F2040),""[^A-Za-z0-9]"",""""))"),"neptronic_evcbseries")</f>
        <v>neptronic_evcbseries</v>
      </c>
      <c r="BG2040" s="275" t="str">
        <f>IFERROR(__xludf.DUMMYFUNCTION("upper(Regexreplace(to_text(E2040),""[^A-Za-z0-9]"","""")&amp;""-""&amp;Regexreplace(to_text(F2040),""[^A-Za-z0-9]"",""""))"),"NEPTRONIC-EVCBSERIES")</f>
        <v>NEPTRONIC-EVCBSERIES</v>
      </c>
    </row>
    <row r="2041" ht="30.0" customHeight="1">
      <c r="A2041" s="173">
        <v>2033.0</v>
      </c>
      <c r="B2041" s="328" t="s">
        <v>670</v>
      </c>
      <c r="C2041" s="257" t="s">
        <v>7285</v>
      </c>
      <c r="D2041" s="173" t="s">
        <v>7285</v>
      </c>
      <c r="E2041" s="174" t="s">
        <v>2861</v>
      </c>
      <c r="F2041" s="173" t="s">
        <v>2862</v>
      </c>
      <c r="G2041" s="328" t="s">
        <v>673</v>
      </c>
      <c r="H2041" s="328" t="s">
        <v>2863</v>
      </c>
      <c r="I2041" s="258" t="s">
        <v>2864</v>
      </c>
      <c r="J2041" s="259"/>
      <c r="K2041" s="260"/>
      <c r="L2041" s="359"/>
      <c r="M2041" s="359"/>
      <c r="N2041" s="173" t="s">
        <v>679</v>
      </c>
      <c r="O2041" s="173"/>
      <c r="P2041" s="262" t="str">
        <f t="shared" si="1"/>
        <v>IN-BLR-ANANTA-VAV-1613_</v>
      </c>
      <c r="Q2041" s="173" t="s">
        <v>7286</v>
      </c>
      <c r="R2041" s="328" t="str">
        <f>IFS(C2041="","",C2041="n/a","N/A",LEN(C2041),Concatenate("{",char(34),"asset",char(34),":{",char(34),"guid",char(34),":",char(34),Q2041,char(34),",",char(34),"site",char(34),":",char(34),LOWER('2-Building'!$B$4),char(34),",",char(34),"name",char(34),":",char(34),LOWER(C2041),char(34),"}}"))</f>
        <v>{"asset":{"guid":"uuid://e8ce658b-4a4c-4175-8448-d84ba62a7a14","site":"in-blr-ananta","name":"vav-1613"}}</v>
      </c>
      <c r="S2041" s="360" t="s">
        <v>5516</v>
      </c>
      <c r="T2041" s="330"/>
      <c r="U2041" s="330"/>
      <c r="V2041" s="331"/>
      <c r="W2041" s="332"/>
      <c r="X2041" s="333"/>
      <c r="Y2041" s="33" t="s">
        <v>2867</v>
      </c>
      <c r="Z2041" s="258">
        <v>121613.0</v>
      </c>
      <c r="AA2041" s="333"/>
      <c r="AB2041" s="333"/>
      <c r="AC2041" s="333"/>
      <c r="AD2041" s="329"/>
      <c r="AE2041" s="331"/>
      <c r="AF2041" s="336"/>
      <c r="AG2041" s="337"/>
      <c r="AH2041" s="333"/>
      <c r="AI2041" s="333"/>
      <c r="AJ2041" s="333"/>
      <c r="AK2041" s="328" t="s">
        <v>1240</v>
      </c>
      <c r="AL2041" s="328" t="s">
        <v>688</v>
      </c>
      <c r="AM2041" s="338"/>
      <c r="AN2041" s="333"/>
      <c r="AO2041" s="333"/>
      <c r="AP2041" s="333"/>
      <c r="AQ2041" s="333"/>
      <c r="AR2041" s="333"/>
      <c r="AS2041" s="333"/>
      <c r="AT2041" s="333"/>
      <c r="AU2041" s="329"/>
      <c r="AV2041" s="341"/>
      <c r="AW2041" s="269"/>
      <c r="AX2041" s="334" t="s">
        <v>2869</v>
      </c>
      <c r="AY2041" s="270" t="s">
        <v>695</v>
      </c>
      <c r="AZ2041" s="173" t="s">
        <v>5516</v>
      </c>
      <c r="BA2041" s="265">
        <v>10.0</v>
      </c>
      <c r="BB2041" s="174" t="s">
        <v>245</v>
      </c>
      <c r="BC2041" s="341"/>
      <c r="BD2041" s="308"/>
      <c r="BE2041" s="342"/>
      <c r="BF2041" s="274" t="str">
        <f>IFERROR(__xludf.DUMMYFUNCTION("LOWER(Regexreplace(to_text(E2041),""[^A-Za-z0-9]"","""")&amp;""_""&amp;Regexreplace(to_text(F2041),""[^A-Za-z0-9]"",""""))"),"neptronic_evcbseries")</f>
        <v>neptronic_evcbseries</v>
      </c>
      <c r="BG2041" s="275" t="str">
        <f>IFERROR(__xludf.DUMMYFUNCTION("upper(Regexreplace(to_text(E2041),""[^A-Za-z0-9]"","""")&amp;""-""&amp;Regexreplace(to_text(F2041),""[^A-Za-z0-9]"",""""))"),"NEPTRONIC-EVCBSERIES")</f>
        <v>NEPTRONIC-EVCBSERIES</v>
      </c>
    </row>
    <row r="2042" ht="30.0" customHeight="1">
      <c r="A2042" s="258">
        <v>2034.0</v>
      </c>
      <c r="B2042" s="328" t="s">
        <v>670</v>
      </c>
      <c r="C2042" s="257" t="s">
        <v>7287</v>
      </c>
      <c r="D2042" s="173" t="s">
        <v>7287</v>
      </c>
      <c r="E2042" s="174" t="s">
        <v>2861</v>
      </c>
      <c r="F2042" s="173" t="s">
        <v>2862</v>
      </c>
      <c r="G2042" s="328" t="s">
        <v>673</v>
      </c>
      <c r="H2042" s="328" t="s">
        <v>2863</v>
      </c>
      <c r="I2042" s="258" t="s">
        <v>2864</v>
      </c>
      <c r="J2042" s="259"/>
      <c r="K2042" s="260"/>
      <c r="L2042" s="359"/>
      <c r="M2042" s="359"/>
      <c r="N2042" s="173" t="s">
        <v>679</v>
      </c>
      <c r="O2042" s="173"/>
      <c r="P2042" s="262" t="str">
        <f t="shared" si="1"/>
        <v>IN-BLR-ANANTA-VAV-1614_</v>
      </c>
      <c r="Q2042" s="173" t="s">
        <v>7288</v>
      </c>
      <c r="R2042" s="328" t="str">
        <f>IFS(C2042="","",C2042="n/a","N/A",LEN(C2042),Concatenate("{",char(34),"asset",char(34),":{",char(34),"guid",char(34),":",char(34),Q2042,char(34),",",char(34),"site",char(34),":",char(34),LOWER('2-Building'!$B$4),char(34),",",char(34),"name",char(34),":",char(34),LOWER(C2042),char(34),"}}"))</f>
        <v>{"asset":{"guid":"uuid://38d342e7-03ee-4b64-8eaa-79cdaf29ec0a","site":"in-blr-ananta","name":"vav-1614"}}</v>
      </c>
      <c r="S2042" s="360" t="s">
        <v>5516</v>
      </c>
      <c r="T2042" s="330"/>
      <c r="U2042" s="330"/>
      <c r="V2042" s="331"/>
      <c r="W2042" s="332"/>
      <c r="X2042" s="333"/>
      <c r="Y2042" s="33" t="s">
        <v>2867</v>
      </c>
      <c r="Z2042" s="258">
        <v>121614.0</v>
      </c>
      <c r="AA2042" s="333"/>
      <c r="AB2042" s="333"/>
      <c r="AC2042" s="333"/>
      <c r="AD2042" s="329"/>
      <c r="AE2042" s="331"/>
      <c r="AF2042" s="336"/>
      <c r="AG2042" s="337"/>
      <c r="AH2042" s="333"/>
      <c r="AI2042" s="333"/>
      <c r="AJ2042" s="333"/>
      <c r="AK2042" s="328" t="s">
        <v>1245</v>
      </c>
      <c r="AL2042" s="328" t="s">
        <v>688</v>
      </c>
      <c r="AM2042" s="338"/>
      <c r="AN2042" s="333"/>
      <c r="AO2042" s="333"/>
      <c r="AP2042" s="333"/>
      <c r="AQ2042" s="333"/>
      <c r="AR2042" s="333"/>
      <c r="AS2042" s="333"/>
      <c r="AT2042" s="333"/>
      <c r="AU2042" s="329"/>
      <c r="AV2042" s="341"/>
      <c r="AW2042" s="269"/>
      <c r="AX2042" s="334" t="s">
        <v>2869</v>
      </c>
      <c r="AY2042" s="270" t="s">
        <v>695</v>
      </c>
      <c r="AZ2042" s="173" t="s">
        <v>5516</v>
      </c>
      <c r="BA2042" s="265">
        <v>10.0</v>
      </c>
      <c r="BB2042" s="174" t="s">
        <v>245</v>
      </c>
      <c r="BC2042" s="341"/>
      <c r="BD2042" s="308"/>
      <c r="BE2042" s="342"/>
      <c r="BF2042" s="274" t="str">
        <f>IFERROR(__xludf.DUMMYFUNCTION("LOWER(Regexreplace(to_text(E2042),""[^A-Za-z0-9]"","""")&amp;""_""&amp;Regexreplace(to_text(F2042),""[^A-Za-z0-9]"",""""))"),"neptronic_evcbseries")</f>
        <v>neptronic_evcbseries</v>
      </c>
      <c r="BG2042" s="275" t="str">
        <f>IFERROR(__xludf.DUMMYFUNCTION("upper(Regexreplace(to_text(E2042),""[^A-Za-z0-9]"","""")&amp;""-""&amp;Regexreplace(to_text(F2042),""[^A-Za-z0-9]"",""""))"),"NEPTRONIC-EVCBSERIES")</f>
        <v>NEPTRONIC-EVCBSERIES</v>
      </c>
    </row>
    <row r="2043" ht="30.0" customHeight="1">
      <c r="A2043" s="173">
        <v>2035.0</v>
      </c>
      <c r="B2043" s="328" t="s">
        <v>670</v>
      </c>
      <c r="C2043" s="257" t="s">
        <v>7289</v>
      </c>
      <c r="D2043" s="173" t="s">
        <v>7289</v>
      </c>
      <c r="E2043" s="174" t="s">
        <v>2861</v>
      </c>
      <c r="F2043" s="173" t="s">
        <v>2862</v>
      </c>
      <c r="G2043" s="328" t="s">
        <v>673</v>
      </c>
      <c r="H2043" s="328" t="s">
        <v>2863</v>
      </c>
      <c r="I2043" s="258" t="s">
        <v>2864</v>
      </c>
      <c r="J2043" s="259"/>
      <c r="K2043" s="260"/>
      <c r="L2043" s="359"/>
      <c r="M2043" s="359"/>
      <c r="N2043" s="173" t="s">
        <v>679</v>
      </c>
      <c r="O2043" s="173"/>
      <c r="P2043" s="262" t="str">
        <f t="shared" si="1"/>
        <v>IN-BLR-ANANTA-VAV-1615_</v>
      </c>
      <c r="Q2043" s="173" t="s">
        <v>7290</v>
      </c>
      <c r="R2043" s="328" t="str">
        <f>IFS(C2043="","",C2043="n/a","N/A",LEN(C2043),Concatenate("{",char(34),"asset",char(34),":{",char(34),"guid",char(34),":",char(34),Q2043,char(34),",",char(34),"site",char(34),":",char(34),LOWER('2-Building'!$B$4),char(34),",",char(34),"name",char(34),":",char(34),LOWER(C2043),char(34),"}}"))</f>
        <v>{"asset":{"guid":"uuid://764e029b-2ae5-4aa8-8581-c6537e068701","site":"in-blr-ananta","name":"vav-1615"}}</v>
      </c>
      <c r="S2043" s="360" t="s">
        <v>5516</v>
      </c>
      <c r="T2043" s="330"/>
      <c r="U2043" s="330"/>
      <c r="V2043" s="331"/>
      <c r="W2043" s="332"/>
      <c r="X2043" s="333"/>
      <c r="Y2043" s="33" t="s">
        <v>2867</v>
      </c>
      <c r="Z2043" s="258">
        <v>121615.0</v>
      </c>
      <c r="AA2043" s="333"/>
      <c r="AB2043" s="333"/>
      <c r="AC2043" s="333"/>
      <c r="AD2043" s="329"/>
      <c r="AE2043" s="331"/>
      <c r="AF2043" s="336"/>
      <c r="AG2043" s="337"/>
      <c r="AH2043" s="333"/>
      <c r="AI2043" s="333"/>
      <c r="AJ2043" s="333"/>
      <c r="AK2043" s="328" t="s">
        <v>1250</v>
      </c>
      <c r="AL2043" s="328" t="s">
        <v>688</v>
      </c>
      <c r="AM2043" s="338"/>
      <c r="AN2043" s="333"/>
      <c r="AO2043" s="333"/>
      <c r="AP2043" s="333"/>
      <c r="AQ2043" s="333"/>
      <c r="AR2043" s="333"/>
      <c r="AS2043" s="333"/>
      <c r="AT2043" s="333"/>
      <c r="AU2043" s="329"/>
      <c r="AV2043" s="341"/>
      <c r="AW2043" s="269"/>
      <c r="AX2043" s="334" t="s">
        <v>2869</v>
      </c>
      <c r="AY2043" s="270" t="s">
        <v>695</v>
      </c>
      <c r="AZ2043" s="173" t="s">
        <v>5516</v>
      </c>
      <c r="BA2043" s="265">
        <v>10.0</v>
      </c>
      <c r="BB2043" s="174" t="s">
        <v>245</v>
      </c>
      <c r="BC2043" s="341"/>
      <c r="BD2043" s="308"/>
      <c r="BE2043" s="342"/>
      <c r="BF2043" s="274" t="str">
        <f>IFERROR(__xludf.DUMMYFUNCTION("LOWER(Regexreplace(to_text(E2043),""[^A-Za-z0-9]"","""")&amp;""_""&amp;Regexreplace(to_text(F2043),""[^A-Za-z0-9]"",""""))"),"neptronic_evcbseries")</f>
        <v>neptronic_evcbseries</v>
      </c>
      <c r="BG2043" s="275" t="str">
        <f>IFERROR(__xludf.DUMMYFUNCTION("upper(Regexreplace(to_text(E2043),""[^A-Za-z0-9]"","""")&amp;""-""&amp;Regexreplace(to_text(F2043),""[^A-Za-z0-9]"",""""))"),"NEPTRONIC-EVCBSERIES")</f>
        <v>NEPTRONIC-EVCBSERIES</v>
      </c>
    </row>
    <row r="2044" ht="30.0" customHeight="1">
      <c r="A2044" s="258">
        <v>2036.0</v>
      </c>
      <c r="B2044" s="328" t="s">
        <v>670</v>
      </c>
      <c r="C2044" s="257" t="s">
        <v>7291</v>
      </c>
      <c r="D2044" s="173" t="s">
        <v>7291</v>
      </c>
      <c r="E2044" s="174" t="s">
        <v>2861</v>
      </c>
      <c r="F2044" s="173" t="s">
        <v>2862</v>
      </c>
      <c r="G2044" s="328" t="s">
        <v>673</v>
      </c>
      <c r="H2044" s="328" t="s">
        <v>2863</v>
      </c>
      <c r="I2044" s="258" t="s">
        <v>2864</v>
      </c>
      <c r="J2044" s="259"/>
      <c r="K2044" s="260"/>
      <c r="L2044" s="359"/>
      <c r="M2044" s="359"/>
      <c r="N2044" s="173" t="s">
        <v>679</v>
      </c>
      <c r="O2044" s="173"/>
      <c r="P2044" s="262" t="str">
        <f t="shared" si="1"/>
        <v>IN-BLR-ANANTA-VAV-1616_</v>
      </c>
      <c r="Q2044" s="173" t="s">
        <v>7292</v>
      </c>
      <c r="R2044" s="328" t="str">
        <f>IFS(C2044="","",C2044="n/a","N/A",LEN(C2044),Concatenate("{",char(34),"asset",char(34),":{",char(34),"guid",char(34),":",char(34),Q2044,char(34),",",char(34),"site",char(34),":",char(34),LOWER('2-Building'!$B$4),char(34),",",char(34),"name",char(34),":",char(34),LOWER(C2044),char(34),"}}"))</f>
        <v>{"asset":{"guid":"uuid://139523a6-0afb-42e6-a596-32b96cb6ec06","site":"in-blr-ananta","name":"vav-1616"}}</v>
      </c>
      <c r="S2044" s="360" t="s">
        <v>5516</v>
      </c>
      <c r="T2044" s="330"/>
      <c r="U2044" s="330"/>
      <c r="V2044" s="331"/>
      <c r="W2044" s="332"/>
      <c r="X2044" s="333"/>
      <c r="Y2044" s="33" t="s">
        <v>2867</v>
      </c>
      <c r="Z2044" s="258">
        <v>121616.0</v>
      </c>
      <c r="AA2044" s="333"/>
      <c r="AB2044" s="333"/>
      <c r="AC2044" s="333"/>
      <c r="AD2044" s="329"/>
      <c r="AE2044" s="331"/>
      <c r="AF2044" s="336"/>
      <c r="AG2044" s="337"/>
      <c r="AH2044" s="333"/>
      <c r="AI2044" s="333"/>
      <c r="AJ2044" s="333"/>
      <c r="AK2044" s="328" t="s">
        <v>1255</v>
      </c>
      <c r="AL2044" s="328" t="s">
        <v>688</v>
      </c>
      <c r="AM2044" s="338"/>
      <c r="AN2044" s="333"/>
      <c r="AO2044" s="333"/>
      <c r="AP2044" s="333"/>
      <c r="AQ2044" s="333"/>
      <c r="AR2044" s="333"/>
      <c r="AS2044" s="333"/>
      <c r="AT2044" s="333"/>
      <c r="AU2044" s="329"/>
      <c r="AV2044" s="341"/>
      <c r="AW2044" s="269"/>
      <c r="AX2044" s="334" t="s">
        <v>2869</v>
      </c>
      <c r="AY2044" s="270" t="s">
        <v>695</v>
      </c>
      <c r="AZ2044" s="173" t="s">
        <v>5516</v>
      </c>
      <c r="BA2044" s="265">
        <v>10.0</v>
      </c>
      <c r="BB2044" s="174" t="s">
        <v>245</v>
      </c>
      <c r="BC2044" s="341"/>
      <c r="BD2044" s="308"/>
      <c r="BE2044" s="342"/>
      <c r="BF2044" s="274" t="str">
        <f>IFERROR(__xludf.DUMMYFUNCTION("LOWER(Regexreplace(to_text(E2044),""[^A-Za-z0-9]"","""")&amp;""_""&amp;Regexreplace(to_text(F2044),""[^A-Za-z0-9]"",""""))"),"neptronic_evcbseries")</f>
        <v>neptronic_evcbseries</v>
      </c>
      <c r="BG2044" s="275" t="str">
        <f>IFERROR(__xludf.DUMMYFUNCTION("upper(Regexreplace(to_text(E2044),""[^A-Za-z0-9]"","""")&amp;""-""&amp;Regexreplace(to_text(F2044),""[^A-Za-z0-9]"",""""))"),"NEPTRONIC-EVCBSERIES")</f>
        <v>NEPTRONIC-EVCBSERIES</v>
      </c>
    </row>
    <row r="2045" ht="30.0" customHeight="1">
      <c r="A2045" s="173">
        <v>2037.0</v>
      </c>
      <c r="B2045" s="328" t="s">
        <v>670</v>
      </c>
      <c r="C2045" s="257" t="s">
        <v>7293</v>
      </c>
      <c r="D2045" s="173" t="s">
        <v>7293</v>
      </c>
      <c r="E2045" s="174" t="s">
        <v>2861</v>
      </c>
      <c r="F2045" s="173" t="s">
        <v>2862</v>
      </c>
      <c r="G2045" s="328" t="s">
        <v>673</v>
      </c>
      <c r="H2045" s="328" t="s">
        <v>2863</v>
      </c>
      <c r="I2045" s="258" t="s">
        <v>2864</v>
      </c>
      <c r="J2045" s="259"/>
      <c r="K2045" s="260"/>
      <c r="L2045" s="359"/>
      <c r="M2045" s="359"/>
      <c r="N2045" s="173" t="s">
        <v>679</v>
      </c>
      <c r="O2045" s="173"/>
      <c r="P2045" s="262" t="str">
        <f t="shared" si="1"/>
        <v>IN-BLR-ANANTA-VAV-1617_</v>
      </c>
      <c r="Q2045" s="173" t="s">
        <v>7294</v>
      </c>
      <c r="R2045" s="328" t="str">
        <f>IFS(C2045="","",C2045="n/a","N/A",LEN(C2045),Concatenate("{",char(34),"asset",char(34),":{",char(34),"guid",char(34),":",char(34),Q2045,char(34),",",char(34),"site",char(34),":",char(34),LOWER('2-Building'!$B$4),char(34),",",char(34),"name",char(34),":",char(34),LOWER(C2045),char(34),"}}"))</f>
        <v>{"asset":{"guid":"uuid://c57ab6e7-7b4e-4c12-a160-5ab831d3bbb9","site":"in-blr-ananta","name":"vav-1617"}}</v>
      </c>
      <c r="S2045" s="360" t="s">
        <v>5516</v>
      </c>
      <c r="T2045" s="330"/>
      <c r="U2045" s="330"/>
      <c r="V2045" s="331"/>
      <c r="W2045" s="332"/>
      <c r="X2045" s="333"/>
      <c r="Y2045" s="33" t="s">
        <v>2867</v>
      </c>
      <c r="Z2045" s="258">
        <v>121617.0</v>
      </c>
      <c r="AA2045" s="333"/>
      <c r="AB2045" s="333"/>
      <c r="AC2045" s="333"/>
      <c r="AD2045" s="329"/>
      <c r="AE2045" s="331"/>
      <c r="AF2045" s="336"/>
      <c r="AG2045" s="337"/>
      <c r="AH2045" s="333"/>
      <c r="AI2045" s="333"/>
      <c r="AJ2045" s="333"/>
      <c r="AK2045" s="328" t="s">
        <v>1260</v>
      </c>
      <c r="AL2045" s="328" t="s">
        <v>688</v>
      </c>
      <c r="AM2045" s="338"/>
      <c r="AN2045" s="333"/>
      <c r="AO2045" s="333"/>
      <c r="AP2045" s="333"/>
      <c r="AQ2045" s="333"/>
      <c r="AR2045" s="333"/>
      <c r="AS2045" s="333"/>
      <c r="AT2045" s="333"/>
      <c r="AU2045" s="329"/>
      <c r="AV2045" s="341"/>
      <c r="AW2045" s="269"/>
      <c r="AX2045" s="334" t="s">
        <v>2869</v>
      </c>
      <c r="AY2045" s="270" t="s">
        <v>695</v>
      </c>
      <c r="AZ2045" s="173" t="s">
        <v>5516</v>
      </c>
      <c r="BA2045" s="265">
        <v>10.0</v>
      </c>
      <c r="BB2045" s="174" t="s">
        <v>245</v>
      </c>
      <c r="BC2045" s="341"/>
      <c r="BD2045" s="308"/>
      <c r="BE2045" s="342"/>
      <c r="BF2045" s="274" t="str">
        <f>IFERROR(__xludf.DUMMYFUNCTION("LOWER(Regexreplace(to_text(E2045),""[^A-Za-z0-9]"","""")&amp;""_""&amp;Regexreplace(to_text(F2045),""[^A-Za-z0-9]"",""""))"),"neptronic_evcbseries")</f>
        <v>neptronic_evcbseries</v>
      </c>
      <c r="BG2045" s="275" t="str">
        <f>IFERROR(__xludf.DUMMYFUNCTION("upper(Regexreplace(to_text(E2045),""[^A-Za-z0-9]"","""")&amp;""-""&amp;Regexreplace(to_text(F2045),""[^A-Za-z0-9]"",""""))"),"NEPTRONIC-EVCBSERIES")</f>
        <v>NEPTRONIC-EVCBSERIES</v>
      </c>
    </row>
    <row r="2046" ht="30.0" customHeight="1">
      <c r="A2046" s="258">
        <v>2038.0</v>
      </c>
      <c r="B2046" s="328" t="s">
        <v>670</v>
      </c>
      <c r="C2046" s="257" t="s">
        <v>7295</v>
      </c>
      <c r="D2046" s="173" t="s">
        <v>7295</v>
      </c>
      <c r="E2046" s="174" t="s">
        <v>2861</v>
      </c>
      <c r="F2046" s="173" t="s">
        <v>2862</v>
      </c>
      <c r="G2046" s="328" t="s">
        <v>673</v>
      </c>
      <c r="H2046" s="328" t="s">
        <v>2863</v>
      </c>
      <c r="I2046" s="258" t="s">
        <v>2864</v>
      </c>
      <c r="J2046" s="259"/>
      <c r="K2046" s="260"/>
      <c r="L2046" s="359"/>
      <c r="M2046" s="359"/>
      <c r="N2046" s="173" t="s">
        <v>679</v>
      </c>
      <c r="O2046" s="173"/>
      <c r="P2046" s="262" t="str">
        <f t="shared" si="1"/>
        <v>IN-BLR-ANANTA-VAV-1618_</v>
      </c>
      <c r="Q2046" s="173" t="s">
        <v>7296</v>
      </c>
      <c r="R2046" s="328" t="str">
        <f>IFS(C2046="","",C2046="n/a","N/A",LEN(C2046),Concatenate("{",char(34),"asset",char(34),":{",char(34),"guid",char(34),":",char(34),Q2046,char(34),",",char(34),"site",char(34),":",char(34),LOWER('2-Building'!$B$4),char(34),",",char(34),"name",char(34),":",char(34),LOWER(C2046),char(34),"}}"))</f>
        <v>{"asset":{"guid":"uuid://5cf9cb99-cba4-4f2d-b3b6-e6712841be66","site":"in-blr-ananta","name":"vav-1618"}}</v>
      </c>
      <c r="S2046" s="360" t="s">
        <v>5516</v>
      </c>
      <c r="T2046" s="330"/>
      <c r="U2046" s="330"/>
      <c r="V2046" s="331"/>
      <c r="W2046" s="332"/>
      <c r="X2046" s="333"/>
      <c r="Y2046" s="33" t="s">
        <v>2867</v>
      </c>
      <c r="Z2046" s="258">
        <v>121618.0</v>
      </c>
      <c r="AA2046" s="333"/>
      <c r="AB2046" s="333"/>
      <c r="AC2046" s="333"/>
      <c r="AD2046" s="329"/>
      <c r="AE2046" s="331"/>
      <c r="AF2046" s="336"/>
      <c r="AG2046" s="337"/>
      <c r="AH2046" s="333"/>
      <c r="AI2046" s="333"/>
      <c r="AJ2046" s="333"/>
      <c r="AK2046" s="328" t="s">
        <v>1265</v>
      </c>
      <c r="AL2046" s="328" t="s">
        <v>688</v>
      </c>
      <c r="AM2046" s="338"/>
      <c r="AN2046" s="333"/>
      <c r="AO2046" s="333"/>
      <c r="AP2046" s="333"/>
      <c r="AQ2046" s="333"/>
      <c r="AR2046" s="333"/>
      <c r="AS2046" s="333"/>
      <c r="AT2046" s="333"/>
      <c r="AU2046" s="329"/>
      <c r="AV2046" s="341"/>
      <c r="AW2046" s="269"/>
      <c r="AX2046" s="334" t="s">
        <v>2869</v>
      </c>
      <c r="AY2046" s="270" t="s">
        <v>695</v>
      </c>
      <c r="AZ2046" s="173" t="s">
        <v>5516</v>
      </c>
      <c r="BA2046" s="265">
        <v>10.0</v>
      </c>
      <c r="BB2046" s="174" t="s">
        <v>245</v>
      </c>
      <c r="BC2046" s="341"/>
      <c r="BD2046" s="308"/>
      <c r="BE2046" s="342"/>
      <c r="BF2046" s="274" t="str">
        <f>IFERROR(__xludf.DUMMYFUNCTION("LOWER(Regexreplace(to_text(E2046),""[^A-Za-z0-9]"","""")&amp;""_""&amp;Regexreplace(to_text(F2046),""[^A-Za-z0-9]"",""""))"),"neptronic_evcbseries")</f>
        <v>neptronic_evcbseries</v>
      </c>
      <c r="BG2046" s="275" t="str">
        <f>IFERROR(__xludf.DUMMYFUNCTION("upper(Regexreplace(to_text(E2046),""[^A-Za-z0-9]"","""")&amp;""-""&amp;Regexreplace(to_text(F2046),""[^A-Za-z0-9]"",""""))"),"NEPTRONIC-EVCBSERIES")</f>
        <v>NEPTRONIC-EVCBSERIES</v>
      </c>
    </row>
    <row r="2047" ht="30.0" customHeight="1">
      <c r="A2047" s="173">
        <v>2039.0</v>
      </c>
      <c r="B2047" s="328" t="s">
        <v>670</v>
      </c>
      <c r="C2047" s="257" t="s">
        <v>7297</v>
      </c>
      <c r="D2047" s="173" t="s">
        <v>7297</v>
      </c>
      <c r="E2047" s="174" t="s">
        <v>2861</v>
      </c>
      <c r="F2047" s="173" t="s">
        <v>2862</v>
      </c>
      <c r="G2047" s="328" t="s">
        <v>673</v>
      </c>
      <c r="H2047" s="328" t="s">
        <v>2863</v>
      </c>
      <c r="I2047" s="258" t="s">
        <v>2864</v>
      </c>
      <c r="J2047" s="259"/>
      <c r="K2047" s="260"/>
      <c r="L2047" s="359"/>
      <c r="M2047" s="359"/>
      <c r="N2047" s="173" t="s">
        <v>679</v>
      </c>
      <c r="O2047" s="173"/>
      <c r="P2047" s="262" t="str">
        <f t="shared" si="1"/>
        <v>IN-BLR-ANANTA-VAV-1619_</v>
      </c>
      <c r="Q2047" s="173" t="s">
        <v>7298</v>
      </c>
      <c r="R2047" s="328" t="str">
        <f>IFS(C2047="","",C2047="n/a","N/A",LEN(C2047),Concatenate("{",char(34),"asset",char(34),":{",char(34),"guid",char(34),":",char(34),Q2047,char(34),",",char(34),"site",char(34),":",char(34),LOWER('2-Building'!$B$4),char(34),",",char(34),"name",char(34),":",char(34),LOWER(C2047),char(34),"}}"))</f>
        <v>{"asset":{"guid":"uuid://4d2c21b7-d67e-404f-b667-6309ef05eb52","site":"in-blr-ananta","name":"vav-1619"}}</v>
      </c>
      <c r="S2047" s="360" t="s">
        <v>5516</v>
      </c>
      <c r="T2047" s="330"/>
      <c r="U2047" s="330"/>
      <c r="V2047" s="331"/>
      <c r="W2047" s="332"/>
      <c r="X2047" s="333"/>
      <c r="Y2047" s="33" t="s">
        <v>2867</v>
      </c>
      <c r="Z2047" s="258">
        <v>121619.0</v>
      </c>
      <c r="AA2047" s="333"/>
      <c r="AB2047" s="333"/>
      <c r="AC2047" s="333"/>
      <c r="AD2047" s="329"/>
      <c r="AE2047" s="331"/>
      <c r="AF2047" s="336"/>
      <c r="AG2047" s="337"/>
      <c r="AH2047" s="333"/>
      <c r="AI2047" s="333"/>
      <c r="AJ2047" s="333"/>
      <c r="AK2047" s="328" t="s">
        <v>1270</v>
      </c>
      <c r="AL2047" s="328" t="s">
        <v>688</v>
      </c>
      <c r="AM2047" s="338"/>
      <c r="AN2047" s="333"/>
      <c r="AO2047" s="333"/>
      <c r="AP2047" s="333"/>
      <c r="AQ2047" s="333"/>
      <c r="AR2047" s="333"/>
      <c r="AS2047" s="333"/>
      <c r="AT2047" s="333"/>
      <c r="AU2047" s="329"/>
      <c r="AV2047" s="341"/>
      <c r="AW2047" s="269"/>
      <c r="AX2047" s="334" t="s">
        <v>2869</v>
      </c>
      <c r="AY2047" s="270" t="s">
        <v>695</v>
      </c>
      <c r="AZ2047" s="173" t="s">
        <v>5516</v>
      </c>
      <c r="BA2047" s="265">
        <v>10.0</v>
      </c>
      <c r="BB2047" s="174" t="s">
        <v>245</v>
      </c>
      <c r="BC2047" s="341"/>
      <c r="BD2047" s="308"/>
      <c r="BE2047" s="342"/>
      <c r="BF2047" s="274" t="str">
        <f>IFERROR(__xludf.DUMMYFUNCTION("LOWER(Regexreplace(to_text(E2047),""[^A-Za-z0-9]"","""")&amp;""_""&amp;Regexreplace(to_text(F2047),""[^A-Za-z0-9]"",""""))"),"neptronic_evcbseries")</f>
        <v>neptronic_evcbseries</v>
      </c>
      <c r="BG2047" s="275" t="str">
        <f>IFERROR(__xludf.DUMMYFUNCTION("upper(Regexreplace(to_text(E2047),""[^A-Za-z0-9]"","""")&amp;""-""&amp;Regexreplace(to_text(F2047),""[^A-Za-z0-9]"",""""))"),"NEPTRONIC-EVCBSERIES")</f>
        <v>NEPTRONIC-EVCBSERIES</v>
      </c>
    </row>
    <row r="2048" ht="30.0" customHeight="1">
      <c r="A2048" s="258">
        <v>2040.0</v>
      </c>
      <c r="B2048" s="328" t="s">
        <v>670</v>
      </c>
      <c r="C2048" s="257" t="s">
        <v>7299</v>
      </c>
      <c r="D2048" s="173" t="s">
        <v>7299</v>
      </c>
      <c r="E2048" s="174" t="s">
        <v>2861</v>
      </c>
      <c r="F2048" s="173" t="s">
        <v>2862</v>
      </c>
      <c r="G2048" s="328" t="s">
        <v>673</v>
      </c>
      <c r="H2048" s="328" t="s">
        <v>2863</v>
      </c>
      <c r="I2048" s="258" t="s">
        <v>2864</v>
      </c>
      <c r="J2048" s="259"/>
      <c r="K2048" s="260"/>
      <c r="L2048" s="359"/>
      <c r="M2048" s="359"/>
      <c r="N2048" s="173" t="s">
        <v>679</v>
      </c>
      <c r="O2048" s="173"/>
      <c r="P2048" s="262" t="str">
        <f t="shared" si="1"/>
        <v>IN-BLR-ANANTA-VAV-1620_</v>
      </c>
      <c r="Q2048" s="173" t="s">
        <v>7300</v>
      </c>
      <c r="R2048" s="328" t="str">
        <f>IFS(C2048="","",C2048="n/a","N/A",LEN(C2048),Concatenate("{",char(34),"asset",char(34),":{",char(34),"guid",char(34),":",char(34),Q2048,char(34),",",char(34),"site",char(34),":",char(34),LOWER('2-Building'!$B$4),char(34),",",char(34),"name",char(34),":",char(34),LOWER(C2048),char(34),"}}"))</f>
        <v>{"asset":{"guid":"uuid://685e4e93-ec92-4d78-94a2-fc1012171873","site":"in-blr-ananta","name":"vav-1620"}}</v>
      </c>
      <c r="S2048" s="360" t="s">
        <v>5516</v>
      </c>
      <c r="T2048" s="330"/>
      <c r="U2048" s="330"/>
      <c r="V2048" s="331"/>
      <c r="W2048" s="332"/>
      <c r="X2048" s="333"/>
      <c r="Y2048" s="33" t="s">
        <v>2867</v>
      </c>
      <c r="Z2048" s="258">
        <v>121620.0</v>
      </c>
      <c r="AA2048" s="333"/>
      <c r="AB2048" s="333"/>
      <c r="AC2048" s="333"/>
      <c r="AD2048" s="329"/>
      <c r="AE2048" s="331"/>
      <c r="AF2048" s="336"/>
      <c r="AG2048" s="337"/>
      <c r="AH2048" s="333"/>
      <c r="AI2048" s="333"/>
      <c r="AJ2048" s="333"/>
      <c r="AK2048" s="328" t="s">
        <v>1276</v>
      </c>
      <c r="AL2048" s="328" t="s">
        <v>688</v>
      </c>
      <c r="AM2048" s="338"/>
      <c r="AN2048" s="333"/>
      <c r="AO2048" s="333"/>
      <c r="AP2048" s="333"/>
      <c r="AQ2048" s="333"/>
      <c r="AR2048" s="333"/>
      <c r="AS2048" s="333"/>
      <c r="AT2048" s="333"/>
      <c r="AU2048" s="329"/>
      <c r="AV2048" s="341"/>
      <c r="AW2048" s="269"/>
      <c r="AX2048" s="334" t="s">
        <v>2869</v>
      </c>
      <c r="AY2048" s="270" t="s">
        <v>695</v>
      </c>
      <c r="AZ2048" s="173" t="s">
        <v>5516</v>
      </c>
      <c r="BA2048" s="265">
        <v>10.0</v>
      </c>
      <c r="BB2048" s="174" t="s">
        <v>245</v>
      </c>
      <c r="BC2048" s="341"/>
      <c r="BD2048" s="308"/>
      <c r="BE2048" s="342"/>
      <c r="BF2048" s="274" t="str">
        <f>IFERROR(__xludf.DUMMYFUNCTION("LOWER(Regexreplace(to_text(E2048),""[^A-Za-z0-9]"","""")&amp;""_""&amp;Regexreplace(to_text(F2048),""[^A-Za-z0-9]"",""""))"),"neptronic_evcbseries")</f>
        <v>neptronic_evcbseries</v>
      </c>
      <c r="BG2048" s="275" t="str">
        <f>IFERROR(__xludf.DUMMYFUNCTION("upper(Regexreplace(to_text(E2048),""[^A-Za-z0-9]"","""")&amp;""-""&amp;Regexreplace(to_text(F2048),""[^A-Za-z0-9]"",""""))"),"NEPTRONIC-EVCBSERIES")</f>
        <v>NEPTRONIC-EVCBSERIES</v>
      </c>
    </row>
    <row r="2049" ht="30.0" customHeight="1">
      <c r="A2049" s="173">
        <v>2041.0</v>
      </c>
      <c r="B2049" s="328" t="s">
        <v>670</v>
      </c>
      <c r="C2049" s="257" t="s">
        <v>7301</v>
      </c>
      <c r="D2049" s="173" t="s">
        <v>7301</v>
      </c>
      <c r="E2049" s="174" t="s">
        <v>2861</v>
      </c>
      <c r="F2049" s="173" t="s">
        <v>2862</v>
      </c>
      <c r="G2049" s="328" t="s">
        <v>673</v>
      </c>
      <c r="H2049" s="328" t="s">
        <v>2863</v>
      </c>
      <c r="I2049" s="258" t="s">
        <v>2864</v>
      </c>
      <c r="J2049" s="259"/>
      <c r="K2049" s="260"/>
      <c r="L2049" s="359"/>
      <c r="M2049" s="359"/>
      <c r="N2049" s="173" t="s">
        <v>679</v>
      </c>
      <c r="O2049" s="173"/>
      <c r="P2049" s="262" t="str">
        <f t="shared" si="1"/>
        <v>IN-BLR-ANANTA-VAV-1621_</v>
      </c>
      <c r="Q2049" s="173" t="s">
        <v>7302</v>
      </c>
      <c r="R2049" s="328" t="str">
        <f>IFS(C2049="","",C2049="n/a","N/A",LEN(C2049),Concatenate("{",char(34),"asset",char(34),":{",char(34),"guid",char(34),":",char(34),Q2049,char(34),",",char(34),"site",char(34),":",char(34),LOWER('2-Building'!$B$4),char(34),",",char(34),"name",char(34),":",char(34),LOWER(C2049),char(34),"}}"))</f>
        <v>{"asset":{"guid":"uuid://9ed3b826-be34-49d5-9e76-033eda63b18a","site":"in-blr-ananta","name":"vav-1621"}}</v>
      </c>
      <c r="S2049" s="360" t="s">
        <v>5516</v>
      </c>
      <c r="T2049" s="330"/>
      <c r="U2049" s="330"/>
      <c r="V2049" s="331"/>
      <c r="W2049" s="332"/>
      <c r="X2049" s="333"/>
      <c r="Y2049" s="33" t="s">
        <v>2867</v>
      </c>
      <c r="Z2049" s="258">
        <v>121621.0</v>
      </c>
      <c r="AA2049" s="333"/>
      <c r="AB2049" s="333"/>
      <c r="AC2049" s="333"/>
      <c r="AD2049" s="329"/>
      <c r="AE2049" s="331"/>
      <c r="AF2049" s="336"/>
      <c r="AG2049" s="337"/>
      <c r="AH2049" s="333"/>
      <c r="AI2049" s="333"/>
      <c r="AJ2049" s="333"/>
      <c r="AK2049" s="328" t="s">
        <v>1281</v>
      </c>
      <c r="AL2049" s="328" t="s">
        <v>688</v>
      </c>
      <c r="AM2049" s="338"/>
      <c r="AN2049" s="333"/>
      <c r="AO2049" s="333"/>
      <c r="AP2049" s="333"/>
      <c r="AQ2049" s="333"/>
      <c r="AR2049" s="333"/>
      <c r="AS2049" s="333"/>
      <c r="AT2049" s="333"/>
      <c r="AU2049" s="329"/>
      <c r="AV2049" s="341"/>
      <c r="AW2049" s="269"/>
      <c r="AX2049" s="334" t="s">
        <v>2869</v>
      </c>
      <c r="AY2049" s="270" t="s">
        <v>695</v>
      </c>
      <c r="AZ2049" s="173" t="s">
        <v>5516</v>
      </c>
      <c r="BA2049" s="265">
        <v>10.0</v>
      </c>
      <c r="BB2049" s="174" t="s">
        <v>245</v>
      </c>
      <c r="BC2049" s="341"/>
      <c r="BD2049" s="308"/>
      <c r="BE2049" s="342"/>
      <c r="BF2049" s="274" t="str">
        <f>IFERROR(__xludf.DUMMYFUNCTION("LOWER(Regexreplace(to_text(E2049),""[^A-Za-z0-9]"","""")&amp;""_""&amp;Regexreplace(to_text(F2049),""[^A-Za-z0-9]"",""""))"),"neptronic_evcbseries")</f>
        <v>neptronic_evcbseries</v>
      </c>
      <c r="BG2049" s="275" t="str">
        <f>IFERROR(__xludf.DUMMYFUNCTION("upper(Regexreplace(to_text(E2049),""[^A-Za-z0-9]"","""")&amp;""-""&amp;Regexreplace(to_text(F2049),""[^A-Za-z0-9]"",""""))"),"NEPTRONIC-EVCBSERIES")</f>
        <v>NEPTRONIC-EVCBSERIES</v>
      </c>
    </row>
    <row r="2050" ht="30.0" customHeight="1">
      <c r="A2050" s="258">
        <v>2042.0</v>
      </c>
      <c r="B2050" s="328" t="s">
        <v>670</v>
      </c>
      <c r="C2050" s="257" t="s">
        <v>7303</v>
      </c>
      <c r="D2050" s="173" t="s">
        <v>7303</v>
      </c>
      <c r="E2050" s="174" t="s">
        <v>2861</v>
      </c>
      <c r="F2050" s="173" t="s">
        <v>2862</v>
      </c>
      <c r="G2050" s="328" t="s">
        <v>673</v>
      </c>
      <c r="H2050" s="328" t="s">
        <v>2863</v>
      </c>
      <c r="I2050" s="258" t="s">
        <v>2864</v>
      </c>
      <c r="J2050" s="259"/>
      <c r="K2050" s="260"/>
      <c r="L2050" s="359"/>
      <c r="M2050" s="359"/>
      <c r="N2050" s="173" t="s">
        <v>679</v>
      </c>
      <c r="O2050" s="173"/>
      <c r="P2050" s="262" t="str">
        <f t="shared" si="1"/>
        <v>IN-BLR-ANANTA-VAV-1622_</v>
      </c>
      <c r="Q2050" s="173" t="s">
        <v>7304</v>
      </c>
      <c r="R2050" s="328" t="str">
        <f>IFS(C2050="","",C2050="n/a","N/A",LEN(C2050),Concatenate("{",char(34),"asset",char(34),":{",char(34),"guid",char(34),":",char(34),Q2050,char(34),",",char(34),"site",char(34),":",char(34),LOWER('2-Building'!$B$4),char(34),",",char(34),"name",char(34),":",char(34),LOWER(C2050),char(34),"}}"))</f>
        <v>{"asset":{"guid":"uuid://18b3b3c9-bf7c-429d-bb6c-655633cfb3c8","site":"in-blr-ananta","name":"vav-1622"}}</v>
      </c>
      <c r="S2050" s="360" t="s">
        <v>5516</v>
      </c>
      <c r="T2050" s="330"/>
      <c r="U2050" s="330"/>
      <c r="V2050" s="331"/>
      <c r="W2050" s="332"/>
      <c r="X2050" s="333"/>
      <c r="Y2050" s="33" t="s">
        <v>2867</v>
      </c>
      <c r="Z2050" s="258">
        <v>121622.0</v>
      </c>
      <c r="AA2050" s="333"/>
      <c r="AB2050" s="333"/>
      <c r="AC2050" s="333"/>
      <c r="AD2050" s="329"/>
      <c r="AE2050" s="331"/>
      <c r="AF2050" s="336"/>
      <c r="AG2050" s="337"/>
      <c r="AH2050" s="333"/>
      <c r="AI2050" s="333"/>
      <c r="AJ2050" s="333"/>
      <c r="AK2050" s="328" t="s">
        <v>1286</v>
      </c>
      <c r="AL2050" s="328" t="s">
        <v>688</v>
      </c>
      <c r="AM2050" s="338"/>
      <c r="AN2050" s="333"/>
      <c r="AO2050" s="333"/>
      <c r="AP2050" s="333"/>
      <c r="AQ2050" s="333"/>
      <c r="AR2050" s="333"/>
      <c r="AS2050" s="333"/>
      <c r="AT2050" s="333"/>
      <c r="AU2050" s="329"/>
      <c r="AV2050" s="341"/>
      <c r="AW2050" s="269"/>
      <c r="AX2050" s="334" t="s">
        <v>2869</v>
      </c>
      <c r="AY2050" s="270" t="s">
        <v>695</v>
      </c>
      <c r="AZ2050" s="173" t="s">
        <v>5516</v>
      </c>
      <c r="BA2050" s="265">
        <v>10.0</v>
      </c>
      <c r="BB2050" s="174" t="s">
        <v>245</v>
      </c>
      <c r="BC2050" s="341"/>
      <c r="BD2050" s="308"/>
      <c r="BE2050" s="342"/>
      <c r="BF2050" s="274" t="str">
        <f>IFERROR(__xludf.DUMMYFUNCTION("LOWER(Regexreplace(to_text(E2050),""[^A-Za-z0-9]"","""")&amp;""_""&amp;Regexreplace(to_text(F2050),""[^A-Za-z0-9]"",""""))"),"neptronic_evcbseries")</f>
        <v>neptronic_evcbseries</v>
      </c>
      <c r="BG2050" s="275" t="str">
        <f>IFERROR(__xludf.DUMMYFUNCTION("upper(Regexreplace(to_text(E2050),""[^A-Za-z0-9]"","""")&amp;""-""&amp;Regexreplace(to_text(F2050),""[^A-Za-z0-9]"",""""))"),"NEPTRONIC-EVCBSERIES")</f>
        <v>NEPTRONIC-EVCBSERIES</v>
      </c>
    </row>
    <row r="2051" ht="30.0" customHeight="1">
      <c r="A2051" s="173">
        <v>2043.0</v>
      </c>
      <c r="B2051" s="328" t="s">
        <v>670</v>
      </c>
      <c r="C2051" s="257" t="s">
        <v>7305</v>
      </c>
      <c r="D2051" s="173" t="s">
        <v>7305</v>
      </c>
      <c r="E2051" s="174" t="s">
        <v>2861</v>
      </c>
      <c r="F2051" s="173" t="s">
        <v>2862</v>
      </c>
      <c r="G2051" s="328" t="s">
        <v>673</v>
      </c>
      <c r="H2051" s="328" t="s">
        <v>2863</v>
      </c>
      <c r="I2051" s="258" t="s">
        <v>2864</v>
      </c>
      <c r="J2051" s="259"/>
      <c r="K2051" s="260"/>
      <c r="L2051" s="359"/>
      <c r="M2051" s="359"/>
      <c r="N2051" s="173" t="s">
        <v>679</v>
      </c>
      <c r="O2051" s="173"/>
      <c r="P2051" s="262" t="str">
        <f t="shared" si="1"/>
        <v>IN-BLR-ANANTA-VAV-1623_</v>
      </c>
      <c r="Q2051" s="173" t="s">
        <v>7306</v>
      </c>
      <c r="R2051" s="328" t="str">
        <f>IFS(C2051="","",C2051="n/a","N/A",LEN(C2051),Concatenate("{",char(34),"asset",char(34),":{",char(34),"guid",char(34),":",char(34),Q2051,char(34),",",char(34),"site",char(34),":",char(34),LOWER('2-Building'!$B$4),char(34),",",char(34),"name",char(34),":",char(34),LOWER(C2051),char(34),"}}"))</f>
        <v>{"asset":{"guid":"uuid://14190e4e-8c4e-433f-9a19-77ff0dabda30","site":"in-blr-ananta","name":"vav-1623"}}</v>
      </c>
      <c r="S2051" s="360" t="s">
        <v>5516</v>
      </c>
      <c r="T2051" s="330"/>
      <c r="U2051" s="330"/>
      <c r="V2051" s="331"/>
      <c r="W2051" s="332"/>
      <c r="X2051" s="333"/>
      <c r="Y2051" s="33" t="s">
        <v>2867</v>
      </c>
      <c r="Z2051" s="258">
        <v>121623.0</v>
      </c>
      <c r="AA2051" s="333"/>
      <c r="AB2051" s="333"/>
      <c r="AC2051" s="333"/>
      <c r="AD2051" s="329"/>
      <c r="AE2051" s="331"/>
      <c r="AF2051" s="336"/>
      <c r="AG2051" s="337"/>
      <c r="AH2051" s="333"/>
      <c r="AI2051" s="333"/>
      <c r="AJ2051" s="333"/>
      <c r="AK2051" s="328" t="s">
        <v>1291</v>
      </c>
      <c r="AL2051" s="328" t="s">
        <v>688</v>
      </c>
      <c r="AM2051" s="338"/>
      <c r="AN2051" s="333"/>
      <c r="AO2051" s="333"/>
      <c r="AP2051" s="333"/>
      <c r="AQ2051" s="333"/>
      <c r="AR2051" s="333"/>
      <c r="AS2051" s="333"/>
      <c r="AT2051" s="333"/>
      <c r="AU2051" s="329"/>
      <c r="AV2051" s="341"/>
      <c r="AW2051" s="269"/>
      <c r="AX2051" s="334" t="s">
        <v>2869</v>
      </c>
      <c r="AY2051" s="270" t="s">
        <v>695</v>
      </c>
      <c r="AZ2051" s="173" t="s">
        <v>5516</v>
      </c>
      <c r="BA2051" s="265">
        <v>10.0</v>
      </c>
      <c r="BB2051" s="174" t="s">
        <v>245</v>
      </c>
      <c r="BC2051" s="341"/>
      <c r="BD2051" s="308"/>
      <c r="BE2051" s="342"/>
      <c r="BF2051" s="274" t="str">
        <f>IFERROR(__xludf.DUMMYFUNCTION("LOWER(Regexreplace(to_text(E2051),""[^A-Za-z0-9]"","""")&amp;""_""&amp;Regexreplace(to_text(F2051),""[^A-Za-z0-9]"",""""))"),"neptronic_evcbseries")</f>
        <v>neptronic_evcbseries</v>
      </c>
      <c r="BG2051" s="275" t="str">
        <f>IFERROR(__xludf.DUMMYFUNCTION("upper(Regexreplace(to_text(E2051),""[^A-Za-z0-9]"","""")&amp;""-""&amp;Regexreplace(to_text(F2051),""[^A-Za-z0-9]"",""""))"),"NEPTRONIC-EVCBSERIES")</f>
        <v>NEPTRONIC-EVCBSERIES</v>
      </c>
    </row>
    <row r="2052" ht="30.0" customHeight="1">
      <c r="A2052" s="258">
        <v>2044.0</v>
      </c>
      <c r="B2052" s="328" t="s">
        <v>670</v>
      </c>
      <c r="C2052" s="257" t="s">
        <v>7307</v>
      </c>
      <c r="D2052" s="173" t="s">
        <v>7307</v>
      </c>
      <c r="E2052" s="174" t="s">
        <v>2861</v>
      </c>
      <c r="F2052" s="173" t="s">
        <v>2862</v>
      </c>
      <c r="G2052" s="328" t="s">
        <v>673</v>
      </c>
      <c r="H2052" s="328" t="s">
        <v>2863</v>
      </c>
      <c r="I2052" s="258" t="s">
        <v>2864</v>
      </c>
      <c r="J2052" s="259"/>
      <c r="K2052" s="260"/>
      <c r="L2052" s="359"/>
      <c r="M2052" s="359"/>
      <c r="N2052" s="173" t="s">
        <v>679</v>
      </c>
      <c r="O2052" s="173"/>
      <c r="P2052" s="262" t="str">
        <f t="shared" si="1"/>
        <v>IN-BLR-ANANTA-VAV-1624_</v>
      </c>
      <c r="Q2052" s="173" t="s">
        <v>7308</v>
      </c>
      <c r="R2052" s="328" t="str">
        <f>IFS(C2052="","",C2052="n/a","N/A",LEN(C2052),Concatenate("{",char(34),"asset",char(34),":{",char(34),"guid",char(34),":",char(34),Q2052,char(34),",",char(34),"site",char(34),":",char(34),LOWER('2-Building'!$B$4),char(34),",",char(34),"name",char(34),":",char(34),LOWER(C2052),char(34),"}}"))</f>
        <v>{"asset":{"guid":"uuid://5261e561-93c1-43b1-ae84-8b3487bd373f","site":"in-blr-ananta","name":"vav-1624"}}</v>
      </c>
      <c r="S2052" s="360" t="s">
        <v>5516</v>
      </c>
      <c r="T2052" s="330"/>
      <c r="U2052" s="330"/>
      <c r="V2052" s="331"/>
      <c r="W2052" s="332"/>
      <c r="X2052" s="333"/>
      <c r="Y2052" s="33" t="s">
        <v>2867</v>
      </c>
      <c r="Z2052" s="258">
        <v>121624.0</v>
      </c>
      <c r="AA2052" s="333"/>
      <c r="AB2052" s="333"/>
      <c r="AC2052" s="333"/>
      <c r="AD2052" s="329"/>
      <c r="AE2052" s="331"/>
      <c r="AF2052" s="336"/>
      <c r="AG2052" s="337"/>
      <c r="AH2052" s="333"/>
      <c r="AI2052" s="333"/>
      <c r="AJ2052" s="333"/>
      <c r="AK2052" s="328" t="s">
        <v>1296</v>
      </c>
      <c r="AL2052" s="328" t="s">
        <v>688</v>
      </c>
      <c r="AM2052" s="338"/>
      <c r="AN2052" s="333"/>
      <c r="AO2052" s="333"/>
      <c r="AP2052" s="333"/>
      <c r="AQ2052" s="333"/>
      <c r="AR2052" s="333"/>
      <c r="AS2052" s="333"/>
      <c r="AT2052" s="333"/>
      <c r="AU2052" s="329"/>
      <c r="AV2052" s="341"/>
      <c r="AW2052" s="269"/>
      <c r="AX2052" s="334" t="s">
        <v>2869</v>
      </c>
      <c r="AY2052" s="270" t="s">
        <v>695</v>
      </c>
      <c r="AZ2052" s="173" t="s">
        <v>5516</v>
      </c>
      <c r="BA2052" s="265">
        <v>10.0</v>
      </c>
      <c r="BB2052" s="174" t="s">
        <v>245</v>
      </c>
      <c r="BC2052" s="341"/>
      <c r="BD2052" s="308"/>
      <c r="BE2052" s="342"/>
      <c r="BF2052" s="274" t="str">
        <f>IFERROR(__xludf.DUMMYFUNCTION("LOWER(Regexreplace(to_text(E2052),""[^A-Za-z0-9]"","""")&amp;""_""&amp;Regexreplace(to_text(F2052),""[^A-Za-z0-9]"",""""))"),"neptronic_evcbseries")</f>
        <v>neptronic_evcbseries</v>
      </c>
      <c r="BG2052" s="275" t="str">
        <f>IFERROR(__xludf.DUMMYFUNCTION("upper(Regexreplace(to_text(E2052),""[^A-Za-z0-9]"","""")&amp;""-""&amp;Regexreplace(to_text(F2052),""[^A-Za-z0-9]"",""""))"),"NEPTRONIC-EVCBSERIES")</f>
        <v>NEPTRONIC-EVCBSERIES</v>
      </c>
    </row>
    <row r="2053" ht="30.0" customHeight="1">
      <c r="A2053" s="173">
        <v>2045.0</v>
      </c>
      <c r="B2053" s="328" t="s">
        <v>670</v>
      </c>
      <c r="C2053" s="257" t="s">
        <v>7309</v>
      </c>
      <c r="D2053" s="173" t="s">
        <v>7309</v>
      </c>
      <c r="E2053" s="174" t="s">
        <v>2861</v>
      </c>
      <c r="F2053" s="173" t="s">
        <v>2862</v>
      </c>
      <c r="G2053" s="328" t="s">
        <v>673</v>
      </c>
      <c r="H2053" s="328" t="s">
        <v>2863</v>
      </c>
      <c r="I2053" s="258" t="s">
        <v>2864</v>
      </c>
      <c r="J2053" s="259"/>
      <c r="K2053" s="260"/>
      <c r="L2053" s="359"/>
      <c r="M2053" s="359"/>
      <c r="N2053" s="173" t="s">
        <v>679</v>
      </c>
      <c r="O2053" s="173"/>
      <c r="P2053" s="262" t="str">
        <f t="shared" si="1"/>
        <v>IN-BLR-ANANTA-VAV-1625_</v>
      </c>
      <c r="Q2053" s="173" t="s">
        <v>7310</v>
      </c>
      <c r="R2053" s="328" t="str">
        <f>IFS(C2053="","",C2053="n/a","N/A",LEN(C2053),Concatenate("{",char(34),"asset",char(34),":{",char(34),"guid",char(34),":",char(34),Q2053,char(34),",",char(34),"site",char(34),":",char(34),LOWER('2-Building'!$B$4),char(34),",",char(34),"name",char(34),":",char(34),LOWER(C2053),char(34),"}}"))</f>
        <v>{"asset":{"guid":"uuid://0d123681-1edb-45b0-8896-019bd3a3529f","site":"in-blr-ananta","name":"vav-1625"}}</v>
      </c>
      <c r="S2053" s="360" t="s">
        <v>5516</v>
      </c>
      <c r="T2053" s="330"/>
      <c r="U2053" s="330"/>
      <c r="V2053" s="331"/>
      <c r="W2053" s="332"/>
      <c r="X2053" s="333"/>
      <c r="Y2053" s="33" t="s">
        <v>2867</v>
      </c>
      <c r="Z2053" s="258">
        <v>121625.0</v>
      </c>
      <c r="AA2053" s="333"/>
      <c r="AB2053" s="333"/>
      <c r="AC2053" s="333"/>
      <c r="AD2053" s="329"/>
      <c r="AE2053" s="331"/>
      <c r="AF2053" s="336"/>
      <c r="AG2053" s="337"/>
      <c r="AH2053" s="333"/>
      <c r="AI2053" s="333"/>
      <c r="AJ2053" s="333"/>
      <c r="AK2053" s="328" t="s">
        <v>1301</v>
      </c>
      <c r="AL2053" s="328" t="s">
        <v>688</v>
      </c>
      <c r="AM2053" s="338"/>
      <c r="AN2053" s="333"/>
      <c r="AO2053" s="333"/>
      <c r="AP2053" s="333"/>
      <c r="AQ2053" s="333"/>
      <c r="AR2053" s="333"/>
      <c r="AS2053" s="333"/>
      <c r="AT2053" s="333"/>
      <c r="AU2053" s="329"/>
      <c r="AV2053" s="341"/>
      <c r="AW2053" s="269"/>
      <c r="AX2053" s="334" t="s">
        <v>2869</v>
      </c>
      <c r="AY2053" s="270" t="s">
        <v>695</v>
      </c>
      <c r="AZ2053" s="173" t="s">
        <v>5516</v>
      </c>
      <c r="BA2053" s="265">
        <v>10.0</v>
      </c>
      <c r="BB2053" s="174" t="s">
        <v>245</v>
      </c>
      <c r="BC2053" s="341"/>
      <c r="BD2053" s="308"/>
      <c r="BE2053" s="342"/>
      <c r="BF2053" s="274" t="str">
        <f>IFERROR(__xludf.DUMMYFUNCTION("LOWER(Regexreplace(to_text(E2053),""[^A-Za-z0-9]"","""")&amp;""_""&amp;Regexreplace(to_text(F2053),""[^A-Za-z0-9]"",""""))"),"neptronic_evcbseries")</f>
        <v>neptronic_evcbseries</v>
      </c>
      <c r="BG2053" s="275" t="str">
        <f>IFERROR(__xludf.DUMMYFUNCTION("upper(Regexreplace(to_text(E2053),""[^A-Za-z0-9]"","""")&amp;""-""&amp;Regexreplace(to_text(F2053),""[^A-Za-z0-9]"",""""))"),"NEPTRONIC-EVCBSERIES")</f>
        <v>NEPTRONIC-EVCBSERIES</v>
      </c>
    </row>
    <row r="2054" ht="30.0" customHeight="1">
      <c r="A2054" s="258">
        <v>2046.0</v>
      </c>
      <c r="B2054" s="328" t="s">
        <v>670</v>
      </c>
      <c r="C2054" s="257" t="s">
        <v>7311</v>
      </c>
      <c r="D2054" s="173" t="s">
        <v>7311</v>
      </c>
      <c r="E2054" s="174" t="s">
        <v>2861</v>
      </c>
      <c r="F2054" s="173" t="s">
        <v>2862</v>
      </c>
      <c r="G2054" s="328" t="s">
        <v>673</v>
      </c>
      <c r="H2054" s="328" t="s">
        <v>2863</v>
      </c>
      <c r="I2054" s="258" t="s">
        <v>2864</v>
      </c>
      <c r="J2054" s="259"/>
      <c r="K2054" s="260"/>
      <c r="L2054" s="359"/>
      <c r="M2054" s="359"/>
      <c r="N2054" s="173" t="s">
        <v>679</v>
      </c>
      <c r="O2054" s="173"/>
      <c r="P2054" s="262" t="str">
        <f t="shared" si="1"/>
        <v>IN-BLR-ANANTA-VAV-1626_</v>
      </c>
      <c r="Q2054" s="173" t="s">
        <v>7312</v>
      </c>
      <c r="R2054" s="328" t="str">
        <f>IFS(C2054="","",C2054="n/a","N/A",LEN(C2054),Concatenate("{",char(34),"asset",char(34),":{",char(34),"guid",char(34),":",char(34),Q2054,char(34),",",char(34),"site",char(34),":",char(34),LOWER('2-Building'!$B$4),char(34),",",char(34),"name",char(34),":",char(34),LOWER(C2054),char(34),"}}"))</f>
        <v>{"asset":{"guid":"uuid://ed1b8975-d7c2-4fb8-adfc-4f9fd2e996e9","site":"in-blr-ananta","name":"vav-1626"}}</v>
      </c>
      <c r="S2054" s="360" t="s">
        <v>5516</v>
      </c>
      <c r="T2054" s="330"/>
      <c r="U2054" s="330"/>
      <c r="V2054" s="331"/>
      <c r="W2054" s="332"/>
      <c r="X2054" s="333"/>
      <c r="Y2054" s="33" t="s">
        <v>2867</v>
      </c>
      <c r="Z2054" s="258">
        <v>121626.0</v>
      </c>
      <c r="AA2054" s="333"/>
      <c r="AB2054" s="333"/>
      <c r="AC2054" s="333"/>
      <c r="AD2054" s="329"/>
      <c r="AE2054" s="331"/>
      <c r="AF2054" s="336"/>
      <c r="AG2054" s="337"/>
      <c r="AH2054" s="333"/>
      <c r="AI2054" s="333"/>
      <c r="AJ2054" s="333"/>
      <c r="AK2054" s="328" t="s">
        <v>1306</v>
      </c>
      <c r="AL2054" s="328" t="s">
        <v>688</v>
      </c>
      <c r="AM2054" s="338"/>
      <c r="AN2054" s="333"/>
      <c r="AO2054" s="333"/>
      <c r="AP2054" s="333"/>
      <c r="AQ2054" s="333"/>
      <c r="AR2054" s="333"/>
      <c r="AS2054" s="333"/>
      <c r="AT2054" s="333"/>
      <c r="AU2054" s="329"/>
      <c r="AV2054" s="341"/>
      <c r="AW2054" s="269"/>
      <c r="AX2054" s="334" t="s">
        <v>2869</v>
      </c>
      <c r="AY2054" s="270" t="s">
        <v>695</v>
      </c>
      <c r="AZ2054" s="173" t="s">
        <v>5516</v>
      </c>
      <c r="BA2054" s="265">
        <v>10.0</v>
      </c>
      <c r="BB2054" s="174" t="s">
        <v>245</v>
      </c>
      <c r="BC2054" s="341"/>
      <c r="BD2054" s="308"/>
      <c r="BE2054" s="342"/>
      <c r="BF2054" s="274" t="str">
        <f>IFERROR(__xludf.DUMMYFUNCTION("LOWER(Regexreplace(to_text(E2054),""[^A-Za-z0-9]"","""")&amp;""_""&amp;Regexreplace(to_text(F2054),""[^A-Za-z0-9]"",""""))"),"neptronic_evcbseries")</f>
        <v>neptronic_evcbseries</v>
      </c>
      <c r="BG2054" s="275" t="str">
        <f>IFERROR(__xludf.DUMMYFUNCTION("upper(Regexreplace(to_text(E2054),""[^A-Za-z0-9]"","""")&amp;""-""&amp;Regexreplace(to_text(F2054),""[^A-Za-z0-9]"",""""))"),"NEPTRONIC-EVCBSERIES")</f>
        <v>NEPTRONIC-EVCBSERIES</v>
      </c>
    </row>
    <row r="2055" ht="30.0" customHeight="1">
      <c r="A2055" s="173">
        <v>2047.0</v>
      </c>
      <c r="B2055" s="328" t="s">
        <v>670</v>
      </c>
      <c r="C2055" s="257" t="s">
        <v>7313</v>
      </c>
      <c r="D2055" s="173" t="s">
        <v>7313</v>
      </c>
      <c r="E2055" s="174" t="s">
        <v>2861</v>
      </c>
      <c r="F2055" s="173" t="s">
        <v>2862</v>
      </c>
      <c r="G2055" s="328" t="s">
        <v>673</v>
      </c>
      <c r="H2055" s="328" t="s">
        <v>2863</v>
      </c>
      <c r="I2055" s="258" t="s">
        <v>2864</v>
      </c>
      <c r="J2055" s="259"/>
      <c r="K2055" s="260"/>
      <c r="L2055" s="359"/>
      <c r="M2055" s="359"/>
      <c r="N2055" s="173" t="s">
        <v>679</v>
      </c>
      <c r="O2055" s="173"/>
      <c r="P2055" s="262" t="str">
        <f t="shared" si="1"/>
        <v>IN-BLR-ANANTA-VAV-1627_</v>
      </c>
      <c r="Q2055" s="173" t="s">
        <v>7314</v>
      </c>
      <c r="R2055" s="328" t="str">
        <f>IFS(C2055="","",C2055="n/a","N/A",LEN(C2055),Concatenate("{",char(34),"asset",char(34),":{",char(34),"guid",char(34),":",char(34),Q2055,char(34),",",char(34),"site",char(34),":",char(34),LOWER('2-Building'!$B$4),char(34),",",char(34),"name",char(34),":",char(34),LOWER(C2055),char(34),"}}"))</f>
        <v>{"asset":{"guid":"uuid://c427094f-1ce8-4597-bd2f-76578ca27c0f","site":"in-blr-ananta","name":"vav-1627"}}</v>
      </c>
      <c r="S2055" s="360" t="s">
        <v>5516</v>
      </c>
      <c r="T2055" s="330"/>
      <c r="U2055" s="330"/>
      <c r="V2055" s="331"/>
      <c r="W2055" s="332"/>
      <c r="X2055" s="333"/>
      <c r="Y2055" s="33" t="s">
        <v>2867</v>
      </c>
      <c r="Z2055" s="258">
        <v>121627.0</v>
      </c>
      <c r="AA2055" s="333"/>
      <c r="AB2055" s="333"/>
      <c r="AC2055" s="333"/>
      <c r="AD2055" s="329"/>
      <c r="AE2055" s="331"/>
      <c r="AF2055" s="336"/>
      <c r="AG2055" s="337"/>
      <c r="AH2055" s="333"/>
      <c r="AI2055" s="333"/>
      <c r="AJ2055" s="333"/>
      <c r="AK2055" s="328" t="s">
        <v>1311</v>
      </c>
      <c r="AL2055" s="328" t="s">
        <v>688</v>
      </c>
      <c r="AM2055" s="338"/>
      <c r="AN2055" s="333"/>
      <c r="AO2055" s="333"/>
      <c r="AP2055" s="333"/>
      <c r="AQ2055" s="333"/>
      <c r="AR2055" s="333"/>
      <c r="AS2055" s="333"/>
      <c r="AT2055" s="333"/>
      <c r="AU2055" s="329"/>
      <c r="AV2055" s="341"/>
      <c r="AW2055" s="269"/>
      <c r="AX2055" s="334" t="s">
        <v>2869</v>
      </c>
      <c r="AY2055" s="270" t="s">
        <v>695</v>
      </c>
      <c r="AZ2055" s="173" t="s">
        <v>5516</v>
      </c>
      <c r="BA2055" s="265">
        <v>10.0</v>
      </c>
      <c r="BB2055" s="174" t="s">
        <v>245</v>
      </c>
      <c r="BC2055" s="341"/>
      <c r="BD2055" s="308"/>
      <c r="BE2055" s="342"/>
      <c r="BF2055" s="274" t="str">
        <f>IFERROR(__xludf.DUMMYFUNCTION("LOWER(Regexreplace(to_text(E2055),""[^A-Za-z0-9]"","""")&amp;""_""&amp;Regexreplace(to_text(F2055),""[^A-Za-z0-9]"",""""))"),"neptronic_evcbseries")</f>
        <v>neptronic_evcbseries</v>
      </c>
      <c r="BG2055" s="275" t="str">
        <f>IFERROR(__xludf.DUMMYFUNCTION("upper(Regexreplace(to_text(E2055),""[^A-Za-z0-9]"","""")&amp;""-""&amp;Regexreplace(to_text(F2055),""[^A-Za-z0-9]"",""""))"),"NEPTRONIC-EVCBSERIES")</f>
        <v>NEPTRONIC-EVCBSERIES</v>
      </c>
    </row>
    <row r="2056" ht="30.0" customHeight="1">
      <c r="A2056" s="258">
        <v>2048.0</v>
      </c>
      <c r="B2056" s="328" t="s">
        <v>670</v>
      </c>
      <c r="C2056" s="257" t="s">
        <v>7315</v>
      </c>
      <c r="D2056" s="173" t="s">
        <v>7315</v>
      </c>
      <c r="E2056" s="174" t="s">
        <v>2861</v>
      </c>
      <c r="F2056" s="173" t="s">
        <v>2862</v>
      </c>
      <c r="G2056" s="328" t="s">
        <v>673</v>
      </c>
      <c r="H2056" s="328" t="s">
        <v>2863</v>
      </c>
      <c r="I2056" s="258" t="s">
        <v>2864</v>
      </c>
      <c r="J2056" s="259"/>
      <c r="K2056" s="260"/>
      <c r="L2056" s="359"/>
      <c r="M2056" s="359"/>
      <c r="N2056" s="173" t="s">
        <v>679</v>
      </c>
      <c r="O2056" s="173"/>
      <c r="P2056" s="262" t="str">
        <f t="shared" si="1"/>
        <v>IN-BLR-ANANTA-VAV-1628_</v>
      </c>
      <c r="Q2056" s="173" t="s">
        <v>7316</v>
      </c>
      <c r="R2056" s="328" t="str">
        <f>IFS(C2056="","",C2056="n/a","N/A",LEN(C2056),Concatenate("{",char(34),"asset",char(34),":{",char(34),"guid",char(34),":",char(34),Q2056,char(34),",",char(34),"site",char(34),":",char(34),LOWER('2-Building'!$B$4),char(34),",",char(34),"name",char(34),":",char(34),LOWER(C2056),char(34),"}}"))</f>
        <v>{"asset":{"guid":"uuid://1d8c8558-b4c0-4e94-a311-9075bed91355","site":"in-blr-ananta","name":"vav-1628"}}</v>
      </c>
      <c r="S2056" s="360" t="s">
        <v>5516</v>
      </c>
      <c r="T2056" s="330"/>
      <c r="U2056" s="330"/>
      <c r="V2056" s="331"/>
      <c r="W2056" s="332"/>
      <c r="X2056" s="333"/>
      <c r="Y2056" s="33" t="s">
        <v>2867</v>
      </c>
      <c r="Z2056" s="258">
        <v>121628.0</v>
      </c>
      <c r="AA2056" s="333"/>
      <c r="AB2056" s="333"/>
      <c r="AC2056" s="333"/>
      <c r="AD2056" s="329"/>
      <c r="AE2056" s="331"/>
      <c r="AF2056" s="336"/>
      <c r="AG2056" s="337"/>
      <c r="AH2056" s="333"/>
      <c r="AI2056" s="333"/>
      <c r="AJ2056" s="333"/>
      <c r="AK2056" s="328" t="s">
        <v>1316</v>
      </c>
      <c r="AL2056" s="328" t="s">
        <v>688</v>
      </c>
      <c r="AM2056" s="338"/>
      <c r="AN2056" s="333"/>
      <c r="AO2056" s="333"/>
      <c r="AP2056" s="333"/>
      <c r="AQ2056" s="333"/>
      <c r="AR2056" s="333"/>
      <c r="AS2056" s="333"/>
      <c r="AT2056" s="333"/>
      <c r="AU2056" s="329"/>
      <c r="AV2056" s="341"/>
      <c r="AW2056" s="269"/>
      <c r="AX2056" s="334" t="s">
        <v>2869</v>
      </c>
      <c r="AY2056" s="270" t="s">
        <v>695</v>
      </c>
      <c r="AZ2056" s="173" t="s">
        <v>5516</v>
      </c>
      <c r="BA2056" s="265">
        <v>10.0</v>
      </c>
      <c r="BB2056" s="174" t="s">
        <v>245</v>
      </c>
      <c r="BC2056" s="341"/>
      <c r="BD2056" s="308"/>
      <c r="BE2056" s="342"/>
      <c r="BF2056" s="274" t="str">
        <f>IFERROR(__xludf.DUMMYFUNCTION("LOWER(Regexreplace(to_text(E2056),""[^A-Za-z0-9]"","""")&amp;""_""&amp;Regexreplace(to_text(F2056),""[^A-Za-z0-9]"",""""))"),"neptronic_evcbseries")</f>
        <v>neptronic_evcbseries</v>
      </c>
      <c r="BG2056" s="275" t="str">
        <f>IFERROR(__xludf.DUMMYFUNCTION("upper(Regexreplace(to_text(E2056),""[^A-Za-z0-9]"","""")&amp;""-""&amp;Regexreplace(to_text(F2056),""[^A-Za-z0-9]"",""""))"),"NEPTRONIC-EVCBSERIES")</f>
        <v>NEPTRONIC-EVCBSERIES</v>
      </c>
    </row>
    <row r="2057" ht="30.0" customHeight="1">
      <c r="A2057" s="173">
        <v>2049.0</v>
      </c>
      <c r="B2057" s="328" t="s">
        <v>670</v>
      </c>
      <c r="C2057" s="257" t="s">
        <v>7317</v>
      </c>
      <c r="D2057" s="173" t="s">
        <v>7317</v>
      </c>
      <c r="E2057" s="174" t="s">
        <v>2861</v>
      </c>
      <c r="F2057" s="173" t="s">
        <v>2862</v>
      </c>
      <c r="G2057" s="328" t="s">
        <v>673</v>
      </c>
      <c r="H2057" s="328" t="s">
        <v>2863</v>
      </c>
      <c r="I2057" s="258" t="s">
        <v>2864</v>
      </c>
      <c r="J2057" s="259"/>
      <c r="K2057" s="260"/>
      <c r="L2057" s="359"/>
      <c r="M2057" s="359"/>
      <c r="N2057" s="173" t="s">
        <v>679</v>
      </c>
      <c r="O2057" s="173"/>
      <c r="P2057" s="262" t="str">
        <f t="shared" si="1"/>
        <v>IN-BLR-ANANTA-VAV-1629_</v>
      </c>
      <c r="Q2057" s="173" t="s">
        <v>7318</v>
      </c>
      <c r="R2057" s="328" t="str">
        <f>IFS(C2057="","",C2057="n/a","N/A",LEN(C2057),Concatenate("{",char(34),"asset",char(34),":{",char(34),"guid",char(34),":",char(34),Q2057,char(34),",",char(34),"site",char(34),":",char(34),LOWER('2-Building'!$B$4),char(34),",",char(34),"name",char(34),":",char(34),LOWER(C2057),char(34),"}}"))</f>
        <v>{"asset":{"guid":"uuid://e03ad359-20bc-45c7-9dda-f0a9434ca03e","site":"in-blr-ananta","name":"vav-1629"}}</v>
      </c>
      <c r="S2057" s="360" t="s">
        <v>5516</v>
      </c>
      <c r="T2057" s="330"/>
      <c r="U2057" s="330"/>
      <c r="V2057" s="331"/>
      <c r="W2057" s="332"/>
      <c r="X2057" s="333"/>
      <c r="Y2057" s="33" t="s">
        <v>2867</v>
      </c>
      <c r="Z2057" s="258">
        <v>121629.0</v>
      </c>
      <c r="AA2057" s="333"/>
      <c r="AB2057" s="333"/>
      <c r="AC2057" s="333"/>
      <c r="AD2057" s="329"/>
      <c r="AE2057" s="331"/>
      <c r="AF2057" s="336"/>
      <c r="AG2057" s="337"/>
      <c r="AH2057" s="333"/>
      <c r="AI2057" s="333"/>
      <c r="AJ2057" s="333"/>
      <c r="AK2057" s="328" t="s">
        <v>1321</v>
      </c>
      <c r="AL2057" s="328" t="s">
        <v>688</v>
      </c>
      <c r="AM2057" s="338"/>
      <c r="AN2057" s="333"/>
      <c r="AO2057" s="333"/>
      <c r="AP2057" s="333"/>
      <c r="AQ2057" s="333"/>
      <c r="AR2057" s="333"/>
      <c r="AS2057" s="333"/>
      <c r="AT2057" s="333"/>
      <c r="AU2057" s="329"/>
      <c r="AV2057" s="341"/>
      <c r="AW2057" s="269"/>
      <c r="AX2057" s="334" t="s">
        <v>2869</v>
      </c>
      <c r="AY2057" s="270" t="s">
        <v>695</v>
      </c>
      <c r="AZ2057" s="173" t="s">
        <v>5516</v>
      </c>
      <c r="BA2057" s="265">
        <v>10.0</v>
      </c>
      <c r="BB2057" s="174" t="s">
        <v>245</v>
      </c>
      <c r="BC2057" s="341"/>
      <c r="BD2057" s="308"/>
      <c r="BE2057" s="342"/>
      <c r="BF2057" s="274" t="str">
        <f>IFERROR(__xludf.DUMMYFUNCTION("LOWER(Regexreplace(to_text(E2057),""[^A-Za-z0-9]"","""")&amp;""_""&amp;Regexreplace(to_text(F2057),""[^A-Za-z0-9]"",""""))"),"neptronic_evcbseries")</f>
        <v>neptronic_evcbseries</v>
      </c>
      <c r="BG2057" s="275" t="str">
        <f>IFERROR(__xludf.DUMMYFUNCTION("upper(Regexreplace(to_text(E2057),""[^A-Za-z0-9]"","""")&amp;""-""&amp;Regexreplace(to_text(F2057),""[^A-Za-z0-9]"",""""))"),"NEPTRONIC-EVCBSERIES")</f>
        <v>NEPTRONIC-EVCBSERIES</v>
      </c>
    </row>
    <row r="2058" ht="30.0" customHeight="1">
      <c r="A2058" s="258">
        <v>2050.0</v>
      </c>
      <c r="B2058" s="328" t="s">
        <v>670</v>
      </c>
      <c r="C2058" s="257" t="s">
        <v>7319</v>
      </c>
      <c r="D2058" s="173" t="s">
        <v>7319</v>
      </c>
      <c r="E2058" s="174" t="s">
        <v>2861</v>
      </c>
      <c r="F2058" s="173" t="s">
        <v>2862</v>
      </c>
      <c r="G2058" s="328" t="s">
        <v>673</v>
      </c>
      <c r="H2058" s="328" t="s">
        <v>2863</v>
      </c>
      <c r="I2058" s="258" t="s">
        <v>2864</v>
      </c>
      <c r="J2058" s="259"/>
      <c r="K2058" s="260"/>
      <c r="L2058" s="359"/>
      <c r="M2058" s="359"/>
      <c r="N2058" s="173" t="s">
        <v>679</v>
      </c>
      <c r="O2058" s="173"/>
      <c r="P2058" s="262" t="str">
        <f t="shared" si="1"/>
        <v>IN-BLR-ANANTA-VAV-1630_</v>
      </c>
      <c r="Q2058" s="173" t="s">
        <v>7320</v>
      </c>
      <c r="R2058" s="328" t="str">
        <f>IFS(C2058="","",C2058="n/a","N/A",LEN(C2058),Concatenate("{",char(34),"asset",char(34),":{",char(34),"guid",char(34),":",char(34),Q2058,char(34),",",char(34),"site",char(34),":",char(34),LOWER('2-Building'!$B$4),char(34),",",char(34),"name",char(34),":",char(34),LOWER(C2058),char(34),"}}"))</f>
        <v>{"asset":{"guid":"uuid://ba371ab0-c168-44ae-9c0e-a9735d0e53a6","site":"in-blr-ananta","name":"vav-1630"}}</v>
      </c>
      <c r="S2058" s="360" t="s">
        <v>5516</v>
      </c>
      <c r="T2058" s="330"/>
      <c r="U2058" s="330"/>
      <c r="V2058" s="331"/>
      <c r="W2058" s="332"/>
      <c r="X2058" s="333"/>
      <c r="Y2058" s="33" t="s">
        <v>2867</v>
      </c>
      <c r="Z2058" s="258">
        <v>121630.0</v>
      </c>
      <c r="AA2058" s="333"/>
      <c r="AB2058" s="333"/>
      <c r="AC2058" s="333"/>
      <c r="AD2058" s="329"/>
      <c r="AE2058" s="331"/>
      <c r="AF2058" s="336"/>
      <c r="AG2058" s="337"/>
      <c r="AH2058" s="333"/>
      <c r="AI2058" s="333"/>
      <c r="AJ2058" s="333"/>
      <c r="AK2058" s="328" t="s">
        <v>1326</v>
      </c>
      <c r="AL2058" s="328" t="s">
        <v>688</v>
      </c>
      <c r="AM2058" s="338"/>
      <c r="AN2058" s="333"/>
      <c r="AO2058" s="333"/>
      <c r="AP2058" s="333"/>
      <c r="AQ2058" s="333"/>
      <c r="AR2058" s="333"/>
      <c r="AS2058" s="333"/>
      <c r="AT2058" s="333"/>
      <c r="AU2058" s="329"/>
      <c r="AV2058" s="341"/>
      <c r="AW2058" s="269"/>
      <c r="AX2058" s="334" t="s">
        <v>2869</v>
      </c>
      <c r="AY2058" s="270" t="s">
        <v>695</v>
      </c>
      <c r="AZ2058" s="173" t="s">
        <v>5516</v>
      </c>
      <c r="BA2058" s="265">
        <v>10.0</v>
      </c>
      <c r="BB2058" s="174" t="s">
        <v>245</v>
      </c>
      <c r="BC2058" s="341"/>
      <c r="BD2058" s="308"/>
      <c r="BE2058" s="342"/>
      <c r="BF2058" s="274" t="str">
        <f>IFERROR(__xludf.DUMMYFUNCTION("LOWER(Regexreplace(to_text(E2058),""[^A-Za-z0-9]"","""")&amp;""_""&amp;Regexreplace(to_text(F2058),""[^A-Za-z0-9]"",""""))"),"neptronic_evcbseries")</f>
        <v>neptronic_evcbseries</v>
      </c>
      <c r="BG2058" s="275" t="str">
        <f>IFERROR(__xludf.DUMMYFUNCTION("upper(Regexreplace(to_text(E2058),""[^A-Za-z0-9]"","""")&amp;""-""&amp;Regexreplace(to_text(F2058),""[^A-Za-z0-9]"",""""))"),"NEPTRONIC-EVCBSERIES")</f>
        <v>NEPTRONIC-EVCBSERIES</v>
      </c>
    </row>
    <row r="2059" ht="30.0" customHeight="1">
      <c r="A2059" s="173">
        <v>2051.0</v>
      </c>
      <c r="B2059" s="328" t="s">
        <v>670</v>
      </c>
      <c r="C2059" s="257" t="s">
        <v>7321</v>
      </c>
      <c r="D2059" s="173" t="s">
        <v>7321</v>
      </c>
      <c r="E2059" s="174" t="s">
        <v>2861</v>
      </c>
      <c r="F2059" s="173" t="s">
        <v>2862</v>
      </c>
      <c r="G2059" s="328" t="s">
        <v>673</v>
      </c>
      <c r="H2059" s="328" t="s">
        <v>2863</v>
      </c>
      <c r="I2059" s="258" t="s">
        <v>2864</v>
      </c>
      <c r="J2059" s="259"/>
      <c r="K2059" s="260"/>
      <c r="L2059" s="359"/>
      <c r="M2059" s="359"/>
      <c r="N2059" s="173" t="s">
        <v>679</v>
      </c>
      <c r="O2059" s="173"/>
      <c r="P2059" s="262" t="str">
        <f t="shared" si="1"/>
        <v>IN-BLR-ANANTA-VAV-1631_</v>
      </c>
      <c r="Q2059" s="173" t="s">
        <v>7322</v>
      </c>
      <c r="R2059" s="328" t="str">
        <f>IFS(C2059="","",C2059="n/a","N/A",LEN(C2059),Concatenate("{",char(34),"asset",char(34),":{",char(34),"guid",char(34),":",char(34),Q2059,char(34),",",char(34),"site",char(34),":",char(34),LOWER('2-Building'!$B$4),char(34),",",char(34),"name",char(34),":",char(34),LOWER(C2059),char(34),"}}"))</f>
        <v>{"asset":{"guid":"uuid://bf244323-334a-49f4-8e72-2f30b4ec26fa","site":"in-blr-ananta","name":"vav-1631"}}</v>
      </c>
      <c r="S2059" s="360" t="s">
        <v>5516</v>
      </c>
      <c r="T2059" s="330"/>
      <c r="U2059" s="330"/>
      <c r="V2059" s="331"/>
      <c r="W2059" s="332"/>
      <c r="X2059" s="333"/>
      <c r="Y2059" s="33" t="s">
        <v>2867</v>
      </c>
      <c r="Z2059" s="258">
        <v>121631.0</v>
      </c>
      <c r="AA2059" s="333"/>
      <c r="AB2059" s="333"/>
      <c r="AC2059" s="333"/>
      <c r="AD2059" s="329"/>
      <c r="AE2059" s="331"/>
      <c r="AF2059" s="336"/>
      <c r="AG2059" s="337"/>
      <c r="AH2059" s="333"/>
      <c r="AI2059" s="333"/>
      <c r="AJ2059" s="333"/>
      <c r="AK2059" s="328" t="s">
        <v>1331</v>
      </c>
      <c r="AL2059" s="328" t="s">
        <v>688</v>
      </c>
      <c r="AM2059" s="338"/>
      <c r="AN2059" s="333"/>
      <c r="AO2059" s="333"/>
      <c r="AP2059" s="333"/>
      <c r="AQ2059" s="333"/>
      <c r="AR2059" s="333"/>
      <c r="AS2059" s="333"/>
      <c r="AT2059" s="333"/>
      <c r="AU2059" s="329"/>
      <c r="AV2059" s="341"/>
      <c r="AW2059" s="269"/>
      <c r="AX2059" s="334" t="s">
        <v>2869</v>
      </c>
      <c r="AY2059" s="270" t="s">
        <v>695</v>
      </c>
      <c r="AZ2059" s="173" t="s">
        <v>5516</v>
      </c>
      <c r="BA2059" s="265">
        <v>10.0</v>
      </c>
      <c r="BB2059" s="174" t="s">
        <v>245</v>
      </c>
      <c r="BC2059" s="341"/>
      <c r="BD2059" s="308"/>
      <c r="BE2059" s="342"/>
      <c r="BF2059" s="274" t="str">
        <f>IFERROR(__xludf.DUMMYFUNCTION("LOWER(Regexreplace(to_text(E2059),""[^A-Za-z0-9]"","""")&amp;""_""&amp;Regexreplace(to_text(F2059),""[^A-Za-z0-9]"",""""))"),"neptronic_evcbseries")</f>
        <v>neptronic_evcbseries</v>
      </c>
      <c r="BG2059" s="275" t="str">
        <f>IFERROR(__xludf.DUMMYFUNCTION("upper(Regexreplace(to_text(E2059),""[^A-Za-z0-9]"","""")&amp;""-""&amp;Regexreplace(to_text(F2059),""[^A-Za-z0-9]"",""""))"),"NEPTRONIC-EVCBSERIES")</f>
        <v>NEPTRONIC-EVCBSERIES</v>
      </c>
    </row>
    <row r="2060" ht="30.0" customHeight="1">
      <c r="A2060" s="258">
        <v>2052.0</v>
      </c>
      <c r="B2060" s="328" t="s">
        <v>670</v>
      </c>
      <c r="C2060" s="257" t="s">
        <v>7323</v>
      </c>
      <c r="D2060" s="173" t="s">
        <v>7323</v>
      </c>
      <c r="E2060" s="174" t="s">
        <v>2861</v>
      </c>
      <c r="F2060" s="173" t="s">
        <v>2862</v>
      </c>
      <c r="G2060" s="328" t="s">
        <v>673</v>
      </c>
      <c r="H2060" s="328" t="s">
        <v>2863</v>
      </c>
      <c r="I2060" s="258" t="s">
        <v>2864</v>
      </c>
      <c r="J2060" s="259"/>
      <c r="K2060" s="260"/>
      <c r="L2060" s="359"/>
      <c r="M2060" s="359"/>
      <c r="N2060" s="173" t="s">
        <v>679</v>
      </c>
      <c r="O2060" s="173"/>
      <c r="P2060" s="262" t="str">
        <f t="shared" si="1"/>
        <v>IN-BLR-ANANTA-VAV-1632_</v>
      </c>
      <c r="Q2060" s="173" t="s">
        <v>7324</v>
      </c>
      <c r="R2060" s="328" t="str">
        <f>IFS(C2060="","",C2060="n/a","N/A",LEN(C2060),Concatenate("{",char(34),"asset",char(34),":{",char(34),"guid",char(34),":",char(34),Q2060,char(34),",",char(34),"site",char(34),":",char(34),LOWER('2-Building'!$B$4),char(34),",",char(34),"name",char(34),":",char(34),LOWER(C2060),char(34),"}}"))</f>
        <v>{"asset":{"guid":"uuid://8822c291-cf92-42aa-978f-8ad6d5390c48","site":"in-blr-ananta","name":"vav-1632"}}</v>
      </c>
      <c r="S2060" s="360" t="s">
        <v>5516</v>
      </c>
      <c r="T2060" s="330"/>
      <c r="U2060" s="330"/>
      <c r="V2060" s="331"/>
      <c r="W2060" s="332"/>
      <c r="X2060" s="333"/>
      <c r="Y2060" s="33" t="s">
        <v>2867</v>
      </c>
      <c r="Z2060" s="258">
        <v>121632.0</v>
      </c>
      <c r="AA2060" s="333"/>
      <c r="AB2060" s="333"/>
      <c r="AC2060" s="333"/>
      <c r="AD2060" s="329"/>
      <c r="AE2060" s="331"/>
      <c r="AF2060" s="336"/>
      <c r="AG2060" s="337"/>
      <c r="AH2060" s="333"/>
      <c r="AI2060" s="333"/>
      <c r="AJ2060" s="333"/>
      <c r="AK2060" s="328" t="s">
        <v>1337</v>
      </c>
      <c r="AL2060" s="328" t="s">
        <v>688</v>
      </c>
      <c r="AM2060" s="338"/>
      <c r="AN2060" s="333"/>
      <c r="AO2060" s="333"/>
      <c r="AP2060" s="333"/>
      <c r="AQ2060" s="333"/>
      <c r="AR2060" s="333"/>
      <c r="AS2060" s="333"/>
      <c r="AT2060" s="333"/>
      <c r="AU2060" s="329"/>
      <c r="AV2060" s="341"/>
      <c r="AW2060" s="269"/>
      <c r="AX2060" s="334" t="s">
        <v>2869</v>
      </c>
      <c r="AY2060" s="270" t="s">
        <v>695</v>
      </c>
      <c r="AZ2060" s="173" t="s">
        <v>5516</v>
      </c>
      <c r="BA2060" s="265">
        <v>10.0</v>
      </c>
      <c r="BB2060" s="174" t="s">
        <v>245</v>
      </c>
      <c r="BC2060" s="341"/>
      <c r="BD2060" s="308"/>
      <c r="BE2060" s="342"/>
      <c r="BF2060" s="274" t="str">
        <f>IFERROR(__xludf.DUMMYFUNCTION("LOWER(Regexreplace(to_text(E2060),""[^A-Za-z0-9]"","""")&amp;""_""&amp;Regexreplace(to_text(F2060),""[^A-Za-z0-9]"",""""))"),"neptronic_evcbseries")</f>
        <v>neptronic_evcbseries</v>
      </c>
      <c r="BG2060" s="275" t="str">
        <f>IFERROR(__xludf.DUMMYFUNCTION("upper(Regexreplace(to_text(E2060),""[^A-Za-z0-9]"","""")&amp;""-""&amp;Regexreplace(to_text(F2060),""[^A-Za-z0-9]"",""""))"),"NEPTRONIC-EVCBSERIES")</f>
        <v>NEPTRONIC-EVCBSERIES</v>
      </c>
    </row>
    <row r="2061" ht="30.0" customHeight="1">
      <c r="A2061" s="173">
        <v>2053.0</v>
      </c>
      <c r="B2061" s="328" t="s">
        <v>670</v>
      </c>
      <c r="C2061" s="257" t="s">
        <v>7325</v>
      </c>
      <c r="D2061" s="173" t="s">
        <v>7325</v>
      </c>
      <c r="E2061" s="174" t="s">
        <v>2861</v>
      </c>
      <c r="F2061" s="173" t="s">
        <v>2862</v>
      </c>
      <c r="G2061" s="328" t="s">
        <v>673</v>
      </c>
      <c r="H2061" s="328" t="s">
        <v>2863</v>
      </c>
      <c r="I2061" s="258" t="s">
        <v>2864</v>
      </c>
      <c r="J2061" s="259"/>
      <c r="K2061" s="260"/>
      <c r="L2061" s="359"/>
      <c r="M2061" s="359"/>
      <c r="N2061" s="173" t="s">
        <v>679</v>
      </c>
      <c r="O2061" s="173"/>
      <c r="P2061" s="262" t="str">
        <f t="shared" si="1"/>
        <v>IN-BLR-ANANTA-VAV-1633_</v>
      </c>
      <c r="Q2061" s="173" t="s">
        <v>7326</v>
      </c>
      <c r="R2061" s="328" t="str">
        <f>IFS(C2061="","",C2061="n/a","N/A",LEN(C2061),Concatenate("{",char(34),"asset",char(34),":{",char(34),"guid",char(34),":",char(34),Q2061,char(34),",",char(34),"site",char(34),":",char(34),LOWER('2-Building'!$B$4),char(34),",",char(34),"name",char(34),":",char(34),LOWER(C2061),char(34),"}}"))</f>
        <v>{"asset":{"guid":"uuid://962f87de-3538-4e40-b88b-3785dcea71d6","site":"in-blr-ananta","name":"vav-1633"}}</v>
      </c>
      <c r="S2061" s="360" t="s">
        <v>5516</v>
      </c>
      <c r="T2061" s="330"/>
      <c r="U2061" s="330"/>
      <c r="V2061" s="331"/>
      <c r="W2061" s="332"/>
      <c r="X2061" s="333"/>
      <c r="Y2061" s="33" t="s">
        <v>2867</v>
      </c>
      <c r="Z2061" s="258">
        <v>121633.0</v>
      </c>
      <c r="AA2061" s="333"/>
      <c r="AB2061" s="333"/>
      <c r="AC2061" s="333"/>
      <c r="AD2061" s="329"/>
      <c r="AE2061" s="331"/>
      <c r="AF2061" s="336"/>
      <c r="AG2061" s="337"/>
      <c r="AH2061" s="333"/>
      <c r="AI2061" s="333"/>
      <c r="AJ2061" s="333"/>
      <c r="AK2061" s="328" t="s">
        <v>1342</v>
      </c>
      <c r="AL2061" s="328" t="s">
        <v>688</v>
      </c>
      <c r="AM2061" s="338"/>
      <c r="AN2061" s="333"/>
      <c r="AO2061" s="333"/>
      <c r="AP2061" s="333"/>
      <c r="AQ2061" s="333"/>
      <c r="AR2061" s="333"/>
      <c r="AS2061" s="333"/>
      <c r="AT2061" s="333"/>
      <c r="AU2061" s="329"/>
      <c r="AV2061" s="341"/>
      <c r="AW2061" s="269"/>
      <c r="AX2061" s="334" t="s">
        <v>2869</v>
      </c>
      <c r="AY2061" s="270" t="s">
        <v>695</v>
      </c>
      <c r="AZ2061" s="173" t="s">
        <v>5516</v>
      </c>
      <c r="BA2061" s="265">
        <v>10.0</v>
      </c>
      <c r="BB2061" s="174" t="s">
        <v>245</v>
      </c>
      <c r="BC2061" s="341"/>
      <c r="BD2061" s="308"/>
      <c r="BE2061" s="342"/>
      <c r="BF2061" s="274" t="str">
        <f>IFERROR(__xludf.DUMMYFUNCTION("LOWER(Regexreplace(to_text(E2061),""[^A-Za-z0-9]"","""")&amp;""_""&amp;Regexreplace(to_text(F2061),""[^A-Za-z0-9]"",""""))"),"neptronic_evcbseries")</f>
        <v>neptronic_evcbseries</v>
      </c>
      <c r="BG2061" s="275" t="str">
        <f>IFERROR(__xludf.DUMMYFUNCTION("upper(Regexreplace(to_text(E2061),""[^A-Za-z0-9]"","""")&amp;""-""&amp;Regexreplace(to_text(F2061),""[^A-Za-z0-9]"",""""))"),"NEPTRONIC-EVCBSERIES")</f>
        <v>NEPTRONIC-EVCBSERIES</v>
      </c>
    </row>
    <row r="2062" ht="30.0" customHeight="1">
      <c r="A2062" s="258">
        <v>2054.0</v>
      </c>
      <c r="B2062" s="328" t="s">
        <v>670</v>
      </c>
      <c r="C2062" s="257" t="s">
        <v>7327</v>
      </c>
      <c r="D2062" s="173" t="s">
        <v>7327</v>
      </c>
      <c r="E2062" s="174" t="s">
        <v>2861</v>
      </c>
      <c r="F2062" s="173" t="s">
        <v>2862</v>
      </c>
      <c r="G2062" s="328" t="s">
        <v>673</v>
      </c>
      <c r="H2062" s="328" t="s">
        <v>2863</v>
      </c>
      <c r="I2062" s="258" t="s">
        <v>2864</v>
      </c>
      <c r="J2062" s="259"/>
      <c r="K2062" s="260"/>
      <c r="L2062" s="359"/>
      <c r="M2062" s="359"/>
      <c r="N2062" s="173" t="s">
        <v>679</v>
      </c>
      <c r="O2062" s="173"/>
      <c r="P2062" s="262" t="str">
        <f t="shared" si="1"/>
        <v>IN-BLR-ANANTA-VAV-1634_</v>
      </c>
      <c r="Q2062" s="173" t="s">
        <v>7328</v>
      </c>
      <c r="R2062" s="328" t="str">
        <f>IFS(C2062="","",C2062="n/a","N/A",LEN(C2062),Concatenate("{",char(34),"asset",char(34),":{",char(34),"guid",char(34),":",char(34),Q2062,char(34),",",char(34),"site",char(34),":",char(34),LOWER('2-Building'!$B$4),char(34),",",char(34),"name",char(34),":",char(34),LOWER(C2062),char(34),"}}"))</f>
        <v>{"asset":{"guid":"uuid://c5450ad2-e23f-49e8-809a-5fd3ddc4eba6","site":"in-blr-ananta","name":"vav-1634"}}</v>
      </c>
      <c r="S2062" s="360" t="s">
        <v>5516</v>
      </c>
      <c r="T2062" s="330"/>
      <c r="U2062" s="330"/>
      <c r="V2062" s="331"/>
      <c r="W2062" s="332"/>
      <c r="X2062" s="333"/>
      <c r="Y2062" s="33" t="s">
        <v>2867</v>
      </c>
      <c r="Z2062" s="258">
        <v>121634.0</v>
      </c>
      <c r="AA2062" s="333"/>
      <c r="AB2062" s="333"/>
      <c r="AC2062" s="333"/>
      <c r="AD2062" s="329"/>
      <c r="AE2062" s="331"/>
      <c r="AF2062" s="336"/>
      <c r="AG2062" s="337"/>
      <c r="AH2062" s="333"/>
      <c r="AI2062" s="333"/>
      <c r="AJ2062" s="333"/>
      <c r="AK2062" s="328" t="s">
        <v>1347</v>
      </c>
      <c r="AL2062" s="328" t="s">
        <v>688</v>
      </c>
      <c r="AM2062" s="338"/>
      <c r="AN2062" s="333"/>
      <c r="AO2062" s="333"/>
      <c r="AP2062" s="333"/>
      <c r="AQ2062" s="333"/>
      <c r="AR2062" s="333"/>
      <c r="AS2062" s="333"/>
      <c r="AT2062" s="333"/>
      <c r="AU2062" s="329"/>
      <c r="AV2062" s="341"/>
      <c r="AW2062" s="269"/>
      <c r="AX2062" s="334" t="s">
        <v>2869</v>
      </c>
      <c r="AY2062" s="270" t="s">
        <v>695</v>
      </c>
      <c r="AZ2062" s="173" t="s">
        <v>5516</v>
      </c>
      <c r="BA2062" s="265">
        <v>10.0</v>
      </c>
      <c r="BB2062" s="174" t="s">
        <v>245</v>
      </c>
      <c r="BC2062" s="341"/>
      <c r="BD2062" s="308"/>
      <c r="BE2062" s="342"/>
      <c r="BF2062" s="274" t="str">
        <f>IFERROR(__xludf.DUMMYFUNCTION("LOWER(Regexreplace(to_text(E2062),""[^A-Za-z0-9]"","""")&amp;""_""&amp;Regexreplace(to_text(F2062),""[^A-Za-z0-9]"",""""))"),"neptronic_evcbseries")</f>
        <v>neptronic_evcbseries</v>
      </c>
      <c r="BG2062" s="275" t="str">
        <f>IFERROR(__xludf.DUMMYFUNCTION("upper(Regexreplace(to_text(E2062),""[^A-Za-z0-9]"","""")&amp;""-""&amp;Regexreplace(to_text(F2062),""[^A-Za-z0-9]"",""""))"),"NEPTRONIC-EVCBSERIES")</f>
        <v>NEPTRONIC-EVCBSERIES</v>
      </c>
    </row>
    <row r="2063" ht="30.0" customHeight="1">
      <c r="A2063" s="173">
        <v>2055.0</v>
      </c>
      <c r="B2063" s="328" t="s">
        <v>670</v>
      </c>
      <c r="C2063" s="257" t="s">
        <v>7329</v>
      </c>
      <c r="D2063" s="173" t="s">
        <v>7329</v>
      </c>
      <c r="E2063" s="174" t="s">
        <v>2861</v>
      </c>
      <c r="F2063" s="173" t="s">
        <v>2862</v>
      </c>
      <c r="G2063" s="328" t="s">
        <v>673</v>
      </c>
      <c r="H2063" s="328" t="s">
        <v>2863</v>
      </c>
      <c r="I2063" s="258" t="s">
        <v>2864</v>
      </c>
      <c r="J2063" s="259"/>
      <c r="K2063" s="260"/>
      <c r="L2063" s="359"/>
      <c r="M2063" s="359"/>
      <c r="N2063" s="173" t="s">
        <v>679</v>
      </c>
      <c r="O2063" s="173"/>
      <c r="P2063" s="262" t="str">
        <f t="shared" si="1"/>
        <v>IN-BLR-ANANTA-VAV-1635_</v>
      </c>
      <c r="Q2063" s="173" t="s">
        <v>7330</v>
      </c>
      <c r="R2063" s="328" t="str">
        <f>IFS(C2063="","",C2063="n/a","N/A",LEN(C2063),Concatenate("{",char(34),"asset",char(34),":{",char(34),"guid",char(34),":",char(34),Q2063,char(34),",",char(34),"site",char(34),":",char(34),LOWER('2-Building'!$B$4),char(34),",",char(34),"name",char(34),":",char(34),LOWER(C2063),char(34),"}}"))</f>
        <v>{"asset":{"guid":"uuid://c75a1b2f-e2e1-4990-8145-5f5547955dc5","site":"in-blr-ananta","name":"vav-1635"}}</v>
      </c>
      <c r="S2063" s="360" t="s">
        <v>5516</v>
      </c>
      <c r="T2063" s="330"/>
      <c r="U2063" s="330"/>
      <c r="V2063" s="331"/>
      <c r="W2063" s="332"/>
      <c r="X2063" s="333"/>
      <c r="Y2063" s="33" t="s">
        <v>2867</v>
      </c>
      <c r="Z2063" s="258">
        <v>121635.0</v>
      </c>
      <c r="AA2063" s="333"/>
      <c r="AB2063" s="333"/>
      <c r="AC2063" s="333"/>
      <c r="AD2063" s="329"/>
      <c r="AE2063" s="331"/>
      <c r="AF2063" s="336"/>
      <c r="AG2063" s="337"/>
      <c r="AH2063" s="333"/>
      <c r="AI2063" s="333"/>
      <c r="AJ2063" s="333"/>
      <c r="AK2063" s="328" t="s">
        <v>1351</v>
      </c>
      <c r="AL2063" s="328" t="s">
        <v>688</v>
      </c>
      <c r="AM2063" s="338"/>
      <c r="AN2063" s="333"/>
      <c r="AO2063" s="333"/>
      <c r="AP2063" s="333"/>
      <c r="AQ2063" s="333"/>
      <c r="AR2063" s="333"/>
      <c r="AS2063" s="333"/>
      <c r="AT2063" s="333"/>
      <c r="AU2063" s="329"/>
      <c r="AV2063" s="341"/>
      <c r="AW2063" s="269"/>
      <c r="AX2063" s="334" t="s">
        <v>2869</v>
      </c>
      <c r="AY2063" s="270" t="s">
        <v>695</v>
      </c>
      <c r="AZ2063" s="173" t="s">
        <v>5516</v>
      </c>
      <c r="BA2063" s="265">
        <v>10.0</v>
      </c>
      <c r="BB2063" s="174" t="s">
        <v>245</v>
      </c>
      <c r="BC2063" s="341"/>
      <c r="BD2063" s="308"/>
      <c r="BE2063" s="342"/>
      <c r="BF2063" s="274" t="str">
        <f>IFERROR(__xludf.DUMMYFUNCTION("LOWER(Regexreplace(to_text(E2063),""[^A-Za-z0-9]"","""")&amp;""_""&amp;Regexreplace(to_text(F2063),""[^A-Za-z0-9]"",""""))"),"neptronic_evcbseries")</f>
        <v>neptronic_evcbseries</v>
      </c>
      <c r="BG2063" s="275" t="str">
        <f>IFERROR(__xludf.DUMMYFUNCTION("upper(Regexreplace(to_text(E2063),""[^A-Za-z0-9]"","""")&amp;""-""&amp;Regexreplace(to_text(F2063),""[^A-Za-z0-9]"",""""))"),"NEPTRONIC-EVCBSERIES")</f>
        <v>NEPTRONIC-EVCBSERIES</v>
      </c>
    </row>
    <row r="2064" ht="30.0" customHeight="1">
      <c r="A2064" s="258">
        <v>2056.0</v>
      </c>
      <c r="B2064" s="328" t="s">
        <v>670</v>
      </c>
      <c r="C2064" s="257" t="s">
        <v>7331</v>
      </c>
      <c r="D2064" s="173" t="s">
        <v>7331</v>
      </c>
      <c r="E2064" s="174" t="s">
        <v>2861</v>
      </c>
      <c r="F2064" s="173" t="s">
        <v>2862</v>
      </c>
      <c r="G2064" s="328" t="s">
        <v>673</v>
      </c>
      <c r="H2064" s="328" t="s">
        <v>2863</v>
      </c>
      <c r="I2064" s="258" t="s">
        <v>2864</v>
      </c>
      <c r="J2064" s="259"/>
      <c r="K2064" s="260"/>
      <c r="L2064" s="359"/>
      <c r="M2064" s="359"/>
      <c r="N2064" s="173" t="s">
        <v>679</v>
      </c>
      <c r="O2064" s="173"/>
      <c r="P2064" s="262" t="str">
        <f t="shared" si="1"/>
        <v>IN-BLR-ANANTA-VAV-1636_</v>
      </c>
      <c r="Q2064" s="173" t="s">
        <v>7332</v>
      </c>
      <c r="R2064" s="328" t="str">
        <f>IFS(C2064="","",C2064="n/a","N/A",LEN(C2064),Concatenate("{",char(34),"asset",char(34),":{",char(34),"guid",char(34),":",char(34),Q2064,char(34),",",char(34),"site",char(34),":",char(34),LOWER('2-Building'!$B$4),char(34),",",char(34),"name",char(34),":",char(34),LOWER(C2064),char(34),"}}"))</f>
        <v>{"asset":{"guid":"uuid://02f36830-97d8-4d34-85df-d801e337b85b","site":"in-blr-ananta","name":"vav-1636"}}</v>
      </c>
      <c r="S2064" s="360" t="s">
        <v>5516</v>
      </c>
      <c r="T2064" s="330"/>
      <c r="U2064" s="330"/>
      <c r="V2064" s="331"/>
      <c r="W2064" s="332"/>
      <c r="X2064" s="333"/>
      <c r="Y2064" s="33" t="s">
        <v>2867</v>
      </c>
      <c r="Z2064" s="258">
        <v>121636.0</v>
      </c>
      <c r="AA2064" s="333"/>
      <c r="AB2064" s="333"/>
      <c r="AC2064" s="333"/>
      <c r="AD2064" s="329"/>
      <c r="AE2064" s="331"/>
      <c r="AF2064" s="336"/>
      <c r="AG2064" s="337"/>
      <c r="AH2064" s="333"/>
      <c r="AI2064" s="333"/>
      <c r="AJ2064" s="333"/>
      <c r="AK2064" s="328" t="s">
        <v>1356</v>
      </c>
      <c r="AL2064" s="328" t="s">
        <v>688</v>
      </c>
      <c r="AM2064" s="338"/>
      <c r="AN2064" s="333"/>
      <c r="AO2064" s="333"/>
      <c r="AP2064" s="333"/>
      <c r="AQ2064" s="333"/>
      <c r="AR2064" s="333"/>
      <c r="AS2064" s="333"/>
      <c r="AT2064" s="333"/>
      <c r="AU2064" s="329"/>
      <c r="AV2064" s="341"/>
      <c r="AW2064" s="269"/>
      <c r="AX2064" s="334" t="s">
        <v>2869</v>
      </c>
      <c r="AY2064" s="270" t="s">
        <v>695</v>
      </c>
      <c r="AZ2064" s="173" t="s">
        <v>5516</v>
      </c>
      <c r="BA2064" s="265">
        <v>10.0</v>
      </c>
      <c r="BB2064" s="174" t="s">
        <v>245</v>
      </c>
      <c r="BC2064" s="341"/>
      <c r="BD2064" s="308"/>
      <c r="BE2064" s="342"/>
      <c r="BF2064" s="274" t="str">
        <f>IFERROR(__xludf.DUMMYFUNCTION("LOWER(Regexreplace(to_text(E2064),""[^A-Za-z0-9]"","""")&amp;""_""&amp;Regexreplace(to_text(F2064),""[^A-Za-z0-9]"",""""))"),"neptronic_evcbseries")</f>
        <v>neptronic_evcbseries</v>
      </c>
      <c r="BG2064" s="275" t="str">
        <f>IFERROR(__xludf.DUMMYFUNCTION("upper(Regexreplace(to_text(E2064),""[^A-Za-z0-9]"","""")&amp;""-""&amp;Regexreplace(to_text(F2064),""[^A-Za-z0-9]"",""""))"),"NEPTRONIC-EVCBSERIES")</f>
        <v>NEPTRONIC-EVCBSERIES</v>
      </c>
    </row>
    <row r="2065" ht="30.0" customHeight="1">
      <c r="A2065" s="173">
        <v>2057.0</v>
      </c>
      <c r="B2065" s="328" t="s">
        <v>670</v>
      </c>
      <c r="C2065" s="257" t="s">
        <v>7333</v>
      </c>
      <c r="D2065" s="173" t="s">
        <v>7333</v>
      </c>
      <c r="E2065" s="174" t="s">
        <v>2861</v>
      </c>
      <c r="F2065" s="173" t="s">
        <v>2862</v>
      </c>
      <c r="G2065" s="328" t="s">
        <v>673</v>
      </c>
      <c r="H2065" s="328" t="s">
        <v>2863</v>
      </c>
      <c r="I2065" s="258" t="s">
        <v>2864</v>
      </c>
      <c r="J2065" s="259"/>
      <c r="K2065" s="260"/>
      <c r="L2065" s="359"/>
      <c r="M2065" s="359"/>
      <c r="N2065" s="173" t="s">
        <v>679</v>
      </c>
      <c r="O2065" s="173"/>
      <c r="P2065" s="262" t="str">
        <f t="shared" si="1"/>
        <v>IN-BLR-ANANTA-VAV-1637_</v>
      </c>
      <c r="Q2065" s="173" t="s">
        <v>7334</v>
      </c>
      <c r="R2065" s="328" t="str">
        <f>IFS(C2065="","",C2065="n/a","N/A",LEN(C2065),Concatenate("{",char(34),"asset",char(34),":{",char(34),"guid",char(34),":",char(34),Q2065,char(34),",",char(34),"site",char(34),":",char(34),LOWER('2-Building'!$B$4),char(34),",",char(34),"name",char(34),":",char(34),LOWER(C2065),char(34),"}}"))</f>
        <v>{"asset":{"guid":"uuid://83a910a1-16ab-4d7a-9e4c-c904eaf08c71","site":"in-blr-ananta","name":"vav-1637"}}</v>
      </c>
      <c r="S2065" s="360" t="s">
        <v>5516</v>
      </c>
      <c r="T2065" s="330"/>
      <c r="U2065" s="330"/>
      <c r="V2065" s="331"/>
      <c r="W2065" s="332"/>
      <c r="X2065" s="333"/>
      <c r="Y2065" s="33" t="s">
        <v>2867</v>
      </c>
      <c r="Z2065" s="258">
        <v>121637.0</v>
      </c>
      <c r="AA2065" s="333"/>
      <c r="AB2065" s="333"/>
      <c r="AC2065" s="333"/>
      <c r="AD2065" s="329"/>
      <c r="AE2065" s="331"/>
      <c r="AF2065" s="336"/>
      <c r="AG2065" s="337"/>
      <c r="AH2065" s="333"/>
      <c r="AI2065" s="333"/>
      <c r="AJ2065" s="333"/>
      <c r="AK2065" s="328" t="s">
        <v>1361</v>
      </c>
      <c r="AL2065" s="328" t="s">
        <v>688</v>
      </c>
      <c r="AM2065" s="338"/>
      <c r="AN2065" s="333"/>
      <c r="AO2065" s="333"/>
      <c r="AP2065" s="333"/>
      <c r="AQ2065" s="333"/>
      <c r="AR2065" s="333"/>
      <c r="AS2065" s="333"/>
      <c r="AT2065" s="333"/>
      <c r="AU2065" s="329"/>
      <c r="AV2065" s="341"/>
      <c r="AW2065" s="269"/>
      <c r="AX2065" s="334" t="s">
        <v>2869</v>
      </c>
      <c r="AY2065" s="270" t="s">
        <v>695</v>
      </c>
      <c r="AZ2065" s="173" t="s">
        <v>5516</v>
      </c>
      <c r="BA2065" s="265">
        <v>10.0</v>
      </c>
      <c r="BB2065" s="174" t="s">
        <v>245</v>
      </c>
      <c r="BC2065" s="341"/>
      <c r="BD2065" s="308"/>
      <c r="BE2065" s="342"/>
      <c r="BF2065" s="274" t="str">
        <f>IFERROR(__xludf.DUMMYFUNCTION("LOWER(Regexreplace(to_text(E2065),""[^A-Za-z0-9]"","""")&amp;""_""&amp;Regexreplace(to_text(F2065),""[^A-Za-z0-9]"",""""))"),"neptronic_evcbseries")</f>
        <v>neptronic_evcbseries</v>
      </c>
      <c r="BG2065" s="275" t="str">
        <f>IFERROR(__xludf.DUMMYFUNCTION("upper(Regexreplace(to_text(E2065),""[^A-Za-z0-9]"","""")&amp;""-""&amp;Regexreplace(to_text(F2065),""[^A-Za-z0-9]"",""""))"),"NEPTRONIC-EVCBSERIES")</f>
        <v>NEPTRONIC-EVCBSERIES</v>
      </c>
    </row>
    <row r="2066" ht="30.0" customHeight="1">
      <c r="A2066" s="258">
        <v>2058.0</v>
      </c>
      <c r="B2066" s="328" t="s">
        <v>670</v>
      </c>
      <c r="C2066" s="257" t="s">
        <v>7335</v>
      </c>
      <c r="D2066" s="173" t="s">
        <v>7335</v>
      </c>
      <c r="E2066" s="174" t="s">
        <v>2861</v>
      </c>
      <c r="F2066" s="173" t="s">
        <v>2862</v>
      </c>
      <c r="G2066" s="328" t="s">
        <v>673</v>
      </c>
      <c r="H2066" s="328" t="s">
        <v>2863</v>
      </c>
      <c r="I2066" s="258" t="s">
        <v>2864</v>
      </c>
      <c r="J2066" s="259"/>
      <c r="K2066" s="260"/>
      <c r="L2066" s="359"/>
      <c r="M2066" s="359"/>
      <c r="N2066" s="173" t="s">
        <v>679</v>
      </c>
      <c r="O2066" s="173"/>
      <c r="P2066" s="262" t="str">
        <f t="shared" si="1"/>
        <v>IN-BLR-ANANTA-VAV-1638_</v>
      </c>
      <c r="Q2066" s="173" t="s">
        <v>7336</v>
      </c>
      <c r="R2066" s="328" t="str">
        <f>IFS(C2066="","",C2066="n/a","N/A",LEN(C2066),Concatenate("{",char(34),"asset",char(34),":{",char(34),"guid",char(34),":",char(34),Q2066,char(34),",",char(34),"site",char(34),":",char(34),LOWER('2-Building'!$B$4),char(34),",",char(34),"name",char(34),":",char(34),LOWER(C2066),char(34),"}}"))</f>
        <v>{"asset":{"guid":"uuid://2021b0d2-4107-4c44-8814-347c7e21d1a9","site":"in-blr-ananta","name":"vav-1638"}}</v>
      </c>
      <c r="S2066" s="360" t="s">
        <v>5516</v>
      </c>
      <c r="T2066" s="330"/>
      <c r="U2066" s="330"/>
      <c r="V2066" s="331"/>
      <c r="W2066" s="332"/>
      <c r="X2066" s="333"/>
      <c r="Y2066" s="33" t="s">
        <v>2867</v>
      </c>
      <c r="Z2066" s="258">
        <v>121638.0</v>
      </c>
      <c r="AA2066" s="333"/>
      <c r="AB2066" s="333"/>
      <c r="AC2066" s="333"/>
      <c r="AD2066" s="329"/>
      <c r="AE2066" s="331"/>
      <c r="AF2066" s="336"/>
      <c r="AG2066" s="337"/>
      <c r="AH2066" s="333"/>
      <c r="AI2066" s="333"/>
      <c r="AJ2066" s="333"/>
      <c r="AK2066" s="328" t="s">
        <v>1366</v>
      </c>
      <c r="AL2066" s="328" t="s">
        <v>688</v>
      </c>
      <c r="AM2066" s="338"/>
      <c r="AN2066" s="333"/>
      <c r="AO2066" s="333"/>
      <c r="AP2066" s="333"/>
      <c r="AQ2066" s="333"/>
      <c r="AR2066" s="333"/>
      <c r="AS2066" s="333"/>
      <c r="AT2066" s="333"/>
      <c r="AU2066" s="329"/>
      <c r="AV2066" s="341"/>
      <c r="AW2066" s="269"/>
      <c r="AX2066" s="334" t="s">
        <v>2869</v>
      </c>
      <c r="AY2066" s="270" t="s">
        <v>695</v>
      </c>
      <c r="AZ2066" s="173" t="s">
        <v>5516</v>
      </c>
      <c r="BA2066" s="265">
        <v>10.0</v>
      </c>
      <c r="BB2066" s="174" t="s">
        <v>245</v>
      </c>
      <c r="BC2066" s="341"/>
      <c r="BD2066" s="308"/>
      <c r="BE2066" s="342"/>
      <c r="BF2066" s="274" t="str">
        <f>IFERROR(__xludf.DUMMYFUNCTION("LOWER(Regexreplace(to_text(E2066),""[^A-Za-z0-9]"","""")&amp;""_""&amp;Regexreplace(to_text(F2066),""[^A-Za-z0-9]"",""""))"),"neptronic_evcbseries")</f>
        <v>neptronic_evcbseries</v>
      </c>
      <c r="BG2066" s="275" t="str">
        <f>IFERROR(__xludf.DUMMYFUNCTION("upper(Regexreplace(to_text(E2066),""[^A-Za-z0-9]"","""")&amp;""-""&amp;Regexreplace(to_text(F2066),""[^A-Za-z0-9]"",""""))"),"NEPTRONIC-EVCBSERIES")</f>
        <v>NEPTRONIC-EVCBSERIES</v>
      </c>
    </row>
    <row r="2067" ht="30.0" customHeight="1">
      <c r="A2067" s="173">
        <v>2059.0</v>
      </c>
      <c r="B2067" s="328" t="s">
        <v>670</v>
      </c>
      <c r="C2067" s="257" t="s">
        <v>7337</v>
      </c>
      <c r="D2067" s="173" t="s">
        <v>7337</v>
      </c>
      <c r="E2067" s="174" t="s">
        <v>2861</v>
      </c>
      <c r="F2067" s="173" t="s">
        <v>2862</v>
      </c>
      <c r="G2067" s="328" t="s">
        <v>673</v>
      </c>
      <c r="H2067" s="328" t="s">
        <v>2863</v>
      </c>
      <c r="I2067" s="258" t="s">
        <v>2864</v>
      </c>
      <c r="J2067" s="259"/>
      <c r="K2067" s="260"/>
      <c r="L2067" s="359"/>
      <c r="M2067" s="359"/>
      <c r="N2067" s="173" t="s">
        <v>679</v>
      </c>
      <c r="O2067" s="173"/>
      <c r="P2067" s="262" t="str">
        <f t="shared" si="1"/>
        <v>IN-BLR-ANANTA-VAV-1639_</v>
      </c>
      <c r="Q2067" s="173" t="s">
        <v>7338</v>
      </c>
      <c r="R2067" s="328" t="str">
        <f>IFS(C2067="","",C2067="n/a","N/A",LEN(C2067),Concatenate("{",char(34),"asset",char(34),":{",char(34),"guid",char(34),":",char(34),Q2067,char(34),",",char(34),"site",char(34),":",char(34),LOWER('2-Building'!$B$4),char(34),",",char(34),"name",char(34),":",char(34),LOWER(C2067),char(34),"}}"))</f>
        <v>{"asset":{"guid":"uuid://7db2932e-0f68-4658-b794-a50bbeaec453","site":"in-blr-ananta","name":"vav-1639"}}</v>
      </c>
      <c r="S2067" s="360" t="s">
        <v>5516</v>
      </c>
      <c r="T2067" s="330"/>
      <c r="U2067" s="330"/>
      <c r="V2067" s="331"/>
      <c r="W2067" s="332"/>
      <c r="X2067" s="333"/>
      <c r="Y2067" s="33" t="s">
        <v>2867</v>
      </c>
      <c r="Z2067" s="258">
        <v>121639.0</v>
      </c>
      <c r="AA2067" s="333"/>
      <c r="AB2067" s="333"/>
      <c r="AC2067" s="333"/>
      <c r="AD2067" s="329"/>
      <c r="AE2067" s="331"/>
      <c r="AF2067" s="336"/>
      <c r="AG2067" s="337"/>
      <c r="AH2067" s="333"/>
      <c r="AI2067" s="333"/>
      <c r="AJ2067" s="333"/>
      <c r="AK2067" s="328" t="s">
        <v>1371</v>
      </c>
      <c r="AL2067" s="328" t="s">
        <v>688</v>
      </c>
      <c r="AM2067" s="338"/>
      <c r="AN2067" s="333"/>
      <c r="AO2067" s="333"/>
      <c r="AP2067" s="333"/>
      <c r="AQ2067" s="333"/>
      <c r="AR2067" s="333"/>
      <c r="AS2067" s="333"/>
      <c r="AT2067" s="333"/>
      <c r="AU2067" s="329"/>
      <c r="AV2067" s="341"/>
      <c r="AW2067" s="269"/>
      <c r="AX2067" s="334" t="s">
        <v>2869</v>
      </c>
      <c r="AY2067" s="270" t="s">
        <v>695</v>
      </c>
      <c r="AZ2067" s="173" t="s">
        <v>5516</v>
      </c>
      <c r="BA2067" s="265">
        <v>10.0</v>
      </c>
      <c r="BB2067" s="174" t="s">
        <v>245</v>
      </c>
      <c r="BC2067" s="341"/>
      <c r="BD2067" s="308"/>
      <c r="BE2067" s="342"/>
      <c r="BF2067" s="274" t="str">
        <f>IFERROR(__xludf.DUMMYFUNCTION("LOWER(Regexreplace(to_text(E2067),""[^A-Za-z0-9]"","""")&amp;""_""&amp;Regexreplace(to_text(F2067),""[^A-Za-z0-9]"",""""))"),"neptronic_evcbseries")</f>
        <v>neptronic_evcbseries</v>
      </c>
      <c r="BG2067" s="275" t="str">
        <f>IFERROR(__xludf.DUMMYFUNCTION("upper(Regexreplace(to_text(E2067),""[^A-Za-z0-9]"","""")&amp;""-""&amp;Regexreplace(to_text(F2067),""[^A-Za-z0-9]"",""""))"),"NEPTRONIC-EVCBSERIES")</f>
        <v>NEPTRONIC-EVCBSERIES</v>
      </c>
    </row>
    <row r="2068" ht="30.0" customHeight="1">
      <c r="A2068" s="258">
        <v>2060.0</v>
      </c>
      <c r="B2068" s="328" t="s">
        <v>670</v>
      </c>
      <c r="C2068" s="257" t="s">
        <v>7339</v>
      </c>
      <c r="D2068" s="173" t="s">
        <v>7339</v>
      </c>
      <c r="E2068" s="174" t="s">
        <v>2861</v>
      </c>
      <c r="F2068" s="173" t="s">
        <v>2862</v>
      </c>
      <c r="G2068" s="328" t="s">
        <v>673</v>
      </c>
      <c r="H2068" s="328" t="s">
        <v>2863</v>
      </c>
      <c r="I2068" s="258" t="s">
        <v>2864</v>
      </c>
      <c r="J2068" s="259"/>
      <c r="K2068" s="260"/>
      <c r="L2068" s="359"/>
      <c r="M2068" s="359"/>
      <c r="N2068" s="173" t="s">
        <v>679</v>
      </c>
      <c r="O2068" s="173"/>
      <c r="P2068" s="262" t="str">
        <f t="shared" si="1"/>
        <v>IN-BLR-ANANTA-VAV-1640_</v>
      </c>
      <c r="Q2068" s="173" t="s">
        <v>7340</v>
      </c>
      <c r="R2068" s="328" t="str">
        <f>IFS(C2068="","",C2068="n/a","N/A",LEN(C2068),Concatenate("{",char(34),"asset",char(34),":{",char(34),"guid",char(34),":",char(34),Q2068,char(34),",",char(34),"site",char(34),":",char(34),LOWER('2-Building'!$B$4),char(34),",",char(34),"name",char(34),":",char(34),LOWER(C2068),char(34),"}}"))</f>
        <v>{"asset":{"guid":"uuid://50bb6a20-ba6b-4574-8072-351f5fec5232","site":"in-blr-ananta","name":"vav-1640"}}</v>
      </c>
      <c r="S2068" s="360" t="s">
        <v>5516</v>
      </c>
      <c r="T2068" s="330"/>
      <c r="U2068" s="330"/>
      <c r="V2068" s="331"/>
      <c r="W2068" s="332"/>
      <c r="X2068" s="333"/>
      <c r="Y2068" s="33" t="s">
        <v>2867</v>
      </c>
      <c r="Z2068" s="258">
        <v>121640.0</v>
      </c>
      <c r="AA2068" s="333"/>
      <c r="AB2068" s="333"/>
      <c r="AC2068" s="333"/>
      <c r="AD2068" s="329"/>
      <c r="AE2068" s="331"/>
      <c r="AF2068" s="336"/>
      <c r="AG2068" s="337"/>
      <c r="AH2068" s="333"/>
      <c r="AI2068" s="333"/>
      <c r="AJ2068" s="333"/>
      <c r="AK2068" s="328" t="s">
        <v>1376</v>
      </c>
      <c r="AL2068" s="328" t="s">
        <v>688</v>
      </c>
      <c r="AM2068" s="338"/>
      <c r="AN2068" s="333"/>
      <c r="AO2068" s="333"/>
      <c r="AP2068" s="333"/>
      <c r="AQ2068" s="333"/>
      <c r="AR2068" s="333"/>
      <c r="AS2068" s="333"/>
      <c r="AT2068" s="333"/>
      <c r="AU2068" s="329"/>
      <c r="AV2068" s="341"/>
      <c r="AW2068" s="269"/>
      <c r="AX2068" s="334" t="s">
        <v>2869</v>
      </c>
      <c r="AY2068" s="270" t="s">
        <v>695</v>
      </c>
      <c r="AZ2068" s="173" t="s">
        <v>5516</v>
      </c>
      <c r="BA2068" s="265">
        <v>10.0</v>
      </c>
      <c r="BB2068" s="174" t="s">
        <v>245</v>
      </c>
      <c r="BC2068" s="341"/>
      <c r="BD2068" s="308"/>
      <c r="BE2068" s="342"/>
      <c r="BF2068" s="274" t="str">
        <f>IFERROR(__xludf.DUMMYFUNCTION("LOWER(Regexreplace(to_text(E2068),""[^A-Za-z0-9]"","""")&amp;""_""&amp;Regexreplace(to_text(F2068),""[^A-Za-z0-9]"",""""))"),"neptronic_evcbseries")</f>
        <v>neptronic_evcbseries</v>
      </c>
      <c r="BG2068" s="275" t="str">
        <f>IFERROR(__xludf.DUMMYFUNCTION("upper(Regexreplace(to_text(E2068),""[^A-Za-z0-9]"","""")&amp;""-""&amp;Regexreplace(to_text(F2068),""[^A-Za-z0-9]"",""""))"),"NEPTRONIC-EVCBSERIES")</f>
        <v>NEPTRONIC-EVCBSERIES</v>
      </c>
    </row>
    <row r="2069" ht="30.0" customHeight="1">
      <c r="A2069" s="173">
        <v>2061.0</v>
      </c>
      <c r="B2069" s="328" t="s">
        <v>670</v>
      </c>
      <c r="C2069" s="257" t="s">
        <v>7341</v>
      </c>
      <c r="D2069" s="173" t="s">
        <v>7341</v>
      </c>
      <c r="E2069" s="174" t="s">
        <v>2861</v>
      </c>
      <c r="F2069" s="173" t="s">
        <v>2862</v>
      </c>
      <c r="G2069" s="328" t="s">
        <v>673</v>
      </c>
      <c r="H2069" s="328" t="s">
        <v>2863</v>
      </c>
      <c r="I2069" s="258" t="s">
        <v>2864</v>
      </c>
      <c r="J2069" s="259"/>
      <c r="K2069" s="260"/>
      <c r="L2069" s="359"/>
      <c r="M2069" s="359"/>
      <c r="N2069" s="173" t="s">
        <v>679</v>
      </c>
      <c r="O2069" s="173"/>
      <c r="P2069" s="262" t="str">
        <f t="shared" si="1"/>
        <v>IN-BLR-ANANTA-VAV-1641_</v>
      </c>
      <c r="Q2069" s="173" t="s">
        <v>7342</v>
      </c>
      <c r="R2069" s="328" t="str">
        <f>IFS(C2069="","",C2069="n/a","N/A",LEN(C2069),Concatenate("{",char(34),"asset",char(34),":{",char(34),"guid",char(34),":",char(34),Q2069,char(34),",",char(34),"site",char(34),":",char(34),LOWER('2-Building'!$B$4),char(34),",",char(34),"name",char(34),":",char(34),LOWER(C2069),char(34),"}}"))</f>
        <v>{"asset":{"guid":"uuid://15fd5c99-f306-4624-af13-4746b95024b3","site":"in-blr-ananta","name":"vav-1641"}}</v>
      </c>
      <c r="S2069" s="360" t="s">
        <v>5516</v>
      </c>
      <c r="T2069" s="330"/>
      <c r="U2069" s="330"/>
      <c r="V2069" s="331"/>
      <c r="W2069" s="332"/>
      <c r="X2069" s="333"/>
      <c r="Y2069" s="33" t="s">
        <v>2867</v>
      </c>
      <c r="Z2069" s="258">
        <v>121641.0</v>
      </c>
      <c r="AA2069" s="333"/>
      <c r="AB2069" s="333"/>
      <c r="AC2069" s="333"/>
      <c r="AD2069" s="329"/>
      <c r="AE2069" s="331"/>
      <c r="AF2069" s="336"/>
      <c r="AG2069" s="337"/>
      <c r="AH2069" s="333"/>
      <c r="AI2069" s="333"/>
      <c r="AJ2069" s="333"/>
      <c r="AK2069" s="328" t="s">
        <v>1381</v>
      </c>
      <c r="AL2069" s="328" t="s">
        <v>688</v>
      </c>
      <c r="AM2069" s="338"/>
      <c r="AN2069" s="333"/>
      <c r="AO2069" s="333"/>
      <c r="AP2069" s="333"/>
      <c r="AQ2069" s="333"/>
      <c r="AR2069" s="333"/>
      <c r="AS2069" s="333"/>
      <c r="AT2069" s="333"/>
      <c r="AU2069" s="329"/>
      <c r="AV2069" s="341"/>
      <c r="AW2069" s="269"/>
      <c r="AX2069" s="334" t="s">
        <v>2869</v>
      </c>
      <c r="AY2069" s="270" t="s">
        <v>695</v>
      </c>
      <c r="AZ2069" s="173" t="s">
        <v>5516</v>
      </c>
      <c r="BA2069" s="265">
        <v>10.0</v>
      </c>
      <c r="BB2069" s="174" t="s">
        <v>245</v>
      </c>
      <c r="BC2069" s="341"/>
      <c r="BD2069" s="308"/>
      <c r="BE2069" s="342"/>
      <c r="BF2069" s="274" t="str">
        <f>IFERROR(__xludf.DUMMYFUNCTION("LOWER(Regexreplace(to_text(E2069),""[^A-Za-z0-9]"","""")&amp;""_""&amp;Regexreplace(to_text(F2069),""[^A-Za-z0-9]"",""""))"),"neptronic_evcbseries")</f>
        <v>neptronic_evcbseries</v>
      </c>
      <c r="BG2069" s="275" t="str">
        <f>IFERROR(__xludf.DUMMYFUNCTION("upper(Regexreplace(to_text(E2069),""[^A-Za-z0-9]"","""")&amp;""-""&amp;Regexreplace(to_text(F2069),""[^A-Za-z0-9]"",""""))"),"NEPTRONIC-EVCBSERIES")</f>
        <v>NEPTRONIC-EVCBSERIES</v>
      </c>
    </row>
    <row r="2070" ht="30.0" customHeight="1">
      <c r="A2070" s="258">
        <v>2062.0</v>
      </c>
      <c r="B2070" s="328" t="s">
        <v>670</v>
      </c>
      <c r="C2070" s="257" t="s">
        <v>7343</v>
      </c>
      <c r="D2070" s="173" t="s">
        <v>7343</v>
      </c>
      <c r="E2070" s="174" t="s">
        <v>2861</v>
      </c>
      <c r="F2070" s="173" t="s">
        <v>2862</v>
      </c>
      <c r="G2070" s="328" t="s">
        <v>673</v>
      </c>
      <c r="H2070" s="328" t="s">
        <v>2863</v>
      </c>
      <c r="I2070" s="258" t="s">
        <v>2864</v>
      </c>
      <c r="J2070" s="259"/>
      <c r="K2070" s="260"/>
      <c r="L2070" s="359"/>
      <c r="M2070" s="359"/>
      <c r="N2070" s="173" t="s">
        <v>679</v>
      </c>
      <c r="O2070" s="173"/>
      <c r="P2070" s="262" t="str">
        <f t="shared" si="1"/>
        <v>IN-BLR-ANANTA-VAV-1642_</v>
      </c>
      <c r="Q2070" s="173" t="s">
        <v>7344</v>
      </c>
      <c r="R2070" s="328" t="str">
        <f>IFS(C2070="","",C2070="n/a","N/A",LEN(C2070),Concatenate("{",char(34),"asset",char(34),":{",char(34),"guid",char(34),":",char(34),Q2070,char(34),",",char(34),"site",char(34),":",char(34),LOWER('2-Building'!$B$4),char(34),",",char(34),"name",char(34),":",char(34),LOWER(C2070),char(34),"}}"))</f>
        <v>{"asset":{"guid":"uuid://c6664faf-09c6-43f2-9bc4-430c2245b40d","site":"in-blr-ananta","name":"vav-1642"}}</v>
      </c>
      <c r="S2070" s="360" t="s">
        <v>5516</v>
      </c>
      <c r="T2070" s="330"/>
      <c r="U2070" s="330"/>
      <c r="V2070" s="331"/>
      <c r="W2070" s="332"/>
      <c r="X2070" s="333"/>
      <c r="Y2070" s="33" t="s">
        <v>2867</v>
      </c>
      <c r="Z2070" s="258">
        <v>121642.0</v>
      </c>
      <c r="AA2070" s="333"/>
      <c r="AB2070" s="333"/>
      <c r="AC2070" s="333"/>
      <c r="AD2070" s="329"/>
      <c r="AE2070" s="331"/>
      <c r="AF2070" s="336"/>
      <c r="AG2070" s="337"/>
      <c r="AH2070" s="333"/>
      <c r="AI2070" s="333"/>
      <c r="AJ2070" s="333"/>
      <c r="AK2070" s="328" t="s">
        <v>1386</v>
      </c>
      <c r="AL2070" s="328" t="s">
        <v>688</v>
      </c>
      <c r="AM2070" s="338"/>
      <c r="AN2070" s="333"/>
      <c r="AO2070" s="333"/>
      <c r="AP2070" s="333"/>
      <c r="AQ2070" s="333"/>
      <c r="AR2070" s="333"/>
      <c r="AS2070" s="333"/>
      <c r="AT2070" s="333"/>
      <c r="AU2070" s="329"/>
      <c r="AV2070" s="341"/>
      <c r="AW2070" s="269"/>
      <c r="AX2070" s="334" t="s">
        <v>2869</v>
      </c>
      <c r="AY2070" s="270" t="s">
        <v>695</v>
      </c>
      <c r="AZ2070" s="173" t="s">
        <v>5516</v>
      </c>
      <c r="BA2070" s="265">
        <v>10.0</v>
      </c>
      <c r="BB2070" s="174" t="s">
        <v>245</v>
      </c>
      <c r="BC2070" s="341"/>
      <c r="BD2070" s="308"/>
      <c r="BE2070" s="342"/>
      <c r="BF2070" s="274" t="str">
        <f>IFERROR(__xludf.DUMMYFUNCTION("LOWER(Regexreplace(to_text(E2070),""[^A-Za-z0-9]"","""")&amp;""_""&amp;Regexreplace(to_text(F2070),""[^A-Za-z0-9]"",""""))"),"neptronic_evcbseries")</f>
        <v>neptronic_evcbseries</v>
      </c>
      <c r="BG2070" s="275" t="str">
        <f>IFERROR(__xludf.DUMMYFUNCTION("upper(Regexreplace(to_text(E2070),""[^A-Za-z0-9]"","""")&amp;""-""&amp;Regexreplace(to_text(F2070),""[^A-Za-z0-9]"",""""))"),"NEPTRONIC-EVCBSERIES")</f>
        <v>NEPTRONIC-EVCBSERIES</v>
      </c>
    </row>
    <row r="2071" ht="30.0" customHeight="1">
      <c r="A2071" s="173">
        <v>2063.0</v>
      </c>
      <c r="B2071" s="328" t="s">
        <v>670</v>
      </c>
      <c r="C2071" s="257" t="s">
        <v>7345</v>
      </c>
      <c r="D2071" s="173" t="s">
        <v>7345</v>
      </c>
      <c r="E2071" s="174" t="s">
        <v>2861</v>
      </c>
      <c r="F2071" s="173" t="s">
        <v>2862</v>
      </c>
      <c r="G2071" s="328" t="s">
        <v>673</v>
      </c>
      <c r="H2071" s="328" t="s">
        <v>2863</v>
      </c>
      <c r="I2071" s="258" t="s">
        <v>2864</v>
      </c>
      <c r="J2071" s="259"/>
      <c r="K2071" s="260"/>
      <c r="L2071" s="359"/>
      <c r="M2071" s="359"/>
      <c r="N2071" s="173" t="s">
        <v>679</v>
      </c>
      <c r="O2071" s="173"/>
      <c r="P2071" s="262" t="str">
        <f t="shared" si="1"/>
        <v>IN-BLR-ANANTA-VAV-1643_</v>
      </c>
      <c r="Q2071" s="173" t="s">
        <v>7346</v>
      </c>
      <c r="R2071" s="328" t="str">
        <f>IFS(C2071="","",C2071="n/a","N/A",LEN(C2071),Concatenate("{",char(34),"asset",char(34),":{",char(34),"guid",char(34),":",char(34),Q2071,char(34),",",char(34),"site",char(34),":",char(34),LOWER('2-Building'!$B$4),char(34),",",char(34),"name",char(34),":",char(34),LOWER(C2071),char(34),"}}"))</f>
        <v>{"asset":{"guid":"uuid://14aeaa36-539f-457c-a417-3a90a434adba","site":"in-blr-ananta","name":"vav-1643"}}</v>
      </c>
      <c r="S2071" s="360" t="s">
        <v>5516</v>
      </c>
      <c r="T2071" s="330"/>
      <c r="U2071" s="330"/>
      <c r="V2071" s="331"/>
      <c r="W2071" s="332"/>
      <c r="X2071" s="333"/>
      <c r="Y2071" s="33" t="s">
        <v>2867</v>
      </c>
      <c r="Z2071" s="258">
        <v>121643.0</v>
      </c>
      <c r="AA2071" s="333"/>
      <c r="AB2071" s="333"/>
      <c r="AC2071" s="333"/>
      <c r="AD2071" s="329"/>
      <c r="AE2071" s="331"/>
      <c r="AF2071" s="336"/>
      <c r="AG2071" s="337"/>
      <c r="AH2071" s="333"/>
      <c r="AI2071" s="333"/>
      <c r="AJ2071" s="333"/>
      <c r="AK2071" s="328" t="s">
        <v>1391</v>
      </c>
      <c r="AL2071" s="328" t="s">
        <v>688</v>
      </c>
      <c r="AM2071" s="338"/>
      <c r="AN2071" s="333"/>
      <c r="AO2071" s="333"/>
      <c r="AP2071" s="333"/>
      <c r="AQ2071" s="333"/>
      <c r="AR2071" s="333"/>
      <c r="AS2071" s="333"/>
      <c r="AT2071" s="333"/>
      <c r="AU2071" s="329"/>
      <c r="AV2071" s="341"/>
      <c r="AW2071" s="269"/>
      <c r="AX2071" s="334" t="s">
        <v>2869</v>
      </c>
      <c r="AY2071" s="270" t="s">
        <v>695</v>
      </c>
      <c r="AZ2071" s="173" t="s">
        <v>5516</v>
      </c>
      <c r="BA2071" s="265">
        <v>10.0</v>
      </c>
      <c r="BB2071" s="174" t="s">
        <v>245</v>
      </c>
      <c r="BC2071" s="341"/>
      <c r="BD2071" s="308"/>
      <c r="BE2071" s="342"/>
      <c r="BF2071" s="274" t="str">
        <f>IFERROR(__xludf.DUMMYFUNCTION("LOWER(Regexreplace(to_text(E2071),""[^A-Za-z0-9]"","""")&amp;""_""&amp;Regexreplace(to_text(F2071),""[^A-Za-z0-9]"",""""))"),"neptronic_evcbseries")</f>
        <v>neptronic_evcbseries</v>
      </c>
      <c r="BG2071" s="275" t="str">
        <f>IFERROR(__xludf.DUMMYFUNCTION("upper(Regexreplace(to_text(E2071),""[^A-Za-z0-9]"","""")&amp;""-""&amp;Regexreplace(to_text(F2071),""[^A-Za-z0-9]"",""""))"),"NEPTRONIC-EVCBSERIES")</f>
        <v>NEPTRONIC-EVCBSERIES</v>
      </c>
    </row>
    <row r="2072" ht="30.0" customHeight="1">
      <c r="A2072" s="258">
        <v>2064.0</v>
      </c>
      <c r="B2072" s="328" t="s">
        <v>670</v>
      </c>
      <c r="C2072" s="257" t="s">
        <v>7347</v>
      </c>
      <c r="D2072" s="173" t="s">
        <v>7347</v>
      </c>
      <c r="E2072" s="174" t="s">
        <v>2861</v>
      </c>
      <c r="F2072" s="173" t="s">
        <v>2862</v>
      </c>
      <c r="G2072" s="328" t="s">
        <v>673</v>
      </c>
      <c r="H2072" s="328" t="s">
        <v>2863</v>
      </c>
      <c r="I2072" s="258" t="s">
        <v>2864</v>
      </c>
      <c r="J2072" s="259"/>
      <c r="K2072" s="260"/>
      <c r="L2072" s="359"/>
      <c r="M2072" s="359"/>
      <c r="N2072" s="173" t="s">
        <v>679</v>
      </c>
      <c r="O2072" s="173"/>
      <c r="P2072" s="262" t="str">
        <f t="shared" si="1"/>
        <v>IN-BLR-ANANTA-VAV-1644_</v>
      </c>
      <c r="Q2072" s="173" t="s">
        <v>7348</v>
      </c>
      <c r="R2072" s="328" t="str">
        <f>IFS(C2072="","",C2072="n/a","N/A",LEN(C2072),Concatenate("{",char(34),"asset",char(34),":{",char(34),"guid",char(34),":",char(34),Q2072,char(34),",",char(34),"site",char(34),":",char(34),LOWER('2-Building'!$B$4),char(34),",",char(34),"name",char(34),":",char(34),LOWER(C2072),char(34),"}}"))</f>
        <v>{"asset":{"guid":"uuid://2027fb9b-ab74-4c7a-9374-17a4e9a3abd4","site":"in-blr-ananta","name":"vav-1644"}}</v>
      </c>
      <c r="S2072" s="360" t="s">
        <v>5516</v>
      </c>
      <c r="T2072" s="330"/>
      <c r="U2072" s="330"/>
      <c r="V2072" s="331"/>
      <c r="W2072" s="332"/>
      <c r="X2072" s="333"/>
      <c r="Y2072" s="33" t="s">
        <v>2867</v>
      </c>
      <c r="Z2072" s="258">
        <v>121644.0</v>
      </c>
      <c r="AA2072" s="333"/>
      <c r="AB2072" s="333"/>
      <c r="AC2072" s="333"/>
      <c r="AD2072" s="329"/>
      <c r="AE2072" s="331"/>
      <c r="AF2072" s="336"/>
      <c r="AG2072" s="337"/>
      <c r="AH2072" s="333"/>
      <c r="AI2072" s="333"/>
      <c r="AJ2072" s="333"/>
      <c r="AK2072" s="328" t="s">
        <v>1398</v>
      </c>
      <c r="AL2072" s="328" t="s">
        <v>688</v>
      </c>
      <c r="AM2072" s="338"/>
      <c r="AN2072" s="333"/>
      <c r="AO2072" s="333"/>
      <c r="AP2072" s="333"/>
      <c r="AQ2072" s="333"/>
      <c r="AR2072" s="333"/>
      <c r="AS2072" s="333"/>
      <c r="AT2072" s="333"/>
      <c r="AU2072" s="329"/>
      <c r="AV2072" s="341"/>
      <c r="AW2072" s="269"/>
      <c r="AX2072" s="334" t="s">
        <v>2869</v>
      </c>
      <c r="AY2072" s="270" t="s">
        <v>695</v>
      </c>
      <c r="AZ2072" s="173" t="s">
        <v>5516</v>
      </c>
      <c r="BA2072" s="265">
        <v>10.0</v>
      </c>
      <c r="BB2072" s="174" t="s">
        <v>245</v>
      </c>
      <c r="BC2072" s="341"/>
      <c r="BD2072" s="308"/>
      <c r="BE2072" s="342"/>
      <c r="BF2072" s="274" t="str">
        <f>IFERROR(__xludf.DUMMYFUNCTION("LOWER(Regexreplace(to_text(E2072),""[^A-Za-z0-9]"","""")&amp;""_""&amp;Regexreplace(to_text(F2072),""[^A-Za-z0-9]"",""""))"),"neptronic_evcbseries")</f>
        <v>neptronic_evcbseries</v>
      </c>
      <c r="BG2072" s="275" t="str">
        <f>IFERROR(__xludf.DUMMYFUNCTION("upper(Regexreplace(to_text(E2072),""[^A-Za-z0-9]"","""")&amp;""-""&amp;Regexreplace(to_text(F2072),""[^A-Za-z0-9]"",""""))"),"NEPTRONIC-EVCBSERIES")</f>
        <v>NEPTRONIC-EVCBSERIES</v>
      </c>
    </row>
    <row r="2073" ht="30.0" customHeight="1">
      <c r="A2073" s="173">
        <v>2065.0</v>
      </c>
      <c r="B2073" s="328" t="s">
        <v>670</v>
      </c>
      <c r="C2073" s="257" t="s">
        <v>7349</v>
      </c>
      <c r="D2073" s="173" t="s">
        <v>7349</v>
      </c>
      <c r="E2073" s="174" t="s">
        <v>2861</v>
      </c>
      <c r="F2073" s="173" t="s">
        <v>2862</v>
      </c>
      <c r="G2073" s="328" t="s">
        <v>673</v>
      </c>
      <c r="H2073" s="328" t="s">
        <v>2863</v>
      </c>
      <c r="I2073" s="258" t="s">
        <v>2864</v>
      </c>
      <c r="J2073" s="259"/>
      <c r="K2073" s="260"/>
      <c r="L2073" s="359"/>
      <c r="M2073" s="359"/>
      <c r="N2073" s="173" t="s">
        <v>679</v>
      </c>
      <c r="O2073" s="173"/>
      <c r="P2073" s="262" t="str">
        <f t="shared" si="1"/>
        <v>IN-BLR-ANANTA-VAV-1645_</v>
      </c>
      <c r="Q2073" s="173" t="s">
        <v>7350</v>
      </c>
      <c r="R2073" s="328" t="str">
        <f>IFS(C2073="","",C2073="n/a","N/A",LEN(C2073),Concatenate("{",char(34),"asset",char(34),":{",char(34),"guid",char(34),":",char(34),Q2073,char(34),",",char(34),"site",char(34),":",char(34),LOWER('2-Building'!$B$4),char(34),",",char(34),"name",char(34),":",char(34),LOWER(C2073),char(34),"}}"))</f>
        <v>{"asset":{"guid":"uuid://19db5f7a-2077-4a3a-88ba-c314ddc45d8a","site":"in-blr-ananta","name":"vav-1645"}}</v>
      </c>
      <c r="S2073" s="360" t="s">
        <v>5516</v>
      </c>
      <c r="T2073" s="330"/>
      <c r="U2073" s="330"/>
      <c r="V2073" s="331"/>
      <c r="W2073" s="332"/>
      <c r="X2073" s="333"/>
      <c r="Y2073" s="33" t="s">
        <v>2867</v>
      </c>
      <c r="Z2073" s="258">
        <v>121645.0</v>
      </c>
      <c r="AA2073" s="333"/>
      <c r="AB2073" s="333"/>
      <c r="AC2073" s="333"/>
      <c r="AD2073" s="329"/>
      <c r="AE2073" s="331"/>
      <c r="AF2073" s="336"/>
      <c r="AG2073" s="337"/>
      <c r="AH2073" s="333"/>
      <c r="AI2073" s="333"/>
      <c r="AJ2073" s="333"/>
      <c r="AK2073" s="328" t="s">
        <v>1403</v>
      </c>
      <c r="AL2073" s="328" t="s">
        <v>688</v>
      </c>
      <c r="AM2073" s="338"/>
      <c r="AN2073" s="333"/>
      <c r="AO2073" s="333"/>
      <c r="AP2073" s="333"/>
      <c r="AQ2073" s="333"/>
      <c r="AR2073" s="333"/>
      <c r="AS2073" s="333"/>
      <c r="AT2073" s="333"/>
      <c r="AU2073" s="329"/>
      <c r="AV2073" s="341"/>
      <c r="AW2073" s="269"/>
      <c r="AX2073" s="334" t="s">
        <v>2869</v>
      </c>
      <c r="AY2073" s="270" t="s">
        <v>695</v>
      </c>
      <c r="AZ2073" s="173" t="s">
        <v>5516</v>
      </c>
      <c r="BA2073" s="265">
        <v>10.0</v>
      </c>
      <c r="BB2073" s="174" t="s">
        <v>245</v>
      </c>
      <c r="BC2073" s="341"/>
      <c r="BD2073" s="308"/>
      <c r="BE2073" s="342"/>
      <c r="BF2073" s="274" t="str">
        <f>IFERROR(__xludf.DUMMYFUNCTION("LOWER(Regexreplace(to_text(E2073),""[^A-Za-z0-9]"","""")&amp;""_""&amp;Regexreplace(to_text(F2073),""[^A-Za-z0-9]"",""""))"),"neptronic_evcbseries")</f>
        <v>neptronic_evcbseries</v>
      </c>
      <c r="BG2073" s="275" t="str">
        <f>IFERROR(__xludf.DUMMYFUNCTION("upper(Regexreplace(to_text(E2073),""[^A-Za-z0-9]"","""")&amp;""-""&amp;Regexreplace(to_text(F2073),""[^A-Za-z0-9]"",""""))"),"NEPTRONIC-EVCBSERIES")</f>
        <v>NEPTRONIC-EVCBSERIES</v>
      </c>
    </row>
    <row r="2074" ht="30.0" customHeight="1">
      <c r="A2074" s="258">
        <v>2066.0</v>
      </c>
      <c r="B2074" s="328" t="s">
        <v>670</v>
      </c>
      <c r="C2074" s="257" t="s">
        <v>7351</v>
      </c>
      <c r="D2074" s="173" t="s">
        <v>7351</v>
      </c>
      <c r="E2074" s="174" t="s">
        <v>2861</v>
      </c>
      <c r="F2074" s="173" t="s">
        <v>2862</v>
      </c>
      <c r="G2074" s="328" t="s">
        <v>673</v>
      </c>
      <c r="H2074" s="328" t="s">
        <v>2863</v>
      </c>
      <c r="I2074" s="258" t="s">
        <v>2864</v>
      </c>
      <c r="J2074" s="259"/>
      <c r="K2074" s="260"/>
      <c r="L2074" s="359"/>
      <c r="M2074" s="359"/>
      <c r="N2074" s="173" t="s">
        <v>679</v>
      </c>
      <c r="O2074" s="173"/>
      <c r="P2074" s="262" t="str">
        <f t="shared" si="1"/>
        <v>IN-BLR-ANANTA-VAV-1646_</v>
      </c>
      <c r="Q2074" s="173" t="s">
        <v>7352</v>
      </c>
      <c r="R2074" s="328" t="str">
        <f>IFS(C2074="","",C2074="n/a","N/A",LEN(C2074),Concatenate("{",char(34),"asset",char(34),":{",char(34),"guid",char(34),":",char(34),Q2074,char(34),",",char(34),"site",char(34),":",char(34),LOWER('2-Building'!$B$4),char(34),",",char(34),"name",char(34),":",char(34),LOWER(C2074),char(34),"}}"))</f>
        <v>{"asset":{"guid":"uuid://0f43add3-f3d7-45e6-aee2-7ba8313e5ab7","site":"in-blr-ananta","name":"vav-1646"}}</v>
      </c>
      <c r="S2074" s="360" t="s">
        <v>5516</v>
      </c>
      <c r="T2074" s="330"/>
      <c r="U2074" s="330"/>
      <c r="V2074" s="331"/>
      <c r="W2074" s="332"/>
      <c r="X2074" s="333"/>
      <c r="Y2074" s="33" t="s">
        <v>2867</v>
      </c>
      <c r="Z2074" s="258">
        <v>121646.0</v>
      </c>
      <c r="AA2074" s="333"/>
      <c r="AB2074" s="333"/>
      <c r="AC2074" s="333"/>
      <c r="AD2074" s="329"/>
      <c r="AE2074" s="331"/>
      <c r="AF2074" s="336"/>
      <c r="AG2074" s="337"/>
      <c r="AH2074" s="333"/>
      <c r="AI2074" s="333"/>
      <c r="AJ2074" s="333"/>
      <c r="AK2074" s="328" t="s">
        <v>1408</v>
      </c>
      <c r="AL2074" s="328" t="s">
        <v>688</v>
      </c>
      <c r="AM2074" s="338"/>
      <c r="AN2074" s="333"/>
      <c r="AO2074" s="333"/>
      <c r="AP2074" s="333"/>
      <c r="AQ2074" s="333"/>
      <c r="AR2074" s="333"/>
      <c r="AS2074" s="333"/>
      <c r="AT2074" s="333"/>
      <c r="AU2074" s="329"/>
      <c r="AV2074" s="341"/>
      <c r="AW2074" s="269"/>
      <c r="AX2074" s="334" t="s">
        <v>2869</v>
      </c>
      <c r="AY2074" s="270" t="s">
        <v>695</v>
      </c>
      <c r="AZ2074" s="173" t="s">
        <v>5516</v>
      </c>
      <c r="BA2074" s="265">
        <v>10.0</v>
      </c>
      <c r="BB2074" s="174" t="s">
        <v>245</v>
      </c>
      <c r="BC2074" s="341"/>
      <c r="BD2074" s="308"/>
      <c r="BE2074" s="342"/>
      <c r="BF2074" s="274" t="str">
        <f>IFERROR(__xludf.DUMMYFUNCTION("LOWER(Regexreplace(to_text(E2074),""[^A-Za-z0-9]"","""")&amp;""_""&amp;Regexreplace(to_text(F2074),""[^A-Za-z0-9]"",""""))"),"neptronic_evcbseries")</f>
        <v>neptronic_evcbseries</v>
      </c>
      <c r="BG2074" s="275" t="str">
        <f>IFERROR(__xludf.DUMMYFUNCTION("upper(Regexreplace(to_text(E2074),""[^A-Za-z0-9]"","""")&amp;""-""&amp;Regexreplace(to_text(F2074),""[^A-Za-z0-9]"",""""))"),"NEPTRONIC-EVCBSERIES")</f>
        <v>NEPTRONIC-EVCBSERIES</v>
      </c>
    </row>
    <row r="2075" ht="30.0" customHeight="1">
      <c r="A2075" s="173">
        <v>2067.0</v>
      </c>
      <c r="B2075" s="328" t="s">
        <v>670</v>
      </c>
      <c r="C2075" s="257" t="s">
        <v>7353</v>
      </c>
      <c r="D2075" s="173" t="s">
        <v>7353</v>
      </c>
      <c r="E2075" s="174" t="s">
        <v>2861</v>
      </c>
      <c r="F2075" s="173" t="s">
        <v>2862</v>
      </c>
      <c r="G2075" s="328" t="s">
        <v>673</v>
      </c>
      <c r="H2075" s="328" t="s">
        <v>2863</v>
      </c>
      <c r="I2075" s="258" t="s">
        <v>2864</v>
      </c>
      <c r="J2075" s="259"/>
      <c r="K2075" s="260"/>
      <c r="L2075" s="359"/>
      <c r="M2075" s="359"/>
      <c r="N2075" s="173" t="s">
        <v>679</v>
      </c>
      <c r="O2075" s="173"/>
      <c r="P2075" s="262" t="str">
        <f t="shared" si="1"/>
        <v>IN-BLR-ANANTA-VAV-1647_</v>
      </c>
      <c r="Q2075" s="173" t="s">
        <v>7354</v>
      </c>
      <c r="R2075" s="328" t="str">
        <f>IFS(C2075="","",C2075="n/a","N/A",LEN(C2075),Concatenate("{",char(34),"asset",char(34),":{",char(34),"guid",char(34),":",char(34),Q2075,char(34),",",char(34),"site",char(34),":",char(34),LOWER('2-Building'!$B$4),char(34),",",char(34),"name",char(34),":",char(34),LOWER(C2075),char(34),"}}"))</f>
        <v>{"asset":{"guid":"uuid://03043924-2ddd-4b0d-87a8-51f991dab673","site":"in-blr-ananta","name":"vav-1647"}}</v>
      </c>
      <c r="S2075" s="360" t="s">
        <v>5516</v>
      </c>
      <c r="T2075" s="330"/>
      <c r="U2075" s="330"/>
      <c r="V2075" s="331"/>
      <c r="W2075" s="332"/>
      <c r="X2075" s="333"/>
      <c r="Y2075" s="33" t="s">
        <v>2867</v>
      </c>
      <c r="Z2075" s="258">
        <v>121647.0</v>
      </c>
      <c r="AA2075" s="333"/>
      <c r="AB2075" s="333"/>
      <c r="AC2075" s="333"/>
      <c r="AD2075" s="329"/>
      <c r="AE2075" s="331"/>
      <c r="AF2075" s="336"/>
      <c r="AG2075" s="337"/>
      <c r="AH2075" s="333"/>
      <c r="AI2075" s="333"/>
      <c r="AJ2075" s="333"/>
      <c r="AK2075" s="328" t="s">
        <v>1413</v>
      </c>
      <c r="AL2075" s="328" t="s">
        <v>688</v>
      </c>
      <c r="AM2075" s="338"/>
      <c r="AN2075" s="333"/>
      <c r="AO2075" s="333"/>
      <c r="AP2075" s="333"/>
      <c r="AQ2075" s="333"/>
      <c r="AR2075" s="333"/>
      <c r="AS2075" s="333"/>
      <c r="AT2075" s="333"/>
      <c r="AU2075" s="329"/>
      <c r="AV2075" s="341"/>
      <c r="AW2075" s="269"/>
      <c r="AX2075" s="334" t="s">
        <v>2869</v>
      </c>
      <c r="AY2075" s="270" t="s">
        <v>695</v>
      </c>
      <c r="AZ2075" s="173" t="s">
        <v>5516</v>
      </c>
      <c r="BA2075" s="265">
        <v>10.0</v>
      </c>
      <c r="BB2075" s="174" t="s">
        <v>245</v>
      </c>
      <c r="BC2075" s="341"/>
      <c r="BD2075" s="308"/>
      <c r="BE2075" s="342"/>
      <c r="BF2075" s="274" t="str">
        <f>IFERROR(__xludf.DUMMYFUNCTION("LOWER(Regexreplace(to_text(E2075),""[^A-Za-z0-9]"","""")&amp;""_""&amp;Regexreplace(to_text(F2075),""[^A-Za-z0-9]"",""""))"),"neptronic_evcbseries")</f>
        <v>neptronic_evcbseries</v>
      </c>
      <c r="BG2075" s="275" t="str">
        <f>IFERROR(__xludf.DUMMYFUNCTION("upper(Regexreplace(to_text(E2075),""[^A-Za-z0-9]"","""")&amp;""-""&amp;Regexreplace(to_text(F2075),""[^A-Za-z0-9]"",""""))"),"NEPTRONIC-EVCBSERIES")</f>
        <v>NEPTRONIC-EVCBSERIES</v>
      </c>
    </row>
    <row r="2076" ht="30.0" customHeight="1">
      <c r="A2076" s="258">
        <v>2068.0</v>
      </c>
      <c r="B2076" s="328" t="s">
        <v>670</v>
      </c>
      <c r="C2076" s="257" t="s">
        <v>7355</v>
      </c>
      <c r="D2076" s="173" t="s">
        <v>7355</v>
      </c>
      <c r="E2076" s="174" t="s">
        <v>2861</v>
      </c>
      <c r="F2076" s="173" t="s">
        <v>2862</v>
      </c>
      <c r="G2076" s="328" t="s">
        <v>673</v>
      </c>
      <c r="H2076" s="328" t="s">
        <v>2863</v>
      </c>
      <c r="I2076" s="258" t="s">
        <v>2864</v>
      </c>
      <c r="J2076" s="259"/>
      <c r="K2076" s="260"/>
      <c r="L2076" s="359"/>
      <c r="M2076" s="359"/>
      <c r="N2076" s="173" t="s">
        <v>679</v>
      </c>
      <c r="O2076" s="173"/>
      <c r="P2076" s="262" t="str">
        <f t="shared" si="1"/>
        <v>IN-BLR-ANANTA-VAV-1648_</v>
      </c>
      <c r="Q2076" s="173" t="s">
        <v>7356</v>
      </c>
      <c r="R2076" s="328" t="str">
        <f>IFS(C2076="","",C2076="n/a","N/A",LEN(C2076),Concatenate("{",char(34),"asset",char(34),":{",char(34),"guid",char(34),":",char(34),Q2076,char(34),",",char(34),"site",char(34),":",char(34),LOWER('2-Building'!$B$4),char(34),",",char(34),"name",char(34),":",char(34),LOWER(C2076),char(34),"}}"))</f>
        <v>{"asset":{"guid":"uuid://96a243b0-994f-4766-865d-ea41530204a0","site":"in-blr-ananta","name":"vav-1648"}}</v>
      </c>
      <c r="S2076" s="360" t="s">
        <v>5516</v>
      </c>
      <c r="T2076" s="330"/>
      <c r="U2076" s="330"/>
      <c r="V2076" s="331"/>
      <c r="W2076" s="332"/>
      <c r="X2076" s="333"/>
      <c r="Y2076" s="33" t="s">
        <v>2867</v>
      </c>
      <c r="Z2076" s="258">
        <v>121648.0</v>
      </c>
      <c r="AA2076" s="333"/>
      <c r="AB2076" s="333"/>
      <c r="AC2076" s="333"/>
      <c r="AD2076" s="329"/>
      <c r="AE2076" s="331"/>
      <c r="AF2076" s="336"/>
      <c r="AG2076" s="337"/>
      <c r="AH2076" s="333"/>
      <c r="AI2076" s="333"/>
      <c r="AJ2076" s="333"/>
      <c r="AK2076" s="361" t="s">
        <v>1418</v>
      </c>
      <c r="AL2076" s="328" t="s">
        <v>688</v>
      </c>
      <c r="AM2076" s="338"/>
      <c r="AN2076" s="333"/>
      <c r="AO2076" s="333"/>
      <c r="AP2076" s="333"/>
      <c r="AQ2076" s="333"/>
      <c r="AR2076" s="333"/>
      <c r="AS2076" s="333"/>
      <c r="AT2076" s="333"/>
      <c r="AU2076" s="329"/>
      <c r="AV2076" s="341"/>
      <c r="AW2076" s="269"/>
      <c r="AX2076" s="334" t="s">
        <v>2869</v>
      </c>
      <c r="AY2076" s="270" t="s">
        <v>695</v>
      </c>
      <c r="AZ2076" s="173" t="s">
        <v>5516</v>
      </c>
      <c r="BA2076" s="265">
        <v>10.0</v>
      </c>
      <c r="BB2076" s="174" t="s">
        <v>245</v>
      </c>
      <c r="BC2076" s="341"/>
      <c r="BD2076" s="308"/>
      <c r="BE2076" s="342"/>
      <c r="BF2076" s="274" t="str">
        <f>IFERROR(__xludf.DUMMYFUNCTION("LOWER(Regexreplace(to_text(E2076),""[^A-Za-z0-9]"","""")&amp;""_""&amp;Regexreplace(to_text(F2076),""[^A-Za-z0-9]"",""""))"),"neptronic_evcbseries")</f>
        <v>neptronic_evcbseries</v>
      </c>
      <c r="BG2076" s="275" t="str">
        <f>IFERROR(__xludf.DUMMYFUNCTION("upper(Regexreplace(to_text(E2076),""[^A-Za-z0-9]"","""")&amp;""-""&amp;Regexreplace(to_text(F2076),""[^A-Za-z0-9]"",""""))"),"NEPTRONIC-EVCBSERIES")</f>
        <v>NEPTRONIC-EVCBSERIES</v>
      </c>
    </row>
    <row r="2077" ht="30.0" customHeight="1">
      <c r="A2077" s="173">
        <v>2069.0</v>
      </c>
      <c r="B2077" s="328" t="s">
        <v>670</v>
      </c>
      <c r="C2077" s="257" t="s">
        <v>7357</v>
      </c>
      <c r="D2077" s="173" t="s">
        <v>7357</v>
      </c>
      <c r="E2077" s="174" t="s">
        <v>2861</v>
      </c>
      <c r="F2077" s="173" t="s">
        <v>2862</v>
      </c>
      <c r="G2077" s="328" t="s">
        <v>673</v>
      </c>
      <c r="H2077" s="328" t="s">
        <v>2863</v>
      </c>
      <c r="I2077" s="258" t="s">
        <v>2864</v>
      </c>
      <c r="J2077" s="259"/>
      <c r="K2077" s="260"/>
      <c r="L2077" s="359"/>
      <c r="M2077" s="359"/>
      <c r="N2077" s="173" t="s">
        <v>679</v>
      </c>
      <c r="O2077" s="173"/>
      <c r="P2077" s="262" t="str">
        <f t="shared" si="1"/>
        <v>IN-BLR-ANANTA-VAV-1649_</v>
      </c>
      <c r="Q2077" s="173" t="s">
        <v>7358</v>
      </c>
      <c r="R2077" s="328" t="str">
        <f>IFS(C2077="","",C2077="n/a","N/A",LEN(C2077),Concatenate("{",char(34),"asset",char(34),":{",char(34),"guid",char(34),":",char(34),Q2077,char(34),",",char(34),"site",char(34),":",char(34),LOWER('2-Building'!$B$4),char(34),",",char(34),"name",char(34),":",char(34),LOWER(C2077),char(34),"}}"))</f>
        <v>{"asset":{"guid":"uuid://db995b50-af34-4603-8906-470f1da1addf","site":"in-blr-ananta","name":"vav-1649"}}</v>
      </c>
      <c r="S2077" s="360" t="s">
        <v>5516</v>
      </c>
      <c r="T2077" s="330"/>
      <c r="U2077" s="330"/>
      <c r="V2077" s="331"/>
      <c r="W2077" s="332"/>
      <c r="X2077" s="333"/>
      <c r="Y2077" s="33" t="s">
        <v>2867</v>
      </c>
      <c r="Z2077" s="258">
        <v>121649.0</v>
      </c>
      <c r="AA2077" s="333"/>
      <c r="AB2077" s="333"/>
      <c r="AC2077" s="333"/>
      <c r="AD2077" s="329"/>
      <c r="AE2077" s="331"/>
      <c r="AF2077" s="336"/>
      <c r="AG2077" s="337"/>
      <c r="AH2077" s="333"/>
      <c r="AI2077" s="333"/>
      <c r="AJ2077" s="333"/>
      <c r="AK2077" s="361" t="s">
        <v>1423</v>
      </c>
      <c r="AL2077" s="328" t="s">
        <v>688</v>
      </c>
      <c r="AM2077" s="338"/>
      <c r="AN2077" s="333"/>
      <c r="AO2077" s="333"/>
      <c r="AP2077" s="333"/>
      <c r="AQ2077" s="333"/>
      <c r="AR2077" s="333"/>
      <c r="AS2077" s="333"/>
      <c r="AT2077" s="333"/>
      <c r="AU2077" s="329"/>
      <c r="AV2077" s="341"/>
      <c r="AW2077" s="269"/>
      <c r="AX2077" s="334" t="s">
        <v>2869</v>
      </c>
      <c r="AY2077" s="270" t="s">
        <v>695</v>
      </c>
      <c r="AZ2077" s="173" t="s">
        <v>5516</v>
      </c>
      <c r="BA2077" s="265">
        <v>10.0</v>
      </c>
      <c r="BB2077" s="174" t="s">
        <v>245</v>
      </c>
      <c r="BC2077" s="341"/>
      <c r="BD2077" s="308"/>
      <c r="BE2077" s="342"/>
      <c r="BF2077" s="274" t="str">
        <f>IFERROR(__xludf.DUMMYFUNCTION("LOWER(Regexreplace(to_text(E2077),""[^A-Za-z0-9]"","""")&amp;""_""&amp;Regexreplace(to_text(F2077),""[^A-Za-z0-9]"",""""))"),"neptronic_evcbseries")</f>
        <v>neptronic_evcbseries</v>
      </c>
      <c r="BG2077" s="275" t="str">
        <f>IFERROR(__xludf.DUMMYFUNCTION("upper(Regexreplace(to_text(E2077),""[^A-Za-z0-9]"","""")&amp;""-""&amp;Regexreplace(to_text(F2077),""[^A-Za-z0-9]"",""""))"),"NEPTRONIC-EVCBSERIES")</f>
        <v>NEPTRONIC-EVCBSERIES</v>
      </c>
    </row>
    <row r="2078" ht="30.0" customHeight="1">
      <c r="A2078" s="258">
        <v>2070.0</v>
      </c>
      <c r="B2078" s="328" t="s">
        <v>670</v>
      </c>
      <c r="C2078" s="257" t="s">
        <v>7359</v>
      </c>
      <c r="D2078" s="173" t="s">
        <v>7359</v>
      </c>
      <c r="E2078" s="174" t="s">
        <v>2861</v>
      </c>
      <c r="F2078" s="173" t="s">
        <v>2862</v>
      </c>
      <c r="G2078" s="328" t="s">
        <v>673</v>
      </c>
      <c r="H2078" s="328" t="s">
        <v>2863</v>
      </c>
      <c r="I2078" s="258" t="s">
        <v>2864</v>
      </c>
      <c r="J2078" s="259"/>
      <c r="K2078" s="260"/>
      <c r="L2078" s="359"/>
      <c r="M2078" s="359"/>
      <c r="N2078" s="173" t="s">
        <v>679</v>
      </c>
      <c r="O2078" s="173"/>
      <c r="P2078" s="262" t="str">
        <f t="shared" si="1"/>
        <v>IN-BLR-ANANTA-VAV-1650_</v>
      </c>
      <c r="Q2078" s="173" t="s">
        <v>7360</v>
      </c>
      <c r="R2078" s="328" t="str">
        <f>IFS(C2078="","",C2078="n/a","N/A",LEN(C2078),Concatenate("{",char(34),"asset",char(34),":{",char(34),"guid",char(34),":",char(34),Q2078,char(34),",",char(34),"site",char(34),":",char(34),LOWER('2-Building'!$B$4),char(34),",",char(34),"name",char(34),":",char(34),LOWER(C2078),char(34),"}}"))</f>
        <v>{"asset":{"guid":"uuid://2c158347-4d31-44e4-affc-ec9a613a5107","site":"in-blr-ananta","name":"vav-1650"}}</v>
      </c>
      <c r="S2078" s="360" t="s">
        <v>5516</v>
      </c>
      <c r="T2078" s="330"/>
      <c r="U2078" s="330"/>
      <c r="V2078" s="331"/>
      <c r="W2078" s="332"/>
      <c r="X2078" s="333"/>
      <c r="Y2078" s="33" t="s">
        <v>2867</v>
      </c>
      <c r="Z2078" s="258">
        <v>121650.0</v>
      </c>
      <c r="AA2078" s="333"/>
      <c r="AB2078" s="333"/>
      <c r="AC2078" s="333"/>
      <c r="AD2078" s="329"/>
      <c r="AE2078" s="331"/>
      <c r="AF2078" s="336"/>
      <c r="AG2078" s="337"/>
      <c r="AH2078" s="333"/>
      <c r="AI2078" s="333"/>
      <c r="AJ2078" s="333"/>
      <c r="AK2078" s="328" t="s">
        <v>1428</v>
      </c>
      <c r="AL2078" s="328" t="s">
        <v>688</v>
      </c>
      <c r="AM2078" s="338"/>
      <c r="AN2078" s="333"/>
      <c r="AO2078" s="333"/>
      <c r="AP2078" s="333"/>
      <c r="AQ2078" s="333"/>
      <c r="AR2078" s="333"/>
      <c r="AS2078" s="333"/>
      <c r="AT2078" s="333"/>
      <c r="AU2078" s="329"/>
      <c r="AV2078" s="341"/>
      <c r="AW2078" s="269"/>
      <c r="AX2078" s="334" t="s">
        <v>2869</v>
      </c>
      <c r="AY2078" s="270" t="s">
        <v>695</v>
      </c>
      <c r="AZ2078" s="173" t="s">
        <v>5516</v>
      </c>
      <c r="BA2078" s="265">
        <v>10.0</v>
      </c>
      <c r="BB2078" s="174" t="s">
        <v>245</v>
      </c>
      <c r="BC2078" s="341"/>
      <c r="BD2078" s="308"/>
      <c r="BE2078" s="342"/>
      <c r="BF2078" s="274" t="str">
        <f>IFERROR(__xludf.DUMMYFUNCTION("LOWER(Regexreplace(to_text(E2078),""[^A-Za-z0-9]"","""")&amp;""_""&amp;Regexreplace(to_text(F2078),""[^A-Za-z0-9]"",""""))"),"neptronic_evcbseries")</f>
        <v>neptronic_evcbseries</v>
      </c>
      <c r="BG2078" s="275" t="str">
        <f>IFERROR(__xludf.DUMMYFUNCTION("upper(Regexreplace(to_text(E2078),""[^A-Za-z0-9]"","""")&amp;""-""&amp;Regexreplace(to_text(F2078),""[^A-Za-z0-9]"",""""))"),"NEPTRONIC-EVCBSERIES")</f>
        <v>NEPTRONIC-EVCBSERIES</v>
      </c>
    </row>
    <row r="2079" ht="30.0" customHeight="1">
      <c r="A2079" s="173">
        <v>2071.0</v>
      </c>
      <c r="B2079" s="328" t="s">
        <v>670</v>
      </c>
      <c r="C2079" s="257" t="s">
        <v>7361</v>
      </c>
      <c r="D2079" s="173" t="s">
        <v>7361</v>
      </c>
      <c r="E2079" s="174" t="s">
        <v>2861</v>
      </c>
      <c r="F2079" s="173" t="s">
        <v>2862</v>
      </c>
      <c r="G2079" s="328" t="s">
        <v>673</v>
      </c>
      <c r="H2079" s="328" t="s">
        <v>2863</v>
      </c>
      <c r="I2079" s="258" t="s">
        <v>2864</v>
      </c>
      <c r="J2079" s="259"/>
      <c r="K2079" s="260"/>
      <c r="L2079" s="359"/>
      <c r="M2079" s="359"/>
      <c r="N2079" s="173" t="s">
        <v>679</v>
      </c>
      <c r="O2079" s="173"/>
      <c r="P2079" s="262" t="str">
        <f t="shared" si="1"/>
        <v>IN-BLR-ANANTA-VAV-1651_</v>
      </c>
      <c r="Q2079" s="173" t="s">
        <v>7362</v>
      </c>
      <c r="R2079" s="328" t="str">
        <f>IFS(C2079="","",C2079="n/a","N/A",LEN(C2079),Concatenate("{",char(34),"asset",char(34),":{",char(34),"guid",char(34),":",char(34),Q2079,char(34),",",char(34),"site",char(34),":",char(34),LOWER('2-Building'!$B$4),char(34),",",char(34),"name",char(34),":",char(34),LOWER(C2079),char(34),"}}"))</f>
        <v>{"asset":{"guid":"uuid://e41d7abe-f3fb-440a-8c31-ba68d98e33f5","site":"in-blr-ananta","name":"vav-1651"}}</v>
      </c>
      <c r="S2079" s="360" t="s">
        <v>5516</v>
      </c>
      <c r="T2079" s="330"/>
      <c r="U2079" s="330"/>
      <c r="V2079" s="331"/>
      <c r="W2079" s="332"/>
      <c r="X2079" s="333"/>
      <c r="Y2079" s="33" t="s">
        <v>2867</v>
      </c>
      <c r="Z2079" s="258">
        <v>121651.0</v>
      </c>
      <c r="AA2079" s="333"/>
      <c r="AB2079" s="333"/>
      <c r="AC2079" s="333"/>
      <c r="AD2079" s="329"/>
      <c r="AE2079" s="331"/>
      <c r="AF2079" s="336"/>
      <c r="AG2079" s="337"/>
      <c r="AH2079" s="333"/>
      <c r="AI2079" s="333"/>
      <c r="AJ2079" s="333"/>
      <c r="AK2079" s="328" t="s">
        <v>1433</v>
      </c>
      <c r="AL2079" s="328" t="s">
        <v>688</v>
      </c>
      <c r="AM2079" s="338"/>
      <c r="AN2079" s="333"/>
      <c r="AO2079" s="333"/>
      <c r="AP2079" s="333"/>
      <c r="AQ2079" s="333"/>
      <c r="AR2079" s="333"/>
      <c r="AS2079" s="333"/>
      <c r="AT2079" s="333"/>
      <c r="AU2079" s="329"/>
      <c r="AV2079" s="341"/>
      <c r="AW2079" s="269"/>
      <c r="AX2079" s="334" t="s">
        <v>2869</v>
      </c>
      <c r="AY2079" s="270" t="s">
        <v>695</v>
      </c>
      <c r="AZ2079" s="173" t="s">
        <v>5516</v>
      </c>
      <c r="BA2079" s="265">
        <v>10.0</v>
      </c>
      <c r="BB2079" s="174" t="s">
        <v>245</v>
      </c>
      <c r="BC2079" s="341"/>
      <c r="BD2079" s="308"/>
      <c r="BE2079" s="342"/>
      <c r="BF2079" s="274" t="str">
        <f>IFERROR(__xludf.DUMMYFUNCTION("LOWER(Regexreplace(to_text(E2079),""[^A-Za-z0-9]"","""")&amp;""_""&amp;Regexreplace(to_text(F2079),""[^A-Za-z0-9]"",""""))"),"neptronic_evcbseries")</f>
        <v>neptronic_evcbseries</v>
      </c>
      <c r="BG2079" s="275" t="str">
        <f>IFERROR(__xludf.DUMMYFUNCTION("upper(Regexreplace(to_text(E2079),""[^A-Za-z0-9]"","""")&amp;""-""&amp;Regexreplace(to_text(F2079),""[^A-Za-z0-9]"",""""))"),"NEPTRONIC-EVCBSERIES")</f>
        <v>NEPTRONIC-EVCBSERIES</v>
      </c>
    </row>
    <row r="2080" ht="30.0" customHeight="1">
      <c r="A2080" s="258">
        <v>2072.0</v>
      </c>
      <c r="B2080" s="328" t="s">
        <v>670</v>
      </c>
      <c r="C2080" s="257" t="s">
        <v>7363</v>
      </c>
      <c r="D2080" s="173" t="s">
        <v>7363</v>
      </c>
      <c r="E2080" s="174" t="s">
        <v>2861</v>
      </c>
      <c r="F2080" s="173" t="s">
        <v>2862</v>
      </c>
      <c r="G2080" s="328" t="s">
        <v>673</v>
      </c>
      <c r="H2080" s="328" t="s">
        <v>2863</v>
      </c>
      <c r="I2080" s="258" t="s">
        <v>2864</v>
      </c>
      <c r="J2080" s="259"/>
      <c r="K2080" s="260"/>
      <c r="L2080" s="359"/>
      <c r="M2080" s="359"/>
      <c r="N2080" s="173" t="s">
        <v>679</v>
      </c>
      <c r="O2080" s="173"/>
      <c r="P2080" s="262" t="str">
        <f t="shared" si="1"/>
        <v>IN-BLR-ANANTA-VAV-1652_</v>
      </c>
      <c r="Q2080" s="173" t="s">
        <v>7364</v>
      </c>
      <c r="R2080" s="328" t="str">
        <f>IFS(C2080="","",C2080="n/a","N/A",LEN(C2080),Concatenate("{",char(34),"asset",char(34),":{",char(34),"guid",char(34),":",char(34),Q2080,char(34),",",char(34),"site",char(34),":",char(34),LOWER('2-Building'!$B$4),char(34),",",char(34),"name",char(34),":",char(34),LOWER(C2080),char(34),"}}"))</f>
        <v>{"asset":{"guid":"uuid://845bdc07-1b3e-407b-ad8f-9ac650c2a9ff","site":"in-blr-ananta","name":"vav-1652"}}</v>
      </c>
      <c r="S2080" s="360" t="s">
        <v>5516</v>
      </c>
      <c r="T2080" s="330"/>
      <c r="U2080" s="330"/>
      <c r="V2080" s="331"/>
      <c r="W2080" s="332"/>
      <c r="X2080" s="333"/>
      <c r="Y2080" s="33" t="s">
        <v>2867</v>
      </c>
      <c r="Z2080" s="258">
        <v>121652.0</v>
      </c>
      <c r="AA2080" s="333"/>
      <c r="AB2080" s="333"/>
      <c r="AC2080" s="333"/>
      <c r="AD2080" s="329"/>
      <c r="AE2080" s="331"/>
      <c r="AF2080" s="336"/>
      <c r="AG2080" s="337"/>
      <c r="AH2080" s="333"/>
      <c r="AI2080" s="333"/>
      <c r="AJ2080" s="333"/>
      <c r="AK2080" s="328" t="s">
        <v>1438</v>
      </c>
      <c r="AL2080" s="328" t="s">
        <v>688</v>
      </c>
      <c r="AM2080" s="338"/>
      <c r="AN2080" s="333"/>
      <c r="AO2080" s="333"/>
      <c r="AP2080" s="333"/>
      <c r="AQ2080" s="333"/>
      <c r="AR2080" s="333"/>
      <c r="AS2080" s="333"/>
      <c r="AT2080" s="333"/>
      <c r="AU2080" s="329"/>
      <c r="AV2080" s="341"/>
      <c r="AW2080" s="269"/>
      <c r="AX2080" s="334" t="s">
        <v>2869</v>
      </c>
      <c r="AY2080" s="270" t="s">
        <v>695</v>
      </c>
      <c r="AZ2080" s="173" t="s">
        <v>5516</v>
      </c>
      <c r="BA2080" s="265">
        <v>10.0</v>
      </c>
      <c r="BB2080" s="174" t="s">
        <v>245</v>
      </c>
      <c r="BC2080" s="341"/>
      <c r="BD2080" s="308"/>
      <c r="BE2080" s="342"/>
      <c r="BF2080" s="274" t="str">
        <f>IFERROR(__xludf.DUMMYFUNCTION("LOWER(Regexreplace(to_text(E2080),""[^A-Za-z0-9]"","""")&amp;""_""&amp;Regexreplace(to_text(F2080),""[^A-Za-z0-9]"",""""))"),"neptronic_evcbseries")</f>
        <v>neptronic_evcbseries</v>
      </c>
      <c r="BG2080" s="275" t="str">
        <f>IFERROR(__xludf.DUMMYFUNCTION("upper(Regexreplace(to_text(E2080),""[^A-Za-z0-9]"","""")&amp;""-""&amp;Regexreplace(to_text(F2080),""[^A-Za-z0-9]"",""""))"),"NEPTRONIC-EVCBSERIES")</f>
        <v>NEPTRONIC-EVCBSERIES</v>
      </c>
    </row>
    <row r="2081" ht="30.0" customHeight="1">
      <c r="A2081" s="173">
        <v>2073.0</v>
      </c>
      <c r="B2081" s="328" t="s">
        <v>670</v>
      </c>
      <c r="C2081" s="257" t="s">
        <v>7365</v>
      </c>
      <c r="D2081" s="173" t="s">
        <v>7365</v>
      </c>
      <c r="E2081" s="174" t="s">
        <v>2861</v>
      </c>
      <c r="F2081" s="173" t="s">
        <v>2862</v>
      </c>
      <c r="G2081" s="328" t="s">
        <v>673</v>
      </c>
      <c r="H2081" s="328" t="s">
        <v>2863</v>
      </c>
      <c r="I2081" s="258" t="s">
        <v>2864</v>
      </c>
      <c r="J2081" s="259"/>
      <c r="K2081" s="260"/>
      <c r="L2081" s="359"/>
      <c r="M2081" s="359"/>
      <c r="N2081" s="173" t="s">
        <v>679</v>
      </c>
      <c r="O2081" s="173"/>
      <c r="P2081" s="262" t="str">
        <f t="shared" si="1"/>
        <v>IN-BLR-ANANTA-VAV-1653_</v>
      </c>
      <c r="Q2081" s="173" t="s">
        <v>7366</v>
      </c>
      <c r="R2081" s="328" t="str">
        <f>IFS(C2081="","",C2081="n/a","N/A",LEN(C2081),Concatenate("{",char(34),"asset",char(34),":{",char(34),"guid",char(34),":",char(34),Q2081,char(34),",",char(34),"site",char(34),":",char(34),LOWER('2-Building'!$B$4),char(34),",",char(34),"name",char(34),":",char(34),LOWER(C2081),char(34),"}}"))</f>
        <v>{"asset":{"guid":"uuid://f7107c8b-e1f9-4511-9077-fd6d69fb7594","site":"in-blr-ananta","name":"vav-1653"}}</v>
      </c>
      <c r="S2081" s="360" t="s">
        <v>5516</v>
      </c>
      <c r="T2081" s="330"/>
      <c r="U2081" s="330"/>
      <c r="V2081" s="331"/>
      <c r="W2081" s="332"/>
      <c r="X2081" s="333"/>
      <c r="Y2081" s="33" t="s">
        <v>2867</v>
      </c>
      <c r="Z2081" s="258">
        <v>121653.0</v>
      </c>
      <c r="AA2081" s="333"/>
      <c r="AB2081" s="333"/>
      <c r="AC2081" s="333"/>
      <c r="AD2081" s="329"/>
      <c r="AE2081" s="331"/>
      <c r="AF2081" s="336"/>
      <c r="AG2081" s="337"/>
      <c r="AH2081" s="333"/>
      <c r="AI2081" s="333"/>
      <c r="AJ2081" s="333"/>
      <c r="AK2081" s="328" t="s">
        <v>1443</v>
      </c>
      <c r="AL2081" s="328" t="s">
        <v>688</v>
      </c>
      <c r="AM2081" s="338"/>
      <c r="AN2081" s="333"/>
      <c r="AO2081" s="333"/>
      <c r="AP2081" s="333"/>
      <c r="AQ2081" s="333"/>
      <c r="AR2081" s="333"/>
      <c r="AS2081" s="333"/>
      <c r="AT2081" s="333"/>
      <c r="AU2081" s="329"/>
      <c r="AV2081" s="341"/>
      <c r="AW2081" s="269"/>
      <c r="AX2081" s="334" t="s">
        <v>2869</v>
      </c>
      <c r="AY2081" s="270" t="s">
        <v>695</v>
      </c>
      <c r="AZ2081" s="173" t="s">
        <v>5516</v>
      </c>
      <c r="BA2081" s="265">
        <v>10.0</v>
      </c>
      <c r="BB2081" s="174" t="s">
        <v>245</v>
      </c>
      <c r="BC2081" s="341"/>
      <c r="BD2081" s="308"/>
      <c r="BE2081" s="342"/>
      <c r="BF2081" s="274" t="str">
        <f>IFERROR(__xludf.DUMMYFUNCTION("LOWER(Regexreplace(to_text(E2081),""[^A-Za-z0-9]"","""")&amp;""_""&amp;Regexreplace(to_text(F2081),""[^A-Za-z0-9]"",""""))"),"neptronic_evcbseries")</f>
        <v>neptronic_evcbseries</v>
      </c>
      <c r="BG2081" s="275" t="str">
        <f>IFERROR(__xludf.DUMMYFUNCTION("upper(Regexreplace(to_text(E2081),""[^A-Za-z0-9]"","""")&amp;""-""&amp;Regexreplace(to_text(F2081),""[^A-Za-z0-9]"",""""))"),"NEPTRONIC-EVCBSERIES")</f>
        <v>NEPTRONIC-EVCBSERIES</v>
      </c>
    </row>
    <row r="2082" ht="30.0" customHeight="1">
      <c r="A2082" s="258">
        <v>2074.0</v>
      </c>
      <c r="B2082" s="328" t="s">
        <v>670</v>
      </c>
      <c r="C2082" s="257" t="s">
        <v>7367</v>
      </c>
      <c r="D2082" s="173" t="s">
        <v>7367</v>
      </c>
      <c r="E2082" s="174" t="s">
        <v>2861</v>
      </c>
      <c r="F2082" s="173" t="s">
        <v>2862</v>
      </c>
      <c r="G2082" s="328" t="s">
        <v>673</v>
      </c>
      <c r="H2082" s="328" t="s">
        <v>2863</v>
      </c>
      <c r="I2082" s="258" t="s">
        <v>2864</v>
      </c>
      <c r="J2082" s="259"/>
      <c r="K2082" s="260"/>
      <c r="L2082" s="359"/>
      <c r="M2082" s="359"/>
      <c r="N2082" s="173" t="s">
        <v>679</v>
      </c>
      <c r="O2082" s="173"/>
      <c r="P2082" s="262" t="str">
        <f t="shared" si="1"/>
        <v>IN-BLR-ANANTA-VAV-1654_</v>
      </c>
      <c r="Q2082" s="173" t="s">
        <v>7368</v>
      </c>
      <c r="R2082" s="328" t="str">
        <f>IFS(C2082="","",C2082="n/a","N/A",LEN(C2082),Concatenate("{",char(34),"asset",char(34),":{",char(34),"guid",char(34),":",char(34),Q2082,char(34),",",char(34),"site",char(34),":",char(34),LOWER('2-Building'!$B$4),char(34),",",char(34),"name",char(34),":",char(34),LOWER(C2082),char(34),"}}"))</f>
        <v>{"asset":{"guid":"uuid://53b3e406-e5fb-46eb-83c0-7ccb88d891bc","site":"in-blr-ananta","name":"vav-1654"}}</v>
      </c>
      <c r="S2082" s="360" t="s">
        <v>5516</v>
      </c>
      <c r="T2082" s="330"/>
      <c r="U2082" s="330"/>
      <c r="V2082" s="331"/>
      <c r="W2082" s="332"/>
      <c r="X2082" s="333"/>
      <c r="Y2082" s="33" t="s">
        <v>2867</v>
      </c>
      <c r="Z2082" s="258">
        <v>121654.0</v>
      </c>
      <c r="AA2082" s="333"/>
      <c r="AB2082" s="333"/>
      <c r="AC2082" s="333"/>
      <c r="AD2082" s="329"/>
      <c r="AE2082" s="331"/>
      <c r="AF2082" s="336"/>
      <c r="AG2082" s="337"/>
      <c r="AH2082" s="333"/>
      <c r="AI2082" s="333"/>
      <c r="AJ2082" s="333"/>
      <c r="AK2082" s="361" t="s">
        <v>1418</v>
      </c>
      <c r="AL2082" s="328" t="s">
        <v>688</v>
      </c>
      <c r="AM2082" s="338"/>
      <c r="AN2082" s="333"/>
      <c r="AO2082" s="333"/>
      <c r="AP2082" s="333"/>
      <c r="AQ2082" s="333"/>
      <c r="AR2082" s="333"/>
      <c r="AS2082" s="333"/>
      <c r="AT2082" s="333"/>
      <c r="AU2082" s="329"/>
      <c r="AV2082" s="341"/>
      <c r="AW2082" s="269"/>
      <c r="AX2082" s="334" t="s">
        <v>2869</v>
      </c>
      <c r="AY2082" s="270" t="s">
        <v>695</v>
      </c>
      <c r="AZ2082" s="173" t="s">
        <v>5516</v>
      </c>
      <c r="BA2082" s="265">
        <v>10.0</v>
      </c>
      <c r="BB2082" s="174" t="s">
        <v>245</v>
      </c>
      <c r="BC2082" s="341"/>
      <c r="BD2082" s="308"/>
      <c r="BE2082" s="342"/>
      <c r="BF2082" s="274" t="str">
        <f>IFERROR(__xludf.DUMMYFUNCTION("LOWER(Regexreplace(to_text(E2082),""[^A-Za-z0-9]"","""")&amp;""_""&amp;Regexreplace(to_text(F2082),""[^A-Za-z0-9]"",""""))"),"neptronic_evcbseries")</f>
        <v>neptronic_evcbseries</v>
      </c>
      <c r="BG2082" s="275" t="str">
        <f>IFERROR(__xludf.DUMMYFUNCTION("upper(Regexreplace(to_text(E2082),""[^A-Za-z0-9]"","""")&amp;""-""&amp;Regexreplace(to_text(F2082),""[^A-Za-z0-9]"",""""))"),"NEPTRONIC-EVCBSERIES")</f>
        <v>NEPTRONIC-EVCBSERIES</v>
      </c>
    </row>
    <row r="2083" ht="30.0" customHeight="1">
      <c r="A2083" s="173">
        <v>2075.0</v>
      </c>
      <c r="B2083" s="328" t="s">
        <v>670</v>
      </c>
      <c r="C2083" s="257" t="s">
        <v>7369</v>
      </c>
      <c r="D2083" s="173" t="s">
        <v>7369</v>
      </c>
      <c r="E2083" s="174" t="s">
        <v>2861</v>
      </c>
      <c r="F2083" s="173" t="s">
        <v>2862</v>
      </c>
      <c r="G2083" s="328" t="s">
        <v>673</v>
      </c>
      <c r="H2083" s="328" t="s">
        <v>2863</v>
      </c>
      <c r="I2083" s="258" t="s">
        <v>2864</v>
      </c>
      <c r="J2083" s="259"/>
      <c r="K2083" s="260"/>
      <c r="L2083" s="359"/>
      <c r="M2083" s="359"/>
      <c r="N2083" s="173" t="s">
        <v>679</v>
      </c>
      <c r="O2083" s="173"/>
      <c r="P2083" s="262" t="str">
        <f t="shared" si="1"/>
        <v>IN-BLR-ANANTA-VAV-1655_</v>
      </c>
      <c r="Q2083" s="173" t="s">
        <v>7370</v>
      </c>
      <c r="R2083" s="328" t="str">
        <f>IFS(C2083="","",C2083="n/a","N/A",LEN(C2083),Concatenate("{",char(34),"asset",char(34),":{",char(34),"guid",char(34),":",char(34),Q2083,char(34),",",char(34),"site",char(34),":",char(34),LOWER('2-Building'!$B$4),char(34),",",char(34),"name",char(34),":",char(34),LOWER(C2083),char(34),"}}"))</f>
        <v>{"asset":{"guid":"uuid://0dc81375-889f-497e-84c4-04b74e48949e","site":"in-blr-ananta","name":"vav-1655"}}</v>
      </c>
      <c r="S2083" s="360" t="s">
        <v>5516</v>
      </c>
      <c r="T2083" s="330"/>
      <c r="U2083" s="330"/>
      <c r="V2083" s="331"/>
      <c r="W2083" s="332"/>
      <c r="X2083" s="333"/>
      <c r="Y2083" s="33" t="s">
        <v>2867</v>
      </c>
      <c r="Z2083" s="258">
        <v>121655.0</v>
      </c>
      <c r="AA2083" s="333"/>
      <c r="AB2083" s="333"/>
      <c r="AC2083" s="333"/>
      <c r="AD2083" s="329"/>
      <c r="AE2083" s="331"/>
      <c r="AF2083" s="336"/>
      <c r="AG2083" s="337"/>
      <c r="AH2083" s="333"/>
      <c r="AI2083" s="333"/>
      <c r="AJ2083" s="333"/>
      <c r="AK2083" s="361" t="s">
        <v>1423</v>
      </c>
      <c r="AL2083" s="328" t="s">
        <v>688</v>
      </c>
      <c r="AM2083" s="338"/>
      <c r="AN2083" s="333"/>
      <c r="AO2083" s="333"/>
      <c r="AP2083" s="333"/>
      <c r="AQ2083" s="333"/>
      <c r="AR2083" s="333"/>
      <c r="AS2083" s="333"/>
      <c r="AT2083" s="333"/>
      <c r="AU2083" s="329"/>
      <c r="AV2083" s="341"/>
      <c r="AW2083" s="269"/>
      <c r="AX2083" s="334" t="s">
        <v>2869</v>
      </c>
      <c r="AY2083" s="270" t="s">
        <v>695</v>
      </c>
      <c r="AZ2083" s="173" t="s">
        <v>5516</v>
      </c>
      <c r="BA2083" s="265">
        <v>10.0</v>
      </c>
      <c r="BB2083" s="174" t="s">
        <v>245</v>
      </c>
      <c r="BC2083" s="341"/>
      <c r="BD2083" s="308"/>
      <c r="BE2083" s="342"/>
      <c r="BF2083" s="274" t="str">
        <f>IFERROR(__xludf.DUMMYFUNCTION("LOWER(Regexreplace(to_text(E2083),""[^A-Za-z0-9]"","""")&amp;""_""&amp;Regexreplace(to_text(F2083),""[^A-Za-z0-9]"",""""))"),"neptronic_evcbseries")</f>
        <v>neptronic_evcbseries</v>
      </c>
      <c r="BG2083" s="275" t="str">
        <f>IFERROR(__xludf.DUMMYFUNCTION("upper(Regexreplace(to_text(E2083),""[^A-Za-z0-9]"","""")&amp;""-""&amp;Regexreplace(to_text(F2083),""[^A-Za-z0-9]"",""""))"),"NEPTRONIC-EVCBSERIES")</f>
        <v>NEPTRONIC-EVCBSERIES</v>
      </c>
    </row>
    <row r="2084" ht="30.0" customHeight="1">
      <c r="A2084" s="258">
        <v>2076.0</v>
      </c>
      <c r="B2084" s="328" t="s">
        <v>670</v>
      </c>
      <c r="C2084" s="257" t="s">
        <v>7371</v>
      </c>
      <c r="D2084" s="173" t="s">
        <v>7371</v>
      </c>
      <c r="E2084" s="174" t="s">
        <v>2861</v>
      </c>
      <c r="F2084" s="173" t="s">
        <v>2862</v>
      </c>
      <c r="G2084" s="328" t="s">
        <v>673</v>
      </c>
      <c r="H2084" s="328" t="s">
        <v>2863</v>
      </c>
      <c r="I2084" s="258" t="s">
        <v>2864</v>
      </c>
      <c r="J2084" s="259"/>
      <c r="K2084" s="260"/>
      <c r="L2084" s="359"/>
      <c r="M2084" s="359"/>
      <c r="N2084" s="173" t="s">
        <v>679</v>
      </c>
      <c r="O2084" s="173"/>
      <c r="P2084" s="262" t="str">
        <f t="shared" si="1"/>
        <v>IN-BLR-ANANTA-VAV-1656_</v>
      </c>
      <c r="Q2084" s="173" t="s">
        <v>7372</v>
      </c>
      <c r="R2084" s="328" t="str">
        <f>IFS(C2084="","",C2084="n/a","N/A",LEN(C2084),Concatenate("{",char(34),"asset",char(34),":{",char(34),"guid",char(34),":",char(34),Q2084,char(34),",",char(34),"site",char(34),":",char(34),LOWER('2-Building'!$B$4),char(34),",",char(34),"name",char(34),":",char(34),LOWER(C2084),char(34),"}}"))</f>
        <v>{"asset":{"guid":"uuid://23bd1aa5-92e5-4608-9014-ca6d8b701020","site":"in-blr-ananta","name":"vav-1656"}}</v>
      </c>
      <c r="S2084" s="360" t="s">
        <v>5516</v>
      </c>
      <c r="T2084" s="330"/>
      <c r="U2084" s="330"/>
      <c r="V2084" s="331"/>
      <c r="W2084" s="332"/>
      <c r="X2084" s="333"/>
      <c r="Y2084" s="33" t="s">
        <v>2867</v>
      </c>
      <c r="Z2084" s="258">
        <v>121656.0</v>
      </c>
      <c r="AA2084" s="333"/>
      <c r="AB2084" s="333"/>
      <c r="AC2084" s="333"/>
      <c r="AD2084" s="329"/>
      <c r="AE2084" s="331"/>
      <c r="AF2084" s="336"/>
      <c r="AG2084" s="337"/>
      <c r="AH2084" s="333"/>
      <c r="AI2084" s="333"/>
      <c r="AJ2084" s="333"/>
      <c r="AK2084" s="328" t="s">
        <v>1458</v>
      </c>
      <c r="AL2084" s="328" t="s">
        <v>688</v>
      </c>
      <c r="AM2084" s="338"/>
      <c r="AN2084" s="333"/>
      <c r="AO2084" s="333"/>
      <c r="AP2084" s="333"/>
      <c r="AQ2084" s="333"/>
      <c r="AR2084" s="333"/>
      <c r="AS2084" s="333"/>
      <c r="AT2084" s="333"/>
      <c r="AU2084" s="329"/>
      <c r="AV2084" s="341"/>
      <c r="AW2084" s="269"/>
      <c r="AX2084" s="334" t="s">
        <v>2869</v>
      </c>
      <c r="AY2084" s="270" t="s">
        <v>695</v>
      </c>
      <c r="AZ2084" s="173" t="s">
        <v>5516</v>
      </c>
      <c r="BA2084" s="265">
        <v>10.0</v>
      </c>
      <c r="BB2084" s="174" t="s">
        <v>245</v>
      </c>
      <c r="BC2084" s="341"/>
      <c r="BD2084" s="308"/>
      <c r="BE2084" s="342"/>
      <c r="BF2084" s="274" t="str">
        <f>IFERROR(__xludf.DUMMYFUNCTION("LOWER(Regexreplace(to_text(E2084),""[^A-Za-z0-9]"","""")&amp;""_""&amp;Regexreplace(to_text(F2084),""[^A-Za-z0-9]"",""""))"),"neptronic_evcbseries")</f>
        <v>neptronic_evcbseries</v>
      </c>
      <c r="BG2084" s="275" t="str">
        <f>IFERROR(__xludf.DUMMYFUNCTION("upper(Regexreplace(to_text(E2084),""[^A-Za-z0-9]"","""")&amp;""-""&amp;Regexreplace(to_text(F2084),""[^A-Za-z0-9]"",""""))"),"NEPTRONIC-EVCBSERIES")</f>
        <v>NEPTRONIC-EVCBSERIES</v>
      </c>
    </row>
    <row r="2085" ht="30.0" customHeight="1">
      <c r="A2085" s="173">
        <v>2077.0</v>
      </c>
      <c r="B2085" s="328" t="s">
        <v>670</v>
      </c>
      <c r="C2085" s="257" t="s">
        <v>7373</v>
      </c>
      <c r="D2085" s="173" t="s">
        <v>7373</v>
      </c>
      <c r="E2085" s="174" t="s">
        <v>2861</v>
      </c>
      <c r="F2085" s="173" t="s">
        <v>2862</v>
      </c>
      <c r="G2085" s="328" t="s">
        <v>673</v>
      </c>
      <c r="H2085" s="328" t="s">
        <v>2863</v>
      </c>
      <c r="I2085" s="258" t="s">
        <v>2864</v>
      </c>
      <c r="J2085" s="259"/>
      <c r="K2085" s="260"/>
      <c r="L2085" s="359"/>
      <c r="M2085" s="359"/>
      <c r="N2085" s="173" t="s">
        <v>679</v>
      </c>
      <c r="O2085" s="173"/>
      <c r="P2085" s="262" t="str">
        <f t="shared" si="1"/>
        <v>IN-BLR-ANANTA-VAV-1657_</v>
      </c>
      <c r="Q2085" s="173" t="s">
        <v>7374</v>
      </c>
      <c r="R2085" s="328" t="str">
        <f>IFS(C2085="","",C2085="n/a","N/A",LEN(C2085),Concatenate("{",char(34),"asset",char(34),":{",char(34),"guid",char(34),":",char(34),Q2085,char(34),",",char(34),"site",char(34),":",char(34),LOWER('2-Building'!$B$4),char(34),",",char(34),"name",char(34),":",char(34),LOWER(C2085),char(34),"}}"))</f>
        <v>{"asset":{"guid":"uuid://656a75b3-7a8c-4011-8ee8-b0376f25eb3f","site":"in-blr-ananta","name":"vav-1657"}}</v>
      </c>
      <c r="S2085" s="360" t="s">
        <v>5516</v>
      </c>
      <c r="T2085" s="330"/>
      <c r="U2085" s="330"/>
      <c r="V2085" s="331"/>
      <c r="W2085" s="332"/>
      <c r="X2085" s="333"/>
      <c r="Y2085" s="33" t="s">
        <v>2867</v>
      </c>
      <c r="Z2085" s="258">
        <v>121657.0</v>
      </c>
      <c r="AA2085" s="333"/>
      <c r="AB2085" s="333"/>
      <c r="AC2085" s="333"/>
      <c r="AD2085" s="329"/>
      <c r="AE2085" s="331"/>
      <c r="AF2085" s="336"/>
      <c r="AG2085" s="337"/>
      <c r="AH2085" s="333"/>
      <c r="AI2085" s="333"/>
      <c r="AJ2085" s="333"/>
      <c r="AK2085" s="328" t="s">
        <v>1463</v>
      </c>
      <c r="AL2085" s="328" t="s">
        <v>688</v>
      </c>
      <c r="AM2085" s="338"/>
      <c r="AN2085" s="333"/>
      <c r="AO2085" s="333"/>
      <c r="AP2085" s="333"/>
      <c r="AQ2085" s="333"/>
      <c r="AR2085" s="333"/>
      <c r="AS2085" s="333"/>
      <c r="AT2085" s="333"/>
      <c r="AU2085" s="329"/>
      <c r="AV2085" s="341"/>
      <c r="AW2085" s="269"/>
      <c r="AX2085" s="334" t="s">
        <v>2869</v>
      </c>
      <c r="AY2085" s="270" t="s">
        <v>695</v>
      </c>
      <c r="AZ2085" s="173" t="s">
        <v>5516</v>
      </c>
      <c r="BA2085" s="265">
        <v>10.0</v>
      </c>
      <c r="BB2085" s="174" t="s">
        <v>245</v>
      </c>
      <c r="BC2085" s="341"/>
      <c r="BD2085" s="308"/>
      <c r="BE2085" s="342"/>
      <c r="BF2085" s="274" t="str">
        <f>IFERROR(__xludf.DUMMYFUNCTION("LOWER(Regexreplace(to_text(E2085),""[^A-Za-z0-9]"","""")&amp;""_""&amp;Regexreplace(to_text(F2085),""[^A-Za-z0-9]"",""""))"),"neptronic_evcbseries")</f>
        <v>neptronic_evcbseries</v>
      </c>
      <c r="BG2085" s="275" t="str">
        <f>IFERROR(__xludf.DUMMYFUNCTION("upper(Regexreplace(to_text(E2085),""[^A-Za-z0-9]"","""")&amp;""-""&amp;Regexreplace(to_text(F2085),""[^A-Za-z0-9]"",""""))"),"NEPTRONIC-EVCBSERIES")</f>
        <v>NEPTRONIC-EVCBSERIES</v>
      </c>
    </row>
    <row r="2086" ht="30.0" customHeight="1">
      <c r="A2086" s="258">
        <v>2078.0</v>
      </c>
      <c r="B2086" s="328" t="s">
        <v>670</v>
      </c>
      <c r="C2086" s="257" t="s">
        <v>7375</v>
      </c>
      <c r="D2086" s="173" t="s">
        <v>7375</v>
      </c>
      <c r="E2086" s="174" t="s">
        <v>2861</v>
      </c>
      <c r="F2086" s="173" t="s">
        <v>2862</v>
      </c>
      <c r="G2086" s="328" t="s">
        <v>673</v>
      </c>
      <c r="H2086" s="328" t="s">
        <v>2863</v>
      </c>
      <c r="I2086" s="258" t="s">
        <v>2864</v>
      </c>
      <c r="J2086" s="259"/>
      <c r="K2086" s="260"/>
      <c r="L2086" s="359"/>
      <c r="M2086" s="359"/>
      <c r="N2086" s="173" t="s">
        <v>679</v>
      </c>
      <c r="O2086" s="173"/>
      <c r="P2086" s="262" t="str">
        <f t="shared" si="1"/>
        <v>IN-BLR-ANANTA-VAV-1658_</v>
      </c>
      <c r="Q2086" s="173" t="s">
        <v>7376</v>
      </c>
      <c r="R2086" s="328" t="str">
        <f>IFS(C2086="","",C2086="n/a","N/A",LEN(C2086),Concatenate("{",char(34),"asset",char(34),":{",char(34),"guid",char(34),":",char(34),Q2086,char(34),",",char(34),"site",char(34),":",char(34),LOWER('2-Building'!$B$4),char(34),",",char(34),"name",char(34),":",char(34),LOWER(C2086),char(34),"}}"))</f>
        <v>{"asset":{"guid":"uuid://0b1db99d-9485-40b7-812b-1e58a888a2f4","site":"in-blr-ananta","name":"vav-1658"}}</v>
      </c>
      <c r="S2086" s="360" t="s">
        <v>5516</v>
      </c>
      <c r="T2086" s="330"/>
      <c r="U2086" s="330"/>
      <c r="V2086" s="331"/>
      <c r="W2086" s="332"/>
      <c r="X2086" s="333"/>
      <c r="Y2086" s="33" t="s">
        <v>2867</v>
      </c>
      <c r="Z2086" s="258">
        <v>121658.0</v>
      </c>
      <c r="AA2086" s="333"/>
      <c r="AB2086" s="333"/>
      <c r="AC2086" s="333"/>
      <c r="AD2086" s="329"/>
      <c r="AE2086" s="331"/>
      <c r="AF2086" s="336"/>
      <c r="AG2086" s="337"/>
      <c r="AH2086" s="333"/>
      <c r="AI2086" s="333"/>
      <c r="AJ2086" s="333"/>
      <c r="AK2086" s="328" t="s">
        <v>1469</v>
      </c>
      <c r="AL2086" s="328" t="s">
        <v>688</v>
      </c>
      <c r="AM2086" s="338"/>
      <c r="AN2086" s="333"/>
      <c r="AO2086" s="333"/>
      <c r="AP2086" s="333"/>
      <c r="AQ2086" s="333"/>
      <c r="AR2086" s="333"/>
      <c r="AS2086" s="333"/>
      <c r="AT2086" s="333"/>
      <c r="AU2086" s="329"/>
      <c r="AV2086" s="341"/>
      <c r="AW2086" s="269"/>
      <c r="AX2086" s="334" t="s">
        <v>2869</v>
      </c>
      <c r="AY2086" s="270" t="s">
        <v>695</v>
      </c>
      <c r="AZ2086" s="173" t="s">
        <v>5516</v>
      </c>
      <c r="BA2086" s="265">
        <v>10.0</v>
      </c>
      <c r="BB2086" s="174" t="s">
        <v>245</v>
      </c>
      <c r="BC2086" s="341"/>
      <c r="BD2086" s="308"/>
      <c r="BE2086" s="342"/>
      <c r="BF2086" s="274" t="str">
        <f>IFERROR(__xludf.DUMMYFUNCTION("LOWER(Regexreplace(to_text(E2086),""[^A-Za-z0-9]"","""")&amp;""_""&amp;Regexreplace(to_text(F2086),""[^A-Za-z0-9]"",""""))"),"neptronic_evcbseries")</f>
        <v>neptronic_evcbseries</v>
      </c>
      <c r="BG2086" s="275" t="str">
        <f>IFERROR(__xludf.DUMMYFUNCTION("upper(Regexreplace(to_text(E2086),""[^A-Za-z0-9]"","""")&amp;""-""&amp;Regexreplace(to_text(F2086),""[^A-Za-z0-9]"",""""))"),"NEPTRONIC-EVCBSERIES")</f>
        <v>NEPTRONIC-EVCBSERIES</v>
      </c>
    </row>
    <row r="2087" ht="30.0" customHeight="1">
      <c r="A2087" s="173">
        <v>2079.0</v>
      </c>
      <c r="B2087" s="328" t="s">
        <v>670</v>
      </c>
      <c r="C2087" s="257" t="s">
        <v>7377</v>
      </c>
      <c r="D2087" s="173" t="s">
        <v>7377</v>
      </c>
      <c r="E2087" s="174" t="s">
        <v>2861</v>
      </c>
      <c r="F2087" s="173" t="s">
        <v>2862</v>
      </c>
      <c r="G2087" s="328" t="s">
        <v>673</v>
      </c>
      <c r="H2087" s="328" t="s">
        <v>2863</v>
      </c>
      <c r="I2087" s="258" t="s">
        <v>2864</v>
      </c>
      <c r="J2087" s="259"/>
      <c r="K2087" s="260"/>
      <c r="L2087" s="359"/>
      <c r="M2087" s="359"/>
      <c r="N2087" s="173" t="s">
        <v>679</v>
      </c>
      <c r="O2087" s="173"/>
      <c r="P2087" s="262" t="str">
        <f t="shared" si="1"/>
        <v>IN-BLR-ANANTA-VAV-1659_</v>
      </c>
      <c r="Q2087" s="173" t="s">
        <v>7378</v>
      </c>
      <c r="R2087" s="328" t="str">
        <f>IFS(C2087="","",C2087="n/a","N/A",LEN(C2087),Concatenate("{",char(34),"asset",char(34),":{",char(34),"guid",char(34),":",char(34),Q2087,char(34),",",char(34),"site",char(34),":",char(34),LOWER('2-Building'!$B$4),char(34),",",char(34),"name",char(34),":",char(34),LOWER(C2087),char(34),"}}"))</f>
        <v>{"asset":{"guid":"uuid://b6404152-2428-46b4-912a-9fcbb6503e81","site":"in-blr-ananta","name":"vav-1659"}}</v>
      </c>
      <c r="S2087" s="360" t="s">
        <v>5516</v>
      </c>
      <c r="T2087" s="330"/>
      <c r="U2087" s="330"/>
      <c r="V2087" s="331"/>
      <c r="W2087" s="332"/>
      <c r="X2087" s="333"/>
      <c r="Y2087" s="33" t="s">
        <v>2867</v>
      </c>
      <c r="Z2087" s="258">
        <v>121659.0</v>
      </c>
      <c r="AA2087" s="333"/>
      <c r="AB2087" s="333"/>
      <c r="AC2087" s="333"/>
      <c r="AD2087" s="329"/>
      <c r="AE2087" s="331"/>
      <c r="AF2087" s="336"/>
      <c r="AG2087" s="337"/>
      <c r="AH2087" s="333"/>
      <c r="AI2087" s="333"/>
      <c r="AJ2087" s="333"/>
      <c r="AK2087" s="328" t="s">
        <v>1474</v>
      </c>
      <c r="AL2087" s="328" t="s">
        <v>688</v>
      </c>
      <c r="AM2087" s="338"/>
      <c r="AN2087" s="333"/>
      <c r="AO2087" s="333"/>
      <c r="AP2087" s="333"/>
      <c r="AQ2087" s="333"/>
      <c r="AR2087" s="333"/>
      <c r="AS2087" s="333"/>
      <c r="AT2087" s="333"/>
      <c r="AU2087" s="329"/>
      <c r="AV2087" s="341"/>
      <c r="AW2087" s="269"/>
      <c r="AX2087" s="334" t="s">
        <v>2869</v>
      </c>
      <c r="AY2087" s="270" t="s">
        <v>695</v>
      </c>
      <c r="AZ2087" s="173" t="s">
        <v>5516</v>
      </c>
      <c r="BA2087" s="265">
        <v>10.0</v>
      </c>
      <c r="BB2087" s="174" t="s">
        <v>245</v>
      </c>
      <c r="BC2087" s="341"/>
      <c r="BD2087" s="308"/>
      <c r="BE2087" s="342"/>
      <c r="BF2087" s="274" t="str">
        <f>IFERROR(__xludf.DUMMYFUNCTION("LOWER(Regexreplace(to_text(E2087),""[^A-Za-z0-9]"","""")&amp;""_""&amp;Regexreplace(to_text(F2087),""[^A-Za-z0-9]"",""""))"),"neptronic_evcbseries")</f>
        <v>neptronic_evcbseries</v>
      </c>
      <c r="BG2087" s="275" t="str">
        <f>IFERROR(__xludf.DUMMYFUNCTION("upper(Regexreplace(to_text(E2087),""[^A-Za-z0-9]"","""")&amp;""-""&amp;Regexreplace(to_text(F2087),""[^A-Za-z0-9]"",""""))"),"NEPTRONIC-EVCBSERIES")</f>
        <v>NEPTRONIC-EVCBSERIES</v>
      </c>
    </row>
    <row r="2088" ht="30.0" customHeight="1">
      <c r="A2088" s="258">
        <v>2080.0</v>
      </c>
      <c r="B2088" s="328" t="s">
        <v>670</v>
      </c>
      <c r="C2088" s="257" t="s">
        <v>7379</v>
      </c>
      <c r="D2088" s="173" t="s">
        <v>7379</v>
      </c>
      <c r="E2088" s="174" t="s">
        <v>2861</v>
      </c>
      <c r="F2088" s="173" t="s">
        <v>2862</v>
      </c>
      <c r="G2088" s="328" t="s">
        <v>673</v>
      </c>
      <c r="H2088" s="328" t="s">
        <v>2863</v>
      </c>
      <c r="I2088" s="258" t="s">
        <v>2864</v>
      </c>
      <c r="J2088" s="259"/>
      <c r="K2088" s="260"/>
      <c r="L2088" s="359"/>
      <c r="M2088" s="359"/>
      <c r="N2088" s="173" t="s">
        <v>679</v>
      </c>
      <c r="O2088" s="173"/>
      <c r="P2088" s="262" t="str">
        <f t="shared" si="1"/>
        <v>IN-BLR-ANANTA-VAV-1660_</v>
      </c>
      <c r="Q2088" s="173" t="s">
        <v>7380</v>
      </c>
      <c r="R2088" s="328" t="str">
        <f>IFS(C2088="","",C2088="n/a","N/A",LEN(C2088),Concatenate("{",char(34),"asset",char(34),":{",char(34),"guid",char(34),":",char(34),Q2088,char(34),",",char(34),"site",char(34),":",char(34),LOWER('2-Building'!$B$4),char(34),",",char(34),"name",char(34),":",char(34),LOWER(C2088),char(34),"}}"))</f>
        <v>{"asset":{"guid":"uuid://8b0b209a-bc0c-4abc-b79b-e0c2148cacd9","site":"in-blr-ananta","name":"vav-1660"}}</v>
      </c>
      <c r="S2088" s="360" t="s">
        <v>5516</v>
      </c>
      <c r="T2088" s="330"/>
      <c r="U2088" s="330"/>
      <c r="V2088" s="331"/>
      <c r="W2088" s="332"/>
      <c r="X2088" s="333"/>
      <c r="Y2088" s="33" t="s">
        <v>2867</v>
      </c>
      <c r="Z2088" s="258">
        <v>121660.0</v>
      </c>
      <c r="AA2088" s="333"/>
      <c r="AB2088" s="333"/>
      <c r="AC2088" s="333"/>
      <c r="AD2088" s="329"/>
      <c r="AE2088" s="331"/>
      <c r="AF2088" s="336"/>
      <c r="AG2088" s="337"/>
      <c r="AH2088" s="333"/>
      <c r="AI2088" s="333"/>
      <c r="AJ2088" s="333"/>
      <c r="AK2088" s="328" t="s">
        <v>1480</v>
      </c>
      <c r="AL2088" s="328" t="s">
        <v>688</v>
      </c>
      <c r="AM2088" s="338"/>
      <c r="AN2088" s="333"/>
      <c r="AO2088" s="333"/>
      <c r="AP2088" s="333"/>
      <c r="AQ2088" s="333"/>
      <c r="AR2088" s="333"/>
      <c r="AS2088" s="333"/>
      <c r="AT2088" s="333"/>
      <c r="AU2088" s="329"/>
      <c r="AV2088" s="341"/>
      <c r="AW2088" s="269"/>
      <c r="AX2088" s="334" t="s">
        <v>2869</v>
      </c>
      <c r="AY2088" s="270" t="s">
        <v>695</v>
      </c>
      <c r="AZ2088" s="173" t="s">
        <v>5516</v>
      </c>
      <c r="BA2088" s="265">
        <v>10.0</v>
      </c>
      <c r="BB2088" s="174" t="s">
        <v>245</v>
      </c>
      <c r="BC2088" s="341"/>
      <c r="BD2088" s="308"/>
      <c r="BE2088" s="342"/>
      <c r="BF2088" s="274" t="str">
        <f>IFERROR(__xludf.DUMMYFUNCTION("LOWER(Regexreplace(to_text(E2088),""[^A-Za-z0-9]"","""")&amp;""_""&amp;Regexreplace(to_text(F2088),""[^A-Za-z0-9]"",""""))"),"neptronic_evcbseries")</f>
        <v>neptronic_evcbseries</v>
      </c>
      <c r="BG2088" s="275" t="str">
        <f>IFERROR(__xludf.DUMMYFUNCTION("upper(Regexreplace(to_text(E2088),""[^A-Za-z0-9]"","""")&amp;""-""&amp;Regexreplace(to_text(F2088),""[^A-Za-z0-9]"",""""))"),"NEPTRONIC-EVCBSERIES")</f>
        <v>NEPTRONIC-EVCBSERIES</v>
      </c>
    </row>
    <row r="2089" ht="30.0" customHeight="1">
      <c r="A2089" s="173">
        <v>2081.0</v>
      </c>
      <c r="B2089" s="328" t="s">
        <v>670</v>
      </c>
      <c r="C2089" s="257" t="s">
        <v>7381</v>
      </c>
      <c r="D2089" s="173" t="s">
        <v>7381</v>
      </c>
      <c r="E2089" s="174" t="s">
        <v>2861</v>
      </c>
      <c r="F2089" s="173" t="s">
        <v>2862</v>
      </c>
      <c r="G2089" s="328" t="s">
        <v>673</v>
      </c>
      <c r="H2089" s="328" t="s">
        <v>2863</v>
      </c>
      <c r="I2089" s="258" t="s">
        <v>2864</v>
      </c>
      <c r="J2089" s="259"/>
      <c r="K2089" s="260"/>
      <c r="L2089" s="359"/>
      <c r="M2089" s="359"/>
      <c r="N2089" s="173" t="s">
        <v>679</v>
      </c>
      <c r="O2089" s="173"/>
      <c r="P2089" s="262" t="str">
        <f t="shared" si="1"/>
        <v>IN-BLR-ANANTA-VAV-1661_</v>
      </c>
      <c r="Q2089" s="173" t="s">
        <v>7382</v>
      </c>
      <c r="R2089" s="328" t="str">
        <f>IFS(C2089="","",C2089="n/a","N/A",LEN(C2089),Concatenate("{",char(34),"asset",char(34),":{",char(34),"guid",char(34),":",char(34),Q2089,char(34),",",char(34),"site",char(34),":",char(34),LOWER('2-Building'!$B$4),char(34),",",char(34),"name",char(34),":",char(34),LOWER(C2089),char(34),"}}"))</f>
        <v>{"asset":{"guid":"uuid://3dcd29a0-3928-4901-b2d2-cedaf7eb3b93","site":"in-blr-ananta","name":"vav-1661"}}</v>
      </c>
      <c r="S2089" s="360" t="s">
        <v>5516</v>
      </c>
      <c r="T2089" s="330"/>
      <c r="U2089" s="330"/>
      <c r="V2089" s="331"/>
      <c r="W2089" s="332"/>
      <c r="X2089" s="333"/>
      <c r="Y2089" s="33" t="s">
        <v>2867</v>
      </c>
      <c r="Z2089" s="258">
        <v>121661.0</v>
      </c>
      <c r="AA2089" s="333"/>
      <c r="AB2089" s="333"/>
      <c r="AC2089" s="333"/>
      <c r="AD2089" s="329"/>
      <c r="AE2089" s="331"/>
      <c r="AF2089" s="336"/>
      <c r="AG2089" s="337"/>
      <c r="AH2089" s="333"/>
      <c r="AI2089" s="333"/>
      <c r="AJ2089" s="333"/>
      <c r="AK2089" s="328" t="s">
        <v>1485</v>
      </c>
      <c r="AL2089" s="328" t="s">
        <v>688</v>
      </c>
      <c r="AM2089" s="338"/>
      <c r="AN2089" s="333"/>
      <c r="AO2089" s="333"/>
      <c r="AP2089" s="333"/>
      <c r="AQ2089" s="333"/>
      <c r="AR2089" s="333"/>
      <c r="AS2089" s="333"/>
      <c r="AT2089" s="333"/>
      <c r="AU2089" s="329"/>
      <c r="AV2089" s="341"/>
      <c r="AW2089" s="269"/>
      <c r="AX2089" s="334" t="s">
        <v>2869</v>
      </c>
      <c r="AY2089" s="270" t="s">
        <v>695</v>
      </c>
      <c r="AZ2089" s="173" t="s">
        <v>5516</v>
      </c>
      <c r="BA2089" s="265">
        <v>10.0</v>
      </c>
      <c r="BB2089" s="174" t="s">
        <v>245</v>
      </c>
      <c r="BC2089" s="341"/>
      <c r="BD2089" s="308"/>
      <c r="BE2089" s="342"/>
      <c r="BF2089" s="274" t="str">
        <f>IFERROR(__xludf.DUMMYFUNCTION("LOWER(Regexreplace(to_text(E2089),""[^A-Za-z0-9]"","""")&amp;""_""&amp;Regexreplace(to_text(F2089),""[^A-Za-z0-9]"",""""))"),"neptronic_evcbseries")</f>
        <v>neptronic_evcbseries</v>
      </c>
      <c r="BG2089" s="275" t="str">
        <f>IFERROR(__xludf.DUMMYFUNCTION("upper(Regexreplace(to_text(E2089),""[^A-Za-z0-9]"","""")&amp;""-""&amp;Regexreplace(to_text(F2089),""[^A-Za-z0-9]"",""""))"),"NEPTRONIC-EVCBSERIES")</f>
        <v>NEPTRONIC-EVCBSERIES</v>
      </c>
    </row>
    <row r="2090" ht="30.0" customHeight="1">
      <c r="A2090" s="258">
        <v>2082.0</v>
      </c>
      <c r="B2090" s="328" t="s">
        <v>670</v>
      </c>
      <c r="C2090" s="257" t="s">
        <v>7383</v>
      </c>
      <c r="D2090" s="173" t="s">
        <v>7383</v>
      </c>
      <c r="E2090" s="174" t="s">
        <v>2861</v>
      </c>
      <c r="F2090" s="173" t="s">
        <v>2862</v>
      </c>
      <c r="G2090" s="328" t="s">
        <v>673</v>
      </c>
      <c r="H2090" s="328" t="s">
        <v>2863</v>
      </c>
      <c r="I2090" s="258" t="s">
        <v>2864</v>
      </c>
      <c r="J2090" s="259"/>
      <c r="K2090" s="260"/>
      <c r="L2090" s="359"/>
      <c r="M2090" s="359"/>
      <c r="N2090" s="173" t="s">
        <v>679</v>
      </c>
      <c r="O2090" s="173"/>
      <c r="P2090" s="262" t="str">
        <f t="shared" si="1"/>
        <v>IN-BLR-ANANTA-VAV-1662_</v>
      </c>
      <c r="Q2090" s="173" t="s">
        <v>7384</v>
      </c>
      <c r="R2090" s="328" t="str">
        <f>IFS(C2090="","",C2090="n/a","N/A",LEN(C2090),Concatenate("{",char(34),"asset",char(34),":{",char(34),"guid",char(34),":",char(34),Q2090,char(34),",",char(34),"site",char(34),":",char(34),LOWER('2-Building'!$B$4),char(34),",",char(34),"name",char(34),":",char(34),LOWER(C2090),char(34),"}}"))</f>
        <v>{"asset":{"guid":"uuid://0783bb13-97d0-440f-bca4-ab67bd404d34","site":"in-blr-ananta","name":"vav-1662"}}</v>
      </c>
      <c r="S2090" s="360" t="s">
        <v>5516</v>
      </c>
      <c r="T2090" s="330"/>
      <c r="U2090" s="330"/>
      <c r="V2090" s="331"/>
      <c r="W2090" s="332"/>
      <c r="X2090" s="333"/>
      <c r="Y2090" s="33" t="s">
        <v>2867</v>
      </c>
      <c r="Z2090" s="258">
        <v>121662.0</v>
      </c>
      <c r="AA2090" s="333"/>
      <c r="AB2090" s="333"/>
      <c r="AC2090" s="333"/>
      <c r="AD2090" s="329"/>
      <c r="AE2090" s="331"/>
      <c r="AF2090" s="336"/>
      <c r="AG2090" s="337"/>
      <c r="AH2090" s="333"/>
      <c r="AI2090" s="333"/>
      <c r="AJ2090" s="333"/>
      <c r="AK2090" s="328" t="s">
        <v>1491</v>
      </c>
      <c r="AL2090" s="328" t="s">
        <v>688</v>
      </c>
      <c r="AM2090" s="338"/>
      <c r="AN2090" s="333"/>
      <c r="AO2090" s="333"/>
      <c r="AP2090" s="333"/>
      <c r="AQ2090" s="333"/>
      <c r="AR2090" s="333"/>
      <c r="AS2090" s="333"/>
      <c r="AT2090" s="333"/>
      <c r="AU2090" s="329"/>
      <c r="AV2090" s="341"/>
      <c r="AW2090" s="269"/>
      <c r="AX2090" s="334" t="s">
        <v>2869</v>
      </c>
      <c r="AY2090" s="270" t="s">
        <v>695</v>
      </c>
      <c r="AZ2090" s="173" t="s">
        <v>5516</v>
      </c>
      <c r="BA2090" s="265">
        <v>10.0</v>
      </c>
      <c r="BB2090" s="174" t="s">
        <v>245</v>
      </c>
      <c r="BC2090" s="341"/>
      <c r="BD2090" s="308"/>
      <c r="BE2090" s="342"/>
      <c r="BF2090" s="274" t="str">
        <f>IFERROR(__xludf.DUMMYFUNCTION("LOWER(Regexreplace(to_text(E2090),""[^A-Za-z0-9]"","""")&amp;""_""&amp;Regexreplace(to_text(F2090),""[^A-Za-z0-9]"",""""))"),"neptronic_evcbseries")</f>
        <v>neptronic_evcbseries</v>
      </c>
      <c r="BG2090" s="275" t="str">
        <f>IFERROR(__xludf.DUMMYFUNCTION("upper(Regexreplace(to_text(E2090),""[^A-Za-z0-9]"","""")&amp;""-""&amp;Regexreplace(to_text(F2090),""[^A-Za-z0-9]"",""""))"),"NEPTRONIC-EVCBSERIES")</f>
        <v>NEPTRONIC-EVCBSERIES</v>
      </c>
    </row>
    <row r="2091" ht="30.0" customHeight="1">
      <c r="A2091" s="173">
        <v>2083.0</v>
      </c>
      <c r="B2091" s="328" t="s">
        <v>670</v>
      </c>
      <c r="C2091" s="257" t="s">
        <v>7385</v>
      </c>
      <c r="D2091" s="173" t="s">
        <v>7385</v>
      </c>
      <c r="E2091" s="174" t="s">
        <v>2861</v>
      </c>
      <c r="F2091" s="173" t="s">
        <v>2862</v>
      </c>
      <c r="G2091" s="328" t="s">
        <v>673</v>
      </c>
      <c r="H2091" s="328" t="s">
        <v>2863</v>
      </c>
      <c r="I2091" s="258" t="s">
        <v>2864</v>
      </c>
      <c r="J2091" s="259"/>
      <c r="K2091" s="260"/>
      <c r="L2091" s="359"/>
      <c r="M2091" s="359"/>
      <c r="N2091" s="173" t="s">
        <v>679</v>
      </c>
      <c r="O2091" s="173"/>
      <c r="P2091" s="262" t="str">
        <f t="shared" si="1"/>
        <v>IN-BLR-ANANTA-VAV-1663_</v>
      </c>
      <c r="Q2091" s="173" t="s">
        <v>7386</v>
      </c>
      <c r="R2091" s="328" t="str">
        <f>IFS(C2091="","",C2091="n/a","N/A",LEN(C2091),Concatenate("{",char(34),"asset",char(34),":{",char(34),"guid",char(34),":",char(34),Q2091,char(34),",",char(34),"site",char(34),":",char(34),LOWER('2-Building'!$B$4),char(34),",",char(34),"name",char(34),":",char(34),LOWER(C2091),char(34),"}}"))</f>
        <v>{"asset":{"guid":"uuid://8fbfee7b-68fb-467d-9c2c-7fe99deddd0f","site":"in-blr-ananta","name":"vav-1663"}}</v>
      </c>
      <c r="S2091" s="360" t="s">
        <v>5516</v>
      </c>
      <c r="T2091" s="330"/>
      <c r="U2091" s="330"/>
      <c r="V2091" s="331"/>
      <c r="W2091" s="332"/>
      <c r="X2091" s="333"/>
      <c r="Y2091" s="33" t="s">
        <v>2867</v>
      </c>
      <c r="Z2091" s="258">
        <v>121663.0</v>
      </c>
      <c r="AA2091" s="333"/>
      <c r="AB2091" s="333"/>
      <c r="AC2091" s="333"/>
      <c r="AD2091" s="329"/>
      <c r="AE2091" s="331"/>
      <c r="AF2091" s="336"/>
      <c r="AG2091" s="337"/>
      <c r="AH2091" s="333"/>
      <c r="AI2091" s="333"/>
      <c r="AJ2091" s="333"/>
      <c r="AK2091" s="333"/>
      <c r="AL2091" s="328" t="s">
        <v>688</v>
      </c>
      <c r="AM2091" s="338"/>
      <c r="AN2091" s="333"/>
      <c r="AO2091" s="333"/>
      <c r="AP2091" s="333"/>
      <c r="AQ2091" s="333"/>
      <c r="AR2091" s="333"/>
      <c r="AS2091" s="333"/>
      <c r="AT2091" s="333"/>
      <c r="AU2091" s="329"/>
      <c r="AV2091" s="341"/>
      <c r="AW2091" s="269"/>
      <c r="AX2091" s="334" t="s">
        <v>2869</v>
      </c>
      <c r="AY2091" s="270" t="s">
        <v>695</v>
      </c>
      <c r="AZ2091" s="173" t="s">
        <v>5516</v>
      </c>
      <c r="BA2091" s="265">
        <v>10.0</v>
      </c>
      <c r="BB2091" s="174" t="s">
        <v>245</v>
      </c>
      <c r="BC2091" s="341"/>
      <c r="BD2091" s="308"/>
      <c r="BE2091" s="342"/>
      <c r="BF2091" s="274" t="str">
        <f>IFERROR(__xludf.DUMMYFUNCTION("LOWER(Regexreplace(to_text(E2091),""[^A-Za-z0-9]"","""")&amp;""_""&amp;Regexreplace(to_text(F2091),""[^A-Za-z0-9]"",""""))"),"neptronic_evcbseries")</f>
        <v>neptronic_evcbseries</v>
      </c>
      <c r="BG2091" s="275" t="str">
        <f>IFERROR(__xludf.DUMMYFUNCTION("upper(Regexreplace(to_text(E2091),""[^A-Za-z0-9]"","""")&amp;""-""&amp;Regexreplace(to_text(F2091),""[^A-Za-z0-9]"",""""))"),"NEPTRONIC-EVCBSERIES")</f>
        <v>NEPTRONIC-EVCBSERIES</v>
      </c>
    </row>
    <row r="2092" ht="30.0" customHeight="1">
      <c r="A2092" s="258">
        <v>2084.0</v>
      </c>
      <c r="B2092" s="328" t="s">
        <v>670</v>
      </c>
      <c r="C2092" s="257" t="s">
        <v>7387</v>
      </c>
      <c r="D2092" s="173" t="s">
        <v>7387</v>
      </c>
      <c r="E2092" s="174" t="s">
        <v>2861</v>
      </c>
      <c r="F2092" s="173" t="s">
        <v>2862</v>
      </c>
      <c r="G2092" s="328" t="s">
        <v>673</v>
      </c>
      <c r="H2092" s="328" t="s">
        <v>2863</v>
      </c>
      <c r="I2092" s="258" t="s">
        <v>2864</v>
      </c>
      <c r="J2092" s="259"/>
      <c r="K2092" s="260"/>
      <c r="L2092" s="359"/>
      <c r="M2092" s="359"/>
      <c r="N2092" s="173" t="s">
        <v>679</v>
      </c>
      <c r="O2092" s="173"/>
      <c r="P2092" s="262" t="str">
        <f t="shared" si="1"/>
        <v>IN-BLR-ANANTA-VAV-1664_</v>
      </c>
      <c r="Q2092" s="173" t="s">
        <v>7388</v>
      </c>
      <c r="R2092" s="328" t="str">
        <f>IFS(C2092="","",C2092="n/a","N/A",LEN(C2092),Concatenate("{",char(34),"asset",char(34),":{",char(34),"guid",char(34),":",char(34),Q2092,char(34),",",char(34),"site",char(34),":",char(34),LOWER('2-Building'!$B$4),char(34),",",char(34),"name",char(34),":",char(34),LOWER(C2092),char(34),"}}"))</f>
        <v>{"asset":{"guid":"uuid://a707aee0-a24d-493a-929b-aef87ffc4c17","site":"in-blr-ananta","name":"vav-1664"}}</v>
      </c>
      <c r="S2092" s="360" t="s">
        <v>5516</v>
      </c>
      <c r="T2092" s="330"/>
      <c r="U2092" s="330"/>
      <c r="V2092" s="331"/>
      <c r="W2092" s="332"/>
      <c r="X2092" s="333"/>
      <c r="Y2092" s="33" t="s">
        <v>2867</v>
      </c>
      <c r="Z2092" s="258">
        <v>121664.0</v>
      </c>
      <c r="AA2092" s="333"/>
      <c r="AB2092" s="333"/>
      <c r="AC2092" s="333"/>
      <c r="AD2092" s="329"/>
      <c r="AE2092" s="331"/>
      <c r="AF2092" s="336"/>
      <c r="AG2092" s="337"/>
      <c r="AH2092" s="333"/>
      <c r="AI2092" s="333"/>
      <c r="AJ2092" s="333"/>
      <c r="AK2092" s="328" t="s">
        <v>1502</v>
      </c>
      <c r="AL2092" s="328" t="s">
        <v>688</v>
      </c>
      <c r="AM2092" s="338"/>
      <c r="AN2092" s="333"/>
      <c r="AO2092" s="333"/>
      <c r="AP2092" s="333"/>
      <c r="AQ2092" s="333"/>
      <c r="AR2092" s="333"/>
      <c r="AS2092" s="333"/>
      <c r="AT2092" s="333"/>
      <c r="AU2092" s="329"/>
      <c r="AV2092" s="341"/>
      <c r="AW2092" s="269"/>
      <c r="AX2092" s="334" t="s">
        <v>2869</v>
      </c>
      <c r="AY2092" s="270" t="s">
        <v>695</v>
      </c>
      <c r="AZ2092" s="173" t="s">
        <v>5516</v>
      </c>
      <c r="BA2092" s="265">
        <v>10.0</v>
      </c>
      <c r="BB2092" s="174" t="s">
        <v>245</v>
      </c>
      <c r="BC2092" s="341"/>
      <c r="BD2092" s="308"/>
      <c r="BE2092" s="342"/>
      <c r="BF2092" s="274" t="str">
        <f>IFERROR(__xludf.DUMMYFUNCTION("LOWER(Regexreplace(to_text(E2092),""[^A-Za-z0-9]"","""")&amp;""_""&amp;Regexreplace(to_text(F2092),""[^A-Za-z0-9]"",""""))"),"neptronic_evcbseries")</f>
        <v>neptronic_evcbseries</v>
      </c>
      <c r="BG2092" s="275" t="str">
        <f>IFERROR(__xludf.DUMMYFUNCTION("upper(Regexreplace(to_text(E2092),""[^A-Za-z0-9]"","""")&amp;""-""&amp;Regexreplace(to_text(F2092),""[^A-Za-z0-9]"",""""))"),"NEPTRONIC-EVCBSERIES")</f>
        <v>NEPTRONIC-EVCBSERIES</v>
      </c>
    </row>
    <row r="2093" ht="30.0" customHeight="1">
      <c r="A2093" s="173">
        <v>2085.0</v>
      </c>
      <c r="B2093" s="328" t="s">
        <v>670</v>
      </c>
      <c r="C2093" s="257" t="s">
        <v>7389</v>
      </c>
      <c r="D2093" s="173" t="s">
        <v>7389</v>
      </c>
      <c r="E2093" s="174" t="s">
        <v>2861</v>
      </c>
      <c r="F2093" s="173" t="s">
        <v>2862</v>
      </c>
      <c r="G2093" s="328" t="s">
        <v>673</v>
      </c>
      <c r="H2093" s="328" t="s">
        <v>2863</v>
      </c>
      <c r="I2093" s="258" t="s">
        <v>2864</v>
      </c>
      <c r="J2093" s="259"/>
      <c r="K2093" s="260"/>
      <c r="L2093" s="359"/>
      <c r="M2093" s="359"/>
      <c r="N2093" s="173" t="s">
        <v>679</v>
      </c>
      <c r="O2093" s="173"/>
      <c r="P2093" s="262" t="str">
        <f t="shared" si="1"/>
        <v>IN-BLR-ANANTA-VAV-1665_</v>
      </c>
      <c r="Q2093" s="173" t="s">
        <v>7390</v>
      </c>
      <c r="R2093" s="328" t="str">
        <f>IFS(C2093="","",C2093="n/a","N/A",LEN(C2093),Concatenate("{",char(34),"asset",char(34),":{",char(34),"guid",char(34),":",char(34),Q2093,char(34),",",char(34),"site",char(34),":",char(34),LOWER('2-Building'!$B$4),char(34),",",char(34),"name",char(34),":",char(34),LOWER(C2093),char(34),"}}"))</f>
        <v>{"asset":{"guid":"uuid://cc5b25a0-db55-46ea-8bcc-91f33d1496d3","site":"in-blr-ananta","name":"vav-1665"}}</v>
      </c>
      <c r="S2093" s="360" t="s">
        <v>5516</v>
      </c>
      <c r="T2093" s="330"/>
      <c r="U2093" s="330"/>
      <c r="V2093" s="331"/>
      <c r="W2093" s="332"/>
      <c r="X2093" s="333"/>
      <c r="Y2093" s="33" t="s">
        <v>2867</v>
      </c>
      <c r="Z2093" s="258">
        <v>121665.0</v>
      </c>
      <c r="AA2093" s="333"/>
      <c r="AB2093" s="333"/>
      <c r="AC2093" s="333"/>
      <c r="AD2093" s="329"/>
      <c r="AE2093" s="331"/>
      <c r="AF2093" s="336"/>
      <c r="AG2093" s="337"/>
      <c r="AH2093" s="333"/>
      <c r="AI2093" s="333"/>
      <c r="AJ2093" s="333"/>
      <c r="AK2093" s="333"/>
      <c r="AL2093" s="328" t="s">
        <v>688</v>
      </c>
      <c r="AM2093" s="338"/>
      <c r="AN2093" s="333"/>
      <c r="AO2093" s="333"/>
      <c r="AP2093" s="333"/>
      <c r="AQ2093" s="333"/>
      <c r="AR2093" s="333"/>
      <c r="AS2093" s="333"/>
      <c r="AT2093" s="333"/>
      <c r="AU2093" s="329"/>
      <c r="AV2093" s="341"/>
      <c r="AW2093" s="269"/>
      <c r="AX2093" s="334" t="s">
        <v>2869</v>
      </c>
      <c r="AY2093" s="270" t="s">
        <v>695</v>
      </c>
      <c r="AZ2093" s="173" t="s">
        <v>5516</v>
      </c>
      <c r="BA2093" s="265">
        <v>10.0</v>
      </c>
      <c r="BB2093" s="174" t="s">
        <v>245</v>
      </c>
      <c r="BC2093" s="341"/>
      <c r="BD2093" s="308"/>
      <c r="BE2093" s="342"/>
      <c r="BF2093" s="274" t="str">
        <f>IFERROR(__xludf.DUMMYFUNCTION("LOWER(Regexreplace(to_text(E2093),""[^A-Za-z0-9]"","""")&amp;""_""&amp;Regexreplace(to_text(F2093),""[^A-Za-z0-9]"",""""))"),"neptronic_evcbseries")</f>
        <v>neptronic_evcbseries</v>
      </c>
      <c r="BG2093" s="275" t="str">
        <f>IFERROR(__xludf.DUMMYFUNCTION("upper(Regexreplace(to_text(E2093),""[^A-Za-z0-9]"","""")&amp;""-""&amp;Regexreplace(to_text(F2093),""[^A-Za-z0-9]"",""""))"),"NEPTRONIC-EVCBSERIES")</f>
        <v>NEPTRONIC-EVCBSERIES</v>
      </c>
    </row>
    <row r="2094" ht="30.0" customHeight="1">
      <c r="A2094" s="258">
        <v>2086.0</v>
      </c>
      <c r="B2094" s="328" t="s">
        <v>670</v>
      </c>
      <c r="C2094" s="257" t="s">
        <v>7391</v>
      </c>
      <c r="D2094" s="173" t="s">
        <v>7391</v>
      </c>
      <c r="E2094" s="174" t="s">
        <v>2861</v>
      </c>
      <c r="F2094" s="173" t="s">
        <v>2862</v>
      </c>
      <c r="G2094" s="328" t="s">
        <v>673</v>
      </c>
      <c r="H2094" s="328" t="s">
        <v>2863</v>
      </c>
      <c r="I2094" s="258" t="s">
        <v>2864</v>
      </c>
      <c r="J2094" s="259"/>
      <c r="K2094" s="260"/>
      <c r="L2094" s="359"/>
      <c r="M2094" s="359"/>
      <c r="N2094" s="173" t="s">
        <v>679</v>
      </c>
      <c r="O2094" s="173"/>
      <c r="P2094" s="262" t="str">
        <f t="shared" si="1"/>
        <v>IN-BLR-ANANTA-VAV-1666_</v>
      </c>
      <c r="Q2094" s="173" t="s">
        <v>7392</v>
      </c>
      <c r="R2094" s="328" t="str">
        <f>IFS(C2094="","",C2094="n/a","N/A",LEN(C2094),Concatenate("{",char(34),"asset",char(34),":{",char(34),"guid",char(34),":",char(34),Q2094,char(34),",",char(34),"site",char(34),":",char(34),LOWER('2-Building'!$B$4),char(34),",",char(34),"name",char(34),":",char(34),LOWER(C2094),char(34),"}}"))</f>
        <v>{"asset":{"guid":"uuid://428c016e-3523-49e8-b5d0-fb2cae364a75","site":"in-blr-ananta","name":"vav-1666"}}</v>
      </c>
      <c r="S2094" s="360" t="s">
        <v>5516</v>
      </c>
      <c r="T2094" s="330"/>
      <c r="U2094" s="330"/>
      <c r="V2094" s="331"/>
      <c r="W2094" s="332"/>
      <c r="X2094" s="333"/>
      <c r="Y2094" s="33" t="s">
        <v>2867</v>
      </c>
      <c r="Z2094" s="258">
        <v>121666.0</v>
      </c>
      <c r="AA2094" s="333"/>
      <c r="AB2094" s="333"/>
      <c r="AC2094" s="333"/>
      <c r="AD2094" s="329"/>
      <c r="AE2094" s="331"/>
      <c r="AF2094" s="336"/>
      <c r="AG2094" s="337"/>
      <c r="AH2094" s="333"/>
      <c r="AI2094" s="333"/>
      <c r="AJ2094" s="333"/>
      <c r="AK2094" s="333"/>
      <c r="AL2094" s="328" t="s">
        <v>688</v>
      </c>
      <c r="AM2094" s="338"/>
      <c r="AN2094" s="333"/>
      <c r="AO2094" s="333"/>
      <c r="AP2094" s="333"/>
      <c r="AQ2094" s="333"/>
      <c r="AR2094" s="333"/>
      <c r="AS2094" s="333"/>
      <c r="AT2094" s="333"/>
      <c r="AU2094" s="329"/>
      <c r="AV2094" s="341"/>
      <c r="AW2094" s="269"/>
      <c r="AX2094" s="334" t="s">
        <v>2869</v>
      </c>
      <c r="AY2094" s="270" t="s">
        <v>695</v>
      </c>
      <c r="AZ2094" s="173" t="s">
        <v>5516</v>
      </c>
      <c r="BA2094" s="265">
        <v>10.0</v>
      </c>
      <c r="BB2094" s="174" t="s">
        <v>245</v>
      </c>
      <c r="BC2094" s="341"/>
      <c r="BD2094" s="308"/>
      <c r="BE2094" s="342"/>
      <c r="BF2094" s="274" t="str">
        <f>IFERROR(__xludf.DUMMYFUNCTION("LOWER(Regexreplace(to_text(E2094),""[^A-Za-z0-9]"","""")&amp;""_""&amp;Regexreplace(to_text(F2094),""[^A-Za-z0-9]"",""""))"),"neptronic_evcbseries")</f>
        <v>neptronic_evcbseries</v>
      </c>
      <c r="BG2094" s="275" t="str">
        <f>IFERROR(__xludf.DUMMYFUNCTION("upper(Regexreplace(to_text(E2094),""[^A-Za-z0-9]"","""")&amp;""-""&amp;Regexreplace(to_text(F2094),""[^A-Za-z0-9]"",""""))"),"NEPTRONIC-EVCBSERIES")</f>
        <v>NEPTRONIC-EVCBSERIES</v>
      </c>
    </row>
    <row r="2095" ht="30.0" customHeight="1">
      <c r="A2095" s="173">
        <v>2087.0</v>
      </c>
      <c r="B2095" s="328" t="s">
        <v>670</v>
      </c>
      <c r="C2095" s="257" t="s">
        <v>7393</v>
      </c>
      <c r="D2095" s="173" t="s">
        <v>7393</v>
      </c>
      <c r="E2095" s="174" t="s">
        <v>2861</v>
      </c>
      <c r="F2095" s="173" t="s">
        <v>2862</v>
      </c>
      <c r="G2095" s="328" t="s">
        <v>673</v>
      </c>
      <c r="H2095" s="328" t="s">
        <v>2863</v>
      </c>
      <c r="I2095" s="258" t="s">
        <v>2864</v>
      </c>
      <c r="J2095" s="259"/>
      <c r="K2095" s="260"/>
      <c r="L2095" s="359"/>
      <c r="M2095" s="359"/>
      <c r="N2095" s="173" t="s">
        <v>679</v>
      </c>
      <c r="O2095" s="173"/>
      <c r="P2095" s="262" t="str">
        <f t="shared" si="1"/>
        <v>IN-BLR-ANANTA-VAV-1667_</v>
      </c>
      <c r="Q2095" s="173" t="s">
        <v>7394</v>
      </c>
      <c r="R2095" s="328" t="str">
        <f>IFS(C2095="","",C2095="n/a","N/A",LEN(C2095),Concatenate("{",char(34),"asset",char(34),":{",char(34),"guid",char(34),":",char(34),Q2095,char(34),",",char(34),"site",char(34),":",char(34),LOWER('2-Building'!$B$4),char(34),",",char(34),"name",char(34),":",char(34),LOWER(C2095),char(34),"}}"))</f>
        <v>{"asset":{"guid":"uuid://064c08ba-e521-4de0-8794-caef26b8780f","site":"in-blr-ananta","name":"vav-1667"}}</v>
      </c>
      <c r="S2095" s="360" t="s">
        <v>5516</v>
      </c>
      <c r="T2095" s="330"/>
      <c r="U2095" s="330"/>
      <c r="V2095" s="331"/>
      <c r="W2095" s="332"/>
      <c r="X2095" s="333"/>
      <c r="Y2095" s="33" t="s">
        <v>2867</v>
      </c>
      <c r="Z2095" s="258">
        <v>121667.0</v>
      </c>
      <c r="AA2095" s="333"/>
      <c r="AB2095" s="333"/>
      <c r="AC2095" s="333"/>
      <c r="AD2095" s="329"/>
      <c r="AE2095" s="331"/>
      <c r="AF2095" s="336"/>
      <c r="AG2095" s="337"/>
      <c r="AH2095" s="333"/>
      <c r="AI2095" s="333"/>
      <c r="AJ2095" s="333"/>
      <c r="AK2095" s="328" t="s">
        <v>1496</v>
      </c>
      <c r="AL2095" s="328" t="s">
        <v>688</v>
      </c>
      <c r="AM2095" s="338"/>
      <c r="AN2095" s="333"/>
      <c r="AO2095" s="333"/>
      <c r="AP2095" s="333"/>
      <c r="AQ2095" s="333"/>
      <c r="AR2095" s="333"/>
      <c r="AS2095" s="333"/>
      <c r="AT2095" s="333"/>
      <c r="AU2095" s="329"/>
      <c r="AV2095" s="341"/>
      <c r="AW2095" s="269"/>
      <c r="AX2095" s="334" t="s">
        <v>2869</v>
      </c>
      <c r="AY2095" s="270" t="s">
        <v>695</v>
      </c>
      <c r="AZ2095" s="173" t="s">
        <v>5516</v>
      </c>
      <c r="BA2095" s="265">
        <v>10.0</v>
      </c>
      <c r="BB2095" s="174" t="s">
        <v>245</v>
      </c>
      <c r="BC2095" s="341"/>
      <c r="BD2095" s="308"/>
      <c r="BE2095" s="342"/>
      <c r="BF2095" s="274" t="str">
        <f>IFERROR(__xludf.DUMMYFUNCTION("LOWER(Regexreplace(to_text(E2095),""[^A-Za-z0-9]"","""")&amp;""_""&amp;Regexreplace(to_text(F2095),""[^A-Za-z0-9]"",""""))"),"neptronic_evcbseries")</f>
        <v>neptronic_evcbseries</v>
      </c>
      <c r="BG2095" s="275" t="str">
        <f>IFERROR(__xludf.DUMMYFUNCTION("upper(Regexreplace(to_text(E2095),""[^A-Za-z0-9]"","""")&amp;""-""&amp;Regexreplace(to_text(F2095),""[^A-Za-z0-9]"",""""))"),"NEPTRONIC-EVCBSERIES")</f>
        <v>NEPTRONIC-EVCBSERIES</v>
      </c>
    </row>
    <row r="2096" ht="30.0" customHeight="1">
      <c r="A2096" s="258">
        <v>2088.0</v>
      </c>
      <c r="B2096" s="328" t="s">
        <v>670</v>
      </c>
      <c r="C2096" s="257" t="s">
        <v>7395</v>
      </c>
      <c r="D2096" s="173" t="s">
        <v>7395</v>
      </c>
      <c r="E2096" s="174" t="s">
        <v>2861</v>
      </c>
      <c r="F2096" s="173" t="s">
        <v>2862</v>
      </c>
      <c r="G2096" s="328" t="s">
        <v>673</v>
      </c>
      <c r="H2096" s="328" t="s">
        <v>2863</v>
      </c>
      <c r="I2096" s="258" t="s">
        <v>2864</v>
      </c>
      <c r="J2096" s="259"/>
      <c r="K2096" s="260"/>
      <c r="L2096" s="359"/>
      <c r="M2096" s="359"/>
      <c r="N2096" s="173" t="s">
        <v>679</v>
      </c>
      <c r="O2096" s="173"/>
      <c r="P2096" s="262" t="str">
        <f t="shared" si="1"/>
        <v>IN-BLR-ANANTA-VAV-1668_</v>
      </c>
      <c r="Q2096" s="173" t="s">
        <v>7396</v>
      </c>
      <c r="R2096" s="328" t="str">
        <f>IFS(C2096="","",C2096="n/a","N/A",LEN(C2096),Concatenate("{",char(34),"asset",char(34),":{",char(34),"guid",char(34),":",char(34),Q2096,char(34),",",char(34),"site",char(34),":",char(34),LOWER('2-Building'!$B$4),char(34),",",char(34),"name",char(34),":",char(34),LOWER(C2096),char(34),"}}"))</f>
        <v>{"asset":{"guid":"uuid://47209a59-2cd2-408a-b2d7-97b267b395f8","site":"in-blr-ananta","name":"vav-1668"}}</v>
      </c>
      <c r="S2096" s="360" t="s">
        <v>5516</v>
      </c>
      <c r="T2096" s="330"/>
      <c r="U2096" s="330"/>
      <c r="V2096" s="331"/>
      <c r="W2096" s="332"/>
      <c r="X2096" s="333"/>
      <c r="Y2096" s="33" t="s">
        <v>2867</v>
      </c>
      <c r="Z2096" s="258">
        <v>121668.0</v>
      </c>
      <c r="AA2096" s="333"/>
      <c r="AB2096" s="333"/>
      <c r="AC2096" s="333"/>
      <c r="AD2096" s="329"/>
      <c r="AE2096" s="331"/>
      <c r="AF2096" s="336"/>
      <c r="AG2096" s="337"/>
      <c r="AH2096" s="333"/>
      <c r="AI2096" s="333"/>
      <c r="AJ2096" s="333"/>
      <c r="AK2096" s="328" t="s">
        <v>1524</v>
      </c>
      <c r="AL2096" s="328" t="s">
        <v>688</v>
      </c>
      <c r="AM2096" s="338"/>
      <c r="AN2096" s="333"/>
      <c r="AO2096" s="333"/>
      <c r="AP2096" s="333"/>
      <c r="AQ2096" s="333"/>
      <c r="AR2096" s="333"/>
      <c r="AS2096" s="333"/>
      <c r="AT2096" s="333"/>
      <c r="AU2096" s="329"/>
      <c r="AV2096" s="341"/>
      <c r="AW2096" s="269"/>
      <c r="AX2096" s="334" t="s">
        <v>2869</v>
      </c>
      <c r="AY2096" s="270" t="s">
        <v>695</v>
      </c>
      <c r="AZ2096" s="173" t="s">
        <v>5516</v>
      </c>
      <c r="BA2096" s="265">
        <v>10.0</v>
      </c>
      <c r="BB2096" s="174" t="s">
        <v>245</v>
      </c>
      <c r="BC2096" s="341"/>
      <c r="BD2096" s="308"/>
      <c r="BE2096" s="342"/>
      <c r="BF2096" s="274" t="str">
        <f>IFERROR(__xludf.DUMMYFUNCTION("LOWER(Regexreplace(to_text(E2096),""[^A-Za-z0-9]"","""")&amp;""_""&amp;Regexreplace(to_text(F2096),""[^A-Za-z0-9]"",""""))"),"neptronic_evcbseries")</f>
        <v>neptronic_evcbseries</v>
      </c>
      <c r="BG2096" s="275" t="str">
        <f>IFERROR(__xludf.DUMMYFUNCTION("upper(Regexreplace(to_text(E2096),""[^A-Za-z0-9]"","""")&amp;""-""&amp;Regexreplace(to_text(F2096),""[^A-Za-z0-9]"",""""))"),"NEPTRONIC-EVCBSERIES")</f>
        <v>NEPTRONIC-EVCBSERIES</v>
      </c>
    </row>
    <row r="2097" ht="30.0" customHeight="1">
      <c r="A2097" s="173">
        <v>2089.0</v>
      </c>
      <c r="B2097" s="328" t="s">
        <v>670</v>
      </c>
      <c r="C2097" s="257" t="s">
        <v>7397</v>
      </c>
      <c r="D2097" s="173" t="s">
        <v>7397</v>
      </c>
      <c r="E2097" s="174" t="s">
        <v>2861</v>
      </c>
      <c r="F2097" s="173" t="s">
        <v>2862</v>
      </c>
      <c r="G2097" s="328" t="s">
        <v>673</v>
      </c>
      <c r="H2097" s="328" t="s">
        <v>2863</v>
      </c>
      <c r="I2097" s="258" t="s">
        <v>2864</v>
      </c>
      <c r="J2097" s="259"/>
      <c r="K2097" s="260"/>
      <c r="L2097" s="359"/>
      <c r="M2097" s="359"/>
      <c r="N2097" s="173" t="s">
        <v>679</v>
      </c>
      <c r="O2097" s="173"/>
      <c r="P2097" s="262" t="str">
        <f t="shared" si="1"/>
        <v>IN-BLR-ANANTA-VAV-1669_</v>
      </c>
      <c r="Q2097" s="173" t="s">
        <v>7398</v>
      </c>
      <c r="R2097" s="328" t="str">
        <f>IFS(C2097="","",C2097="n/a","N/A",LEN(C2097),Concatenate("{",char(34),"asset",char(34),":{",char(34),"guid",char(34),":",char(34),Q2097,char(34),",",char(34),"site",char(34),":",char(34),LOWER('2-Building'!$B$4),char(34),",",char(34),"name",char(34),":",char(34),LOWER(C2097),char(34),"}}"))</f>
        <v>{"asset":{"guid":"uuid://c96e7eb7-2aba-41cd-ab1e-88a67ad2f032","site":"in-blr-ananta","name":"vav-1669"}}</v>
      </c>
      <c r="S2097" s="360" t="s">
        <v>5516</v>
      </c>
      <c r="T2097" s="330"/>
      <c r="U2097" s="330"/>
      <c r="V2097" s="331"/>
      <c r="W2097" s="332"/>
      <c r="X2097" s="333"/>
      <c r="Y2097" s="33" t="s">
        <v>2867</v>
      </c>
      <c r="Z2097" s="258">
        <v>121669.0</v>
      </c>
      <c r="AA2097" s="333"/>
      <c r="AB2097" s="333"/>
      <c r="AC2097" s="333"/>
      <c r="AD2097" s="329"/>
      <c r="AE2097" s="331"/>
      <c r="AF2097" s="336"/>
      <c r="AG2097" s="337"/>
      <c r="AH2097" s="333"/>
      <c r="AI2097" s="333"/>
      <c r="AJ2097" s="333"/>
      <c r="AK2097" s="328" t="s">
        <v>1529</v>
      </c>
      <c r="AL2097" s="328" t="s">
        <v>688</v>
      </c>
      <c r="AM2097" s="338"/>
      <c r="AN2097" s="333"/>
      <c r="AO2097" s="333"/>
      <c r="AP2097" s="333"/>
      <c r="AQ2097" s="333"/>
      <c r="AR2097" s="333"/>
      <c r="AS2097" s="333"/>
      <c r="AT2097" s="333"/>
      <c r="AU2097" s="329"/>
      <c r="AV2097" s="341"/>
      <c r="AW2097" s="269"/>
      <c r="AX2097" s="334" t="s">
        <v>2869</v>
      </c>
      <c r="AY2097" s="270" t="s">
        <v>695</v>
      </c>
      <c r="AZ2097" s="173" t="s">
        <v>5516</v>
      </c>
      <c r="BA2097" s="265">
        <v>10.0</v>
      </c>
      <c r="BB2097" s="174" t="s">
        <v>245</v>
      </c>
      <c r="BC2097" s="341"/>
      <c r="BD2097" s="308"/>
      <c r="BE2097" s="342"/>
      <c r="BF2097" s="274" t="str">
        <f>IFERROR(__xludf.DUMMYFUNCTION("LOWER(Regexreplace(to_text(E2097),""[^A-Za-z0-9]"","""")&amp;""_""&amp;Regexreplace(to_text(F2097),""[^A-Za-z0-9]"",""""))"),"neptronic_evcbseries")</f>
        <v>neptronic_evcbseries</v>
      </c>
      <c r="BG2097" s="275" t="str">
        <f>IFERROR(__xludf.DUMMYFUNCTION("upper(Regexreplace(to_text(E2097),""[^A-Za-z0-9]"","""")&amp;""-""&amp;Regexreplace(to_text(F2097),""[^A-Za-z0-9]"",""""))"),"NEPTRONIC-EVCBSERIES")</f>
        <v>NEPTRONIC-EVCBSERIES</v>
      </c>
    </row>
    <row r="2098" ht="30.0" customHeight="1">
      <c r="A2098" s="258">
        <v>2090.0</v>
      </c>
      <c r="B2098" s="328" t="s">
        <v>670</v>
      </c>
      <c r="C2098" s="257" t="s">
        <v>7399</v>
      </c>
      <c r="D2098" s="173" t="s">
        <v>7399</v>
      </c>
      <c r="E2098" s="174" t="s">
        <v>2861</v>
      </c>
      <c r="F2098" s="173" t="s">
        <v>2862</v>
      </c>
      <c r="G2098" s="328" t="s">
        <v>673</v>
      </c>
      <c r="H2098" s="328" t="s">
        <v>2863</v>
      </c>
      <c r="I2098" s="258" t="s">
        <v>2864</v>
      </c>
      <c r="J2098" s="259"/>
      <c r="K2098" s="260"/>
      <c r="L2098" s="359"/>
      <c r="M2098" s="359"/>
      <c r="N2098" s="173" t="s">
        <v>679</v>
      </c>
      <c r="O2098" s="173"/>
      <c r="P2098" s="262" t="str">
        <f t="shared" si="1"/>
        <v>IN-BLR-ANANTA-VAV-1670_</v>
      </c>
      <c r="Q2098" s="173" t="s">
        <v>7400</v>
      </c>
      <c r="R2098" s="328" t="str">
        <f>IFS(C2098="","",C2098="n/a","N/A",LEN(C2098),Concatenate("{",char(34),"asset",char(34),":{",char(34),"guid",char(34),":",char(34),Q2098,char(34),",",char(34),"site",char(34),":",char(34),LOWER('2-Building'!$B$4),char(34),",",char(34),"name",char(34),":",char(34),LOWER(C2098),char(34),"}}"))</f>
        <v>{"asset":{"guid":"uuid://286fd125-0800-4757-bdf2-b132438b60ad","site":"in-blr-ananta","name":"vav-1670"}}</v>
      </c>
      <c r="S2098" s="360" t="s">
        <v>5516</v>
      </c>
      <c r="T2098" s="330"/>
      <c r="U2098" s="330"/>
      <c r="V2098" s="331"/>
      <c r="W2098" s="332"/>
      <c r="X2098" s="333"/>
      <c r="Y2098" s="33" t="s">
        <v>2867</v>
      </c>
      <c r="Z2098" s="258">
        <v>121670.0</v>
      </c>
      <c r="AA2098" s="333"/>
      <c r="AB2098" s="333"/>
      <c r="AC2098" s="333"/>
      <c r="AD2098" s="329"/>
      <c r="AE2098" s="331"/>
      <c r="AF2098" s="336"/>
      <c r="AG2098" s="337"/>
      <c r="AH2098" s="333"/>
      <c r="AI2098" s="333"/>
      <c r="AJ2098" s="333"/>
      <c r="AK2098" s="328" t="s">
        <v>1534</v>
      </c>
      <c r="AL2098" s="328" t="s">
        <v>688</v>
      </c>
      <c r="AM2098" s="338"/>
      <c r="AN2098" s="333"/>
      <c r="AO2098" s="333"/>
      <c r="AP2098" s="333"/>
      <c r="AQ2098" s="333"/>
      <c r="AR2098" s="333"/>
      <c r="AS2098" s="333"/>
      <c r="AT2098" s="333"/>
      <c r="AU2098" s="329"/>
      <c r="AV2098" s="341"/>
      <c r="AW2098" s="269"/>
      <c r="AX2098" s="334" t="s">
        <v>2869</v>
      </c>
      <c r="AY2098" s="270" t="s">
        <v>695</v>
      </c>
      <c r="AZ2098" s="173" t="s">
        <v>5516</v>
      </c>
      <c r="BA2098" s="265">
        <v>10.0</v>
      </c>
      <c r="BB2098" s="174" t="s">
        <v>245</v>
      </c>
      <c r="BC2098" s="341"/>
      <c r="BD2098" s="308"/>
      <c r="BE2098" s="342"/>
      <c r="BF2098" s="274" t="str">
        <f>IFERROR(__xludf.DUMMYFUNCTION("LOWER(Regexreplace(to_text(E2098),""[^A-Za-z0-9]"","""")&amp;""_""&amp;Regexreplace(to_text(F2098),""[^A-Za-z0-9]"",""""))"),"neptronic_evcbseries")</f>
        <v>neptronic_evcbseries</v>
      </c>
      <c r="BG2098" s="275" t="str">
        <f>IFERROR(__xludf.DUMMYFUNCTION("upper(Regexreplace(to_text(E2098),""[^A-Za-z0-9]"","""")&amp;""-""&amp;Regexreplace(to_text(F2098),""[^A-Za-z0-9]"",""""))"),"NEPTRONIC-EVCBSERIES")</f>
        <v>NEPTRONIC-EVCBSERIES</v>
      </c>
    </row>
    <row r="2099" ht="30.0" customHeight="1">
      <c r="A2099" s="173">
        <v>2091.0</v>
      </c>
      <c r="B2099" s="328" t="s">
        <v>670</v>
      </c>
      <c r="C2099" s="257" t="s">
        <v>7401</v>
      </c>
      <c r="D2099" s="173" t="s">
        <v>7401</v>
      </c>
      <c r="E2099" s="174" t="s">
        <v>2861</v>
      </c>
      <c r="F2099" s="173" t="s">
        <v>2862</v>
      </c>
      <c r="G2099" s="328" t="s">
        <v>673</v>
      </c>
      <c r="H2099" s="328" t="s">
        <v>2863</v>
      </c>
      <c r="I2099" s="258" t="s">
        <v>2864</v>
      </c>
      <c r="J2099" s="259"/>
      <c r="K2099" s="260"/>
      <c r="L2099" s="359"/>
      <c r="M2099" s="359"/>
      <c r="N2099" s="173" t="s">
        <v>679</v>
      </c>
      <c r="O2099" s="173"/>
      <c r="P2099" s="262" t="str">
        <f t="shared" si="1"/>
        <v>IN-BLR-ANANTA-VAV-1671_</v>
      </c>
      <c r="Q2099" s="173" t="s">
        <v>7402</v>
      </c>
      <c r="R2099" s="328" t="str">
        <f>IFS(C2099="","",C2099="n/a","N/A",LEN(C2099),Concatenate("{",char(34),"asset",char(34),":{",char(34),"guid",char(34),":",char(34),Q2099,char(34),",",char(34),"site",char(34),":",char(34),LOWER('2-Building'!$B$4),char(34),",",char(34),"name",char(34),":",char(34),LOWER(C2099),char(34),"}}"))</f>
        <v>{"asset":{"guid":"uuid://d351192b-a964-4d9f-89a4-83922fd67036","site":"in-blr-ananta","name":"vav-1671"}}</v>
      </c>
      <c r="S2099" s="360" t="s">
        <v>5516</v>
      </c>
      <c r="T2099" s="330"/>
      <c r="U2099" s="330"/>
      <c r="V2099" s="331"/>
      <c r="W2099" s="332"/>
      <c r="X2099" s="333"/>
      <c r="Y2099" s="33" t="s">
        <v>2867</v>
      </c>
      <c r="Z2099" s="258">
        <v>121671.0</v>
      </c>
      <c r="AA2099" s="333"/>
      <c r="AB2099" s="333"/>
      <c r="AC2099" s="333"/>
      <c r="AD2099" s="329"/>
      <c r="AE2099" s="331"/>
      <c r="AF2099" s="336"/>
      <c r="AG2099" s="337"/>
      <c r="AH2099" s="333"/>
      <c r="AI2099" s="333"/>
      <c r="AJ2099" s="333"/>
      <c r="AK2099" s="328" t="s">
        <v>1539</v>
      </c>
      <c r="AL2099" s="328" t="s">
        <v>688</v>
      </c>
      <c r="AM2099" s="338"/>
      <c r="AN2099" s="333"/>
      <c r="AO2099" s="333"/>
      <c r="AP2099" s="333"/>
      <c r="AQ2099" s="333"/>
      <c r="AR2099" s="333"/>
      <c r="AS2099" s="333"/>
      <c r="AT2099" s="333"/>
      <c r="AU2099" s="329"/>
      <c r="AV2099" s="341"/>
      <c r="AW2099" s="269"/>
      <c r="AX2099" s="334" t="s">
        <v>2869</v>
      </c>
      <c r="AY2099" s="270" t="s">
        <v>695</v>
      </c>
      <c r="AZ2099" s="173" t="s">
        <v>5516</v>
      </c>
      <c r="BA2099" s="265">
        <v>10.0</v>
      </c>
      <c r="BB2099" s="174" t="s">
        <v>245</v>
      </c>
      <c r="BC2099" s="341"/>
      <c r="BD2099" s="308"/>
      <c r="BE2099" s="342"/>
      <c r="BF2099" s="274" t="str">
        <f>IFERROR(__xludf.DUMMYFUNCTION("LOWER(Regexreplace(to_text(E2099),""[^A-Za-z0-9]"","""")&amp;""_""&amp;Regexreplace(to_text(F2099),""[^A-Za-z0-9]"",""""))"),"neptronic_evcbseries")</f>
        <v>neptronic_evcbseries</v>
      </c>
      <c r="BG2099" s="275" t="str">
        <f>IFERROR(__xludf.DUMMYFUNCTION("upper(Regexreplace(to_text(E2099),""[^A-Za-z0-9]"","""")&amp;""-""&amp;Regexreplace(to_text(F2099),""[^A-Za-z0-9]"",""""))"),"NEPTRONIC-EVCBSERIES")</f>
        <v>NEPTRONIC-EVCBSERIES</v>
      </c>
    </row>
    <row r="2100" ht="30.0" customHeight="1">
      <c r="A2100" s="258">
        <v>2092.0</v>
      </c>
      <c r="B2100" s="328" t="s">
        <v>670</v>
      </c>
      <c r="C2100" s="257" t="s">
        <v>7403</v>
      </c>
      <c r="D2100" s="173" t="s">
        <v>7403</v>
      </c>
      <c r="E2100" s="174" t="s">
        <v>2861</v>
      </c>
      <c r="F2100" s="173" t="s">
        <v>2862</v>
      </c>
      <c r="G2100" s="328" t="s">
        <v>673</v>
      </c>
      <c r="H2100" s="328" t="s">
        <v>2863</v>
      </c>
      <c r="I2100" s="258" t="s">
        <v>2864</v>
      </c>
      <c r="J2100" s="259"/>
      <c r="K2100" s="260"/>
      <c r="L2100" s="359"/>
      <c r="M2100" s="359"/>
      <c r="N2100" s="173" t="s">
        <v>679</v>
      </c>
      <c r="O2100" s="173"/>
      <c r="P2100" s="262" t="str">
        <f t="shared" si="1"/>
        <v>IN-BLR-ANANTA-VAV-1672_</v>
      </c>
      <c r="Q2100" s="173" t="s">
        <v>7404</v>
      </c>
      <c r="R2100" s="328" t="str">
        <f>IFS(C2100="","",C2100="n/a","N/A",LEN(C2100),Concatenate("{",char(34),"asset",char(34),":{",char(34),"guid",char(34),":",char(34),Q2100,char(34),",",char(34),"site",char(34),":",char(34),LOWER('2-Building'!$B$4),char(34),",",char(34),"name",char(34),":",char(34),LOWER(C2100),char(34),"}}"))</f>
        <v>{"asset":{"guid":"uuid://253d326b-77fa-4940-98c7-f09210198975","site":"in-blr-ananta","name":"vav-1672"}}</v>
      </c>
      <c r="S2100" s="360" t="s">
        <v>5516</v>
      </c>
      <c r="T2100" s="330"/>
      <c r="U2100" s="330"/>
      <c r="V2100" s="331"/>
      <c r="W2100" s="332"/>
      <c r="X2100" s="333"/>
      <c r="Y2100" s="33" t="s">
        <v>2867</v>
      </c>
      <c r="Z2100" s="258">
        <v>121672.0</v>
      </c>
      <c r="AA2100" s="333"/>
      <c r="AB2100" s="333"/>
      <c r="AC2100" s="333"/>
      <c r="AD2100" s="329"/>
      <c r="AE2100" s="331"/>
      <c r="AF2100" s="336"/>
      <c r="AG2100" s="337"/>
      <c r="AH2100" s="333"/>
      <c r="AI2100" s="333"/>
      <c r="AJ2100" s="333"/>
      <c r="AK2100" s="333"/>
      <c r="AL2100" s="328" t="s">
        <v>688</v>
      </c>
      <c r="AM2100" s="338"/>
      <c r="AN2100" s="333"/>
      <c r="AO2100" s="333"/>
      <c r="AP2100" s="333"/>
      <c r="AQ2100" s="333"/>
      <c r="AR2100" s="333"/>
      <c r="AS2100" s="333"/>
      <c r="AT2100" s="333"/>
      <c r="AU2100" s="329"/>
      <c r="AV2100" s="341"/>
      <c r="AW2100" s="269"/>
      <c r="AX2100" s="334" t="s">
        <v>2869</v>
      </c>
      <c r="AY2100" s="270" t="s">
        <v>695</v>
      </c>
      <c r="AZ2100" s="173" t="s">
        <v>5516</v>
      </c>
      <c r="BA2100" s="265">
        <v>10.0</v>
      </c>
      <c r="BB2100" s="174" t="s">
        <v>245</v>
      </c>
      <c r="BC2100" s="341"/>
      <c r="BD2100" s="308"/>
      <c r="BE2100" s="342"/>
      <c r="BF2100" s="274" t="str">
        <f>IFERROR(__xludf.DUMMYFUNCTION("LOWER(Regexreplace(to_text(E2100),""[^A-Za-z0-9]"","""")&amp;""_""&amp;Regexreplace(to_text(F2100),""[^A-Za-z0-9]"",""""))"),"neptronic_evcbseries")</f>
        <v>neptronic_evcbseries</v>
      </c>
      <c r="BG2100" s="275" t="str">
        <f>IFERROR(__xludf.DUMMYFUNCTION("upper(Regexreplace(to_text(E2100),""[^A-Za-z0-9]"","""")&amp;""-""&amp;Regexreplace(to_text(F2100),""[^A-Za-z0-9]"",""""))"),"NEPTRONIC-EVCBSERIES")</f>
        <v>NEPTRONIC-EVCBSERIES</v>
      </c>
    </row>
    <row r="2101" ht="30.0" customHeight="1">
      <c r="A2101" s="173">
        <v>2093.0</v>
      </c>
      <c r="B2101" s="328" t="s">
        <v>670</v>
      </c>
      <c r="C2101" s="257" t="s">
        <v>7405</v>
      </c>
      <c r="D2101" s="173" t="s">
        <v>7405</v>
      </c>
      <c r="E2101" s="174" t="s">
        <v>2861</v>
      </c>
      <c r="F2101" s="173" t="s">
        <v>2862</v>
      </c>
      <c r="G2101" s="328" t="s">
        <v>673</v>
      </c>
      <c r="H2101" s="328" t="s">
        <v>2863</v>
      </c>
      <c r="I2101" s="258" t="s">
        <v>2864</v>
      </c>
      <c r="J2101" s="259"/>
      <c r="K2101" s="260"/>
      <c r="L2101" s="359"/>
      <c r="M2101" s="359"/>
      <c r="N2101" s="173" t="s">
        <v>679</v>
      </c>
      <c r="O2101" s="173"/>
      <c r="P2101" s="262" t="str">
        <f t="shared" si="1"/>
        <v>IN-BLR-ANANTA-VAV-1673_</v>
      </c>
      <c r="Q2101" s="173" t="s">
        <v>7406</v>
      </c>
      <c r="R2101" s="328" t="str">
        <f>IFS(C2101="","",C2101="n/a","N/A",LEN(C2101),Concatenate("{",char(34),"asset",char(34),":{",char(34),"guid",char(34),":",char(34),Q2101,char(34),",",char(34),"site",char(34),":",char(34),LOWER('2-Building'!$B$4),char(34),",",char(34),"name",char(34),":",char(34),LOWER(C2101),char(34),"}}"))</f>
        <v>{"asset":{"guid":"uuid://f032dc3a-eac1-42b7-b83b-edc47a599aab","site":"in-blr-ananta","name":"vav-1673"}}</v>
      </c>
      <c r="S2101" s="360" t="s">
        <v>5516</v>
      </c>
      <c r="T2101" s="330"/>
      <c r="U2101" s="330"/>
      <c r="V2101" s="331"/>
      <c r="W2101" s="332"/>
      <c r="X2101" s="333"/>
      <c r="Y2101" s="33" t="s">
        <v>2867</v>
      </c>
      <c r="Z2101" s="258">
        <v>121673.0</v>
      </c>
      <c r="AA2101" s="333"/>
      <c r="AB2101" s="333"/>
      <c r="AC2101" s="333"/>
      <c r="AD2101" s="329"/>
      <c r="AE2101" s="331"/>
      <c r="AF2101" s="336"/>
      <c r="AG2101" s="337"/>
      <c r="AH2101" s="333"/>
      <c r="AI2101" s="333"/>
      <c r="AJ2101" s="333"/>
      <c r="AK2101" s="328" t="s">
        <v>1549</v>
      </c>
      <c r="AL2101" s="328" t="s">
        <v>688</v>
      </c>
      <c r="AM2101" s="338"/>
      <c r="AN2101" s="333"/>
      <c r="AO2101" s="333"/>
      <c r="AP2101" s="333"/>
      <c r="AQ2101" s="333"/>
      <c r="AR2101" s="333"/>
      <c r="AS2101" s="333"/>
      <c r="AT2101" s="333"/>
      <c r="AU2101" s="329"/>
      <c r="AV2101" s="341"/>
      <c r="AW2101" s="269"/>
      <c r="AX2101" s="334" t="s">
        <v>2869</v>
      </c>
      <c r="AY2101" s="270" t="s">
        <v>695</v>
      </c>
      <c r="AZ2101" s="173" t="s">
        <v>5516</v>
      </c>
      <c r="BA2101" s="265">
        <v>10.0</v>
      </c>
      <c r="BB2101" s="174" t="s">
        <v>245</v>
      </c>
      <c r="BC2101" s="341"/>
      <c r="BD2101" s="308"/>
      <c r="BE2101" s="342"/>
      <c r="BF2101" s="274" t="str">
        <f>IFERROR(__xludf.DUMMYFUNCTION("LOWER(Regexreplace(to_text(E2101),""[^A-Za-z0-9]"","""")&amp;""_""&amp;Regexreplace(to_text(F2101),""[^A-Za-z0-9]"",""""))"),"neptronic_evcbseries")</f>
        <v>neptronic_evcbseries</v>
      </c>
      <c r="BG2101" s="275" t="str">
        <f>IFERROR(__xludf.DUMMYFUNCTION("upper(Regexreplace(to_text(E2101),""[^A-Za-z0-9]"","""")&amp;""-""&amp;Regexreplace(to_text(F2101),""[^A-Za-z0-9]"",""""))"),"NEPTRONIC-EVCBSERIES")</f>
        <v>NEPTRONIC-EVCBSERIES</v>
      </c>
    </row>
    <row r="2102" ht="30.0" customHeight="1">
      <c r="A2102" s="258">
        <v>2094.0</v>
      </c>
      <c r="B2102" s="328" t="s">
        <v>670</v>
      </c>
      <c r="C2102" s="257" t="s">
        <v>7407</v>
      </c>
      <c r="D2102" s="173" t="s">
        <v>7407</v>
      </c>
      <c r="E2102" s="174" t="s">
        <v>2861</v>
      </c>
      <c r="F2102" s="173" t="s">
        <v>2862</v>
      </c>
      <c r="G2102" s="328" t="s">
        <v>673</v>
      </c>
      <c r="H2102" s="328" t="s">
        <v>2863</v>
      </c>
      <c r="I2102" s="258" t="s">
        <v>2864</v>
      </c>
      <c r="J2102" s="259"/>
      <c r="K2102" s="260"/>
      <c r="L2102" s="359"/>
      <c r="M2102" s="359"/>
      <c r="N2102" s="173" t="s">
        <v>679</v>
      </c>
      <c r="O2102" s="173"/>
      <c r="P2102" s="262" t="str">
        <f t="shared" si="1"/>
        <v>IN-BLR-ANANTA-VAV-1674_</v>
      </c>
      <c r="Q2102" s="173" t="s">
        <v>7408</v>
      </c>
      <c r="R2102" s="328" t="str">
        <f>IFS(C2102="","",C2102="n/a","N/A",LEN(C2102),Concatenate("{",char(34),"asset",char(34),":{",char(34),"guid",char(34),":",char(34),Q2102,char(34),",",char(34),"site",char(34),":",char(34),LOWER('2-Building'!$B$4),char(34),",",char(34),"name",char(34),":",char(34),LOWER(C2102),char(34),"}}"))</f>
        <v>{"asset":{"guid":"uuid://8bb1eee6-9dd1-4fb8-a38e-e634e9f3a0a2","site":"in-blr-ananta","name":"vav-1674"}}</v>
      </c>
      <c r="S2102" s="360" t="s">
        <v>5516</v>
      </c>
      <c r="T2102" s="330"/>
      <c r="U2102" s="330"/>
      <c r="V2102" s="331"/>
      <c r="W2102" s="332"/>
      <c r="X2102" s="333"/>
      <c r="Y2102" s="33" t="s">
        <v>2867</v>
      </c>
      <c r="Z2102" s="258">
        <v>121674.0</v>
      </c>
      <c r="AA2102" s="333"/>
      <c r="AB2102" s="333"/>
      <c r="AC2102" s="333"/>
      <c r="AD2102" s="329"/>
      <c r="AE2102" s="331"/>
      <c r="AF2102" s="336"/>
      <c r="AG2102" s="337"/>
      <c r="AH2102" s="333"/>
      <c r="AI2102" s="333"/>
      <c r="AJ2102" s="333"/>
      <c r="AK2102" s="328" t="s">
        <v>1553</v>
      </c>
      <c r="AL2102" s="328" t="s">
        <v>688</v>
      </c>
      <c r="AM2102" s="338"/>
      <c r="AN2102" s="333"/>
      <c r="AO2102" s="333"/>
      <c r="AP2102" s="333"/>
      <c r="AQ2102" s="333"/>
      <c r="AR2102" s="333"/>
      <c r="AS2102" s="333"/>
      <c r="AT2102" s="333"/>
      <c r="AU2102" s="329"/>
      <c r="AV2102" s="341"/>
      <c r="AW2102" s="269"/>
      <c r="AX2102" s="334" t="s">
        <v>2869</v>
      </c>
      <c r="AY2102" s="270" t="s">
        <v>695</v>
      </c>
      <c r="AZ2102" s="173" t="s">
        <v>5516</v>
      </c>
      <c r="BA2102" s="265">
        <v>10.0</v>
      </c>
      <c r="BB2102" s="174" t="s">
        <v>245</v>
      </c>
      <c r="BC2102" s="341"/>
      <c r="BD2102" s="308"/>
      <c r="BE2102" s="342"/>
      <c r="BF2102" s="274" t="str">
        <f>IFERROR(__xludf.DUMMYFUNCTION("LOWER(Regexreplace(to_text(E2102),""[^A-Za-z0-9]"","""")&amp;""_""&amp;Regexreplace(to_text(F2102),""[^A-Za-z0-9]"",""""))"),"neptronic_evcbseries")</f>
        <v>neptronic_evcbseries</v>
      </c>
      <c r="BG2102" s="275" t="str">
        <f>IFERROR(__xludf.DUMMYFUNCTION("upper(Regexreplace(to_text(E2102),""[^A-Za-z0-9]"","""")&amp;""-""&amp;Regexreplace(to_text(F2102),""[^A-Za-z0-9]"",""""))"),"NEPTRONIC-EVCBSERIES")</f>
        <v>NEPTRONIC-EVCBSERIES</v>
      </c>
    </row>
    <row r="2103" ht="30.0" customHeight="1">
      <c r="A2103" s="173">
        <v>2095.0</v>
      </c>
      <c r="B2103" s="328" t="s">
        <v>670</v>
      </c>
      <c r="C2103" s="257" t="s">
        <v>7409</v>
      </c>
      <c r="D2103" s="173" t="s">
        <v>7409</v>
      </c>
      <c r="E2103" s="174" t="s">
        <v>2861</v>
      </c>
      <c r="F2103" s="173" t="s">
        <v>2862</v>
      </c>
      <c r="G2103" s="328" t="s">
        <v>673</v>
      </c>
      <c r="H2103" s="328" t="s">
        <v>2863</v>
      </c>
      <c r="I2103" s="258" t="s">
        <v>2864</v>
      </c>
      <c r="J2103" s="259"/>
      <c r="K2103" s="260"/>
      <c r="L2103" s="359"/>
      <c r="M2103" s="359"/>
      <c r="N2103" s="173" t="s">
        <v>679</v>
      </c>
      <c r="O2103" s="173"/>
      <c r="P2103" s="262" t="str">
        <f t="shared" si="1"/>
        <v>IN-BLR-ANANTA-VAV-1675_</v>
      </c>
      <c r="Q2103" s="173" t="s">
        <v>7410</v>
      </c>
      <c r="R2103" s="328" t="str">
        <f>IFS(C2103="","",C2103="n/a","N/A",LEN(C2103),Concatenate("{",char(34),"asset",char(34),":{",char(34),"guid",char(34),":",char(34),Q2103,char(34),",",char(34),"site",char(34),":",char(34),LOWER('2-Building'!$B$4),char(34),",",char(34),"name",char(34),":",char(34),LOWER(C2103),char(34),"}}"))</f>
        <v>{"asset":{"guid":"uuid://d84418ff-9b75-4eb6-abed-ac4a604e3363","site":"in-blr-ananta","name":"vav-1675"}}</v>
      </c>
      <c r="S2103" s="360" t="s">
        <v>5516</v>
      </c>
      <c r="T2103" s="330"/>
      <c r="U2103" s="330"/>
      <c r="V2103" s="331"/>
      <c r="W2103" s="332"/>
      <c r="X2103" s="333"/>
      <c r="Y2103" s="33" t="s">
        <v>2867</v>
      </c>
      <c r="Z2103" s="258">
        <v>121675.0</v>
      </c>
      <c r="AA2103" s="333"/>
      <c r="AB2103" s="333"/>
      <c r="AC2103" s="333"/>
      <c r="AD2103" s="329"/>
      <c r="AE2103" s="331"/>
      <c r="AF2103" s="336"/>
      <c r="AG2103" s="337"/>
      <c r="AH2103" s="333"/>
      <c r="AI2103" s="333"/>
      <c r="AJ2103" s="333"/>
      <c r="AK2103" s="328" t="s">
        <v>1558</v>
      </c>
      <c r="AL2103" s="328" t="s">
        <v>688</v>
      </c>
      <c r="AM2103" s="338"/>
      <c r="AN2103" s="333"/>
      <c r="AO2103" s="333"/>
      <c r="AP2103" s="333"/>
      <c r="AQ2103" s="333"/>
      <c r="AR2103" s="333"/>
      <c r="AS2103" s="333"/>
      <c r="AT2103" s="333"/>
      <c r="AU2103" s="329"/>
      <c r="AV2103" s="341"/>
      <c r="AW2103" s="269"/>
      <c r="AX2103" s="334" t="s">
        <v>2869</v>
      </c>
      <c r="AY2103" s="270" t="s">
        <v>695</v>
      </c>
      <c r="AZ2103" s="173" t="s">
        <v>5516</v>
      </c>
      <c r="BA2103" s="265">
        <v>10.0</v>
      </c>
      <c r="BB2103" s="174" t="s">
        <v>245</v>
      </c>
      <c r="BC2103" s="341"/>
      <c r="BD2103" s="308"/>
      <c r="BE2103" s="342"/>
      <c r="BF2103" s="274" t="str">
        <f>IFERROR(__xludf.DUMMYFUNCTION("LOWER(Regexreplace(to_text(E2103),""[^A-Za-z0-9]"","""")&amp;""_""&amp;Regexreplace(to_text(F2103),""[^A-Za-z0-9]"",""""))"),"neptronic_evcbseries")</f>
        <v>neptronic_evcbseries</v>
      </c>
      <c r="BG2103" s="275" t="str">
        <f>IFERROR(__xludf.DUMMYFUNCTION("upper(Regexreplace(to_text(E2103),""[^A-Za-z0-9]"","""")&amp;""-""&amp;Regexreplace(to_text(F2103),""[^A-Za-z0-9]"",""""))"),"NEPTRONIC-EVCBSERIES")</f>
        <v>NEPTRONIC-EVCBSERIES</v>
      </c>
    </row>
    <row r="2104" ht="30.0" customHeight="1">
      <c r="A2104" s="258">
        <v>2096.0</v>
      </c>
      <c r="B2104" s="328" t="s">
        <v>670</v>
      </c>
      <c r="C2104" s="257" t="s">
        <v>7411</v>
      </c>
      <c r="D2104" s="173" t="s">
        <v>7411</v>
      </c>
      <c r="E2104" s="174" t="s">
        <v>2861</v>
      </c>
      <c r="F2104" s="173" t="s">
        <v>2862</v>
      </c>
      <c r="G2104" s="328" t="s">
        <v>673</v>
      </c>
      <c r="H2104" s="328" t="s">
        <v>2863</v>
      </c>
      <c r="I2104" s="258" t="s">
        <v>2864</v>
      </c>
      <c r="J2104" s="259"/>
      <c r="K2104" s="260"/>
      <c r="L2104" s="359"/>
      <c r="M2104" s="359"/>
      <c r="N2104" s="173" t="s">
        <v>679</v>
      </c>
      <c r="O2104" s="173"/>
      <c r="P2104" s="262" t="str">
        <f t="shared" si="1"/>
        <v>IN-BLR-ANANTA-VAV-1676_</v>
      </c>
      <c r="Q2104" s="173" t="s">
        <v>7412</v>
      </c>
      <c r="R2104" s="328" t="str">
        <f>IFS(C2104="","",C2104="n/a","N/A",LEN(C2104),Concatenate("{",char(34),"asset",char(34),":{",char(34),"guid",char(34),":",char(34),Q2104,char(34),",",char(34),"site",char(34),":",char(34),LOWER('2-Building'!$B$4),char(34),",",char(34),"name",char(34),":",char(34),LOWER(C2104),char(34),"}}"))</f>
        <v>{"asset":{"guid":"uuid://f6bedcc2-1bfa-4d4e-bac1-214da148c067","site":"in-blr-ananta","name":"vav-1676"}}</v>
      </c>
      <c r="S2104" s="360" t="s">
        <v>5516</v>
      </c>
      <c r="T2104" s="330"/>
      <c r="U2104" s="330"/>
      <c r="V2104" s="331"/>
      <c r="W2104" s="332"/>
      <c r="X2104" s="333"/>
      <c r="Y2104" s="33" t="s">
        <v>2867</v>
      </c>
      <c r="Z2104" s="258">
        <v>121676.0</v>
      </c>
      <c r="AA2104" s="333"/>
      <c r="AB2104" s="333"/>
      <c r="AC2104" s="333"/>
      <c r="AD2104" s="329"/>
      <c r="AE2104" s="331"/>
      <c r="AF2104" s="336"/>
      <c r="AG2104" s="337"/>
      <c r="AH2104" s="333"/>
      <c r="AI2104" s="333"/>
      <c r="AJ2104" s="333"/>
      <c r="AK2104" s="328" t="s">
        <v>1562</v>
      </c>
      <c r="AL2104" s="328" t="s">
        <v>688</v>
      </c>
      <c r="AM2104" s="338"/>
      <c r="AN2104" s="333"/>
      <c r="AO2104" s="333"/>
      <c r="AP2104" s="333"/>
      <c r="AQ2104" s="333"/>
      <c r="AR2104" s="333"/>
      <c r="AS2104" s="333"/>
      <c r="AT2104" s="333"/>
      <c r="AU2104" s="329"/>
      <c r="AV2104" s="341"/>
      <c r="AW2104" s="269"/>
      <c r="AX2104" s="334" t="s">
        <v>2869</v>
      </c>
      <c r="AY2104" s="270" t="s">
        <v>695</v>
      </c>
      <c r="AZ2104" s="173" t="s">
        <v>5516</v>
      </c>
      <c r="BA2104" s="265">
        <v>10.0</v>
      </c>
      <c r="BB2104" s="174" t="s">
        <v>245</v>
      </c>
      <c r="BC2104" s="341"/>
      <c r="BD2104" s="308"/>
      <c r="BE2104" s="342"/>
      <c r="BF2104" s="274" t="str">
        <f>IFERROR(__xludf.DUMMYFUNCTION("LOWER(Regexreplace(to_text(E2104),""[^A-Za-z0-9]"","""")&amp;""_""&amp;Regexreplace(to_text(F2104),""[^A-Za-z0-9]"",""""))"),"neptronic_evcbseries")</f>
        <v>neptronic_evcbseries</v>
      </c>
      <c r="BG2104" s="275" t="str">
        <f>IFERROR(__xludf.DUMMYFUNCTION("upper(Regexreplace(to_text(E2104),""[^A-Za-z0-9]"","""")&amp;""-""&amp;Regexreplace(to_text(F2104),""[^A-Za-z0-9]"",""""))"),"NEPTRONIC-EVCBSERIES")</f>
        <v>NEPTRONIC-EVCBSERIES</v>
      </c>
    </row>
    <row r="2105" ht="30.0" customHeight="1">
      <c r="A2105" s="173">
        <v>2097.0</v>
      </c>
      <c r="B2105" s="328" t="s">
        <v>670</v>
      </c>
      <c r="C2105" s="257" t="s">
        <v>7413</v>
      </c>
      <c r="D2105" s="173" t="s">
        <v>7413</v>
      </c>
      <c r="E2105" s="174" t="s">
        <v>2861</v>
      </c>
      <c r="F2105" s="173" t="s">
        <v>2862</v>
      </c>
      <c r="G2105" s="328" t="s">
        <v>673</v>
      </c>
      <c r="H2105" s="328" t="s">
        <v>2863</v>
      </c>
      <c r="I2105" s="258" t="s">
        <v>2864</v>
      </c>
      <c r="J2105" s="259"/>
      <c r="K2105" s="260"/>
      <c r="L2105" s="359"/>
      <c r="M2105" s="359"/>
      <c r="N2105" s="173" t="s">
        <v>679</v>
      </c>
      <c r="O2105" s="173"/>
      <c r="P2105" s="262" t="str">
        <f t="shared" si="1"/>
        <v>IN-BLR-ANANTA-VAV-1677_</v>
      </c>
      <c r="Q2105" s="173" t="s">
        <v>7414</v>
      </c>
      <c r="R2105" s="328" t="str">
        <f>IFS(C2105="","",C2105="n/a","N/A",LEN(C2105),Concatenate("{",char(34),"asset",char(34),":{",char(34),"guid",char(34),":",char(34),Q2105,char(34),",",char(34),"site",char(34),":",char(34),LOWER('2-Building'!$B$4),char(34),",",char(34),"name",char(34),":",char(34),LOWER(C2105),char(34),"}}"))</f>
        <v>{"asset":{"guid":"uuid://d0580cbd-5d48-47d6-9d5e-540b6444a75e","site":"in-blr-ananta","name":"vav-1677"}}</v>
      </c>
      <c r="S2105" s="360" t="s">
        <v>5516</v>
      </c>
      <c r="T2105" s="330"/>
      <c r="U2105" s="330"/>
      <c r="V2105" s="331"/>
      <c r="W2105" s="332"/>
      <c r="X2105" s="333"/>
      <c r="Y2105" s="33" t="s">
        <v>2867</v>
      </c>
      <c r="Z2105" s="258">
        <v>121677.0</v>
      </c>
      <c r="AA2105" s="333"/>
      <c r="AB2105" s="333"/>
      <c r="AC2105" s="333"/>
      <c r="AD2105" s="329"/>
      <c r="AE2105" s="331"/>
      <c r="AF2105" s="336"/>
      <c r="AG2105" s="337"/>
      <c r="AH2105" s="333"/>
      <c r="AI2105" s="333"/>
      <c r="AJ2105" s="333"/>
      <c r="AK2105" s="328" t="s">
        <v>1567</v>
      </c>
      <c r="AL2105" s="328" t="s">
        <v>688</v>
      </c>
      <c r="AM2105" s="338"/>
      <c r="AN2105" s="333"/>
      <c r="AO2105" s="333"/>
      <c r="AP2105" s="333"/>
      <c r="AQ2105" s="333"/>
      <c r="AR2105" s="333"/>
      <c r="AS2105" s="333"/>
      <c r="AT2105" s="333"/>
      <c r="AU2105" s="329"/>
      <c r="AV2105" s="341"/>
      <c r="AW2105" s="269"/>
      <c r="AX2105" s="334" t="s">
        <v>2869</v>
      </c>
      <c r="AY2105" s="270" t="s">
        <v>695</v>
      </c>
      <c r="AZ2105" s="173" t="s">
        <v>5516</v>
      </c>
      <c r="BA2105" s="265">
        <v>10.0</v>
      </c>
      <c r="BB2105" s="174" t="s">
        <v>245</v>
      </c>
      <c r="BC2105" s="341"/>
      <c r="BD2105" s="308"/>
      <c r="BE2105" s="342"/>
      <c r="BF2105" s="274" t="str">
        <f>IFERROR(__xludf.DUMMYFUNCTION("LOWER(Regexreplace(to_text(E2105),""[^A-Za-z0-9]"","""")&amp;""_""&amp;Regexreplace(to_text(F2105),""[^A-Za-z0-9]"",""""))"),"neptronic_evcbseries")</f>
        <v>neptronic_evcbseries</v>
      </c>
      <c r="BG2105" s="275" t="str">
        <f>IFERROR(__xludf.DUMMYFUNCTION("upper(Regexreplace(to_text(E2105),""[^A-Za-z0-9]"","""")&amp;""-""&amp;Regexreplace(to_text(F2105),""[^A-Za-z0-9]"",""""))"),"NEPTRONIC-EVCBSERIES")</f>
        <v>NEPTRONIC-EVCBSERIES</v>
      </c>
    </row>
    <row r="2106" ht="30.0" customHeight="1">
      <c r="A2106" s="258">
        <v>2098.0</v>
      </c>
      <c r="B2106" s="328" t="s">
        <v>670</v>
      </c>
      <c r="C2106" s="257" t="s">
        <v>7415</v>
      </c>
      <c r="D2106" s="173" t="s">
        <v>7415</v>
      </c>
      <c r="E2106" s="174" t="s">
        <v>2861</v>
      </c>
      <c r="F2106" s="173" t="s">
        <v>2862</v>
      </c>
      <c r="G2106" s="328" t="s">
        <v>673</v>
      </c>
      <c r="H2106" s="328" t="s">
        <v>2863</v>
      </c>
      <c r="I2106" s="258" t="s">
        <v>2864</v>
      </c>
      <c r="J2106" s="259"/>
      <c r="K2106" s="260"/>
      <c r="L2106" s="359"/>
      <c r="M2106" s="359"/>
      <c r="N2106" s="173" t="s">
        <v>679</v>
      </c>
      <c r="O2106" s="173"/>
      <c r="P2106" s="262" t="str">
        <f t="shared" si="1"/>
        <v>IN-BLR-ANANTA-VAV-1678_</v>
      </c>
      <c r="Q2106" s="173" t="s">
        <v>7416</v>
      </c>
      <c r="R2106" s="328" t="str">
        <f>IFS(C2106="","",C2106="n/a","N/A",LEN(C2106),Concatenate("{",char(34),"asset",char(34),":{",char(34),"guid",char(34),":",char(34),Q2106,char(34),",",char(34),"site",char(34),":",char(34),LOWER('2-Building'!$B$4),char(34),",",char(34),"name",char(34),":",char(34),LOWER(C2106),char(34),"}}"))</f>
        <v>{"asset":{"guid":"uuid://2bbafdbf-a6c6-4398-ad2f-c04aefb7be4c","site":"in-blr-ananta","name":"vav-1678"}}</v>
      </c>
      <c r="S2106" s="360" t="s">
        <v>5516</v>
      </c>
      <c r="T2106" s="330"/>
      <c r="U2106" s="330"/>
      <c r="V2106" s="331"/>
      <c r="W2106" s="332"/>
      <c r="X2106" s="333"/>
      <c r="Y2106" s="33" t="s">
        <v>2867</v>
      </c>
      <c r="Z2106" s="258">
        <v>121678.0</v>
      </c>
      <c r="AA2106" s="333"/>
      <c r="AB2106" s="333"/>
      <c r="AC2106" s="333"/>
      <c r="AD2106" s="329"/>
      <c r="AE2106" s="331"/>
      <c r="AF2106" s="336"/>
      <c r="AG2106" s="337"/>
      <c r="AH2106" s="333"/>
      <c r="AI2106" s="333"/>
      <c r="AJ2106" s="333"/>
      <c r="AK2106" s="328" t="s">
        <v>1571</v>
      </c>
      <c r="AL2106" s="328" t="s">
        <v>688</v>
      </c>
      <c r="AM2106" s="338"/>
      <c r="AN2106" s="333"/>
      <c r="AO2106" s="333"/>
      <c r="AP2106" s="333"/>
      <c r="AQ2106" s="333"/>
      <c r="AR2106" s="333"/>
      <c r="AS2106" s="333"/>
      <c r="AT2106" s="333"/>
      <c r="AU2106" s="329"/>
      <c r="AV2106" s="341"/>
      <c r="AW2106" s="269"/>
      <c r="AX2106" s="334" t="s">
        <v>2869</v>
      </c>
      <c r="AY2106" s="270" t="s">
        <v>695</v>
      </c>
      <c r="AZ2106" s="173" t="s">
        <v>5516</v>
      </c>
      <c r="BA2106" s="265">
        <v>10.0</v>
      </c>
      <c r="BB2106" s="174" t="s">
        <v>245</v>
      </c>
      <c r="BC2106" s="341"/>
      <c r="BD2106" s="308"/>
      <c r="BE2106" s="342"/>
      <c r="BF2106" s="274" t="str">
        <f>IFERROR(__xludf.DUMMYFUNCTION("LOWER(Regexreplace(to_text(E2106),""[^A-Za-z0-9]"","""")&amp;""_""&amp;Regexreplace(to_text(F2106),""[^A-Za-z0-9]"",""""))"),"neptronic_evcbseries")</f>
        <v>neptronic_evcbseries</v>
      </c>
      <c r="BG2106" s="275" t="str">
        <f>IFERROR(__xludf.DUMMYFUNCTION("upper(Regexreplace(to_text(E2106),""[^A-Za-z0-9]"","""")&amp;""-""&amp;Regexreplace(to_text(F2106),""[^A-Za-z0-9]"",""""))"),"NEPTRONIC-EVCBSERIES")</f>
        <v>NEPTRONIC-EVCBSERIES</v>
      </c>
    </row>
    <row r="2107" ht="30.0" customHeight="1">
      <c r="A2107" s="173">
        <v>2099.0</v>
      </c>
      <c r="B2107" s="328" t="s">
        <v>670</v>
      </c>
      <c r="C2107" s="257" t="s">
        <v>7417</v>
      </c>
      <c r="D2107" s="173" t="s">
        <v>7417</v>
      </c>
      <c r="E2107" s="174" t="s">
        <v>2861</v>
      </c>
      <c r="F2107" s="173" t="s">
        <v>2862</v>
      </c>
      <c r="G2107" s="328" t="s">
        <v>673</v>
      </c>
      <c r="H2107" s="328" t="s">
        <v>2863</v>
      </c>
      <c r="I2107" s="258" t="s">
        <v>2864</v>
      </c>
      <c r="J2107" s="259"/>
      <c r="K2107" s="260"/>
      <c r="L2107" s="359"/>
      <c r="M2107" s="359"/>
      <c r="N2107" s="173" t="s">
        <v>679</v>
      </c>
      <c r="O2107" s="173"/>
      <c r="P2107" s="262" t="str">
        <f t="shared" si="1"/>
        <v>IN-BLR-ANANTA-VAV-1679_</v>
      </c>
      <c r="Q2107" s="173" t="s">
        <v>7418</v>
      </c>
      <c r="R2107" s="328" t="str">
        <f>IFS(C2107="","",C2107="n/a","N/A",LEN(C2107),Concatenate("{",char(34),"asset",char(34),":{",char(34),"guid",char(34),":",char(34),Q2107,char(34),",",char(34),"site",char(34),":",char(34),LOWER('2-Building'!$B$4),char(34),",",char(34),"name",char(34),":",char(34),LOWER(C2107),char(34),"}}"))</f>
        <v>{"asset":{"guid":"uuid://79f22b89-3f93-4aeb-bc49-6046ad2a3d1d","site":"in-blr-ananta","name":"vav-1679"}}</v>
      </c>
      <c r="S2107" s="360" t="s">
        <v>5516</v>
      </c>
      <c r="T2107" s="330"/>
      <c r="U2107" s="330"/>
      <c r="V2107" s="331"/>
      <c r="W2107" s="332"/>
      <c r="X2107" s="333"/>
      <c r="Y2107" s="33" t="s">
        <v>2867</v>
      </c>
      <c r="Z2107" s="258">
        <v>121679.0</v>
      </c>
      <c r="AA2107" s="333"/>
      <c r="AB2107" s="333"/>
      <c r="AC2107" s="333"/>
      <c r="AD2107" s="329"/>
      <c r="AE2107" s="331"/>
      <c r="AF2107" s="336"/>
      <c r="AG2107" s="337"/>
      <c r="AH2107" s="333"/>
      <c r="AI2107" s="333"/>
      <c r="AJ2107" s="333"/>
      <c r="AK2107" s="328" t="s">
        <v>1579</v>
      </c>
      <c r="AL2107" s="328" t="s">
        <v>688</v>
      </c>
      <c r="AM2107" s="338"/>
      <c r="AN2107" s="333"/>
      <c r="AO2107" s="333"/>
      <c r="AP2107" s="333"/>
      <c r="AQ2107" s="333"/>
      <c r="AR2107" s="333"/>
      <c r="AS2107" s="333"/>
      <c r="AT2107" s="333"/>
      <c r="AU2107" s="329"/>
      <c r="AV2107" s="341"/>
      <c r="AW2107" s="269"/>
      <c r="AX2107" s="334" t="s">
        <v>2869</v>
      </c>
      <c r="AY2107" s="270" t="s">
        <v>695</v>
      </c>
      <c r="AZ2107" s="173" t="s">
        <v>5516</v>
      </c>
      <c r="BA2107" s="265">
        <v>10.0</v>
      </c>
      <c r="BB2107" s="174" t="s">
        <v>245</v>
      </c>
      <c r="BC2107" s="341"/>
      <c r="BD2107" s="308"/>
      <c r="BE2107" s="342"/>
      <c r="BF2107" s="274" t="str">
        <f>IFERROR(__xludf.DUMMYFUNCTION("LOWER(Regexreplace(to_text(E2107),""[^A-Za-z0-9]"","""")&amp;""_""&amp;Regexreplace(to_text(F2107),""[^A-Za-z0-9]"",""""))"),"neptronic_evcbseries")</f>
        <v>neptronic_evcbseries</v>
      </c>
      <c r="BG2107" s="275" t="str">
        <f>IFERROR(__xludf.DUMMYFUNCTION("upper(Regexreplace(to_text(E2107),""[^A-Za-z0-9]"","""")&amp;""-""&amp;Regexreplace(to_text(F2107),""[^A-Za-z0-9]"",""""))"),"NEPTRONIC-EVCBSERIES")</f>
        <v>NEPTRONIC-EVCBSERIES</v>
      </c>
    </row>
    <row r="2108" ht="30.0" customHeight="1">
      <c r="A2108" s="258">
        <v>2100.0</v>
      </c>
      <c r="B2108" s="328" t="s">
        <v>670</v>
      </c>
      <c r="C2108" s="257" t="s">
        <v>7419</v>
      </c>
      <c r="D2108" s="173" t="s">
        <v>7419</v>
      </c>
      <c r="E2108" s="174" t="s">
        <v>2861</v>
      </c>
      <c r="F2108" s="173" t="s">
        <v>2862</v>
      </c>
      <c r="G2108" s="328" t="s">
        <v>673</v>
      </c>
      <c r="H2108" s="328" t="s">
        <v>2863</v>
      </c>
      <c r="I2108" s="258" t="s">
        <v>2864</v>
      </c>
      <c r="J2108" s="259"/>
      <c r="K2108" s="260"/>
      <c r="L2108" s="359"/>
      <c r="M2108" s="359"/>
      <c r="N2108" s="173" t="s">
        <v>679</v>
      </c>
      <c r="O2108" s="173"/>
      <c r="P2108" s="262" t="str">
        <f t="shared" si="1"/>
        <v>IN-BLR-ANANTA-VAV-1680_</v>
      </c>
      <c r="Q2108" s="173" t="s">
        <v>7420</v>
      </c>
      <c r="R2108" s="328" t="str">
        <f>IFS(C2108="","",C2108="n/a","N/A",LEN(C2108),Concatenate("{",char(34),"asset",char(34),":{",char(34),"guid",char(34),":",char(34),Q2108,char(34),",",char(34),"site",char(34),":",char(34),LOWER('2-Building'!$B$4),char(34),",",char(34),"name",char(34),":",char(34),LOWER(C2108),char(34),"}}"))</f>
        <v>{"asset":{"guid":"uuid://5338e28e-11a2-4167-8174-11db037e5010","site":"in-blr-ananta","name":"vav-1680"}}</v>
      </c>
      <c r="S2108" s="360" t="s">
        <v>5516</v>
      </c>
      <c r="T2108" s="330"/>
      <c r="U2108" s="330"/>
      <c r="V2108" s="331"/>
      <c r="W2108" s="332"/>
      <c r="X2108" s="333"/>
      <c r="Y2108" s="33" t="s">
        <v>2867</v>
      </c>
      <c r="Z2108" s="258">
        <v>121680.0</v>
      </c>
      <c r="AA2108" s="333"/>
      <c r="AB2108" s="333"/>
      <c r="AC2108" s="333"/>
      <c r="AD2108" s="329"/>
      <c r="AE2108" s="331"/>
      <c r="AF2108" s="336"/>
      <c r="AG2108" s="337"/>
      <c r="AH2108" s="333"/>
      <c r="AI2108" s="333"/>
      <c r="AJ2108" s="333"/>
      <c r="AK2108" s="328" t="s">
        <v>1584</v>
      </c>
      <c r="AL2108" s="328" t="s">
        <v>688</v>
      </c>
      <c r="AM2108" s="338"/>
      <c r="AN2108" s="333"/>
      <c r="AO2108" s="333"/>
      <c r="AP2108" s="333"/>
      <c r="AQ2108" s="333"/>
      <c r="AR2108" s="333"/>
      <c r="AS2108" s="333"/>
      <c r="AT2108" s="333"/>
      <c r="AU2108" s="329"/>
      <c r="AV2108" s="341"/>
      <c r="AW2108" s="269"/>
      <c r="AX2108" s="334" t="s">
        <v>2869</v>
      </c>
      <c r="AY2108" s="270" t="s">
        <v>695</v>
      </c>
      <c r="AZ2108" s="173" t="s">
        <v>5516</v>
      </c>
      <c r="BA2108" s="265">
        <v>10.0</v>
      </c>
      <c r="BB2108" s="174" t="s">
        <v>245</v>
      </c>
      <c r="BC2108" s="341"/>
      <c r="BD2108" s="308"/>
      <c r="BE2108" s="342"/>
      <c r="BF2108" s="274" t="str">
        <f>IFERROR(__xludf.DUMMYFUNCTION("LOWER(Regexreplace(to_text(E2108),""[^A-Za-z0-9]"","""")&amp;""_""&amp;Regexreplace(to_text(F2108),""[^A-Za-z0-9]"",""""))"),"neptronic_evcbseries")</f>
        <v>neptronic_evcbseries</v>
      </c>
      <c r="BG2108" s="275" t="str">
        <f>IFERROR(__xludf.DUMMYFUNCTION("upper(Regexreplace(to_text(E2108),""[^A-Za-z0-9]"","""")&amp;""-""&amp;Regexreplace(to_text(F2108),""[^A-Za-z0-9]"",""""))"),"NEPTRONIC-EVCBSERIES")</f>
        <v>NEPTRONIC-EVCBSERIES</v>
      </c>
    </row>
    <row r="2109" ht="30.0" customHeight="1">
      <c r="A2109" s="173">
        <v>2101.0</v>
      </c>
      <c r="B2109" s="328" t="s">
        <v>670</v>
      </c>
      <c r="C2109" s="257" t="s">
        <v>7421</v>
      </c>
      <c r="D2109" s="173" t="s">
        <v>7421</v>
      </c>
      <c r="E2109" s="174" t="s">
        <v>2861</v>
      </c>
      <c r="F2109" s="173" t="s">
        <v>2862</v>
      </c>
      <c r="G2109" s="328" t="s">
        <v>673</v>
      </c>
      <c r="H2109" s="328" t="s">
        <v>2863</v>
      </c>
      <c r="I2109" s="258" t="s">
        <v>2864</v>
      </c>
      <c r="J2109" s="259"/>
      <c r="K2109" s="260"/>
      <c r="L2109" s="359"/>
      <c r="M2109" s="359"/>
      <c r="N2109" s="173" t="s">
        <v>679</v>
      </c>
      <c r="O2109" s="173"/>
      <c r="P2109" s="262" t="str">
        <f t="shared" si="1"/>
        <v>IN-BLR-ANANTA-VAV-1681_</v>
      </c>
      <c r="Q2109" s="173" t="s">
        <v>7422</v>
      </c>
      <c r="R2109" s="328" t="str">
        <f>IFS(C2109="","",C2109="n/a","N/A",LEN(C2109),Concatenate("{",char(34),"asset",char(34),":{",char(34),"guid",char(34),":",char(34),Q2109,char(34),",",char(34),"site",char(34),":",char(34),LOWER('2-Building'!$B$4),char(34),",",char(34),"name",char(34),":",char(34),LOWER(C2109),char(34),"}}"))</f>
        <v>{"asset":{"guid":"uuid://02fcfdad-eace-4d4c-b208-fe0e9414a8a7","site":"in-blr-ananta","name":"vav-1681"}}</v>
      </c>
      <c r="S2109" s="360" t="s">
        <v>5516</v>
      </c>
      <c r="T2109" s="330"/>
      <c r="U2109" s="330"/>
      <c r="V2109" s="331"/>
      <c r="W2109" s="332"/>
      <c r="X2109" s="333"/>
      <c r="Y2109" s="33" t="s">
        <v>2867</v>
      </c>
      <c r="Z2109" s="258">
        <v>121681.0</v>
      </c>
      <c r="AA2109" s="333"/>
      <c r="AB2109" s="333"/>
      <c r="AC2109" s="333"/>
      <c r="AD2109" s="329"/>
      <c r="AE2109" s="331"/>
      <c r="AF2109" s="336"/>
      <c r="AG2109" s="337"/>
      <c r="AH2109" s="333"/>
      <c r="AI2109" s="333"/>
      <c r="AJ2109" s="333"/>
      <c r="AK2109" s="328" t="s">
        <v>1588</v>
      </c>
      <c r="AL2109" s="328" t="s">
        <v>688</v>
      </c>
      <c r="AM2109" s="338"/>
      <c r="AN2109" s="333"/>
      <c r="AO2109" s="333"/>
      <c r="AP2109" s="333"/>
      <c r="AQ2109" s="333"/>
      <c r="AR2109" s="333"/>
      <c r="AS2109" s="333"/>
      <c r="AT2109" s="333"/>
      <c r="AU2109" s="329"/>
      <c r="AV2109" s="341"/>
      <c r="AW2109" s="269"/>
      <c r="AX2109" s="334" t="s">
        <v>2869</v>
      </c>
      <c r="AY2109" s="270" t="s">
        <v>695</v>
      </c>
      <c r="AZ2109" s="173" t="s">
        <v>5516</v>
      </c>
      <c r="BA2109" s="265">
        <v>10.0</v>
      </c>
      <c r="BB2109" s="174" t="s">
        <v>245</v>
      </c>
      <c r="BC2109" s="341"/>
      <c r="BD2109" s="308"/>
      <c r="BE2109" s="342"/>
      <c r="BF2109" s="274" t="str">
        <f>IFERROR(__xludf.DUMMYFUNCTION("LOWER(Regexreplace(to_text(E2109),""[^A-Za-z0-9]"","""")&amp;""_""&amp;Regexreplace(to_text(F2109),""[^A-Za-z0-9]"",""""))"),"neptronic_evcbseries")</f>
        <v>neptronic_evcbseries</v>
      </c>
      <c r="BG2109" s="275" t="str">
        <f>IFERROR(__xludf.DUMMYFUNCTION("upper(Regexreplace(to_text(E2109),""[^A-Za-z0-9]"","""")&amp;""-""&amp;Regexreplace(to_text(F2109),""[^A-Za-z0-9]"",""""))"),"NEPTRONIC-EVCBSERIES")</f>
        <v>NEPTRONIC-EVCBSERIES</v>
      </c>
    </row>
    <row r="2110" ht="30.0" customHeight="1">
      <c r="A2110" s="258">
        <v>2102.0</v>
      </c>
      <c r="B2110" s="328" t="s">
        <v>670</v>
      </c>
      <c r="C2110" s="257" t="s">
        <v>7423</v>
      </c>
      <c r="D2110" s="173" t="s">
        <v>7423</v>
      </c>
      <c r="E2110" s="174" t="s">
        <v>2861</v>
      </c>
      <c r="F2110" s="173" t="s">
        <v>2862</v>
      </c>
      <c r="G2110" s="328" t="s">
        <v>673</v>
      </c>
      <c r="H2110" s="328" t="s">
        <v>2863</v>
      </c>
      <c r="I2110" s="258" t="s">
        <v>2864</v>
      </c>
      <c r="J2110" s="259"/>
      <c r="K2110" s="260"/>
      <c r="L2110" s="359"/>
      <c r="M2110" s="359"/>
      <c r="N2110" s="173" t="s">
        <v>679</v>
      </c>
      <c r="O2110" s="173"/>
      <c r="P2110" s="262" t="str">
        <f t="shared" si="1"/>
        <v>IN-BLR-ANANTA-VAV-1682_</v>
      </c>
      <c r="Q2110" s="173" t="s">
        <v>7424</v>
      </c>
      <c r="R2110" s="328" t="str">
        <f>IFS(C2110="","",C2110="n/a","N/A",LEN(C2110),Concatenate("{",char(34),"asset",char(34),":{",char(34),"guid",char(34),":",char(34),Q2110,char(34),",",char(34),"site",char(34),":",char(34),LOWER('2-Building'!$B$4),char(34),",",char(34),"name",char(34),":",char(34),LOWER(C2110),char(34),"}}"))</f>
        <v>{"asset":{"guid":"uuid://245b6aaa-6509-454b-8ab5-5842e211ba59","site":"in-blr-ananta","name":"vav-1682"}}</v>
      </c>
      <c r="S2110" s="360" t="s">
        <v>5516</v>
      </c>
      <c r="T2110" s="330"/>
      <c r="U2110" s="330"/>
      <c r="V2110" s="331"/>
      <c r="W2110" s="332"/>
      <c r="X2110" s="333"/>
      <c r="Y2110" s="33" t="s">
        <v>2867</v>
      </c>
      <c r="Z2110" s="258">
        <v>121682.0</v>
      </c>
      <c r="AA2110" s="333"/>
      <c r="AB2110" s="333"/>
      <c r="AC2110" s="333"/>
      <c r="AD2110" s="329"/>
      <c r="AE2110" s="331"/>
      <c r="AF2110" s="336"/>
      <c r="AG2110" s="337"/>
      <c r="AH2110" s="333"/>
      <c r="AI2110" s="333"/>
      <c r="AJ2110" s="333"/>
      <c r="AK2110" s="328" t="s">
        <v>1593</v>
      </c>
      <c r="AL2110" s="328" t="s">
        <v>688</v>
      </c>
      <c r="AM2110" s="338"/>
      <c r="AN2110" s="333"/>
      <c r="AO2110" s="333"/>
      <c r="AP2110" s="333"/>
      <c r="AQ2110" s="333"/>
      <c r="AR2110" s="333"/>
      <c r="AS2110" s="333"/>
      <c r="AT2110" s="333"/>
      <c r="AU2110" s="329"/>
      <c r="AV2110" s="341"/>
      <c r="AW2110" s="269"/>
      <c r="AX2110" s="334" t="s">
        <v>2869</v>
      </c>
      <c r="AY2110" s="270" t="s">
        <v>695</v>
      </c>
      <c r="AZ2110" s="173" t="s">
        <v>5516</v>
      </c>
      <c r="BA2110" s="265">
        <v>10.0</v>
      </c>
      <c r="BB2110" s="174" t="s">
        <v>245</v>
      </c>
      <c r="BC2110" s="341"/>
      <c r="BD2110" s="308"/>
      <c r="BE2110" s="342"/>
      <c r="BF2110" s="274" t="str">
        <f>IFERROR(__xludf.DUMMYFUNCTION("LOWER(Regexreplace(to_text(E2110),""[^A-Za-z0-9]"","""")&amp;""_""&amp;Regexreplace(to_text(F2110),""[^A-Za-z0-9]"",""""))"),"neptronic_evcbseries")</f>
        <v>neptronic_evcbseries</v>
      </c>
      <c r="BG2110" s="275" t="str">
        <f>IFERROR(__xludf.DUMMYFUNCTION("upper(Regexreplace(to_text(E2110),""[^A-Za-z0-9]"","""")&amp;""-""&amp;Regexreplace(to_text(F2110),""[^A-Za-z0-9]"",""""))"),"NEPTRONIC-EVCBSERIES")</f>
        <v>NEPTRONIC-EVCBSERIES</v>
      </c>
    </row>
    <row r="2111" ht="30.0" customHeight="1">
      <c r="A2111" s="173">
        <v>2103.0</v>
      </c>
      <c r="B2111" s="328" t="s">
        <v>670</v>
      </c>
      <c r="C2111" s="257" t="s">
        <v>7425</v>
      </c>
      <c r="D2111" s="173" t="s">
        <v>7425</v>
      </c>
      <c r="E2111" s="174" t="s">
        <v>2861</v>
      </c>
      <c r="F2111" s="173" t="s">
        <v>2862</v>
      </c>
      <c r="G2111" s="328" t="s">
        <v>673</v>
      </c>
      <c r="H2111" s="328" t="s">
        <v>2863</v>
      </c>
      <c r="I2111" s="258" t="s">
        <v>2864</v>
      </c>
      <c r="J2111" s="259"/>
      <c r="K2111" s="260"/>
      <c r="L2111" s="359"/>
      <c r="M2111" s="359"/>
      <c r="N2111" s="173" t="s">
        <v>679</v>
      </c>
      <c r="O2111" s="173"/>
      <c r="P2111" s="262" t="str">
        <f t="shared" si="1"/>
        <v>IN-BLR-ANANTA-VAV-1683_</v>
      </c>
      <c r="Q2111" s="173" t="s">
        <v>7426</v>
      </c>
      <c r="R2111" s="328" t="str">
        <f>IFS(C2111="","",C2111="n/a","N/A",LEN(C2111),Concatenate("{",char(34),"asset",char(34),":{",char(34),"guid",char(34),":",char(34),Q2111,char(34),",",char(34),"site",char(34),":",char(34),LOWER('2-Building'!$B$4),char(34),",",char(34),"name",char(34),":",char(34),LOWER(C2111),char(34),"}}"))</f>
        <v>{"asset":{"guid":"uuid://b1670fc7-5719-44f3-aacf-2df13269a786","site":"in-blr-ananta","name":"vav-1683"}}</v>
      </c>
      <c r="S2111" s="360" t="s">
        <v>5516</v>
      </c>
      <c r="T2111" s="330"/>
      <c r="U2111" s="330"/>
      <c r="V2111" s="331"/>
      <c r="W2111" s="332"/>
      <c r="X2111" s="333"/>
      <c r="Y2111" s="33" t="s">
        <v>2867</v>
      </c>
      <c r="Z2111" s="258">
        <v>121683.0</v>
      </c>
      <c r="AA2111" s="333"/>
      <c r="AB2111" s="333"/>
      <c r="AC2111" s="333"/>
      <c r="AD2111" s="329"/>
      <c r="AE2111" s="331"/>
      <c r="AF2111" s="336"/>
      <c r="AG2111" s="337"/>
      <c r="AH2111" s="333"/>
      <c r="AI2111" s="333"/>
      <c r="AJ2111" s="333"/>
      <c r="AK2111" s="328" t="s">
        <v>1597</v>
      </c>
      <c r="AL2111" s="328" t="s">
        <v>688</v>
      </c>
      <c r="AM2111" s="338"/>
      <c r="AN2111" s="333"/>
      <c r="AO2111" s="333"/>
      <c r="AP2111" s="333"/>
      <c r="AQ2111" s="333"/>
      <c r="AR2111" s="333"/>
      <c r="AS2111" s="333"/>
      <c r="AT2111" s="333"/>
      <c r="AU2111" s="329"/>
      <c r="AV2111" s="341"/>
      <c r="AW2111" s="269"/>
      <c r="AX2111" s="334" t="s">
        <v>2869</v>
      </c>
      <c r="AY2111" s="270" t="s">
        <v>695</v>
      </c>
      <c r="AZ2111" s="173" t="s">
        <v>5516</v>
      </c>
      <c r="BA2111" s="265">
        <v>10.0</v>
      </c>
      <c r="BB2111" s="174" t="s">
        <v>245</v>
      </c>
      <c r="BC2111" s="341"/>
      <c r="BD2111" s="308"/>
      <c r="BE2111" s="342"/>
      <c r="BF2111" s="274" t="str">
        <f>IFERROR(__xludf.DUMMYFUNCTION("LOWER(Regexreplace(to_text(E2111),""[^A-Za-z0-9]"","""")&amp;""_""&amp;Regexreplace(to_text(F2111),""[^A-Za-z0-9]"",""""))"),"neptronic_evcbseries")</f>
        <v>neptronic_evcbseries</v>
      </c>
      <c r="BG2111" s="275" t="str">
        <f>IFERROR(__xludf.DUMMYFUNCTION("upper(Regexreplace(to_text(E2111),""[^A-Za-z0-9]"","""")&amp;""-""&amp;Regexreplace(to_text(F2111),""[^A-Za-z0-9]"",""""))"),"NEPTRONIC-EVCBSERIES")</f>
        <v>NEPTRONIC-EVCBSERIES</v>
      </c>
    </row>
    <row r="2112" ht="30.0" customHeight="1">
      <c r="A2112" s="258">
        <v>2104.0</v>
      </c>
      <c r="B2112" s="328" t="s">
        <v>670</v>
      </c>
      <c r="C2112" s="257" t="s">
        <v>7427</v>
      </c>
      <c r="D2112" s="173" t="s">
        <v>7427</v>
      </c>
      <c r="E2112" s="174" t="s">
        <v>2861</v>
      </c>
      <c r="F2112" s="173" t="s">
        <v>2862</v>
      </c>
      <c r="G2112" s="328" t="s">
        <v>673</v>
      </c>
      <c r="H2112" s="328" t="s">
        <v>2863</v>
      </c>
      <c r="I2112" s="258" t="s">
        <v>2864</v>
      </c>
      <c r="J2112" s="259"/>
      <c r="K2112" s="260"/>
      <c r="L2112" s="359"/>
      <c r="M2112" s="359"/>
      <c r="N2112" s="173" t="s">
        <v>679</v>
      </c>
      <c r="O2112" s="173"/>
      <c r="P2112" s="262" t="str">
        <f t="shared" si="1"/>
        <v>IN-BLR-ANANTA-VAV-1684_</v>
      </c>
      <c r="Q2112" s="173" t="s">
        <v>7428</v>
      </c>
      <c r="R2112" s="328" t="str">
        <f>IFS(C2112="","",C2112="n/a","N/A",LEN(C2112),Concatenate("{",char(34),"asset",char(34),":{",char(34),"guid",char(34),":",char(34),Q2112,char(34),",",char(34),"site",char(34),":",char(34),LOWER('2-Building'!$B$4),char(34),",",char(34),"name",char(34),":",char(34),LOWER(C2112),char(34),"}}"))</f>
        <v>{"asset":{"guid":"uuid://edeecd41-6690-4653-9bd6-e9e072be49b4","site":"in-blr-ananta","name":"vav-1684"}}</v>
      </c>
      <c r="S2112" s="360" t="s">
        <v>5516</v>
      </c>
      <c r="T2112" s="330"/>
      <c r="U2112" s="330"/>
      <c r="V2112" s="331"/>
      <c r="W2112" s="332"/>
      <c r="X2112" s="333"/>
      <c r="Y2112" s="33" t="s">
        <v>2867</v>
      </c>
      <c r="Z2112" s="258">
        <v>121684.0</v>
      </c>
      <c r="AA2112" s="333"/>
      <c r="AB2112" s="333"/>
      <c r="AC2112" s="333"/>
      <c r="AD2112" s="329"/>
      <c r="AE2112" s="331"/>
      <c r="AF2112" s="336"/>
      <c r="AG2112" s="337"/>
      <c r="AH2112" s="333"/>
      <c r="AI2112" s="333"/>
      <c r="AJ2112" s="333"/>
      <c r="AK2112" s="333"/>
      <c r="AL2112" s="333"/>
      <c r="AM2112" s="338"/>
      <c r="AN2112" s="333"/>
      <c r="AO2112" s="333"/>
      <c r="AP2112" s="333"/>
      <c r="AQ2112" s="333"/>
      <c r="AR2112" s="333"/>
      <c r="AS2112" s="333"/>
      <c r="AT2112" s="333"/>
      <c r="AU2112" s="329"/>
      <c r="AV2112" s="341"/>
      <c r="AW2112" s="269"/>
      <c r="AX2112" s="334" t="s">
        <v>2869</v>
      </c>
      <c r="AY2112" s="270" t="s">
        <v>695</v>
      </c>
      <c r="AZ2112" s="173" t="s">
        <v>5516</v>
      </c>
      <c r="BA2112" s="265">
        <v>10.0</v>
      </c>
      <c r="BB2112" s="174" t="s">
        <v>245</v>
      </c>
      <c r="BC2112" s="341"/>
      <c r="BD2112" s="308"/>
      <c r="BE2112" s="342"/>
      <c r="BF2112" s="274" t="str">
        <f>IFERROR(__xludf.DUMMYFUNCTION("LOWER(Regexreplace(to_text(E2112),""[^A-Za-z0-9]"","""")&amp;""_""&amp;Regexreplace(to_text(F2112),""[^A-Za-z0-9]"",""""))"),"neptronic_evcbseries")</f>
        <v>neptronic_evcbseries</v>
      </c>
      <c r="BG2112" s="275" t="str">
        <f>IFERROR(__xludf.DUMMYFUNCTION("upper(Regexreplace(to_text(E2112),""[^A-Za-z0-9]"","""")&amp;""-""&amp;Regexreplace(to_text(F2112),""[^A-Za-z0-9]"",""""))"),"NEPTRONIC-EVCBSERIES")</f>
        <v>NEPTRONIC-EVCBSERIES</v>
      </c>
    </row>
    <row r="2113" ht="30.0" customHeight="1">
      <c r="A2113" s="173">
        <v>2105.0</v>
      </c>
      <c r="B2113" s="328" t="s">
        <v>670</v>
      </c>
      <c r="C2113" s="257" t="s">
        <v>7429</v>
      </c>
      <c r="D2113" s="173" t="s">
        <v>7429</v>
      </c>
      <c r="E2113" s="174" t="s">
        <v>2861</v>
      </c>
      <c r="F2113" s="173" t="s">
        <v>2862</v>
      </c>
      <c r="G2113" s="328" t="s">
        <v>673</v>
      </c>
      <c r="H2113" s="328" t="s">
        <v>2863</v>
      </c>
      <c r="I2113" s="258" t="s">
        <v>2864</v>
      </c>
      <c r="J2113" s="259"/>
      <c r="K2113" s="260"/>
      <c r="L2113" s="359"/>
      <c r="M2113" s="359"/>
      <c r="N2113" s="173" t="s">
        <v>679</v>
      </c>
      <c r="O2113" s="173"/>
      <c r="P2113" s="262" t="str">
        <f t="shared" si="1"/>
        <v>IN-BLR-ANANTA-VAV-1685_</v>
      </c>
      <c r="Q2113" s="173" t="s">
        <v>7430</v>
      </c>
      <c r="R2113" s="328" t="str">
        <f>IFS(C2113="","",C2113="n/a","N/A",LEN(C2113),Concatenate("{",char(34),"asset",char(34),":{",char(34),"guid",char(34),":",char(34),Q2113,char(34),",",char(34),"site",char(34),":",char(34),LOWER('2-Building'!$B$4),char(34),",",char(34),"name",char(34),":",char(34),LOWER(C2113),char(34),"}}"))</f>
        <v>{"asset":{"guid":"uuid://8935c138-c504-4f55-b96b-c2a78e469a98","site":"in-blr-ananta","name":"vav-1685"}}</v>
      </c>
      <c r="S2113" s="360" t="s">
        <v>5516</v>
      </c>
      <c r="T2113" s="330"/>
      <c r="U2113" s="330"/>
      <c r="V2113" s="331"/>
      <c r="W2113" s="332"/>
      <c r="X2113" s="333"/>
      <c r="Y2113" s="33" t="s">
        <v>2867</v>
      </c>
      <c r="Z2113" s="258">
        <v>121685.0</v>
      </c>
      <c r="AA2113" s="333"/>
      <c r="AB2113" s="333"/>
      <c r="AC2113" s="333"/>
      <c r="AD2113" s="329"/>
      <c r="AE2113" s="331"/>
      <c r="AF2113" s="336"/>
      <c r="AG2113" s="337"/>
      <c r="AH2113" s="333"/>
      <c r="AI2113" s="333"/>
      <c r="AJ2113" s="333"/>
      <c r="AK2113" s="333"/>
      <c r="AL2113" s="333"/>
      <c r="AM2113" s="338"/>
      <c r="AN2113" s="333"/>
      <c r="AO2113" s="333"/>
      <c r="AP2113" s="333"/>
      <c r="AQ2113" s="333"/>
      <c r="AR2113" s="333"/>
      <c r="AS2113" s="333"/>
      <c r="AT2113" s="333"/>
      <c r="AU2113" s="329"/>
      <c r="AV2113" s="341"/>
      <c r="AW2113" s="269"/>
      <c r="AX2113" s="334" t="s">
        <v>2869</v>
      </c>
      <c r="AY2113" s="270" t="s">
        <v>695</v>
      </c>
      <c r="AZ2113" s="173" t="s">
        <v>5516</v>
      </c>
      <c r="BA2113" s="265">
        <v>10.0</v>
      </c>
      <c r="BB2113" s="174" t="s">
        <v>245</v>
      </c>
      <c r="BC2113" s="341"/>
      <c r="BD2113" s="308"/>
      <c r="BE2113" s="342"/>
      <c r="BF2113" s="274" t="str">
        <f>IFERROR(__xludf.DUMMYFUNCTION("LOWER(Regexreplace(to_text(E2113),""[^A-Za-z0-9]"","""")&amp;""_""&amp;Regexreplace(to_text(F2113),""[^A-Za-z0-9]"",""""))"),"neptronic_evcbseries")</f>
        <v>neptronic_evcbseries</v>
      </c>
      <c r="BG2113" s="275" t="str">
        <f>IFERROR(__xludf.DUMMYFUNCTION("upper(Regexreplace(to_text(E2113),""[^A-Za-z0-9]"","""")&amp;""-""&amp;Regexreplace(to_text(F2113),""[^A-Za-z0-9]"",""""))"),"NEPTRONIC-EVCBSERIES")</f>
        <v>NEPTRONIC-EVCBSERIES</v>
      </c>
    </row>
    <row r="2114" ht="30.0" customHeight="1">
      <c r="A2114" s="258">
        <v>2106.0</v>
      </c>
      <c r="B2114" s="328" t="s">
        <v>670</v>
      </c>
      <c r="C2114" s="257" t="s">
        <v>7431</v>
      </c>
      <c r="D2114" s="173" t="s">
        <v>7431</v>
      </c>
      <c r="E2114" s="174" t="s">
        <v>2861</v>
      </c>
      <c r="F2114" s="173" t="s">
        <v>2862</v>
      </c>
      <c r="G2114" s="328" t="s">
        <v>673</v>
      </c>
      <c r="H2114" s="328" t="s">
        <v>2863</v>
      </c>
      <c r="I2114" s="258" t="s">
        <v>2864</v>
      </c>
      <c r="J2114" s="259"/>
      <c r="K2114" s="260"/>
      <c r="L2114" s="359"/>
      <c r="M2114" s="359"/>
      <c r="N2114" s="173" t="s">
        <v>679</v>
      </c>
      <c r="O2114" s="173"/>
      <c r="P2114" s="262" t="str">
        <f t="shared" si="1"/>
        <v>IN-BLR-ANANTA-VAV-1686_</v>
      </c>
      <c r="Q2114" s="173" t="s">
        <v>7432</v>
      </c>
      <c r="R2114" s="328" t="str">
        <f>IFS(C2114="","",C2114="n/a","N/A",LEN(C2114),Concatenate("{",char(34),"asset",char(34),":{",char(34),"guid",char(34),":",char(34),Q2114,char(34),",",char(34),"site",char(34),":",char(34),LOWER('2-Building'!$B$4),char(34),",",char(34),"name",char(34),":",char(34),LOWER(C2114),char(34),"}}"))</f>
        <v>{"asset":{"guid":"uuid://644b6661-4acc-4b7b-9640-23818e70714c","site":"in-blr-ananta","name":"vav-1686"}}</v>
      </c>
      <c r="S2114" s="360" t="s">
        <v>5516</v>
      </c>
      <c r="T2114" s="330"/>
      <c r="U2114" s="330"/>
      <c r="V2114" s="331"/>
      <c r="W2114" s="332"/>
      <c r="X2114" s="333"/>
      <c r="Y2114" s="33" t="s">
        <v>2867</v>
      </c>
      <c r="Z2114" s="258">
        <v>121686.0</v>
      </c>
      <c r="AA2114" s="333"/>
      <c r="AB2114" s="333"/>
      <c r="AC2114" s="333"/>
      <c r="AD2114" s="329"/>
      <c r="AE2114" s="331"/>
      <c r="AF2114" s="336"/>
      <c r="AG2114" s="337"/>
      <c r="AH2114" s="333"/>
      <c r="AI2114" s="333"/>
      <c r="AJ2114" s="333"/>
      <c r="AK2114" s="333"/>
      <c r="AL2114" s="333"/>
      <c r="AM2114" s="338"/>
      <c r="AN2114" s="333"/>
      <c r="AO2114" s="333"/>
      <c r="AP2114" s="333"/>
      <c r="AQ2114" s="333"/>
      <c r="AR2114" s="333"/>
      <c r="AS2114" s="333"/>
      <c r="AT2114" s="333"/>
      <c r="AU2114" s="329"/>
      <c r="AV2114" s="341"/>
      <c r="AW2114" s="269"/>
      <c r="AX2114" s="334" t="s">
        <v>2869</v>
      </c>
      <c r="AY2114" s="270" t="s">
        <v>695</v>
      </c>
      <c r="AZ2114" s="173" t="s">
        <v>5516</v>
      </c>
      <c r="BA2114" s="265">
        <v>10.0</v>
      </c>
      <c r="BB2114" s="174" t="s">
        <v>245</v>
      </c>
      <c r="BC2114" s="341"/>
      <c r="BD2114" s="308"/>
      <c r="BE2114" s="342"/>
      <c r="BF2114" s="274" t="str">
        <f>IFERROR(__xludf.DUMMYFUNCTION("LOWER(Regexreplace(to_text(E2114),""[^A-Za-z0-9]"","""")&amp;""_""&amp;Regexreplace(to_text(F2114),""[^A-Za-z0-9]"",""""))"),"neptronic_evcbseries")</f>
        <v>neptronic_evcbseries</v>
      </c>
      <c r="BG2114" s="275" t="str">
        <f>IFERROR(__xludf.DUMMYFUNCTION("upper(Regexreplace(to_text(E2114),""[^A-Za-z0-9]"","""")&amp;""-""&amp;Regexreplace(to_text(F2114),""[^A-Za-z0-9]"",""""))"),"NEPTRONIC-EVCBSERIES")</f>
        <v>NEPTRONIC-EVCBSERIES</v>
      </c>
    </row>
    <row r="2115" ht="30.0" customHeight="1">
      <c r="A2115" s="173">
        <v>2107.0</v>
      </c>
      <c r="B2115" s="328" t="s">
        <v>670</v>
      </c>
      <c r="C2115" s="257" t="s">
        <v>7433</v>
      </c>
      <c r="D2115" s="173" t="s">
        <v>7433</v>
      </c>
      <c r="E2115" s="174" t="s">
        <v>2861</v>
      </c>
      <c r="F2115" s="173" t="s">
        <v>2862</v>
      </c>
      <c r="G2115" s="328" t="s">
        <v>673</v>
      </c>
      <c r="H2115" s="328" t="s">
        <v>2863</v>
      </c>
      <c r="I2115" s="258" t="s">
        <v>2864</v>
      </c>
      <c r="J2115" s="259"/>
      <c r="K2115" s="260"/>
      <c r="L2115" s="359"/>
      <c r="M2115" s="359"/>
      <c r="N2115" s="173" t="s">
        <v>679</v>
      </c>
      <c r="O2115" s="173"/>
      <c r="P2115" s="262" t="str">
        <f t="shared" si="1"/>
        <v>IN-BLR-ANANTA-VAV-1687_</v>
      </c>
      <c r="Q2115" s="173" t="s">
        <v>7434</v>
      </c>
      <c r="R2115" s="328" t="str">
        <f>IFS(C2115="","",C2115="n/a","N/A",LEN(C2115),Concatenate("{",char(34),"asset",char(34),":{",char(34),"guid",char(34),":",char(34),Q2115,char(34),",",char(34),"site",char(34),":",char(34),LOWER('2-Building'!$B$4),char(34),",",char(34),"name",char(34),":",char(34),LOWER(C2115),char(34),"}}"))</f>
        <v>{"asset":{"guid":"uuid://053a200f-8c0d-47f3-8edd-3f9bb0294b32","site":"in-blr-ananta","name":"vav-1687"}}</v>
      </c>
      <c r="S2115" s="360" t="s">
        <v>5516</v>
      </c>
      <c r="T2115" s="330"/>
      <c r="U2115" s="330"/>
      <c r="V2115" s="331"/>
      <c r="W2115" s="332"/>
      <c r="X2115" s="333"/>
      <c r="Y2115" s="33" t="s">
        <v>2867</v>
      </c>
      <c r="Z2115" s="258">
        <v>121687.0</v>
      </c>
      <c r="AA2115" s="333"/>
      <c r="AB2115" s="333"/>
      <c r="AC2115" s="333"/>
      <c r="AD2115" s="329"/>
      <c r="AE2115" s="331"/>
      <c r="AF2115" s="336"/>
      <c r="AG2115" s="337"/>
      <c r="AH2115" s="333"/>
      <c r="AI2115" s="333"/>
      <c r="AJ2115" s="333"/>
      <c r="AK2115" s="333"/>
      <c r="AL2115" s="333"/>
      <c r="AM2115" s="338"/>
      <c r="AN2115" s="333"/>
      <c r="AO2115" s="333"/>
      <c r="AP2115" s="333"/>
      <c r="AQ2115" s="333"/>
      <c r="AR2115" s="333"/>
      <c r="AS2115" s="333"/>
      <c r="AT2115" s="333"/>
      <c r="AU2115" s="329"/>
      <c r="AV2115" s="341"/>
      <c r="AW2115" s="269"/>
      <c r="AX2115" s="334" t="s">
        <v>2869</v>
      </c>
      <c r="AY2115" s="270" t="s">
        <v>695</v>
      </c>
      <c r="AZ2115" s="173" t="s">
        <v>5516</v>
      </c>
      <c r="BA2115" s="265">
        <v>10.0</v>
      </c>
      <c r="BB2115" s="174" t="s">
        <v>245</v>
      </c>
      <c r="BC2115" s="341"/>
      <c r="BD2115" s="308"/>
      <c r="BE2115" s="342"/>
      <c r="BF2115" s="274" t="str">
        <f>IFERROR(__xludf.DUMMYFUNCTION("LOWER(Regexreplace(to_text(E2115),""[^A-Za-z0-9]"","""")&amp;""_""&amp;Regexreplace(to_text(F2115),""[^A-Za-z0-9]"",""""))"),"neptronic_evcbseries")</f>
        <v>neptronic_evcbseries</v>
      </c>
      <c r="BG2115" s="275" t="str">
        <f>IFERROR(__xludf.DUMMYFUNCTION("upper(Regexreplace(to_text(E2115),""[^A-Za-z0-9]"","""")&amp;""-""&amp;Regexreplace(to_text(F2115),""[^A-Za-z0-9]"",""""))"),"NEPTRONIC-EVCBSERIES")</f>
        <v>NEPTRONIC-EVCBSERIES</v>
      </c>
    </row>
    <row r="2116" ht="30.0" customHeight="1">
      <c r="A2116" s="258">
        <v>2108.0</v>
      </c>
      <c r="B2116" s="328" t="s">
        <v>670</v>
      </c>
      <c r="C2116" s="257" t="s">
        <v>7435</v>
      </c>
      <c r="D2116" s="173" t="s">
        <v>7435</v>
      </c>
      <c r="E2116" s="174" t="s">
        <v>2861</v>
      </c>
      <c r="F2116" s="173" t="s">
        <v>2862</v>
      </c>
      <c r="G2116" s="328" t="s">
        <v>673</v>
      </c>
      <c r="H2116" s="328" t="s">
        <v>2863</v>
      </c>
      <c r="I2116" s="258" t="s">
        <v>2864</v>
      </c>
      <c r="J2116" s="259"/>
      <c r="K2116" s="260"/>
      <c r="L2116" s="359"/>
      <c r="M2116" s="359"/>
      <c r="N2116" s="173" t="s">
        <v>679</v>
      </c>
      <c r="O2116" s="173"/>
      <c r="P2116" s="262" t="str">
        <f t="shared" si="1"/>
        <v>IN-BLR-ANANTA-VAV-1688_</v>
      </c>
      <c r="Q2116" s="173" t="s">
        <v>7436</v>
      </c>
      <c r="R2116" s="328" t="str">
        <f>IFS(C2116="","",C2116="n/a","N/A",LEN(C2116),Concatenate("{",char(34),"asset",char(34),":{",char(34),"guid",char(34),":",char(34),Q2116,char(34),",",char(34),"site",char(34),":",char(34),LOWER('2-Building'!$B$4),char(34),",",char(34),"name",char(34),":",char(34),LOWER(C2116),char(34),"}}"))</f>
        <v>{"asset":{"guid":"uuid://ff4ac8c2-f1f4-42dd-99bc-e6c749f02956","site":"in-blr-ananta","name":"vav-1688"}}</v>
      </c>
      <c r="S2116" s="360" t="s">
        <v>5516</v>
      </c>
      <c r="T2116" s="330"/>
      <c r="U2116" s="330"/>
      <c r="V2116" s="331"/>
      <c r="W2116" s="332"/>
      <c r="X2116" s="333"/>
      <c r="Y2116" s="33" t="s">
        <v>2867</v>
      </c>
      <c r="Z2116" s="258">
        <v>121688.0</v>
      </c>
      <c r="AA2116" s="333"/>
      <c r="AB2116" s="333"/>
      <c r="AC2116" s="333"/>
      <c r="AD2116" s="329"/>
      <c r="AE2116" s="331"/>
      <c r="AF2116" s="336"/>
      <c r="AG2116" s="337"/>
      <c r="AH2116" s="333"/>
      <c r="AI2116" s="333"/>
      <c r="AJ2116" s="333"/>
      <c r="AK2116" s="333"/>
      <c r="AL2116" s="333"/>
      <c r="AM2116" s="338"/>
      <c r="AN2116" s="333"/>
      <c r="AO2116" s="333"/>
      <c r="AP2116" s="333"/>
      <c r="AQ2116" s="333"/>
      <c r="AR2116" s="333"/>
      <c r="AS2116" s="333"/>
      <c r="AT2116" s="333"/>
      <c r="AU2116" s="329"/>
      <c r="AV2116" s="341"/>
      <c r="AW2116" s="269"/>
      <c r="AX2116" s="334" t="s">
        <v>2869</v>
      </c>
      <c r="AY2116" s="270" t="s">
        <v>695</v>
      </c>
      <c r="AZ2116" s="173" t="s">
        <v>5516</v>
      </c>
      <c r="BA2116" s="265">
        <v>10.0</v>
      </c>
      <c r="BB2116" s="174" t="s">
        <v>245</v>
      </c>
      <c r="BC2116" s="341"/>
      <c r="BD2116" s="308"/>
      <c r="BE2116" s="342"/>
      <c r="BF2116" s="274" t="str">
        <f>IFERROR(__xludf.DUMMYFUNCTION("LOWER(Regexreplace(to_text(E2116),""[^A-Za-z0-9]"","""")&amp;""_""&amp;Regexreplace(to_text(F2116),""[^A-Za-z0-9]"",""""))"),"neptronic_evcbseries")</f>
        <v>neptronic_evcbseries</v>
      </c>
      <c r="BG2116" s="275" t="str">
        <f>IFERROR(__xludf.DUMMYFUNCTION("upper(Regexreplace(to_text(E2116),""[^A-Za-z0-9]"","""")&amp;""-""&amp;Regexreplace(to_text(F2116),""[^A-Za-z0-9]"",""""))"),"NEPTRONIC-EVCBSERIES")</f>
        <v>NEPTRONIC-EVCBSERIES</v>
      </c>
    </row>
    <row r="2117" ht="30.0" customHeight="1">
      <c r="A2117" s="173">
        <v>2109.0</v>
      </c>
      <c r="B2117" s="328" t="s">
        <v>670</v>
      </c>
      <c r="C2117" s="257" t="s">
        <v>7437</v>
      </c>
      <c r="D2117" s="173" t="s">
        <v>7437</v>
      </c>
      <c r="E2117" s="174" t="s">
        <v>2861</v>
      </c>
      <c r="F2117" s="173" t="s">
        <v>2862</v>
      </c>
      <c r="G2117" s="328" t="s">
        <v>673</v>
      </c>
      <c r="H2117" s="328" t="s">
        <v>2863</v>
      </c>
      <c r="I2117" s="258" t="s">
        <v>2864</v>
      </c>
      <c r="J2117" s="259"/>
      <c r="K2117" s="260"/>
      <c r="L2117" s="359"/>
      <c r="M2117" s="359"/>
      <c r="N2117" s="173" t="s">
        <v>679</v>
      </c>
      <c r="O2117" s="173"/>
      <c r="P2117" s="262" t="str">
        <f t="shared" si="1"/>
        <v>IN-BLR-ANANTA-VAV-1689_</v>
      </c>
      <c r="Q2117" s="173" t="s">
        <v>7438</v>
      </c>
      <c r="R2117" s="328" t="str">
        <f>IFS(C2117="","",C2117="n/a","N/A",LEN(C2117),Concatenate("{",char(34),"asset",char(34),":{",char(34),"guid",char(34),":",char(34),Q2117,char(34),",",char(34),"site",char(34),":",char(34),LOWER('2-Building'!$B$4),char(34),",",char(34),"name",char(34),":",char(34),LOWER(C2117),char(34),"}}"))</f>
        <v>{"asset":{"guid":"uuid://1fb43f16-0db8-4133-bc72-509c316ae064","site":"in-blr-ananta","name":"vav-1689"}}</v>
      </c>
      <c r="S2117" s="360" t="s">
        <v>5516</v>
      </c>
      <c r="T2117" s="330"/>
      <c r="U2117" s="330"/>
      <c r="V2117" s="331"/>
      <c r="W2117" s="332"/>
      <c r="X2117" s="333"/>
      <c r="Y2117" s="33" t="s">
        <v>2867</v>
      </c>
      <c r="Z2117" s="258">
        <v>121689.0</v>
      </c>
      <c r="AA2117" s="333"/>
      <c r="AB2117" s="333"/>
      <c r="AC2117" s="333"/>
      <c r="AD2117" s="329"/>
      <c r="AE2117" s="331"/>
      <c r="AF2117" s="336"/>
      <c r="AG2117" s="337"/>
      <c r="AH2117" s="333"/>
      <c r="AI2117" s="333"/>
      <c r="AJ2117" s="333"/>
      <c r="AK2117" s="333"/>
      <c r="AL2117" s="333"/>
      <c r="AM2117" s="338"/>
      <c r="AN2117" s="333"/>
      <c r="AO2117" s="333"/>
      <c r="AP2117" s="333"/>
      <c r="AQ2117" s="333"/>
      <c r="AR2117" s="333"/>
      <c r="AS2117" s="333"/>
      <c r="AT2117" s="333"/>
      <c r="AU2117" s="329"/>
      <c r="AV2117" s="341"/>
      <c r="AW2117" s="269"/>
      <c r="AX2117" s="334" t="s">
        <v>2869</v>
      </c>
      <c r="AY2117" s="270" t="s">
        <v>695</v>
      </c>
      <c r="AZ2117" s="173" t="s">
        <v>5516</v>
      </c>
      <c r="BA2117" s="265">
        <v>10.0</v>
      </c>
      <c r="BB2117" s="174" t="s">
        <v>245</v>
      </c>
      <c r="BC2117" s="341"/>
      <c r="BD2117" s="308"/>
      <c r="BE2117" s="342"/>
      <c r="BF2117" s="274" t="str">
        <f>IFERROR(__xludf.DUMMYFUNCTION("LOWER(Regexreplace(to_text(E2117),""[^A-Za-z0-9]"","""")&amp;""_""&amp;Regexreplace(to_text(F2117),""[^A-Za-z0-9]"",""""))"),"neptronic_evcbseries")</f>
        <v>neptronic_evcbseries</v>
      </c>
      <c r="BG2117" s="275" t="str">
        <f>IFERROR(__xludf.DUMMYFUNCTION("upper(Regexreplace(to_text(E2117),""[^A-Za-z0-9]"","""")&amp;""-""&amp;Regexreplace(to_text(F2117),""[^A-Za-z0-9]"",""""))"),"NEPTRONIC-EVCBSERIES")</f>
        <v>NEPTRONIC-EVCBSERIES</v>
      </c>
    </row>
    <row r="2118" ht="30.0" customHeight="1">
      <c r="A2118" s="258">
        <v>2110.0</v>
      </c>
      <c r="B2118" s="328" t="s">
        <v>670</v>
      </c>
      <c r="C2118" s="257" t="s">
        <v>7439</v>
      </c>
      <c r="D2118" s="173" t="s">
        <v>7439</v>
      </c>
      <c r="E2118" s="174" t="s">
        <v>2861</v>
      </c>
      <c r="F2118" s="173" t="s">
        <v>2862</v>
      </c>
      <c r="G2118" s="328" t="s">
        <v>673</v>
      </c>
      <c r="H2118" s="328" t="s">
        <v>2863</v>
      </c>
      <c r="I2118" s="258" t="s">
        <v>2864</v>
      </c>
      <c r="J2118" s="259"/>
      <c r="K2118" s="260"/>
      <c r="L2118" s="359"/>
      <c r="M2118" s="359"/>
      <c r="N2118" s="173" t="s">
        <v>679</v>
      </c>
      <c r="O2118" s="173"/>
      <c r="P2118" s="262" t="str">
        <f t="shared" si="1"/>
        <v>IN-BLR-ANANTA-VAV-1690_</v>
      </c>
      <c r="Q2118" s="173" t="s">
        <v>7440</v>
      </c>
      <c r="R2118" s="328" t="str">
        <f>IFS(C2118="","",C2118="n/a","N/A",LEN(C2118),Concatenate("{",char(34),"asset",char(34),":{",char(34),"guid",char(34),":",char(34),Q2118,char(34),",",char(34),"site",char(34),":",char(34),LOWER('2-Building'!$B$4),char(34),",",char(34),"name",char(34),":",char(34),LOWER(C2118),char(34),"}}"))</f>
        <v>{"asset":{"guid":"uuid://cbe7204a-a651-41c7-816f-39b765229f04","site":"in-blr-ananta","name":"vav-1690"}}</v>
      </c>
      <c r="S2118" s="360" t="s">
        <v>5516</v>
      </c>
      <c r="T2118" s="330"/>
      <c r="U2118" s="330"/>
      <c r="V2118" s="331"/>
      <c r="W2118" s="332"/>
      <c r="X2118" s="333"/>
      <c r="Y2118" s="33" t="s">
        <v>2867</v>
      </c>
      <c r="Z2118" s="258">
        <v>121690.0</v>
      </c>
      <c r="AA2118" s="333"/>
      <c r="AB2118" s="333"/>
      <c r="AC2118" s="333"/>
      <c r="AD2118" s="329"/>
      <c r="AE2118" s="331"/>
      <c r="AF2118" s="336"/>
      <c r="AG2118" s="337"/>
      <c r="AH2118" s="333"/>
      <c r="AI2118" s="333"/>
      <c r="AJ2118" s="333"/>
      <c r="AK2118" s="333"/>
      <c r="AL2118" s="333"/>
      <c r="AM2118" s="338"/>
      <c r="AN2118" s="333"/>
      <c r="AO2118" s="333"/>
      <c r="AP2118" s="333"/>
      <c r="AQ2118" s="333"/>
      <c r="AR2118" s="333"/>
      <c r="AS2118" s="333"/>
      <c r="AT2118" s="333"/>
      <c r="AU2118" s="329"/>
      <c r="AV2118" s="341"/>
      <c r="AW2118" s="269"/>
      <c r="AX2118" s="334" t="s">
        <v>2869</v>
      </c>
      <c r="AY2118" s="270" t="s">
        <v>695</v>
      </c>
      <c r="AZ2118" s="173" t="s">
        <v>5516</v>
      </c>
      <c r="BA2118" s="265">
        <v>10.0</v>
      </c>
      <c r="BB2118" s="174" t="s">
        <v>245</v>
      </c>
      <c r="BC2118" s="341"/>
      <c r="BD2118" s="308"/>
      <c r="BE2118" s="342"/>
      <c r="BF2118" s="274" t="str">
        <f>IFERROR(__xludf.DUMMYFUNCTION("LOWER(Regexreplace(to_text(E2118),""[^A-Za-z0-9]"","""")&amp;""_""&amp;Regexreplace(to_text(F2118),""[^A-Za-z0-9]"",""""))"),"neptronic_evcbseries")</f>
        <v>neptronic_evcbseries</v>
      </c>
      <c r="BG2118" s="275" t="str">
        <f>IFERROR(__xludf.DUMMYFUNCTION("upper(Regexreplace(to_text(E2118),""[^A-Za-z0-9]"","""")&amp;""-""&amp;Regexreplace(to_text(F2118),""[^A-Za-z0-9]"",""""))"),"NEPTRONIC-EVCBSERIES")</f>
        <v>NEPTRONIC-EVCBSERIES</v>
      </c>
    </row>
    <row r="2119" ht="30.0" customHeight="1">
      <c r="A2119" s="173">
        <v>2111.0</v>
      </c>
      <c r="B2119" s="328" t="s">
        <v>670</v>
      </c>
      <c r="C2119" s="257" t="s">
        <v>7441</v>
      </c>
      <c r="D2119" s="173" t="s">
        <v>7441</v>
      </c>
      <c r="E2119" s="174" t="s">
        <v>2861</v>
      </c>
      <c r="F2119" s="173" t="s">
        <v>2862</v>
      </c>
      <c r="G2119" s="328" t="s">
        <v>673</v>
      </c>
      <c r="H2119" s="328" t="s">
        <v>2863</v>
      </c>
      <c r="I2119" s="258" t="s">
        <v>2864</v>
      </c>
      <c r="J2119" s="259"/>
      <c r="K2119" s="260"/>
      <c r="L2119" s="359"/>
      <c r="M2119" s="359"/>
      <c r="N2119" s="173" t="s">
        <v>679</v>
      </c>
      <c r="O2119" s="173"/>
      <c r="P2119" s="262" t="str">
        <f t="shared" si="1"/>
        <v>IN-BLR-ANANTA-VAV-1691_</v>
      </c>
      <c r="Q2119" s="173" t="s">
        <v>7442</v>
      </c>
      <c r="R2119" s="328" t="str">
        <f>IFS(C2119="","",C2119="n/a","N/A",LEN(C2119),Concatenate("{",char(34),"asset",char(34),":{",char(34),"guid",char(34),":",char(34),Q2119,char(34),",",char(34),"site",char(34),":",char(34),LOWER('2-Building'!$B$4),char(34),",",char(34),"name",char(34),":",char(34),LOWER(C2119),char(34),"}}"))</f>
        <v>{"asset":{"guid":"uuid://a56b5a9a-f738-422e-8246-d2dc2ab59c5c","site":"in-blr-ananta","name":"vav-1691"}}</v>
      </c>
      <c r="S2119" s="360" t="s">
        <v>5516</v>
      </c>
      <c r="T2119" s="330"/>
      <c r="U2119" s="330"/>
      <c r="V2119" s="331"/>
      <c r="W2119" s="332"/>
      <c r="X2119" s="333"/>
      <c r="Y2119" s="33" t="s">
        <v>2867</v>
      </c>
      <c r="Z2119" s="258">
        <v>121691.0</v>
      </c>
      <c r="AA2119" s="333"/>
      <c r="AB2119" s="333"/>
      <c r="AC2119" s="333"/>
      <c r="AD2119" s="329"/>
      <c r="AE2119" s="331"/>
      <c r="AF2119" s="336"/>
      <c r="AG2119" s="337"/>
      <c r="AH2119" s="333"/>
      <c r="AI2119" s="333"/>
      <c r="AJ2119" s="333"/>
      <c r="AK2119" s="333"/>
      <c r="AL2119" s="333"/>
      <c r="AM2119" s="338"/>
      <c r="AN2119" s="333"/>
      <c r="AO2119" s="333"/>
      <c r="AP2119" s="333"/>
      <c r="AQ2119" s="333"/>
      <c r="AR2119" s="333"/>
      <c r="AS2119" s="333"/>
      <c r="AT2119" s="333"/>
      <c r="AU2119" s="329"/>
      <c r="AV2119" s="341"/>
      <c r="AW2119" s="269"/>
      <c r="AX2119" s="334" t="s">
        <v>2869</v>
      </c>
      <c r="AY2119" s="270" t="s">
        <v>695</v>
      </c>
      <c r="AZ2119" s="173" t="s">
        <v>5516</v>
      </c>
      <c r="BA2119" s="265">
        <v>10.0</v>
      </c>
      <c r="BB2119" s="174" t="s">
        <v>245</v>
      </c>
      <c r="BC2119" s="341"/>
      <c r="BD2119" s="308"/>
      <c r="BE2119" s="342"/>
      <c r="BF2119" s="274" t="str">
        <f>IFERROR(__xludf.DUMMYFUNCTION("LOWER(Regexreplace(to_text(E2119),""[^A-Za-z0-9]"","""")&amp;""_""&amp;Regexreplace(to_text(F2119),""[^A-Za-z0-9]"",""""))"),"neptronic_evcbseries")</f>
        <v>neptronic_evcbseries</v>
      </c>
      <c r="BG2119" s="275" t="str">
        <f>IFERROR(__xludf.DUMMYFUNCTION("upper(Regexreplace(to_text(E2119),""[^A-Za-z0-9]"","""")&amp;""-""&amp;Regexreplace(to_text(F2119),""[^A-Za-z0-9]"",""""))"),"NEPTRONIC-EVCBSERIES")</f>
        <v>NEPTRONIC-EVCBSERIES</v>
      </c>
    </row>
    <row r="2120" ht="30.0" customHeight="1">
      <c r="A2120" s="258">
        <v>2112.0</v>
      </c>
      <c r="B2120" s="328" t="s">
        <v>670</v>
      </c>
      <c r="C2120" s="257" t="s">
        <v>7443</v>
      </c>
      <c r="D2120" s="173" t="s">
        <v>7443</v>
      </c>
      <c r="E2120" s="174" t="s">
        <v>2861</v>
      </c>
      <c r="F2120" s="173" t="s">
        <v>2862</v>
      </c>
      <c r="G2120" s="328" t="s">
        <v>673</v>
      </c>
      <c r="H2120" s="328" t="s">
        <v>2863</v>
      </c>
      <c r="I2120" s="258" t="s">
        <v>2864</v>
      </c>
      <c r="J2120" s="259"/>
      <c r="K2120" s="260"/>
      <c r="L2120" s="359"/>
      <c r="M2120" s="359"/>
      <c r="N2120" s="173" t="s">
        <v>679</v>
      </c>
      <c r="O2120" s="173"/>
      <c r="P2120" s="262" t="str">
        <f t="shared" si="1"/>
        <v>IN-BLR-ANANTA-VAV-1692_</v>
      </c>
      <c r="Q2120" s="173" t="s">
        <v>7444</v>
      </c>
      <c r="R2120" s="328" t="str">
        <f>IFS(C2120="","",C2120="n/a","N/A",LEN(C2120),Concatenate("{",char(34),"asset",char(34),":{",char(34),"guid",char(34),":",char(34),Q2120,char(34),",",char(34),"site",char(34),":",char(34),LOWER('2-Building'!$B$4),char(34),",",char(34),"name",char(34),":",char(34),LOWER(C2120),char(34),"}}"))</f>
        <v>{"asset":{"guid":"uuid://a3ee0544-bb75-4af9-a93a-f5e9ae179a94","site":"in-blr-ananta","name":"vav-1692"}}</v>
      </c>
      <c r="S2120" s="360" t="s">
        <v>5516</v>
      </c>
      <c r="T2120" s="330"/>
      <c r="U2120" s="330"/>
      <c r="V2120" s="331"/>
      <c r="W2120" s="332"/>
      <c r="X2120" s="333"/>
      <c r="Y2120" s="33" t="s">
        <v>2867</v>
      </c>
      <c r="Z2120" s="258">
        <v>121692.0</v>
      </c>
      <c r="AA2120" s="333"/>
      <c r="AB2120" s="333"/>
      <c r="AC2120" s="333"/>
      <c r="AD2120" s="329"/>
      <c r="AE2120" s="331"/>
      <c r="AF2120" s="336"/>
      <c r="AG2120" s="337"/>
      <c r="AH2120" s="333"/>
      <c r="AI2120" s="333"/>
      <c r="AJ2120" s="333"/>
      <c r="AK2120" s="333"/>
      <c r="AL2120" s="333"/>
      <c r="AM2120" s="338"/>
      <c r="AN2120" s="333"/>
      <c r="AO2120" s="333"/>
      <c r="AP2120" s="333"/>
      <c r="AQ2120" s="333"/>
      <c r="AR2120" s="333"/>
      <c r="AS2120" s="333"/>
      <c r="AT2120" s="333"/>
      <c r="AU2120" s="329"/>
      <c r="AV2120" s="341"/>
      <c r="AW2120" s="269"/>
      <c r="AX2120" s="334" t="s">
        <v>2869</v>
      </c>
      <c r="AY2120" s="270" t="s">
        <v>695</v>
      </c>
      <c r="AZ2120" s="173" t="s">
        <v>5516</v>
      </c>
      <c r="BA2120" s="265">
        <v>10.0</v>
      </c>
      <c r="BB2120" s="174" t="s">
        <v>245</v>
      </c>
      <c r="BC2120" s="341"/>
      <c r="BD2120" s="308"/>
      <c r="BE2120" s="342"/>
      <c r="BF2120" s="274" t="str">
        <f>IFERROR(__xludf.DUMMYFUNCTION("LOWER(Regexreplace(to_text(E2120),""[^A-Za-z0-9]"","""")&amp;""_""&amp;Regexreplace(to_text(F2120),""[^A-Za-z0-9]"",""""))"),"neptronic_evcbseries")</f>
        <v>neptronic_evcbseries</v>
      </c>
      <c r="BG2120" s="275" t="str">
        <f>IFERROR(__xludf.DUMMYFUNCTION("upper(Regexreplace(to_text(E2120),""[^A-Za-z0-9]"","""")&amp;""-""&amp;Regexreplace(to_text(F2120),""[^A-Za-z0-9]"",""""))"),"NEPTRONIC-EVCBSERIES")</f>
        <v>NEPTRONIC-EVCBSERIES</v>
      </c>
    </row>
    <row r="2121" ht="30.0" customHeight="1">
      <c r="A2121" s="173">
        <v>2113.0</v>
      </c>
      <c r="B2121" s="328" t="s">
        <v>670</v>
      </c>
      <c r="C2121" s="257" t="s">
        <v>7445</v>
      </c>
      <c r="D2121" s="173" t="s">
        <v>7445</v>
      </c>
      <c r="E2121" s="174" t="s">
        <v>2861</v>
      </c>
      <c r="F2121" s="173" t="s">
        <v>2862</v>
      </c>
      <c r="G2121" s="328" t="s">
        <v>673</v>
      </c>
      <c r="H2121" s="328" t="s">
        <v>2863</v>
      </c>
      <c r="I2121" s="258" t="s">
        <v>2864</v>
      </c>
      <c r="J2121" s="259"/>
      <c r="K2121" s="260"/>
      <c r="L2121" s="359"/>
      <c r="M2121" s="359"/>
      <c r="N2121" s="173" t="s">
        <v>679</v>
      </c>
      <c r="O2121" s="173"/>
      <c r="P2121" s="262" t="str">
        <f t="shared" si="1"/>
        <v>IN-BLR-ANANTA-VAV-1693_</v>
      </c>
      <c r="Q2121" s="173" t="s">
        <v>7446</v>
      </c>
      <c r="R2121" s="328" t="str">
        <f>IFS(C2121="","",C2121="n/a","N/A",LEN(C2121),Concatenate("{",char(34),"asset",char(34),":{",char(34),"guid",char(34),":",char(34),Q2121,char(34),",",char(34),"site",char(34),":",char(34),LOWER('2-Building'!$B$4),char(34),",",char(34),"name",char(34),":",char(34),LOWER(C2121),char(34),"}}"))</f>
        <v>{"asset":{"guid":"uuid://d0003b66-0390-47ad-8ae3-436bb9f67eba","site":"in-blr-ananta","name":"vav-1693"}}</v>
      </c>
      <c r="S2121" s="360" t="s">
        <v>5516</v>
      </c>
      <c r="T2121" s="330"/>
      <c r="U2121" s="330"/>
      <c r="V2121" s="331"/>
      <c r="W2121" s="332"/>
      <c r="X2121" s="333"/>
      <c r="Y2121" s="33" t="s">
        <v>2867</v>
      </c>
      <c r="Z2121" s="258">
        <v>121693.0</v>
      </c>
      <c r="AA2121" s="333"/>
      <c r="AB2121" s="333"/>
      <c r="AC2121" s="333"/>
      <c r="AD2121" s="329"/>
      <c r="AE2121" s="331"/>
      <c r="AF2121" s="336"/>
      <c r="AG2121" s="337"/>
      <c r="AH2121" s="333"/>
      <c r="AI2121" s="333"/>
      <c r="AJ2121" s="333"/>
      <c r="AK2121" s="333"/>
      <c r="AL2121" s="333"/>
      <c r="AM2121" s="338"/>
      <c r="AN2121" s="333"/>
      <c r="AO2121" s="333"/>
      <c r="AP2121" s="333"/>
      <c r="AQ2121" s="333"/>
      <c r="AR2121" s="333"/>
      <c r="AS2121" s="333"/>
      <c r="AT2121" s="333"/>
      <c r="AU2121" s="329"/>
      <c r="AV2121" s="341"/>
      <c r="AW2121" s="269"/>
      <c r="AX2121" s="334" t="s">
        <v>2869</v>
      </c>
      <c r="AY2121" s="270" t="s">
        <v>695</v>
      </c>
      <c r="AZ2121" s="173" t="s">
        <v>5516</v>
      </c>
      <c r="BA2121" s="265">
        <v>10.0</v>
      </c>
      <c r="BB2121" s="174" t="s">
        <v>245</v>
      </c>
      <c r="BC2121" s="341"/>
      <c r="BD2121" s="308"/>
      <c r="BE2121" s="342"/>
      <c r="BF2121" s="274" t="str">
        <f>IFERROR(__xludf.DUMMYFUNCTION("LOWER(Regexreplace(to_text(E2121),""[^A-Za-z0-9]"","""")&amp;""_""&amp;Regexreplace(to_text(F2121),""[^A-Za-z0-9]"",""""))"),"neptronic_evcbseries")</f>
        <v>neptronic_evcbseries</v>
      </c>
      <c r="BG2121" s="275" t="str">
        <f>IFERROR(__xludf.DUMMYFUNCTION("upper(Regexreplace(to_text(E2121),""[^A-Za-z0-9]"","""")&amp;""-""&amp;Regexreplace(to_text(F2121),""[^A-Za-z0-9]"",""""))"),"NEPTRONIC-EVCBSERIES")</f>
        <v>NEPTRONIC-EVCBSERIES</v>
      </c>
    </row>
    <row r="2122" ht="30.0" customHeight="1">
      <c r="A2122" s="258">
        <v>2114.0</v>
      </c>
      <c r="B2122" s="328" t="s">
        <v>670</v>
      </c>
      <c r="C2122" s="257" t="s">
        <v>7447</v>
      </c>
      <c r="D2122" s="173" t="s">
        <v>7447</v>
      </c>
      <c r="E2122" s="174" t="s">
        <v>2861</v>
      </c>
      <c r="F2122" s="173" t="s">
        <v>2862</v>
      </c>
      <c r="G2122" s="328" t="s">
        <v>673</v>
      </c>
      <c r="H2122" s="328" t="s">
        <v>2863</v>
      </c>
      <c r="I2122" s="258" t="s">
        <v>2864</v>
      </c>
      <c r="J2122" s="259"/>
      <c r="K2122" s="260"/>
      <c r="L2122" s="359"/>
      <c r="M2122" s="359"/>
      <c r="N2122" s="173" t="s">
        <v>679</v>
      </c>
      <c r="O2122" s="173"/>
      <c r="P2122" s="262" t="str">
        <f t="shared" si="1"/>
        <v>IN-BLR-ANANTA-VAV-1694_</v>
      </c>
      <c r="Q2122" s="173" t="s">
        <v>7448</v>
      </c>
      <c r="R2122" s="328" t="str">
        <f>IFS(C2122="","",C2122="n/a","N/A",LEN(C2122),Concatenate("{",char(34),"asset",char(34),":{",char(34),"guid",char(34),":",char(34),Q2122,char(34),",",char(34),"site",char(34),":",char(34),LOWER('2-Building'!$B$4),char(34),",",char(34),"name",char(34),":",char(34),LOWER(C2122),char(34),"}}"))</f>
        <v>{"asset":{"guid":"uuid://bf339e10-fa3b-4d57-8292-c0f0056bf70a","site":"in-blr-ananta","name":"vav-1694"}}</v>
      </c>
      <c r="S2122" s="360" t="s">
        <v>5516</v>
      </c>
      <c r="T2122" s="330"/>
      <c r="U2122" s="330"/>
      <c r="V2122" s="331"/>
      <c r="W2122" s="332"/>
      <c r="X2122" s="333"/>
      <c r="Y2122" s="33" t="s">
        <v>2867</v>
      </c>
      <c r="Z2122" s="258">
        <v>121694.0</v>
      </c>
      <c r="AA2122" s="333"/>
      <c r="AB2122" s="333"/>
      <c r="AC2122" s="333"/>
      <c r="AD2122" s="329"/>
      <c r="AE2122" s="331"/>
      <c r="AF2122" s="336"/>
      <c r="AG2122" s="337"/>
      <c r="AH2122" s="333"/>
      <c r="AI2122" s="333"/>
      <c r="AJ2122" s="333"/>
      <c r="AK2122" s="333"/>
      <c r="AL2122" s="333"/>
      <c r="AM2122" s="338"/>
      <c r="AN2122" s="333"/>
      <c r="AO2122" s="333"/>
      <c r="AP2122" s="333"/>
      <c r="AQ2122" s="333"/>
      <c r="AR2122" s="333"/>
      <c r="AS2122" s="333"/>
      <c r="AT2122" s="333"/>
      <c r="AU2122" s="329"/>
      <c r="AV2122" s="341"/>
      <c r="AW2122" s="269"/>
      <c r="AX2122" s="334" t="s">
        <v>2869</v>
      </c>
      <c r="AY2122" s="270" t="s">
        <v>695</v>
      </c>
      <c r="AZ2122" s="173" t="s">
        <v>5516</v>
      </c>
      <c r="BA2122" s="265">
        <v>10.0</v>
      </c>
      <c r="BB2122" s="174" t="s">
        <v>245</v>
      </c>
      <c r="BC2122" s="341"/>
      <c r="BD2122" s="308"/>
      <c r="BE2122" s="342"/>
      <c r="BF2122" s="274" t="str">
        <f>IFERROR(__xludf.DUMMYFUNCTION("LOWER(Regexreplace(to_text(E2122),""[^A-Za-z0-9]"","""")&amp;""_""&amp;Regexreplace(to_text(F2122),""[^A-Za-z0-9]"",""""))"),"neptronic_evcbseries")</f>
        <v>neptronic_evcbseries</v>
      </c>
      <c r="BG2122" s="275" t="str">
        <f>IFERROR(__xludf.DUMMYFUNCTION("upper(Regexreplace(to_text(E2122),""[^A-Za-z0-9]"","""")&amp;""-""&amp;Regexreplace(to_text(F2122),""[^A-Za-z0-9]"",""""))"),"NEPTRONIC-EVCBSERIES")</f>
        <v>NEPTRONIC-EVCBSERIES</v>
      </c>
    </row>
    <row r="2123" ht="30.0" customHeight="1">
      <c r="A2123" s="173">
        <v>2115.0</v>
      </c>
      <c r="B2123" s="328" t="s">
        <v>670</v>
      </c>
      <c r="C2123" s="257" t="s">
        <v>7449</v>
      </c>
      <c r="D2123" s="173" t="s">
        <v>7449</v>
      </c>
      <c r="E2123" s="174" t="s">
        <v>2861</v>
      </c>
      <c r="F2123" s="173" t="s">
        <v>2862</v>
      </c>
      <c r="G2123" s="328" t="s">
        <v>673</v>
      </c>
      <c r="H2123" s="328" t="s">
        <v>2863</v>
      </c>
      <c r="I2123" s="258" t="s">
        <v>2864</v>
      </c>
      <c r="J2123" s="259"/>
      <c r="K2123" s="260"/>
      <c r="L2123" s="359"/>
      <c r="M2123" s="359"/>
      <c r="N2123" s="173" t="s">
        <v>679</v>
      </c>
      <c r="O2123" s="173"/>
      <c r="P2123" s="262" t="str">
        <f t="shared" si="1"/>
        <v>IN-BLR-ANANTA-VAV-1695_</v>
      </c>
      <c r="Q2123" s="173" t="s">
        <v>7450</v>
      </c>
      <c r="R2123" s="328" t="str">
        <f>IFS(C2123="","",C2123="n/a","N/A",LEN(C2123),Concatenate("{",char(34),"asset",char(34),":{",char(34),"guid",char(34),":",char(34),Q2123,char(34),",",char(34),"site",char(34),":",char(34),LOWER('2-Building'!$B$4),char(34),",",char(34),"name",char(34),":",char(34),LOWER(C2123),char(34),"}}"))</f>
        <v>{"asset":{"guid":"uuid://2a289872-0c1f-471d-90ae-bd59468a1e54","site":"in-blr-ananta","name":"vav-1695"}}</v>
      </c>
      <c r="S2123" s="360" t="s">
        <v>5516</v>
      </c>
      <c r="T2123" s="330"/>
      <c r="U2123" s="330"/>
      <c r="V2123" s="331"/>
      <c r="W2123" s="332"/>
      <c r="X2123" s="333"/>
      <c r="Y2123" s="33" t="s">
        <v>2867</v>
      </c>
      <c r="Z2123" s="258">
        <v>121695.0</v>
      </c>
      <c r="AA2123" s="333"/>
      <c r="AB2123" s="333"/>
      <c r="AC2123" s="333"/>
      <c r="AD2123" s="329"/>
      <c r="AE2123" s="331"/>
      <c r="AF2123" s="336"/>
      <c r="AG2123" s="337"/>
      <c r="AH2123" s="333"/>
      <c r="AI2123" s="333"/>
      <c r="AJ2123" s="333"/>
      <c r="AK2123" s="333"/>
      <c r="AL2123" s="333"/>
      <c r="AM2123" s="338"/>
      <c r="AN2123" s="333"/>
      <c r="AO2123" s="333"/>
      <c r="AP2123" s="333"/>
      <c r="AQ2123" s="333"/>
      <c r="AR2123" s="333"/>
      <c r="AS2123" s="333"/>
      <c r="AT2123" s="333"/>
      <c r="AU2123" s="329"/>
      <c r="AV2123" s="341"/>
      <c r="AW2123" s="269"/>
      <c r="AX2123" s="334" t="s">
        <v>2869</v>
      </c>
      <c r="AY2123" s="270" t="s">
        <v>695</v>
      </c>
      <c r="AZ2123" s="173" t="s">
        <v>5516</v>
      </c>
      <c r="BA2123" s="265">
        <v>10.0</v>
      </c>
      <c r="BB2123" s="174" t="s">
        <v>245</v>
      </c>
      <c r="BC2123" s="341"/>
      <c r="BD2123" s="308"/>
      <c r="BE2123" s="342"/>
      <c r="BF2123" s="274" t="str">
        <f>IFERROR(__xludf.DUMMYFUNCTION("LOWER(Regexreplace(to_text(E2123),""[^A-Za-z0-9]"","""")&amp;""_""&amp;Regexreplace(to_text(F2123),""[^A-Za-z0-9]"",""""))"),"neptronic_evcbseries")</f>
        <v>neptronic_evcbseries</v>
      </c>
      <c r="BG2123" s="275" t="str">
        <f>IFERROR(__xludf.DUMMYFUNCTION("upper(Regexreplace(to_text(E2123),""[^A-Za-z0-9]"","""")&amp;""-""&amp;Regexreplace(to_text(F2123),""[^A-Za-z0-9]"",""""))"),"NEPTRONIC-EVCBSERIES")</f>
        <v>NEPTRONIC-EVCBSERIES</v>
      </c>
    </row>
    <row r="2124" ht="30.0" customHeight="1">
      <c r="A2124" s="258">
        <v>2116.0</v>
      </c>
      <c r="B2124" s="328" t="s">
        <v>670</v>
      </c>
      <c r="C2124" s="257" t="s">
        <v>7451</v>
      </c>
      <c r="D2124" s="173" t="s">
        <v>7451</v>
      </c>
      <c r="E2124" s="174" t="s">
        <v>2861</v>
      </c>
      <c r="F2124" s="173" t="s">
        <v>2862</v>
      </c>
      <c r="G2124" s="328" t="s">
        <v>673</v>
      </c>
      <c r="H2124" s="328" t="s">
        <v>2863</v>
      </c>
      <c r="I2124" s="258" t="s">
        <v>2864</v>
      </c>
      <c r="J2124" s="259"/>
      <c r="K2124" s="260"/>
      <c r="L2124" s="359"/>
      <c r="M2124" s="359"/>
      <c r="N2124" s="173" t="s">
        <v>679</v>
      </c>
      <c r="O2124" s="173"/>
      <c r="P2124" s="262" t="str">
        <f t="shared" si="1"/>
        <v>IN-BLR-ANANTA-VAV-1696_</v>
      </c>
      <c r="Q2124" s="173" t="s">
        <v>7452</v>
      </c>
      <c r="R2124" s="328" t="str">
        <f>IFS(C2124="","",C2124="n/a","N/A",LEN(C2124),Concatenate("{",char(34),"asset",char(34),":{",char(34),"guid",char(34),":",char(34),Q2124,char(34),",",char(34),"site",char(34),":",char(34),LOWER('2-Building'!$B$4),char(34),",",char(34),"name",char(34),":",char(34),LOWER(C2124),char(34),"}}"))</f>
        <v>{"asset":{"guid":"uuid://5ac70458-78bb-4c51-9a2b-6cbffedcfcdc","site":"in-blr-ananta","name":"vav-1696"}}</v>
      </c>
      <c r="S2124" s="360" t="s">
        <v>5516</v>
      </c>
      <c r="T2124" s="330"/>
      <c r="U2124" s="330"/>
      <c r="V2124" s="331"/>
      <c r="W2124" s="332"/>
      <c r="X2124" s="333"/>
      <c r="Y2124" s="33" t="s">
        <v>2867</v>
      </c>
      <c r="Z2124" s="258">
        <v>121696.0</v>
      </c>
      <c r="AA2124" s="333"/>
      <c r="AB2124" s="333"/>
      <c r="AC2124" s="333"/>
      <c r="AD2124" s="329"/>
      <c r="AE2124" s="331"/>
      <c r="AF2124" s="336"/>
      <c r="AG2124" s="337"/>
      <c r="AH2124" s="333"/>
      <c r="AI2124" s="333"/>
      <c r="AJ2124" s="333"/>
      <c r="AK2124" s="333"/>
      <c r="AL2124" s="333"/>
      <c r="AM2124" s="338"/>
      <c r="AN2124" s="333"/>
      <c r="AO2124" s="333"/>
      <c r="AP2124" s="333"/>
      <c r="AQ2124" s="333"/>
      <c r="AR2124" s="333"/>
      <c r="AS2124" s="333"/>
      <c r="AT2124" s="333"/>
      <c r="AU2124" s="329"/>
      <c r="AV2124" s="341"/>
      <c r="AW2124" s="269"/>
      <c r="AX2124" s="334" t="s">
        <v>2869</v>
      </c>
      <c r="AY2124" s="270" t="s">
        <v>695</v>
      </c>
      <c r="AZ2124" s="173" t="s">
        <v>5516</v>
      </c>
      <c r="BA2124" s="265">
        <v>10.0</v>
      </c>
      <c r="BB2124" s="174" t="s">
        <v>245</v>
      </c>
      <c r="BC2124" s="341"/>
      <c r="BD2124" s="308"/>
      <c r="BE2124" s="342"/>
      <c r="BF2124" s="274" t="str">
        <f>IFERROR(__xludf.DUMMYFUNCTION("LOWER(Regexreplace(to_text(E2124),""[^A-Za-z0-9]"","""")&amp;""_""&amp;Regexreplace(to_text(F2124),""[^A-Za-z0-9]"",""""))"),"neptronic_evcbseries")</f>
        <v>neptronic_evcbseries</v>
      </c>
      <c r="BG2124" s="275" t="str">
        <f>IFERROR(__xludf.DUMMYFUNCTION("upper(Regexreplace(to_text(E2124),""[^A-Za-z0-9]"","""")&amp;""-""&amp;Regexreplace(to_text(F2124),""[^A-Za-z0-9]"",""""))"),"NEPTRONIC-EVCBSERIES")</f>
        <v>NEPTRONIC-EVCBSERIES</v>
      </c>
    </row>
    <row r="2125" ht="30.0" customHeight="1">
      <c r="A2125" s="173">
        <v>2117.0</v>
      </c>
      <c r="B2125" s="328" t="s">
        <v>670</v>
      </c>
      <c r="C2125" s="257" t="s">
        <v>7453</v>
      </c>
      <c r="D2125" s="173" t="s">
        <v>7453</v>
      </c>
      <c r="E2125" s="174" t="s">
        <v>2861</v>
      </c>
      <c r="F2125" s="173" t="s">
        <v>2862</v>
      </c>
      <c r="G2125" s="328" t="s">
        <v>673</v>
      </c>
      <c r="H2125" s="328" t="s">
        <v>2863</v>
      </c>
      <c r="I2125" s="258" t="s">
        <v>2864</v>
      </c>
      <c r="J2125" s="259"/>
      <c r="K2125" s="260"/>
      <c r="L2125" s="359"/>
      <c r="M2125" s="359"/>
      <c r="N2125" s="173" t="s">
        <v>679</v>
      </c>
      <c r="O2125" s="173"/>
      <c r="P2125" s="262" t="str">
        <f t="shared" si="1"/>
        <v>IN-BLR-ANANTA-VAV-1697_</v>
      </c>
      <c r="Q2125" s="173" t="s">
        <v>7454</v>
      </c>
      <c r="R2125" s="328" t="str">
        <f>IFS(C2125="","",C2125="n/a","N/A",LEN(C2125),Concatenate("{",char(34),"asset",char(34),":{",char(34),"guid",char(34),":",char(34),Q2125,char(34),",",char(34),"site",char(34),":",char(34),LOWER('2-Building'!$B$4),char(34),",",char(34),"name",char(34),":",char(34),LOWER(C2125),char(34),"}}"))</f>
        <v>{"asset":{"guid":"uuid://ab6acc34-87ed-407f-8427-e8ddd229d3f1","site":"in-blr-ananta","name":"vav-1697"}}</v>
      </c>
      <c r="S2125" s="360" t="s">
        <v>5516</v>
      </c>
      <c r="T2125" s="330"/>
      <c r="U2125" s="330"/>
      <c r="V2125" s="331"/>
      <c r="W2125" s="332"/>
      <c r="X2125" s="333"/>
      <c r="Y2125" s="33" t="s">
        <v>2867</v>
      </c>
      <c r="Z2125" s="258">
        <v>121697.0</v>
      </c>
      <c r="AA2125" s="333"/>
      <c r="AB2125" s="333"/>
      <c r="AC2125" s="333"/>
      <c r="AD2125" s="329"/>
      <c r="AE2125" s="331"/>
      <c r="AF2125" s="336"/>
      <c r="AG2125" s="337"/>
      <c r="AH2125" s="333"/>
      <c r="AI2125" s="333"/>
      <c r="AJ2125" s="333"/>
      <c r="AK2125" s="333"/>
      <c r="AL2125" s="333"/>
      <c r="AM2125" s="338"/>
      <c r="AN2125" s="333"/>
      <c r="AO2125" s="333"/>
      <c r="AP2125" s="333"/>
      <c r="AQ2125" s="333"/>
      <c r="AR2125" s="333"/>
      <c r="AS2125" s="333"/>
      <c r="AT2125" s="333"/>
      <c r="AU2125" s="329"/>
      <c r="AV2125" s="341"/>
      <c r="AW2125" s="269"/>
      <c r="AX2125" s="334" t="s">
        <v>2869</v>
      </c>
      <c r="AY2125" s="270" t="s">
        <v>695</v>
      </c>
      <c r="AZ2125" s="173" t="s">
        <v>5516</v>
      </c>
      <c r="BA2125" s="265">
        <v>10.0</v>
      </c>
      <c r="BB2125" s="174" t="s">
        <v>245</v>
      </c>
      <c r="BC2125" s="341"/>
      <c r="BD2125" s="308"/>
      <c r="BE2125" s="342"/>
      <c r="BF2125" s="274" t="str">
        <f>IFERROR(__xludf.DUMMYFUNCTION("LOWER(Regexreplace(to_text(E2125),""[^A-Za-z0-9]"","""")&amp;""_""&amp;Regexreplace(to_text(F2125),""[^A-Za-z0-9]"",""""))"),"neptronic_evcbseries")</f>
        <v>neptronic_evcbseries</v>
      </c>
      <c r="BG2125" s="275" t="str">
        <f>IFERROR(__xludf.DUMMYFUNCTION("upper(Regexreplace(to_text(E2125),""[^A-Za-z0-9]"","""")&amp;""-""&amp;Regexreplace(to_text(F2125),""[^A-Za-z0-9]"",""""))"),"NEPTRONIC-EVCBSERIES")</f>
        <v>NEPTRONIC-EVCBSERIES</v>
      </c>
    </row>
    <row r="2126" ht="30.0" customHeight="1">
      <c r="A2126" s="258">
        <v>2118.0</v>
      </c>
      <c r="B2126" s="328" t="s">
        <v>670</v>
      </c>
      <c r="C2126" s="257" t="s">
        <v>7455</v>
      </c>
      <c r="D2126" s="173" t="s">
        <v>7455</v>
      </c>
      <c r="E2126" s="174" t="s">
        <v>2861</v>
      </c>
      <c r="F2126" s="173" t="s">
        <v>2862</v>
      </c>
      <c r="G2126" s="328" t="s">
        <v>673</v>
      </c>
      <c r="H2126" s="328" t="s">
        <v>2863</v>
      </c>
      <c r="I2126" s="258" t="s">
        <v>2864</v>
      </c>
      <c r="J2126" s="259"/>
      <c r="K2126" s="260"/>
      <c r="L2126" s="359"/>
      <c r="M2126" s="359"/>
      <c r="N2126" s="173" t="s">
        <v>679</v>
      </c>
      <c r="O2126" s="173"/>
      <c r="P2126" s="262" t="str">
        <f t="shared" si="1"/>
        <v>IN-BLR-ANANTA-VAV-1698_</v>
      </c>
      <c r="Q2126" s="173" t="s">
        <v>7456</v>
      </c>
      <c r="R2126" s="328" t="str">
        <f>IFS(C2126="","",C2126="n/a","N/A",LEN(C2126),Concatenate("{",char(34),"asset",char(34),":{",char(34),"guid",char(34),":",char(34),Q2126,char(34),",",char(34),"site",char(34),":",char(34),LOWER('2-Building'!$B$4),char(34),",",char(34),"name",char(34),":",char(34),LOWER(C2126),char(34),"}}"))</f>
        <v>{"asset":{"guid":"uuid://c388292c-f9cf-45f6-af26-b5b4784730aa","site":"in-blr-ananta","name":"vav-1698"}}</v>
      </c>
      <c r="S2126" s="360" t="s">
        <v>5516</v>
      </c>
      <c r="T2126" s="330"/>
      <c r="U2126" s="330"/>
      <c r="V2126" s="331"/>
      <c r="W2126" s="332"/>
      <c r="X2126" s="333"/>
      <c r="Y2126" s="33" t="s">
        <v>2867</v>
      </c>
      <c r="Z2126" s="258">
        <v>121698.0</v>
      </c>
      <c r="AA2126" s="333"/>
      <c r="AB2126" s="333"/>
      <c r="AC2126" s="333"/>
      <c r="AD2126" s="329"/>
      <c r="AE2126" s="331"/>
      <c r="AF2126" s="336"/>
      <c r="AG2126" s="337"/>
      <c r="AH2126" s="333"/>
      <c r="AI2126" s="333"/>
      <c r="AJ2126" s="333"/>
      <c r="AK2126" s="333"/>
      <c r="AL2126" s="333"/>
      <c r="AM2126" s="338"/>
      <c r="AN2126" s="333"/>
      <c r="AO2126" s="333"/>
      <c r="AP2126" s="333"/>
      <c r="AQ2126" s="333"/>
      <c r="AR2126" s="333"/>
      <c r="AS2126" s="333"/>
      <c r="AT2126" s="333"/>
      <c r="AU2126" s="329"/>
      <c r="AV2126" s="341"/>
      <c r="AW2126" s="269"/>
      <c r="AX2126" s="334" t="s">
        <v>2869</v>
      </c>
      <c r="AY2126" s="270" t="s">
        <v>695</v>
      </c>
      <c r="AZ2126" s="173" t="s">
        <v>5516</v>
      </c>
      <c r="BA2126" s="265">
        <v>10.0</v>
      </c>
      <c r="BB2126" s="174" t="s">
        <v>245</v>
      </c>
      <c r="BC2126" s="341"/>
      <c r="BD2126" s="308"/>
      <c r="BE2126" s="342"/>
      <c r="BF2126" s="274" t="str">
        <f>IFERROR(__xludf.DUMMYFUNCTION("LOWER(Regexreplace(to_text(E2126),""[^A-Za-z0-9]"","""")&amp;""_""&amp;Regexreplace(to_text(F2126),""[^A-Za-z0-9]"",""""))"),"neptronic_evcbseries")</f>
        <v>neptronic_evcbseries</v>
      </c>
      <c r="BG2126" s="275" t="str">
        <f>IFERROR(__xludf.DUMMYFUNCTION("upper(Regexreplace(to_text(E2126),""[^A-Za-z0-9]"","""")&amp;""-""&amp;Regexreplace(to_text(F2126),""[^A-Za-z0-9]"",""""))"),"NEPTRONIC-EVCBSERIES")</f>
        <v>NEPTRONIC-EVCBSERIES</v>
      </c>
    </row>
    <row r="2127" ht="30.0" customHeight="1">
      <c r="A2127" s="173">
        <v>2119.0</v>
      </c>
      <c r="B2127" s="328" t="s">
        <v>670</v>
      </c>
      <c r="C2127" s="257" t="s">
        <v>7457</v>
      </c>
      <c r="D2127" s="173" t="s">
        <v>7457</v>
      </c>
      <c r="E2127" s="174" t="s">
        <v>2861</v>
      </c>
      <c r="F2127" s="173" t="s">
        <v>2862</v>
      </c>
      <c r="G2127" s="328" t="s">
        <v>673</v>
      </c>
      <c r="H2127" s="328" t="s">
        <v>2863</v>
      </c>
      <c r="I2127" s="258" t="s">
        <v>2864</v>
      </c>
      <c r="J2127" s="259"/>
      <c r="K2127" s="260"/>
      <c r="L2127" s="359"/>
      <c r="M2127" s="359"/>
      <c r="N2127" s="173" t="s">
        <v>679</v>
      </c>
      <c r="O2127" s="173"/>
      <c r="P2127" s="262" t="str">
        <f t="shared" si="1"/>
        <v>IN-BLR-ANANTA-VAV-1699_</v>
      </c>
      <c r="Q2127" s="173" t="s">
        <v>7458</v>
      </c>
      <c r="R2127" s="328" t="str">
        <f>IFS(C2127="","",C2127="n/a","N/A",LEN(C2127),Concatenate("{",char(34),"asset",char(34),":{",char(34),"guid",char(34),":",char(34),Q2127,char(34),",",char(34),"site",char(34),":",char(34),LOWER('2-Building'!$B$4),char(34),",",char(34),"name",char(34),":",char(34),LOWER(C2127),char(34),"}}"))</f>
        <v>{"asset":{"guid":"uuid://f1943622-6bb8-4b01-a092-bf4fc73acf92","site":"in-blr-ananta","name":"vav-1699"}}</v>
      </c>
      <c r="S2127" s="360" t="s">
        <v>5516</v>
      </c>
      <c r="T2127" s="330"/>
      <c r="U2127" s="330"/>
      <c r="V2127" s="331"/>
      <c r="W2127" s="332"/>
      <c r="X2127" s="333"/>
      <c r="Y2127" s="33" t="s">
        <v>2867</v>
      </c>
      <c r="Z2127" s="258">
        <v>121699.0</v>
      </c>
      <c r="AA2127" s="333"/>
      <c r="AB2127" s="333"/>
      <c r="AC2127" s="333"/>
      <c r="AD2127" s="329"/>
      <c r="AE2127" s="331"/>
      <c r="AF2127" s="336"/>
      <c r="AG2127" s="337"/>
      <c r="AH2127" s="333"/>
      <c r="AI2127" s="333"/>
      <c r="AJ2127" s="333"/>
      <c r="AK2127" s="333"/>
      <c r="AL2127" s="333"/>
      <c r="AM2127" s="338"/>
      <c r="AN2127" s="333"/>
      <c r="AO2127" s="333"/>
      <c r="AP2127" s="333"/>
      <c r="AQ2127" s="333"/>
      <c r="AR2127" s="333"/>
      <c r="AS2127" s="333"/>
      <c r="AT2127" s="333"/>
      <c r="AU2127" s="329"/>
      <c r="AV2127" s="341"/>
      <c r="AW2127" s="269"/>
      <c r="AX2127" s="334" t="s">
        <v>2869</v>
      </c>
      <c r="AY2127" s="270" t="s">
        <v>695</v>
      </c>
      <c r="AZ2127" s="173" t="s">
        <v>5516</v>
      </c>
      <c r="BA2127" s="265">
        <v>10.0</v>
      </c>
      <c r="BB2127" s="174" t="s">
        <v>245</v>
      </c>
      <c r="BC2127" s="341"/>
      <c r="BD2127" s="308"/>
      <c r="BE2127" s="342"/>
      <c r="BF2127" s="274" t="str">
        <f>IFERROR(__xludf.DUMMYFUNCTION("LOWER(Regexreplace(to_text(E2127),""[^A-Za-z0-9]"","""")&amp;""_""&amp;Regexreplace(to_text(F2127),""[^A-Za-z0-9]"",""""))"),"neptronic_evcbseries")</f>
        <v>neptronic_evcbseries</v>
      </c>
      <c r="BG2127" s="275" t="str">
        <f>IFERROR(__xludf.DUMMYFUNCTION("upper(Regexreplace(to_text(E2127),""[^A-Za-z0-9]"","""")&amp;""-""&amp;Regexreplace(to_text(F2127),""[^A-Za-z0-9]"",""""))"),"NEPTRONIC-EVCBSERIES")</f>
        <v>NEPTRONIC-EVCBSERIES</v>
      </c>
    </row>
    <row r="2128" ht="30.0" customHeight="1">
      <c r="A2128" s="258">
        <v>2120.0</v>
      </c>
      <c r="B2128" s="328" t="s">
        <v>670</v>
      </c>
      <c r="C2128" s="257" t="s">
        <v>7459</v>
      </c>
      <c r="D2128" s="173" t="s">
        <v>7459</v>
      </c>
      <c r="E2128" s="174" t="s">
        <v>2861</v>
      </c>
      <c r="F2128" s="173" t="s">
        <v>2862</v>
      </c>
      <c r="G2128" s="328" t="s">
        <v>673</v>
      </c>
      <c r="H2128" s="328" t="s">
        <v>2863</v>
      </c>
      <c r="I2128" s="258" t="s">
        <v>2864</v>
      </c>
      <c r="J2128" s="259"/>
      <c r="K2128" s="260"/>
      <c r="L2128" s="359"/>
      <c r="M2128" s="359"/>
      <c r="N2128" s="173" t="s">
        <v>679</v>
      </c>
      <c r="O2128" s="173"/>
      <c r="P2128" s="262" t="str">
        <f t="shared" si="1"/>
        <v>IN-BLR-ANANTA-VAV-1700_</v>
      </c>
      <c r="Q2128" s="173" t="s">
        <v>7460</v>
      </c>
      <c r="R2128" s="328" t="str">
        <f>IFS(C2128="","",C2128="n/a","N/A",LEN(C2128),Concatenate("{",char(34),"asset",char(34),":{",char(34),"guid",char(34),":",char(34),Q2128,char(34),",",char(34),"site",char(34),":",char(34),LOWER('2-Building'!$B$4),char(34),",",char(34),"name",char(34),":",char(34),LOWER(C2128),char(34),"}}"))</f>
        <v>{"asset":{"guid":"uuid://32f6c5ae-27ee-42c6-a43a-bea3d07ab5f1","site":"in-blr-ananta","name":"vav-1700"}}</v>
      </c>
      <c r="S2128" s="360" t="s">
        <v>5516</v>
      </c>
      <c r="T2128" s="330"/>
      <c r="U2128" s="330"/>
      <c r="V2128" s="331"/>
      <c r="W2128" s="332"/>
      <c r="X2128" s="333"/>
      <c r="Y2128" s="33" t="s">
        <v>2867</v>
      </c>
      <c r="Z2128" s="258">
        <v>121700.0</v>
      </c>
      <c r="AA2128" s="333"/>
      <c r="AB2128" s="333"/>
      <c r="AC2128" s="333"/>
      <c r="AD2128" s="329"/>
      <c r="AE2128" s="331"/>
      <c r="AF2128" s="336"/>
      <c r="AG2128" s="337"/>
      <c r="AH2128" s="333"/>
      <c r="AI2128" s="333"/>
      <c r="AJ2128" s="333"/>
      <c r="AK2128" s="333"/>
      <c r="AL2128" s="333"/>
      <c r="AM2128" s="338"/>
      <c r="AN2128" s="333"/>
      <c r="AO2128" s="333"/>
      <c r="AP2128" s="333"/>
      <c r="AQ2128" s="333"/>
      <c r="AR2128" s="333"/>
      <c r="AS2128" s="333"/>
      <c r="AT2128" s="333"/>
      <c r="AU2128" s="329"/>
      <c r="AV2128" s="341"/>
      <c r="AW2128" s="269"/>
      <c r="AX2128" s="334" t="s">
        <v>2869</v>
      </c>
      <c r="AY2128" s="270" t="s">
        <v>695</v>
      </c>
      <c r="AZ2128" s="173" t="s">
        <v>5516</v>
      </c>
      <c r="BA2128" s="265">
        <v>10.0</v>
      </c>
      <c r="BB2128" s="174" t="s">
        <v>245</v>
      </c>
      <c r="BC2128" s="341"/>
      <c r="BD2128" s="308"/>
      <c r="BE2128" s="342"/>
      <c r="BF2128" s="274" t="str">
        <f>IFERROR(__xludf.DUMMYFUNCTION("LOWER(Regexreplace(to_text(E2128),""[^A-Za-z0-9]"","""")&amp;""_""&amp;Regexreplace(to_text(F2128),""[^A-Za-z0-9]"",""""))"),"neptronic_evcbseries")</f>
        <v>neptronic_evcbseries</v>
      </c>
      <c r="BG2128" s="275" t="str">
        <f>IFERROR(__xludf.DUMMYFUNCTION("upper(Regexreplace(to_text(E2128),""[^A-Za-z0-9]"","""")&amp;""-""&amp;Regexreplace(to_text(F2128),""[^A-Za-z0-9]"",""""))"),"NEPTRONIC-EVCBSERIES")</f>
        <v>NEPTRONIC-EVCBSERIES</v>
      </c>
    </row>
    <row r="2129" ht="30.0" customHeight="1">
      <c r="A2129" s="173">
        <v>2121.0</v>
      </c>
      <c r="B2129" s="328" t="s">
        <v>670</v>
      </c>
      <c r="C2129" s="257" t="s">
        <v>7461</v>
      </c>
      <c r="D2129" s="173" t="s">
        <v>7461</v>
      </c>
      <c r="E2129" s="174" t="s">
        <v>2861</v>
      </c>
      <c r="F2129" s="173" t="s">
        <v>2862</v>
      </c>
      <c r="G2129" s="328" t="s">
        <v>673</v>
      </c>
      <c r="H2129" s="328" t="s">
        <v>2863</v>
      </c>
      <c r="I2129" s="258" t="s">
        <v>2864</v>
      </c>
      <c r="J2129" s="259"/>
      <c r="K2129" s="260"/>
      <c r="L2129" s="359"/>
      <c r="M2129" s="359"/>
      <c r="N2129" s="173" t="s">
        <v>679</v>
      </c>
      <c r="O2129" s="173"/>
      <c r="P2129" s="262" t="str">
        <f t="shared" si="1"/>
        <v>IN-BLR-ANANTA-VAV-1701_</v>
      </c>
      <c r="Q2129" s="173" t="s">
        <v>7462</v>
      </c>
      <c r="R2129" s="328" t="str">
        <f>IFS(C2129="","",C2129="n/a","N/A",LEN(C2129),Concatenate("{",char(34),"asset",char(34),":{",char(34),"guid",char(34),":",char(34),Q2129,char(34),",",char(34),"site",char(34),":",char(34),LOWER('2-Building'!$B$4),char(34),",",char(34),"name",char(34),":",char(34),LOWER(C2129),char(34),"}}"))</f>
        <v>{"asset":{"guid":"uuid://4d078b92-9af5-4e7f-9726-edafa3d74225","site":"in-blr-ananta","name":"vav-1701"}}</v>
      </c>
      <c r="S2129" s="360" t="s">
        <v>5516</v>
      </c>
      <c r="T2129" s="330"/>
      <c r="U2129" s="330"/>
      <c r="V2129" s="331"/>
      <c r="W2129" s="332"/>
      <c r="X2129" s="333"/>
      <c r="Y2129" s="33" t="s">
        <v>2867</v>
      </c>
      <c r="Z2129" s="258">
        <v>121701.0</v>
      </c>
      <c r="AA2129" s="333"/>
      <c r="AB2129" s="333"/>
      <c r="AC2129" s="333"/>
      <c r="AD2129" s="329"/>
      <c r="AE2129" s="331"/>
      <c r="AF2129" s="336"/>
      <c r="AG2129" s="337"/>
      <c r="AH2129" s="333"/>
      <c r="AI2129" s="333"/>
      <c r="AJ2129" s="333"/>
      <c r="AK2129" s="333"/>
      <c r="AL2129" s="333"/>
      <c r="AM2129" s="338"/>
      <c r="AN2129" s="333"/>
      <c r="AO2129" s="333"/>
      <c r="AP2129" s="333"/>
      <c r="AQ2129" s="333"/>
      <c r="AR2129" s="333"/>
      <c r="AS2129" s="333"/>
      <c r="AT2129" s="333"/>
      <c r="AU2129" s="329"/>
      <c r="AV2129" s="341"/>
      <c r="AW2129" s="269"/>
      <c r="AX2129" s="334" t="s">
        <v>2869</v>
      </c>
      <c r="AY2129" s="270" t="s">
        <v>695</v>
      </c>
      <c r="AZ2129" s="173" t="s">
        <v>5516</v>
      </c>
      <c r="BA2129" s="265">
        <v>10.0</v>
      </c>
      <c r="BB2129" s="174" t="s">
        <v>245</v>
      </c>
      <c r="BC2129" s="341"/>
      <c r="BD2129" s="308"/>
      <c r="BE2129" s="342"/>
      <c r="BF2129" s="274" t="str">
        <f>IFERROR(__xludf.DUMMYFUNCTION("LOWER(Regexreplace(to_text(E2129),""[^A-Za-z0-9]"","""")&amp;""_""&amp;Regexreplace(to_text(F2129),""[^A-Za-z0-9]"",""""))"),"neptronic_evcbseries")</f>
        <v>neptronic_evcbseries</v>
      </c>
      <c r="BG2129" s="275" t="str">
        <f>IFERROR(__xludf.DUMMYFUNCTION("upper(Regexreplace(to_text(E2129),""[^A-Za-z0-9]"","""")&amp;""-""&amp;Regexreplace(to_text(F2129),""[^A-Za-z0-9]"",""""))"),"NEPTRONIC-EVCBSERIES")</f>
        <v>NEPTRONIC-EVCBSERIES</v>
      </c>
    </row>
    <row r="2130" ht="30.0" customHeight="1">
      <c r="A2130" s="258">
        <v>2122.0</v>
      </c>
      <c r="B2130" s="328" t="s">
        <v>670</v>
      </c>
      <c r="C2130" s="257" t="s">
        <v>7463</v>
      </c>
      <c r="D2130" s="173" t="s">
        <v>7463</v>
      </c>
      <c r="E2130" s="174" t="s">
        <v>2861</v>
      </c>
      <c r="F2130" s="173" t="s">
        <v>2862</v>
      </c>
      <c r="G2130" s="328" t="s">
        <v>673</v>
      </c>
      <c r="H2130" s="328" t="s">
        <v>2863</v>
      </c>
      <c r="I2130" s="258" t="s">
        <v>2864</v>
      </c>
      <c r="J2130" s="259"/>
      <c r="K2130" s="260"/>
      <c r="L2130" s="359"/>
      <c r="M2130" s="359"/>
      <c r="N2130" s="173" t="s">
        <v>679</v>
      </c>
      <c r="O2130" s="173"/>
      <c r="P2130" s="262" t="str">
        <f t="shared" si="1"/>
        <v>IN-BLR-ANANTA-VAV-1702_</v>
      </c>
      <c r="Q2130" s="173" t="s">
        <v>7464</v>
      </c>
      <c r="R2130" s="328" t="str">
        <f>IFS(C2130="","",C2130="n/a","N/A",LEN(C2130),Concatenate("{",char(34),"asset",char(34),":{",char(34),"guid",char(34),":",char(34),Q2130,char(34),",",char(34),"site",char(34),":",char(34),LOWER('2-Building'!$B$4),char(34),",",char(34),"name",char(34),":",char(34),LOWER(C2130),char(34),"}}"))</f>
        <v>{"asset":{"guid":"uuid://99faa09b-0dc0-4672-9f06-08cefc28c972","site":"in-blr-ananta","name":"vav-1702"}}</v>
      </c>
      <c r="S2130" s="360" t="s">
        <v>5516</v>
      </c>
      <c r="T2130" s="330"/>
      <c r="U2130" s="330"/>
      <c r="V2130" s="331"/>
      <c r="W2130" s="332"/>
      <c r="X2130" s="333"/>
      <c r="Y2130" s="33" t="s">
        <v>2867</v>
      </c>
      <c r="Z2130" s="258">
        <v>121702.0</v>
      </c>
      <c r="AA2130" s="333"/>
      <c r="AB2130" s="333"/>
      <c r="AC2130" s="333"/>
      <c r="AD2130" s="329"/>
      <c r="AE2130" s="331"/>
      <c r="AF2130" s="336"/>
      <c r="AG2130" s="337"/>
      <c r="AH2130" s="333"/>
      <c r="AI2130" s="333"/>
      <c r="AJ2130" s="333"/>
      <c r="AK2130" s="333"/>
      <c r="AL2130" s="333"/>
      <c r="AM2130" s="338"/>
      <c r="AN2130" s="333"/>
      <c r="AO2130" s="333"/>
      <c r="AP2130" s="333"/>
      <c r="AQ2130" s="333"/>
      <c r="AR2130" s="333"/>
      <c r="AS2130" s="333"/>
      <c r="AT2130" s="333"/>
      <c r="AU2130" s="329"/>
      <c r="AV2130" s="341"/>
      <c r="AW2130" s="269"/>
      <c r="AX2130" s="334" t="s">
        <v>2869</v>
      </c>
      <c r="AY2130" s="270" t="s">
        <v>695</v>
      </c>
      <c r="AZ2130" s="173" t="s">
        <v>5516</v>
      </c>
      <c r="BA2130" s="265">
        <v>10.0</v>
      </c>
      <c r="BB2130" s="174" t="s">
        <v>245</v>
      </c>
      <c r="BC2130" s="341"/>
      <c r="BD2130" s="308"/>
      <c r="BE2130" s="342"/>
      <c r="BF2130" s="274" t="str">
        <f>IFERROR(__xludf.DUMMYFUNCTION("LOWER(Regexreplace(to_text(E2130),""[^A-Za-z0-9]"","""")&amp;""_""&amp;Regexreplace(to_text(F2130),""[^A-Za-z0-9]"",""""))"),"neptronic_evcbseries")</f>
        <v>neptronic_evcbseries</v>
      </c>
      <c r="BG2130" s="275" t="str">
        <f>IFERROR(__xludf.DUMMYFUNCTION("upper(Regexreplace(to_text(E2130),""[^A-Za-z0-9]"","""")&amp;""-""&amp;Regexreplace(to_text(F2130),""[^A-Za-z0-9]"",""""))"),"NEPTRONIC-EVCBSERIES")</f>
        <v>NEPTRONIC-EVCBSERIES</v>
      </c>
    </row>
    <row r="2131" ht="30.0" customHeight="1">
      <c r="A2131" s="173">
        <v>2123.0</v>
      </c>
      <c r="B2131" s="328" t="s">
        <v>670</v>
      </c>
      <c r="C2131" s="257" t="s">
        <v>7465</v>
      </c>
      <c r="D2131" s="173" t="s">
        <v>7465</v>
      </c>
      <c r="E2131" s="174" t="s">
        <v>2861</v>
      </c>
      <c r="F2131" s="173" t="s">
        <v>2862</v>
      </c>
      <c r="G2131" s="328" t="s">
        <v>673</v>
      </c>
      <c r="H2131" s="328" t="s">
        <v>2863</v>
      </c>
      <c r="I2131" s="258" t="s">
        <v>2864</v>
      </c>
      <c r="J2131" s="259"/>
      <c r="K2131" s="260"/>
      <c r="L2131" s="359"/>
      <c r="M2131" s="359"/>
      <c r="N2131" s="173" t="s">
        <v>679</v>
      </c>
      <c r="O2131" s="173"/>
      <c r="P2131" s="262" t="str">
        <f t="shared" si="1"/>
        <v>IN-BLR-ANANTA-VAV-1703_</v>
      </c>
      <c r="Q2131" s="173" t="s">
        <v>7466</v>
      </c>
      <c r="R2131" s="328" t="str">
        <f>IFS(C2131="","",C2131="n/a","N/A",LEN(C2131),Concatenate("{",char(34),"asset",char(34),":{",char(34),"guid",char(34),":",char(34),Q2131,char(34),",",char(34),"site",char(34),":",char(34),LOWER('2-Building'!$B$4),char(34),",",char(34),"name",char(34),":",char(34),LOWER(C2131),char(34),"}}"))</f>
        <v>{"asset":{"guid":"uuid://995f4040-abcb-4c65-950e-c3cf1b9fe000","site":"in-blr-ananta","name":"vav-1703"}}</v>
      </c>
      <c r="S2131" s="360" t="s">
        <v>5516</v>
      </c>
      <c r="T2131" s="330"/>
      <c r="U2131" s="330"/>
      <c r="V2131" s="331"/>
      <c r="W2131" s="332"/>
      <c r="X2131" s="333"/>
      <c r="Y2131" s="33" t="s">
        <v>2867</v>
      </c>
      <c r="Z2131" s="258">
        <v>121703.0</v>
      </c>
      <c r="AA2131" s="333"/>
      <c r="AB2131" s="333"/>
      <c r="AC2131" s="333"/>
      <c r="AD2131" s="329"/>
      <c r="AE2131" s="331"/>
      <c r="AF2131" s="336"/>
      <c r="AG2131" s="337"/>
      <c r="AH2131" s="333"/>
      <c r="AI2131" s="333"/>
      <c r="AJ2131" s="333"/>
      <c r="AK2131" s="333"/>
      <c r="AL2131" s="333"/>
      <c r="AM2131" s="338"/>
      <c r="AN2131" s="333"/>
      <c r="AO2131" s="333"/>
      <c r="AP2131" s="333"/>
      <c r="AQ2131" s="333"/>
      <c r="AR2131" s="333"/>
      <c r="AS2131" s="333"/>
      <c r="AT2131" s="333"/>
      <c r="AU2131" s="329"/>
      <c r="AV2131" s="341"/>
      <c r="AW2131" s="269"/>
      <c r="AX2131" s="334" t="s">
        <v>2869</v>
      </c>
      <c r="AY2131" s="270" t="s">
        <v>695</v>
      </c>
      <c r="AZ2131" s="173" t="s">
        <v>5516</v>
      </c>
      <c r="BA2131" s="265">
        <v>10.0</v>
      </c>
      <c r="BB2131" s="174" t="s">
        <v>245</v>
      </c>
      <c r="BC2131" s="341"/>
      <c r="BD2131" s="308"/>
      <c r="BE2131" s="342"/>
      <c r="BF2131" s="274" t="str">
        <f>IFERROR(__xludf.DUMMYFUNCTION("LOWER(Regexreplace(to_text(E2131),""[^A-Za-z0-9]"","""")&amp;""_""&amp;Regexreplace(to_text(F2131),""[^A-Za-z0-9]"",""""))"),"neptronic_evcbseries")</f>
        <v>neptronic_evcbseries</v>
      </c>
      <c r="BG2131" s="275" t="str">
        <f>IFERROR(__xludf.DUMMYFUNCTION("upper(Regexreplace(to_text(E2131),""[^A-Za-z0-9]"","""")&amp;""-""&amp;Regexreplace(to_text(F2131),""[^A-Za-z0-9]"",""""))"),"NEPTRONIC-EVCBSERIES")</f>
        <v>NEPTRONIC-EVCBSERIES</v>
      </c>
    </row>
    <row r="2132" ht="30.0" customHeight="1">
      <c r="A2132" s="258">
        <v>2124.0</v>
      </c>
      <c r="B2132" s="328" t="s">
        <v>670</v>
      </c>
      <c r="C2132" s="257" t="s">
        <v>7467</v>
      </c>
      <c r="D2132" s="173" t="s">
        <v>7467</v>
      </c>
      <c r="E2132" s="174" t="s">
        <v>2861</v>
      </c>
      <c r="F2132" s="173" t="s">
        <v>2862</v>
      </c>
      <c r="G2132" s="328" t="s">
        <v>673</v>
      </c>
      <c r="H2132" s="328" t="s">
        <v>2863</v>
      </c>
      <c r="I2132" s="258" t="s">
        <v>2864</v>
      </c>
      <c r="J2132" s="259"/>
      <c r="K2132" s="260"/>
      <c r="L2132" s="359"/>
      <c r="M2132" s="359"/>
      <c r="N2132" s="173" t="s">
        <v>679</v>
      </c>
      <c r="O2132" s="173"/>
      <c r="P2132" s="262" t="str">
        <f t="shared" si="1"/>
        <v>IN-BLR-ANANTA-VAV-1704_</v>
      </c>
      <c r="Q2132" s="173" t="s">
        <v>7468</v>
      </c>
      <c r="R2132" s="328" t="str">
        <f>IFS(C2132="","",C2132="n/a","N/A",LEN(C2132),Concatenate("{",char(34),"asset",char(34),":{",char(34),"guid",char(34),":",char(34),Q2132,char(34),",",char(34),"site",char(34),":",char(34),LOWER('2-Building'!$B$4),char(34),",",char(34),"name",char(34),":",char(34),LOWER(C2132),char(34),"}}"))</f>
        <v>{"asset":{"guid":"uuid://7772504f-18e7-45d8-91be-03f5388e4b1b","site":"in-blr-ananta","name":"vav-1704"}}</v>
      </c>
      <c r="S2132" s="360" t="s">
        <v>5516</v>
      </c>
      <c r="T2132" s="330"/>
      <c r="U2132" s="330"/>
      <c r="V2132" s="331"/>
      <c r="W2132" s="332"/>
      <c r="X2132" s="333"/>
      <c r="Y2132" s="33" t="s">
        <v>2867</v>
      </c>
      <c r="Z2132" s="258">
        <v>121704.0</v>
      </c>
      <c r="AA2132" s="333"/>
      <c r="AB2132" s="333"/>
      <c r="AC2132" s="333"/>
      <c r="AD2132" s="329"/>
      <c r="AE2132" s="331"/>
      <c r="AF2132" s="336"/>
      <c r="AG2132" s="337"/>
      <c r="AH2132" s="333"/>
      <c r="AI2132" s="333"/>
      <c r="AJ2132" s="333"/>
      <c r="AK2132" s="333"/>
      <c r="AL2132" s="333"/>
      <c r="AM2132" s="338"/>
      <c r="AN2132" s="333"/>
      <c r="AO2132" s="333"/>
      <c r="AP2132" s="333"/>
      <c r="AQ2132" s="333"/>
      <c r="AR2132" s="333"/>
      <c r="AS2132" s="333"/>
      <c r="AT2132" s="333"/>
      <c r="AU2132" s="329"/>
      <c r="AV2132" s="341"/>
      <c r="AW2132" s="269"/>
      <c r="AX2132" s="334" t="s">
        <v>2869</v>
      </c>
      <c r="AY2132" s="270" t="s">
        <v>695</v>
      </c>
      <c r="AZ2132" s="173" t="s">
        <v>5516</v>
      </c>
      <c r="BA2132" s="265">
        <v>10.0</v>
      </c>
      <c r="BB2132" s="174" t="s">
        <v>245</v>
      </c>
      <c r="BC2132" s="341"/>
      <c r="BD2132" s="308"/>
      <c r="BE2132" s="342"/>
      <c r="BF2132" s="274" t="str">
        <f>IFERROR(__xludf.DUMMYFUNCTION("LOWER(Regexreplace(to_text(E2132),""[^A-Za-z0-9]"","""")&amp;""_""&amp;Regexreplace(to_text(F2132),""[^A-Za-z0-9]"",""""))"),"neptronic_evcbseries")</f>
        <v>neptronic_evcbseries</v>
      </c>
      <c r="BG2132" s="275" t="str">
        <f>IFERROR(__xludf.DUMMYFUNCTION("upper(Regexreplace(to_text(E2132),""[^A-Za-z0-9]"","""")&amp;""-""&amp;Regexreplace(to_text(F2132),""[^A-Za-z0-9]"",""""))"),"NEPTRONIC-EVCBSERIES")</f>
        <v>NEPTRONIC-EVCBSERIES</v>
      </c>
    </row>
    <row r="2133" ht="30.0" customHeight="1">
      <c r="A2133" s="173">
        <v>2125.0</v>
      </c>
      <c r="B2133" s="328" t="s">
        <v>670</v>
      </c>
      <c r="C2133" s="257" t="s">
        <v>7469</v>
      </c>
      <c r="D2133" s="173" t="s">
        <v>7469</v>
      </c>
      <c r="E2133" s="174" t="s">
        <v>2861</v>
      </c>
      <c r="F2133" s="173" t="s">
        <v>2862</v>
      </c>
      <c r="G2133" s="328" t="s">
        <v>673</v>
      </c>
      <c r="H2133" s="328" t="s">
        <v>2863</v>
      </c>
      <c r="I2133" s="258" t="s">
        <v>2864</v>
      </c>
      <c r="J2133" s="259"/>
      <c r="K2133" s="260"/>
      <c r="L2133" s="359"/>
      <c r="M2133" s="359"/>
      <c r="N2133" s="173" t="s">
        <v>679</v>
      </c>
      <c r="O2133" s="173"/>
      <c r="P2133" s="262" t="str">
        <f t="shared" si="1"/>
        <v>IN-BLR-ANANTA-VAV-1705_</v>
      </c>
      <c r="Q2133" s="173" t="s">
        <v>7470</v>
      </c>
      <c r="R2133" s="328" t="str">
        <f>IFS(C2133="","",C2133="n/a","N/A",LEN(C2133),Concatenate("{",char(34),"asset",char(34),":{",char(34),"guid",char(34),":",char(34),Q2133,char(34),",",char(34),"site",char(34),":",char(34),LOWER('2-Building'!$B$4),char(34),",",char(34),"name",char(34),":",char(34),LOWER(C2133),char(34),"}}"))</f>
        <v>{"asset":{"guid":"uuid://598d017a-397b-4bfb-8376-542ec3d1e72c","site":"in-blr-ananta","name":"vav-1705"}}</v>
      </c>
      <c r="S2133" s="360" t="s">
        <v>5516</v>
      </c>
      <c r="T2133" s="330"/>
      <c r="U2133" s="330"/>
      <c r="V2133" s="331"/>
      <c r="W2133" s="332"/>
      <c r="X2133" s="333"/>
      <c r="Y2133" s="33" t="s">
        <v>2867</v>
      </c>
      <c r="Z2133" s="258">
        <v>121705.0</v>
      </c>
      <c r="AA2133" s="333"/>
      <c r="AB2133" s="333"/>
      <c r="AC2133" s="333"/>
      <c r="AD2133" s="329"/>
      <c r="AE2133" s="331"/>
      <c r="AF2133" s="336"/>
      <c r="AG2133" s="337"/>
      <c r="AH2133" s="333"/>
      <c r="AI2133" s="333"/>
      <c r="AJ2133" s="333"/>
      <c r="AK2133" s="333"/>
      <c r="AL2133" s="333"/>
      <c r="AM2133" s="338"/>
      <c r="AN2133" s="333"/>
      <c r="AO2133" s="333"/>
      <c r="AP2133" s="333"/>
      <c r="AQ2133" s="333"/>
      <c r="AR2133" s="333"/>
      <c r="AS2133" s="333"/>
      <c r="AT2133" s="333"/>
      <c r="AU2133" s="329"/>
      <c r="AV2133" s="341"/>
      <c r="AW2133" s="269"/>
      <c r="AX2133" s="334" t="s">
        <v>2869</v>
      </c>
      <c r="AY2133" s="270" t="s">
        <v>695</v>
      </c>
      <c r="AZ2133" s="173" t="s">
        <v>5516</v>
      </c>
      <c r="BA2133" s="265">
        <v>10.0</v>
      </c>
      <c r="BB2133" s="174" t="s">
        <v>245</v>
      </c>
      <c r="BC2133" s="341"/>
      <c r="BD2133" s="308"/>
      <c r="BE2133" s="342"/>
      <c r="BF2133" s="274" t="str">
        <f>IFERROR(__xludf.DUMMYFUNCTION("LOWER(Regexreplace(to_text(E2133),""[^A-Za-z0-9]"","""")&amp;""_""&amp;Regexreplace(to_text(F2133),""[^A-Za-z0-9]"",""""))"),"neptronic_evcbseries")</f>
        <v>neptronic_evcbseries</v>
      </c>
      <c r="BG2133" s="275" t="str">
        <f>IFERROR(__xludf.DUMMYFUNCTION("upper(Regexreplace(to_text(E2133),""[^A-Za-z0-9]"","""")&amp;""-""&amp;Regexreplace(to_text(F2133),""[^A-Za-z0-9]"",""""))"),"NEPTRONIC-EVCBSERIES")</f>
        <v>NEPTRONIC-EVCBSERIES</v>
      </c>
    </row>
    <row r="2134" ht="30.0" customHeight="1">
      <c r="A2134" s="258">
        <v>2126.0</v>
      </c>
      <c r="B2134" s="328" t="s">
        <v>670</v>
      </c>
      <c r="C2134" s="257" t="s">
        <v>7471</v>
      </c>
      <c r="D2134" s="173" t="s">
        <v>7471</v>
      </c>
      <c r="E2134" s="174" t="s">
        <v>2861</v>
      </c>
      <c r="F2134" s="173" t="s">
        <v>2862</v>
      </c>
      <c r="G2134" s="328" t="s">
        <v>673</v>
      </c>
      <c r="H2134" s="328" t="s">
        <v>2863</v>
      </c>
      <c r="I2134" s="258" t="s">
        <v>2864</v>
      </c>
      <c r="J2134" s="259"/>
      <c r="K2134" s="260"/>
      <c r="L2134" s="359"/>
      <c r="M2134" s="359"/>
      <c r="N2134" s="173" t="s">
        <v>679</v>
      </c>
      <c r="O2134" s="173"/>
      <c r="P2134" s="262" t="str">
        <f t="shared" si="1"/>
        <v>IN-BLR-ANANTA-VAV-1706_</v>
      </c>
      <c r="Q2134" s="173" t="s">
        <v>7472</v>
      </c>
      <c r="R2134" s="328" t="str">
        <f>IFS(C2134="","",C2134="n/a","N/A",LEN(C2134),Concatenate("{",char(34),"asset",char(34),":{",char(34),"guid",char(34),":",char(34),Q2134,char(34),",",char(34),"site",char(34),":",char(34),LOWER('2-Building'!$B$4),char(34),",",char(34),"name",char(34),":",char(34),LOWER(C2134),char(34),"}}"))</f>
        <v>{"asset":{"guid":"uuid://f20bdaf1-6d06-4881-88a0-165a516d290f","site":"in-blr-ananta","name":"vav-1706"}}</v>
      </c>
      <c r="S2134" s="360" t="s">
        <v>5516</v>
      </c>
      <c r="T2134" s="330"/>
      <c r="U2134" s="330"/>
      <c r="V2134" s="331"/>
      <c r="W2134" s="332"/>
      <c r="X2134" s="333"/>
      <c r="Y2134" s="33" t="s">
        <v>2867</v>
      </c>
      <c r="Z2134" s="258">
        <v>121706.0</v>
      </c>
      <c r="AA2134" s="333"/>
      <c r="AB2134" s="333"/>
      <c r="AC2134" s="333"/>
      <c r="AD2134" s="329"/>
      <c r="AE2134" s="331"/>
      <c r="AF2134" s="336"/>
      <c r="AG2134" s="337"/>
      <c r="AH2134" s="333"/>
      <c r="AI2134" s="333"/>
      <c r="AJ2134" s="333"/>
      <c r="AK2134" s="333"/>
      <c r="AL2134" s="333"/>
      <c r="AM2134" s="338"/>
      <c r="AN2134" s="333"/>
      <c r="AO2134" s="333"/>
      <c r="AP2134" s="333"/>
      <c r="AQ2134" s="333"/>
      <c r="AR2134" s="333"/>
      <c r="AS2134" s="333"/>
      <c r="AT2134" s="333"/>
      <c r="AU2134" s="329"/>
      <c r="AV2134" s="341"/>
      <c r="AW2134" s="269"/>
      <c r="AX2134" s="334" t="s">
        <v>2869</v>
      </c>
      <c r="AY2134" s="270" t="s">
        <v>695</v>
      </c>
      <c r="AZ2134" s="173" t="s">
        <v>5516</v>
      </c>
      <c r="BA2134" s="265">
        <v>10.0</v>
      </c>
      <c r="BB2134" s="174" t="s">
        <v>245</v>
      </c>
      <c r="BC2134" s="341"/>
      <c r="BD2134" s="308"/>
      <c r="BE2134" s="342"/>
      <c r="BF2134" s="274" t="str">
        <f>IFERROR(__xludf.DUMMYFUNCTION("LOWER(Regexreplace(to_text(E2134),""[^A-Za-z0-9]"","""")&amp;""_""&amp;Regexreplace(to_text(F2134),""[^A-Za-z0-9]"",""""))"),"neptronic_evcbseries")</f>
        <v>neptronic_evcbseries</v>
      </c>
      <c r="BG2134" s="275" t="str">
        <f>IFERROR(__xludf.DUMMYFUNCTION("upper(Regexreplace(to_text(E2134),""[^A-Za-z0-9]"","""")&amp;""-""&amp;Regexreplace(to_text(F2134),""[^A-Za-z0-9]"",""""))"),"NEPTRONIC-EVCBSERIES")</f>
        <v>NEPTRONIC-EVCBSERIES</v>
      </c>
    </row>
    <row r="2135" ht="30.0" customHeight="1">
      <c r="A2135" s="173">
        <v>2127.0</v>
      </c>
      <c r="B2135" s="328" t="s">
        <v>670</v>
      </c>
      <c r="C2135" s="257" t="s">
        <v>7473</v>
      </c>
      <c r="D2135" s="173" t="s">
        <v>7473</v>
      </c>
      <c r="E2135" s="174" t="s">
        <v>2861</v>
      </c>
      <c r="F2135" s="173" t="s">
        <v>2862</v>
      </c>
      <c r="G2135" s="328" t="s">
        <v>673</v>
      </c>
      <c r="H2135" s="328" t="s">
        <v>2863</v>
      </c>
      <c r="I2135" s="258" t="s">
        <v>2864</v>
      </c>
      <c r="J2135" s="259"/>
      <c r="K2135" s="260"/>
      <c r="L2135" s="359"/>
      <c r="M2135" s="359"/>
      <c r="N2135" s="173" t="s">
        <v>679</v>
      </c>
      <c r="O2135" s="173"/>
      <c r="P2135" s="262" t="str">
        <f t="shared" si="1"/>
        <v>IN-BLR-ANANTA-VAV-1707_</v>
      </c>
      <c r="Q2135" s="173" t="s">
        <v>7474</v>
      </c>
      <c r="R2135" s="328" t="str">
        <f>IFS(C2135="","",C2135="n/a","N/A",LEN(C2135),Concatenate("{",char(34),"asset",char(34),":{",char(34),"guid",char(34),":",char(34),Q2135,char(34),",",char(34),"site",char(34),":",char(34),LOWER('2-Building'!$B$4),char(34),",",char(34),"name",char(34),":",char(34),LOWER(C2135),char(34),"}}"))</f>
        <v>{"asset":{"guid":"uuid://a6e69845-1cca-41b5-8bcd-c16adf463dda","site":"in-blr-ananta","name":"vav-1707"}}</v>
      </c>
      <c r="S2135" s="360" t="s">
        <v>5516</v>
      </c>
      <c r="T2135" s="330"/>
      <c r="U2135" s="330"/>
      <c r="V2135" s="331"/>
      <c r="W2135" s="332"/>
      <c r="X2135" s="333"/>
      <c r="Y2135" s="33" t="s">
        <v>2867</v>
      </c>
      <c r="Z2135" s="258">
        <v>121707.0</v>
      </c>
      <c r="AA2135" s="333"/>
      <c r="AB2135" s="333"/>
      <c r="AC2135" s="333"/>
      <c r="AD2135" s="329"/>
      <c r="AE2135" s="331"/>
      <c r="AF2135" s="336"/>
      <c r="AG2135" s="337"/>
      <c r="AH2135" s="333"/>
      <c r="AI2135" s="333"/>
      <c r="AJ2135" s="333"/>
      <c r="AK2135" s="333"/>
      <c r="AL2135" s="333"/>
      <c r="AM2135" s="338"/>
      <c r="AN2135" s="333"/>
      <c r="AO2135" s="333"/>
      <c r="AP2135" s="333"/>
      <c r="AQ2135" s="333"/>
      <c r="AR2135" s="333"/>
      <c r="AS2135" s="333"/>
      <c r="AT2135" s="333"/>
      <c r="AU2135" s="329"/>
      <c r="AV2135" s="341"/>
      <c r="AW2135" s="269"/>
      <c r="AX2135" s="334" t="s">
        <v>2869</v>
      </c>
      <c r="AY2135" s="270" t="s">
        <v>695</v>
      </c>
      <c r="AZ2135" s="173" t="s">
        <v>5516</v>
      </c>
      <c r="BA2135" s="265">
        <v>10.0</v>
      </c>
      <c r="BB2135" s="174" t="s">
        <v>245</v>
      </c>
      <c r="BC2135" s="341"/>
      <c r="BD2135" s="308"/>
      <c r="BE2135" s="342"/>
      <c r="BF2135" s="274" t="str">
        <f>IFERROR(__xludf.DUMMYFUNCTION("LOWER(Regexreplace(to_text(E2135),""[^A-Za-z0-9]"","""")&amp;""_""&amp;Regexreplace(to_text(F2135),""[^A-Za-z0-9]"",""""))"),"neptronic_evcbseries")</f>
        <v>neptronic_evcbseries</v>
      </c>
      <c r="BG2135" s="275" t="str">
        <f>IFERROR(__xludf.DUMMYFUNCTION("upper(Regexreplace(to_text(E2135),""[^A-Za-z0-9]"","""")&amp;""-""&amp;Regexreplace(to_text(F2135),""[^A-Za-z0-9]"",""""))"),"NEPTRONIC-EVCBSERIES")</f>
        <v>NEPTRONIC-EVCBSERIES</v>
      </c>
    </row>
    <row r="2136" ht="30.0" customHeight="1">
      <c r="A2136" s="258">
        <v>2128.0</v>
      </c>
      <c r="B2136" s="328" t="s">
        <v>670</v>
      </c>
      <c r="C2136" s="257" t="s">
        <v>7475</v>
      </c>
      <c r="D2136" s="173" t="s">
        <v>7475</v>
      </c>
      <c r="E2136" s="174" t="s">
        <v>2861</v>
      </c>
      <c r="F2136" s="173" t="s">
        <v>2862</v>
      </c>
      <c r="G2136" s="328" t="s">
        <v>673</v>
      </c>
      <c r="H2136" s="328" t="s">
        <v>2863</v>
      </c>
      <c r="I2136" s="258" t="s">
        <v>2864</v>
      </c>
      <c r="J2136" s="259"/>
      <c r="K2136" s="260"/>
      <c r="L2136" s="359"/>
      <c r="M2136" s="359"/>
      <c r="N2136" s="173" t="s">
        <v>679</v>
      </c>
      <c r="O2136" s="173"/>
      <c r="P2136" s="262" t="str">
        <f t="shared" si="1"/>
        <v>IN-BLR-ANANTA-VAV-1708_</v>
      </c>
      <c r="Q2136" s="173" t="s">
        <v>7476</v>
      </c>
      <c r="R2136" s="328" t="str">
        <f>IFS(C2136="","",C2136="n/a","N/A",LEN(C2136),Concatenate("{",char(34),"asset",char(34),":{",char(34),"guid",char(34),":",char(34),Q2136,char(34),",",char(34),"site",char(34),":",char(34),LOWER('2-Building'!$B$4),char(34),",",char(34),"name",char(34),":",char(34),LOWER(C2136),char(34),"}}"))</f>
        <v>{"asset":{"guid":"uuid://3db580ee-5620-4cf4-893d-3f2fca961da5","site":"in-blr-ananta","name":"vav-1708"}}</v>
      </c>
      <c r="S2136" s="360" t="s">
        <v>5516</v>
      </c>
      <c r="T2136" s="330"/>
      <c r="U2136" s="330"/>
      <c r="V2136" s="331"/>
      <c r="W2136" s="332"/>
      <c r="X2136" s="333"/>
      <c r="Y2136" s="33" t="s">
        <v>2867</v>
      </c>
      <c r="Z2136" s="258">
        <v>121708.0</v>
      </c>
      <c r="AA2136" s="333"/>
      <c r="AB2136" s="333"/>
      <c r="AC2136" s="333"/>
      <c r="AD2136" s="329"/>
      <c r="AE2136" s="331"/>
      <c r="AF2136" s="336"/>
      <c r="AG2136" s="337"/>
      <c r="AH2136" s="333"/>
      <c r="AI2136" s="333"/>
      <c r="AJ2136" s="333"/>
      <c r="AK2136" s="333"/>
      <c r="AL2136" s="333"/>
      <c r="AM2136" s="338"/>
      <c r="AN2136" s="333"/>
      <c r="AO2136" s="333"/>
      <c r="AP2136" s="333"/>
      <c r="AQ2136" s="333"/>
      <c r="AR2136" s="333"/>
      <c r="AS2136" s="333"/>
      <c r="AT2136" s="333"/>
      <c r="AU2136" s="329"/>
      <c r="AV2136" s="341"/>
      <c r="AW2136" s="269"/>
      <c r="AX2136" s="334" t="s">
        <v>2869</v>
      </c>
      <c r="AY2136" s="270" t="s">
        <v>695</v>
      </c>
      <c r="AZ2136" s="173" t="s">
        <v>5516</v>
      </c>
      <c r="BA2136" s="265">
        <v>10.0</v>
      </c>
      <c r="BB2136" s="174" t="s">
        <v>245</v>
      </c>
      <c r="BC2136" s="341"/>
      <c r="BD2136" s="308"/>
      <c r="BE2136" s="342"/>
      <c r="BF2136" s="274" t="str">
        <f>IFERROR(__xludf.DUMMYFUNCTION("LOWER(Regexreplace(to_text(E2136),""[^A-Za-z0-9]"","""")&amp;""_""&amp;Regexreplace(to_text(F2136),""[^A-Za-z0-9]"",""""))"),"neptronic_evcbseries")</f>
        <v>neptronic_evcbseries</v>
      </c>
      <c r="BG2136" s="275" t="str">
        <f>IFERROR(__xludf.DUMMYFUNCTION("upper(Regexreplace(to_text(E2136),""[^A-Za-z0-9]"","""")&amp;""-""&amp;Regexreplace(to_text(F2136),""[^A-Za-z0-9]"",""""))"),"NEPTRONIC-EVCBSERIES")</f>
        <v>NEPTRONIC-EVCBSERIES</v>
      </c>
    </row>
    <row r="2137" ht="30.0" customHeight="1">
      <c r="A2137" s="173">
        <v>2129.0</v>
      </c>
      <c r="B2137" s="328" t="s">
        <v>670</v>
      </c>
      <c r="C2137" s="257" t="s">
        <v>7477</v>
      </c>
      <c r="D2137" s="173" t="s">
        <v>7477</v>
      </c>
      <c r="E2137" s="174" t="s">
        <v>2861</v>
      </c>
      <c r="F2137" s="173" t="s">
        <v>2862</v>
      </c>
      <c r="G2137" s="328" t="s">
        <v>673</v>
      </c>
      <c r="H2137" s="328" t="s">
        <v>2863</v>
      </c>
      <c r="I2137" s="258" t="s">
        <v>2864</v>
      </c>
      <c r="J2137" s="259"/>
      <c r="K2137" s="260"/>
      <c r="L2137" s="359"/>
      <c r="M2137" s="359"/>
      <c r="N2137" s="173" t="s">
        <v>679</v>
      </c>
      <c r="O2137" s="173"/>
      <c r="P2137" s="262" t="str">
        <f t="shared" si="1"/>
        <v>IN-BLR-ANANTA-VAV-1709_</v>
      </c>
      <c r="Q2137" s="173" t="s">
        <v>7478</v>
      </c>
      <c r="R2137" s="328" t="str">
        <f>IFS(C2137="","",C2137="n/a","N/A",LEN(C2137),Concatenate("{",char(34),"asset",char(34),":{",char(34),"guid",char(34),":",char(34),Q2137,char(34),",",char(34),"site",char(34),":",char(34),LOWER('2-Building'!$B$4),char(34),",",char(34),"name",char(34),":",char(34),LOWER(C2137),char(34),"}}"))</f>
        <v>{"asset":{"guid":"uuid://97bc8502-b24d-4849-9820-e1177cb2b7d0","site":"in-blr-ananta","name":"vav-1709"}}</v>
      </c>
      <c r="S2137" s="360" t="s">
        <v>5516</v>
      </c>
      <c r="T2137" s="330"/>
      <c r="U2137" s="330"/>
      <c r="V2137" s="331"/>
      <c r="W2137" s="332"/>
      <c r="X2137" s="333"/>
      <c r="Y2137" s="33" t="s">
        <v>2867</v>
      </c>
      <c r="Z2137" s="258">
        <v>121709.0</v>
      </c>
      <c r="AA2137" s="333"/>
      <c r="AB2137" s="333"/>
      <c r="AC2137" s="333"/>
      <c r="AD2137" s="329"/>
      <c r="AE2137" s="331"/>
      <c r="AF2137" s="336"/>
      <c r="AG2137" s="337"/>
      <c r="AH2137" s="333"/>
      <c r="AI2137" s="333"/>
      <c r="AJ2137" s="333"/>
      <c r="AK2137" s="333"/>
      <c r="AL2137" s="333"/>
      <c r="AM2137" s="338"/>
      <c r="AN2137" s="333"/>
      <c r="AO2137" s="333"/>
      <c r="AP2137" s="333"/>
      <c r="AQ2137" s="333"/>
      <c r="AR2137" s="333"/>
      <c r="AS2137" s="333"/>
      <c r="AT2137" s="333"/>
      <c r="AU2137" s="329"/>
      <c r="AV2137" s="341"/>
      <c r="AW2137" s="269"/>
      <c r="AX2137" s="334" t="s">
        <v>2869</v>
      </c>
      <c r="AY2137" s="270" t="s">
        <v>695</v>
      </c>
      <c r="AZ2137" s="173" t="s">
        <v>5516</v>
      </c>
      <c r="BA2137" s="265">
        <v>10.0</v>
      </c>
      <c r="BB2137" s="174" t="s">
        <v>245</v>
      </c>
      <c r="BC2137" s="341"/>
      <c r="BD2137" s="308"/>
      <c r="BE2137" s="342"/>
      <c r="BF2137" s="274" t="str">
        <f>IFERROR(__xludf.DUMMYFUNCTION("LOWER(Regexreplace(to_text(E2137),""[^A-Za-z0-9]"","""")&amp;""_""&amp;Regexreplace(to_text(F2137),""[^A-Za-z0-9]"",""""))"),"neptronic_evcbseries")</f>
        <v>neptronic_evcbseries</v>
      </c>
      <c r="BG2137" s="275" t="str">
        <f>IFERROR(__xludf.DUMMYFUNCTION("upper(Regexreplace(to_text(E2137),""[^A-Za-z0-9]"","""")&amp;""-""&amp;Regexreplace(to_text(F2137),""[^A-Za-z0-9]"",""""))"),"NEPTRONIC-EVCBSERIES")</f>
        <v>NEPTRONIC-EVCBSERIES</v>
      </c>
    </row>
    <row r="2138" ht="30.0" customHeight="1">
      <c r="A2138" s="258">
        <v>2130.0</v>
      </c>
      <c r="B2138" s="328" t="s">
        <v>670</v>
      </c>
      <c r="C2138" s="257" t="s">
        <v>7479</v>
      </c>
      <c r="D2138" s="173" t="s">
        <v>7479</v>
      </c>
      <c r="E2138" s="174" t="s">
        <v>2861</v>
      </c>
      <c r="F2138" s="173" t="s">
        <v>2862</v>
      </c>
      <c r="G2138" s="328" t="s">
        <v>673</v>
      </c>
      <c r="H2138" s="328" t="s">
        <v>2863</v>
      </c>
      <c r="I2138" s="258" t="s">
        <v>2864</v>
      </c>
      <c r="J2138" s="259"/>
      <c r="K2138" s="260"/>
      <c r="L2138" s="359"/>
      <c r="M2138" s="359"/>
      <c r="N2138" s="173" t="s">
        <v>679</v>
      </c>
      <c r="O2138" s="173"/>
      <c r="P2138" s="262" t="str">
        <f t="shared" si="1"/>
        <v>IN-BLR-ANANTA-VAV-1710_</v>
      </c>
      <c r="Q2138" s="173" t="s">
        <v>7480</v>
      </c>
      <c r="R2138" s="328" t="str">
        <f>IFS(C2138="","",C2138="n/a","N/A",LEN(C2138),Concatenate("{",char(34),"asset",char(34),":{",char(34),"guid",char(34),":",char(34),Q2138,char(34),",",char(34),"site",char(34),":",char(34),LOWER('2-Building'!$B$4),char(34),",",char(34),"name",char(34),":",char(34),LOWER(C2138),char(34),"}}"))</f>
        <v>{"asset":{"guid":"uuid://7a3b2798-e7e5-4fd4-a403-8037c5bca193","site":"in-blr-ananta","name":"vav-1710"}}</v>
      </c>
      <c r="S2138" s="360" t="s">
        <v>5516</v>
      </c>
      <c r="T2138" s="330"/>
      <c r="U2138" s="330"/>
      <c r="V2138" s="331"/>
      <c r="W2138" s="332"/>
      <c r="X2138" s="333"/>
      <c r="Y2138" s="33" t="s">
        <v>2867</v>
      </c>
      <c r="Z2138" s="258">
        <v>121710.0</v>
      </c>
      <c r="AA2138" s="333"/>
      <c r="AB2138" s="333"/>
      <c r="AC2138" s="333"/>
      <c r="AD2138" s="329"/>
      <c r="AE2138" s="331"/>
      <c r="AF2138" s="336"/>
      <c r="AG2138" s="337"/>
      <c r="AH2138" s="333"/>
      <c r="AI2138" s="333"/>
      <c r="AJ2138" s="333"/>
      <c r="AK2138" s="333"/>
      <c r="AL2138" s="333"/>
      <c r="AM2138" s="338"/>
      <c r="AN2138" s="333"/>
      <c r="AO2138" s="333"/>
      <c r="AP2138" s="333"/>
      <c r="AQ2138" s="333"/>
      <c r="AR2138" s="333"/>
      <c r="AS2138" s="333"/>
      <c r="AT2138" s="333"/>
      <c r="AU2138" s="329"/>
      <c r="AV2138" s="341"/>
      <c r="AW2138" s="269"/>
      <c r="AX2138" s="334" t="s">
        <v>2869</v>
      </c>
      <c r="AY2138" s="270" t="s">
        <v>695</v>
      </c>
      <c r="AZ2138" s="173" t="s">
        <v>5516</v>
      </c>
      <c r="BA2138" s="265">
        <v>10.0</v>
      </c>
      <c r="BB2138" s="174" t="s">
        <v>245</v>
      </c>
      <c r="BC2138" s="341"/>
      <c r="BD2138" s="308"/>
      <c r="BE2138" s="342"/>
      <c r="BF2138" s="274" t="str">
        <f>IFERROR(__xludf.DUMMYFUNCTION("LOWER(Regexreplace(to_text(E2138),""[^A-Za-z0-9]"","""")&amp;""_""&amp;Regexreplace(to_text(F2138),""[^A-Za-z0-9]"",""""))"),"neptronic_evcbseries")</f>
        <v>neptronic_evcbseries</v>
      </c>
      <c r="BG2138" s="275" t="str">
        <f>IFERROR(__xludf.DUMMYFUNCTION("upper(Regexreplace(to_text(E2138),""[^A-Za-z0-9]"","""")&amp;""-""&amp;Regexreplace(to_text(F2138),""[^A-Za-z0-9]"",""""))"),"NEPTRONIC-EVCBSERIES")</f>
        <v>NEPTRONIC-EVCBSERIES</v>
      </c>
    </row>
    <row r="2139" ht="30.0" customHeight="1">
      <c r="A2139" s="173">
        <v>2131.0</v>
      </c>
      <c r="B2139" s="328" t="s">
        <v>670</v>
      </c>
      <c r="C2139" s="257" t="s">
        <v>7481</v>
      </c>
      <c r="D2139" s="173" t="s">
        <v>7481</v>
      </c>
      <c r="E2139" s="174" t="s">
        <v>2861</v>
      </c>
      <c r="F2139" s="173" t="s">
        <v>2862</v>
      </c>
      <c r="G2139" s="328" t="s">
        <v>673</v>
      </c>
      <c r="H2139" s="328" t="s">
        <v>2863</v>
      </c>
      <c r="I2139" s="258" t="s">
        <v>2864</v>
      </c>
      <c r="J2139" s="259"/>
      <c r="K2139" s="260"/>
      <c r="L2139" s="359"/>
      <c r="M2139" s="359"/>
      <c r="N2139" s="173" t="s">
        <v>679</v>
      </c>
      <c r="O2139" s="173"/>
      <c r="P2139" s="262" t="str">
        <f t="shared" si="1"/>
        <v>IN-BLR-ANANTA-VAV-1711_</v>
      </c>
      <c r="Q2139" s="173" t="s">
        <v>7482</v>
      </c>
      <c r="R2139" s="328" t="str">
        <f>IFS(C2139="","",C2139="n/a","N/A",LEN(C2139),Concatenate("{",char(34),"asset",char(34),":{",char(34),"guid",char(34),":",char(34),Q2139,char(34),",",char(34),"site",char(34),":",char(34),LOWER('2-Building'!$B$4),char(34),",",char(34),"name",char(34),":",char(34),LOWER(C2139),char(34),"}}"))</f>
        <v>{"asset":{"guid":"uuid://4d3cee97-0919-467b-800d-640a8e206dba","site":"in-blr-ananta","name":"vav-1711"}}</v>
      </c>
      <c r="S2139" s="360" t="s">
        <v>5516</v>
      </c>
      <c r="T2139" s="330"/>
      <c r="U2139" s="330"/>
      <c r="V2139" s="331"/>
      <c r="W2139" s="332"/>
      <c r="X2139" s="333"/>
      <c r="Y2139" s="33" t="s">
        <v>2867</v>
      </c>
      <c r="Z2139" s="258">
        <v>121711.0</v>
      </c>
      <c r="AA2139" s="333"/>
      <c r="AB2139" s="333"/>
      <c r="AC2139" s="333"/>
      <c r="AD2139" s="329"/>
      <c r="AE2139" s="331"/>
      <c r="AF2139" s="336"/>
      <c r="AG2139" s="337"/>
      <c r="AH2139" s="333"/>
      <c r="AI2139" s="333"/>
      <c r="AJ2139" s="333"/>
      <c r="AK2139" s="333"/>
      <c r="AL2139" s="333"/>
      <c r="AM2139" s="338"/>
      <c r="AN2139" s="333"/>
      <c r="AO2139" s="333"/>
      <c r="AP2139" s="333"/>
      <c r="AQ2139" s="333"/>
      <c r="AR2139" s="333"/>
      <c r="AS2139" s="333"/>
      <c r="AT2139" s="333"/>
      <c r="AU2139" s="329"/>
      <c r="AV2139" s="341"/>
      <c r="AW2139" s="269"/>
      <c r="AX2139" s="334" t="s">
        <v>2869</v>
      </c>
      <c r="AY2139" s="270" t="s">
        <v>695</v>
      </c>
      <c r="AZ2139" s="173" t="s">
        <v>5516</v>
      </c>
      <c r="BA2139" s="265">
        <v>10.0</v>
      </c>
      <c r="BB2139" s="174" t="s">
        <v>245</v>
      </c>
      <c r="BC2139" s="341"/>
      <c r="BD2139" s="308"/>
      <c r="BE2139" s="342"/>
      <c r="BF2139" s="274" t="str">
        <f>IFERROR(__xludf.DUMMYFUNCTION("LOWER(Regexreplace(to_text(E2139),""[^A-Za-z0-9]"","""")&amp;""_""&amp;Regexreplace(to_text(F2139),""[^A-Za-z0-9]"",""""))"),"neptronic_evcbseries")</f>
        <v>neptronic_evcbseries</v>
      </c>
      <c r="BG2139" s="275" t="str">
        <f>IFERROR(__xludf.DUMMYFUNCTION("upper(Regexreplace(to_text(E2139),""[^A-Za-z0-9]"","""")&amp;""-""&amp;Regexreplace(to_text(F2139),""[^A-Za-z0-9]"",""""))"),"NEPTRONIC-EVCBSERIES")</f>
        <v>NEPTRONIC-EVCBSERIES</v>
      </c>
    </row>
    <row r="2140" ht="30.0" customHeight="1">
      <c r="A2140" s="258">
        <v>2132.0</v>
      </c>
      <c r="B2140" s="328" t="s">
        <v>670</v>
      </c>
      <c r="C2140" s="257" t="s">
        <v>7483</v>
      </c>
      <c r="D2140" s="173" t="s">
        <v>7483</v>
      </c>
      <c r="E2140" s="174" t="s">
        <v>2861</v>
      </c>
      <c r="F2140" s="173" t="s">
        <v>2862</v>
      </c>
      <c r="G2140" s="328" t="s">
        <v>673</v>
      </c>
      <c r="H2140" s="328" t="s">
        <v>2863</v>
      </c>
      <c r="I2140" s="258" t="s">
        <v>2864</v>
      </c>
      <c r="J2140" s="259"/>
      <c r="K2140" s="260"/>
      <c r="L2140" s="359"/>
      <c r="M2140" s="359"/>
      <c r="N2140" s="173" t="s">
        <v>679</v>
      </c>
      <c r="O2140" s="173"/>
      <c r="P2140" s="262" t="str">
        <f t="shared" si="1"/>
        <v>IN-BLR-ANANTA-VAV-1712_</v>
      </c>
      <c r="Q2140" s="173" t="s">
        <v>7484</v>
      </c>
      <c r="R2140" s="328" t="str">
        <f>IFS(C2140="","",C2140="n/a","N/A",LEN(C2140),Concatenate("{",char(34),"asset",char(34),":{",char(34),"guid",char(34),":",char(34),Q2140,char(34),",",char(34),"site",char(34),":",char(34),LOWER('2-Building'!$B$4),char(34),",",char(34),"name",char(34),":",char(34),LOWER(C2140),char(34),"}}"))</f>
        <v>{"asset":{"guid":"uuid://3bcbd528-32d8-46ea-a3cd-4e1725799b14","site":"in-blr-ananta","name":"vav-1712"}}</v>
      </c>
      <c r="S2140" s="360" t="s">
        <v>5516</v>
      </c>
      <c r="T2140" s="330"/>
      <c r="U2140" s="330"/>
      <c r="V2140" s="331"/>
      <c r="W2140" s="332"/>
      <c r="X2140" s="333"/>
      <c r="Y2140" s="33" t="s">
        <v>2867</v>
      </c>
      <c r="Z2140" s="258">
        <v>121712.0</v>
      </c>
      <c r="AA2140" s="333"/>
      <c r="AB2140" s="333"/>
      <c r="AC2140" s="333"/>
      <c r="AD2140" s="329"/>
      <c r="AE2140" s="331"/>
      <c r="AF2140" s="336"/>
      <c r="AG2140" s="337"/>
      <c r="AH2140" s="333"/>
      <c r="AI2140" s="333"/>
      <c r="AJ2140" s="333"/>
      <c r="AK2140" s="333"/>
      <c r="AL2140" s="333"/>
      <c r="AM2140" s="338"/>
      <c r="AN2140" s="333"/>
      <c r="AO2140" s="333"/>
      <c r="AP2140" s="333"/>
      <c r="AQ2140" s="333"/>
      <c r="AR2140" s="333"/>
      <c r="AS2140" s="333"/>
      <c r="AT2140" s="333"/>
      <c r="AU2140" s="329"/>
      <c r="AV2140" s="341"/>
      <c r="AW2140" s="269"/>
      <c r="AX2140" s="334" t="s">
        <v>2869</v>
      </c>
      <c r="AY2140" s="270" t="s">
        <v>695</v>
      </c>
      <c r="AZ2140" s="173" t="s">
        <v>5516</v>
      </c>
      <c r="BA2140" s="265">
        <v>10.0</v>
      </c>
      <c r="BB2140" s="174" t="s">
        <v>245</v>
      </c>
      <c r="BC2140" s="341"/>
      <c r="BD2140" s="308"/>
      <c r="BE2140" s="342"/>
      <c r="BF2140" s="274" t="str">
        <f>IFERROR(__xludf.DUMMYFUNCTION("LOWER(Regexreplace(to_text(E2140),""[^A-Za-z0-9]"","""")&amp;""_""&amp;Regexreplace(to_text(F2140),""[^A-Za-z0-9]"",""""))"),"neptronic_evcbseries")</f>
        <v>neptronic_evcbseries</v>
      </c>
      <c r="BG2140" s="275" t="str">
        <f>IFERROR(__xludf.DUMMYFUNCTION("upper(Regexreplace(to_text(E2140),""[^A-Za-z0-9]"","""")&amp;""-""&amp;Regexreplace(to_text(F2140),""[^A-Za-z0-9]"",""""))"),"NEPTRONIC-EVCBSERIES")</f>
        <v>NEPTRONIC-EVCBSERIES</v>
      </c>
    </row>
    <row r="2141" ht="30.0" customHeight="1">
      <c r="A2141" s="173">
        <v>2133.0</v>
      </c>
      <c r="B2141" s="328" t="s">
        <v>670</v>
      </c>
      <c r="C2141" s="257" t="s">
        <v>7485</v>
      </c>
      <c r="D2141" s="173" t="s">
        <v>7485</v>
      </c>
      <c r="E2141" s="174" t="s">
        <v>2861</v>
      </c>
      <c r="F2141" s="173" t="s">
        <v>2862</v>
      </c>
      <c r="G2141" s="328" t="s">
        <v>673</v>
      </c>
      <c r="H2141" s="328" t="s">
        <v>2863</v>
      </c>
      <c r="I2141" s="258" t="s">
        <v>2864</v>
      </c>
      <c r="J2141" s="259"/>
      <c r="K2141" s="260"/>
      <c r="L2141" s="359"/>
      <c r="M2141" s="359"/>
      <c r="N2141" s="173" t="s">
        <v>679</v>
      </c>
      <c r="O2141" s="173"/>
      <c r="P2141" s="262" t="str">
        <f t="shared" si="1"/>
        <v>IN-BLR-ANANTA-VAV-1713_</v>
      </c>
      <c r="Q2141" s="173" t="s">
        <v>7486</v>
      </c>
      <c r="R2141" s="328" t="str">
        <f>IFS(C2141="","",C2141="n/a","N/A",LEN(C2141),Concatenate("{",char(34),"asset",char(34),":{",char(34),"guid",char(34),":",char(34),Q2141,char(34),",",char(34),"site",char(34),":",char(34),LOWER('2-Building'!$B$4),char(34),",",char(34),"name",char(34),":",char(34),LOWER(C2141),char(34),"}}"))</f>
        <v>{"asset":{"guid":"uuid://251bc4ba-d9ca-48e0-8c2e-a027b0fe4936","site":"in-blr-ananta","name":"vav-1713"}}</v>
      </c>
      <c r="S2141" s="360" t="s">
        <v>5516</v>
      </c>
      <c r="T2141" s="330"/>
      <c r="U2141" s="330"/>
      <c r="V2141" s="331"/>
      <c r="W2141" s="332"/>
      <c r="X2141" s="333"/>
      <c r="Y2141" s="33" t="s">
        <v>2867</v>
      </c>
      <c r="Z2141" s="258">
        <v>121713.0</v>
      </c>
      <c r="AA2141" s="333"/>
      <c r="AB2141" s="333"/>
      <c r="AC2141" s="333"/>
      <c r="AD2141" s="329"/>
      <c r="AE2141" s="331"/>
      <c r="AF2141" s="336"/>
      <c r="AG2141" s="337"/>
      <c r="AH2141" s="333"/>
      <c r="AI2141" s="333"/>
      <c r="AJ2141" s="333"/>
      <c r="AK2141" s="333"/>
      <c r="AL2141" s="333"/>
      <c r="AM2141" s="338"/>
      <c r="AN2141" s="333"/>
      <c r="AO2141" s="333"/>
      <c r="AP2141" s="333"/>
      <c r="AQ2141" s="333"/>
      <c r="AR2141" s="333"/>
      <c r="AS2141" s="333"/>
      <c r="AT2141" s="333"/>
      <c r="AU2141" s="329"/>
      <c r="AV2141" s="341"/>
      <c r="AW2141" s="269"/>
      <c r="AX2141" s="334" t="s">
        <v>2869</v>
      </c>
      <c r="AY2141" s="270" t="s">
        <v>695</v>
      </c>
      <c r="AZ2141" s="173" t="s">
        <v>5516</v>
      </c>
      <c r="BA2141" s="265">
        <v>10.0</v>
      </c>
      <c r="BB2141" s="174" t="s">
        <v>245</v>
      </c>
      <c r="BC2141" s="341"/>
      <c r="BD2141" s="308"/>
      <c r="BE2141" s="342"/>
      <c r="BF2141" s="274" t="str">
        <f>IFERROR(__xludf.DUMMYFUNCTION("LOWER(Regexreplace(to_text(E2141),""[^A-Za-z0-9]"","""")&amp;""_""&amp;Regexreplace(to_text(F2141),""[^A-Za-z0-9]"",""""))"),"neptronic_evcbseries")</f>
        <v>neptronic_evcbseries</v>
      </c>
      <c r="BG2141" s="275" t="str">
        <f>IFERROR(__xludf.DUMMYFUNCTION("upper(Regexreplace(to_text(E2141),""[^A-Za-z0-9]"","""")&amp;""-""&amp;Regexreplace(to_text(F2141),""[^A-Za-z0-9]"",""""))"),"NEPTRONIC-EVCBSERIES")</f>
        <v>NEPTRONIC-EVCBSERIES</v>
      </c>
    </row>
    <row r="2142" ht="30.0" customHeight="1">
      <c r="A2142" s="258">
        <v>2134.0</v>
      </c>
      <c r="B2142" s="328" t="s">
        <v>670</v>
      </c>
      <c r="C2142" s="257" t="s">
        <v>7487</v>
      </c>
      <c r="D2142" s="173" t="s">
        <v>7487</v>
      </c>
      <c r="E2142" s="174" t="s">
        <v>2861</v>
      </c>
      <c r="F2142" s="173" t="s">
        <v>2862</v>
      </c>
      <c r="G2142" s="328" t="s">
        <v>673</v>
      </c>
      <c r="H2142" s="328" t="s">
        <v>2863</v>
      </c>
      <c r="I2142" s="258" t="s">
        <v>2864</v>
      </c>
      <c r="J2142" s="259"/>
      <c r="K2142" s="260"/>
      <c r="L2142" s="359"/>
      <c r="M2142" s="359"/>
      <c r="N2142" s="173" t="s">
        <v>679</v>
      </c>
      <c r="O2142" s="173"/>
      <c r="P2142" s="262" t="str">
        <f t="shared" si="1"/>
        <v>IN-BLR-ANANTA-VAV-1714_</v>
      </c>
      <c r="Q2142" s="173" t="s">
        <v>7488</v>
      </c>
      <c r="R2142" s="328" t="str">
        <f>IFS(C2142="","",C2142="n/a","N/A",LEN(C2142),Concatenate("{",char(34),"asset",char(34),":{",char(34),"guid",char(34),":",char(34),Q2142,char(34),",",char(34),"site",char(34),":",char(34),LOWER('2-Building'!$B$4),char(34),",",char(34),"name",char(34),":",char(34),LOWER(C2142),char(34),"}}"))</f>
        <v>{"asset":{"guid":"uuid://fae3951e-f14e-4c0e-837c-a331a3aec950","site":"in-blr-ananta","name":"vav-1714"}}</v>
      </c>
      <c r="S2142" s="360" t="s">
        <v>5516</v>
      </c>
      <c r="T2142" s="330"/>
      <c r="U2142" s="330"/>
      <c r="V2142" s="331"/>
      <c r="W2142" s="332"/>
      <c r="X2142" s="333"/>
      <c r="Y2142" s="33" t="s">
        <v>2867</v>
      </c>
      <c r="Z2142" s="258">
        <v>121714.0</v>
      </c>
      <c r="AA2142" s="333"/>
      <c r="AB2142" s="333"/>
      <c r="AC2142" s="333"/>
      <c r="AD2142" s="329"/>
      <c r="AE2142" s="331"/>
      <c r="AF2142" s="336"/>
      <c r="AG2142" s="337"/>
      <c r="AH2142" s="333"/>
      <c r="AI2142" s="333"/>
      <c r="AJ2142" s="333"/>
      <c r="AK2142" s="333"/>
      <c r="AL2142" s="333"/>
      <c r="AM2142" s="338"/>
      <c r="AN2142" s="333"/>
      <c r="AO2142" s="333"/>
      <c r="AP2142" s="333"/>
      <c r="AQ2142" s="333"/>
      <c r="AR2142" s="333"/>
      <c r="AS2142" s="333"/>
      <c r="AT2142" s="333"/>
      <c r="AU2142" s="329"/>
      <c r="AV2142" s="341"/>
      <c r="AW2142" s="269"/>
      <c r="AX2142" s="334" t="s">
        <v>2869</v>
      </c>
      <c r="AY2142" s="270" t="s">
        <v>695</v>
      </c>
      <c r="AZ2142" s="173" t="s">
        <v>5516</v>
      </c>
      <c r="BA2142" s="265">
        <v>10.0</v>
      </c>
      <c r="BB2142" s="174" t="s">
        <v>245</v>
      </c>
      <c r="BC2142" s="341"/>
      <c r="BD2142" s="308"/>
      <c r="BE2142" s="342"/>
      <c r="BF2142" s="274" t="str">
        <f>IFERROR(__xludf.DUMMYFUNCTION("LOWER(Regexreplace(to_text(E2142),""[^A-Za-z0-9]"","""")&amp;""_""&amp;Regexreplace(to_text(F2142),""[^A-Za-z0-9]"",""""))"),"neptronic_evcbseries")</f>
        <v>neptronic_evcbseries</v>
      </c>
      <c r="BG2142" s="275" t="str">
        <f>IFERROR(__xludf.DUMMYFUNCTION("upper(Regexreplace(to_text(E2142),""[^A-Za-z0-9]"","""")&amp;""-""&amp;Regexreplace(to_text(F2142),""[^A-Za-z0-9]"",""""))"),"NEPTRONIC-EVCBSERIES")</f>
        <v>NEPTRONIC-EVCBSERIES</v>
      </c>
    </row>
    <row r="2143" ht="30.0" customHeight="1">
      <c r="A2143" s="173">
        <v>2135.0</v>
      </c>
      <c r="B2143" s="328" t="s">
        <v>670</v>
      </c>
      <c r="C2143" s="257" t="s">
        <v>7489</v>
      </c>
      <c r="D2143" s="173" t="s">
        <v>7489</v>
      </c>
      <c r="E2143" s="174" t="s">
        <v>2861</v>
      </c>
      <c r="F2143" s="173" t="s">
        <v>2862</v>
      </c>
      <c r="G2143" s="328" t="s">
        <v>673</v>
      </c>
      <c r="H2143" s="328" t="s">
        <v>2863</v>
      </c>
      <c r="I2143" s="258" t="s">
        <v>2864</v>
      </c>
      <c r="J2143" s="259"/>
      <c r="K2143" s="260"/>
      <c r="L2143" s="359"/>
      <c r="M2143" s="359"/>
      <c r="N2143" s="173" t="s">
        <v>679</v>
      </c>
      <c r="O2143" s="173"/>
      <c r="P2143" s="262" t="str">
        <f t="shared" si="1"/>
        <v>IN-BLR-ANANTA-VAV-1715_</v>
      </c>
      <c r="Q2143" s="173" t="s">
        <v>7490</v>
      </c>
      <c r="R2143" s="328" t="str">
        <f>IFS(C2143="","",C2143="n/a","N/A",LEN(C2143),Concatenate("{",char(34),"asset",char(34),":{",char(34),"guid",char(34),":",char(34),Q2143,char(34),",",char(34),"site",char(34),":",char(34),LOWER('2-Building'!$B$4),char(34),",",char(34),"name",char(34),":",char(34),LOWER(C2143),char(34),"}}"))</f>
        <v>{"asset":{"guid":"uuid://271ae6f1-d38b-4f9b-94f6-24b47c552e57","site":"in-blr-ananta","name":"vav-1715"}}</v>
      </c>
      <c r="S2143" s="360" t="s">
        <v>5516</v>
      </c>
      <c r="T2143" s="330"/>
      <c r="U2143" s="330"/>
      <c r="V2143" s="331"/>
      <c r="W2143" s="332"/>
      <c r="X2143" s="333"/>
      <c r="Y2143" s="33" t="s">
        <v>2867</v>
      </c>
      <c r="Z2143" s="258">
        <v>121715.0</v>
      </c>
      <c r="AA2143" s="333"/>
      <c r="AB2143" s="333"/>
      <c r="AC2143" s="333"/>
      <c r="AD2143" s="329"/>
      <c r="AE2143" s="331"/>
      <c r="AF2143" s="336"/>
      <c r="AG2143" s="337"/>
      <c r="AH2143" s="333"/>
      <c r="AI2143" s="333"/>
      <c r="AJ2143" s="333"/>
      <c r="AK2143" s="333"/>
      <c r="AL2143" s="333"/>
      <c r="AM2143" s="338"/>
      <c r="AN2143" s="333"/>
      <c r="AO2143" s="333"/>
      <c r="AP2143" s="333"/>
      <c r="AQ2143" s="333"/>
      <c r="AR2143" s="333"/>
      <c r="AS2143" s="333"/>
      <c r="AT2143" s="333"/>
      <c r="AU2143" s="329"/>
      <c r="AV2143" s="341"/>
      <c r="AW2143" s="269"/>
      <c r="AX2143" s="334" t="s">
        <v>2869</v>
      </c>
      <c r="AY2143" s="270" t="s">
        <v>695</v>
      </c>
      <c r="AZ2143" s="173" t="s">
        <v>5516</v>
      </c>
      <c r="BA2143" s="265">
        <v>10.0</v>
      </c>
      <c r="BB2143" s="174" t="s">
        <v>245</v>
      </c>
      <c r="BC2143" s="341"/>
      <c r="BD2143" s="308"/>
      <c r="BE2143" s="342"/>
      <c r="BF2143" s="274" t="str">
        <f>IFERROR(__xludf.DUMMYFUNCTION("LOWER(Regexreplace(to_text(E2143),""[^A-Za-z0-9]"","""")&amp;""_""&amp;Regexreplace(to_text(F2143),""[^A-Za-z0-9]"",""""))"),"neptronic_evcbseries")</f>
        <v>neptronic_evcbseries</v>
      </c>
      <c r="BG2143" s="275" t="str">
        <f>IFERROR(__xludf.DUMMYFUNCTION("upper(Regexreplace(to_text(E2143),""[^A-Za-z0-9]"","""")&amp;""-""&amp;Regexreplace(to_text(F2143),""[^A-Za-z0-9]"",""""))"),"NEPTRONIC-EVCBSERIES")</f>
        <v>NEPTRONIC-EVCBSERIES</v>
      </c>
    </row>
    <row r="2144" ht="30.0" customHeight="1">
      <c r="A2144" s="258">
        <v>2136.0</v>
      </c>
      <c r="B2144" s="328" t="s">
        <v>670</v>
      </c>
      <c r="C2144" s="257" t="s">
        <v>7491</v>
      </c>
      <c r="D2144" s="173" t="s">
        <v>7491</v>
      </c>
      <c r="E2144" s="174" t="s">
        <v>2861</v>
      </c>
      <c r="F2144" s="173" t="s">
        <v>2862</v>
      </c>
      <c r="G2144" s="328" t="s">
        <v>673</v>
      </c>
      <c r="H2144" s="328" t="s">
        <v>2863</v>
      </c>
      <c r="I2144" s="258" t="s">
        <v>2864</v>
      </c>
      <c r="J2144" s="259"/>
      <c r="K2144" s="260"/>
      <c r="L2144" s="359"/>
      <c r="M2144" s="359"/>
      <c r="N2144" s="173" t="s">
        <v>679</v>
      </c>
      <c r="O2144" s="173"/>
      <c r="P2144" s="262" t="str">
        <f t="shared" si="1"/>
        <v>IN-BLR-ANANTA-VAV-1716_</v>
      </c>
      <c r="Q2144" s="173" t="s">
        <v>7492</v>
      </c>
      <c r="R2144" s="328" t="str">
        <f>IFS(C2144="","",C2144="n/a","N/A",LEN(C2144),Concatenate("{",char(34),"asset",char(34),":{",char(34),"guid",char(34),":",char(34),Q2144,char(34),",",char(34),"site",char(34),":",char(34),LOWER('2-Building'!$B$4),char(34),",",char(34),"name",char(34),":",char(34),LOWER(C2144),char(34),"}}"))</f>
        <v>{"asset":{"guid":"uuid://397f54bf-9e95-487b-9160-44f65fa04dea","site":"in-blr-ananta","name":"vav-1716"}}</v>
      </c>
      <c r="S2144" s="360" t="s">
        <v>5516</v>
      </c>
      <c r="T2144" s="330"/>
      <c r="U2144" s="330"/>
      <c r="V2144" s="331"/>
      <c r="W2144" s="332"/>
      <c r="X2144" s="333"/>
      <c r="Y2144" s="33" t="s">
        <v>2867</v>
      </c>
      <c r="Z2144" s="258">
        <v>121716.0</v>
      </c>
      <c r="AA2144" s="333"/>
      <c r="AB2144" s="333"/>
      <c r="AC2144" s="333"/>
      <c r="AD2144" s="329"/>
      <c r="AE2144" s="331"/>
      <c r="AF2144" s="336"/>
      <c r="AG2144" s="337"/>
      <c r="AH2144" s="333"/>
      <c r="AI2144" s="333"/>
      <c r="AJ2144" s="333"/>
      <c r="AK2144" s="333"/>
      <c r="AL2144" s="333"/>
      <c r="AM2144" s="338"/>
      <c r="AN2144" s="333"/>
      <c r="AO2144" s="333"/>
      <c r="AP2144" s="333"/>
      <c r="AQ2144" s="333"/>
      <c r="AR2144" s="333"/>
      <c r="AS2144" s="333"/>
      <c r="AT2144" s="333"/>
      <c r="AU2144" s="329"/>
      <c r="AV2144" s="341"/>
      <c r="AW2144" s="269"/>
      <c r="AX2144" s="334" t="s">
        <v>2869</v>
      </c>
      <c r="AY2144" s="270" t="s">
        <v>695</v>
      </c>
      <c r="AZ2144" s="173" t="s">
        <v>5516</v>
      </c>
      <c r="BA2144" s="265">
        <v>10.0</v>
      </c>
      <c r="BB2144" s="174" t="s">
        <v>245</v>
      </c>
      <c r="BC2144" s="341"/>
      <c r="BD2144" s="308"/>
      <c r="BE2144" s="342"/>
      <c r="BF2144" s="274" t="str">
        <f>IFERROR(__xludf.DUMMYFUNCTION("LOWER(Regexreplace(to_text(E2144),""[^A-Za-z0-9]"","""")&amp;""_""&amp;Regexreplace(to_text(F2144),""[^A-Za-z0-9]"",""""))"),"neptronic_evcbseries")</f>
        <v>neptronic_evcbseries</v>
      </c>
      <c r="BG2144" s="275" t="str">
        <f>IFERROR(__xludf.DUMMYFUNCTION("upper(Regexreplace(to_text(E2144),""[^A-Za-z0-9]"","""")&amp;""-""&amp;Regexreplace(to_text(F2144),""[^A-Za-z0-9]"",""""))"),"NEPTRONIC-EVCBSERIES")</f>
        <v>NEPTRONIC-EVCBSERIES</v>
      </c>
    </row>
    <row r="2145" ht="30.0" customHeight="1">
      <c r="A2145" s="173">
        <v>2137.0</v>
      </c>
      <c r="B2145" s="328" t="s">
        <v>670</v>
      </c>
      <c r="C2145" s="257" t="s">
        <v>7493</v>
      </c>
      <c r="D2145" s="173" t="s">
        <v>7493</v>
      </c>
      <c r="E2145" s="174" t="s">
        <v>2861</v>
      </c>
      <c r="F2145" s="173" t="s">
        <v>2862</v>
      </c>
      <c r="G2145" s="328" t="s">
        <v>673</v>
      </c>
      <c r="H2145" s="328" t="s">
        <v>2863</v>
      </c>
      <c r="I2145" s="258" t="s">
        <v>2864</v>
      </c>
      <c r="J2145" s="259"/>
      <c r="K2145" s="260"/>
      <c r="L2145" s="359"/>
      <c r="M2145" s="359"/>
      <c r="N2145" s="173" t="s">
        <v>679</v>
      </c>
      <c r="O2145" s="173"/>
      <c r="P2145" s="262" t="str">
        <f t="shared" si="1"/>
        <v>IN-BLR-ANANTA-VAV-1717_</v>
      </c>
      <c r="Q2145" s="173" t="s">
        <v>7494</v>
      </c>
      <c r="R2145" s="328" t="str">
        <f>IFS(C2145="","",C2145="n/a","N/A",LEN(C2145),Concatenate("{",char(34),"asset",char(34),":{",char(34),"guid",char(34),":",char(34),Q2145,char(34),",",char(34),"site",char(34),":",char(34),LOWER('2-Building'!$B$4),char(34),",",char(34),"name",char(34),":",char(34),LOWER(C2145),char(34),"}}"))</f>
        <v>{"asset":{"guid":"uuid://0c5a736b-0030-422c-bbd4-5a1c67227c35","site":"in-blr-ananta","name":"vav-1717"}}</v>
      </c>
      <c r="S2145" s="360" t="s">
        <v>5516</v>
      </c>
      <c r="T2145" s="330"/>
      <c r="U2145" s="330"/>
      <c r="V2145" s="331"/>
      <c r="W2145" s="332"/>
      <c r="X2145" s="333"/>
      <c r="Y2145" s="33" t="s">
        <v>2867</v>
      </c>
      <c r="Z2145" s="258">
        <v>121717.0</v>
      </c>
      <c r="AA2145" s="333"/>
      <c r="AB2145" s="333"/>
      <c r="AC2145" s="333"/>
      <c r="AD2145" s="329"/>
      <c r="AE2145" s="331"/>
      <c r="AF2145" s="336"/>
      <c r="AG2145" s="337"/>
      <c r="AH2145" s="333"/>
      <c r="AI2145" s="333"/>
      <c r="AJ2145" s="333"/>
      <c r="AK2145" s="333"/>
      <c r="AL2145" s="333"/>
      <c r="AM2145" s="338"/>
      <c r="AN2145" s="333"/>
      <c r="AO2145" s="333"/>
      <c r="AP2145" s="333"/>
      <c r="AQ2145" s="333"/>
      <c r="AR2145" s="333"/>
      <c r="AS2145" s="333"/>
      <c r="AT2145" s="333"/>
      <c r="AU2145" s="329"/>
      <c r="AV2145" s="341"/>
      <c r="AW2145" s="269"/>
      <c r="AX2145" s="334" t="s">
        <v>2869</v>
      </c>
      <c r="AY2145" s="270" t="s">
        <v>695</v>
      </c>
      <c r="AZ2145" s="173" t="s">
        <v>5516</v>
      </c>
      <c r="BA2145" s="265">
        <v>10.0</v>
      </c>
      <c r="BB2145" s="174" t="s">
        <v>245</v>
      </c>
      <c r="BC2145" s="341"/>
      <c r="BD2145" s="308"/>
      <c r="BE2145" s="342"/>
      <c r="BF2145" s="274" t="str">
        <f>IFERROR(__xludf.DUMMYFUNCTION("LOWER(Regexreplace(to_text(E2145),""[^A-Za-z0-9]"","""")&amp;""_""&amp;Regexreplace(to_text(F2145),""[^A-Za-z0-9]"",""""))"),"neptronic_evcbseries")</f>
        <v>neptronic_evcbseries</v>
      </c>
      <c r="BG2145" s="275" t="str">
        <f>IFERROR(__xludf.DUMMYFUNCTION("upper(Regexreplace(to_text(E2145),""[^A-Za-z0-9]"","""")&amp;""-""&amp;Regexreplace(to_text(F2145),""[^A-Za-z0-9]"",""""))"),"NEPTRONIC-EVCBSERIES")</f>
        <v>NEPTRONIC-EVCBSERIES</v>
      </c>
    </row>
    <row r="2146" ht="30.0" customHeight="1">
      <c r="A2146" s="258">
        <v>2138.0</v>
      </c>
      <c r="B2146" s="328" t="s">
        <v>670</v>
      </c>
      <c r="C2146" s="257" t="s">
        <v>7495</v>
      </c>
      <c r="D2146" s="173" t="s">
        <v>7495</v>
      </c>
      <c r="E2146" s="174" t="s">
        <v>2861</v>
      </c>
      <c r="F2146" s="173" t="s">
        <v>2862</v>
      </c>
      <c r="G2146" s="328" t="s">
        <v>673</v>
      </c>
      <c r="H2146" s="328" t="s">
        <v>2863</v>
      </c>
      <c r="I2146" s="258" t="s">
        <v>2864</v>
      </c>
      <c r="J2146" s="259"/>
      <c r="K2146" s="260"/>
      <c r="L2146" s="359"/>
      <c r="M2146" s="359"/>
      <c r="N2146" s="173" t="s">
        <v>679</v>
      </c>
      <c r="O2146" s="173"/>
      <c r="P2146" s="262" t="str">
        <f t="shared" si="1"/>
        <v>IN-BLR-ANANTA-VAV-1718_</v>
      </c>
      <c r="Q2146" s="173" t="s">
        <v>7496</v>
      </c>
      <c r="R2146" s="328" t="str">
        <f>IFS(C2146="","",C2146="n/a","N/A",LEN(C2146),Concatenate("{",char(34),"asset",char(34),":{",char(34),"guid",char(34),":",char(34),Q2146,char(34),",",char(34),"site",char(34),":",char(34),LOWER('2-Building'!$B$4),char(34),",",char(34),"name",char(34),":",char(34),LOWER(C2146),char(34),"}}"))</f>
        <v>{"asset":{"guid":"uuid://07d0f06f-ce38-42e1-ae80-1d56d1da264a","site":"in-blr-ananta","name":"vav-1718"}}</v>
      </c>
      <c r="S2146" s="360" t="s">
        <v>5516</v>
      </c>
      <c r="T2146" s="330"/>
      <c r="U2146" s="330"/>
      <c r="V2146" s="331"/>
      <c r="W2146" s="332"/>
      <c r="X2146" s="333"/>
      <c r="Y2146" s="33" t="s">
        <v>2867</v>
      </c>
      <c r="Z2146" s="258">
        <v>121718.0</v>
      </c>
      <c r="AA2146" s="333"/>
      <c r="AB2146" s="333"/>
      <c r="AC2146" s="333"/>
      <c r="AD2146" s="329"/>
      <c r="AE2146" s="331"/>
      <c r="AF2146" s="336"/>
      <c r="AG2146" s="337"/>
      <c r="AH2146" s="333"/>
      <c r="AI2146" s="333"/>
      <c r="AJ2146" s="333"/>
      <c r="AK2146" s="333"/>
      <c r="AL2146" s="333"/>
      <c r="AM2146" s="338"/>
      <c r="AN2146" s="333"/>
      <c r="AO2146" s="333"/>
      <c r="AP2146" s="333"/>
      <c r="AQ2146" s="333"/>
      <c r="AR2146" s="333"/>
      <c r="AS2146" s="333"/>
      <c r="AT2146" s="333"/>
      <c r="AU2146" s="329"/>
      <c r="AV2146" s="341"/>
      <c r="AW2146" s="269"/>
      <c r="AX2146" s="334" t="s">
        <v>2869</v>
      </c>
      <c r="AY2146" s="270" t="s">
        <v>695</v>
      </c>
      <c r="AZ2146" s="173" t="s">
        <v>5516</v>
      </c>
      <c r="BA2146" s="265">
        <v>10.0</v>
      </c>
      <c r="BB2146" s="174" t="s">
        <v>245</v>
      </c>
      <c r="BC2146" s="341"/>
      <c r="BD2146" s="308"/>
      <c r="BE2146" s="342"/>
      <c r="BF2146" s="274" t="str">
        <f>IFERROR(__xludf.DUMMYFUNCTION("LOWER(Regexreplace(to_text(E2146),""[^A-Za-z0-9]"","""")&amp;""_""&amp;Regexreplace(to_text(F2146),""[^A-Za-z0-9]"",""""))"),"neptronic_evcbseries")</f>
        <v>neptronic_evcbseries</v>
      </c>
      <c r="BG2146" s="275" t="str">
        <f>IFERROR(__xludf.DUMMYFUNCTION("upper(Regexreplace(to_text(E2146),""[^A-Za-z0-9]"","""")&amp;""-""&amp;Regexreplace(to_text(F2146),""[^A-Za-z0-9]"",""""))"),"NEPTRONIC-EVCBSERIES")</f>
        <v>NEPTRONIC-EVCBSERIES</v>
      </c>
    </row>
    <row r="2147" ht="30.0" customHeight="1">
      <c r="A2147" s="173">
        <v>2139.0</v>
      </c>
      <c r="B2147" s="328" t="s">
        <v>670</v>
      </c>
      <c r="C2147" s="257" t="s">
        <v>7497</v>
      </c>
      <c r="D2147" s="173" t="s">
        <v>7497</v>
      </c>
      <c r="E2147" s="174" t="s">
        <v>2861</v>
      </c>
      <c r="F2147" s="173" t="s">
        <v>2862</v>
      </c>
      <c r="G2147" s="328" t="s">
        <v>673</v>
      </c>
      <c r="H2147" s="328" t="s">
        <v>2863</v>
      </c>
      <c r="I2147" s="258" t="s">
        <v>2864</v>
      </c>
      <c r="J2147" s="259"/>
      <c r="K2147" s="260"/>
      <c r="L2147" s="359"/>
      <c r="M2147" s="359"/>
      <c r="N2147" s="173" t="s">
        <v>679</v>
      </c>
      <c r="O2147" s="173"/>
      <c r="P2147" s="262" t="str">
        <f t="shared" si="1"/>
        <v>IN-BLR-ANANTA-VAV-1719_</v>
      </c>
      <c r="Q2147" s="173" t="s">
        <v>7498</v>
      </c>
      <c r="R2147" s="328" t="str">
        <f>IFS(C2147="","",C2147="n/a","N/A",LEN(C2147),Concatenate("{",char(34),"asset",char(34),":{",char(34),"guid",char(34),":",char(34),Q2147,char(34),",",char(34),"site",char(34),":",char(34),LOWER('2-Building'!$B$4),char(34),",",char(34),"name",char(34),":",char(34),LOWER(C2147),char(34),"}}"))</f>
        <v>{"asset":{"guid":"uuid://38f8509e-6e95-45c9-94e8-a289495f4252","site":"in-blr-ananta","name":"vav-1719"}}</v>
      </c>
      <c r="S2147" s="360" t="s">
        <v>5516</v>
      </c>
      <c r="T2147" s="330"/>
      <c r="U2147" s="330"/>
      <c r="V2147" s="331"/>
      <c r="W2147" s="332"/>
      <c r="X2147" s="333"/>
      <c r="Y2147" s="33" t="s">
        <v>2867</v>
      </c>
      <c r="Z2147" s="258">
        <v>121719.0</v>
      </c>
      <c r="AA2147" s="333"/>
      <c r="AB2147" s="333"/>
      <c r="AC2147" s="333"/>
      <c r="AD2147" s="329"/>
      <c r="AE2147" s="331"/>
      <c r="AF2147" s="336"/>
      <c r="AG2147" s="337"/>
      <c r="AH2147" s="333"/>
      <c r="AI2147" s="333"/>
      <c r="AJ2147" s="333"/>
      <c r="AK2147" s="333"/>
      <c r="AL2147" s="333"/>
      <c r="AM2147" s="338"/>
      <c r="AN2147" s="333"/>
      <c r="AO2147" s="333"/>
      <c r="AP2147" s="333"/>
      <c r="AQ2147" s="333"/>
      <c r="AR2147" s="333"/>
      <c r="AS2147" s="333"/>
      <c r="AT2147" s="333"/>
      <c r="AU2147" s="329"/>
      <c r="AV2147" s="341"/>
      <c r="AW2147" s="269"/>
      <c r="AX2147" s="334" t="s">
        <v>2869</v>
      </c>
      <c r="AY2147" s="270" t="s">
        <v>695</v>
      </c>
      <c r="AZ2147" s="173" t="s">
        <v>5516</v>
      </c>
      <c r="BA2147" s="265">
        <v>10.0</v>
      </c>
      <c r="BB2147" s="174" t="s">
        <v>245</v>
      </c>
      <c r="BC2147" s="341"/>
      <c r="BD2147" s="308"/>
      <c r="BE2147" s="342"/>
      <c r="BF2147" s="274" t="str">
        <f>IFERROR(__xludf.DUMMYFUNCTION("LOWER(Regexreplace(to_text(E2147),""[^A-Za-z0-9]"","""")&amp;""_""&amp;Regexreplace(to_text(F2147),""[^A-Za-z0-9]"",""""))"),"neptronic_evcbseries")</f>
        <v>neptronic_evcbseries</v>
      </c>
      <c r="BG2147" s="275" t="str">
        <f>IFERROR(__xludf.DUMMYFUNCTION("upper(Regexreplace(to_text(E2147),""[^A-Za-z0-9]"","""")&amp;""-""&amp;Regexreplace(to_text(F2147),""[^A-Za-z0-9]"",""""))"),"NEPTRONIC-EVCBSERIES")</f>
        <v>NEPTRONIC-EVCBSERIES</v>
      </c>
    </row>
    <row r="2148" ht="30.0" customHeight="1">
      <c r="A2148" s="258">
        <v>2140.0</v>
      </c>
      <c r="B2148" s="328" t="s">
        <v>670</v>
      </c>
      <c r="C2148" s="257" t="s">
        <v>7499</v>
      </c>
      <c r="D2148" s="173" t="s">
        <v>7499</v>
      </c>
      <c r="E2148" s="174" t="s">
        <v>2861</v>
      </c>
      <c r="F2148" s="173" t="s">
        <v>2862</v>
      </c>
      <c r="G2148" s="328" t="s">
        <v>673</v>
      </c>
      <c r="H2148" s="328" t="s">
        <v>2863</v>
      </c>
      <c r="I2148" s="258" t="s">
        <v>2864</v>
      </c>
      <c r="J2148" s="259"/>
      <c r="K2148" s="260"/>
      <c r="L2148" s="359"/>
      <c r="M2148" s="359"/>
      <c r="N2148" s="173" t="s">
        <v>679</v>
      </c>
      <c r="O2148" s="173"/>
      <c r="P2148" s="262" t="str">
        <f t="shared" si="1"/>
        <v>IN-BLR-ANANTA-VAV-1720_</v>
      </c>
      <c r="Q2148" s="173" t="s">
        <v>7500</v>
      </c>
      <c r="R2148" s="328" t="str">
        <f>IFS(C2148="","",C2148="n/a","N/A",LEN(C2148),Concatenate("{",char(34),"asset",char(34),":{",char(34),"guid",char(34),":",char(34),Q2148,char(34),",",char(34),"site",char(34),":",char(34),LOWER('2-Building'!$B$4),char(34),",",char(34),"name",char(34),":",char(34),LOWER(C2148),char(34),"}}"))</f>
        <v>{"asset":{"guid":"uuid://7fe85fcb-bdee-4a59-ae22-a504d9793295","site":"in-blr-ananta","name":"vav-1720"}}</v>
      </c>
      <c r="S2148" s="360" t="s">
        <v>5516</v>
      </c>
      <c r="T2148" s="330"/>
      <c r="U2148" s="330"/>
      <c r="V2148" s="331"/>
      <c r="W2148" s="332"/>
      <c r="X2148" s="333"/>
      <c r="Y2148" s="33" t="s">
        <v>2867</v>
      </c>
      <c r="Z2148" s="258">
        <v>121720.0</v>
      </c>
      <c r="AA2148" s="333"/>
      <c r="AB2148" s="333"/>
      <c r="AC2148" s="333"/>
      <c r="AD2148" s="329"/>
      <c r="AE2148" s="331"/>
      <c r="AF2148" s="336"/>
      <c r="AG2148" s="337"/>
      <c r="AH2148" s="333"/>
      <c r="AI2148" s="333"/>
      <c r="AJ2148" s="333"/>
      <c r="AK2148" s="333"/>
      <c r="AL2148" s="333"/>
      <c r="AM2148" s="338"/>
      <c r="AN2148" s="333"/>
      <c r="AO2148" s="333"/>
      <c r="AP2148" s="333"/>
      <c r="AQ2148" s="333"/>
      <c r="AR2148" s="333"/>
      <c r="AS2148" s="333"/>
      <c r="AT2148" s="333"/>
      <c r="AU2148" s="329"/>
      <c r="AV2148" s="341"/>
      <c r="AW2148" s="269"/>
      <c r="AX2148" s="334" t="s">
        <v>2869</v>
      </c>
      <c r="AY2148" s="270" t="s">
        <v>695</v>
      </c>
      <c r="AZ2148" s="173" t="s">
        <v>5516</v>
      </c>
      <c r="BA2148" s="265">
        <v>10.0</v>
      </c>
      <c r="BB2148" s="174" t="s">
        <v>245</v>
      </c>
      <c r="BC2148" s="341"/>
      <c r="BD2148" s="308"/>
      <c r="BE2148" s="342"/>
      <c r="BF2148" s="274" t="str">
        <f>IFERROR(__xludf.DUMMYFUNCTION("LOWER(Regexreplace(to_text(E2148),""[^A-Za-z0-9]"","""")&amp;""_""&amp;Regexreplace(to_text(F2148),""[^A-Za-z0-9]"",""""))"),"neptronic_evcbseries")</f>
        <v>neptronic_evcbseries</v>
      </c>
      <c r="BG2148" s="275" t="str">
        <f>IFERROR(__xludf.DUMMYFUNCTION("upper(Regexreplace(to_text(E2148),""[^A-Za-z0-9]"","""")&amp;""-""&amp;Regexreplace(to_text(F2148),""[^A-Za-z0-9]"",""""))"),"NEPTRONIC-EVCBSERIES")</f>
        <v>NEPTRONIC-EVCBSERIES</v>
      </c>
    </row>
    <row r="2149" ht="30.0" customHeight="1">
      <c r="A2149" s="173">
        <v>2141.0</v>
      </c>
      <c r="B2149" s="328" t="s">
        <v>670</v>
      </c>
      <c r="C2149" s="257" t="s">
        <v>7501</v>
      </c>
      <c r="D2149" s="173" t="s">
        <v>7501</v>
      </c>
      <c r="E2149" s="174" t="s">
        <v>2861</v>
      </c>
      <c r="F2149" s="173" t="s">
        <v>2862</v>
      </c>
      <c r="G2149" s="328" t="s">
        <v>673</v>
      </c>
      <c r="H2149" s="328" t="s">
        <v>2863</v>
      </c>
      <c r="I2149" s="258" t="s">
        <v>2864</v>
      </c>
      <c r="J2149" s="259"/>
      <c r="K2149" s="260"/>
      <c r="L2149" s="359"/>
      <c r="M2149" s="359"/>
      <c r="N2149" s="173" t="s">
        <v>679</v>
      </c>
      <c r="O2149" s="173"/>
      <c r="P2149" s="262" t="str">
        <f t="shared" si="1"/>
        <v>IN-BLR-ANANTA-VAV-1721_</v>
      </c>
      <c r="Q2149" s="173" t="s">
        <v>7502</v>
      </c>
      <c r="R2149" s="328" t="str">
        <f>IFS(C2149="","",C2149="n/a","N/A",LEN(C2149),Concatenate("{",char(34),"asset",char(34),":{",char(34),"guid",char(34),":",char(34),Q2149,char(34),",",char(34),"site",char(34),":",char(34),LOWER('2-Building'!$B$4),char(34),",",char(34),"name",char(34),":",char(34),LOWER(C2149),char(34),"}}"))</f>
        <v>{"asset":{"guid":"uuid://2f907253-a30f-4e83-b1da-bca5e1af4d7d","site":"in-blr-ananta","name":"vav-1721"}}</v>
      </c>
      <c r="S2149" s="360" t="s">
        <v>5516</v>
      </c>
      <c r="T2149" s="330"/>
      <c r="U2149" s="330"/>
      <c r="V2149" s="331"/>
      <c r="W2149" s="332"/>
      <c r="X2149" s="333"/>
      <c r="Y2149" s="33" t="s">
        <v>2867</v>
      </c>
      <c r="Z2149" s="258">
        <v>121721.0</v>
      </c>
      <c r="AA2149" s="333"/>
      <c r="AB2149" s="333"/>
      <c r="AC2149" s="333"/>
      <c r="AD2149" s="329"/>
      <c r="AE2149" s="331"/>
      <c r="AF2149" s="336"/>
      <c r="AG2149" s="337"/>
      <c r="AH2149" s="333"/>
      <c r="AI2149" s="333"/>
      <c r="AJ2149" s="333"/>
      <c r="AK2149" s="333"/>
      <c r="AL2149" s="333"/>
      <c r="AM2149" s="338"/>
      <c r="AN2149" s="333"/>
      <c r="AO2149" s="333"/>
      <c r="AP2149" s="333"/>
      <c r="AQ2149" s="333"/>
      <c r="AR2149" s="333"/>
      <c r="AS2149" s="333"/>
      <c r="AT2149" s="333"/>
      <c r="AU2149" s="329"/>
      <c r="AV2149" s="341"/>
      <c r="AW2149" s="269"/>
      <c r="AX2149" s="334" t="s">
        <v>2869</v>
      </c>
      <c r="AY2149" s="270" t="s">
        <v>695</v>
      </c>
      <c r="AZ2149" s="173" t="s">
        <v>5516</v>
      </c>
      <c r="BA2149" s="265">
        <v>10.0</v>
      </c>
      <c r="BB2149" s="174" t="s">
        <v>245</v>
      </c>
      <c r="BC2149" s="341"/>
      <c r="BD2149" s="308"/>
      <c r="BE2149" s="342"/>
      <c r="BF2149" s="274" t="str">
        <f>IFERROR(__xludf.DUMMYFUNCTION("LOWER(Regexreplace(to_text(E2149),""[^A-Za-z0-9]"","""")&amp;""_""&amp;Regexreplace(to_text(F2149),""[^A-Za-z0-9]"",""""))"),"neptronic_evcbseries")</f>
        <v>neptronic_evcbseries</v>
      </c>
      <c r="BG2149" s="275" t="str">
        <f>IFERROR(__xludf.DUMMYFUNCTION("upper(Regexreplace(to_text(E2149),""[^A-Za-z0-9]"","""")&amp;""-""&amp;Regexreplace(to_text(F2149),""[^A-Za-z0-9]"",""""))"),"NEPTRONIC-EVCBSERIES")</f>
        <v>NEPTRONIC-EVCBSERIES</v>
      </c>
    </row>
    <row r="2150" ht="30.0" customHeight="1">
      <c r="A2150" s="258">
        <v>2142.0</v>
      </c>
      <c r="B2150" s="328" t="s">
        <v>670</v>
      </c>
      <c r="C2150" s="257" t="s">
        <v>7503</v>
      </c>
      <c r="D2150" s="173" t="s">
        <v>7503</v>
      </c>
      <c r="E2150" s="174" t="s">
        <v>2861</v>
      </c>
      <c r="F2150" s="173" t="s">
        <v>2862</v>
      </c>
      <c r="G2150" s="328" t="s">
        <v>673</v>
      </c>
      <c r="H2150" s="328" t="s">
        <v>2863</v>
      </c>
      <c r="I2150" s="258" t="s">
        <v>2864</v>
      </c>
      <c r="J2150" s="259"/>
      <c r="K2150" s="260"/>
      <c r="L2150" s="359"/>
      <c r="M2150" s="359"/>
      <c r="N2150" s="173" t="s">
        <v>679</v>
      </c>
      <c r="O2150" s="173"/>
      <c r="P2150" s="262" t="str">
        <f t="shared" si="1"/>
        <v>IN-BLR-ANANTA-VAV-1722_</v>
      </c>
      <c r="Q2150" s="173" t="s">
        <v>7504</v>
      </c>
      <c r="R2150" s="328" t="str">
        <f>IFS(C2150="","",C2150="n/a","N/A",LEN(C2150),Concatenate("{",char(34),"asset",char(34),":{",char(34),"guid",char(34),":",char(34),Q2150,char(34),",",char(34),"site",char(34),":",char(34),LOWER('2-Building'!$B$4),char(34),",",char(34),"name",char(34),":",char(34),LOWER(C2150),char(34),"}}"))</f>
        <v>{"asset":{"guid":"uuid://91457d28-4c78-42b6-8e89-432f5461faa1","site":"in-blr-ananta","name":"vav-1722"}}</v>
      </c>
      <c r="S2150" s="360" t="s">
        <v>5516</v>
      </c>
      <c r="T2150" s="330"/>
      <c r="U2150" s="330"/>
      <c r="V2150" s="331"/>
      <c r="W2150" s="332"/>
      <c r="X2150" s="333"/>
      <c r="Y2150" s="33" t="s">
        <v>2867</v>
      </c>
      <c r="Z2150" s="258">
        <v>121722.0</v>
      </c>
      <c r="AA2150" s="333"/>
      <c r="AB2150" s="333"/>
      <c r="AC2150" s="333"/>
      <c r="AD2150" s="329"/>
      <c r="AE2150" s="331"/>
      <c r="AF2150" s="336"/>
      <c r="AG2150" s="337"/>
      <c r="AH2150" s="333"/>
      <c r="AI2150" s="333"/>
      <c r="AJ2150" s="333"/>
      <c r="AK2150" s="333"/>
      <c r="AL2150" s="333"/>
      <c r="AM2150" s="338"/>
      <c r="AN2150" s="333"/>
      <c r="AO2150" s="333"/>
      <c r="AP2150" s="333"/>
      <c r="AQ2150" s="333"/>
      <c r="AR2150" s="333"/>
      <c r="AS2150" s="333"/>
      <c r="AT2150" s="333"/>
      <c r="AU2150" s="329"/>
      <c r="AV2150" s="341"/>
      <c r="AW2150" s="269"/>
      <c r="AX2150" s="334" t="s">
        <v>2869</v>
      </c>
      <c r="AY2150" s="270" t="s">
        <v>695</v>
      </c>
      <c r="AZ2150" s="173" t="s">
        <v>5516</v>
      </c>
      <c r="BA2150" s="265">
        <v>10.0</v>
      </c>
      <c r="BB2150" s="174" t="s">
        <v>245</v>
      </c>
      <c r="BC2150" s="341"/>
      <c r="BD2150" s="308"/>
      <c r="BE2150" s="342"/>
      <c r="BF2150" s="274" t="str">
        <f>IFERROR(__xludf.DUMMYFUNCTION("LOWER(Regexreplace(to_text(E2150),""[^A-Za-z0-9]"","""")&amp;""_""&amp;Regexreplace(to_text(F2150),""[^A-Za-z0-9]"",""""))"),"neptronic_evcbseries")</f>
        <v>neptronic_evcbseries</v>
      </c>
      <c r="BG2150" s="275" t="str">
        <f>IFERROR(__xludf.DUMMYFUNCTION("upper(Regexreplace(to_text(E2150),""[^A-Za-z0-9]"","""")&amp;""-""&amp;Regexreplace(to_text(F2150),""[^A-Za-z0-9]"",""""))"),"NEPTRONIC-EVCBSERIES")</f>
        <v>NEPTRONIC-EVCBSERIES</v>
      </c>
    </row>
    <row r="2151" ht="30.0" customHeight="1">
      <c r="A2151" s="173">
        <v>2143.0</v>
      </c>
      <c r="B2151" s="328" t="s">
        <v>670</v>
      </c>
      <c r="C2151" s="257" t="s">
        <v>7505</v>
      </c>
      <c r="D2151" s="173" t="s">
        <v>7505</v>
      </c>
      <c r="E2151" s="174" t="s">
        <v>2861</v>
      </c>
      <c r="F2151" s="173" t="s">
        <v>2862</v>
      </c>
      <c r="G2151" s="328" t="s">
        <v>673</v>
      </c>
      <c r="H2151" s="328" t="s">
        <v>2863</v>
      </c>
      <c r="I2151" s="258" t="s">
        <v>2864</v>
      </c>
      <c r="J2151" s="259"/>
      <c r="K2151" s="260"/>
      <c r="L2151" s="359"/>
      <c r="M2151" s="359"/>
      <c r="N2151" s="173" t="s">
        <v>679</v>
      </c>
      <c r="O2151" s="173"/>
      <c r="P2151" s="262" t="str">
        <f t="shared" si="1"/>
        <v>IN-BLR-ANANTA-VAV-1723_</v>
      </c>
      <c r="Q2151" s="173" t="s">
        <v>7506</v>
      </c>
      <c r="R2151" s="328" t="str">
        <f>IFS(C2151="","",C2151="n/a","N/A",LEN(C2151),Concatenate("{",char(34),"asset",char(34),":{",char(34),"guid",char(34),":",char(34),Q2151,char(34),",",char(34),"site",char(34),":",char(34),LOWER('2-Building'!$B$4),char(34),",",char(34),"name",char(34),":",char(34),LOWER(C2151),char(34),"}}"))</f>
        <v>{"asset":{"guid":"uuid://99d926fa-e0dc-41f6-a5c9-bd396ac67b6c","site":"in-blr-ananta","name":"vav-1723"}}</v>
      </c>
      <c r="S2151" s="360" t="s">
        <v>5516</v>
      </c>
      <c r="T2151" s="330"/>
      <c r="U2151" s="330"/>
      <c r="V2151" s="331"/>
      <c r="W2151" s="332"/>
      <c r="X2151" s="333"/>
      <c r="Y2151" s="33" t="s">
        <v>2867</v>
      </c>
      <c r="Z2151" s="258">
        <v>121723.0</v>
      </c>
      <c r="AA2151" s="333"/>
      <c r="AB2151" s="333"/>
      <c r="AC2151" s="333"/>
      <c r="AD2151" s="329"/>
      <c r="AE2151" s="331"/>
      <c r="AF2151" s="336"/>
      <c r="AG2151" s="337"/>
      <c r="AH2151" s="333"/>
      <c r="AI2151" s="333"/>
      <c r="AJ2151" s="333"/>
      <c r="AK2151" s="333"/>
      <c r="AL2151" s="333"/>
      <c r="AM2151" s="338"/>
      <c r="AN2151" s="333"/>
      <c r="AO2151" s="333"/>
      <c r="AP2151" s="333"/>
      <c r="AQ2151" s="333"/>
      <c r="AR2151" s="333"/>
      <c r="AS2151" s="333"/>
      <c r="AT2151" s="333"/>
      <c r="AU2151" s="329"/>
      <c r="AV2151" s="341"/>
      <c r="AW2151" s="269"/>
      <c r="AX2151" s="334" t="s">
        <v>2869</v>
      </c>
      <c r="AY2151" s="270" t="s">
        <v>695</v>
      </c>
      <c r="AZ2151" s="173" t="s">
        <v>5516</v>
      </c>
      <c r="BA2151" s="265">
        <v>10.0</v>
      </c>
      <c r="BB2151" s="174" t="s">
        <v>245</v>
      </c>
      <c r="BC2151" s="341"/>
      <c r="BD2151" s="308"/>
      <c r="BE2151" s="342"/>
      <c r="BF2151" s="274" t="str">
        <f>IFERROR(__xludf.DUMMYFUNCTION("LOWER(Regexreplace(to_text(E2151),""[^A-Za-z0-9]"","""")&amp;""_""&amp;Regexreplace(to_text(F2151),""[^A-Za-z0-9]"",""""))"),"neptronic_evcbseries")</f>
        <v>neptronic_evcbseries</v>
      </c>
      <c r="BG2151" s="275" t="str">
        <f>IFERROR(__xludf.DUMMYFUNCTION("upper(Regexreplace(to_text(E2151),""[^A-Za-z0-9]"","""")&amp;""-""&amp;Regexreplace(to_text(F2151),""[^A-Za-z0-9]"",""""))"),"NEPTRONIC-EVCBSERIES")</f>
        <v>NEPTRONIC-EVCBSERIES</v>
      </c>
    </row>
    <row r="2152" ht="30.0" customHeight="1">
      <c r="A2152" s="258">
        <v>2144.0</v>
      </c>
      <c r="B2152" s="328" t="s">
        <v>670</v>
      </c>
      <c r="C2152" s="257" t="s">
        <v>7507</v>
      </c>
      <c r="D2152" s="173" t="s">
        <v>7507</v>
      </c>
      <c r="E2152" s="174" t="s">
        <v>2861</v>
      </c>
      <c r="F2152" s="173" t="s">
        <v>2862</v>
      </c>
      <c r="G2152" s="328" t="s">
        <v>673</v>
      </c>
      <c r="H2152" s="328" t="s">
        <v>2863</v>
      </c>
      <c r="I2152" s="258" t="s">
        <v>2864</v>
      </c>
      <c r="J2152" s="259"/>
      <c r="K2152" s="260"/>
      <c r="L2152" s="359"/>
      <c r="M2152" s="359"/>
      <c r="N2152" s="173" t="s">
        <v>679</v>
      </c>
      <c r="O2152" s="173"/>
      <c r="P2152" s="262" t="str">
        <f t="shared" si="1"/>
        <v>IN-BLR-ANANTA-VAV-1724_</v>
      </c>
      <c r="Q2152" s="173" t="s">
        <v>7508</v>
      </c>
      <c r="R2152" s="328" t="str">
        <f>IFS(C2152="","",C2152="n/a","N/A",LEN(C2152),Concatenate("{",char(34),"asset",char(34),":{",char(34),"guid",char(34),":",char(34),Q2152,char(34),",",char(34),"site",char(34),":",char(34),LOWER('2-Building'!$B$4),char(34),",",char(34),"name",char(34),":",char(34),LOWER(C2152),char(34),"}}"))</f>
        <v>{"asset":{"guid":"uuid://bdb1bdc2-2cc3-4703-8224-68c9de87e68d","site":"in-blr-ananta","name":"vav-1724"}}</v>
      </c>
      <c r="S2152" s="360" t="s">
        <v>5516</v>
      </c>
      <c r="T2152" s="330"/>
      <c r="U2152" s="330"/>
      <c r="V2152" s="331"/>
      <c r="W2152" s="332"/>
      <c r="X2152" s="333"/>
      <c r="Y2152" s="33" t="s">
        <v>2867</v>
      </c>
      <c r="Z2152" s="258">
        <v>121724.0</v>
      </c>
      <c r="AA2152" s="333"/>
      <c r="AB2152" s="333"/>
      <c r="AC2152" s="333"/>
      <c r="AD2152" s="329"/>
      <c r="AE2152" s="331"/>
      <c r="AF2152" s="336"/>
      <c r="AG2152" s="337"/>
      <c r="AH2152" s="333"/>
      <c r="AI2152" s="333"/>
      <c r="AJ2152" s="333"/>
      <c r="AK2152" s="333"/>
      <c r="AL2152" s="333"/>
      <c r="AM2152" s="338"/>
      <c r="AN2152" s="333"/>
      <c r="AO2152" s="333"/>
      <c r="AP2152" s="333"/>
      <c r="AQ2152" s="333"/>
      <c r="AR2152" s="333"/>
      <c r="AS2152" s="333"/>
      <c r="AT2152" s="333"/>
      <c r="AU2152" s="329"/>
      <c r="AV2152" s="341"/>
      <c r="AW2152" s="269"/>
      <c r="AX2152" s="334" t="s">
        <v>2869</v>
      </c>
      <c r="AY2152" s="270" t="s">
        <v>695</v>
      </c>
      <c r="AZ2152" s="173" t="s">
        <v>5516</v>
      </c>
      <c r="BA2152" s="265">
        <v>10.0</v>
      </c>
      <c r="BB2152" s="174" t="s">
        <v>245</v>
      </c>
      <c r="BC2152" s="341"/>
      <c r="BD2152" s="308"/>
      <c r="BE2152" s="342"/>
      <c r="BF2152" s="274" t="str">
        <f>IFERROR(__xludf.DUMMYFUNCTION("LOWER(Regexreplace(to_text(E2152),""[^A-Za-z0-9]"","""")&amp;""_""&amp;Regexreplace(to_text(F2152),""[^A-Za-z0-9]"",""""))"),"neptronic_evcbseries")</f>
        <v>neptronic_evcbseries</v>
      </c>
      <c r="BG2152" s="275" t="str">
        <f>IFERROR(__xludf.DUMMYFUNCTION("upper(Regexreplace(to_text(E2152),""[^A-Za-z0-9]"","""")&amp;""-""&amp;Regexreplace(to_text(F2152),""[^A-Za-z0-9]"",""""))"),"NEPTRONIC-EVCBSERIES")</f>
        <v>NEPTRONIC-EVCBSERIES</v>
      </c>
    </row>
    <row r="2153" ht="30.0" customHeight="1">
      <c r="A2153" s="173">
        <v>2145.0</v>
      </c>
      <c r="B2153" s="328" t="s">
        <v>670</v>
      </c>
      <c r="C2153" s="257" t="s">
        <v>7509</v>
      </c>
      <c r="D2153" s="173" t="s">
        <v>7509</v>
      </c>
      <c r="E2153" s="174" t="s">
        <v>2861</v>
      </c>
      <c r="F2153" s="173" t="s">
        <v>2862</v>
      </c>
      <c r="G2153" s="328" t="s">
        <v>673</v>
      </c>
      <c r="H2153" s="328" t="s">
        <v>2863</v>
      </c>
      <c r="I2153" s="258" t="s">
        <v>2864</v>
      </c>
      <c r="J2153" s="259"/>
      <c r="K2153" s="260"/>
      <c r="L2153" s="359"/>
      <c r="M2153" s="359"/>
      <c r="N2153" s="173" t="s">
        <v>679</v>
      </c>
      <c r="O2153" s="173"/>
      <c r="P2153" s="262" t="str">
        <f t="shared" si="1"/>
        <v>IN-BLR-ANANTA-VAV-1725_</v>
      </c>
      <c r="Q2153" s="173" t="s">
        <v>7510</v>
      </c>
      <c r="R2153" s="328" t="str">
        <f>IFS(C2153="","",C2153="n/a","N/A",LEN(C2153),Concatenate("{",char(34),"asset",char(34),":{",char(34),"guid",char(34),":",char(34),Q2153,char(34),",",char(34),"site",char(34),":",char(34),LOWER('2-Building'!$B$4),char(34),",",char(34),"name",char(34),":",char(34),LOWER(C2153),char(34),"}}"))</f>
        <v>{"asset":{"guid":"uuid://9da1a7ae-5bf1-4c5b-bad2-ca31340d06dc","site":"in-blr-ananta","name":"vav-1725"}}</v>
      </c>
      <c r="S2153" s="360" t="s">
        <v>5516</v>
      </c>
      <c r="T2153" s="330"/>
      <c r="U2153" s="330"/>
      <c r="V2153" s="331"/>
      <c r="W2153" s="332"/>
      <c r="X2153" s="333"/>
      <c r="Y2153" s="33" t="s">
        <v>2867</v>
      </c>
      <c r="Z2153" s="258">
        <v>121725.0</v>
      </c>
      <c r="AA2153" s="333"/>
      <c r="AB2153" s="333"/>
      <c r="AC2153" s="333"/>
      <c r="AD2153" s="329"/>
      <c r="AE2153" s="331"/>
      <c r="AF2153" s="336"/>
      <c r="AG2153" s="337"/>
      <c r="AH2153" s="333"/>
      <c r="AI2153" s="333"/>
      <c r="AJ2153" s="333"/>
      <c r="AK2153" s="333"/>
      <c r="AL2153" s="333"/>
      <c r="AM2153" s="338"/>
      <c r="AN2153" s="333"/>
      <c r="AO2153" s="333"/>
      <c r="AP2153" s="333"/>
      <c r="AQ2153" s="333"/>
      <c r="AR2153" s="333"/>
      <c r="AS2153" s="333"/>
      <c r="AT2153" s="333"/>
      <c r="AU2153" s="329"/>
      <c r="AV2153" s="341"/>
      <c r="AW2153" s="269"/>
      <c r="AX2153" s="334" t="s">
        <v>2869</v>
      </c>
      <c r="AY2153" s="270" t="s">
        <v>695</v>
      </c>
      <c r="AZ2153" s="173" t="s">
        <v>5516</v>
      </c>
      <c r="BA2153" s="265">
        <v>10.0</v>
      </c>
      <c r="BB2153" s="174" t="s">
        <v>245</v>
      </c>
      <c r="BC2153" s="341"/>
      <c r="BD2153" s="308"/>
      <c r="BE2153" s="342"/>
      <c r="BF2153" s="274" t="str">
        <f>IFERROR(__xludf.DUMMYFUNCTION("LOWER(Regexreplace(to_text(E2153),""[^A-Za-z0-9]"","""")&amp;""_""&amp;Regexreplace(to_text(F2153),""[^A-Za-z0-9]"",""""))"),"neptronic_evcbseries")</f>
        <v>neptronic_evcbseries</v>
      </c>
      <c r="BG2153" s="275" t="str">
        <f>IFERROR(__xludf.DUMMYFUNCTION("upper(Regexreplace(to_text(E2153),""[^A-Za-z0-9]"","""")&amp;""-""&amp;Regexreplace(to_text(F2153),""[^A-Za-z0-9]"",""""))"),"NEPTRONIC-EVCBSERIES")</f>
        <v>NEPTRONIC-EVCBSERIES</v>
      </c>
    </row>
    <row r="2154" ht="30.0" customHeight="1">
      <c r="A2154" s="258">
        <v>2146.0</v>
      </c>
      <c r="B2154" s="328" t="s">
        <v>670</v>
      </c>
      <c r="C2154" s="257" t="s">
        <v>7511</v>
      </c>
      <c r="D2154" s="173" t="s">
        <v>7511</v>
      </c>
      <c r="E2154" s="174" t="s">
        <v>2861</v>
      </c>
      <c r="F2154" s="173" t="s">
        <v>2862</v>
      </c>
      <c r="G2154" s="328" t="s">
        <v>673</v>
      </c>
      <c r="H2154" s="328" t="s">
        <v>2863</v>
      </c>
      <c r="I2154" s="258" t="s">
        <v>2864</v>
      </c>
      <c r="J2154" s="259"/>
      <c r="K2154" s="260"/>
      <c r="L2154" s="359"/>
      <c r="M2154" s="359"/>
      <c r="N2154" s="173" t="s">
        <v>679</v>
      </c>
      <c r="O2154" s="173"/>
      <c r="P2154" s="262" t="str">
        <f t="shared" si="1"/>
        <v>IN-BLR-ANANTA-VAV-1726_</v>
      </c>
      <c r="Q2154" s="173" t="s">
        <v>7512</v>
      </c>
      <c r="R2154" s="328" t="str">
        <f>IFS(C2154="","",C2154="n/a","N/A",LEN(C2154),Concatenate("{",char(34),"asset",char(34),":{",char(34),"guid",char(34),":",char(34),Q2154,char(34),",",char(34),"site",char(34),":",char(34),LOWER('2-Building'!$B$4),char(34),",",char(34),"name",char(34),":",char(34),LOWER(C2154),char(34),"}}"))</f>
        <v>{"asset":{"guid":"uuid://b911aa1a-fe5d-4501-beb0-80bce4975e95","site":"in-blr-ananta","name":"vav-1726"}}</v>
      </c>
      <c r="S2154" s="360" t="s">
        <v>5516</v>
      </c>
      <c r="T2154" s="330"/>
      <c r="U2154" s="330"/>
      <c r="V2154" s="331"/>
      <c r="W2154" s="332"/>
      <c r="X2154" s="333"/>
      <c r="Y2154" s="33" t="s">
        <v>2867</v>
      </c>
      <c r="Z2154" s="258">
        <v>121726.0</v>
      </c>
      <c r="AA2154" s="333"/>
      <c r="AB2154" s="333"/>
      <c r="AC2154" s="333"/>
      <c r="AD2154" s="329"/>
      <c r="AE2154" s="331"/>
      <c r="AF2154" s="336"/>
      <c r="AG2154" s="337"/>
      <c r="AH2154" s="333"/>
      <c r="AI2154" s="333"/>
      <c r="AJ2154" s="333"/>
      <c r="AK2154" s="333"/>
      <c r="AL2154" s="333"/>
      <c r="AM2154" s="338"/>
      <c r="AN2154" s="333"/>
      <c r="AO2154" s="333"/>
      <c r="AP2154" s="333"/>
      <c r="AQ2154" s="333"/>
      <c r="AR2154" s="333"/>
      <c r="AS2154" s="333"/>
      <c r="AT2154" s="333"/>
      <c r="AU2154" s="329"/>
      <c r="AV2154" s="341"/>
      <c r="AW2154" s="269"/>
      <c r="AX2154" s="334" t="s">
        <v>2869</v>
      </c>
      <c r="AY2154" s="270" t="s">
        <v>695</v>
      </c>
      <c r="AZ2154" s="173" t="s">
        <v>5516</v>
      </c>
      <c r="BA2154" s="265">
        <v>10.0</v>
      </c>
      <c r="BB2154" s="174" t="s">
        <v>245</v>
      </c>
      <c r="BC2154" s="341"/>
      <c r="BD2154" s="308"/>
      <c r="BE2154" s="342"/>
      <c r="BF2154" s="274" t="str">
        <f>IFERROR(__xludf.DUMMYFUNCTION("LOWER(Regexreplace(to_text(E2154),""[^A-Za-z0-9]"","""")&amp;""_""&amp;Regexreplace(to_text(F2154),""[^A-Za-z0-9]"",""""))"),"neptronic_evcbseries")</f>
        <v>neptronic_evcbseries</v>
      </c>
      <c r="BG2154" s="275" t="str">
        <f>IFERROR(__xludf.DUMMYFUNCTION("upper(Regexreplace(to_text(E2154),""[^A-Za-z0-9]"","""")&amp;""-""&amp;Regexreplace(to_text(F2154),""[^A-Za-z0-9]"",""""))"),"NEPTRONIC-EVCBSERIES")</f>
        <v>NEPTRONIC-EVCBSERIES</v>
      </c>
    </row>
    <row r="2155" ht="30.0" customHeight="1">
      <c r="A2155" s="173">
        <v>2147.0</v>
      </c>
      <c r="B2155" s="328" t="s">
        <v>670</v>
      </c>
      <c r="C2155" s="257" t="s">
        <v>7513</v>
      </c>
      <c r="D2155" s="173" t="s">
        <v>7513</v>
      </c>
      <c r="E2155" s="174" t="s">
        <v>2861</v>
      </c>
      <c r="F2155" s="173" t="s">
        <v>2862</v>
      </c>
      <c r="G2155" s="328" t="s">
        <v>673</v>
      </c>
      <c r="H2155" s="328" t="s">
        <v>2863</v>
      </c>
      <c r="I2155" s="258" t="s">
        <v>2864</v>
      </c>
      <c r="J2155" s="259"/>
      <c r="K2155" s="260"/>
      <c r="L2155" s="359"/>
      <c r="M2155" s="359"/>
      <c r="N2155" s="173" t="s">
        <v>679</v>
      </c>
      <c r="O2155" s="173"/>
      <c r="P2155" s="262" t="str">
        <f t="shared" si="1"/>
        <v>IN-BLR-ANANTA-VAV-1727_</v>
      </c>
      <c r="Q2155" s="173" t="s">
        <v>7514</v>
      </c>
      <c r="R2155" s="328" t="str">
        <f>IFS(C2155="","",C2155="n/a","N/A",LEN(C2155),Concatenate("{",char(34),"asset",char(34),":{",char(34),"guid",char(34),":",char(34),Q2155,char(34),",",char(34),"site",char(34),":",char(34),LOWER('2-Building'!$B$4),char(34),",",char(34),"name",char(34),":",char(34),LOWER(C2155),char(34),"}}"))</f>
        <v>{"asset":{"guid":"uuid://26a3ae10-42b5-4205-b2f2-98bcaae4a2fc","site":"in-blr-ananta","name":"vav-1727"}}</v>
      </c>
      <c r="S2155" s="360" t="s">
        <v>5516</v>
      </c>
      <c r="T2155" s="330"/>
      <c r="U2155" s="330"/>
      <c r="V2155" s="331"/>
      <c r="W2155" s="332"/>
      <c r="X2155" s="333"/>
      <c r="Y2155" s="33" t="s">
        <v>2867</v>
      </c>
      <c r="Z2155" s="258">
        <v>121727.0</v>
      </c>
      <c r="AA2155" s="333"/>
      <c r="AB2155" s="333"/>
      <c r="AC2155" s="333"/>
      <c r="AD2155" s="329"/>
      <c r="AE2155" s="331"/>
      <c r="AF2155" s="336"/>
      <c r="AG2155" s="337"/>
      <c r="AH2155" s="333"/>
      <c r="AI2155" s="333"/>
      <c r="AJ2155" s="333"/>
      <c r="AK2155" s="333"/>
      <c r="AL2155" s="333"/>
      <c r="AM2155" s="338"/>
      <c r="AN2155" s="333"/>
      <c r="AO2155" s="333"/>
      <c r="AP2155" s="333"/>
      <c r="AQ2155" s="333"/>
      <c r="AR2155" s="333"/>
      <c r="AS2155" s="333"/>
      <c r="AT2155" s="333"/>
      <c r="AU2155" s="329"/>
      <c r="AV2155" s="341"/>
      <c r="AW2155" s="269"/>
      <c r="AX2155" s="334" t="s">
        <v>2869</v>
      </c>
      <c r="AY2155" s="270" t="s">
        <v>695</v>
      </c>
      <c r="AZ2155" s="173" t="s">
        <v>5516</v>
      </c>
      <c r="BA2155" s="265">
        <v>10.0</v>
      </c>
      <c r="BB2155" s="174" t="s">
        <v>245</v>
      </c>
      <c r="BC2155" s="341"/>
      <c r="BD2155" s="308"/>
      <c r="BE2155" s="342"/>
      <c r="BF2155" s="274" t="str">
        <f>IFERROR(__xludf.DUMMYFUNCTION("LOWER(Regexreplace(to_text(E2155),""[^A-Za-z0-9]"","""")&amp;""_""&amp;Regexreplace(to_text(F2155),""[^A-Za-z0-9]"",""""))"),"neptronic_evcbseries")</f>
        <v>neptronic_evcbseries</v>
      </c>
      <c r="BG2155" s="275" t="str">
        <f>IFERROR(__xludf.DUMMYFUNCTION("upper(Regexreplace(to_text(E2155),""[^A-Za-z0-9]"","""")&amp;""-""&amp;Regexreplace(to_text(F2155),""[^A-Za-z0-9]"",""""))"),"NEPTRONIC-EVCBSERIES")</f>
        <v>NEPTRONIC-EVCBSERIES</v>
      </c>
    </row>
    <row r="2156" ht="30.0" customHeight="1">
      <c r="A2156" s="258">
        <v>2148.0</v>
      </c>
      <c r="B2156" s="328" t="s">
        <v>670</v>
      </c>
      <c r="C2156" s="257" t="s">
        <v>7515</v>
      </c>
      <c r="D2156" s="173" t="s">
        <v>7515</v>
      </c>
      <c r="E2156" s="174" t="s">
        <v>2861</v>
      </c>
      <c r="F2156" s="173" t="s">
        <v>2862</v>
      </c>
      <c r="G2156" s="328" t="s">
        <v>673</v>
      </c>
      <c r="H2156" s="328" t="s">
        <v>2863</v>
      </c>
      <c r="I2156" s="258" t="s">
        <v>2864</v>
      </c>
      <c r="J2156" s="259"/>
      <c r="K2156" s="260"/>
      <c r="L2156" s="359"/>
      <c r="M2156" s="359"/>
      <c r="N2156" s="173" t="s">
        <v>679</v>
      </c>
      <c r="O2156" s="173"/>
      <c r="P2156" s="262" t="str">
        <f t="shared" si="1"/>
        <v>IN-BLR-ANANTA-VAV-1728_</v>
      </c>
      <c r="Q2156" s="173" t="s">
        <v>7516</v>
      </c>
      <c r="R2156" s="328" t="str">
        <f>IFS(C2156="","",C2156="n/a","N/A",LEN(C2156),Concatenate("{",char(34),"asset",char(34),":{",char(34),"guid",char(34),":",char(34),Q2156,char(34),",",char(34),"site",char(34),":",char(34),LOWER('2-Building'!$B$4),char(34),",",char(34),"name",char(34),":",char(34),LOWER(C2156),char(34),"}}"))</f>
        <v>{"asset":{"guid":"uuid://fcc3e677-6a60-4a99-b2b0-db06cb5ade37","site":"in-blr-ananta","name":"vav-1728"}}</v>
      </c>
      <c r="S2156" s="360" t="s">
        <v>5516</v>
      </c>
      <c r="T2156" s="330"/>
      <c r="U2156" s="330"/>
      <c r="V2156" s="331"/>
      <c r="W2156" s="332"/>
      <c r="X2156" s="333"/>
      <c r="Y2156" s="33" t="s">
        <v>2867</v>
      </c>
      <c r="Z2156" s="258">
        <v>121728.0</v>
      </c>
      <c r="AA2156" s="333"/>
      <c r="AB2156" s="333"/>
      <c r="AC2156" s="333"/>
      <c r="AD2156" s="329"/>
      <c r="AE2156" s="331"/>
      <c r="AF2156" s="336"/>
      <c r="AG2156" s="337"/>
      <c r="AH2156" s="333"/>
      <c r="AI2156" s="333"/>
      <c r="AJ2156" s="333"/>
      <c r="AK2156" s="333"/>
      <c r="AL2156" s="333"/>
      <c r="AM2156" s="338"/>
      <c r="AN2156" s="333"/>
      <c r="AO2156" s="333"/>
      <c r="AP2156" s="333"/>
      <c r="AQ2156" s="333"/>
      <c r="AR2156" s="333"/>
      <c r="AS2156" s="333"/>
      <c r="AT2156" s="333"/>
      <c r="AU2156" s="329"/>
      <c r="AV2156" s="341"/>
      <c r="AW2156" s="269"/>
      <c r="AX2156" s="334" t="s">
        <v>2869</v>
      </c>
      <c r="AY2156" s="270" t="s">
        <v>695</v>
      </c>
      <c r="AZ2156" s="173" t="s">
        <v>5516</v>
      </c>
      <c r="BA2156" s="265">
        <v>10.0</v>
      </c>
      <c r="BB2156" s="174" t="s">
        <v>245</v>
      </c>
      <c r="BC2156" s="341"/>
      <c r="BD2156" s="308"/>
      <c r="BE2156" s="342"/>
      <c r="BF2156" s="274" t="str">
        <f>IFERROR(__xludf.DUMMYFUNCTION("LOWER(Regexreplace(to_text(E2156),""[^A-Za-z0-9]"","""")&amp;""_""&amp;Regexreplace(to_text(F2156),""[^A-Za-z0-9]"",""""))"),"neptronic_evcbseries")</f>
        <v>neptronic_evcbseries</v>
      </c>
      <c r="BG2156" s="275" t="str">
        <f>IFERROR(__xludf.DUMMYFUNCTION("upper(Regexreplace(to_text(E2156),""[^A-Za-z0-9]"","""")&amp;""-""&amp;Regexreplace(to_text(F2156),""[^A-Za-z0-9]"",""""))"),"NEPTRONIC-EVCBSERIES")</f>
        <v>NEPTRONIC-EVCBSERIES</v>
      </c>
    </row>
    <row r="2157" ht="30.0" customHeight="1">
      <c r="A2157" s="173">
        <v>2149.0</v>
      </c>
      <c r="B2157" s="328" t="s">
        <v>670</v>
      </c>
      <c r="C2157" s="257" t="s">
        <v>7517</v>
      </c>
      <c r="D2157" s="173" t="s">
        <v>7517</v>
      </c>
      <c r="E2157" s="174" t="s">
        <v>2861</v>
      </c>
      <c r="F2157" s="173" t="s">
        <v>2862</v>
      </c>
      <c r="G2157" s="328" t="s">
        <v>673</v>
      </c>
      <c r="H2157" s="328" t="s">
        <v>2863</v>
      </c>
      <c r="I2157" s="258" t="s">
        <v>2864</v>
      </c>
      <c r="J2157" s="259"/>
      <c r="K2157" s="260"/>
      <c r="L2157" s="359"/>
      <c r="M2157" s="359"/>
      <c r="N2157" s="173" t="s">
        <v>679</v>
      </c>
      <c r="O2157" s="173"/>
      <c r="P2157" s="262" t="str">
        <f t="shared" si="1"/>
        <v>IN-BLR-ANANTA-VAV-1729_</v>
      </c>
      <c r="Q2157" s="173" t="s">
        <v>7518</v>
      </c>
      <c r="R2157" s="328" t="str">
        <f>IFS(C2157="","",C2157="n/a","N/A",LEN(C2157),Concatenate("{",char(34),"asset",char(34),":{",char(34),"guid",char(34),":",char(34),Q2157,char(34),",",char(34),"site",char(34),":",char(34),LOWER('2-Building'!$B$4),char(34),",",char(34),"name",char(34),":",char(34),LOWER(C2157),char(34),"}}"))</f>
        <v>{"asset":{"guid":"uuid://99bf8345-64b4-44d2-80bf-240bca15e9ad","site":"in-blr-ananta","name":"vav-1729"}}</v>
      </c>
      <c r="S2157" s="360" t="s">
        <v>5516</v>
      </c>
      <c r="T2157" s="330"/>
      <c r="U2157" s="330"/>
      <c r="V2157" s="331"/>
      <c r="W2157" s="332"/>
      <c r="X2157" s="333"/>
      <c r="Y2157" s="33" t="s">
        <v>2867</v>
      </c>
      <c r="Z2157" s="258">
        <v>121729.0</v>
      </c>
      <c r="AA2157" s="333"/>
      <c r="AB2157" s="333"/>
      <c r="AC2157" s="333"/>
      <c r="AD2157" s="329"/>
      <c r="AE2157" s="331"/>
      <c r="AF2157" s="336"/>
      <c r="AG2157" s="337"/>
      <c r="AH2157" s="333"/>
      <c r="AI2157" s="333"/>
      <c r="AJ2157" s="333"/>
      <c r="AK2157" s="333"/>
      <c r="AL2157" s="333"/>
      <c r="AM2157" s="338"/>
      <c r="AN2157" s="333"/>
      <c r="AO2157" s="333"/>
      <c r="AP2157" s="333"/>
      <c r="AQ2157" s="333"/>
      <c r="AR2157" s="333"/>
      <c r="AS2157" s="333"/>
      <c r="AT2157" s="333"/>
      <c r="AU2157" s="329"/>
      <c r="AV2157" s="341"/>
      <c r="AW2157" s="269"/>
      <c r="AX2157" s="334" t="s">
        <v>2869</v>
      </c>
      <c r="AY2157" s="270" t="s">
        <v>695</v>
      </c>
      <c r="AZ2157" s="173" t="s">
        <v>5516</v>
      </c>
      <c r="BA2157" s="265">
        <v>10.0</v>
      </c>
      <c r="BB2157" s="174" t="s">
        <v>245</v>
      </c>
      <c r="BC2157" s="341"/>
      <c r="BD2157" s="308"/>
      <c r="BE2157" s="342"/>
      <c r="BF2157" s="274" t="str">
        <f>IFERROR(__xludf.DUMMYFUNCTION("LOWER(Regexreplace(to_text(E2157),""[^A-Za-z0-9]"","""")&amp;""_""&amp;Regexreplace(to_text(F2157),""[^A-Za-z0-9]"",""""))"),"neptronic_evcbseries")</f>
        <v>neptronic_evcbseries</v>
      </c>
      <c r="BG2157" s="275" t="str">
        <f>IFERROR(__xludf.DUMMYFUNCTION("upper(Regexreplace(to_text(E2157),""[^A-Za-z0-9]"","""")&amp;""-""&amp;Regexreplace(to_text(F2157),""[^A-Za-z0-9]"",""""))"),"NEPTRONIC-EVCBSERIES")</f>
        <v>NEPTRONIC-EVCBSERIES</v>
      </c>
    </row>
    <row r="2158" ht="30.0" customHeight="1">
      <c r="A2158" s="258">
        <v>2150.0</v>
      </c>
      <c r="B2158" s="328" t="s">
        <v>670</v>
      </c>
      <c r="C2158" s="257" t="s">
        <v>7519</v>
      </c>
      <c r="D2158" s="173" t="s">
        <v>7519</v>
      </c>
      <c r="E2158" s="174" t="s">
        <v>2861</v>
      </c>
      <c r="F2158" s="173" t="s">
        <v>2862</v>
      </c>
      <c r="G2158" s="328" t="s">
        <v>673</v>
      </c>
      <c r="H2158" s="328" t="s">
        <v>2863</v>
      </c>
      <c r="I2158" s="258" t="s">
        <v>2864</v>
      </c>
      <c r="J2158" s="259"/>
      <c r="K2158" s="260"/>
      <c r="L2158" s="359"/>
      <c r="M2158" s="359"/>
      <c r="N2158" s="173" t="s">
        <v>679</v>
      </c>
      <c r="O2158" s="173"/>
      <c r="P2158" s="262" t="str">
        <f t="shared" si="1"/>
        <v>IN-BLR-ANANTA-VAV-1730_</v>
      </c>
      <c r="Q2158" s="173" t="s">
        <v>7520</v>
      </c>
      <c r="R2158" s="328" t="str">
        <f>IFS(C2158="","",C2158="n/a","N/A",LEN(C2158),Concatenate("{",char(34),"asset",char(34),":{",char(34),"guid",char(34),":",char(34),Q2158,char(34),",",char(34),"site",char(34),":",char(34),LOWER('2-Building'!$B$4),char(34),",",char(34),"name",char(34),":",char(34),LOWER(C2158),char(34),"}}"))</f>
        <v>{"asset":{"guid":"uuid://2f0365ef-d3e3-4f89-93a1-a3b488aa7b9e","site":"in-blr-ananta","name":"vav-1730"}}</v>
      </c>
      <c r="S2158" s="360" t="s">
        <v>5516</v>
      </c>
      <c r="T2158" s="330"/>
      <c r="U2158" s="330"/>
      <c r="V2158" s="331"/>
      <c r="W2158" s="332"/>
      <c r="X2158" s="333"/>
      <c r="Y2158" s="33" t="s">
        <v>2867</v>
      </c>
      <c r="Z2158" s="258">
        <v>121730.0</v>
      </c>
      <c r="AA2158" s="333"/>
      <c r="AB2158" s="333"/>
      <c r="AC2158" s="333"/>
      <c r="AD2158" s="329"/>
      <c r="AE2158" s="362" t="s">
        <v>685</v>
      </c>
      <c r="AF2158" s="336"/>
      <c r="AG2158" s="337"/>
      <c r="AH2158" s="333"/>
      <c r="AI2158" s="333"/>
      <c r="AJ2158" s="333"/>
      <c r="AK2158" s="328" t="s">
        <v>7521</v>
      </c>
      <c r="AL2158" s="328" t="s">
        <v>688</v>
      </c>
      <c r="AM2158" s="338"/>
      <c r="AN2158" s="333"/>
      <c r="AO2158" s="333"/>
      <c r="AP2158" s="333"/>
      <c r="AQ2158" s="333"/>
      <c r="AR2158" s="333"/>
      <c r="AS2158" s="333"/>
      <c r="AT2158" s="333"/>
      <c r="AU2158" s="329"/>
      <c r="AV2158" s="341"/>
      <c r="AW2158" s="269"/>
      <c r="AX2158" s="334" t="s">
        <v>2869</v>
      </c>
      <c r="AY2158" s="270" t="s">
        <v>695</v>
      </c>
      <c r="AZ2158" s="173" t="s">
        <v>5516</v>
      </c>
      <c r="BA2158" s="265">
        <v>10.0</v>
      </c>
      <c r="BB2158" s="174" t="s">
        <v>245</v>
      </c>
      <c r="BC2158" s="341"/>
      <c r="BD2158" s="308"/>
      <c r="BE2158" s="342"/>
      <c r="BF2158" s="274" t="str">
        <f>IFERROR(__xludf.DUMMYFUNCTION("LOWER(Regexreplace(to_text(E2158),""[^A-Za-z0-9]"","""")&amp;""_""&amp;Regexreplace(to_text(F2158),""[^A-Za-z0-9]"",""""))"),"neptronic_evcbseries")</f>
        <v>neptronic_evcbseries</v>
      </c>
      <c r="BG2158" s="275" t="str">
        <f>IFERROR(__xludf.DUMMYFUNCTION("upper(Regexreplace(to_text(E2158),""[^A-Za-z0-9]"","""")&amp;""-""&amp;Regexreplace(to_text(F2158),""[^A-Za-z0-9]"",""""))"),"NEPTRONIC-EVCBSERIES")</f>
        <v>NEPTRONIC-EVCBSERIES</v>
      </c>
    </row>
    <row r="2159" ht="30.0" customHeight="1">
      <c r="A2159" s="173">
        <v>2151.0</v>
      </c>
      <c r="B2159" s="328" t="s">
        <v>670</v>
      </c>
      <c r="C2159" s="257" t="s">
        <v>7522</v>
      </c>
      <c r="D2159" s="173" t="s">
        <v>7522</v>
      </c>
      <c r="E2159" s="174" t="s">
        <v>2861</v>
      </c>
      <c r="F2159" s="173" t="s">
        <v>2862</v>
      </c>
      <c r="G2159" s="328" t="s">
        <v>673</v>
      </c>
      <c r="H2159" s="328" t="s">
        <v>2863</v>
      </c>
      <c r="I2159" s="258" t="s">
        <v>2864</v>
      </c>
      <c r="J2159" s="259"/>
      <c r="K2159" s="260"/>
      <c r="L2159" s="359"/>
      <c r="M2159" s="359"/>
      <c r="N2159" s="173" t="s">
        <v>679</v>
      </c>
      <c r="O2159" s="173"/>
      <c r="P2159" s="262" t="str">
        <f t="shared" si="1"/>
        <v>IN-BLR-ANANTA-VAV-1731_</v>
      </c>
      <c r="Q2159" s="173" t="s">
        <v>7523</v>
      </c>
      <c r="R2159" s="328" t="str">
        <f>IFS(C2159="","",C2159="n/a","N/A",LEN(C2159),Concatenate("{",char(34),"asset",char(34),":{",char(34),"guid",char(34),":",char(34),Q2159,char(34),",",char(34),"site",char(34),":",char(34),LOWER('2-Building'!$B$4),char(34),",",char(34),"name",char(34),":",char(34),LOWER(C2159),char(34),"}}"))</f>
        <v>{"asset":{"guid":"uuid://cc40713e-1caf-43cf-852c-4b471e77971f","site":"in-blr-ananta","name":"vav-1731"}}</v>
      </c>
      <c r="S2159" s="360" t="s">
        <v>5516</v>
      </c>
      <c r="T2159" s="330"/>
      <c r="U2159" s="330"/>
      <c r="V2159" s="331"/>
      <c r="W2159" s="332"/>
      <c r="X2159" s="333"/>
      <c r="Y2159" s="33" t="s">
        <v>2867</v>
      </c>
      <c r="Z2159" s="258">
        <v>121731.0</v>
      </c>
      <c r="AA2159" s="333"/>
      <c r="AB2159" s="333"/>
      <c r="AC2159" s="333"/>
      <c r="AD2159" s="329"/>
      <c r="AE2159" s="362" t="s">
        <v>685</v>
      </c>
      <c r="AF2159" s="336"/>
      <c r="AG2159" s="337"/>
      <c r="AH2159" s="333"/>
      <c r="AI2159" s="333"/>
      <c r="AJ2159" s="333"/>
      <c r="AK2159" s="328" t="s">
        <v>7524</v>
      </c>
      <c r="AL2159" s="328" t="s">
        <v>688</v>
      </c>
      <c r="AM2159" s="338"/>
      <c r="AN2159" s="333"/>
      <c r="AO2159" s="333"/>
      <c r="AP2159" s="333"/>
      <c r="AQ2159" s="333"/>
      <c r="AR2159" s="333"/>
      <c r="AS2159" s="333"/>
      <c r="AT2159" s="333"/>
      <c r="AU2159" s="329"/>
      <c r="AV2159" s="341"/>
      <c r="AW2159" s="269"/>
      <c r="AX2159" s="334" t="s">
        <v>2869</v>
      </c>
      <c r="AY2159" s="270" t="s">
        <v>695</v>
      </c>
      <c r="AZ2159" s="173" t="s">
        <v>5516</v>
      </c>
      <c r="BA2159" s="265">
        <v>10.0</v>
      </c>
      <c r="BB2159" s="174" t="s">
        <v>245</v>
      </c>
      <c r="BC2159" s="341"/>
      <c r="BD2159" s="308"/>
      <c r="BE2159" s="342"/>
      <c r="BF2159" s="274" t="str">
        <f>IFERROR(__xludf.DUMMYFUNCTION("LOWER(Regexreplace(to_text(E2159),""[^A-Za-z0-9]"","""")&amp;""_""&amp;Regexreplace(to_text(F2159),""[^A-Za-z0-9]"",""""))"),"neptronic_evcbseries")</f>
        <v>neptronic_evcbseries</v>
      </c>
      <c r="BG2159" s="275" t="str">
        <f>IFERROR(__xludf.DUMMYFUNCTION("upper(Regexreplace(to_text(E2159),""[^A-Za-z0-9]"","""")&amp;""-""&amp;Regexreplace(to_text(F2159),""[^A-Za-z0-9]"",""""))"),"NEPTRONIC-EVCBSERIES")</f>
        <v>NEPTRONIC-EVCBSERIES</v>
      </c>
    </row>
    <row r="2160" ht="30.0" customHeight="1">
      <c r="A2160" s="258">
        <v>2152.0</v>
      </c>
      <c r="B2160" s="328" t="s">
        <v>670</v>
      </c>
      <c r="C2160" s="257" t="s">
        <v>7525</v>
      </c>
      <c r="D2160" s="173" t="s">
        <v>7525</v>
      </c>
      <c r="E2160" s="174" t="s">
        <v>2861</v>
      </c>
      <c r="F2160" s="173" t="s">
        <v>2862</v>
      </c>
      <c r="G2160" s="328" t="s">
        <v>673</v>
      </c>
      <c r="H2160" s="328" t="s">
        <v>2863</v>
      </c>
      <c r="I2160" s="258" t="s">
        <v>2864</v>
      </c>
      <c r="J2160" s="259"/>
      <c r="K2160" s="260"/>
      <c r="L2160" s="359"/>
      <c r="M2160" s="359"/>
      <c r="N2160" s="173" t="s">
        <v>679</v>
      </c>
      <c r="O2160" s="173"/>
      <c r="P2160" s="262" t="str">
        <f t="shared" si="1"/>
        <v>IN-BLR-ANANTA-VAV-1732_</v>
      </c>
      <c r="Q2160" s="173" t="s">
        <v>7526</v>
      </c>
      <c r="R2160" s="328" t="str">
        <f>IFS(C2160="","",C2160="n/a","N/A",LEN(C2160),Concatenate("{",char(34),"asset",char(34),":{",char(34),"guid",char(34),":",char(34),Q2160,char(34),",",char(34),"site",char(34),":",char(34),LOWER('2-Building'!$B$4),char(34),",",char(34),"name",char(34),":",char(34),LOWER(C2160),char(34),"}}"))</f>
        <v>{"asset":{"guid":"uuid://48f9a05f-1b27-4149-af49-7800adce19b3","site":"in-blr-ananta","name":"vav-1732"}}</v>
      </c>
      <c r="S2160" s="360" t="s">
        <v>5516</v>
      </c>
      <c r="T2160" s="330"/>
      <c r="U2160" s="330"/>
      <c r="V2160" s="331"/>
      <c r="W2160" s="332"/>
      <c r="X2160" s="333"/>
      <c r="Y2160" s="33" t="s">
        <v>2867</v>
      </c>
      <c r="Z2160" s="258">
        <v>121732.0</v>
      </c>
      <c r="AA2160" s="333"/>
      <c r="AB2160" s="333"/>
      <c r="AC2160" s="333"/>
      <c r="AD2160" s="329"/>
      <c r="AE2160" s="362" t="s">
        <v>685</v>
      </c>
      <c r="AF2160" s="336"/>
      <c r="AG2160" s="337"/>
      <c r="AH2160" s="333"/>
      <c r="AI2160" s="333"/>
      <c r="AJ2160" s="333"/>
      <c r="AK2160" s="328" t="s">
        <v>7527</v>
      </c>
      <c r="AL2160" s="328" t="s">
        <v>688</v>
      </c>
      <c r="AM2160" s="338"/>
      <c r="AN2160" s="333"/>
      <c r="AO2160" s="333"/>
      <c r="AP2160" s="333"/>
      <c r="AQ2160" s="333"/>
      <c r="AR2160" s="333"/>
      <c r="AS2160" s="333"/>
      <c r="AT2160" s="333"/>
      <c r="AU2160" s="329"/>
      <c r="AV2160" s="341"/>
      <c r="AW2160" s="269"/>
      <c r="AX2160" s="334" t="s">
        <v>2869</v>
      </c>
      <c r="AY2160" s="270" t="s">
        <v>695</v>
      </c>
      <c r="AZ2160" s="173" t="s">
        <v>5516</v>
      </c>
      <c r="BA2160" s="265">
        <v>10.0</v>
      </c>
      <c r="BB2160" s="174" t="s">
        <v>245</v>
      </c>
      <c r="BC2160" s="341"/>
      <c r="BD2160" s="308"/>
      <c r="BE2160" s="342"/>
      <c r="BF2160" s="274" t="str">
        <f>IFERROR(__xludf.DUMMYFUNCTION("LOWER(Regexreplace(to_text(E2160),""[^A-Za-z0-9]"","""")&amp;""_""&amp;Regexreplace(to_text(F2160),""[^A-Za-z0-9]"",""""))"),"neptronic_evcbseries")</f>
        <v>neptronic_evcbseries</v>
      </c>
      <c r="BG2160" s="275" t="str">
        <f>IFERROR(__xludf.DUMMYFUNCTION("upper(Regexreplace(to_text(E2160),""[^A-Za-z0-9]"","""")&amp;""-""&amp;Regexreplace(to_text(F2160),""[^A-Za-z0-9]"",""""))"),"NEPTRONIC-EVCBSERIES")</f>
        <v>NEPTRONIC-EVCBSERIES</v>
      </c>
    </row>
    <row r="2161" ht="30.0" customHeight="1">
      <c r="A2161" s="173">
        <v>2153.0</v>
      </c>
      <c r="B2161" s="328" t="s">
        <v>670</v>
      </c>
      <c r="C2161" s="257" t="s">
        <v>7528</v>
      </c>
      <c r="D2161" s="173" t="s">
        <v>7528</v>
      </c>
      <c r="E2161" s="174" t="s">
        <v>2861</v>
      </c>
      <c r="F2161" s="173" t="s">
        <v>2862</v>
      </c>
      <c r="G2161" s="328" t="s">
        <v>673</v>
      </c>
      <c r="H2161" s="328" t="s">
        <v>2863</v>
      </c>
      <c r="I2161" s="258" t="s">
        <v>2864</v>
      </c>
      <c r="J2161" s="259"/>
      <c r="K2161" s="260"/>
      <c r="L2161" s="359"/>
      <c r="M2161" s="359"/>
      <c r="N2161" s="173" t="s">
        <v>679</v>
      </c>
      <c r="O2161" s="173"/>
      <c r="P2161" s="262" t="str">
        <f t="shared" si="1"/>
        <v>IN-BLR-ANANTA-VAV-1733_</v>
      </c>
      <c r="Q2161" s="173" t="s">
        <v>7529</v>
      </c>
      <c r="R2161" s="328" t="str">
        <f>IFS(C2161="","",C2161="n/a","N/A",LEN(C2161),Concatenate("{",char(34),"asset",char(34),":{",char(34),"guid",char(34),":",char(34),Q2161,char(34),",",char(34),"site",char(34),":",char(34),LOWER('2-Building'!$B$4),char(34),",",char(34),"name",char(34),":",char(34),LOWER(C2161),char(34),"}}"))</f>
        <v>{"asset":{"guid":"uuid://6a11fb62-d416-434f-b641-54ed32a944aa","site":"in-blr-ananta","name":"vav-1733"}}</v>
      </c>
      <c r="S2161" s="360" t="s">
        <v>5516</v>
      </c>
      <c r="T2161" s="330"/>
      <c r="U2161" s="330"/>
      <c r="V2161" s="331"/>
      <c r="W2161" s="332"/>
      <c r="X2161" s="333"/>
      <c r="Y2161" s="33" t="s">
        <v>2867</v>
      </c>
      <c r="Z2161" s="258">
        <v>121733.0</v>
      </c>
      <c r="AA2161" s="333"/>
      <c r="AB2161" s="333"/>
      <c r="AC2161" s="333"/>
      <c r="AD2161" s="329"/>
      <c r="AE2161" s="362" t="s">
        <v>685</v>
      </c>
      <c r="AF2161" s="336"/>
      <c r="AG2161" s="337"/>
      <c r="AH2161" s="333"/>
      <c r="AI2161" s="333"/>
      <c r="AJ2161" s="333"/>
      <c r="AK2161" s="328" t="s">
        <v>7530</v>
      </c>
      <c r="AL2161" s="328" t="s">
        <v>688</v>
      </c>
      <c r="AM2161" s="338"/>
      <c r="AN2161" s="333"/>
      <c r="AO2161" s="333"/>
      <c r="AP2161" s="333"/>
      <c r="AQ2161" s="333"/>
      <c r="AR2161" s="333"/>
      <c r="AS2161" s="333"/>
      <c r="AT2161" s="333"/>
      <c r="AU2161" s="329"/>
      <c r="AV2161" s="341"/>
      <c r="AW2161" s="269"/>
      <c r="AX2161" s="334" t="s">
        <v>2869</v>
      </c>
      <c r="AY2161" s="270" t="s">
        <v>695</v>
      </c>
      <c r="AZ2161" s="173" t="s">
        <v>5516</v>
      </c>
      <c r="BA2161" s="265">
        <v>10.0</v>
      </c>
      <c r="BB2161" s="174" t="s">
        <v>245</v>
      </c>
      <c r="BC2161" s="341"/>
      <c r="BD2161" s="308"/>
      <c r="BE2161" s="342"/>
      <c r="BF2161" s="274" t="str">
        <f>IFERROR(__xludf.DUMMYFUNCTION("LOWER(Regexreplace(to_text(E2161),""[^A-Za-z0-9]"","""")&amp;""_""&amp;Regexreplace(to_text(F2161),""[^A-Za-z0-9]"",""""))"),"neptronic_evcbseries")</f>
        <v>neptronic_evcbseries</v>
      </c>
      <c r="BG2161" s="275" t="str">
        <f>IFERROR(__xludf.DUMMYFUNCTION("upper(Regexreplace(to_text(E2161),""[^A-Za-z0-9]"","""")&amp;""-""&amp;Regexreplace(to_text(F2161),""[^A-Za-z0-9]"",""""))"),"NEPTRONIC-EVCBSERIES")</f>
        <v>NEPTRONIC-EVCBSERIES</v>
      </c>
    </row>
    <row r="2162" ht="30.0" customHeight="1">
      <c r="A2162" s="258">
        <v>2154.0</v>
      </c>
      <c r="B2162" s="328" t="s">
        <v>670</v>
      </c>
      <c r="C2162" s="257" t="s">
        <v>7531</v>
      </c>
      <c r="D2162" s="173" t="s">
        <v>7531</v>
      </c>
      <c r="E2162" s="174" t="s">
        <v>2861</v>
      </c>
      <c r="F2162" s="173" t="s">
        <v>2862</v>
      </c>
      <c r="G2162" s="328" t="s">
        <v>673</v>
      </c>
      <c r="H2162" s="328" t="s">
        <v>2863</v>
      </c>
      <c r="I2162" s="258" t="s">
        <v>2864</v>
      </c>
      <c r="J2162" s="259"/>
      <c r="K2162" s="260"/>
      <c r="L2162" s="359"/>
      <c r="M2162" s="359"/>
      <c r="N2162" s="173" t="s">
        <v>679</v>
      </c>
      <c r="O2162" s="173"/>
      <c r="P2162" s="262" t="str">
        <f t="shared" si="1"/>
        <v>IN-BLR-ANANTA-VAV-1734_</v>
      </c>
      <c r="Q2162" s="173" t="s">
        <v>7532</v>
      </c>
      <c r="R2162" s="328" t="str">
        <f>IFS(C2162="","",C2162="n/a","N/A",LEN(C2162),Concatenate("{",char(34),"asset",char(34),":{",char(34),"guid",char(34),":",char(34),Q2162,char(34),",",char(34),"site",char(34),":",char(34),LOWER('2-Building'!$B$4),char(34),",",char(34),"name",char(34),":",char(34),LOWER(C2162),char(34),"}}"))</f>
        <v>{"asset":{"guid":"uuid://668a66f3-9609-424c-9614-21a1dabdb0c2","site":"in-blr-ananta","name":"vav-1734"}}</v>
      </c>
      <c r="S2162" s="360" t="s">
        <v>5516</v>
      </c>
      <c r="T2162" s="330"/>
      <c r="U2162" s="330"/>
      <c r="V2162" s="331"/>
      <c r="W2162" s="332"/>
      <c r="X2162" s="333"/>
      <c r="Y2162" s="33" t="s">
        <v>2867</v>
      </c>
      <c r="Z2162" s="258">
        <v>121734.0</v>
      </c>
      <c r="AA2162" s="333"/>
      <c r="AB2162" s="333"/>
      <c r="AC2162" s="333"/>
      <c r="AD2162" s="329"/>
      <c r="AE2162" s="362" t="s">
        <v>685</v>
      </c>
      <c r="AF2162" s="336"/>
      <c r="AG2162" s="337"/>
      <c r="AH2162" s="333"/>
      <c r="AI2162" s="333"/>
      <c r="AJ2162" s="333"/>
      <c r="AK2162" s="328" t="s">
        <v>7533</v>
      </c>
      <c r="AL2162" s="328" t="s">
        <v>688</v>
      </c>
      <c r="AM2162" s="338"/>
      <c r="AN2162" s="333"/>
      <c r="AO2162" s="333"/>
      <c r="AP2162" s="333"/>
      <c r="AQ2162" s="333"/>
      <c r="AR2162" s="333"/>
      <c r="AS2162" s="333"/>
      <c r="AT2162" s="333"/>
      <c r="AU2162" s="329"/>
      <c r="AV2162" s="341"/>
      <c r="AW2162" s="269"/>
      <c r="AX2162" s="334" t="s">
        <v>2869</v>
      </c>
      <c r="AY2162" s="270" t="s">
        <v>695</v>
      </c>
      <c r="AZ2162" s="173" t="s">
        <v>5516</v>
      </c>
      <c r="BA2162" s="265">
        <v>10.0</v>
      </c>
      <c r="BB2162" s="174" t="s">
        <v>245</v>
      </c>
      <c r="BC2162" s="341"/>
      <c r="BD2162" s="308"/>
      <c r="BE2162" s="342"/>
      <c r="BF2162" s="274" t="str">
        <f>IFERROR(__xludf.DUMMYFUNCTION("LOWER(Regexreplace(to_text(E2162),""[^A-Za-z0-9]"","""")&amp;""_""&amp;Regexreplace(to_text(F2162),""[^A-Za-z0-9]"",""""))"),"neptronic_evcbseries")</f>
        <v>neptronic_evcbseries</v>
      </c>
      <c r="BG2162" s="275" t="str">
        <f>IFERROR(__xludf.DUMMYFUNCTION("upper(Regexreplace(to_text(E2162),""[^A-Za-z0-9]"","""")&amp;""-""&amp;Regexreplace(to_text(F2162),""[^A-Za-z0-9]"",""""))"),"NEPTRONIC-EVCBSERIES")</f>
        <v>NEPTRONIC-EVCBSERIES</v>
      </c>
    </row>
    <row r="2163" ht="30.0" customHeight="1">
      <c r="A2163" s="173">
        <v>2155.0</v>
      </c>
      <c r="B2163" s="328" t="s">
        <v>670</v>
      </c>
      <c r="C2163" s="257" t="s">
        <v>7534</v>
      </c>
      <c r="D2163" s="173" t="s">
        <v>7534</v>
      </c>
      <c r="E2163" s="174" t="s">
        <v>2861</v>
      </c>
      <c r="F2163" s="173" t="s">
        <v>2862</v>
      </c>
      <c r="G2163" s="328" t="s">
        <v>673</v>
      </c>
      <c r="H2163" s="328" t="s">
        <v>2863</v>
      </c>
      <c r="I2163" s="258" t="s">
        <v>2864</v>
      </c>
      <c r="J2163" s="259"/>
      <c r="K2163" s="260"/>
      <c r="L2163" s="359"/>
      <c r="M2163" s="359"/>
      <c r="N2163" s="173" t="s">
        <v>679</v>
      </c>
      <c r="O2163" s="173"/>
      <c r="P2163" s="262" t="str">
        <f t="shared" si="1"/>
        <v>IN-BLR-ANANTA-VAV-1735_</v>
      </c>
      <c r="Q2163" s="173" t="s">
        <v>7535</v>
      </c>
      <c r="R2163" s="328" t="str">
        <f>IFS(C2163="","",C2163="n/a","N/A",LEN(C2163),Concatenate("{",char(34),"asset",char(34),":{",char(34),"guid",char(34),":",char(34),Q2163,char(34),",",char(34),"site",char(34),":",char(34),LOWER('2-Building'!$B$4),char(34),",",char(34),"name",char(34),":",char(34),LOWER(C2163),char(34),"}}"))</f>
        <v>{"asset":{"guid":"uuid://b2b6020d-7daf-455f-adaf-f883df458900","site":"in-blr-ananta","name":"vav-1735"}}</v>
      </c>
      <c r="S2163" s="360" t="s">
        <v>5516</v>
      </c>
      <c r="T2163" s="330"/>
      <c r="U2163" s="330"/>
      <c r="V2163" s="331"/>
      <c r="W2163" s="332"/>
      <c r="X2163" s="333"/>
      <c r="Y2163" s="33" t="s">
        <v>2867</v>
      </c>
      <c r="Z2163" s="258">
        <v>121735.0</v>
      </c>
      <c r="AA2163" s="333"/>
      <c r="AB2163" s="333"/>
      <c r="AC2163" s="333"/>
      <c r="AD2163" s="329"/>
      <c r="AE2163" s="362" t="s">
        <v>685</v>
      </c>
      <c r="AF2163" s="336"/>
      <c r="AG2163" s="337"/>
      <c r="AH2163" s="333"/>
      <c r="AI2163" s="333"/>
      <c r="AJ2163" s="333"/>
      <c r="AK2163" s="328" t="s">
        <v>7536</v>
      </c>
      <c r="AL2163" s="328" t="s">
        <v>688</v>
      </c>
      <c r="AM2163" s="338"/>
      <c r="AN2163" s="333"/>
      <c r="AO2163" s="333"/>
      <c r="AP2163" s="333"/>
      <c r="AQ2163" s="333"/>
      <c r="AR2163" s="333"/>
      <c r="AS2163" s="333"/>
      <c r="AT2163" s="333"/>
      <c r="AU2163" s="329"/>
      <c r="AV2163" s="341"/>
      <c r="AW2163" s="269"/>
      <c r="AX2163" s="334" t="s">
        <v>2869</v>
      </c>
      <c r="AY2163" s="270" t="s">
        <v>695</v>
      </c>
      <c r="AZ2163" s="173" t="s">
        <v>5516</v>
      </c>
      <c r="BA2163" s="265">
        <v>10.0</v>
      </c>
      <c r="BB2163" s="174" t="s">
        <v>245</v>
      </c>
      <c r="BC2163" s="341"/>
      <c r="BD2163" s="308"/>
      <c r="BE2163" s="342"/>
      <c r="BF2163" s="274" t="str">
        <f>IFERROR(__xludf.DUMMYFUNCTION("LOWER(Regexreplace(to_text(E2163),""[^A-Za-z0-9]"","""")&amp;""_""&amp;Regexreplace(to_text(F2163),""[^A-Za-z0-9]"",""""))"),"neptronic_evcbseries")</f>
        <v>neptronic_evcbseries</v>
      </c>
      <c r="BG2163" s="275" t="str">
        <f>IFERROR(__xludf.DUMMYFUNCTION("upper(Regexreplace(to_text(E2163),""[^A-Za-z0-9]"","""")&amp;""-""&amp;Regexreplace(to_text(F2163),""[^A-Za-z0-9]"",""""))"),"NEPTRONIC-EVCBSERIES")</f>
        <v>NEPTRONIC-EVCBSERIES</v>
      </c>
    </row>
    <row r="2164" ht="30.0" customHeight="1">
      <c r="A2164" s="258">
        <v>2156.0</v>
      </c>
      <c r="B2164" s="328" t="s">
        <v>670</v>
      </c>
      <c r="C2164" s="257" t="s">
        <v>7537</v>
      </c>
      <c r="D2164" s="173" t="s">
        <v>7537</v>
      </c>
      <c r="E2164" s="174" t="s">
        <v>2861</v>
      </c>
      <c r="F2164" s="173" t="s">
        <v>2862</v>
      </c>
      <c r="G2164" s="328" t="s">
        <v>673</v>
      </c>
      <c r="H2164" s="328" t="s">
        <v>2863</v>
      </c>
      <c r="I2164" s="258" t="s">
        <v>2864</v>
      </c>
      <c r="J2164" s="259"/>
      <c r="K2164" s="260"/>
      <c r="L2164" s="359"/>
      <c r="M2164" s="359"/>
      <c r="N2164" s="173" t="s">
        <v>679</v>
      </c>
      <c r="O2164" s="173"/>
      <c r="P2164" s="262" t="str">
        <f t="shared" si="1"/>
        <v>IN-BLR-ANANTA-VAV-1736_</v>
      </c>
      <c r="Q2164" s="173" t="s">
        <v>7538</v>
      </c>
      <c r="R2164" s="328" t="str">
        <f>IFS(C2164="","",C2164="n/a","N/A",LEN(C2164),Concatenate("{",char(34),"asset",char(34),":{",char(34),"guid",char(34),":",char(34),Q2164,char(34),",",char(34),"site",char(34),":",char(34),LOWER('2-Building'!$B$4),char(34),",",char(34),"name",char(34),":",char(34),LOWER(C2164),char(34),"}}"))</f>
        <v>{"asset":{"guid":"uuid://a40a7ee2-d4b2-414b-b370-4091fb6c3f7d","site":"in-blr-ananta","name":"vav-1736"}}</v>
      </c>
      <c r="S2164" s="360" t="s">
        <v>5516</v>
      </c>
      <c r="T2164" s="330"/>
      <c r="U2164" s="330"/>
      <c r="V2164" s="331"/>
      <c r="W2164" s="332"/>
      <c r="X2164" s="333"/>
      <c r="Y2164" s="33" t="s">
        <v>2867</v>
      </c>
      <c r="Z2164" s="258">
        <v>121736.0</v>
      </c>
      <c r="AA2164" s="333"/>
      <c r="AB2164" s="333"/>
      <c r="AC2164" s="333"/>
      <c r="AD2164" s="329"/>
      <c r="AE2164" s="362" t="s">
        <v>685</v>
      </c>
      <c r="AF2164" s="336"/>
      <c r="AG2164" s="337"/>
      <c r="AH2164" s="333"/>
      <c r="AI2164" s="333"/>
      <c r="AJ2164" s="333"/>
      <c r="AK2164" s="328" t="s">
        <v>7539</v>
      </c>
      <c r="AL2164" s="328" t="s">
        <v>688</v>
      </c>
      <c r="AM2164" s="338"/>
      <c r="AN2164" s="333"/>
      <c r="AO2164" s="333"/>
      <c r="AP2164" s="333"/>
      <c r="AQ2164" s="333"/>
      <c r="AR2164" s="333"/>
      <c r="AS2164" s="333"/>
      <c r="AT2164" s="333"/>
      <c r="AU2164" s="329"/>
      <c r="AV2164" s="341"/>
      <c r="AW2164" s="269"/>
      <c r="AX2164" s="334" t="s">
        <v>2869</v>
      </c>
      <c r="AY2164" s="270" t="s">
        <v>695</v>
      </c>
      <c r="AZ2164" s="173" t="s">
        <v>5516</v>
      </c>
      <c r="BA2164" s="265">
        <v>10.0</v>
      </c>
      <c r="BB2164" s="174" t="s">
        <v>245</v>
      </c>
      <c r="BC2164" s="341"/>
      <c r="BD2164" s="308"/>
      <c r="BE2164" s="342"/>
      <c r="BF2164" s="274" t="str">
        <f>IFERROR(__xludf.DUMMYFUNCTION("LOWER(Regexreplace(to_text(E2164),""[^A-Za-z0-9]"","""")&amp;""_""&amp;Regexreplace(to_text(F2164),""[^A-Za-z0-9]"",""""))"),"neptronic_evcbseries")</f>
        <v>neptronic_evcbseries</v>
      </c>
      <c r="BG2164" s="275" t="str">
        <f>IFERROR(__xludf.DUMMYFUNCTION("upper(Regexreplace(to_text(E2164),""[^A-Za-z0-9]"","""")&amp;""-""&amp;Regexreplace(to_text(F2164),""[^A-Za-z0-9]"",""""))"),"NEPTRONIC-EVCBSERIES")</f>
        <v>NEPTRONIC-EVCBSERIES</v>
      </c>
    </row>
    <row r="2165" ht="30.0" customHeight="1">
      <c r="A2165" s="173">
        <v>2157.0</v>
      </c>
      <c r="B2165" s="328" t="s">
        <v>670</v>
      </c>
      <c r="C2165" s="257" t="s">
        <v>7540</v>
      </c>
      <c r="D2165" s="173" t="s">
        <v>7540</v>
      </c>
      <c r="E2165" s="174" t="s">
        <v>2861</v>
      </c>
      <c r="F2165" s="173" t="s">
        <v>2862</v>
      </c>
      <c r="G2165" s="328" t="s">
        <v>673</v>
      </c>
      <c r="H2165" s="328" t="s">
        <v>2863</v>
      </c>
      <c r="I2165" s="258" t="s">
        <v>2864</v>
      </c>
      <c r="J2165" s="259"/>
      <c r="K2165" s="260"/>
      <c r="L2165" s="359"/>
      <c r="M2165" s="359"/>
      <c r="N2165" s="173" t="s">
        <v>679</v>
      </c>
      <c r="O2165" s="173"/>
      <c r="P2165" s="262" t="str">
        <f t="shared" si="1"/>
        <v>IN-BLR-ANANTA-VAV-1737_</v>
      </c>
      <c r="Q2165" s="173" t="s">
        <v>7541</v>
      </c>
      <c r="R2165" s="328" t="str">
        <f>IFS(C2165="","",C2165="n/a","N/A",LEN(C2165),Concatenate("{",char(34),"asset",char(34),":{",char(34),"guid",char(34),":",char(34),Q2165,char(34),",",char(34),"site",char(34),":",char(34),LOWER('2-Building'!$B$4),char(34),",",char(34),"name",char(34),":",char(34),LOWER(C2165),char(34),"}}"))</f>
        <v>{"asset":{"guid":"uuid://bad7f0ef-593d-4b06-afe5-526d4127903b","site":"in-blr-ananta","name":"vav-1737"}}</v>
      </c>
      <c r="S2165" s="360" t="s">
        <v>5516</v>
      </c>
      <c r="T2165" s="330"/>
      <c r="U2165" s="330"/>
      <c r="V2165" s="331"/>
      <c r="W2165" s="332"/>
      <c r="X2165" s="333"/>
      <c r="Y2165" s="33" t="s">
        <v>2867</v>
      </c>
      <c r="Z2165" s="258">
        <v>121737.0</v>
      </c>
      <c r="AA2165" s="333"/>
      <c r="AB2165" s="333"/>
      <c r="AC2165" s="333"/>
      <c r="AD2165" s="329"/>
      <c r="AE2165" s="362" t="s">
        <v>685</v>
      </c>
      <c r="AF2165" s="336"/>
      <c r="AG2165" s="337"/>
      <c r="AH2165" s="333"/>
      <c r="AI2165" s="333"/>
      <c r="AJ2165" s="333"/>
      <c r="AK2165" s="328" t="s">
        <v>7542</v>
      </c>
      <c r="AL2165" s="328" t="s">
        <v>688</v>
      </c>
      <c r="AM2165" s="338"/>
      <c r="AN2165" s="333"/>
      <c r="AO2165" s="333"/>
      <c r="AP2165" s="333"/>
      <c r="AQ2165" s="333"/>
      <c r="AR2165" s="333"/>
      <c r="AS2165" s="333"/>
      <c r="AT2165" s="333"/>
      <c r="AU2165" s="329"/>
      <c r="AV2165" s="341"/>
      <c r="AW2165" s="269"/>
      <c r="AX2165" s="334" t="s">
        <v>2869</v>
      </c>
      <c r="AY2165" s="270" t="s">
        <v>695</v>
      </c>
      <c r="AZ2165" s="173" t="s">
        <v>5516</v>
      </c>
      <c r="BA2165" s="265">
        <v>10.0</v>
      </c>
      <c r="BB2165" s="174" t="s">
        <v>245</v>
      </c>
      <c r="BC2165" s="341"/>
      <c r="BD2165" s="308"/>
      <c r="BE2165" s="342"/>
      <c r="BF2165" s="274" t="str">
        <f>IFERROR(__xludf.DUMMYFUNCTION("LOWER(Regexreplace(to_text(E2165),""[^A-Za-z0-9]"","""")&amp;""_""&amp;Regexreplace(to_text(F2165),""[^A-Za-z0-9]"",""""))"),"neptronic_evcbseries")</f>
        <v>neptronic_evcbseries</v>
      </c>
      <c r="BG2165" s="275" t="str">
        <f>IFERROR(__xludf.DUMMYFUNCTION("upper(Regexreplace(to_text(E2165),""[^A-Za-z0-9]"","""")&amp;""-""&amp;Regexreplace(to_text(F2165),""[^A-Za-z0-9]"",""""))"),"NEPTRONIC-EVCBSERIES")</f>
        <v>NEPTRONIC-EVCBSERIES</v>
      </c>
    </row>
    <row r="2166" ht="30.0" customHeight="1">
      <c r="A2166" s="258">
        <v>2158.0</v>
      </c>
      <c r="B2166" s="328" t="s">
        <v>670</v>
      </c>
      <c r="C2166" s="257" t="s">
        <v>7543</v>
      </c>
      <c r="D2166" s="173" t="s">
        <v>7543</v>
      </c>
      <c r="E2166" s="174" t="s">
        <v>2861</v>
      </c>
      <c r="F2166" s="173" t="s">
        <v>2862</v>
      </c>
      <c r="G2166" s="328" t="s">
        <v>673</v>
      </c>
      <c r="H2166" s="328" t="s">
        <v>2863</v>
      </c>
      <c r="I2166" s="258" t="s">
        <v>2864</v>
      </c>
      <c r="J2166" s="259"/>
      <c r="K2166" s="260"/>
      <c r="L2166" s="359"/>
      <c r="M2166" s="359"/>
      <c r="N2166" s="173" t="s">
        <v>679</v>
      </c>
      <c r="O2166" s="173"/>
      <c r="P2166" s="262" t="str">
        <f t="shared" si="1"/>
        <v>IN-BLR-ANANTA-VAV-1738_</v>
      </c>
      <c r="Q2166" s="173" t="s">
        <v>7544</v>
      </c>
      <c r="R2166" s="328" t="str">
        <f>IFS(C2166="","",C2166="n/a","N/A",LEN(C2166),Concatenate("{",char(34),"asset",char(34),":{",char(34),"guid",char(34),":",char(34),Q2166,char(34),",",char(34),"site",char(34),":",char(34),LOWER('2-Building'!$B$4),char(34),",",char(34),"name",char(34),":",char(34),LOWER(C2166),char(34),"}}"))</f>
        <v>{"asset":{"guid":"uuid://3a156296-195b-43cd-8dc6-7465c36a4e9a","site":"in-blr-ananta","name":"vav-1738"}}</v>
      </c>
      <c r="S2166" s="360" t="s">
        <v>5516</v>
      </c>
      <c r="T2166" s="330"/>
      <c r="U2166" s="330"/>
      <c r="V2166" s="331"/>
      <c r="W2166" s="332"/>
      <c r="X2166" s="333"/>
      <c r="Y2166" s="33" t="s">
        <v>2867</v>
      </c>
      <c r="Z2166" s="258">
        <v>121738.0</v>
      </c>
      <c r="AA2166" s="333"/>
      <c r="AB2166" s="333"/>
      <c r="AC2166" s="333"/>
      <c r="AD2166" s="329"/>
      <c r="AE2166" s="362" t="s">
        <v>685</v>
      </c>
      <c r="AF2166" s="336"/>
      <c r="AG2166" s="337"/>
      <c r="AH2166" s="333"/>
      <c r="AI2166" s="333"/>
      <c r="AJ2166" s="333"/>
      <c r="AK2166" s="328" t="s">
        <v>7545</v>
      </c>
      <c r="AL2166" s="328" t="s">
        <v>688</v>
      </c>
      <c r="AM2166" s="338"/>
      <c r="AN2166" s="333"/>
      <c r="AO2166" s="333"/>
      <c r="AP2166" s="333"/>
      <c r="AQ2166" s="333"/>
      <c r="AR2166" s="333"/>
      <c r="AS2166" s="333"/>
      <c r="AT2166" s="333"/>
      <c r="AU2166" s="329"/>
      <c r="AV2166" s="341"/>
      <c r="AW2166" s="269"/>
      <c r="AX2166" s="334" t="s">
        <v>2869</v>
      </c>
      <c r="AY2166" s="270" t="s">
        <v>695</v>
      </c>
      <c r="AZ2166" s="173" t="s">
        <v>5516</v>
      </c>
      <c r="BA2166" s="265">
        <v>10.0</v>
      </c>
      <c r="BB2166" s="174" t="s">
        <v>245</v>
      </c>
      <c r="BC2166" s="341"/>
      <c r="BD2166" s="308"/>
      <c r="BE2166" s="342"/>
      <c r="BF2166" s="274" t="str">
        <f>IFERROR(__xludf.DUMMYFUNCTION("LOWER(Regexreplace(to_text(E2166),""[^A-Za-z0-9]"","""")&amp;""_""&amp;Regexreplace(to_text(F2166),""[^A-Za-z0-9]"",""""))"),"neptronic_evcbseries")</f>
        <v>neptronic_evcbseries</v>
      </c>
      <c r="BG2166" s="275" t="str">
        <f>IFERROR(__xludf.DUMMYFUNCTION("upper(Regexreplace(to_text(E2166),""[^A-Za-z0-9]"","""")&amp;""-""&amp;Regexreplace(to_text(F2166),""[^A-Za-z0-9]"",""""))"),"NEPTRONIC-EVCBSERIES")</f>
        <v>NEPTRONIC-EVCBSERIES</v>
      </c>
    </row>
    <row r="2167" ht="30.0" customHeight="1">
      <c r="A2167" s="173">
        <v>2159.0</v>
      </c>
      <c r="B2167" s="328" t="s">
        <v>670</v>
      </c>
      <c r="C2167" s="257" t="s">
        <v>7546</v>
      </c>
      <c r="D2167" s="173" t="s">
        <v>7546</v>
      </c>
      <c r="E2167" s="174" t="s">
        <v>2861</v>
      </c>
      <c r="F2167" s="173" t="s">
        <v>2862</v>
      </c>
      <c r="G2167" s="328" t="s">
        <v>673</v>
      </c>
      <c r="H2167" s="328" t="s">
        <v>2863</v>
      </c>
      <c r="I2167" s="258" t="s">
        <v>2864</v>
      </c>
      <c r="J2167" s="259"/>
      <c r="K2167" s="260"/>
      <c r="L2167" s="359"/>
      <c r="M2167" s="359"/>
      <c r="N2167" s="173" t="s">
        <v>679</v>
      </c>
      <c r="O2167" s="173"/>
      <c r="P2167" s="262" t="str">
        <f t="shared" si="1"/>
        <v>IN-BLR-ANANTA-VAV-1739_</v>
      </c>
      <c r="Q2167" s="173" t="s">
        <v>7547</v>
      </c>
      <c r="R2167" s="328" t="str">
        <f>IFS(C2167="","",C2167="n/a","N/A",LEN(C2167),Concatenate("{",char(34),"asset",char(34),":{",char(34),"guid",char(34),":",char(34),Q2167,char(34),",",char(34),"site",char(34),":",char(34),LOWER('2-Building'!$B$4),char(34),",",char(34),"name",char(34),":",char(34),LOWER(C2167),char(34),"}}"))</f>
        <v>{"asset":{"guid":"uuid://ab71fa53-dc5b-41d7-9323-0c197d1405c1","site":"in-blr-ananta","name":"vav-1739"}}</v>
      </c>
      <c r="S2167" s="360" t="s">
        <v>5516</v>
      </c>
      <c r="T2167" s="330"/>
      <c r="U2167" s="330"/>
      <c r="V2167" s="331"/>
      <c r="W2167" s="332"/>
      <c r="X2167" s="333"/>
      <c r="Y2167" s="33" t="s">
        <v>2867</v>
      </c>
      <c r="Z2167" s="258">
        <v>121739.0</v>
      </c>
      <c r="AA2167" s="333"/>
      <c r="AB2167" s="333"/>
      <c r="AC2167" s="333"/>
      <c r="AD2167" s="329"/>
      <c r="AE2167" s="362" t="s">
        <v>685</v>
      </c>
      <c r="AF2167" s="336"/>
      <c r="AG2167" s="337"/>
      <c r="AH2167" s="333"/>
      <c r="AI2167" s="333"/>
      <c r="AJ2167" s="333"/>
      <c r="AK2167" s="328" t="s">
        <v>7548</v>
      </c>
      <c r="AL2167" s="328" t="s">
        <v>688</v>
      </c>
      <c r="AM2167" s="338"/>
      <c r="AN2167" s="333"/>
      <c r="AO2167" s="333"/>
      <c r="AP2167" s="333"/>
      <c r="AQ2167" s="333"/>
      <c r="AR2167" s="333"/>
      <c r="AS2167" s="333"/>
      <c r="AT2167" s="333"/>
      <c r="AU2167" s="329"/>
      <c r="AV2167" s="341"/>
      <c r="AW2167" s="269"/>
      <c r="AX2167" s="334" t="s">
        <v>2869</v>
      </c>
      <c r="AY2167" s="270" t="s">
        <v>695</v>
      </c>
      <c r="AZ2167" s="173" t="s">
        <v>5516</v>
      </c>
      <c r="BA2167" s="265">
        <v>10.0</v>
      </c>
      <c r="BB2167" s="174" t="s">
        <v>245</v>
      </c>
      <c r="BC2167" s="341"/>
      <c r="BD2167" s="308"/>
      <c r="BE2167" s="342"/>
      <c r="BF2167" s="274" t="str">
        <f>IFERROR(__xludf.DUMMYFUNCTION("LOWER(Regexreplace(to_text(E2167),""[^A-Za-z0-9]"","""")&amp;""_""&amp;Regexreplace(to_text(F2167),""[^A-Za-z0-9]"",""""))"),"neptronic_evcbseries")</f>
        <v>neptronic_evcbseries</v>
      </c>
      <c r="BG2167" s="275" t="str">
        <f>IFERROR(__xludf.DUMMYFUNCTION("upper(Regexreplace(to_text(E2167),""[^A-Za-z0-9]"","""")&amp;""-""&amp;Regexreplace(to_text(F2167),""[^A-Za-z0-9]"",""""))"),"NEPTRONIC-EVCBSERIES")</f>
        <v>NEPTRONIC-EVCBSERIES</v>
      </c>
    </row>
    <row r="2168" ht="30.0" customHeight="1">
      <c r="A2168" s="258">
        <v>2160.0</v>
      </c>
      <c r="B2168" s="328" t="s">
        <v>670</v>
      </c>
      <c r="C2168" s="257" t="s">
        <v>7549</v>
      </c>
      <c r="D2168" s="173" t="s">
        <v>7549</v>
      </c>
      <c r="E2168" s="174" t="s">
        <v>2861</v>
      </c>
      <c r="F2168" s="173" t="s">
        <v>2862</v>
      </c>
      <c r="G2168" s="328" t="s">
        <v>673</v>
      </c>
      <c r="H2168" s="328" t="s">
        <v>2863</v>
      </c>
      <c r="I2168" s="258" t="s">
        <v>2864</v>
      </c>
      <c r="J2168" s="259"/>
      <c r="K2168" s="260"/>
      <c r="L2168" s="359"/>
      <c r="M2168" s="359"/>
      <c r="N2168" s="173" t="s">
        <v>679</v>
      </c>
      <c r="O2168" s="173"/>
      <c r="P2168" s="262" t="str">
        <f t="shared" si="1"/>
        <v>IN-BLR-ANANTA-VAV-1740_</v>
      </c>
      <c r="Q2168" s="173" t="s">
        <v>7550</v>
      </c>
      <c r="R2168" s="328" t="str">
        <f>IFS(C2168="","",C2168="n/a","N/A",LEN(C2168),Concatenate("{",char(34),"asset",char(34),":{",char(34),"guid",char(34),":",char(34),Q2168,char(34),",",char(34),"site",char(34),":",char(34),LOWER('2-Building'!$B$4),char(34),",",char(34),"name",char(34),":",char(34),LOWER(C2168),char(34),"}}"))</f>
        <v>{"asset":{"guid":"uuid://046ce59b-f89f-43f9-9cf2-4eec27b98773","site":"in-blr-ananta","name":"vav-1740"}}</v>
      </c>
      <c r="S2168" s="360" t="s">
        <v>5516</v>
      </c>
      <c r="T2168" s="330"/>
      <c r="U2168" s="330"/>
      <c r="V2168" s="331"/>
      <c r="W2168" s="332"/>
      <c r="X2168" s="333"/>
      <c r="Y2168" s="33" t="s">
        <v>2867</v>
      </c>
      <c r="Z2168" s="258">
        <v>121740.0</v>
      </c>
      <c r="AA2168" s="333"/>
      <c r="AB2168" s="333"/>
      <c r="AC2168" s="333"/>
      <c r="AD2168" s="329"/>
      <c r="AE2168" s="362" t="s">
        <v>685</v>
      </c>
      <c r="AF2168" s="336"/>
      <c r="AG2168" s="337"/>
      <c r="AH2168" s="333"/>
      <c r="AI2168" s="333"/>
      <c r="AJ2168" s="333"/>
      <c r="AK2168" s="328" t="s">
        <v>7551</v>
      </c>
      <c r="AL2168" s="328" t="s">
        <v>688</v>
      </c>
      <c r="AM2168" s="338"/>
      <c r="AN2168" s="333"/>
      <c r="AO2168" s="333"/>
      <c r="AP2168" s="333"/>
      <c r="AQ2168" s="333"/>
      <c r="AR2168" s="333"/>
      <c r="AS2168" s="333"/>
      <c r="AT2168" s="333"/>
      <c r="AU2168" s="329"/>
      <c r="AV2168" s="341"/>
      <c r="AW2168" s="269"/>
      <c r="AX2168" s="334" t="s">
        <v>2869</v>
      </c>
      <c r="AY2168" s="270" t="s">
        <v>695</v>
      </c>
      <c r="AZ2168" s="173" t="s">
        <v>5516</v>
      </c>
      <c r="BA2168" s="265">
        <v>10.0</v>
      </c>
      <c r="BB2168" s="174" t="s">
        <v>245</v>
      </c>
      <c r="BC2168" s="341"/>
      <c r="BD2168" s="308"/>
      <c r="BE2168" s="342"/>
      <c r="BF2168" s="274" t="str">
        <f>IFERROR(__xludf.DUMMYFUNCTION("LOWER(Regexreplace(to_text(E2168),""[^A-Za-z0-9]"","""")&amp;""_""&amp;Regexreplace(to_text(F2168),""[^A-Za-z0-9]"",""""))"),"neptronic_evcbseries")</f>
        <v>neptronic_evcbseries</v>
      </c>
      <c r="BG2168" s="275" t="str">
        <f>IFERROR(__xludf.DUMMYFUNCTION("upper(Regexreplace(to_text(E2168),""[^A-Za-z0-9]"","""")&amp;""-""&amp;Regexreplace(to_text(F2168),""[^A-Za-z0-9]"",""""))"),"NEPTRONIC-EVCBSERIES")</f>
        <v>NEPTRONIC-EVCBSERIES</v>
      </c>
    </row>
    <row r="2169" ht="30.0" customHeight="1">
      <c r="A2169" s="173">
        <v>2161.0</v>
      </c>
      <c r="B2169" s="328" t="s">
        <v>670</v>
      </c>
      <c r="C2169" s="257" t="s">
        <v>7552</v>
      </c>
      <c r="D2169" s="173" t="s">
        <v>7552</v>
      </c>
      <c r="E2169" s="174" t="s">
        <v>2861</v>
      </c>
      <c r="F2169" s="173" t="s">
        <v>2862</v>
      </c>
      <c r="G2169" s="328" t="s">
        <v>673</v>
      </c>
      <c r="H2169" s="328" t="s">
        <v>2863</v>
      </c>
      <c r="I2169" s="258" t="s">
        <v>2864</v>
      </c>
      <c r="J2169" s="259"/>
      <c r="K2169" s="260"/>
      <c r="L2169" s="359"/>
      <c r="M2169" s="359"/>
      <c r="N2169" s="173" t="s">
        <v>679</v>
      </c>
      <c r="O2169" s="173"/>
      <c r="P2169" s="262" t="str">
        <f t="shared" si="1"/>
        <v>IN-BLR-ANANTA-VAV-1741_</v>
      </c>
      <c r="Q2169" s="173" t="s">
        <v>7553</v>
      </c>
      <c r="R2169" s="328" t="str">
        <f>IFS(C2169="","",C2169="n/a","N/A",LEN(C2169),Concatenate("{",char(34),"asset",char(34),":{",char(34),"guid",char(34),":",char(34),Q2169,char(34),",",char(34),"site",char(34),":",char(34),LOWER('2-Building'!$B$4),char(34),",",char(34),"name",char(34),":",char(34),LOWER(C2169),char(34),"}}"))</f>
        <v>{"asset":{"guid":"uuid://789592fe-155e-4cd3-b8a7-eea1970fc8a8","site":"in-blr-ananta","name":"vav-1741"}}</v>
      </c>
      <c r="S2169" s="360" t="s">
        <v>5516</v>
      </c>
      <c r="T2169" s="330"/>
      <c r="U2169" s="330"/>
      <c r="V2169" s="331"/>
      <c r="W2169" s="332"/>
      <c r="X2169" s="333"/>
      <c r="Y2169" s="33" t="s">
        <v>2867</v>
      </c>
      <c r="Z2169" s="258">
        <v>121741.0</v>
      </c>
      <c r="AA2169" s="333"/>
      <c r="AB2169" s="333"/>
      <c r="AC2169" s="333"/>
      <c r="AD2169" s="329"/>
      <c r="AE2169" s="362" t="s">
        <v>685</v>
      </c>
      <c r="AF2169" s="336"/>
      <c r="AG2169" s="337"/>
      <c r="AH2169" s="333"/>
      <c r="AI2169" s="333"/>
      <c r="AJ2169" s="333"/>
      <c r="AK2169" s="328" t="s">
        <v>7554</v>
      </c>
      <c r="AL2169" s="328" t="s">
        <v>688</v>
      </c>
      <c r="AM2169" s="338"/>
      <c r="AN2169" s="333"/>
      <c r="AO2169" s="333"/>
      <c r="AP2169" s="333"/>
      <c r="AQ2169" s="333"/>
      <c r="AR2169" s="333"/>
      <c r="AS2169" s="333"/>
      <c r="AT2169" s="333"/>
      <c r="AU2169" s="329"/>
      <c r="AV2169" s="341"/>
      <c r="AW2169" s="269"/>
      <c r="AX2169" s="334" t="s">
        <v>2869</v>
      </c>
      <c r="AY2169" s="270" t="s">
        <v>695</v>
      </c>
      <c r="AZ2169" s="173" t="s">
        <v>5516</v>
      </c>
      <c r="BA2169" s="265">
        <v>10.0</v>
      </c>
      <c r="BB2169" s="174" t="s">
        <v>245</v>
      </c>
      <c r="BC2169" s="341"/>
      <c r="BD2169" s="308"/>
      <c r="BE2169" s="342"/>
      <c r="BF2169" s="274" t="str">
        <f>IFERROR(__xludf.DUMMYFUNCTION("LOWER(Regexreplace(to_text(E2169),""[^A-Za-z0-9]"","""")&amp;""_""&amp;Regexreplace(to_text(F2169),""[^A-Za-z0-9]"",""""))"),"neptronic_evcbseries")</f>
        <v>neptronic_evcbseries</v>
      </c>
      <c r="BG2169" s="275" t="str">
        <f>IFERROR(__xludf.DUMMYFUNCTION("upper(Regexreplace(to_text(E2169),""[^A-Za-z0-9]"","""")&amp;""-""&amp;Regexreplace(to_text(F2169),""[^A-Za-z0-9]"",""""))"),"NEPTRONIC-EVCBSERIES")</f>
        <v>NEPTRONIC-EVCBSERIES</v>
      </c>
    </row>
    <row r="2170" ht="30.0" customHeight="1">
      <c r="A2170" s="258">
        <v>2162.0</v>
      </c>
      <c r="B2170" s="328" t="s">
        <v>670</v>
      </c>
      <c r="C2170" s="257" t="s">
        <v>7555</v>
      </c>
      <c r="D2170" s="173" t="s">
        <v>7555</v>
      </c>
      <c r="E2170" s="174" t="s">
        <v>2861</v>
      </c>
      <c r="F2170" s="173" t="s">
        <v>2862</v>
      </c>
      <c r="G2170" s="328" t="s">
        <v>673</v>
      </c>
      <c r="H2170" s="328" t="s">
        <v>2863</v>
      </c>
      <c r="I2170" s="258" t="s">
        <v>2864</v>
      </c>
      <c r="J2170" s="259"/>
      <c r="K2170" s="260"/>
      <c r="L2170" s="359"/>
      <c r="M2170" s="359"/>
      <c r="N2170" s="173" t="s">
        <v>679</v>
      </c>
      <c r="O2170" s="173"/>
      <c r="P2170" s="262" t="str">
        <f t="shared" si="1"/>
        <v>IN-BLR-ANANTA-VAV-1742_</v>
      </c>
      <c r="Q2170" s="173" t="s">
        <v>7556</v>
      </c>
      <c r="R2170" s="328" t="str">
        <f>IFS(C2170="","",C2170="n/a","N/A",LEN(C2170),Concatenate("{",char(34),"asset",char(34),":{",char(34),"guid",char(34),":",char(34),Q2170,char(34),",",char(34),"site",char(34),":",char(34),LOWER('2-Building'!$B$4),char(34),",",char(34),"name",char(34),":",char(34),LOWER(C2170),char(34),"}}"))</f>
        <v>{"asset":{"guid":"uuid://fb64e924-a5c4-4930-a94f-115897d62ecd","site":"in-blr-ananta","name":"vav-1742"}}</v>
      </c>
      <c r="S2170" s="360" t="s">
        <v>5516</v>
      </c>
      <c r="T2170" s="330"/>
      <c r="U2170" s="330"/>
      <c r="V2170" s="331"/>
      <c r="W2170" s="332"/>
      <c r="X2170" s="333"/>
      <c r="Y2170" s="33" t="s">
        <v>2867</v>
      </c>
      <c r="Z2170" s="258">
        <v>121742.0</v>
      </c>
      <c r="AA2170" s="333"/>
      <c r="AB2170" s="333"/>
      <c r="AC2170" s="333"/>
      <c r="AD2170" s="329"/>
      <c r="AE2170" s="362" t="s">
        <v>685</v>
      </c>
      <c r="AF2170" s="336"/>
      <c r="AG2170" s="337"/>
      <c r="AH2170" s="333"/>
      <c r="AI2170" s="333"/>
      <c r="AJ2170" s="333"/>
      <c r="AK2170" s="328" t="s">
        <v>1607</v>
      </c>
      <c r="AL2170" s="328" t="s">
        <v>688</v>
      </c>
      <c r="AM2170" s="338"/>
      <c r="AN2170" s="333"/>
      <c r="AO2170" s="333"/>
      <c r="AP2170" s="333"/>
      <c r="AQ2170" s="333"/>
      <c r="AR2170" s="333"/>
      <c r="AS2170" s="333"/>
      <c r="AT2170" s="333"/>
      <c r="AU2170" s="329"/>
      <c r="AV2170" s="341"/>
      <c r="AW2170" s="269"/>
      <c r="AX2170" s="334" t="s">
        <v>2869</v>
      </c>
      <c r="AY2170" s="270" t="s">
        <v>695</v>
      </c>
      <c r="AZ2170" s="173" t="s">
        <v>5516</v>
      </c>
      <c r="BA2170" s="265">
        <v>10.0</v>
      </c>
      <c r="BB2170" s="174" t="s">
        <v>245</v>
      </c>
      <c r="BC2170" s="341"/>
      <c r="BD2170" s="308"/>
      <c r="BE2170" s="342"/>
      <c r="BF2170" s="274" t="str">
        <f>IFERROR(__xludf.DUMMYFUNCTION("LOWER(Regexreplace(to_text(E2170),""[^A-Za-z0-9]"","""")&amp;""_""&amp;Regexreplace(to_text(F2170),""[^A-Za-z0-9]"",""""))"),"neptronic_evcbseries")</f>
        <v>neptronic_evcbseries</v>
      </c>
      <c r="BG2170" s="275" t="str">
        <f>IFERROR(__xludf.DUMMYFUNCTION("upper(Regexreplace(to_text(E2170),""[^A-Za-z0-9]"","""")&amp;""-""&amp;Regexreplace(to_text(F2170),""[^A-Za-z0-9]"",""""))"),"NEPTRONIC-EVCBSERIES")</f>
        <v>NEPTRONIC-EVCBSERIES</v>
      </c>
    </row>
    <row r="2171" ht="30.0" customHeight="1">
      <c r="A2171" s="173">
        <v>2163.0</v>
      </c>
      <c r="B2171" s="328" t="s">
        <v>670</v>
      </c>
      <c r="C2171" s="257" t="s">
        <v>7557</v>
      </c>
      <c r="D2171" s="173" t="s">
        <v>7557</v>
      </c>
      <c r="E2171" s="174" t="s">
        <v>2861</v>
      </c>
      <c r="F2171" s="173" t="s">
        <v>2862</v>
      </c>
      <c r="G2171" s="328" t="s">
        <v>673</v>
      </c>
      <c r="H2171" s="328" t="s">
        <v>2863</v>
      </c>
      <c r="I2171" s="258" t="s">
        <v>2864</v>
      </c>
      <c r="J2171" s="259"/>
      <c r="K2171" s="260"/>
      <c r="L2171" s="359"/>
      <c r="M2171" s="359"/>
      <c r="N2171" s="173" t="s">
        <v>679</v>
      </c>
      <c r="O2171" s="173"/>
      <c r="P2171" s="262" t="str">
        <f t="shared" si="1"/>
        <v>IN-BLR-ANANTA-VAV-1743_</v>
      </c>
      <c r="Q2171" s="173" t="s">
        <v>7558</v>
      </c>
      <c r="R2171" s="328" t="str">
        <f>IFS(C2171="","",C2171="n/a","N/A",LEN(C2171),Concatenate("{",char(34),"asset",char(34),":{",char(34),"guid",char(34),":",char(34),Q2171,char(34),",",char(34),"site",char(34),":",char(34),LOWER('2-Building'!$B$4),char(34),",",char(34),"name",char(34),":",char(34),LOWER(C2171),char(34),"}}"))</f>
        <v>{"asset":{"guid":"uuid://3a1d0798-51ad-4f75-8c2c-85bd82e36db4","site":"in-blr-ananta","name":"vav-1743"}}</v>
      </c>
      <c r="S2171" s="360" t="s">
        <v>5516</v>
      </c>
      <c r="T2171" s="330"/>
      <c r="U2171" s="330"/>
      <c r="V2171" s="331"/>
      <c r="W2171" s="332"/>
      <c r="X2171" s="333"/>
      <c r="Y2171" s="33" t="s">
        <v>2867</v>
      </c>
      <c r="Z2171" s="258">
        <v>121743.0</v>
      </c>
      <c r="AA2171" s="333"/>
      <c r="AB2171" s="333"/>
      <c r="AC2171" s="333"/>
      <c r="AD2171" s="329"/>
      <c r="AE2171" s="362" t="s">
        <v>685</v>
      </c>
      <c r="AF2171" s="336"/>
      <c r="AG2171" s="337"/>
      <c r="AH2171" s="333"/>
      <c r="AI2171" s="333"/>
      <c r="AJ2171" s="333"/>
      <c r="AK2171" s="328" t="s">
        <v>7559</v>
      </c>
      <c r="AL2171" s="328" t="s">
        <v>688</v>
      </c>
      <c r="AM2171" s="338"/>
      <c r="AN2171" s="333"/>
      <c r="AO2171" s="333"/>
      <c r="AP2171" s="333"/>
      <c r="AQ2171" s="333"/>
      <c r="AR2171" s="333"/>
      <c r="AS2171" s="333"/>
      <c r="AT2171" s="333"/>
      <c r="AU2171" s="329"/>
      <c r="AV2171" s="341"/>
      <c r="AW2171" s="269"/>
      <c r="AX2171" s="334" t="s">
        <v>2869</v>
      </c>
      <c r="AY2171" s="270" t="s">
        <v>695</v>
      </c>
      <c r="AZ2171" s="173" t="s">
        <v>5516</v>
      </c>
      <c r="BA2171" s="265">
        <v>10.0</v>
      </c>
      <c r="BB2171" s="174" t="s">
        <v>245</v>
      </c>
      <c r="BC2171" s="341"/>
      <c r="BD2171" s="308"/>
      <c r="BE2171" s="342"/>
      <c r="BF2171" s="274" t="str">
        <f>IFERROR(__xludf.DUMMYFUNCTION("LOWER(Regexreplace(to_text(E2171),""[^A-Za-z0-9]"","""")&amp;""_""&amp;Regexreplace(to_text(F2171),""[^A-Za-z0-9]"",""""))"),"neptronic_evcbseries")</f>
        <v>neptronic_evcbseries</v>
      </c>
      <c r="BG2171" s="275" t="str">
        <f>IFERROR(__xludf.DUMMYFUNCTION("upper(Regexreplace(to_text(E2171),""[^A-Za-z0-9]"","""")&amp;""-""&amp;Regexreplace(to_text(F2171),""[^A-Za-z0-9]"",""""))"),"NEPTRONIC-EVCBSERIES")</f>
        <v>NEPTRONIC-EVCBSERIES</v>
      </c>
    </row>
    <row r="2172" ht="30.0" customHeight="1">
      <c r="A2172" s="258">
        <v>2164.0</v>
      </c>
      <c r="B2172" s="328" t="s">
        <v>670</v>
      </c>
      <c r="C2172" s="257" t="s">
        <v>7560</v>
      </c>
      <c r="D2172" s="173" t="s">
        <v>7560</v>
      </c>
      <c r="E2172" s="174" t="s">
        <v>2861</v>
      </c>
      <c r="F2172" s="173" t="s">
        <v>2862</v>
      </c>
      <c r="G2172" s="328" t="s">
        <v>673</v>
      </c>
      <c r="H2172" s="328" t="s">
        <v>2863</v>
      </c>
      <c r="I2172" s="258" t="s">
        <v>2864</v>
      </c>
      <c r="J2172" s="259"/>
      <c r="K2172" s="260"/>
      <c r="L2172" s="363"/>
      <c r="M2172" s="329"/>
      <c r="N2172" s="173" t="s">
        <v>679</v>
      </c>
      <c r="O2172" s="173"/>
      <c r="P2172" s="262" t="str">
        <f t="shared" si="1"/>
        <v>IN-BLR-ANANTA-VAV-1744_</v>
      </c>
      <c r="Q2172" s="173" t="s">
        <v>7561</v>
      </c>
      <c r="R2172" s="328" t="str">
        <f>IFS(C2172="","",C2172="n/a","N/A",LEN(C2172),Concatenate("{",char(34),"asset",char(34),":{",char(34),"guid",char(34),":",char(34),Q2172,char(34),",",char(34),"site",char(34),":",char(34),LOWER('2-Building'!$B$4),char(34),",",char(34),"name",char(34),":",char(34),LOWER(C2172),char(34),"}}"))</f>
        <v>{"asset":{"guid":"uuid://b5663f45-1592-4e7c-beb1-b7c1cac114a8","site":"in-blr-ananta","name":"vav-1744"}}</v>
      </c>
      <c r="S2172" s="360" t="s">
        <v>5516</v>
      </c>
      <c r="T2172" s="330"/>
      <c r="U2172" s="330"/>
      <c r="V2172" s="331"/>
      <c r="W2172" s="332"/>
      <c r="X2172" s="333"/>
      <c r="Y2172" s="33" t="s">
        <v>2867</v>
      </c>
      <c r="Z2172" s="258">
        <v>121744.0</v>
      </c>
      <c r="AA2172" s="333"/>
      <c r="AB2172" s="333"/>
      <c r="AC2172" s="333"/>
      <c r="AD2172" s="329"/>
      <c r="AE2172" s="362" t="s">
        <v>685</v>
      </c>
      <c r="AF2172" s="336"/>
      <c r="AG2172" s="337"/>
      <c r="AH2172" s="333"/>
      <c r="AI2172" s="333"/>
      <c r="AJ2172" s="333"/>
      <c r="AK2172" s="328" t="s">
        <v>7562</v>
      </c>
      <c r="AL2172" s="328" t="s">
        <v>688</v>
      </c>
      <c r="AM2172" s="338"/>
      <c r="AN2172" s="333"/>
      <c r="AO2172" s="333"/>
      <c r="AP2172" s="333"/>
      <c r="AQ2172" s="333"/>
      <c r="AR2172" s="333"/>
      <c r="AS2172" s="333"/>
      <c r="AT2172" s="333"/>
      <c r="AU2172" s="329"/>
      <c r="AV2172" s="341"/>
      <c r="AW2172" s="269"/>
      <c r="AX2172" s="334" t="s">
        <v>2869</v>
      </c>
      <c r="AY2172" s="270" t="s">
        <v>695</v>
      </c>
      <c r="AZ2172" s="173" t="s">
        <v>5516</v>
      </c>
      <c r="BA2172" s="265">
        <v>10.0</v>
      </c>
      <c r="BB2172" s="174" t="s">
        <v>245</v>
      </c>
      <c r="BC2172" s="341"/>
      <c r="BD2172" s="308"/>
      <c r="BE2172" s="342"/>
      <c r="BF2172" s="274" t="str">
        <f>IFERROR(__xludf.DUMMYFUNCTION("LOWER(Regexreplace(to_text(E2172),""[^A-Za-z0-9]"","""")&amp;""_""&amp;Regexreplace(to_text(F2172),""[^A-Za-z0-9]"",""""))"),"neptronic_evcbseries")</f>
        <v>neptronic_evcbseries</v>
      </c>
      <c r="BG2172" s="275" t="str">
        <f>IFERROR(__xludf.DUMMYFUNCTION("upper(Regexreplace(to_text(E2172),""[^A-Za-z0-9]"","""")&amp;""-""&amp;Regexreplace(to_text(F2172),""[^A-Za-z0-9]"",""""))"),"NEPTRONIC-EVCBSERIES")</f>
        <v>NEPTRONIC-EVCBSERIES</v>
      </c>
    </row>
    <row r="2173" ht="30.0" customHeight="1">
      <c r="A2173" s="173">
        <v>2165.0</v>
      </c>
      <c r="B2173" s="328" t="s">
        <v>670</v>
      </c>
      <c r="C2173" s="257" t="s">
        <v>7563</v>
      </c>
      <c r="D2173" s="173" t="s">
        <v>7563</v>
      </c>
      <c r="E2173" s="174" t="s">
        <v>2861</v>
      </c>
      <c r="F2173" s="173" t="s">
        <v>2862</v>
      </c>
      <c r="G2173" s="328" t="s">
        <v>673</v>
      </c>
      <c r="H2173" s="328" t="s">
        <v>2863</v>
      </c>
      <c r="I2173" s="258" t="s">
        <v>2864</v>
      </c>
      <c r="J2173" s="259"/>
      <c r="K2173" s="260"/>
      <c r="L2173" s="363"/>
      <c r="M2173" s="329"/>
      <c r="N2173" s="173" t="s">
        <v>679</v>
      </c>
      <c r="O2173" s="173"/>
      <c r="P2173" s="262" t="str">
        <f t="shared" si="1"/>
        <v>IN-BLR-ANANTA-VAV-1745_</v>
      </c>
      <c r="Q2173" s="173" t="s">
        <v>7564</v>
      </c>
      <c r="R2173" s="328" t="str">
        <f>IFS(C2173="","",C2173="n/a","N/A",LEN(C2173),Concatenate("{",char(34),"asset",char(34),":{",char(34),"guid",char(34),":",char(34),Q2173,char(34),",",char(34),"site",char(34),":",char(34),LOWER('2-Building'!$B$4),char(34),",",char(34),"name",char(34),":",char(34),LOWER(C2173),char(34),"}}"))</f>
        <v>{"asset":{"guid":"uuid://b4785468-1afc-4c47-960d-1889d5d09527","site":"in-blr-ananta","name":"vav-1745"}}</v>
      </c>
      <c r="S2173" s="360" t="s">
        <v>5516</v>
      </c>
      <c r="T2173" s="330"/>
      <c r="U2173" s="330"/>
      <c r="V2173" s="331"/>
      <c r="W2173" s="332"/>
      <c r="X2173" s="333"/>
      <c r="Y2173" s="33" t="s">
        <v>2867</v>
      </c>
      <c r="Z2173" s="258">
        <v>121745.0</v>
      </c>
      <c r="AA2173" s="333"/>
      <c r="AB2173" s="333"/>
      <c r="AC2173" s="333"/>
      <c r="AD2173" s="329"/>
      <c r="AE2173" s="362" t="s">
        <v>685</v>
      </c>
      <c r="AF2173" s="336"/>
      <c r="AG2173" s="337"/>
      <c r="AH2173" s="333"/>
      <c r="AI2173" s="333"/>
      <c r="AJ2173" s="333"/>
      <c r="AK2173" s="328" t="s">
        <v>7565</v>
      </c>
      <c r="AL2173" s="328" t="s">
        <v>688</v>
      </c>
      <c r="AM2173" s="338"/>
      <c r="AN2173" s="333"/>
      <c r="AO2173" s="333"/>
      <c r="AP2173" s="333"/>
      <c r="AQ2173" s="333"/>
      <c r="AR2173" s="333"/>
      <c r="AS2173" s="333"/>
      <c r="AT2173" s="333"/>
      <c r="AU2173" s="329"/>
      <c r="AV2173" s="341"/>
      <c r="AW2173" s="269"/>
      <c r="AX2173" s="334" t="s">
        <v>2869</v>
      </c>
      <c r="AY2173" s="270" t="s">
        <v>695</v>
      </c>
      <c r="AZ2173" s="173" t="s">
        <v>5516</v>
      </c>
      <c r="BA2173" s="265">
        <v>10.0</v>
      </c>
      <c r="BB2173" s="174" t="s">
        <v>245</v>
      </c>
      <c r="BC2173" s="341"/>
      <c r="BD2173" s="308"/>
      <c r="BE2173" s="342"/>
      <c r="BF2173" s="274" t="str">
        <f>IFERROR(__xludf.DUMMYFUNCTION("LOWER(Regexreplace(to_text(E2173),""[^A-Za-z0-9]"","""")&amp;""_""&amp;Regexreplace(to_text(F2173),""[^A-Za-z0-9]"",""""))"),"neptronic_evcbseries")</f>
        <v>neptronic_evcbseries</v>
      </c>
      <c r="BG2173" s="275" t="str">
        <f>IFERROR(__xludf.DUMMYFUNCTION("upper(Regexreplace(to_text(E2173),""[^A-Za-z0-9]"","""")&amp;""-""&amp;Regexreplace(to_text(F2173),""[^A-Za-z0-9]"",""""))"),"NEPTRONIC-EVCBSERIES")</f>
        <v>NEPTRONIC-EVCBSERIES</v>
      </c>
    </row>
    <row r="2174" ht="30.0" customHeight="1">
      <c r="A2174" s="258">
        <v>2166.0</v>
      </c>
      <c r="B2174" s="328" t="s">
        <v>670</v>
      </c>
      <c r="C2174" s="257" t="s">
        <v>7566</v>
      </c>
      <c r="D2174" s="173" t="s">
        <v>7566</v>
      </c>
      <c r="E2174" s="174" t="s">
        <v>2861</v>
      </c>
      <c r="F2174" s="173" t="s">
        <v>2862</v>
      </c>
      <c r="G2174" s="328" t="s">
        <v>673</v>
      </c>
      <c r="H2174" s="328" t="s">
        <v>2863</v>
      </c>
      <c r="I2174" s="258" t="s">
        <v>2864</v>
      </c>
      <c r="J2174" s="259"/>
      <c r="K2174" s="260"/>
      <c r="L2174" s="363"/>
      <c r="M2174" s="329"/>
      <c r="N2174" s="173" t="s">
        <v>679</v>
      </c>
      <c r="O2174" s="173"/>
      <c r="P2174" s="262" t="str">
        <f t="shared" si="1"/>
        <v>IN-BLR-ANANTA-VAV-1746_</v>
      </c>
      <c r="Q2174" s="173" t="s">
        <v>7567</v>
      </c>
      <c r="R2174" s="328" t="str">
        <f>IFS(C2174="","",C2174="n/a","N/A",LEN(C2174),Concatenate("{",char(34),"asset",char(34),":{",char(34),"guid",char(34),":",char(34),Q2174,char(34),",",char(34),"site",char(34),":",char(34),LOWER('2-Building'!$B$4),char(34),",",char(34),"name",char(34),":",char(34),LOWER(C2174),char(34),"}}"))</f>
        <v>{"asset":{"guid":"uuid://35bfda7b-2c6d-4eee-a670-bdfa7641c1bc","site":"in-blr-ananta","name":"vav-1746"}}</v>
      </c>
      <c r="S2174" s="360" t="s">
        <v>5516</v>
      </c>
      <c r="T2174" s="330"/>
      <c r="U2174" s="330"/>
      <c r="V2174" s="331"/>
      <c r="W2174" s="332"/>
      <c r="X2174" s="333"/>
      <c r="Y2174" s="33" t="s">
        <v>2867</v>
      </c>
      <c r="Z2174" s="258">
        <v>121746.0</v>
      </c>
      <c r="AA2174" s="333"/>
      <c r="AB2174" s="333"/>
      <c r="AC2174" s="333"/>
      <c r="AD2174" s="329"/>
      <c r="AE2174" s="362" t="s">
        <v>685</v>
      </c>
      <c r="AF2174" s="336"/>
      <c r="AG2174" s="337"/>
      <c r="AH2174" s="333"/>
      <c r="AI2174" s="333"/>
      <c r="AJ2174" s="333"/>
      <c r="AK2174" s="328" t="s">
        <v>7568</v>
      </c>
      <c r="AL2174" s="328" t="s">
        <v>688</v>
      </c>
      <c r="AM2174" s="338"/>
      <c r="AN2174" s="333"/>
      <c r="AO2174" s="333"/>
      <c r="AP2174" s="333"/>
      <c r="AQ2174" s="333"/>
      <c r="AR2174" s="333"/>
      <c r="AS2174" s="333"/>
      <c r="AT2174" s="333"/>
      <c r="AU2174" s="329"/>
      <c r="AV2174" s="341"/>
      <c r="AW2174" s="269"/>
      <c r="AX2174" s="334" t="s">
        <v>2869</v>
      </c>
      <c r="AY2174" s="270" t="s">
        <v>695</v>
      </c>
      <c r="AZ2174" s="173" t="s">
        <v>5516</v>
      </c>
      <c r="BA2174" s="265">
        <v>10.0</v>
      </c>
      <c r="BB2174" s="174" t="s">
        <v>245</v>
      </c>
      <c r="BC2174" s="341"/>
      <c r="BD2174" s="308"/>
      <c r="BE2174" s="342"/>
      <c r="BF2174" s="274" t="str">
        <f>IFERROR(__xludf.DUMMYFUNCTION("LOWER(Regexreplace(to_text(E2174),""[^A-Za-z0-9]"","""")&amp;""_""&amp;Regexreplace(to_text(F2174),""[^A-Za-z0-9]"",""""))"),"neptronic_evcbseries")</f>
        <v>neptronic_evcbseries</v>
      </c>
      <c r="BG2174" s="275" t="str">
        <f>IFERROR(__xludf.DUMMYFUNCTION("upper(Regexreplace(to_text(E2174),""[^A-Za-z0-9]"","""")&amp;""-""&amp;Regexreplace(to_text(F2174),""[^A-Za-z0-9]"",""""))"),"NEPTRONIC-EVCBSERIES")</f>
        <v>NEPTRONIC-EVCBSERIES</v>
      </c>
    </row>
    <row r="2175" ht="30.0" customHeight="1">
      <c r="A2175" s="173">
        <v>2167.0</v>
      </c>
      <c r="B2175" s="328" t="s">
        <v>670</v>
      </c>
      <c r="C2175" s="257" t="s">
        <v>7569</v>
      </c>
      <c r="D2175" s="173" t="s">
        <v>7569</v>
      </c>
      <c r="E2175" s="174" t="s">
        <v>2861</v>
      </c>
      <c r="F2175" s="173" t="s">
        <v>2862</v>
      </c>
      <c r="G2175" s="328" t="s">
        <v>673</v>
      </c>
      <c r="H2175" s="328" t="s">
        <v>2863</v>
      </c>
      <c r="I2175" s="258" t="s">
        <v>2864</v>
      </c>
      <c r="J2175" s="259"/>
      <c r="K2175" s="260"/>
      <c r="L2175" s="363"/>
      <c r="M2175" s="329"/>
      <c r="N2175" s="173" t="s">
        <v>679</v>
      </c>
      <c r="O2175" s="173"/>
      <c r="P2175" s="262" t="str">
        <f t="shared" si="1"/>
        <v>IN-BLR-ANANTA-VAV-1747_</v>
      </c>
      <c r="Q2175" s="173" t="s">
        <v>7570</v>
      </c>
      <c r="R2175" s="328" t="str">
        <f>IFS(C2175="","",C2175="n/a","N/A",LEN(C2175),Concatenate("{",char(34),"asset",char(34),":{",char(34),"guid",char(34),":",char(34),Q2175,char(34),",",char(34),"site",char(34),":",char(34),LOWER('2-Building'!$B$4),char(34),",",char(34),"name",char(34),":",char(34),LOWER(C2175),char(34),"}}"))</f>
        <v>{"asset":{"guid":"uuid://ef2b3dbe-b457-4218-96e1-7e38cd8660cd","site":"in-blr-ananta","name":"vav-1747"}}</v>
      </c>
      <c r="S2175" s="360" t="s">
        <v>5516</v>
      </c>
      <c r="T2175" s="330"/>
      <c r="U2175" s="330"/>
      <c r="V2175" s="331"/>
      <c r="W2175" s="332"/>
      <c r="X2175" s="333"/>
      <c r="Y2175" s="33" t="s">
        <v>2867</v>
      </c>
      <c r="Z2175" s="258">
        <v>121747.0</v>
      </c>
      <c r="AA2175" s="333"/>
      <c r="AB2175" s="333"/>
      <c r="AC2175" s="333"/>
      <c r="AD2175" s="329"/>
      <c r="AE2175" s="362" t="s">
        <v>685</v>
      </c>
      <c r="AF2175" s="336"/>
      <c r="AG2175" s="337"/>
      <c r="AH2175" s="333"/>
      <c r="AI2175" s="333"/>
      <c r="AJ2175" s="333"/>
      <c r="AK2175" s="328" t="s">
        <v>7571</v>
      </c>
      <c r="AL2175" s="328" t="s">
        <v>688</v>
      </c>
      <c r="AM2175" s="338"/>
      <c r="AN2175" s="333"/>
      <c r="AO2175" s="333"/>
      <c r="AP2175" s="333"/>
      <c r="AQ2175" s="333"/>
      <c r="AR2175" s="333"/>
      <c r="AS2175" s="333"/>
      <c r="AT2175" s="333"/>
      <c r="AU2175" s="329"/>
      <c r="AV2175" s="341"/>
      <c r="AW2175" s="269"/>
      <c r="AX2175" s="334" t="s">
        <v>2869</v>
      </c>
      <c r="AY2175" s="270" t="s">
        <v>695</v>
      </c>
      <c r="AZ2175" s="173" t="s">
        <v>5516</v>
      </c>
      <c r="BA2175" s="265">
        <v>10.0</v>
      </c>
      <c r="BB2175" s="174" t="s">
        <v>245</v>
      </c>
      <c r="BC2175" s="341"/>
      <c r="BD2175" s="308"/>
      <c r="BE2175" s="342"/>
      <c r="BF2175" s="274" t="str">
        <f>IFERROR(__xludf.DUMMYFUNCTION("LOWER(Regexreplace(to_text(E2175),""[^A-Za-z0-9]"","""")&amp;""_""&amp;Regexreplace(to_text(F2175),""[^A-Za-z0-9]"",""""))"),"neptronic_evcbseries")</f>
        <v>neptronic_evcbseries</v>
      </c>
      <c r="BG2175" s="275" t="str">
        <f>IFERROR(__xludf.DUMMYFUNCTION("upper(Regexreplace(to_text(E2175),""[^A-Za-z0-9]"","""")&amp;""-""&amp;Regexreplace(to_text(F2175),""[^A-Za-z0-9]"",""""))"),"NEPTRONIC-EVCBSERIES")</f>
        <v>NEPTRONIC-EVCBSERIES</v>
      </c>
    </row>
    <row r="2176" ht="30.0" customHeight="1">
      <c r="A2176" s="258">
        <v>2168.0</v>
      </c>
      <c r="B2176" s="328" t="s">
        <v>670</v>
      </c>
      <c r="C2176" s="257" t="s">
        <v>7572</v>
      </c>
      <c r="D2176" s="173" t="s">
        <v>7572</v>
      </c>
      <c r="E2176" s="174" t="s">
        <v>2861</v>
      </c>
      <c r="F2176" s="173" t="s">
        <v>2862</v>
      </c>
      <c r="G2176" s="328" t="s">
        <v>673</v>
      </c>
      <c r="H2176" s="328" t="s">
        <v>2863</v>
      </c>
      <c r="I2176" s="258" t="s">
        <v>2864</v>
      </c>
      <c r="J2176" s="259"/>
      <c r="K2176" s="260"/>
      <c r="L2176" s="363"/>
      <c r="M2176" s="329"/>
      <c r="N2176" s="173" t="s">
        <v>679</v>
      </c>
      <c r="O2176" s="173"/>
      <c r="P2176" s="262" t="str">
        <f t="shared" si="1"/>
        <v>IN-BLR-ANANTA-VAV-1748_</v>
      </c>
      <c r="Q2176" s="173" t="s">
        <v>7573</v>
      </c>
      <c r="R2176" s="328" t="str">
        <f>IFS(C2176="","",C2176="n/a","N/A",LEN(C2176),Concatenate("{",char(34),"asset",char(34),":{",char(34),"guid",char(34),":",char(34),Q2176,char(34),",",char(34),"site",char(34),":",char(34),LOWER('2-Building'!$B$4),char(34),",",char(34),"name",char(34),":",char(34),LOWER(C2176),char(34),"}}"))</f>
        <v>{"asset":{"guid":"uuid://b123d120-5a84-45f9-a905-4855b98b5afb","site":"in-blr-ananta","name":"vav-1748"}}</v>
      </c>
      <c r="S2176" s="360" t="s">
        <v>5516</v>
      </c>
      <c r="T2176" s="330"/>
      <c r="U2176" s="330"/>
      <c r="V2176" s="331"/>
      <c r="W2176" s="332"/>
      <c r="X2176" s="333"/>
      <c r="Y2176" s="33" t="s">
        <v>2867</v>
      </c>
      <c r="Z2176" s="258">
        <v>121748.0</v>
      </c>
      <c r="AA2176" s="333"/>
      <c r="AB2176" s="333"/>
      <c r="AC2176" s="333"/>
      <c r="AD2176" s="329"/>
      <c r="AE2176" s="362" t="s">
        <v>685</v>
      </c>
      <c r="AF2176" s="336"/>
      <c r="AG2176" s="337"/>
      <c r="AH2176" s="333"/>
      <c r="AI2176" s="333"/>
      <c r="AJ2176" s="333"/>
      <c r="AK2176" s="328" t="s">
        <v>7574</v>
      </c>
      <c r="AL2176" s="328" t="s">
        <v>688</v>
      </c>
      <c r="AM2176" s="338"/>
      <c r="AN2176" s="333"/>
      <c r="AO2176" s="333"/>
      <c r="AP2176" s="333"/>
      <c r="AQ2176" s="333"/>
      <c r="AR2176" s="333"/>
      <c r="AS2176" s="333"/>
      <c r="AT2176" s="333"/>
      <c r="AU2176" s="329"/>
      <c r="AV2176" s="341"/>
      <c r="AW2176" s="269"/>
      <c r="AX2176" s="334" t="s">
        <v>2869</v>
      </c>
      <c r="AY2176" s="270" t="s">
        <v>695</v>
      </c>
      <c r="AZ2176" s="173" t="s">
        <v>5516</v>
      </c>
      <c r="BA2176" s="265">
        <v>10.0</v>
      </c>
      <c r="BB2176" s="174" t="s">
        <v>245</v>
      </c>
      <c r="BC2176" s="341"/>
      <c r="BD2176" s="308"/>
      <c r="BE2176" s="342"/>
      <c r="BF2176" s="274" t="str">
        <f>IFERROR(__xludf.DUMMYFUNCTION("LOWER(Regexreplace(to_text(E2176),""[^A-Za-z0-9]"","""")&amp;""_""&amp;Regexreplace(to_text(F2176),""[^A-Za-z0-9]"",""""))"),"neptronic_evcbseries")</f>
        <v>neptronic_evcbseries</v>
      </c>
      <c r="BG2176" s="275" t="str">
        <f>IFERROR(__xludf.DUMMYFUNCTION("upper(Regexreplace(to_text(E2176),""[^A-Za-z0-9]"","""")&amp;""-""&amp;Regexreplace(to_text(F2176),""[^A-Za-z0-9]"",""""))"),"NEPTRONIC-EVCBSERIES")</f>
        <v>NEPTRONIC-EVCBSERIES</v>
      </c>
    </row>
    <row r="2177" ht="30.0" customHeight="1">
      <c r="A2177" s="173">
        <v>2169.0</v>
      </c>
      <c r="B2177" s="328" t="s">
        <v>670</v>
      </c>
      <c r="C2177" s="257" t="s">
        <v>7575</v>
      </c>
      <c r="D2177" s="173" t="s">
        <v>7575</v>
      </c>
      <c r="E2177" s="174" t="s">
        <v>2861</v>
      </c>
      <c r="F2177" s="173" t="s">
        <v>2862</v>
      </c>
      <c r="G2177" s="328" t="s">
        <v>673</v>
      </c>
      <c r="H2177" s="328" t="s">
        <v>2863</v>
      </c>
      <c r="I2177" s="258" t="s">
        <v>2864</v>
      </c>
      <c r="J2177" s="259"/>
      <c r="K2177" s="260"/>
      <c r="L2177" s="363"/>
      <c r="M2177" s="329"/>
      <c r="N2177" s="173" t="s">
        <v>679</v>
      </c>
      <c r="O2177" s="173"/>
      <c r="P2177" s="262" t="str">
        <f t="shared" si="1"/>
        <v>IN-BLR-ANANTA-VAV-1749_</v>
      </c>
      <c r="Q2177" s="173" t="s">
        <v>7576</v>
      </c>
      <c r="R2177" s="328" t="str">
        <f>IFS(C2177="","",C2177="n/a","N/A",LEN(C2177),Concatenate("{",char(34),"asset",char(34),":{",char(34),"guid",char(34),":",char(34),Q2177,char(34),",",char(34),"site",char(34),":",char(34),LOWER('2-Building'!$B$4),char(34),",",char(34),"name",char(34),":",char(34),LOWER(C2177),char(34),"}}"))</f>
        <v>{"asset":{"guid":"uuid://a53581da-5134-4ca2-a253-ccf03a4f314a","site":"in-blr-ananta","name":"vav-1749"}}</v>
      </c>
      <c r="S2177" s="360" t="s">
        <v>5516</v>
      </c>
      <c r="T2177" s="330"/>
      <c r="U2177" s="330"/>
      <c r="V2177" s="331"/>
      <c r="W2177" s="332"/>
      <c r="X2177" s="333"/>
      <c r="Y2177" s="33" t="s">
        <v>2867</v>
      </c>
      <c r="Z2177" s="258">
        <v>121749.0</v>
      </c>
      <c r="AA2177" s="333"/>
      <c r="AB2177" s="333"/>
      <c r="AC2177" s="333"/>
      <c r="AD2177" s="329"/>
      <c r="AE2177" s="362" t="s">
        <v>685</v>
      </c>
      <c r="AF2177" s="336"/>
      <c r="AG2177" s="337"/>
      <c r="AH2177" s="333"/>
      <c r="AI2177" s="333"/>
      <c r="AJ2177" s="333"/>
      <c r="AK2177" s="328" t="s">
        <v>7577</v>
      </c>
      <c r="AL2177" s="328" t="s">
        <v>688</v>
      </c>
      <c r="AM2177" s="338"/>
      <c r="AN2177" s="333"/>
      <c r="AO2177" s="333"/>
      <c r="AP2177" s="333"/>
      <c r="AQ2177" s="333"/>
      <c r="AR2177" s="333"/>
      <c r="AS2177" s="333"/>
      <c r="AT2177" s="333"/>
      <c r="AU2177" s="329"/>
      <c r="AV2177" s="341"/>
      <c r="AW2177" s="269"/>
      <c r="AX2177" s="334" t="s">
        <v>2869</v>
      </c>
      <c r="AY2177" s="270" t="s">
        <v>695</v>
      </c>
      <c r="AZ2177" s="173" t="s">
        <v>5516</v>
      </c>
      <c r="BA2177" s="265">
        <v>10.0</v>
      </c>
      <c r="BB2177" s="174" t="s">
        <v>245</v>
      </c>
      <c r="BC2177" s="341"/>
      <c r="BD2177" s="308"/>
      <c r="BE2177" s="342"/>
      <c r="BF2177" s="274" t="str">
        <f>IFERROR(__xludf.DUMMYFUNCTION("LOWER(Regexreplace(to_text(E2177),""[^A-Za-z0-9]"","""")&amp;""_""&amp;Regexreplace(to_text(F2177),""[^A-Za-z0-9]"",""""))"),"neptronic_evcbseries")</f>
        <v>neptronic_evcbseries</v>
      </c>
      <c r="BG2177" s="275" t="str">
        <f>IFERROR(__xludf.DUMMYFUNCTION("upper(Regexreplace(to_text(E2177),""[^A-Za-z0-9]"","""")&amp;""-""&amp;Regexreplace(to_text(F2177),""[^A-Za-z0-9]"",""""))"),"NEPTRONIC-EVCBSERIES")</f>
        <v>NEPTRONIC-EVCBSERIES</v>
      </c>
    </row>
    <row r="2178" ht="30.0" customHeight="1">
      <c r="A2178" s="258">
        <v>2170.0</v>
      </c>
      <c r="B2178" s="328" t="s">
        <v>670</v>
      </c>
      <c r="C2178" s="257" t="s">
        <v>7578</v>
      </c>
      <c r="D2178" s="173" t="s">
        <v>7578</v>
      </c>
      <c r="E2178" s="174" t="s">
        <v>2861</v>
      </c>
      <c r="F2178" s="173" t="s">
        <v>2862</v>
      </c>
      <c r="G2178" s="328" t="s">
        <v>673</v>
      </c>
      <c r="H2178" s="328" t="s">
        <v>2863</v>
      </c>
      <c r="I2178" s="258" t="s">
        <v>2864</v>
      </c>
      <c r="J2178" s="259"/>
      <c r="K2178" s="260"/>
      <c r="L2178" s="363"/>
      <c r="M2178" s="329"/>
      <c r="N2178" s="173" t="s">
        <v>679</v>
      </c>
      <c r="O2178" s="173"/>
      <c r="P2178" s="262" t="str">
        <f t="shared" si="1"/>
        <v>IN-BLR-ANANTA-VAV-1750_</v>
      </c>
      <c r="Q2178" s="173" t="s">
        <v>7579</v>
      </c>
      <c r="R2178" s="328" t="str">
        <f>IFS(C2178="","",C2178="n/a","N/A",LEN(C2178),Concatenate("{",char(34),"asset",char(34),":{",char(34),"guid",char(34),":",char(34),Q2178,char(34),",",char(34),"site",char(34),":",char(34),LOWER('2-Building'!$B$4),char(34),",",char(34),"name",char(34),":",char(34),LOWER(C2178),char(34),"}}"))</f>
        <v>{"asset":{"guid":"uuid://ebfebb5d-2f9e-45f3-8501-8fc60f999b58","site":"in-blr-ananta","name":"vav-1750"}}</v>
      </c>
      <c r="S2178" s="360" t="s">
        <v>5516</v>
      </c>
      <c r="T2178" s="330"/>
      <c r="U2178" s="330"/>
      <c r="V2178" s="331"/>
      <c r="W2178" s="332"/>
      <c r="X2178" s="333"/>
      <c r="Y2178" s="33" t="s">
        <v>2867</v>
      </c>
      <c r="Z2178" s="258">
        <v>121750.0</v>
      </c>
      <c r="AA2178" s="333"/>
      <c r="AB2178" s="333"/>
      <c r="AC2178" s="333"/>
      <c r="AD2178" s="329"/>
      <c r="AE2178" s="362" t="s">
        <v>685</v>
      </c>
      <c r="AF2178" s="336"/>
      <c r="AG2178" s="337"/>
      <c r="AH2178" s="333"/>
      <c r="AI2178" s="333"/>
      <c r="AJ2178" s="333"/>
      <c r="AK2178" s="328" t="s">
        <v>2455</v>
      </c>
      <c r="AL2178" s="328" t="s">
        <v>688</v>
      </c>
      <c r="AM2178" s="338"/>
      <c r="AN2178" s="333"/>
      <c r="AO2178" s="333"/>
      <c r="AP2178" s="333"/>
      <c r="AQ2178" s="333"/>
      <c r="AR2178" s="333"/>
      <c r="AS2178" s="333"/>
      <c r="AT2178" s="333"/>
      <c r="AU2178" s="329"/>
      <c r="AV2178" s="341"/>
      <c r="AW2178" s="269"/>
      <c r="AX2178" s="334" t="s">
        <v>2869</v>
      </c>
      <c r="AY2178" s="270" t="s">
        <v>695</v>
      </c>
      <c r="AZ2178" s="173" t="s">
        <v>5516</v>
      </c>
      <c r="BA2178" s="265">
        <v>10.0</v>
      </c>
      <c r="BB2178" s="174" t="s">
        <v>245</v>
      </c>
      <c r="BC2178" s="341"/>
      <c r="BD2178" s="308"/>
      <c r="BE2178" s="342"/>
      <c r="BF2178" s="274" t="str">
        <f>IFERROR(__xludf.DUMMYFUNCTION("LOWER(Regexreplace(to_text(E2178),""[^A-Za-z0-9]"","""")&amp;""_""&amp;Regexreplace(to_text(F2178),""[^A-Za-z0-9]"",""""))"),"neptronic_evcbseries")</f>
        <v>neptronic_evcbseries</v>
      </c>
      <c r="BG2178" s="275" t="str">
        <f>IFERROR(__xludf.DUMMYFUNCTION("upper(Regexreplace(to_text(E2178),""[^A-Za-z0-9]"","""")&amp;""-""&amp;Regexreplace(to_text(F2178),""[^A-Za-z0-9]"",""""))"),"NEPTRONIC-EVCBSERIES")</f>
        <v>NEPTRONIC-EVCBSERIES</v>
      </c>
    </row>
    <row r="2179" ht="30.0" customHeight="1">
      <c r="A2179" s="173">
        <v>2171.0</v>
      </c>
      <c r="B2179" s="328" t="s">
        <v>670</v>
      </c>
      <c r="C2179" s="257" t="s">
        <v>7580</v>
      </c>
      <c r="D2179" s="173" t="s">
        <v>7580</v>
      </c>
      <c r="E2179" s="174" t="s">
        <v>2861</v>
      </c>
      <c r="F2179" s="173" t="s">
        <v>2862</v>
      </c>
      <c r="G2179" s="328" t="s">
        <v>673</v>
      </c>
      <c r="H2179" s="328" t="s">
        <v>2863</v>
      </c>
      <c r="I2179" s="258" t="s">
        <v>2864</v>
      </c>
      <c r="J2179" s="259"/>
      <c r="K2179" s="260"/>
      <c r="L2179" s="363"/>
      <c r="M2179" s="329"/>
      <c r="N2179" s="173" t="s">
        <v>679</v>
      </c>
      <c r="O2179" s="173"/>
      <c r="P2179" s="262" t="str">
        <f t="shared" si="1"/>
        <v>IN-BLR-ANANTA-VAV-1751_</v>
      </c>
      <c r="Q2179" s="173" t="s">
        <v>7581</v>
      </c>
      <c r="R2179" s="328" t="str">
        <f>IFS(C2179="","",C2179="n/a","N/A",LEN(C2179),Concatenate("{",char(34),"asset",char(34),":{",char(34),"guid",char(34),":",char(34),Q2179,char(34),",",char(34),"site",char(34),":",char(34),LOWER('2-Building'!$B$4),char(34),",",char(34),"name",char(34),":",char(34),LOWER(C2179),char(34),"}}"))</f>
        <v>{"asset":{"guid":"uuid://20ea2175-a897-49e9-9d05-25b830ab8080","site":"in-blr-ananta","name":"vav-1751"}}</v>
      </c>
      <c r="S2179" s="360" t="s">
        <v>5516</v>
      </c>
      <c r="T2179" s="330"/>
      <c r="U2179" s="330"/>
      <c r="V2179" s="331"/>
      <c r="W2179" s="332"/>
      <c r="X2179" s="333"/>
      <c r="Y2179" s="33" t="s">
        <v>2867</v>
      </c>
      <c r="Z2179" s="258">
        <v>121751.0</v>
      </c>
      <c r="AA2179" s="333"/>
      <c r="AB2179" s="333"/>
      <c r="AC2179" s="333"/>
      <c r="AD2179" s="329"/>
      <c r="AE2179" s="362" t="s">
        <v>685</v>
      </c>
      <c r="AF2179" s="336"/>
      <c r="AG2179" s="337"/>
      <c r="AH2179" s="333"/>
      <c r="AI2179" s="333"/>
      <c r="AJ2179" s="333"/>
      <c r="AK2179" s="328" t="s">
        <v>7582</v>
      </c>
      <c r="AL2179" s="328" t="s">
        <v>688</v>
      </c>
      <c r="AM2179" s="338"/>
      <c r="AN2179" s="333"/>
      <c r="AO2179" s="333"/>
      <c r="AP2179" s="333"/>
      <c r="AQ2179" s="333"/>
      <c r="AR2179" s="333"/>
      <c r="AS2179" s="333"/>
      <c r="AT2179" s="333"/>
      <c r="AU2179" s="329"/>
      <c r="AV2179" s="341"/>
      <c r="AW2179" s="269"/>
      <c r="AX2179" s="334" t="s">
        <v>2869</v>
      </c>
      <c r="AY2179" s="270" t="s">
        <v>695</v>
      </c>
      <c r="AZ2179" s="173" t="s">
        <v>5516</v>
      </c>
      <c r="BA2179" s="265">
        <v>10.0</v>
      </c>
      <c r="BB2179" s="174" t="s">
        <v>245</v>
      </c>
      <c r="BC2179" s="341"/>
      <c r="BD2179" s="308"/>
      <c r="BE2179" s="342"/>
      <c r="BF2179" s="274" t="str">
        <f>IFERROR(__xludf.DUMMYFUNCTION("LOWER(Regexreplace(to_text(E2179),""[^A-Za-z0-9]"","""")&amp;""_""&amp;Regexreplace(to_text(F2179),""[^A-Za-z0-9]"",""""))"),"neptronic_evcbseries")</f>
        <v>neptronic_evcbseries</v>
      </c>
      <c r="BG2179" s="275" t="str">
        <f>IFERROR(__xludf.DUMMYFUNCTION("upper(Regexreplace(to_text(E2179),""[^A-Za-z0-9]"","""")&amp;""-""&amp;Regexreplace(to_text(F2179),""[^A-Za-z0-9]"",""""))"),"NEPTRONIC-EVCBSERIES")</f>
        <v>NEPTRONIC-EVCBSERIES</v>
      </c>
    </row>
    <row r="2180" ht="30.0" customHeight="1">
      <c r="A2180" s="258">
        <v>2172.0</v>
      </c>
      <c r="B2180" s="328" t="s">
        <v>670</v>
      </c>
      <c r="C2180" s="257" t="s">
        <v>7583</v>
      </c>
      <c r="D2180" s="173" t="s">
        <v>7583</v>
      </c>
      <c r="E2180" s="174" t="s">
        <v>2861</v>
      </c>
      <c r="F2180" s="173" t="s">
        <v>2862</v>
      </c>
      <c r="G2180" s="328" t="s">
        <v>673</v>
      </c>
      <c r="H2180" s="328" t="s">
        <v>2863</v>
      </c>
      <c r="I2180" s="258" t="s">
        <v>2864</v>
      </c>
      <c r="J2180" s="259"/>
      <c r="K2180" s="260"/>
      <c r="L2180" s="363"/>
      <c r="M2180" s="329"/>
      <c r="N2180" s="173" t="s">
        <v>679</v>
      </c>
      <c r="O2180" s="173"/>
      <c r="P2180" s="262" t="str">
        <f t="shared" si="1"/>
        <v>IN-BLR-ANANTA-VAV-1752_</v>
      </c>
      <c r="Q2180" s="173" t="s">
        <v>7584</v>
      </c>
      <c r="R2180" s="328" t="str">
        <f>IFS(C2180="","",C2180="n/a","N/A",LEN(C2180),Concatenate("{",char(34),"asset",char(34),":{",char(34),"guid",char(34),":",char(34),Q2180,char(34),",",char(34),"site",char(34),":",char(34),LOWER('2-Building'!$B$4),char(34),",",char(34),"name",char(34),":",char(34),LOWER(C2180),char(34),"}}"))</f>
        <v>{"asset":{"guid":"uuid://ba200cfa-66be-49be-8a56-0eb52ac62a44","site":"in-blr-ananta","name":"vav-1752"}}</v>
      </c>
      <c r="S2180" s="360" t="s">
        <v>5516</v>
      </c>
      <c r="T2180" s="330"/>
      <c r="U2180" s="330"/>
      <c r="V2180" s="331"/>
      <c r="W2180" s="332"/>
      <c r="X2180" s="333"/>
      <c r="Y2180" s="33" t="s">
        <v>2867</v>
      </c>
      <c r="Z2180" s="258">
        <v>121752.0</v>
      </c>
      <c r="AA2180" s="333"/>
      <c r="AB2180" s="333"/>
      <c r="AC2180" s="333"/>
      <c r="AD2180" s="329"/>
      <c r="AE2180" s="362" t="s">
        <v>685</v>
      </c>
      <c r="AF2180" s="336"/>
      <c r="AG2180" s="337"/>
      <c r="AH2180" s="333"/>
      <c r="AI2180" s="333"/>
      <c r="AJ2180" s="333"/>
      <c r="AK2180" s="328" t="s">
        <v>7585</v>
      </c>
      <c r="AL2180" s="328" t="s">
        <v>688</v>
      </c>
      <c r="AM2180" s="338"/>
      <c r="AN2180" s="333"/>
      <c r="AO2180" s="333"/>
      <c r="AP2180" s="333"/>
      <c r="AQ2180" s="333"/>
      <c r="AR2180" s="333"/>
      <c r="AS2180" s="333"/>
      <c r="AT2180" s="333"/>
      <c r="AU2180" s="329"/>
      <c r="AV2180" s="341"/>
      <c r="AW2180" s="269"/>
      <c r="AX2180" s="334" t="s">
        <v>2869</v>
      </c>
      <c r="AY2180" s="270" t="s">
        <v>695</v>
      </c>
      <c r="AZ2180" s="173" t="s">
        <v>5516</v>
      </c>
      <c r="BA2180" s="265">
        <v>10.0</v>
      </c>
      <c r="BB2180" s="174" t="s">
        <v>245</v>
      </c>
      <c r="BC2180" s="341"/>
      <c r="BD2180" s="308"/>
      <c r="BE2180" s="342"/>
      <c r="BF2180" s="274" t="str">
        <f>IFERROR(__xludf.DUMMYFUNCTION("LOWER(Regexreplace(to_text(E2180),""[^A-Za-z0-9]"","""")&amp;""_""&amp;Regexreplace(to_text(F2180),""[^A-Za-z0-9]"",""""))"),"neptronic_evcbseries")</f>
        <v>neptronic_evcbseries</v>
      </c>
      <c r="BG2180" s="275" t="str">
        <f>IFERROR(__xludf.DUMMYFUNCTION("upper(Regexreplace(to_text(E2180),""[^A-Za-z0-9]"","""")&amp;""-""&amp;Regexreplace(to_text(F2180),""[^A-Za-z0-9]"",""""))"),"NEPTRONIC-EVCBSERIES")</f>
        <v>NEPTRONIC-EVCBSERIES</v>
      </c>
    </row>
    <row r="2181" ht="30.0" customHeight="1">
      <c r="A2181" s="173">
        <v>2173.0</v>
      </c>
      <c r="B2181" s="328" t="s">
        <v>670</v>
      </c>
      <c r="C2181" s="257" t="s">
        <v>7586</v>
      </c>
      <c r="D2181" s="173" t="s">
        <v>7586</v>
      </c>
      <c r="E2181" s="174" t="s">
        <v>2861</v>
      </c>
      <c r="F2181" s="173" t="s">
        <v>2862</v>
      </c>
      <c r="G2181" s="328" t="s">
        <v>673</v>
      </c>
      <c r="H2181" s="328" t="s">
        <v>2863</v>
      </c>
      <c r="I2181" s="258" t="s">
        <v>2864</v>
      </c>
      <c r="J2181" s="259"/>
      <c r="K2181" s="260"/>
      <c r="L2181" s="363"/>
      <c r="M2181" s="329"/>
      <c r="N2181" s="173" t="s">
        <v>679</v>
      </c>
      <c r="O2181" s="173"/>
      <c r="P2181" s="262" t="str">
        <f t="shared" si="1"/>
        <v>IN-BLR-ANANTA-VAV-1753_</v>
      </c>
      <c r="Q2181" s="173" t="s">
        <v>7587</v>
      </c>
      <c r="R2181" s="328" t="str">
        <f>IFS(C2181="","",C2181="n/a","N/A",LEN(C2181),Concatenate("{",char(34),"asset",char(34),":{",char(34),"guid",char(34),":",char(34),Q2181,char(34),",",char(34),"site",char(34),":",char(34),LOWER('2-Building'!$B$4),char(34),",",char(34),"name",char(34),":",char(34),LOWER(C2181),char(34),"}}"))</f>
        <v>{"asset":{"guid":"uuid://ec6a0912-1194-4136-a9ac-3cfd5fdebfd4","site":"in-blr-ananta","name":"vav-1753"}}</v>
      </c>
      <c r="S2181" s="360" t="s">
        <v>5516</v>
      </c>
      <c r="T2181" s="330"/>
      <c r="U2181" s="330"/>
      <c r="V2181" s="331"/>
      <c r="W2181" s="332"/>
      <c r="X2181" s="333"/>
      <c r="Y2181" s="33" t="s">
        <v>2867</v>
      </c>
      <c r="Z2181" s="258">
        <v>121753.0</v>
      </c>
      <c r="AA2181" s="333"/>
      <c r="AB2181" s="333"/>
      <c r="AC2181" s="333"/>
      <c r="AD2181" s="329"/>
      <c r="AE2181" s="362" t="s">
        <v>685</v>
      </c>
      <c r="AF2181" s="336"/>
      <c r="AG2181" s="337"/>
      <c r="AH2181" s="333"/>
      <c r="AI2181" s="333"/>
      <c r="AJ2181" s="333"/>
      <c r="AK2181" s="328" t="s">
        <v>7588</v>
      </c>
      <c r="AL2181" s="328" t="s">
        <v>688</v>
      </c>
      <c r="AM2181" s="338"/>
      <c r="AN2181" s="333"/>
      <c r="AO2181" s="333"/>
      <c r="AP2181" s="333"/>
      <c r="AQ2181" s="333"/>
      <c r="AR2181" s="333"/>
      <c r="AS2181" s="333"/>
      <c r="AT2181" s="333"/>
      <c r="AU2181" s="329"/>
      <c r="AV2181" s="341"/>
      <c r="AW2181" s="269"/>
      <c r="AX2181" s="334" t="s">
        <v>2869</v>
      </c>
      <c r="AY2181" s="270" t="s">
        <v>695</v>
      </c>
      <c r="AZ2181" s="173" t="s">
        <v>5516</v>
      </c>
      <c r="BA2181" s="265">
        <v>10.0</v>
      </c>
      <c r="BB2181" s="174" t="s">
        <v>245</v>
      </c>
      <c r="BC2181" s="341"/>
      <c r="BD2181" s="308"/>
      <c r="BE2181" s="342"/>
      <c r="BF2181" s="274" t="str">
        <f>IFERROR(__xludf.DUMMYFUNCTION("LOWER(Regexreplace(to_text(E2181),""[^A-Za-z0-9]"","""")&amp;""_""&amp;Regexreplace(to_text(F2181),""[^A-Za-z0-9]"",""""))"),"neptronic_evcbseries")</f>
        <v>neptronic_evcbseries</v>
      </c>
      <c r="BG2181" s="275" t="str">
        <f>IFERROR(__xludf.DUMMYFUNCTION("upper(Regexreplace(to_text(E2181),""[^A-Za-z0-9]"","""")&amp;""-""&amp;Regexreplace(to_text(F2181),""[^A-Za-z0-9]"",""""))"),"NEPTRONIC-EVCBSERIES")</f>
        <v>NEPTRONIC-EVCBSERIES</v>
      </c>
    </row>
    <row r="2182" ht="30.0" customHeight="1">
      <c r="A2182" s="258">
        <v>2174.0</v>
      </c>
      <c r="B2182" s="328" t="s">
        <v>670</v>
      </c>
      <c r="C2182" s="257" t="s">
        <v>7589</v>
      </c>
      <c r="D2182" s="173" t="s">
        <v>7589</v>
      </c>
      <c r="E2182" s="174" t="s">
        <v>2861</v>
      </c>
      <c r="F2182" s="173" t="s">
        <v>2862</v>
      </c>
      <c r="G2182" s="328" t="s">
        <v>673</v>
      </c>
      <c r="H2182" s="328" t="s">
        <v>2863</v>
      </c>
      <c r="I2182" s="258" t="s">
        <v>2864</v>
      </c>
      <c r="J2182" s="259"/>
      <c r="K2182" s="260"/>
      <c r="L2182" s="363"/>
      <c r="M2182" s="329"/>
      <c r="N2182" s="173" t="s">
        <v>679</v>
      </c>
      <c r="O2182" s="173"/>
      <c r="P2182" s="262" t="str">
        <f t="shared" si="1"/>
        <v>IN-BLR-ANANTA-VAV-1754_</v>
      </c>
      <c r="Q2182" s="173" t="s">
        <v>7590</v>
      </c>
      <c r="R2182" s="328" t="str">
        <f>IFS(C2182="","",C2182="n/a","N/A",LEN(C2182),Concatenate("{",char(34),"asset",char(34),":{",char(34),"guid",char(34),":",char(34),Q2182,char(34),",",char(34),"site",char(34),":",char(34),LOWER('2-Building'!$B$4),char(34),",",char(34),"name",char(34),":",char(34),LOWER(C2182),char(34),"}}"))</f>
        <v>{"asset":{"guid":"uuid://de6a7516-3688-4519-9533-b391201fbc89","site":"in-blr-ananta","name":"vav-1754"}}</v>
      </c>
      <c r="S2182" s="360" t="s">
        <v>5516</v>
      </c>
      <c r="T2182" s="330"/>
      <c r="U2182" s="330"/>
      <c r="V2182" s="331"/>
      <c r="W2182" s="332"/>
      <c r="X2182" s="333"/>
      <c r="Y2182" s="33" t="s">
        <v>2867</v>
      </c>
      <c r="Z2182" s="258">
        <v>121754.0</v>
      </c>
      <c r="AA2182" s="333"/>
      <c r="AB2182" s="333"/>
      <c r="AC2182" s="333"/>
      <c r="AD2182" s="329"/>
      <c r="AE2182" s="362" t="s">
        <v>685</v>
      </c>
      <c r="AF2182" s="336"/>
      <c r="AG2182" s="337"/>
      <c r="AH2182" s="333"/>
      <c r="AI2182" s="333"/>
      <c r="AJ2182" s="333"/>
      <c r="AK2182" s="328" t="s">
        <v>7591</v>
      </c>
      <c r="AL2182" s="328" t="s">
        <v>688</v>
      </c>
      <c r="AM2182" s="338"/>
      <c r="AN2182" s="333"/>
      <c r="AO2182" s="333"/>
      <c r="AP2182" s="333"/>
      <c r="AQ2182" s="333"/>
      <c r="AR2182" s="333"/>
      <c r="AS2182" s="333"/>
      <c r="AT2182" s="333"/>
      <c r="AU2182" s="329"/>
      <c r="AV2182" s="341"/>
      <c r="AW2182" s="269"/>
      <c r="AX2182" s="334" t="s">
        <v>2869</v>
      </c>
      <c r="AY2182" s="270" t="s">
        <v>695</v>
      </c>
      <c r="AZ2182" s="173" t="s">
        <v>5516</v>
      </c>
      <c r="BA2182" s="265">
        <v>10.0</v>
      </c>
      <c r="BB2182" s="174" t="s">
        <v>245</v>
      </c>
      <c r="BC2182" s="341"/>
      <c r="BD2182" s="308"/>
      <c r="BE2182" s="342"/>
      <c r="BF2182" s="274" t="str">
        <f>IFERROR(__xludf.DUMMYFUNCTION("LOWER(Regexreplace(to_text(E2182),""[^A-Za-z0-9]"","""")&amp;""_""&amp;Regexreplace(to_text(F2182),""[^A-Za-z0-9]"",""""))"),"neptronic_evcbseries")</f>
        <v>neptronic_evcbseries</v>
      </c>
      <c r="BG2182" s="275" t="str">
        <f>IFERROR(__xludf.DUMMYFUNCTION("upper(Regexreplace(to_text(E2182),""[^A-Za-z0-9]"","""")&amp;""-""&amp;Regexreplace(to_text(F2182),""[^A-Za-z0-9]"",""""))"),"NEPTRONIC-EVCBSERIES")</f>
        <v>NEPTRONIC-EVCBSERIES</v>
      </c>
    </row>
    <row r="2183" ht="30.0" customHeight="1">
      <c r="A2183" s="173">
        <v>2175.0</v>
      </c>
      <c r="B2183" s="328" t="s">
        <v>670</v>
      </c>
      <c r="C2183" s="257" t="s">
        <v>7592</v>
      </c>
      <c r="D2183" s="173" t="s">
        <v>7592</v>
      </c>
      <c r="E2183" s="174" t="s">
        <v>2861</v>
      </c>
      <c r="F2183" s="173" t="s">
        <v>2862</v>
      </c>
      <c r="G2183" s="328" t="s">
        <v>673</v>
      </c>
      <c r="H2183" s="328" t="s">
        <v>2863</v>
      </c>
      <c r="I2183" s="258" t="s">
        <v>2864</v>
      </c>
      <c r="J2183" s="259"/>
      <c r="K2183" s="260"/>
      <c r="L2183" s="363"/>
      <c r="M2183" s="329"/>
      <c r="N2183" s="173" t="s">
        <v>679</v>
      </c>
      <c r="O2183" s="173"/>
      <c r="P2183" s="262" t="str">
        <f t="shared" si="1"/>
        <v>IN-BLR-ANANTA-VAV-1755_</v>
      </c>
      <c r="Q2183" s="173" t="s">
        <v>7593</v>
      </c>
      <c r="R2183" s="328" t="str">
        <f>IFS(C2183="","",C2183="n/a","N/A",LEN(C2183),Concatenate("{",char(34),"asset",char(34),":{",char(34),"guid",char(34),":",char(34),Q2183,char(34),",",char(34),"site",char(34),":",char(34),LOWER('2-Building'!$B$4),char(34),",",char(34),"name",char(34),":",char(34),LOWER(C2183),char(34),"}}"))</f>
        <v>{"asset":{"guid":"uuid://3e32fa60-d8f5-439e-84b3-b39a1dd92151","site":"in-blr-ananta","name":"vav-1755"}}</v>
      </c>
      <c r="S2183" s="360" t="s">
        <v>5516</v>
      </c>
      <c r="T2183" s="330"/>
      <c r="U2183" s="330"/>
      <c r="V2183" s="331"/>
      <c r="W2183" s="332"/>
      <c r="X2183" s="333"/>
      <c r="Y2183" s="33" t="s">
        <v>2867</v>
      </c>
      <c r="Z2183" s="258">
        <v>121755.0</v>
      </c>
      <c r="AA2183" s="333"/>
      <c r="AB2183" s="333"/>
      <c r="AC2183" s="333"/>
      <c r="AD2183" s="329"/>
      <c r="AE2183" s="362" t="s">
        <v>685</v>
      </c>
      <c r="AF2183" s="336"/>
      <c r="AG2183" s="337"/>
      <c r="AH2183" s="333"/>
      <c r="AI2183" s="333"/>
      <c r="AJ2183" s="333"/>
      <c r="AK2183" s="328" t="s">
        <v>7594</v>
      </c>
      <c r="AL2183" s="328" t="s">
        <v>688</v>
      </c>
      <c r="AM2183" s="338"/>
      <c r="AN2183" s="333"/>
      <c r="AO2183" s="333"/>
      <c r="AP2183" s="333"/>
      <c r="AQ2183" s="333"/>
      <c r="AR2183" s="333"/>
      <c r="AS2183" s="333"/>
      <c r="AT2183" s="333"/>
      <c r="AU2183" s="329"/>
      <c r="AV2183" s="341"/>
      <c r="AW2183" s="269"/>
      <c r="AX2183" s="334" t="s">
        <v>2869</v>
      </c>
      <c r="AY2183" s="270" t="s">
        <v>695</v>
      </c>
      <c r="AZ2183" s="173" t="s">
        <v>5516</v>
      </c>
      <c r="BA2183" s="265">
        <v>10.0</v>
      </c>
      <c r="BB2183" s="174" t="s">
        <v>245</v>
      </c>
      <c r="BC2183" s="341"/>
      <c r="BD2183" s="308"/>
      <c r="BE2183" s="342"/>
      <c r="BF2183" s="274" t="str">
        <f>IFERROR(__xludf.DUMMYFUNCTION("LOWER(Regexreplace(to_text(E2183),""[^A-Za-z0-9]"","""")&amp;""_""&amp;Regexreplace(to_text(F2183),""[^A-Za-z0-9]"",""""))"),"neptronic_evcbseries")</f>
        <v>neptronic_evcbseries</v>
      </c>
      <c r="BG2183" s="275" t="str">
        <f>IFERROR(__xludf.DUMMYFUNCTION("upper(Regexreplace(to_text(E2183),""[^A-Za-z0-9]"","""")&amp;""-""&amp;Regexreplace(to_text(F2183),""[^A-Za-z0-9]"",""""))"),"NEPTRONIC-EVCBSERIES")</f>
        <v>NEPTRONIC-EVCBSERIES</v>
      </c>
    </row>
    <row r="2184" ht="30.0" customHeight="1">
      <c r="A2184" s="258">
        <v>2176.0</v>
      </c>
      <c r="B2184" s="328" t="s">
        <v>670</v>
      </c>
      <c r="C2184" s="257" t="s">
        <v>7595</v>
      </c>
      <c r="D2184" s="173" t="s">
        <v>7595</v>
      </c>
      <c r="E2184" s="174" t="s">
        <v>2861</v>
      </c>
      <c r="F2184" s="173" t="s">
        <v>2862</v>
      </c>
      <c r="G2184" s="328" t="s">
        <v>673</v>
      </c>
      <c r="H2184" s="328" t="s">
        <v>2863</v>
      </c>
      <c r="I2184" s="258" t="s">
        <v>2864</v>
      </c>
      <c r="J2184" s="259"/>
      <c r="K2184" s="260"/>
      <c r="L2184" s="363"/>
      <c r="M2184" s="329"/>
      <c r="N2184" s="173" t="s">
        <v>679</v>
      </c>
      <c r="O2184" s="173"/>
      <c r="P2184" s="262" t="str">
        <f t="shared" si="1"/>
        <v>IN-BLR-ANANTA-VAV-1756_</v>
      </c>
      <c r="Q2184" s="173" t="s">
        <v>7596</v>
      </c>
      <c r="R2184" s="328" t="str">
        <f>IFS(C2184="","",C2184="n/a","N/A",LEN(C2184),Concatenate("{",char(34),"asset",char(34),":{",char(34),"guid",char(34),":",char(34),Q2184,char(34),",",char(34),"site",char(34),":",char(34),LOWER('2-Building'!$B$4),char(34),",",char(34),"name",char(34),":",char(34),LOWER(C2184),char(34),"}}"))</f>
        <v>{"asset":{"guid":"uuid://e0cd7d19-8610-4bc5-b5c0-8f76b1682fa2","site":"in-blr-ananta","name":"vav-1756"}}</v>
      </c>
      <c r="S2184" s="360" t="s">
        <v>5516</v>
      </c>
      <c r="T2184" s="330"/>
      <c r="U2184" s="330"/>
      <c r="V2184" s="331"/>
      <c r="W2184" s="332"/>
      <c r="X2184" s="333"/>
      <c r="Y2184" s="33" t="s">
        <v>2867</v>
      </c>
      <c r="Z2184" s="258">
        <v>121756.0</v>
      </c>
      <c r="AA2184" s="333"/>
      <c r="AB2184" s="333"/>
      <c r="AC2184" s="333"/>
      <c r="AD2184" s="329"/>
      <c r="AE2184" s="362" t="s">
        <v>685</v>
      </c>
      <c r="AF2184" s="336"/>
      <c r="AG2184" s="337"/>
      <c r="AH2184" s="333"/>
      <c r="AI2184" s="333"/>
      <c r="AJ2184" s="333"/>
      <c r="AK2184" s="328" t="s">
        <v>7597</v>
      </c>
      <c r="AL2184" s="328" t="s">
        <v>688</v>
      </c>
      <c r="AM2184" s="338"/>
      <c r="AN2184" s="333"/>
      <c r="AO2184" s="333"/>
      <c r="AP2184" s="333"/>
      <c r="AQ2184" s="333"/>
      <c r="AR2184" s="333"/>
      <c r="AS2184" s="333"/>
      <c r="AT2184" s="333"/>
      <c r="AU2184" s="329"/>
      <c r="AV2184" s="341"/>
      <c r="AW2184" s="269"/>
      <c r="AX2184" s="334" t="s">
        <v>2869</v>
      </c>
      <c r="AY2184" s="270" t="s">
        <v>695</v>
      </c>
      <c r="AZ2184" s="173" t="s">
        <v>5516</v>
      </c>
      <c r="BA2184" s="265">
        <v>10.0</v>
      </c>
      <c r="BB2184" s="174" t="s">
        <v>245</v>
      </c>
      <c r="BC2184" s="341"/>
      <c r="BD2184" s="308"/>
      <c r="BE2184" s="342"/>
      <c r="BF2184" s="274" t="str">
        <f>IFERROR(__xludf.DUMMYFUNCTION("LOWER(Regexreplace(to_text(E2184),""[^A-Za-z0-9]"","""")&amp;""_""&amp;Regexreplace(to_text(F2184),""[^A-Za-z0-9]"",""""))"),"neptronic_evcbseries")</f>
        <v>neptronic_evcbseries</v>
      </c>
      <c r="BG2184" s="275" t="str">
        <f>IFERROR(__xludf.DUMMYFUNCTION("upper(Regexreplace(to_text(E2184),""[^A-Za-z0-9]"","""")&amp;""-""&amp;Regexreplace(to_text(F2184),""[^A-Za-z0-9]"",""""))"),"NEPTRONIC-EVCBSERIES")</f>
        <v>NEPTRONIC-EVCBSERIES</v>
      </c>
    </row>
    <row r="2185" ht="30.0" customHeight="1">
      <c r="A2185" s="173">
        <v>2177.0</v>
      </c>
      <c r="B2185" s="328" t="s">
        <v>670</v>
      </c>
      <c r="C2185" s="257" t="s">
        <v>7598</v>
      </c>
      <c r="D2185" s="173" t="s">
        <v>7598</v>
      </c>
      <c r="E2185" s="174" t="s">
        <v>2861</v>
      </c>
      <c r="F2185" s="173" t="s">
        <v>2862</v>
      </c>
      <c r="G2185" s="328" t="s">
        <v>673</v>
      </c>
      <c r="H2185" s="328" t="s">
        <v>2863</v>
      </c>
      <c r="I2185" s="258" t="s">
        <v>2864</v>
      </c>
      <c r="J2185" s="259"/>
      <c r="K2185" s="260"/>
      <c r="L2185" s="363"/>
      <c r="M2185" s="329"/>
      <c r="N2185" s="173" t="s">
        <v>679</v>
      </c>
      <c r="O2185" s="173"/>
      <c r="P2185" s="262" t="str">
        <f t="shared" si="1"/>
        <v>IN-BLR-ANANTA-VAV-1757_</v>
      </c>
      <c r="Q2185" s="173" t="s">
        <v>7599</v>
      </c>
      <c r="R2185" s="328" t="str">
        <f>IFS(C2185="","",C2185="n/a","N/A",LEN(C2185),Concatenate("{",char(34),"asset",char(34),":{",char(34),"guid",char(34),":",char(34),Q2185,char(34),",",char(34),"site",char(34),":",char(34),LOWER('2-Building'!$B$4),char(34),",",char(34),"name",char(34),":",char(34),LOWER(C2185),char(34),"}}"))</f>
        <v>{"asset":{"guid":"uuid://ab5a123c-4334-4abc-bb22-a2bb1afc81d5","site":"in-blr-ananta","name":"vav-1757"}}</v>
      </c>
      <c r="S2185" s="360" t="s">
        <v>5516</v>
      </c>
      <c r="T2185" s="330"/>
      <c r="U2185" s="330"/>
      <c r="V2185" s="331"/>
      <c r="W2185" s="332"/>
      <c r="X2185" s="333"/>
      <c r="Y2185" s="33" t="s">
        <v>2867</v>
      </c>
      <c r="Z2185" s="258">
        <v>121757.0</v>
      </c>
      <c r="AA2185" s="333"/>
      <c r="AB2185" s="333"/>
      <c r="AC2185" s="333"/>
      <c r="AD2185" s="329"/>
      <c r="AE2185" s="362" t="s">
        <v>685</v>
      </c>
      <c r="AF2185" s="336"/>
      <c r="AG2185" s="337"/>
      <c r="AH2185" s="333"/>
      <c r="AI2185" s="333"/>
      <c r="AJ2185" s="333"/>
      <c r="AK2185" s="328" t="s">
        <v>7600</v>
      </c>
      <c r="AL2185" s="328" t="s">
        <v>688</v>
      </c>
      <c r="AM2185" s="338"/>
      <c r="AN2185" s="333"/>
      <c r="AO2185" s="333"/>
      <c r="AP2185" s="333"/>
      <c r="AQ2185" s="333"/>
      <c r="AR2185" s="333"/>
      <c r="AS2185" s="333"/>
      <c r="AT2185" s="333"/>
      <c r="AU2185" s="329"/>
      <c r="AV2185" s="341"/>
      <c r="AW2185" s="269"/>
      <c r="AX2185" s="334" t="s">
        <v>2869</v>
      </c>
      <c r="AY2185" s="270" t="s">
        <v>695</v>
      </c>
      <c r="AZ2185" s="173" t="s">
        <v>5516</v>
      </c>
      <c r="BA2185" s="265">
        <v>10.0</v>
      </c>
      <c r="BB2185" s="174" t="s">
        <v>245</v>
      </c>
      <c r="BC2185" s="341"/>
      <c r="BD2185" s="308"/>
      <c r="BE2185" s="342"/>
      <c r="BF2185" s="274" t="str">
        <f>IFERROR(__xludf.DUMMYFUNCTION("LOWER(Regexreplace(to_text(E2185),""[^A-Za-z0-9]"","""")&amp;""_""&amp;Regexreplace(to_text(F2185),""[^A-Za-z0-9]"",""""))"),"neptronic_evcbseries")</f>
        <v>neptronic_evcbseries</v>
      </c>
      <c r="BG2185" s="275" t="str">
        <f>IFERROR(__xludf.DUMMYFUNCTION("upper(Regexreplace(to_text(E2185),""[^A-Za-z0-9]"","""")&amp;""-""&amp;Regexreplace(to_text(F2185),""[^A-Za-z0-9]"",""""))"),"NEPTRONIC-EVCBSERIES")</f>
        <v>NEPTRONIC-EVCBSERIES</v>
      </c>
    </row>
    <row r="2186" ht="30.0" customHeight="1">
      <c r="A2186" s="258">
        <v>2178.0</v>
      </c>
      <c r="B2186" s="328" t="s">
        <v>670</v>
      </c>
      <c r="C2186" s="257" t="s">
        <v>7601</v>
      </c>
      <c r="D2186" s="173" t="s">
        <v>7601</v>
      </c>
      <c r="E2186" s="174" t="s">
        <v>2861</v>
      </c>
      <c r="F2186" s="173" t="s">
        <v>2862</v>
      </c>
      <c r="G2186" s="328" t="s">
        <v>673</v>
      </c>
      <c r="H2186" s="328" t="s">
        <v>2863</v>
      </c>
      <c r="I2186" s="258" t="s">
        <v>2864</v>
      </c>
      <c r="J2186" s="259"/>
      <c r="K2186" s="260"/>
      <c r="L2186" s="363"/>
      <c r="M2186" s="329"/>
      <c r="N2186" s="173" t="s">
        <v>679</v>
      </c>
      <c r="O2186" s="173"/>
      <c r="P2186" s="262" t="str">
        <f t="shared" si="1"/>
        <v>IN-BLR-ANANTA-VAV-1758_</v>
      </c>
      <c r="Q2186" s="173" t="s">
        <v>7602</v>
      </c>
      <c r="R2186" s="328" t="str">
        <f>IFS(C2186="","",C2186="n/a","N/A",LEN(C2186),Concatenate("{",char(34),"asset",char(34),":{",char(34),"guid",char(34),":",char(34),Q2186,char(34),",",char(34),"site",char(34),":",char(34),LOWER('2-Building'!$B$4),char(34),",",char(34),"name",char(34),":",char(34),LOWER(C2186),char(34),"}}"))</f>
        <v>{"asset":{"guid":"uuid://8d8e0633-8df2-4fea-8525-b53fa73e8ead","site":"in-blr-ananta","name":"vav-1758"}}</v>
      </c>
      <c r="S2186" s="360" t="s">
        <v>5516</v>
      </c>
      <c r="T2186" s="330"/>
      <c r="U2186" s="330"/>
      <c r="V2186" s="331"/>
      <c r="W2186" s="332"/>
      <c r="X2186" s="333"/>
      <c r="Y2186" s="33" t="s">
        <v>2867</v>
      </c>
      <c r="Z2186" s="258">
        <v>121758.0</v>
      </c>
      <c r="AA2186" s="333"/>
      <c r="AB2186" s="333"/>
      <c r="AC2186" s="333"/>
      <c r="AD2186" s="329"/>
      <c r="AE2186" s="362" t="s">
        <v>685</v>
      </c>
      <c r="AF2186" s="336"/>
      <c r="AG2186" s="337"/>
      <c r="AH2186" s="333"/>
      <c r="AI2186" s="333"/>
      <c r="AJ2186" s="333"/>
      <c r="AK2186" s="328" t="s">
        <v>1840</v>
      </c>
      <c r="AL2186" s="328" t="s">
        <v>688</v>
      </c>
      <c r="AM2186" s="338"/>
      <c r="AN2186" s="333"/>
      <c r="AO2186" s="333"/>
      <c r="AP2186" s="333"/>
      <c r="AQ2186" s="333"/>
      <c r="AR2186" s="333"/>
      <c r="AS2186" s="333"/>
      <c r="AT2186" s="333"/>
      <c r="AU2186" s="329"/>
      <c r="AV2186" s="341"/>
      <c r="AW2186" s="269"/>
      <c r="AX2186" s="334" t="s">
        <v>2869</v>
      </c>
      <c r="AY2186" s="270" t="s">
        <v>695</v>
      </c>
      <c r="AZ2186" s="173" t="s">
        <v>5516</v>
      </c>
      <c r="BA2186" s="265">
        <v>10.0</v>
      </c>
      <c r="BB2186" s="174" t="s">
        <v>245</v>
      </c>
      <c r="BC2186" s="341"/>
      <c r="BD2186" s="308"/>
      <c r="BE2186" s="342"/>
      <c r="BF2186" s="274" t="str">
        <f>IFERROR(__xludf.DUMMYFUNCTION("LOWER(Regexreplace(to_text(E2186),""[^A-Za-z0-9]"","""")&amp;""_""&amp;Regexreplace(to_text(F2186),""[^A-Za-z0-9]"",""""))"),"neptronic_evcbseries")</f>
        <v>neptronic_evcbseries</v>
      </c>
      <c r="BG2186" s="275" t="str">
        <f>IFERROR(__xludf.DUMMYFUNCTION("upper(Regexreplace(to_text(E2186),""[^A-Za-z0-9]"","""")&amp;""-""&amp;Regexreplace(to_text(F2186),""[^A-Za-z0-9]"",""""))"),"NEPTRONIC-EVCBSERIES")</f>
        <v>NEPTRONIC-EVCBSERIES</v>
      </c>
    </row>
    <row r="2187" ht="30.0" customHeight="1">
      <c r="A2187" s="173">
        <v>2179.0</v>
      </c>
      <c r="B2187" s="328" t="s">
        <v>670</v>
      </c>
      <c r="C2187" s="257" t="s">
        <v>7603</v>
      </c>
      <c r="D2187" s="173" t="s">
        <v>7603</v>
      </c>
      <c r="E2187" s="174" t="s">
        <v>2861</v>
      </c>
      <c r="F2187" s="173" t="s">
        <v>2862</v>
      </c>
      <c r="G2187" s="328" t="s">
        <v>673</v>
      </c>
      <c r="H2187" s="328" t="s">
        <v>2863</v>
      </c>
      <c r="I2187" s="258" t="s">
        <v>2864</v>
      </c>
      <c r="J2187" s="259"/>
      <c r="K2187" s="260"/>
      <c r="L2187" s="363"/>
      <c r="M2187" s="329"/>
      <c r="N2187" s="173" t="s">
        <v>679</v>
      </c>
      <c r="O2187" s="173"/>
      <c r="P2187" s="262" t="str">
        <f t="shared" si="1"/>
        <v>IN-BLR-ANANTA-VAV-1759_</v>
      </c>
      <c r="Q2187" s="173" t="s">
        <v>7604</v>
      </c>
      <c r="R2187" s="328" t="str">
        <f>IFS(C2187="","",C2187="n/a","N/A",LEN(C2187),Concatenate("{",char(34),"asset",char(34),":{",char(34),"guid",char(34),":",char(34),Q2187,char(34),",",char(34),"site",char(34),":",char(34),LOWER('2-Building'!$B$4),char(34),",",char(34),"name",char(34),":",char(34),LOWER(C2187),char(34),"}}"))</f>
        <v>{"asset":{"guid":"uuid://6da10ead-a85f-4674-83e0-9cfd13d386be","site":"in-blr-ananta","name":"vav-1759"}}</v>
      </c>
      <c r="S2187" s="360" t="s">
        <v>5516</v>
      </c>
      <c r="T2187" s="330"/>
      <c r="U2187" s="330"/>
      <c r="V2187" s="331"/>
      <c r="W2187" s="332"/>
      <c r="X2187" s="333"/>
      <c r="Y2187" s="33" t="s">
        <v>2867</v>
      </c>
      <c r="Z2187" s="258">
        <v>121759.0</v>
      </c>
      <c r="AA2187" s="333"/>
      <c r="AB2187" s="333"/>
      <c r="AC2187" s="333"/>
      <c r="AD2187" s="329"/>
      <c r="AE2187" s="362" t="s">
        <v>685</v>
      </c>
      <c r="AF2187" s="336"/>
      <c r="AG2187" s="337"/>
      <c r="AH2187" s="333"/>
      <c r="AI2187" s="333"/>
      <c r="AJ2187" s="333"/>
      <c r="AK2187" s="328" t="s">
        <v>1849</v>
      </c>
      <c r="AL2187" s="328" t="s">
        <v>688</v>
      </c>
      <c r="AM2187" s="338"/>
      <c r="AN2187" s="333"/>
      <c r="AO2187" s="333"/>
      <c r="AP2187" s="333"/>
      <c r="AQ2187" s="333"/>
      <c r="AR2187" s="333"/>
      <c r="AS2187" s="333"/>
      <c r="AT2187" s="333"/>
      <c r="AU2187" s="329"/>
      <c r="AV2187" s="341"/>
      <c r="AW2187" s="269"/>
      <c r="AX2187" s="334" t="s">
        <v>2869</v>
      </c>
      <c r="AY2187" s="270" t="s">
        <v>695</v>
      </c>
      <c r="AZ2187" s="173" t="s">
        <v>5516</v>
      </c>
      <c r="BA2187" s="265">
        <v>10.0</v>
      </c>
      <c r="BB2187" s="174" t="s">
        <v>245</v>
      </c>
      <c r="BC2187" s="341"/>
      <c r="BD2187" s="308"/>
      <c r="BE2187" s="342"/>
      <c r="BF2187" s="274" t="str">
        <f>IFERROR(__xludf.DUMMYFUNCTION("LOWER(Regexreplace(to_text(E2187),""[^A-Za-z0-9]"","""")&amp;""_""&amp;Regexreplace(to_text(F2187),""[^A-Za-z0-9]"",""""))"),"neptronic_evcbseries")</f>
        <v>neptronic_evcbseries</v>
      </c>
      <c r="BG2187" s="275" t="str">
        <f>IFERROR(__xludf.DUMMYFUNCTION("upper(Regexreplace(to_text(E2187),""[^A-Za-z0-9]"","""")&amp;""-""&amp;Regexreplace(to_text(F2187),""[^A-Za-z0-9]"",""""))"),"NEPTRONIC-EVCBSERIES")</f>
        <v>NEPTRONIC-EVCBSERIES</v>
      </c>
    </row>
    <row r="2188" ht="30.0" customHeight="1">
      <c r="A2188" s="258">
        <v>2180.0</v>
      </c>
      <c r="B2188" s="328" t="s">
        <v>670</v>
      </c>
      <c r="C2188" s="257" t="s">
        <v>7605</v>
      </c>
      <c r="D2188" s="173" t="s">
        <v>7605</v>
      </c>
      <c r="E2188" s="174" t="s">
        <v>2861</v>
      </c>
      <c r="F2188" s="173" t="s">
        <v>2862</v>
      </c>
      <c r="G2188" s="328" t="s">
        <v>673</v>
      </c>
      <c r="H2188" s="328" t="s">
        <v>2863</v>
      </c>
      <c r="I2188" s="258" t="s">
        <v>2864</v>
      </c>
      <c r="J2188" s="259"/>
      <c r="K2188" s="260"/>
      <c r="L2188" s="363"/>
      <c r="M2188" s="329"/>
      <c r="N2188" s="173" t="s">
        <v>679</v>
      </c>
      <c r="O2188" s="173"/>
      <c r="P2188" s="262" t="str">
        <f t="shared" si="1"/>
        <v>IN-BLR-ANANTA-VAV-1760_</v>
      </c>
      <c r="Q2188" s="173" t="s">
        <v>7606</v>
      </c>
      <c r="R2188" s="328" t="str">
        <f>IFS(C2188="","",C2188="n/a","N/A",LEN(C2188),Concatenate("{",char(34),"asset",char(34),":{",char(34),"guid",char(34),":",char(34),Q2188,char(34),",",char(34),"site",char(34),":",char(34),LOWER('2-Building'!$B$4),char(34),",",char(34),"name",char(34),":",char(34),LOWER(C2188),char(34),"}}"))</f>
        <v>{"asset":{"guid":"uuid://627b1155-a656-4ff9-a2f1-39a9bc65f967","site":"in-blr-ananta","name":"vav-1760"}}</v>
      </c>
      <c r="S2188" s="360" t="s">
        <v>5516</v>
      </c>
      <c r="T2188" s="330"/>
      <c r="U2188" s="330"/>
      <c r="V2188" s="331"/>
      <c r="W2188" s="332"/>
      <c r="X2188" s="333"/>
      <c r="Y2188" s="33" t="s">
        <v>2867</v>
      </c>
      <c r="Z2188" s="258">
        <v>121760.0</v>
      </c>
      <c r="AA2188" s="333"/>
      <c r="AB2188" s="333"/>
      <c r="AC2188" s="333"/>
      <c r="AD2188" s="329"/>
      <c r="AE2188" s="362" t="s">
        <v>685</v>
      </c>
      <c r="AF2188" s="336"/>
      <c r="AG2188" s="337"/>
      <c r="AH2188" s="333"/>
      <c r="AI2188" s="333"/>
      <c r="AJ2188" s="333"/>
      <c r="AK2188" s="328" t="s">
        <v>1854</v>
      </c>
      <c r="AL2188" s="328" t="s">
        <v>688</v>
      </c>
      <c r="AM2188" s="338"/>
      <c r="AN2188" s="333"/>
      <c r="AO2188" s="333"/>
      <c r="AP2188" s="333"/>
      <c r="AQ2188" s="333"/>
      <c r="AR2188" s="333"/>
      <c r="AS2188" s="333"/>
      <c r="AT2188" s="333"/>
      <c r="AU2188" s="329"/>
      <c r="AV2188" s="341"/>
      <c r="AW2188" s="269"/>
      <c r="AX2188" s="334" t="s">
        <v>2869</v>
      </c>
      <c r="AY2188" s="270" t="s">
        <v>695</v>
      </c>
      <c r="AZ2188" s="173" t="s">
        <v>5516</v>
      </c>
      <c r="BA2188" s="265">
        <v>10.0</v>
      </c>
      <c r="BB2188" s="174" t="s">
        <v>245</v>
      </c>
      <c r="BC2188" s="341"/>
      <c r="BD2188" s="308"/>
      <c r="BE2188" s="342"/>
      <c r="BF2188" s="274" t="str">
        <f>IFERROR(__xludf.DUMMYFUNCTION("LOWER(Regexreplace(to_text(E2188),""[^A-Za-z0-9]"","""")&amp;""_""&amp;Regexreplace(to_text(F2188),""[^A-Za-z0-9]"",""""))"),"neptronic_evcbseries")</f>
        <v>neptronic_evcbseries</v>
      </c>
      <c r="BG2188" s="275" t="str">
        <f>IFERROR(__xludf.DUMMYFUNCTION("upper(Regexreplace(to_text(E2188),""[^A-Za-z0-9]"","""")&amp;""-""&amp;Regexreplace(to_text(F2188),""[^A-Za-z0-9]"",""""))"),"NEPTRONIC-EVCBSERIES")</f>
        <v>NEPTRONIC-EVCBSERIES</v>
      </c>
    </row>
    <row r="2189" ht="30.0" customHeight="1">
      <c r="A2189" s="173">
        <v>2181.0</v>
      </c>
      <c r="B2189" s="328" t="s">
        <v>670</v>
      </c>
      <c r="C2189" s="257" t="s">
        <v>7607</v>
      </c>
      <c r="D2189" s="173" t="s">
        <v>7607</v>
      </c>
      <c r="E2189" s="174" t="s">
        <v>2861</v>
      </c>
      <c r="F2189" s="173" t="s">
        <v>2862</v>
      </c>
      <c r="G2189" s="328" t="s">
        <v>673</v>
      </c>
      <c r="H2189" s="328" t="s">
        <v>2863</v>
      </c>
      <c r="I2189" s="258" t="s">
        <v>2864</v>
      </c>
      <c r="J2189" s="259"/>
      <c r="K2189" s="260"/>
      <c r="L2189" s="363"/>
      <c r="M2189" s="329"/>
      <c r="N2189" s="173" t="s">
        <v>679</v>
      </c>
      <c r="O2189" s="173"/>
      <c r="P2189" s="262" t="str">
        <f t="shared" si="1"/>
        <v>IN-BLR-ANANTA-VAV-1761_</v>
      </c>
      <c r="Q2189" s="173" t="s">
        <v>7608</v>
      </c>
      <c r="R2189" s="328" t="str">
        <f>IFS(C2189="","",C2189="n/a","N/A",LEN(C2189),Concatenate("{",char(34),"asset",char(34),":{",char(34),"guid",char(34),":",char(34),Q2189,char(34),",",char(34),"site",char(34),":",char(34),LOWER('2-Building'!$B$4),char(34),",",char(34),"name",char(34),":",char(34),LOWER(C2189),char(34),"}}"))</f>
        <v>{"asset":{"guid":"uuid://8057256a-1e31-4e5b-90c1-989940b1b935","site":"in-blr-ananta","name":"vav-1761"}}</v>
      </c>
      <c r="S2189" s="360" t="s">
        <v>5516</v>
      </c>
      <c r="T2189" s="330"/>
      <c r="U2189" s="330"/>
      <c r="V2189" s="331"/>
      <c r="W2189" s="332"/>
      <c r="X2189" s="333"/>
      <c r="Y2189" s="33" t="s">
        <v>2867</v>
      </c>
      <c r="Z2189" s="258">
        <v>121761.0</v>
      </c>
      <c r="AA2189" s="333"/>
      <c r="AB2189" s="333"/>
      <c r="AC2189" s="333"/>
      <c r="AD2189" s="329"/>
      <c r="AE2189" s="362" t="s">
        <v>685</v>
      </c>
      <c r="AF2189" s="336"/>
      <c r="AG2189" s="337"/>
      <c r="AH2189" s="333"/>
      <c r="AI2189" s="333"/>
      <c r="AJ2189" s="333"/>
      <c r="AK2189" s="328" t="s">
        <v>1860</v>
      </c>
      <c r="AL2189" s="328" t="s">
        <v>688</v>
      </c>
      <c r="AM2189" s="338"/>
      <c r="AN2189" s="333"/>
      <c r="AO2189" s="333"/>
      <c r="AP2189" s="333"/>
      <c r="AQ2189" s="333"/>
      <c r="AR2189" s="333"/>
      <c r="AS2189" s="333"/>
      <c r="AT2189" s="333"/>
      <c r="AU2189" s="329"/>
      <c r="AV2189" s="341"/>
      <c r="AW2189" s="269"/>
      <c r="AX2189" s="334" t="s">
        <v>2869</v>
      </c>
      <c r="AY2189" s="270" t="s">
        <v>695</v>
      </c>
      <c r="AZ2189" s="173" t="s">
        <v>5516</v>
      </c>
      <c r="BA2189" s="265">
        <v>10.0</v>
      </c>
      <c r="BB2189" s="174" t="s">
        <v>245</v>
      </c>
      <c r="BC2189" s="341"/>
      <c r="BD2189" s="308"/>
      <c r="BE2189" s="342"/>
      <c r="BF2189" s="274" t="str">
        <f>IFERROR(__xludf.DUMMYFUNCTION("LOWER(Regexreplace(to_text(E2189),""[^A-Za-z0-9]"","""")&amp;""_""&amp;Regexreplace(to_text(F2189),""[^A-Za-z0-9]"",""""))"),"neptronic_evcbseries")</f>
        <v>neptronic_evcbseries</v>
      </c>
      <c r="BG2189" s="275" t="str">
        <f>IFERROR(__xludf.DUMMYFUNCTION("upper(Regexreplace(to_text(E2189),""[^A-Za-z0-9]"","""")&amp;""-""&amp;Regexreplace(to_text(F2189),""[^A-Za-z0-9]"",""""))"),"NEPTRONIC-EVCBSERIES")</f>
        <v>NEPTRONIC-EVCBSERIES</v>
      </c>
    </row>
    <row r="2190" ht="30.0" customHeight="1">
      <c r="A2190" s="258">
        <v>2182.0</v>
      </c>
      <c r="B2190" s="328" t="s">
        <v>670</v>
      </c>
      <c r="C2190" s="257" t="s">
        <v>7609</v>
      </c>
      <c r="D2190" s="173" t="s">
        <v>7609</v>
      </c>
      <c r="E2190" s="174" t="s">
        <v>2861</v>
      </c>
      <c r="F2190" s="173" t="s">
        <v>2862</v>
      </c>
      <c r="G2190" s="328" t="s">
        <v>673</v>
      </c>
      <c r="H2190" s="328" t="s">
        <v>2863</v>
      </c>
      <c r="I2190" s="258" t="s">
        <v>2864</v>
      </c>
      <c r="J2190" s="259"/>
      <c r="K2190" s="260"/>
      <c r="L2190" s="363"/>
      <c r="M2190" s="329"/>
      <c r="N2190" s="173" t="s">
        <v>679</v>
      </c>
      <c r="O2190" s="173"/>
      <c r="P2190" s="262" t="str">
        <f t="shared" si="1"/>
        <v>IN-BLR-ANANTA-VAV-1762_</v>
      </c>
      <c r="Q2190" s="173" t="s">
        <v>7610</v>
      </c>
      <c r="R2190" s="328" t="str">
        <f>IFS(C2190="","",C2190="n/a","N/A",LEN(C2190),Concatenate("{",char(34),"asset",char(34),":{",char(34),"guid",char(34),":",char(34),Q2190,char(34),",",char(34),"site",char(34),":",char(34),LOWER('2-Building'!$B$4),char(34),",",char(34),"name",char(34),":",char(34),LOWER(C2190),char(34),"}}"))</f>
        <v>{"asset":{"guid":"uuid://1945bb90-1135-4a5a-8a23-52ff1a64c89d","site":"in-blr-ananta","name":"vav-1762"}}</v>
      </c>
      <c r="S2190" s="360" t="s">
        <v>5516</v>
      </c>
      <c r="T2190" s="330"/>
      <c r="U2190" s="330"/>
      <c r="V2190" s="331"/>
      <c r="W2190" s="332"/>
      <c r="X2190" s="333"/>
      <c r="Y2190" s="33" t="s">
        <v>2867</v>
      </c>
      <c r="Z2190" s="258">
        <v>121762.0</v>
      </c>
      <c r="AA2190" s="333"/>
      <c r="AB2190" s="333"/>
      <c r="AC2190" s="333"/>
      <c r="AD2190" s="329"/>
      <c r="AE2190" s="362" t="s">
        <v>685</v>
      </c>
      <c r="AF2190" s="336"/>
      <c r="AG2190" s="337"/>
      <c r="AH2190" s="333"/>
      <c r="AI2190" s="333"/>
      <c r="AJ2190" s="333"/>
      <c r="AK2190" s="328" t="s">
        <v>1867</v>
      </c>
      <c r="AL2190" s="328" t="s">
        <v>688</v>
      </c>
      <c r="AM2190" s="338"/>
      <c r="AN2190" s="333"/>
      <c r="AO2190" s="333"/>
      <c r="AP2190" s="333"/>
      <c r="AQ2190" s="333"/>
      <c r="AR2190" s="333"/>
      <c r="AS2190" s="333"/>
      <c r="AT2190" s="333"/>
      <c r="AU2190" s="329"/>
      <c r="AV2190" s="341"/>
      <c r="AW2190" s="269"/>
      <c r="AX2190" s="334" t="s">
        <v>2869</v>
      </c>
      <c r="AY2190" s="270" t="s">
        <v>695</v>
      </c>
      <c r="AZ2190" s="173" t="s">
        <v>5516</v>
      </c>
      <c r="BA2190" s="265">
        <v>10.0</v>
      </c>
      <c r="BB2190" s="174" t="s">
        <v>245</v>
      </c>
      <c r="BC2190" s="341"/>
      <c r="BD2190" s="308"/>
      <c r="BE2190" s="342"/>
      <c r="BF2190" s="274" t="str">
        <f>IFERROR(__xludf.DUMMYFUNCTION("LOWER(Regexreplace(to_text(E2190),""[^A-Za-z0-9]"","""")&amp;""_""&amp;Regexreplace(to_text(F2190),""[^A-Za-z0-9]"",""""))"),"neptronic_evcbseries")</f>
        <v>neptronic_evcbseries</v>
      </c>
      <c r="BG2190" s="275" t="str">
        <f>IFERROR(__xludf.DUMMYFUNCTION("upper(Regexreplace(to_text(E2190),""[^A-Za-z0-9]"","""")&amp;""-""&amp;Regexreplace(to_text(F2190),""[^A-Za-z0-9]"",""""))"),"NEPTRONIC-EVCBSERIES")</f>
        <v>NEPTRONIC-EVCBSERIES</v>
      </c>
    </row>
    <row r="2191" ht="30.0" customHeight="1">
      <c r="A2191" s="173">
        <v>2183.0</v>
      </c>
      <c r="B2191" s="328" t="s">
        <v>670</v>
      </c>
      <c r="C2191" s="257" t="s">
        <v>7611</v>
      </c>
      <c r="D2191" s="173" t="s">
        <v>7611</v>
      </c>
      <c r="E2191" s="174" t="s">
        <v>2861</v>
      </c>
      <c r="F2191" s="173" t="s">
        <v>2862</v>
      </c>
      <c r="G2191" s="328" t="s">
        <v>673</v>
      </c>
      <c r="H2191" s="328" t="s">
        <v>2863</v>
      </c>
      <c r="I2191" s="258" t="s">
        <v>2864</v>
      </c>
      <c r="J2191" s="259"/>
      <c r="K2191" s="260"/>
      <c r="L2191" s="363"/>
      <c r="M2191" s="329"/>
      <c r="N2191" s="173" t="s">
        <v>679</v>
      </c>
      <c r="O2191" s="173"/>
      <c r="P2191" s="262" t="str">
        <f t="shared" si="1"/>
        <v>IN-BLR-ANANTA-VAV-1763_</v>
      </c>
      <c r="Q2191" s="173" t="s">
        <v>7612</v>
      </c>
      <c r="R2191" s="328" t="str">
        <f>IFS(C2191="","",C2191="n/a","N/A",LEN(C2191),Concatenate("{",char(34),"asset",char(34),":{",char(34),"guid",char(34),":",char(34),Q2191,char(34),",",char(34),"site",char(34),":",char(34),LOWER('2-Building'!$B$4),char(34),",",char(34),"name",char(34),":",char(34),LOWER(C2191),char(34),"}}"))</f>
        <v>{"asset":{"guid":"uuid://40ab3305-a0cb-4df8-89ca-655a37c9b2e8","site":"in-blr-ananta","name":"vav-1763"}}</v>
      </c>
      <c r="S2191" s="360" t="s">
        <v>5516</v>
      </c>
      <c r="T2191" s="330"/>
      <c r="U2191" s="330"/>
      <c r="V2191" s="331"/>
      <c r="W2191" s="332"/>
      <c r="X2191" s="333"/>
      <c r="Y2191" s="33" t="s">
        <v>2867</v>
      </c>
      <c r="Z2191" s="258">
        <v>121763.0</v>
      </c>
      <c r="AA2191" s="333"/>
      <c r="AB2191" s="333"/>
      <c r="AC2191" s="333"/>
      <c r="AD2191" s="329"/>
      <c r="AE2191" s="362" t="s">
        <v>685</v>
      </c>
      <c r="AF2191" s="336"/>
      <c r="AG2191" s="337"/>
      <c r="AH2191" s="333"/>
      <c r="AI2191" s="333"/>
      <c r="AJ2191" s="333"/>
      <c r="AK2191" s="328" t="s">
        <v>1871</v>
      </c>
      <c r="AL2191" s="328" t="s">
        <v>688</v>
      </c>
      <c r="AM2191" s="338"/>
      <c r="AN2191" s="333"/>
      <c r="AO2191" s="333"/>
      <c r="AP2191" s="333"/>
      <c r="AQ2191" s="333"/>
      <c r="AR2191" s="333"/>
      <c r="AS2191" s="333"/>
      <c r="AT2191" s="333"/>
      <c r="AU2191" s="329"/>
      <c r="AV2191" s="341"/>
      <c r="AW2191" s="269"/>
      <c r="AX2191" s="334" t="s">
        <v>2869</v>
      </c>
      <c r="AY2191" s="270" t="s">
        <v>695</v>
      </c>
      <c r="AZ2191" s="173" t="s">
        <v>5516</v>
      </c>
      <c r="BA2191" s="265">
        <v>10.0</v>
      </c>
      <c r="BB2191" s="174" t="s">
        <v>245</v>
      </c>
      <c r="BC2191" s="341"/>
      <c r="BD2191" s="308"/>
      <c r="BE2191" s="342"/>
      <c r="BF2191" s="274" t="str">
        <f>IFERROR(__xludf.DUMMYFUNCTION("LOWER(Regexreplace(to_text(E2191),""[^A-Za-z0-9]"","""")&amp;""_""&amp;Regexreplace(to_text(F2191),""[^A-Za-z0-9]"",""""))"),"neptronic_evcbseries")</f>
        <v>neptronic_evcbseries</v>
      </c>
      <c r="BG2191" s="275" t="str">
        <f>IFERROR(__xludf.DUMMYFUNCTION("upper(Regexreplace(to_text(E2191),""[^A-Za-z0-9]"","""")&amp;""-""&amp;Regexreplace(to_text(F2191),""[^A-Za-z0-9]"",""""))"),"NEPTRONIC-EVCBSERIES")</f>
        <v>NEPTRONIC-EVCBSERIES</v>
      </c>
    </row>
    <row r="2192" ht="30.0" customHeight="1">
      <c r="A2192" s="258">
        <v>2184.0</v>
      </c>
      <c r="B2192" s="328" t="s">
        <v>670</v>
      </c>
      <c r="C2192" s="257" t="s">
        <v>7613</v>
      </c>
      <c r="D2192" s="173" t="s">
        <v>7613</v>
      </c>
      <c r="E2192" s="174" t="s">
        <v>2861</v>
      </c>
      <c r="F2192" s="173" t="s">
        <v>2862</v>
      </c>
      <c r="G2192" s="328" t="s">
        <v>673</v>
      </c>
      <c r="H2192" s="328" t="s">
        <v>2863</v>
      </c>
      <c r="I2192" s="258" t="s">
        <v>2864</v>
      </c>
      <c r="J2192" s="259"/>
      <c r="K2192" s="260"/>
      <c r="L2192" s="363"/>
      <c r="M2192" s="329"/>
      <c r="N2192" s="173" t="s">
        <v>679</v>
      </c>
      <c r="O2192" s="173"/>
      <c r="P2192" s="262" t="str">
        <f t="shared" si="1"/>
        <v>IN-BLR-ANANTA-VAV-1764_</v>
      </c>
      <c r="Q2192" s="173" t="s">
        <v>7614</v>
      </c>
      <c r="R2192" s="328" t="str">
        <f>IFS(C2192="","",C2192="n/a","N/A",LEN(C2192),Concatenate("{",char(34),"asset",char(34),":{",char(34),"guid",char(34),":",char(34),Q2192,char(34),",",char(34),"site",char(34),":",char(34),LOWER('2-Building'!$B$4),char(34),",",char(34),"name",char(34),":",char(34),LOWER(C2192),char(34),"}}"))</f>
        <v>{"asset":{"guid":"uuid://8e4a041d-9251-4499-861d-7ee2cc387227","site":"in-blr-ananta","name":"vav-1764"}}</v>
      </c>
      <c r="S2192" s="360" t="s">
        <v>5516</v>
      </c>
      <c r="T2192" s="330"/>
      <c r="U2192" s="330"/>
      <c r="V2192" s="331"/>
      <c r="W2192" s="332"/>
      <c r="X2192" s="333"/>
      <c r="Y2192" s="33" t="s">
        <v>2867</v>
      </c>
      <c r="Z2192" s="258">
        <v>121764.0</v>
      </c>
      <c r="AA2192" s="333"/>
      <c r="AB2192" s="333"/>
      <c r="AC2192" s="333"/>
      <c r="AD2192" s="329"/>
      <c r="AE2192" s="362" t="s">
        <v>685</v>
      </c>
      <c r="AF2192" s="336"/>
      <c r="AG2192" s="337"/>
      <c r="AH2192" s="333"/>
      <c r="AI2192" s="333"/>
      <c r="AJ2192" s="333"/>
      <c r="AK2192" s="328" t="s">
        <v>1878</v>
      </c>
      <c r="AL2192" s="328" t="s">
        <v>688</v>
      </c>
      <c r="AM2192" s="338"/>
      <c r="AN2192" s="333"/>
      <c r="AO2192" s="333"/>
      <c r="AP2192" s="333"/>
      <c r="AQ2192" s="333"/>
      <c r="AR2192" s="333"/>
      <c r="AS2192" s="333"/>
      <c r="AT2192" s="333"/>
      <c r="AU2192" s="329"/>
      <c r="AV2192" s="341"/>
      <c r="AW2192" s="269"/>
      <c r="AX2192" s="334" t="s">
        <v>2869</v>
      </c>
      <c r="AY2192" s="270" t="s">
        <v>695</v>
      </c>
      <c r="AZ2192" s="173" t="s">
        <v>5516</v>
      </c>
      <c r="BA2192" s="265">
        <v>10.0</v>
      </c>
      <c r="BB2192" s="174" t="s">
        <v>245</v>
      </c>
      <c r="BC2192" s="341"/>
      <c r="BD2192" s="308"/>
      <c r="BE2192" s="342"/>
      <c r="BF2192" s="274" t="str">
        <f>IFERROR(__xludf.DUMMYFUNCTION("LOWER(Regexreplace(to_text(E2192),""[^A-Za-z0-9]"","""")&amp;""_""&amp;Regexreplace(to_text(F2192),""[^A-Za-z0-9]"",""""))"),"neptronic_evcbseries")</f>
        <v>neptronic_evcbseries</v>
      </c>
      <c r="BG2192" s="275" t="str">
        <f>IFERROR(__xludf.DUMMYFUNCTION("upper(Regexreplace(to_text(E2192),""[^A-Za-z0-9]"","""")&amp;""-""&amp;Regexreplace(to_text(F2192),""[^A-Za-z0-9]"",""""))"),"NEPTRONIC-EVCBSERIES")</f>
        <v>NEPTRONIC-EVCBSERIES</v>
      </c>
    </row>
    <row r="2193" ht="30.0" customHeight="1">
      <c r="A2193" s="173">
        <v>2185.0</v>
      </c>
      <c r="B2193" s="328" t="s">
        <v>670</v>
      </c>
      <c r="C2193" s="257" t="s">
        <v>7615</v>
      </c>
      <c r="D2193" s="173" t="s">
        <v>7615</v>
      </c>
      <c r="E2193" s="174" t="s">
        <v>2861</v>
      </c>
      <c r="F2193" s="173" t="s">
        <v>2862</v>
      </c>
      <c r="G2193" s="328" t="s">
        <v>673</v>
      </c>
      <c r="H2193" s="328" t="s">
        <v>2863</v>
      </c>
      <c r="I2193" s="258" t="s">
        <v>2864</v>
      </c>
      <c r="J2193" s="259"/>
      <c r="K2193" s="260"/>
      <c r="L2193" s="363"/>
      <c r="M2193" s="329"/>
      <c r="N2193" s="173" t="s">
        <v>679</v>
      </c>
      <c r="O2193" s="173"/>
      <c r="P2193" s="262" t="str">
        <f t="shared" si="1"/>
        <v>IN-BLR-ANANTA-VAV-1765_</v>
      </c>
      <c r="Q2193" s="173" t="s">
        <v>7616</v>
      </c>
      <c r="R2193" s="328" t="str">
        <f>IFS(C2193="","",C2193="n/a","N/A",LEN(C2193),Concatenate("{",char(34),"asset",char(34),":{",char(34),"guid",char(34),":",char(34),Q2193,char(34),",",char(34),"site",char(34),":",char(34),LOWER('2-Building'!$B$4),char(34),",",char(34),"name",char(34),":",char(34),LOWER(C2193),char(34),"}}"))</f>
        <v>{"asset":{"guid":"uuid://a5d26117-40e1-42a5-ba7b-a3e4e7725855","site":"in-blr-ananta","name":"vav-1765"}}</v>
      </c>
      <c r="S2193" s="360" t="s">
        <v>5516</v>
      </c>
      <c r="T2193" s="330"/>
      <c r="U2193" s="330"/>
      <c r="V2193" s="331"/>
      <c r="W2193" s="332"/>
      <c r="X2193" s="333"/>
      <c r="Y2193" s="33" t="s">
        <v>2867</v>
      </c>
      <c r="Z2193" s="258">
        <v>121765.0</v>
      </c>
      <c r="AA2193" s="333"/>
      <c r="AB2193" s="333"/>
      <c r="AC2193" s="333"/>
      <c r="AD2193" s="329"/>
      <c r="AE2193" s="362" t="s">
        <v>685</v>
      </c>
      <c r="AF2193" s="336"/>
      <c r="AG2193" s="337"/>
      <c r="AH2193" s="333"/>
      <c r="AI2193" s="333"/>
      <c r="AJ2193" s="333"/>
      <c r="AK2193" s="328" t="s">
        <v>1885</v>
      </c>
      <c r="AL2193" s="328" t="s">
        <v>688</v>
      </c>
      <c r="AM2193" s="338"/>
      <c r="AN2193" s="333"/>
      <c r="AO2193" s="333"/>
      <c r="AP2193" s="333"/>
      <c r="AQ2193" s="333"/>
      <c r="AR2193" s="333"/>
      <c r="AS2193" s="333"/>
      <c r="AT2193" s="333"/>
      <c r="AU2193" s="329"/>
      <c r="AV2193" s="341"/>
      <c r="AW2193" s="269"/>
      <c r="AX2193" s="334" t="s">
        <v>2869</v>
      </c>
      <c r="AY2193" s="270" t="s">
        <v>695</v>
      </c>
      <c r="AZ2193" s="173" t="s">
        <v>5516</v>
      </c>
      <c r="BA2193" s="265">
        <v>10.0</v>
      </c>
      <c r="BB2193" s="174" t="s">
        <v>245</v>
      </c>
      <c r="BC2193" s="341"/>
      <c r="BD2193" s="308"/>
      <c r="BE2193" s="342"/>
      <c r="BF2193" s="274" t="str">
        <f>IFERROR(__xludf.DUMMYFUNCTION("LOWER(Regexreplace(to_text(E2193),""[^A-Za-z0-9]"","""")&amp;""_""&amp;Regexreplace(to_text(F2193),""[^A-Za-z0-9]"",""""))"),"neptronic_evcbseries")</f>
        <v>neptronic_evcbseries</v>
      </c>
      <c r="BG2193" s="275" t="str">
        <f>IFERROR(__xludf.DUMMYFUNCTION("upper(Regexreplace(to_text(E2193),""[^A-Za-z0-9]"","""")&amp;""-""&amp;Regexreplace(to_text(F2193),""[^A-Za-z0-9]"",""""))"),"NEPTRONIC-EVCBSERIES")</f>
        <v>NEPTRONIC-EVCBSERIES</v>
      </c>
    </row>
    <row r="2194" ht="30.0" customHeight="1">
      <c r="A2194" s="258">
        <v>2186.0</v>
      </c>
      <c r="B2194" s="328" t="s">
        <v>670</v>
      </c>
      <c r="C2194" s="257" t="s">
        <v>7617</v>
      </c>
      <c r="D2194" s="173" t="s">
        <v>7617</v>
      </c>
      <c r="E2194" s="174" t="s">
        <v>2861</v>
      </c>
      <c r="F2194" s="173" t="s">
        <v>2862</v>
      </c>
      <c r="G2194" s="328" t="s">
        <v>673</v>
      </c>
      <c r="H2194" s="328" t="s">
        <v>2863</v>
      </c>
      <c r="I2194" s="258" t="s">
        <v>2864</v>
      </c>
      <c r="J2194" s="259"/>
      <c r="K2194" s="260"/>
      <c r="L2194" s="363"/>
      <c r="M2194" s="329"/>
      <c r="N2194" s="173" t="s">
        <v>679</v>
      </c>
      <c r="O2194" s="173"/>
      <c r="P2194" s="262" t="str">
        <f t="shared" si="1"/>
        <v>IN-BLR-ANANTA-VAV-1766_</v>
      </c>
      <c r="Q2194" s="173" t="s">
        <v>7618</v>
      </c>
      <c r="R2194" s="328" t="str">
        <f>IFS(C2194="","",C2194="n/a","N/A",LEN(C2194),Concatenate("{",char(34),"asset",char(34),":{",char(34),"guid",char(34),":",char(34),Q2194,char(34),",",char(34),"site",char(34),":",char(34),LOWER('2-Building'!$B$4),char(34),",",char(34),"name",char(34),":",char(34),LOWER(C2194),char(34),"}}"))</f>
        <v>{"asset":{"guid":"uuid://8795a7b3-fd29-4c47-9ff3-698fb3f78b34","site":"in-blr-ananta","name":"vav-1766"}}</v>
      </c>
      <c r="S2194" s="360" t="s">
        <v>5516</v>
      </c>
      <c r="T2194" s="330"/>
      <c r="U2194" s="330"/>
      <c r="V2194" s="331"/>
      <c r="W2194" s="332"/>
      <c r="X2194" s="333"/>
      <c r="Y2194" s="33" t="s">
        <v>2867</v>
      </c>
      <c r="Z2194" s="258">
        <v>121766.0</v>
      </c>
      <c r="AA2194" s="333"/>
      <c r="AB2194" s="333"/>
      <c r="AC2194" s="333"/>
      <c r="AD2194" s="329"/>
      <c r="AE2194" s="362" t="s">
        <v>685</v>
      </c>
      <c r="AF2194" s="336"/>
      <c r="AG2194" s="337"/>
      <c r="AH2194" s="333"/>
      <c r="AI2194" s="333"/>
      <c r="AJ2194" s="333"/>
      <c r="AK2194" s="328" t="s">
        <v>1889</v>
      </c>
      <c r="AL2194" s="328" t="s">
        <v>688</v>
      </c>
      <c r="AM2194" s="338"/>
      <c r="AN2194" s="333"/>
      <c r="AO2194" s="333"/>
      <c r="AP2194" s="333"/>
      <c r="AQ2194" s="333"/>
      <c r="AR2194" s="333"/>
      <c r="AS2194" s="333"/>
      <c r="AT2194" s="333"/>
      <c r="AU2194" s="329"/>
      <c r="AV2194" s="341"/>
      <c r="AW2194" s="269"/>
      <c r="AX2194" s="334" t="s">
        <v>2869</v>
      </c>
      <c r="AY2194" s="270" t="s">
        <v>695</v>
      </c>
      <c r="AZ2194" s="173" t="s">
        <v>5516</v>
      </c>
      <c r="BA2194" s="265">
        <v>10.0</v>
      </c>
      <c r="BB2194" s="174" t="s">
        <v>245</v>
      </c>
      <c r="BC2194" s="341"/>
      <c r="BD2194" s="308"/>
      <c r="BE2194" s="342"/>
      <c r="BF2194" s="274" t="str">
        <f>IFERROR(__xludf.DUMMYFUNCTION("LOWER(Regexreplace(to_text(E2194),""[^A-Za-z0-9]"","""")&amp;""_""&amp;Regexreplace(to_text(F2194),""[^A-Za-z0-9]"",""""))"),"neptronic_evcbseries")</f>
        <v>neptronic_evcbseries</v>
      </c>
      <c r="BG2194" s="275" t="str">
        <f>IFERROR(__xludf.DUMMYFUNCTION("upper(Regexreplace(to_text(E2194),""[^A-Za-z0-9]"","""")&amp;""-""&amp;Regexreplace(to_text(F2194),""[^A-Za-z0-9]"",""""))"),"NEPTRONIC-EVCBSERIES")</f>
        <v>NEPTRONIC-EVCBSERIES</v>
      </c>
    </row>
    <row r="2195" ht="30.0" customHeight="1">
      <c r="A2195" s="173">
        <v>2187.0</v>
      </c>
      <c r="B2195" s="328" t="s">
        <v>670</v>
      </c>
      <c r="C2195" s="257" t="s">
        <v>7619</v>
      </c>
      <c r="D2195" s="173" t="s">
        <v>7619</v>
      </c>
      <c r="E2195" s="174" t="s">
        <v>2861</v>
      </c>
      <c r="F2195" s="173" t="s">
        <v>2862</v>
      </c>
      <c r="G2195" s="328" t="s">
        <v>673</v>
      </c>
      <c r="H2195" s="328" t="s">
        <v>2863</v>
      </c>
      <c r="I2195" s="258" t="s">
        <v>2864</v>
      </c>
      <c r="J2195" s="259"/>
      <c r="K2195" s="260"/>
      <c r="L2195" s="363"/>
      <c r="M2195" s="329"/>
      <c r="N2195" s="173" t="s">
        <v>679</v>
      </c>
      <c r="O2195" s="173"/>
      <c r="P2195" s="262" t="str">
        <f t="shared" si="1"/>
        <v>IN-BLR-ANANTA-VAV-1767_</v>
      </c>
      <c r="Q2195" s="173" t="s">
        <v>7620</v>
      </c>
      <c r="R2195" s="328" t="str">
        <f>IFS(C2195="","",C2195="n/a","N/A",LEN(C2195),Concatenate("{",char(34),"asset",char(34),":{",char(34),"guid",char(34),":",char(34),Q2195,char(34),",",char(34),"site",char(34),":",char(34),LOWER('2-Building'!$B$4),char(34),",",char(34),"name",char(34),":",char(34),LOWER(C2195),char(34),"}}"))</f>
        <v>{"asset":{"guid":"uuid://bc8f36fd-8acc-4f3d-956f-4d2b1c9872ef","site":"in-blr-ananta","name":"vav-1767"}}</v>
      </c>
      <c r="S2195" s="360" t="s">
        <v>5516</v>
      </c>
      <c r="T2195" s="330"/>
      <c r="U2195" s="330"/>
      <c r="V2195" s="331"/>
      <c r="W2195" s="332"/>
      <c r="X2195" s="333"/>
      <c r="Y2195" s="33" t="s">
        <v>2867</v>
      </c>
      <c r="Z2195" s="258">
        <v>121767.0</v>
      </c>
      <c r="AA2195" s="333"/>
      <c r="AB2195" s="333"/>
      <c r="AC2195" s="333"/>
      <c r="AD2195" s="329"/>
      <c r="AE2195" s="362" t="s">
        <v>685</v>
      </c>
      <c r="AF2195" s="336"/>
      <c r="AG2195" s="337"/>
      <c r="AH2195" s="333"/>
      <c r="AI2195" s="333"/>
      <c r="AJ2195" s="333"/>
      <c r="AK2195" s="328" t="s">
        <v>1894</v>
      </c>
      <c r="AL2195" s="328" t="s">
        <v>688</v>
      </c>
      <c r="AM2195" s="338"/>
      <c r="AN2195" s="333"/>
      <c r="AO2195" s="333"/>
      <c r="AP2195" s="333"/>
      <c r="AQ2195" s="333"/>
      <c r="AR2195" s="333"/>
      <c r="AS2195" s="333"/>
      <c r="AT2195" s="333"/>
      <c r="AU2195" s="329"/>
      <c r="AV2195" s="341"/>
      <c r="AW2195" s="269"/>
      <c r="AX2195" s="334" t="s">
        <v>2869</v>
      </c>
      <c r="AY2195" s="270" t="s">
        <v>695</v>
      </c>
      <c r="AZ2195" s="173" t="s">
        <v>5516</v>
      </c>
      <c r="BA2195" s="265">
        <v>10.0</v>
      </c>
      <c r="BB2195" s="174" t="s">
        <v>245</v>
      </c>
      <c r="BC2195" s="341"/>
      <c r="BD2195" s="308"/>
      <c r="BE2195" s="342"/>
      <c r="BF2195" s="274" t="str">
        <f>IFERROR(__xludf.DUMMYFUNCTION("LOWER(Regexreplace(to_text(E2195),""[^A-Za-z0-9]"","""")&amp;""_""&amp;Regexreplace(to_text(F2195),""[^A-Za-z0-9]"",""""))"),"neptronic_evcbseries")</f>
        <v>neptronic_evcbseries</v>
      </c>
      <c r="BG2195" s="275" t="str">
        <f>IFERROR(__xludf.DUMMYFUNCTION("upper(Regexreplace(to_text(E2195),""[^A-Za-z0-9]"","""")&amp;""-""&amp;Regexreplace(to_text(F2195),""[^A-Za-z0-9]"",""""))"),"NEPTRONIC-EVCBSERIES")</f>
        <v>NEPTRONIC-EVCBSERIES</v>
      </c>
    </row>
    <row r="2196" ht="30.0" customHeight="1">
      <c r="A2196" s="258">
        <v>2188.0</v>
      </c>
      <c r="B2196" s="328" t="s">
        <v>670</v>
      </c>
      <c r="C2196" s="257" t="s">
        <v>7621</v>
      </c>
      <c r="D2196" s="173" t="s">
        <v>7621</v>
      </c>
      <c r="E2196" s="174" t="s">
        <v>2861</v>
      </c>
      <c r="F2196" s="173" t="s">
        <v>2862</v>
      </c>
      <c r="G2196" s="328" t="s">
        <v>673</v>
      </c>
      <c r="H2196" s="328" t="s">
        <v>2863</v>
      </c>
      <c r="I2196" s="258" t="s">
        <v>2864</v>
      </c>
      <c r="J2196" s="259"/>
      <c r="K2196" s="260"/>
      <c r="L2196" s="363"/>
      <c r="M2196" s="329"/>
      <c r="N2196" s="173" t="s">
        <v>679</v>
      </c>
      <c r="O2196" s="173"/>
      <c r="P2196" s="262" t="str">
        <f t="shared" si="1"/>
        <v>IN-BLR-ANANTA-VAV-1768_</v>
      </c>
      <c r="Q2196" s="173" t="s">
        <v>7622</v>
      </c>
      <c r="R2196" s="328" t="str">
        <f>IFS(C2196="","",C2196="n/a","N/A",LEN(C2196),Concatenate("{",char(34),"asset",char(34),":{",char(34),"guid",char(34),":",char(34),Q2196,char(34),",",char(34),"site",char(34),":",char(34),LOWER('2-Building'!$B$4),char(34),",",char(34),"name",char(34),":",char(34),LOWER(C2196),char(34),"}}"))</f>
        <v>{"asset":{"guid":"uuid://45616b73-dbae-4306-aa63-64db91c3114e","site":"in-blr-ananta","name":"vav-1768"}}</v>
      </c>
      <c r="S2196" s="360" t="s">
        <v>5516</v>
      </c>
      <c r="T2196" s="330"/>
      <c r="U2196" s="330"/>
      <c r="V2196" s="331"/>
      <c r="W2196" s="332"/>
      <c r="X2196" s="333"/>
      <c r="Y2196" s="33" t="s">
        <v>2867</v>
      </c>
      <c r="Z2196" s="258">
        <v>121768.0</v>
      </c>
      <c r="AA2196" s="333"/>
      <c r="AB2196" s="333"/>
      <c r="AC2196" s="333"/>
      <c r="AD2196" s="329"/>
      <c r="AE2196" s="362" t="s">
        <v>685</v>
      </c>
      <c r="AF2196" s="336"/>
      <c r="AG2196" s="337"/>
      <c r="AH2196" s="333"/>
      <c r="AI2196" s="333"/>
      <c r="AJ2196" s="333"/>
      <c r="AK2196" s="328" t="s">
        <v>1899</v>
      </c>
      <c r="AL2196" s="328" t="s">
        <v>688</v>
      </c>
      <c r="AM2196" s="338"/>
      <c r="AN2196" s="333"/>
      <c r="AO2196" s="333"/>
      <c r="AP2196" s="333"/>
      <c r="AQ2196" s="333"/>
      <c r="AR2196" s="333"/>
      <c r="AS2196" s="333"/>
      <c r="AT2196" s="333"/>
      <c r="AU2196" s="329"/>
      <c r="AV2196" s="341"/>
      <c r="AW2196" s="269"/>
      <c r="AX2196" s="334" t="s">
        <v>2869</v>
      </c>
      <c r="AY2196" s="270" t="s">
        <v>695</v>
      </c>
      <c r="AZ2196" s="173" t="s">
        <v>5516</v>
      </c>
      <c r="BA2196" s="265">
        <v>10.0</v>
      </c>
      <c r="BB2196" s="174" t="s">
        <v>245</v>
      </c>
      <c r="BC2196" s="341"/>
      <c r="BD2196" s="308"/>
      <c r="BE2196" s="342"/>
      <c r="BF2196" s="274" t="str">
        <f>IFERROR(__xludf.DUMMYFUNCTION("LOWER(Regexreplace(to_text(E2196),""[^A-Za-z0-9]"","""")&amp;""_""&amp;Regexreplace(to_text(F2196),""[^A-Za-z0-9]"",""""))"),"neptronic_evcbseries")</f>
        <v>neptronic_evcbseries</v>
      </c>
      <c r="BG2196" s="275" t="str">
        <f>IFERROR(__xludf.DUMMYFUNCTION("upper(Regexreplace(to_text(E2196),""[^A-Za-z0-9]"","""")&amp;""-""&amp;Regexreplace(to_text(F2196),""[^A-Za-z0-9]"",""""))"),"NEPTRONIC-EVCBSERIES")</f>
        <v>NEPTRONIC-EVCBSERIES</v>
      </c>
    </row>
    <row r="2197" ht="30.0" customHeight="1">
      <c r="A2197" s="173">
        <v>2189.0</v>
      </c>
      <c r="B2197" s="328" t="s">
        <v>670</v>
      </c>
      <c r="C2197" s="257" t="s">
        <v>7623</v>
      </c>
      <c r="D2197" s="173" t="s">
        <v>7623</v>
      </c>
      <c r="E2197" s="174" t="s">
        <v>2861</v>
      </c>
      <c r="F2197" s="173" t="s">
        <v>2862</v>
      </c>
      <c r="G2197" s="328" t="s">
        <v>673</v>
      </c>
      <c r="H2197" s="328" t="s">
        <v>2863</v>
      </c>
      <c r="I2197" s="258" t="s">
        <v>2864</v>
      </c>
      <c r="J2197" s="259"/>
      <c r="K2197" s="260"/>
      <c r="L2197" s="363"/>
      <c r="M2197" s="329"/>
      <c r="N2197" s="173" t="s">
        <v>679</v>
      </c>
      <c r="O2197" s="173"/>
      <c r="P2197" s="262" t="str">
        <f t="shared" si="1"/>
        <v>IN-BLR-ANANTA-VAV-1769_</v>
      </c>
      <c r="Q2197" s="173" t="s">
        <v>7624</v>
      </c>
      <c r="R2197" s="328" t="str">
        <f>IFS(C2197="","",C2197="n/a","N/A",LEN(C2197),Concatenate("{",char(34),"asset",char(34),":{",char(34),"guid",char(34),":",char(34),Q2197,char(34),",",char(34),"site",char(34),":",char(34),LOWER('2-Building'!$B$4),char(34),",",char(34),"name",char(34),":",char(34),LOWER(C2197),char(34),"}}"))</f>
        <v>{"asset":{"guid":"uuid://61a0f050-106d-453b-b16d-74993300ab18","site":"in-blr-ananta","name":"vav-1769"}}</v>
      </c>
      <c r="S2197" s="360" t="s">
        <v>5516</v>
      </c>
      <c r="T2197" s="330"/>
      <c r="U2197" s="330"/>
      <c r="V2197" s="331"/>
      <c r="W2197" s="332"/>
      <c r="X2197" s="333"/>
      <c r="Y2197" s="33" t="s">
        <v>2867</v>
      </c>
      <c r="Z2197" s="258">
        <v>121769.0</v>
      </c>
      <c r="AA2197" s="333"/>
      <c r="AB2197" s="333"/>
      <c r="AC2197" s="333"/>
      <c r="AD2197" s="329"/>
      <c r="AE2197" s="362" t="s">
        <v>685</v>
      </c>
      <c r="AF2197" s="336"/>
      <c r="AG2197" s="337"/>
      <c r="AH2197" s="333"/>
      <c r="AI2197" s="333"/>
      <c r="AJ2197" s="333"/>
      <c r="AK2197" s="328" t="s">
        <v>1903</v>
      </c>
      <c r="AL2197" s="328" t="s">
        <v>688</v>
      </c>
      <c r="AM2197" s="338"/>
      <c r="AN2197" s="333"/>
      <c r="AO2197" s="333"/>
      <c r="AP2197" s="333"/>
      <c r="AQ2197" s="333"/>
      <c r="AR2197" s="333"/>
      <c r="AS2197" s="333"/>
      <c r="AT2197" s="333"/>
      <c r="AU2197" s="329"/>
      <c r="AV2197" s="341"/>
      <c r="AW2197" s="269"/>
      <c r="AX2197" s="334" t="s">
        <v>2869</v>
      </c>
      <c r="AY2197" s="270" t="s">
        <v>695</v>
      </c>
      <c r="AZ2197" s="173" t="s">
        <v>5516</v>
      </c>
      <c r="BA2197" s="265">
        <v>10.0</v>
      </c>
      <c r="BB2197" s="174" t="s">
        <v>245</v>
      </c>
      <c r="BC2197" s="341"/>
      <c r="BD2197" s="308"/>
      <c r="BE2197" s="342"/>
      <c r="BF2197" s="274" t="str">
        <f>IFERROR(__xludf.DUMMYFUNCTION("LOWER(Regexreplace(to_text(E2197),""[^A-Za-z0-9]"","""")&amp;""_""&amp;Regexreplace(to_text(F2197),""[^A-Za-z0-9]"",""""))"),"neptronic_evcbseries")</f>
        <v>neptronic_evcbseries</v>
      </c>
      <c r="BG2197" s="275" t="str">
        <f>IFERROR(__xludf.DUMMYFUNCTION("upper(Regexreplace(to_text(E2197),""[^A-Za-z0-9]"","""")&amp;""-""&amp;Regexreplace(to_text(F2197),""[^A-Za-z0-9]"",""""))"),"NEPTRONIC-EVCBSERIES")</f>
        <v>NEPTRONIC-EVCBSERIES</v>
      </c>
    </row>
    <row r="2198" ht="30.0" customHeight="1">
      <c r="A2198" s="258">
        <v>2190.0</v>
      </c>
      <c r="B2198" s="328" t="s">
        <v>670</v>
      </c>
      <c r="C2198" s="257" t="s">
        <v>7625</v>
      </c>
      <c r="D2198" s="173" t="s">
        <v>7625</v>
      </c>
      <c r="E2198" s="174" t="s">
        <v>2861</v>
      </c>
      <c r="F2198" s="173" t="s">
        <v>2862</v>
      </c>
      <c r="G2198" s="328" t="s">
        <v>673</v>
      </c>
      <c r="H2198" s="328" t="s">
        <v>2863</v>
      </c>
      <c r="I2198" s="258" t="s">
        <v>2864</v>
      </c>
      <c r="J2198" s="259"/>
      <c r="K2198" s="260"/>
      <c r="L2198" s="363"/>
      <c r="M2198" s="329"/>
      <c r="N2198" s="173" t="s">
        <v>679</v>
      </c>
      <c r="O2198" s="173"/>
      <c r="P2198" s="262" t="str">
        <f t="shared" si="1"/>
        <v>IN-BLR-ANANTA-VAV-1770_</v>
      </c>
      <c r="Q2198" s="173" t="s">
        <v>7626</v>
      </c>
      <c r="R2198" s="328" t="str">
        <f>IFS(C2198="","",C2198="n/a","N/A",LEN(C2198),Concatenate("{",char(34),"asset",char(34),":{",char(34),"guid",char(34),":",char(34),Q2198,char(34),",",char(34),"site",char(34),":",char(34),LOWER('2-Building'!$B$4),char(34),",",char(34),"name",char(34),":",char(34),LOWER(C2198),char(34),"}}"))</f>
        <v>{"asset":{"guid":"uuid://bc1e834d-162b-4671-beaf-6c14fd640427","site":"in-blr-ananta","name":"vav-1770"}}</v>
      </c>
      <c r="S2198" s="360" t="s">
        <v>5516</v>
      </c>
      <c r="T2198" s="330"/>
      <c r="U2198" s="330"/>
      <c r="V2198" s="331"/>
      <c r="W2198" s="332"/>
      <c r="X2198" s="333"/>
      <c r="Y2198" s="33" t="s">
        <v>2867</v>
      </c>
      <c r="Z2198" s="258">
        <v>121770.0</v>
      </c>
      <c r="AA2198" s="333"/>
      <c r="AB2198" s="333"/>
      <c r="AC2198" s="333"/>
      <c r="AD2198" s="329"/>
      <c r="AE2198" s="362" t="s">
        <v>685</v>
      </c>
      <c r="AF2198" s="336"/>
      <c r="AG2198" s="337"/>
      <c r="AH2198" s="333"/>
      <c r="AI2198" s="333"/>
      <c r="AJ2198" s="333"/>
      <c r="AK2198" s="328" t="s">
        <v>1908</v>
      </c>
      <c r="AL2198" s="328" t="s">
        <v>688</v>
      </c>
      <c r="AM2198" s="338"/>
      <c r="AN2198" s="333"/>
      <c r="AO2198" s="333"/>
      <c r="AP2198" s="333"/>
      <c r="AQ2198" s="333"/>
      <c r="AR2198" s="333"/>
      <c r="AS2198" s="333"/>
      <c r="AT2198" s="333"/>
      <c r="AU2198" s="329"/>
      <c r="AV2198" s="341"/>
      <c r="AW2198" s="269"/>
      <c r="AX2198" s="334" t="s">
        <v>2869</v>
      </c>
      <c r="AY2198" s="270" t="s">
        <v>695</v>
      </c>
      <c r="AZ2198" s="173" t="s">
        <v>5516</v>
      </c>
      <c r="BA2198" s="265">
        <v>10.0</v>
      </c>
      <c r="BB2198" s="174" t="s">
        <v>245</v>
      </c>
      <c r="BC2198" s="341"/>
      <c r="BD2198" s="308"/>
      <c r="BE2198" s="342"/>
      <c r="BF2198" s="274" t="str">
        <f>IFERROR(__xludf.DUMMYFUNCTION("LOWER(Regexreplace(to_text(E2198),""[^A-Za-z0-9]"","""")&amp;""_""&amp;Regexreplace(to_text(F2198),""[^A-Za-z0-9]"",""""))"),"neptronic_evcbseries")</f>
        <v>neptronic_evcbseries</v>
      </c>
      <c r="BG2198" s="275" t="str">
        <f>IFERROR(__xludf.DUMMYFUNCTION("upper(Regexreplace(to_text(E2198),""[^A-Za-z0-9]"","""")&amp;""-""&amp;Regexreplace(to_text(F2198),""[^A-Za-z0-9]"",""""))"),"NEPTRONIC-EVCBSERIES")</f>
        <v>NEPTRONIC-EVCBSERIES</v>
      </c>
    </row>
    <row r="2199" ht="30.0" customHeight="1">
      <c r="A2199" s="173">
        <v>2191.0</v>
      </c>
      <c r="B2199" s="328" t="s">
        <v>670</v>
      </c>
      <c r="C2199" s="257" t="s">
        <v>7627</v>
      </c>
      <c r="D2199" s="173" t="s">
        <v>7627</v>
      </c>
      <c r="E2199" s="174" t="s">
        <v>2861</v>
      </c>
      <c r="F2199" s="173" t="s">
        <v>2862</v>
      </c>
      <c r="G2199" s="328" t="s">
        <v>673</v>
      </c>
      <c r="H2199" s="328" t="s">
        <v>2863</v>
      </c>
      <c r="I2199" s="258" t="s">
        <v>2864</v>
      </c>
      <c r="J2199" s="259"/>
      <c r="K2199" s="260"/>
      <c r="L2199" s="363"/>
      <c r="M2199" s="329"/>
      <c r="N2199" s="173" t="s">
        <v>679</v>
      </c>
      <c r="O2199" s="173"/>
      <c r="P2199" s="262" t="str">
        <f t="shared" si="1"/>
        <v>IN-BLR-ANANTA-VAV-1771_</v>
      </c>
      <c r="Q2199" s="173" t="s">
        <v>7628</v>
      </c>
      <c r="R2199" s="328" t="str">
        <f>IFS(C2199="","",C2199="n/a","N/A",LEN(C2199),Concatenate("{",char(34),"asset",char(34),":{",char(34),"guid",char(34),":",char(34),Q2199,char(34),",",char(34),"site",char(34),":",char(34),LOWER('2-Building'!$B$4),char(34),",",char(34),"name",char(34),":",char(34),LOWER(C2199),char(34),"}}"))</f>
        <v>{"asset":{"guid":"uuid://9a5c09d9-df5c-470e-a6b4-cf32e67d5830","site":"in-blr-ananta","name":"vav-1771"}}</v>
      </c>
      <c r="S2199" s="360" t="s">
        <v>5516</v>
      </c>
      <c r="T2199" s="330"/>
      <c r="U2199" s="330"/>
      <c r="V2199" s="331"/>
      <c r="W2199" s="332"/>
      <c r="X2199" s="333"/>
      <c r="Y2199" s="33" t="s">
        <v>2867</v>
      </c>
      <c r="Z2199" s="258">
        <v>121771.0</v>
      </c>
      <c r="AA2199" s="333"/>
      <c r="AB2199" s="333"/>
      <c r="AC2199" s="333"/>
      <c r="AD2199" s="329"/>
      <c r="AE2199" s="362" t="s">
        <v>685</v>
      </c>
      <c r="AF2199" s="336"/>
      <c r="AG2199" s="337"/>
      <c r="AH2199" s="333"/>
      <c r="AI2199" s="333"/>
      <c r="AJ2199" s="333"/>
      <c r="AK2199" s="328" t="s">
        <v>1914</v>
      </c>
      <c r="AL2199" s="328" t="s">
        <v>688</v>
      </c>
      <c r="AM2199" s="338"/>
      <c r="AN2199" s="333"/>
      <c r="AO2199" s="333"/>
      <c r="AP2199" s="333"/>
      <c r="AQ2199" s="333"/>
      <c r="AR2199" s="333"/>
      <c r="AS2199" s="333"/>
      <c r="AT2199" s="333"/>
      <c r="AU2199" s="329"/>
      <c r="AV2199" s="341"/>
      <c r="AW2199" s="269"/>
      <c r="AX2199" s="334" t="s">
        <v>2869</v>
      </c>
      <c r="AY2199" s="270" t="s">
        <v>695</v>
      </c>
      <c r="AZ2199" s="173" t="s">
        <v>5516</v>
      </c>
      <c r="BA2199" s="265">
        <v>10.0</v>
      </c>
      <c r="BB2199" s="174" t="s">
        <v>245</v>
      </c>
      <c r="BC2199" s="341"/>
      <c r="BD2199" s="308"/>
      <c r="BE2199" s="342"/>
      <c r="BF2199" s="274" t="str">
        <f>IFERROR(__xludf.DUMMYFUNCTION("LOWER(Regexreplace(to_text(E2199),""[^A-Za-z0-9]"","""")&amp;""_""&amp;Regexreplace(to_text(F2199),""[^A-Za-z0-9]"",""""))"),"neptronic_evcbseries")</f>
        <v>neptronic_evcbseries</v>
      </c>
      <c r="BG2199" s="275" t="str">
        <f>IFERROR(__xludf.DUMMYFUNCTION("upper(Regexreplace(to_text(E2199),""[^A-Za-z0-9]"","""")&amp;""-""&amp;Regexreplace(to_text(F2199),""[^A-Za-z0-9]"",""""))"),"NEPTRONIC-EVCBSERIES")</f>
        <v>NEPTRONIC-EVCBSERIES</v>
      </c>
    </row>
    <row r="2200" ht="30.0" customHeight="1">
      <c r="A2200" s="258">
        <v>2192.0</v>
      </c>
      <c r="B2200" s="328" t="s">
        <v>670</v>
      </c>
      <c r="C2200" s="257" t="s">
        <v>7629</v>
      </c>
      <c r="D2200" s="173" t="s">
        <v>7629</v>
      </c>
      <c r="E2200" s="174" t="s">
        <v>2861</v>
      </c>
      <c r="F2200" s="173" t="s">
        <v>2862</v>
      </c>
      <c r="G2200" s="328" t="s">
        <v>673</v>
      </c>
      <c r="H2200" s="328" t="s">
        <v>2863</v>
      </c>
      <c r="I2200" s="258" t="s">
        <v>2864</v>
      </c>
      <c r="J2200" s="259"/>
      <c r="K2200" s="260"/>
      <c r="L2200" s="363"/>
      <c r="M2200" s="329"/>
      <c r="N2200" s="173" t="s">
        <v>679</v>
      </c>
      <c r="O2200" s="173"/>
      <c r="P2200" s="262" t="str">
        <f t="shared" si="1"/>
        <v>IN-BLR-ANANTA-VAV-1772_</v>
      </c>
      <c r="Q2200" s="173" t="s">
        <v>7630</v>
      </c>
      <c r="R2200" s="328" t="str">
        <f>IFS(C2200="","",C2200="n/a","N/A",LEN(C2200),Concatenate("{",char(34),"asset",char(34),":{",char(34),"guid",char(34),":",char(34),Q2200,char(34),",",char(34),"site",char(34),":",char(34),LOWER('2-Building'!$B$4),char(34),",",char(34),"name",char(34),":",char(34),LOWER(C2200),char(34),"}}"))</f>
        <v>{"asset":{"guid":"uuid://db8347c1-8084-44a3-8c92-848052a936ef","site":"in-blr-ananta","name":"vav-1772"}}</v>
      </c>
      <c r="S2200" s="360" t="s">
        <v>5516</v>
      </c>
      <c r="T2200" s="330"/>
      <c r="U2200" s="330"/>
      <c r="V2200" s="331"/>
      <c r="W2200" s="332"/>
      <c r="X2200" s="333"/>
      <c r="Y2200" s="33" t="s">
        <v>2867</v>
      </c>
      <c r="Z2200" s="258">
        <v>121772.0</v>
      </c>
      <c r="AA2200" s="333"/>
      <c r="AB2200" s="333"/>
      <c r="AC2200" s="333"/>
      <c r="AD2200" s="329"/>
      <c r="AE2200" s="362" t="s">
        <v>685</v>
      </c>
      <c r="AF2200" s="336"/>
      <c r="AG2200" s="337"/>
      <c r="AH2200" s="333"/>
      <c r="AI2200" s="333"/>
      <c r="AJ2200" s="333"/>
      <c r="AK2200" s="328" t="s">
        <v>1920</v>
      </c>
      <c r="AL2200" s="328" t="s">
        <v>688</v>
      </c>
      <c r="AM2200" s="338"/>
      <c r="AN2200" s="333"/>
      <c r="AO2200" s="333"/>
      <c r="AP2200" s="333"/>
      <c r="AQ2200" s="333"/>
      <c r="AR2200" s="333"/>
      <c r="AS2200" s="333"/>
      <c r="AT2200" s="333"/>
      <c r="AU2200" s="329"/>
      <c r="AV2200" s="341"/>
      <c r="AW2200" s="269"/>
      <c r="AX2200" s="334" t="s">
        <v>2869</v>
      </c>
      <c r="AY2200" s="270" t="s">
        <v>695</v>
      </c>
      <c r="AZ2200" s="173" t="s">
        <v>5516</v>
      </c>
      <c r="BA2200" s="265">
        <v>10.0</v>
      </c>
      <c r="BB2200" s="174" t="s">
        <v>245</v>
      </c>
      <c r="BC2200" s="341"/>
      <c r="BD2200" s="308"/>
      <c r="BE2200" s="342"/>
      <c r="BF2200" s="274" t="str">
        <f>IFERROR(__xludf.DUMMYFUNCTION("LOWER(Regexreplace(to_text(E2200),""[^A-Za-z0-9]"","""")&amp;""_""&amp;Regexreplace(to_text(F2200),""[^A-Za-z0-9]"",""""))"),"neptronic_evcbseries")</f>
        <v>neptronic_evcbseries</v>
      </c>
      <c r="BG2200" s="275" t="str">
        <f>IFERROR(__xludf.DUMMYFUNCTION("upper(Regexreplace(to_text(E2200),""[^A-Za-z0-9]"","""")&amp;""-""&amp;Regexreplace(to_text(F2200),""[^A-Za-z0-9]"",""""))"),"NEPTRONIC-EVCBSERIES")</f>
        <v>NEPTRONIC-EVCBSERIES</v>
      </c>
    </row>
    <row r="2201" ht="30.0" customHeight="1">
      <c r="A2201" s="173">
        <v>2193.0</v>
      </c>
      <c r="B2201" s="328" t="s">
        <v>670</v>
      </c>
      <c r="C2201" s="257" t="s">
        <v>7631</v>
      </c>
      <c r="D2201" s="173" t="s">
        <v>7631</v>
      </c>
      <c r="E2201" s="174" t="s">
        <v>2861</v>
      </c>
      <c r="F2201" s="173" t="s">
        <v>2862</v>
      </c>
      <c r="G2201" s="328" t="s">
        <v>673</v>
      </c>
      <c r="H2201" s="328" t="s">
        <v>2863</v>
      </c>
      <c r="I2201" s="258" t="s">
        <v>2864</v>
      </c>
      <c r="J2201" s="259"/>
      <c r="K2201" s="260"/>
      <c r="L2201" s="363"/>
      <c r="M2201" s="329"/>
      <c r="N2201" s="173" t="s">
        <v>679</v>
      </c>
      <c r="O2201" s="173"/>
      <c r="P2201" s="262" t="str">
        <f t="shared" si="1"/>
        <v>IN-BLR-ANANTA-VAV-1773_</v>
      </c>
      <c r="Q2201" s="173" t="s">
        <v>7632</v>
      </c>
      <c r="R2201" s="328" t="str">
        <f>IFS(C2201="","",C2201="n/a","N/A",LEN(C2201),Concatenate("{",char(34),"asset",char(34),":{",char(34),"guid",char(34),":",char(34),Q2201,char(34),",",char(34),"site",char(34),":",char(34),LOWER('2-Building'!$B$4),char(34),",",char(34),"name",char(34),":",char(34),LOWER(C2201),char(34),"}}"))</f>
        <v>{"asset":{"guid":"uuid://6f520622-f5fd-4fd6-a6be-15238884e990","site":"in-blr-ananta","name":"vav-1773"}}</v>
      </c>
      <c r="S2201" s="360" t="s">
        <v>5516</v>
      </c>
      <c r="T2201" s="330"/>
      <c r="U2201" s="330"/>
      <c r="V2201" s="331"/>
      <c r="W2201" s="332"/>
      <c r="X2201" s="333"/>
      <c r="Y2201" s="33" t="s">
        <v>2867</v>
      </c>
      <c r="Z2201" s="258">
        <v>121773.0</v>
      </c>
      <c r="AA2201" s="333"/>
      <c r="AB2201" s="333"/>
      <c r="AC2201" s="333"/>
      <c r="AD2201" s="329"/>
      <c r="AE2201" s="362" t="s">
        <v>685</v>
      </c>
      <c r="AF2201" s="336"/>
      <c r="AG2201" s="337"/>
      <c r="AH2201" s="333"/>
      <c r="AI2201" s="333"/>
      <c r="AJ2201" s="333"/>
      <c r="AK2201" s="328" t="s">
        <v>1925</v>
      </c>
      <c r="AL2201" s="328" t="s">
        <v>688</v>
      </c>
      <c r="AM2201" s="338"/>
      <c r="AN2201" s="333"/>
      <c r="AO2201" s="333"/>
      <c r="AP2201" s="333"/>
      <c r="AQ2201" s="333"/>
      <c r="AR2201" s="333"/>
      <c r="AS2201" s="333"/>
      <c r="AT2201" s="333"/>
      <c r="AU2201" s="329"/>
      <c r="AV2201" s="341"/>
      <c r="AW2201" s="269"/>
      <c r="AX2201" s="334" t="s">
        <v>2869</v>
      </c>
      <c r="AY2201" s="270" t="s">
        <v>695</v>
      </c>
      <c r="AZ2201" s="173" t="s">
        <v>5516</v>
      </c>
      <c r="BA2201" s="265">
        <v>10.0</v>
      </c>
      <c r="BB2201" s="174" t="s">
        <v>245</v>
      </c>
      <c r="BC2201" s="341"/>
      <c r="BD2201" s="308"/>
      <c r="BE2201" s="342"/>
      <c r="BF2201" s="274" t="str">
        <f>IFERROR(__xludf.DUMMYFUNCTION("LOWER(Regexreplace(to_text(E2201),""[^A-Za-z0-9]"","""")&amp;""_""&amp;Regexreplace(to_text(F2201),""[^A-Za-z0-9]"",""""))"),"neptronic_evcbseries")</f>
        <v>neptronic_evcbseries</v>
      </c>
      <c r="BG2201" s="275" t="str">
        <f>IFERROR(__xludf.DUMMYFUNCTION("upper(Regexreplace(to_text(E2201),""[^A-Za-z0-9]"","""")&amp;""-""&amp;Regexreplace(to_text(F2201),""[^A-Za-z0-9]"",""""))"),"NEPTRONIC-EVCBSERIES")</f>
        <v>NEPTRONIC-EVCBSERIES</v>
      </c>
    </row>
    <row r="2202" ht="30.0" customHeight="1">
      <c r="A2202" s="258">
        <v>2194.0</v>
      </c>
      <c r="B2202" s="328" t="s">
        <v>670</v>
      </c>
      <c r="C2202" s="257" t="s">
        <v>7633</v>
      </c>
      <c r="D2202" s="173" t="s">
        <v>7633</v>
      </c>
      <c r="E2202" s="174" t="s">
        <v>2861</v>
      </c>
      <c r="F2202" s="173" t="s">
        <v>2862</v>
      </c>
      <c r="G2202" s="328" t="s">
        <v>673</v>
      </c>
      <c r="H2202" s="328" t="s">
        <v>2863</v>
      </c>
      <c r="I2202" s="258" t="s">
        <v>2864</v>
      </c>
      <c r="J2202" s="259"/>
      <c r="K2202" s="260"/>
      <c r="L2202" s="363"/>
      <c r="M2202" s="329"/>
      <c r="N2202" s="173" t="s">
        <v>679</v>
      </c>
      <c r="O2202" s="173"/>
      <c r="P2202" s="262" t="str">
        <f t="shared" si="1"/>
        <v>IN-BLR-ANANTA-VAV-1774_</v>
      </c>
      <c r="Q2202" s="173" t="s">
        <v>7634</v>
      </c>
      <c r="R2202" s="328" t="str">
        <f>IFS(C2202="","",C2202="n/a","N/A",LEN(C2202),Concatenate("{",char(34),"asset",char(34),":{",char(34),"guid",char(34),":",char(34),Q2202,char(34),",",char(34),"site",char(34),":",char(34),LOWER('2-Building'!$B$4),char(34),",",char(34),"name",char(34),":",char(34),LOWER(C2202),char(34),"}}"))</f>
        <v>{"asset":{"guid":"uuid://bea9cd45-829b-4e0b-b10e-5b2a864f042b","site":"in-blr-ananta","name":"vav-1774"}}</v>
      </c>
      <c r="S2202" s="360" t="s">
        <v>5516</v>
      </c>
      <c r="T2202" s="330"/>
      <c r="U2202" s="330"/>
      <c r="V2202" s="331"/>
      <c r="W2202" s="332"/>
      <c r="X2202" s="333"/>
      <c r="Y2202" s="33" t="s">
        <v>2867</v>
      </c>
      <c r="Z2202" s="258">
        <v>121774.0</v>
      </c>
      <c r="AA2202" s="333"/>
      <c r="AB2202" s="333"/>
      <c r="AC2202" s="333"/>
      <c r="AD2202" s="329"/>
      <c r="AE2202" s="362" t="s">
        <v>685</v>
      </c>
      <c r="AF2202" s="336"/>
      <c r="AG2202" s="337"/>
      <c r="AH2202" s="333"/>
      <c r="AI2202" s="333"/>
      <c r="AJ2202" s="333"/>
      <c r="AK2202" s="328" t="s">
        <v>1930</v>
      </c>
      <c r="AL2202" s="328" t="s">
        <v>688</v>
      </c>
      <c r="AM2202" s="338"/>
      <c r="AN2202" s="333"/>
      <c r="AO2202" s="333"/>
      <c r="AP2202" s="333"/>
      <c r="AQ2202" s="333"/>
      <c r="AR2202" s="333"/>
      <c r="AS2202" s="333"/>
      <c r="AT2202" s="333"/>
      <c r="AU2202" s="329"/>
      <c r="AV2202" s="341"/>
      <c r="AW2202" s="269"/>
      <c r="AX2202" s="334" t="s">
        <v>2869</v>
      </c>
      <c r="AY2202" s="270" t="s">
        <v>695</v>
      </c>
      <c r="AZ2202" s="173" t="s">
        <v>5516</v>
      </c>
      <c r="BA2202" s="265">
        <v>10.0</v>
      </c>
      <c r="BB2202" s="174" t="s">
        <v>245</v>
      </c>
      <c r="BC2202" s="341"/>
      <c r="BD2202" s="308"/>
      <c r="BE2202" s="342"/>
      <c r="BF2202" s="274" t="str">
        <f>IFERROR(__xludf.DUMMYFUNCTION("LOWER(Regexreplace(to_text(E2202),""[^A-Za-z0-9]"","""")&amp;""_""&amp;Regexreplace(to_text(F2202),""[^A-Za-z0-9]"",""""))"),"neptronic_evcbseries")</f>
        <v>neptronic_evcbseries</v>
      </c>
      <c r="BG2202" s="275" t="str">
        <f>IFERROR(__xludf.DUMMYFUNCTION("upper(Regexreplace(to_text(E2202),""[^A-Za-z0-9]"","""")&amp;""-""&amp;Regexreplace(to_text(F2202),""[^A-Za-z0-9]"",""""))"),"NEPTRONIC-EVCBSERIES")</f>
        <v>NEPTRONIC-EVCBSERIES</v>
      </c>
    </row>
    <row r="2203" ht="30.0" customHeight="1">
      <c r="A2203" s="173">
        <v>2195.0</v>
      </c>
      <c r="B2203" s="328" t="s">
        <v>670</v>
      </c>
      <c r="C2203" s="257" t="s">
        <v>7635</v>
      </c>
      <c r="D2203" s="173" t="s">
        <v>7635</v>
      </c>
      <c r="E2203" s="174" t="s">
        <v>2861</v>
      </c>
      <c r="F2203" s="173" t="s">
        <v>2862</v>
      </c>
      <c r="G2203" s="328" t="s">
        <v>673</v>
      </c>
      <c r="H2203" s="328" t="s">
        <v>2863</v>
      </c>
      <c r="I2203" s="258" t="s">
        <v>2864</v>
      </c>
      <c r="J2203" s="259"/>
      <c r="K2203" s="260"/>
      <c r="L2203" s="363"/>
      <c r="M2203" s="329"/>
      <c r="N2203" s="173" t="s">
        <v>679</v>
      </c>
      <c r="O2203" s="173"/>
      <c r="P2203" s="262" t="str">
        <f t="shared" si="1"/>
        <v>IN-BLR-ANANTA-VAV-1775_</v>
      </c>
      <c r="Q2203" s="173" t="s">
        <v>7636</v>
      </c>
      <c r="R2203" s="328" t="str">
        <f>IFS(C2203="","",C2203="n/a","N/A",LEN(C2203),Concatenate("{",char(34),"asset",char(34),":{",char(34),"guid",char(34),":",char(34),Q2203,char(34),",",char(34),"site",char(34),":",char(34),LOWER('2-Building'!$B$4),char(34),",",char(34),"name",char(34),":",char(34),LOWER(C2203),char(34),"}}"))</f>
        <v>{"asset":{"guid":"uuid://4cc249b3-ec9a-4ac7-8b6b-19c2bff6a806","site":"in-blr-ananta","name":"vav-1775"}}</v>
      </c>
      <c r="S2203" s="360" t="s">
        <v>5516</v>
      </c>
      <c r="T2203" s="330"/>
      <c r="U2203" s="330"/>
      <c r="V2203" s="331"/>
      <c r="W2203" s="332"/>
      <c r="X2203" s="333"/>
      <c r="Y2203" s="33" t="s">
        <v>2867</v>
      </c>
      <c r="Z2203" s="258">
        <v>121775.0</v>
      </c>
      <c r="AA2203" s="333"/>
      <c r="AB2203" s="333"/>
      <c r="AC2203" s="333"/>
      <c r="AD2203" s="329"/>
      <c r="AE2203" s="362" t="s">
        <v>685</v>
      </c>
      <c r="AF2203" s="336"/>
      <c r="AG2203" s="337"/>
      <c r="AH2203" s="333"/>
      <c r="AI2203" s="333"/>
      <c r="AJ2203" s="333"/>
      <c r="AK2203" s="328" t="s">
        <v>1935</v>
      </c>
      <c r="AL2203" s="328" t="s">
        <v>688</v>
      </c>
      <c r="AM2203" s="338"/>
      <c r="AN2203" s="333"/>
      <c r="AO2203" s="333"/>
      <c r="AP2203" s="333"/>
      <c r="AQ2203" s="333"/>
      <c r="AR2203" s="333"/>
      <c r="AS2203" s="333"/>
      <c r="AT2203" s="333"/>
      <c r="AU2203" s="329"/>
      <c r="AV2203" s="341"/>
      <c r="AW2203" s="269"/>
      <c r="AX2203" s="334" t="s">
        <v>2869</v>
      </c>
      <c r="AY2203" s="270" t="s">
        <v>695</v>
      </c>
      <c r="AZ2203" s="173" t="s">
        <v>5516</v>
      </c>
      <c r="BA2203" s="265">
        <v>10.0</v>
      </c>
      <c r="BB2203" s="174" t="s">
        <v>245</v>
      </c>
      <c r="BC2203" s="341"/>
      <c r="BD2203" s="308"/>
      <c r="BE2203" s="342"/>
      <c r="BF2203" s="274" t="str">
        <f>IFERROR(__xludf.DUMMYFUNCTION("LOWER(Regexreplace(to_text(E2203),""[^A-Za-z0-9]"","""")&amp;""_""&amp;Regexreplace(to_text(F2203),""[^A-Za-z0-9]"",""""))"),"neptronic_evcbseries")</f>
        <v>neptronic_evcbseries</v>
      </c>
      <c r="BG2203" s="275" t="str">
        <f>IFERROR(__xludf.DUMMYFUNCTION("upper(Regexreplace(to_text(E2203),""[^A-Za-z0-9]"","""")&amp;""-""&amp;Regexreplace(to_text(F2203),""[^A-Za-z0-9]"",""""))"),"NEPTRONIC-EVCBSERIES")</f>
        <v>NEPTRONIC-EVCBSERIES</v>
      </c>
    </row>
    <row r="2204" ht="30.0" customHeight="1">
      <c r="A2204" s="258">
        <v>2196.0</v>
      </c>
      <c r="B2204" s="328" t="s">
        <v>670</v>
      </c>
      <c r="C2204" s="257" t="s">
        <v>7637</v>
      </c>
      <c r="D2204" s="173" t="s">
        <v>7637</v>
      </c>
      <c r="E2204" s="174" t="s">
        <v>2861</v>
      </c>
      <c r="F2204" s="173" t="s">
        <v>2862</v>
      </c>
      <c r="G2204" s="328" t="s">
        <v>673</v>
      </c>
      <c r="H2204" s="328" t="s">
        <v>2863</v>
      </c>
      <c r="I2204" s="258" t="s">
        <v>2864</v>
      </c>
      <c r="J2204" s="259"/>
      <c r="K2204" s="260"/>
      <c r="L2204" s="363"/>
      <c r="M2204" s="329"/>
      <c r="N2204" s="173" t="s">
        <v>679</v>
      </c>
      <c r="O2204" s="173"/>
      <c r="P2204" s="262" t="str">
        <f t="shared" si="1"/>
        <v>IN-BLR-ANANTA-VAV-1776_</v>
      </c>
      <c r="Q2204" s="173" t="s">
        <v>7638</v>
      </c>
      <c r="R2204" s="328" t="str">
        <f>IFS(C2204="","",C2204="n/a","N/A",LEN(C2204),Concatenate("{",char(34),"asset",char(34),":{",char(34),"guid",char(34),":",char(34),Q2204,char(34),",",char(34),"site",char(34),":",char(34),LOWER('2-Building'!$B$4),char(34),",",char(34),"name",char(34),":",char(34),LOWER(C2204),char(34),"}}"))</f>
        <v>{"asset":{"guid":"uuid://bbae864b-047e-4fda-86c6-5c53d83453e4","site":"in-blr-ananta","name":"vav-1776"}}</v>
      </c>
      <c r="S2204" s="360" t="s">
        <v>5516</v>
      </c>
      <c r="T2204" s="330"/>
      <c r="U2204" s="330"/>
      <c r="V2204" s="331"/>
      <c r="W2204" s="332"/>
      <c r="X2204" s="333"/>
      <c r="Y2204" s="33" t="s">
        <v>2867</v>
      </c>
      <c r="Z2204" s="258">
        <v>121776.0</v>
      </c>
      <c r="AA2204" s="333"/>
      <c r="AB2204" s="333"/>
      <c r="AC2204" s="333"/>
      <c r="AD2204" s="329"/>
      <c r="AE2204" s="362" t="s">
        <v>685</v>
      </c>
      <c r="AF2204" s="336"/>
      <c r="AG2204" s="337"/>
      <c r="AH2204" s="333"/>
      <c r="AI2204" s="333"/>
      <c r="AJ2204" s="333"/>
      <c r="AK2204" s="328" t="s">
        <v>1939</v>
      </c>
      <c r="AL2204" s="328" t="s">
        <v>688</v>
      </c>
      <c r="AM2204" s="338"/>
      <c r="AN2204" s="333"/>
      <c r="AO2204" s="333"/>
      <c r="AP2204" s="333"/>
      <c r="AQ2204" s="333"/>
      <c r="AR2204" s="333"/>
      <c r="AS2204" s="333"/>
      <c r="AT2204" s="333"/>
      <c r="AU2204" s="329"/>
      <c r="AV2204" s="341"/>
      <c r="AW2204" s="269"/>
      <c r="AX2204" s="334" t="s">
        <v>2869</v>
      </c>
      <c r="AY2204" s="270" t="s">
        <v>695</v>
      </c>
      <c r="AZ2204" s="173" t="s">
        <v>5516</v>
      </c>
      <c r="BA2204" s="265">
        <v>10.0</v>
      </c>
      <c r="BB2204" s="174" t="s">
        <v>245</v>
      </c>
      <c r="BC2204" s="341"/>
      <c r="BD2204" s="308"/>
      <c r="BE2204" s="342"/>
      <c r="BF2204" s="274" t="str">
        <f>IFERROR(__xludf.DUMMYFUNCTION("LOWER(Regexreplace(to_text(E2204),""[^A-Za-z0-9]"","""")&amp;""_""&amp;Regexreplace(to_text(F2204),""[^A-Za-z0-9]"",""""))"),"neptronic_evcbseries")</f>
        <v>neptronic_evcbseries</v>
      </c>
      <c r="BG2204" s="275" t="str">
        <f>IFERROR(__xludf.DUMMYFUNCTION("upper(Regexreplace(to_text(E2204),""[^A-Za-z0-9]"","""")&amp;""-""&amp;Regexreplace(to_text(F2204),""[^A-Za-z0-9]"",""""))"),"NEPTRONIC-EVCBSERIES")</f>
        <v>NEPTRONIC-EVCBSERIES</v>
      </c>
    </row>
    <row r="2205" ht="30.0" customHeight="1">
      <c r="A2205" s="173">
        <v>2197.0</v>
      </c>
      <c r="B2205" s="328" t="s">
        <v>670</v>
      </c>
      <c r="C2205" s="257" t="s">
        <v>7639</v>
      </c>
      <c r="D2205" s="173" t="s">
        <v>7639</v>
      </c>
      <c r="E2205" s="174" t="s">
        <v>2861</v>
      </c>
      <c r="F2205" s="173" t="s">
        <v>2862</v>
      </c>
      <c r="G2205" s="328" t="s">
        <v>673</v>
      </c>
      <c r="H2205" s="328" t="s">
        <v>2863</v>
      </c>
      <c r="I2205" s="258" t="s">
        <v>2864</v>
      </c>
      <c r="J2205" s="259"/>
      <c r="K2205" s="260"/>
      <c r="L2205" s="363"/>
      <c r="M2205" s="329"/>
      <c r="N2205" s="173" t="s">
        <v>679</v>
      </c>
      <c r="O2205" s="173"/>
      <c r="P2205" s="262" t="str">
        <f t="shared" si="1"/>
        <v>IN-BLR-ANANTA-VAV-1777_</v>
      </c>
      <c r="Q2205" s="173" t="s">
        <v>7640</v>
      </c>
      <c r="R2205" s="328" t="str">
        <f>IFS(C2205="","",C2205="n/a","N/A",LEN(C2205),Concatenate("{",char(34),"asset",char(34),":{",char(34),"guid",char(34),":",char(34),Q2205,char(34),",",char(34),"site",char(34),":",char(34),LOWER('2-Building'!$B$4),char(34),",",char(34),"name",char(34),":",char(34),LOWER(C2205),char(34),"}}"))</f>
        <v>{"asset":{"guid":"uuid://11b4ca68-d380-4bef-9e6b-35b6e75e56e9","site":"in-blr-ananta","name":"vav-1777"}}</v>
      </c>
      <c r="S2205" s="360" t="s">
        <v>5516</v>
      </c>
      <c r="T2205" s="330"/>
      <c r="U2205" s="330"/>
      <c r="V2205" s="331"/>
      <c r="W2205" s="332"/>
      <c r="X2205" s="333"/>
      <c r="Y2205" s="33" t="s">
        <v>2867</v>
      </c>
      <c r="Z2205" s="258">
        <v>121777.0</v>
      </c>
      <c r="AA2205" s="333"/>
      <c r="AB2205" s="333"/>
      <c r="AC2205" s="333"/>
      <c r="AD2205" s="329"/>
      <c r="AE2205" s="362" t="s">
        <v>685</v>
      </c>
      <c r="AF2205" s="336"/>
      <c r="AG2205" s="337"/>
      <c r="AH2205" s="333"/>
      <c r="AI2205" s="333"/>
      <c r="AJ2205" s="333"/>
      <c r="AK2205" s="328" t="s">
        <v>1945</v>
      </c>
      <c r="AL2205" s="328" t="s">
        <v>688</v>
      </c>
      <c r="AM2205" s="338"/>
      <c r="AN2205" s="333"/>
      <c r="AO2205" s="333"/>
      <c r="AP2205" s="333"/>
      <c r="AQ2205" s="333"/>
      <c r="AR2205" s="333"/>
      <c r="AS2205" s="333"/>
      <c r="AT2205" s="333"/>
      <c r="AU2205" s="329"/>
      <c r="AV2205" s="341"/>
      <c r="AW2205" s="269"/>
      <c r="AX2205" s="334" t="s">
        <v>2869</v>
      </c>
      <c r="AY2205" s="270" t="s">
        <v>695</v>
      </c>
      <c r="AZ2205" s="173" t="s">
        <v>5516</v>
      </c>
      <c r="BA2205" s="265">
        <v>10.0</v>
      </c>
      <c r="BB2205" s="174" t="s">
        <v>245</v>
      </c>
      <c r="BC2205" s="341"/>
      <c r="BD2205" s="308"/>
      <c r="BE2205" s="342"/>
      <c r="BF2205" s="274" t="str">
        <f>IFERROR(__xludf.DUMMYFUNCTION("LOWER(Regexreplace(to_text(E2205),""[^A-Za-z0-9]"","""")&amp;""_""&amp;Regexreplace(to_text(F2205),""[^A-Za-z0-9]"",""""))"),"neptronic_evcbseries")</f>
        <v>neptronic_evcbseries</v>
      </c>
      <c r="BG2205" s="275" t="str">
        <f>IFERROR(__xludf.DUMMYFUNCTION("upper(Regexreplace(to_text(E2205),""[^A-Za-z0-9]"","""")&amp;""-""&amp;Regexreplace(to_text(F2205),""[^A-Za-z0-9]"",""""))"),"NEPTRONIC-EVCBSERIES")</f>
        <v>NEPTRONIC-EVCBSERIES</v>
      </c>
    </row>
    <row r="2206" ht="30.0" customHeight="1">
      <c r="A2206" s="258">
        <v>2198.0</v>
      </c>
      <c r="B2206" s="328" t="s">
        <v>670</v>
      </c>
      <c r="C2206" s="257" t="s">
        <v>7641</v>
      </c>
      <c r="D2206" s="173" t="s">
        <v>7641</v>
      </c>
      <c r="E2206" s="174" t="s">
        <v>2861</v>
      </c>
      <c r="F2206" s="173" t="s">
        <v>2862</v>
      </c>
      <c r="G2206" s="328" t="s">
        <v>673</v>
      </c>
      <c r="H2206" s="328" t="s">
        <v>2863</v>
      </c>
      <c r="I2206" s="258" t="s">
        <v>2864</v>
      </c>
      <c r="J2206" s="259"/>
      <c r="K2206" s="260"/>
      <c r="L2206" s="363"/>
      <c r="M2206" s="329"/>
      <c r="N2206" s="173" t="s">
        <v>679</v>
      </c>
      <c r="O2206" s="173"/>
      <c r="P2206" s="262" t="str">
        <f t="shared" si="1"/>
        <v>IN-BLR-ANANTA-VAV-1778_</v>
      </c>
      <c r="Q2206" s="173" t="s">
        <v>7642</v>
      </c>
      <c r="R2206" s="328" t="str">
        <f>IFS(C2206="","",C2206="n/a","N/A",LEN(C2206),Concatenate("{",char(34),"asset",char(34),":{",char(34),"guid",char(34),":",char(34),Q2206,char(34),",",char(34),"site",char(34),":",char(34),LOWER('2-Building'!$B$4),char(34),",",char(34),"name",char(34),":",char(34),LOWER(C2206),char(34),"}}"))</f>
        <v>{"asset":{"guid":"uuid://c43b1adc-6f0d-400a-b0f0-4c1a1964344d","site":"in-blr-ananta","name":"vav-1778"}}</v>
      </c>
      <c r="S2206" s="360" t="s">
        <v>5516</v>
      </c>
      <c r="T2206" s="330"/>
      <c r="U2206" s="330"/>
      <c r="V2206" s="331"/>
      <c r="W2206" s="332"/>
      <c r="X2206" s="333"/>
      <c r="Y2206" s="33" t="s">
        <v>2867</v>
      </c>
      <c r="Z2206" s="258">
        <v>121778.0</v>
      </c>
      <c r="AA2206" s="333"/>
      <c r="AB2206" s="333"/>
      <c r="AC2206" s="333"/>
      <c r="AD2206" s="329"/>
      <c r="AE2206" s="362" t="s">
        <v>685</v>
      </c>
      <c r="AF2206" s="336"/>
      <c r="AG2206" s="337"/>
      <c r="AH2206" s="333"/>
      <c r="AI2206" s="333"/>
      <c r="AJ2206" s="333"/>
      <c r="AK2206" s="328" t="s">
        <v>1951</v>
      </c>
      <c r="AL2206" s="328" t="s">
        <v>688</v>
      </c>
      <c r="AM2206" s="338"/>
      <c r="AN2206" s="333"/>
      <c r="AO2206" s="333"/>
      <c r="AP2206" s="333"/>
      <c r="AQ2206" s="333"/>
      <c r="AR2206" s="333"/>
      <c r="AS2206" s="333"/>
      <c r="AT2206" s="333"/>
      <c r="AU2206" s="329"/>
      <c r="AV2206" s="341"/>
      <c r="AW2206" s="269"/>
      <c r="AX2206" s="334" t="s">
        <v>2869</v>
      </c>
      <c r="AY2206" s="270" t="s">
        <v>695</v>
      </c>
      <c r="AZ2206" s="173" t="s">
        <v>5516</v>
      </c>
      <c r="BA2206" s="265">
        <v>10.0</v>
      </c>
      <c r="BB2206" s="174" t="s">
        <v>245</v>
      </c>
      <c r="BC2206" s="341"/>
      <c r="BD2206" s="308"/>
      <c r="BE2206" s="342"/>
      <c r="BF2206" s="274" t="str">
        <f>IFERROR(__xludf.DUMMYFUNCTION("LOWER(Regexreplace(to_text(E2206),""[^A-Za-z0-9]"","""")&amp;""_""&amp;Regexreplace(to_text(F2206),""[^A-Za-z0-9]"",""""))"),"neptronic_evcbseries")</f>
        <v>neptronic_evcbseries</v>
      </c>
      <c r="BG2206" s="275" t="str">
        <f>IFERROR(__xludf.DUMMYFUNCTION("upper(Regexreplace(to_text(E2206),""[^A-Za-z0-9]"","""")&amp;""-""&amp;Regexreplace(to_text(F2206),""[^A-Za-z0-9]"",""""))"),"NEPTRONIC-EVCBSERIES")</f>
        <v>NEPTRONIC-EVCBSERIES</v>
      </c>
    </row>
    <row r="2207" ht="30.0" customHeight="1">
      <c r="A2207" s="173">
        <v>2199.0</v>
      </c>
      <c r="B2207" s="328" t="s">
        <v>670</v>
      </c>
      <c r="C2207" s="257" t="s">
        <v>7643</v>
      </c>
      <c r="D2207" s="173" t="s">
        <v>7643</v>
      </c>
      <c r="E2207" s="174" t="s">
        <v>2861</v>
      </c>
      <c r="F2207" s="173" t="s">
        <v>2862</v>
      </c>
      <c r="G2207" s="328" t="s">
        <v>673</v>
      </c>
      <c r="H2207" s="328" t="s">
        <v>2863</v>
      </c>
      <c r="I2207" s="258" t="s">
        <v>2864</v>
      </c>
      <c r="J2207" s="259"/>
      <c r="K2207" s="260"/>
      <c r="L2207" s="363"/>
      <c r="M2207" s="329"/>
      <c r="N2207" s="173" t="s">
        <v>679</v>
      </c>
      <c r="O2207" s="173"/>
      <c r="P2207" s="262" t="str">
        <f t="shared" si="1"/>
        <v>IN-BLR-ANANTA-VAV-1779_</v>
      </c>
      <c r="Q2207" s="173" t="s">
        <v>7644</v>
      </c>
      <c r="R2207" s="328" t="str">
        <f>IFS(C2207="","",C2207="n/a","N/A",LEN(C2207),Concatenate("{",char(34),"asset",char(34),":{",char(34),"guid",char(34),":",char(34),Q2207,char(34),",",char(34),"site",char(34),":",char(34),LOWER('2-Building'!$B$4),char(34),",",char(34),"name",char(34),":",char(34),LOWER(C2207),char(34),"}}"))</f>
        <v>{"asset":{"guid":"uuid://e75ea6b6-0a5d-42db-a2f1-bdbbc8ceb7ef","site":"in-blr-ananta","name":"vav-1779"}}</v>
      </c>
      <c r="S2207" s="360" t="s">
        <v>5516</v>
      </c>
      <c r="T2207" s="330"/>
      <c r="U2207" s="330"/>
      <c r="V2207" s="331"/>
      <c r="W2207" s="332"/>
      <c r="X2207" s="333"/>
      <c r="Y2207" s="33" t="s">
        <v>2867</v>
      </c>
      <c r="Z2207" s="258">
        <v>121779.0</v>
      </c>
      <c r="AA2207" s="333"/>
      <c r="AB2207" s="333"/>
      <c r="AC2207" s="333"/>
      <c r="AD2207" s="329"/>
      <c r="AE2207" s="362" t="s">
        <v>685</v>
      </c>
      <c r="AF2207" s="336"/>
      <c r="AG2207" s="337"/>
      <c r="AH2207" s="333"/>
      <c r="AI2207" s="333"/>
      <c r="AJ2207" s="333"/>
      <c r="AK2207" s="328" t="s">
        <v>1956</v>
      </c>
      <c r="AL2207" s="328" t="s">
        <v>688</v>
      </c>
      <c r="AM2207" s="338"/>
      <c r="AN2207" s="333"/>
      <c r="AO2207" s="333"/>
      <c r="AP2207" s="333"/>
      <c r="AQ2207" s="333"/>
      <c r="AR2207" s="333"/>
      <c r="AS2207" s="333"/>
      <c r="AT2207" s="333"/>
      <c r="AU2207" s="329"/>
      <c r="AV2207" s="341"/>
      <c r="AW2207" s="269"/>
      <c r="AX2207" s="334" t="s">
        <v>2869</v>
      </c>
      <c r="AY2207" s="270" t="s">
        <v>695</v>
      </c>
      <c r="AZ2207" s="173" t="s">
        <v>5516</v>
      </c>
      <c r="BA2207" s="265">
        <v>10.0</v>
      </c>
      <c r="BB2207" s="174" t="s">
        <v>245</v>
      </c>
      <c r="BC2207" s="341"/>
      <c r="BD2207" s="308"/>
      <c r="BE2207" s="342"/>
      <c r="BF2207" s="274" t="str">
        <f>IFERROR(__xludf.DUMMYFUNCTION("LOWER(Regexreplace(to_text(E2207),""[^A-Za-z0-9]"","""")&amp;""_""&amp;Regexreplace(to_text(F2207),""[^A-Za-z0-9]"",""""))"),"neptronic_evcbseries")</f>
        <v>neptronic_evcbseries</v>
      </c>
      <c r="BG2207" s="275" t="str">
        <f>IFERROR(__xludf.DUMMYFUNCTION("upper(Regexreplace(to_text(E2207),""[^A-Za-z0-9]"","""")&amp;""-""&amp;Regexreplace(to_text(F2207),""[^A-Za-z0-9]"",""""))"),"NEPTRONIC-EVCBSERIES")</f>
        <v>NEPTRONIC-EVCBSERIES</v>
      </c>
    </row>
    <row r="2208" ht="30.0" customHeight="1">
      <c r="A2208" s="258">
        <v>2200.0</v>
      </c>
      <c r="B2208" s="328" t="s">
        <v>670</v>
      </c>
      <c r="C2208" s="257" t="s">
        <v>7645</v>
      </c>
      <c r="D2208" s="173" t="s">
        <v>7645</v>
      </c>
      <c r="E2208" s="174" t="s">
        <v>2861</v>
      </c>
      <c r="F2208" s="173" t="s">
        <v>2862</v>
      </c>
      <c r="G2208" s="328" t="s">
        <v>673</v>
      </c>
      <c r="H2208" s="328" t="s">
        <v>2863</v>
      </c>
      <c r="I2208" s="258" t="s">
        <v>2864</v>
      </c>
      <c r="J2208" s="259"/>
      <c r="K2208" s="260"/>
      <c r="L2208" s="363"/>
      <c r="M2208" s="329"/>
      <c r="N2208" s="173" t="s">
        <v>679</v>
      </c>
      <c r="O2208" s="173"/>
      <c r="P2208" s="262" t="str">
        <f t="shared" si="1"/>
        <v>IN-BLR-ANANTA-VAV-1780_</v>
      </c>
      <c r="Q2208" s="173" t="s">
        <v>7646</v>
      </c>
      <c r="R2208" s="328" t="str">
        <f>IFS(C2208="","",C2208="n/a","N/A",LEN(C2208),Concatenate("{",char(34),"asset",char(34),":{",char(34),"guid",char(34),":",char(34),Q2208,char(34),",",char(34),"site",char(34),":",char(34),LOWER('2-Building'!$B$4),char(34),",",char(34),"name",char(34),":",char(34),LOWER(C2208),char(34),"}}"))</f>
        <v>{"asset":{"guid":"uuid://750bcc0d-c990-4a51-9653-a6da0c879c7c","site":"in-blr-ananta","name":"vav-1780"}}</v>
      </c>
      <c r="S2208" s="360" t="s">
        <v>5516</v>
      </c>
      <c r="T2208" s="330"/>
      <c r="U2208" s="330"/>
      <c r="V2208" s="331"/>
      <c r="W2208" s="332"/>
      <c r="X2208" s="333"/>
      <c r="Y2208" s="33" t="s">
        <v>2867</v>
      </c>
      <c r="Z2208" s="258">
        <v>121780.0</v>
      </c>
      <c r="AA2208" s="333"/>
      <c r="AB2208" s="333"/>
      <c r="AC2208" s="333"/>
      <c r="AD2208" s="329"/>
      <c r="AE2208" s="362" t="s">
        <v>685</v>
      </c>
      <c r="AF2208" s="336"/>
      <c r="AG2208" s="337"/>
      <c r="AH2208" s="333"/>
      <c r="AI2208" s="333"/>
      <c r="AJ2208" s="333"/>
      <c r="AK2208" s="328" t="s">
        <v>1961</v>
      </c>
      <c r="AL2208" s="328" t="s">
        <v>688</v>
      </c>
      <c r="AM2208" s="338"/>
      <c r="AN2208" s="333"/>
      <c r="AO2208" s="333"/>
      <c r="AP2208" s="333"/>
      <c r="AQ2208" s="333"/>
      <c r="AR2208" s="333"/>
      <c r="AS2208" s="333"/>
      <c r="AT2208" s="333"/>
      <c r="AU2208" s="329"/>
      <c r="AV2208" s="341"/>
      <c r="AW2208" s="269"/>
      <c r="AX2208" s="334" t="s">
        <v>2869</v>
      </c>
      <c r="AY2208" s="270" t="s">
        <v>695</v>
      </c>
      <c r="AZ2208" s="173" t="s">
        <v>5516</v>
      </c>
      <c r="BA2208" s="265">
        <v>10.0</v>
      </c>
      <c r="BB2208" s="174" t="s">
        <v>245</v>
      </c>
      <c r="BC2208" s="341"/>
      <c r="BD2208" s="308"/>
      <c r="BE2208" s="342"/>
      <c r="BF2208" s="274" t="str">
        <f>IFERROR(__xludf.DUMMYFUNCTION("LOWER(Regexreplace(to_text(E2208),""[^A-Za-z0-9]"","""")&amp;""_""&amp;Regexreplace(to_text(F2208),""[^A-Za-z0-9]"",""""))"),"neptronic_evcbseries")</f>
        <v>neptronic_evcbseries</v>
      </c>
      <c r="BG2208" s="275" t="str">
        <f>IFERROR(__xludf.DUMMYFUNCTION("upper(Regexreplace(to_text(E2208),""[^A-Za-z0-9]"","""")&amp;""-""&amp;Regexreplace(to_text(F2208),""[^A-Za-z0-9]"",""""))"),"NEPTRONIC-EVCBSERIES")</f>
        <v>NEPTRONIC-EVCBSERIES</v>
      </c>
    </row>
    <row r="2209" ht="30.0" customHeight="1">
      <c r="A2209" s="173">
        <v>2201.0</v>
      </c>
      <c r="B2209" s="328" t="s">
        <v>670</v>
      </c>
      <c r="C2209" s="257" t="s">
        <v>7647</v>
      </c>
      <c r="D2209" s="173" t="s">
        <v>7647</v>
      </c>
      <c r="E2209" s="174" t="s">
        <v>2861</v>
      </c>
      <c r="F2209" s="173" t="s">
        <v>2862</v>
      </c>
      <c r="G2209" s="328" t="s">
        <v>673</v>
      </c>
      <c r="H2209" s="328" t="s">
        <v>2863</v>
      </c>
      <c r="I2209" s="258" t="s">
        <v>2864</v>
      </c>
      <c r="J2209" s="259"/>
      <c r="K2209" s="260"/>
      <c r="L2209" s="363"/>
      <c r="M2209" s="329"/>
      <c r="N2209" s="173" t="s">
        <v>679</v>
      </c>
      <c r="O2209" s="173"/>
      <c r="P2209" s="262" t="str">
        <f t="shared" si="1"/>
        <v>IN-BLR-ANANTA-VAV-1781_</v>
      </c>
      <c r="Q2209" s="173" t="s">
        <v>7648</v>
      </c>
      <c r="R2209" s="328" t="str">
        <f>IFS(C2209="","",C2209="n/a","N/A",LEN(C2209),Concatenate("{",char(34),"asset",char(34),":{",char(34),"guid",char(34),":",char(34),Q2209,char(34),",",char(34),"site",char(34),":",char(34),LOWER('2-Building'!$B$4),char(34),",",char(34),"name",char(34),":",char(34),LOWER(C2209),char(34),"}}"))</f>
        <v>{"asset":{"guid":"uuid://dd3882b9-2f7d-4316-a72b-570ddf538998","site":"in-blr-ananta","name":"vav-1781"}}</v>
      </c>
      <c r="S2209" s="360" t="s">
        <v>5516</v>
      </c>
      <c r="T2209" s="330"/>
      <c r="U2209" s="330"/>
      <c r="V2209" s="331"/>
      <c r="W2209" s="332"/>
      <c r="X2209" s="333"/>
      <c r="Y2209" s="33" t="s">
        <v>2867</v>
      </c>
      <c r="Z2209" s="258">
        <v>121781.0</v>
      </c>
      <c r="AA2209" s="333"/>
      <c r="AB2209" s="333"/>
      <c r="AC2209" s="333"/>
      <c r="AD2209" s="329"/>
      <c r="AE2209" s="362" t="s">
        <v>685</v>
      </c>
      <c r="AF2209" s="336"/>
      <c r="AG2209" s="337"/>
      <c r="AH2209" s="333"/>
      <c r="AI2209" s="333"/>
      <c r="AJ2209" s="333"/>
      <c r="AK2209" s="328" t="s">
        <v>1966</v>
      </c>
      <c r="AL2209" s="328" t="s">
        <v>688</v>
      </c>
      <c r="AM2209" s="338"/>
      <c r="AN2209" s="333"/>
      <c r="AO2209" s="333"/>
      <c r="AP2209" s="333"/>
      <c r="AQ2209" s="333"/>
      <c r="AR2209" s="333"/>
      <c r="AS2209" s="333"/>
      <c r="AT2209" s="333"/>
      <c r="AU2209" s="329"/>
      <c r="AV2209" s="341"/>
      <c r="AW2209" s="269"/>
      <c r="AX2209" s="334" t="s">
        <v>2869</v>
      </c>
      <c r="AY2209" s="270" t="s">
        <v>695</v>
      </c>
      <c r="AZ2209" s="173" t="s">
        <v>5516</v>
      </c>
      <c r="BA2209" s="265">
        <v>10.0</v>
      </c>
      <c r="BB2209" s="174" t="s">
        <v>245</v>
      </c>
      <c r="BC2209" s="341"/>
      <c r="BD2209" s="308"/>
      <c r="BE2209" s="342"/>
      <c r="BF2209" s="274" t="str">
        <f>IFERROR(__xludf.DUMMYFUNCTION("LOWER(Regexreplace(to_text(E2209),""[^A-Za-z0-9]"","""")&amp;""_""&amp;Regexreplace(to_text(F2209),""[^A-Za-z0-9]"",""""))"),"neptronic_evcbseries")</f>
        <v>neptronic_evcbseries</v>
      </c>
      <c r="BG2209" s="275" t="str">
        <f>IFERROR(__xludf.DUMMYFUNCTION("upper(Regexreplace(to_text(E2209),""[^A-Za-z0-9]"","""")&amp;""-""&amp;Regexreplace(to_text(F2209),""[^A-Za-z0-9]"",""""))"),"NEPTRONIC-EVCBSERIES")</f>
        <v>NEPTRONIC-EVCBSERIES</v>
      </c>
    </row>
    <row r="2210" ht="30.0" customHeight="1">
      <c r="A2210" s="258">
        <v>2202.0</v>
      </c>
      <c r="B2210" s="328" t="s">
        <v>670</v>
      </c>
      <c r="C2210" s="257" t="s">
        <v>7649</v>
      </c>
      <c r="D2210" s="173" t="s">
        <v>7649</v>
      </c>
      <c r="E2210" s="174" t="s">
        <v>2861</v>
      </c>
      <c r="F2210" s="173" t="s">
        <v>2862</v>
      </c>
      <c r="G2210" s="328" t="s">
        <v>673</v>
      </c>
      <c r="H2210" s="328" t="s">
        <v>2863</v>
      </c>
      <c r="I2210" s="258" t="s">
        <v>2864</v>
      </c>
      <c r="J2210" s="259"/>
      <c r="K2210" s="260"/>
      <c r="L2210" s="363"/>
      <c r="M2210" s="329"/>
      <c r="N2210" s="173" t="s">
        <v>679</v>
      </c>
      <c r="O2210" s="173"/>
      <c r="P2210" s="262" t="str">
        <f t="shared" si="1"/>
        <v>IN-BLR-ANANTA-VAV-1782_</v>
      </c>
      <c r="Q2210" s="173" t="s">
        <v>7650</v>
      </c>
      <c r="R2210" s="328" t="str">
        <f>IFS(C2210="","",C2210="n/a","N/A",LEN(C2210),Concatenate("{",char(34),"asset",char(34),":{",char(34),"guid",char(34),":",char(34),Q2210,char(34),",",char(34),"site",char(34),":",char(34),LOWER('2-Building'!$B$4),char(34),",",char(34),"name",char(34),":",char(34),LOWER(C2210),char(34),"}}"))</f>
        <v>{"asset":{"guid":"uuid://ccba5e17-d1e5-4fc6-8675-7e63a1223a9a","site":"in-blr-ananta","name":"vav-1782"}}</v>
      </c>
      <c r="S2210" s="360" t="s">
        <v>5516</v>
      </c>
      <c r="T2210" s="330"/>
      <c r="U2210" s="330"/>
      <c r="V2210" s="331"/>
      <c r="W2210" s="332"/>
      <c r="X2210" s="333"/>
      <c r="Y2210" s="33" t="s">
        <v>2867</v>
      </c>
      <c r="Z2210" s="258">
        <v>121782.0</v>
      </c>
      <c r="AA2210" s="333"/>
      <c r="AB2210" s="333"/>
      <c r="AC2210" s="333"/>
      <c r="AD2210" s="329"/>
      <c r="AE2210" s="362" t="s">
        <v>685</v>
      </c>
      <c r="AF2210" s="336"/>
      <c r="AG2210" s="337"/>
      <c r="AH2210" s="333"/>
      <c r="AI2210" s="333"/>
      <c r="AJ2210" s="333"/>
      <c r="AK2210" s="328" t="s">
        <v>1971</v>
      </c>
      <c r="AL2210" s="328" t="s">
        <v>688</v>
      </c>
      <c r="AM2210" s="338"/>
      <c r="AN2210" s="333"/>
      <c r="AO2210" s="333"/>
      <c r="AP2210" s="333"/>
      <c r="AQ2210" s="333"/>
      <c r="AR2210" s="333"/>
      <c r="AS2210" s="333"/>
      <c r="AT2210" s="333"/>
      <c r="AU2210" s="329"/>
      <c r="AV2210" s="341"/>
      <c r="AW2210" s="269"/>
      <c r="AX2210" s="334" t="s">
        <v>2869</v>
      </c>
      <c r="AY2210" s="270" t="s">
        <v>695</v>
      </c>
      <c r="AZ2210" s="173" t="s">
        <v>5516</v>
      </c>
      <c r="BA2210" s="265">
        <v>10.0</v>
      </c>
      <c r="BB2210" s="174" t="s">
        <v>245</v>
      </c>
      <c r="BC2210" s="341"/>
      <c r="BD2210" s="308"/>
      <c r="BE2210" s="342"/>
      <c r="BF2210" s="274" t="str">
        <f>IFERROR(__xludf.DUMMYFUNCTION("LOWER(Regexreplace(to_text(E2210),""[^A-Za-z0-9]"","""")&amp;""_""&amp;Regexreplace(to_text(F2210),""[^A-Za-z0-9]"",""""))"),"neptronic_evcbseries")</f>
        <v>neptronic_evcbseries</v>
      </c>
      <c r="BG2210" s="275" t="str">
        <f>IFERROR(__xludf.DUMMYFUNCTION("upper(Regexreplace(to_text(E2210),""[^A-Za-z0-9]"","""")&amp;""-""&amp;Regexreplace(to_text(F2210),""[^A-Za-z0-9]"",""""))"),"NEPTRONIC-EVCBSERIES")</f>
        <v>NEPTRONIC-EVCBSERIES</v>
      </c>
    </row>
    <row r="2211" ht="30.0" customHeight="1">
      <c r="A2211" s="173">
        <v>2203.0</v>
      </c>
      <c r="B2211" s="328" t="s">
        <v>670</v>
      </c>
      <c r="C2211" s="257" t="s">
        <v>7651</v>
      </c>
      <c r="D2211" s="173" t="s">
        <v>7651</v>
      </c>
      <c r="E2211" s="174" t="s">
        <v>2861</v>
      </c>
      <c r="F2211" s="173" t="s">
        <v>2862</v>
      </c>
      <c r="G2211" s="328" t="s">
        <v>673</v>
      </c>
      <c r="H2211" s="328" t="s">
        <v>2863</v>
      </c>
      <c r="I2211" s="258" t="s">
        <v>2864</v>
      </c>
      <c r="J2211" s="259"/>
      <c r="K2211" s="260"/>
      <c r="L2211" s="363"/>
      <c r="M2211" s="329"/>
      <c r="N2211" s="173" t="s">
        <v>679</v>
      </c>
      <c r="O2211" s="173"/>
      <c r="P2211" s="262" t="str">
        <f t="shared" si="1"/>
        <v>IN-BLR-ANANTA-VAV-1783_</v>
      </c>
      <c r="Q2211" s="173" t="s">
        <v>7652</v>
      </c>
      <c r="R2211" s="328" t="str">
        <f>IFS(C2211="","",C2211="n/a","N/A",LEN(C2211),Concatenate("{",char(34),"asset",char(34),":{",char(34),"guid",char(34),":",char(34),Q2211,char(34),",",char(34),"site",char(34),":",char(34),LOWER('2-Building'!$B$4),char(34),",",char(34),"name",char(34),":",char(34),LOWER(C2211),char(34),"}}"))</f>
        <v>{"asset":{"guid":"uuid://fe78bcc6-217d-45df-9ea9-ab9baf6da550","site":"in-blr-ananta","name":"vav-1783"}}</v>
      </c>
      <c r="S2211" s="360" t="s">
        <v>5516</v>
      </c>
      <c r="T2211" s="330"/>
      <c r="U2211" s="330"/>
      <c r="V2211" s="331"/>
      <c r="W2211" s="332"/>
      <c r="X2211" s="333"/>
      <c r="Y2211" s="33" t="s">
        <v>2867</v>
      </c>
      <c r="Z2211" s="258">
        <v>121783.0</v>
      </c>
      <c r="AA2211" s="333"/>
      <c r="AB2211" s="333"/>
      <c r="AC2211" s="333"/>
      <c r="AD2211" s="329"/>
      <c r="AE2211" s="362" t="s">
        <v>685</v>
      </c>
      <c r="AF2211" s="336"/>
      <c r="AG2211" s="337"/>
      <c r="AH2211" s="333"/>
      <c r="AI2211" s="333"/>
      <c r="AJ2211" s="333"/>
      <c r="AK2211" s="328" t="s">
        <v>1976</v>
      </c>
      <c r="AL2211" s="328" t="s">
        <v>688</v>
      </c>
      <c r="AM2211" s="338"/>
      <c r="AN2211" s="333"/>
      <c r="AO2211" s="333"/>
      <c r="AP2211" s="333"/>
      <c r="AQ2211" s="333"/>
      <c r="AR2211" s="333"/>
      <c r="AS2211" s="333"/>
      <c r="AT2211" s="333"/>
      <c r="AU2211" s="329"/>
      <c r="AV2211" s="341"/>
      <c r="AW2211" s="269"/>
      <c r="AX2211" s="334" t="s">
        <v>2869</v>
      </c>
      <c r="AY2211" s="270" t="s">
        <v>695</v>
      </c>
      <c r="AZ2211" s="173" t="s">
        <v>5516</v>
      </c>
      <c r="BA2211" s="265">
        <v>10.0</v>
      </c>
      <c r="BB2211" s="174" t="s">
        <v>245</v>
      </c>
      <c r="BC2211" s="341"/>
      <c r="BD2211" s="308"/>
      <c r="BE2211" s="342"/>
      <c r="BF2211" s="274" t="str">
        <f>IFERROR(__xludf.DUMMYFUNCTION("LOWER(Regexreplace(to_text(E2211),""[^A-Za-z0-9]"","""")&amp;""_""&amp;Regexreplace(to_text(F2211),""[^A-Za-z0-9]"",""""))"),"neptronic_evcbseries")</f>
        <v>neptronic_evcbseries</v>
      </c>
      <c r="BG2211" s="275" t="str">
        <f>IFERROR(__xludf.DUMMYFUNCTION("upper(Regexreplace(to_text(E2211),""[^A-Za-z0-9]"","""")&amp;""-""&amp;Regexreplace(to_text(F2211),""[^A-Za-z0-9]"",""""))"),"NEPTRONIC-EVCBSERIES")</f>
        <v>NEPTRONIC-EVCBSERIES</v>
      </c>
    </row>
    <row r="2212" ht="30.0" customHeight="1">
      <c r="A2212" s="258">
        <v>2204.0</v>
      </c>
      <c r="B2212" s="328" t="s">
        <v>670</v>
      </c>
      <c r="C2212" s="257" t="s">
        <v>7653</v>
      </c>
      <c r="D2212" s="173" t="s">
        <v>7653</v>
      </c>
      <c r="E2212" s="174" t="s">
        <v>2861</v>
      </c>
      <c r="F2212" s="173" t="s">
        <v>2862</v>
      </c>
      <c r="G2212" s="328" t="s">
        <v>673</v>
      </c>
      <c r="H2212" s="328" t="s">
        <v>2863</v>
      </c>
      <c r="I2212" s="258" t="s">
        <v>2864</v>
      </c>
      <c r="J2212" s="259"/>
      <c r="K2212" s="260"/>
      <c r="L2212" s="363"/>
      <c r="M2212" s="329"/>
      <c r="N2212" s="173" t="s">
        <v>679</v>
      </c>
      <c r="O2212" s="173"/>
      <c r="P2212" s="262" t="str">
        <f t="shared" si="1"/>
        <v>IN-BLR-ANANTA-VAV-1784_</v>
      </c>
      <c r="Q2212" s="173" t="s">
        <v>7654</v>
      </c>
      <c r="R2212" s="328" t="str">
        <f>IFS(C2212="","",C2212="n/a","N/A",LEN(C2212),Concatenate("{",char(34),"asset",char(34),":{",char(34),"guid",char(34),":",char(34),Q2212,char(34),",",char(34),"site",char(34),":",char(34),LOWER('2-Building'!$B$4),char(34),",",char(34),"name",char(34),":",char(34),LOWER(C2212),char(34),"}}"))</f>
        <v>{"asset":{"guid":"uuid://ed1adb53-8673-45b2-9a49-ac2826643bf6","site":"in-blr-ananta","name":"vav-1784"}}</v>
      </c>
      <c r="S2212" s="360" t="s">
        <v>5516</v>
      </c>
      <c r="T2212" s="330"/>
      <c r="U2212" s="330"/>
      <c r="V2212" s="331"/>
      <c r="W2212" s="332"/>
      <c r="X2212" s="333"/>
      <c r="Y2212" s="33" t="s">
        <v>2867</v>
      </c>
      <c r="Z2212" s="258">
        <v>121784.0</v>
      </c>
      <c r="AA2212" s="333"/>
      <c r="AB2212" s="333"/>
      <c r="AC2212" s="333"/>
      <c r="AD2212" s="329"/>
      <c r="AE2212" s="362" t="s">
        <v>685</v>
      </c>
      <c r="AF2212" s="336"/>
      <c r="AG2212" s="337"/>
      <c r="AH2212" s="333"/>
      <c r="AI2212" s="333"/>
      <c r="AJ2212" s="333"/>
      <c r="AK2212" s="328" t="s">
        <v>1981</v>
      </c>
      <c r="AL2212" s="328" t="s">
        <v>688</v>
      </c>
      <c r="AM2212" s="338"/>
      <c r="AN2212" s="333"/>
      <c r="AO2212" s="333"/>
      <c r="AP2212" s="333"/>
      <c r="AQ2212" s="333"/>
      <c r="AR2212" s="333"/>
      <c r="AS2212" s="333"/>
      <c r="AT2212" s="333"/>
      <c r="AU2212" s="329"/>
      <c r="AV2212" s="341"/>
      <c r="AW2212" s="269"/>
      <c r="AX2212" s="334" t="s">
        <v>2869</v>
      </c>
      <c r="AY2212" s="270" t="s">
        <v>695</v>
      </c>
      <c r="AZ2212" s="173" t="s">
        <v>5516</v>
      </c>
      <c r="BA2212" s="265">
        <v>10.0</v>
      </c>
      <c r="BB2212" s="174" t="s">
        <v>245</v>
      </c>
      <c r="BC2212" s="341"/>
      <c r="BD2212" s="308"/>
      <c r="BE2212" s="342"/>
      <c r="BF2212" s="274" t="str">
        <f>IFERROR(__xludf.DUMMYFUNCTION("LOWER(Regexreplace(to_text(E2212),""[^A-Za-z0-9]"","""")&amp;""_""&amp;Regexreplace(to_text(F2212),""[^A-Za-z0-9]"",""""))"),"neptronic_evcbseries")</f>
        <v>neptronic_evcbseries</v>
      </c>
      <c r="BG2212" s="275" t="str">
        <f>IFERROR(__xludf.DUMMYFUNCTION("upper(Regexreplace(to_text(E2212),""[^A-Za-z0-9]"","""")&amp;""-""&amp;Regexreplace(to_text(F2212),""[^A-Za-z0-9]"",""""))"),"NEPTRONIC-EVCBSERIES")</f>
        <v>NEPTRONIC-EVCBSERIES</v>
      </c>
    </row>
    <row r="2213" ht="30.0" customHeight="1">
      <c r="A2213" s="173">
        <v>2205.0</v>
      </c>
      <c r="B2213" s="328" t="s">
        <v>670</v>
      </c>
      <c r="C2213" s="257" t="s">
        <v>7655</v>
      </c>
      <c r="D2213" s="173" t="s">
        <v>7655</v>
      </c>
      <c r="E2213" s="174" t="s">
        <v>2861</v>
      </c>
      <c r="F2213" s="173" t="s">
        <v>2862</v>
      </c>
      <c r="G2213" s="328" t="s">
        <v>673</v>
      </c>
      <c r="H2213" s="328" t="s">
        <v>2863</v>
      </c>
      <c r="I2213" s="258" t="s">
        <v>2864</v>
      </c>
      <c r="J2213" s="259"/>
      <c r="K2213" s="260"/>
      <c r="L2213" s="363"/>
      <c r="M2213" s="329"/>
      <c r="N2213" s="173" t="s">
        <v>679</v>
      </c>
      <c r="O2213" s="173"/>
      <c r="P2213" s="262" t="str">
        <f t="shared" si="1"/>
        <v>IN-BLR-ANANTA-VAV-1785_</v>
      </c>
      <c r="Q2213" s="173" t="s">
        <v>7656</v>
      </c>
      <c r="R2213" s="328" t="str">
        <f>IFS(C2213="","",C2213="n/a","N/A",LEN(C2213),Concatenate("{",char(34),"asset",char(34),":{",char(34),"guid",char(34),":",char(34),Q2213,char(34),",",char(34),"site",char(34),":",char(34),LOWER('2-Building'!$B$4),char(34),",",char(34),"name",char(34),":",char(34),LOWER(C2213),char(34),"}}"))</f>
        <v>{"asset":{"guid":"uuid://17da8925-6e54-418d-b34b-2a0bf233a740","site":"in-blr-ananta","name":"vav-1785"}}</v>
      </c>
      <c r="S2213" s="360" t="s">
        <v>5516</v>
      </c>
      <c r="T2213" s="330"/>
      <c r="U2213" s="330"/>
      <c r="V2213" s="331"/>
      <c r="W2213" s="332"/>
      <c r="X2213" s="333"/>
      <c r="Y2213" s="33" t="s">
        <v>2867</v>
      </c>
      <c r="Z2213" s="258">
        <v>121785.0</v>
      </c>
      <c r="AA2213" s="333"/>
      <c r="AB2213" s="333"/>
      <c r="AC2213" s="333"/>
      <c r="AD2213" s="329"/>
      <c r="AE2213" s="362" t="s">
        <v>685</v>
      </c>
      <c r="AF2213" s="336"/>
      <c r="AG2213" s="337"/>
      <c r="AH2213" s="333"/>
      <c r="AI2213" s="333"/>
      <c r="AJ2213" s="333"/>
      <c r="AK2213" s="328" t="s">
        <v>1986</v>
      </c>
      <c r="AL2213" s="328" t="s">
        <v>688</v>
      </c>
      <c r="AM2213" s="338"/>
      <c r="AN2213" s="333"/>
      <c r="AO2213" s="333"/>
      <c r="AP2213" s="333"/>
      <c r="AQ2213" s="333"/>
      <c r="AR2213" s="333"/>
      <c r="AS2213" s="333"/>
      <c r="AT2213" s="333"/>
      <c r="AU2213" s="329"/>
      <c r="AV2213" s="341"/>
      <c r="AW2213" s="269"/>
      <c r="AX2213" s="334" t="s">
        <v>2869</v>
      </c>
      <c r="AY2213" s="270" t="s">
        <v>695</v>
      </c>
      <c r="AZ2213" s="173" t="s">
        <v>5516</v>
      </c>
      <c r="BA2213" s="265">
        <v>10.0</v>
      </c>
      <c r="BB2213" s="174" t="s">
        <v>245</v>
      </c>
      <c r="BC2213" s="341"/>
      <c r="BD2213" s="308"/>
      <c r="BE2213" s="342"/>
      <c r="BF2213" s="274" t="str">
        <f>IFERROR(__xludf.DUMMYFUNCTION("LOWER(Regexreplace(to_text(E2213),""[^A-Za-z0-9]"","""")&amp;""_""&amp;Regexreplace(to_text(F2213),""[^A-Za-z0-9]"",""""))"),"neptronic_evcbseries")</f>
        <v>neptronic_evcbseries</v>
      </c>
      <c r="BG2213" s="275" t="str">
        <f>IFERROR(__xludf.DUMMYFUNCTION("upper(Regexreplace(to_text(E2213),""[^A-Za-z0-9]"","""")&amp;""-""&amp;Regexreplace(to_text(F2213),""[^A-Za-z0-9]"",""""))"),"NEPTRONIC-EVCBSERIES")</f>
        <v>NEPTRONIC-EVCBSERIES</v>
      </c>
    </row>
    <row r="2214" ht="30.0" customHeight="1">
      <c r="A2214" s="258">
        <v>2206.0</v>
      </c>
      <c r="B2214" s="328" t="s">
        <v>670</v>
      </c>
      <c r="C2214" s="257" t="s">
        <v>7657</v>
      </c>
      <c r="D2214" s="173" t="s">
        <v>7657</v>
      </c>
      <c r="E2214" s="174" t="s">
        <v>2861</v>
      </c>
      <c r="F2214" s="173" t="s">
        <v>2862</v>
      </c>
      <c r="G2214" s="328" t="s">
        <v>673</v>
      </c>
      <c r="H2214" s="328" t="s">
        <v>2863</v>
      </c>
      <c r="I2214" s="258" t="s">
        <v>2864</v>
      </c>
      <c r="J2214" s="259"/>
      <c r="K2214" s="260"/>
      <c r="L2214" s="363"/>
      <c r="M2214" s="329"/>
      <c r="N2214" s="173" t="s">
        <v>679</v>
      </c>
      <c r="O2214" s="173"/>
      <c r="P2214" s="262" t="str">
        <f t="shared" si="1"/>
        <v>IN-BLR-ANANTA-VAV-1786_</v>
      </c>
      <c r="Q2214" s="173" t="s">
        <v>7658</v>
      </c>
      <c r="R2214" s="328" t="str">
        <f>IFS(C2214="","",C2214="n/a","N/A",LEN(C2214),Concatenate("{",char(34),"asset",char(34),":{",char(34),"guid",char(34),":",char(34),Q2214,char(34),",",char(34),"site",char(34),":",char(34),LOWER('2-Building'!$B$4),char(34),",",char(34),"name",char(34),":",char(34),LOWER(C2214),char(34),"}}"))</f>
        <v>{"asset":{"guid":"uuid://0ce825e2-1bb9-4935-beb4-bde161ae577d","site":"in-blr-ananta","name":"vav-1786"}}</v>
      </c>
      <c r="S2214" s="360" t="s">
        <v>5516</v>
      </c>
      <c r="T2214" s="330"/>
      <c r="U2214" s="330"/>
      <c r="V2214" s="331"/>
      <c r="W2214" s="332"/>
      <c r="X2214" s="333"/>
      <c r="Y2214" s="33" t="s">
        <v>2867</v>
      </c>
      <c r="Z2214" s="258">
        <v>121786.0</v>
      </c>
      <c r="AA2214" s="333"/>
      <c r="AB2214" s="333"/>
      <c r="AC2214" s="333"/>
      <c r="AD2214" s="329"/>
      <c r="AE2214" s="362" t="s">
        <v>685</v>
      </c>
      <c r="AF2214" s="336"/>
      <c r="AG2214" s="337"/>
      <c r="AH2214" s="333"/>
      <c r="AI2214" s="333"/>
      <c r="AJ2214" s="333"/>
      <c r="AK2214" s="328" t="s">
        <v>1991</v>
      </c>
      <c r="AL2214" s="328" t="s">
        <v>688</v>
      </c>
      <c r="AM2214" s="338"/>
      <c r="AN2214" s="333"/>
      <c r="AO2214" s="333"/>
      <c r="AP2214" s="333"/>
      <c r="AQ2214" s="333"/>
      <c r="AR2214" s="333"/>
      <c r="AS2214" s="333"/>
      <c r="AT2214" s="333"/>
      <c r="AU2214" s="329"/>
      <c r="AV2214" s="341"/>
      <c r="AW2214" s="269"/>
      <c r="AX2214" s="334" t="s">
        <v>2869</v>
      </c>
      <c r="AY2214" s="270" t="s">
        <v>695</v>
      </c>
      <c r="AZ2214" s="173" t="s">
        <v>5516</v>
      </c>
      <c r="BA2214" s="265">
        <v>10.0</v>
      </c>
      <c r="BB2214" s="174" t="s">
        <v>245</v>
      </c>
      <c r="BC2214" s="341"/>
      <c r="BD2214" s="308"/>
      <c r="BE2214" s="342"/>
      <c r="BF2214" s="274" t="str">
        <f>IFERROR(__xludf.DUMMYFUNCTION("LOWER(Regexreplace(to_text(E2214),""[^A-Za-z0-9]"","""")&amp;""_""&amp;Regexreplace(to_text(F2214),""[^A-Za-z0-9]"",""""))"),"neptronic_evcbseries")</f>
        <v>neptronic_evcbseries</v>
      </c>
      <c r="BG2214" s="275" t="str">
        <f>IFERROR(__xludf.DUMMYFUNCTION("upper(Regexreplace(to_text(E2214),""[^A-Za-z0-9]"","""")&amp;""-""&amp;Regexreplace(to_text(F2214),""[^A-Za-z0-9]"",""""))"),"NEPTRONIC-EVCBSERIES")</f>
        <v>NEPTRONIC-EVCBSERIES</v>
      </c>
    </row>
    <row r="2215" ht="30.0" customHeight="1">
      <c r="A2215" s="173">
        <v>2207.0</v>
      </c>
      <c r="B2215" s="328" t="s">
        <v>670</v>
      </c>
      <c r="C2215" s="257" t="s">
        <v>7659</v>
      </c>
      <c r="D2215" s="173" t="s">
        <v>7659</v>
      </c>
      <c r="E2215" s="174" t="s">
        <v>2861</v>
      </c>
      <c r="F2215" s="173" t="s">
        <v>2862</v>
      </c>
      <c r="G2215" s="328" t="s">
        <v>673</v>
      </c>
      <c r="H2215" s="328" t="s">
        <v>2863</v>
      </c>
      <c r="I2215" s="258" t="s">
        <v>2864</v>
      </c>
      <c r="J2215" s="259"/>
      <c r="K2215" s="260"/>
      <c r="L2215" s="363"/>
      <c r="M2215" s="329"/>
      <c r="N2215" s="173" t="s">
        <v>679</v>
      </c>
      <c r="O2215" s="173"/>
      <c r="P2215" s="262" t="str">
        <f t="shared" si="1"/>
        <v>IN-BLR-ANANTA-VAV-1787_</v>
      </c>
      <c r="Q2215" s="173" t="s">
        <v>7660</v>
      </c>
      <c r="R2215" s="328" t="str">
        <f>IFS(C2215="","",C2215="n/a","N/A",LEN(C2215),Concatenate("{",char(34),"asset",char(34),":{",char(34),"guid",char(34),":",char(34),Q2215,char(34),",",char(34),"site",char(34),":",char(34),LOWER('2-Building'!$B$4),char(34),",",char(34),"name",char(34),":",char(34),LOWER(C2215),char(34),"}}"))</f>
        <v>{"asset":{"guid":"uuid://85cc8b77-2331-4e9a-a9f9-6d31fc27bcbe","site":"in-blr-ananta","name":"vav-1787"}}</v>
      </c>
      <c r="S2215" s="360" t="s">
        <v>5516</v>
      </c>
      <c r="T2215" s="330"/>
      <c r="U2215" s="330"/>
      <c r="V2215" s="331"/>
      <c r="W2215" s="332"/>
      <c r="X2215" s="333"/>
      <c r="Y2215" s="33" t="s">
        <v>2867</v>
      </c>
      <c r="Z2215" s="258">
        <v>121787.0</v>
      </c>
      <c r="AA2215" s="333"/>
      <c r="AB2215" s="333"/>
      <c r="AC2215" s="333"/>
      <c r="AD2215" s="329"/>
      <c r="AE2215" s="362" t="s">
        <v>685</v>
      </c>
      <c r="AF2215" s="336"/>
      <c r="AG2215" s="337"/>
      <c r="AH2215" s="333"/>
      <c r="AI2215" s="333"/>
      <c r="AJ2215" s="333"/>
      <c r="AK2215" s="328" t="s">
        <v>1996</v>
      </c>
      <c r="AL2215" s="328" t="s">
        <v>688</v>
      </c>
      <c r="AM2215" s="338"/>
      <c r="AN2215" s="333"/>
      <c r="AO2215" s="333"/>
      <c r="AP2215" s="333"/>
      <c r="AQ2215" s="333"/>
      <c r="AR2215" s="333"/>
      <c r="AS2215" s="333"/>
      <c r="AT2215" s="333"/>
      <c r="AU2215" s="329"/>
      <c r="AV2215" s="341"/>
      <c r="AW2215" s="269"/>
      <c r="AX2215" s="334" t="s">
        <v>2869</v>
      </c>
      <c r="AY2215" s="270" t="s">
        <v>695</v>
      </c>
      <c r="AZ2215" s="173" t="s">
        <v>5516</v>
      </c>
      <c r="BA2215" s="265">
        <v>10.0</v>
      </c>
      <c r="BB2215" s="174" t="s">
        <v>245</v>
      </c>
      <c r="BC2215" s="341"/>
      <c r="BD2215" s="308"/>
      <c r="BE2215" s="342"/>
      <c r="BF2215" s="274" t="str">
        <f>IFERROR(__xludf.DUMMYFUNCTION("LOWER(Regexreplace(to_text(E2215),""[^A-Za-z0-9]"","""")&amp;""_""&amp;Regexreplace(to_text(F2215),""[^A-Za-z0-9]"",""""))"),"neptronic_evcbseries")</f>
        <v>neptronic_evcbseries</v>
      </c>
      <c r="BG2215" s="275" t="str">
        <f>IFERROR(__xludf.DUMMYFUNCTION("upper(Regexreplace(to_text(E2215),""[^A-Za-z0-9]"","""")&amp;""-""&amp;Regexreplace(to_text(F2215),""[^A-Za-z0-9]"",""""))"),"NEPTRONIC-EVCBSERIES")</f>
        <v>NEPTRONIC-EVCBSERIES</v>
      </c>
    </row>
    <row r="2216" ht="30.0" customHeight="1">
      <c r="A2216" s="258">
        <v>2208.0</v>
      </c>
      <c r="B2216" s="328" t="s">
        <v>670</v>
      </c>
      <c r="C2216" s="257" t="s">
        <v>7661</v>
      </c>
      <c r="D2216" s="173" t="s">
        <v>7661</v>
      </c>
      <c r="E2216" s="174" t="s">
        <v>2861</v>
      </c>
      <c r="F2216" s="173" t="s">
        <v>2862</v>
      </c>
      <c r="G2216" s="328" t="s">
        <v>673</v>
      </c>
      <c r="H2216" s="328" t="s">
        <v>2863</v>
      </c>
      <c r="I2216" s="258" t="s">
        <v>2864</v>
      </c>
      <c r="J2216" s="259"/>
      <c r="K2216" s="260"/>
      <c r="L2216" s="363"/>
      <c r="M2216" s="329"/>
      <c r="N2216" s="173" t="s">
        <v>679</v>
      </c>
      <c r="O2216" s="173"/>
      <c r="P2216" s="262" t="str">
        <f t="shared" si="1"/>
        <v>IN-BLR-ANANTA-VAV-1788_</v>
      </c>
      <c r="Q2216" s="173" t="s">
        <v>7662</v>
      </c>
      <c r="R2216" s="328" t="str">
        <f>IFS(C2216="","",C2216="n/a","N/A",LEN(C2216),Concatenate("{",char(34),"asset",char(34),":{",char(34),"guid",char(34),":",char(34),Q2216,char(34),",",char(34),"site",char(34),":",char(34),LOWER('2-Building'!$B$4),char(34),",",char(34),"name",char(34),":",char(34),LOWER(C2216),char(34),"}}"))</f>
        <v>{"asset":{"guid":"uuid://e545ffe5-2e82-4539-815a-6f4e26ff7dbe","site":"in-blr-ananta","name":"vav-1788"}}</v>
      </c>
      <c r="S2216" s="360" t="s">
        <v>5516</v>
      </c>
      <c r="T2216" s="330"/>
      <c r="U2216" s="330"/>
      <c r="V2216" s="331"/>
      <c r="W2216" s="332"/>
      <c r="X2216" s="333"/>
      <c r="Y2216" s="33" t="s">
        <v>2867</v>
      </c>
      <c r="Z2216" s="258">
        <v>121788.0</v>
      </c>
      <c r="AA2216" s="333"/>
      <c r="AB2216" s="333"/>
      <c r="AC2216" s="333"/>
      <c r="AD2216" s="329"/>
      <c r="AE2216" s="362" t="s">
        <v>685</v>
      </c>
      <c r="AF2216" s="336"/>
      <c r="AG2216" s="337"/>
      <c r="AH2216" s="333"/>
      <c r="AI2216" s="333"/>
      <c r="AJ2216" s="333"/>
      <c r="AK2216" s="328" t="s">
        <v>2002</v>
      </c>
      <c r="AL2216" s="328" t="s">
        <v>688</v>
      </c>
      <c r="AM2216" s="338"/>
      <c r="AN2216" s="333"/>
      <c r="AO2216" s="333"/>
      <c r="AP2216" s="333"/>
      <c r="AQ2216" s="333"/>
      <c r="AR2216" s="333"/>
      <c r="AS2216" s="333"/>
      <c r="AT2216" s="333"/>
      <c r="AU2216" s="329"/>
      <c r="AV2216" s="341"/>
      <c r="AW2216" s="269"/>
      <c r="AX2216" s="334" t="s">
        <v>2869</v>
      </c>
      <c r="AY2216" s="270" t="s">
        <v>695</v>
      </c>
      <c r="AZ2216" s="173" t="s">
        <v>5516</v>
      </c>
      <c r="BA2216" s="265">
        <v>10.0</v>
      </c>
      <c r="BB2216" s="174" t="s">
        <v>245</v>
      </c>
      <c r="BC2216" s="341"/>
      <c r="BD2216" s="308"/>
      <c r="BE2216" s="342"/>
      <c r="BF2216" s="274" t="str">
        <f>IFERROR(__xludf.DUMMYFUNCTION("LOWER(Regexreplace(to_text(E2216),""[^A-Za-z0-9]"","""")&amp;""_""&amp;Regexreplace(to_text(F2216),""[^A-Za-z0-9]"",""""))"),"neptronic_evcbseries")</f>
        <v>neptronic_evcbseries</v>
      </c>
      <c r="BG2216" s="275" t="str">
        <f>IFERROR(__xludf.DUMMYFUNCTION("upper(Regexreplace(to_text(E2216),""[^A-Za-z0-9]"","""")&amp;""-""&amp;Regexreplace(to_text(F2216),""[^A-Za-z0-9]"",""""))"),"NEPTRONIC-EVCBSERIES")</f>
        <v>NEPTRONIC-EVCBSERIES</v>
      </c>
    </row>
    <row r="2217" ht="30.0" customHeight="1">
      <c r="A2217" s="173">
        <v>2209.0</v>
      </c>
      <c r="B2217" s="328" t="s">
        <v>670</v>
      </c>
      <c r="C2217" s="257" t="s">
        <v>7663</v>
      </c>
      <c r="D2217" s="173" t="s">
        <v>7663</v>
      </c>
      <c r="E2217" s="174" t="s">
        <v>2861</v>
      </c>
      <c r="F2217" s="173" t="s">
        <v>2862</v>
      </c>
      <c r="G2217" s="328" t="s">
        <v>673</v>
      </c>
      <c r="H2217" s="328" t="s">
        <v>2863</v>
      </c>
      <c r="I2217" s="258" t="s">
        <v>2864</v>
      </c>
      <c r="J2217" s="259"/>
      <c r="K2217" s="260"/>
      <c r="L2217" s="363"/>
      <c r="M2217" s="329"/>
      <c r="N2217" s="173" t="s">
        <v>679</v>
      </c>
      <c r="O2217" s="173"/>
      <c r="P2217" s="262" t="str">
        <f t="shared" si="1"/>
        <v>IN-BLR-ANANTA-VAV-1789_</v>
      </c>
      <c r="Q2217" s="173" t="s">
        <v>7664</v>
      </c>
      <c r="R2217" s="328" t="str">
        <f>IFS(C2217="","",C2217="n/a","N/A",LEN(C2217),Concatenate("{",char(34),"asset",char(34),":{",char(34),"guid",char(34),":",char(34),Q2217,char(34),",",char(34),"site",char(34),":",char(34),LOWER('2-Building'!$B$4),char(34),",",char(34),"name",char(34),":",char(34),LOWER(C2217),char(34),"}}"))</f>
        <v>{"asset":{"guid":"uuid://d23e4cce-4b45-47d5-aac6-7a21fb845698","site":"in-blr-ananta","name":"vav-1789"}}</v>
      </c>
      <c r="S2217" s="360" t="s">
        <v>5516</v>
      </c>
      <c r="T2217" s="330"/>
      <c r="U2217" s="330"/>
      <c r="V2217" s="331"/>
      <c r="W2217" s="332"/>
      <c r="X2217" s="333"/>
      <c r="Y2217" s="33" t="s">
        <v>2867</v>
      </c>
      <c r="Z2217" s="258">
        <v>121789.0</v>
      </c>
      <c r="AA2217" s="333"/>
      <c r="AB2217" s="333"/>
      <c r="AC2217" s="333"/>
      <c r="AD2217" s="329"/>
      <c r="AE2217" s="362" t="s">
        <v>685</v>
      </c>
      <c r="AF2217" s="336"/>
      <c r="AG2217" s="337"/>
      <c r="AH2217" s="333"/>
      <c r="AI2217" s="333"/>
      <c r="AJ2217" s="333"/>
      <c r="AK2217" s="328" t="s">
        <v>2007</v>
      </c>
      <c r="AL2217" s="328" t="s">
        <v>688</v>
      </c>
      <c r="AM2217" s="338"/>
      <c r="AN2217" s="333"/>
      <c r="AO2217" s="333"/>
      <c r="AP2217" s="333"/>
      <c r="AQ2217" s="333"/>
      <c r="AR2217" s="333"/>
      <c r="AS2217" s="333"/>
      <c r="AT2217" s="333"/>
      <c r="AU2217" s="329"/>
      <c r="AV2217" s="341"/>
      <c r="AW2217" s="269"/>
      <c r="AX2217" s="334" t="s">
        <v>2869</v>
      </c>
      <c r="AY2217" s="270" t="s">
        <v>695</v>
      </c>
      <c r="AZ2217" s="173" t="s">
        <v>5516</v>
      </c>
      <c r="BA2217" s="265">
        <v>10.0</v>
      </c>
      <c r="BB2217" s="174" t="s">
        <v>245</v>
      </c>
      <c r="BC2217" s="341"/>
      <c r="BD2217" s="308"/>
      <c r="BE2217" s="342"/>
      <c r="BF2217" s="274" t="str">
        <f>IFERROR(__xludf.DUMMYFUNCTION("LOWER(Regexreplace(to_text(E2217),""[^A-Za-z0-9]"","""")&amp;""_""&amp;Regexreplace(to_text(F2217),""[^A-Za-z0-9]"",""""))"),"neptronic_evcbseries")</f>
        <v>neptronic_evcbseries</v>
      </c>
      <c r="BG2217" s="275" t="str">
        <f>IFERROR(__xludf.DUMMYFUNCTION("upper(Regexreplace(to_text(E2217),""[^A-Za-z0-9]"","""")&amp;""-""&amp;Regexreplace(to_text(F2217),""[^A-Za-z0-9]"",""""))"),"NEPTRONIC-EVCBSERIES")</f>
        <v>NEPTRONIC-EVCBSERIES</v>
      </c>
    </row>
    <row r="2218" ht="30.0" customHeight="1">
      <c r="A2218" s="258">
        <v>2210.0</v>
      </c>
      <c r="B2218" s="328" t="s">
        <v>670</v>
      </c>
      <c r="C2218" s="257" t="s">
        <v>7665</v>
      </c>
      <c r="D2218" s="173" t="s">
        <v>7665</v>
      </c>
      <c r="E2218" s="174" t="s">
        <v>2861</v>
      </c>
      <c r="F2218" s="173" t="s">
        <v>2862</v>
      </c>
      <c r="G2218" s="328" t="s">
        <v>673</v>
      </c>
      <c r="H2218" s="328" t="s">
        <v>2863</v>
      </c>
      <c r="I2218" s="258" t="s">
        <v>2864</v>
      </c>
      <c r="J2218" s="259"/>
      <c r="K2218" s="260"/>
      <c r="L2218" s="363"/>
      <c r="M2218" s="329"/>
      <c r="N2218" s="173" t="s">
        <v>679</v>
      </c>
      <c r="O2218" s="173"/>
      <c r="P2218" s="262" t="str">
        <f t="shared" si="1"/>
        <v>IN-BLR-ANANTA-VAV-1790_</v>
      </c>
      <c r="Q2218" s="173" t="s">
        <v>7666</v>
      </c>
      <c r="R2218" s="328" t="str">
        <f>IFS(C2218="","",C2218="n/a","N/A",LEN(C2218),Concatenate("{",char(34),"asset",char(34),":{",char(34),"guid",char(34),":",char(34),Q2218,char(34),",",char(34),"site",char(34),":",char(34),LOWER('2-Building'!$B$4),char(34),",",char(34),"name",char(34),":",char(34),LOWER(C2218),char(34),"}}"))</f>
        <v>{"asset":{"guid":"uuid://30e9ef95-f0e1-420e-a4d3-9db5505d1e9c","site":"in-blr-ananta","name":"vav-1790"}}</v>
      </c>
      <c r="S2218" s="360" t="s">
        <v>5516</v>
      </c>
      <c r="T2218" s="330"/>
      <c r="U2218" s="330"/>
      <c r="V2218" s="331"/>
      <c r="W2218" s="332"/>
      <c r="X2218" s="333"/>
      <c r="Y2218" s="33" t="s">
        <v>2867</v>
      </c>
      <c r="Z2218" s="258">
        <v>121790.0</v>
      </c>
      <c r="AA2218" s="333"/>
      <c r="AB2218" s="333"/>
      <c r="AC2218" s="333"/>
      <c r="AD2218" s="329"/>
      <c r="AE2218" s="362" t="s">
        <v>685</v>
      </c>
      <c r="AF2218" s="336"/>
      <c r="AG2218" s="337"/>
      <c r="AH2218" s="333"/>
      <c r="AI2218" s="333"/>
      <c r="AJ2218" s="333"/>
      <c r="AK2218" s="328" t="s">
        <v>2012</v>
      </c>
      <c r="AL2218" s="328" t="s">
        <v>688</v>
      </c>
      <c r="AM2218" s="338"/>
      <c r="AN2218" s="333"/>
      <c r="AO2218" s="333"/>
      <c r="AP2218" s="333"/>
      <c r="AQ2218" s="333"/>
      <c r="AR2218" s="333"/>
      <c r="AS2218" s="333"/>
      <c r="AT2218" s="333"/>
      <c r="AU2218" s="329"/>
      <c r="AV2218" s="341"/>
      <c r="AW2218" s="269"/>
      <c r="AX2218" s="334" t="s">
        <v>2869</v>
      </c>
      <c r="AY2218" s="270" t="s">
        <v>695</v>
      </c>
      <c r="AZ2218" s="173" t="s">
        <v>5516</v>
      </c>
      <c r="BA2218" s="265">
        <v>10.0</v>
      </c>
      <c r="BB2218" s="174" t="s">
        <v>245</v>
      </c>
      <c r="BC2218" s="341"/>
      <c r="BD2218" s="308"/>
      <c r="BE2218" s="342"/>
      <c r="BF2218" s="274" t="str">
        <f>IFERROR(__xludf.DUMMYFUNCTION("LOWER(Regexreplace(to_text(E2218),""[^A-Za-z0-9]"","""")&amp;""_""&amp;Regexreplace(to_text(F2218),""[^A-Za-z0-9]"",""""))"),"neptronic_evcbseries")</f>
        <v>neptronic_evcbseries</v>
      </c>
      <c r="BG2218" s="275" t="str">
        <f>IFERROR(__xludf.DUMMYFUNCTION("upper(Regexreplace(to_text(E2218),""[^A-Za-z0-9]"","""")&amp;""-""&amp;Regexreplace(to_text(F2218),""[^A-Za-z0-9]"",""""))"),"NEPTRONIC-EVCBSERIES")</f>
        <v>NEPTRONIC-EVCBSERIES</v>
      </c>
    </row>
    <row r="2219" ht="30.0" customHeight="1">
      <c r="A2219" s="173">
        <v>2211.0</v>
      </c>
      <c r="B2219" s="328" t="s">
        <v>670</v>
      </c>
      <c r="C2219" s="257" t="s">
        <v>7667</v>
      </c>
      <c r="D2219" s="173" t="s">
        <v>7667</v>
      </c>
      <c r="E2219" s="174" t="s">
        <v>2861</v>
      </c>
      <c r="F2219" s="173" t="s">
        <v>2862</v>
      </c>
      <c r="G2219" s="328" t="s">
        <v>673</v>
      </c>
      <c r="H2219" s="328" t="s">
        <v>2863</v>
      </c>
      <c r="I2219" s="258" t="s">
        <v>2864</v>
      </c>
      <c r="J2219" s="259"/>
      <c r="K2219" s="260"/>
      <c r="L2219" s="363"/>
      <c r="M2219" s="329"/>
      <c r="N2219" s="173" t="s">
        <v>679</v>
      </c>
      <c r="O2219" s="173"/>
      <c r="P2219" s="262" t="str">
        <f t="shared" si="1"/>
        <v>IN-BLR-ANANTA-VAV-1791_</v>
      </c>
      <c r="Q2219" s="173" t="s">
        <v>7668</v>
      </c>
      <c r="R2219" s="328" t="str">
        <f>IFS(C2219="","",C2219="n/a","N/A",LEN(C2219),Concatenate("{",char(34),"asset",char(34),":{",char(34),"guid",char(34),":",char(34),Q2219,char(34),",",char(34),"site",char(34),":",char(34),LOWER('2-Building'!$B$4),char(34),",",char(34),"name",char(34),":",char(34),LOWER(C2219),char(34),"}}"))</f>
        <v>{"asset":{"guid":"uuid://56343e58-220d-4f4c-8b62-65453b2f1adc","site":"in-blr-ananta","name":"vav-1791"}}</v>
      </c>
      <c r="S2219" s="360" t="s">
        <v>5516</v>
      </c>
      <c r="T2219" s="330"/>
      <c r="U2219" s="330"/>
      <c r="V2219" s="331"/>
      <c r="W2219" s="332"/>
      <c r="X2219" s="333"/>
      <c r="Y2219" s="33" t="s">
        <v>2867</v>
      </c>
      <c r="Z2219" s="258">
        <v>121791.0</v>
      </c>
      <c r="AA2219" s="333"/>
      <c r="AB2219" s="333"/>
      <c r="AC2219" s="333"/>
      <c r="AD2219" s="329"/>
      <c r="AE2219" s="362" t="s">
        <v>685</v>
      </c>
      <c r="AF2219" s="336"/>
      <c r="AG2219" s="337"/>
      <c r="AH2219" s="333"/>
      <c r="AI2219" s="333"/>
      <c r="AJ2219" s="333"/>
      <c r="AK2219" s="328" t="s">
        <v>2017</v>
      </c>
      <c r="AL2219" s="328" t="s">
        <v>688</v>
      </c>
      <c r="AM2219" s="338"/>
      <c r="AN2219" s="333"/>
      <c r="AO2219" s="333"/>
      <c r="AP2219" s="333"/>
      <c r="AQ2219" s="333"/>
      <c r="AR2219" s="333"/>
      <c r="AS2219" s="333"/>
      <c r="AT2219" s="333"/>
      <c r="AU2219" s="329"/>
      <c r="AV2219" s="341"/>
      <c r="AW2219" s="269"/>
      <c r="AX2219" s="334" t="s">
        <v>2869</v>
      </c>
      <c r="AY2219" s="270" t="s">
        <v>695</v>
      </c>
      <c r="AZ2219" s="173" t="s">
        <v>5516</v>
      </c>
      <c r="BA2219" s="265">
        <v>10.0</v>
      </c>
      <c r="BB2219" s="174" t="s">
        <v>245</v>
      </c>
      <c r="BC2219" s="341"/>
      <c r="BD2219" s="308"/>
      <c r="BE2219" s="342"/>
      <c r="BF2219" s="274" t="str">
        <f>IFERROR(__xludf.DUMMYFUNCTION("LOWER(Regexreplace(to_text(E2219),""[^A-Za-z0-9]"","""")&amp;""_""&amp;Regexreplace(to_text(F2219),""[^A-Za-z0-9]"",""""))"),"neptronic_evcbseries")</f>
        <v>neptronic_evcbseries</v>
      </c>
      <c r="BG2219" s="275" t="str">
        <f>IFERROR(__xludf.DUMMYFUNCTION("upper(Regexreplace(to_text(E2219),""[^A-Za-z0-9]"","""")&amp;""-""&amp;Regexreplace(to_text(F2219),""[^A-Za-z0-9]"",""""))"),"NEPTRONIC-EVCBSERIES")</f>
        <v>NEPTRONIC-EVCBSERIES</v>
      </c>
    </row>
    <row r="2220" ht="30.0" customHeight="1">
      <c r="A2220" s="258">
        <v>2212.0</v>
      </c>
      <c r="B2220" s="328" t="s">
        <v>670</v>
      </c>
      <c r="C2220" s="257" t="s">
        <v>7669</v>
      </c>
      <c r="D2220" s="173" t="s">
        <v>7669</v>
      </c>
      <c r="E2220" s="174" t="s">
        <v>2861</v>
      </c>
      <c r="F2220" s="173" t="s">
        <v>2862</v>
      </c>
      <c r="G2220" s="328" t="s">
        <v>673</v>
      </c>
      <c r="H2220" s="328" t="s">
        <v>2863</v>
      </c>
      <c r="I2220" s="258" t="s">
        <v>2864</v>
      </c>
      <c r="J2220" s="259"/>
      <c r="K2220" s="260"/>
      <c r="L2220" s="363"/>
      <c r="M2220" s="329"/>
      <c r="N2220" s="173" t="s">
        <v>679</v>
      </c>
      <c r="O2220" s="173"/>
      <c r="P2220" s="262" t="str">
        <f t="shared" si="1"/>
        <v>IN-BLR-ANANTA-VAV-1792_</v>
      </c>
      <c r="Q2220" s="173" t="s">
        <v>7670</v>
      </c>
      <c r="R2220" s="328" t="str">
        <f>IFS(C2220="","",C2220="n/a","N/A",LEN(C2220),Concatenate("{",char(34),"asset",char(34),":{",char(34),"guid",char(34),":",char(34),Q2220,char(34),",",char(34),"site",char(34),":",char(34),LOWER('2-Building'!$B$4),char(34),",",char(34),"name",char(34),":",char(34),LOWER(C2220),char(34),"}}"))</f>
        <v>{"asset":{"guid":"uuid://0b54b71c-29ba-4363-8bb6-069b995a7f6e","site":"in-blr-ananta","name":"vav-1792"}}</v>
      </c>
      <c r="S2220" s="360" t="s">
        <v>5516</v>
      </c>
      <c r="T2220" s="330"/>
      <c r="U2220" s="330"/>
      <c r="V2220" s="331"/>
      <c r="W2220" s="332"/>
      <c r="X2220" s="333"/>
      <c r="Y2220" s="33" t="s">
        <v>2867</v>
      </c>
      <c r="Z2220" s="258">
        <v>121792.0</v>
      </c>
      <c r="AA2220" s="333"/>
      <c r="AB2220" s="333"/>
      <c r="AC2220" s="333"/>
      <c r="AD2220" s="329"/>
      <c r="AE2220" s="362" t="s">
        <v>685</v>
      </c>
      <c r="AF2220" s="336"/>
      <c r="AG2220" s="337"/>
      <c r="AH2220" s="333"/>
      <c r="AI2220" s="333"/>
      <c r="AJ2220" s="333"/>
      <c r="AK2220" s="328" t="s">
        <v>2022</v>
      </c>
      <c r="AL2220" s="328" t="s">
        <v>688</v>
      </c>
      <c r="AM2220" s="338"/>
      <c r="AN2220" s="333"/>
      <c r="AO2220" s="333"/>
      <c r="AP2220" s="333"/>
      <c r="AQ2220" s="333"/>
      <c r="AR2220" s="333"/>
      <c r="AS2220" s="333"/>
      <c r="AT2220" s="333"/>
      <c r="AU2220" s="329"/>
      <c r="AV2220" s="341"/>
      <c r="AW2220" s="269"/>
      <c r="AX2220" s="334" t="s">
        <v>2869</v>
      </c>
      <c r="AY2220" s="270" t="s">
        <v>695</v>
      </c>
      <c r="AZ2220" s="173" t="s">
        <v>5516</v>
      </c>
      <c r="BA2220" s="265">
        <v>10.0</v>
      </c>
      <c r="BB2220" s="174" t="s">
        <v>245</v>
      </c>
      <c r="BC2220" s="341"/>
      <c r="BD2220" s="308"/>
      <c r="BE2220" s="342"/>
      <c r="BF2220" s="274" t="str">
        <f>IFERROR(__xludf.DUMMYFUNCTION("LOWER(Regexreplace(to_text(E2220),""[^A-Za-z0-9]"","""")&amp;""_""&amp;Regexreplace(to_text(F2220),""[^A-Za-z0-9]"",""""))"),"neptronic_evcbseries")</f>
        <v>neptronic_evcbseries</v>
      </c>
      <c r="BG2220" s="275" t="str">
        <f>IFERROR(__xludf.DUMMYFUNCTION("upper(Regexreplace(to_text(E2220),""[^A-Za-z0-9]"","""")&amp;""-""&amp;Regexreplace(to_text(F2220),""[^A-Za-z0-9]"",""""))"),"NEPTRONIC-EVCBSERIES")</f>
        <v>NEPTRONIC-EVCBSERIES</v>
      </c>
    </row>
    <row r="2221" ht="30.0" customHeight="1">
      <c r="A2221" s="173">
        <v>2213.0</v>
      </c>
      <c r="B2221" s="328" t="s">
        <v>670</v>
      </c>
      <c r="C2221" s="257" t="s">
        <v>7671</v>
      </c>
      <c r="D2221" s="173" t="s">
        <v>7671</v>
      </c>
      <c r="E2221" s="174" t="s">
        <v>2861</v>
      </c>
      <c r="F2221" s="173" t="s">
        <v>2862</v>
      </c>
      <c r="G2221" s="328" t="s">
        <v>673</v>
      </c>
      <c r="H2221" s="328" t="s">
        <v>2863</v>
      </c>
      <c r="I2221" s="258" t="s">
        <v>2864</v>
      </c>
      <c r="J2221" s="259"/>
      <c r="K2221" s="260"/>
      <c r="L2221" s="363"/>
      <c r="M2221" s="329"/>
      <c r="N2221" s="173" t="s">
        <v>679</v>
      </c>
      <c r="O2221" s="173"/>
      <c r="P2221" s="262" t="str">
        <f t="shared" si="1"/>
        <v>IN-BLR-ANANTA-VAV-1793_</v>
      </c>
      <c r="Q2221" s="173" t="s">
        <v>7672</v>
      </c>
      <c r="R2221" s="328" t="str">
        <f>IFS(C2221="","",C2221="n/a","N/A",LEN(C2221),Concatenate("{",char(34),"asset",char(34),":{",char(34),"guid",char(34),":",char(34),Q2221,char(34),",",char(34),"site",char(34),":",char(34),LOWER('2-Building'!$B$4),char(34),",",char(34),"name",char(34),":",char(34),LOWER(C2221),char(34),"}}"))</f>
        <v>{"asset":{"guid":"uuid://dcfeda11-72d9-4581-9126-bce41a6cea2e","site":"in-blr-ananta","name":"vav-1793"}}</v>
      </c>
      <c r="S2221" s="360" t="s">
        <v>5516</v>
      </c>
      <c r="T2221" s="330"/>
      <c r="U2221" s="330"/>
      <c r="V2221" s="331"/>
      <c r="W2221" s="332"/>
      <c r="X2221" s="333"/>
      <c r="Y2221" s="33" t="s">
        <v>2867</v>
      </c>
      <c r="Z2221" s="258">
        <v>121793.0</v>
      </c>
      <c r="AA2221" s="333"/>
      <c r="AB2221" s="333"/>
      <c r="AC2221" s="333"/>
      <c r="AD2221" s="329"/>
      <c r="AE2221" s="362" t="s">
        <v>685</v>
      </c>
      <c r="AF2221" s="336"/>
      <c r="AG2221" s="337"/>
      <c r="AH2221" s="333"/>
      <c r="AI2221" s="333"/>
      <c r="AJ2221" s="333"/>
      <c r="AK2221" s="328" t="s">
        <v>2027</v>
      </c>
      <c r="AL2221" s="328" t="s">
        <v>688</v>
      </c>
      <c r="AM2221" s="338"/>
      <c r="AN2221" s="333"/>
      <c r="AO2221" s="333"/>
      <c r="AP2221" s="333"/>
      <c r="AQ2221" s="333"/>
      <c r="AR2221" s="333"/>
      <c r="AS2221" s="333"/>
      <c r="AT2221" s="333"/>
      <c r="AU2221" s="329"/>
      <c r="AV2221" s="341"/>
      <c r="AW2221" s="269"/>
      <c r="AX2221" s="334" t="s">
        <v>2869</v>
      </c>
      <c r="AY2221" s="270" t="s">
        <v>695</v>
      </c>
      <c r="AZ2221" s="173" t="s">
        <v>5516</v>
      </c>
      <c r="BA2221" s="265">
        <v>10.0</v>
      </c>
      <c r="BB2221" s="174" t="s">
        <v>245</v>
      </c>
      <c r="BC2221" s="341"/>
      <c r="BD2221" s="308"/>
      <c r="BE2221" s="342"/>
      <c r="BF2221" s="274" t="str">
        <f>IFERROR(__xludf.DUMMYFUNCTION("LOWER(Regexreplace(to_text(E2221),""[^A-Za-z0-9]"","""")&amp;""_""&amp;Regexreplace(to_text(F2221),""[^A-Za-z0-9]"",""""))"),"neptronic_evcbseries")</f>
        <v>neptronic_evcbseries</v>
      </c>
      <c r="BG2221" s="275" t="str">
        <f>IFERROR(__xludf.DUMMYFUNCTION("upper(Regexreplace(to_text(E2221),""[^A-Za-z0-9]"","""")&amp;""-""&amp;Regexreplace(to_text(F2221),""[^A-Za-z0-9]"",""""))"),"NEPTRONIC-EVCBSERIES")</f>
        <v>NEPTRONIC-EVCBSERIES</v>
      </c>
    </row>
    <row r="2222" ht="30.0" customHeight="1">
      <c r="A2222" s="258">
        <v>2214.0</v>
      </c>
      <c r="B2222" s="328" t="s">
        <v>670</v>
      </c>
      <c r="C2222" s="257" t="s">
        <v>7673</v>
      </c>
      <c r="D2222" s="173" t="s">
        <v>7673</v>
      </c>
      <c r="E2222" s="174" t="s">
        <v>2861</v>
      </c>
      <c r="F2222" s="173" t="s">
        <v>2862</v>
      </c>
      <c r="G2222" s="328" t="s">
        <v>673</v>
      </c>
      <c r="H2222" s="328" t="s">
        <v>2863</v>
      </c>
      <c r="I2222" s="258" t="s">
        <v>2864</v>
      </c>
      <c r="J2222" s="259"/>
      <c r="K2222" s="260"/>
      <c r="L2222" s="363"/>
      <c r="M2222" s="329"/>
      <c r="N2222" s="173" t="s">
        <v>679</v>
      </c>
      <c r="O2222" s="173"/>
      <c r="P2222" s="262" t="str">
        <f t="shared" si="1"/>
        <v>IN-BLR-ANANTA-VAV-1794_</v>
      </c>
      <c r="Q2222" s="173" t="s">
        <v>7674</v>
      </c>
      <c r="R2222" s="328" t="str">
        <f>IFS(C2222="","",C2222="n/a","N/A",LEN(C2222),Concatenate("{",char(34),"asset",char(34),":{",char(34),"guid",char(34),":",char(34),Q2222,char(34),",",char(34),"site",char(34),":",char(34),LOWER('2-Building'!$B$4),char(34),",",char(34),"name",char(34),":",char(34),LOWER(C2222),char(34),"}}"))</f>
        <v>{"asset":{"guid":"uuid://31a0b51b-5384-4d30-8c08-3af2cdf3f0cf","site":"in-blr-ananta","name":"vav-1794"}}</v>
      </c>
      <c r="S2222" s="360" t="s">
        <v>5516</v>
      </c>
      <c r="T2222" s="330"/>
      <c r="U2222" s="330"/>
      <c r="V2222" s="331"/>
      <c r="W2222" s="332"/>
      <c r="X2222" s="333"/>
      <c r="Y2222" s="33" t="s">
        <v>2867</v>
      </c>
      <c r="Z2222" s="258">
        <v>121794.0</v>
      </c>
      <c r="AA2222" s="333"/>
      <c r="AB2222" s="333"/>
      <c r="AC2222" s="333"/>
      <c r="AD2222" s="329"/>
      <c r="AE2222" s="362" t="s">
        <v>685</v>
      </c>
      <c r="AF2222" s="336"/>
      <c r="AG2222" s="337"/>
      <c r="AH2222" s="333"/>
      <c r="AI2222" s="333"/>
      <c r="AJ2222" s="333"/>
      <c r="AK2222" s="328" t="s">
        <v>2032</v>
      </c>
      <c r="AL2222" s="328" t="s">
        <v>688</v>
      </c>
      <c r="AM2222" s="338"/>
      <c r="AN2222" s="333"/>
      <c r="AO2222" s="333"/>
      <c r="AP2222" s="333"/>
      <c r="AQ2222" s="333"/>
      <c r="AR2222" s="333"/>
      <c r="AS2222" s="333"/>
      <c r="AT2222" s="333"/>
      <c r="AU2222" s="329"/>
      <c r="AV2222" s="341"/>
      <c r="AW2222" s="269"/>
      <c r="AX2222" s="334" t="s">
        <v>2869</v>
      </c>
      <c r="AY2222" s="270" t="s">
        <v>695</v>
      </c>
      <c r="AZ2222" s="173" t="s">
        <v>5516</v>
      </c>
      <c r="BA2222" s="265">
        <v>10.0</v>
      </c>
      <c r="BB2222" s="174" t="s">
        <v>245</v>
      </c>
      <c r="BC2222" s="341"/>
      <c r="BD2222" s="308"/>
      <c r="BE2222" s="342"/>
      <c r="BF2222" s="274" t="str">
        <f>IFERROR(__xludf.DUMMYFUNCTION("LOWER(Regexreplace(to_text(E2222),""[^A-Za-z0-9]"","""")&amp;""_""&amp;Regexreplace(to_text(F2222),""[^A-Za-z0-9]"",""""))"),"neptronic_evcbseries")</f>
        <v>neptronic_evcbseries</v>
      </c>
      <c r="BG2222" s="275" t="str">
        <f>IFERROR(__xludf.DUMMYFUNCTION("upper(Regexreplace(to_text(E2222),""[^A-Za-z0-9]"","""")&amp;""-""&amp;Regexreplace(to_text(F2222),""[^A-Za-z0-9]"",""""))"),"NEPTRONIC-EVCBSERIES")</f>
        <v>NEPTRONIC-EVCBSERIES</v>
      </c>
    </row>
    <row r="2223" ht="30.0" customHeight="1">
      <c r="A2223" s="173">
        <v>2215.0</v>
      </c>
      <c r="B2223" s="328" t="s">
        <v>670</v>
      </c>
      <c r="C2223" s="257" t="s">
        <v>7675</v>
      </c>
      <c r="D2223" s="173" t="s">
        <v>7675</v>
      </c>
      <c r="E2223" s="174" t="s">
        <v>2861</v>
      </c>
      <c r="F2223" s="173" t="s">
        <v>2862</v>
      </c>
      <c r="G2223" s="328" t="s">
        <v>673</v>
      </c>
      <c r="H2223" s="328" t="s">
        <v>2863</v>
      </c>
      <c r="I2223" s="258" t="s">
        <v>2864</v>
      </c>
      <c r="J2223" s="259"/>
      <c r="K2223" s="260"/>
      <c r="L2223" s="363"/>
      <c r="M2223" s="329"/>
      <c r="N2223" s="173" t="s">
        <v>679</v>
      </c>
      <c r="O2223" s="173"/>
      <c r="P2223" s="262" t="str">
        <f t="shared" si="1"/>
        <v>IN-BLR-ANANTA-VAV-1795_</v>
      </c>
      <c r="Q2223" s="173" t="s">
        <v>7676</v>
      </c>
      <c r="R2223" s="328" t="str">
        <f>IFS(C2223="","",C2223="n/a","N/A",LEN(C2223),Concatenate("{",char(34),"asset",char(34),":{",char(34),"guid",char(34),":",char(34),Q2223,char(34),",",char(34),"site",char(34),":",char(34),LOWER('2-Building'!$B$4),char(34),",",char(34),"name",char(34),":",char(34),LOWER(C2223),char(34),"}}"))</f>
        <v>{"asset":{"guid":"uuid://4aeddb84-466a-4d07-9401-d0c10d1aa4ff","site":"in-blr-ananta","name":"vav-1795"}}</v>
      </c>
      <c r="S2223" s="360" t="s">
        <v>5516</v>
      </c>
      <c r="T2223" s="330"/>
      <c r="U2223" s="330"/>
      <c r="V2223" s="331"/>
      <c r="W2223" s="332"/>
      <c r="X2223" s="333"/>
      <c r="Y2223" s="33" t="s">
        <v>2867</v>
      </c>
      <c r="Z2223" s="258">
        <v>121795.0</v>
      </c>
      <c r="AA2223" s="333"/>
      <c r="AB2223" s="333"/>
      <c r="AC2223" s="333"/>
      <c r="AD2223" s="329"/>
      <c r="AE2223" s="362" t="s">
        <v>685</v>
      </c>
      <c r="AF2223" s="336"/>
      <c r="AG2223" s="337"/>
      <c r="AH2223" s="333"/>
      <c r="AI2223" s="333"/>
      <c r="AJ2223" s="333"/>
      <c r="AK2223" s="328" t="s">
        <v>2037</v>
      </c>
      <c r="AL2223" s="328" t="s">
        <v>688</v>
      </c>
      <c r="AM2223" s="338"/>
      <c r="AN2223" s="333"/>
      <c r="AO2223" s="333"/>
      <c r="AP2223" s="333"/>
      <c r="AQ2223" s="333"/>
      <c r="AR2223" s="333"/>
      <c r="AS2223" s="333"/>
      <c r="AT2223" s="333"/>
      <c r="AU2223" s="329"/>
      <c r="AV2223" s="341"/>
      <c r="AW2223" s="269"/>
      <c r="AX2223" s="334" t="s">
        <v>2869</v>
      </c>
      <c r="AY2223" s="270" t="s">
        <v>695</v>
      </c>
      <c r="AZ2223" s="173" t="s">
        <v>5516</v>
      </c>
      <c r="BA2223" s="265">
        <v>10.0</v>
      </c>
      <c r="BB2223" s="174" t="s">
        <v>245</v>
      </c>
      <c r="BC2223" s="341"/>
      <c r="BD2223" s="308"/>
      <c r="BE2223" s="342"/>
      <c r="BF2223" s="274" t="str">
        <f>IFERROR(__xludf.DUMMYFUNCTION("LOWER(Regexreplace(to_text(E2223),""[^A-Za-z0-9]"","""")&amp;""_""&amp;Regexreplace(to_text(F2223),""[^A-Za-z0-9]"",""""))"),"neptronic_evcbseries")</f>
        <v>neptronic_evcbseries</v>
      </c>
      <c r="BG2223" s="275" t="str">
        <f>IFERROR(__xludf.DUMMYFUNCTION("upper(Regexreplace(to_text(E2223),""[^A-Za-z0-9]"","""")&amp;""-""&amp;Regexreplace(to_text(F2223),""[^A-Za-z0-9]"",""""))"),"NEPTRONIC-EVCBSERIES")</f>
        <v>NEPTRONIC-EVCBSERIES</v>
      </c>
    </row>
    <row r="2224" ht="30.0" customHeight="1">
      <c r="A2224" s="258">
        <v>2216.0</v>
      </c>
      <c r="B2224" s="328" t="s">
        <v>670</v>
      </c>
      <c r="C2224" s="257" t="s">
        <v>7677</v>
      </c>
      <c r="D2224" s="173" t="s">
        <v>7677</v>
      </c>
      <c r="E2224" s="174" t="s">
        <v>2861</v>
      </c>
      <c r="F2224" s="173" t="s">
        <v>2862</v>
      </c>
      <c r="G2224" s="328" t="s">
        <v>673</v>
      </c>
      <c r="H2224" s="328" t="s">
        <v>2863</v>
      </c>
      <c r="I2224" s="258" t="s">
        <v>2864</v>
      </c>
      <c r="J2224" s="259"/>
      <c r="K2224" s="260"/>
      <c r="L2224" s="363"/>
      <c r="M2224" s="329"/>
      <c r="N2224" s="173" t="s">
        <v>679</v>
      </c>
      <c r="O2224" s="173"/>
      <c r="P2224" s="262" t="str">
        <f t="shared" si="1"/>
        <v>IN-BLR-ANANTA-VAV-1796_</v>
      </c>
      <c r="Q2224" s="173" t="s">
        <v>7678</v>
      </c>
      <c r="R2224" s="328" t="str">
        <f>IFS(C2224="","",C2224="n/a","N/A",LEN(C2224),Concatenate("{",char(34),"asset",char(34),":{",char(34),"guid",char(34),":",char(34),Q2224,char(34),",",char(34),"site",char(34),":",char(34),LOWER('2-Building'!$B$4),char(34),",",char(34),"name",char(34),":",char(34),LOWER(C2224),char(34),"}}"))</f>
        <v>{"asset":{"guid":"uuid://646667eb-4d1d-474f-b85d-406e7af9bd93","site":"in-blr-ananta","name":"vav-1796"}}</v>
      </c>
      <c r="S2224" s="360" t="s">
        <v>5516</v>
      </c>
      <c r="T2224" s="330"/>
      <c r="U2224" s="330"/>
      <c r="V2224" s="331"/>
      <c r="W2224" s="332"/>
      <c r="X2224" s="333"/>
      <c r="Y2224" s="33" t="s">
        <v>2867</v>
      </c>
      <c r="Z2224" s="258">
        <v>121796.0</v>
      </c>
      <c r="AA2224" s="333"/>
      <c r="AB2224" s="333"/>
      <c r="AC2224" s="333"/>
      <c r="AD2224" s="329"/>
      <c r="AE2224" s="362" t="s">
        <v>685</v>
      </c>
      <c r="AF2224" s="336"/>
      <c r="AG2224" s="337"/>
      <c r="AH2224" s="333"/>
      <c r="AI2224" s="333"/>
      <c r="AJ2224" s="333"/>
      <c r="AK2224" s="328" t="s">
        <v>2042</v>
      </c>
      <c r="AL2224" s="328" t="s">
        <v>688</v>
      </c>
      <c r="AM2224" s="338"/>
      <c r="AN2224" s="333"/>
      <c r="AO2224" s="333"/>
      <c r="AP2224" s="333"/>
      <c r="AQ2224" s="333"/>
      <c r="AR2224" s="333"/>
      <c r="AS2224" s="333"/>
      <c r="AT2224" s="333"/>
      <c r="AU2224" s="329"/>
      <c r="AV2224" s="341"/>
      <c r="AW2224" s="269"/>
      <c r="AX2224" s="334" t="s">
        <v>2869</v>
      </c>
      <c r="AY2224" s="270" t="s">
        <v>695</v>
      </c>
      <c r="AZ2224" s="173" t="s">
        <v>5516</v>
      </c>
      <c r="BA2224" s="265">
        <v>10.0</v>
      </c>
      <c r="BB2224" s="174" t="s">
        <v>245</v>
      </c>
      <c r="BC2224" s="341"/>
      <c r="BD2224" s="308"/>
      <c r="BE2224" s="342"/>
      <c r="BF2224" s="274" t="str">
        <f>IFERROR(__xludf.DUMMYFUNCTION("LOWER(Regexreplace(to_text(E2224),""[^A-Za-z0-9]"","""")&amp;""_""&amp;Regexreplace(to_text(F2224),""[^A-Za-z0-9]"",""""))"),"neptronic_evcbseries")</f>
        <v>neptronic_evcbseries</v>
      </c>
      <c r="BG2224" s="275" t="str">
        <f>IFERROR(__xludf.DUMMYFUNCTION("upper(Regexreplace(to_text(E2224),""[^A-Za-z0-9]"","""")&amp;""-""&amp;Regexreplace(to_text(F2224),""[^A-Za-z0-9]"",""""))"),"NEPTRONIC-EVCBSERIES")</f>
        <v>NEPTRONIC-EVCBSERIES</v>
      </c>
    </row>
    <row r="2225" ht="30.0" customHeight="1">
      <c r="A2225" s="173">
        <v>2217.0</v>
      </c>
      <c r="B2225" s="328" t="s">
        <v>670</v>
      </c>
      <c r="C2225" s="257" t="s">
        <v>7679</v>
      </c>
      <c r="D2225" s="173" t="s">
        <v>7679</v>
      </c>
      <c r="E2225" s="174" t="s">
        <v>2861</v>
      </c>
      <c r="F2225" s="173" t="s">
        <v>2862</v>
      </c>
      <c r="G2225" s="328" t="s">
        <v>673</v>
      </c>
      <c r="H2225" s="328" t="s">
        <v>2863</v>
      </c>
      <c r="I2225" s="258" t="s">
        <v>2864</v>
      </c>
      <c r="J2225" s="259"/>
      <c r="K2225" s="260"/>
      <c r="L2225" s="363"/>
      <c r="M2225" s="329"/>
      <c r="N2225" s="173" t="s">
        <v>679</v>
      </c>
      <c r="O2225" s="173"/>
      <c r="P2225" s="262" t="str">
        <f t="shared" si="1"/>
        <v>IN-BLR-ANANTA-VAV-1797_</v>
      </c>
      <c r="Q2225" s="173" t="s">
        <v>7680</v>
      </c>
      <c r="R2225" s="328" t="str">
        <f>IFS(C2225="","",C2225="n/a","N/A",LEN(C2225),Concatenate("{",char(34),"asset",char(34),":{",char(34),"guid",char(34),":",char(34),Q2225,char(34),",",char(34),"site",char(34),":",char(34),LOWER('2-Building'!$B$4),char(34),",",char(34),"name",char(34),":",char(34),LOWER(C2225),char(34),"}}"))</f>
        <v>{"asset":{"guid":"uuid://e7cfa322-fe71-4016-b737-4275364aae39","site":"in-blr-ananta","name":"vav-1797"}}</v>
      </c>
      <c r="S2225" s="360" t="s">
        <v>5516</v>
      </c>
      <c r="T2225" s="330"/>
      <c r="U2225" s="330"/>
      <c r="V2225" s="331"/>
      <c r="W2225" s="332"/>
      <c r="X2225" s="333"/>
      <c r="Y2225" s="33" t="s">
        <v>2867</v>
      </c>
      <c r="Z2225" s="258">
        <v>121797.0</v>
      </c>
      <c r="AA2225" s="333"/>
      <c r="AB2225" s="333"/>
      <c r="AC2225" s="333"/>
      <c r="AD2225" s="329"/>
      <c r="AE2225" s="362" t="s">
        <v>685</v>
      </c>
      <c r="AF2225" s="336"/>
      <c r="AG2225" s="337"/>
      <c r="AH2225" s="333"/>
      <c r="AI2225" s="333"/>
      <c r="AJ2225" s="333"/>
      <c r="AK2225" s="328" t="s">
        <v>2047</v>
      </c>
      <c r="AL2225" s="328" t="s">
        <v>688</v>
      </c>
      <c r="AM2225" s="338"/>
      <c r="AN2225" s="333"/>
      <c r="AO2225" s="333"/>
      <c r="AP2225" s="333"/>
      <c r="AQ2225" s="333"/>
      <c r="AR2225" s="333"/>
      <c r="AS2225" s="333"/>
      <c r="AT2225" s="333"/>
      <c r="AU2225" s="329"/>
      <c r="AV2225" s="341"/>
      <c r="AW2225" s="269"/>
      <c r="AX2225" s="334" t="s">
        <v>2869</v>
      </c>
      <c r="AY2225" s="270" t="s">
        <v>695</v>
      </c>
      <c r="AZ2225" s="173" t="s">
        <v>5516</v>
      </c>
      <c r="BA2225" s="265">
        <v>10.0</v>
      </c>
      <c r="BB2225" s="174" t="s">
        <v>245</v>
      </c>
      <c r="BC2225" s="341"/>
      <c r="BD2225" s="308"/>
      <c r="BE2225" s="342"/>
      <c r="BF2225" s="274" t="str">
        <f>IFERROR(__xludf.DUMMYFUNCTION("LOWER(Regexreplace(to_text(E2225),""[^A-Za-z0-9]"","""")&amp;""_""&amp;Regexreplace(to_text(F2225),""[^A-Za-z0-9]"",""""))"),"neptronic_evcbseries")</f>
        <v>neptronic_evcbseries</v>
      </c>
      <c r="BG2225" s="275" t="str">
        <f>IFERROR(__xludf.DUMMYFUNCTION("upper(Regexreplace(to_text(E2225),""[^A-Za-z0-9]"","""")&amp;""-""&amp;Regexreplace(to_text(F2225),""[^A-Za-z0-9]"",""""))"),"NEPTRONIC-EVCBSERIES")</f>
        <v>NEPTRONIC-EVCBSERIES</v>
      </c>
    </row>
    <row r="2226" ht="30.0" customHeight="1">
      <c r="A2226" s="258">
        <v>2218.0</v>
      </c>
      <c r="B2226" s="328" t="s">
        <v>670</v>
      </c>
      <c r="C2226" s="257" t="s">
        <v>7681</v>
      </c>
      <c r="D2226" s="173" t="s">
        <v>7681</v>
      </c>
      <c r="E2226" s="174" t="s">
        <v>2861</v>
      </c>
      <c r="F2226" s="173" t="s">
        <v>2862</v>
      </c>
      <c r="G2226" s="328" t="s">
        <v>673</v>
      </c>
      <c r="H2226" s="328" t="s">
        <v>2863</v>
      </c>
      <c r="I2226" s="258" t="s">
        <v>2864</v>
      </c>
      <c r="J2226" s="259"/>
      <c r="K2226" s="260"/>
      <c r="L2226" s="363"/>
      <c r="M2226" s="329"/>
      <c r="N2226" s="173" t="s">
        <v>679</v>
      </c>
      <c r="O2226" s="173"/>
      <c r="P2226" s="262" t="str">
        <f t="shared" si="1"/>
        <v>IN-BLR-ANANTA-VAV-1798_</v>
      </c>
      <c r="Q2226" s="173" t="s">
        <v>7682</v>
      </c>
      <c r="R2226" s="328" t="str">
        <f>IFS(C2226="","",C2226="n/a","N/A",LEN(C2226),Concatenate("{",char(34),"asset",char(34),":{",char(34),"guid",char(34),":",char(34),Q2226,char(34),",",char(34),"site",char(34),":",char(34),LOWER('2-Building'!$B$4),char(34),",",char(34),"name",char(34),":",char(34),LOWER(C2226),char(34),"}}"))</f>
        <v>{"asset":{"guid":"uuid://3a74bebd-ccf0-43d6-aec1-eb282089c2b5","site":"in-blr-ananta","name":"vav-1798"}}</v>
      </c>
      <c r="S2226" s="360" t="s">
        <v>5516</v>
      </c>
      <c r="T2226" s="330"/>
      <c r="U2226" s="330"/>
      <c r="V2226" s="331"/>
      <c r="W2226" s="332"/>
      <c r="X2226" s="333"/>
      <c r="Y2226" s="33" t="s">
        <v>2867</v>
      </c>
      <c r="Z2226" s="258">
        <v>121798.0</v>
      </c>
      <c r="AA2226" s="333"/>
      <c r="AB2226" s="333"/>
      <c r="AC2226" s="333"/>
      <c r="AD2226" s="329"/>
      <c r="AE2226" s="362" t="s">
        <v>685</v>
      </c>
      <c r="AF2226" s="336"/>
      <c r="AG2226" s="337"/>
      <c r="AH2226" s="333"/>
      <c r="AI2226" s="333"/>
      <c r="AJ2226" s="333"/>
      <c r="AK2226" s="328" t="s">
        <v>2052</v>
      </c>
      <c r="AL2226" s="328" t="s">
        <v>688</v>
      </c>
      <c r="AM2226" s="338"/>
      <c r="AN2226" s="333"/>
      <c r="AO2226" s="333"/>
      <c r="AP2226" s="333"/>
      <c r="AQ2226" s="333"/>
      <c r="AR2226" s="333"/>
      <c r="AS2226" s="333"/>
      <c r="AT2226" s="333"/>
      <c r="AU2226" s="329"/>
      <c r="AV2226" s="341"/>
      <c r="AW2226" s="269"/>
      <c r="AX2226" s="334" t="s">
        <v>2869</v>
      </c>
      <c r="AY2226" s="270" t="s">
        <v>695</v>
      </c>
      <c r="AZ2226" s="173" t="s">
        <v>5516</v>
      </c>
      <c r="BA2226" s="265">
        <v>10.0</v>
      </c>
      <c r="BB2226" s="174" t="s">
        <v>245</v>
      </c>
      <c r="BC2226" s="341"/>
      <c r="BD2226" s="308"/>
      <c r="BE2226" s="342"/>
      <c r="BF2226" s="274" t="str">
        <f>IFERROR(__xludf.DUMMYFUNCTION("LOWER(Regexreplace(to_text(E2226),""[^A-Za-z0-9]"","""")&amp;""_""&amp;Regexreplace(to_text(F2226),""[^A-Za-z0-9]"",""""))"),"neptronic_evcbseries")</f>
        <v>neptronic_evcbseries</v>
      </c>
      <c r="BG2226" s="275" t="str">
        <f>IFERROR(__xludf.DUMMYFUNCTION("upper(Regexreplace(to_text(E2226),""[^A-Za-z0-9]"","""")&amp;""-""&amp;Regexreplace(to_text(F2226),""[^A-Za-z0-9]"",""""))"),"NEPTRONIC-EVCBSERIES")</f>
        <v>NEPTRONIC-EVCBSERIES</v>
      </c>
    </row>
    <row r="2227" ht="30.0" customHeight="1">
      <c r="A2227" s="173">
        <v>2219.0</v>
      </c>
      <c r="B2227" s="328" t="s">
        <v>670</v>
      </c>
      <c r="C2227" s="257" t="s">
        <v>7683</v>
      </c>
      <c r="D2227" s="173" t="s">
        <v>7683</v>
      </c>
      <c r="E2227" s="174" t="s">
        <v>2861</v>
      </c>
      <c r="F2227" s="173" t="s">
        <v>2862</v>
      </c>
      <c r="G2227" s="328" t="s">
        <v>673</v>
      </c>
      <c r="H2227" s="328" t="s">
        <v>2863</v>
      </c>
      <c r="I2227" s="258" t="s">
        <v>2864</v>
      </c>
      <c r="J2227" s="259"/>
      <c r="K2227" s="260"/>
      <c r="L2227" s="363"/>
      <c r="M2227" s="329"/>
      <c r="N2227" s="173" t="s">
        <v>679</v>
      </c>
      <c r="O2227" s="173"/>
      <c r="P2227" s="262" t="str">
        <f t="shared" si="1"/>
        <v>IN-BLR-ANANTA-VAV-1799_</v>
      </c>
      <c r="Q2227" s="173" t="s">
        <v>7684</v>
      </c>
      <c r="R2227" s="328" t="str">
        <f>IFS(C2227="","",C2227="n/a","N/A",LEN(C2227),Concatenate("{",char(34),"asset",char(34),":{",char(34),"guid",char(34),":",char(34),Q2227,char(34),",",char(34),"site",char(34),":",char(34),LOWER('2-Building'!$B$4),char(34),",",char(34),"name",char(34),":",char(34),LOWER(C2227),char(34),"}}"))</f>
        <v>{"asset":{"guid":"uuid://87394cd1-3cff-4218-b365-9c4efd6299aa","site":"in-blr-ananta","name":"vav-1799"}}</v>
      </c>
      <c r="S2227" s="360" t="s">
        <v>5516</v>
      </c>
      <c r="T2227" s="330"/>
      <c r="U2227" s="330"/>
      <c r="V2227" s="331"/>
      <c r="W2227" s="332"/>
      <c r="X2227" s="333"/>
      <c r="Y2227" s="33" t="s">
        <v>2867</v>
      </c>
      <c r="Z2227" s="258">
        <v>121799.0</v>
      </c>
      <c r="AA2227" s="333"/>
      <c r="AB2227" s="333"/>
      <c r="AC2227" s="333"/>
      <c r="AD2227" s="329"/>
      <c r="AE2227" s="362" t="s">
        <v>685</v>
      </c>
      <c r="AF2227" s="336"/>
      <c r="AG2227" s="337"/>
      <c r="AH2227" s="333"/>
      <c r="AI2227" s="333"/>
      <c r="AJ2227" s="333"/>
      <c r="AK2227" s="328" t="s">
        <v>2057</v>
      </c>
      <c r="AL2227" s="328" t="s">
        <v>688</v>
      </c>
      <c r="AM2227" s="338"/>
      <c r="AN2227" s="333"/>
      <c r="AO2227" s="333"/>
      <c r="AP2227" s="333"/>
      <c r="AQ2227" s="333"/>
      <c r="AR2227" s="333"/>
      <c r="AS2227" s="333"/>
      <c r="AT2227" s="333"/>
      <c r="AU2227" s="329"/>
      <c r="AV2227" s="341"/>
      <c r="AW2227" s="269"/>
      <c r="AX2227" s="334" t="s">
        <v>2869</v>
      </c>
      <c r="AY2227" s="270" t="s">
        <v>695</v>
      </c>
      <c r="AZ2227" s="173" t="s">
        <v>5516</v>
      </c>
      <c r="BA2227" s="265">
        <v>10.0</v>
      </c>
      <c r="BB2227" s="174" t="s">
        <v>245</v>
      </c>
      <c r="BC2227" s="341"/>
      <c r="BD2227" s="308"/>
      <c r="BE2227" s="342"/>
      <c r="BF2227" s="274" t="str">
        <f>IFERROR(__xludf.DUMMYFUNCTION("LOWER(Regexreplace(to_text(E2227),""[^A-Za-z0-9]"","""")&amp;""_""&amp;Regexreplace(to_text(F2227),""[^A-Za-z0-9]"",""""))"),"neptronic_evcbseries")</f>
        <v>neptronic_evcbseries</v>
      </c>
      <c r="BG2227" s="275" t="str">
        <f>IFERROR(__xludf.DUMMYFUNCTION("upper(Regexreplace(to_text(E2227),""[^A-Za-z0-9]"","""")&amp;""-""&amp;Regexreplace(to_text(F2227),""[^A-Za-z0-9]"",""""))"),"NEPTRONIC-EVCBSERIES")</f>
        <v>NEPTRONIC-EVCBSERIES</v>
      </c>
    </row>
    <row r="2228" ht="30.0" customHeight="1">
      <c r="A2228" s="258">
        <v>2220.0</v>
      </c>
      <c r="B2228" s="328" t="s">
        <v>670</v>
      </c>
      <c r="C2228" s="257" t="s">
        <v>7685</v>
      </c>
      <c r="D2228" s="173" t="s">
        <v>7685</v>
      </c>
      <c r="E2228" s="174" t="s">
        <v>2861</v>
      </c>
      <c r="F2228" s="173" t="s">
        <v>2862</v>
      </c>
      <c r="G2228" s="328" t="s">
        <v>673</v>
      </c>
      <c r="H2228" s="328" t="s">
        <v>2863</v>
      </c>
      <c r="I2228" s="258" t="s">
        <v>2864</v>
      </c>
      <c r="J2228" s="259"/>
      <c r="K2228" s="260"/>
      <c r="L2228" s="363"/>
      <c r="M2228" s="329"/>
      <c r="N2228" s="173" t="s">
        <v>679</v>
      </c>
      <c r="O2228" s="173"/>
      <c r="P2228" s="262" t="str">
        <f t="shared" si="1"/>
        <v>IN-BLR-ANANTA-VAV-1800_</v>
      </c>
      <c r="Q2228" s="173" t="s">
        <v>7686</v>
      </c>
      <c r="R2228" s="328" t="str">
        <f>IFS(C2228="","",C2228="n/a","N/A",LEN(C2228),Concatenate("{",char(34),"asset",char(34),":{",char(34),"guid",char(34),":",char(34),Q2228,char(34),",",char(34),"site",char(34),":",char(34),LOWER('2-Building'!$B$4),char(34),",",char(34),"name",char(34),":",char(34),LOWER(C2228),char(34),"}}"))</f>
        <v>{"asset":{"guid":"uuid://aee00a9a-817e-4ab7-a2c3-d9bc9d08e93d","site":"in-blr-ananta","name":"vav-1800"}}</v>
      </c>
      <c r="S2228" s="360" t="s">
        <v>5516</v>
      </c>
      <c r="T2228" s="330"/>
      <c r="U2228" s="330"/>
      <c r="V2228" s="331"/>
      <c r="W2228" s="332"/>
      <c r="X2228" s="333"/>
      <c r="Y2228" s="33" t="s">
        <v>2867</v>
      </c>
      <c r="Z2228" s="258">
        <v>121800.0</v>
      </c>
      <c r="AA2228" s="333"/>
      <c r="AB2228" s="333"/>
      <c r="AC2228" s="333"/>
      <c r="AD2228" s="329"/>
      <c r="AE2228" s="362" t="s">
        <v>685</v>
      </c>
      <c r="AF2228" s="336"/>
      <c r="AG2228" s="337"/>
      <c r="AH2228" s="333"/>
      <c r="AI2228" s="333"/>
      <c r="AJ2228" s="333"/>
      <c r="AK2228" s="328" t="s">
        <v>2062</v>
      </c>
      <c r="AL2228" s="328" t="s">
        <v>688</v>
      </c>
      <c r="AM2228" s="338"/>
      <c r="AN2228" s="333"/>
      <c r="AO2228" s="333"/>
      <c r="AP2228" s="333"/>
      <c r="AQ2228" s="333"/>
      <c r="AR2228" s="333"/>
      <c r="AS2228" s="333"/>
      <c r="AT2228" s="333"/>
      <c r="AU2228" s="329"/>
      <c r="AV2228" s="341"/>
      <c r="AW2228" s="269"/>
      <c r="AX2228" s="334" t="s">
        <v>2869</v>
      </c>
      <c r="AY2228" s="270" t="s">
        <v>695</v>
      </c>
      <c r="AZ2228" s="173" t="s">
        <v>5516</v>
      </c>
      <c r="BA2228" s="265">
        <v>10.0</v>
      </c>
      <c r="BB2228" s="174" t="s">
        <v>245</v>
      </c>
      <c r="BC2228" s="341"/>
      <c r="BD2228" s="308"/>
      <c r="BE2228" s="342"/>
      <c r="BF2228" s="274" t="str">
        <f>IFERROR(__xludf.DUMMYFUNCTION("LOWER(Regexreplace(to_text(E2228),""[^A-Za-z0-9]"","""")&amp;""_""&amp;Regexreplace(to_text(F2228),""[^A-Za-z0-9]"",""""))"),"neptronic_evcbseries")</f>
        <v>neptronic_evcbseries</v>
      </c>
      <c r="BG2228" s="275" t="str">
        <f>IFERROR(__xludf.DUMMYFUNCTION("upper(Regexreplace(to_text(E2228),""[^A-Za-z0-9]"","""")&amp;""-""&amp;Regexreplace(to_text(F2228),""[^A-Za-z0-9]"",""""))"),"NEPTRONIC-EVCBSERIES")</f>
        <v>NEPTRONIC-EVCBSERIES</v>
      </c>
    </row>
    <row r="2229" ht="30.0" customHeight="1">
      <c r="A2229" s="173">
        <v>2221.0</v>
      </c>
      <c r="B2229" s="328" t="s">
        <v>670</v>
      </c>
      <c r="C2229" s="257" t="s">
        <v>7687</v>
      </c>
      <c r="D2229" s="173" t="s">
        <v>7687</v>
      </c>
      <c r="E2229" s="174" t="s">
        <v>2861</v>
      </c>
      <c r="F2229" s="173" t="s">
        <v>2862</v>
      </c>
      <c r="G2229" s="328" t="s">
        <v>673</v>
      </c>
      <c r="H2229" s="328" t="s">
        <v>2863</v>
      </c>
      <c r="I2229" s="258" t="s">
        <v>2864</v>
      </c>
      <c r="J2229" s="259"/>
      <c r="K2229" s="260"/>
      <c r="L2229" s="363"/>
      <c r="M2229" s="329"/>
      <c r="N2229" s="173" t="s">
        <v>679</v>
      </c>
      <c r="O2229" s="173"/>
      <c r="P2229" s="262" t="str">
        <f t="shared" si="1"/>
        <v>IN-BLR-ANANTA-VAV-1801_</v>
      </c>
      <c r="Q2229" s="173" t="s">
        <v>7688</v>
      </c>
      <c r="R2229" s="328" t="str">
        <f>IFS(C2229="","",C2229="n/a","N/A",LEN(C2229),Concatenate("{",char(34),"asset",char(34),":{",char(34),"guid",char(34),":",char(34),Q2229,char(34),",",char(34),"site",char(34),":",char(34),LOWER('2-Building'!$B$4),char(34),",",char(34),"name",char(34),":",char(34),LOWER(C2229),char(34),"}}"))</f>
        <v>{"asset":{"guid":"uuid://1275456f-617b-446c-9f90-ebcdf4d4a386","site":"in-blr-ananta","name":"vav-1801"}}</v>
      </c>
      <c r="S2229" s="360" t="s">
        <v>5516</v>
      </c>
      <c r="T2229" s="330"/>
      <c r="U2229" s="330"/>
      <c r="V2229" s="331"/>
      <c r="W2229" s="332"/>
      <c r="X2229" s="333"/>
      <c r="Y2229" s="33" t="s">
        <v>2867</v>
      </c>
      <c r="Z2229" s="258">
        <v>121801.0</v>
      </c>
      <c r="AA2229" s="333"/>
      <c r="AB2229" s="333"/>
      <c r="AC2229" s="333"/>
      <c r="AD2229" s="329"/>
      <c r="AE2229" s="362" t="s">
        <v>685</v>
      </c>
      <c r="AF2229" s="336"/>
      <c r="AG2229" s="337"/>
      <c r="AH2229" s="333"/>
      <c r="AI2229" s="333"/>
      <c r="AJ2229" s="333"/>
      <c r="AK2229" s="328" t="s">
        <v>2067</v>
      </c>
      <c r="AL2229" s="328" t="s">
        <v>688</v>
      </c>
      <c r="AM2229" s="338"/>
      <c r="AN2229" s="333"/>
      <c r="AO2229" s="333"/>
      <c r="AP2229" s="333"/>
      <c r="AQ2229" s="333"/>
      <c r="AR2229" s="333"/>
      <c r="AS2229" s="333"/>
      <c r="AT2229" s="333"/>
      <c r="AU2229" s="329"/>
      <c r="AV2229" s="341"/>
      <c r="AW2229" s="269"/>
      <c r="AX2229" s="334" t="s">
        <v>2869</v>
      </c>
      <c r="AY2229" s="270" t="s">
        <v>695</v>
      </c>
      <c r="AZ2229" s="173" t="s">
        <v>5516</v>
      </c>
      <c r="BA2229" s="265">
        <v>10.0</v>
      </c>
      <c r="BB2229" s="174" t="s">
        <v>245</v>
      </c>
      <c r="BC2229" s="341"/>
      <c r="BD2229" s="308"/>
      <c r="BE2229" s="342"/>
      <c r="BF2229" s="274" t="str">
        <f>IFERROR(__xludf.DUMMYFUNCTION("LOWER(Regexreplace(to_text(E2229),""[^A-Za-z0-9]"","""")&amp;""_""&amp;Regexreplace(to_text(F2229),""[^A-Za-z0-9]"",""""))"),"neptronic_evcbseries")</f>
        <v>neptronic_evcbseries</v>
      </c>
      <c r="BG2229" s="275" t="str">
        <f>IFERROR(__xludf.DUMMYFUNCTION("upper(Regexreplace(to_text(E2229),""[^A-Za-z0-9]"","""")&amp;""-""&amp;Regexreplace(to_text(F2229),""[^A-Za-z0-9]"",""""))"),"NEPTRONIC-EVCBSERIES")</f>
        <v>NEPTRONIC-EVCBSERIES</v>
      </c>
    </row>
    <row r="2230" ht="30.0" customHeight="1">
      <c r="A2230" s="258">
        <v>2222.0</v>
      </c>
      <c r="B2230" s="328" t="s">
        <v>670</v>
      </c>
      <c r="C2230" s="257" t="s">
        <v>7689</v>
      </c>
      <c r="D2230" s="173" t="s">
        <v>7689</v>
      </c>
      <c r="E2230" s="174" t="s">
        <v>2861</v>
      </c>
      <c r="F2230" s="173" t="s">
        <v>2862</v>
      </c>
      <c r="G2230" s="328" t="s">
        <v>673</v>
      </c>
      <c r="H2230" s="328" t="s">
        <v>2863</v>
      </c>
      <c r="I2230" s="258" t="s">
        <v>2864</v>
      </c>
      <c r="J2230" s="259"/>
      <c r="K2230" s="260"/>
      <c r="L2230" s="363"/>
      <c r="M2230" s="329"/>
      <c r="N2230" s="173" t="s">
        <v>679</v>
      </c>
      <c r="O2230" s="173"/>
      <c r="P2230" s="262" t="str">
        <f t="shared" si="1"/>
        <v>IN-BLR-ANANTA-VAV-1802_</v>
      </c>
      <c r="Q2230" s="173" t="s">
        <v>7690</v>
      </c>
      <c r="R2230" s="328" t="str">
        <f>IFS(C2230="","",C2230="n/a","N/A",LEN(C2230),Concatenate("{",char(34),"asset",char(34),":{",char(34),"guid",char(34),":",char(34),Q2230,char(34),",",char(34),"site",char(34),":",char(34),LOWER('2-Building'!$B$4),char(34),",",char(34),"name",char(34),":",char(34),LOWER(C2230),char(34),"}}"))</f>
        <v>{"asset":{"guid":"uuid://aef3e087-2667-4bfd-9316-29ad7f0d5c4a","site":"in-blr-ananta","name":"vav-1802"}}</v>
      </c>
      <c r="S2230" s="360" t="s">
        <v>5516</v>
      </c>
      <c r="T2230" s="330"/>
      <c r="U2230" s="330"/>
      <c r="V2230" s="331"/>
      <c r="W2230" s="332"/>
      <c r="X2230" s="333"/>
      <c r="Y2230" s="33" t="s">
        <v>2867</v>
      </c>
      <c r="Z2230" s="258">
        <v>121802.0</v>
      </c>
      <c r="AA2230" s="333"/>
      <c r="AB2230" s="333"/>
      <c r="AC2230" s="333"/>
      <c r="AD2230" s="329"/>
      <c r="AE2230" s="362" t="s">
        <v>685</v>
      </c>
      <c r="AF2230" s="336"/>
      <c r="AG2230" s="337"/>
      <c r="AH2230" s="333"/>
      <c r="AI2230" s="333"/>
      <c r="AJ2230" s="333"/>
      <c r="AK2230" s="328" t="s">
        <v>2072</v>
      </c>
      <c r="AL2230" s="328" t="s">
        <v>688</v>
      </c>
      <c r="AM2230" s="338"/>
      <c r="AN2230" s="333"/>
      <c r="AO2230" s="333"/>
      <c r="AP2230" s="333"/>
      <c r="AQ2230" s="333"/>
      <c r="AR2230" s="333"/>
      <c r="AS2230" s="333"/>
      <c r="AT2230" s="333"/>
      <c r="AU2230" s="329"/>
      <c r="AV2230" s="341"/>
      <c r="AW2230" s="269"/>
      <c r="AX2230" s="334" t="s">
        <v>2869</v>
      </c>
      <c r="AY2230" s="270" t="s">
        <v>695</v>
      </c>
      <c r="AZ2230" s="173" t="s">
        <v>5516</v>
      </c>
      <c r="BA2230" s="265">
        <v>10.0</v>
      </c>
      <c r="BB2230" s="174" t="s">
        <v>245</v>
      </c>
      <c r="BC2230" s="341"/>
      <c r="BD2230" s="308"/>
      <c r="BE2230" s="342"/>
      <c r="BF2230" s="274" t="str">
        <f>IFERROR(__xludf.DUMMYFUNCTION("LOWER(Regexreplace(to_text(E2230),""[^A-Za-z0-9]"","""")&amp;""_""&amp;Regexreplace(to_text(F2230),""[^A-Za-z0-9]"",""""))"),"neptronic_evcbseries")</f>
        <v>neptronic_evcbseries</v>
      </c>
      <c r="BG2230" s="275" t="str">
        <f>IFERROR(__xludf.DUMMYFUNCTION("upper(Regexreplace(to_text(E2230),""[^A-Za-z0-9]"","""")&amp;""-""&amp;Regexreplace(to_text(F2230),""[^A-Za-z0-9]"",""""))"),"NEPTRONIC-EVCBSERIES")</f>
        <v>NEPTRONIC-EVCBSERIES</v>
      </c>
    </row>
    <row r="2231" ht="30.0" customHeight="1">
      <c r="A2231" s="173">
        <v>2223.0</v>
      </c>
      <c r="B2231" s="328" t="s">
        <v>670</v>
      </c>
      <c r="C2231" s="257" t="s">
        <v>7691</v>
      </c>
      <c r="D2231" s="173" t="s">
        <v>7691</v>
      </c>
      <c r="E2231" s="174" t="s">
        <v>2861</v>
      </c>
      <c r="F2231" s="173" t="s">
        <v>2862</v>
      </c>
      <c r="G2231" s="328" t="s">
        <v>673</v>
      </c>
      <c r="H2231" s="328" t="s">
        <v>2863</v>
      </c>
      <c r="I2231" s="258" t="s">
        <v>2864</v>
      </c>
      <c r="J2231" s="259"/>
      <c r="K2231" s="260"/>
      <c r="L2231" s="363"/>
      <c r="M2231" s="329"/>
      <c r="N2231" s="173" t="s">
        <v>679</v>
      </c>
      <c r="O2231" s="173"/>
      <c r="P2231" s="262" t="str">
        <f t="shared" si="1"/>
        <v>IN-BLR-ANANTA-VAV-1803_</v>
      </c>
      <c r="Q2231" s="173" t="s">
        <v>7692</v>
      </c>
      <c r="R2231" s="328" t="str">
        <f>IFS(C2231="","",C2231="n/a","N/A",LEN(C2231),Concatenate("{",char(34),"asset",char(34),":{",char(34),"guid",char(34),":",char(34),Q2231,char(34),",",char(34),"site",char(34),":",char(34),LOWER('2-Building'!$B$4),char(34),",",char(34),"name",char(34),":",char(34),LOWER(C2231),char(34),"}}"))</f>
        <v>{"asset":{"guid":"uuid://768a00ac-f111-4a3e-9464-f2c6d105af8e","site":"in-blr-ananta","name":"vav-1803"}}</v>
      </c>
      <c r="S2231" s="360" t="s">
        <v>5516</v>
      </c>
      <c r="T2231" s="330"/>
      <c r="U2231" s="330"/>
      <c r="V2231" s="331"/>
      <c r="W2231" s="332"/>
      <c r="X2231" s="333"/>
      <c r="Y2231" s="33" t="s">
        <v>2867</v>
      </c>
      <c r="Z2231" s="258">
        <v>121803.0</v>
      </c>
      <c r="AA2231" s="333"/>
      <c r="AB2231" s="333"/>
      <c r="AC2231" s="333"/>
      <c r="AD2231" s="329"/>
      <c r="AE2231" s="362" t="s">
        <v>685</v>
      </c>
      <c r="AF2231" s="336"/>
      <c r="AG2231" s="337"/>
      <c r="AH2231" s="333"/>
      <c r="AI2231" s="333"/>
      <c r="AJ2231" s="333"/>
      <c r="AK2231" s="328" t="s">
        <v>2077</v>
      </c>
      <c r="AL2231" s="328" t="s">
        <v>688</v>
      </c>
      <c r="AM2231" s="338"/>
      <c r="AN2231" s="333"/>
      <c r="AO2231" s="333"/>
      <c r="AP2231" s="333"/>
      <c r="AQ2231" s="333"/>
      <c r="AR2231" s="333"/>
      <c r="AS2231" s="333"/>
      <c r="AT2231" s="333"/>
      <c r="AU2231" s="329"/>
      <c r="AV2231" s="341"/>
      <c r="AW2231" s="269"/>
      <c r="AX2231" s="334" t="s">
        <v>2869</v>
      </c>
      <c r="AY2231" s="270" t="s">
        <v>695</v>
      </c>
      <c r="AZ2231" s="173" t="s">
        <v>5516</v>
      </c>
      <c r="BA2231" s="265">
        <v>10.0</v>
      </c>
      <c r="BB2231" s="174" t="s">
        <v>245</v>
      </c>
      <c r="BC2231" s="341"/>
      <c r="BD2231" s="308"/>
      <c r="BE2231" s="342"/>
      <c r="BF2231" s="274" t="str">
        <f>IFERROR(__xludf.DUMMYFUNCTION("LOWER(Regexreplace(to_text(E2231),""[^A-Za-z0-9]"","""")&amp;""_""&amp;Regexreplace(to_text(F2231),""[^A-Za-z0-9]"",""""))"),"neptronic_evcbseries")</f>
        <v>neptronic_evcbseries</v>
      </c>
      <c r="BG2231" s="275" t="str">
        <f>IFERROR(__xludf.DUMMYFUNCTION("upper(Regexreplace(to_text(E2231),""[^A-Za-z0-9]"","""")&amp;""-""&amp;Regexreplace(to_text(F2231),""[^A-Za-z0-9]"",""""))"),"NEPTRONIC-EVCBSERIES")</f>
        <v>NEPTRONIC-EVCBSERIES</v>
      </c>
    </row>
    <row r="2232" ht="30.0" customHeight="1">
      <c r="A2232" s="258">
        <v>2224.0</v>
      </c>
      <c r="B2232" s="328" t="s">
        <v>670</v>
      </c>
      <c r="C2232" s="257" t="s">
        <v>7693</v>
      </c>
      <c r="D2232" s="173" t="s">
        <v>7693</v>
      </c>
      <c r="E2232" s="174" t="s">
        <v>2861</v>
      </c>
      <c r="F2232" s="173" t="s">
        <v>2862</v>
      </c>
      <c r="G2232" s="328" t="s">
        <v>673</v>
      </c>
      <c r="H2232" s="328" t="s">
        <v>2863</v>
      </c>
      <c r="I2232" s="258" t="s">
        <v>2864</v>
      </c>
      <c r="J2232" s="259"/>
      <c r="K2232" s="260"/>
      <c r="L2232" s="363"/>
      <c r="M2232" s="329"/>
      <c r="N2232" s="173" t="s">
        <v>679</v>
      </c>
      <c r="O2232" s="173"/>
      <c r="P2232" s="262" t="str">
        <f t="shared" si="1"/>
        <v>IN-BLR-ANANTA-VAV-1804_</v>
      </c>
      <c r="Q2232" s="173" t="s">
        <v>7694</v>
      </c>
      <c r="R2232" s="328" t="str">
        <f>IFS(C2232="","",C2232="n/a","N/A",LEN(C2232),Concatenate("{",char(34),"asset",char(34),":{",char(34),"guid",char(34),":",char(34),Q2232,char(34),",",char(34),"site",char(34),":",char(34),LOWER('2-Building'!$B$4),char(34),",",char(34),"name",char(34),":",char(34),LOWER(C2232),char(34),"}}"))</f>
        <v>{"asset":{"guid":"uuid://035ebc0d-6bc6-4407-8a34-7ac21ed440f4","site":"in-blr-ananta","name":"vav-1804"}}</v>
      </c>
      <c r="S2232" s="360" t="s">
        <v>5516</v>
      </c>
      <c r="T2232" s="330"/>
      <c r="U2232" s="330"/>
      <c r="V2232" s="331"/>
      <c r="W2232" s="332"/>
      <c r="X2232" s="333"/>
      <c r="Y2232" s="33" t="s">
        <v>2867</v>
      </c>
      <c r="Z2232" s="258">
        <v>121804.0</v>
      </c>
      <c r="AA2232" s="333"/>
      <c r="AB2232" s="333"/>
      <c r="AC2232" s="333"/>
      <c r="AD2232" s="329"/>
      <c r="AE2232" s="362" t="s">
        <v>685</v>
      </c>
      <c r="AF2232" s="336"/>
      <c r="AG2232" s="337"/>
      <c r="AH2232" s="333"/>
      <c r="AI2232" s="333"/>
      <c r="AJ2232" s="333"/>
      <c r="AK2232" s="328" t="s">
        <v>2083</v>
      </c>
      <c r="AL2232" s="328" t="s">
        <v>688</v>
      </c>
      <c r="AM2232" s="338"/>
      <c r="AN2232" s="333"/>
      <c r="AO2232" s="333"/>
      <c r="AP2232" s="333"/>
      <c r="AQ2232" s="333"/>
      <c r="AR2232" s="333"/>
      <c r="AS2232" s="333"/>
      <c r="AT2232" s="333"/>
      <c r="AU2232" s="329"/>
      <c r="AV2232" s="341"/>
      <c r="AW2232" s="269"/>
      <c r="AX2232" s="334" t="s">
        <v>2869</v>
      </c>
      <c r="AY2232" s="270" t="s">
        <v>695</v>
      </c>
      <c r="AZ2232" s="173" t="s">
        <v>5516</v>
      </c>
      <c r="BA2232" s="265">
        <v>10.0</v>
      </c>
      <c r="BB2232" s="174" t="s">
        <v>245</v>
      </c>
      <c r="BC2232" s="341"/>
      <c r="BD2232" s="308"/>
      <c r="BE2232" s="342"/>
      <c r="BF2232" s="274" t="str">
        <f>IFERROR(__xludf.DUMMYFUNCTION("LOWER(Regexreplace(to_text(E2232),""[^A-Za-z0-9]"","""")&amp;""_""&amp;Regexreplace(to_text(F2232),""[^A-Za-z0-9]"",""""))"),"neptronic_evcbseries")</f>
        <v>neptronic_evcbseries</v>
      </c>
      <c r="BG2232" s="275" t="str">
        <f>IFERROR(__xludf.DUMMYFUNCTION("upper(Regexreplace(to_text(E2232),""[^A-Za-z0-9]"","""")&amp;""-""&amp;Regexreplace(to_text(F2232),""[^A-Za-z0-9]"",""""))"),"NEPTRONIC-EVCBSERIES")</f>
        <v>NEPTRONIC-EVCBSERIES</v>
      </c>
    </row>
    <row r="2233" ht="30.0" customHeight="1">
      <c r="A2233" s="173">
        <v>2225.0</v>
      </c>
      <c r="B2233" s="328" t="s">
        <v>670</v>
      </c>
      <c r="C2233" s="257" t="s">
        <v>7695</v>
      </c>
      <c r="D2233" s="173" t="s">
        <v>7695</v>
      </c>
      <c r="E2233" s="174" t="s">
        <v>2861</v>
      </c>
      <c r="F2233" s="173" t="s">
        <v>2862</v>
      </c>
      <c r="G2233" s="328" t="s">
        <v>673</v>
      </c>
      <c r="H2233" s="328" t="s">
        <v>2863</v>
      </c>
      <c r="I2233" s="258" t="s">
        <v>2864</v>
      </c>
      <c r="J2233" s="259"/>
      <c r="K2233" s="260"/>
      <c r="L2233" s="363"/>
      <c r="M2233" s="329"/>
      <c r="N2233" s="173" t="s">
        <v>679</v>
      </c>
      <c r="O2233" s="173"/>
      <c r="P2233" s="262" t="str">
        <f t="shared" si="1"/>
        <v>IN-BLR-ANANTA-VAV-1805_</v>
      </c>
      <c r="Q2233" s="173" t="s">
        <v>7696</v>
      </c>
      <c r="R2233" s="328" t="str">
        <f>IFS(C2233="","",C2233="n/a","N/A",LEN(C2233),Concatenate("{",char(34),"asset",char(34),":{",char(34),"guid",char(34),":",char(34),Q2233,char(34),",",char(34),"site",char(34),":",char(34),LOWER('2-Building'!$B$4),char(34),",",char(34),"name",char(34),":",char(34),LOWER(C2233),char(34),"}}"))</f>
        <v>{"asset":{"guid":"uuid://6938e252-0fd6-444d-af5c-bb8f3f7f45ba","site":"in-blr-ananta","name":"vav-1805"}}</v>
      </c>
      <c r="S2233" s="360" t="s">
        <v>5516</v>
      </c>
      <c r="T2233" s="330"/>
      <c r="U2233" s="330"/>
      <c r="V2233" s="331"/>
      <c r="W2233" s="332"/>
      <c r="X2233" s="333"/>
      <c r="Y2233" s="33" t="s">
        <v>2867</v>
      </c>
      <c r="Z2233" s="258">
        <v>121805.0</v>
      </c>
      <c r="AA2233" s="333"/>
      <c r="AB2233" s="333"/>
      <c r="AC2233" s="333"/>
      <c r="AD2233" s="329"/>
      <c r="AE2233" s="362" t="s">
        <v>685</v>
      </c>
      <c r="AF2233" s="336"/>
      <c r="AG2233" s="337"/>
      <c r="AH2233" s="333"/>
      <c r="AI2233" s="333"/>
      <c r="AJ2233" s="333"/>
      <c r="AK2233" s="328" t="s">
        <v>2088</v>
      </c>
      <c r="AL2233" s="328" t="s">
        <v>688</v>
      </c>
      <c r="AM2233" s="338"/>
      <c r="AN2233" s="333"/>
      <c r="AO2233" s="333"/>
      <c r="AP2233" s="333"/>
      <c r="AQ2233" s="333"/>
      <c r="AR2233" s="333"/>
      <c r="AS2233" s="333"/>
      <c r="AT2233" s="333"/>
      <c r="AU2233" s="329"/>
      <c r="AV2233" s="341"/>
      <c r="AW2233" s="269"/>
      <c r="AX2233" s="334" t="s">
        <v>2869</v>
      </c>
      <c r="AY2233" s="270" t="s">
        <v>695</v>
      </c>
      <c r="AZ2233" s="173" t="s">
        <v>5516</v>
      </c>
      <c r="BA2233" s="265">
        <v>10.0</v>
      </c>
      <c r="BB2233" s="174" t="s">
        <v>245</v>
      </c>
      <c r="BC2233" s="341"/>
      <c r="BD2233" s="308"/>
      <c r="BE2233" s="342"/>
      <c r="BF2233" s="274" t="str">
        <f>IFERROR(__xludf.DUMMYFUNCTION("LOWER(Regexreplace(to_text(E2233),""[^A-Za-z0-9]"","""")&amp;""_""&amp;Regexreplace(to_text(F2233),""[^A-Za-z0-9]"",""""))"),"neptronic_evcbseries")</f>
        <v>neptronic_evcbseries</v>
      </c>
      <c r="BG2233" s="275" t="str">
        <f>IFERROR(__xludf.DUMMYFUNCTION("upper(Regexreplace(to_text(E2233),""[^A-Za-z0-9]"","""")&amp;""-""&amp;Regexreplace(to_text(F2233),""[^A-Za-z0-9]"",""""))"),"NEPTRONIC-EVCBSERIES")</f>
        <v>NEPTRONIC-EVCBSERIES</v>
      </c>
    </row>
    <row r="2234" ht="30.0" customHeight="1">
      <c r="A2234" s="258">
        <v>2226.0</v>
      </c>
      <c r="B2234" s="328" t="s">
        <v>670</v>
      </c>
      <c r="C2234" s="257" t="s">
        <v>7697</v>
      </c>
      <c r="D2234" s="173" t="s">
        <v>7697</v>
      </c>
      <c r="E2234" s="174" t="s">
        <v>2861</v>
      </c>
      <c r="F2234" s="173" t="s">
        <v>2862</v>
      </c>
      <c r="G2234" s="328" t="s">
        <v>673</v>
      </c>
      <c r="H2234" s="328" t="s">
        <v>2863</v>
      </c>
      <c r="I2234" s="258" t="s">
        <v>2864</v>
      </c>
      <c r="J2234" s="259"/>
      <c r="K2234" s="260"/>
      <c r="L2234" s="363"/>
      <c r="M2234" s="329"/>
      <c r="N2234" s="173" t="s">
        <v>679</v>
      </c>
      <c r="O2234" s="173"/>
      <c r="P2234" s="262" t="str">
        <f t="shared" si="1"/>
        <v>IN-BLR-ANANTA-VAV-1806_</v>
      </c>
      <c r="Q2234" s="173" t="s">
        <v>7698</v>
      </c>
      <c r="R2234" s="328" t="str">
        <f>IFS(C2234="","",C2234="n/a","N/A",LEN(C2234),Concatenate("{",char(34),"asset",char(34),":{",char(34),"guid",char(34),":",char(34),Q2234,char(34),",",char(34),"site",char(34),":",char(34),LOWER('2-Building'!$B$4),char(34),",",char(34),"name",char(34),":",char(34),LOWER(C2234),char(34),"}}"))</f>
        <v>{"asset":{"guid":"uuid://059873aa-bbe4-4b2a-8d44-4f0087b1649b","site":"in-blr-ananta","name":"vav-1806"}}</v>
      </c>
      <c r="S2234" s="360" t="s">
        <v>5516</v>
      </c>
      <c r="T2234" s="330"/>
      <c r="U2234" s="330"/>
      <c r="V2234" s="331"/>
      <c r="W2234" s="332"/>
      <c r="X2234" s="333"/>
      <c r="Y2234" s="33" t="s">
        <v>2867</v>
      </c>
      <c r="Z2234" s="258">
        <v>121806.0</v>
      </c>
      <c r="AA2234" s="333"/>
      <c r="AB2234" s="333"/>
      <c r="AC2234" s="333"/>
      <c r="AD2234" s="329"/>
      <c r="AE2234" s="362" t="s">
        <v>685</v>
      </c>
      <c r="AF2234" s="336"/>
      <c r="AG2234" s="337"/>
      <c r="AH2234" s="333"/>
      <c r="AI2234" s="333"/>
      <c r="AJ2234" s="333"/>
      <c r="AK2234" s="328" t="s">
        <v>2093</v>
      </c>
      <c r="AL2234" s="328" t="s">
        <v>688</v>
      </c>
      <c r="AM2234" s="338"/>
      <c r="AN2234" s="333"/>
      <c r="AO2234" s="333"/>
      <c r="AP2234" s="333"/>
      <c r="AQ2234" s="333"/>
      <c r="AR2234" s="333"/>
      <c r="AS2234" s="333"/>
      <c r="AT2234" s="333"/>
      <c r="AU2234" s="329"/>
      <c r="AV2234" s="341"/>
      <c r="AW2234" s="269"/>
      <c r="AX2234" s="334" t="s">
        <v>2869</v>
      </c>
      <c r="AY2234" s="270" t="s">
        <v>695</v>
      </c>
      <c r="AZ2234" s="173" t="s">
        <v>5516</v>
      </c>
      <c r="BA2234" s="265">
        <v>10.0</v>
      </c>
      <c r="BB2234" s="174" t="s">
        <v>245</v>
      </c>
      <c r="BC2234" s="341"/>
      <c r="BD2234" s="308"/>
      <c r="BE2234" s="342"/>
      <c r="BF2234" s="274" t="str">
        <f>IFERROR(__xludf.DUMMYFUNCTION("LOWER(Regexreplace(to_text(E2234),""[^A-Za-z0-9]"","""")&amp;""_""&amp;Regexreplace(to_text(F2234),""[^A-Za-z0-9]"",""""))"),"neptronic_evcbseries")</f>
        <v>neptronic_evcbseries</v>
      </c>
      <c r="BG2234" s="275" t="str">
        <f>IFERROR(__xludf.DUMMYFUNCTION("upper(Regexreplace(to_text(E2234),""[^A-Za-z0-9]"","""")&amp;""-""&amp;Regexreplace(to_text(F2234),""[^A-Za-z0-9]"",""""))"),"NEPTRONIC-EVCBSERIES")</f>
        <v>NEPTRONIC-EVCBSERIES</v>
      </c>
    </row>
    <row r="2235" ht="30.0" customHeight="1">
      <c r="A2235" s="173">
        <v>2227.0</v>
      </c>
      <c r="B2235" s="328" t="s">
        <v>670</v>
      </c>
      <c r="C2235" s="257" t="s">
        <v>7699</v>
      </c>
      <c r="D2235" s="173" t="s">
        <v>7699</v>
      </c>
      <c r="E2235" s="174" t="s">
        <v>2861</v>
      </c>
      <c r="F2235" s="173" t="s">
        <v>2862</v>
      </c>
      <c r="G2235" s="328" t="s">
        <v>673</v>
      </c>
      <c r="H2235" s="328" t="s">
        <v>2863</v>
      </c>
      <c r="I2235" s="258" t="s">
        <v>2864</v>
      </c>
      <c r="J2235" s="259"/>
      <c r="K2235" s="260"/>
      <c r="L2235" s="363"/>
      <c r="M2235" s="329"/>
      <c r="N2235" s="173" t="s">
        <v>679</v>
      </c>
      <c r="O2235" s="173"/>
      <c r="P2235" s="262" t="str">
        <f t="shared" si="1"/>
        <v>IN-BLR-ANANTA-VAV-1807_</v>
      </c>
      <c r="Q2235" s="173" t="s">
        <v>7700</v>
      </c>
      <c r="R2235" s="328" t="str">
        <f>IFS(C2235="","",C2235="n/a","N/A",LEN(C2235),Concatenate("{",char(34),"asset",char(34),":{",char(34),"guid",char(34),":",char(34),Q2235,char(34),",",char(34),"site",char(34),":",char(34),LOWER('2-Building'!$B$4),char(34),",",char(34),"name",char(34),":",char(34),LOWER(C2235),char(34),"}}"))</f>
        <v>{"asset":{"guid":"uuid://fc8f5d66-b349-49ec-acaf-7a1b16f3208f","site":"in-blr-ananta","name":"vav-1807"}}</v>
      </c>
      <c r="S2235" s="360" t="s">
        <v>5516</v>
      </c>
      <c r="T2235" s="330"/>
      <c r="U2235" s="330"/>
      <c r="V2235" s="331"/>
      <c r="W2235" s="332"/>
      <c r="X2235" s="333"/>
      <c r="Y2235" s="33" t="s">
        <v>2867</v>
      </c>
      <c r="Z2235" s="258">
        <v>121807.0</v>
      </c>
      <c r="AA2235" s="333"/>
      <c r="AB2235" s="333"/>
      <c r="AC2235" s="333"/>
      <c r="AD2235" s="329"/>
      <c r="AE2235" s="362" t="s">
        <v>685</v>
      </c>
      <c r="AF2235" s="336"/>
      <c r="AG2235" s="337"/>
      <c r="AH2235" s="333"/>
      <c r="AI2235" s="333"/>
      <c r="AJ2235" s="333"/>
      <c r="AK2235" s="328" t="s">
        <v>2098</v>
      </c>
      <c r="AL2235" s="328" t="s">
        <v>688</v>
      </c>
      <c r="AM2235" s="338"/>
      <c r="AN2235" s="333"/>
      <c r="AO2235" s="333"/>
      <c r="AP2235" s="333"/>
      <c r="AQ2235" s="333"/>
      <c r="AR2235" s="333"/>
      <c r="AS2235" s="333"/>
      <c r="AT2235" s="333"/>
      <c r="AU2235" s="329"/>
      <c r="AV2235" s="341"/>
      <c r="AW2235" s="269"/>
      <c r="AX2235" s="334" t="s">
        <v>2869</v>
      </c>
      <c r="AY2235" s="270" t="s">
        <v>695</v>
      </c>
      <c r="AZ2235" s="173" t="s">
        <v>5516</v>
      </c>
      <c r="BA2235" s="265">
        <v>10.0</v>
      </c>
      <c r="BB2235" s="174" t="s">
        <v>245</v>
      </c>
      <c r="BC2235" s="341"/>
      <c r="BD2235" s="308"/>
      <c r="BE2235" s="342"/>
      <c r="BF2235" s="274" t="str">
        <f>IFERROR(__xludf.DUMMYFUNCTION("LOWER(Regexreplace(to_text(E2235),""[^A-Za-z0-9]"","""")&amp;""_""&amp;Regexreplace(to_text(F2235),""[^A-Za-z0-9]"",""""))"),"neptronic_evcbseries")</f>
        <v>neptronic_evcbseries</v>
      </c>
      <c r="BG2235" s="275" t="str">
        <f>IFERROR(__xludf.DUMMYFUNCTION("upper(Regexreplace(to_text(E2235),""[^A-Za-z0-9]"","""")&amp;""-""&amp;Regexreplace(to_text(F2235),""[^A-Za-z0-9]"",""""))"),"NEPTRONIC-EVCBSERIES")</f>
        <v>NEPTRONIC-EVCBSERIES</v>
      </c>
    </row>
    <row r="2236" ht="30.0" customHeight="1">
      <c r="A2236" s="258">
        <v>2228.0</v>
      </c>
      <c r="B2236" s="328" t="s">
        <v>670</v>
      </c>
      <c r="C2236" s="257" t="s">
        <v>7701</v>
      </c>
      <c r="D2236" s="173" t="s">
        <v>7701</v>
      </c>
      <c r="E2236" s="174" t="s">
        <v>2861</v>
      </c>
      <c r="F2236" s="173" t="s">
        <v>2862</v>
      </c>
      <c r="G2236" s="328" t="s">
        <v>673</v>
      </c>
      <c r="H2236" s="328" t="s">
        <v>2863</v>
      </c>
      <c r="I2236" s="258" t="s">
        <v>2864</v>
      </c>
      <c r="J2236" s="259"/>
      <c r="K2236" s="260"/>
      <c r="L2236" s="363"/>
      <c r="M2236" s="329"/>
      <c r="N2236" s="173" t="s">
        <v>679</v>
      </c>
      <c r="O2236" s="173"/>
      <c r="P2236" s="262" t="str">
        <f t="shared" si="1"/>
        <v>IN-BLR-ANANTA-VAV-1808_</v>
      </c>
      <c r="Q2236" s="173" t="s">
        <v>7702</v>
      </c>
      <c r="R2236" s="328" t="str">
        <f>IFS(C2236="","",C2236="n/a","N/A",LEN(C2236),Concatenate("{",char(34),"asset",char(34),":{",char(34),"guid",char(34),":",char(34),Q2236,char(34),",",char(34),"site",char(34),":",char(34),LOWER('2-Building'!$B$4),char(34),",",char(34),"name",char(34),":",char(34),LOWER(C2236),char(34),"}}"))</f>
        <v>{"asset":{"guid":"uuid://aa57c6f0-5ef0-4f3e-9060-1bde53a72e69","site":"in-blr-ananta","name":"vav-1808"}}</v>
      </c>
      <c r="S2236" s="360" t="s">
        <v>5516</v>
      </c>
      <c r="T2236" s="330"/>
      <c r="U2236" s="330"/>
      <c r="V2236" s="331"/>
      <c r="W2236" s="332"/>
      <c r="X2236" s="333"/>
      <c r="Y2236" s="33" t="s">
        <v>2867</v>
      </c>
      <c r="Z2236" s="258">
        <v>121808.0</v>
      </c>
      <c r="AA2236" s="333"/>
      <c r="AB2236" s="333"/>
      <c r="AC2236" s="333"/>
      <c r="AD2236" s="329"/>
      <c r="AE2236" s="362" t="s">
        <v>685</v>
      </c>
      <c r="AF2236" s="336"/>
      <c r="AG2236" s="337"/>
      <c r="AH2236" s="333"/>
      <c r="AI2236" s="333"/>
      <c r="AJ2236" s="333"/>
      <c r="AK2236" s="328" t="s">
        <v>2103</v>
      </c>
      <c r="AL2236" s="328" t="s">
        <v>688</v>
      </c>
      <c r="AM2236" s="338"/>
      <c r="AN2236" s="333"/>
      <c r="AO2236" s="333"/>
      <c r="AP2236" s="333"/>
      <c r="AQ2236" s="333"/>
      <c r="AR2236" s="333"/>
      <c r="AS2236" s="333"/>
      <c r="AT2236" s="333"/>
      <c r="AU2236" s="329"/>
      <c r="AV2236" s="341"/>
      <c r="AW2236" s="269"/>
      <c r="AX2236" s="334" t="s">
        <v>2869</v>
      </c>
      <c r="AY2236" s="270" t="s">
        <v>695</v>
      </c>
      <c r="AZ2236" s="173" t="s">
        <v>5516</v>
      </c>
      <c r="BA2236" s="265">
        <v>10.0</v>
      </c>
      <c r="BB2236" s="174" t="s">
        <v>245</v>
      </c>
      <c r="BC2236" s="341"/>
      <c r="BD2236" s="308"/>
      <c r="BE2236" s="342"/>
      <c r="BF2236" s="274" t="str">
        <f>IFERROR(__xludf.DUMMYFUNCTION("LOWER(Regexreplace(to_text(E2236),""[^A-Za-z0-9]"","""")&amp;""_""&amp;Regexreplace(to_text(F2236),""[^A-Za-z0-9]"",""""))"),"neptronic_evcbseries")</f>
        <v>neptronic_evcbseries</v>
      </c>
      <c r="BG2236" s="275" t="str">
        <f>IFERROR(__xludf.DUMMYFUNCTION("upper(Regexreplace(to_text(E2236),""[^A-Za-z0-9]"","""")&amp;""-""&amp;Regexreplace(to_text(F2236),""[^A-Za-z0-9]"",""""))"),"NEPTRONIC-EVCBSERIES")</f>
        <v>NEPTRONIC-EVCBSERIES</v>
      </c>
    </row>
    <row r="2237" ht="30.0" customHeight="1">
      <c r="A2237" s="173">
        <v>2229.0</v>
      </c>
      <c r="B2237" s="328" t="s">
        <v>670</v>
      </c>
      <c r="C2237" s="257" t="s">
        <v>7703</v>
      </c>
      <c r="D2237" s="173" t="s">
        <v>7703</v>
      </c>
      <c r="E2237" s="174" t="s">
        <v>2861</v>
      </c>
      <c r="F2237" s="173" t="s">
        <v>2862</v>
      </c>
      <c r="G2237" s="328" t="s">
        <v>673</v>
      </c>
      <c r="H2237" s="328" t="s">
        <v>2863</v>
      </c>
      <c r="I2237" s="258" t="s">
        <v>2864</v>
      </c>
      <c r="J2237" s="259"/>
      <c r="K2237" s="260"/>
      <c r="L2237" s="363"/>
      <c r="M2237" s="329"/>
      <c r="N2237" s="173" t="s">
        <v>679</v>
      </c>
      <c r="O2237" s="173"/>
      <c r="P2237" s="262" t="str">
        <f t="shared" si="1"/>
        <v>IN-BLR-ANANTA-VAV-1809_</v>
      </c>
      <c r="Q2237" s="173" t="s">
        <v>7704</v>
      </c>
      <c r="R2237" s="328" t="str">
        <f>IFS(C2237="","",C2237="n/a","N/A",LEN(C2237),Concatenate("{",char(34),"asset",char(34),":{",char(34),"guid",char(34),":",char(34),Q2237,char(34),",",char(34),"site",char(34),":",char(34),LOWER('2-Building'!$B$4),char(34),",",char(34),"name",char(34),":",char(34),LOWER(C2237),char(34),"}}"))</f>
        <v>{"asset":{"guid":"uuid://3442cb1b-bbe3-46d7-9a6f-52c5b41f3f48","site":"in-blr-ananta","name":"vav-1809"}}</v>
      </c>
      <c r="S2237" s="360" t="s">
        <v>5516</v>
      </c>
      <c r="T2237" s="330"/>
      <c r="U2237" s="330"/>
      <c r="V2237" s="331"/>
      <c r="W2237" s="332"/>
      <c r="X2237" s="333"/>
      <c r="Y2237" s="33" t="s">
        <v>2867</v>
      </c>
      <c r="Z2237" s="258">
        <v>121809.0</v>
      </c>
      <c r="AA2237" s="333"/>
      <c r="AB2237" s="333"/>
      <c r="AC2237" s="333"/>
      <c r="AD2237" s="329"/>
      <c r="AE2237" s="362" t="s">
        <v>685</v>
      </c>
      <c r="AF2237" s="336"/>
      <c r="AG2237" s="337"/>
      <c r="AH2237" s="333"/>
      <c r="AI2237" s="333"/>
      <c r="AJ2237" s="333"/>
      <c r="AK2237" s="328" t="s">
        <v>2108</v>
      </c>
      <c r="AL2237" s="328" t="s">
        <v>688</v>
      </c>
      <c r="AM2237" s="338"/>
      <c r="AN2237" s="333"/>
      <c r="AO2237" s="333"/>
      <c r="AP2237" s="333"/>
      <c r="AQ2237" s="333"/>
      <c r="AR2237" s="333"/>
      <c r="AS2237" s="333"/>
      <c r="AT2237" s="333"/>
      <c r="AU2237" s="329"/>
      <c r="AV2237" s="341"/>
      <c r="AW2237" s="269"/>
      <c r="AX2237" s="334" t="s">
        <v>2869</v>
      </c>
      <c r="AY2237" s="270" t="s">
        <v>695</v>
      </c>
      <c r="AZ2237" s="173" t="s">
        <v>5516</v>
      </c>
      <c r="BA2237" s="265">
        <v>10.0</v>
      </c>
      <c r="BB2237" s="174" t="s">
        <v>245</v>
      </c>
      <c r="BC2237" s="341"/>
      <c r="BD2237" s="308"/>
      <c r="BE2237" s="342"/>
      <c r="BF2237" s="274" t="str">
        <f>IFERROR(__xludf.DUMMYFUNCTION("LOWER(Regexreplace(to_text(E2237),""[^A-Za-z0-9]"","""")&amp;""_""&amp;Regexreplace(to_text(F2237),""[^A-Za-z0-9]"",""""))"),"neptronic_evcbseries")</f>
        <v>neptronic_evcbseries</v>
      </c>
      <c r="BG2237" s="275" t="str">
        <f>IFERROR(__xludf.DUMMYFUNCTION("upper(Regexreplace(to_text(E2237),""[^A-Za-z0-9]"","""")&amp;""-""&amp;Regexreplace(to_text(F2237),""[^A-Za-z0-9]"",""""))"),"NEPTRONIC-EVCBSERIES")</f>
        <v>NEPTRONIC-EVCBSERIES</v>
      </c>
    </row>
    <row r="2238" ht="30.0" customHeight="1">
      <c r="A2238" s="258">
        <v>2230.0</v>
      </c>
      <c r="B2238" s="328" t="s">
        <v>670</v>
      </c>
      <c r="C2238" s="257" t="s">
        <v>7705</v>
      </c>
      <c r="D2238" s="173" t="s">
        <v>7705</v>
      </c>
      <c r="E2238" s="174" t="s">
        <v>2861</v>
      </c>
      <c r="F2238" s="173" t="s">
        <v>2862</v>
      </c>
      <c r="G2238" s="328" t="s">
        <v>673</v>
      </c>
      <c r="H2238" s="328" t="s">
        <v>2863</v>
      </c>
      <c r="I2238" s="258" t="s">
        <v>2864</v>
      </c>
      <c r="J2238" s="259"/>
      <c r="K2238" s="260"/>
      <c r="L2238" s="363"/>
      <c r="M2238" s="329"/>
      <c r="N2238" s="173" t="s">
        <v>679</v>
      </c>
      <c r="O2238" s="173"/>
      <c r="P2238" s="262" t="str">
        <f t="shared" si="1"/>
        <v>IN-BLR-ANANTA-VAV-1810_</v>
      </c>
      <c r="Q2238" s="173" t="s">
        <v>7706</v>
      </c>
      <c r="R2238" s="328" t="str">
        <f>IFS(C2238="","",C2238="n/a","N/A",LEN(C2238),Concatenate("{",char(34),"asset",char(34),":{",char(34),"guid",char(34),":",char(34),Q2238,char(34),",",char(34),"site",char(34),":",char(34),LOWER('2-Building'!$B$4),char(34),",",char(34),"name",char(34),":",char(34),LOWER(C2238),char(34),"}}"))</f>
        <v>{"asset":{"guid":"uuid://bbb7b0a8-40e0-4ac7-b3ef-14079e6518eb","site":"in-blr-ananta","name":"vav-1810"}}</v>
      </c>
      <c r="S2238" s="360" t="s">
        <v>5516</v>
      </c>
      <c r="T2238" s="330"/>
      <c r="U2238" s="330"/>
      <c r="V2238" s="331"/>
      <c r="W2238" s="332"/>
      <c r="X2238" s="333"/>
      <c r="Y2238" s="33" t="s">
        <v>2867</v>
      </c>
      <c r="Z2238" s="258">
        <v>121810.0</v>
      </c>
      <c r="AA2238" s="333"/>
      <c r="AB2238" s="333"/>
      <c r="AC2238" s="333"/>
      <c r="AD2238" s="329"/>
      <c r="AE2238" s="362" t="s">
        <v>685</v>
      </c>
      <c r="AF2238" s="336"/>
      <c r="AG2238" s="337"/>
      <c r="AH2238" s="333"/>
      <c r="AI2238" s="333"/>
      <c r="AJ2238" s="333"/>
      <c r="AK2238" s="328" t="s">
        <v>2113</v>
      </c>
      <c r="AL2238" s="328" t="s">
        <v>688</v>
      </c>
      <c r="AM2238" s="338"/>
      <c r="AN2238" s="333"/>
      <c r="AO2238" s="333"/>
      <c r="AP2238" s="333"/>
      <c r="AQ2238" s="333"/>
      <c r="AR2238" s="333"/>
      <c r="AS2238" s="333"/>
      <c r="AT2238" s="333"/>
      <c r="AU2238" s="329"/>
      <c r="AV2238" s="341"/>
      <c r="AW2238" s="269"/>
      <c r="AX2238" s="334" t="s">
        <v>2869</v>
      </c>
      <c r="AY2238" s="270" t="s">
        <v>695</v>
      </c>
      <c r="AZ2238" s="173" t="s">
        <v>5516</v>
      </c>
      <c r="BA2238" s="265">
        <v>10.0</v>
      </c>
      <c r="BB2238" s="174" t="s">
        <v>245</v>
      </c>
      <c r="BC2238" s="341"/>
      <c r="BD2238" s="308"/>
      <c r="BE2238" s="342"/>
      <c r="BF2238" s="274" t="str">
        <f>IFERROR(__xludf.DUMMYFUNCTION("LOWER(Regexreplace(to_text(E2238),""[^A-Za-z0-9]"","""")&amp;""_""&amp;Regexreplace(to_text(F2238),""[^A-Za-z0-9]"",""""))"),"neptronic_evcbseries")</f>
        <v>neptronic_evcbseries</v>
      </c>
      <c r="BG2238" s="275" t="str">
        <f>IFERROR(__xludf.DUMMYFUNCTION("upper(Regexreplace(to_text(E2238),""[^A-Za-z0-9]"","""")&amp;""-""&amp;Regexreplace(to_text(F2238),""[^A-Za-z0-9]"",""""))"),"NEPTRONIC-EVCBSERIES")</f>
        <v>NEPTRONIC-EVCBSERIES</v>
      </c>
    </row>
    <row r="2239" ht="30.0" customHeight="1">
      <c r="A2239" s="173">
        <v>2231.0</v>
      </c>
      <c r="B2239" s="328" t="s">
        <v>670</v>
      </c>
      <c r="C2239" s="257" t="s">
        <v>7707</v>
      </c>
      <c r="D2239" s="173" t="s">
        <v>7707</v>
      </c>
      <c r="E2239" s="174" t="s">
        <v>2861</v>
      </c>
      <c r="F2239" s="173" t="s">
        <v>2862</v>
      </c>
      <c r="G2239" s="328" t="s">
        <v>673</v>
      </c>
      <c r="H2239" s="328" t="s">
        <v>2863</v>
      </c>
      <c r="I2239" s="258" t="s">
        <v>2864</v>
      </c>
      <c r="J2239" s="259"/>
      <c r="K2239" s="260"/>
      <c r="L2239" s="363"/>
      <c r="M2239" s="329"/>
      <c r="N2239" s="173" t="s">
        <v>679</v>
      </c>
      <c r="O2239" s="173"/>
      <c r="P2239" s="262" t="str">
        <f t="shared" si="1"/>
        <v>IN-BLR-ANANTA-VAV-1811_</v>
      </c>
      <c r="Q2239" s="173" t="s">
        <v>7708</v>
      </c>
      <c r="R2239" s="328" t="str">
        <f>IFS(C2239="","",C2239="n/a","N/A",LEN(C2239),Concatenate("{",char(34),"asset",char(34),":{",char(34),"guid",char(34),":",char(34),Q2239,char(34),",",char(34),"site",char(34),":",char(34),LOWER('2-Building'!$B$4),char(34),",",char(34),"name",char(34),":",char(34),LOWER(C2239),char(34),"}}"))</f>
        <v>{"asset":{"guid":"uuid://5e51447c-6e97-47dd-b012-ab4cbe0b7cdb","site":"in-blr-ananta","name":"vav-1811"}}</v>
      </c>
      <c r="S2239" s="360" t="s">
        <v>5516</v>
      </c>
      <c r="T2239" s="330"/>
      <c r="U2239" s="330"/>
      <c r="V2239" s="331"/>
      <c r="W2239" s="332"/>
      <c r="X2239" s="333"/>
      <c r="Y2239" s="33" t="s">
        <v>2867</v>
      </c>
      <c r="Z2239" s="258">
        <v>121811.0</v>
      </c>
      <c r="AA2239" s="333"/>
      <c r="AB2239" s="333"/>
      <c r="AC2239" s="333"/>
      <c r="AD2239" s="329"/>
      <c r="AE2239" s="362" t="s">
        <v>685</v>
      </c>
      <c r="AF2239" s="336"/>
      <c r="AG2239" s="337"/>
      <c r="AH2239" s="333"/>
      <c r="AI2239" s="333"/>
      <c r="AJ2239" s="333"/>
      <c r="AK2239" s="328" t="s">
        <v>2118</v>
      </c>
      <c r="AL2239" s="328" t="s">
        <v>688</v>
      </c>
      <c r="AM2239" s="338"/>
      <c r="AN2239" s="333"/>
      <c r="AO2239" s="333"/>
      <c r="AP2239" s="333"/>
      <c r="AQ2239" s="333"/>
      <c r="AR2239" s="333"/>
      <c r="AS2239" s="333"/>
      <c r="AT2239" s="333"/>
      <c r="AU2239" s="329"/>
      <c r="AV2239" s="341"/>
      <c r="AW2239" s="269"/>
      <c r="AX2239" s="334" t="s">
        <v>2869</v>
      </c>
      <c r="AY2239" s="270" t="s">
        <v>695</v>
      </c>
      <c r="AZ2239" s="173" t="s">
        <v>5516</v>
      </c>
      <c r="BA2239" s="265">
        <v>10.0</v>
      </c>
      <c r="BB2239" s="174" t="s">
        <v>245</v>
      </c>
      <c r="BC2239" s="341"/>
      <c r="BD2239" s="308"/>
      <c r="BE2239" s="342"/>
      <c r="BF2239" s="274" t="str">
        <f>IFERROR(__xludf.DUMMYFUNCTION("LOWER(Regexreplace(to_text(E2239),""[^A-Za-z0-9]"","""")&amp;""_""&amp;Regexreplace(to_text(F2239),""[^A-Za-z0-9]"",""""))"),"neptronic_evcbseries")</f>
        <v>neptronic_evcbseries</v>
      </c>
      <c r="BG2239" s="275" t="str">
        <f>IFERROR(__xludf.DUMMYFUNCTION("upper(Regexreplace(to_text(E2239),""[^A-Za-z0-9]"","""")&amp;""-""&amp;Regexreplace(to_text(F2239),""[^A-Za-z0-9]"",""""))"),"NEPTRONIC-EVCBSERIES")</f>
        <v>NEPTRONIC-EVCBSERIES</v>
      </c>
    </row>
    <row r="2240" ht="30.0" customHeight="1">
      <c r="A2240" s="258">
        <v>2232.0</v>
      </c>
      <c r="B2240" s="328" t="s">
        <v>670</v>
      </c>
      <c r="C2240" s="257" t="s">
        <v>7709</v>
      </c>
      <c r="D2240" s="173" t="s">
        <v>7709</v>
      </c>
      <c r="E2240" s="174" t="s">
        <v>2861</v>
      </c>
      <c r="F2240" s="173" t="s">
        <v>2862</v>
      </c>
      <c r="G2240" s="328" t="s">
        <v>673</v>
      </c>
      <c r="H2240" s="328" t="s">
        <v>2863</v>
      </c>
      <c r="I2240" s="258" t="s">
        <v>2864</v>
      </c>
      <c r="J2240" s="259"/>
      <c r="K2240" s="260"/>
      <c r="L2240" s="363"/>
      <c r="M2240" s="329"/>
      <c r="N2240" s="173" t="s">
        <v>679</v>
      </c>
      <c r="O2240" s="173"/>
      <c r="P2240" s="262" t="str">
        <f t="shared" si="1"/>
        <v>IN-BLR-ANANTA-VAV-1812_</v>
      </c>
      <c r="Q2240" s="173" t="s">
        <v>7710</v>
      </c>
      <c r="R2240" s="328" t="str">
        <f>IFS(C2240="","",C2240="n/a","N/A",LEN(C2240),Concatenate("{",char(34),"asset",char(34),":{",char(34),"guid",char(34),":",char(34),Q2240,char(34),",",char(34),"site",char(34),":",char(34),LOWER('2-Building'!$B$4),char(34),",",char(34),"name",char(34),":",char(34),LOWER(C2240),char(34),"}}"))</f>
        <v>{"asset":{"guid":"uuid://0258d925-1ce6-49b2-95df-b948a5973a97","site":"in-blr-ananta","name":"vav-1812"}}</v>
      </c>
      <c r="S2240" s="360" t="s">
        <v>5516</v>
      </c>
      <c r="T2240" s="330"/>
      <c r="U2240" s="330"/>
      <c r="V2240" s="331"/>
      <c r="W2240" s="332"/>
      <c r="X2240" s="333"/>
      <c r="Y2240" s="33" t="s">
        <v>2867</v>
      </c>
      <c r="Z2240" s="258">
        <v>121812.0</v>
      </c>
      <c r="AA2240" s="333"/>
      <c r="AB2240" s="333"/>
      <c r="AC2240" s="333"/>
      <c r="AD2240" s="329"/>
      <c r="AE2240" s="362" t="s">
        <v>685</v>
      </c>
      <c r="AF2240" s="336"/>
      <c r="AG2240" s="337"/>
      <c r="AH2240" s="333"/>
      <c r="AI2240" s="333"/>
      <c r="AJ2240" s="333"/>
      <c r="AK2240" s="328" t="s">
        <v>2123</v>
      </c>
      <c r="AL2240" s="328" t="s">
        <v>688</v>
      </c>
      <c r="AM2240" s="338"/>
      <c r="AN2240" s="333"/>
      <c r="AO2240" s="333"/>
      <c r="AP2240" s="333"/>
      <c r="AQ2240" s="333"/>
      <c r="AR2240" s="333"/>
      <c r="AS2240" s="333"/>
      <c r="AT2240" s="333"/>
      <c r="AU2240" s="329"/>
      <c r="AV2240" s="341"/>
      <c r="AW2240" s="269"/>
      <c r="AX2240" s="334" t="s">
        <v>2869</v>
      </c>
      <c r="AY2240" s="270" t="s">
        <v>695</v>
      </c>
      <c r="AZ2240" s="173" t="s">
        <v>5516</v>
      </c>
      <c r="BA2240" s="265">
        <v>10.0</v>
      </c>
      <c r="BB2240" s="174" t="s">
        <v>245</v>
      </c>
      <c r="BC2240" s="341"/>
      <c r="BD2240" s="308"/>
      <c r="BE2240" s="342"/>
      <c r="BF2240" s="274" t="str">
        <f>IFERROR(__xludf.DUMMYFUNCTION("LOWER(Regexreplace(to_text(E2240),""[^A-Za-z0-9]"","""")&amp;""_""&amp;Regexreplace(to_text(F2240),""[^A-Za-z0-9]"",""""))"),"neptronic_evcbseries")</f>
        <v>neptronic_evcbseries</v>
      </c>
      <c r="BG2240" s="275" t="str">
        <f>IFERROR(__xludf.DUMMYFUNCTION("upper(Regexreplace(to_text(E2240),""[^A-Za-z0-9]"","""")&amp;""-""&amp;Regexreplace(to_text(F2240),""[^A-Za-z0-9]"",""""))"),"NEPTRONIC-EVCBSERIES")</f>
        <v>NEPTRONIC-EVCBSERIES</v>
      </c>
    </row>
    <row r="2241" ht="30.0" customHeight="1">
      <c r="A2241" s="173">
        <v>2233.0</v>
      </c>
      <c r="B2241" s="328" t="s">
        <v>670</v>
      </c>
      <c r="C2241" s="257" t="s">
        <v>7711</v>
      </c>
      <c r="D2241" s="173" t="s">
        <v>7711</v>
      </c>
      <c r="E2241" s="174" t="s">
        <v>2861</v>
      </c>
      <c r="F2241" s="173" t="s">
        <v>2862</v>
      </c>
      <c r="G2241" s="328" t="s">
        <v>673</v>
      </c>
      <c r="H2241" s="328" t="s">
        <v>2863</v>
      </c>
      <c r="I2241" s="258" t="s">
        <v>2864</v>
      </c>
      <c r="J2241" s="259"/>
      <c r="K2241" s="260"/>
      <c r="L2241" s="363"/>
      <c r="M2241" s="329"/>
      <c r="N2241" s="173" t="s">
        <v>679</v>
      </c>
      <c r="O2241" s="173"/>
      <c r="P2241" s="262" t="str">
        <f t="shared" si="1"/>
        <v>IN-BLR-ANANTA-VAV-1813_</v>
      </c>
      <c r="Q2241" s="173" t="s">
        <v>7712</v>
      </c>
      <c r="R2241" s="328" t="str">
        <f>IFS(C2241="","",C2241="n/a","N/A",LEN(C2241),Concatenate("{",char(34),"asset",char(34),":{",char(34),"guid",char(34),":",char(34),Q2241,char(34),",",char(34),"site",char(34),":",char(34),LOWER('2-Building'!$B$4),char(34),",",char(34),"name",char(34),":",char(34),LOWER(C2241),char(34),"}}"))</f>
        <v>{"asset":{"guid":"uuid://a0050dc8-b42f-41e4-a7df-350cdef0c16d","site":"in-blr-ananta","name":"vav-1813"}}</v>
      </c>
      <c r="S2241" s="360" t="s">
        <v>5516</v>
      </c>
      <c r="T2241" s="330"/>
      <c r="U2241" s="330"/>
      <c r="V2241" s="331"/>
      <c r="W2241" s="332"/>
      <c r="X2241" s="333"/>
      <c r="Y2241" s="33" t="s">
        <v>2867</v>
      </c>
      <c r="Z2241" s="258">
        <v>121813.0</v>
      </c>
      <c r="AA2241" s="333"/>
      <c r="AB2241" s="333"/>
      <c r="AC2241" s="333"/>
      <c r="AD2241" s="329"/>
      <c r="AE2241" s="362" t="s">
        <v>685</v>
      </c>
      <c r="AF2241" s="336"/>
      <c r="AG2241" s="337"/>
      <c r="AH2241" s="333"/>
      <c r="AI2241" s="333"/>
      <c r="AJ2241" s="333"/>
      <c r="AK2241" s="328" t="s">
        <v>2128</v>
      </c>
      <c r="AL2241" s="328" t="s">
        <v>688</v>
      </c>
      <c r="AM2241" s="338"/>
      <c r="AN2241" s="333"/>
      <c r="AO2241" s="333"/>
      <c r="AP2241" s="333"/>
      <c r="AQ2241" s="333"/>
      <c r="AR2241" s="333"/>
      <c r="AS2241" s="333"/>
      <c r="AT2241" s="333"/>
      <c r="AU2241" s="329"/>
      <c r="AV2241" s="341"/>
      <c r="AW2241" s="269"/>
      <c r="AX2241" s="334" t="s">
        <v>2869</v>
      </c>
      <c r="AY2241" s="270" t="s">
        <v>695</v>
      </c>
      <c r="AZ2241" s="173" t="s">
        <v>5516</v>
      </c>
      <c r="BA2241" s="265">
        <v>10.0</v>
      </c>
      <c r="BB2241" s="174" t="s">
        <v>245</v>
      </c>
      <c r="BC2241" s="341"/>
      <c r="BD2241" s="308"/>
      <c r="BE2241" s="342"/>
      <c r="BF2241" s="274" t="str">
        <f>IFERROR(__xludf.DUMMYFUNCTION("LOWER(Regexreplace(to_text(E2241),""[^A-Za-z0-9]"","""")&amp;""_""&amp;Regexreplace(to_text(F2241),""[^A-Za-z0-9]"",""""))"),"neptronic_evcbseries")</f>
        <v>neptronic_evcbseries</v>
      </c>
      <c r="BG2241" s="275" t="str">
        <f>IFERROR(__xludf.DUMMYFUNCTION("upper(Regexreplace(to_text(E2241),""[^A-Za-z0-9]"","""")&amp;""-""&amp;Regexreplace(to_text(F2241),""[^A-Za-z0-9]"",""""))"),"NEPTRONIC-EVCBSERIES")</f>
        <v>NEPTRONIC-EVCBSERIES</v>
      </c>
    </row>
    <row r="2242" ht="30.0" customHeight="1">
      <c r="A2242" s="258">
        <v>2234.0</v>
      </c>
      <c r="B2242" s="328" t="s">
        <v>670</v>
      </c>
      <c r="C2242" s="257" t="s">
        <v>7713</v>
      </c>
      <c r="D2242" s="173" t="s">
        <v>7713</v>
      </c>
      <c r="E2242" s="174" t="s">
        <v>2861</v>
      </c>
      <c r="F2242" s="173" t="s">
        <v>2862</v>
      </c>
      <c r="G2242" s="328" t="s">
        <v>673</v>
      </c>
      <c r="H2242" s="328" t="s">
        <v>2863</v>
      </c>
      <c r="I2242" s="258" t="s">
        <v>2864</v>
      </c>
      <c r="J2242" s="259"/>
      <c r="K2242" s="260"/>
      <c r="L2242" s="363"/>
      <c r="M2242" s="329"/>
      <c r="N2242" s="173" t="s">
        <v>679</v>
      </c>
      <c r="O2242" s="173"/>
      <c r="P2242" s="262" t="str">
        <f t="shared" si="1"/>
        <v>IN-BLR-ANANTA-VAV-1814_</v>
      </c>
      <c r="Q2242" s="173" t="s">
        <v>7714</v>
      </c>
      <c r="R2242" s="328" t="str">
        <f>IFS(C2242="","",C2242="n/a","N/A",LEN(C2242),Concatenate("{",char(34),"asset",char(34),":{",char(34),"guid",char(34),":",char(34),Q2242,char(34),",",char(34),"site",char(34),":",char(34),LOWER('2-Building'!$B$4),char(34),",",char(34),"name",char(34),":",char(34),LOWER(C2242),char(34),"}}"))</f>
        <v>{"asset":{"guid":"uuid://3ef3a436-b1fe-4ecf-a427-41e26df10aaa","site":"in-blr-ananta","name":"vav-1814"}}</v>
      </c>
      <c r="S2242" s="360" t="s">
        <v>5516</v>
      </c>
      <c r="T2242" s="330"/>
      <c r="U2242" s="330"/>
      <c r="V2242" s="331"/>
      <c r="W2242" s="332"/>
      <c r="X2242" s="333"/>
      <c r="Y2242" s="33" t="s">
        <v>2867</v>
      </c>
      <c r="Z2242" s="258">
        <v>121814.0</v>
      </c>
      <c r="AA2242" s="333"/>
      <c r="AB2242" s="333"/>
      <c r="AC2242" s="333"/>
      <c r="AD2242" s="329"/>
      <c r="AE2242" s="362" t="s">
        <v>685</v>
      </c>
      <c r="AF2242" s="336"/>
      <c r="AG2242" s="337"/>
      <c r="AH2242" s="333"/>
      <c r="AI2242" s="333"/>
      <c r="AJ2242" s="333"/>
      <c r="AK2242" s="328" t="s">
        <v>2133</v>
      </c>
      <c r="AL2242" s="328" t="s">
        <v>688</v>
      </c>
      <c r="AM2242" s="338"/>
      <c r="AN2242" s="333"/>
      <c r="AO2242" s="333"/>
      <c r="AP2242" s="333"/>
      <c r="AQ2242" s="333"/>
      <c r="AR2242" s="333"/>
      <c r="AS2242" s="333"/>
      <c r="AT2242" s="333"/>
      <c r="AU2242" s="329"/>
      <c r="AV2242" s="341"/>
      <c r="AW2242" s="269"/>
      <c r="AX2242" s="334" t="s">
        <v>2869</v>
      </c>
      <c r="AY2242" s="270" t="s">
        <v>695</v>
      </c>
      <c r="AZ2242" s="173" t="s">
        <v>5516</v>
      </c>
      <c r="BA2242" s="265">
        <v>10.0</v>
      </c>
      <c r="BB2242" s="174" t="s">
        <v>245</v>
      </c>
      <c r="BC2242" s="341"/>
      <c r="BD2242" s="308"/>
      <c r="BE2242" s="342"/>
      <c r="BF2242" s="274" t="str">
        <f>IFERROR(__xludf.DUMMYFUNCTION("LOWER(Regexreplace(to_text(E2242),""[^A-Za-z0-9]"","""")&amp;""_""&amp;Regexreplace(to_text(F2242),""[^A-Za-z0-9]"",""""))"),"neptronic_evcbseries")</f>
        <v>neptronic_evcbseries</v>
      </c>
      <c r="BG2242" s="275" t="str">
        <f>IFERROR(__xludf.DUMMYFUNCTION("upper(Regexreplace(to_text(E2242),""[^A-Za-z0-9]"","""")&amp;""-""&amp;Regexreplace(to_text(F2242),""[^A-Za-z0-9]"",""""))"),"NEPTRONIC-EVCBSERIES")</f>
        <v>NEPTRONIC-EVCBSERIES</v>
      </c>
    </row>
    <row r="2243" ht="30.0" customHeight="1">
      <c r="A2243" s="173">
        <v>2235.0</v>
      </c>
      <c r="B2243" s="328" t="s">
        <v>670</v>
      </c>
      <c r="C2243" s="257" t="s">
        <v>7715</v>
      </c>
      <c r="D2243" s="173" t="s">
        <v>7715</v>
      </c>
      <c r="E2243" s="174" t="s">
        <v>2861</v>
      </c>
      <c r="F2243" s="173" t="s">
        <v>2862</v>
      </c>
      <c r="G2243" s="328" t="s">
        <v>673</v>
      </c>
      <c r="H2243" s="328" t="s">
        <v>2863</v>
      </c>
      <c r="I2243" s="258" t="s">
        <v>2864</v>
      </c>
      <c r="J2243" s="259"/>
      <c r="K2243" s="260"/>
      <c r="L2243" s="363"/>
      <c r="M2243" s="329"/>
      <c r="N2243" s="173" t="s">
        <v>679</v>
      </c>
      <c r="O2243" s="173"/>
      <c r="P2243" s="262" t="str">
        <f t="shared" si="1"/>
        <v>IN-BLR-ANANTA-VAV-1815_</v>
      </c>
      <c r="Q2243" s="173" t="s">
        <v>7716</v>
      </c>
      <c r="R2243" s="328" t="str">
        <f>IFS(C2243="","",C2243="n/a","N/A",LEN(C2243),Concatenate("{",char(34),"asset",char(34),":{",char(34),"guid",char(34),":",char(34),Q2243,char(34),",",char(34),"site",char(34),":",char(34),LOWER('2-Building'!$B$4),char(34),",",char(34),"name",char(34),":",char(34),LOWER(C2243),char(34),"}}"))</f>
        <v>{"asset":{"guid":"uuid://b46705f1-1ae5-4da3-b4b3-125c94721d34","site":"in-blr-ananta","name":"vav-1815"}}</v>
      </c>
      <c r="S2243" s="360" t="s">
        <v>5516</v>
      </c>
      <c r="T2243" s="330"/>
      <c r="U2243" s="330"/>
      <c r="V2243" s="331"/>
      <c r="W2243" s="332"/>
      <c r="X2243" s="333"/>
      <c r="Y2243" s="33" t="s">
        <v>2867</v>
      </c>
      <c r="Z2243" s="258">
        <v>121815.0</v>
      </c>
      <c r="AA2243" s="333"/>
      <c r="AB2243" s="333"/>
      <c r="AC2243" s="333"/>
      <c r="AD2243" s="329"/>
      <c r="AE2243" s="362" t="s">
        <v>685</v>
      </c>
      <c r="AF2243" s="336"/>
      <c r="AG2243" s="337"/>
      <c r="AH2243" s="333"/>
      <c r="AI2243" s="333"/>
      <c r="AJ2243" s="333"/>
      <c r="AK2243" s="328" t="s">
        <v>2138</v>
      </c>
      <c r="AL2243" s="328" t="s">
        <v>688</v>
      </c>
      <c r="AM2243" s="338"/>
      <c r="AN2243" s="333"/>
      <c r="AO2243" s="333"/>
      <c r="AP2243" s="333"/>
      <c r="AQ2243" s="333"/>
      <c r="AR2243" s="333"/>
      <c r="AS2243" s="333"/>
      <c r="AT2243" s="333"/>
      <c r="AU2243" s="329"/>
      <c r="AV2243" s="341"/>
      <c r="AW2243" s="269"/>
      <c r="AX2243" s="334" t="s">
        <v>2869</v>
      </c>
      <c r="AY2243" s="270" t="s">
        <v>695</v>
      </c>
      <c r="AZ2243" s="173" t="s">
        <v>5516</v>
      </c>
      <c r="BA2243" s="265">
        <v>10.0</v>
      </c>
      <c r="BB2243" s="174" t="s">
        <v>245</v>
      </c>
      <c r="BC2243" s="341"/>
      <c r="BD2243" s="308"/>
      <c r="BE2243" s="342"/>
      <c r="BF2243" s="274" t="str">
        <f>IFERROR(__xludf.DUMMYFUNCTION("LOWER(Regexreplace(to_text(E2243),""[^A-Za-z0-9]"","""")&amp;""_""&amp;Regexreplace(to_text(F2243),""[^A-Za-z0-9]"",""""))"),"neptronic_evcbseries")</f>
        <v>neptronic_evcbseries</v>
      </c>
      <c r="BG2243" s="275" t="str">
        <f>IFERROR(__xludf.DUMMYFUNCTION("upper(Regexreplace(to_text(E2243),""[^A-Za-z0-9]"","""")&amp;""-""&amp;Regexreplace(to_text(F2243),""[^A-Za-z0-9]"",""""))"),"NEPTRONIC-EVCBSERIES")</f>
        <v>NEPTRONIC-EVCBSERIES</v>
      </c>
    </row>
    <row r="2244" ht="30.0" customHeight="1">
      <c r="A2244" s="258">
        <v>2236.0</v>
      </c>
      <c r="B2244" s="328" t="s">
        <v>670</v>
      </c>
      <c r="C2244" s="257" t="s">
        <v>7717</v>
      </c>
      <c r="D2244" s="173" t="s">
        <v>7717</v>
      </c>
      <c r="E2244" s="174" t="s">
        <v>2861</v>
      </c>
      <c r="F2244" s="173" t="s">
        <v>2862</v>
      </c>
      <c r="G2244" s="328" t="s">
        <v>673</v>
      </c>
      <c r="H2244" s="328" t="s">
        <v>2863</v>
      </c>
      <c r="I2244" s="258" t="s">
        <v>2864</v>
      </c>
      <c r="J2244" s="259"/>
      <c r="K2244" s="260"/>
      <c r="L2244" s="363"/>
      <c r="M2244" s="329"/>
      <c r="N2244" s="173" t="s">
        <v>679</v>
      </c>
      <c r="O2244" s="173"/>
      <c r="P2244" s="262" t="str">
        <f t="shared" si="1"/>
        <v>IN-BLR-ANANTA-VAV-1816_</v>
      </c>
      <c r="Q2244" s="173" t="s">
        <v>7718</v>
      </c>
      <c r="R2244" s="328" t="str">
        <f>IFS(C2244="","",C2244="n/a","N/A",LEN(C2244),Concatenate("{",char(34),"asset",char(34),":{",char(34),"guid",char(34),":",char(34),Q2244,char(34),",",char(34),"site",char(34),":",char(34),LOWER('2-Building'!$B$4),char(34),",",char(34),"name",char(34),":",char(34),LOWER(C2244),char(34),"}}"))</f>
        <v>{"asset":{"guid":"uuid://9c15a84c-ea31-4afa-8206-1cbc7fed0d67","site":"in-blr-ananta","name":"vav-1816"}}</v>
      </c>
      <c r="S2244" s="360" t="s">
        <v>5516</v>
      </c>
      <c r="T2244" s="330"/>
      <c r="U2244" s="330"/>
      <c r="V2244" s="331"/>
      <c r="W2244" s="332"/>
      <c r="X2244" s="333"/>
      <c r="Y2244" s="33" t="s">
        <v>2867</v>
      </c>
      <c r="Z2244" s="258">
        <v>121816.0</v>
      </c>
      <c r="AA2244" s="333"/>
      <c r="AB2244" s="333"/>
      <c r="AC2244" s="333"/>
      <c r="AD2244" s="329"/>
      <c r="AE2244" s="362" t="s">
        <v>685</v>
      </c>
      <c r="AF2244" s="336"/>
      <c r="AG2244" s="337"/>
      <c r="AH2244" s="333"/>
      <c r="AI2244" s="333"/>
      <c r="AJ2244" s="333"/>
      <c r="AK2244" s="328" t="s">
        <v>2143</v>
      </c>
      <c r="AL2244" s="328" t="s">
        <v>688</v>
      </c>
      <c r="AM2244" s="338"/>
      <c r="AN2244" s="333"/>
      <c r="AO2244" s="333"/>
      <c r="AP2244" s="333"/>
      <c r="AQ2244" s="333"/>
      <c r="AR2244" s="333"/>
      <c r="AS2244" s="333"/>
      <c r="AT2244" s="333"/>
      <c r="AU2244" s="329"/>
      <c r="AV2244" s="341"/>
      <c r="AW2244" s="269"/>
      <c r="AX2244" s="334" t="s">
        <v>2869</v>
      </c>
      <c r="AY2244" s="270" t="s">
        <v>695</v>
      </c>
      <c r="AZ2244" s="173" t="s">
        <v>5516</v>
      </c>
      <c r="BA2244" s="265">
        <v>10.0</v>
      </c>
      <c r="BB2244" s="174" t="s">
        <v>245</v>
      </c>
      <c r="BC2244" s="341"/>
      <c r="BD2244" s="308"/>
      <c r="BE2244" s="342"/>
      <c r="BF2244" s="274" t="str">
        <f>IFERROR(__xludf.DUMMYFUNCTION("LOWER(Regexreplace(to_text(E2244),""[^A-Za-z0-9]"","""")&amp;""_""&amp;Regexreplace(to_text(F2244),""[^A-Za-z0-9]"",""""))"),"neptronic_evcbseries")</f>
        <v>neptronic_evcbseries</v>
      </c>
      <c r="BG2244" s="275" t="str">
        <f>IFERROR(__xludf.DUMMYFUNCTION("upper(Regexreplace(to_text(E2244),""[^A-Za-z0-9]"","""")&amp;""-""&amp;Regexreplace(to_text(F2244),""[^A-Za-z0-9]"",""""))"),"NEPTRONIC-EVCBSERIES")</f>
        <v>NEPTRONIC-EVCBSERIES</v>
      </c>
    </row>
    <row r="2245" ht="30.0" customHeight="1">
      <c r="A2245" s="173">
        <v>2237.0</v>
      </c>
      <c r="B2245" s="328" t="s">
        <v>670</v>
      </c>
      <c r="C2245" s="257" t="s">
        <v>7719</v>
      </c>
      <c r="D2245" s="173" t="s">
        <v>7719</v>
      </c>
      <c r="E2245" s="174" t="s">
        <v>2861</v>
      </c>
      <c r="F2245" s="173" t="s">
        <v>2862</v>
      </c>
      <c r="G2245" s="328" t="s">
        <v>673</v>
      </c>
      <c r="H2245" s="328" t="s">
        <v>2863</v>
      </c>
      <c r="I2245" s="258" t="s">
        <v>2864</v>
      </c>
      <c r="J2245" s="259"/>
      <c r="K2245" s="260"/>
      <c r="L2245" s="363"/>
      <c r="M2245" s="329"/>
      <c r="N2245" s="173" t="s">
        <v>679</v>
      </c>
      <c r="O2245" s="173"/>
      <c r="P2245" s="262" t="str">
        <f t="shared" si="1"/>
        <v>IN-BLR-ANANTA-VAV-1817_</v>
      </c>
      <c r="Q2245" s="173" t="s">
        <v>7720</v>
      </c>
      <c r="R2245" s="328" t="str">
        <f>IFS(C2245="","",C2245="n/a","N/A",LEN(C2245),Concatenate("{",char(34),"asset",char(34),":{",char(34),"guid",char(34),":",char(34),Q2245,char(34),",",char(34),"site",char(34),":",char(34),LOWER('2-Building'!$B$4),char(34),",",char(34),"name",char(34),":",char(34),LOWER(C2245),char(34),"}}"))</f>
        <v>{"asset":{"guid":"uuid://35f916e0-e1ce-4997-9b85-b690606d9bd9","site":"in-blr-ananta","name":"vav-1817"}}</v>
      </c>
      <c r="S2245" s="360" t="s">
        <v>5516</v>
      </c>
      <c r="T2245" s="330"/>
      <c r="U2245" s="330"/>
      <c r="V2245" s="331"/>
      <c r="W2245" s="332"/>
      <c r="X2245" s="333"/>
      <c r="Y2245" s="33" t="s">
        <v>2867</v>
      </c>
      <c r="Z2245" s="258">
        <v>121817.0</v>
      </c>
      <c r="AA2245" s="333"/>
      <c r="AB2245" s="333"/>
      <c r="AC2245" s="333"/>
      <c r="AD2245" s="329"/>
      <c r="AE2245" s="362" t="s">
        <v>685</v>
      </c>
      <c r="AF2245" s="336"/>
      <c r="AG2245" s="337"/>
      <c r="AH2245" s="333"/>
      <c r="AI2245" s="333"/>
      <c r="AJ2245" s="333"/>
      <c r="AK2245" s="328" t="s">
        <v>2148</v>
      </c>
      <c r="AL2245" s="328" t="s">
        <v>688</v>
      </c>
      <c r="AM2245" s="338"/>
      <c r="AN2245" s="333"/>
      <c r="AO2245" s="333"/>
      <c r="AP2245" s="333"/>
      <c r="AQ2245" s="333"/>
      <c r="AR2245" s="333"/>
      <c r="AS2245" s="333"/>
      <c r="AT2245" s="333"/>
      <c r="AU2245" s="329"/>
      <c r="AV2245" s="341"/>
      <c r="AW2245" s="269"/>
      <c r="AX2245" s="334" t="s">
        <v>2869</v>
      </c>
      <c r="AY2245" s="270" t="s">
        <v>695</v>
      </c>
      <c r="AZ2245" s="173" t="s">
        <v>5516</v>
      </c>
      <c r="BA2245" s="265">
        <v>10.0</v>
      </c>
      <c r="BB2245" s="174" t="s">
        <v>245</v>
      </c>
      <c r="BC2245" s="341"/>
      <c r="BD2245" s="308"/>
      <c r="BE2245" s="342"/>
      <c r="BF2245" s="274" t="str">
        <f>IFERROR(__xludf.DUMMYFUNCTION("LOWER(Regexreplace(to_text(E2245),""[^A-Za-z0-9]"","""")&amp;""_""&amp;Regexreplace(to_text(F2245),""[^A-Za-z0-9]"",""""))"),"neptronic_evcbseries")</f>
        <v>neptronic_evcbseries</v>
      </c>
      <c r="BG2245" s="275" t="str">
        <f>IFERROR(__xludf.DUMMYFUNCTION("upper(Regexreplace(to_text(E2245),""[^A-Za-z0-9]"","""")&amp;""-""&amp;Regexreplace(to_text(F2245),""[^A-Za-z0-9]"",""""))"),"NEPTRONIC-EVCBSERIES")</f>
        <v>NEPTRONIC-EVCBSERIES</v>
      </c>
    </row>
    <row r="2246" ht="30.0" customHeight="1">
      <c r="A2246" s="258">
        <v>2238.0</v>
      </c>
      <c r="B2246" s="328" t="s">
        <v>670</v>
      </c>
      <c r="C2246" s="257" t="s">
        <v>7721</v>
      </c>
      <c r="D2246" s="173" t="s">
        <v>7721</v>
      </c>
      <c r="E2246" s="174" t="s">
        <v>2861</v>
      </c>
      <c r="F2246" s="173" t="s">
        <v>2862</v>
      </c>
      <c r="G2246" s="328" t="s">
        <v>673</v>
      </c>
      <c r="H2246" s="328" t="s">
        <v>2863</v>
      </c>
      <c r="I2246" s="258" t="s">
        <v>2864</v>
      </c>
      <c r="J2246" s="259"/>
      <c r="K2246" s="260"/>
      <c r="L2246" s="363"/>
      <c r="M2246" s="329"/>
      <c r="N2246" s="173" t="s">
        <v>679</v>
      </c>
      <c r="O2246" s="173"/>
      <c r="P2246" s="262" t="str">
        <f t="shared" si="1"/>
        <v>IN-BLR-ANANTA-VAV-1818_</v>
      </c>
      <c r="Q2246" s="173" t="s">
        <v>7722</v>
      </c>
      <c r="R2246" s="328" t="str">
        <f>IFS(C2246="","",C2246="n/a","N/A",LEN(C2246),Concatenate("{",char(34),"asset",char(34),":{",char(34),"guid",char(34),":",char(34),Q2246,char(34),",",char(34),"site",char(34),":",char(34),LOWER('2-Building'!$B$4),char(34),",",char(34),"name",char(34),":",char(34),LOWER(C2246),char(34),"}}"))</f>
        <v>{"asset":{"guid":"uuid://265a07f6-4352-40fe-bb3e-a69578af9ebd","site":"in-blr-ananta","name":"vav-1818"}}</v>
      </c>
      <c r="S2246" s="360" t="s">
        <v>5516</v>
      </c>
      <c r="T2246" s="330"/>
      <c r="U2246" s="330"/>
      <c r="V2246" s="331"/>
      <c r="W2246" s="332"/>
      <c r="X2246" s="333"/>
      <c r="Y2246" s="33" t="s">
        <v>2867</v>
      </c>
      <c r="Z2246" s="258">
        <v>121818.0</v>
      </c>
      <c r="AA2246" s="333"/>
      <c r="AB2246" s="333"/>
      <c r="AC2246" s="333"/>
      <c r="AD2246" s="329"/>
      <c r="AE2246" s="362" t="s">
        <v>685</v>
      </c>
      <c r="AF2246" s="336"/>
      <c r="AG2246" s="337"/>
      <c r="AH2246" s="333"/>
      <c r="AI2246" s="333"/>
      <c r="AJ2246" s="333"/>
      <c r="AK2246" s="328" t="s">
        <v>2153</v>
      </c>
      <c r="AL2246" s="328" t="s">
        <v>688</v>
      </c>
      <c r="AM2246" s="338"/>
      <c r="AN2246" s="333"/>
      <c r="AO2246" s="333"/>
      <c r="AP2246" s="333"/>
      <c r="AQ2246" s="333"/>
      <c r="AR2246" s="333"/>
      <c r="AS2246" s="333"/>
      <c r="AT2246" s="333"/>
      <c r="AU2246" s="329"/>
      <c r="AV2246" s="341"/>
      <c r="AW2246" s="269"/>
      <c r="AX2246" s="334" t="s">
        <v>2869</v>
      </c>
      <c r="AY2246" s="270" t="s">
        <v>695</v>
      </c>
      <c r="AZ2246" s="173" t="s">
        <v>5516</v>
      </c>
      <c r="BA2246" s="265">
        <v>10.0</v>
      </c>
      <c r="BB2246" s="174" t="s">
        <v>245</v>
      </c>
      <c r="BC2246" s="341"/>
      <c r="BD2246" s="308"/>
      <c r="BE2246" s="342"/>
      <c r="BF2246" s="274" t="str">
        <f>IFERROR(__xludf.DUMMYFUNCTION("LOWER(Regexreplace(to_text(E2246),""[^A-Za-z0-9]"","""")&amp;""_""&amp;Regexreplace(to_text(F2246),""[^A-Za-z0-9]"",""""))"),"neptronic_evcbseries")</f>
        <v>neptronic_evcbseries</v>
      </c>
      <c r="BG2246" s="275" t="str">
        <f>IFERROR(__xludf.DUMMYFUNCTION("upper(Regexreplace(to_text(E2246),""[^A-Za-z0-9]"","""")&amp;""-""&amp;Regexreplace(to_text(F2246),""[^A-Za-z0-9]"",""""))"),"NEPTRONIC-EVCBSERIES")</f>
        <v>NEPTRONIC-EVCBSERIES</v>
      </c>
    </row>
    <row r="2247" ht="30.0" customHeight="1">
      <c r="A2247" s="173">
        <v>2239.0</v>
      </c>
      <c r="B2247" s="328" t="s">
        <v>670</v>
      </c>
      <c r="C2247" s="257" t="s">
        <v>7723</v>
      </c>
      <c r="D2247" s="173" t="s">
        <v>7723</v>
      </c>
      <c r="E2247" s="174" t="s">
        <v>2861</v>
      </c>
      <c r="F2247" s="173" t="s">
        <v>2862</v>
      </c>
      <c r="G2247" s="328" t="s">
        <v>673</v>
      </c>
      <c r="H2247" s="328" t="s">
        <v>2863</v>
      </c>
      <c r="I2247" s="258" t="s">
        <v>2864</v>
      </c>
      <c r="J2247" s="259"/>
      <c r="K2247" s="260"/>
      <c r="L2247" s="363"/>
      <c r="M2247" s="329"/>
      <c r="N2247" s="173" t="s">
        <v>679</v>
      </c>
      <c r="O2247" s="173"/>
      <c r="P2247" s="262" t="str">
        <f t="shared" si="1"/>
        <v>IN-BLR-ANANTA-VAV-1819_</v>
      </c>
      <c r="Q2247" s="173" t="s">
        <v>7724</v>
      </c>
      <c r="R2247" s="328" t="str">
        <f>IFS(C2247="","",C2247="n/a","N/A",LEN(C2247),Concatenate("{",char(34),"asset",char(34),":{",char(34),"guid",char(34),":",char(34),Q2247,char(34),",",char(34),"site",char(34),":",char(34),LOWER('2-Building'!$B$4),char(34),",",char(34),"name",char(34),":",char(34),LOWER(C2247),char(34),"}}"))</f>
        <v>{"asset":{"guid":"uuid://d4b535e3-2443-475e-a2f0-5336c6c35865","site":"in-blr-ananta","name":"vav-1819"}}</v>
      </c>
      <c r="S2247" s="360" t="s">
        <v>5516</v>
      </c>
      <c r="T2247" s="330"/>
      <c r="U2247" s="330"/>
      <c r="V2247" s="331"/>
      <c r="W2247" s="332"/>
      <c r="X2247" s="333"/>
      <c r="Y2247" s="33" t="s">
        <v>2867</v>
      </c>
      <c r="Z2247" s="258">
        <v>121819.0</v>
      </c>
      <c r="AA2247" s="333"/>
      <c r="AB2247" s="333"/>
      <c r="AC2247" s="333"/>
      <c r="AD2247" s="329"/>
      <c r="AE2247" s="362" t="s">
        <v>685</v>
      </c>
      <c r="AF2247" s="336"/>
      <c r="AG2247" s="337"/>
      <c r="AH2247" s="333"/>
      <c r="AI2247" s="333"/>
      <c r="AJ2247" s="333"/>
      <c r="AK2247" s="328" t="s">
        <v>2158</v>
      </c>
      <c r="AL2247" s="328" t="s">
        <v>688</v>
      </c>
      <c r="AM2247" s="338"/>
      <c r="AN2247" s="333"/>
      <c r="AO2247" s="333"/>
      <c r="AP2247" s="333"/>
      <c r="AQ2247" s="333"/>
      <c r="AR2247" s="333"/>
      <c r="AS2247" s="333"/>
      <c r="AT2247" s="333"/>
      <c r="AU2247" s="329"/>
      <c r="AV2247" s="341"/>
      <c r="AW2247" s="269"/>
      <c r="AX2247" s="334" t="s">
        <v>2869</v>
      </c>
      <c r="AY2247" s="270" t="s">
        <v>695</v>
      </c>
      <c r="AZ2247" s="173" t="s">
        <v>5516</v>
      </c>
      <c r="BA2247" s="265">
        <v>10.0</v>
      </c>
      <c r="BB2247" s="174" t="s">
        <v>245</v>
      </c>
      <c r="BC2247" s="341"/>
      <c r="BD2247" s="308"/>
      <c r="BE2247" s="342"/>
      <c r="BF2247" s="274" t="str">
        <f>IFERROR(__xludf.DUMMYFUNCTION("LOWER(Regexreplace(to_text(E2247),""[^A-Za-z0-9]"","""")&amp;""_""&amp;Regexreplace(to_text(F2247),""[^A-Za-z0-9]"",""""))"),"neptronic_evcbseries")</f>
        <v>neptronic_evcbseries</v>
      </c>
      <c r="BG2247" s="275" t="str">
        <f>IFERROR(__xludf.DUMMYFUNCTION("upper(Regexreplace(to_text(E2247),""[^A-Za-z0-9]"","""")&amp;""-""&amp;Regexreplace(to_text(F2247),""[^A-Za-z0-9]"",""""))"),"NEPTRONIC-EVCBSERIES")</f>
        <v>NEPTRONIC-EVCBSERIES</v>
      </c>
    </row>
    <row r="2248" ht="30.0" customHeight="1">
      <c r="A2248" s="258">
        <v>2240.0</v>
      </c>
      <c r="B2248" s="328" t="s">
        <v>670</v>
      </c>
      <c r="C2248" s="257" t="s">
        <v>7725</v>
      </c>
      <c r="D2248" s="173" t="s">
        <v>7725</v>
      </c>
      <c r="E2248" s="174" t="s">
        <v>2861</v>
      </c>
      <c r="F2248" s="173" t="s">
        <v>2862</v>
      </c>
      <c r="G2248" s="328" t="s">
        <v>673</v>
      </c>
      <c r="H2248" s="328" t="s">
        <v>2863</v>
      </c>
      <c r="I2248" s="258" t="s">
        <v>2864</v>
      </c>
      <c r="J2248" s="259"/>
      <c r="K2248" s="260"/>
      <c r="L2248" s="363"/>
      <c r="M2248" s="329"/>
      <c r="N2248" s="173" t="s">
        <v>679</v>
      </c>
      <c r="O2248" s="173"/>
      <c r="P2248" s="262" t="str">
        <f t="shared" si="1"/>
        <v>IN-BLR-ANANTA-VAV-1820_</v>
      </c>
      <c r="Q2248" s="173" t="s">
        <v>7726</v>
      </c>
      <c r="R2248" s="328" t="str">
        <f>IFS(C2248="","",C2248="n/a","N/A",LEN(C2248),Concatenate("{",char(34),"asset",char(34),":{",char(34),"guid",char(34),":",char(34),Q2248,char(34),",",char(34),"site",char(34),":",char(34),LOWER('2-Building'!$B$4),char(34),",",char(34),"name",char(34),":",char(34),LOWER(C2248),char(34),"}}"))</f>
        <v>{"asset":{"guid":"uuid://788b21ab-5d40-42b9-8c44-92fa889e34e8","site":"in-blr-ananta","name":"vav-1820"}}</v>
      </c>
      <c r="S2248" s="360" t="s">
        <v>5516</v>
      </c>
      <c r="T2248" s="330"/>
      <c r="U2248" s="330"/>
      <c r="V2248" s="331"/>
      <c r="W2248" s="332"/>
      <c r="X2248" s="333"/>
      <c r="Y2248" s="33" t="s">
        <v>2867</v>
      </c>
      <c r="Z2248" s="258">
        <v>121820.0</v>
      </c>
      <c r="AA2248" s="333"/>
      <c r="AB2248" s="333"/>
      <c r="AC2248" s="333"/>
      <c r="AD2248" s="329"/>
      <c r="AE2248" s="362" t="s">
        <v>685</v>
      </c>
      <c r="AF2248" s="336"/>
      <c r="AG2248" s="337"/>
      <c r="AH2248" s="333"/>
      <c r="AI2248" s="333"/>
      <c r="AJ2248" s="333"/>
      <c r="AK2248" s="328" t="s">
        <v>2162</v>
      </c>
      <c r="AL2248" s="328" t="s">
        <v>688</v>
      </c>
      <c r="AM2248" s="338"/>
      <c r="AN2248" s="333"/>
      <c r="AO2248" s="333"/>
      <c r="AP2248" s="333"/>
      <c r="AQ2248" s="333"/>
      <c r="AR2248" s="333"/>
      <c r="AS2248" s="333"/>
      <c r="AT2248" s="333"/>
      <c r="AU2248" s="329"/>
      <c r="AV2248" s="341"/>
      <c r="AW2248" s="269"/>
      <c r="AX2248" s="334" t="s">
        <v>2869</v>
      </c>
      <c r="AY2248" s="270" t="s">
        <v>695</v>
      </c>
      <c r="AZ2248" s="173" t="s">
        <v>5516</v>
      </c>
      <c r="BA2248" s="265">
        <v>10.0</v>
      </c>
      <c r="BB2248" s="174" t="s">
        <v>245</v>
      </c>
      <c r="BC2248" s="341"/>
      <c r="BD2248" s="308"/>
      <c r="BE2248" s="342"/>
      <c r="BF2248" s="274" t="str">
        <f>IFERROR(__xludf.DUMMYFUNCTION("LOWER(Regexreplace(to_text(E2248),""[^A-Za-z0-9]"","""")&amp;""_""&amp;Regexreplace(to_text(F2248),""[^A-Za-z0-9]"",""""))"),"neptronic_evcbseries")</f>
        <v>neptronic_evcbseries</v>
      </c>
      <c r="BG2248" s="275" t="str">
        <f>IFERROR(__xludf.DUMMYFUNCTION("upper(Regexreplace(to_text(E2248),""[^A-Za-z0-9]"","""")&amp;""-""&amp;Regexreplace(to_text(F2248),""[^A-Za-z0-9]"",""""))"),"NEPTRONIC-EVCBSERIES")</f>
        <v>NEPTRONIC-EVCBSERIES</v>
      </c>
    </row>
    <row r="2249" ht="30.0" customHeight="1">
      <c r="A2249" s="173">
        <v>2241.0</v>
      </c>
      <c r="B2249" s="328" t="s">
        <v>670</v>
      </c>
      <c r="C2249" s="257" t="s">
        <v>7727</v>
      </c>
      <c r="D2249" s="173" t="s">
        <v>7727</v>
      </c>
      <c r="E2249" s="174" t="s">
        <v>2861</v>
      </c>
      <c r="F2249" s="173" t="s">
        <v>2862</v>
      </c>
      <c r="G2249" s="328" t="s">
        <v>673</v>
      </c>
      <c r="H2249" s="328" t="s">
        <v>2863</v>
      </c>
      <c r="I2249" s="258" t="s">
        <v>2864</v>
      </c>
      <c r="J2249" s="259"/>
      <c r="K2249" s="260"/>
      <c r="L2249" s="363"/>
      <c r="M2249" s="329"/>
      <c r="N2249" s="173" t="s">
        <v>679</v>
      </c>
      <c r="O2249" s="173"/>
      <c r="P2249" s="262" t="str">
        <f t="shared" si="1"/>
        <v>IN-BLR-ANANTA-VAV-1821_</v>
      </c>
      <c r="Q2249" s="173" t="s">
        <v>7728</v>
      </c>
      <c r="R2249" s="328" t="str">
        <f>IFS(C2249="","",C2249="n/a","N/A",LEN(C2249),Concatenate("{",char(34),"asset",char(34),":{",char(34),"guid",char(34),":",char(34),Q2249,char(34),",",char(34),"site",char(34),":",char(34),LOWER('2-Building'!$B$4),char(34),",",char(34),"name",char(34),":",char(34),LOWER(C2249),char(34),"}}"))</f>
        <v>{"asset":{"guid":"uuid://806d315b-f357-4cf2-9816-ef6390a175f8","site":"in-blr-ananta","name":"vav-1821"}}</v>
      </c>
      <c r="S2249" s="360" t="s">
        <v>5516</v>
      </c>
      <c r="T2249" s="330"/>
      <c r="U2249" s="330"/>
      <c r="V2249" s="331"/>
      <c r="W2249" s="332"/>
      <c r="X2249" s="333"/>
      <c r="Y2249" s="33" t="s">
        <v>2867</v>
      </c>
      <c r="Z2249" s="258">
        <v>121821.0</v>
      </c>
      <c r="AA2249" s="333"/>
      <c r="AB2249" s="333"/>
      <c r="AC2249" s="333"/>
      <c r="AD2249" s="329"/>
      <c r="AE2249" s="362" t="s">
        <v>685</v>
      </c>
      <c r="AF2249" s="336"/>
      <c r="AG2249" s="337"/>
      <c r="AH2249" s="333"/>
      <c r="AI2249" s="333"/>
      <c r="AJ2249" s="333"/>
      <c r="AK2249" s="328" t="s">
        <v>2167</v>
      </c>
      <c r="AL2249" s="328" t="s">
        <v>688</v>
      </c>
      <c r="AM2249" s="338"/>
      <c r="AN2249" s="333"/>
      <c r="AO2249" s="333"/>
      <c r="AP2249" s="333"/>
      <c r="AQ2249" s="333"/>
      <c r="AR2249" s="333"/>
      <c r="AS2249" s="333"/>
      <c r="AT2249" s="333"/>
      <c r="AU2249" s="329"/>
      <c r="AV2249" s="341"/>
      <c r="AW2249" s="269"/>
      <c r="AX2249" s="334" t="s">
        <v>2869</v>
      </c>
      <c r="AY2249" s="270" t="s">
        <v>695</v>
      </c>
      <c r="AZ2249" s="173" t="s">
        <v>5516</v>
      </c>
      <c r="BA2249" s="265">
        <v>10.0</v>
      </c>
      <c r="BB2249" s="174" t="s">
        <v>245</v>
      </c>
      <c r="BC2249" s="341"/>
      <c r="BD2249" s="308"/>
      <c r="BE2249" s="342"/>
      <c r="BF2249" s="274" t="str">
        <f>IFERROR(__xludf.DUMMYFUNCTION("LOWER(Regexreplace(to_text(E2249),""[^A-Za-z0-9]"","""")&amp;""_""&amp;Regexreplace(to_text(F2249),""[^A-Za-z0-9]"",""""))"),"neptronic_evcbseries")</f>
        <v>neptronic_evcbseries</v>
      </c>
      <c r="BG2249" s="275" t="str">
        <f>IFERROR(__xludf.DUMMYFUNCTION("upper(Regexreplace(to_text(E2249),""[^A-Za-z0-9]"","""")&amp;""-""&amp;Regexreplace(to_text(F2249),""[^A-Za-z0-9]"",""""))"),"NEPTRONIC-EVCBSERIES")</f>
        <v>NEPTRONIC-EVCBSERIES</v>
      </c>
    </row>
    <row r="2250" ht="30.0" customHeight="1">
      <c r="A2250" s="258">
        <v>2242.0</v>
      </c>
      <c r="B2250" s="328" t="s">
        <v>670</v>
      </c>
      <c r="C2250" s="257" t="s">
        <v>7729</v>
      </c>
      <c r="D2250" s="173" t="s">
        <v>7729</v>
      </c>
      <c r="E2250" s="174" t="s">
        <v>2861</v>
      </c>
      <c r="F2250" s="173" t="s">
        <v>2862</v>
      </c>
      <c r="G2250" s="328" t="s">
        <v>673</v>
      </c>
      <c r="H2250" s="328" t="s">
        <v>2863</v>
      </c>
      <c r="I2250" s="258" t="s">
        <v>2864</v>
      </c>
      <c r="J2250" s="259"/>
      <c r="K2250" s="260"/>
      <c r="L2250" s="363"/>
      <c r="M2250" s="329"/>
      <c r="N2250" s="173" t="s">
        <v>679</v>
      </c>
      <c r="O2250" s="173"/>
      <c r="P2250" s="262" t="str">
        <f t="shared" si="1"/>
        <v>IN-BLR-ANANTA-VAV-1822_</v>
      </c>
      <c r="Q2250" s="173" t="s">
        <v>7730</v>
      </c>
      <c r="R2250" s="328" t="str">
        <f>IFS(C2250="","",C2250="n/a","N/A",LEN(C2250),Concatenate("{",char(34),"asset",char(34),":{",char(34),"guid",char(34),":",char(34),Q2250,char(34),",",char(34),"site",char(34),":",char(34),LOWER('2-Building'!$B$4),char(34),",",char(34),"name",char(34),":",char(34),LOWER(C2250),char(34),"}}"))</f>
        <v>{"asset":{"guid":"uuid://b25f87c6-f40d-4b4a-bac8-911af3502ef5","site":"in-blr-ananta","name":"vav-1822"}}</v>
      </c>
      <c r="S2250" s="360" t="s">
        <v>5516</v>
      </c>
      <c r="T2250" s="330"/>
      <c r="U2250" s="330"/>
      <c r="V2250" s="331"/>
      <c r="W2250" s="332"/>
      <c r="X2250" s="333"/>
      <c r="Y2250" s="33" t="s">
        <v>2867</v>
      </c>
      <c r="Z2250" s="258">
        <v>121822.0</v>
      </c>
      <c r="AA2250" s="333"/>
      <c r="AB2250" s="333"/>
      <c r="AC2250" s="333"/>
      <c r="AD2250" s="329"/>
      <c r="AE2250" s="362" t="s">
        <v>685</v>
      </c>
      <c r="AF2250" s="336"/>
      <c r="AG2250" s="337"/>
      <c r="AH2250" s="333"/>
      <c r="AI2250" s="333"/>
      <c r="AJ2250" s="333"/>
      <c r="AK2250" s="328" t="s">
        <v>2172</v>
      </c>
      <c r="AL2250" s="328" t="s">
        <v>688</v>
      </c>
      <c r="AM2250" s="338"/>
      <c r="AN2250" s="333"/>
      <c r="AO2250" s="333"/>
      <c r="AP2250" s="333"/>
      <c r="AQ2250" s="333"/>
      <c r="AR2250" s="333"/>
      <c r="AS2250" s="333"/>
      <c r="AT2250" s="333"/>
      <c r="AU2250" s="329"/>
      <c r="AV2250" s="341"/>
      <c r="AW2250" s="269"/>
      <c r="AX2250" s="334" t="s">
        <v>2869</v>
      </c>
      <c r="AY2250" s="270" t="s">
        <v>695</v>
      </c>
      <c r="AZ2250" s="173" t="s">
        <v>5516</v>
      </c>
      <c r="BA2250" s="265">
        <v>10.0</v>
      </c>
      <c r="BB2250" s="174" t="s">
        <v>245</v>
      </c>
      <c r="BC2250" s="341"/>
      <c r="BD2250" s="308"/>
      <c r="BE2250" s="342"/>
      <c r="BF2250" s="274" t="str">
        <f>IFERROR(__xludf.DUMMYFUNCTION("LOWER(Regexreplace(to_text(E2250),""[^A-Za-z0-9]"","""")&amp;""_""&amp;Regexreplace(to_text(F2250),""[^A-Za-z0-9]"",""""))"),"neptronic_evcbseries")</f>
        <v>neptronic_evcbseries</v>
      </c>
      <c r="BG2250" s="275" t="str">
        <f>IFERROR(__xludf.DUMMYFUNCTION("upper(Regexreplace(to_text(E2250),""[^A-Za-z0-9]"","""")&amp;""-""&amp;Regexreplace(to_text(F2250),""[^A-Za-z0-9]"",""""))"),"NEPTRONIC-EVCBSERIES")</f>
        <v>NEPTRONIC-EVCBSERIES</v>
      </c>
    </row>
    <row r="2251" ht="30.0" customHeight="1">
      <c r="A2251" s="173">
        <v>2243.0</v>
      </c>
      <c r="B2251" s="328" t="s">
        <v>670</v>
      </c>
      <c r="C2251" s="257" t="s">
        <v>7731</v>
      </c>
      <c r="D2251" s="173" t="s">
        <v>7731</v>
      </c>
      <c r="E2251" s="174" t="s">
        <v>2861</v>
      </c>
      <c r="F2251" s="173" t="s">
        <v>2862</v>
      </c>
      <c r="G2251" s="328" t="s">
        <v>673</v>
      </c>
      <c r="H2251" s="328" t="s">
        <v>2863</v>
      </c>
      <c r="I2251" s="258" t="s">
        <v>2864</v>
      </c>
      <c r="J2251" s="259"/>
      <c r="K2251" s="260"/>
      <c r="L2251" s="363"/>
      <c r="M2251" s="329"/>
      <c r="N2251" s="173" t="s">
        <v>679</v>
      </c>
      <c r="O2251" s="173"/>
      <c r="P2251" s="262" t="str">
        <f t="shared" si="1"/>
        <v>IN-BLR-ANANTA-VAV-1823_</v>
      </c>
      <c r="Q2251" s="173" t="s">
        <v>7732</v>
      </c>
      <c r="R2251" s="328" t="str">
        <f>IFS(C2251="","",C2251="n/a","N/A",LEN(C2251),Concatenate("{",char(34),"asset",char(34),":{",char(34),"guid",char(34),":",char(34),Q2251,char(34),",",char(34),"site",char(34),":",char(34),LOWER('2-Building'!$B$4),char(34),",",char(34),"name",char(34),":",char(34),LOWER(C2251),char(34),"}}"))</f>
        <v>{"asset":{"guid":"uuid://2da84b30-94cf-40e3-b1a2-1c3826ddec17","site":"in-blr-ananta","name":"vav-1823"}}</v>
      </c>
      <c r="S2251" s="360" t="s">
        <v>5516</v>
      </c>
      <c r="T2251" s="330"/>
      <c r="U2251" s="330"/>
      <c r="V2251" s="331"/>
      <c r="W2251" s="332"/>
      <c r="X2251" s="333"/>
      <c r="Y2251" s="33" t="s">
        <v>2867</v>
      </c>
      <c r="Z2251" s="258">
        <v>121823.0</v>
      </c>
      <c r="AA2251" s="333"/>
      <c r="AB2251" s="333"/>
      <c r="AC2251" s="333"/>
      <c r="AD2251" s="329"/>
      <c r="AE2251" s="362" t="s">
        <v>685</v>
      </c>
      <c r="AF2251" s="336"/>
      <c r="AG2251" s="337"/>
      <c r="AH2251" s="333"/>
      <c r="AI2251" s="333"/>
      <c r="AJ2251" s="333"/>
      <c r="AK2251" s="328" t="s">
        <v>2177</v>
      </c>
      <c r="AL2251" s="328" t="s">
        <v>688</v>
      </c>
      <c r="AM2251" s="338"/>
      <c r="AN2251" s="333"/>
      <c r="AO2251" s="333"/>
      <c r="AP2251" s="333"/>
      <c r="AQ2251" s="333"/>
      <c r="AR2251" s="333"/>
      <c r="AS2251" s="333"/>
      <c r="AT2251" s="333"/>
      <c r="AU2251" s="329"/>
      <c r="AV2251" s="341"/>
      <c r="AW2251" s="269"/>
      <c r="AX2251" s="334" t="s">
        <v>2869</v>
      </c>
      <c r="AY2251" s="270" t="s">
        <v>695</v>
      </c>
      <c r="AZ2251" s="173" t="s">
        <v>5516</v>
      </c>
      <c r="BA2251" s="265">
        <v>10.0</v>
      </c>
      <c r="BB2251" s="174" t="s">
        <v>245</v>
      </c>
      <c r="BC2251" s="341"/>
      <c r="BD2251" s="308"/>
      <c r="BE2251" s="342"/>
      <c r="BF2251" s="274" t="str">
        <f>IFERROR(__xludf.DUMMYFUNCTION("LOWER(Regexreplace(to_text(E2251),""[^A-Za-z0-9]"","""")&amp;""_""&amp;Regexreplace(to_text(F2251),""[^A-Za-z0-9]"",""""))"),"neptronic_evcbseries")</f>
        <v>neptronic_evcbseries</v>
      </c>
      <c r="BG2251" s="275" t="str">
        <f>IFERROR(__xludf.DUMMYFUNCTION("upper(Regexreplace(to_text(E2251),""[^A-Za-z0-9]"","""")&amp;""-""&amp;Regexreplace(to_text(F2251),""[^A-Za-z0-9]"",""""))"),"NEPTRONIC-EVCBSERIES")</f>
        <v>NEPTRONIC-EVCBSERIES</v>
      </c>
    </row>
    <row r="2252" ht="30.0" customHeight="1">
      <c r="A2252" s="258">
        <v>2244.0</v>
      </c>
      <c r="B2252" s="328" t="s">
        <v>670</v>
      </c>
      <c r="C2252" s="257" t="s">
        <v>7733</v>
      </c>
      <c r="D2252" s="173" t="s">
        <v>7733</v>
      </c>
      <c r="E2252" s="174" t="s">
        <v>2861</v>
      </c>
      <c r="F2252" s="173" t="s">
        <v>2862</v>
      </c>
      <c r="G2252" s="328" t="s">
        <v>673</v>
      </c>
      <c r="H2252" s="328" t="s">
        <v>2863</v>
      </c>
      <c r="I2252" s="258" t="s">
        <v>2864</v>
      </c>
      <c r="J2252" s="259"/>
      <c r="K2252" s="260"/>
      <c r="L2252" s="363"/>
      <c r="M2252" s="329"/>
      <c r="N2252" s="173" t="s">
        <v>679</v>
      </c>
      <c r="O2252" s="173"/>
      <c r="P2252" s="262" t="str">
        <f t="shared" si="1"/>
        <v>IN-BLR-ANANTA-VAV-1824_</v>
      </c>
      <c r="Q2252" s="173" t="s">
        <v>7734</v>
      </c>
      <c r="R2252" s="328" t="str">
        <f>IFS(C2252="","",C2252="n/a","N/A",LEN(C2252),Concatenate("{",char(34),"asset",char(34),":{",char(34),"guid",char(34),":",char(34),Q2252,char(34),",",char(34),"site",char(34),":",char(34),LOWER('2-Building'!$B$4),char(34),",",char(34),"name",char(34),":",char(34),LOWER(C2252),char(34),"}}"))</f>
        <v>{"asset":{"guid":"uuid://8eb039d8-c2f5-4689-b741-fc8d70b5f437","site":"in-blr-ananta","name":"vav-1824"}}</v>
      </c>
      <c r="S2252" s="360" t="s">
        <v>5516</v>
      </c>
      <c r="T2252" s="330"/>
      <c r="U2252" s="330"/>
      <c r="V2252" s="331"/>
      <c r="W2252" s="332"/>
      <c r="X2252" s="333"/>
      <c r="Y2252" s="33" t="s">
        <v>2867</v>
      </c>
      <c r="Z2252" s="258">
        <v>121824.0</v>
      </c>
      <c r="AA2252" s="333"/>
      <c r="AB2252" s="333"/>
      <c r="AC2252" s="333"/>
      <c r="AD2252" s="329"/>
      <c r="AE2252" s="362" t="s">
        <v>685</v>
      </c>
      <c r="AF2252" s="336"/>
      <c r="AG2252" s="337"/>
      <c r="AH2252" s="333"/>
      <c r="AI2252" s="333"/>
      <c r="AJ2252" s="333"/>
      <c r="AK2252" s="328" t="s">
        <v>2182</v>
      </c>
      <c r="AL2252" s="328" t="s">
        <v>688</v>
      </c>
      <c r="AM2252" s="338"/>
      <c r="AN2252" s="333"/>
      <c r="AO2252" s="333"/>
      <c r="AP2252" s="333"/>
      <c r="AQ2252" s="333"/>
      <c r="AR2252" s="333"/>
      <c r="AS2252" s="333"/>
      <c r="AT2252" s="333"/>
      <c r="AU2252" s="329"/>
      <c r="AV2252" s="341"/>
      <c r="AW2252" s="269"/>
      <c r="AX2252" s="334" t="s">
        <v>2869</v>
      </c>
      <c r="AY2252" s="270" t="s">
        <v>695</v>
      </c>
      <c r="AZ2252" s="173" t="s">
        <v>5516</v>
      </c>
      <c r="BA2252" s="265">
        <v>10.0</v>
      </c>
      <c r="BB2252" s="174" t="s">
        <v>245</v>
      </c>
      <c r="BC2252" s="341"/>
      <c r="BD2252" s="308"/>
      <c r="BE2252" s="342"/>
      <c r="BF2252" s="274" t="str">
        <f>IFERROR(__xludf.DUMMYFUNCTION("LOWER(Regexreplace(to_text(E2252),""[^A-Za-z0-9]"","""")&amp;""_""&amp;Regexreplace(to_text(F2252),""[^A-Za-z0-9]"",""""))"),"neptronic_evcbseries")</f>
        <v>neptronic_evcbseries</v>
      </c>
      <c r="BG2252" s="275" t="str">
        <f>IFERROR(__xludf.DUMMYFUNCTION("upper(Regexreplace(to_text(E2252),""[^A-Za-z0-9]"","""")&amp;""-""&amp;Regexreplace(to_text(F2252),""[^A-Za-z0-9]"",""""))"),"NEPTRONIC-EVCBSERIES")</f>
        <v>NEPTRONIC-EVCBSERIES</v>
      </c>
    </row>
    <row r="2253" ht="30.0" customHeight="1">
      <c r="A2253" s="173">
        <v>2245.0</v>
      </c>
      <c r="B2253" s="328" t="s">
        <v>670</v>
      </c>
      <c r="C2253" s="257" t="s">
        <v>7735</v>
      </c>
      <c r="D2253" s="173" t="s">
        <v>7735</v>
      </c>
      <c r="E2253" s="174" t="s">
        <v>2861</v>
      </c>
      <c r="F2253" s="173" t="s">
        <v>2862</v>
      </c>
      <c r="G2253" s="328" t="s">
        <v>673</v>
      </c>
      <c r="H2253" s="328" t="s">
        <v>2863</v>
      </c>
      <c r="I2253" s="258" t="s">
        <v>2864</v>
      </c>
      <c r="J2253" s="259"/>
      <c r="K2253" s="260"/>
      <c r="L2253" s="363"/>
      <c r="M2253" s="329"/>
      <c r="N2253" s="173" t="s">
        <v>679</v>
      </c>
      <c r="O2253" s="173"/>
      <c r="P2253" s="262" t="str">
        <f t="shared" si="1"/>
        <v>IN-BLR-ANANTA-VAV-1825_</v>
      </c>
      <c r="Q2253" s="173" t="s">
        <v>7736</v>
      </c>
      <c r="R2253" s="328" t="str">
        <f>IFS(C2253="","",C2253="n/a","N/A",LEN(C2253),Concatenate("{",char(34),"asset",char(34),":{",char(34),"guid",char(34),":",char(34),Q2253,char(34),",",char(34),"site",char(34),":",char(34),LOWER('2-Building'!$B$4),char(34),",",char(34),"name",char(34),":",char(34),LOWER(C2253),char(34),"}}"))</f>
        <v>{"asset":{"guid":"uuid://348fe527-b2a3-451d-9eab-32385fff6a03","site":"in-blr-ananta","name":"vav-1825"}}</v>
      </c>
      <c r="S2253" s="360" t="s">
        <v>5516</v>
      </c>
      <c r="T2253" s="330"/>
      <c r="U2253" s="330"/>
      <c r="V2253" s="331"/>
      <c r="W2253" s="332"/>
      <c r="X2253" s="333"/>
      <c r="Y2253" s="33" t="s">
        <v>2867</v>
      </c>
      <c r="Z2253" s="258">
        <v>121825.0</v>
      </c>
      <c r="AA2253" s="333"/>
      <c r="AB2253" s="333"/>
      <c r="AC2253" s="333"/>
      <c r="AD2253" s="329"/>
      <c r="AE2253" s="362" t="s">
        <v>685</v>
      </c>
      <c r="AF2253" s="336"/>
      <c r="AG2253" s="337"/>
      <c r="AH2253" s="333"/>
      <c r="AI2253" s="333"/>
      <c r="AJ2253" s="333"/>
      <c r="AK2253" s="328" t="s">
        <v>2187</v>
      </c>
      <c r="AL2253" s="328" t="s">
        <v>688</v>
      </c>
      <c r="AM2253" s="338"/>
      <c r="AN2253" s="333"/>
      <c r="AO2253" s="333"/>
      <c r="AP2253" s="333"/>
      <c r="AQ2253" s="333"/>
      <c r="AR2253" s="333"/>
      <c r="AS2253" s="333"/>
      <c r="AT2253" s="333"/>
      <c r="AU2253" s="329"/>
      <c r="AV2253" s="341"/>
      <c r="AW2253" s="269"/>
      <c r="AX2253" s="334" t="s">
        <v>2869</v>
      </c>
      <c r="AY2253" s="270" t="s">
        <v>695</v>
      </c>
      <c r="AZ2253" s="173" t="s">
        <v>5516</v>
      </c>
      <c r="BA2253" s="265">
        <v>10.0</v>
      </c>
      <c r="BB2253" s="174" t="s">
        <v>245</v>
      </c>
      <c r="BC2253" s="341"/>
      <c r="BD2253" s="308"/>
      <c r="BE2253" s="342"/>
      <c r="BF2253" s="274" t="str">
        <f>IFERROR(__xludf.DUMMYFUNCTION("LOWER(Regexreplace(to_text(E2253),""[^A-Za-z0-9]"","""")&amp;""_""&amp;Regexreplace(to_text(F2253),""[^A-Za-z0-9]"",""""))"),"neptronic_evcbseries")</f>
        <v>neptronic_evcbseries</v>
      </c>
      <c r="BG2253" s="275" t="str">
        <f>IFERROR(__xludf.DUMMYFUNCTION("upper(Regexreplace(to_text(E2253),""[^A-Za-z0-9]"","""")&amp;""-""&amp;Regexreplace(to_text(F2253),""[^A-Za-z0-9]"",""""))"),"NEPTRONIC-EVCBSERIES")</f>
        <v>NEPTRONIC-EVCBSERIES</v>
      </c>
    </row>
    <row r="2254" ht="30.0" customHeight="1">
      <c r="A2254" s="258">
        <v>2246.0</v>
      </c>
      <c r="B2254" s="328" t="s">
        <v>670</v>
      </c>
      <c r="C2254" s="257" t="s">
        <v>7737</v>
      </c>
      <c r="D2254" s="173" t="s">
        <v>7737</v>
      </c>
      <c r="E2254" s="174" t="s">
        <v>2861</v>
      </c>
      <c r="F2254" s="173" t="s">
        <v>2862</v>
      </c>
      <c r="G2254" s="328" t="s">
        <v>673</v>
      </c>
      <c r="H2254" s="328" t="s">
        <v>2863</v>
      </c>
      <c r="I2254" s="258" t="s">
        <v>2864</v>
      </c>
      <c r="J2254" s="259"/>
      <c r="K2254" s="260"/>
      <c r="L2254" s="363"/>
      <c r="M2254" s="329"/>
      <c r="N2254" s="173" t="s">
        <v>679</v>
      </c>
      <c r="O2254" s="173"/>
      <c r="P2254" s="262" t="str">
        <f t="shared" si="1"/>
        <v>IN-BLR-ANANTA-VAV-1826_</v>
      </c>
      <c r="Q2254" s="173" t="s">
        <v>7738</v>
      </c>
      <c r="R2254" s="328" t="str">
        <f>IFS(C2254="","",C2254="n/a","N/A",LEN(C2254),Concatenate("{",char(34),"asset",char(34),":{",char(34),"guid",char(34),":",char(34),Q2254,char(34),",",char(34),"site",char(34),":",char(34),LOWER('2-Building'!$B$4),char(34),",",char(34),"name",char(34),":",char(34),LOWER(C2254),char(34),"}}"))</f>
        <v>{"asset":{"guid":"uuid://f0ed6de8-9f75-4b06-9bd8-2596020aef0c","site":"in-blr-ananta","name":"vav-1826"}}</v>
      </c>
      <c r="S2254" s="360" t="s">
        <v>5516</v>
      </c>
      <c r="T2254" s="330"/>
      <c r="U2254" s="330"/>
      <c r="V2254" s="331"/>
      <c r="W2254" s="332"/>
      <c r="X2254" s="333"/>
      <c r="Y2254" s="33" t="s">
        <v>2867</v>
      </c>
      <c r="Z2254" s="258">
        <v>121826.0</v>
      </c>
      <c r="AA2254" s="333"/>
      <c r="AB2254" s="333"/>
      <c r="AC2254" s="333"/>
      <c r="AD2254" s="329"/>
      <c r="AE2254" s="362" t="s">
        <v>685</v>
      </c>
      <c r="AF2254" s="336"/>
      <c r="AG2254" s="337"/>
      <c r="AH2254" s="333"/>
      <c r="AI2254" s="333"/>
      <c r="AJ2254" s="333"/>
      <c r="AK2254" s="328" t="s">
        <v>2192</v>
      </c>
      <c r="AL2254" s="328" t="s">
        <v>688</v>
      </c>
      <c r="AM2254" s="338"/>
      <c r="AN2254" s="333"/>
      <c r="AO2254" s="333"/>
      <c r="AP2254" s="333"/>
      <c r="AQ2254" s="333"/>
      <c r="AR2254" s="333"/>
      <c r="AS2254" s="333"/>
      <c r="AT2254" s="333"/>
      <c r="AU2254" s="329"/>
      <c r="AV2254" s="341"/>
      <c r="AW2254" s="269"/>
      <c r="AX2254" s="334" t="s">
        <v>2869</v>
      </c>
      <c r="AY2254" s="270" t="s">
        <v>695</v>
      </c>
      <c r="AZ2254" s="173" t="s">
        <v>5516</v>
      </c>
      <c r="BA2254" s="265">
        <v>10.0</v>
      </c>
      <c r="BB2254" s="174" t="s">
        <v>245</v>
      </c>
      <c r="BC2254" s="341"/>
      <c r="BD2254" s="308"/>
      <c r="BE2254" s="342"/>
      <c r="BF2254" s="274" t="str">
        <f>IFERROR(__xludf.DUMMYFUNCTION("LOWER(Regexreplace(to_text(E2254),""[^A-Za-z0-9]"","""")&amp;""_""&amp;Regexreplace(to_text(F2254),""[^A-Za-z0-9]"",""""))"),"neptronic_evcbseries")</f>
        <v>neptronic_evcbseries</v>
      </c>
      <c r="BG2254" s="275" t="str">
        <f>IFERROR(__xludf.DUMMYFUNCTION("upper(Regexreplace(to_text(E2254),""[^A-Za-z0-9]"","""")&amp;""-""&amp;Regexreplace(to_text(F2254),""[^A-Za-z0-9]"",""""))"),"NEPTRONIC-EVCBSERIES")</f>
        <v>NEPTRONIC-EVCBSERIES</v>
      </c>
    </row>
    <row r="2255" ht="30.0" customHeight="1">
      <c r="A2255" s="173">
        <v>2247.0</v>
      </c>
      <c r="B2255" s="328" t="s">
        <v>670</v>
      </c>
      <c r="C2255" s="257" t="s">
        <v>7739</v>
      </c>
      <c r="D2255" s="173" t="s">
        <v>7739</v>
      </c>
      <c r="E2255" s="174" t="s">
        <v>2861</v>
      </c>
      <c r="F2255" s="173" t="s">
        <v>2862</v>
      </c>
      <c r="G2255" s="328" t="s">
        <v>673</v>
      </c>
      <c r="H2255" s="328" t="s">
        <v>2863</v>
      </c>
      <c r="I2255" s="258" t="s">
        <v>2864</v>
      </c>
      <c r="J2255" s="259"/>
      <c r="K2255" s="260"/>
      <c r="L2255" s="363"/>
      <c r="M2255" s="329"/>
      <c r="N2255" s="173" t="s">
        <v>679</v>
      </c>
      <c r="O2255" s="173"/>
      <c r="P2255" s="262" t="str">
        <f t="shared" si="1"/>
        <v>IN-BLR-ANANTA-VAV-1827_</v>
      </c>
      <c r="Q2255" s="173" t="s">
        <v>7740</v>
      </c>
      <c r="R2255" s="328" t="str">
        <f>IFS(C2255="","",C2255="n/a","N/A",LEN(C2255),Concatenate("{",char(34),"asset",char(34),":{",char(34),"guid",char(34),":",char(34),Q2255,char(34),",",char(34),"site",char(34),":",char(34),LOWER('2-Building'!$B$4),char(34),",",char(34),"name",char(34),":",char(34),LOWER(C2255),char(34),"}}"))</f>
        <v>{"asset":{"guid":"uuid://728d46b5-6c50-4f35-a50f-a66e93556da7","site":"in-blr-ananta","name":"vav-1827"}}</v>
      </c>
      <c r="S2255" s="360" t="s">
        <v>5516</v>
      </c>
      <c r="T2255" s="330"/>
      <c r="U2255" s="330"/>
      <c r="V2255" s="331"/>
      <c r="W2255" s="332"/>
      <c r="X2255" s="333"/>
      <c r="Y2255" s="33" t="s">
        <v>2867</v>
      </c>
      <c r="Z2255" s="258">
        <v>121827.0</v>
      </c>
      <c r="AA2255" s="333"/>
      <c r="AB2255" s="333"/>
      <c r="AC2255" s="333"/>
      <c r="AD2255" s="329"/>
      <c r="AE2255" s="362" t="s">
        <v>685</v>
      </c>
      <c r="AF2255" s="336"/>
      <c r="AG2255" s="337"/>
      <c r="AH2255" s="333"/>
      <c r="AI2255" s="333"/>
      <c r="AJ2255" s="333"/>
      <c r="AK2255" s="328" t="s">
        <v>2197</v>
      </c>
      <c r="AL2255" s="328" t="s">
        <v>688</v>
      </c>
      <c r="AM2255" s="338"/>
      <c r="AN2255" s="333"/>
      <c r="AO2255" s="333"/>
      <c r="AP2255" s="333"/>
      <c r="AQ2255" s="333"/>
      <c r="AR2255" s="333"/>
      <c r="AS2255" s="333"/>
      <c r="AT2255" s="333"/>
      <c r="AU2255" s="329"/>
      <c r="AV2255" s="341"/>
      <c r="AW2255" s="269"/>
      <c r="AX2255" s="334" t="s">
        <v>2869</v>
      </c>
      <c r="AY2255" s="270" t="s">
        <v>695</v>
      </c>
      <c r="AZ2255" s="173" t="s">
        <v>5516</v>
      </c>
      <c r="BA2255" s="265">
        <v>10.0</v>
      </c>
      <c r="BB2255" s="174" t="s">
        <v>245</v>
      </c>
      <c r="BC2255" s="341"/>
      <c r="BD2255" s="308"/>
      <c r="BE2255" s="342"/>
      <c r="BF2255" s="274" t="str">
        <f>IFERROR(__xludf.DUMMYFUNCTION("LOWER(Regexreplace(to_text(E2255),""[^A-Za-z0-9]"","""")&amp;""_""&amp;Regexreplace(to_text(F2255),""[^A-Za-z0-9]"",""""))"),"neptronic_evcbseries")</f>
        <v>neptronic_evcbseries</v>
      </c>
      <c r="BG2255" s="275" t="str">
        <f>IFERROR(__xludf.DUMMYFUNCTION("upper(Regexreplace(to_text(E2255),""[^A-Za-z0-9]"","""")&amp;""-""&amp;Regexreplace(to_text(F2255),""[^A-Za-z0-9]"",""""))"),"NEPTRONIC-EVCBSERIES")</f>
        <v>NEPTRONIC-EVCBSERIES</v>
      </c>
    </row>
    <row r="2256" ht="30.0" customHeight="1">
      <c r="A2256" s="258">
        <v>2248.0</v>
      </c>
      <c r="B2256" s="328" t="s">
        <v>670</v>
      </c>
      <c r="C2256" s="257" t="s">
        <v>7741</v>
      </c>
      <c r="D2256" s="173" t="s">
        <v>7741</v>
      </c>
      <c r="E2256" s="174" t="s">
        <v>2861</v>
      </c>
      <c r="F2256" s="173" t="s">
        <v>2862</v>
      </c>
      <c r="G2256" s="328" t="s">
        <v>673</v>
      </c>
      <c r="H2256" s="328" t="s">
        <v>2863</v>
      </c>
      <c r="I2256" s="258" t="s">
        <v>2864</v>
      </c>
      <c r="J2256" s="259"/>
      <c r="K2256" s="260"/>
      <c r="L2256" s="363"/>
      <c r="M2256" s="329"/>
      <c r="N2256" s="173" t="s">
        <v>679</v>
      </c>
      <c r="O2256" s="173"/>
      <c r="P2256" s="262" t="str">
        <f t="shared" si="1"/>
        <v>IN-BLR-ANANTA-VAV-1828_</v>
      </c>
      <c r="Q2256" s="173" t="s">
        <v>7742</v>
      </c>
      <c r="R2256" s="328" t="str">
        <f>IFS(C2256="","",C2256="n/a","N/A",LEN(C2256),Concatenate("{",char(34),"asset",char(34),":{",char(34),"guid",char(34),":",char(34),Q2256,char(34),",",char(34),"site",char(34),":",char(34),LOWER('2-Building'!$B$4),char(34),",",char(34),"name",char(34),":",char(34),LOWER(C2256),char(34),"}}"))</f>
        <v>{"asset":{"guid":"uuid://db783223-0f97-42f3-a2b2-af4b3d220c9d","site":"in-blr-ananta","name":"vav-1828"}}</v>
      </c>
      <c r="S2256" s="360" t="s">
        <v>5516</v>
      </c>
      <c r="T2256" s="330"/>
      <c r="U2256" s="330"/>
      <c r="V2256" s="331"/>
      <c r="W2256" s="332"/>
      <c r="X2256" s="333"/>
      <c r="Y2256" s="33" t="s">
        <v>2867</v>
      </c>
      <c r="Z2256" s="258">
        <v>121828.0</v>
      </c>
      <c r="AA2256" s="333"/>
      <c r="AB2256" s="333"/>
      <c r="AC2256" s="333"/>
      <c r="AD2256" s="329"/>
      <c r="AE2256" s="362" t="s">
        <v>685</v>
      </c>
      <c r="AF2256" s="336"/>
      <c r="AG2256" s="337"/>
      <c r="AH2256" s="333"/>
      <c r="AI2256" s="333"/>
      <c r="AJ2256" s="333"/>
      <c r="AK2256" s="328" t="s">
        <v>2202</v>
      </c>
      <c r="AL2256" s="328" t="s">
        <v>688</v>
      </c>
      <c r="AM2256" s="338"/>
      <c r="AN2256" s="333"/>
      <c r="AO2256" s="333"/>
      <c r="AP2256" s="333"/>
      <c r="AQ2256" s="333"/>
      <c r="AR2256" s="333"/>
      <c r="AS2256" s="333"/>
      <c r="AT2256" s="333"/>
      <c r="AU2256" s="329"/>
      <c r="AV2256" s="341"/>
      <c r="AW2256" s="269"/>
      <c r="AX2256" s="334" t="s">
        <v>2869</v>
      </c>
      <c r="AY2256" s="270" t="s">
        <v>695</v>
      </c>
      <c r="AZ2256" s="173" t="s">
        <v>5516</v>
      </c>
      <c r="BA2256" s="265">
        <v>10.0</v>
      </c>
      <c r="BB2256" s="174" t="s">
        <v>245</v>
      </c>
      <c r="BC2256" s="341"/>
      <c r="BD2256" s="308"/>
      <c r="BE2256" s="342"/>
      <c r="BF2256" s="274" t="str">
        <f>IFERROR(__xludf.DUMMYFUNCTION("LOWER(Regexreplace(to_text(E2256),""[^A-Za-z0-9]"","""")&amp;""_""&amp;Regexreplace(to_text(F2256),""[^A-Za-z0-9]"",""""))"),"neptronic_evcbseries")</f>
        <v>neptronic_evcbseries</v>
      </c>
      <c r="BG2256" s="275" t="str">
        <f>IFERROR(__xludf.DUMMYFUNCTION("upper(Regexreplace(to_text(E2256),""[^A-Za-z0-9]"","""")&amp;""-""&amp;Regexreplace(to_text(F2256),""[^A-Za-z0-9]"",""""))"),"NEPTRONIC-EVCBSERIES")</f>
        <v>NEPTRONIC-EVCBSERIES</v>
      </c>
    </row>
    <row r="2257" ht="30.0" customHeight="1">
      <c r="A2257" s="173">
        <v>2249.0</v>
      </c>
      <c r="B2257" s="328" t="s">
        <v>670</v>
      </c>
      <c r="C2257" s="257" t="s">
        <v>7743</v>
      </c>
      <c r="D2257" s="173" t="s">
        <v>7743</v>
      </c>
      <c r="E2257" s="174" t="s">
        <v>2861</v>
      </c>
      <c r="F2257" s="173" t="s">
        <v>2862</v>
      </c>
      <c r="G2257" s="328" t="s">
        <v>673</v>
      </c>
      <c r="H2257" s="328" t="s">
        <v>2863</v>
      </c>
      <c r="I2257" s="258" t="s">
        <v>2864</v>
      </c>
      <c r="J2257" s="259"/>
      <c r="K2257" s="260"/>
      <c r="L2257" s="363"/>
      <c r="M2257" s="329"/>
      <c r="N2257" s="173" t="s">
        <v>679</v>
      </c>
      <c r="O2257" s="173"/>
      <c r="P2257" s="262" t="str">
        <f t="shared" si="1"/>
        <v>IN-BLR-ANANTA-VAV-1829_</v>
      </c>
      <c r="Q2257" s="173" t="s">
        <v>7744</v>
      </c>
      <c r="R2257" s="328" t="str">
        <f>IFS(C2257="","",C2257="n/a","N/A",LEN(C2257),Concatenate("{",char(34),"asset",char(34),":{",char(34),"guid",char(34),":",char(34),Q2257,char(34),",",char(34),"site",char(34),":",char(34),LOWER('2-Building'!$B$4),char(34),",",char(34),"name",char(34),":",char(34),LOWER(C2257),char(34),"}}"))</f>
        <v>{"asset":{"guid":"uuid://0b6f9ee8-6b26-40c5-ad36-5daeb94bad28","site":"in-blr-ananta","name":"vav-1829"}}</v>
      </c>
      <c r="S2257" s="360" t="s">
        <v>5516</v>
      </c>
      <c r="T2257" s="330"/>
      <c r="U2257" s="330"/>
      <c r="V2257" s="331"/>
      <c r="W2257" s="332"/>
      <c r="X2257" s="333"/>
      <c r="Y2257" s="33" t="s">
        <v>2867</v>
      </c>
      <c r="Z2257" s="258">
        <v>121829.0</v>
      </c>
      <c r="AA2257" s="333"/>
      <c r="AB2257" s="333"/>
      <c r="AC2257" s="333"/>
      <c r="AD2257" s="329"/>
      <c r="AE2257" s="362" t="s">
        <v>685</v>
      </c>
      <c r="AF2257" s="336"/>
      <c r="AG2257" s="337"/>
      <c r="AH2257" s="333"/>
      <c r="AI2257" s="333"/>
      <c r="AJ2257" s="333"/>
      <c r="AK2257" s="328" t="s">
        <v>2207</v>
      </c>
      <c r="AL2257" s="328" t="s">
        <v>688</v>
      </c>
      <c r="AM2257" s="338"/>
      <c r="AN2257" s="333"/>
      <c r="AO2257" s="333"/>
      <c r="AP2257" s="333"/>
      <c r="AQ2257" s="333"/>
      <c r="AR2257" s="333"/>
      <c r="AS2257" s="333"/>
      <c r="AT2257" s="333"/>
      <c r="AU2257" s="329"/>
      <c r="AV2257" s="341"/>
      <c r="AW2257" s="269"/>
      <c r="AX2257" s="334" t="s">
        <v>2869</v>
      </c>
      <c r="AY2257" s="270" t="s">
        <v>695</v>
      </c>
      <c r="AZ2257" s="173" t="s">
        <v>5516</v>
      </c>
      <c r="BA2257" s="265">
        <v>10.0</v>
      </c>
      <c r="BB2257" s="174" t="s">
        <v>245</v>
      </c>
      <c r="BC2257" s="341"/>
      <c r="BD2257" s="308"/>
      <c r="BE2257" s="342"/>
      <c r="BF2257" s="274" t="str">
        <f>IFERROR(__xludf.DUMMYFUNCTION("LOWER(Regexreplace(to_text(E2257),""[^A-Za-z0-9]"","""")&amp;""_""&amp;Regexreplace(to_text(F2257),""[^A-Za-z0-9]"",""""))"),"neptronic_evcbseries")</f>
        <v>neptronic_evcbseries</v>
      </c>
      <c r="BG2257" s="275" t="str">
        <f>IFERROR(__xludf.DUMMYFUNCTION("upper(Regexreplace(to_text(E2257),""[^A-Za-z0-9]"","""")&amp;""-""&amp;Regexreplace(to_text(F2257),""[^A-Za-z0-9]"",""""))"),"NEPTRONIC-EVCBSERIES")</f>
        <v>NEPTRONIC-EVCBSERIES</v>
      </c>
    </row>
    <row r="2258" ht="30.0" customHeight="1">
      <c r="A2258" s="258">
        <v>2250.0</v>
      </c>
      <c r="B2258" s="328" t="s">
        <v>670</v>
      </c>
      <c r="C2258" s="257" t="s">
        <v>7745</v>
      </c>
      <c r="D2258" s="173" t="s">
        <v>7745</v>
      </c>
      <c r="E2258" s="174" t="s">
        <v>2861</v>
      </c>
      <c r="F2258" s="173" t="s">
        <v>2862</v>
      </c>
      <c r="G2258" s="328" t="s">
        <v>673</v>
      </c>
      <c r="H2258" s="328" t="s">
        <v>2863</v>
      </c>
      <c r="I2258" s="258" t="s">
        <v>2864</v>
      </c>
      <c r="J2258" s="259"/>
      <c r="K2258" s="260"/>
      <c r="L2258" s="363"/>
      <c r="M2258" s="329"/>
      <c r="N2258" s="173" t="s">
        <v>679</v>
      </c>
      <c r="O2258" s="173"/>
      <c r="P2258" s="262" t="str">
        <f t="shared" si="1"/>
        <v>IN-BLR-ANANTA-VAV-1830_</v>
      </c>
      <c r="Q2258" s="173" t="s">
        <v>7746</v>
      </c>
      <c r="R2258" s="328" t="str">
        <f>IFS(C2258="","",C2258="n/a","N/A",LEN(C2258),Concatenate("{",char(34),"asset",char(34),":{",char(34),"guid",char(34),":",char(34),Q2258,char(34),",",char(34),"site",char(34),":",char(34),LOWER('2-Building'!$B$4),char(34),",",char(34),"name",char(34),":",char(34),LOWER(C2258),char(34),"}}"))</f>
        <v>{"asset":{"guid":"uuid://ce4dca5c-3a9d-44a6-b079-96aa4c4f4bbb","site":"in-blr-ananta","name":"vav-1830"}}</v>
      </c>
      <c r="S2258" s="360" t="s">
        <v>5516</v>
      </c>
      <c r="T2258" s="330"/>
      <c r="U2258" s="330"/>
      <c r="V2258" s="331"/>
      <c r="W2258" s="332"/>
      <c r="X2258" s="333"/>
      <c r="Y2258" s="33" t="s">
        <v>2867</v>
      </c>
      <c r="Z2258" s="258">
        <v>121830.0</v>
      </c>
      <c r="AA2258" s="333"/>
      <c r="AB2258" s="333"/>
      <c r="AC2258" s="333"/>
      <c r="AD2258" s="329"/>
      <c r="AE2258" s="362" t="s">
        <v>685</v>
      </c>
      <c r="AF2258" s="336"/>
      <c r="AG2258" s="337"/>
      <c r="AH2258" s="333"/>
      <c r="AI2258" s="333"/>
      <c r="AJ2258" s="333"/>
      <c r="AK2258" s="328" t="s">
        <v>2212</v>
      </c>
      <c r="AL2258" s="328" t="s">
        <v>688</v>
      </c>
      <c r="AM2258" s="338"/>
      <c r="AN2258" s="333"/>
      <c r="AO2258" s="333"/>
      <c r="AP2258" s="333"/>
      <c r="AQ2258" s="333"/>
      <c r="AR2258" s="333"/>
      <c r="AS2258" s="333"/>
      <c r="AT2258" s="333"/>
      <c r="AU2258" s="329"/>
      <c r="AV2258" s="341"/>
      <c r="AW2258" s="269"/>
      <c r="AX2258" s="334" t="s">
        <v>2869</v>
      </c>
      <c r="AY2258" s="270" t="s">
        <v>695</v>
      </c>
      <c r="AZ2258" s="173" t="s">
        <v>5516</v>
      </c>
      <c r="BA2258" s="265">
        <v>10.0</v>
      </c>
      <c r="BB2258" s="174" t="s">
        <v>245</v>
      </c>
      <c r="BC2258" s="341"/>
      <c r="BD2258" s="308"/>
      <c r="BE2258" s="342"/>
      <c r="BF2258" s="274" t="str">
        <f>IFERROR(__xludf.DUMMYFUNCTION("LOWER(Regexreplace(to_text(E2258),""[^A-Za-z0-9]"","""")&amp;""_""&amp;Regexreplace(to_text(F2258),""[^A-Za-z0-9]"",""""))"),"neptronic_evcbseries")</f>
        <v>neptronic_evcbseries</v>
      </c>
      <c r="BG2258" s="275" t="str">
        <f>IFERROR(__xludf.DUMMYFUNCTION("upper(Regexreplace(to_text(E2258),""[^A-Za-z0-9]"","""")&amp;""-""&amp;Regexreplace(to_text(F2258),""[^A-Za-z0-9]"",""""))"),"NEPTRONIC-EVCBSERIES")</f>
        <v>NEPTRONIC-EVCBSERIES</v>
      </c>
    </row>
    <row r="2259" ht="30.0" customHeight="1">
      <c r="A2259" s="173">
        <v>2251.0</v>
      </c>
      <c r="B2259" s="328" t="s">
        <v>670</v>
      </c>
      <c r="C2259" s="257" t="s">
        <v>7747</v>
      </c>
      <c r="D2259" s="173" t="s">
        <v>7747</v>
      </c>
      <c r="E2259" s="174" t="s">
        <v>2861</v>
      </c>
      <c r="F2259" s="173" t="s">
        <v>2862</v>
      </c>
      <c r="G2259" s="328" t="s">
        <v>673</v>
      </c>
      <c r="H2259" s="328" t="s">
        <v>2863</v>
      </c>
      <c r="I2259" s="258" t="s">
        <v>2864</v>
      </c>
      <c r="J2259" s="259"/>
      <c r="K2259" s="260"/>
      <c r="L2259" s="363"/>
      <c r="M2259" s="329"/>
      <c r="N2259" s="173" t="s">
        <v>679</v>
      </c>
      <c r="O2259" s="173"/>
      <c r="P2259" s="262" t="str">
        <f t="shared" si="1"/>
        <v>IN-BLR-ANANTA-VAV-1831_</v>
      </c>
      <c r="Q2259" s="173" t="s">
        <v>7748</v>
      </c>
      <c r="R2259" s="328" t="str">
        <f>IFS(C2259="","",C2259="n/a","N/A",LEN(C2259),Concatenate("{",char(34),"asset",char(34),":{",char(34),"guid",char(34),":",char(34),Q2259,char(34),",",char(34),"site",char(34),":",char(34),LOWER('2-Building'!$B$4),char(34),",",char(34),"name",char(34),":",char(34),LOWER(C2259),char(34),"}}"))</f>
        <v>{"asset":{"guid":"uuid://6c6f35f2-08da-42dc-a25b-4c4d1291c699","site":"in-blr-ananta","name":"vav-1831"}}</v>
      </c>
      <c r="S2259" s="360" t="s">
        <v>5516</v>
      </c>
      <c r="T2259" s="330"/>
      <c r="U2259" s="330"/>
      <c r="V2259" s="331"/>
      <c r="W2259" s="332"/>
      <c r="X2259" s="333"/>
      <c r="Y2259" s="33" t="s">
        <v>2867</v>
      </c>
      <c r="Z2259" s="258">
        <v>121831.0</v>
      </c>
      <c r="AA2259" s="333"/>
      <c r="AB2259" s="333"/>
      <c r="AC2259" s="333"/>
      <c r="AD2259" s="329"/>
      <c r="AE2259" s="362" t="s">
        <v>685</v>
      </c>
      <c r="AF2259" s="336"/>
      <c r="AG2259" s="337"/>
      <c r="AH2259" s="333"/>
      <c r="AI2259" s="333"/>
      <c r="AJ2259" s="333"/>
      <c r="AK2259" s="328" t="s">
        <v>2217</v>
      </c>
      <c r="AL2259" s="328" t="s">
        <v>688</v>
      </c>
      <c r="AM2259" s="338"/>
      <c r="AN2259" s="333"/>
      <c r="AO2259" s="333"/>
      <c r="AP2259" s="333"/>
      <c r="AQ2259" s="333"/>
      <c r="AR2259" s="333"/>
      <c r="AS2259" s="333"/>
      <c r="AT2259" s="333"/>
      <c r="AU2259" s="329"/>
      <c r="AV2259" s="341"/>
      <c r="AW2259" s="269"/>
      <c r="AX2259" s="334" t="s">
        <v>2869</v>
      </c>
      <c r="AY2259" s="270" t="s">
        <v>695</v>
      </c>
      <c r="AZ2259" s="173" t="s">
        <v>5516</v>
      </c>
      <c r="BA2259" s="265">
        <v>10.0</v>
      </c>
      <c r="BB2259" s="174" t="s">
        <v>245</v>
      </c>
      <c r="BC2259" s="341"/>
      <c r="BD2259" s="308"/>
      <c r="BE2259" s="342"/>
      <c r="BF2259" s="274" t="str">
        <f>IFERROR(__xludf.DUMMYFUNCTION("LOWER(Regexreplace(to_text(E2259),""[^A-Za-z0-9]"","""")&amp;""_""&amp;Regexreplace(to_text(F2259),""[^A-Za-z0-9]"",""""))"),"neptronic_evcbseries")</f>
        <v>neptronic_evcbseries</v>
      </c>
      <c r="BG2259" s="275" t="str">
        <f>IFERROR(__xludf.DUMMYFUNCTION("upper(Regexreplace(to_text(E2259),""[^A-Za-z0-9]"","""")&amp;""-""&amp;Regexreplace(to_text(F2259),""[^A-Za-z0-9]"",""""))"),"NEPTRONIC-EVCBSERIES")</f>
        <v>NEPTRONIC-EVCBSERIES</v>
      </c>
    </row>
    <row r="2260" ht="30.0" customHeight="1">
      <c r="A2260" s="258">
        <v>2252.0</v>
      </c>
      <c r="B2260" s="328" t="s">
        <v>670</v>
      </c>
      <c r="C2260" s="257" t="s">
        <v>7749</v>
      </c>
      <c r="D2260" s="173" t="s">
        <v>7749</v>
      </c>
      <c r="E2260" s="174" t="s">
        <v>2861</v>
      </c>
      <c r="F2260" s="173" t="s">
        <v>2862</v>
      </c>
      <c r="G2260" s="328" t="s">
        <v>673</v>
      </c>
      <c r="H2260" s="328" t="s">
        <v>2863</v>
      </c>
      <c r="I2260" s="258" t="s">
        <v>2864</v>
      </c>
      <c r="J2260" s="259"/>
      <c r="K2260" s="260"/>
      <c r="L2260" s="363"/>
      <c r="M2260" s="329"/>
      <c r="N2260" s="173" t="s">
        <v>679</v>
      </c>
      <c r="O2260" s="173"/>
      <c r="P2260" s="262" t="str">
        <f t="shared" si="1"/>
        <v>IN-BLR-ANANTA-VAV-1832_</v>
      </c>
      <c r="Q2260" s="173" t="s">
        <v>7750</v>
      </c>
      <c r="R2260" s="328" t="str">
        <f>IFS(C2260="","",C2260="n/a","N/A",LEN(C2260),Concatenate("{",char(34),"asset",char(34),":{",char(34),"guid",char(34),":",char(34),Q2260,char(34),",",char(34),"site",char(34),":",char(34),LOWER('2-Building'!$B$4),char(34),",",char(34),"name",char(34),":",char(34),LOWER(C2260),char(34),"}}"))</f>
        <v>{"asset":{"guid":"uuid://a777c9cc-34d2-4f74-9427-1d5442b90714","site":"in-blr-ananta","name":"vav-1832"}}</v>
      </c>
      <c r="S2260" s="360" t="s">
        <v>5516</v>
      </c>
      <c r="T2260" s="330"/>
      <c r="U2260" s="330"/>
      <c r="V2260" s="331"/>
      <c r="W2260" s="332"/>
      <c r="X2260" s="333"/>
      <c r="Y2260" s="33" t="s">
        <v>2867</v>
      </c>
      <c r="Z2260" s="258">
        <v>121832.0</v>
      </c>
      <c r="AA2260" s="333"/>
      <c r="AB2260" s="333"/>
      <c r="AC2260" s="333"/>
      <c r="AD2260" s="329"/>
      <c r="AE2260" s="362" t="s">
        <v>685</v>
      </c>
      <c r="AF2260" s="336"/>
      <c r="AG2260" s="337"/>
      <c r="AH2260" s="333"/>
      <c r="AI2260" s="333"/>
      <c r="AJ2260" s="333"/>
      <c r="AK2260" s="328" t="s">
        <v>2222</v>
      </c>
      <c r="AL2260" s="328" t="s">
        <v>688</v>
      </c>
      <c r="AM2260" s="338"/>
      <c r="AN2260" s="333"/>
      <c r="AO2260" s="333"/>
      <c r="AP2260" s="333"/>
      <c r="AQ2260" s="333"/>
      <c r="AR2260" s="333"/>
      <c r="AS2260" s="333"/>
      <c r="AT2260" s="333"/>
      <c r="AU2260" s="329"/>
      <c r="AV2260" s="341"/>
      <c r="AW2260" s="269"/>
      <c r="AX2260" s="334" t="s">
        <v>2869</v>
      </c>
      <c r="AY2260" s="270" t="s">
        <v>695</v>
      </c>
      <c r="AZ2260" s="173" t="s">
        <v>5516</v>
      </c>
      <c r="BA2260" s="265">
        <v>10.0</v>
      </c>
      <c r="BB2260" s="174" t="s">
        <v>245</v>
      </c>
      <c r="BC2260" s="341"/>
      <c r="BD2260" s="308"/>
      <c r="BE2260" s="342"/>
      <c r="BF2260" s="274" t="str">
        <f>IFERROR(__xludf.DUMMYFUNCTION("LOWER(Regexreplace(to_text(E2260),""[^A-Za-z0-9]"","""")&amp;""_""&amp;Regexreplace(to_text(F2260),""[^A-Za-z0-9]"",""""))"),"neptronic_evcbseries")</f>
        <v>neptronic_evcbseries</v>
      </c>
      <c r="BG2260" s="275" t="str">
        <f>IFERROR(__xludf.DUMMYFUNCTION("upper(Regexreplace(to_text(E2260),""[^A-Za-z0-9]"","""")&amp;""-""&amp;Regexreplace(to_text(F2260),""[^A-Za-z0-9]"",""""))"),"NEPTRONIC-EVCBSERIES")</f>
        <v>NEPTRONIC-EVCBSERIES</v>
      </c>
    </row>
    <row r="2261" ht="30.0" customHeight="1">
      <c r="A2261" s="173">
        <v>2253.0</v>
      </c>
      <c r="B2261" s="328" t="s">
        <v>670</v>
      </c>
      <c r="C2261" s="257" t="s">
        <v>7751</v>
      </c>
      <c r="D2261" s="173" t="s">
        <v>7751</v>
      </c>
      <c r="E2261" s="174" t="s">
        <v>2861</v>
      </c>
      <c r="F2261" s="173" t="s">
        <v>2862</v>
      </c>
      <c r="G2261" s="328" t="s">
        <v>673</v>
      </c>
      <c r="H2261" s="328" t="s">
        <v>2863</v>
      </c>
      <c r="I2261" s="258" t="s">
        <v>2864</v>
      </c>
      <c r="J2261" s="259"/>
      <c r="K2261" s="260"/>
      <c r="L2261" s="363"/>
      <c r="M2261" s="329"/>
      <c r="N2261" s="173" t="s">
        <v>679</v>
      </c>
      <c r="O2261" s="173"/>
      <c r="P2261" s="262" t="str">
        <f t="shared" si="1"/>
        <v>IN-BLR-ANANTA-VAV-1833_</v>
      </c>
      <c r="Q2261" s="173" t="s">
        <v>7752</v>
      </c>
      <c r="R2261" s="328" t="str">
        <f>IFS(C2261="","",C2261="n/a","N/A",LEN(C2261),Concatenate("{",char(34),"asset",char(34),":{",char(34),"guid",char(34),":",char(34),Q2261,char(34),",",char(34),"site",char(34),":",char(34),LOWER('2-Building'!$B$4),char(34),",",char(34),"name",char(34),":",char(34),LOWER(C2261),char(34),"}}"))</f>
        <v>{"asset":{"guid":"uuid://d718571e-60f4-4338-8124-e971c0271976","site":"in-blr-ananta","name":"vav-1833"}}</v>
      </c>
      <c r="S2261" s="360" t="s">
        <v>5516</v>
      </c>
      <c r="T2261" s="330"/>
      <c r="U2261" s="330"/>
      <c r="V2261" s="331"/>
      <c r="W2261" s="332"/>
      <c r="X2261" s="333"/>
      <c r="Y2261" s="33" t="s">
        <v>2867</v>
      </c>
      <c r="Z2261" s="258">
        <v>121833.0</v>
      </c>
      <c r="AA2261" s="333"/>
      <c r="AB2261" s="333"/>
      <c r="AC2261" s="333"/>
      <c r="AD2261" s="329"/>
      <c r="AE2261" s="362" t="s">
        <v>685</v>
      </c>
      <c r="AF2261" s="336"/>
      <c r="AG2261" s="337"/>
      <c r="AH2261" s="333"/>
      <c r="AI2261" s="333"/>
      <c r="AJ2261" s="333"/>
      <c r="AK2261" s="328" t="s">
        <v>2226</v>
      </c>
      <c r="AL2261" s="328" t="s">
        <v>688</v>
      </c>
      <c r="AM2261" s="338"/>
      <c r="AN2261" s="333"/>
      <c r="AO2261" s="333"/>
      <c r="AP2261" s="333"/>
      <c r="AQ2261" s="333"/>
      <c r="AR2261" s="333"/>
      <c r="AS2261" s="333"/>
      <c r="AT2261" s="333"/>
      <c r="AU2261" s="329"/>
      <c r="AV2261" s="341"/>
      <c r="AW2261" s="269"/>
      <c r="AX2261" s="334" t="s">
        <v>2869</v>
      </c>
      <c r="AY2261" s="270" t="s">
        <v>695</v>
      </c>
      <c r="AZ2261" s="173" t="s">
        <v>5516</v>
      </c>
      <c r="BA2261" s="265">
        <v>10.0</v>
      </c>
      <c r="BB2261" s="174" t="s">
        <v>245</v>
      </c>
      <c r="BC2261" s="341"/>
      <c r="BD2261" s="308"/>
      <c r="BE2261" s="342"/>
      <c r="BF2261" s="274" t="str">
        <f>IFERROR(__xludf.DUMMYFUNCTION("LOWER(Regexreplace(to_text(E2261),""[^A-Za-z0-9]"","""")&amp;""_""&amp;Regexreplace(to_text(F2261),""[^A-Za-z0-9]"",""""))"),"neptronic_evcbseries")</f>
        <v>neptronic_evcbseries</v>
      </c>
      <c r="BG2261" s="275" t="str">
        <f>IFERROR(__xludf.DUMMYFUNCTION("upper(Regexreplace(to_text(E2261),""[^A-Za-z0-9]"","""")&amp;""-""&amp;Regexreplace(to_text(F2261),""[^A-Za-z0-9]"",""""))"),"NEPTRONIC-EVCBSERIES")</f>
        <v>NEPTRONIC-EVCBSERIES</v>
      </c>
    </row>
    <row r="2262" ht="30.0" customHeight="1">
      <c r="A2262" s="258">
        <v>2254.0</v>
      </c>
      <c r="B2262" s="328" t="s">
        <v>670</v>
      </c>
      <c r="C2262" s="257" t="s">
        <v>7753</v>
      </c>
      <c r="D2262" s="173" t="s">
        <v>7753</v>
      </c>
      <c r="E2262" s="174" t="s">
        <v>2861</v>
      </c>
      <c r="F2262" s="173" t="s">
        <v>2862</v>
      </c>
      <c r="G2262" s="328" t="s">
        <v>673</v>
      </c>
      <c r="H2262" s="328" t="s">
        <v>2863</v>
      </c>
      <c r="I2262" s="258" t="s">
        <v>2864</v>
      </c>
      <c r="J2262" s="259"/>
      <c r="K2262" s="260"/>
      <c r="L2262" s="363"/>
      <c r="M2262" s="329"/>
      <c r="N2262" s="173" t="s">
        <v>679</v>
      </c>
      <c r="O2262" s="173"/>
      <c r="P2262" s="262" t="str">
        <f t="shared" si="1"/>
        <v>IN-BLR-ANANTA-VAV-1834_</v>
      </c>
      <c r="Q2262" s="173" t="s">
        <v>7754</v>
      </c>
      <c r="R2262" s="328" t="str">
        <f>IFS(C2262="","",C2262="n/a","N/A",LEN(C2262),Concatenate("{",char(34),"asset",char(34),":{",char(34),"guid",char(34),":",char(34),Q2262,char(34),",",char(34),"site",char(34),":",char(34),LOWER('2-Building'!$B$4),char(34),",",char(34),"name",char(34),":",char(34),LOWER(C2262),char(34),"}}"))</f>
        <v>{"asset":{"guid":"uuid://9d62af84-4faf-4d4d-86d8-4b2b1751b00e","site":"in-blr-ananta","name":"vav-1834"}}</v>
      </c>
      <c r="S2262" s="360" t="s">
        <v>5516</v>
      </c>
      <c r="T2262" s="330"/>
      <c r="U2262" s="330"/>
      <c r="V2262" s="331"/>
      <c r="W2262" s="332"/>
      <c r="X2262" s="333"/>
      <c r="Y2262" s="33" t="s">
        <v>2867</v>
      </c>
      <c r="Z2262" s="258">
        <v>121834.0</v>
      </c>
      <c r="AA2262" s="333"/>
      <c r="AB2262" s="333"/>
      <c r="AC2262" s="333"/>
      <c r="AD2262" s="329"/>
      <c r="AE2262" s="362" t="s">
        <v>685</v>
      </c>
      <c r="AF2262" s="336"/>
      <c r="AG2262" s="337"/>
      <c r="AH2262" s="333"/>
      <c r="AI2262" s="333"/>
      <c r="AJ2262" s="333"/>
      <c r="AK2262" s="328" t="s">
        <v>2231</v>
      </c>
      <c r="AL2262" s="328" t="s">
        <v>688</v>
      </c>
      <c r="AM2262" s="338"/>
      <c r="AN2262" s="333"/>
      <c r="AO2262" s="333"/>
      <c r="AP2262" s="333"/>
      <c r="AQ2262" s="333"/>
      <c r="AR2262" s="333"/>
      <c r="AS2262" s="333"/>
      <c r="AT2262" s="333"/>
      <c r="AU2262" s="329"/>
      <c r="AV2262" s="341"/>
      <c r="AW2262" s="269"/>
      <c r="AX2262" s="334" t="s">
        <v>2869</v>
      </c>
      <c r="AY2262" s="270" t="s">
        <v>695</v>
      </c>
      <c r="AZ2262" s="173" t="s">
        <v>5516</v>
      </c>
      <c r="BA2262" s="265">
        <v>10.0</v>
      </c>
      <c r="BB2262" s="174" t="s">
        <v>245</v>
      </c>
      <c r="BC2262" s="341"/>
      <c r="BD2262" s="308"/>
      <c r="BE2262" s="342"/>
      <c r="BF2262" s="274" t="str">
        <f>IFERROR(__xludf.DUMMYFUNCTION("LOWER(Regexreplace(to_text(E2262),""[^A-Za-z0-9]"","""")&amp;""_""&amp;Regexreplace(to_text(F2262),""[^A-Za-z0-9]"",""""))"),"neptronic_evcbseries")</f>
        <v>neptronic_evcbseries</v>
      </c>
      <c r="BG2262" s="275" t="str">
        <f>IFERROR(__xludf.DUMMYFUNCTION("upper(Regexreplace(to_text(E2262),""[^A-Za-z0-9]"","""")&amp;""-""&amp;Regexreplace(to_text(F2262),""[^A-Za-z0-9]"",""""))"),"NEPTRONIC-EVCBSERIES")</f>
        <v>NEPTRONIC-EVCBSERIES</v>
      </c>
    </row>
    <row r="2263" ht="30.0" customHeight="1">
      <c r="A2263" s="173">
        <v>2255.0</v>
      </c>
      <c r="B2263" s="328" t="s">
        <v>670</v>
      </c>
      <c r="C2263" s="257" t="s">
        <v>7755</v>
      </c>
      <c r="D2263" s="173" t="s">
        <v>7755</v>
      </c>
      <c r="E2263" s="174" t="s">
        <v>2861</v>
      </c>
      <c r="F2263" s="173" t="s">
        <v>2862</v>
      </c>
      <c r="G2263" s="328" t="s">
        <v>673</v>
      </c>
      <c r="H2263" s="328" t="s">
        <v>2863</v>
      </c>
      <c r="I2263" s="258" t="s">
        <v>2864</v>
      </c>
      <c r="J2263" s="259"/>
      <c r="K2263" s="260"/>
      <c r="L2263" s="363"/>
      <c r="M2263" s="329"/>
      <c r="N2263" s="173" t="s">
        <v>679</v>
      </c>
      <c r="O2263" s="173"/>
      <c r="P2263" s="262" t="str">
        <f t="shared" si="1"/>
        <v>IN-BLR-ANANTA-VAV-1835_</v>
      </c>
      <c r="Q2263" s="173" t="s">
        <v>7756</v>
      </c>
      <c r="R2263" s="328" t="str">
        <f>IFS(C2263="","",C2263="n/a","N/A",LEN(C2263),Concatenate("{",char(34),"asset",char(34),":{",char(34),"guid",char(34),":",char(34),Q2263,char(34),",",char(34),"site",char(34),":",char(34),LOWER('2-Building'!$B$4),char(34),",",char(34),"name",char(34),":",char(34),LOWER(C2263),char(34),"}}"))</f>
        <v>{"asset":{"guid":"uuid://d948d4ec-048b-4d46-8346-184e0b55c086","site":"in-blr-ananta","name":"vav-1835"}}</v>
      </c>
      <c r="S2263" s="360" t="s">
        <v>5516</v>
      </c>
      <c r="T2263" s="330"/>
      <c r="U2263" s="330"/>
      <c r="V2263" s="331"/>
      <c r="W2263" s="332"/>
      <c r="X2263" s="333"/>
      <c r="Y2263" s="33" t="s">
        <v>2867</v>
      </c>
      <c r="Z2263" s="258">
        <v>121835.0</v>
      </c>
      <c r="AA2263" s="333"/>
      <c r="AB2263" s="333"/>
      <c r="AC2263" s="333"/>
      <c r="AD2263" s="329"/>
      <c r="AE2263" s="362" t="s">
        <v>685</v>
      </c>
      <c r="AF2263" s="336"/>
      <c r="AG2263" s="337"/>
      <c r="AH2263" s="333"/>
      <c r="AI2263" s="333"/>
      <c r="AJ2263" s="333"/>
      <c r="AK2263" s="328" t="s">
        <v>2236</v>
      </c>
      <c r="AL2263" s="328" t="s">
        <v>688</v>
      </c>
      <c r="AM2263" s="338"/>
      <c r="AN2263" s="333"/>
      <c r="AO2263" s="333"/>
      <c r="AP2263" s="333"/>
      <c r="AQ2263" s="333"/>
      <c r="AR2263" s="333"/>
      <c r="AS2263" s="333"/>
      <c r="AT2263" s="333"/>
      <c r="AU2263" s="329"/>
      <c r="AV2263" s="341"/>
      <c r="AW2263" s="269"/>
      <c r="AX2263" s="334" t="s">
        <v>2869</v>
      </c>
      <c r="AY2263" s="270" t="s">
        <v>695</v>
      </c>
      <c r="AZ2263" s="173" t="s">
        <v>5516</v>
      </c>
      <c r="BA2263" s="265">
        <v>10.0</v>
      </c>
      <c r="BB2263" s="174" t="s">
        <v>245</v>
      </c>
      <c r="BC2263" s="341"/>
      <c r="BD2263" s="308"/>
      <c r="BE2263" s="342"/>
      <c r="BF2263" s="274" t="str">
        <f>IFERROR(__xludf.DUMMYFUNCTION("LOWER(Regexreplace(to_text(E2263),""[^A-Za-z0-9]"","""")&amp;""_""&amp;Regexreplace(to_text(F2263),""[^A-Za-z0-9]"",""""))"),"neptronic_evcbseries")</f>
        <v>neptronic_evcbseries</v>
      </c>
      <c r="BG2263" s="275" t="str">
        <f>IFERROR(__xludf.DUMMYFUNCTION("upper(Regexreplace(to_text(E2263),""[^A-Za-z0-9]"","""")&amp;""-""&amp;Regexreplace(to_text(F2263),""[^A-Za-z0-9]"",""""))"),"NEPTRONIC-EVCBSERIES")</f>
        <v>NEPTRONIC-EVCBSERIES</v>
      </c>
    </row>
    <row r="2264" ht="30.0" customHeight="1">
      <c r="A2264" s="258">
        <v>2256.0</v>
      </c>
      <c r="B2264" s="328" t="s">
        <v>670</v>
      </c>
      <c r="C2264" s="257" t="s">
        <v>7757</v>
      </c>
      <c r="D2264" s="173" t="s">
        <v>7757</v>
      </c>
      <c r="E2264" s="174" t="s">
        <v>2861</v>
      </c>
      <c r="F2264" s="173" t="s">
        <v>2862</v>
      </c>
      <c r="G2264" s="328" t="s">
        <v>673</v>
      </c>
      <c r="H2264" s="328" t="s">
        <v>2863</v>
      </c>
      <c r="I2264" s="258" t="s">
        <v>2864</v>
      </c>
      <c r="J2264" s="259"/>
      <c r="K2264" s="260"/>
      <c r="L2264" s="363"/>
      <c r="M2264" s="329"/>
      <c r="N2264" s="173" t="s">
        <v>679</v>
      </c>
      <c r="O2264" s="173"/>
      <c r="P2264" s="262" t="str">
        <f t="shared" si="1"/>
        <v>IN-BLR-ANANTA-VAV-1836_</v>
      </c>
      <c r="Q2264" s="173" t="s">
        <v>7758</v>
      </c>
      <c r="R2264" s="328" t="str">
        <f>IFS(C2264="","",C2264="n/a","N/A",LEN(C2264),Concatenate("{",char(34),"asset",char(34),":{",char(34),"guid",char(34),":",char(34),Q2264,char(34),",",char(34),"site",char(34),":",char(34),LOWER('2-Building'!$B$4),char(34),",",char(34),"name",char(34),":",char(34),LOWER(C2264),char(34),"}}"))</f>
        <v>{"asset":{"guid":"uuid://8bdf0c06-5418-4633-af03-1aa076ebd1d8","site":"in-blr-ananta","name":"vav-1836"}}</v>
      </c>
      <c r="S2264" s="360" t="s">
        <v>5516</v>
      </c>
      <c r="T2264" s="330"/>
      <c r="U2264" s="330"/>
      <c r="V2264" s="331"/>
      <c r="W2264" s="332"/>
      <c r="X2264" s="333"/>
      <c r="Y2264" s="33" t="s">
        <v>2867</v>
      </c>
      <c r="Z2264" s="258">
        <v>121836.0</v>
      </c>
      <c r="AA2264" s="333"/>
      <c r="AB2264" s="333"/>
      <c r="AC2264" s="333"/>
      <c r="AD2264" s="329"/>
      <c r="AE2264" s="362" t="s">
        <v>685</v>
      </c>
      <c r="AF2264" s="336"/>
      <c r="AG2264" s="337"/>
      <c r="AH2264" s="333"/>
      <c r="AI2264" s="333"/>
      <c r="AJ2264" s="333"/>
      <c r="AK2264" s="328" t="s">
        <v>2241</v>
      </c>
      <c r="AL2264" s="328" t="s">
        <v>688</v>
      </c>
      <c r="AM2264" s="338"/>
      <c r="AN2264" s="333"/>
      <c r="AO2264" s="333"/>
      <c r="AP2264" s="333"/>
      <c r="AQ2264" s="333"/>
      <c r="AR2264" s="333"/>
      <c r="AS2264" s="333"/>
      <c r="AT2264" s="333"/>
      <c r="AU2264" s="329"/>
      <c r="AV2264" s="341"/>
      <c r="AW2264" s="269"/>
      <c r="AX2264" s="334" t="s">
        <v>2869</v>
      </c>
      <c r="AY2264" s="270" t="s">
        <v>695</v>
      </c>
      <c r="AZ2264" s="173" t="s">
        <v>5516</v>
      </c>
      <c r="BA2264" s="265">
        <v>10.0</v>
      </c>
      <c r="BB2264" s="174" t="s">
        <v>245</v>
      </c>
      <c r="BC2264" s="341"/>
      <c r="BD2264" s="308"/>
      <c r="BE2264" s="342"/>
      <c r="BF2264" s="274" t="str">
        <f>IFERROR(__xludf.DUMMYFUNCTION("LOWER(Regexreplace(to_text(E2264),""[^A-Za-z0-9]"","""")&amp;""_""&amp;Regexreplace(to_text(F2264),""[^A-Za-z0-9]"",""""))"),"neptronic_evcbseries")</f>
        <v>neptronic_evcbseries</v>
      </c>
      <c r="BG2264" s="275" t="str">
        <f>IFERROR(__xludf.DUMMYFUNCTION("upper(Regexreplace(to_text(E2264),""[^A-Za-z0-9]"","""")&amp;""-""&amp;Regexreplace(to_text(F2264),""[^A-Za-z0-9]"",""""))"),"NEPTRONIC-EVCBSERIES")</f>
        <v>NEPTRONIC-EVCBSERIES</v>
      </c>
    </row>
    <row r="2265" ht="30.0" customHeight="1">
      <c r="A2265" s="173">
        <v>2257.0</v>
      </c>
      <c r="B2265" s="328" t="s">
        <v>670</v>
      </c>
      <c r="C2265" s="257" t="s">
        <v>7759</v>
      </c>
      <c r="D2265" s="173" t="s">
        <v>7759</v>
      </c>
      <c r="E2265" s="174" t="s">
        <v>2861</v>
      </c>
      <c r="F2265" s="173" t="s">
        <v>2862</v>
      </c>
      <c r="G2265" s="328" t="s">
        <v>673</v>
      </c>
      <c r="H2265" s="328" t="s">
        <v>2863</v>
      </c>
      <c r="I2265" s="258" t="s">
        <v>2864</v>
      </c>
      <c r="J2265" s="259"/>
      <c r="K2265" s="260"/>
      <c r="L2265" s="363"/>
      <c r="M2265" s="329"/>
      <c r="N2265" s="173" t="s">
        <v>679</v>
      </c>
      <c r="O2265" s="173"/>
      <c r="P2265" s="262" t="str">
        <f t="shared" si="1"/>
        <v>IN-BLR-ANANTA-VAV-1837_</v>
      </c>
      <c r="Q2265" s="173" t="s">
        <v>7760</v>
      </c>
      <c r="R2265" s="328" t="str">
        <f>IFS(C2265="","",C2265="n/a","N/A",LEN(C2265),Concatenate("{",char(34),"asset",char(34),":{",char(34),"guid",char(34),":",char(34),Q2265,char(34),",",char(34),"site",char(34),":",char(34),LOWER('2-Building'!$B$4),char(34),",",char(34),"name",char(34),":",char(34),LOWER(C2265),char(34),"}}"))</f>
        <v>{"asset":{"guid":"uuid://8e460b9d-bae1-4b24-9dcc-1729013e0103","site":"in-blr-ananta","name":"vav-1837"}}</v>
      </c>
      <c r="S2265" s="360" t="s">
        <v>5516</v>
      </c>
      <c r="T2265" s="330"/>
      <c r="U2265" s="330"/>
      <c r="V2265" s="331"/>
      <c r="W2265" s="332"/>
      <c r="X2265" s="333"/>
      <c r="Y2265" s="33" t="s">
        <v>2867</v>
      </c>
      <c r="Z2265" s="258">
        <v>121837.0</v>
      </c>
      <c r="AA2265" s="333"/>
      <c r="AB2265" s="333"/>
      <c r="AC2265" s="333"/>
      <c r="AD2265" s="329"/>
      <c r="AE2265" s="362" t="s">
        <v>685</v>
      </c>
      <c r="AF2265" s="336"/>
      <c r="AG2265" s="337"/>
      <c r="AH2265" s="333"/>
      <c r="AI2265" s="333"/>
      <c r="AJ2265" s="333"/>
      <c r="AK2265" s="328" t="s">
        <v>2246</v>
      </c>
      <c r="AL2265" s="328" t="s">
        <v>688</v>
      </c>
      <c r="AM2265" s="338"/>
      <c r="AN2265" s="333"/>
      <c r="AO2265" s="333"/>
      <c r="AP2265" s="333"/>
      <c r="AQ2265" s="333"/>
      <c r="AR2265" s="333"/>
      <c r="AS2265" s="333"/>
      <c r="AT2265" s="333"/>
      <c r="AU2265" s="329"/>
      <c r="AV2265" s="341"/>
      <c r="AW2265" s="269"/>
      <c r="AX2265" s="334" t="s">
        <v>2869</v>
      </c>
      <c r="AY2265" s="270" t="s">
        <v>695</v>
      </c>
      <c r="AZ2265" s="173" t="s">
        <v>5516</v>
      </c>
      <c r="BA2265" s="265">
        <v>10.0</v>
      </c>
      <c r="BB2265" s="174" t="s">
        <v>245</v>
      </c>
      <c r="BC2265" s="341"/>
      <c r="BD2265" s="308"/>
      <c r="BE2265" s="342"/>
      <c r="BF2265" s="274" t="str">
        <f>IFERROR(__xludf.DUMMYFUNCTION("LOWER(Regexreplace(to_text(E2265),""[^A-Za-z0-9]"","""")&amp;""_""&amp;Regexreplace(to_text(F2265),""[^A-Za-z0-9]"",""""))"),"neptronic_evcbseries")</f>
        <v>neptronic_evcbseries</v>
      </c>
      <c r="BG2265" s="275" t="str">
        <f>IFERROR(__xludf.DUMMYFUNCTION("upper(Regexreplace(to_text(E2265),""[^A-Za-z0-9]"","""")&amp;""-""&amp;Regexreplace(to_text(F2265),""[^A-Za-z0-9]"",""""))"),"NEPTRONIC-EVCBSERIES")</f>
        <v>NEPTRONIC-EVCBSERIES</v>
      </c>
    </row>
    <row r="2266" ht="30.0" customHeight="1">
      <c r="A2266" s="258">
        <v>2258.0</v>
      </c>
      <c r="B2266" s="328" t="s">
        <v>670</v>
      </c>
      <c r="C2266" s="257" t="s">
        <v>7761</v>
      </c>
      <c r="D2266" s="173" t="s">
        <v>7761</v>
      </c>
      <c r="E2266" s="174" t="s">
        <v>2861</v>
      </c>
      <c r="F2266" s="173" t="s">
        <v>2862</v>
      </c>
      <c r="G2266" s="328" t="s">
        <v>673</v>
      </c>
      <c r="H2266" s="328" t="s">
        <v>2863</v>
      </c>
      <c r="I2266" s="258" t="s">
        <v>2864</v>
      </c>
      <c r="J2266" s="259"/>
      <c r="K2266" s="260"/>
      <c r="L2266" s="363"/>
      <c r="M2266" s="329"/>
      <c r="N2266" s="173" t="s">
        <v>679</v>
      </c>
      <c r="O2266" s="173"/>
      <c r="P2266" s="262" t="str">
        <f t="shared" si="1"/>
        <v>IN-BLR-ANANTA-VAV-1838_</v>
      </c>
      <c r="Q2266" s="173" t="s">
        <v>7762</v>
      </c>
      <c r="R2266" s="328" t="str">
        <f>IFS(C2266="","",C2266="n/a","N/A",LEN(C2266),Concatenate("{",char(34),"asset",char(34),":{",char(34),"guid",char(34),":",char(34),Q2266,char(34),",",char(34),"site",char(34),":",char(34),LOWER('2-Building'!$B$4),char(34),",",char(34),"name",char(34),":",char(34),LOWER(C2266),char(34),"}}"))</f>
        <v>{"asset":{"guid":"uuid://f360af69-724a-4ec3-ba83-995fc272fe00","site":"in-blr-ananta","name":"vav-1838"}}</v>
      </c>
      <c r="S2266" s="360" t="s">
        <v>5516</v>
      </c>
      <c r="T2266" s="330"/>
      <c r="U2266" s="330"/>
      <c r="V2266" s="331"/>
      <c r="W2266" s="332"/>
      <c r="X2266" s="333"/>
      <c r="Y2266" s="33" t="s">
        <v>2867</v>
      </c>
      <c r="Z2266" s="258">
        <v>121838.0</v>
      </c>
      <c r="AA2266" s="333"/>
      <c r="AB2266" s="333"/>
      <c r="AC2266" s="333"/>
      <c r="AD2266" s="329"/>
      <c r="AE2266" s="362" t="s">
        <v>685</v>
      </c>
      <c r="AF2266" s="336"/>
      <c r="AG2266" s="337"/>
      <c r="AH2266" s="333"/>
      <c r="AI2266" s="333"/>
      <c r="AJ2266" s="333"/>
      <c r="AK2266" s="328" t="s">
        <v>2251</v>
      </c>
      <c r="AL2266" s="328" t="s">
        <v>688</v>
      </c>
      <c r="AM2266" s="338"/>
      <c r="AN2266" s="333"/>
      <c r="AO2266" s="333"/>
      <c r="AP2266" s="333"/>
      <c r="AQ2266" s="333"/>
      <c r="AR2266" s="333"/>
      <c r="AS2266" s="333"/>
      <c r="AT2266" s="333"/>
      <c r="AU2266" s="329"/>
      <c r="AV2266" s="341"/>
      <c r="AW2266" s="269"/>
      <c r="AX2266" s="334" t="s">
        <v>2869</v>
      </c>
      <c r="AY2266" s="270" t="s">
        <v>695</v>
      </c>
      <c r="AZ2266" s="173" t="s">
        <v>5516</v>
      </c>
      <c r="BA2266" s="265">
        <v>10.0</v>
      </c>
      <c r="BB2266" s="174" t="s">
        <v>245</v>
      </c>
      <c r="BC2266" s="341"/>
      <c r="BD2266" s="308"/>
      <c r="BE2266" s="342"/>
      <c r="BF2266" s="274" t="str">
        <f>IFERROR(__xludf.DUMMYFUNCTION("LOWER(Regexreplace(to_text(E2266),""[^A-Za-z0-9]"","""")&amp;""_""&amp;Regexreplace(to_text(F2266),""[^A-Za-z0-9]"",""""))"),"neptronic_evcbseries")</f>
        <v>neptronic_evcbseries</v>
      </c>
      <c r="BG2266" s="275" t="str">
        <f>IFERROR(__xludf.DUMMYFUNCTION("upper(Regexreplace(to_text(E2266),""[^A-Za-z0-9]"","""")&amp;""-""&amp;Regexreplace(to_text(F2266),""[^A-Za-z0-9]"",""""))"),"NEPTRONIC-EVCBSERIES")</f>
        <v>NEPTRONIC-EVCBSERIES</v>
      </c>
    </row>
    <row r="2267" ht="30.0" customHeight="1">
      <c r="A2267" s="173">
        <v>2259.0</v>
      </c>
      <c r="B2267" s="328" t="s">
        <v>670</v>
      </c>
      <c r="C2267" s="257" t="s">
        <v>7763</v>
      </c>
      <c r="D2267" s="173" t="s">
        <v>7763</v>
      </c>
      <c r="E2267" s="174" t="s">
        <v>2861</v>
      </c>
      <c r="F2267" s="173" t="s">
        <v>2862</v>
      </c>
      <c r="G2267" s="328" t="s">
        <v>673</v>
      </c>
      <c r="H2267" s="328" t="s">
        <v>2863</v>
      </c>
      <c r="I2267" s="258" t="s">
        <v>2864</v>
      </c>
      <c r="J2267" s="259"/>
      <c r="K2267" s="260"/>
      <c r="L2267" s="363"/>
      <c r="M2267" s="329"/>
      <c r="N2267" s="173" t="s">
        <v>679</v>
      </c>
      <c r="O2267" s="173"/>
      <c r="P2267" s="262" t="str">
        <f t="shared" si="1"/>
        <v>IN-BLR-ANANTA-VAV-1839_</v>
      </c>
      <c r="Q2267" s="173" t="s">
        <v>7764</v>
      </c>
      <c r="R2267" s="328" t="str">
        <f>IFS(C2267="","",C2267="n/a","N/A",LEN(C2267),Concatenate("{",char(34),"asset",char(34),":{",char(34),"guid",char(34),":",char(34),Q2267,char(34),",",char(34),"site",char(34),":",char(34),LOWER('2-Building'!$B$4),char(34),",",char(34),"name",char(34),":",char(34),LOWER(C2267),char(34),"}}"))</f>
        <v>{"asset":{"guid":"uuid://cb216d77-2d87-4fce-add3-8f0ed3bc8af2","site":"in-blr-ananta","name":"vav-1839"}}</v>
      </c>
      <c r="S2267" s="360" t="s">
        <v>5516</v>
      </c>
      <c r="T2267" s="330"/>
      <c r="U2267" s="330"/>
      <c r="V2267" s="331"/>
      <c r="W2267" s="332"/>
      <c r="X2267" s="333"/>
      <c r="Y2267" s="33" t="s">
        <v>2867</v>
      </c>
      <c r="Z2267" s="258">
        <v>121839.0</v>
      </c>
      <c r="AA2267" s="333"/>
      <c r="AB2267" s="333"/>
      <c r="AC2267" s="333"/>
      <c r="AD2267" s="329"/>
      <c r="AE2267" s="362" t="s">
        <v>685</v>
      </c>
      <c r="AF2267" s="336"/>
      <c r="AG2267" s="337"/>
      <c r="AH2267" s="333"/>
      <c r="AI2267" s="333"/>
      <c r="AJ2267" s="333"/>
      <c r="AK2267" s="328" t="s">
        <v>2256</v>
      </c>
      <c r="AL2267" s="328" t="s">
        <v>688</v>
      </c>
      <c r="AM2267" s="338"/>
      <c r="AN2267" s="333"/>
      <c r="AO2267" s="333"/>
      <c r="AP2267" s="333"/>
      <c r="AQ2267" s="333"/>
      <c r="AR2267" s="333"/>
      <c r="AS2267" s="333"/>
      <c r="AT2267" s="333"/>
      <c r="AU2267" s="329"/>
      <c r="AV2267" s="341"/>
      <c r="AW2267" s="269"/>
      <c r="AX2267" s="334" t="s">
        <v>2869</v>
      </c>
      <c r="AY2267" s="270" t="s">
        <v>695</v>
      </c>
      <c r="AZ2267" s="173" t="s">
        <v>5516</v>
      </c>
      <c r="BA2267" s="265">
        <v>10.0</v>
      </c>
      <c r="BB2267" s="174" t="s">
        <v>245</v>
      </c>
      <c r="BC2267" s="341"/>
      <c r="BD2267" s="308"/>
      <c r="BE2267" s="342"/>
      <c r="BF2267" s="274" t="str">
        <f>IFERROR(__xludf.DUMMYFUNCTION("LOWER(Regexreplace(to_text(E2267),""[^A-Za-z0-9]"","""")&amp;""_""&amp;Regexreplace(to_text(F2267),""[^A-Za-z0-9]"",""""))"),"neptronic_evcbseries")</f>
        <v>neptronic_evcbseries</v>
      </c>
      <c r="BG2267" s="275" t="str">
        <f>IFERROR(__xludf.DUMMYFUNCTION("upper(Regexreplace(to_text(E2267),""[^A-Za-z0-9]"","""")&amp;""-""&amp;Regexreplace(to_text(F2267),""[^A-Za-z0-9]"",""""))"),"NEPTRONIC-EVCBSERIES")</f>
        <v>NEPTRONIC-EVCBSERIES</v>
      </c>
    </row>
    <row r="2268" ht="30.0" customHeight="1">
      <c r="A2268" s="258">
        <v>2260.0</v>
      </c>
      <c r="B2268" s="328" t="s">
        <v>670</v>
      </c>
      <c r="C2268" s="257" t="s">
        <v>7765</v>
      </c>
      <c r="D2268" s="173" t="s">
        <v>7765</v>
      </c>
      <c r="E2268" s="174" t="s">
        <v>2861</v>
      </c>
      <c r="F2268" s="173" t="s">
        <v>2862</v>
      </c>
      <c r="G2268" s="328" t="s">
        <v>673</v>
      </c>
      <c r="H2268" s="328" t="s">
        <v>2863</v>
      </c>
      <c r="I2268" s="258" t="s">
        <v>2864</v>
      </c>
      <c r="J2268" s="259"/>
      <c r="K2268" s="260"/>
      <c r="L2268" s="363"/>
      <c r="M2268" s="329"/>
      <c r="N2268" s="173" t="s">
        <v>679</v>
      </c>
      <c r="O2268" s="173"/>
      <c r="P2268" s="262" t="str">
        <f t="shared" si="1"/>
        <v>IN-BLR-ANANTA-VAV-1840_</v>
      </c>
      <c r="Q2268" s="173" t="s">
        <v>7766</v>
      </c>
      <c r="R2268" s="328" t="str">
        <f>IFS(C2268="","",C2268="n/a","N/A",LEN(C2268),Concatenate("{",char(34),"asset",char(34),":{",char(34),"guid",char(34),":",char(34),Q2268,char(34),",",char(34),"site",char(34),":",char(34),LOWER('2-Building'!$B$4),char(34),",",char(34),"name",char(34),":",char(34),LOWER(C2268),char(34),"}}"))</f>
        <v>{"asset":{"guid":"uuid://fce6c1d9-f015-40ca-83f3-e3256d247f78","site":"in-blr-ananta","name":"vav-1840"}}</v>
      </c>
      <c r="S2268" s="360" t="s">
        <v>5516</v>
      </c>
      <c r="T2268" s="330"/>
      <c r="U2268" s="330"/>
      <c r="V2268" s="331"/>
      <c r="W2268" s="332"/>
      <c r="X2268" s="333"/>
      <c r="Y2268" s="33" t="s">
        <v>2867</v>
      </c>
      <c r="Z2268" s="258">
        <v>121840.0</v>
      </c>
      <c r="AA2268" s="333"/>
      <c r="AB2268" s="333"/>
      <c r="AC2268" s="333"/>
      <c r="AD2268" s="329"/>
      <c r="AE2268" s="362" t="s">
        <v>685</v>
      </c>
      <c r="AF2268" s="336"/>
      <c r="AG2268" s="337"/>
      <c r="AH2268" s="333"/>
      <c r="AI2268" s="333"/>
      <c r="AJ2268" s="333"/>
      <c r="AK2268" s="328" t="s">
        <v>2261</v>
      </c>
      <c r="AL2268" s="328" t="s">
        <v>688</v>
      </c>
      <c r="AM2268" s="338"/>
      <c r="AN2268" s="333"/>
      <c r="AO2268" s="333"/>
      <c r="AP2268" s="333"/>
      <c r="AQ2268" s="333"/>
      <c r="AR2268" s="333"/>
      <c r="AS2268" s="333"/>
      <c r="AT2268" s="333"/>
      <c r="AU2268" s="329"/>
      <c r="AV2268" s="341"/>
      <c r="AW2268" s="269"/>
      <c r="AX2268" s="334" t="s">
        <v>2869</v>
      </c>
      <c r="AY2268" s="270" t="s">
        <v>695</v>
      </c>
      <c r="AZ2268" s="173" t="s">
        <v>5516</v>
      </c>
      <c r="BA2268" s="265">
        <v>10.0</v>
      </c>
      <c r="BB2268" s="174" t="s">
        <v>245</v>
      </c>
      <c r="BC2268" s="341"/>
      <c r="BD2268" s="308"/>
      <c r="BE2268" s="342"/>
      <c r="BF2268" s="274" t="str">
        <f>IFERROR(__xludf.DUMMYFUNCTION("LOWER(Regexreplace(to_text(E2268),""[^A-Za-z0-9]"","""")&amp;""_""&amp;Regexreplace(to_text(F2268),""[^A-Za-z0-9]"",""""))"),"neptronic_evcbseries")</f>
        <v>neptronic_evcbseries</v>
      </c>
      <c r="BG2268" s="275" t="str">
        <f>IFERROR(__xludf.DUMMYFUNCTION("upper(Regexreplace(to_text(E2268),""[^A-Za-z0-9]"","""")&amp;""-""&amp;Regexreplace(to_text(F2268),""[^A-Za-z0-9]"",""""))"),"NEPTRONIC-EVCBSERIES")</f>
        <v>NEPTRONIC-EVCBSERIES</v>
      </c>
    </row>
    <row r="2269" ht="30.0" customHeight="1">
      <c r="A2269" s="173">
        <v>2261.0</v>
      </c>
      <c r="B2269" s="328" t="s">
        <v>670</v>
      </c>
      <c r="C2269" s="257" t="s">
        <v>7767</v>
      </c>
      <c r="D2269" s="173" t="s">
        <v>7767</v>
      </c>
      <c r="E2269" s="174" t="s">
        <v>2861</v>
      </c>
      <c r="F2269" s="173" t="s">
        <v>2862</v>
      </c>
      <c r="G2269" s="328" t="s">
        <v>673</v>
      </c>
      <c r="H2269" s="328" t="s">
        <v>2863</v>
      </c>
      <c r="I2269" s="258" t="s">
        <v>2864</v>
      </c>
      <c r="J2269" s="259"/>
      <c r="K2269" s="260"/>
      <c r="L2269" s="363"/>
      <c r="M2269" s="329"/>
      <c r="N2269" s="173" t="s">
        <v>679</v>
      </c>
      <c r="O2269" s="173"/>
      <c r="P2269" s="262" t="str">
        <f t="shared" si="1"/>
        <v>IN-BLR-ANANTA-VAV-1841_</v>
      </c>
      <c r="Q2269" s="173" t="s">
        <v>7768</v>
      </c>
      <c r="R2269" s="328" t="str">
        <f>IFS(C2269="","",C2269="n/a","N/A",LEN(C2269),Concatenate("{",char(34),"asset",char(34),":{",char(34),"guid",char(34),":",char(34),Q2269,char(34),",",char(34),"site",char(34),":",char(34),LOWER('2-Building'!$B$4),char(34),",",char(34),"name",char(34),":",char(34),LOWER(C2269),char(34),"}}"))</f>
        <v>{"asset":{"guid":"uuid://913fd684-4ba4-4c47-8779-573031c05ee8","site":"in-blr-ananta","name":"vav-1841"}}</v>
      </c>
      <c r="S2269" s="360" t="s">
        <v>5516</v>
      </c>
      <c r="T2269" s="330"/>
      <c r="U2269" s="330"/>
      <c r="V2269" s="331"/>
      <c r="W2269" s="332"/>
      <c r="X2269" s="333"/>
      <c r="Y2269" s="33" t="s">
        <v>2867</v>
      </c>
      <c r="Z2269" s="258">
        <v>121841.0</v>
      </c>
      <c r="AA2269" s="333"/>
      <c r="AB2269" s="333"/>
      <c r="AC2269" s="333"/>
      <c r="AD2269" s="329"/>
      <c r="AE2269" s="362" t="s">
        <v>685</v>
      </c>
      <c r="AF2269" s="336"/>
      <c r="AG2269" s="337"/>
      <c r="AH2269" s="333"/>
      <c r="AI2269" s="333"/>
      <c r="AJ2269" s="333"/>
      <c r="AK2269" s="328" t="s">
        <v>2266</v>
      </c>
      <c r="AL2269" s="328" t="s">
        <v>688</v>
      </c>
      <c r="AM2269" s="338"/>
      <c r="AN2269" s="333"/>
      <c r="AO2269" s="333"/>
      <c r="AP2269" s="333"/>
      <c r="AQ2269" s="333"/>
      <c r="AR2269" s="333"/>
      <c r="AS2269" s="333"/>
      <c r="AT2269" s="333"/>
      <c r="AU2269" s="329"/>
      <c r="AV2269" s="341"/>
      <c r="AW2269" s="269"/>
      <c r="AX2269" s="334" t="s">
        <v>2869</v>
      </c>
      <c r="AY2269" s="270" t="s">
        <v>695</v>
      </c>
      <c r="AZ2269" s="173" t="s">
        <v>5516</v>
      </c>
      <c r="BA2269" s="265">
        <v>10.0</v>
      </c>
      <c r="BB2269" s="174" t="s">
        <v>245</v>
      </c>
      <c r="BC2269" s="341"/>
      <c r="BD2269" s="308"/>
      <c r="BE2269" s="342"/>
      <c r="BF2269" s="274" t="str">
        <f>IFERROR(__xludf.DUMMYFUNCTION("LOWER(Regexreplace(to_text(E2269),""[^A-Za-z0-9]"","""")&amp;""_""&amp;Regexreplace(to_text(F2269),""[^A-Za-z0-9]"",""""))"),"neptronic_evcbseries")</f>
        <v>neptronic_evcbseries</v>
      </c>
      <c r="BG2269" s="275" t="str">
        <f>IFERROR(__xludf.DUMMYFUNCTION("upper(Regexreplace(to_text(E2269),""[^A-Za-z0-9]"","""")&amp;""-""&amp;Regexreplace(to_text(F2269),""[^A-Za-z0-9]"",""""))"),"NEPTRONIC-EVCBSERIES")</f>
        <v>NEPTRONIC-EVCBSERIES</v>
      </c>
    </row>
    <row r="2270" ht="30.0" customHeight="1">
      <c r="A2270" s="258">
        <v>2262.0</v>
      </c>
      <c r="B2270" s="328" t="s">
        <v>670</v>
      </c>
      <c r="C2270" s="257" t="s">
        <v>7769</v>
      </c>
      <c r="D2270" s="173" t="s">
        <v>7769</v>
      </c>
      <c r="E2270" s="174" t="s">
        <v>2861</v>
      </c>
      <c r="F2270" s="173" t="s">
        <v>2862</v>
      </c>
      <c r="G2270" s="328" t="s">
        <v>673</v>
      </c>
      <c r="H2270" s="328" t="s">
        <v>2863</v>
      </c>
      <c r="I2270" s="258" t="s">
        <v>2864</v>
      </c>
      <c r="J2270" s="259"/>
      <c r="K2270" s="260"/>
      <c r="L2270" s="363"/>
      <c r="M2270" s="329"/>
      <c r="N2270" s="173" t="s">
        <v>679</v>
      </c>
      <c r="O2270" s="173"/>
      <c r="P2270" s="262" t="str">
        <f t="shared" si="1"/>
        <v>IN-BLR-ANANTA-VAV-1842_</v>
      </c>
      <c r="Q2270" s="173" t="s">
        <v>7770</v>
      </c>
      <c r="R2270" s="328" t="str">
        <f>IFS(C2270="","",C2270="n/a","N/A",LEN(C2270),Concatenate("{",char(34),"asset",char(34),":{",char(34),"guid",char(34),":",char(34),Q2270,char(34),",",char(34),"site",char(34),":",char(34),LOWER('2-Building'!$B$4),char(34),",",char(34),"name",char(34),":",char(34),LOWER(C2270),char(34),"}}"))</f>
        <v>{"asset":{"guid":"uuid://80fe467b-d4c2-44a4-8b0f-b01168cdc857","site":"in-blr-ananta","name":"vav-1842"}}</v>
      </c>
      <c r="S2270" s="360" t="s">
        <v>5516</v>
      </c>
      <c r="T2270" s="330"/>
      <c r="U2270" s="330"/>
      <c r="V2270" s="331"/>
      <c r="W2270" s="332"/>
      <c r="X2270" s="333"/>
      <c r="Y2270" s="33" t="s">
        <v>2867</v>
      </c>
      <c r="Z2270" s="258">
        <v>121842.0</v>
      </c>
      <c r="AA2270" s="333"/>
      <c r="AB2270" s="333"/>
      <c r="AC2270" s="333"/>
      <c r="AD2270" s="329"/>
      <c r="AE2270" s="362" t="s">
        <v>685</v>
      </c>
      <c r="AF2270" s="336"/>
      <c r="AG2270" s="337"/>
      <c r="AH2270" s="333"/>
      <c r="AI2270" s="333"/>
      <c r="AJ2270" s="333"/>
      <c r="AK2270" s="328" t="s">
        <v>2271</v>
      </c>
      <c r="AL2270" s="328" t="s">
        <v>688</v>
      </c>
      <c r="AM2270" s="338"/>
      <c r="AN2270" s="333"/>
      <c r="AO2270" s="333"/>
      <c r="AP2270" s="333"/>
      <c r="AQ2270" s="333"/>
      <c r="AR2270" s="333"/>
      <c r="AS2270" s="333"/>
      <c r="AT2270" s="333"/>
      <c r="AU2270" s="329"/>
      <c r="AV2270" s="341"/>
      <c r="AW2270" s="269"/>
      <c r="AX2270" s="334" t="s">
        <v>2869</v>
      </c>
      <c r="AY2270" s="270" t="s">
        <v>695</v>
      </c>
      <c r="AZ2270" s="173" t="s">
        <v>5516</v>
      </c>
      <c r="BA2270" s="265">
        <v>10.0</v>
      </c>
      <c r="BB2270" s="174" t="s">
        <v>245</v>
      </c>
      <c r="BC2270" s="341"/>
      <c r="BD2270" s="308"/>
      <c r="BE2270" s="342"/>
      <c r="BF2270" s="274" t="str">
        <f>IFERROR(__xludf.DUMMYFUNCTION("LOWER(Regexreplace(to_text(E2270),""[^A-Za-z0-9]"","""")&amp;""_""&amp;Regexreplace(to_text(F2270),""[^A-Za-z0-9]"",""""))"),"neptronic_evcbseries")</f>
        <v>neptronic_evcbseries</v>
      </c>
      <c r="BG2270" s="275" t="str">
        <f>IFERROR(__xludf.DUMMYFUNCTION("upper(Regexreplace(to_text(E2270),""[^A-Za-z0-9]"","""")&amp;""-""&amp;Regexreplace(to_text(F2270),""[^A-Za-z0-9]"",""""))"),"NEPTRONIC-EVCBSERIES")</f>
        <v>NEPTRONIC-EVCBSERIES</v>
      </c>
    </row>
    <row r="2271" ht="30.0" customHeight="1">
      <c r="A2271" s="173">
        <v>2263.0</v>
      </c>
      <c r="B2271" s="328" t="s">
        <v>670</v>
      </c>
      <c r="C2271" s="257" t="s">
        <v>7771</v>
      </c>
      <c r="D2271" s="173" t="s">
        <v>7771</v>
      </c>
      <c r="E2271" s="174" t="s">
        <v>2861</v>
      </c>
      <c r="F2271" s="173" t="s">
        <v>2862</v>
      </c>
      <c r="G2271" s="328" t="s">
        <v>673</v>
      </c>
      <c r="H2271" s="328" t="s">
        <v>2863</v>
      </c>
      <c r="I2271" s="258" t="s">
        <v>2864</v>
      </c>
      <c r="J2271" s="259"/>
      <c r="K2271" s="260"/>
      <c r="L2271" s="363"/>
      <c r="M2271" s="329"/>
      <c r="N2271" s="173" t="s">
        <v>679</v>
      </c>
      <c r="O2271" s="173"/>
      <c r="P2271" s="262" t="str">
        <f t="shared" si="1"/>
        <v>IN-BLR-ANANTA-VAV-1843_</v>
      </c>
      <c r="Q2271" s="173" t="s">
        <v>7772</v>
      </c>
      <c r="R2271" s="328" t="str">
        <f>IFS(C2271="","",C2271="n/a","N/A",LEN(C2271),Concatenate("{",char(34),"asset",char(34),":{",char(34),"guid",char(34),":",char(34),Q2271,char(34),",",char(34),"site",char(34),":",char(34),LOWER('2-Building'!$B$4),char(34),",",char(34),"name",char(34),":",char(34),LOWER(C2271),char(34),"}}"))</f>
        <v>{"asset":{"guid":"uuid://c94794fb-cede-4071-b666-81040d359e94","site":"in-blr-ananta","name":"vav-1843"}}</v>
      </c>
      <c r="S2271" s="360" t="s">
        <v>5516</v>
      </c>
      <c r="T2271" s="330"/>
      <c r="U2271" s="330"/>
      <c r="V2271" s="331"/>
      <c r="W2271" s="332"/>
      <c r="X2271" s="333"/>
      <c r="Y2271" s="33" t="s">
        <v>2867</v>
      </c>
      <c r="Z2271" s="258">
        <v>121843.0</v>
      </c>
      <c r="AA2271" s="333"/>
      <c r="AB2271" s="333"/>
      <c r="AC2271" s="333"/>
      <c r="AD2271" s="329"/>
      <c r="AE2271" s="362" t="s">
        <v>685</v>
      </c>
      <c r="AF2271" s="336"/>
      <c r="AG2271" s="337"/>
      <c r="AH2271" s="333"/>
      <c r="AI2271" s="333"/>
      <c r="AJ2271" s="333"/>
      <c r="AK2271" s="328" t="s">
        <v>2276</v>
      </c>
      <c r="AL2271" s="328" t="s">
        <v>688</v>
      </c>
      <c r="AM2271" s="338"/>
      <c r="AN2271" s="333"/>
      <c r="AO2271" s="333"/>
      <c r="AP2271" s="333"/>
      <c r="AQ2271" s="333"/>
      <c r="AR2271" s="333"/>
      <c r="AS2271" s="333"/>
      <c r="AT2271" s="333"/>
      <c r="AU2271" s="329"/>
      <c r="AV2271" s="341"/>
      <c r="AW2271" s="269"/>
      <c r="AX2271" s="334" t="s">
        <v>2869</v>
      </c>
      <c r="AY2271" s="270" t="s">
        <v>695</v>
      </c>
      <c r="AZ2271" s="173" t="s">
        <v>5516</v>
      </c>
      <c r="BA2271" s="265">
        <v>10.0</v>
      </c>
      <c r="BB2271" s="174" t="s">
        <v>245</v>
      </c>
      <c r="BC2271" s="341"/>
      <c r="BD2271" s="308"/>
      <c r="BE2271" s="342"/>
      <c r="BF2271" s="274" t="str">
        <f>IFERROR(__xludf.DUMMYFUNCTION("LOWER(Regexreplace(to_text(E2271),""[^A-Za-z0-9]"","""")&amp;""_""&amp;Regexreplace(to_text(F2271),""[^A-Za-z0-9]"",""""))"),"neptronic_evcbseries")</f>
        <v>neptronic_evcbseries</v>
      </c>
      <c r="BG2271" s="275" t="str">
        <f>IFERROR(__xludf.DUMMYFUNCTION("upper(Regexreplace(to_text(E2271),""[^A-Za-z0-9]"","""")&amp;""-""&amp;Regexreplace(to_text(F2271),""[^A-Za-z0-9]"",""""))"),"NEPTRONIC-EVCBSERIES")</f>
        <v>NEPTRONIC-EVCBSERIES</v>
      </c>
    </row>
    <row r="2272" ht="30.0" customHeight="1">
      <c r="A2272" s="258">
        <v>2264.0</v>
      </c>
      <c r="B2272" s="328" t="s">
        <v>670</v>
      </c>
      <c r="C2272" s="257" t="s">
        <v>7773</v>
      </c>
      <c r="D2272" s="173" t="s">
        <v>7773</v>
      </c>
      <c r="E2272" s="174" t="s">
        <v>2861</v>
      </c>
      <c r="F2272" s="173" t="s">
        <v>2862</v>
      </c>
      <c r="G2272" s="328" t="s">
        <v>673</v>
      </c>
      <c r="H2272" s="328" t="s">
        <v>2863</v>
      </c>
      <c r="I2272" s="258" t="s">
        <v>2864</v>
      </c>
      <c r="J2272" s="259" t="s">
        <v>1453</v>
      </c>
      <c r="K2272" s="260"/>
      <c r="L2272" s="363"/>
      <c r="M2272" s="329"/>
      <c r="N2272" s="173" t="s">
        <v>679</v>
      </c>
      <c r="O2272" s="173"/>
      <c r="P2272" s="262" t="str">
        <f t="shared" si="1"/>
        <v>IN-BLR-ANANTA-VAV-1844_11</v>
      </c>
      <c r="Q2272" s="173" t="s">
        <v>7774</v>
      </c>
      <c r="R2272" s="328" t="str">
        <f>IFS(C2272="","",C2272="n/a","N/A",LEN(C2272),Concatenate("{",char(34),"asset",char(34),":{",char(34),"guid",char(34),":",char(34),Q2272,char(34),",",char(34),"site",char(34),":",char(34),LOWER('2-Building'!$B$4),char(34),",",char(34),"name",char(34),":",char(34),LOWER(C2272),char(34),"}}"))</f>
        <v>{"asset":{"guid":"uuid://55cec9b4-8d17-476c-9857-ca7c7d2092ae","site":"in-blr-ananta","name":"vav-1844"}}</v>
      </c>
      <c r="S2272" s="333"/>
      <c r="T2272" s="330"/>
      <c r="U2272" s="330"/>
      <c r="V2272" s="331"/>
      <c r="W2272" s="332"/>
      <c r="X2272" s="333"/>
      <c r="Y2272" s="33" t="s">
        <v>2867</v>
      </c>
      <c r="Z2272" s="258">
        <v>121844.0</v>
      </c>
      <c r="AA2272" s="333"/>
      <c r="AB2272" s="333"/>
      <c r="AC2272" s="333"/>
      <c r="AD2272" s="329"/>
      <c r="AE2272" s="362" t="s">
        <v>685</v>
      </c>
      <c r="AF2272" s="336"/>
      <c r="AG2272" s="337"/>
      <c r="AH2272" s="333"/>
      <c r="AI2272" s="333"/>
      <c r="AJ2272" s="333"/>
      <c r="AK2272" s="328" t="s">
        <v>2281</v>
      </c>
      <c r="AL2272" s="328" t="s">
        <v>688</v>
      </c>
      <c r="AM2272" s="338"/>
      <c r="AN2272" s="333"/>
      <c r="AO2272" s="333"/>
      <c r="AP2272" s="333"/>
      <c r="AQ2272" s="333"/>
      <c r="AR2272" s="333"/>
      <c r="AS2272" s="333"/>
      <c r="AT2272" s="333"/>
      <c r="AU2272" s="329"/>
      <c r="AV2272" s="341"/>
      <c r="AW2272" s="269"/>
      <c r="AX2272" s="334" t="s">
        <v>2869</v>
      </c>
      <c r="AY2272" s="270" t="s">
        <v>695</v>
      </c>
      <c r="AZ2272" s="173" t="s">
        <v>5516</v>
      </c>
      <c r="BA2272" s="265">
        <v>10.0</v>
      </c>
      <c r="BB2272" s="174" t="s">
        <v>245</v>
      </c>
      <c r="BC2272" s="341"/>
      <c r="BD2272" s="308"/>
      <c r="BE2272" s="342"/>
      <c r="BF2272" s="274" t="str">
        <f>IFERROR(__xludf.DUMMYFUNCTION("LOWER(Regexreplace(to_text(E2272),""[^A-Za-z0-9]"","""")&amp;""_""&amp;Regexreplace(to_text(F2272),""[^A-Za-z0-9]"",""""))"),"neptronic_evcbseries")</f>
        <v>neptronic_evcbseries</v>
      </c>
      <c r="BG2272" s="275" t="str">
        <f>IFERROR(__xludf.DUMMYFUNCTION("upper(Regexreplace(to_text(E2272),""[^A-Za-z0-9]"","""")&amp;""-""&amp;Regexreplace(to_text(F2272),""[^A-Za-z0-9]"",""""))"),"NEPTRONIC-EVCBSERIES")</f>
        <v>NEPTRONIC-EVCBSERIES</v>
      </c>
    </row>
    <row r="2273" ht="30.0" customHeight="1">
      <c r="A2273" s="173">
        <v>2265.0</v>
      </c>
      <c r="B2273" s="328" t="s">
        <v>670</v>
      </c>
      <c r="C2273" s="257" t="s">
        <v>7775</v>
      </c>
      <c r="D2273" s="173" t="s">
        <v>7775</v>
      </c>
      <c r="E2273" s="174" t="s">
        <v>2861</v>
      </c>
      <c r="F2273" s="173" t="s">
        <v>2862</v>
      </c>
      <c r="G2273" s="328" t="s">
        <v>673</v>
      </c>
      <c r="H2273" s="328" t="s">
        <v>2863</v>
      </c>
      <c r="I2273" s="258" t="s">
        <v>2864</v>
      </c>
      <c r="J2273" s="259" t="s">
        <v>1453</v>
      </c>
      <c r="K2273" s="260"/>
      <c r="L2273" s="363"/>
      <c r="M2273" s="329"/>
      <c r="N2273" s="173" t="s">
        <v>679</v>
      </c>
      <c r="O2273" s="173"/>
      <c r="P2273" s="262" t="str">
        <f t="shared" si="1"/>
        <v>IN-BLR-ANANTA-VAV-1845_11</v>
      </c>
      <c r="Q2273" s="173" t="s">
        <v>7776</v>
      </c>
      <c r="R2273" s="328" t="str">
        <f>IFS(C2273="","",C2273="n/a","N/A",LEN(C2273),Concatenate("{",char(34),"asset",char(34),":{",char(34),"guid",char(34),":",char(34),Q2273,char(34),",",char(34),"site",char(34),":",char(34),LOWER('2-Building'!$B$4),char(34),",",char(34),"name",char(34),":",char(34),LOWER(C2273),char(34),"}}"))</f>
        <v>{"asset":{"guid":"uuid://117216f1-d50f-415e-8ce1-7d94d25aed4d","site":"in-blr-ananta","name":"vav-1845"}}</v>
      </c>
      <c r="S2273" s="333"/>
      <c r="T2273" s="330"/>
      <c r="U2273" s="330"/>
      <c r="V2273" s="331"/>
      <c r="W2273" s="332"/>
      <c r="X2273" s="333"/>
      <c r="Y2273" s="33" t="s">
        <v>2867</v>
      </c>
      <c r="Z2273" s="258">
        <v>121845.0</v>
      </c>
      <c r="AA2273" s="333"/>
      <c r="AB2273" s="333"/>
      <c r="AC2273" s="333"/>
      <c r="AD2273" s="329"/>
      <c r="AE2273" s="362" t="s">
        <v>685</v>
      </c>
      <c r="AF2273" s="336"/>
      <c r="AG2273" s="337"/>
      <c r="AH2273" s="333"/>
      <c r="AI2273" s="333"/>
      <c r="AJ2273" s="333"/>
      <c r="AK2273" s="328" t="s">
        <v>2288</v>
      </c>
      <c r="AL2273" s="328" t="s">
        <v>688</v>
      </c>
      <c r="AM2273" s="338"/>
      <c r="AN2273" s="333"/>
      <c r="AO2273" s="333"/>
      <c r="AP2273" s="333"/>
      <c r="AQ2273" s="333"/>
      <c r="AR2273" s="333"/>
      <c r="AS2273" s="333"/>
      <c r="AT2273" s="333"/>
      <c r="AU2273" s="329"/>
      <c r="AV2273" s="341"/>
      <c r="AW2273" s="269"/>
      <c r="AX2273" s="334" t="s">
        <v>2869</v>
      </c>
      <c r="AY2273" s="270" t="s">
        <v>695</v>
      </c>
      <c r="AZ2273" s="173" t="s">
        <v>5516</v>
      </c>
      <c r="BA2273" s="265">
        <v>10.0</v>
      </c>
      <c r="BB2273" s="174" t="s">
        <v>245</v>
      </c>
      <c r="BC2273" s="341"/>
      <c r="BD2273" s="308"/>
      <c r="BE2273" s="342"/>
      <c r="BF2273" s="274" t="str">
        <f>IFERROR(__xludf.DUMMYFUNCTION("LOWER(Regexreplace(to_text(E2273),""[^A-Za-z0-9]"","""")&amp;""_""&amp;Regexreplace(to_text(F2273),""[^A-Za-z0-9]"",""""))"),"neptronic_evcbseries")</f>
        <v>neptronic_evcbseries</v>
      </c>
      <c r="BG2273" s="275" t="str">
        <f>IFERROR(__xludf.DUMMYFUNCTION("upper(Regexreplace(to_text(E2273),""[^A-Za-z0-9]"","""")&amp;""-""&amp;Regexreplace(to_text(F2273),""[^A-Za-z0-9]"",""""))"),"NEPTRONIC-EVCBSERIES")</f>
        <v>NEPTRONIC-EVCBSERIES</v>
      </c>
    </row>
    <row r="2274" ht="30.0" customHeight="1">
      <c r="A2274" s="258">
        <v>2266.0</v>
      </c>
      <c r="B2274" s="328" t="s">
        <v>670</v>
      </c>
      <c r="C2274" s="257" t="s">
        <v>7777</v>
      </c>
      <c r="D2274" s="173" t="s">
        <v>7777</v>
      </c>
      <c r="E2274" s="174" t="s">
        <v>2861</v>
      </c>
      <c r="F2274" s="173" t="s">
        <v>2862</v>
      </c>
      <c r="G2274" s="328" t="s">
        <v>673</v>
      </c>
      <c r="H2274" s="328" t="s">
        <v>2863</v>
      </c>
      <c r="I2274" s="258" t="s">
        <v>2864</v>
      </c>
      <c r="J2274" s="259" t="s">
        <v>1453</v>
      </c>
      <c r="K2274" s="260"/>
      <c r="L2274" s="363"/>
      <c r="M2274" s="329"/>
      <c r="N2274" s="173" t="s">
        <v>679</v>
      </c>
      <c r="O2274" s="173"/>
      <c r="P2274" s="262" t="str">
        <f t="shared" si="1"/>
        <v>IN-BLR-ANANTA-VAV-1846_11</v>
      </c>
      <c r="Q2274" s="173" t="s">
        <v>7778</v>
      </c>
      <c r="R2274" s="328" t="str">
        <f>IFS(C2274="","",C2274="n/a","N/A",LEN(C2274),Concatenate("{",char(34),"asset",char(34),":{",char(34),"guid",char(34),":",char(34),Q2274,char(34),",",char(34),"site",char(34),":",char(34),LOWER('2-Building'!$B$4),char(34),",",char(34),"name",char(34),":",char(34),LOWER(C2274),char(34),"}}"))</f>
        <v>{"asset":{"guid":"uuid://b6248042-0e65-4ee5-9744-5668f0a975d9","site":"in-blr-ananta","name":"vav-1846"}}</v>
      </c>
      <c r="S2274" s="333"/>
      <c r="T2274" s="330"/>
      <c r="U2274" s="330"/>
      <c r="V2274" s="331"/>
      <c r="W2274" s="332"/>
      <c r="X2274" s="333"/>
      <c r="Y2274" s="33" t="s">
        <v>2867</v>
      </c>
      <c r="Z2274" s="258">
        <v>121846.0</v>
      </c>
      <c r="AA2274" s="333"/>
      <c r="AB2274" s="333"/>
      <c r="AC2274" s="333"/>
      <c r="AD2274" s="329"/>
      <c r="AE2274" s="362" t="s">
        <v>685</v>
      </c>
      <c r="AF2274" s="336"/>
      <c r="AG2274" s="337"/>
      <c r="AH2274" s="333"/>
      <c r="AI2274" s="333"/>
      <c r="AJ2274" s="333"/>
      <c r="AK2274" s="328" t="s">
        <v>2293</v>
      </c>
      <c r="AL2274" s="328" t="s">
        <v>688</v>
      </c>
      <c r="AM2274" s="338"/>
      <c r="AN2274" s="333"/>
      <c r="AO2274" s="333"/>
      <c r="AP2274" s="333"/>
      <c r="AQ2274" s="333"/>
      <c r="AR2274" s="333"/>
      <c r="AS2274" s="333"/>
      <c r="AT2274" s="333"/>
      <c r="AU2274" s="329"/>
      <c r="AV2274" s="341"/>
      <c r="AW2274" s="269"/>
      <c r="AX2274" s="334" t="s">
        <v>2869</v>
      </c>
      <c r="AY2274" s="270" t="s">
        <v>695</v>
      </c>
      <c r="AZ2274" s="173" t="s">
        <v>5516</v>
      </c>
      <c r="BA2274" s="265">
        <v>10.0</v>
      </c>
      <c r="BB2274" s="174" t="s">
        <v>245</v>
      </c>
      <c r="BC2274" s="341"/>
      <c r="BD2274" s="308"/>
      <c r="BE2274" s="342"/>
      <c r="BF2274" s="274" t="str">
        <f>IFERROR(__xludf.DUMMYFUNCTION("LOWER(Regexreplace(to_text(E2274),""[^A-Za-z0-9]"","""")&amp;""_""&amp;Regexreplace(to_text(F2274),""[^A-Za-z0-9]"",""""))"),"neptronic_evcbseries")</f>
        <v>neptronic_evcbseries</v>
      </c>
      <c r="BG2274" s="275" t="str">
        <f>IFERROR(__xludf.DUMMYFUNCTION("upper(Regexreplace(to_text(E2274),""[^A-Za-z0-9]"","""")&amp;""-""&amp;Regexreplace(to_text(F2274),""[^A-Za-z0-9]"",""""))"),"NEPTRONIC-EVCBSERIES")</f>
        <v>NEPTRONIC-EVCBSERIES</v>
      </c>
    </row>
    <row r="2275" ht="30.0" customHeight="1">
      <c r="A2275" s="173">
        <v>2267.0</v>
      </c>
      <c r="B2275" s="328" t="s">
        <v>670</v>
      </c>
      <c r="C2275" s="257" t="s">
        <v>7779</v>
      </c>
      <c r="D2275" s="173" t="s">
        <v>7779</v>
      </c>
      <c r="E2275" s="174" t="s">
        <v>2861</v>
      </c>
      <c r="F2275" s="173" t="s">
        <v>2862</v>
      </c>
      <c r="G2275" s="328" t="s">
        <v>673</v>
      </c>
      <c r="H2275" s="328" t="s">
        <v>2863</v>
      </c>
      <c r="I2275" s="258" t="s">
        <v>2864</v>
      </c>
      <c r="J2275" s="259" t="s">
        <v>1453</v>
      </c>
      <c r="K2275" s="260"/>
      <c r="L2275" s="363"/>
      <c r="M2275" s="329"/>
      <c r="N2275" s="173" t="s">
        <v>679</v>
      </c>
      <c r="O2275" s="173"/>
      <c r="P2275" s="262" t="str">
        <f t="shared" si="1"/>
        <v>IN-BLR-ANANTA-VAV-1847_11</v>
      </c>
      <c r="Q2275" s="173" t="s">
        <v>7780</v>
      </c>
      <c r="R2275" s="328" t="str">
        <f>IFS(C2275="","",C2275="n/a","N/A",LEN(C2275),Concatenate("{",char(34),"asset",char(34),":{",char(34),"guid",char(34),":",char(34),Q2275,char(34),",",char(34),"site",char(34),":",char(34),LOWER('2-Building'!$B$4),char(34),",",char(34),"name",char(34),":",char(34),LOWER(C2275),char(34),"}}"))</f>
        <v>{"asset":{"guid":"uuid://ccc55255-6d01-4051-82ea-6a58bd940c5c","site":"in-blr-ananta","name":"vav-1847"}}</v>
      </c>
      <c r="S2275" s="333"/>
      <c r="T2275" s="330"/>
      <c r="U2275" s="330"/>
      <c r="V2275" s="331"/>
      <c r="W2275" s="332"/>
      <c r="X2275" s="333"/>
      <c r="Y2275" s="33" t="s">
        <v>2867</v>
      </c>
      <c r="Z2275" s="258">
        <v>121847.0</v>
      </c>
      <c r="AA2275" s="333"/>
      <c r="AB2275" s="333"/>
      <c r="AC2275" s="333"/>
      <c r="AD2275" s="329"/>
      <c r="AE2275" s="362" t="s">
        <v>685</v>
      </c>
      <c r="AF2275" s="336"/>
      <c r="AG2275" s="337"/>
      <c r="AH2275" s="333"/>
      <c r="AI2275" s="333"/>
      <c r="AJ2275" s="333"/>
      <c r="AK2275" s="328" t="s">
        <v>2298</v>
      </c>
      <c r="AL2275" s="328" t="s">
        <v>688</v>
      </c>
      <c r="AM2275" s="338"/>
      <c r="AN2275" s="333"/>
      <c r="AO2275" s="333"/>
      <c r="AP2275" s="333"/>
      <c r="AQ2275" s="333"/>
      <c r="AR2275" s="333"/>
      <c r="AS2275" s="333"/>
      <c r="AT2275" s="333"/>
      <c r="AU2275" s="329"/>
      <c r="AV2275" s="341"/>
      <c r="AW2275" s="269"/>
      <c r="AX2275" s="334" t="s">
        <v>2869</v>
      </c>
      <c r="AY2275" s="270" t="s">
        <v>695</v>
      </c>
      <c r="AZ2275" s="173" t="s">
        <v>5516</v>
      </c>
      <c r="BA2275" s="265">
        <v>10.0</v>
      </c>
      <c r="BB2275" s="174" t="s">
        <v>245</v>
      </c>
      <c r="BC2275" s="341"/>
      <c r="BD2275" s="308"/>
      <c r="BE2275" s="342"/>
      <c r="BF2275" s="274" t="str">
        <f>IFERROR(__xludf.DUMMYFUNCTION("LOWER(Regexreplace(to_text(E2275),""[^A-Za-z0-9]"","""")&amp;""_""&amp;Regexreplace(to_text(F2275),""[^A-Za-z0-9]"",""""))"),"neptronic_evcbseries")</f>
        <v>neptronic_evcbseries</v>
      </c>
      <c r="BG2275" s="275" t="str">
        <f>IFERROR(__xludf.DUMMYFUNCTION("upper(Regexreplace(to_text(E2275),""[^A-Za-z0-9]"","""")&amp;""-""&amp;Regexreplace(to_text(F2275),""[^A-Za-z0-9]"",""""))"),"NEPTRONIC-EVCBSERIES")</f>
        <v>NEPTRONIC-EVCBSERIES</v>
      </c>
    </row>
    <row r="2276" ht="30.0" customHeight="1">
      <c r="A2276" s="258">
        <v>2268.0</v>
      </c>
      <c r="B2276" s="328" t="s">
        <v>670</v>
      </c>
      <c r="C2276" s="257" t="s">
        <v>7781</v>
      </c>
      <c r="D2276" s="173" t="s">
        <v>7781</v>
      </c>
      <c r="E2276" s="174" t="s">
        <v>2861</v>
      </c>
      <c r="F2276" s="173" t="s">
        <v>2862</v>
      </c>
      <c r="G2276" s="328" t="s">
        <v>673</v>
      </c>
      <c r="H2276" s="328" t="s">
        <v>2863</v>
      </c>
      <c r="I2276" s="258" t="s">
        <v>2864</v>
      </c>
      <c r="J2276" s="259" t="s">
        <v>1453</v>
      </c>
      <c r="K2276" s="260"/>
      <c r="L2276" s="363"/>
      <c r="M2276" s="329"/>
      <c r="N2276" s="173" t="s">
        <v>679</v>
      </c>
      <c r="O2276" s="173"/>
      <c r="P2276" s="262" t="str">
        <f t="shared" si="1"/>
        <v>IN-BLR-ANANTA-VAV-1848_11</v>
      </c>
      <c r="Q2276" s="173" t="s">
        <v>7782</v>
      </c>
      <c r="R2276" s="328" t="str">
        <f>IFS(C2276="","",C2276="n/a","N/A",LEN(C2276),Concatenate("{",char(34),"asset",char(34),":{",char(34),"guid",char(34),":",char(34),Q2276,char(34),",",char(34),"site",char(34),":",char(34),LOWER('2-Building'!$B$4),char(34),",",char(34),"name",char(34),":",char(34),LOWER(C2276),char(34),"}}"))</f>
        <v>{"asset":{"guid":"uuid://69047461-af98-4119-80e6-798c0722787f","site":"in-blr-ananta","name":"vav-1848"}}</v>
      </c>
      <c r="S2276" s="333"/>
      <c r="T2276" s="330"/>
      <c r="U2276" s="330"/>
      <c r="V2276" s="331"/>
      <c r="W2276" s="332"/>
      <c r="X2276" s="333"/>
      <c r="Y2276" s="33" t="s">
        <v>2867</v>
      </c>
      <c r="Z2276" s="258">
        <v>121848.0</v>
      </c>
      <c r="AA2276" s="333"/>
      <c r="AB2276" s="333"/>
      <c r="AC2276" s="333"/>
      <c r="AD2276" s="329"/>
      <c r="AE2276" s="362" t="s">
        <v>685</v>
      </c>
      <c r="AF2276" s="336"/>
      <c r="AG2276" s="337"/>
      <c r="AH2276" s="333"/>
      <c r="AI2276" s="333"/>
      <c r="AJ2276" s="333"/>
      <c r="AK2276" s="328" t="s">
        <v>2304</v>
      </c>
      <c r="AL2276" s="328" t="s">
        <v>688</v>
      </c>
      <c r="AM2276" s="338"/>
      <c r="AN2276" s="333"/>
      <c r="AO2276" s="333"/>
      <c r="AP2276" s="333"/>
      <c r="AQ2276" s="333"/>
      <c r="AR2276" s="333"/>
      <c r="AS2276" s="333"/>
      <c r="AT2276" s="333"/>
      <c r="AU2276" s="329"/>
      <c r="AV2276" s="341"/>
      <c r="AW2276" s="269"/>
      <c r="AX2276" s="334" t="s">
        <v>2869</v>
      </c>
      <c r="AY2276" s="270" t="s">
        <v>695</v>
      </c>
      <c r="AZ2276" s="173" t="s">
        <v>5516</v>
      </c>
      <c r="BA2276" s="265">
        <v>10.0</v>
      </c>
      <c r="BB2276" s="174" t="s">
        <v>245</v>
      </c>
      <c r="BC2276" s="341"/>
      <c r="BD2276" s="308"/>
      <c r="BE2276" s="342"/>
      <c r="BF2276" s="274" t="str">
        <f>IFERROR(__xludf.DUMMYFUNCTION("LOWER(Regexreplace(to_text(E2276),""[^A-Za-z0-9]"","""")&amp;""_""&amp;Regexreplace(to_text(F2276),""[^A-Za-z0-9]"",""""))"),"neptronic_evcbseries")</f>
        <v>neptronic_evcbseries</v>
      </c>
      <c r="BG2276" s="275" t="str">
        <f>IFERROR(__xludf.DUMMYFUNCTION("upper(Regexreplace(to_text(E2276),""[^A-Za-z0-9]"","""")&amp;""-""&amp;Regexreplace(to_text(F2276),""[^A-Za-z0-9]"",""""))"),"NEPTRONIC-EVCBSERIES")</f>
        <v>NEPTRONIC-EVCBSERIES</v>
      </c>
    </row>
    <row r="2277" ht="30.0" customHeight="1">
      <c r="A2277" s="173">
        <v>2269.0</v>
      </c>
      <c r="B2277" s="328" t="s">
        <v>670</v>
      </c>
      <c r="C2277" s="257" t="s">
        <v>7783</v>
      </c>
      <c r="D2277" s="173" t="s">
        <v>7783</v>
      </c>
      <c r="E2277" s="174" t="s">
        <v>2861</v>
      </c>
      <c r="F2277" s="173" t="s">
        <v>2862</v>
      </c>
      <c r="G2277" s="328" t="s">
        <v>673</v>
      </c>
      <c r="H2277" s="328" t="s">
        <v>2863</v>
      </c>
      <c r="I2277" s="258" t="s">
        <v>2864</v>
      </c>
      <c r="J2277" s="259" t="s">
        <v>1453</v>
      </c>
      <c r="K2277" s="260"/>
      <c r="L2277" s="363"/>
      <c r="M2277" s="329"/>
      <c r="N2277" s="173" t="s">
        <v>679</v>
      </c>
      <c r="O2277" s="173"/>
      <c r="P2277" s="262" t="str">
        <f t="shared" si="1"/>
        <v>IN-BLR-ANANTA-VAV-1849_11</v>
      </c>
      <c r="Q2277" s="173" t="s">
        <v>7784</v>
      </c>
      <c r="R2277" s="328" t="str">
        <f>IFS(C2277="","",C2277="n/a","N/A",LEN(C2277),Concatenate("{",char(34),"asset",char(34),":{",char(34),"guid",char(34),":",char(34),Q2277,char(34),",",char(34),"site",char(34),":",char(34),LOWER('2-Building'!$B$4),char(34),",",char(34),"name",char(34),":",char(34),LOWER(C2277),char(34),"}}"))</f>
        <v>{"asset":{"guid":"uuid://bf904a4c-d6b0-424b-a724-f5d531a6b055","site":"in-blr-ananta","name":"vav-1849"}}</v>
      </c>
      <c r="S2277" s="333"/>
      <c r="T2277" s="330"/>
      <c r="U2277" s="330"/>
      <c r="V2277" s="331"/>
      <c r="W2277" s="332"/>
      <c r="X2277" s="333"/>
      <c r="Y2277" s="33" t="s">
        <v>2867</v>
      </c>
      <c r="Z2277" s="258">
        <v>121849.0</v>
      </c>
      <c r="AA2277" s="333"/>
      <c r="AB2277" s="333"/>
      <c r="AC2277" s="333"/>
      <c r="AD2277" s="329"/>
      <c r="AE2277" s="362" t="s">
        <v>685</v>
      </c>
      <c r="AF2277" s="336"/>
      <c r="AG2277" s="337"/>
      <c r="AH2277" s="333"/>
      <c r="AI2277" s="333"/>
      <c r="AJ2277" s="333"/>
      <c r="AK2277" s="328" t="s">
        <v>2310</v>
      </c>
      <c r="AL2277" s="328" t="s">
        <v>688</v>
      </c>
      <c r="AM2277" s="338"/>
      <c r="AN2277" s="333"/>
      <c r="AO2277" s="333"/>
      <c r="AP2277" s="333"/>
      <c r="AQ2277" s="333"/>
      <c r="AR2277" s="333"/>
      <c r="AS2277" s="333"/>
      <c r="AT2277" s="333"/>
      <c r="AU2277" s="329"/>
      <c r="AV2277" s="341"/>
      <c r="AW2277" s="269"/>
      <c r="AX2277" s="334" t="s">
        <v>2869</v>
      </c>
      <c r="AY2277" s="270" t="s">
        <v>695</v>
      </c>
      <c r="AZ2277" s="173" t="s">
        <v>5516</v>
      </c>
      <c r="BA2277" s="265">
        <v>10.0</v>
      </c>
      <c r="BB2277" s="174" t="s">
        <v>245</v>
      </c>
      <c r="BC2277" s="341"/>
      <c r="BD2277" s="308"/>
      <c r="BE2277" s="342"/>
      <c r="BF2277" s="274" t="str">
        <f>IFERROR(__xludf.DUMMYFUNCTION("LOWER(Regexreplace(to_text(E2277),""[^A-Za-z0-9]"","""")&amp;""_""&amp;Regexreplace(to_text(F2277),""[^A-Za-z0-9]"",""""))"),"neptronic_evcbseries")</f>
        <v>neptronic_evcbseries</v>
      </c>
      <c r="BG2277" s="275" t="str">
        <f>IFERROR(__xludf.DUMMYFUNCTION("upper(Regexreplace(to_text(E2277),""[^A-Za-z0-9]"","""")&amp;""-""&amp;Regexreplace(to_text(F2277),""[^A-Za-z0-9]"",""""))"),"NEPTRONIC-EVCBSERIES")</f>
        <v>NEPTRONIC-EVCBSERIES</v>
      </c>
    </row>
    <row r="2278" ht="30.0" customHeight="1">
      <c r="A2278" s="258">
        <v>2270.0</v>
      </c>
      <c r="B2278" s="328" t="s">
        <v>670</v>
      </c>
      <c r="C2278" s="257" t="s">
        <v>7785</v>
      </c>
      <c r="D2278" s="173" t="s">
        <v>7785</v>
      </c>
      <c r="E2278" s="174" t="s">
        <v>2861</v>
      </c>
      <c r="F2278" s="173" t="s">
        <v>2862</v>
      </c>
      <c r="G2278" s="328" t="s">
        <v>673</v>
      </c>
      <c r="H2278" s="328" t="s">
        <v>2863</v>
      </c>
      <c r="I2278" s="258" t="s">
        <v>2864</v>
      </c>
      <c r="J2278" s="259" t="s">
        <v>1453</v>
      </c>
      <c r="K2278" s="260"/>
      <c r="L2278" s="363"/>
      <c r="M2278" s="329"/>
      <c r="N2278" s="173" t="s">
        <v>679</v>
      </c>
      <c r="O2278" s="173"/>
      <c r="P2278" s="262" t="str">
        <f t="shared" si="1"/>
        <v>IN-BLR-ANANTA-VAV-1850_11</v>
      </c>
      <c r="Q2278" s="173" t="s">
        <v>7786</v>
      </c>
      <c r="R2278" s="328" t="str">
        <f>IFS(C2278="","",C2278="n/a","N/A",LEN(C2278),Concatenate("{",char(34),"asset",char(34),":{",char(34),"guid",char(34),":",char(34),Q2278,char(34),",",char(34),"site",char(34),":",char(34),LOWER('2-Building'!$B$4),char(34),",",char(34),"name",char(34),":",char(34),LOWER(C2278),char(34),"}}"))</f>
        <v>{"asset":{"guid":"uuid://a53ecc4a-4fe9-40fa-8b2d-01694db945dc","site":"in-blr-ananta","name":"vav-1850"}}</v>
      </c>
      <c r="S2278" s="333"/>
      <c r="T2278" s="330"/>
      <c r="U2278" s="330"/>
      <c r="V2278" s="331"/>
      <c r="W2278" s="332"/>
      <c r="X2278" s="333"/>
      <c r="Y2278" s="33" t="s">
        <v>2867</v>
      </c>
      <c r="Z2278" s="258">
        <v>121850.0</v>
      </c>
      <c r="AA2278" s="333"/>
      <c r="AB2278" s="333"/>
      <c r="AC2278" s="333"/>
      <c r="AD2278" s="329"/>
      <c r="AE2278" s="362" t="s">
        <v>685</v>
      </c>
      <c r="AF2278" s="336"/>
      <c r="AG2278" s="337"/>
      <c r="AH2278" s="333"/>
      <c r="AI2278" s="333"/>
      <c r="AJ2278" s="333"/>
      <c r="AK2278" s="328" t="s">
        <v>2315</v>
      </c>
      <c r="AL2278" s="328" t="s">
        <v>688</v>
      </c>
      <c r="AM2278" s="338"/>
      <c r="AN2278" s="333"/>
      <c r="AO2278" s="333"/>
      <c r="AP2278" s="333"/>
      <c r="AQ2278" s="333"/>
      <c r="AR2278" s="333"/>
      <c r="AS2278" s="333"/>
      <c r="AT2278" s="333"/>
      <c r="AU2278" s="329"/>
      <c r="AV2278" s="341"/>
      <c r="AW2278" s="269"/>
      <c r="AX2278" s="334" t="s">
        <v>2869</v>
      </c>
      <c r="AY2278" s="270" t="s">
        <v>695</v>
      </c>
      <c r="AZ2278" s="173" t="s">
        <v>5516</v>
      </c>
      <c r="BA2278" s="265">
        <v>10.0</v>
      </c>
      <c r="BB2278" s="174" t="s">
        <v>245</v>
      </c>
      <c r="BC2278" s="341"/>
      <c r="BD2278" s="308"/>
      <c r="BE2278" s="342"/>
      <c r="BF2278" s="274" t="str">
        <f>IFERROR(__xludf.DUMMYFUNCTION("LOWER(Regexreplace(to_text(E2278),""[^A-Za-z0-9]"","""")&amp;""_""&amp;Regexreplace(to_text(F2278),""[^A-Za-z0-9]"",""""))"),"neptronic_evcbseries")</f>
        <v>neptronic_evcbseries</v>
      </c>
      <c r="BG2278" s="275" t="str">
        <f>IFERROR(__xludf.DUMMYFUNCTION("upper(Regexreplace(to_text(E2278),""[^A-Za-z0-9]"","""")&amp;""-""&amp;Regexreplace(to_text(F2278),""[^A-Za-z0-9]"",""""))"),"NEPTRONIC-EVCBSERIES")</f>
        <v>NEPTRONIC-EVCBSERIES</v>
      </c>
    </row>
    <row r="2279" ht="30.0" customHeight="1">
      <c r="A2279" s="173">
        <v>2271.0</v>
      </c>
      <c r="B2279" s="328" t="s">
        <v>670</v>
      </c>
      <c r="C2279" s="257" t="s">
        <v>7787</v>
      </c>
      <c r="D2279" s="173" t="s">
        <v>7787</v>
      </c>
      <c r="E2279" s="174" t="s">
        <v>2861</v>
      </c>
      <c r="F2279" s="173" t="s">
        <v>2862</v>
      </c>
      <c r="G2279" s="328" t="s">
        <v>673</v>
      </c>
      <c r="H2279" s="328" t="s">
        <v>2863</v>
      </c>
      <c r="I2279" s="258" t="s">
        <v>2864</v>
      </c>
      <c r="J2279" s="259" t="s">
        <v>1453</v>
      </c>
      <c r="K2279" s="260"/>
      <c r="L2279" s="363"/>
      <c r="M2279" s="329"/>
      <c r="N2279" s="173" t="s">
        <v>679</v>
      </c>
      <c r="O2279" s="173"/>
      <c r="P2279" s="262" t="str">
        <f t="shared" si="1"/>
        <v>IN-BLR-ANANTA-VAV-1851_11</v>
      </c>
      <c r="Q2279" s="173" t="s">
        <v>7788</v>
      </c>
      <c r="R2279" s="328" t="str">
        <f>IFS(C2279="","",C2279="n/a","N/A",LEN(C2279),Concatenate("{",char(34),"asset",char(34),":{",char(34),"guid",char(34),":",char(34),Q2279,char(34),",",char(34),"site",char(34),":",char(34),LOWER('2-Building'!$B$4),char(34),",",char(34),"name",char(34),":",char(34),LOWER(C2279),char(34),"}}"))</f>
        <v>{"asset":{"guid":"uuid://49357c5c-592b-4505-992c-53fa9b3383bd","site":"in-blr-ananta","name":"vav-1851"}}</v>
      </c>
      <c r="S2279" s="333"/>
      <c r="T2279" s="330"/>
      <c r="U2279" s="330"/>
      <c r="V2279" s="331"/>
      <c r="W2279" s="332"/>
      <c r="X2279" s="333"/>
      <c r="Y2279" s="33" t="s">
        <v>2867</v>
      </c>
      <c r="Z2279" s="258">
        <v>121851.0</v>
      </c>
      <c r="AA2279" s="333"/>
      <c r="AB2279" s="333"/>
      <c r="AC2279" s="333"/>
      <c r="AD2279" s="329"/>
      <c r="AE2279" s="362" t="s">
        <v>685</v>
      </c>
      <c r="AF2279" s="336"/>
      <c r="AG2279" s="337"/>
      <c r="AH2279" s="333"/>
      <c r="AI2279" s="333"/>
      <c r="AJ2279" s="333"/>
      <c r="AK2279" s="328" t="s">
        <v>2321</v>
      </c>
      <c r="AL2279" s="328" t="s">
        <v>688</v>
      </c>
      <c r="AM2279" s="338"/>
      <c r="AN2279" s="333"/>
      <c r="AO2279" s="333"/>
      <c r="AP2279" s="333"/>
      <c r="AQ2279" s="333"/>
      <c r="AR2279" s="333"/>
      <c r="AS2279" s="333"/>
      <c r="AT2279" s="333"/>
      <c r="AU2279" s="329"/>
      <c r="AV2279" s="341"/>
      <c r="AW2279" s="269"/>
      <c r="AX2279" s="334" t="s">
        <v>2869</v>
      </c>
      <c r="AY2279" s="270" t="s">
        <v>695</v>
      </c>
      <c r="AZ2279" s="173" t="s">
        <v>5516</v>
      </c>
      <c r="BA2279" s="265">
        <v>10.0</v>
      </c>
      <c r="BB2279" s="174" t="s">
        <v>245</v>
      </c>
      <c r="BC2279" s="341"/>
      <c r="BD2279" s="308"/>
      <c r="BE2279" s="342"/>
      <c r="BF2279" s="274" t="str">
        <f>IFERROR(__xludf.DUMMYFUNCTION("LOWER(Regexreplace(to_text(E2279),""[^A-Za-z0-9]"","""")&amp;""_""&amp;Regexreplace(to_text(F2279),""[^A-Za-z0-9]"",""""))"),"neptronic_evcbseries")</f>
        <v>neptronic_evcbseries</v>
      </c>
      <c r="BG2279" s="275" t="str">
        <f>IFERROR(__xludf.DUMMYFUNCTION("upper(Regexreplace(to_text(E2279),""[^A-Za-z0-9]"","""")&amp;""-""&amp;Regexreplace(to_text(F2279),""[^A-Za-z0-9]"",""""))"),"NEPTRONIC-EVCBSERIES")</f>
        <v>NEPTRONIC-EVCBSERIES</v>
      </c>
    </row>
    <row r="2280" ht="30.0" customHeight="1">
      <c r="A2280" s="258">
        <v>2272.0</v>
      </c>
      <c r="B2280" s="328" t="s">
        <v>670</v>
      </c>
      <c r="C2280" s="257" t="s">
        <v>7789</v>
      </c>
      <c r="D2280" s="173" t="s">
        <v>7789</v>
      </c>
      <c r="E2280" s="174" t="s">
        <v>2861</v>
      </c>
      <c r="F2280" s="173" t="s">
        <v>2862</v>
      </c>
      <c r="G2280" s="328" t="s">
        <v>673</v>
      </c>
      <c r="H2280" s="328" t="s">
        <v>2863</v>
      </c>
      <c r="I2280" s="258" t="s">
        <v>2864</v>
      </c>
      <c r="J2280" s="259" t="s">
        <v>1453</v>
      </c>
      <c r="K2280" s="260"/>
      <c r="L2280" s="363"/>
      <c r="M2280" s="329"/>
      <c r="N2280" s="173" t="s">
        <v>679</v>
      </c>
      <c r="O2280" s="173"/>
      <c r="P2280" s="262" t="str">
        <f t="shared" si="1"/>
        <v>IN-BLR-ANANTA-VAV-1852_11</v>
      </c>
      <c r="Q2280" s="173" t="s">
        <v>7790</v>
      </c>
      <c r="R2280" s="328" t="str">
        <f>IFS(C2280="","",C2280="n/a","N/A",LEN(C2280),Concatenate("{",char(34),"asset",char(34),":{",char(34),"guid",char(34),":",char(34),Q2280,char(34),",",char(34),"site",char(34),":",char(34),LOWER('2-Building'!$B$4),char(34),",",char(34),"name",char(34),":",char(34),LOWER(C2280),char(34),"}}"))</f>
        <v>{"asset":{"guid":"uuid://03415b20-7ff8-42e5-82b5-43903959475e","site":"in-blr-ananta","name":"vav-1852"}}</v>
      </c>
      <c r="S2280" s="333"/>
      <c r="T2280" s="330"/>
      <c r="U2280" s="330"/>
      <c r="V2280" s="331"/>
      <c r="W2280" s="332"/>
      <c r="X2280" s="333"/>
      <c r="Y2280" s="33" t="s">
        <v>2867</v>
      </c>
      <c r="Z2280" s="258">
        <v>121852.0</v>
      </c>
      <c r="AA2280" s="333"/>
      <c r="AB2280" s="333"/>
      <c r="AC2280" s="333"/>
      <c r="AD2280" s="329"/>
      <c r="AE2280" s="362" t="s">
        <v>685</v>
      </c>
      <c r="AF2280" s="336"/>
      <c r="AG2280" s="337"/>
      <c r="AH2280" s="333"/>
      <c r="AI2280" s="333"/>
      <c r="AJ2280" s="333"/>
      <c r="AK2280" s="328" t="s">
        <v>2326</v>
      </c>
      <c r="AL2280" s="328" t="s">
        <v>688</v>
      </c>
      <c r="AM2280" s="338"/>
      <c r="AN2280" s="333"/>
      <c r="AO2280" s="333"/>
      <c r="AP2280" s="333"/>
      <c r="AQ2280" s="333"/>
      <c r="AR2280" s="333"/>
      <c r="AS2280" s="333"/>
      <c r="AT2280" s="333"/>
      <c r="AU2280" s="329"/>
      <c r="AV2280" s="341"/>
      <c r="AW2280" s="269"/>
      <c r="AX2280" s="334" t="s">
        <v>2869</v>
      </c>
      <c r="AY2280" s="270" t="s">
        <v>695</v>
      </c>
      <c r="AZ2280" s="173" t="s">
        <v>5516</v>
      </c>
      <c r="BA2280" s="265">
        <v>10.0</v>
      </c>
      <c r="BB2280" s="174" t="s">
        <v>245</v>
      </c>
      <c r="BC2280" s="341"/>
      <c r="BD2280" s="308"/>
      <c r="BE2280" s="342"/>
      <c r="BF2280" s="274" t="str">
        <f>IFERROR(__xludf.DUMMYFUNCTION("LOWER(Regexreplace(to_text(E2280),""[^A-Za-z0-9]"","""")&amp;""_""&amp;Regexreplace(to_text(F2280),""[^A-Za-z0-9]"",""""))"),"neptronic_evcbseries")</f>
        <v>neptronic_evcbseries</v>
      </c>
      <c r="BG2280" s="275" t="str">
        <f>IFERROR(__xludf.DUMMYFUNCTION("upper(Regexreplace(to_text(E2280),""[^A-Za-z0-9]"","""")&amp;""-""&amp;Regexreplace(to_text(F2280),""[^A-Za-z0-9]"",""""))"),"NEPTRONIC-EVCBSERIES")</f>
        <v>NEPTRONIC-EVCBSERIES</v>
      </c>
    </row>
    <row r="2281" ht="30.0" customHeight="1">
      <c r="A2281" s="173">
        <v>2273.0</v>
      </c>
      <c r="B2281" s="328" t="s">
        <v>670</v>
      </c>
      <c r="C2281" s="257" t="s">
        <v>7791</v>
      </c>
      <c r="D2281" s="173" t="s">
        <v>7791</v>
      </c>
      <c r="E2281" s="174" t="s">
        <v>2861</v>
      </c>
      <c r="F2281" s="173" t="s">
        <v>2862</v>
      </c>
      <c r="G2281" s="328" t="s">
        <v>673</v>
      </c>
      <c r="H2281" s="328" t="s">
        <v>2863</v>
      </c>
      <c r="I2281" s="258" t="s">
        <v>2864</v>
      </c>
      <c r="J2281" s="259" t="s">
        <v>1453</v>
      </c>
      <c r="K2281" s="260"/>
      <c r="L2281" s="363"/>
      <c r="M2281" s="329"/>
      <c r="N2281" s="173" t="s">
        <v>679</v>
      </c>
      <c r="O2281" s="173"/>
      <c r="P2281" s="262" t="str">
        <f t="shared" si="1"/>
        <v>IN-BLR-ANANTA-VAV-1853_11</v>
      </c>
      <c r="Q2281" s="173" t="s">
        <v>7792</v>
      </c>
      <c r="R2281" s="328" t="str">
        <f>IFS(C2281="","",C2281="n/a","N/A",LEN(C2281),Concatenate("{",char(34),"asset",char(34),":{",char(34),"guid",char(34),":",char(34),Q2281,char(34),",",char(34),"site",char(34),":",char(34),LOWER('2-Building'!$B$4),char(34),",",char(34),"name",char(34),":",char(34),LOWER(C2281),char(34),"}}"))</f>
        <v>{"asset":{"guid":"uuid://909baaec-8b3d-43a6-8c23-bb8e70b9d965","site":"in-blr-ananta","name":"vav-1853"}}</v>
      </c>
      <c r="S2281" s="333"/>
      <c r="T2281" s="330"/>
      <c r="U2281" s="330"/>
      <c r="V2281" s="331"/>
      <c r="W2281" s="332"/>
      <c r="X2281" s="333"/>
      <c r="Y2281" s="33" t="s">
        <v>2867</v>
      </c>
      <c r="Z2281" s="258">
        <v>121853.0</v>
      </c>
      <c r="AA2281" s="333"/>
      <c r="AB2281" s="333"/>
      <c r="AC2281" s="333"/>
      <c r="AD2281" s="329"/>
      <c r="AE2281" s="362" t="s">
        <v>685</v>
      </c>
      <c r="AF2281" s="336"/>
      <c r="AG2281" s="337"/>
      <c r="AH2281" s="333"/>
      <c r="AI2281" s="333"/>
      <c r="AJ2281" s="333"/>
      <c r="AK2281" s="333"/>
      <c r="AL2281" s="328" t="s">
        <v>688</v>
      </c>
      <c r="AM2281" s="338"/>
      <c r="AN2281" s="333"/>
      <c r="AO2281" s="333"/>
      <c r="AP2281" s="333"/>
      <c r="AQ2281" s="333"/>
      <c r="AR2281" s="333"/>
      <c r="AS2281" s="333"/>
      <c r="AT2281" s="333"/>
      <c r="AU2281" s="329"/>
      <c r="AV2281" s="341"/>
      <c r="AW2281" s="269"/>
      <c r="AX2281" s="334" t="s">
        <v>2869</v>
      </c>
      <c r="AY2281" s="270" t="s">
        <v>695</v>
      </c>
      <c r="AZ2281" s="173" t="s">
        <v>5516</v>
      </c>
      <c r="BA2281" s="265">
        <v>10.0</v>
      </c>
      <c r="BB2281" s="174" t="s">
        <v>245</v>
      </c>
      <c r="BC2281" s="341"/>
      <c r="BD2281" s="308"/>
      <c r="BE2281" s="342"/>
      <c r="BF2281" s="274" t="str">
        <f>IFERROR(__xludf.DUMMYFUNCTION("LOWER(Regexreplace(to_text(E2281),""[^A-Za-z0-9]"","""")&amp;""_""&amp;Regexreplace(to_text(F2281),""[^A-Za-z0-9]"",""""))"),"neptronic_evcbseries")</f>
        <v>neptronic_evcbseries</v>
      </c>
      <c r="BG2281" s="275" t="str">
        <f>IFERROR(__xludf.DUMMYFUNCTION("upper(Regexreplace(to_text(E2281),""[^A-Za-z0-9]"","""")&amp;""-""&amp;Regexreplace(to_text(F2281),""[^A-Za-z0-9]"",""""))"),"NEPTRONIC-EVCBSERIES")</f>
        <v>NEPTRONIC-EVCBSERIES</v>
      </c>
    </row>
    <row r="2282" ht="30.0" customHeight="1">
      <c r="A2282" s="258">
        <v>2274.0</v>
      </c>
      <c r="B2282" s="328" t="s">
        <v>670</v>
      </c>
      <c r="C2282" s="257" t="s">
        <v>7793</v>
      </c>
      <c r="D2282" s="173" t="s">
        <v>7793</v>
      </c>
      <c r="E2282" s="174" t="s">
        <v>2861</v>
      </c>
      <c r="F2282" s="173" t="s">
        <v>2862</v>
      </c>
      <c r="G2282" s="328" t="s">
        <v>673</v>
      </c>
      <c r="H2282" s="328" t="s">
        <v>2863</v>
      </c>
      <c r="I2282" s="258" t="s">
        <v>2864</v>
      </c>
      <c r="J2282" s="259" t="s">
        <v>1453</v>
      </c>
      <c r="K2282" s="260"/>
      <c r="L2282" s="363"/>
      <c r="M2282" s="329"/>
      <c r="N2282" s="173" t="s">
        <v>679</v>
      </c>
      <c r="O2282" s="173"/>
      <c r="P2282" s="262" t="str">
        <f t="shared" si="1"/>
        <v>IN-BLR-ANANTA-VAV-1854_11</v>
      </c>
      <c r="Q2282" s="173" t="s">
        <v>7794</v>
      </c>
      <c r="R2282" s="328" t="str">
        <f>IFS(C2282="","",C2282="n/a","N/A",LEN(C2282),Concatenate("{",char(34),"asset",char(34),":{",char(34),"guid",char(34),":",char(34),Q2282,char(34),",",char(34),"site",char(34),":",char(34),LOWER('2-Building'!$B$4),char(34),",",char(34),"name",char(34),":",char(34),LOWER(C2282),char(34),"}}"))</f>
        <v>{"asset":{"guid":"uuid://fb234a84-17b9-454b-ba31-67e824551991","site":"in-blr-ananta","name":"vav-1854"}}</v>
      </c>
      <c r="S2282" s="333"/>
      <c r="T2282" s="330"/>
      <c r="U2282" s="330"/>
      <c r="V2282" s="331"/>
      <c r="W2282" s="332"/>
      <c r="X2282" s="333"/>
      <c r="Y2282" s="33" t="s">
        <v>2867</v>
      </c>
      <c r="Z2282" s="258">
        <v>121854.0</v>
      </c>
      <c r="AA2282" s="333"/>
      <c r="AB2282" s="333"/>
      <c r="AC2282" s="333"/>
      <c r="AD2282" s="329"/>
      <c r="AE2282" s="362" t="s">
        <v>685</v>
      </c>
      <c r="AF2282" s="336"/>
      <c r="AG2282" s="337"/>
      <c r="AH2282" s="333"/>
      <c r="AI2282" s="333"/>
      <c r="AJ2282" s="333"/>
      <c r="AK2282" s="328" t="s">
        <v>2336</v>
      </c>
      <c r="AL2282" s="328" t="s">
        <v>688</v>
      </c>
      <c r="AM2282" s="338"/>
      <c r="AN2282" s="333"/>
      <c r="AO2282" s="333"/>
      <c r="AP2282" s="333"/>
      <c r="AQ2282" s="333"/>
      <c r="AR2282" s="333"/>
      <c r="AS2282" s="333"/>
      <c r="AT2282" s="333"/>
      <c r="AU2282" s="329"/>
      <c r="AV2282" s="341"/>
      <c r="AW2282" s="269"/>
      <c r="AX2282" s="334" t="s">
        <v>2869</v>
      </c>
      <c r="AY2282" s="270" t="s">
        <v>695</v>
      </c>
      <c r="AZ2282" s="173" t="s">
        <v>5516</v>
      </c>
      <c r="BA2282" s="265">
        <v>10.0</v>
      </c>
      <c r="BB2282" s="174" t="s">
        <v>245</v>
      </c>
      <c r="BC2282" s="341"/>
      <c r="BD2282" s="308"/>
      <c r="BE2282" s="342"/>
      <c r="BF2282" s="274" t="str">
        <f>IFERROR(__xludf.DUMMYFUNCTION("LOWER(Regexreplace(to_text(E2282),""[^A-Za-z0-9]"","""")&amp;""_""&amp;Regexreplace(to_text(F2282),""[^A-Za-z0-9]"",""""))"),"neptronic_evcbseries")</f>
        <v>neptronic_evcbseries</v>
      </c>
      <c r="BG2282" s="275" t="str">
        <f>IFERROR(__xludf.DUMMYFUNCTION("upper(Regexreplace(to_text(E2282),""[^A-Za-z0-9]"","""")&amp;""-""&amp;Regexreplace(to_text(F2282),""[^A-Za-z0-9]"",""""))"),"NEPTRONIC-EVCBSERIES")</f>
        <v>NEPTRONIC-EVCBSERIES</v>
      </c>
    </row>
    <row r="2283" ht="30.0" customHeight="1">
      <c r="A2283" s="173">
        <v>2275.0</v>
      </c>
      <c r="B2283" s="328" t="s">
        <v>670</v>
      </c>
      <c r="C2283" s="257" t="s">
        <v>7795</v>
      </c>
      <c r="D2283" s="173" t="s">
        <v>7795</v>
      </c>
      <c r="E2283" s="174" t="s">
        <v>2861</v>
      </c>
      <c r="F2283" s="173" t="s">
        <v>2862</v>
      </c>
      <c r="G2283" s="328" t="s">
        <v>673</v>
      </c>
      <c r="H2283" s="328" t="s">
        <v>2863</v>
      </c>
      <c r="I2283" s="258" t="s">
        <v>2864</v>
      </c>
      <c r="J2283" s="259" t="s">
        <v>1453</v>
      </c>
      <c r="K2283" s="260"/>
      <c r="L2283" s="363"/>
      <c r="M2283" s="329"/>
      <c r="N2283" s="173" t="s">
        <v>679</v>
      </c>
      <c r="O2283" s="173"/>
      <c r="P2283" s="262" t="str">
        <f t="shared" si="1"/>
        <v>IN-BLR-ANANTA-VAV-1855_11</v>
      </c>
      <c r="Q2283" s="173" t="s">
        <v>7796</v>
      </c>
      <c r="R2283" s="328" t="str">
        <f>IFS(C2283="","",C2283="n/a","N/A",LEN(C2283),Concatenate("{",char(34),"asset",char(34),":{",char(34),"guid",char(34),":",char(34),Q2283,char(34),",",char(34),"site",char(34),":",char(34),LOWER('2-Building'!$B$4),char(34),",",char(34),"name",char(34),":",char(34),LOWER(C2283),char(34),"}}"))</f>
        <v>{"asset":{"guid":"uuid://1499f38e-d9a8-43c7-9822-1cdc5acb133c","site":"in-blr-ananta","name":"vav-1855"}}</v>
      </c>
      <c r="S2283" s="333"/>
      <c r="T2283" s="330"/>
      <c r="U2283" s="330"/>
      <c r="V2283" s="331"/>
      <c r="W2283" s="332"/>
      <c r="X2283" s="333"/>
      <c r="Y2283" s="33" t="s">
        <v>2867</v>
      </c>
      <c r="Z2283" s="258">
        <v>121855.0</v>
      </c>
      <c r="AA2283" s="333"/>
      <c r="AB2283" s="333"/>
      <c r="AC2283" s="333"/>
      <c r="AD2283" s="329"/>
      <c r="AE2283" s="362" t="s">
        <v>685</v>
      </c>
      <c r="AF2283" s="336"/>
      <c r="AG2283" s="337"/>
      <c r="AH2283" s="333"/>
      <c r="AI2283" s="333"/>
      <c r="AJ2283" s="333"/>
      <c r="AK2283" s="328" t="s">
        <v>2341</v>
      </c>
      <c r="AL2283" s="328" t="s">
        <v>688</v>
      </c>
      <c r="AM2283" s="338"/>
      <c r="AN2283" s="333"/>
      <c r="AO2283" s="333"/>
      <c r="AP2283" s="333"/>
      <c r="AQ2283" s="333"/>
      <c r="AR2283" s="333"/>
      <c r="AS2283" s="333"/>
      <c r="AT2283" s="333"/>
      <c r="AU2283" s="329"/>
      <c r="AV2283" s="341"/>
      <c r="AW2283" s="269"/>
      <c r="AX2283" s="334" t="s">
        <v>2869</v>
      </c>
      <c r="AY2283" s="270" t="s">
        <v>695</v>
      </c>
      <c r="AZ2283" s="173" t="s">
        <v>5516</v>
      </c>
      <c r="BA2283" s="265">
        <v>10.0</v>
      </c>
      <c r="BB2283" s="174" t="s">
        <v>245</v>
      </c>
      <c r="BC2283" s="341"/>
      <c r="BD2283" s="308"/>
      <c r="BE2283" s="342"/>
      <c r="BF2283" s="274" t="str">
        <f>IFERROR(__xludf.DUMMYFUNCTION("LOWER(Regexreplace(to_text(E2283),""[^A-Za-z0-9]"","""")&amp;""_""&amp;Regexreplace(to_text(F2283),""[^A-Za-z0-9]"",""""))"),"neptronic_evcbseries")</f>
        <v>neptronic_evcbseries</v>
      </c>
      <c r="BG2283" s="275" t="str">
        <f>IFERROR(__xludf.DUMMYFUNCTION("upper(Regexreplace(to_text(E2283),""[^A-Za-z0-9]"","""")&amp;""-""&amp;Regexreplace(to_text(F2283),""[^A-Za-z0-9]"",""""))"),"NEPTRONIC-EVCBSERIES")</f>
        <v>NEPTRONIC-EVCBSERIES</v>
      </c>
    </row>
    <row r="2284" ht="30.0" customHeight="1">
      <c r="A2284" s="258">
        <v>2276.0</v>
      </c>
      <c r="B2284" s="328" t="s">
        <v>670</v>
      </c>
      <c r="C2284" s="257" t="s">
        <v>7797</v>
      </c>
      <c r="D2284" s="173" t="s">
        <v>7797</v>
      </c>
      <c r="E2284" s="174" t="s">
        <v>2861</v>
      </c>
      <c r="F2284" s="173" t="s">
        <v>2862</v>
      </c>
      <c r="G2284" s="328" t="s">
        <v>673</v>
      </c>
      <c r="H2284" s="328" t="s">
        <v>2863</v>
      </c>
      <c r="I2284" s="258" t="s">
        <v>2864</v>
      </c>
      <c r="J2284" s="259" t="s">
        <v>1453</v>
      </c>
      <c r="K2284" s="260"/>
      <c r="L2284" s="363"/>
      <c r="M2284" s="329"/>
      <c r="N2284" s="173" t="s">
        <v>679</v>
      </c>
      <c r="O2284" s="173"/>
      <c r="P2284" s="262" t="str">
        <f t="shared" si="1"/>
        <v>IN-BLR-ANANTA-VAV-1856_11</v>
      </c>
      <c r="Q2284" s="173" t="s">
        <v>7798</v>
      </c>
      <c r="R2284" s="328" t="str">
        <f>IFS(C2284="","",C2284="n/a","N/A",LEN(C2284),Concatenate("{",char(34),"asset",char(34),":{",char(34),"guid",char(34),":",char(34),Q2284,char(34),",",char(34),"site",char(34),":",char(34),LOWER('2-Building'!$B$4),char(34),",",char(34),"name",char(34),":",char(34),LOWER(C2284),char(34),"}}"))</f>
        <v>{"asset":{"guid":"uuid://3b27208b-1bd1-4b1c-8ae3-f45de22bfb9a","site":"in-blr-ananta","name":"vav-1856"}}</v>
      </c>
      <c r="S2284" s="333"/>
      <c r="T2284" s="330"/>
      <c r="U2284" s="330"/>
      <c r="V2284" s="331"/>
      <c r="W2284" s="332"/>
      <c r="X2284" s="333"/>
      <c r="Y2284" s="33" t="s">
        <v>2867</v>
      </c>
      <c r="Z2284" s="258">
        <v>121856.0</v>
      </c>
      <c r="AA2284" s="333"/>
      <c r="AB2284" s="333"/>
      <c r="AC2284" s="333"/>
      <c r="AD2284" s="329"/>
      <c r="AE2284" s="362" t="s">
        <v>685</v>
      </c>
      <c r="AF2284" s="336"/>
      <c r="AG2284" s="337"/>
      <c r="AH2284" s="333"/>
      <c r="AI2284" s="333"/>
      <c r="AJ2284" s="333"/>
      <c r="AK2284" s="328" t="s">
        <v>2345</v>
      </c>
      <c r="AL2284" s="328" t="s">
        <v>688</v>
      </c>
      <c r="AM2284" s="338"/>
      <c r="AN2284" s="333"/>
      <c r="AO2284" s="333"/>
      <c r="AP2284" s="333"/>
      <c r="AQ2284" s="333"/>
      <c r="AR2284" s="333"/>
      <c r="AS2284" s="333"/>
      <c r="AT2284" s="333"/>
      <c r="AU2284" s="329"/>
      <c r="AV2284" s="341"/>
      <c r="AW2284" s="269"/>
      <c r="AX2284" s="334" t="s">
        <v>2869</v>
      </c>
      <c r="AY2284" s="270" t="s">
        <v>695</v>
      </c>
      <c r="AZ2284" s="173" t="s">
        <v>5516</v>
      </c>
      <c r="BA2284" s="265">
        <v>10.0</v>
      </c>
      <c r="BB2284" s="174" t="s">
        <v>245</v>
      </c>
      <c r="BC2284" s="341"/>
      <c r="BD2284" s="308"/>
      <c r="BE2284" s="342"/>
      <c r="BF2284" s="274" t="str">
        <f>IFERROR(__xludf.DUMMYFUNCTION("LOWER(Regexreplace(to_text(E2284),""[^A-Za-z0-9]"","""")&amp;""_""&amp;Regexreplace(to_text(F2284),""[^A-Za-z0-9]"",""""))"),"neptronic_evcbseries")</f>
        <v>neptronic_evcbseries</v>
      </c>
      <c r="BG2284" s="275" t="str">
        <f>IFERROR(__xludf.DUMMYFUNCTION("upper(Regexreplace(to_text(E2284),""[^A-Za-z0-9]"","""")&amp;""-""&amp;Regexreplace(to_text(F2284),""[^A-Za-z0-9]"",""""))"),"NEPTRONIC-EVCBSERIES")</f>
        <v>NEPTRONIC-EVCBSERIES</v>
      </c>
    </row>
    <row r="2285" ht="30.0" customHeight="1">
      <c r="A2285" s="173">
        <v>2277.0</v>
      </c>
      <c r="B2285" s="328" t="s">
        <v>670</v>
      </c>
      <c r="C2285" s="257" t="s">
        <v>7799</v>
      </c>
      <c r="D2285" s="173" t="s">
        <v>7799</v>
      </c>
      <c r="E2285" s="174" t="s">
        <v>2861</v>
      </c>
      <c r="F2285" s="173" t="s">
        <v>2862</v>
      </c>
      <c r="G2285" s="328" t="s">
        <v>673</v>
      </c>
      <c r="H2285" s="328" t="s">
        <v>2863</v>
      </c>
      <c r="I2285" s="258" t="s">
        <v>2864</v>
      </c>
      <c r="J2285" s="259" t="s">
        <v>1453</v>
      </c>
      <c r="K2285" s="260"/>
      <c r="L2285" s="363"/>
      <c r="M2285" s="329"/>
      <c r="N2285" s="173" t="s">
        <v>679</v>
      </c>
      <c r="O2285" s="173"/>
      <c r="P2285" s="262" t="str">
        <f t="shared" si="1"/>
        <v>IN-BLR-ANANTA-VAV-1857_11</v>
      </c>
      <c r="Q2285" s="173" t="s">
        <v>7800</v>
      </c>
      <c r="R2285" s="328" t="str">
        <f>IFS(C2285="","",C2285="n/a","N/A",LEN(C2285),Concatenate("{",char(34),"asset",char(34),":{",char(34),"guid",char(34),":",char(34),Q2285,char(34),",",char(34),"site",char(34),":",char(34),LOWER('2-Building'!$B$4),char(34),",",char(34),"name",char(34),":",char(34),LOWER(C2285),char(34),"}}"))</f>
        <v>{"asset":{"guid":"uuid://e403b8e3-e016-4d16-a670-a5e4de44cf6c","site":"in-blr-ananta","name":"vav-1857"}}</v>
      </c>
      <c r="S2285" s="333"/>
      <c r="T2285" s="330"/>
      <c r="U2285" s="330"/>
      <c r="V2285" s="331"/>
      <c r="W2285" s="332"/>
      <c r="X2285" s="333"/>
      <c r="Y2285" s="33" t="s">
        <v>2867</v>
      </c>
      <c r="Z2285" s="258">
        <v>121857.0</v>
      </c>
      <c r="AA2285" s="333"/>
      <c r="AB2285" s="333"/>
      <c r="AC2285" s="333"/>
      <c r="AD2285" s="329"/>
      <c r="AE2285" s="362" t="s">
        <v>685</v>
      </c>
      <c r="AF2285" s="336"/>
      <c r="AG2285" s="337"/>
      <c r="AH2285" s="333"/>
      <c r="AI2285" s="333"/>
      <c r="AJ2285" s="333"/>
      <c r="AK2285" s="328" t="s">
        <v>2350</v>
      </c>
      <c r="AL2285" s="328" t="s">
        <v>688</v>
      </c>
      <c r="AM2285" s="338"/>
      <c r="AN2285" s="333"/>
      <c r="AO2285" s="333"/>
      <c r="AP2285" s="333"/>
      <c r="AQ2285" s="333"/>
      <c r="AR2285" s="333"/>
      <c r="AS2285" s="333"/>
      <c r="AT2285" s="333"/>
      <c r="AU2285" s="329"/>
      <c r="AV2285" s="341"/>
      <c r="AW2285" s="269"/>
      <c r="AX2285" s="334" t="s">
        <v>2869</v>
      </c>
      <c r="AY2285" s="270" t="s">
        <v>695</v>
      </c>
      <c r="AZ2285" s="173" t="s">
        <v>5516</v>
      </c>
      <c r="BA2285" s="265">
        <v>10.0</v>
      </c>
      <c r="BB2285" s="174" t="s">
        <v>245</v>
      </c>
      <c r="BC2285" s="341"/>
      <c r="BD2285" s="308"/>
      <c r="BE2285" s="342"/>
      <c r="BF2285" s="274" t="str">
        <f>IFERROR(__xludf.DUMMYFUNCTION("LOWER(Regexreplace(to_text(E2285),""[^A-Za-z0-9]"","""")&amp;""_""&amp;Regexreplace(to_text(F2285),""[^A-Za-z0-9]"",""""))"),"neptronic_evcbseries")</f>
        <v>neptronic_evcbseries</v>
      </c>
      <c r="BG2285" s="275" t="str">
        <f>IFERROR(__xludf.DUMMYFUNCTION("upper(Regexreplace(to_text(E2285),""[^A-Za-z0-9]"","""")&amp;""-""&amp;Regexreplace(to_text(F2285),""[^A-Za-z0-9]"",""""))"),"NEPTRONIC-EVCBSERIES")</f>
        <v>NEPTRONIC-EVCBSERIES</v>
      </c>
    </row>
    <row r="2286" ht="30.0" customHeight="1">
      <c r="A2286" s="258">
        <v>2278.0</v>
      </c>
      <c r="B2286" s="328" t="s">
        <v>670</v>
      </c>
      <c r="C2286" s="257" t="s">
        <v>7801</v>
      </c>
      <c r="D2286" s="173" t="s">
        <v>7801</v>
      </c>
      <c r="E2286" s="174" t="s">
        <v>2861</v>
      </c>
      <c r="F2286" s="173" t="s">
        <v>2862</v>
      </c>
      <c r="G2286" s="328" t="s">
        <v>673</v>
      </c>
      <c r="H2286" s="328" t="s">
        <v>2863</v>
      </c>
      <c r="I2286" s="258" t="s">
        <v>2864</v>
      </c>
      <c r="J2286" s="259" t="s">
        <v>1453</v>
      </c>
      <c r="K2286" s="260"/>
      <c r="L2286" s="363"/>
      <c r="M2286" s="329"/>
      <c r="N2286" s="173" t="s">
        <v>679</v>
      </c>
      <c r="O2286" s="173"/>
      <c r="P2286" s="262" t="str">
        <f t="shared" si="1"/>
        <v>IN-BLR-ANANTA-VAV-1858_11</v>
      </c>
      <c r="Q2286" s="173" t="s">
        <v>7802</v>
      </c>
      <c r="R2286" s="328" t="str">
        <f>IFS(C2286="","",C2286="n/a","N/A",LEN(C2286),Concatenate("{",char(34),"asset",char(34),":{",char(34),"guid",char(34),":",char(34),Q2286,char(34),",",char(34),"site",char(34),":",char(34),LOWER('2-Building'!$B$4),char(34),",",char(34),"name",char(34),":",char(34),LOWER(C2286),char(34),"}}"))</f>
        <v>{"asset":{"guid":"uuid://cc91d80d-d6e3-4592-b707-57bb843984a8","site":"in-blr-ananta","name":"vav-1858"}}</v>
      </c>
      <c r="S2286" s="333"/>
      <c r="T2286" s="330"/>
      <c r="U2286" s="330"/>
      <c r="V2286" s="331"/>
      <c r="W2286" s="332"/>
      <c r="X2286" s="333"/>
      <c r="Y2286" s="33" t="s">
        <v>2867</v>
      </c>
      <c r="Z2286" s="258">
        <v>121858.0</v>
      </c>
      <c r="AA2286" s="333"/>
      <c r="AB2286" s="333"/>
      <c r="AC2286" s="333"/>
      <c r="AD2286" s="329"/>
      <c r="AE2286" s="362" t="s">
        <v>685</v>
      </c>
      <c r="AF2286" s="336"/>
      <c r="AG2286" s="337"/>
      <c r="AH2286" s="333"/>
      <c r="AI2286" s="333"/>
      <c r="AJ2286" s="333"/>
      <c r="AK2286" s="328" t="s">
        <v>2355</v>
      </c>
      <c r="AL2286" s="328" t="s">
        <v>688</v>
      </c>
      <c r="AM2286" s="338"/>
      <c r="AN2286" s="333"/>
      <c r="AO2286" s="333"/>
      <c r="AP2286" s="333"/>
      <c r="AQ2286" s="333"/>
      <c r="AR2286" s="333"/>
      <c r="AS2286" s="333"/>
      <c r="AT2286" s="333"/>
      <c r="AU2286" s="329"/>
      <c r="AV2286" s="341"/>
      <c r="AW2286" s="269"/>
      <c r="AX2286" s="334" t="s">
        <v>2869</v>
      </c>
      <c r="AY2286" s="270" t="s">
        <v>695</v>
      </c>
      <c r="AZ2286" s="173" t="s">
        <v>5516</v>
      </c>
      <c r="BA2286" s="265">
        <v>10.0</v>
      </c>
      <c r="BB2286" s="174" t="s">
        <v>245</v>
      </c>
      <c r="BC2286" s="341"/>
      <c r="BD2286" s="308"/>
      <c r="BE2286" s="342"/>
      <c r="BF2286" s="274" t="str">
        <f>IFERROR(__xludf.DUMMYFUNCTION("LOWER(Regexreplace(to_text(E2286),""[^A-Za-z0-9]"","""")&amp;""_""&amp;Regexreplace(to_text(F2286),""[^A-Za-z0-9]"",""""))"),"neptronic_evcbseries")</f>
        <v>neptronic_evcbseries</v>
      </c>
      <c r="BG2286" s="275" t="str">
        <f>IFERROR(__xludf.DUMMYFUNCTION("upper(Regexreplace(to_text(E2286),""[^A-Za-z0-9]"","""")&amp;""-""&amp;Regexreplace(to_text(F2286),""[^A-Za-z0-9]"",""""))"),"NEPTRONIC-EVCBSERIES")</f>
        <v>NEPTRONIC-EVCBSERIES</v>
      </c>
    </row>
    <row r="2287" ht="30.0" customHeight="1">
      <c r="A2287" s="173">
        <v>2279.0</v>
      </c>
      <c r="B2287" s="328" t="s">
        <v>670</v>
      </c>
      <c r="C2287" s="257" t="s">
        <v>7803</v>
      </c>
      <c r="D2287" s="173" t="s">
        <v>7803</v>
      </c>
      <c r="E2287" s="174" t="s">
        <v>2861</v>
      </c>
      <c r="F2287" s="173" t="s">
        <v>2862</v>
      </c>
      <c r="G2287" s="328" t="s">
        <v>673</v>
      </c>
      <c r="H2287" s="328" t="s">
        <v>2863</v>
      </c>
      <c r="I2287" s="258" t="s">
        <v>2864</v>
      </c>
      <c r="J2287" s="259" t="s">
        <v>1453</v>
      </c>
      <c r="K2287" s="260"/>
      <c r="L2287" s="363"/>
      <c r="M2287" s="329"/>
      <c r="N2287" s="173" t="s">
        <v>679</v>
      </c>
      <c r="O2287" s="173"/>
      <c r="P2287" s="262" t="str">
        <f t="shared" si="1"/>
        <v>IN-BLR-ANANTA-VAV-1859_11</v>
      </c>
      <c r="Q2287" s="173" t="s">
        <v>7804</v>
      </c>
      <c r="R2287" s="328" t="str">
        <f>IFS(C2287="","",C2287="n/a","N/A",LEN(C2287),Concatenate("{",char(34),"asset",char(34),":{",char(34),"guid",char(34),":",char(34),Q2287,char(34),",",char(34),"site",char(34),":",char(34),LOWER('2-Building'!$B$4),char(34),",",char(34),"name",char(34),":",char(34),LOWER(C2287),char(34),"}}"))</f>
        <v>{"asset":{"guid":"uuid://154b4adb-4895-43f2-9b7f-7743ebf32d69","site":"in-blr-ananta","name":"vav-1859"}}</v>
      </c>
      <c r="S2287" s="333"/>
      <c r="T2287" s="330"/>
      <c r="U2287" s="330"/>
      <c r="V2287" s="331"/>
      <c r="W2287" s="332"/>
      <c r="X2287" s="333"/>
      <c r="Y2287" s="33" t="s">
        <v>2867</v>
      </c>
      <c r="Z2287" s="258">
        <v>121859.0</v>
      </c>
      <c r="AA2287" s="333"/>
      <c r="AB2287" s="333"/>
      <c r="AC2287" s="333"/>
      <c r="AD2287" s="329"/>
      <c r="AE2287" s="362" t="s">
        <v>685</v>
      </c>
      <c r="AF2287" s="336"/>
      <c r="AG2287" s="337"/>
      <c r="AH2287" s="333"/>
      <c r="AI2287" s="333"/>
      <c r="AJ2287" s="333"/>
      <c r="AK2287" s="328" t="s">
        <v>2360</v>
      </c>
      <c r="AL2287" s="328" t="s">
        <v>688</v>
      </c>
      <c r="AM2287" s="338"/>
      <c r="AN2287" s="333"/>
      <c r="AO2287" s="333"/>
      <c r="AP2287" s="333"/>
      <c r="AQ2287" s="333"/>
      <c r="AR2287" s="333"/>
      <c r="AS2287" s="333"/>
      <c r="AT2287" s="333"/>
      <c r="AU2287" s="329"/>
      <c r="AV2287" s="341"/>
      <c r="AW2287" s="269"/>
      <c r="AX2287" s="334" t="s">
        <v>2869</v>
      </c>
      <c r="AY2287" s="270" t="s">
        <v>695</v>
      </c>
      <c r="AZ2287" s="173" t="s">
        <v>5516</v>
      </c>
      <c r="BA2287" s="265">
        <v>10.0</v>
      </c>
      <c r="BB2287" s="174" t="s">
        <v>245</v>
      </c>
      <c r="BC2287" s="341"/>
      <c r="BD2287" s="308"/>
      <c r="BE2287" s="342"/>
      <c r="BF2287" s="274" t="str">
        <f>IFERROR(__xludf.DUMMYFUNCTION("LOWER(Regexreplace(to_text(E2287),""[^A-Za-z0-9]"","""")&amp;""_""&amp;Regexreplace(to_text(F2287),""[^A-Za-z0-9]"",""""))"),"neptronic_evcbseries")</f>
        <v>neptronic_evcbseries</v>
      </c>
      <c r="BG2287" s="275" t="str">
        <f>IFERROR(__xludf.DUMMYFUNCTION("upper(Regexreplace(to_text(E2287),""[^A-Za-z0-9]"","""")&amp;""-""&amp;Regexreplace(to_text(F2287),""[^A-Za-z0-9]"",""""))"),"NEPTRONIC-EVCBSERIES")</f>
        <v>NEPTRONIC-EVCBSERIES</v>
      </c>
    </row>
    <row r="2288" ht="30.0" customHeight="1">
      <c r="A2288" s="258">
        <v>2280.0</v>
      </c>
      <c r="B2288" s="328" t="s">
        <v>670</v>
      </c>
      <c r="C2288" s="257" t="s">
        <v>7805</v>
      </c>
      <c r="D2288" s="173" t="s">
        <v>7805</v>
      </c>
      <c r="E2288" s="174" t="s">
        <v>2861</v>
      </c>
      <c r="F2288" s="173" t="s">
        <v>2862</v>
      </c>
      <c r="G2288" s="328" t="s">
        <v>673</v>
      </c>
      <c r="H2288" s="328" t="s">
        <v>2863</v>
      </c>
      <c r="I2288" s="258" t="s">
        <v>2864</v>
      </c>
      <c r="J2288" s="259" t="s">
        <v>1453</v>
      </c>
      <c r="K2288" s="260"/>
      <c r="L2288" s="363"/>
      <c r="M2288" s="329"/>
      <c r="N2288" s="173" t="s">
        <v>679</v>
      </c>
      <c r="O2288" s="173"/>
      <c r="P2288" s="262" t="str">
        <f t="shared" si="1"/>
        <v>IN-BLR-ANANTA-VAV-1860_11</v>
      </c>
      <c r="Q2288" s="173" t="s">
        <v>7806</v>
      </c>
      <c r="R2288" s="328" t="str">
        <f>IFS(C2288="","",C2288="n/a","N/A",LEN(C2288),Concatenate("{",char(34),"asset",char(34),":{",char(34),"guid",char(34),":",char(34),Q2288,char(34),",",char(34),"site",char(34),":",char(34),LOWER('2-Building'!$B$4),char(34),",",char(34),"name",char(34),":",char(34),LOWER(C2288),char(34),"}}"))</f>
        <v>{"asset":{"guid":"uuid://54e86d5c-e45e-471f-965f-71f732698134","site":"in-blr-ananta","name":"vav-1860"}}</v>
      </c>
      <c r="S2288" s="333"/>
      <c r="T2288" s="330"/>
      <c r="U2288" s="330"/>
      <c r="V2288" s="331"/>
      <c r="W2288" s="332"/>
      <c r="X2288" s="333"/>
      <c r="Y2288" s="33" t="s">
        <v>2867</v>
      </c>
      <c r="Z2288" s="258">
        <v>121860.0</v>
      </c>
      <c r="AA2288" s="333"/>
      <c r="AB2288" s="333"/>
      <c r="AC2288" s="333"/>
      <c r="AD2288" s="329"/>
      <c r="AE2288" s="362" t="s">
        <v>685</v>
      </c>
      <c r="AF2288" s="336"/>
      <c r="AG2288" s="337"/>
      <c r="AH2288" s="333"/>
      <c r="AI2288" s="333"/>
      <c r="AJ2288" s="333"/>
      <c r="AK2288" s="328" t="s">
        <v>2365</v>
      </c>
      <c r="AL2288" s="328" t="s">
        <v>688</v>
      </c>
      <c r="AM2288" s="338"/>
      <c r="AN2288" s="333"/>
      <c r="AO2288" s="333"/>
      <c r="AP2288" s="333"/>
      <c r="AQ2288" s="333"/>
      <c r="AR2288" s="333"/>
      <c r="AS2288" s="333"/>
      <c r="AT2288" s="333"/>
      <c r="AU2288" s="329"/>
      <c r="AV2288" s="341"/>
      <c r="AW2288" s="269"/>
      <c r="AX2288" s="334" t="s">
        <v>2869</v>
      </c>
      <c r="AY2288" s="270" t="s">
        <v>695</v>
      </c>
      <c r="AZ2288" s="173" t="s">
        <v>5516</v>
      </c>
      <c r="BA2288" s="265">
        <v>10.0</v>
      </c>
      <c r="BB2288" s="174" t="s">
        <v>245</v>
      </c>
      <c r="BC2288" s="341"/>
      <c r="BD2288" s="308"/>
      <c r="BE2288" s="342"/>
      <c r="BF2288" s="274" t="str">
        <f>IFERROR(__xludf.DUMMYFUNCTION("LOWER(Regexreplace(to_text(E2288),""[^A-Za-z0-9]"","""")&amp;""_""&amp;Regexreplace(to_text(F2288),""[^A-Za-z0-9]"",""""))"),"neptronic_evcbseries")</f>
        <v>neptronic_evcbseries</v>
      </c>
      <c r="BG2288" s="275" t="str">
        <f>IFERROR(__xludf.DUMMYFUNCTION("upper(Regexreplace(to_text(E2288),""[^A-Za-z0-9]"","""")&amp;""-""&amp;Regexreplace(to_text(F2288),""[^A-Za-z0-9]"",""""))"),"NEPTRONIC-EVCBSERIES")</f>
        <v>NEPTRONIC-EVCBSERIES</v>
      </c>
    </row>
    <row r="2289" ht="30.0" customHeight="1">
      <c r="A2289" s="173">
        <v>2281.0</v>
      </c>
      <c r="B2289" s="328" t="s">
        <v>670</v>
      </c>
      <c r="C2289" s="257" t="s">
        <v>7807</v>
      </c>
      <c r="D2289" s="173" t="s">
        <v>7807</v>
      </c>
      <c r="E2289" s="174" t="s">
        <v>2861</v>
      </c>
      <c r="F2289" s="173" t="s">
        <v>2862</v>
      </c>
      <c r="G2289" s="328" t="s">
        <v>673</v>
      </c>
      <c r="H2289" s="328" t="s">
        <v>2863</v>
      </c>
      <c r="I2289" s="258" t="s">
        <v>2864</v>
      </c>
      <c r="J2289" s="259" t="s">
        <v>1453</v>
      </c>
      <c r="K2289" s="260"/>
      <c r="L2289" s="363"/>
      <c r="M2289" s="329"/>
      <c r="N2289" s="173" t="s">
        <v>679</v>
      </c>
      <c r="O2289" s="173"/>
      <c r="P2289" s="262" t="str">
        <f t="shared" si="1"/>
        <v>IN-BLR-ANANTA-VAV-1861_11</v>
      </c>
      <c r="Q2289" s="173" t="s">
        <v>7808</v>
      </c>
      <c r="R2289" s="328" t="str">
        <f>IFS(C2289="","",C2289="n/a","N/A",LEN(C2289),Concatenate("{",char(34),"asset",char(34),":{",char(34),"guid",char(34),":",char(34),Q2289,char(34),",",char(34),"site",char(34),":",char(34),LOWER('2-Building'!$B$4),char(34),",",char(34),"name",char(34),":",char(34),LOWER(C2289),char(34),"}}"))</f>
        <v>{"asset":{"guid":"uuid://c06ec8c2-3079-4535-bdcd-6af933f87c48","site":"in-blr-ananta","name":"vav-1861"}}</v>
      </c>
      <c r="S2289" s="333"/>
      <c r="T2289" s="330"/>
      <c r="U2289" s="330"/>
      <c r="V2289" s="331"/>
      <c r="W2289" s="332"/>
      <c r="X2289" s="333"/>
      <c r="Y2289" s="33" t="s">
        <v>2867</v>
      </c>
      <c r="Z2289" s="258">
        <v>121861.0</v>
      </c>
      <c r="AA2289" s="333"/>
      <c r="AB2289" s="333"/>
      <c r="AC2289" s="333"/>
      <c r="AD2289" s="329"/>
      <c r="AE2289" s="362" t="s">
        <v>685</v>
      </c>
      <c r="AF2289" s="336"/>
      <c r="AG2289" s="337"/>
      <c r="AH2289" s="333"/>
      <c r="AI2289" s="333"/>
      <c r="AJ2289" s="333"/>
      <c r="AK2289" s="328" t="s">
        <v>2370</v>
      </c>
      <c r="AL2289" s="328" t="s">
        <v>688</v>
      </c>
      <c r="AM2289" s="338"/>
      <c r="AN2289" s="333"/>
      <c r="AO2289" s="333"/>
      <c r="AP2289" s="333"/>
      <c r="AQ2289" s="333"/>
      <c r="AR2289" s="333"/>
      <c r="AS2289" s="333"/>
      <c r="AT2289" s="333"/>
      <c r="AU2289" s="329"/>
      <c r="AV2289" s="341"/>
      <c r="AW2289" s="269"/>
      <c r="AX2289" s="334" t="s">
        <v>2869</v>
      </c>
      <c r="AY2289" s="270" t="s">
        <v>695</v>
      </c>
      <c r="AZ2289" s="173" t="s">
        <v>5516</v>
      </c>
      <c r="BA2289" s="265">
        <v>10.0</v>
      </c>
      <c r="BB2289" s="174" t="s">
        <v>245</v>
      </c>
      <c r="BC2289" s="341"/>
      <c r="BD2289" s="308"/>
      <c r="BE2289" s="342"/>
      <c r="BF2289" s="274" t="str">
        <f>IFERROR(__xludf.DUMMYFUNCTION("LOWER(Regexreplace(to_text(E2289),""[^A-Za-z0-9]"","""")&amp;""_""&amp;Regexreplace(to_text(F2289),""[^A-Za-z0-9]"",""""))"),"neptronic_evcbseries")</f>
        <v>neptronic_evcbseries</v>
      </c>
      <c r="BG2289" s="275" t="str">
        <f>IFERROR(__xludf.DUMMYFUNCTION("upper(Regexreplace(to_text(E2289),""[^A-Za-z0-9]"","""")&amp;""-""&amp;Regexreplace(to_text(F2289),""[^A-Za-z0-9]"",""""))"),"NEPTRONIC-EVCBSERIES")</f>
        <v>NEPTRONIC-EVCBSERIES</v>
      </c>
    </row>
    <row r="2290" ht="30.0" customHeight="1">
      <c r="A2290" s="258">
        <v>2282.0</v>
      </c>
      <c r="B2290" s="328" t="s">
        <v>670</v>
      </c>
      <c r="C2290" s="257" t="s">
        <v>7809</v>
      </c>
      <c r="D2290" s="173" t="s">
        <v>7809</v>
      </c>
      <c r="E2290" s="174" t="s">
        <v>2861</v>
      </c>
      <c r="F2290" s="173" t="s">
        <v>2862</v>
      </c>
      <c r="G2290" s="328" t="s">
        <v>673</v>
      </c>
      <c r="H2290" s="328" t="s">
        <v>2863</v>
      </c>
      <c r="I2290" s="258" t="s">
        <v>2864</v>
      </c>
      <c r="J2290" s="259" t="s">
        <v>1453</v>
      </c>
      <c r="K2290" s="260"/>
      <c r="L2290" s="363"/>
      <c r="M2290" s="329"/>
      <c r="N2290" s="173" t="s">
        <v>679</v>
      </c>
      <c r="O2290" s="173"/>
      <c r="P2290" s="262" t="str">
        <f t="shared" si="1"/>
        <v>IN-BLR-ANANTA-VAV-1862_11</v>
      </c>
      <c r="Q2290" s="173" t="s">
        <v>7810</v>
      </c>
      <c r="R2290" s="328" t="str">
        <f>IFS(C2290="","",C2290="n/a","N/A",LEN(C2290),Concatenate("{",char(34),"asset",char(34),":{",char(34),"guid",char(34),":",char(34),Q2290,char(34),",",char(34),"site",char(34),":",char(34),LOWER('2-Building'!$B$4),char(34),",",char(34),"name",char(34),":",char(34),LOWER(C2290),char(34),"}}"))</f>
        <v>{"asset":{"guid":"uuid://c44d6f1b-a628-45e8-a4dd-78c1d46343be","site":"in-blr-ananta","name":"vav-1862"}}</v>
      </c>
      <c r="S2290" s="333"/>
      <c r="T2290" s="330"/>
      <c r="U2290" s="330"/>
      <c r="V2290" s="331"/>
      <c r="W2290" s="332"/>
      <c r="X2290" s="333"/>
      <c r="Y2290" s="33" t="s">
        <v>2867</v>
      </c>
      <c r="Z2290" s="258">
        <v>121862.0</v>
      </c>
      <c r="AA2290" s="333"/>
      <c r="AB2290" s="333"/>
      <c r="AC2290" s="333"/>
      <c r="AD2290" s="329"/>
      <c r="AE2290" s="362" t="s">
        <v>685</v>
      </c>
      <c r="AF2290" s="336"/>
      <c r="AG2290" s="337"/>
      <c r="AH2290" s="333"/>
      <c r="AI2290" s="333"/>
      <c r="AJ2290" s="333"/>
      <c r="AK2290" s="328" t="s">
        <v>2375</v>
      </c>
      <c r="AL2290" s="328" t="s">
        <v>688</v>
      </c>
      <c r="AM2290" s="338"/>
      <c r="AN2290" s="333"/>
      <c r="AO2290" s="333"/>
      <c r="AP2290" s="333"/>
      <c r="AQ2290" s="333"/>
      <c r="AR2290" s="333"/>
      <c r="AS2290" s="333"/>
      <c r="AT2290" s="333"/>
      <c r="AU2290" s="329"/>
      <c r="AV2290" s="341"/>
      <c r="AW2290" s="269"/>
      <c r="AX2290" s="334" t="s">
        <v>2869</v>
      </c>
      <c r="AY2290" s="270" t="s">
        <v>695</v>
      </c>
      <c r="AZ2290" s="173" t="s">
        <v>5516</v>
      </c>
      <c r="BA2290" s="265">
        <v>10.0</v>
      </c>
      <c r="BB2290" s="174" t="s">
        <v>245</v>
      </c>
      <c r="BC2290" s="341"/>
      <c r="BD2290" s="308"/>
      <c r="BE2290" s="342"/>
      <c r="BF2290" s="274" t="str">
        <f>IFERROR(__xludf.DUMMYFUNCTION("LOWER(Regexreplace(to_text(E2290),""[^A-Za-z0-9]"","""")&amp;""_""&amp;Regexreplace(to_text(F2290),""[^A-Za-z0-9]"",""""))"),"neptronic_evcbseries")</f>
        <v>neptronic_evcbseries</v>
      </c>
      <c r="BG2290" s="275" t="str">
        <f>IFERROR(__xludf.DUMMYFUNCTION("upper(Regexreplace(to_text(E2290),""[^A-Za-z0-9]"","""")&amp;""-""&amp;Regexreplace(to_text(F2290),""[^A-Za-z0-9]"",""""))"),"NEPTRONIC-EVCBSERIES")</f>
        <v>NEPTRONIC-EVCBSERIES</v>
      </c>
    </row>
    <row r="2291" ht="30.0" customHeight="1">
      <c r="A2291" s="173">
        <v>2283.0</v>
      </c>
      <c r="B2291" s="328" t="s">
        <v>670</v>
      </c>
      <c r="C2291" s="257" t="s">
        <v>7811</v>
      </c>
      <c r="D2291" s="173" t="s">
        <v>7811</v>
      </c>
      <c r="E2291" s="174" t="s">
        <v>2861</v>
      </c>
      <c r="F2291" s="173" t="s">
        <v>2862</v>
      </c>
      <c r="G2291" s="328" t="s">
        <v>673</v>
      </c>
      <c r="H2291" s="328" t="s">
        <v>2863</v>
      </c>
      <c r="I2291" s="258" t="s">
        <v>2864</v>
      </c>
      <c r="J2291" s="259" t="s">
        <v>1453</v>
      </c>
      <c r="K2291" s="260"/>
      <c r="L2291" s="363"/>
      <c r="M2291" s="329"/>
      <c r="N2291" s="173" t="s">
        <v>679</v>
      </c>
      <c r="O2291" s="173"/>
      <c r="P2291" s="262" t="str">
        <f t="shared" si="1"/>
        <v>IN-BLR-ANANTA-VAV-1863_11</v>
      </c>
      <c r="Q2291" s="173" t="s">
        <v>7812</v>
      </c>
      <c r="R2291" s="328" t="str">
        <f>IFS(C2291="","",C2291="n/a","N/A",LEN(C2291),Concatenate("{",char(34),"asset",char(34),":{",char(34),"guid",char(34),":",char(34),Q2291,char(34),",",char(34),"site",char(34),":",char(34),LOWER('2-Building'!$B$4),char(34),",",char(34),"name",char(34),":",char(34),LOWER(C2291),char(34),"}}"))</f>
        <v>{"asset":{"guid":"uuid://e3942446-3812-4a08-a7f0-c806b2391e04","site":"in-blr-ananta","name":"vav-1863"}}</v>
      </c>
      <c r="S2291" s="333"/>
      <c r="T2291" s="330"/>
      <c r="U2291" s="330"/>
      <c r="V2291" s="331"/>
      <c r="W2291" s="332"/>
      <c r="X2291" s="333"/>
      <c r="Y2291" s="33" t="s">
        <v>2867</v>
      </c>
      <c r="Z2291" s="258">
        <v>121863.0</v>
      </c>
      <c r="AA2291" s="333"/>
      <c r="AB2291" s="333"/>
      <c r="AC2291" s="333"/>
      <c r="AD2291" s="329"/>
      <c r="AE2291" s="362" t="s">
        <v>685</v>
      </c>
      <c r="AF2291" s="336"/>
      <c r="AG2291" s="337"/>
      <c r="AH2291" s="333"/>
      <c r="AI2291" s="333"/>
      <c r="AJ2291" s="333"/>
      <c r="AK2291" s="328" t="s">
        <v>2380</v>
      </c>
      <c r="AL2291" s="328" t="s">
        <v>688</v>
      </c>
      <c r="AM2291" s="338"/>
      <c r="AN2291" s="333"/>
      <c r="AO2291" s="333"/>
      <c r="AP2291" s="333"/>
      <c r="AQ2291" s="333"/>
      <c r="AR2291" s="333"/>
      <c r="AS2291" s="333"/>
      <c r="AT2291" s="333"/>
      <c r="AU2291" s="329"/>
      <c r="AV2291" s="341"/>
      <c r="AW2291" s="269"/>
      <c r="AX2291" s="334" t="s">
        <v>2869</v>
      </c>
      <c r="AY2291" s="270" t="s">
        <v>695</v>
      </c>
      <c r="AZ2291" s="173" t="s">
        <v>5516</v>
      </c>
      <c r="BA2291" s="265">
        <v>10.0</v>
      </c>
      <c r="BB2291" s="174" t="s">
        <v>245</v>
      </c>
      <c r="BC2291" s="341"/>
      <c r="BD2291" s="308"/>
      <c r="BE2291" s="342"/>
      <c r="BF2291" s="274" t="str">
        <f>IFERROR(__xludf.DUMMYFUNCTION("LOWER(Regexreplace(to_text(E2291),""[^A-Za-z0-9]"","""")&amp;""_""&amp;Regexreplace(to_text(F2291),""[^A-Za-z0-9]"",""""))"),"neptronic_evcbseries")</f>
        <v>neptronic_evcbseries</v>
      </c>
      <c r="BG2291" s="275" t="str">
        <f>IFERROR(__xludf.DUMMYFUNCTION("upper(Regexreplace(to_text(E2291),""[^A-Za-z0-9]"","""")&amp;""-""&amp;Regexreplace(to_text(F2291),""[^A-Za-z0-9]"",""""))"),"NEPTRONIC-EVCBSERIES")</f>
        <v>NEPTRONIC-EVCBSERIES</v>
      </c>
    </row>
    <row r="2292" ht="30.0" customHeight="1">
      <c r="A2292" s="258">
        <v>2284.0</v>
      </c>
      <c r="B2292" s="328" t="s">
        <v>670</v>
      </c>
      <c r="C2292" s="257" t="s">
        <v>7813</v>
      </c>
      <c r="D2292" s="173" t="s">
        <v>7813</v>
      </c>
      <c r="E2292" s="174" t="s">
        <v>2861</v>
      </c>
      <c r="F2292" s="173" t="s">
        <v>2862</v>
      </c>
      <c r="G2292" s="328" t="s">
        <v>673</v>
      </c>
      <c r="H2292" s="328" t="s">
        <v>2863</v>
      </c>
      <c r="I2292" s="258" t="s">
        <v>2864</v>
      </c>
      <c r="J2292" s="259" t="s">
        <v>1453</v>
      </c>
      <c r="K2292" s="260"/>
      <c r="L2292" s="363"/>
      <c r="M2292" s="329"/>
      <c r="N2292" s="173" t="s">
        <v>679</v>
      </c>
      <c r="O2292" s="173"/>
      <c r="P2292" s="262" t="str">
        <f t="shared" si="1"/>
        <v>IN-BLR-ANANTA-VAV-1864_11</v>
      </c>
      <c r="Q2292" s="173" t="s">
        <v>7814</v>
      </c>
      <c r="R2292" s="328" t="str">
        <f>IFS(C2292="","",C2292="n/a","N/A",LEN(C2292),Concatenate("{",char(34),"asset",char(34),":{",char(34),"guid",char(34),":",char(34),Q2292,char(34),",",char(34),"site",char(34),":",char(34),LOWER('2-Building'!$B$4),char(34),",",char(34),"name",char(34),":",char(34),LOWER(C2292),char(34),"}}"))</f>
        <v>{"asset":{"guid":"uuid://4ab03671-474c-4d14-aa91-2f76b2757c6c","site":"in-blr-ananta","name":"vav-1864"}}</v>
      </c>
      <c r="S2292" s="333"/>
      <c r="T2292" s="330"/>
      <c r="U2292" s="330"/>
      <c r="V2292" s="331"/>
      <c r="W2292" s="332"/>
      <c r="X2292" s="333"/>
      <c r="Y2292" s="33" t="s">
        <v>2867</v>
      </c>
      <c r="Z2292" s="258">
        <v>121864.0</v>
      </c>
      <c r="AA2292" s="333"/>
      <c r="AB2292" s="333"/>
      <c r="AC2292" s="333"/>
      <c r="AD2292" s="329"/>
      <c r="AE2292" s="362" t="s">
        <v>685</v>
      </c>
      <c r="AF2292" s="336"/>
      <c r="AG2292" s="337"/>
      <c r="AH2292" s="333"/>
      <c r="AI2292" s="333"/>
      <c r="AJ2292" s="333"/>
      <c r="AK2292" s="328" t="s">
        <v>2385</v>
      </c>
      <c r="AL2292" s="328" t="s">
        <v>688</v>
      </c>
      <c r="AM2292" s="338"/>
      <c r="AN2292" s="333"/>
      <c r="AO2292" s="333"/>
      <c r="AP2292" s="333"/>
      <c r="AQ2292" s="333"/>
      <c r="AR2292" s="333"/>
      <c r="AS2292" s="333"/>
      <c r="AT2292" s="333"/>
      <c r="AU2292" s="329"/>
      <c r="AV2292" s="341"/>
      <c r="AW2292" s="269"/>
      <c r="AX2292" s="334" t="s">
        <v>2869</v>
      </c>
      <c r="AY2292" s="270" t="s">
        <v>695</v>
      </c>
      <c r="AZ2292" s="173" t="s">
        <v>5516</v>
      </c>
      <c r="BA2292" s="265">
        <v>10.0</v>
      </c>
      <c r="BB2292" s="174" t="s">
        <v>245</v>
      </c>
      <c r="BC2292" s="341"/>
      <c r="BD2292" s="308"/>
      <c r="BE2292" s="342"/>
      <c r="BF2292" s="274" t="str">
        <f>IFERROR(__xludf.DUMMYFUNCTION("LOWER(Regexreplace(to_text(E2292),""[^A-Za-z0-9]"","""")&amp;""_""&amp;Regexreplace(to_text(F2292),""[^A-Za-z0-9]"",""""))"),"neptronic_evcbseries")</f>
        <v>neptronic_evcbseries</v>
      </c>
      <c r="BG2292" s="275" t="str">
        <f>IFERROR(__xludf.DUMMYFUNCTION("upper(Regexreplace(to_text(E2292),""[^A-Za-z0-9]"","""")&amp;""-""&amp;Regexreplace(to_text(F2292),""[^A-Za-z0-9]"",""""))"),"NEPTRONIC-EVCBSERIES")</f>
        <v>NEPTRONIC-EVCBSERIES</v>
      </c>
    </row>
    <row r="2293" ht="30.0" customHeight="1">
      <c r="A2293" s="173">
        <v>2285.0</v>
      </c>
      <c r="B2293" s="328" t="s">
        <v>670</v>
      </c>
      <c r="C2293" s="257" t="s">
        <v>7815</v>
      </c>
      <c r="D2293" s="173" t="s">
        <v>7815</v>
      </c>
      <c r="E2293" s="174" t="s">
        <v>2861</v>
      </c>
      <c r="F2293" s="173" t="s">
        <v>2862</v>
      </c>
      <c r="G2293" s="328" t="s">
        <v>673</v>
      </c>
      <c r="H2293" s="328" t="s">
        <v>2863</v>
      </c>
      <c r="I2293" s="258" t="s">
        <v>2864</v>
      </c>
      <c r="J2293" s="259" t="s">
        <v>1453</v>
      </c>
      <c r="K2293" s="260"/>
      <c r="L2293" s="363"/>
      <c r="M2293" s="329"/>
      <c r="N2293" s="173" t="s">
        <v>679</v>
      </c>
      <c r="O2293" s="173"/>
      <c r="P2293" s="262" t="str">
        <f t="shared" si="1"/>
        <v>IN-BLR-ANANTA-VAV-1865_11</v>
      </c>
      <c r="Q2293" s="173" t="s">
        <v>7816</v>
      </c>
      <c r="R2293" s="328" t="str">
        <f>IFS(C2293="","",C2293="n/a","N/A",LEN(C2293),Concatenate("{",char(34),"asset",char(34),":{",char(34),"guid",char(34),":",char(34),Q2293,char(34),",",char(34),"site",char(34),":",char(34),LOWER('2-Building'!$B$4),char(34),",",char(34),"name",char(34),":",char(34),LOWER(C2293),char(34),"}}"))</f>
        <v>{"asset":{"guid":"uuid://aae598b1-0b95-44b7-855d-254b7867e7eb","site":"in-blr-ananta","name":"vav-1865"}}</v>
      </c>
      <c r="S2293" s="333"/>
      <c r="T2293" s="330"/>
      <c r="U2293" s="330"/>
      <c r="V2293" s="331"/>
      <c r="W2293" s="332"/>
      <c r="X2293" s="333"/>
      <c r="Y2293" s="33" t="s">
        <v>2867</v>
      </c>
      <c r="Z2293" s="258">
        <v>121865.0</v>
      </c>
      <c r="AA2293" s="333"/>
      <c r="AB2293" s="333"/>
      <c r="AC2293" s="333"/>
      <c r="AD2293" s="329"/>
      <c r="AE2293" s="362" t="s">
        <v>685</v>
      </c>
      <c r="AF2293" s="336"/>
      <c r="AG2293" s="337"/>
      <c r="AH2293" s="333"/>
      <c r="AI2293" s="333"/>
      <c r="AJ2293" s="333"/>
      <c r="AK2293" s="328" t="s">
        <v>2390</v>
      </c>
      <c r="AL2293" s="328" t="s">
        <v>688</v>
      </c>
      <c r="AM2293" s="338"/>
      <c r="AN2293" s="333"/>
      <c r="AO2293" s="333"/>
      <c r="AP2293" s="333"/>
      <c r="AQ2293" s="333"/>
      <c r="AR2293" s="333"/>
      <c r="AS2293" s="333"/>
      <c r="AT2293" s="333"/>
      <c r="AU2293" s="329"/>
      <c r="AV2293" s="341"/>
      <c r="AW2293" s="269"/>
      <c r="AX2293" s="334" t="s">
        <v>2869</v>
      </c>
      <c r="AY2293" s="270" t="s">
        <v>695</v>
      </c>
      <c r="AZ2293" s="173" t="s">
        <v>5516</v>
      </c>
      <c r="BA2293" s="265">
        <v>10.0</v>
      </c>
      <c r="BB2293" s="174" t="s">
        <v>245</v>
      </c>
      <c r="BC2293" s="341"/>
      <c r="BD2293" s="308"/>
      <c r="BE2293" s="342"/>
      <c r="BF2293" s="274" t="str">
        <f>IFERROR(__xludf.DUMMYFUNCTION("LOWER(Regexreplace(to_text(E2293),""[^A-Za-z0-9]"","""")&amp;""_""&amp;Regexreplace(to_text(F2293),""[^A-Za-z0-9]"",""""))"),"neptronic_evcbseries")</f>
        <v>neptronic_evcbseries</v>
      </c>
      <c r="BG2293" s="275" t="str">
        <f>IFERROR(__xludf.DUMMYFUNCTION("upper(Regexreplace(to_text(E2293),""[^A-Za-z0-9]"","""")&amp;""-""&amp;Regexreplace(to_text(F2293),""[^A-Za-z0-9]"",""""))"),"NEPTRONIC-EVCBSERIES")</f>
        <v>NEPTRONIC-EVCBSERIES</v>
      </c>
    </row>
    <row r="2294" ht="30.0" customHeight="1">
      <c r="A2294" s="258">
        <v>2286.0</v>
      </c>
      <c r="B2294" s="328" t="s">
        <v>670</v>
      </c>
      <c r="C2294" s="257" t="s">
        <v>7817</v>
      </c>
      <c r="D2294" s="173" t="s">
        <v>7817</v>
      </c>
      <c r="E2294" s="174" t="s">
        <v>2861</v>
      </c>
      <c r="F2294" s="173" t="s">
        <v>2862</v>
      </c>
      <c r="G2294" s="328" t="s">
        <v>673</v>
      </c>
      <c r="H2294" s="328" t="s">
        <v>2863</v>
      </c>
      <c r="I2294" s="258" t="s">
        <v>2864</v>
      </c>
      <c r="J2294" s="259" t="s">
        <v>1453</v>
      </c>
      <c r="K2294" s="260"/>
      <c r="L2294" s="363"/>
      <c r="M2294" s="329"/>
      <c r="N2294" s="173" t="s">
        <v>679</v>
      </c>
      <c r="O2294" s="173"/>
      <c r="P2294" s="262" t="str">
        <f t="shared" si="1"/>
        <v>IN-BLR-ANANTA-VAV-1866_11</v>
      </c>
      <c r="Q2294" s="173" t="s">
        <v>7818</v>
      </c>
      <c r="R2294" s="328" t="str">
        <f>IFS(C2294="","",C2294="n/a","N/A",LEN(C2294),Concatenate("{",char(34),"asset",char(34),":{",char(34),"guid",char(34),":",char(34),Q2294,char(34),",",char(34),"site",char(34),":",char(34),LOWER('2-Building'!$B$4),char(34),",",char(34),"name",char(34),":",char(34),LOWER(C2294),char(34),"}}"))</f>
        <v>{"asset":{"guid":"uuid://c8c8874b-8222-42e1-b54b-e30e420a5075","site":"in-blr-ananta","name":"vav-1866"}}</v>
      </c>
      <c r="S2294" s="333"/>
      <c r="T2294" s="330"/>
      <c r="U2294" s="330"/>
      <c r="V2294" s="331"/>
      <c r="W2294" s="332"/>
      <c r="X2294" s="333"/>
      <c r="Y2294" s="33" t="s">
        <v>2867</v>
      </c>
      <c r="Z2294" s="258">
        <v>121866.0</v>
      </c>
      <c r="AA2294" s="333"/>
      <c r="AB2294" s="333"/>
      <c r="AC2294" s="333"/>
      <c r="AD2294" s="329"/>
      <c r="AE2294" s="362" t="s">
        <v>685</v>
      </c>
      <c r="AF2294" s="336"/>
      <c r="AG2294" s="337"/>
      <c r="AH2294" s="333"/>
      <c r="AI2294" s="333"/>
      <c r="AJ2294" s="333"/>
      <c r="AK2294" s="328" t="s">
        <v>2395</v>
      </c>
      <c r="AL2294" s="328" t="s">
        <v>688</v>
      </c>
      <c r="AM2294" s="338"/>
      <c r="AN2294" s="333"/>
      <c r="AO2294" s="333"/>
      <c r="AP2294" s="333"/>
      <c r="AQ2294" s="333"/>
      <c r="AR2294" s="333"/>
      <c r="AS2294" s="333"/>
      <c r="AT2294" s="333"/>
      <c r="AU2294" s="329"/>
      <c r="AV2294" s="341"/>
      <c r="AW2294" s="269"/>
      <c r="AX2294" s="334" t="s">
        <v>2869</v>
      </c>
      <c r="AY2294" s="270" t="s">
        <v>695</v>
      </c>
      <c r="AZ2294" s="173" t="s">
        <v>5516</v>
      </c>
      <c r="BA2294" s="265">
        <v>10.0</v>
      </c>
      <c r="BB2294" s="174" t="s">
        <v>245</v>
      </c>
      <c r="BC2294" s="341"/>
      <c r="BD2294" s="308"/>
      <c r="BE2294" s="342"/>
      <c r="BF2294" s="274" t="str">
        <f>IFERROR(__xludf.DUMMYFUNCTION("LOWER(Regexreplace(to_text(E2294),""[^A-Za-z0-9]"","""")&amp;""_""&amp;Regexreplace(to_text(F2294),""[^A-Za-z0-9]"",""""))"),"neptronic_evcbseries")</f>
        <v>neptronic_evcbseries</v>
      </c>
      <c r="BG2294" s="275" t="str">
        <f>IFERROR(__xludf.DUMMYFUNCTION("upper(Regexreplace(to_text(E2294),""[^A-Za-z0-9]"","""")&amp;""-""&amp;Regexreplace(to_text(F2294),""[^A-Za-z0-9]"",""""))"),"NEPTRONIC-EVCBSERIES")</f>
        <v>NEPTRONIC-EVCBSERIES</v>
      </c>
    </row>
    <row r="2295" ht="30.0" customHeight="1">
      <c r="A2295" s="173">
        <v>2287.0</v>
      </c>
      <c r="B2295" s="328" t="s">
        <v>670</v>
      </c>
      <c r="C2295" s="257" t="s">
        <v>7819</v>
      </c>
      <c r="D2295" s="173" t="s">
        <v>7819</v>
      </c>
      <c r="E2295" s="174" t="s">
        <v>2861</v>
      </c>
      <c r="F2295" s="173" t="s">
        <v>2862</v>
      </c>
      <c r="G2295" s="328" t="s">
        <v>673</v>
      </c>
      <c r="H2295" s="328" t="s">
        <v>2863</v>
      </c>
      <c r="I2295" s="258" t="s">
        <v>2864</v>
      </c>
      <c r="J2295" s="259" t="s">
        <v>1453</v>
      </c>
      <c r="K2295" s="260"/>
      <c r="L2295" s="363"/>
      <c r="M2295" s="329"/>
      <c r="N2295" s="173" t="s">
        <v>679</v>
      </c>
      <c r="O2295" s="173"/>
      <c r="P2295" s="262" t="str">
        <f t="shared" si="1"/>
        <v>IN-BLR-ANANTA-VAV-1867_11</v>
      </c>
      <c r="Q2295" s="173" t="s">
        <v>7820</v>
      </c>
      <c r="R2295" s="328" t="str">
        <f>IFS(C2295="","",C2295="n/a","N/A",LEN(C2295),Concatenate("{",char(34),"asset",char(34),":{",char(34),"guid",char(34),":",char(34),Q2295,char(34),",",char(34),"site",char(34),":",char(34),LOWER('2-Building'!$B$4),char(34),",",char(34),"name",char(34),":",char(34),LOWER(C2295),char(34),"}}"))</f>
        <v>{"asset":{"guid":"uuid://00387ae9-a422-40ec-8c9c-bd412f1e5952","site":"in-blr-ananta","name":"vav-1867"}}</v>
      </c>
      <c r="S2295" s="333"/>
      <c r="T2295" s="330"/>
      <c r="U2295" s="330"/>
      <c r="V2295" s="331"/>
      <c r="W2295" s="332"/>
      <c r="X2295" s="333"/>
      <c r="Y2295" s="33" t="s">
        <v>2867</v>
      </c>
      <c r="Z2295" s="258">
        <v>121867.0</v>
      </c>
      <c r="AA2295" s="333"/>
      <c r="AB2295" s="333"/>
      <c r="AC2295" s="333"/>
      <c r="AD2295" s="329"/>
      <c r="AE2295" s="362" t="s">
        <v>685</v>
      </c>
      <c r="AF2295" s="336"/>
      <c r="AG2295" s="337"/>
      <c r="AH2295" s="333"/>
      <c r="AI2295" s="333"/>
      <c r="AJ2295" s="333"/>
      <c r="AK2295" s="328" t="s">
        <v>2400</v>
      </c>
      <c r="AL2295" s="328" t="s">
        <v>688</v>
      </c>
      <c r="AM2295" s="338"/>
      <c r="AN2295" s="333"/>
      <c r="AO2295" s="333"/>
      <c r="AP2295" s="333"/>
      <c r="AQ2295" s="333"/>
      <c r="AR2295" s="333"/>
      <c r="AS2295" s="333"/>
      <c r="AT2295" s="333"/>
      <c r="AU2295" s="329"/>
      <c r="AV2295" s="341"/>
      <c r="AW2295" s="269"/>
      <c r="AX2295" s="334" t="s">
        <v>2869</v>
      </c>
      <c r="AY2295" s="270" t="s">
        <v>695</v>
      </c>
      <c r="AZ2295" s="173" t="s">
        <v>5516</v>
      </c>
      <c r="BA2295" s="265">
        <v>10.0</v>
      </c>
      <c r="BB2295" s="174" t="s">
        <v>245</v>
      </c>
      <c r="BC2295" s="341"/>
      <c r="BD2295" s="308"/>
      <c r="BE2295" s="342"/>
      <c r="BF2295" s="274" t="str">
        <f>IFERROR(__xludf.DUMMYFUNCTION("LOWER(Regexreplace(to_text(E2295),""[^A-Za-z0-9]"","""")&amp;""_""&amp;Regexreplace(to_text(F2295),""[^A-Za-z0-9]"",""""))"),"neptronic_evcbseries")</f>
        <v>neptronic_evcbseries</v>
      </c>
      <c r="BG2295" s="275" t="str">
        <f>IFERROR(__xludf.DUMMYFUNCTION("upper(Regexreplace(to_text(E2295),""[^A-Za-z0-9]"","""")&amp;""-""&amp;Regexreplace(to_text(F2295),""[^A-Za-z0-9]"",""""))"),"NEPTRONIC-EVCBSERIES")</f>
        <v>NEPTRONIC-EVCBSERIES</v>
      </c>
    </row>
    <row r="2296" ht="30.0" customHeight="1">
      <c r="A2296" s="258">
        <v>2288.0</v>
      </c>
      <c r="B2296" s="328" t="s">
        <v>670</v>
      </c>
      <c r="C2296" s="257" t="s">
        <v>7821</v>
      </c>
      <c r="D2296" s="173" t="s">
        <v>7821</v>
      </c>
      <c r="E2296" s="174" t="s">
        <v>2861</v>
      </c>
      <c r="F2296" s="173" t="s">
        <v>2862</v>
      </c>
      <c r="G2296" s="328" t="s">
        <v>673</v>
      </c>
      <c r="H2296" s="328" t="s">
        <v>2863</v>
      </c>
      <c r="I2296" s="258" t="s">
        <v>2864</v>
      </c>
      <c r="J2296" s="259" t="s">
        <v>1453</v>
      </c>
      <c r="K2296" s="260"/>
      <c r="L2296" s="363"/>
      <c r="M2296" s="329"/>
      <c r="N2296" s="173" t="s">
        <v>679</v>
      </c>
      <c r="O2296" s="173"/>
      <c r="P2296" s="262" t="str">
        <f t="shared" si="1"/>
        <v>IN-BLR-ANANTA-VAV-1868_11</v>
      </c>
      <c r="Q2296" s="173" t="s">
        <v>7822</v>
      </c>
      <c r="R2296" s="328" t="str">
        <f>IFS(C2296="","",C2296="n/a","N/A",LEN(C2296),Concatenate("{",char(34),"asset",char(34),":{",char(34),"guid",char(34),":",char(34),Q2296,char(34),",",char(34),"site",char(34),":",char(34),LOWER('2-Building'!$B$4),char(34),",",char(34),"name",char(34),":",char(34),LOWER(C2296),char(34),"}}"))</f>
        <v>{"asset":{"guid":"uuid://c9cb69e2-bce8-42a7-b557-e39f44080d2e","site":"in-blr-ananta","name":"vav-1868"}}</v>
      </c>
      <c r="S2296" s="333"/>
      <c r="T2296" s="330"/>
      <c r="U2296" s="330"/>
      <c r="V2296" s="331"/>
      <c r="W2296" s="332"/>
      <c r="X2296" s="333"/>
      <c r="Y2296" s="33" t="s">
        <v>2867</v>
      </c>
      <c r="Z2296" s="258">
        <v>121868.0</v>
      </c>
      <c r="AA2296" s="333"/>
      <c r="AB2296" s="333"/>
      <c r="AC2296" s="333"/>
      <c r="AD2296" s="329"/>
      <c r="AE2296" s="362" t="s">
        <v>685</v>
      </c>
      <c r="AF2296" s="336"/>
      <c r="AG2296" s="337"/>
      <c r="AH2296" s="333"/>
      <c r="AI2296" s="333"/>
      <c r="AJ2296" s="333"/>
      <c r="AK2296" s="328" t="s">
        <v>2405</v>
      </c>
      <c r="AL2296" s="328" t="s">
        <v>688</v>
      </c>
      <c r="AM2296" s="338"/>
      <c r="AN2296" s="333"/>
      <c r="AO2296" s="333"/>
      <c r="AP2296" s="333"/>
      <c r="AQ2296" s="333"/>
      <c r="AR2296" s="333"/>
      <c r="AS2296" s="333"/>
      <c r="AT2296" s="333"/>
      <c r="AU2296" s="329"/>
      <c r="AV2296" s="341"/>
      <c r="AW2296" s="269"/>
      <c r="AX2296" s="334" t="s">
        <v>2869</v>
      </c>
      <c r="AY2296" s="270" t="s">
        <v>695</v>
      </c>
      <c r="AZ2296" s="173" t="s">
        <v>5516</v>
      </c>
      <c r="BA2296" s="265">
        <v>10.0</v>
      </c>
      <c r="BB2296" s="174" t="s">
        <v>245</v>
      </c>
      <c r="BC2296" s="341"/>
      <c r="BD2296" s="308"/>
      <c r="BE2296" s="342"/>
      <c r="BF2296" s="274" t="str">
        <f>IFERROR(__xludf.DUMMYFUNCTION("LOWER(Regexreplace(to_text(E2296),""[^A-Za-z0-9]"","""")&amp;""_""&amp;Regexreplace(to_text(F2296),""[^A-Za-z0-9]"",""""))"),"neptronic_evcbseries")</f>
        <v>neptronic_evcbseries</v>
      </c>
      <c r="BG2296" s="275" t="str">
        <f>IFERROR(__xludf.DUMMYFUNCTION("upper(Regexreplace(to_text(E2296),""[^A-Za-z0-9]"","""")&amp;""-""&amp;Regexreplace(to_text(F2296),""[^A-Za-z0-9]"",""""))"),"NEPTRONIC-EVCBSERIES")</f>
        <v>NEPTRONIC-EVCBSERIES</v>
      </c>
    </row>
    <row r="2297" ht="30.0" customHeight="1">
      <c r="A2297" s="173">
        <v>2289.0</v>
      </c>
      <c r="B2297" s="328" t="s">
        <v>670</v>
      </c>
      <c r="C2297" s="257" t="s">
        <v>7823</v>
      </c>
      <c r="D2297" s="173" t="s">
        <v>7823</v>
      </c>
      <c r="E2297" s="174" t="s">
        <v>2861</v>
      </c>
      <c r="F2297" s="173" t="s">
        <v>2862</v>
      </c>
      <c r="G2297" s="328" t="s">
        <v>673</v>
      </c>
      <c r="H2297" s="328" t="s">
        <v>2863</v>
      </c>
      <c r="I2297" s="258" t="s">
        <v>2864</v>
      </c>
      <c r="J2297" s="259" t="s">
        <v>1453</v>
      </c>
      <c r="K2297" s="260"/>
      <c r="L2297" s="363"/>
      <c r="M2297" s="329"/>
      <c r="N2297" s="173" t="s">
        <v>679</v>
      </c>
      <c r="O2297" s="173"/>
      <c r="P2297" s="262" t="str">
        <f t="shared" si="1"/>
        <v>IN-BLR-ANANTA-VAV-1869_11</v>
      </c>
      <c r="Q2297" s="173" t="s">
        <v>7824</v>
      </c>
      <c r="R2297" s="328" t="str">
        <f>IFS(C2297="","",C2297="n/a","N/A",LEN(C2297),Concatenate("{",char(34),"asset",char(34),":{",char(34),"guid",char(34),":",char(34),Q2297,char(34),",",char(34),"site",char(34),":",char(34),LOWER('2-Building'!$B$4),char(34),",",char(34),"name",char(34),":",char(34),LOWER(C2297),char(34),"}}"))</f>
        <v>{"asset":{"guid":"uuid://0a3e62f9-d79d-452b-89ae-3b2ab1c64871","site":"in-blr-ananta","name":"vav-1869"}}</v>
      </c>
      <c r="S2297" s="333"/>
      <c r="T2297" s="330"/>
      <c r="U2297" s="330"/>
      <c r="V2297" s="331"/>
      <c r="W2297" s="332"/>
      <c r="X2297" s="333"/>
      <c r="Y2297" s="33" t="s">
        <v>2867</v>
      </c>
      <c r="Z2297" s="258">
        <v>121869.0</v>
      </c>
      <c r="AA2297" s="333"/>
      <c r="AB2297" s="333"/>
      <c r="AC2297" s="333"/>
      <c r="AD2297" s="329"/>
      <c r="AE2297" s="362" t="s">
        <v>685</v>
      </c>
      <c r="AF2297" s="336"/>
      <c r="AG2297" s="337"/>
      <c r="AH2297" s="333"/>
      <c r="AI2297" s="333"/>
      <c r="AJ2297" s="333"/>
      <c r="AK2297" s="328" t="s">
        <v>2410</v>
      </c>
      <c r="AL2297" s="328" t="s">
        <v>688</v>
      </c>
      <c r="AM2297" s="338"/>
      <c r="AN2297" s="333"/>
      <c r="AO2297" s="333"/>
      <c r="AP2297" s="333"/>
      <c r="AQ2297" s="333"/>
      <c r="AR2297" s="333"/>
      <c r="AS2297" s="333"/>
      <c r="AT2297" s="333"/>
      <c r="AU2297" s="329"/>
      <c r="AV2297" s="341"/>
      <c r="AW2297" s="269"/>
      <c r="AX2297" s="334" t="s">
        <v>2869</v>
      </c>
      <c r="AY2297" s="270" t="s">
        <v>695</v>
      </c>
      <c r="AZ2297" s="173" t="s">
        <v>5516</v>
      </c>
      <c r="BA2297" s="265">
        <v>10.0</v>
      </c>
      <c r="BB2297" s="174" t="s">
        <v>245</v>
      </c>
      <c r="BC2297" s="341"/>
      <c r="BD2297" s="308"/>
      <c r="BE2297" s="342"/>
      <c r="BF2297" s="274" t="str">
        <f>IFERROR(__xludf.DUMMYFUNCTION("LOWER(Regexreplace(to_text(E2297),""[^A-Za-z0-9]"","""")&amp;""_""&amp;Regexreplace(to_text(F2297),""[^A-Za-z0-9]"",""""))"),"neptronic_evcbseries")</f>
        <v>neptronic_evcbseries</v>
      </c>
      <c r="BG2297" s="275" t="str">
        <f>IFERROR(__xludf.DUMMYFUNCTION("upper(Regexreplace(to_text(E2297),""[^A-Za-z0-9]"","""")&amp;""-""&amp;Regexreplace(to_text(F2297),""[^A-Za-z0-9]"",""""))"),"NEPTRONIC-EVCBSERIES")</f>
        <v>NEPTRONIC-EVCBSERIES</v>
      </c>
    </row>
    <row r="2298" ht="30.0" customHeight="1">
      <c r="A2298" s="258">
        <v>2290.0</v>
      </c>
      <c r="B2298" s="328" t="s">
        <v>670</v>
      </c>
      <c r="C2298" s="257" t="s">
        <v>7825</v>
      </c>
      <c r="D2298" s="173" t="s">
        <v>7825</v>
      </c>
      <c r="E2298" s="174" t="s">
        <v>2861</v>
      </c>
      <c r="F2298" s="173" t="s">
        <v>2862</v>
      </c>
      <c r="G2298" s="328" t="s">
        <v>673</v>
      </c>
      <c r="H2298" s="328" t="s">
        <v>2863</v>
      </c>
      <c r="I2298" s="258" t="s">
        <v>2864</v>
      </c>
      <c r="J2298" s="259" t="s">
        <v>1453</v>
      </c>
      <c r="K2298" s="260"/>
      <c r="L2298" s="363"/>
      <c r="M2298" s="329"/>
      <c r="N2298" s="173" t="s">
        <v>679</v>
      </c>
      <c r="O2298" s="173"/>
      <c r="P2298" s="262" t="str">
        <f t="shared" si="1"/>
        <v>IN-BLR-ANANTA-VAV-1870_11</v>
      </c>
      <c r="Q2298" s="173" t="s">
        <v>7826</v>
      </c>
      <c r="R2298" s="328" t="str">
        <f>IFS(C2298="","",C2298="n/a","N/A",LEN(C2298),Concatenate("{",char(34),"asset",char(34),":{",char(34),"guid",char(34),":",char(34),Q2298,char(34),",",char(34),"site",char(34),":",char(34),LOWER('2-Building'!$B$4),char(34),",",char(34),"name",char(34),":",char(34),LOWER(C2298),char(34),"}}"))</f>
        <v>{"asset":{"guid":"uuid://8fd75229-995c-44ba-bc2b-065cca3de25c","site":"in-blr-ananta","name":"vav-1870"}}</v>
      </c>
      <c r="S2298" s="333"/>
      <c r="T2298" s="330"/>
      <c r="U2298" s="330"/>
      <c r="V2298" s="331"/>
      <c r="W2298" s="332"/>
      <c r="X2298" s="333"/>
      <c r="Y2298" s="33" t="s">
        <v>2867</v>
      </c>
      <c r="Z2298" s="258">
        <v>121870.0</v>
      </c>
      <c r="AA2298" s="333"/>
      <c r="AB2298" s="333"/>
      <c r="AC2298" s="333"/>
      <c r="AD2298" s="329"/>
      <c r="AE2298" s="362" t="s">
        <v>685</v>
      </c>
      <c r="AF2298" s="336"/>
      <c r="AG2298" s="337"/>
      <c r="AH2298" s="333"/>
      <c r="AI2298" s="333"/>
      <c r="AJ2298" s="333"/>
      <c r="AK2298" s="328" t="s">
        <v>2415</v>
      </c>
      <c r="AL2298" s="328" t="s">
        <v>688</v>
      </c>
      <c r="AM2298" s="338"/>
      <c r="AN2298" s="333"/>
      <c r="AO2298" s="333"/>
      <c r="AP2298" s="333"/>
      <c r="AQ2298" s="333"/>
      <c r="AR2298" s="333"/>
      <c r="AS2298" s="333"/>
      <c r="AT2298" s="333"/>
      <c r="AU2298" s="329"/>
      <c r="AV2298" s="341"/>
      <c r="AW2298" s="269"/>
      <c r="AX2298" s="334" t="s">
        <v>2869</v>
      </c>
      <c r="AY2298" s="270" t="s">
        <v>695</v>
      </c>
      <c r="AZ2298" s="173" t="s">
        <v>5516</v>
      </c>
      <c r="BA2298" s="265">
        <v>10.0</v>
      </c>
      <c r="BB2298" s="174" t="s">
        <v>245</v>
      </c>
      <c r="BC2298" s="341"/>
      <c r="BD2298" s="308"/>
      <c r="BE2298" s="342"/>
      <c r="BF2298" s="274" t="str">
        <f>IFERROR(__xludf.DUMMYFUNCTION("LOWER(Regexreplace(to_text(E2298),""[^A-Za-z0-9]"","""")&amp;""_""&amp;Regexreplace(to_text(F2298),""[^A-Za-z0-9]"",""""))"),"neptronic_evcbseries")</f>
        <v>neptronic_evcbseries</v>
      </c>
      <c r="BG2298" s="275" t="str">
        <f>IFERROR(__xludf.DUMMYFUNCTION("upper(Regexreplace(to_text(E2298),""[^A-Za-z0-9]"","""")&amp;""-""&amp;Regexreplace(to_text(F2298),""[^A-Za-z0-9]"",""""))"),"NEPTRONIC-EVCBSERIES")</f>
        <v>NEPTRONIC-EVCBSERIES</v>
      </c>
    </row>
    <row r="2299" ht="30.0" customHeight="1">
      <c r="A2299" s="173">
        <v>2291.0</v>
      </c>
      <c r="B2299" s="328" t="s">
        <v>670</v>
      </c>
      <c r="C2299" s="257" t="s">
        <v>7827</v>
      </c>
      <c r="D2299" s="173" t="s">
        <v>7827</v>
      </c>
      <c r="E2299" s="174" t="s">
        <v>2861</v>
      </c>
      <c r="F2299" s="173" t="s">
        <v>2862</v>
      </c>
      <c r="G2299" s="328" t="s">
        <v>673</v>
      </c>
      <c r="H2299" s="328" t="s">
        <v>2863</v>
      </c>
      <c r="I2299" s="258" t="s">
        <v>2864</v>
      </c>
      <c r="J2299" s="259" t="s">
        <v>1453</v>
      </c>
      <c r="K2299" s="260"/>
      <c r="L2299" s="363"/>
      <c r="M2299" s="329"/>
      <c r="N2299" s="173" t="s">
        <v>679</v>
      </c>
      <c r="O2299" s="173"/>
      <c r="P2299" s="262" t="str">
        <f t="shared" si="1"/>
        <v>IN-BLR-ANANTA-VAV-1871_11</v>
      </c>
      <c r="Q2299" s="173" t="s">
        <v>7828</v>
      </c>
      <c r="R2299" s="328" t="str">
        <f>IFS(C2299="","",C2299="n/a","N/A",LEN(C2299),Concatenate("{",char(34),"asset",char(34),":{",char(34),"guid",char(34),":",char(34),Q2299,char(34),",",char(34),"site",char(34),":",char(34),LOWER('2-Building'!$B$4),char(34),",",char(34),"name",char(34),":",char(34),LOWER(C2299),char(34),"}}"))</f>
        <v>{"asset":{"guid":"uuid://e85c520e-9851-46fd-9730-0810ebcb575e","site":"in-blr-ananta","name":"vav-1871"}}</v>
      </c>
      <c r="S2299" s="333"/>
      <c r="T2299" s="330"/>
      <c r="U2299" s="330"/>
      <c r="V2299" s="331"/>
      <c r="W2299" s="332"/>
      <c r="X2299" s="333"/>
      <c r="Y2299" s="33" t="s">
        <v>2867</v>
      </c>
      <c r="Z2299" s="258">
        <v>121871.0</v>
      </c>
      <c r="AA2299" s="333"/>
      <c r="AB2299" s="333"/>
      <c r="AC2299" s="333"/>
      <c r="AD2299" s="329"/>
      <c r="AE2299" s="362" t="s">
        <v>685</v>
      </c>
      <c r="AF2299" s="336"/>
      <c r="AG2299" s="337"/>
      <c r="AH2299" s="333"/>
      <c r="AI2299" s="333"/>
      <c r="AJ2299" s="333"/>
      <c r="AK2299" s="328" t="s">
        <v>2420</v>
      </c>
      <c r="AL2299" s="328" t="s">
        <v>688</v>
      </c>
      <c r="AM2299" s="338"/>
      <c r="AN2299" s="333"/>
      <c r="AO2299" s="333"/>
      <c r="AP2299" s="333"/>
      <c r="AQ2299" s="333"/>
      <c r="AR2299" s="333"/>
      <c r="AS2299" s="333"/>
      <c r="AT2299" s="333"/>
      <c r="AU2299" s="329"/>
      <c r="AV2299" s="341"/>
      <c r="AW2299" s="269"/>
      <c r="AX2299" s="334" t="s">
        <v>2869</v>
      </c>
      <c r="AY2299" s="270" t="s">
        <v>695</v>
      </c>
      <c r="AZ2299" s="173" t="s">
        <v>5516</v>
      </c>
      <c r="BA2299" s="265">
        <v>10.0</v>
      </c>
      <c r="BB2299" s="174" t="s">
        <v>245</v>
      </c>
      <c r="BC2299" s="341"/>
      <c r="BD2299" s="308"/>
      <c r="BE2299" s="342"/>
      <c r="BF2299" s="274" t="str">
        <f>IFERROR(__xludf.DUMMYFUNCTION("LOWER(Regexreplace(to_text(E2299),""[^A-Za-z0-9]"","""")&amp;""_""&amp;Regexreplace(to_text(F2299),""[^A-Za-z0-9]"",""""))"),"neptronic_evcbseries")</f>
        <v>neptronic_evcbseries</v>
      </c>
      <c r="BG2299" s="275" t="str">
        <f>IFERROR(__xludf.DUMMYFUNCTION("upper(Regexreplace(to_text(E2299),""[^A-Za-z0-9]"","""")&amp;""-""&amp;Regexreplace(to_text(F2299),""[^A-Za-z0-9]"",""""))"),"NEPTRONIC-EVCBSERIES")</f>
        <v>NEPTRONIC-EVCBSERIES</v>
      </c>
    </row>
    <row r="2300" ht="30.0" customHeight="1">
      <c r="A2300" s="258">
        <v>2292.0</v>
      </c>
      <c r="B2300" s="328" t="s">
        <v>670</v>
      </c>
      <c r="C2300" s="257" t="s">
        <v>7829</v>
      </c>
      <c r="D2300" s="173" t="s">
        <v>7829</v>
      </c>
      <c r="E2300" s="174" t="s">
        <v>2861</v>
      </c>
      <c r="F2300" s="173" t="s">
        <v>2862</v>
      </c>
      <c r="G2300" s="328" t="s">
        <v>673</v>
      </c>
      <c r="H2300" s="328" t="s">
        <v>2863</v>
      </c>
      <c r="I2300" s="258" t="s">
        <v>2864</v>
      </c>
      <c r="J2300" s="259" t="s">
        <v>1453</v>
      </c>
      <c r="K2300" s="260"/>
      <c r="L2300" s="363"/>
      <c r="M2300" s="329"/>
      <c r="N2300" s="173" t="s">
        <v>679</v>
      </c>
      <c r="O2300" s="173"/>
      <c r="P2300" s="262" t="str">
        <f t="shared" si="1"/>
        <v>IN-BLR-ANANTA-VAV-1872_11</v>
      </c>
      <c r="Q2300" s="173" t="s">
        <v>7830</v>
      </c>
      <c r="R2300" s="328" t="str">
        <f>IFS(C2300="","",C2300="n/a","N/A",LEN(C2300),Concatenate("{",char(34),"asset",char(34),":{",char(34),"guid",char(34),":",char(34),Q2300,char(34),",",char(34),"site",char(34),":",char(34),LOWER('2-Building'!$B$4),char(34),",",char(34),"name",char(34),":",char(34),LOWER(C2300),char(34),"}}"))</f>
        <v>{"asset":{"guid":"uuid://75a6bd4b-d306-4b9d-9f2a-0c7732f7e08f","site":"in-blr-ananta","name":"vav-1872"}}</v>
      </c>
      <c r="S2300" s="333"/>
      <c r="T2300" s="330"/>
      <c r="U2300" s="330"/>
      <c r="V2300" s="331"/>
      <c r="W2300" s="332"/>
      <c r="X2300" s="333"/>
      <c r="Y2300" s="33" t="s">
        <v>2867</v>
      </c>
      <c r="Z2300" s="258">
        <v>121872.0</v>
      </c>
      <c r="AA2300" s="333"/>
      <c r="AB2300" s="333"/>
      <c r="AC2300" s="333"/>
      <c r="AD2300" s="329"/>
      <c r="AE2300" s="362" t="s">
        <v>685</v>
      </c>
      <c r="AF2300" s="336"/>
      <c r="AG2300" s="337"/>
      <c r="AH2300" s="333"/>
      <c r="AI2300" s="333"/>
      <c r="AJ2300" s="333"/>
      <c r="AK2300" s="328" t="s">
        <v>2425</v>
      </c>
      <c r="AL2300" s="328" t="s">
        <v>688</v>
      </c>
      <c r="AM2300" s="338"/>
      <c r="AN2300" s="333"/>
      <c r="AO2300" s="333"/>
      <c r="AP2300" s="333"/>
      <c r="AQ2300" s="333"/>
      <c r="AR2300" s="333"/>
      <c r="AS2300" s="333"/>
      <c r="AT2300" s="333"/>
      <c r="AU2300" s="329"/>
      <c r="AV2300" s="341"/>
      <c r="AW2300" s="269"/>
      <c r="AX2300" s="334" t="s">
        <v>2869</v>
      </c>
      <c r="AY2300" s="270" t="s">
        <v>695</v>
      </c>
      <c r="AZ2300" s="173" t="s">
        <v>5516</v>
      </c>
      <c r="BA2300" s="265">
        <v>10.0</v>
      </c>
      <c r="BB2300" s="174" t="s">
        <v>245</v>
      </c>
      <c r="BC2300" s="341"/>
      <c r="BD2300" s="308"/>
      <c r="BE2300" s="342"/>
      <c r="BF2300" s="274" t="str">
        <f>IFERROR(__xludf.DUMMYFUNCTION("LOWER(Regexreplace(to_text(E2300),""[^A-Za-z0-9]"","""")&amp;""_""&amp;Regexreplace(to_text(F2300),""[^A-Za-z0-9]"",""""))"),"neptronic_evcbseries")</f>
        <v>neptronic_evcbseries</v>
      </c>
      <c r="BG2300" s="275" t="str">
        <f>IFERROR(__xludf.DUMMYFUNCTION("upper(Regexreplace(to_text(E2300),""[^A-Za-z0-9]"","""")&amp;""-""&amp;Regexreplace(to_text(F2300),""[^A-Za-z0-9]"",""""))"),"NEPTRONIC-EVCBSERIES")</f>
        <v>NEPTRONIC-EVCBSERIES</v>
      </c>
    </row>
    <row r="2301" ht="30.0" customHeight="1">
      <c r="A2301" s="173">
        <v>2293.0</v>
      </c>
      <c r="B2301" s="328" t="s">
        <v>670</v>
      </c>
      <c r="C2301" s="257" t="s">
        <v>7831</v>
      </c>
      <c r="D2301" s="173" t="s">
        <v>7831</v>
      </c>
      <c r="E2301" s="174" t="s">
        <v>2861</v>
      </c>
      <c r="F2301" s="173" t="s">
        <v>2862</v>
      </c>
      <c r="G2301" s="328" t="s">
        <v>673</v>
      </c>
      <c r="H2301" s="328" t="s">
        <v>2863</v>
      </c>
      <c r="I2301" s="258" t="s">
        <v>2864</v>
      </c>
      <c r="J2301" s="259" t="s">
        <v>1453</v>
      </c>
      <c r="K2301" s="260"/>
      <c r="L2301" s="363"/>
      <c r="M2301" s="329"/>
      <c r="N2301" s="173" t="s">
        <v>679</v>
      </c>
      <c r="O2301" s="173"/>
      <c r="P2301" s="262" t="str">
        <f t="shared" si="1"/>
        <v>IN-BLR-ANANTA-VAV-1873_11</v>
      </c>
      <c r="Q2301" s="173" t="s">
        <v>7832</v>
      </c>
      <c r="R2301" s="328" t="str">
        <f>IFS(C2301="","",C2301="n/a","N/A",LEN(C2301),Concatenate("{",char(34),"asset",char(34),":{",char(34),"guid",char(34),":",char(34),Q2301,char(34),",",char(34),"site",char(34),":",char(34),LOWER('2-Building'!$B$4),char(34),",",char(34),"name",char(34),":",char(34),LOWER(C2301),char(34),"}}"))</f>
        <v>{"asset":{"guid":"uuid://d7f8e93b-4d98-4c66-9004-68b5428f976d","site":"in-blr-ananta","name":"vav-1873"}}</v>
      </c>
      <c r="S2301" s="333"/>
      <c r="T2301" s="330"/>
      <c r="U2301" s="330"/>
      <c r="V2301" s="331"/>
      <c r="W2301" s="332"/>
      <c r="X2301" s="333"/>
      <c r="Y2301" s="33" t="s">
        <v>2867</v>
      </c>
      <c r="Z2301" s="258">
        <v>121873.0</v>
      </c>
      <c r="AA2301" s="333"/>
      <c r="AB2301" s="333"/>
      <c r="AC2301" s="333"/>
      <c r="AD2301" s="329"/>
      <c r="AE2301" s="362" t="s">
        <v>685</v>
      </c>
      <c r="AF2301" s="336"/>
      <c r="AG2301" s="337"/>
      <c r="AH2301" s="333"/>
      <c r="AI2301" s="333"/>
      <c r="AJ2301" s="333"/>
      <c r="AK2301" s="328" t="s">
        <v>2430</v>
      </c>
      <c r="AL2301" s="328" t="s">
        <v>688</v>
      </c>
      <c r="AM2301" s="338"/>
      <c r="AN2301" s="333"/>
      <c r="AO2301" s="333"/>
      <c r="AP2301" s="333"/>
      <c r="AQ2301" s="333"/>
      <c r="AR2301" s="333"/>
      <c r="AS2301" s="333"/>
      <c r="AT2301" s="333"/>
      <c r="AU2301" s="329"/>
      <c r="AV2301" s="341"/>
      <c r="AW2301" s="269"/>
      <c r="AX2301" s="334" t="s">
        <v>2869</v>
      </c>
      <c r="AY2301" s="270" t="s">
        <v>695</v>
      </c>
      <c r="AZ2301" s="173" t="s">
        <v>5516</v>
      </c>
      <c r="BA2301" s="265">
        <v>10.0</v>
      </c>
      <c r="BB2301" s="174" t="s">
        <v>245</v>
      </c>
      <c r="BC2301" s="341"/>
      <c r="BD2301" s="308"/>
      <c r="BE2301" s="342"/>
      <c r="BF2301" s="274" t="str">
        <f>IFERROR(__xludf.DUMMYFUNCTION("LOWER(Regexreplace(to_text(E2301),""[^A-Za-z0-9]"","""")&amp;""_""&amp;Regexreplace(to_text(F2301),""[^A-Za-z0-9]"",""""))"),"neptronic_evcbseries")</f>
        <v>neptronic_evcbseries</v>
      </c>
      <c r="BG2301" s="275" t="str">
        <f>IFERROR(__xludf.DUMMYFUNCTION("upper(Regexreplace(to_text(E2301),""[^A-Za-z0-9]"","""")&amp;""-""&amp;Regexreplace(to_text(F2301),""[^A-Za-z0-9]"",""""))"),"NEPTRONIC-EVCBSERIES")</f>
        <v>NEPTRONIC-EVCBSERIES</v>
      </c>
    </row>
    <row r="2302" ht="30.0" customHeight="1">
      <c r="A2302" s="258">
        <v>2294.0</v>
      </c>
      <c r="B2302" s="328" t="s">
        <v>670</v>
      </c>
      <c r="C2302" s="257" t="s">
        <v>7833</v>
      </c>
      <c r="D2302" s="173" t="s">
        <v>7833</v>
      </c>
      <c r="E2302" s="174" t="s">
        <v>2861</v>
      </c>
      <c r="F2302" s="173" t="s">
        <v>2862</v>
      </c>
      <c r="G2302" s="328" t="s">
        <v>673</v>
      </c>
      <c r="H2302" s="328" t="s">
        <v>2863</v>
      </c>
      <c r="I2302" s="258" t="s">
        <v>2864</v>
      </c>
      <c r="J2302" s="259" t="s">
        <v>1453</v>
      </c>
      <c r="K2302" s="260"/>
      <c r="L2302" s="363"/>
      <c r="M2302" s="329"/>
      <c r="N2302" s="173" t="s">
        <v>679</v>
      </c>
      <c r="O2302" s="173"/>
      <c r="P2302" s="262" t="str">
        <f t="shared" si="1"/>
        <v>IN-BLR-ANANTA-VAV-1874_11</v>
      </c>
      <c r="Q2302" s="173" t="s">
        <v>7834</v>
      </c>
      <c r="R2302" s="328" t="str">
        <f>IFS(C2302="","",C2302="n/a","N/A",LEN(C2302),Concatenate("{",char(34),"asset",char(34),":{",char(34),"guid",char(34),":",char(34),Q2302,char(34),",",char(34),"site",char(34),":",char(34),LOWER('2-Building'!$B$4),char(34),",",char(34),"name",char(34),":",char(34),LOWER(C2302),char(34),"}}"))</f>
        <v>{"asset":{"guid":"uuid://9c001125-92a5-4ff0-9173-3545ed61e48a","site":"in-blr-ananta","name":"vav-1874"}}</v>
      </c>
      <c r="S2302" s="333"/>
      <c r="T2302" s="330"/>
      <c r="U2302" s="330"/>
      <c r="V2302" s="331"/>
      <c r="W2302" s="332"/>
      <c r="X2302" s="333"/>
      <c r="Y2302" s="33" t="s">
        <v>2867</v>
      </c>
      <c r="Z2302" s="258">
        <v>121874.0</v>
      </c>
      <c r="AA2302" s="333"/>
      <c r="AB2302" s="333"/>
      <c r="AC2302" s="333"/>
      <c r="AD2302" s="329"/>
      <c r="AE2302" s="362" t="s">
        <v>685</v>
      </c>
      <c r="AF2302" s="336"/>
      <c r="AG2302" s="337"/>
      <c r="AH2302" s="333"/>
      <c r="AI2302" s="333"/>
      <c r="AJ2302" s="333"/>
      <c r="AK2302" s="328" t="s">
        <v>2435</v>
      </c>
      <c r="AL2302" s="328" t="s">
        <v>688</v>
      </c>
      <c r="AM2302" s="338"/>
      <c r="AN2302" s="333"/>
      <c r="AO2302" s="333"/>
      <c r="AP2302" s="333"/>
      <c r="AQ2302" s="333"/>
      <c r="AR2302" s="333"/>
      <c r="AS2302" s="333"/>
      <c r="AT2302" s="333"/>
      <c r="AU2302" s="329"/>
      <c r="AV2302" s="341"/>
      <c r="AW2302" s="269"/>
      <c r="AX2302" s="334" t="s">
        <v>2869</v>
      </c>
      <c r="AY2302" s="270" t="s">
        <v>695</v>
      </c>
      <c r="AZ2302" s="173" t="s">
        <v>5516</v>
      </c>
      <c r="BA2302" s="265">
        <v>10.0</v>
      </c>
      <c r="BB2302" s="174" t="s">
        <v>245</v>
      </c>
      <c r="BC2302" s="341"/>
      <c r="BD2302" s="308"/>
      <c r="BE2302" s="342"/>
      <c r="BF2302" s="274" t="str">
        <f>IFERROR(__xludf.DUMMYFUNCTION("LOWER(Regexreplace(to_text(E2302),""[^A-Za-z0-9]"","""")&amp;""_""&amp;Regexreplace(to_text(F2302),""[^A-Za-z0-9]"",""""))"),"neptronic_evcbseries")</f>
        <v>neptronic_evcbseries</v>
      </c>
      <c r="BG2302" s="275" t="str">
        <f>IFERROR(__xludf.DUMMYFUNCTION("upper(Regexreplace(to_text(E2302),""[^A-Za-z0-9]"","""")&amp;""-""&amp;Regexreplace(to_text(F2302),""[^A-Za-z0-9]"",""""))"),"NEPTRONIC-EVCBSERIES")</f>
        <v>NEPTRONIC-EVCBSERIES</v>
      </c>
    </row>
    <row r="2303" ht="30.0" customHeight="1">
      <c r="A2303" s="173">
        <v>2295.0</v>
      </c>
      <c r="B2303" s="328" t="s">
        <v>670</v>
      </c>
      <c r="C2303" s="257" t="s">
        <v>7835</v>
      </c>
      <c r="D2303" s="173" t="s">
        <v>7835</v>
      </c>
      <c r="E2303" s="174" t="s">
        <v>2861</v>
      </c>
      <c r="F2303" s="173" t="s">
        <v>2862</v>
      </c>
      <c r="G2303" s="328" t="s">
        <v>673</v>
      </c>
      <c r="H2303" s="328" t="s">
        <v>2863</v>
      </c>
      <c r="I2303" s="258" t="s">
        <v>2864</v>
      </c>
      <c r="J2303" s="259" t="s">
        <v>1453</v>
      </c>
      <c r="K2303" s="260"/>
      <c r="L2303" s="363"/>
      <c r="M2303" s="329"/>
      <c r="N2303" s="173" t="s">
        <v>679</v>
      </c>
      <c r="O2303" s="173"/>
      <c r="P2303" s="262" t="str">
        <f t="shared" si="1"/>
        <v>IN-BLR-ANANTA-VAV-1875_11</v>
      </c>
      <c r="Q2303" s="173" t="s">
        <v>7836</v>
      </c>
      <c r="R2303" s="328" t="str">
        <f>IFS(C2303="","",C2303="n/a","N/A",LEN(C2303),Concatenate("{",char(34),"asset",char(34),":{",char(34),"guid",char(34),":",char(34),Q2303,char(34),",",char(34),"site",char(34),":",char(34),LOWER('2-Building'!$B$4),char(34),",",char(34),"name",char(34),":",char(34),LOWER(C2303),char(34),"}}"))</f>
        <v>{"asset":{"guid":"uuid://cd1792a1-d803-48d9-8621-c9374dfe1de2","site":"in-blr-ananta","name":"vav-1875"}}</v>
      </c>
      <c r="S2303" s="333"/>
      <c r="T2303" s="330"/>
      <c r="U2303" s="330"/>
      <c r="V2303" s="331"/>
      <c r="W2303" s="332"/>
      <c r="X2303" s="333"/>
      <c r="Y2303" s="33" t="s">
        <v>2867</v>
      </c>
      <c r="Z2303" s="258">
        <v>121875.0</v>
      </c>
      <c r="AA2303" s="333"/>
      <c r="AB2303" s="333"/>
      <c r="AC2303" s="333"/>
      <c r="AD2303" s="329"/>
      <c r="AE2303" s="362" t="s">
        <v>685</v>
      </c>
      <c r="AF2303" s="336"/>
      <c r="AG2303" s="337"/>
      <c r="AH2303" s="333"/>
      <c r="AI2303" s="333"/>
      <c r="AJ2303" s="333"/>
      <c r="AK2303" s="328" t="s">
        <v>2440</v>
      </c>
      <c r="AL2303" s="328" t="s">
        <v>688</v>
      </c>
      <c r="AM2303" s="338"/>
      <c r="AN2303" s="333"/>
      <c r="AO2303" s="333"/>
      <c r="AP2303" s="333"/>
      <c r="AQ2303" s="333"/>
      <c r="AR2303" s="333"/>
      <c r="AS2303" s="333"/>
      <c r="AT2303" s="333"/>
      <c r="AU2303" s="329"/>
      <c r="AV2303" s="341"/>
      <c r="AW2303" s="269"/>
      <c r="AX2303" s="334" t="s">
        <v>2869</v>
      </c>
      <c r="AY2303" s="270" t="s">
        <v>695</v>
      </c>
      <c r="AZ2303" s="173" t="s">
        <v>5516</v>
      </c>
      <c r="BA2303" s="265">
        <v>10.0</v>
      </c>
      <c r="BB2303" s="174" t="s">
        <v>245</v>
      </c>
      <c r="BC2303" s="341"/>
      <c r="BD2303" s="308"/>
      <c r="BE2303" s="342"/>
      <c r="BF2303" s="274" t="str">
        <f>IFERROR(__xludf.DUMMYFUNCTION("LOWER(Regexreplace(to_text(E2303),""[^A-Za-z0-9]"","""")&amp;""_""&amp;Regexreplace(to_text(F2303),""[^A-Za-z0-9]"",""""))"),"neptronic_evcbseries")</f>
        <v>neptronic_evcbseries</v>
      </c>
      <c r="BG2303" s="275" t="str">
        <f>IFERROR(__xludf.DUMMYFUNCTION("upper(Regexreplace(to_text(E2303),""[^A-Za-z0-9]"","""")&amp;""-""&amp;Regexreplace(to_text(F2303),""[^A-Za-z0-9]"",""""))"),"NEPTRONIC-EVCBSERIES")</f>
        <v>NEPTRONIC-EVCBSERIES</v>
      </c>
    </row>
    <row r="2304" ht="30.0" customHeight="1">
      <c r="A2304" s="258">
        <v>2296.0</v>
      </c>
      <c r="B2304" s="328" t="s">
        <v>670</v>
      </c>
      <c r="C2304" s="257" t="s">
        <v>7837</v>
      </c>
      <c r="D2304" s="173" t="s">
        <v>7837</v>
      </c>
      <c r="E2304" s="174" t="s">
        <v>2861</v>
      </c>
      <c r="F2304" s="173" t="s">
        <v>2862</v>
      </c>
      <c r="G2304" s="328" t="s">
        <v>673</v>
      </c>
      <c r="H2304" s="328" t="s">
        <v>2863</v>
      </c>
      <c r="I2304" s="258" t="s">
        <v>2864</v>
      </c>
      <c r="J2304" s="259" t="s">
        <v>1453</v>
      </c>
      <c r="K2304" s="260"/>
      <c r="L2304" s="363"/>
      <c r="M2304" s="329"/>
      <c r="N2304" s="173" t="s">
        <v>679</v>
      </c>
      <c r="O2304" s="173"/>
      <c r="P2304" s="262" t="str">
        <f t="shared" si="1"/>
        <v>IN-BLR-ANANTA-VAV-1876_11</v>
      </c>
      <c r="Q2304" s="173" t="s">
        <v>7838</v>
      </c>
      <c r="R2304" s="328" t="str">
        <f>IFS(C2304="","",C2304="n/a","N/A",LEN(C2304),Concatenate("{",char(34),"asset",char(34),":{",char(34),"guid",char(34),":",char(34),Q2304,char(34),",",char(34),"site",char(34),":",char(34),LOWER('2-Building'!$B$4),char(34),",",char(34),"name",char(34),":",char(34),LOWER(C2304),char(34),"}}"))</f>
        <v>{"asset":{"guid":"uuid://857e7fd0-340d-4b11-bb61-162c11c5f7f1","site":"in-blr-ananta","name":"vav-1876"}}</v>
      </c>
      <c r="S2304" s="333"/>
      <c r="T2304" s="330"/>
      <c r="U2304" s="330"/>
      <c r="V2304" s="331"/>
      <c r="W2304" s="332"/>
      <c r="X2304" s="333"/>
      <c r="Y2304" s="33" t="s">
        <v>2867</v>
      </c>
      <c r="Z2304" s="258">
        <v>121876.0</v>
      </c>
      <c r="AA2304" s="333"/>
      <c r="AB2304" s="333"/>
      <c r="AC2304" s="333"/>
      <c r="AD2304" s="329"/>
      <c r="AE2304" s="362" t="s">
        <v>685</v>
      </c>
      <c r="AF2304" s="336"/>
      <c r="AG2304" s="337"/>
      <c r="AH2304" s="333"/>
      <c r="AI2304" s="333"/>
      <c r="AJ2304" s="333"/>
      <c r="AK2304" s="328" t="s">
        <v>2445</v>
      </c>
      <c r="AL2304" s="328" t="s">
        <v>688</v>
      </c>
      <c r="AM2304" s="338"/>
      <c r="AN2304" s="333"/>
      <c r="AO2304" s="333"/>
      <c r="AP2304" s="333"/>
      <c r="AQ2304" s="333"/>
      <c r="AR2304" s="333"/>
      <c r="AS2304" s="333"/>
      <c r="AT2304" s="333"/>
      <c r="AU2304" s="329"/>
      <c r="AV2304" s="341"/>
      <c r="AW2304" s="269"/>
      <c r="AX2304" s="334" t="s">
        <v>2869</v>
      </c>
      <c r="AY2304" s="270" t="s">
        <v>695</v>
      </c>
      <c r="AZ2304" s="173" t="s">
        <v>5516</v>
      </c>
      <c r="BA2304" s="265">
        <v>10.0</v>
      </c>
      <c r="BB2304" s="174" t="s">
        <v>245</v>
      </c>
      <c r="BC2304" s="341"/>
      <c r="BD2304" s="308"/>
      <c r="BE2304" s="342"/>
      <c r="BF2304" s="274" t="str">
        <f>IFERROR(__xludf.DUMMYFUNCTION("LOWER(Regexreplace(to_text(E2304),""[^A-Za-z0-9]"","""")&amp;""_""&amp;Regexreplace(to_text(F2304),""[^A-Za-z0-9]"",""""))"),"neptronic_evcbseries")</f>
        <v>neptronic_evcbseries</v>
      </c>
      <c r="BG2304" s="275" t="str">
        <f>IFERROR(__xludf.DUMMYFUNCTION("upper(Regexreplace(to_text(E2304),""[^A-Za-z0-9]"","""")&amp;""-""&amp;Regexreplace(to_text(F2304),""[^A-Za-z0-9]"",""""))"),"NEPTRONIC-EVCBSERIES")</f>
        <v>NEPTRONIC-EVCBSERIES</v>
      </c>
    </row>
    <row r="2305" ht="30.0" customHeight="1">
      <c r="A2305" s="173">
        <v>2297.0</v>
      </c>
      <c r="B2305" s="328" t="s">
        <v>670</v>
      </c>
      <c r="C2305" s="257" t="s">
        <v>7839</v>
      </c>
      <c r="D2305" s="173" t="s">
        <v>7839</v>
      </c>
      <c r="E2305" s="174" t="s">
        <v>2861</v>
      </c>
      <c r="F2305" s="173" t="s">
        <v>2862</v>
      </c>
      <c r="G2305" s="328" t="s">
        <v>673</v>
      </c>
      <c r="H2305" s="328" t="s">
        <v>2863</v>
      </c>
      <c r="I2305" s="258" t="s">
        <v>2864</v>
      </c>
      <c r="J2305" s="259" t="s">
        <v>1453</v>
      </c>
      <c r="K2305" s="260"/>
      <c r="L2305" s="363"/>
      <c r="M2305" s="329"/>
      <c r="N2305" s="173" t="s">
        <v>679</v>
      </c>
      <c r="O2305" s="173"/>
      <c r="P2305" s="262" t="str">
        <f t="shared" si="1"/>
        <v>IN-BLR-ANANTA-VAV-1877_11</v>
      </c>
      <c r="Q2305" s="173" t="s">
        <v>7840</v>
      </c>
      <c r="R2305" s="328" t="str">
        <f>IFS(C2305="","",C2305="n/a","N/A",LEN(C2305),Concatenate("{",char(34),"asset",char(34),":{",char(34),"guid",char(34),":",char(34),Q2305,char(34),",",char(34),"site",char(34),":",char(34),LOWER('2-Building'!$B$4),char(34),",",char(34),"name",char(34),":",char(34),LOWER(C2305),char(34),"}}"))</f>
        <v>{"asset":{"guid":"uuid://fb5b6abe-16de-473c-8ead-1f489359cdf6","site":"in-blr-ananta","name":"vav-1877"}}</v>
      </c>
      <c r="S2305" s="333"/>
      <c r="T2305" s="330"/>
      <c r="U2305" s="330"/>
      <c r="V2305" s="331"/>
      <c r="W2305" s="332"/>
      <c r="X2305" s="333"/>
      <c r="Y2305" s="33" t="s">
        <v>2867</v>
      </c>
      <c r="Z2305" s="258">
        <v>121877.0</v>
      </c>
      <c r="AA2305" s="333"/>
      <c r="AB2305" s="333"/>
      <c r="AC2305" s="333"/>
      <c r="AD2305" s="329"/>
      <c r="AE2305" s="362" t="s">
        <v>685</v>
      </c>
      <c r="AF2305" s="336"/>
      <c r="AG2305" s="337"/>
      <c r="AH2305" s="333"/>
      <c r="AI2305" s="333"/>
      <c r="AJ2305" s="333"/>
      <c r="AK2305" s="328" t="s">
        <v>2450</v>
      </c>
      <c r="AL2305" s="328" t="s">
        <v>688</v>
      </c>
      <c r="AM2305" s="338"/>
      <c r="AN2305" s="333"/>
      <c r="AO2305" s="333"/>
      <c r="AP2305" s="333"/>
      <c r="AQ2305" s="333"/>
      <c r="AR2305" s="333"/>
      <c r="AS2305" s="333"/>
      <c r="AT2305" s="333"/>
      <c r="AU2305" s="329"/>
      <c r="AV2305" s="341"/>
      <c r="AW2305" s="269"/>
      <c r="AX2305" s="334" t="s">
        <v>2869</v>
      </c>
      <c r="AY2305" s="270" t="s">
        <v>695</v>
      </c>
      <c r="AZ2305" s="173" t="s">
        <v>5516</v>
      </c>
      <c r="BA2305" s="265">
        <v>10.0</v>
      </c>
      <c r="BB2305" s="174" t="s">
        <v>245</v>
      </c>
      <c r="BC2305" s="341"/>
      <c r="BD2305" s="308"/>
      <c r="BE2305" s="342"/>
      <c r="BF2305" s="274" t="str">
        <f>IFERROR(__xludf.DUMMYFUNCTION("LOWER(Regexreplace(to_text(E2305),""[^A-Za-z0-9]"","""")&amp;""_""&amp;Regexreplace(to_text(F2305),""[^A-Za-z0-9]"",""""))"),"neptronic_evcbseries")</f>
        <v>neptronic_evcbseries</v>
      </c>
      <c r="BG2305" s="275" t="str">
        <f>IFERROR(__xludf.DUMMYFUNCTION("upper(Regexreplace(to_text(E2305),""[^A-Za-z0-9]"","""")&amp;""-""&amp;Regexreplace(to_text(F2305),""[^A-Za-z0-9]"",""""))"),"NEPTRONIC-EVCBSERIES")</f>
        <v>NEPTRONIC-EVCBSERIES</v>
      </c>
    </row>
    <row r="2306" ht="30.0" customHeight="1">
      <c r="A2306" s="258">
        <v>2298.0</v>
      </c>
      <c r="B2306" s="328" t="s">
        <v>670</v>
      </c>
      <c r="C2306" s="257" t="s">
        <v>7841</v>
      </c>
      <c r="D2306" s="173" t="s">
        <v>7841</v>
      </c>
      <c r="E2306" s="174" t="s">
        <v>2861</v>
      </c>
      <c r="F2306" s="173" t="s">
        <v>2862</v>
      </c>
      <c r="G2306" s="328" t="s">
        <v>673</v>
      </c>
      <c r="H2306" s="328" t="s">
        <v>2863</v>
      </c>
      <c r="I2306" s="258" t="s">
        <v>2864</v>
      </c>
      <c r="J2306" s="259" t="s">
        <v>1453</v>
      </c>
      <c r="K2306" s="260"/>
      <c r="L2306" s="363"/>
      <c r="M2306" s="329"/>
      <c r="N2306" s="173" t="s">
        <v>679</v>
      </c>
      <c r="O2306" s="173"/>
      <c r="P2306" s="262" t="str">
        <f t="shared" si="1"/>
        <v>IN-BLR-ANANTA-VAV-1878_11</v>
      </c>
      <c r="Q2306" s="173" t="s">
        <v>7842</v>
      </c>
      <c r="R2306" s="328" t="str">
        <f>IFS(C2306="","",C2306="n/a","N/A",LEN(C2306),Concatenate("{",char(34),"asset",char(34),":{",char(34),"guid",char(34),":",char(34),Q2306,char(34),",",char(34),"site",char(34),":",char(34),LOWER('2-Building'!$B$4),char(34),",",char(34),"name",char(34),":",char(34),LOWER(C2306),char(34),"}}"))</f>
        <v>{"asset":{"guid":"uuid://afe8c39a-f645-4f1d-837c-72857819486a","site":"in-blr-ananta","name":"vav-1878"}}</v>
      </c>
      <c r="S2306" s="333"/>
      <c r="T2306" s="330"/>
      <c r="U2306" s="330"/>
      <c r="V2306" s="331"/>
      <c r="W2306" s="332"/>
      <c r="X2306" s="333"/>
      <c r="Y2306" s="33" t="s">
        <v>2867</v>
      </c>
      <c r="Z2306" s="258">
        <v>121878.0</v>
      </c>
      <c r="AA2306" s="333"/>
      <c r="AB2306" s="333"/>
      <c r="AC2306" s="333"/>
      <c r="AD2306" s="329"/>
      <c r="AE2306" s="362" t="s">
        <v>685</v>
      </c>
      <c r="AF2306" s="336"/>
      <c r="AG2306" s="337"/>
      <c r="AH2306" s="333"/>
      <c r="AI2306" s="333"/>
      <c r="AJ2306" s="333"/>
      <c r="AK2306" s="333"/>
      <c r="AL2306" s="328" t="s">
        <v>688</v>
      </c>
      <c r="AM2306" s="338"/>
      <c r="AN2306" s="333"/>
      <c r="AO2306" s="333"/>
      <c r="AP2306" s="333"/>
      <c r="AQ2306" s="333"/>
      <c r="AR2306" s="333"/>
      <c r="AS2306" s="333"/>
      <c r="AT2306" s="333"/>
      <c r="AU2306" s="329"/>
      <c r="AV2306" s="341"/>
      <c r="AW2306" s="269"/>
      <c r="AX2306" s="334" t="s">
        <v>2869</v>
      </c>
      <c r="AY2306" s="270" t="s">
        <v>695</v>
      </c>
      <c r="AZ2306" s="173" t="s">
        <v>5516</v>
      </c>
      <c r="BA2306" s="265">
        <v>10.0</v>
      </c>
      <c r="BB2306" s="174" t="s">
        <v>245</v>
      </c>
      <c r="BC2306" s="341"/>
      <c r="BD2306" s="308"/>
      <c r="BE2306" s="342"/>
      <c r="BF2306" s="274" t="str">
        <f>IFERROR(__xludf.DUMMYFUNCTION("LOWER(Regexreplace(to_text(E2306),""[^A-Za-z0-9]"","""")&amp;""_""&amp;Regexreplace(to_text(F2306),""[^A-Za-z0-9]"",""""))"),"neptronic_evcbseries")</f>
        <v>neptronic_evcbseries</v>
      </c>
      <c r="BG2306" s="275" t="str">
        <f>IFERROR(__xludf.DUMMYFUNCTION("upper(Regexreplace(to_text(E2306),""[^A-Za-z0-9]"","""")&amp;""-""&amp;Regexreplace(to_text(F2306),""[^A-Za-z0-9]"",""""))"),"NEPTRONIC-EVCBSERIES")</f>
        <v>NEPTRONIC-EVCBSERIES</v>
      </c>
    </row>
    <row r="2307" ht="30.0" customHeight="1">
      <c r="A2307" s="173">
        <v>2299.0</v>
      </c>
      <c r="B2307" s="328" t="s">
        <v>670</v>
      </c>
      <c r="C2307" s="257" t="s">
        <v>7843</v>
      </c>
      <c r="D2307" s="173" t="s">
        <v>7843</v>
      </c>
      <c r="E2307" s="174" t="s">
        <v>2861</v>
      </c>
      <c r="F2307" s="173" t="s">
        <v>2862</v>
      </c>
      <c r="G2307" s="328" t="s">
        <v>673</v>
      </c>
      <c r="H2307" s="328" t="s">
        <v>2863</v>
      </c>
      <c r="I2307" s="258" t="s">
        <v>2864</v>
      </c>
      <c r="J2307" s="259" t="s">
        <v>1453</v>
      </c>
      <c r="K2307" s="260"/>
      <c r="L2307" s="363"/>
      <c r="M2307" s="329"/>
      <c r="N2307" s="173" t="s">
        <v>679</v>
      </c>
      <c r="O2307" s="173"/>
      <c r="P2307" s="262" t="str">
        <f t="shared" si="1"/>
        <v>IN-BLR-ANANTA-VAV-1879_11</v>
      </c>
      <c r="Q2307" s="173" t="s">
        <v>7844</v>
      </c>
      <c r="R2307" s="328" t="str">
        <f>IFS(C2307="","",C2307="n/a","N/A",LEN(C2307),Concatenate("{",char(34),"asset",char(34),":{",char(34),"guid",char(34),":",char(34),Q2307,char(34),",",char(34),"site",char(34),":",char(34),LOWER('2-Building'!$B$4),char(34),",",char(34),"name",char(34),":",char(34),LOWER(C2307),char(34),"}}"))</f>
        <v>{"asset":{"guid":"uuid://b116c83c-a2fd-4672-9e98-aee74ecd576e","site":"in-blr-ananta","name":"vav-1879"}}</v>
      </c>
      <c r="S2307" s="333"/>
      <c r="T2307" s="330"/>
      <c r="U2307" s="330"/>
      <c r="V2307" s="331"/>
      <c r="W2307" s="332"/>
      <c r="X2307" s="333"/>
      <c r="Y2307" s="33" t="s">
        <v>2867</v>
      </c>
      <c r="Z2307" s="258">
        <v>121879.0</v>
      </c>
      <c r="AA2307" s="333"/>
      <c r="AB2307" s="333"/>
      <c r="AC2307" s="333"/>
      <c r="AD2307" s="329"/>
      <c r="AE2307" s="362" t="s">
        <v>685</v>
      </c>
      <c r="AF2307" s="336"/>
      <c r="AG2307" s="337"/>
      <c r="AH2307" s="333"/>
      <c r="AI2307" s="333"/>
      <c r="AJ2307" s="333"/>
      <c r="AK2307" s="328" t="s">
        <v>2460</v>
      </c>
      <c r="AL2307" s="328" t="s">
        <v>688</v>
      </c>
      <c r="AM2307" s="338"/>
      <c r="AN2307" s="333"/>
      <c r="AO2307" s="333"/>
      <c r="AP2307" s="333"/>
      <c r="AQ2307" s="333"/>
      <c r="AR2307" s="333"/>
      <c r="AS2307" s="333"/>
      <c r="AT2307" s="333"/>
      <c r="AU2307" s="329"/>
      <c r="AV2307" s="341"/>
      <c r="AW2307" s="269"/>
      <c r="AX2307" s="334" t="s">
        <v>2869</v>
      </c>
      <c r="AY2307" s="270" t="s">
        <v>695</v>
      </c>
      <c r="AZ2307" s="173" t="s">
        <v>5516</v>
      </c>
      <c r="BA2307" s="265">
        <v>10.0</v>
      </c>
      <c r="BB2307" s="174" t="s">
        <v>245</v>
      </c>
      <c r="BC2307" s="341"/>
      <c r="BD2307" s="308"/>
      <c r="BE2307" s="342"/>
      <c r="BF2307" s="274" t="str">
        <f>IFERROR(__xludf.DUMMYFUNCTION("LOWER(Regexreplace(to_text(E2307),""[^A-Za-z0-9]"","""")&amp;""_""&amp;Regexreplace(to_text(F2307),""[^A-Za-z0-9]"",""""))"),"neptronic_evcbseries")</f>
        <v>neptronic_evcbseries</v>
      </c>
      <c r="BG2307" s="275" t="str">
        <f>IFERROR(__xludf.DUMMYFUNCTION("upper(Regexreplace(to_text(E2307),""[^A-Za-z0-9]"","""")&amp;""-""&amp;Regexreplace(to_text(F2307),""[^A-Za-z0-9]"",""""))"),"NEPTRONIC-EVCBSERIES")</f>
        <v>NEPTRONIC-EVCBSERIES</v>
      </c>
    </row>
    <row r="2308" ht="30.0" customHeight="1">
      <c r="A2308" s="258">
        <v>2300.0</v>
      </c>
      <c r="B2308" s="328" t="s">
        <v>670</v>
      </c>
      <c r="C2308" s="257" t="s">
        <v>7845</v>
      </c>
      <c r="D2308" s="173" t="s">
        <v>7845</v>
      </c>
      <c r="E2308" s="174" t="s">
        <v>2861</v>
      </c>
      <c r="F2308" s="173" t="s">
        <v>2862</v>
      </c>
      <c r="G2308" s="328" t="s">
        <v>673</v>
      </c>
      <c r="H2308" s="328" t="s">
        <v>2863</v>
      </c>
      <c r="I2308" s="258" t="s">
        <v>2864</v>
      </c>
      <c r="J2308" s="259" t="s">
        <v>1453</v>
      </c>
      <c r="K2308" s="260"/>
      <c r="L2308" s="363"/>
      <c r="M2308" s="329"/>
      <c r="N2308" s="173" t="s">
        <v>679</v>
      </c>
      <c r="O2308" s="173"/>
      <c r="P2308" s="262" t="str">
        <f t="shared" si="1"/>
        <v>IN-BLR-ANANTA-VAV-1880_11</v>
      </c>
      <c r="Q2308" s="173" t="s">
        <v>7846</v>
      </c>
      <c r="R2308" s="328" t="str">
        <f>IFS(C2308="","",C2308="n/a","N/A",LEN(C2308),Concatenate("{",char(34),"asset",char(34),":{",char(34),"guid",char(34),":",char(34),Q2308,char(34),",",char(34),"site",char(34),":",char(34),LOWER('2-Building'!$B$4),char(34),",",char(34),"name",char(34),":",char(34),LOWER(C2308),char(34),"}}"))</f>
        <v>{"asset":{"guid":"uuid://19c228a9-615f-4e80-93cf-a4d66147722c","site":"in-blr-ananta","name":"vav-1880"}}</v>
      </c>
      <c r="S2308" s="333"/>
      <c r="T2308" s="330"/>
      <c r="U2308" s="330"/>
      <c r="V2308" s="331"/>
      <c r="W2308" s="332"/>
      <c r="X2308" s="333"/>
      <c r="Y2308" s="33" t="s">
        <v>2867</v>
      </c>
      <c r="Z2308" s="258">
        <v>121880.0</v>
      </c>
      <c r="AA2308" s="333"/>
      <c r="AB2308" s="333"/>
      <c r="AC2308" s="333"/>
      <c r="AD2308" s="329"/>
      <c r="AE2308" s="362" t="s">
        <v>685</v>
      </c>
      <c r="AF2308" s="336"/>
      <c r="AG2308" s="337"/>
      <c r="AH2308" s="333"/>
      <c r="AI2308" s="333"/>
      <c r="AJ2308" s="333"/>
      <c r="AK2308" s="328" t="s">
        <v>2465</v>
      </c>
      <c r="AL2308" s="328" t="s">
        <v>688</v>
      </c>
      <c r="AM2308" s="338"/>
      <c r="AN2308" s="333"/>
      <c r="AO2308" s="333"/>
      <c r="AP2308" s="333"/>
      <c r="AQ2308" s="333"/>
      <c r="AR2308" s="333"/>
      <c r="AS2308" s="333"/>
      <c r="AT2308" s="333"/>
      <c r="AU2308" s="329"/>
      <c r="AV2308" s="341"/>
      <c r="AW2308" s="269"/>
      <c r="AX2308" s="334" t="s">
        <v>2869</v>
      </c>
      <c r="AY2308" s="270" t="s">
        <v>695</v>
      </c>
      <c r="AZ2308" s="173" t="s">
        <v>5516</v>
      </c>
      <c r="BA2308" s="265">
        <v>10.0</v>
      </c>
      <c r="BB2308" s="174" t="s">
        <v>245</v>
      </c>
      <c r="BC2308" s="341"/>
      <c r="BD2308" s="308"/>
      <c r="BE2308" s="342"/>
      <c r="BF2308" s="274" t="str">
        <f>IFERROR(__xludf.DUMMYFUNCTION("LOWER(Regexreplace(to_text(E2308),""[^A-Za-z0-9]"","""")&amp;""_""&amp;Regexreplace(to_text(F2308),""[^A-Za-z0-9]"",""""))"),"neptronic_evcbseries")</f>
        <v>neptronic_evcbseries</v>
      </c>
      <c r="BG2308" s="275" t="str">
        <f>IFERROR(__xludf.DUMMYFUNCTION("upper(Regexreplace(to_text(E2308),""[^A-Za-z0-9]"","""")&amp;""-""&amp;Regexreplace(to_text(F2308),""[^A-Za-z0-9]"",""""))"),"NEPTRONIC-EVCBSERIES")</f>
        <v>NEPTRONIC-EVCBSERIES</v>
      </c>
    </row>
    <row r="2309" ht="30.0" customHeight="1">
      <c r="A2309" s="173">
        <v>2301.0</v>
      </c>
      <c r="B2309" s="328" t="s">
        <v>670</v>
      </c>
      <c r="C2309" s="257" t="s">
        <v>7847</v>
      </c>
      <c r="D2309" s="173" t="s">
        <v>7847</v>
      </c>
      <c r="E2309" s="174" t="s">
        <v>2861</v>
      </c>
      <c r="F2309" s="173" t="s">
        <v>2862</v>
      </c>
      <c r="G2309" s="328" t="s">
        <v>673</v>
      </c>
      <c r="H2309" s="328" t="s">
        <v>2863</v>
      </c>
      <c r="I2309" s="258" t="s">
        <v>2864</v>
      </c>
      <c r="J2309" s="259" t="s">
        <v>1453</v>
      </c>
      <c r="K2309" s="260"/>
      <c r="L2309" s="363"/>
      <c r="M2309" s="329"/>
      <c r="N2309" s="173" t="s">
        <v>679</v>
      </c>
      <c r="O2309" s="173"/>
      <c r="P2309" s="262" t="str">
        <f t="shared" si="1"/>
        <v>IN-BLR-ANANTA-VAV-1881_11</v>
      </c>
      <c r="Q2309" s="173" t="s">
        <v>7848</v>
      </c>
      <c r="R2309" s="328" t="str">
        <f>IFS(C2309="","",C2309="n/a","N/A",LEN(C2309),Concatenate("{",char(34),"asset",char(34),":{",char(34),"guid",char(34),":",char(34),Q2309,char(34),",",char(34),"site",char(34),":",char(34),LOWER('2-Building'!$B$4),char(34),",",char(34),"name",char(34),":",char(34),LOWER(C2309),char(34),"}}"))</f>
        <v>{"asset":{"guid":"uuid://c280e9bb-c00d-4e4e-ba69-a46b09c92c4d","site":"in-blr-ananta","name":"vav-1881"}}</v>
      </c>
      <c r="S2309" s="333"/>
      <c r="T2309" s="330"/>
      <c r="U2309" s="330"/>
      <c r="V2309" s="331"/>
      <c r="W2309" s="332"/>
      <c r="X2309" s="333"/>
      <c r="Y2309" s="33" t="s">
        <v>2867</v>
      </c>
      <c r="Z2309" s="258">
        <v>121881.0</v>
      </c>
      <c r="AA2309" s="333"/>
      <c r="AB2309" s="333"/>
      <c r="AC2309" s="333"/>
      <c r="AD2309" s="329"/>
      <c r="AE2309" s="362" t="s">
        <v>685</v>
      </c>
      <c r="AF2309" s="336"/>
      <c r="AG2309" s="337"/>
      <c r="AH2309" s="333"/>
      <c r="AI2309" s="333"/>
      <c r="AJ2309" s="333"/>
      <c r="AK2309" s="328" t="s">
        <v>2470</v>
      </c>
      <c r="AL2309" s="328" t="s">
        <v>688</v>
      </c>
      <c r="AM2309" s="338"/>
      <c r="AN2309" s="333"/>
      <c r="AO2309" s="333"/>
      <c r="AP2309" s="333"/>
      <c r="AQ2309" s="333"/>
      <c r="AR2309" s="333"/>
      <c r="AS2309" s="333"/>
      <c r="AT2309" s="333"/>
      <c r="AU2309" s="329"/>
      <c r="AV2309" s="341"/>
      <c r="AW2309" s="269"/>
      <c r="AX2309" s="334" t="s">
        <v>2869</v>
      </c>
      <c r="AY2309" s="270" t="s">
        <v>695</v>
      </c>
      <c r="AZ2309" s="173" t="s">
        <v>5516</v>
      </c>
      <c r="BA2309" s="265">
        <v>10.0</v>
      </c>
      <c r="BB2309" s="174" t="s">
        <v>245</v>
      </c>
      <c r="BC2309" s="341"/>
      <c r="BD2309" s="308"/>
      <c r="BE2309" s="342"/>
      <c r="BF2309" s="274" t="str">
        <f>IFERROR(__xludf.DUMMYFUNCTION("LOWER(Regexreplace(to_text(E2309),""[^A-Za-z0-9]"","""")&amp;""_""&amp;Regexreplace(to_text(F2309),""[^A-Za-z0-9]"",""""))"),"neptronic_evcbseries")</f>
        <v>neptronic_evcbseries</v>
      </c>
      <c r="BG2309" s="275" t="str">
        <f>IFERROR(__xludf.DUMMYFUNCTION("upper(Regexreplace(to_text(E2309),""[^A-Za-z0-9]"","""")&amp;""-""&amp;Regexreplace(to_text(F2309),""[^A-Za-z0-9]"",""""))"),"NEPTRONIC-EVCBSERIES")</f>
        <v>NEPTRONIC-EVCBSERIES</v>
      </c>
    </row>
    <row r="2310" ht="30.0" customHeight="1">
      <c r="A2310" s="258">
        <v>2302.0</v>
      </c>
      <c r="B2310" s="328" t="s">
        <v>670</v>
      </c>
      <c r="C2310" s="257" t="s">
        <v>7849</v>
      </c>
      <c r="D2310" s="173" t="s">
        <v>7849</v>
      </c>
      <c r="E2310" s="174" t="s">
        <v>2861</v>
      </c>
      <c r="F2310" s="173" t="s">
        <v>2862</v>
      </c>
      <c r="G2310" s="328" t="s">
        <v>673</v>
      </c>
      <c r="H2310" s="328" t="s">
        <v>2863</v>
      </c>
      <c r="I2310" s="258" t="s">
        <v>2864</v>
      </c>
      <c r="J2310" s="259" t="s">
        <v>1453</v>
      </c>
      <c r="K2310" s="260"/>
      <c r="L2310" s="363"/>
      <c r="M2310" s="329"/>
      <c r="N2310" s="173" t="s">
        <v>679</v>
      </c>
      <c r="O2310" s="173"/>
      <c r="P2310" s="262" t="str">
        <f t="shared" si="1"/>
        <v>IN-BLR-ANANTA-VAV-1882_11</v>
      </c>
      <c r="Q2310" s="173" t="s">
        <v>7850</v>
      </c>
      <c r="R2310" s="328" t="str">
        <f>IFS(C2310="","",C2310="n/a","N/A",LEN(C2310),Concatenate("{",char(34),"asset",char(34),":{",char(34),"guid",char(34),":",char(34),Q2310,char(34),",",char(34),"site",char(34),":",char(34),LOWER('2-Building'!$B$4),char(34),",",char(34),"name",char(34),":",char(34),LOWER(C2310),char(34),"}}"))</f>
        <v>{"asset":{"guid":"uuid://ed1cc254-e8e6-4597-a664-ee8bc5ce3c0a","site":"in-blr-ananta","name":"vav-1882"}}</v>
      </c>
      <c r="S2310" s="333"/>
      <c r="T2310" s="330"/>
      <c r="U2310" s="330"/>
      <c r="V2310" s="331"/>
      <c r="W2310" s="332"/>
      <c r="X2310" s="333"/>
      <c r="Y2310" s="33" t="s">
        <v>2867</v>
      </c>
      <c r="Z2310" s="258">
        <v>121882.0</v>
      </c>
      <c r="AA2310" s="333"/>
      <c r="AB2310" s="333"/>
      <c r="AC2310" s="333"/>
      <c r="AD2310" s="329"/>
      <c r="AE2310" s="362" t="s">
        <v>685</v>
      </c>
      <c r="AF2310" s="336"/>
      <c r="AG2310" s="337"/>
      <c r="AH2310" s="333"/>
      <c r="AI2310" s="333"/>
      <c r="AJ2310" s="333"/>
      <c r="AK2310" s="328" t="s">
        <v>2475</v>
      </c>
      <c r="AL2310" s="328" t="s">
        <v>688</v>
      </c>
      <c r="AM2310" s="338"/>
      <c r="AN2310" s="333"/>
      <c r="AO2310" s="333"/>
      <c r="AP2310" s="333"/>
      <c r="AQ2310" s="333"/>
      <c r="AR2310" s="333"/>
      <c r="AS2310" s="333"/>
      <c r="AT2310" s="333"/>
      <c r="AU2310" s="329"/>
      <c r="AV2310" s="341"/>
      <c r="AW2310" s="269"/>
      <c r="AX2310" s="334" t="s">
        <v>2869</v>
      </c>
      <c r="AY2310" s="270" t="s">
        <v>695</v>
      </c>
      <c r="AZ2310" s="173" t="s">
        <v>5516</v>
      </c>
      <c r="BA2310" s="265">
        <v>10.0</v>
      </c>
      <c r="BB2310" s="174" t="s">
        <v>245</v>
      </c>
      <c r="BC2310" s="341"/>
      <c r="BD2310" s="308"/>
      <c r="BE2310" s="342"/>
      <c r="BF2310" s="274" t="str">
        <f>IFERROR(__xludf.DUMMYFUNCTION("LOWER(Regexreplace(to_text(E2310),""[^A-Za-z0-9]"","""")&amp;""_""&amp;Regexreplace(to_text(F2310),""[^A-Za-z0-9]"",""""))"),"neptronic_evcbseries")</f>
        <v>neptronic_evcbseries</v>
      </c>
      <c r="BG2310" s="275" t="str">
        <f>IFERROR(__xludf.DUMMYFUNCTION("upper(Regexreplace(to_text(E2310),""[^A-Za-z0-9]"","""")&amp;""-""&amp;Regexreplace(to_text(F2310),""[^A-Za-z0-9]"",""""))"),"NEPTRONIC-EVCBSERIES")</f>
        <v>NEPTRONIC-EVCBSERIES</v>
      </c>
    </row>
    <row r="2311" ht="30.0" customHeight="1">
      <c r="A2311" s="173">
        <v>2303.0</v>
      </c>
      <c r="B2311" s="328" t="s">
        <v>670</v>
      </c>
      <c r="C2311" s="257" t="s">
        <v>7851</v>
      </c>
      <c r="D2311" s="173" t="s">
        <v>7851</v>
      </c>
      <c r="E2311" s="174" t="s">
        <v>2861</v>
      </c>
      <c r="F2311" s="173" t="s">
        <v>2862</v>
      </c>
      <c r="G2311" s="328" t="s">
        <v>673</v>
      </c>
      <c r="H2311" s="328" t="s">
        <v>2863</v>
      </c>
      <c r="I2311" s="258" t="s">
        <v>2864</v>
      </c>
      <c r="J2311" s="259" t="s">
        <v>1453</v>
      </c>
      <c r="K2311" s="260"/>
      <c r="L2311" s="363"/>
      <c r="M2311" s="329"/>
      <c r="N2311" s="173" t="s">
        <v>679</v>
      </c>
      <c r="O2311" s="173"/>
      <c r="P2311" s="262" t="str">
        <f t="shared" si="1"/>
        <v>IN-BLR-ANANTA-VAV-1883_11</v>
      </c>
      <c r="Q2311" s="173" t="s">
        <v>7852</v>
      </c>
      <c r="R2311" s="328" t="str">
        <f>IFS(C2311="","",C2311="n/a","N/A",LEN(C2311),Concatenate("{",char(34),"asset",char(34),":{",char(34),"guid",char(34),":",char(34),Q2311,char(34),",",char(34),"site",char(34),":",char(34),LOWER('2-Building'!$B$4),char(34),",",char(34),"name",char(34),":",char(34),LOWER(C2311),char(34),"}}"))</f>
        <v>{"asset":{"guid":"uuid://71d51803-fa18-4813-b27e-73d6f5c9c927","site":"in-blr-ananta","name":"vav-1883"}}</v>
      </c>
      <c r="S2311" s="333"/>
      <c r="T2311" s="330"/>
      <c r="U2311" s="330"/>
      <c r="V2311" s="331"/>
      <c r="W2311" s="332"/>
      <c r="X2311" s="333"/>
      <c r="Y2311" s="33" t="s">
        <v>2867</v>
      </c>
      <c r="Z2311" s="258">
        <v>121883.0</v>
      </c>
      <c r="AA2311" s="333"/>
      <c r="AB2311" s="333"/>
      <c r="AC2311" s="333"/>
      <c r="AD2311" s="329"/>
      <c r="AE2311" s="362" t="s">
        <v>685</v>
      </c>
      <c r="AF2311" s="336"/>
      <c r="AG2311" s="337"/>
      <c r="AH2311" s="333"/>
      <c r="AI2311" s="333"/>
      <c r="AJ2311" s="333"/>
      <c r="AK2311" s="328" t="s">
        <v>2480</v>
      </c>
      <c r="AL2311" s="328" t="s">
        <v>688</v>
      </c>
      <c r="AM2311" s="338"/>
      <c r="AN2311" s="333"/>
      <c r="AO2311" s="333"/>
      <c r="AP2311" s="333"/>
      <c r="AQ2311" s="333"/>
      <c r="AR2311" s="333"/>
      <c r="AS2311" s="333"/>
      <c r="AT2311" s="333"/>
      <c r="AU2311" s="329"/>
      <c r="AV2311" s="341"/>
      <c r="AW2311" s="269"/>
      <c r="AX2311" s="334" t="s">
        <v>2869</v>
      </c>
      <c r="AY2311" s="270" t="s">
        <v>695</v>
      </c>
      <c r="AZ2311" s="173" t="s">
        <v>5516</v>
      </c>
      <c r="BA2311" s="265">
        <v>10.0</v>
      </c>
      <c r="BB2311" s="174" t="s">
        <v>245</v>
      </c>
      <c r="BC2311" s="341"/>
      <c r="BD2311" s="308"/>
      <c r="BE2311" s="342"/>
      <c r="BF2311" s="274" t="str">
        <f>IFERROR(__xludf.DUMMYFUNCTION("LOWER(Regexreplace(to_text(E2311),""[^A-Za-z0-9]"","""")&amp;""_""&amp;Regexreplace(to_text(F2311),""[^A-Za-z0-9]"",""""))"),"neptronic_evcbseries")</f>
        <v>neptronic_evcbseries</v>
      </c>
      <c r="BG2311" s="275" t="str">
        <f>IFERROR(__xludf.DUMMYFUNCTION("upper(Regexreplace(to_text(E2311),""[^A-Za-z0-9]"","""")&amp;""-""&amp;Regexreplace(to_text(F2311),""[^A-Za-z0-9]"",""""))"),"NEPTRONIC-EVCBSERIES")</f>
        <v>NEPTRONIC-EVCBSERIES</v>
      </c>
    </row>
    <row r="2312" ht="30.0" customHeight="1">
      <c r="A2312" s="258">
        <v>2304.0</v>
      </c>
      <c r="B2312" s="328" t="s">
        <v>670</v>
      </c>
      <c r="C2312" s="257" t="s">
        <v>7853</v>
      </c>
      <c r="D2312" s="173" t="s">
        <v>7853</v>
      </c>
      <c r="E2312" s="174" t="s">
        <v>2861</v>
      </c>
      <c r="F2312" s="173" t="s">
        <v>2862</v>
      </c>
      <c r="G2312" s="328" t="s">
        <v>673</v>
      </c>
      <c r="H2312" s="328" t="s">
        <v>2863</v>
      </c>
      <c r="I2312" s="258" t="s">
        <v>2864</v>
      </c>
      <c r="J2312" s="259" t="s">
        <v>1453</v>
      </c>
      <c r="K2312" s="260"/>
      <c r="L2312" s="363"/>
      <c r="M2312" s="329"/>
      <c r="N2312" s="173" t="s">
        <v>679</v>
      </c>
      <c r="O2312" s="173"/>
      <c r="P2312" s="262" t="str">
        <f t="shared" si="1"/>
        <v>IN-BLR-ANANTA-VAV-1884_11</v>
      </c>
      <c r="Q2312" s="173" t="s">
        <v>7854</v>
      </c>
      <c r="R2312" s="328" t="str">
        <f>IFS(C2312="","",C2312="n/a","N/A",LEN(C2312),Concatenate("{",char(34),"asset",char(34),":{",char(34),"guid",char(34),":",char(34),Q2312,char(34),",",char(34),"site",char(34),":",char(34),LOWER('2-Building'!$B$4),char(34),",",char(34),"name",char(34),":",char(34),LOWER(C2312),char(34),"}}"))</f>
        <v>{"asset":{"guid":"uuid://0b3ac11c-8bdd-4aab-8979-e16e420a0594","site":"in-blr-ananta","name":"vav-1884"}}</v>
      </c>
      <c r="S2312" s="333"/>
      <c r="T2312" s="330"/>
      <c r="U2312" s="330"/>
      <c r="V2312" s="331"/>
      <c r="W2312" s="332"/>
      <c r="X2312" s="333"/>
      <c r="Y2312" s="33" t="s">
        <v>2867</v>
      </c>
      <c r="Z2312" s="258">
        <v>121884.0</v>
      </c>
      <c r="AA2312" s="333"/>
      <c r="AB2312" s="333"/>
      <c r="AC2312" s="333"/>
      <c r="AD2312" s="329"/>
      <c r="AE2312" s="362" t="s">
        <v>685</v>
      </c>
      <c r="AF2312" s="336"/>
      <c r="AG2312" s="337"/>
      <c r="AH2312" s="333"/>
      <c r="AI2312" s="333"/>
      <c r="AJ2312" s="333"/>
      <c r="AK2312" s="328" t="s">
        <v>2485</v>
      </c>
      <c r="AL2312" s="328" t="s">
        <v>688</v>
      </c>
      <c r="AM2312" s="338"/>
      <c r="AN2312" s="333"/>
      <c r="AO2312" s="333"/>
      <c r="AP2312" s="333"/>
      <c r="AQ2312" s="333"/>
      <c r="AR2312" s="333"/>
      <c r="AS2312" s="333"/>
      <c r="AT2312" s="333"/>
      <c r="AU2312" s="329"/>
      <c r="AV2312" s="341"/>
      <c r="AW2312" s="269"/>
      <c r="AX2312" s="334" t="s">
        <v>2869</v>
      </c>
      <c r="AY2312" s="270" t="s">
        <v>695</v>
      </c>
      <c r="AZ2312" s="173" t="s">
        <v>5516</v>
      </c>
      <c r="BA2312" s="265">
        <v>10.0</v>
      </c>
      <c r="BB2312" s="174" t="s">
        <v>245</v>
      </c>
      <c r="BC2312" s="341"/>
      <c r="BD2312" s="308"/>
      <c r="BE2312" s="342"/>
      <c r="BF2312" s="274" t="str">
        <f>IFERROR(__xludf.DUMMYFUNCTION("LOWER(Regexreplace(to_text(E2312),""[^A-Za-z0-9]"","""")&amp;""_""&amp;Regexreplace(to_text(F2312),""[^A-Za-z0-9]"",""""))"),"neptronic_evcbseries")</f>
        <v>neptronic_evcbseries</v>
      </c>
      <c r="BG2312" s="275" t="str">
        <f>IFERROR(__xludf.DUMMYFUNCTION("upper(Regexreplace(to_text(E2312),""[^A-Za-z0-9]"","""")&amp;""-""&amp;Regexreplace(to_text(F2312),""[^A-Za-z0-9]"",""""))"),"NEPTRONIC-EVCBSERIES")</f>
        <v>NEPTRONIC-EVCBSERIES</v>
      </c>
    </row>
    <row r="2313" ht="30.0" customHeight="1">
      <c r="A2313" s="173">
        <v>2305.0</v>
      </c>
      <c r="B2313" s="328" t="s">
        <v>670</v>
      </c>
      <c r="C2313" s="257" t="s">
        <v>7855</v>
      </c>
      <c r="D2313" s="173" t="s">
        <v>7855</v>
      </c>
      <c r="E2313" s="174" t="s">
        <v>2861</v>
      </c>
      <c r="F2313" s="173" t="s">
        <v>2862</v>
      </c>
      <c r="G2313" s="328" t="s">
        <v>673</v>
      </c>
      <c r="H2313" s="328" t="s">
        <v>2863</v>
      </c>
      <c r="I2313" s="258" t="s">
        <v>2864</v>
      </c>
      <c r="J2313" s="259" t="s">
        <v>1453</v>
      </c>
      <c r="K2313" s="260"/>
      <c r="L2313" s="363"/>
      <c r="M2313" s="329"/>
      <c r="N2313" s="173" t="s">
        <v>679</v>
      </c>
      <c r="O2313" s="173"/>
      <c r="P2313" s="262" t="str">
        <f t="shared" si="1"/>
        <v>IN-BLR-ANANTA-VAV-1885_11</v>
      </c>
      <c r="Q2313" s="173" t="s">
        <v>7856</v>
      </c>
      <c r="R2313" s="328" t="str">
        <f>IFS(C2313="","",C2313="n/a","N/A",LEN(C2313),Concatenate("{",char(34),"asset",char(34),":{",char(34),"guid",char(34),":",char(34),Q2313,char(34),",",char(34),"site",char(34),":",char(34),LOWER('2-Building'!$B$4),char(34),",",char(34),"name",char(34),":",char(34),LOWER(C2313),char(34),"}}"))</f>
        <v>{"asset":{"guid":"uuid://f5e8aaa0-f186-4fb9-9423-801261c42051","site":"in-blr-ananta","name":"vav-1885"}}</v>
      </c>
      <c r="S2313" s="333"/>
      <c r="T2313" s="330"/>
      <c r="U2313" s="330"/>
      <c r="V2313" s="331"/>
      <c r="W2313" s="332"/>
      <c r="X2313" s="333"/>
      <c r="Y2313" s="33" t="s">
        <v>2867</v>
      </c>
      <c r="Z2313" s="258">
        <v>121885.0</v>
      </c>
      <c r="AA2313" s="333"/>
      <c r="AB2313" s="333"/>
      <c r="AC2313" s="333"/>
      <c r="AD2313" s="329"/>
      <c r="AE2313" s="362" t="s">
        <v>685</v>
      </c>
      <c r="AF2313" s="336"/>
      <c r="AG2313" s="337"/>
      <c r="AH2313" s="333"/>
      <c r="AI2313" s="333"/>
      <c r="AJ2313" s="333"/>
      <c r="AK2313" s="328" t="s">
        <v>2490</v>
      </c>
      <c r="AL2313" s="328" t="s">
        <v>688</v>
      </c>
      <c r="AM2313" s="338"/>
      <c r="AN2313" s="333"/>
      <c r="AO2313" s="333"/>
      <c r="AP2313" s="333"/>
      <c r="AQ2313" s="333"/>
      <c r="AR2313" s="333"/>
      <c r="AS2313" s="333"/>
      <c r="AT2313" s="333"/>
      <c r="AU2313" s="329"/>
      <c r="AV2313" s="341"/>
      <c r="AW2313" s="269"/>
      <c r="AX2313" s="334" t="s">
        <v>2869</v>
      </c>
      <c r="AY2313" s="270" t="s">
        <v>695</v>
      </c>
      <c r="AZ2313" s="173" t="s">
        <v>5516</v>
      </c>
      <c r="BA2313" s="265">
        <v>10.0</v>
      </c>
      <c r="BB2313" s="174" t="s">
        <v>245</v>
      </c>
      <c r="BC2313" s="341"/>
      <c r="BD2313" s="308"/>
      <c r="BE2313" s="342"/>
      <c r="BF2313" s="274" t="str">
        <f>IFERROR(__xludf.DUMMYFUNCTION("LOWER(Regexreplace(to_text(E2313),""[^A-Za-z0-9]"","""")&amp;""_""&amp;Regexreplace(to_text(F2313),""[^A-Za-z0-9]"",""""))"),"neptronic_evcbseries")</f>
        <v>neptronic_evcbseries</v>
      </c>
      <c r="BG2313" s="275" t="str">
        <f>IFERROR(__xludf.DUMMYFUNCTION("upper(Regexreplace(to_text(E2313),""[^A-Za-z0-9]"","""")&amp;""-""&amp;Regexreplace(to_text(F2313),""[^A-Za-z0-9]"",""""))"),"NEPTRONIC-EVCBSERIES")</f>
        <v>NEPTRONIC-EVCBSERIES</v>
      </c>
    </row>
    <row r="2314" ht="30.0" customHeight="1">
      <c r="A2314" s="258">
        <v>2306.0</v>
      </c>
      <c r="B2314" s="328" t="s">
        <v>670</v>
      </c>
      <c r="C2314" s="257" t="s">
        <v>7857</v>
      </c>
      <c r="D2314" s="173" t="s">
        <v>7857</v>
      </c>
      <c r="E2314" s="174" t="s">
        <v>2861</v>
      </c>
      <c r="F2314" s="173" t="s">
        <v>2862</v>
      </c>
      <c r="G2314" s="328" t="s">
        <v>673</v>
      </c>
      <c r="H2314" s="328" t="s">
        <v>2863</v>
      </c>
      <c r="I2314" s="258" t="s">
        <v>2864</v>
      </c>
      <c r="J2314" s="259" t="s">
        <v>1453</v>
      </c>
      <c r="K2314" s="260"/>
      <c r="L2314" s="363"/>
      <c r="M2314" s="329"/>
      <c r="N2314" s="173" t="s">
        <v>679</v>
      </c>
      <c r="O2314" s="173"/>
      <c r="P2314" s="262" t="str">
        <f t="shared" si="1"/>
        <v>IN-BLR-ANANTA-VAV-1886_11</v>
      </c>
      <c r="Q2314" s="173" t="s">
        <v>7858</v>
      </c>
      <c r="R2314" s="328" t="str">
        <f>IFS(C2314="","",C2314="n/a","N/A",LEN(C2314),Concatenate("{",char(34),"asset",char(34),":{",char(34),"guid",char(34),":",char(34),Q2314,char(34),",",char(34),"site",char(34),":",char(34),LOWER('2-Building'!$B$4),char(34),",",char(34),"name",char(34),":",char(34),LOWER(C2314),char(34),"}}"))</f>
        <v>{"asset":{"guid":"uuid://12598981-5257-47d7-adeb-c1c39c7359a3","site":"in-blr-ananta","name":"vav-1886"}}</v>
      </c>
      <c r="S2314" s="333"/>
      <c r="T2314" s="330"/>
      <c r="U2314" s="330"/>
      <c r="V2314" s="331"/>
      <c r="W2314" s="332"/>
      <c r="X2314" s="333"/>
      <c r="Y2314" s="33" t="s">
        <v>2867</v>
      </c>
      <c r="Z2314" s="258">
        <v>121886.0</v>
      </c>
      <c r="AA2314" s="333"/>
      <c r="AB2314" s="333"/>
      <c r="AC2314" s="333"/>
      <c r="AD2314" s="329"/>
      <c r="AE2314" s="362" t="s">
        <v>685</v>
      </c>
      <c r="AF2314" s="336"/>
      <c r="AG2314" s="337"/>
      <c r="AH2314" s="333"/>
      <c r="AI2314" s="333"/>
      <c r="AJ2314" s="333"/>
      <c r="AK2314" s="328" t="s">
        <v>2495</v>
      </c>
      <c r="AL2314" s="328" t="s">
        <v>688</v>
      </c>
      <c r="AM2314" s="338"/>
      <c r="AN2314" s="333"/>
      <c r="AO2314" s="333"/>
      <c r="AP2314" s="333"/>
      <c r="AQ2314" s="333"/>
      <c r="AR2314" s="333"/>
      <c r="AS2314" s="333"/>
      <c r="AT2314" s="333"/>
      <c r="AU2314" s="329"/>
      <c r="AV2314" s="341"/>
      <c r="AW2314" s="269"/>
      <c r="AX2314" s="334" t="s">
        <v>2869</v>
      </c>
      <c r="AY2314" s="270" t="s">
        <v>695</v>
      </c>
      <c r="AZ2314" s="173" t="s">
        <v>5516</v>
      </c>
      <c r="BA2314" s="265">
        <v>10.0</v>
      </c>
      <c r="BB2314" s="174" t="s">
        <v>245</v>
      </c>
      <c r="BC2314" s="341"/>
      <c r="BD2314" s="308"/>
      <c r="BE2314" s="342"/>
      <c r="BF2314" s="274" t="str">
        <f>IFERROR(__xludf.DUMMYFUNCTION("LOWER(Regexreplace(to_text(E2314),""[^A-Za-z0-9]"","""")&amp;""_""&amp;Regexreplace(to_text(F2314),""[^A-Za-z0-9]"",""""))"),"neptronic_evcbseries")</f>
        <v>neptronic_evcbseries</v>
      </c>
      <c r="BG2314" s="275" t="str">
        <f>IFERROR(__xludf.DUMMYFUNCTION("upper(Regexreplace(to_text(E2314),""[^A-Za-z0-9]"","""")&amp;""-""&amp;Regexreplace(to_text(F2314),""[^A-Za-z0-9]"",""""))"),"NEPTRONIC-EVCBSERIES")</f>
        <v>NEPTRONIC-EVCBSERIES</v>
      </c>
    </row>
    <row r="2315" ht="30.0" customHeight="1">
      <c r="A2315" s="173">
        <v>2307.0</v>
      </c>
      <c r="B2315" s="328" t="s">
        <v>670</v>
      </c>
      <c r="C2315" s="257" t="s">
        <v>7859</v>
      </c>
      <c r="D2315" s="173" t="s">
        <v>7859</v>
      </c>
      <c r="E2315" s="174" t="s">
        <v>2861</v>
      </c>
      <c r="F2315" s="173" t="s">
        <v>2862</v>
      </c>
      <c r="G2315" s="328" t="s">
        <v>673</v>
      </c>
      <c r="H2315" s="328" t="s">
        <v>2863</v>
      </c>
      <c r="I2315" s="258" t="s">
        <v>2864</v>
      </c>
      <c r="J2315" s="259" t="s">
        <v>1453</v>
      </c>
      <c r="K2315" s="260"/>
      <c r="L2315" s="363"/>
      <c r="M2315" s="329"/>
      <c r="N2315" s="173" t="s">
        <v>679</v>
      </c>
      <c r="O2315" s="173"/>
      <c r="P2315" s="262" t="str">
        <f t="shared" si="1"/>
        <v>IN-BLR-ANANTA-VAV-1887_11</v>
      </c>
      <c r="Q2315" s="173" t="s">
        <v>7860</v>
      </c>
      <c r="R2315" s="328" t="str">
        <f>IFS(C2315="","",C2315="n/a","N/A",LEN(C2315),Concatenate("{",char(34),"asset",char(34),":{",char(34),"guid",char(34),":",char(34),Q2315,char(34),",",char(34),"site",char(34),":",char(34),LOWER('2-Building'!$B$4),char(34),",",char(34),"name",char(34),":",char(34),LOWER(C2315),char(34),"}}"))</f>
        <v>{"asset":{"guid":"uuid://e2a25823-1ab6-48c3-bb04-45cb4181bdc8","site":"in-blr-ananta","name":"vav-1887"}}</v>
      </c>
      <c r="S2315" s="333"/>
      <c r="T2315" s="330"/>
      <c r="U2315" s="330"/>
      <c r="V2315" s="331"/>
      <c r="W2315" s="332"/>
      <c r="X2315" s="333"/>
      <c r="Y2315" s="33" t="s">
        <v>2867</v>
      </c>
      <c r="Z2315" s="258">
        <v>121887.0</v>
      </c>
      <c r="AA2315" s="333"/>
      <c r="AB2315" s="333"/>
      <c r="AC2315" s="333"/>
      <c r="AD2315" s="329"/>
      <c r="AE2315" s="362" t="s">
        <v>685</v>
      </c>
      <c r="AF2315" s="336"/>
      <c r="AG2315" s="337"/>
      <c r="AH2315" s="333"/>
      <c r="AI2315" s="333"/>
      <c r="AJ2315" s="333"/>
      <c r="AK2315" s="328" t="s">
        <v>2500</v>
      </c>
      <c r="AL2315" s="328" t="s">
        <v>688</v>
      </c>
      <c r="AM2315" s="338"/>
      <c r="AN2315" s="333"/>
      <c r="AO2315" s="333"/>
      <c r="AP2315" s="333"/>
      <c r="AQ2315" s="333"/>
      <c r="AR2315" s="333"/>
      <c r="AS2315" s="333"/>
      <c r="AT2315" s="333"/>
      <c r="AU2315" s="329"/>
      <c r="AV2315" s="341"/>
      <c r="AW2315" s="269"/>
      <c r="AX2315" s="334" t="s">
        <v>2869</v>
      </c>
      <c r="AY2315" s="270" t="s">
        <v>695</v>
      </c>
      <c r="AZ2315" s="173" t="s">
        <v>5516</v>
      </c>
      <c r="BA2315" s="265">
        <v>10.0</v>
      </c>
      <c r="BB2315" s="174" t="s">
        <v>245</v>
      </c>
      <c r="BC2315" s="341"/>
      <c r="BD2315" s="308"/>
      <c r="BE2315" s="342"/>
      <c r="BF2315" s="274" t="str">
        <f>IFERROR(__xludf.DUMMYFUNCTION("LOWER(Regexreplace(to_text(E2315),""[^A-Za-z0-9]"","""")&amp;""_""&amp;Regexreplace(to_text(F2315),""[^A-Za-z0-9]"",""""))"),"neptronic_evcbseries")</f>
        <v>neptronic_evcbseries</v>
      </c>
      <c r="BG2315" s="275" t="str">
        <f>IFERROR(__xludf.DUMMYFUNCTION("upper(Regexreplace(to_text(E2315),""[^A-Za-z0-9]"","""")&amp;""-""&amp;Regexreplace(to_text(F2315),""[^A-Za-z0-9]"",""""))"),"NEPTRONIC-EVCBSERIES")</f>
        <v>NEPTRONIC-EVCBSERIES</v>
      </c>
    </row>
    <row r="2316" ht="30.0" customHeight="1">
      <c r="A2316" s="258">
        <v>2308.0</v>
      </c>
      <c r="B2316" s="328" t="s">
        <v>670</v>
      </c>
      <c r="C2316" s="257" t="s">
        <v>7861</v>
      </c>
      <c r="D2316" s="173" t="s">
        <v>7861</v>
      </c>
      <c r="E2316" s="174" t="s">
        <v>2861</v>
      </c>
      <c r="F2316" s="173" t="s">
        <v>2862</v>
      </c>
      <c r="G2316" s="328" t="s">
        <v>673</v>
      </c>
      <c r="H2316" s="328" t="s">
        <v>2863</v>
      </c>
      <c r="I2316" s="258" t="s">
        <v>2864</v>
      </c>
      <c r="J2316" s="259" t="s">
        <v>1453</v>
      </c>
      <c r="K2316" s="260"/>
      <c r="L2316" s="363"/>
      <c r="M2316" s="329"/>
      <c r="N2316" s="173" t="s">
        <v>679</v>
      </c>
      <c r="O2316" s="173"/>
      <c r="P2316" s="262" t="str">
        <f t="shared" si="1"/>
        <v>IN-BLR-ANANTA-VAV-1888_11</v>
      </c>
      <c r="Q2316" s="173" t="s">
        <v>7862</v>
      </c>
      <c r="R2316" s="328" t="str">
        <f>IFS(C2316="","",C2316="n/a","N/A",LEN(C2316),Concatenate("{",char(34),"asset",char(34),":{",char(34),"guid",char(34),":",char(34),Q2316,char(34),",",char(34),"site",char(34),":",char(34),LOWER('2-Building'!$B$4),char(34),",",char(34),"name",char(34),":",char(34),LOWER(C2316),char(34),"}}"))</f>
        <v>{"asset":{"guid":"uuid://342be80b-4a19-4b28-bc86-c0252bb140d8","site":"in-blr-ananta","name":"vav-1888"}}</v>
      </c>
      <c r="S2316" s="333"/>
      <c r="T2316" s="330"/>
      <c r="U2316" s="330"/>
      <c r="V2316" s="331"/>
      <c r="W2316" s="332"/>
      <c r="X2316" s="333"/>
      <c r="Y2316" s="33" t="s">
        <v>2867</v>
      </c>
      <c r="Z2316" s="258">
        <v>121888.0</v>
      </c>
      <c r="AA2316" s="333"/>
      <c r="AB2316" s="333"/>
      <c r="AC2316" s="333"/>
      <c r="AD2316" s="329"/>
      <c r="AE2316" s="362" t="s">
        <v>685</v>
      </c>
      <c r="AF2316" s="336"/>
      <c r="AG2316" s="337"/>
      <c r="AH2316" s="333"/>
      <c r="AI2316" s="333"/>
      <c r="AJ2316" s="333"/>
      <c r="AK2316" s="328" t="s">
        <v>2505</v>
      </c>
      <c r="AL2316" s="328" t="s">
        <v>688</v>
      </c>
      <c r="AM2316" s="338"/>
      <c r="AN2316" s="333"/>
      <c r="AO2316" s="333"/>
      <c r="AP2316" s="333"/>
      <c r="AQ2316" s="333"/>
      <c r="AR2316" s="333"/>
      <c r="AS2316" s="333"/>
      <c r="AT2316" s="333"/>
      <c r="AU2316" s="329"/>
      <c r="AV2316" s="341"/>
      <c r="AW2316" s="269"/>
      <c r="AX2316" s="334" t="s">
        <v>2869</v>
      </c>
      <c r="AY2316" s="270" t="s">
        <v>695</v>
      </c>
      <c r="AZ2316" s="173" t="s">
        <v>5516</v>
      </c>
      <c r="BA2316" s="265">
        <v>10.0</v>
      </c>
      <c r="BB2316" s="174" t="s">
        <v>245</v>
      </c>
      <c r="BC2316" s="341"/>
      <c r="BD2316" s="308"/>
      <c r="BE2316" s="342"/>
      <c r="BF2316" s="274" t="str">
        <f>IFERROR(__xludf.DUMMYFUNCTION("LOWER(Regexreplace(to_text(E2316),""[^A-Za-z0-9]"","""")&amp;""_""&amp;Regexreplace(to_text(F2316),""[^A-Za-z0-9]"",""""))"),"neptronic_evcbseries")</f>
        <v>neptronic_evcbseries</v>
      </c>
      <c r="BG2316" s="275" t="str">
        <f>IFERROR(__xludf.DUMMYFUNCTION("upper(Regexreplace(to_text(E2316),""[^A-Za-z0-9]"","""")&amp;""-""&amp;Regexreplace(to_text(F2316),""[^A-Za-z0-9]"",""""))"),"NEPTRONIC-EVCBSERIES")</f>
        <v>NEPTRONIC-EVCBSERIES</v>
      </c>
    </row>
    <row r="2317" ht="30.0" customHeight="1">
      <c r="A2317" s="173">
        <v>2309.0</v>
      </c>
      <c r="B2317" s="328" t="s">
        <v>670</v>
      </c>
      <c r="C2317" s="257" t="s">
        <v>7863</v>
      </c>
      <c r="D2317" s="173" t="s">
        <v>7863</v>
      </c>
      <c r="E2317" s="174" t="s">
        <v>2861</v>
      </c>
      <c r="F2317" s="173" t="s">
        <v>2862</v>
      </c>
      <c r="G2317" s="328" t="s">
        <v>673</v>
      </c>
      <c r="H2317" s="328" t="s">
        <v>2863</v>
      </c>
      <c r="I2317" s="258" t="s">
        <v>2864</v>
      </c>
      <c r="J2317" s="259" t="s">
        <v>1453</v>
      </c>
      <c r="K2317" s="260"/>
      <c r="L2317" s="363"/>
      <c r="M2317" s="329"/>
      <c r="N2317" s="173" t="s">
        <v>679</v>
      </c>
      <c r="O2317" s="173"/>
      <c r="P2317" s="262" t="str">
        <f t="shared" si="1"/>
        <v>IN-BLR-ANANTA-VAV-1889_11</v>
      </c>
      <c r="Q2317" s="173" t="s">
        <v>7864</v>
      </c>
      <c r="R2317" s="328" t="str">
        <f>IFS(C2317="","",C2317="n/a","N/A",LEN(C2317),Concatenate("{",char(34),"asset",char(34),":{",char(34),"guid",char(34),":",char(34),Q2317,char(34),",",char(34),"site",char(34),":",char(34),LOWER('2-Building'!$B$4),char(34),",",char(34),"name",char(34),":",char(34),LOWER(C2317),char(34),"}}"))</f>
        <v>{"asset":{"guid":"uuid://9a0bba79-ae50-4445-b686-55d6e4b6b845","site":"in-blr-ananta","name":"vav-1889"}}</v>
      </c>
      <c r="S2317" s="333"/>
      <c r="T2317" s="330"/>
      <c r="U2317" s="330"/>
      <c r="V2317" s="331"/>
      <c r="W2317" s="332"/>
      <c r="X2317" s="333"/>
      <c r="Y2317" s="33" t="s">
        <v>2867</v>
      </c>
      <c r="Z2317" s="258">
        <v>121889.0</v>
      </c>
      <c r="AA2317" s="333"/>
      <c r="AB2317" s="333"/>
      <c r="AC2317" s="333"/>
      <c r="AD2317" s="329"/>
      <c r="AE2317" s="362" t="s">
        <v>685</v>
      </c>
      <c r="AF2317" s="336"/>
      <c r="AG2317" s="337"/>
      <c r="AH2317" s="333"/>
      <c r="AI2317" s="333"/>
      <c r="AJ2317" s="333"/>
      <c r="AK2317" s="328" t="s">
        <v>2510</v>
      </c>
      <c r="AL2317" s="328" t="s">
        <v>688</v>
      </c>
      <c r="AM2317" s="338"/>
      <c r="AN2317" s="333"/>
      <c r="AO2317" s="333"/>
      <c r="AP2317" s="333"/>
      <c r="AQ2317" s="333"/>
      <c r="AR2317" s="333"/>
      <c r="AS2317" s="333"/>
      <c r="AT2317" s="333"/>
      <c r="AU2317" s="329"/>
      <c r="AV2317" s="341"/>
      <c r="AW2317" s="269"/>
      <c r="AX2317" s="334" t="s">
        <v>2869</v>
      </c>
      <c r="AY2317" s="270" t="s">
        <v>695</v>
      </c>
      <c r="AZ2317" s="173" t="s">
        <v>5516</v>
      </c>
      <c r="BA2317" s="265">
        <v>10.0</v>
      </c>
      <c r="BB2317" s="174" t="s">
        <v>245</v>
      </c>
      <c r="BC2317" s="341"/>
      <c r="BD2317" s="308"/>
      <c r="BE2317" s="342"/>
      <c r="BF2317" s="274" t="str">
        <f>IFERROR(__xludf.DUMMYFUNCTION("LOWER(Regexreplace(to_text(E2317),""[^A-Za-z0-9]"","""")&amp;""_""&amp;Regexreplace(to_text(F2317),""[^A-Za-z0-9]"",""""))"),"neptronic_evcbseries")</f>
        <v>neptronic_evcbseries</v>
      </c>
      <c r="BG2317" s="275" t="str">
        <f>IFERROR(__xludf.DUMMYFUNCTION("upper(Regexreplace(to_text(E2317),""[^A-Za-z0-9]"","""")&amp;""-""&amp;Regexreplace(to_text(F2317),""[^A-Za-z0-9]"",""""))"),"NEPTRONIC-EVCBSERIES")</f>
        <v>NEPTRONIC-EVCBSERIES</v>
      </c>
    </row>
    <row r="2318" ht="30.0" customHeight="1">
      <c r="A2318" s="258">
        <v>2310.0</v>
      </c>
      <c r="B2318" s="328" t="s">
        <v>670</v>
      </c>
      <c r="C2318" s="257" t="s">
        <v>7865</v>
      </c>
      <c r="D2318" s="173" t="s">
        <v>7865</v>
      </c>
      <c r="E2318" s="174" t="s">
        <v>2861</v>
      </c>
      <c r="F2318" s="173" t="s">
        <v>2862</v>
      </c>
      <c r="G2318" s="328" t="s">
        <v>673</v>
      </c>
      <c r="H2318" s="328" t="s">
        <v>2863</v>
      </c>
      <c r="I2318" s="258" t="s">
        <v>2864</v>
      </c>
      <c r="J2318" s="259" t="s">
        <v>1453</v>
      </c>
      <c r="K2318" s="260"/>
      <c r="L2318" s="363"/>
      <c r="M2318" s="329"/>
      <c r="N2318" s="173" t="s">
        <v>679</v>
      </c>
      <c r="O2318" s="173"/>
      <c r="P2318" s="262" t="str">
        <f t="shared" si="1"/>
        <v>IN-BLR-ANANTA-VAV-1890_11</v>
      </c>
      <c r="Q2318" s="173" t="s">
        <v>7866</v>
      </c>
      <c r="R2318" s="328" t="str">
        <f>IFS(C2318="","",C2318="n/a","N/A",LEN(C2318),Concatenate("{",char(34),"asset",char(34),":{",char(34),"guid",char(34),":",char(34),Q2318,char(34),",",char(34),"site",char(34),":",char(34),LOWER('2-Building'!$B$4),char(34),",",char(34),"name",char(34),":",char(34),LOWER(C2318),char(34),"}}"))</f>
        <v>{"asset":{"guid":"uuid://11197132-00ad-4d2b-8e81-ebd6227a9a4d","site":"in-blr-ananta","name":"vav-1890"}}</v>
      </c>
      <c r="S2318" s="333"/>
      <c r="T2318" s="330"/>
      <c r="U2318" s="330"/>
      <c r="V2318" s="331"/>
      <c r="W2318" s="332"/>
      <c r="X2318" s="333"/>
      <c r="Y2318" s="33" t="s">
        <v>2867</v>
      </c>
      <c r="Z2318" s="258">
        <v>121890.0</v>
      </c>
      <c r="AA2318" s="333"/>
      <c r="AB2318" s="333"/>
      <c r="AC2318" s="333"/>
      <c r="AD2318" s="329"/>
      <c r="AE2318" s="362" t="s">
        <v>685</v>
      </c>
      <c r="AF2318" s="336"/>
      <c r="AG2318" s="337"/>
      <c r="AH2318" s="333"/>
      <c r="AI2318" s="333"/>
      <c r="AJ2318" s="333"/>
      <c r="AK2318" s="328" t="s">
        <v>2515</v>
      </c>
      <c r="AL2318" s="328" t="s">
        <v>688</v>
      </c>
      <c r="AM2318" s="338"/>
      <c r="AN2318" s="333"/>
      <c r="AO2318" s="333"/>
      <c r="AP2318" s="333"/>
      <c r="AQ2318" s="333"/>
      <c r="AR2318" s="333"/>
      <c r="AS2318" s="333"/>
      <c r="AT2318" s="333"/>
      <c r="AU2318" s="329"/>
      <c r="AV2318" s="341"/>
      <c r="AW2318" s="269"/>
      <c r="AX2318" s="334" t="s">
        <v>2869</v>
      </c>
      <c r="AY2318" s="270" t="s">
        <v>695</v>
      </c>
      <c r="AZ2318" s="173" t="s">
        <v>5516</v>
      </c>
      <c r="BA2318" s="265">
        <v>10.0</v>
      </c>
      <c r="BB2318" s="174" t="s">
        <v>245</v>
      </c>
      <c r="BC2318" s="341"/>
      <c r="BD2318" s="308"/>
      <c r="BE2318" s="342"/>
      <c r="BF2318" s="274" t="str">
        <f>IFERROR(__xludf.DUMMYFUNCTION("LOWER(Regexreplace(to_text(E2318),""[^A-Za-z0-9]"","""")&amp;""_""&amp;Regexreplace(to_text(F2318),""[^A-Za-z0-9]"",""""))"),"neptronic_evcbseries")</f>
        <v>neptronic_evcbseries</v>
      </c>
      <c r="BG2318" s="275" t="str">
        <f>IFERROR(__xludf.DUMMYFUNCTION("upper(Regexreplace(to_text(E2318),""[^A-Za-z0-9]"","""")&amp;""-""&amp;Regexreplace(to_text(F2318),""[^A-Za-z0-9]"",""""))"),"NEPTRONIC-EVCBSERIES")</f>
        <v>NEPTRONIC-EVCBSERIES</v>
      </c>
    </row>
    <row r="2319" ht="30.0" customHeight="1">
      <c r="A2319" s="173">
        <v>2311.0</v>
      </c>
      <c r="B2319" s="328" t="s">
        <v>670</v>
      </c>
      <c r="C2319" s="257" t="s">
        <v>7867</v>
      </c>
      <c r="D2319" s="173" t="s">
        <v>7867</v>
      </c>
      <c r="E2319" s="174" t="s">
        <v>2861</v>
      </c>
      <c r="F2319" s="173" t="s">
        <v>2862</v>
      </c>
      <c r="G2319" s="328" t="s">
        <v>673</v>
      </c>
      <c r="H2319" s="328" t="s">
        <v>2863</v>
      </c>
      <c r="I2319" s="258" t="s">
        <v>2864</v>
      </c>
      <c r="J2319" s="259" t="s">
        <v>1453</v>
      </c>
      <c r="K2319" s="260"/>
      <c r="L2319" s="363"/>
      <c r="M2319" s="329"/>
      <c r="N2319" s="173" t="s">
        <v>679</v>
      </c>
      <c r="O2319" s="173"/>
      <c r="P2319" s="262" t="str">
        <f t="shared" si="1"/>
        <v>IN-BLR-ANANTA-VAV-1891_11</v>
      </c>
      <c r="Q2319" s="173" t="s">
        <v>7868</v>
      </c>
      <c r="R2319" s="328" t="str">
        <f>IFS(C2319="","",C2319="n/a","N/A",LEN(C2319),Concatenate("{",char(34),"asset",char(34),":{",char(34),"guid",char(34),":",char(34),Q2319,char(34),",",char(34),"site",char(34),":",char(34),LOWER('2-Building'!$B$4),char(34),",",char(34),"name",char(34),":",char(34),LOWER(C2319),char(34),"}}"))</f>
        <v>{"asset":{"guid":"uuid://32950f4e-aa57-455c-83a6-028d0cc8226b","site":"in-blr-ananta","name":"vav-1891"}}</v>
      </c>
      <c r="S2319" s="333"/>
      <c r="T2319" s="330"/>
      <c r="U2319" s="330"/>
      <c r="V2319" s="331"/>
      <c r="W2319" s="332"/>
      <c r="X2319" s="333"/>
      <c r="Y2319" s="33" t="s">
        <v>2867</v>
      </c>
      <c r="Z2319" s="258">
        <v>121891.0</v>
      </c>
      <c r="AA2319" s="333"/>
      <c r="AB2319" s="333"/>
      <c r="AC2319" s="333"/>
      <c r="AD2319" s="329"/>
      <c r="AE2319" s="362" t="s">
        <v>685</v>
      </c>
      <c r="AF2319" s="336"/>
      <c r="AG2319" s="337"/>
      <c r="AH2319" s="333"/>
      <c r="AI2319" s="333"/>
      <c r="AJ2319" s="333"/>
      <c r="AK2319" s="328" t="s">
        <v>2519</v>
      </c>
      <c r="AL2319" s="328" t="s">
        <v>688</v>
      </c>
      <c r="AM2319" s="338"/>
      <c r="AN2319" s="333"/>
      <c r="AO2319" s="333"/>
      <c r="AP2319" s="333"/>
      <c r="AQ2319" s="333"/>
      <c r="AR2319" s="333"/>
      <c r="AS2319" s="333"/>
      <c r="AT2319" s="333"/>
      <c r="AU2319" s="329"/>
      <c r="AV2319" s="341"/>
      <c r="AW2319" s="269"/>
      <c r="AX2319" s="334" t="s">
        <v>2869</v>
      </c>
      <c r="AY2319" s="270" t="s">
        <v>695</v>
      </c>
      <c r="AZ2319" s="173" t="s">
        <v>5516</v>
      </c>
      <c r="BA2319" s="265">
        <v>10.0</v>
      </c>
      <c r="BB2319" s="174" t="s">
        <v>245</v>
      </c>
      <c r="BC2319" s="341"/>
      <c r="BD2319" s="308"/>
      <c r="BE2319" s="342"/>
      <c r="BF2319" s="274" t="str">
        <f>IFERROR(__xludf.DUMMYFUNCTION("LOWER(Regexreplace(to_text(E2319),""[^A-Za-z0-9]"","""")&amp;""_""&amp;Regexreplace(to_text(F2319),""[^A-Za-z0-9]"",""""))"),"neptronic_evcbseries")</f>
        <v>neptronic_evcbseries</v>
      </c>
      <c r="BG2319" s="275" t="str">
        <f>IFERROR(__xludf.DUMMYFUNCTION("upper(Regexreplace(to_text(E2319),""[^A-Za-z0-9]"","""")&amp;""-""&amp;Regexreplace(to_text(F2319),""[^A-Za-z0-9]"",""""))"),"NEPTRONIC-EVCBSERIES")</f>
        <v>NEPTRONIC-EVCBSERIES</v>
      </c>
    </row>
    <row r="2320" ht="30.0" customHeight="1">
      <c r="A2320" s="258">
        <v>2312.0</v>
      </c>
      <c r="B2320" s="328" t="s">
        <v>670</v>
      </c>
      <c r="C2320" s="257" t="s">
        <v>7869</v>
      </c>
      <c r="D2320" s="173" t="s">
        <v>7869</v>
      </c>
      <c r="E2320" s="174" t="s">
        <v>2861</v>
      </c>
      <c r="F2320" s="173" t="s">
        <v>2862</v>
      </c>
      <c r="G2320" s="328" t="s">
        <v>673</v>
      </c>
      <c r="H2320" s="328" t="s">
        <v>2863</v>
      </c>
      <c r="I2320" s="258" t="s">
        <v>2864</v>
      </c>
      <c r="J2320" s="259" t="s">
        <v>1453</v>
      </c>
      <c r="K2320" s="260"/>
      <c r="L2320" s="363"/>
      <c r="M2320" s="329"/>
      <c r="N2320" s="173" t="s">
        <v>679</v>
      </c>
      <c r="O2320" s="173"/>
      <c r="P2320" s="262" t="str">
        <f t="shared" si="1"/>
        <v>IN-BLR-ANANTA-VAV-1892_11</v>
      </c>
      <c r="Q2320" s="173" t="s">
        <v>7870</v>
      </c>
      <c r="R2320" s="328" t="str">
        <f>IFS(C2320="","",C2320="n/a","N/A",LEN(C2320),Concatenate("{",char(34),"asset",char(34),":{",char(34),"guid",char(34),":",char(34),Q2320,char(34),",",char(34),"site",char(34),":",char(34),LOWER('2-Building'!$B$4),char(34),",",char(34),"name",char(34),":",char(34),LOWER(C2320),char(34),"}}"))</f>
        <v>{"asset":{"guid":"uuid://f676b347-ef5c-49ac-bc0e-853c6c7d482b","site":"in-blr-ananta","name":"vav-1892"}}</v>
      </c>
      <c r="S2320" s="333"/>
      <c r="T2320" s="330"/>
      <c r="U2320" s="330"/>
      <c r="V2320" s="331"/>
      <c r="W2320" s="332"/>
      <c r="X2320" s="333"/>
      <c r="Y2320" s="33" t="s">
        <v>2867</v>
      </c>
      <c r="Z2320" s="258">
        <v>121892.0</v>
      </c>
      <c r="AA2320" s="333"/>
      <c r="AB2320" s="333"/>
      <c r="AC2320" s="333"/>
      <c r="AD2320" s="329"/>
      <c r="AE2320" s="362" t="s">
        <v>685</v>
      </c>
      <c r="AF2320" s="336"/>
      <c r="AG2320" s="337"/>
      <c r="AH2320" s="333"/>
      <c r="AI2320" s="333"/>
      <c r="AJ2320" s="333"/>
      <c r="AK2320" s="328" t="s">
        <v>2524</v>
      </c>
      <c r="AL2320" s="328" t="s">
        <v>688</v>
      </c>
      <c r="AM2320" s="338"/>
      <c r="AN2320" s="333"/>
      <c r="AO2320" s="333"/>
      <c r="AP2320" s="333"/>
      <c r="AQ2320" s="333"/>
      <c r="AR2320" s="333"/>
      <c r="AS2320" s="333"/>
      <c r="AT2320" s="333"/>
      <c r="AU2320" s="329"/>
      <c r="AV2320" s="341"/>
      <c r="AW2320" s="269"/>
      <c r="AX2320" s="334" t="s">
        <v>2869</v>
      </c>
      <c r="AY2320" s="270" t="s">
        <v>695</v>
      </c>
      <c r="AZ2320" s="173" t="s">
        <v>5516</v>
      </c>
      <c r="BA2320" s="265">
        <v>10.0</v>
      </c>
      <c r="BB2320" s="174" t="s">
        <v>245</v>
      </c>
      <c r="BC2320" s="341"/>
      <c r="BD2320" s="308"/>
      <c r="BE2320" s="342"/>
      <c r="BF2320" s="274" t="str">
        <f>IFERROR(__xludf.DUMMYFUNCTION("LOWER(Regexreplace(to_text(E2320),""[^A-Za-z0-9]"","""")&amp;""_""&amp;Regexreplace(to_text(F2320),""[^A-Za-z0-9]"",""""))"),"neptronic_evcbseries")</f>
        <v>neptronic_evcbseries</v>
      </c>
      <c r="BG2320" s="275" t="str">
        <f>IFERROR(__xludf.DUMMYFUNCTION("upper(Regexreplace(to_text(E2320),""[^A-Za-z0-9]"","""")&amp;""-""&amp;Regexreplace(to_text(F2320),""[^A-Za-z0-9]"",""""))"),"NEPTRONIC-EVCBSERIES")</f>
        <v>NEPTRONIC-EVCBSERIES</v>
      </c>
    </row>
    <row r="2321" ht="30.0" customHeight="1">
      <c r="A2321" s="173">
        <v>2313.0</v>
      </c>
      <c r="B2321" s="328" t="s">
        <v>670</v>
      </c>
      <c r="C2321" s="257" t="s">
        <v>7871</v>
      </c>
      <c r="D2321" s="173" t="s">
        <v>7871</v>
      </c>
      <c r="E2321" s="174" t="s">
        <v>2861</v>
      </c>
      <c r="F2321" s="173" t="s">
        <v>2862</v>
      </c>
      <c r="G2321" s="328" t="s">
        <v>673</v>
      </c>
      <c r="H2321" s="328" t="s">
        <v>2863</v>
      </c>
      <c r="I2321" s="258" t="s">
        <v>2864</v>
      </c>
      <c r="J2321" s="259" t="s">
        <v>1453</v>
      </c>
      <c r="K2321" s="260"/>
      <c r="L2321" s="363"/>
      <c r="M2321" s="329"/>
      <c r="N2321" s="173" t="s">
        <v>679</v>
      </c>
      <c r="O2321" s="173"/>
      <c r="P2321" s="262" t="str">
        <f t="shared" si="1"/>
        <v>IN-BLR-ANANTA-VAV-1893_11</v>
      </c>
      <c r="Q2321" s="173" t="s">
        <v>7872</v>
      </c>
      <c r="R2321" s="328" t="str">
        <f>IFS(C2321="","",C2321="n/a","N/A",LEN(C2321),Concatenate("{",char(34),"asset",char(34),":{",char(34),"guid",char(34),":",char(34),Q2321,char(34),",",char(34),"site",char(34),":",char(34),LOWER('2-Building'!$B$4),char(34),",",char(34),"name",char(34),":",char(34),LOWER(C2321),char(34),"}}"))</f>
        <v>{"asset":{"guid":"uuid://c93434c2-48cd-402b-8a48-d17da6097580","site":"in-blr-ananta","name":"vav-1893"}}</v>
      </c>
      <c r="S2321" s="333"/>
      <c r="T2321" s="330"/>
      <c r="U2321" s="330"/>
      <c r="V2321" s="331"/>
      <c r="W2321" s="332"/>
      <c r="X2321" s="333"/>
      <c r="Y2321" s="33" t="s">
        <v>2867</v>
      </c>
      <c r="Z2321" s="258">
        <v>121893.0</v>
      </c>
      <c r="AA2321" s="333"/>
      <c r="AB2321" s="333"/>
      <c r="AC2321" s="333"/>
      <c r="AD2321" s="329"/>
      <c r="AE2321" s="362" t="s">
        <v>685</v>
      </c>
      <c r="AF2321" s="336"/>
      <c r="AG2321" s="337"/>
      <c r="AH2321" s="333"/>
      <c r="AI2321" s="333"/>
      <c r="AJ2321" s="333"/>
      <c r="AK2321" s="328" t="s">
        <v>2529</v>
      </c>
      <c r="AL2321" s="328" t="s">
        <v>688</v>
      </c>
      <c r="AM2321" s="338"/>
      <c r="AN2321" s="333"/>
      <c r="AO2321" s="333"/>
      <c r="AP2321" s="333"/>
      <c r="AQ2321" s="333"/>
      <c r="AR2321" s="333"/>
      <c r="AS2321" s="333"/>
      <c r="AT2321" s="333"/>
      <c r="AU2321" s="329"/>
      <c r="AV2321" s="341"/>
      <c r="AW2321" s="269"/>
      <c r="AX2321" s="334" t="s">
        <v>2869</v>
      </c>
      <c r="AY2321" s="270" t="s">
        <v>695</v>
      </c>
      <c r="AZ2321" s="173" t="s">
        <v>5516</v>
      </c>
      <c r="BA2321" s="265">
        <v>10.0</v>
      </c>
      <c r="BB2321" s="174" t="s">
        <v>245</v>
      </c>
      <c r="BC2321" s="341"/>
      <c r="BD2321" s="308"/>
      <c r="BE2321" s="342"/>
      <c r="BF2321" s="274" t="str">
        <f>IFERROR(__xludf.DUMMYFUNCTION("LOWER(Regexreplace(to_text(E2321),""[^A-Za-z0-9]"","""")&amp;""_""&amp;Regexreplace(to_text(F2321),""[^A-Za-z0-9]"",""""))"),"neptronic_evcbseries")</f>
        <v>neptronic_evcbseries</v>
      </c>
      <c r="BG2321" s="275" t="str">
        <f>IFERROR(__xludf.DUMMYFUNCTION("upper(Regexreplace(to_text(E2321),""[^A-Za-z0-9]"","""")&amp;""-""&amp;Regexreplace(to_text(F2321),""[^A-Za-z0-9]"",""""))"),"NEPTRONIC-EVCBSERIES")</f>
        <v>NEPTRONIC-EVCBSERIES</v>
      </c>
    </row>
    <row r="2322" ht="30.0" customHeight="1">
      <c r="A2322" s="258">
        <v>2314.0</v>
      </c>
      <c r="B2322" s="328" t="s">
        <v>670</v>
      </c>
      <c r="C2322" s="257" t="s">
        <v>7873</v>
      </c>
      <c r="D2322" s="173" t="s">
        <v>7873</v>
      </c>
      <c r="E2322" s="174" t="s">
        <v>2861</v>
      </c>
      <c r="F2322" s="173" t="s">
        <v>2862</v>
      </c>
      <c r="G2322" s="328" t="s">
        <v>673</v>
      </c>
      <c r="H2322" s="328" t="s">
        <v>2863</v>
      </c>
      <c r="I2322" s="258" t="s">
        <v>2864</v>
      </c>
      <c r="J2322" s="259" t="s">
        <v>1453</v>
      </c>
      <c r="K2322" s="260"/>
      <c r="L2322" s="363"/>
      <c r="M2322" s="329"/>
      <c r="N2322" s="173" t="s">
        <v>679</v>
      </c>
      <c r="O2322" s="173"/>
      <c r="P2322" s="262" t="str">
        <f t="shared" si="1"/>
        <v>IN-BLR-ANANTA-VAV-1894_11</v>
      </c>
      <c r="Q2322" s="173" t="s">
        <v>7874</v>
      </c>
      <c r="R2322" s="328" t="str">
        <f>IFS(C2322="","",C2322="n/a","N/A",LEN(C2322),Concatenate("{",char(34),"asset",char(34),":{",char(34),"guid",char(34),":",char(34),Q2322,char(34),",",char(34),"site",char(34),":",char(34),LOWER('2-Building'!$B$4),char(34),",",char(34),"name",char(34),":",char(34),LOWER(C2322),char(34),"}}"))</f>
        <v>{"asset":{"guid":"uuid://de27fafb-87aa-416f-b042-ea73cf393499","site":"in-blr-ananta","name":"vav-1894"}}</v>
      </c>
      <c r="S2322" s="333"/>
      <c r="T2322" s="330"/>
      <c r="U2322" s="330"/>
      <c r="V2322" s="331"/>
      <c r="W2322" s="332"/>
      <c r="X2322" s="333"/>
      <c r="Y2322" s="33" t="s">
        <v>2867</v>
      </c>
      <c r="Z2322" s="258">
        <v>121894.0</v>
      </c>
      <c r="AA2322" s="333"/>
      <c r="AB2322" s="333"/>
      <c r="AC2322" s="333"/>
      <c r="AD2322" s="329"/>
      <c r="AE2322" s="362" t="s">
        <v>685</v>
      </c>
      <c r="AF2322" s="336"/>
      <c r="AG2322" s="337"/>
      <c r="AH2322" s="333"/>
      <c r="AI2322" s="333"/>
      <c r="AJ2322" s="333"/>
      <c r="AK2322" s="328" t="s">
        <v>2534</v>
      </c>
      <c r="AL2322" s="328" t="s">
        <v>688</v>
      </c>
      <c r="AM2322" s="338"/>
      <c r="AN2322" s="333"/>
      <c r="AO2322" s="333"/>
      <c r="AP2322" s="333"/>
      <c r="AQ2322" s="333"/>
      <c r="AR2322" s="333"/>
      <c r="AS2322" s="333"/>
      <c r="AT2322" s="333"/>
      <c r="AU2322" s="329"/>
      <c r="AV2322" s="341"/>
      <c r="AW2322" s="269"/>
      <c r="AX2322" s="334" t="s">
        <v>2869</v>
      </c>
      <c r="AY2322" s="270" t="s">
        <v>695</v>
      </c>
      <c r="AZ2322" s="173" t="s">
        <v>5516</v>
      </c>
      <c r="BA2322" s="265">
        <v>10.0</v>
      </c>
      <c r="BB2322" s="174" t="s">
        <v>245</v>
      </c>
      <c r="BC2322" s="341"/>
      <c r="BD2322" s="308"/>
      <c r="BE2322" s="342"/>
      <c r="BF2322" s="274" t="str">
        <f>IFERROR(__xludf.DUMMYFUNCTION("LOWER(Regexreplace(to_text(E2322),""[^A-Za-z0-9]"","""")&amp;""_""&amp;Regexreplace(to_text(F2322),""[^A-Za-z0-9]"",""""))"),"neptronic_evcbseries")</f>
        <v>neptronic_evcbseries</v>
      </c>
      <c r="BG2322" s="275" t="str">
        <f>IFERROR(__xludf.DUMMYFUNCTION("upper(Regexreplace(to_text(E2322),""[^A-Za-z0-9]"","""")&amp;""-""&amp;Regexreplace(to_text(F2322),""[^A-Za-z0-9]"",""""))"),"NEPTRONIC-EVCBSERIES")</f>
        <v>NEPTRONIC-EVCBSERIES</v>
      </c>
    </row>
    <row r="2323" ht="30.0" customHeight="1">
      <c r="A2323" s="173">
        <v>2315.0</v>
      </c>
      <c r="B2323" s="328" t="s">
        <v>670</v>
      </c>
      <c r="C2323" s="257" t="s">
        <v>7875</v>
      </c>
      <c r="D2323" s="173" t="s">
        <v>7875</v>
      </c>
      <c r="E2323" s="174" t="s">
        <v>2861</v>
      </c>
      <c r="F2323" s="173" t="s">
        <v>2862</v>
      </c>
      <c r="G2323" s="328" t="s">
        <v>673</v>
      </c>
      <c r="H2323" s="328" t="s">
        <v>2863</v>
      </c>
      <c r="I2323" s="258" t="s">
        <v>2864</v>
      </c>
      <c r="J2323" s="259" t="s">
        <v>1453</v>
      </c>
      <c r="K2323" s="260"/>
      <c r="L2323" s="363"/>
      <c r="M2323" s="329"/>
      <c r="N2323" s="173" t="s">
        <v>679</v>
      </c>
      <c r="O2323" s="173"/>
      <c r="P2323" s="262" t="str">
        <f t="shared" si="1"/>
        <v>IN-BLR-ANANTA-VAV-1895_11</v>
      </c>
      <c r="Q2323" s="173" t="s">
        <v>7876</v>
      </c>
      <c r="R2323" s="328" t="str">
        <f>IFS(C2323="","",C2323="n/a","N/A",LEN(C2323),Concatenate("{",char(34),"asset",char(34),":{",char(34),"guid",char(34),":",char(34),Q2323,char(34),",",char(34),"site",char(34),":",char(34),LOWER('2-Building'!$B$4),char(34),",",char(34),"name",char(34),":",char(34),LOWER(C2323),char(34),"}}"))</f>
        <v>{"asset":{"guid":"uuid://92fae43f-8043-428f-9160-ca21fcd41a84","site":"in-blr-ananta","name":"vav-1895"}}</v>
      </c>
      <c r="S2323" s="333"/>
      <c r="T2323" s="330"/>
      <c r="U2323" s="330"/>
      <c r="V2323" s="331"/>
      <c r="W2323" s="332"/>
      <c r="X2323" s="333"/>
      <c r="Y2323" s="33" t="s">
        <v>2867</v>
      </c>
      <c r="Z2323" s="258">
        <v>121895.0</v>
      </c>
      <c r="AA2323" s="333"/>
      <c r="AB2323" s="333"/>
      <c r="AC2323" s="333"/>
      <c r="AD2323" s="329"/>
      <c r="AE2323" s="362" t="s">
        <v>685</v>
      </c>
      <c r="AF2323" s="336"/>
      <c r="AG2323" s="337"/>
      <c r="AH2323" s="333"/>
      <c r="AI2323" s="333"/>
      <c r="AJ2323" s="333"/>
      <c r="AK2323" s="328" t="s">
        <v>2539</v>
      </c>
      <c r="AL2323" s="328" t="s">
        <v>688</v>
      </c>
      <c r="AM2323" s="338"/>
      <c r="AN2323" s="333"/>
      <c r="AO2323" s="333"/>
      <c r="AP2323" s="333"/>
      <c r="AQ2323" s="333"/>
      <c r="AR2323" s="333"/>
      <c r="AS2323" s="333"/>
      <c r="AT2323" s="333"/>
      <c r="AU2323" s="329"/>
      <c r="AV2323" s="341"/>
      <c r="AW2323" s="269"/>
      <c r="AX2323" s="334" t="s">
        <v>2869</v>
      </c>
      <c r="AY2323" s="270" t="s">
        <v>695</v>
      </c>
      <c r="AZ2323" s="173" t="s">
        <v>5516</v>
      </c>
      <c r="BA2323" s="265">
        <v>10.0</v>
      </c>
      <c r="BB2323" s="174" t="s">
        <v>245</v>
      </c>
      <c r="BC2323" s="341"/>
      <c r="BD2323" s="308"/>
      <c r="BE2323" s="342"/>
      <c r="BF2323" s="274" t="str">
        <f>IFERROR(__xludf.DUMMYFUNCTION("LOWER(Regexreplace(to_text(E2323),""[^A-Za-z0-9]"","""")&amp;""_""&amp;Regexreplace(to_text(F2323),""[^A-Za-z0-9]"",""""))"),"neptronic_evcbseries")</f>
        <v>neptronic_evcbseries</v>
      </c>
      <c r="BG2323" s="275" t="str">
        <f>IFERROR(__xludf.DUMMYFUNCTION("upper(Regexreplace(to_text(E2323),""[^A-Za-z0-9]"","""")&amp;""-""&amp;Regexreplace(to_text(F2323),""[^A-Za-z0-9]"",""""))"),"NEPTRONIC-EVCBSERIES")</f>
        <v>NEPTRONIC-EVCBSERIES</v>
      </c>
    </row>
    <row r="2324" ht="30.0" customHeight="1">
      <c r="A2324" s="258">
        <v>2316.0</v>
      </c>
      <c r="B2324" s="328" t="s">
        <v>670</v>
      </c>
      <c r="C2324" s="257" t="s">
        <v>7877</v>
      </c>
      <c r="D2324" s="173" t="s">
        <v>7877</v>
      </c>
      <c r="E2324" s="174" t="s">
        <v>2861</v>
      </c>
      <c r="F2324" s="173" t="s">
        <v>2862</v>
      </c>
      <c r="G2324" s="328" t="s">
        <v>673</v>
      </c>
      <c r="H2324" s="328" t="s">
        <v>2863</v>
      </c>
      <c r="I2324" s="258" t="s">
        <v>2864</v>
      </c>
      <c r="J2324" s="259" t="s">
        <v>1453</v>
      </c>
      <c r="K2324" s="260"/>
      <c r="L2324" s="363"/>
      <c r="M2324" s="329"/>
      <c r="N2324" s="173" t="s">
        <v>679</v>
      </c>
      <c r="O2324" s="173"/>
      <c r="P2324" s="262" t="str">
        <f t="shared" si="1"/>
        <v>IN-BLR-ANANTA-VAV-1896_11</v>
      </c>
      <c r="Q2324" s="173" t="s">
        <v>7878</v>
      </c>
      <c r="R2324" s="328" t="str">
        <f>IFS(C2324="","",C2324="n/a","N/A",LEN(C2324),Concatenate("{",char(34),"asset",char(34),":{",char(34),"guid",char(34),":",char(34),Q2324,char(34),",",char(34),"site",char(34),":",char(34),LOWER('2-Building'!$B$4),char(34),",",char(34),"name",char(34),":",char(34),LOWER(C2324),char(34),"}}"))</f>
        <v>{"asset":{"guid":"uuid://7013cb23-d78b-46ec-ae2d-a68521111547","site":"in-blr-ananta","name":"vav-1896"}}</v>
      </c>
      <c r="S2324" s="333"/>
      <c r="T2324" s="330"/>
      <c r="U2324" s="330"/>
      <c r="V2324" s="331"/>
      <c r="W2324" s="332"/>
      <c r="X2324" s="333"/>
      <c r="Y2324" s="33" t="s">
        <v>2867</v>
      </c>
      <c r="Z2324" s="258">
        <v>121896.0</v>
      </c>
      <c r="AA2324" s="333"/>
      <c r="AB2324" s="333"/>
      <c r="AC2324" s="333"/>
      <c r="AD2324" s="329"/>
      <c r="AE2324" s="362" t="s">
        <v>685</v>
      </c>
      <c r="AF2324" s="336"/>
      <c r="AG2324" s="337"/>
      <c r="AH2324" s="333"/>
      <c r="AI2324" s="333"/>
      <c r="AJ2324" s="333"/>
      <c r="AK2324" s="328" t="s">
        <v>2545</v>
      </c>
      <c r="AL2324" s="328" t="s">
        <v>688</v>
      </c>
      <c r="AM2324" s="338"/>
      <c r="AN2324" s="333"/>
      <c r="AO2324" s="333"/>
      <c r="AP2324" s="333"/>
      <c r="AQ2324" s="333"/>
      <c r="AR2324" s="333"/>
      <c r="AS2324" s="333"/>
      <c r="AT2324" s="333"/>
      <c r="AU2324" s="329"/>
      <c r="AV2324" s="341"/>
      <c r="AW2324" s="269"/>
      <c r="AX2324" s="334" t="s">
        <v>2869</v>
      </c>
      <c r="AY2324" s="270" t="s">
        <v>695</v>
      </c>
      <c r="AZ2324" s="173" t="s">
        <v>5516</v>
      </c>
      <c r="BA2324" s="265">
        <v>10.0</v>
      </c>
      <c r="BB2324" s="174" t="s">
        <v>245</v>
      </c>
      <c r="BC2324" s="341"/>
      <c r="BD2324" s="308"/>
      <c r="BE2324" s="342"/>
      <c r="BF2324" s="274" t="str">
        <f>IFERROR(__xludf.DUMMYFUNCTION("LOWER(Regexreplace(to_text(E2324),""[^A-Za-z0-9]"","""")&amp;""_""&amp;Regexreplace(to_text(F2324),""[^A-Za-z0-9]"",""""))"),"neptronic_evcbseries")</f>
        <v>neptronic_evcbseries</v>
      </c>
      <c r="BG2324" s="275" t="str">
        <f>IFERROR(__xludf.DUMMYFUNCTION("upper(Regexreplace(to_text(E2324),""[^A-Za-z0-9]"","""")&amp;""-""&amp;Regexreplace(to_text(F2324),""[^A-Za-z0-9]"",""""))"),"NEPTRONIC-EVCBSERIES")</f>
        <v>NEPTRONIC-EVCBSERIES</v>
      </c>
    </row>
    <row r="2325" ht="30.0" customHeight="1">
      <c r="A2325" s="173">
        <v>2317.0</v>
      </c>
      <c r="B2325" s="328" t="s">
        <v>670</v>
      </c>
      <c r="C2325" s="257" t="s">
        <v>7879</v>
      </c>
      <c r="D2325" s="173" t="s">
        <v>7879</v>
      </c>
      <c r="E2325" s="174" t="s">
        <v>2861</v>
      </c>
      <c r="F2325" s="173" t="s">
        <v>2862</v>
      </c>
      <c r="G2325" s="328" t="s">
        <v>673</v>
      </c>
      <c r="H2325" s="328" t="s">
        <v>2863</v>
      </c>
      <c r="I2325" s="258" t="s">
        <v>2864</v>
      </c>
      <c r="J2325" s="259" t="s">
        <v>1453</v>
      </c>
      <c r="K2325" s="260"/>
      <c r="L2325" s="363"/>
      <c r="M2325" s="329"/>
      <c r="N2325" s="173" t="s">
        <v>679</v>
      </c>
      <c r="O2325" s="173"/>
      <c r="P2325" s="262" t="str">
        <f t="shared" si="1"/>
        <v>IN-BLR-ANANTA-VAV-1897_11</v>
      </c>
      <c r="Q2325" s="173" t="s">
        <v>7880</v>
      </c>
      <c r="R2325" s="328" t="str">
        <f>IFS(C2325="","",C2325="n/a","N/A",LEN(C2325),Concatenate("{",char(34),"asset",char(34),":{",char(34),"guid",char(34),":",char(34),Q2325,char(34),",",char(34),"site",char(34),":",char(34),LOWER('2-Building'!$B$4),char(34),",",char(34),"name",char(34),":",char(34),LOWER(C2325),char(34),"}}"))</f>
        <v>{"asset":{"guid":"uuid://07f607ad-8d27-4a20-a17e-d9645cc55c28","site":"in-blr-ananta","name":"vav-1897"}}</v>
      </c>
      <c r="S2325" s="333"/>
      <c r="T2325" s="330"/>
      <c r="U2325" s="330"/>
      <c r="V2325" s="331"/>
      <c r="W2325" s="332"/>
      <c r="X2325" s="333"/>
      <c r="Y2325" s="33" t="s">
        <v>2867</v>
      </c>
      <c r="Z2325" s="258">
        <v>121897.0</v>
      </c>
      <c r="AA2325" s="333"/>
      <c r="AB2325" s="333"/>
      <c r="AC2325" s="333"/>
      <c r="AD2325" s="329"/>
      <c r="AE2325" s="362" t="s">
        <v>685</v>
      </c>
      <c r="AF2325" s="336"/>
      <c r="AG2325" s="337"/>
      <c r="AH2325" s="333"/>
      <c r="AI2325" s="333"/>
      <c r="AJ2325" s="333"/>
      <c r="AK2325" s="328" t="s">
        <v>2550</v>
      </c>
      <c r="AL2325" s="328" t="s">
        <v>688</v>
      </c>
      <c r="AM2325" s="338"/>
      <c r="AN2325" s="333"/>
      <c r="AO2325" s="333"/>
      <c r="AP2325" s="333"/>
      <c r="AQ2325" s="333"/>
      <c r="AR2325" s="333"/>
      <c r="AS2325" s="333"/>
      <c r="AT2325" s="333"/>
      <c r="AU2325" s="329"/>
      <c r="AV2325" s="341"/>
      <c r="AW2325" s="269"/>
      <c r="AX2325" s="334" t="s">
        <v>2869</v>
      </c>
      <c r="AY2325" s="270" t="s">
        <v>695</v>
      </c>
      <c r="AZ2325" s="173" t="s">
        <v>5516</v>
      </c>
      <c r="BA2325" s="265">
        <v>10.0</v>
      </c>
      <c r="BB2325" s="174" t="s">
        <v>245</v>
      </c>
      <c r="BC2325" s="341"/>
      <c r="BD2325" s="308"/>
      <c r="BE2325" s="342"/>
      <c r="BF2325" s="274" t="str">
        <f>IFERROR(__xludf.DUMMYFUNCTION("LOWER(Regexreplace(to_text(E2325),""[^A-Za-z0-9]"","""")&amp;""_""&amp;Regexreplace(to_text(F2325),""[^A-Za-z0-9]"",""""))"),"neptronic_evcbseries")</f>
        <v>neptronic_evcbseries</v>
      </c>
      <c r="BG2325" s="275" t="str">
        <f>IFERROR(__xludf.DUMMYFUNCTION("upper(Regexreplace(to_text(E2325),""[^A-Za-z0-9]"","""")&amp;""-""&amp;Regexreplace(to_text(F2325),""[^A-Za-z0-9]"",""""))"),"NEPTRONIC-EVCBSERIES")</f>
        <v>NEPTRONIC-EVCBSERIES</v>
      </c>
    </row>
    <row r="2326" ht="30.0" customHeight="1">
      <c r="A2326" s="258">
        <v>2318.0</v>
      </c>
      <c r="B2326" s="328" t="s">
        <v>670</v>
      </c>
      <c r="C2326" s="257" t="s">
        <v>7881</v>
      </c>
      <c r="D2326" s="173" t="s">
        <v>7881</v>
      </c>
      <c r="E2326" s="174" t="s">
        <v>2861</v>
      </c>
      <c r="F2326" s="173" t="s">
        <v>2862</v>
      </c>
      <c r="G2326" s="328" t="s">
        <v>673</v>
      </c>
      <c r="H2326" s="328" t="s">
        <v>2863</v>
      </c>
      <c r="I2326" s="258" t="s">
        <v>2864</v>
      </c>
      <c r="J2326" s="259" t="s">
        <v>1453</v>
      </c>
      <c r="K2326" s="260"/>
      <c r="L2326" s="363"/>
      <c r="M2326" s="329"/>
      <c r="N2326" s="173" t="s">
        <v>679</v>
      </c>
      <c r="O2326" s="173"/>
      <c r="P2326" s="262" t="str">
        <f t="shared" si="1"/>
        <v>IN-BLR-ANANTA-VAV-1898_11</v>
      </c>
      <c r="Q2326" s="173" t="s">
        <v>7882</v>
      </c>
      <c r="R2326" s="328" t="str">
        <f>IFS(C2326="","",C2326="n/a","N/A",LEN(C2326),Concatenate("{",char(34),"asset",char(34),":{",char(34),"guid",char(34),":",char(34),Q2326,char(34),",",char(34),"site",char(34),":",char(34),LOWER('2-Building'!$B$4),char(34),",",char(34),"name",char(34),":",char(34),LOWER(C2326),char(34),"}}"))</f>
        <v>{"asset":{"guid":"uuid://f8d5484d-cd2d-44ed-abb6-d44451c85fa5","site":"in-blr-ananta","name":"vav-1898"}}</v>
      </c>
      <c r="S2326" s="333"/>
      <c r="T2326" s="330"/>
      <c r="U2326" s="330"/>
      <c r="V2326" s="331"/>
      <c r="W2326" s="332"/>
      <c r="X2326" s="333"/>
      <c r="Y2326" s="33" t="s">
        <v>2867</v>
      </c>
      <c r="Z2326" s="258">
        <v>121898.0</v>
      </c>
      <c r="AA2326" s="333"/>
      <c r="AB2326" s="333"/>
      <c r="AC2326" s="333"/>
      <c r="AD2326" s="329"/>
      <c r="AE2326" s="362" t="s">
        <v>685</v>
      </c>
      <c r="AF2326" s="336"/>
      <c r="AG2326" s="337"/>
      <c r="AH2326" s="333"/>
      <c r="AI2326" s="333"/>
      <c r="AJ2326" s="333"/>
      <c r="AK2326" s="328" t="s">
        <v>2555</v>
      </c>
      <c r="AL2326" s="328" t="s">
        <v>688</v>
      </c>
      <c r="AM2326" s="338"/>
      <c r="AN2326" s="333"/>
      <c r="AO2326" s="333"/>
      <c r="AP2326" s="333"/>
      <c r="AQ2326" s="333"/>
      <c r="AR2326" s="333"/>
      <c r="AS2326" s="333"/>
      <c r="AT2326" s="333"/>
      <c r="AU2326" s="329"/>
      <c r="AV2326" s="341"/>
      <c r="AW2326" s="269"/>
      <c r="AX2326" s="334" t="s">
        <v>2869</v>
      </c>
      <c r="AY2326" s="270" t="s">
        <v>695</v>
      </c>
      <c r="AZ2326" s="173" t="s">
        <v>5516</v>
      </c>
      <c r="BA2326" s="265">
        <v>10.0</v>
      </c>
      <c r="BB2326" s="174" t="s">
        <v>245</v>
      </c>
      <c r="BC2326" s="341"/>
      <c r="BD2326" s="308"/>
      <c r="BE2326" s="342"/>
      <c r="BF2326" s="274" t="str">
        <f>IFERROR(__xludf.DUMMYFUNCTION("LOWER(Regexreplace(to_text(E2326),""[^A-Za-z0-9]"","""")&amp;""_""&amp;Regexreplace(to_text(F2326),""[^A-Za-z0-9]"",""""))"),"neptronic_evcbseries")</f>
        <v>neptronic_evcbseries</v>
      </c>
      <c r="BG2326" s="275" t="str">
        <f>IFERROR(__xludf.DUMMYFUNCTION("upper(Regexreplace(to_text(E2326),""[^A-Za-z0-9]"","""")&amp;""-""&amp;Regexreplace(to_text(F2326),""[^A-Za-z0-9]"",""""))"),"NEPTRONIC-EVCBSERIES")</f>
        <v>NEPTRONIC-EVCBSERIES</v>
      </c>
    </row>
    <row r="2327" ht="30.0" customHeight="1">
      <c r="A2327" s="173">
        <v>2319.0</v>
      </c>
      <c r="B2327" s="328" t="s">
        <v>670</v>
      </c>
      <c r="C2327" s="257" t="s">
        <v>7883</v>
      </c>
      <c r="D2327" s="173" t="s">
        <v>7883</v>
      </c>
      <c r="E2327" s="174" t="s">
        <v>2861</v>
      </c>
      <c r="F2327" s="173" t="s">
        <v>2862</v>
      </c>
      <c r="G2327" s="328" t="s">
        <v>673</v>
      </c>
      <c r="H2327" s="328" t="s">
        <v>2863</v>
      </c>
      <c r="I2327" s="258" t="s">
        <v>2864</v>
      </c>
      <c r="J2327" s="259" t="s">
        <v>1453</v>
      </c>
      <c r="K2327" s="260"/>
      <c r="L2327" s="363"/>
      <c r="M2327" s="329"/>
      <c r="N2327" s="173" t="s">
        <v>679</v>
      </c>
      <c r="O2327" s="173"/>
      <c r="P2327" s="262" t="str">
        <f t="shared" si="1"/>
        <v>IN-BLR-ANANTA-VAV-1899_11</v>
      </c>
      <c r="Q2327" s="173" t="s">
        <v>7884</v>
      </c>
      <c r="R2327" s="328" t="str">
        <f>IFS(C2327="","",C2327="n/a","N/A",LEN(C2327),Concatenate("{",char(34),"asset",char(34),":{",char(34),"guid",char(34),":",char(34),Q2327,char(34),",",char(34),"site",char(34),":",char(34),LOWER('2-Building'!$B$4),char(34),",",char(34),"name",char(34),":",char(34),LOWER(C2327),char(34),"}}"))</f>
        <v>{"asset":{"guid":"uuid://48b5d962-5cbb-47b8-9ebb-6052c336b237","site":"in-blr-ananta","name":"vav-1899"}}</v>
      </c>
      <c r="S2327" s="333"/>
      <c r="T2327" s="330"/>
      <c r="U2327" s="330"/>
      <c r="V2327" s="331"/>
      <c r="W2327" s="332"/>
      <c r="X2327" s="333"/>
      <c r="Y2327" s="33" t="s">
        <v>2867</v>
      </c>
      <c r="Z2327" s="258">
        <v>121899.0</v>
      </c>
      <c r="AA2327" s="333"/>
      <c r="AB2327" s="333"/>
      <c r="AC2327" s="333"/>
      <c r="AD2327" s="329"/>
      <c r="AE2327" s="362" t="s">
        <v>685</v>
      </c>
      <c r="AF2327" s="336"/>
      <c r="AG2327" s="337"/>
      <c r="AH2327" s="333"/>
      <c r="AI2327" s="333"/>
      <c r="AJ2327" s="333"/>
      <c r="AK2327" s="328" t="s">
        <v>2561</v>
      </c>
      <c r="AL2327" s="328" t="s">
        <v>688</v>
      </c>
      <c r="AM2327" s="338"/>
      <c r="AN2327" s="333"/>
      <c r="AO2327" s="333"/>
      <c r="AP2327" s="333"/>
      <c r="AQ2327" s="333"/>
      <c r="AR2327" s="333"/>
      <c r="AS2327" s="333"/>
      <c r="AT2327" s="333"/>
      <c r="AU2327" s="329"/>
      <c r="AV2327" s="341"/>
      <c r="AW2327" s="269"/>
      <c r="AX2327" s="334" t="s">
        <v>2869</v>
      </c>
      <c r="AY2327" s="270" t="s">
        <v>695</v>
      </c>
      <c r="AZ2327" s="173" t="s">
        <v>5516</v>
      </c>
      <c r="BA2327" s="265">
        <v>10.0</v>
      </c>
      <c r="BB2327" s="174" t="s">
        <v>245</v>
      </c>
      <c r="BC2327" s="341"/>
      <c r="BD2327" s="308"/>
      <c r="BE2327" s="342"/>
      <c r="BF2327" s="274" t="str">
        <f>IFERROR(__xludf.DUMMYFUNCTION("LOWER(Regexreplace(to_text(E2327),""[^A-Za-z0-9]"","""")&amp;""_""&amp;Regexreplace(to_text(F2327),""[^A-Za-z0-9]"",""""))"),"neptronic_evcbseries")</f>
        <v>neptronic_evcbseries</v>
      </c>
      <c r="BG2327" s="275" t="str">
        <f>IFERROR(__xludf.DUMMYFUNCTION("upper(Regexreplace(to_text(E2327),""[^A-Za-z0-9]"","""")&amp;""-""&amp;Regexreplace(to_text(F2327),""[^A-Za-z0-9]"",""""))"),"NEPTRONIC-EVCBSERIES")</f>
        <v>NEPTRONIC-EVCBSERIES</v>
      </c>
    </row>
    <row r="2328" ht="30.0" customHeight="1">
      <c r="A2328" s="258">
        <v>2320.0</v>
      </c>
      <c r="B2328" s="328" t="s">
        <v>670</v>
      </c>
      <c r="C2328" s="257" t="s">
        <v>7885</v>
      </c>
      <c r="D2328" s="173" t="s">
        <v>7885</v>
      </c>
      <c r="E2328" s="174" t="s">
        <v>2861</v>
      </c>
      <c r="F2328" s="173" t="s">
        <v>2862</v>
      </c>
      <c r="G2328" s="328" t="s">
        <v>673</v>
      </c>
      <c r="H2328" s="328" t="s">
        <v>2863</v>
      </c>
      <c r="I2328" s="258" t="s">
        <v>2864</v>
      </c>
      <c r="J2328" s="259" t="s">
        <v>1453</v>
      </c>
      <c r="K2328" s="260"/>
      <c r="L2328" s="363"/>
      <c r="M2328" s="329"/>
      <c r="N2328" s="173" t="s">
        <v>679</v>
      </c>
      <c r="O2328" s="173"/>
      <c r="P2328" s="262" t="str">
        <f t="shared" si="1"/>
        <v>IN-BLR-ANANTA-VAV-1900_11</v>
      </c>
      <c r="Q2328" s="173" t="s">
        <v>7886</v>
      </c>
      <c r="R2328" s="328" t="str">
        <f>IFS(C2328="","",C2328="n/a","N/A",LEN(C2328),Concatenate("{",char(34),"asset",char(34),":{",char(34),"guid",char(34),":",char(34),Q2328,char(34),",",char(34),"site",char(34),":",char(34),LOWER('2-Building'!$B$4),char(34),",",char(34),"name",char(34),":",char(34),LOWER(C2328),char(34),"}}"))</f>
        <v>{"asset":{"guid":"uuid://cc1c36d9-1577-4517-9a77-8d898541055c","site":"in-blr-ananta","name":"vav-1900"}}</v>
      </c>
      <c r="S2328" s="333"/>
      <c r="T2328" s="330"/>
      <c r="U2328" s="330"/>
      <c r="V2328" s="331"/>
      <c r="W2328" s="332"/>
      <c r="X2328" s="333"/>
      <c r="Y2328" s="33" t="s">
        <v>2867</v>
      </c>
      <c r="Z2328" s="258">
        <v>121900.0</v>
      </c>
      <c r="AA2328" s="333"/>
      <c r="AB2328" s="333"/>
      <c r="AC2328" s="333"/>
      <c r="AD2328" s="329"/>
      <c r="AE2328" s="362" t="s">
        <v>685</v>
      </c>
      <c r="AF2328" s="336"/>
      <c r="AG2328" s="337"/>
      <c r="AH2328" s="333"/>
      <c r="AI2328" s="333"/>
      <c r="AJ2328" s="333"/>
      <c r="AK2328" s="328" t="s">
        <v>2566</v>
      </c>
      <c r="AL2328" s="328" t="s">
        <v>688</v>
      </c>
      <c r="AM2328" s="338"/>
      <c r="AN2328" s="333"/>
      <c r="AO2328" s="333"/>
      <c r="AP2328" s="333"/>
      <c r="AQ2328" s="333"/>
      <c r="AR2328" s="333"/>
      <c r="AS2328" s="333"/>
      <c r="AT2328" s="333"/>
      <c r="AU2328" s="329"/>
      <c r="AV2328" s="341"/>
      <c r="AW2328" s="269"/>
      <c r="AX2328" s="334" t="s">
        <v>2869</v>
      </c>
      <c r="AY2328" s="270" t="s">
        <v>695</v>
      </c>
      <c r="AZ2328" s="173" t="s">
        <v>5516</v>
      </c>
      <c r="BA2328" s="265">
        <v>10.0</v>
      </c>
      <c r="BB2328" s="174" t="s">
        <v>245</v>
      </c>
      <c r="BC2328" s="341"/>
      <c r="BD2328" s="308"/>
      <c r="BE2328" s="342"/>
      <c r="BF2328" s="274" t="str">
        <f>IFERROR(__xludf.DUMMYFUNCTION("LOWER(Regexreplace(to_text(E2328),""[^A-Za-z0-9]"","""")&amp;""_""&amp;Regexreplace(to_text(F2328),""[^A-Za-z0-9]"",""""))"),"neptronic_evcbseries")</f>
        <v>neptronic_evcbseries</v>
      </c>
      <c r="BG2328" s="275" t="str">
        <f>IFERROR(__xludf.DUMMYFUNCTION("upper(Regexreplace(to_text(E2328),""[^A-Za-z0-9]"","""")&amp;""-""&amp;Regexreplace(to_text(F2328),""[^A-Za-z0-9]"",""""))"),"NEPTRONIC-EVCBSERIES")</f>
        <v>NEPTRONIC-EVCBSERIES</v>
      </c>
    </row>
    <row r="2329" ht="30.0" customHeight="1">
      <c r="A2329" s="173">
        <v>2321.0</v>
      </c>
      <c r="B2329" s="328" t="s">
        <v>670</v>
      </c>
      <c r="C2329" s="257" t="s">
        <v>7887</v>
      </c>
      <c r="D2329" s="173" t="s">
        <v>7887</v>
      </c>
      <c r="E2329" s="174" t="s">
        <v>2861</v>
      </c>
      <c r="F2329" s="173" t="s">
        <v>2862</v>
      </c>
      <c r="G2329" s="328" t="s">
        <v>673</v>
      </c>
      <c r="H2329" s="328" t="s">
        <v>2863</v>
      </c>
      <c r="I2329" s="258" t="s">
        <v>2864</v>
      </c>
      <c r="J2329" s="259" t="s">
        <v>1453</v>
      </c>
      <c r="K2329" s="260"/>
      <c r="L2329" s="363"/>
      <c r="M2329" s="329"/>
      <c r="N2329" s="173" t="s">
        <v>679</v>
      </c>
      <c r="O2329" s="173"/>
      <c r="P2329" s="262" t="str">
        <f t="shared" si="1"/>
        <v>IN-BLR-ANANTA-VAV-1901_11</v>
      </c>
      <c r="Q2329" s="173" t="s">
        <v>7888</v>
      </c>
      <c r="R2329" s="328" t="str">
        <f>IFS(C2329="","",C2329="n/a","N/A",LEN(C2329),Concatenate("{",char(34),"asset",char(34),":{",char(34),"guid",char(34),":",char(34),Q2329,char(34),",",char(34),"site",char(34),":",char(34),LOWER('2-Building'!$B$4),char(34),",",char(34),"name",char(34),":",char(34),LOWER(C2329),char(34),"}}"))</f>
        <v>{"asset":{"guid":"uuid://8dce94a1-2cb2-4a06-be2a-0aad183d7443","site":"in-blr-ananta","name":"vav-1901"}}</v>
      </c>
      <c r="S2329" s="333"/>
      <c r="T2329" s="330"/>
      <c r="U2329" s="330"/>
      <c r="V2329" s="331"/>
      <c r="W2329" s="332"/>
      <c r="X2329" s="333"/>
      <c r="Y2329" s="33" t="s">
        <v>2867</v>
      </c>
      <c r="Z2329" s="258">
        <v>121901.0</v>
      </c>
      <c r="AA2329" s="333"/>
      <c r="AB2329" s="333"/>
      <c r="AC2329" s="333"/>
      <c r="AD2329" s="329"/>
      <c r="AE2329" s="362" t="s">
        <v>685</v>
      </c>
      <c r="AF2329" s="336"/>
      <c r="AG2329" s="337"/>
      <c r="AH2329" s="333"/>
      <c r="AI2329" s="333"/>
      <c r="AJ2329" s="333"/>
      <c r="AK2329" s="328" t="s">
        <v>2572</v>
      </c>
      <c r="AL2329" s="328" t="s">
        <v>688</v>
      </c>
      <c r="AM2329" s="338"/>
      <c r="AN2329" s="333"/>
      <c r="AO2329" s="333"/>
      <c r="AP2329" s="333"/>
      <c r="AQ2329" s="333"/>
      <c r="AR2329" s="333"/>
      <c r="AS2329" s="333"/>
      <c r="AT2329" s="333"/>
      <c r="AU2329" s="329"/>
      <c r="AV2329" s="341"/>
      <c r="AW2329" s="269"/>
      <c r="AX2329" s="334" t="s">
        <v>2869</v>
      </c>
      <c r="AY2329" s="270" t="s">
        <v>695</v>
      </c>
      <c r="AZ2329" s="173" t="s">
        <v>5516</v>
      </c>
      <c r="BA2329" s="265">
        <v>10.0</v>
      </c>
      <c r="BB2329" s="174" t="s">
        <v>245</v>
      </c>
      <c r="BC2329" s="341"/>
      <c r="BD2329" s="308"/>
      <c r="BE2329" s="342"/>
      <c r="BF2329" s="274" t="str">
        <f>IFERROR(__xludf.DUMMYFUNCTION("LOWER(Regexreplace(to_text(E2329),""[^A-Za-z0-9]"","""")&amp;""_""&amp;Regexreplace(to_text(F2329),""[^A-Za-z0-9]"",""""))"),"neptronic_evcbseries")</f>
        <v>neptronic_evcbseries</v>
      </c>
      <c r="BG2329" s="275" t="str">
        <f>IFERROR(__xludf.DUMMYFUNCTION("upper(Regexreplace(to_text(E2329),""[^A-Za-z0-9]"","""")&amp;""-""&amp;Regexreplace(to_text(F2329),""[^A-Za-z0-9]"",""""))"),"NEPTRONIC-EVCBSERIES")</f>
        <v>NEPTRONIC-EVCBSERIES</v>
      </c>
    </row>
    <row r="2330" ht="30.0" customHeight="1">
      <c r="A2330" s="258">
        <v>2322.0</v>
      </c>
      <c r="B2330" s="328" t="s">
        <v>670</v>
      </c>
      <c r="C2330" s="257" t="s">
        <v>7889</v>
      </c>
      <c r="D2330" s="173" t="s">
        <v>7889</v>
      </c>
      <c r="E2330" s="174" t="s">
        <v>2861</v>
      </c>
      <c r="F2330" s="173" t="s">
        <v>2862</v>
      </c>
      <c r="G2330" s="328" t="s">
        <v>673</v>
      </c>
      <c r="H2330" s="328" t="s">
        <v>2863</v>
      </c>
      <c r="I2330" s="258" t="s">
        <v>2864</v>
      </c>
      <c r="J2330" s="259" t="s">
        <v>1453</v>
      </c>
      <c r="K2330" s="260"/>
      <c r="L2330" s="363"/>
      <c r="M2330" s="329"/>
      <c r="N2330" s="173" t="s">
        <v>679</v>
      </c>
      <c r="O2330" s="173"/>
      <c r="P2330" s="262" t="str">
        <f t="shared" si="1"/>
        <v>IN-BLR-ANANTA-VAV-1902_11</v>
      </c>
      <c r="Q2330" s="173" t="s">
        <v>7890</v>
      </c>
      <c r="R2330" s="328" t="str">
        <f>IFS(C2330="","",C2330="n/a","N/A",LEN(C2330),Concatenate("{",char(34),"asset",char(34),":{",char(34),"guid",char(34),":",char(34),Q2330,char(34),",",char(34),"site",char(34),":",char(34),LOWER('2-Building'!$B$4),char(34),",",char(34),"name",char(34),":",char(34),LOWER(C2330),char(34),"}}"))</f>
        <v>{"asset":{"guid":"uuid://a6d4c6c3-1235-42f5-bfcc-2bd30c9ed97c","site":"in-blr-ananta","name":"vav-1902"}}</v>
      </c>
      <c r="S2330" s="333"/>
      <c r="T2330" s="330"/>
      <c r="U2330" s="330"/>
      <c r="V2330" s="331"/>
      <c r="W2330" s="332"/>
      <c r="X2330" s="333"/>
      <c r="Y2330" s="33" t="s">
        <v>2867</v>
      </c>
      <c r="Z2330" s="258">
        <v>121902.0</v>
      </c>
      <c r="AA2330" s="333"/>
      <c r="AB2330" s="333"/>
      <c r="AC2330" s="333"/>
      <c r="AD2330" s="329"/>
      <c r="AE2330" s="362" t="s">
        <v>685</v>
      </c>
      <c r="AF2330" s="336"/>
      <c r="AG2330" s="337"/>
      <c r="AH2330" s="333"/>
      <c r="AI2330" s="333"/>
      <c r="AJ2330" s="333"/>
      <c r="AK2330" s="328" t="s">
        <v>2577</v>
      </c>
      <c r="AL2330" s="328" t="s">
        <v>688</v>
      </c>
      <c r="AM2330" s="338"/>
      <c r="AN2330" s="333"/>
      <c r="AO2330" s="333"/>
      <c r="AP2330" s="333"/>
      <c r="AQ2330" s="333"/>
      <c r="AR2330" s="333"/>
      <c r="AS2330" s="333"/>
      <c r="AT2330" s="333"/>
      <c r="AU2330" s="329"/>
      <c r="AV2330" s="341"/>
      <c r="AW2330" s="269"/>
      <c r="AX2330" s="334" t="s">
        <v>2869</v>
      </c>
      <c r="AY2330" s="270" t="s">
        <v>695</v>
      </c>
      <c r="AZ2330" s="173" t="s">
        <v>5516</v>
      </c>
      <c r="BA2330" s="265">
        <v>10.0</v>
      </c>
      <c r="BB2330" s="174" t="s">
        <v>245</v>
      </c>
      <c r="BC2330" s="341"/>
      <c r="BD2330" s="308"/>
      <c r="BE2330" s="342"/>
      <c r="BF2330" s="274" t="str">
        <f>IFERROR(__xludf.DUMMYFUNCTION("LOWER(Regexreplace(to_text(E2330),""[^A-Za-z0-9]"","""")&amp;""_""&amp;Regexreplace(to_text(F2330),""[^A-Za-z0-9]"",""""))"),"neptronic_evcbseries")</f>
        <v>neptronic_evcbseries</v>
      </c>
      <c r="BG2330" s="275" t="str">
        <f>IFERROR(__xludf.DUMMYFUNCTION("upper(Regexreplace(to_text(E2330),""[^A-Za-z0-9]"","""")&amp;""-""&amp;Regexreplace(to_text(F2330),""[^A-Za-z0-9]"",""""))"),"NEPTRONIC-EVCBSERIES")</f>
        <v>NEPTRONIC-EVCBSERIES</v>
      </c>
    </row>
    <row r="2331" ht="30.0" customHeight="1">
      <c r="A2331" s="173">
        <v>2323.0</v>
      </c>
      <c r="B2331" s="328" t="s">
        <v>670</v>
      </c>
      <c r="C2331" s="257" t="s">
        <v>7891</v>
      </c>
      <c r="D2331" s="173" t="s">
        <v>7891</v>
      </c>
      <c r="E2331" s="174" t="s">
        <v>2861</v>
      </c>
      <c r="F2331" s="173" t="s">
        <v>2862</v>
      </c>
      <c r="G2331" s="328" t="s">
        <v>673</v>
      </c>
      <c r="H2331" s="328" t="s">
        <v>2863</v>
      </c>
      <c r="I2331" s="258" t="s">
        <v>2864</v>
      </c>
      <c r="J2331" s="259" t="s">
        <v>1453</v>
      </c>
      <c r="K2331" s="260"/>
      <c r="L2331" s="363"/>
      <c r="M2331" s="329"/>
      <c r="N2331" s="173" t="s">
        <v>679</v>
      </c>
      <c r="O2331" s="173"/>
      <c r="P2331" s="262" t="str">
        <f t="shared" si="1"/>
        <v>IN-BLR-ANANTA-VAV-1903_11</v>
      </c>
      <c r="Q2331" s="173" t="s">
        <v>7892</v>
      </c>
      <c r="R2331" s="328" t="str">
        <f>IFS(C2331="","",C2331="n/a","N/A",LEN(C2331),Concatenate("{",char(34),"asset",char(34),":{",char(34),"guid",char(34),":",char(34),Q2331,char(34),",",char(34),"site",char(34),":",char(34),LOWER('2-Building'!$B$4),char(34),",",char(34),"name",char(34),":",char(34),LOWER(C2331),char(34),"}}"))</f>
        <v>{"asset":{"guid":"uuid://07644a49-c9bb-49a5-82fc-1f2acbca1e63","site":"in-blr-ananta","name":"vav-1903"}}</v>
      </c>
      <c r="S2331" s="333"/>
      <c r="T2331" s="330"/>
      <c r="U2331" s="330"/>
      <c r="V2331" s="331"/>
      <c r="W2331" s="332"/>
      <c r="X2331" s="333"/>
      <c r="Y2331" s="33" t="s">
        <v>2867</v>
      </c>
      <c r="Z2331" s="258">
        <v>121903.0</v>
      </c>
      <c r="AA2331" s="333"/>
      <c r="AB2331" s="333"/>
      <c r="AC2331" s="333"/>
      <c r="AD2331" s="329"/>
      <c r="AE2331" s="362" t="s">
        <v>685</v>
      </c>
      <c r="AF2331" s="336"/>
      <c r="AG2331" s="337"/>
      <c r="AH2331" s="333"/>
      <c r="AI2331" s="333"/>
      <c r="AJ2331" s="333"/>
      <c r="AK2331" s="328" t="s">
        <v>2582</v>
      </c>
      <c r="AL2331" s="328" t="s">
        <v>688</v>
      </c>
      <c r="AM2331" s="338"/>
      <c r="AN2331" s="333"/>
      <c r="AO2331" s="333"/>
      <c r="AP2331" s="333"/>
      <c r="AQ2331" s="333"/>
      <c r="AR2331" s="333"/>
      <c r="AS2331" s="333"/>
      <c r="AT2331" s="333"/>
      <c r="AU2331" s="329"/>
      <c r="AV2331" s="341"/>
      <c r="AW2331" s="269"/>
      <c r="AX2331" s="334" t="s">
        <v>2869</v>
      </c>
      <c r="AY2331" s="270" t="s">
        <v>695</v>
      </c>
      <c r="AZ2331" s="173" t="s">
        <v>5516</v>
      </c>
      <c r="BA2331" s="265">
        <v>10.0</v>
      </c>
      <c r="BB2331" s="174" t="s">
        <v>245</v>
      </c>
      <c r="BC2331" s="341"/>
      <c r="BD2331" s="308"/>
      <c r="BE2331" s="342"/>
      <c r="BF2331" s="274" t="str">
        <f>IFERROR(__xludf.DUMMYFUNCTION("LOWER(Regexreplace(to_text(E2331),""[^A-Za-z0-9]"","""")&amp;""_""&amp;Regexreplace(to_text(F2331),""[^A-Za-z0-9]"",""""))"),"neptronic_evcbseries")</f>
        <v>neptronic_evcbseries</v>
      </c>
      <c r="BG2331" s="275" t="str">
        <f>IFERROR(__xludf.DUMMYFUNCTION("upper(Regexreplace(to_text(E2331),""[^A-Za-z0-9]"","""")&amp;""-""&amp;Regexreplace(to_text(F2331),""[^A-Za-z0-9]"",""""))"),"NEPTRONIC-EVCBSERIES")</f>
        <v>NEPTRONIC-EVCBSERIES</v>
      </c>
    </row>
    <row r="2332" ht="30.0" customHeight="1">
      <c r="A2332" s="258">
        <v>2324.0</v>
      </c>
      <c r="B2332" s="328" t="s">
        <v>670</v>
      </c>
      <c r="C2332" s="257" t="s">
        <v>7893</v>
      </c>
      <c r="D2332" s="173" t="s">
        <v>7893</v>
      </c>
      <c r="E2332" s="174" t="s">
        <v>2861</v>
      </c>
      <c r="F2332" s="173" t="s">
        <v>2862</v>
      </c>
      <c r="G2332" s="328" t="s">
        <v>673</v>
      </c>
      <c r="H2332" s="328" t="s">
        <v>2863</v>
      </c>
      <c r="I2332" s="258" t="s">
        <v>2864</v>
      </c>
      <c r="J2332" s="259" t="s">
        <v>1453</v>
      </c>
      <c r="K2332" s="260"/>
      <c r="L2332" s="363"/>
      <c r="M2332" s="329"/>
      <c r="N2332" s="173" t="s">
        <v>679</v>
      </c>
      <c r="O2332" s="173"/>
      <c r="P2332" s="262" t="str">
        <f t="shared" si="1"/>
        <v>IN-BLR-ANANTA-VAV-1904_11</v>
      </c>
      <c r="Q2332" s="173" t="s">
        <v>7894</v>
      </c>
      <c r="R2332" s="328" t="str">
        <f>IFS(C2332="","",C2332="n/a","N/A",LEN(C2332),Concatenate("{",char(34),"asset",char(34),":{",char(34),"guid",char(34),":",char(34),Q2332,char(34),",",char(34),"site",char(34),":",char(34),LOWER('2-Building'!$B$4),char(34),",",char(34),"name",char(34),":",char(34),LOWER(C2332),char(34),"}}"))</f>
        <v>{"asset":{"guid":"uuid://45e7dd13-75c4-473d-9c47-ba41507d2e67","site":"in-blr-ananta","name":"vav-1904"}}</v>
      </c>
      <c r="S2332" s="333"/>
      <c r="T2332" s="330"/>
      <c r="U2332" s="330"/>
      <c r="V2332" s="331"/>
      <c r="W2332" s="332"/>
      <c r="X2332" s="333"/>
      <c r="Y2332" s="33" t="s">
        <v>2867</v>
      </c>
      <c r="Z2332" s="258">
        <v>121904.0</v>
      </c>
      <c r="AA2332" s="333"/>
      <c r="AB2332" s="333"/>
      <c r="AC2332" s="333"/>
      <c r="AD2332" s="329"/>
      <c r="AE2332" s="362" t="s">
        <v>685</v>
      </c>
      <c r="AF2332" s="336"/>
      <c r="AG2332" s="337"/>
      <c r="AH2332" s="333"/>
      <c r="AI2332" s="333"/>
      <c r="AJ2332" s="333"/>
      <c r="AK2332" s="328" t="s">
        <v>2587</v>
      </c>
      <c r="AL2332" s="328" t="s">
        <v>688</v>
      </c>
      <c r="AM2332" s="338"/>
      <c r="AN2332" s="333"/>
      <c r="AO2332" s="333"/>
      <c r="AP2332" s="333"/>
      <c r="AQ2332" s="333"/>
      <c r="AR2332" s="333"/>
      <c r="AS2332" s="333"/>
      <c r="AT2332" s="333"/>
      <c r="AU2332" s="329"/>
      <c r="AV2332" s="341"/>
      <c r="AW2332" s="269"/>
      <c r="AX2332" s="334" t="s">
        <v>2869</v>
      </c>
      <c r="AY2332" s="270" t="s">
        <v>695</v>
      </c>
      <c r="AZ2332" s="173" t="s">
        <v>5516</v>
      </c>
      <c r="BA2332" s="265">
        <v>10.0</v>
      </c>
      <c r="BB2332" s="174" t="s">
        <v>245</v>
      </c>
      <c r="BC2332" s="341"/>
      <c r="BD2332" s="308"/>
      <c r="BE2332" s="342"/>
      <c r="BF2332" s="274" t="str">
        <f>IFERROR(__xludf.DUMMYFUNCTION("LOWER(Regexreplace(to_text(E2332),""[^A-Za-z0-9]"","""")&amp;""_""&amp;Regexreplace(to_text(F2332),""[^A-Za-z0-9]"",""""))"),"neptronic_evcbseries")</f>
        <v>neptronic_evcbseries</v>
      </c>
      <c r="BG2332" s="275" t="str">
        <f>IFERROR(__xludf.DUMMYFUNCTION("upper(Regexreplace(to_text(E2332),""[^A-Za-z0-9]"","""")&amp;""-""&amp;Regexreplace(to_text(F2332),""[^A-Za-z0-9]"",""""))"),"NEPTRONIC-EVCBSERIES")</f>
        <v>NEPTRONIC-EVCBSERIES</v>
      </c>
    </row>
    <row r="2333" ht="30.0" customHeight="1">
      <c r="A2333" s="173">
        <v>2325.0</v>
      </c>
      <c r="B2333" s="328" t="s">
        <v>670</v>
      </c>
      <c r="C2333" s="257" t="s">
        <v>7895</v>
      </c>
      <c r="D2333" s="173" t="s">
        <v>7895</v>
      </c>
      <c r="E2333" s="174" t="s">
        <v>2861</v>
      </c>
      <c r="F2333" s="173" t="s">
        <v>2862</v>
      </c>
      <c r="G2333" s="328" t="s">
        <v>673</v>
      </c>
      <c r="H2333" s="328" t="s">
        <v>2863</v>
      </c>
      <c r="I2333" s="258" t="s">
        <v>2864</v>
      </c>
      <c r="J2333" s="259" t="s">
        <v>1453</v>
      </c>
      <c r="K2333" s="260"/>
      <c r="L2333" s="363"/>
      <c r="M2333" s="329"/>
      <c r="N2333" s="173" t="s">
        <v>679</v>
      </c>
      <c r="O2333" s="173"/>
      <c r="P2333" s="262" t="str">
        <f t="shared" si="1"/>
        <v>IN-BLR-ANANTA-VAV-1905_11</v>
      </c>
      <c r="Q2333" s="173" t="s">
        <v>7896</v>
      </c>
      <c r="R2333" s="328" t="str">
        <f>IFS(C2333="","",C2333="n/a","N/A",LEN(C2333),Concatenate("{",char(34),"asset",char(34),":{",char(34),"guid",char(34),":",char(34),Q2333,char(34),",",char(34),"site",char(34),":",char(34),LOWER('2-Building'!$B$4),char(34),",",char(34),"name",char(34),":",char(34),LOWER(C2333),char(34),"}}"))</f>
        <v>{"asset":{"guid":"uuid://38d1ba59-3997-49f1-bcad-7c56b55c6f15","site":"in-blr-ananta","name":"vav-1905"}}</v>
      </c>
      <c r="S2333" s="333"/>
      <c r="T2333" s="330"/>
      <c r="U2333" s="330"/>
      <c r="V2333" s="331"/>
      <c r="W2333" s="332"/>
      <c r="X2333" s="333"/>
      <c r="Y2333" s="33" t="s">
        <v>2867</v>
      </c>
      <c r="Z2333" s="258">
        <v>121905.0</v>
      </c>
      <c r="AA2333" s="333"/>
      <c r="AB2333" s="333"/>
      <c r="AC2333" s="333"/>
      <c r="AD2333" s="329"/>
      <c r="AE2333" s="362" t="s">
        <v>685</v>
      </c>
      <c r="AF2333" s="336"/>
      <c r="AG2333" s="337"/>
      <c r="AH2333" s="333"/>
      <c r="AI2333" s="333"/>
      <c r="AJ2333" s="333"/>
      <c r="AK2333" s="328" t="s">
        <v>2592</v>
      </c>
      <c r="AL2333" s="328" t="s">
        <v>688</v>
      </c>
      <c r="AM2333" s="338"/>
      <c r="AN2333" s="333"/>
      <c r="AO2333" s="333"/>
      <c r="AP2333" s="333"/>
      <c r="AQ2333" s="333"/>
      <c r="AR2333" s="333"/>
      <c r="AS2333" s="333"/>
      <c r="AT2333" s="333"/>
      <c r="AU2333" s="329"/>
      <c r="AV2333" s="341"/>
      <c r="AW2333" s="269"/>
      <c r="AX2333" s="334" t="s">
        <v>2869</v>
      </c>
      <c r="AY2333" s="270" t="s">
        <v>695</v>
      </c>
      <c r="AZ2333" s="173" t="s">
        <v>5516</v>
      </c>
      <c r="BA2333" s="265">
        <v>10.0</v>
      </c>
      <c r="BB2333" s="174" t="s">
        <v>245</v>
      </c>
      <c r="BC2333" s="341"/>
      <c r="BD2333" s="308"/>
      <c r="BE2333" s="342"/>
      <c r="BF2333" s="274" t="str">
        <f>IFERROR(__xludf.DUMMYFUNCTION("LOWER(Regexreplace(to_text(E2333),""[^A-Za-z0-9]"","""")&amp;""_""&amp;Regexreplace(to_text(F2333),""[^A-Za-z0-9]"",""""))"),"neptronic_evcbseries")</f>
        <v>neptronic_evcbseries</v>
      </c>
      <c r="BG2333" s="275" t="str">
        <f>IFERROR(__xludf.DUMMYFUNCTION("upper(Regexreplace(to_text(E2333),""[^A-Za-z0-9]"","""")&amp;""-""&amp;Regexreplace(to_text(F2333),""[^A-Za-z0-9]"",""""))"),"NEPTRONIC-EVCBSERIES")</f>
        <v>NEPTRONIC-EVCBSERIES</v>
      </c>
    </row>
    <row r="2334" ht="30.0" customHeight="1">
      <c r="A2334" s="258">
        <v>2326.0</v>
      </c>
      <c r="B2334" s="328" t="s">
        <v>670</v>
      </c>
      <c r="C2334" s="257" t="s">
        <v>7897</v>
      </c>
      <c r="D2334" s="173" t="s">
        <v>7897</v>
      </c>
      <c r="E2334" s="174" t="s">
        <v>2861</v>
      </c>
      <c r="F2334" s="173" t="s">
        <v>2862</v>
      </c>
      <c r="G2334" s="328" t="s">
        <v>673</v>
      </c>
      <c r="H2334" s="328" t="s">
        <v>2863</v>
      </c>
      <c r="I2334" s="258" t="s">
        <v>2864</v>
      </c>
      <c r="J2334" s="259" t="s">
        <v>1453</v>
      </c>
      <c r="K2334" s="260"/>
      <c r="L2334" s="363"/>
      <c r="M2334" s="329"/>
      <c r="N2334" s="173" t="s">
        <v>679</v>
      </c>
      <c r="O2334" s="173"/>
      <c r="P2334" s="262" t="str">
        <f t="shared" si="1"/>
        <v>IN-BLR-ANANTA-VAV-1906_11</v>
      </c>
      <c r="Q2334" s="173" t="s">
        <v>7898</v>
      </c>
      <c r="R2334" s="328" t="str">
        <f>IFS(C2334="","",C2334="n/a","N/A",LEN(C2334),Concatenate("{",char(34),"asset",char(34),":{",char(34),"guid",char(34),":",char(34),Q2334,char(34),",",char(34),"site",char(34),":",char(34),LOWER('2-Building'!$B$4),char(34),",",char(34),"name",char(34),":",char(34),LOWER(C2334),char(34),"}}"))</f>
        <v>{"asset":{"guid":"uuid://23486b5c-d586-48d5-8e24-19dd057a9ec3","site":"in-blr-ananta","name":"vav-1906"}}</v>
      </c>
      <c r="S2334" s="333"/>
      <c r="T2334" s="330"/>
      <c r="U2334" s="330"/>
      <c r="V2334" s="331"/>
      <c r="W2334" s="332"/>
      <c r="X2334" s="333"/>
      <c r="Y2334" s="33" t="s">
        <v>2867</v>
      </c>
      <c r="Z2334" s="258">
        <v>121906.0</v>
      </c>
      <c r="AA2334" s="333"/>
      <c r="AB2334" s="333"/>
      <c r="AC2334" s="333"/>
      <c r="AD2334" s="329"/>
      <c r="AE2334" s="362" t="s">
        <v>685</v>
      </c>
      <c r="AF2334" s="336"/>
      <c r="AG2334" s="337"/>
      <c r="AH2334" s="333"/>
      <c r="AI2334" s="333"/>
      <c r="AJ2334" s="333"/>
      <c r="AK2334" s="328" t="s">
        <v>2597</v>
      </c>
      <c r="AL2334" s="328" t="s">
        <v>688</v>
      </c>
      <c r="AM2334" s="338"/>
      <c r="AN2334" s="333"/>
      <c r="AO2334" s="333"/>
      <c r="AP2334" s="333"/>
      <c r="AQ2334" s="333"/>
      <c r="AR2334" s="333"/>
      <c r="AS2334" s="333"/>
      <c r="AT2334" s="333"/>
      <c r="AU2334" s="329"/>
      <c r="AV2334" s="341"/>
      <c r="AW2334" s="269"/>
      <c r="AX2334" s="334" t="s">
        <v>2869</v>
      </c>
      <c r="AY2334" s="270" t="s">
        <v>695</v>
      </c>
      <c r="AZ2334" s="173" t="s">
        <v>5516</v>
      </c>
      <c r="BA2334" s="265">
        <v>10.0</v>
      </c>
      <c r="BB2334" s="174" t="s">
        <v>245</v>
      </c>
      <c r="BC2334" s="341"/>
      <c r="BD2334" s="308"/>
      <c r="BE2334" s="342"/>
      <c r="BF2334" s="274" t="str">
        <f>IFERROR(__xludf.DUMMYFUNCTION("LOWER(Regexreplace(to_text(E2334),""[^A-Za-z0-9]"","""")&amp;""_""&amp;Regexreplace(to_text(F2334),""[^A-Za-z0-9]"",""""))"),"neptronic_evcbseries")</f>
        <v>neptronic_evcbseries</v>
      </c>
      <c r="BG2334" s="275" t="str">
        <f>IFERROR(__xludf.DUMMYFUNCTION("upper(Regexreplace(to_text(E2334),""[^A-Za-z0-9]"","""")&amp;""-""&amp;Regexreplace(to_text(F2334),""[^A-Za-z0-9]"",""""))"),"NEPTRONIC-EVCBSERIES")</f>
        <v>NEPTRONIC-EVCBSERIES</v>
      </c>
    </row>
    <row r="2335" ht="30.0" customHeight="1">
      <c r="A2335" s="173">
        <v>2327.0</v>
      </c>
      <c r="B2335" s="328" t="s">
        <v>670</v>
      </c>
      <c r="C2335" s="257" t="s">
        <v>7899</v>
      </c>
      <c r="D2335" s="173" t="s">
        <v>7899</v>
      </c>
      <c r="E2335" s="174" t="s">
        <v>2861</v>
      </c>
      <c r="F2335" s="173" t="s">
        <v>2862</v>
      </c>
      <c r="G2335" s="328" t="s">
        <v>673</v>
      </c>
      <c r="H2335" s="328" t="s">
        <v>2863</v>
      </c>
      <c r="I2335" s="258" t="s">
        <v>2864</v>
      </c>
      <c r="J2335" s="259" t="s">
        <v>1453</v>
      </c>
      <c r="K2335" s="260"/>
      <c r="L2335" s="363"/>
      <c r="M2335" s="329"/>
      <c r="N2335" s="173" t="s">
        <v>679</v>
      </c>
      <c r="O2335" s="173"/>
      <c r="P2335" s="262" t="str">
        <f t="shared" si="1"/>
        <v>IN-BLR-ANANTA-VAV-1907_11</v>
      </c>
      <c r="Q2335" s="173" t="s">
        <v>7900</v>
      </c>
      <c r="R2335" s="328" t="str">
        <f>IFS(C2335="","",C2335="n/a","N/A",LEN(C2335),Concatenate("{",char(34),"asset",char(34),":{",char(34),"guid",char(34),":",char(34),Q2335,char(34),",",char(34),"site",char(34),":",char(34),LOWER('2-Building'!$B$4),char(34),",",char(34),"name",char(34),":",char(34),LOWER(C2335),char(34),"}}"))</f>
        <v>{"asset":{"guid":"uuid://ec851377-c22a-4310-b882-4fafc6601e0d","site":"in-blr-ananta","name":"vav-1907"}}</v>
      </c>
      <c r="S2335" s="333"/>
      <c r="T2335" s="330"/>
      <c r="U2335" s="330"/>
      <c r="V2335" s="331"/>
      <c r="W2335" s="332"/>
      <c r="X2335" s="333"/>
      <c r="Y2335" s="33" t="s">
        <v>2867</v>
      </c>
      <c r="Z2335" s="258">
        <v>121907.0</v>
      </c>
      <c r="AA2335" s="333"/>
      <c r="AB2335" s="333"/>
      <c r="AC2335" s="333"/>
      <c r="AD2335" s="329"/>
      <c r="AE2335" s="362" t="s">
        <v>685</v>
      </c>
      <c r="AF2335" s="336"/>
      <c r="AG2335" s="337"/>
      <c r="AH2335" s="333"/>
      <c r="AI2335" s="333"/>
      <c r="AJ2335" s="333"/>
      <c r="AK2335" s="328" t="s">
        <v>2602</v>
      </c>
      <c r="AL2335" s="328" t="s">
        <v>688</v>
      </c>
      <c r="AM2335" s="338"/>
      <c r="AN2335" s="333"/>
      <c r="AO2335" s="333"/>
      <c r="AP2335" s="333"/>
      <c r="AQ2335" s="333"/>
      <c r="AR2335" s="333"/>
      <c r="AS2335" s="333"/>
      <c r="AT2335" s="333"/>
      <c r="AU2335" s="329"/>
      <c r="AV2335" s="341"/>
      <c r="AW2335" s="269"/>
      <c r="AX2335" s="334" t="s">
        <v>2869</v>
      </c>
      <c r="AY2335" s="270" t="s">
        <v>695</v>
      </c>
      <c r="AZ2335" s="173" t="s">
        <v>5516</v>
      </c>
      <c r="BA2335" s="265">
        <v>10.0</v>
      </c>
      <c r="BB2335" s="174" t="s">
        <v>245</v>
      </c>
      <c r="BC2335" s="341"/>
      <c r="BD2335" s="308"/>
      <c r="BE2335" s="342"/>
      <c r="BF2335" s="274" t="str">
        <f>IFERROR(__xludf.DUMMYFUNCTION("LOWER(Regexreplace(to_text(E2335),""[^A-Za-z0-9]"","""")&amp;""_""&amp;Regexreplace(to_text(F2335),""[^A-Za-z0-9]"",""""))"),"neptronic_evcbseries")</f>
        <v>neptronic_evcbseries</v>
      </c>
      <c r="BG2335" s="275" t="str">
        <f>IFERROR(__xludf.DUMMYFUNCTION("upper(Regexreplace(to_text(E2335),""[^A-Za-z0-9]"","""")&amp;""-""&amp;Regexreplace(to_text(F2335),""[^A-Za-z0-9]"",""""))"),"NEPTRONIC-EVCBSERIES")</f>
        <v>NEPTRONIC-EVCBSERIES</v>
      </c>
    </row>
    <row r="2336" ht="30.0" customHeight="1">
      <c r="A2336" s="258">
        <v>2328.0</v>
      </c>
      <c r="B2336" s="328" t="s">
        <v>670</v>
      </c>
      <c r="C2336" s="257" t="s">
        <v>7901</v>
      </c>
      <c r="D2336" s="173" t="s">
        <v>7901</v>
      </c>
      <c r="E2336" s="174" t="s">
        <v>2861</v>
      </c>
      <c r="F2336" s="173" t="s">
        <v>2862</v>
      </c>
      <c r="G2336" s="328" t="s">
        <v>673</v>
      </c>
      <c r="H2336" s="328" t="s">
        <v>2863</v>
      </c>
      <c r="I2336" s="258" t="s">
        <v>2864</v>
      </c>
      <c r="J2336" s="259" t="s">
        <v>1453</v>
      </c>
      <c r="K2336" s="260"/>
      <c r="L2336" s="363"/>
      <c r="M2336" s="329"/>
      <c r="N2336" s="173" t="s">
        <v>679</v>
      </c>
      <c r="O2336" s="173"/>
      <c r="P2336" s="262" t="str">
        <f t="shared" si="1"/>
        <v>IN-BLR-ANANTA-VAV-1908_11</v>
      </c>
      <c r="Q2336" s="173" t="s">
        <v>7902</v>
      </c>
      <c r="R2336" s="328" t="str">
        <f>IFS(C2336="","",C2336="n/a","N/A",LEN(C2336),Concatenate("{",char(34),"asset",char(34),":{",char(34),"guid",char(34),":",char(34),Q2336,char(34),",",char(34),"site",char(34),":",char(34),LOWER('2-Building'!$B$4),char(34),",",char(34),"name",char(34),":",char(34),LOWER(C2336),char(34),"}}"))</f>
        <v>{"asset":{"guid":"uuid://595281d7-fefc-4558-bce7-12457a98d4cf","site":"in-blr-ananta","name":"vav-1908"}}</v>
      </c>
      <c r="S2336" s="333"/>
      <c r="T2336" s="330"/>
      <c r="U2336" s="330"/>
      <c r="V2336" s="331"/>
      <c r="W2336" s="332"/>
      <c r="X2336" s="333"/>
      <c r="Y2336" s="33" t="s">
        <v>2867</v>
      </c>
      <c r="Z2336" s="258">
        <v>121908.0</v>
      </c>
      <c r="AA2336" s="333"/>
      <c r="AB2336" s="333"/>
      <c r="AC2336" s="333"/>
      <c r="AD2336" s="329"/>
      <c r="AE2336" s="362" t="s">
        <v>685</v>
      </c>
      <c r="AF2336" s="336"/>
      <c r="AG2336" s="337"/>
      <c r="AH2336" s="333"/>
      <c r="AI2336" s="333"/>
      <c r="AJ2336" s="333"/>
      <c r="AK2336" s="328" t="s">
        <v>2607</v>
      </c>
      <c r="AL2336" s="328" t="s">
        <v>688</v>
      </c>
      <c r="AM2336" s="338"/>
      <c r="AN2336" s="333"/>
      <c r="AO2336" s="333"/>
      <c r="AP2336" s="333"/>
      <c r="AQ2336" s="333"/>
      <c r="AR2336" s="333"/>
      <c r="AS2336" s="333"/>
      <c r="AT2336" s="333"/>
      <c r="AU2336" s="329"/>
      <c r="AV2336" s="341"/>
      <c r="AW2336" s="269"/>
      <c r="AX2336" s="334" t="s">
        <v>2869</v>
      </c>
      <c r="AY2336" s="270" t="s">
        <v>695</v>
      </c>
      <c r="AZ2336" s="173" t="s">
        <v>5516</v>
      </c>
      <c r="BA2336" s="265">
        <v>10.0</v>
      </c>
      <c r="BB2336" s="174" t="s">
        <v>245</v>
      </c>
      <c r="BC2336" s="341"/>
      <c r="BD2336" s="308"/>
      <c r="BE2336" s="342"/>
      <c r="BF2336" s="274" t="str">
        <f>IFERROR(__xludf.DUMMYFUNCTION("LOWER(Regexreplace(to_text(E2336),""[^A-Za-z0-9]"","""")&amp;""_""&amp;Regexreplace(to_text(F2336),""[^A-Za-z0-9]"",""""))"),"neptronic_evcbseries")</f>
        <v>neptronic_evcbseries</v>
      </c>
      <c r="BG2336" s="275" t="str">
        <f>IFERROR(__xludf.DUMMYFUNCTION("upper(Regexreplace(to_text(E2336),""[^A-Za-z0-9]"","""")&amp;""-""&amp;Regexreplace(to_text(F2336),""[^A-Za-z0-9]"",""""))"),"NEPTRONIC-EVCBSERIES")</f>
        <v>NEPTRONIC-EVCBSERIES</v>
      </c>
    </row>
    <row r="2337" ht="30.0" customHeight="1">
      <c r="A2337" s="173">
        <v>2329.0</v>
      </c>
      <c r="B2337" s="328" t="s">
        <v>670</v>
      </c>
      <c r="C2337" s="257" t="s">
        <v>7903</v>
      </c>
      <c r="D2337" s="173" t="s">
        <v>7903</v>
      </c>
      <c r="E2337" s="174" t="s">
        <v>2861</v>
      </c>
      <c r="F2337" s="173" t="s">
        <v>2862</v>
      </c>
      <c r="G2337" s="328" t="s">
        <v>673</v>
      </c>
      <c r="H2337" s="328" t="s">
        <v>2863</v>
      </c>
      <c r="I2337" s="258" t="s">
        <v>2864</v>
      </c>
      <c r="J2337" s="259" t="s">
        <v>1453</v>
      </c>
      <c r="K2337" s="260"/>
      <c r="L2337" s="363"/>
      <c r="M2337" s="329"/>
      <c r="N2337" s="173" t="s">
        <v>679</v>
      </c>
      <c r="O2337" s="173"/>
      <c r="P2337" s="262" t="str">
        <f t="shared" si="1"/>
        <v>IN-BLR-ANANTA-VAV-1909_11</v>
      </c>
      <c r="Q2337" s="173" t="s">
        <v>7904</v>
      </c>
      <c r="R2337" s="328" t="str">
        <f>IFS(C2337="","",C2337="n/a","N/A",LEN(C2337),Concatenate("{",char(34),"asset",char(34),":{",char(34),"guid",char(34),":",char(34),Q2337,char(34),",",char(34),"site",char(34),":",char(34),LOWER('2-Building'!$B$4),char(34),",",char(34),"name",char(34),":",char(34),LOWER(C2337),char(34),"}}"))</f>
        <v>{"asset":{"guid":"uuid://94cce398-a078-4adc-b9fe-a77b0cff2196","site":"in-blr-ananta","name":"vav-1909"}}</v>
      </c>
      <c r="S2337" s="333"/>
      <c r="T2337" s="330"/>
      <c r="U2337" s="330"/>
      <c r="V2337" s="331"/>
      <c r="W2337" s="332"/>
      <c r="X2337" s="333"/>
      <c r="Y2337" s="33" t="s">
        <v>2867</v>
      </c>
      <c r="Z2337" s="258">
        <v>121909.0</v>
      </c>
      <c r="AA2337" s="333"/>
      <c r="AB2337" s="333"/>
      <c r="AC2337" s="333"/>
      <c r="AD2337" s="329"/>
      <c r="AE2337" s="362" t="s">
        <v>685</v>
      </c>
      <c r="AF2337" s="336"/>
      <c r="AG2337" s="337"/>
      <c r="AH2337" s="333"/>
      <c r="AI2337" s="333"/>
      <c r="AJ2337" s="333"/>
      <c r="AK2337" s="328" t="s">
        <v>2612</v>
      </c>
      <c r="AL2337" s="328" t="s">
        <v>688</v>
      </c>
      <c r="AM2337" s="338"/>
      <c r="AN2337" s="333"/>
      <c r="AO2337" s="333"/>
      <c r="AP2337" s="333"/>
      <c r="AQ2337" s="333"/>
      <c r="AR2337" s="333"/>
      <c r="AS2337" s="333"/>
      <c r="AT2337" s="333"/>
      <c r="AU2337" s="329"/>
      <c r="AV2337" s="341"/>
      <c r="AW2337" s="269"/>
      <c r="AX2337" s="334" t="s">
        <v>2869</v>
      </c>
      <c r="AY2337" s="270" t="s">
        <v>695</v>
      </c>
      <c r="AZ2337" s="173" t="s">
        <v>5516</v>
      </c>
      <c r="BA2337" s="265">
        <v>10.0</v>
      </c>
      <c r="BB2337" s="174" t="s">
        <v>245</v>
      </c>
      <c r="BC2337" s="341"/>
      <c r="BD2337" s="308"/>
      <c r="BE2337" s="342"/>
      <c r="BF2337" s="274" t="str">
        <f>IFERROR(__xludf.DUMMYFUNCTION("LOWER(Regexreplace(to_text(E2337),""[^A-Za-z0-9]"","""")&amp;""_""&amp;Regexreplace(to_text(F2337),""[^A-Za-z0-9]"",""""))"),"neptronic_evcbseries")</f>
        <v>neptronic_evcbseries</v>
      </c>
      <c r="BG2337" s="275" t="str">
        <f>IFERROR(__xludf.DUMMYFUNCTION("upper(Regexreplace(to_text(E2337),""[^A-Za-z0-9]"","""")&amp;""-""&amp;Regexreplace(to_text(F2337),""[^A-Za-z0-9]"",""""))"),"NEPTRONIC-EVCBSERIES")</f>
        <v>NEPTRONIC-EVCBSERIES</v>
      </c>
    </row>
    <row r="2338" ht="30.0" customHeight="1">
      <c r="A2338" s="258">
        <v>2330.0</v>
      </c>
      <c r="B2338" s="328" t="s">
        <v>670</v>
      </c>
      <c r="C2338" s="257" t="s">
        <v>7905</v>
      </c>
      <c r="D2338" s="173" t="s">
        <v>7905</v>
      </c>
      <c r="E2338" s="174" t="s">
        <v>2861</v>
      </c>
      <c r="F2338" s="173" t="s">
        <v>2862</v>
      </c>
      <c r="G2338" s="328" t="s">
        <v>673</v>
      </c>
      <c r="H2338" s="328" t="s">
        <v>2863</v>
      </c>
      <c r="I2338" s="258" t="s">
        <v>2864</v>
      </c>
      <c r="J2338" s="259" t="s">
        <v>1453</v>
      </c>
      <c r="K2338" s="260"/>
      <c r="L2338" s="363"/>
      <c r="M2338" s="329"/>
      <c r="N2338" s="173" t="s">
        <v>679</v>
      </c>
      <c r="O2338" s="173"/>
      <c r="P2338" s="262" t="str">
        <f t="shared" si="1"/>
        <v>IN-BLR-ANANTA-VAV-1910_11</v>
      </c>
      <c r="Q2338" s="173" t="s">
        <v>7906</v>
      </c>
      <c r="R2338" s="328" t="str">
        <f>IFS(C2338="","",C2338="n/a","N/A",LEN(C2338),Concatenate("{",char(34),"asset",char(34),":{",char(34),"guid",char(34),":",char(34),Q2338,char(34),",",char(34),"site",char(34),":",char(34),LOWER('2-Building'!$B$4),char(34),",",char(34),"name",char(34),":",char(34),LOWER(C2338),char(34),"}}"))</f>
        <v>{"asset":{"guid":"uuid://f44a710c-3d8d-43a8-a0a9-d2acf4170e9e","site":"in-blr-ananta","name":"vav-1910"}}</v>
      </c>
      <c r="S2338" s="333"/>
      <c r="T2338" s="330"/>
      <c r="U2338" s="330"/>
      <c r="V2338" s="331"/>
      <c r="W2338" s="332"/>
      <c r="X2338" s="333"/>
      <c r="Y2338" s="33" t="s">
        <v>2867</v>
      </c>
      <c r="Z2338" s="258">
        <v>121910.0</v>
      </c>
      <c r="AA2338" s="333"/>
      <c r="AB2338" s="333"/>
      <c r="AC2338" s="333"/>
      <c r="AD2338" s="329"/>
      <c r="AE2338" s="362" t="s">
        <v>685</v>
      </c>
      <c r="AF2338" s="336"/>
      <c r="AG2338" s="337"/>
      <c r="AH2338" s="333"/>
      <c r="AI2338" s="333"/>
      <c r="AJ2338" s="333"/>
      <c r="AK2338" s="328" t="s">
        <v>2617</v>
      </c>
      <c r="AL2338" s="328" t="s">
        <v>688</v>
      </c>
      <c r="AM2338" s="338"/>
      <c r="AN2338" s="333"/>
      <c r="AO2338" s="333"/>
      <c r="AP2338" s="333"/>
      <c r="AQ2338" s="333"/>
      <c r="AR2338" s="333"/>
      <c r="AS2338" s="333"/>
      <c r="AT2338" s="333"/>
      <c r="AU2338" s="329"/>
      <c r="AV2338" s="341"/>
      <c r="AW2338" s="269"/>
      <c r="AX2338" s="334" t="s">
        <v>2869</v>
      </c>
      <c r="AY2338" s="270" t="s">
        <v>695</v>
      </c>
      <c r="AZ2338" s="173" t="s">
        <v>5516</v>
      </c>
      <c r="BA2338" s="265">
        <v>10.0</v>
      </c>
      <c r="BB2338" s="174" t="s">
        <v>245</v>
      </c>
      <c r="BC2338" s="341"/>
      <c r="BD2338" s="308"/>
      <c r="BE2338" s="342"/>
      <c r="BF2338" s="274" t="str">
        <f>IFERROR(__xludf.DUMMYFUNCTION("LOWER(Regexreplace(to_text(E2338),""[^A-Za-z0-9]"","""")&amp;""_""&amp;Regexreplace(to_text(F2338),""[^A-Za-z0-9]"",""""))"),"neptronic_evcbseries")</f>
        <v>neptronic_evcbseries</v>
      </c>
      <c r="BG2338" s="275" t="str">
        <f>IFERROR(__xludf.DUMMYFUNCTION("upper(Regexreplace(to_text(E2338),""[^A-Za-z0-9]"","""")&amp;""-""&amp;Regexreplace(to_text(F2338),""[^A-Za-z0-9]"",""""))"),"NEPTRONIC-EVCBSERIES")</f>
        <v>NEPTRONIC-EVCBSERIES</v>
      </c>
    </row>
    <row r="2339" ht="30.0" customHeight="1">
      <c r="A2339" s="173">
        <v>2331.0</v>
      </c>
      <c r="B2339" s="328" t="s">
        <v>670</v>
      </c>
      <c r="C2339" s="257" t="s">
        <v>7907</v>
      </c>
      <c r="D2339" s="173" t="s">
        <v>7907</v>
      </c>
      <c r="E2339" s="174" t="s">
        <v>2861</v>
      </c>
      <c r="F2339" s="173" t="s">
        <v>2862</v>
      </c>
      <c r="G2339" s="328" t="s">
        <v>673</v>
      </c>
      <c r="H2339" s="328" t="s">
        <v>2863</v>
      </c>
      <c r="I2339" s="258" t="s">
        <v>2864</v>
      </c>
      <c r="J2339" s="259" t="s">
        <v>1453</v>
      </c>
      <c r="K2339" s="260"/>
      <c r="L2339" s="363"/>
      <c r="M2339" s="329"/>
      <c r="N2339" s="173" t="s">
        <v>679</v>
      </c>
      <c r="O2339" s="173"/>
      <c r="P2339" s="262" t="str">
        <f t="shared" si="1"/>
        <v>IN-BLR-ANANTA-VAV-1911_11</v>
      </c>
      <c r="Q2339" s="173" t="s">
        <v>7908</v>
      </c>
      <c r="R2339" s="328" t="str">
        <f>IFS(C2339="","",C2339="n/a","N/A",LEN(C2339),Concatenate("{",char(34),"asset",char(34),":{",char(34),"guid",char(34),":",char(34),Q2339,char(34),",",char(34),"site",char(34),":",char(34),LOWER('2-Building'!$B$4),char(34),",",char(34),"name",char(34),":",char(34),LOWER(C2339),char(34),"}}"))</f>
        <v>{"asset":{"guid":"uuid://0fe1a18c-da43-49b0-a33e-8f60d81b5e30","site":"in-blr-ananta","name":"vav-1911"}}</v>
      </c>
      <c r="S2339" s="333"/>
      <c r="T2339" s="330"/>
      <c r="U2339" s="330"/>
      <c r="V2339" s="331"/>
      <c r="W2339" s="332"/>
      <c r="X2339" s="333"/>
      <c r="Y2339" s="33" t="s">
        <v>2867</v>
      </c>
      <c r="Z2339" s="258">
        <v>121911.0</v>
      </c>
      <c r="AA2339" s="333"/>
      <c r="AB2339" s="333"/>
      <c r="AC2339" s="333"/>
      <c r="AD2339" s="329"/>
      <c r="AE2339" s="362" t="s">
        <v>685</v>
      </c>
      <c r="AF2339" s="336"/>
      <c r="AG2339" s="337"/>
      <c r="AH2339" s="333"/>
      <c r="AI2339" s="333"/>
      <c r="AJ2339" s="333"/>
      <c r="AK2339" s="328" t="s">
        <v>2622</v>
      </c>
      <c r="AL2339" s="328" t="s">
        <v>688</v>
      </c>
      <c r="AM2339" s="338"/>
      <c r="AN2339" s="333"/>
      <c r="AO2339" s="333"/>
      <c r="AP2339" s="333"/>
      <c r="AQ2339" s="333"/>
      <c r="AR2339" s="333"/>
      <c r="AS2339" s="333"/>
      <c r="AT2339" s="333"/>
      <c r="AU2339" s="329"/>
      <c r="AV2339" s="341"/>
      <c r="AW2339" s="269"/>
      <c r="AX2339" s="334" t="s">
        <v>2869</v>
      </c>
      <c r="AY2339" s="270" t="s">
        <v>695</v>
      </c>
      <c r="AZ2339" s="173" t="s">
        <v>5516</v>
      </c>
      <c r="BA2339" s="265">
        <v>10.0</v>
      </c>
      <c r="BB2339" s="174" t="s">
        <v>245</v>
      </c>
      <c r="BC2339" s="341"/>
      <c r="BD2339" s="308"/>
      <c r="BE2339" s="342"/>
      <c r="BF2339" s="274" t="str">
        <f>IFERROR(__xludf.DUMMYFUNCTION("LOWER(Regexreplace(to_text(E2339),""[^A-Za-z0-9]"","""")&amp;""_""&amp;Regexreplace(to_text(F2339),""[^A-Za-z0-9]"",""""))"),"neptronic_evcbseries")</f>
        <v>neptronic_evcbseries</v>
      </c>
      <c r="BG2339" s="275" t="str">
        <f>IFERROR(__xludf.DUMMYFUNCTION("upper(Regexreplace(to_text(E2339),""[^A-Za-z0-9]"","""")&amp;""-""&amp;Regexreplace(to_text(F2339),""[^A-Za-z0-9]"",""""))"),"NEPTRONIC-EVCBSERIES")</f>
        <v>NEPTRONIC-EVCBSERIES</v>
      </c>
    </row>
    <row r="2340" ht="30.0" customHeight="1">
      <c r="A2340" s="258">
        <v>2332.0</v>
      </c>
      <c r="B2340" s="328" t="s">
        <v>670</v>
      </c>
      <c r="C2340" s="257" t="s">
        <v>7909</v>
      </c>
      <c r="D2340" s="173" t="s">
        <v>7909</v>
      </c>
      <c r="E2340" s="174" t="s">
        <v>2861</v>
      </c>
      <c r="F2340" s="173" t="s">
        <v>2862</v>
      </c>
      <c r="G2340" s="328" t="s">
        <v>673</v>
      </c>
      <c r="H2340" s="328" t="s">
        <v>2863</v>
      </c>
      <c r="I2340" s="258" t="s">
        <v>2864</v>
      </c>
      <c r="J2340" s="259" t="s">
        <v>1453</v>
      </c>
      <c r="K2340" s="260"/>
      <c r="L2340" s="363"/>
      <c r="M2340" s="329"/>
      <c r="N2340" s="173" t="s">
        <v>679</v>
      </c>
      <c r="O2340" s="173"/>
      <c r="P2340" s="262" t="str">
        <f t="shared" si="1"/>
        <v>IN-BLR-ANANTA-VAV-1912_11</v>
      </c>
      <c r="Q2340" s="173" t="s">
        <v>7910</v>
      </c>
      <c r="R2340" s="328" t="str">
        <f>IFS(C2340="","",C2340="n/a","N/A",LEN(C2340),Concatenate("{",char(34),"asset",char(34),":{",char(34),"guid",char(34),":",char(34),Q2340,char(34),",",char(34),"site",char(34),":",char(34),LOWER('2-Building'!$B$4),char(34),",",char(34),"name",char(34),":",char(34),LOWER(C2340),char(34),"}}"))</f>
        <v>{"asset":{"guid":"uuid://5c613aef-6e28-4e46-887c-bdce36ca49da","site":"in-blr-ananta","name":"vav-1912"}}</v>
      </c>
      <c r="S2340" s="333"/>
      <c r="T2340" s="330"/>
      <c r="U2340" s="330"/>
      <c r="V2340" s="331"/>
      <c r="W2340" s="332"/>
      <c r="X2340" s="333"/>
      <c r="Y2340" s="33" t="s">
        <v>2867</v>
      </c>
      <c r="Z2340" s="258">
        <v>121912.0</v>
      </c>
      <c r="AA2340" s="333"/>
      <c r="AB2340" s="333"/>
      <c r="AC2340" s="333"/>
      <c r="AD2340" s="329"/>
      <c r="AE2340" s="362" t="s">
        <v>685</v>
      </c>
      <c r="AF2340" s="336"/>
      <c r="AG2340" s="337"/>
      <c r="AH2340" s="333"/>
      <c r="AI2340" s="333"/>
      <c r="AJ2340" s="333"/>
      <c r="AK2340" s="328" t="s">
        <v>2627</v>
      </c>
      <c r="AL2340" s="328" t="s">
        <v>688</v>
      </c>
      <c r="AM2340" s="338"/>
      <c r="AN2340" s="333"/>
      <c r="AO2340" s="333"/>
      <c r="AP2340" s="333"/>
      <c r="AQ2340" s="333"/>
      <c r="AR2340" s="333"/>
      <c r="AS2340" s="333"/>
      <c r="AT2340" s="333"/>
      <c r="AU2340" s="329"/>
      <c r="AV2340" s="341"/>
      <c r="AW2340" s="269"/>
      <c r="AX2340" s="334" t="s">
        <v>2869</v>
      </c>
      <c r="AY2340" s="270" t="s">
        <v>695</v>
      </c>
      <c r="AZ2340" s="173" t="s">
        <v>5516</v>
      </c>
      <c r="BA2340" s="265">
        <v>10.0</v>
      </c>
      <c r="BB2340" s="174" t="s">
        <v>245</v>
      </c>
      <c r="BC2340" s="341"/>
      <c r="BD2340" s="308"/>
      <c r="BE2340" s="342"/>
      <c r="BF2340" s="274" t="str">
        <f>IFERROR(__xludf.DUMMYFUNCTION("LOWER(Regexreplace(to_text(E2340),""[^A-Za-z0-9]"","""")&amp;""_""&amp;Regexreplace(to_text(F2340),""[^A-Za-z0-9]"",""""))"),"neptronic_evcbseries")</f>
        <v>neptronic_evcbseries</v>
      </c>
      <c r="BG2340" s="275" t="str">
        <f>IFERROR(__xludf.DUMMYFUNCTION("upper(Regexreplace(to_text(E2340),""[^A-Za-z0-9]"","""")&amp;""-""&amp;Regexreplace(to_text(F2340),""[^A-Za-z0-9]"",""""))"),"NEPTRONIC-EVCBSERIES")</f>
        <v>NEPTRONIC-EVCBSERIES</v>
      </c>
    </row>
    <row r="2341" ht="30.0" customHeight="1">
      <c r="A2341" s="173">
        <v>2333.0</v>
      </c>
      <c r="B2341" s="328" t="s">
        <v>670</v>
      </c>
      <c r="C2341" s="257" t="s">
        <v>7911</v>
      </c>
      <c r="D2341" s="173" t="s">
        <v>7911</v>
      </c>
      <c r="E2341" s="174" t="s">
        <v>2861</v>
      </c>
      <c r="F2341" s="173" t="s">
        <v>2862</v>
      </c>
      <c r="G2341" s="328" t="s">
        <v>673</v>
      </c>
      <c r="H2341" s="328" t="s">
        <v>2863</v>
      </c>
      <c r="I2341" s="258" t="s">
        <v>2864</v>
      </c>
      <c r="J2341" s="259" t="s">
        <v>1453</v>
      </c>
      <c r="K2341" s="260"/>
      <c r="L2341" s="363"/>
      <c r="M2341" s="329"/>
      <c r="N2341" s="173" t="s">
        <v>679</v>
      </c>
      <c r="O2341" s="173"/>
      <c r="P2341" s="262" t="str">
        <f t="shared" si="1"/>
        <v>IN-BLR-ANANTA-VAV-1913_11</v>
      </c>
      <c r="Q2341" s="173" t="s">
        <v>7912</v>
      </c>
      <c r="R2341" s="328" t="str">
        <f>IFS(C2341="","",C2341="n/a","N/A",LEN(C2341),Concatenate("{",char(34),"asset",char(34),":{",char(34),"guid",char(34),":",char(34),Q2341,char(34),",",char(34),"site",char(34),":",char(34),LOWER('2-Building'!$B$4),char(34),",",char(34),"name",char(34),":",char(34),LOWER(C2341),char(34),"}}"))</f>
        <v>{"asset":{"guid":"uuid://d684669d-7db2-444c-9757-c6148866702d","site":"in-blr-ananta","name":"vav-1913"}}</v>
      </c>
      <c r="S2341" s="333"/>
      <c r="T2341" s="330"/>
      <c r="U2341" s="330"/>
      <c r="V2341" s="331"/>
      <c r="W2341" s="332"/>
      <c r="X2341" s="333"/>
      <c r="Y2341" s="33" t="s">
        <v>2867</v>
      </c>
      <c r="Z2341" s="258">
        <v>121913.0</v>
      </c>
      <c r="AA2341" s="333"/>
      <c r="AB2341" s="333"/>
      <c r="AC2341" s="333"/>
      <c r="AD2341" s="329"/>
      <c r="AE2341" s="362" t="s">
        <v>685</v>
      </c>
      <c r="AF2341" s="336"/>
      <c r="AG2341" s="337"/>
      <c r="AH2341" s="333"/>
      <c r="AI2341" s="333"/>
      <c r="AJ2341" s="333"/>
      <c r="AK2341" s="328" t="s">
        <v>2632</v>
      </c>
      <c r="AL2341" s="328" t="s">
        <v>688</v>
      </c>
      <c r="AM2341" s="338"/>
      <c r="AN2341" s="333"/>
      <c r="AO2341" s="333"/>
      <c r="AP2341" s="333"/>
      <c r="AQ2341" s="333"/>
      <c r="AR2341" s="333"/>
      <c r="AS2341" s="333"/>
      <c r="AT2341" s="333"/>
      <c r="AU2341" s="329"/>
      <c r="AV2341" s="341"/>
      <c r="AW2341" s="269"/>
      <c r="AX2341" s="334" t="s">
        <v>2869</v>
      </c>
      <c r="AY2341" s="270" t="s">
        <v>695</v>
      </c>
      <c r="AZ2341" s="173" t="s">
        <v>5516</v>
      </c>
      <c r="BA2341" s="265">
        <v>10.0</v>
      </c>
      <c r="BB2341" s="174" t="s">
        <v>245</v>
      </c>
      <c r="BC2341" s="341"/>
      <c r="BD2341" s="308"/>
      <c r="BE2341" s="342"/>
      <c r="BF2341" s="274" t="str">
        <f>IFERROR(__xludf.DUMMYFUNCTION("LOWER(Regexreplace(to_text(E2341),""[^A-Za-z0-9]"","""")&amp;""_""&amp;Regexreplace(to_text(F2341),""[^A-Za-z0-9]"",""""))"),"neptronic_evcbseries")</f>
        <v>neptronic_evcbseries</v>
      </c>
      <c r="BG2341" s="275" t="str">
        <f>IFERROR(__xludf.DUMMYFUNCTION("upper(Regexreplace(to_text(E2341),""[^A-Za-z0-9]"","""")&amp;""-""&amp;Regexreplace(to_text(F2341),""[^A-Za-z0-9]"",""""))"),"NEPTRONIC-EVCBSERIES")</f>
        <v>NEPTRONIC-EVCBSERIES</v>
      </c>
    </row>
    <row r="2342" ht="30.0" customHeight="1">
      <c r="A2342" s="258">
        <v>2334.0</v>
      </c>
      <c r="B2342" s="328" t="s">
        <v>670</v>
      </c>
      <c r="C2342" s="257" t="s">
        <v>7913</v>
      </c>
      <c r="D2342" s="173" t="s">
        <v>7913</v>
      </c>
      <c r="E2342" s="174" t="s">
        <v>2861</v>
      </c>
      <c r="F2342" s="173" t="s">
        <v>2862</v>
      </c>
      <c r="G2342" s="328" t="s">
        <v>673</v>
      </c>
      <c r="H2342" s="328" t="s">
        <v>2863</v>
      </c>
      <c r="I2342" s="258" t="s">
        <v>2864</v>
      </c>
      <c r="J2342" s="259" t="s">
        <v>1453</v>
      </c>
      <c r="K2342" s="260"/>
      <c r="L2342" s="363"/>
      <c r="M2342" s="329"/>
      <c r="N2342" s="173" t="s">
        <v>679</v>
      </c>
      <c r="O2342" s="173"/>
      <c r="P2342" s="262" t="str">
        <f t="shared" si="1"/>
        <v>IN-BLR-ANANTA-VAV-1914_11</v>
      </c>
      <c r="Q2342" s="173" t="s">
        <v>7914</v>
      </c>
      <c r="R2342" s="328" t="str">
        <f>IFS(C2342="","",C2342="n/a","N/A",LEN(C2342),Concatenate("{",char(34),"asset",char(34),":{",char(34),"guid",char(34),":",char(34),Q2342,char(34),",",char(34),"site",char(34),":",char(34),LOWER('2-Building'!$B$4),char(34),",",char(34),"name",char(34),":",char(34),LOWER(C2342),char(34),"}}"))</f>
        <v>{"asset":{"guid":"uuid://f2032233-3bcf-49bb-9252-5593e81a93ce","site":"in-blr-ananta","name":"vav-1914"}}</v>
      </c>
      <c r="S2342" s="333"/>
      <c r="T2342" s="330"/>
      <c r="U2342" s="330"/>
      <c r="V2342" s="331"/>
      <c r="W2342" s="332"/>
      <c r="X2342" s="333"/>
      <c r="Y2342" s="33" t="s">
        <v>2867</v>
      </c>
      <c r="Z2342" s="258">
        <v>121914.0</v>
      </c>
      <c r="AA2342" s="333"/>
      <c r="AB2342" s="333"/>
      <c r="AC2342" s="333"/>
      <c r="AD2342" s="329"/>
      <c r="AE2342" s="362" t="s">
        <v>685</v>
      </c>
      <c r="AF2342" s="336"/>
      <c r="AG2342" s="337"/>
      <c r="AH2342" s="333"/>
      <c r="AI2342" s="333"/>
      <c r="AJ2342" s="333"/>
      <c r="AK2342" s="328" t="s">
        <v>2637</v>
      </c>
      <c r="AL2342" s="328" t="s">
        <v>688</v>
      </c>
      <c r="AM2342" s="338"/>
      <c r="AN2342" s="333"/>
      <c r="AO2342" s="333"/>
      <c r="AP2342" s="333"/>
      <c r="AQ2342" s="333"/>
      <c r="AR2342" s="333"/>
      <c r="AS2342" s="333"/>
      <c r="AT2342" s="333"/>
      <c r="AU2342" s="329"/>
      <c r="AV2342" s="341"/>
      <c r="AW2342" s="269"/>
      <c r="AX2342" s="334" t="s">
        <v>2869</v>
      </c>
      <c r="AY2342" s="270" t="s">
        <v>695</v>
      </c>
      <c r="AZ2342" s="173" t="s">
        <v>5516</v>
      </c>
      <c r="BA2342" s="265">
        <v>10.0</v>
      </c>
      <c r="BB2342" s="174" t="s">
        <v>245</v>
      </c>
      <c r="BC2342" s="341"/>
      <c r="BD2342" s="308"/>
      <c r="BE2342" s="342"/>
      <c r="BF2342" s="274" t="str">
        <f>IFERROR(__xludf.DUMMYFUNCTION("LOWER(Regexreplace(to_text(E2342),""[^A-Za-z0-9]"","""")&amp;""_""&amp;Regexreplace(to_text(F2342),""[^A-Za-z0-9]"",""""))"),"neptronic_evcbseries")</f>
        <v>neptronic_evcbseries</v>
      </c>
      <c r="BG2342" s="275" t="str">
        <f>IFERROR(__xludf.DUMMYFUNCTION("upper(Regexreplace(to_text(E2342),""[^A-Za-z0-9]"","""")&amp;""-""&amp;Regexreplace(to_text(F2342),""[^A-Za-z0-9]"",""""))"),"NEPTRONIC-EVCBSERIES")</f>
        <v>NEPTRONIC-EVCBSERIES</v>
      </c>
    </row>
    <row r="2343" ht="30.0" customHeight="1">
      <c r="A2343" s="173">
        <v>2335.0</v>
      </c>
      <c r="B2343" s="328" t="s">
        <v>670</v>
      </c>
      <c r="C2343" s="257" t="s">
        <v>7915</v>
      </c>
      <c r="D2343" s="173" t="s">
        <v>7915</v>
      </c>
      <c r="E2343" s="174" t="s">
        <v>2861</v>
      </c>
      <c r="F2343" s="173" t="s">
        <v>2862</v>
      </c>
      <c r="G2343" s="328" t="s">
        <v>673</v>
      </c>
      <c r="H2343" s="328" t="s">
        <v>2863</v>
      </c>
      <c r="I2343" s="258" t="s">
        <v>2864</v>
      </c>
      <c r="J2343" s="259" t="s">
        <v>1453</v>
      </c>
      <c r="K2343" s="260"/>
      <c r="L2343" s="363"/>
      <c r="M2343" s="329"/>
      <c r="N2343" s="173" t="s">
        <v>679</v>
      </c>
      <c r="O2343" s="173"/>
      <c r="P2343" s="262" t="str">
        <f t="shared" si="1"/>
        <v>IN-BLR-ANANTA-VAV-1915_11</v>
      </c>
      <c r="Q2343" s="173" t="s">
        <v>7916</v>
      </c>
      <c r="R2343" s="328" t="str">
        <f>IFS(C2343="","",C2343="n/a","N/A",LEN(C2343),Concatenate("{",char(34),"asset",char(34),":{",char(34),"guid",char(34),":",char(34),Q2343,char(34),",",char(34),"site",char(34),":",char(34),LOWER('2-Building'!$B$4),char(34),",",char(34),"name",char(34),":",char(34),LOWER(C2343),char(34),"}}"))</f>
        <v>{"asset":{"guid":"uuid://126025e6-ff40-43e6-95cd-fed5e964e348","site":"in-blr-ananta","name":"vav-1915"}}</v>
      </c>
      <c r="S2343" s="333"/>
      <c r="T2343" s="330"/>
      <c r="U2343" s="330"/>
      <c r="V2343" s="331"/>
      <c r="W2343" s="332"/>
      <c r="X2343" s="333"/>
      <c r="Y2343" s="33" t="s">
        <v>2867</v>
      </c>
      <c r="Z2343" s="258">
        <v>121915.0</v>
      </c>
      <c r="AA2343" s="333"/>
      <c r="AB2343" s="333"/>
      <c r="AC2343" s="333"/>
      <c r="AD2343" s="329"/>
      <c r="AE2343" s="362" t="s">
        <v>685</v>
      </c>
      <c r="AF2343" s="336"/>
      <c r="AG2343" s="337"/>
      <c r="AH2343" s="333"/>
      <c r="AI2343" s="333"/>
      <c r="AJ2343" s="333"/>
      <c r="AK2343" s="328" t="s">
        <v>2643</v>
      </c>
      <c r="AL2343" s="328" t="s">
        <v>688</v>
      </c>
      <c r="AM2343" s="338"/>
      <c r="AN2343" s="333"/>
      <c r="AO2343" s="333"/>
      <c r="AP2343" s="333"/>
      <c r="AQ2343" s="333"/>
      <c r="AR2343" s="333"/>
      <c r="AS2343" s="333"/>
      <c r="AT2343" s="333"/>
      <c r="AU2343" s="329"/>
      <c r="AV2343" s="341"/>
      <c r="AW2343" s="269"/>
      <c r="AX2343" s="334" t="s">
        <v>2869</v>
      </c>
      <c r="AY2343" s="270" t="s">
        <v>695</v>
      </c>
      <c r="AZ2343" s="173" t="s">
        <v>5516</v>
      </c>
      <c r="BA2343" s="265">
        <v>10.0</v>
      </c>
      <c r="BB2343" s="174" t="s">
        <v>245</v>
      </c>
      <c r="BC2343" s="341"/>
      <c r="BD2343" s="308"/>
      <c r="BE2343" s="342"/>
      <c r="BF2343" s="274" t="str">
        <f>IFERROR(__xludf.DUMMYFUNCTION("LOWER(Regexreplace(to_text(E2343),""[^A-Za-z0-9]"","""")&amp;""_""&amp;Regexreplace(to_text(F2343),""[^A-Za-z0-9]"",""""))"),"neptronic_evcbseries")</f>
        <v>neptronic_evcbseries</v>
      </c>
      <c r="BG2343" s="275" t="str">
        <f>IFERROR(__xludf.DUMMYFUNCTION("upper(Regexreplace(to_text(E2343),""[^A-Za-z0-9]"","""")&amp;""-""&amp;Regexreplace(to_text(F2343),""[^A-Za-z0-9]"",""""))"),"NEPTRONIC-EVCBSERIES")</f>
        <v>NEPTRONIC-EVCBSERIES</v>
      </c>
    </row>
    <row r="2344" ht="30.0" customHeight="1">
      <c r="A2344" s="258">
        <v>2336.0</v>
      </c>
      <c r="B2344" s="328" t="s">
        <v>670</v>
      </c>
      <c r="C2344" s="257" t="s">
        <v>7917</v>
      </c>
      <c r="D2344" s="173" t="s">
        <v>7917</v>
      </c>
      <c r="E2344" s="174" t="s">
        <v>2861</v>
      </c>
      <c r="F2344" s="173" t="s">
        <v>2862</v>
      </c>
      <c r="G2344" s="328" t="s">
        <v>673</v>
      </c>
      <c r="H2344" s="328" t="s">
        <v>2863</v>
      </c>
      <c r="I2344" s="258" t="s">
        <v>2864</v>
      </c>
      <c r="J2344" s="259" t="s">
        <v>1453</v>
      </c>
      <c r="K2344" s="260"/>
      <c r="L2344" s="363"/>
      <c r="M2344" s="329"/>
      <c r="N2344" s="173" t="s">
        <v>679</v>
      </c>
      <c r="O2344" s="173"/>
      <c r="P2344" s="262" t="str">
        <f t="shared" si="1"/>
        <v>IN-BLR-ANANTA-VAV-1916_11</v>
      </c>
      <c r="Q2344" s="173" t="s">
        <v>7918</v>
      </c>
      <c r="R2344" s="328" t="str">
        <f>IFS(C2344="","",C2344="n/a","N/A",LEN(C2344),Concatenate("{",char(34),"asset",char(34),":{",char(34),"guid",char(34),":",char(34),Q2344,char(34),",",char(34),"site",char(34),":",char(34),LOWER('2-Building'!$B$4),char(34),",",char(34),"name",char(34),":",char(34),LOWER(C2344),char(34),"}}"))</f>
        <v>{"asset":{"guid":"uuid://015d3e97-b144-4190-9d49-bf32ea67eed5","site":"in-blr-ananta","name":"vav-1916"}}</v>
      </c>
      <c r="S2344" s="333"/>
      <c r="T2344" s="330"/>
      <c r="U2344" s="330"/>
      <c r="V2344" s="331"/>
      <c r="W2344" s="332"/>
      <c r="X2344" s="333"/>
      <c r="Y2344" s="33" t="s">
        <v>2867</v>
      </c>
      <c r="Z2344" s="258">
        <v>121916.0</v>
      </c>
      <c r="AA2344" s="333"/>
      <c r="AB2344" s="333"/>
      <c r="AC2344" s="333"/>
      <c r="AD2344" s="329"/>
      <c r="AE2344" s="362" t="s">
        <v>685</v>
      </c>
      <c r="AF2344" s="336"/>
      <c r="AG2344" s="337"/>
      <c r="AH2344" s="333"/>
      <c r="AI2344" s="333"/>
      <c r="AJ2344" s="333"/>
      <c r="AK2344" s="328" t="s">
        <v>2648</v>
      </c>
      <c r="AL2344" s="328" t="s">
        <v>688</v>
      </c>
      <c r="AM2344" s="338"/>
      <c r="AN2344" s="333"/>
      <c r="AO2344" s="333"/>
      <c r="AP2344" s="333"/>
      <c r="AQ2344" s="333"/>
      <c r="AR2344" s="333"/>
      <c r="AS2344" s="333"/>
      <c r="AT2344" s="333"/>
      <c r="AU2344" s="329"/>
      <c r="AV2344" s="341"/>
      <c r="AW2344" s="269"/>
      <c r="AX2344" s="334" t="s">
        <v>2869</v>
      </c>
      <c r="AY2344" s="270" t="s">
        <v>695</v>
      </c>
      <c r="AZ2344" s="173" t="s">
        <v>5516</v>
      </c>
      <c r="BA2344" s="265">
        <v>10.0</v>
      </c>
      <c r="BB2344" s="174" t="s">
        <v>245</v>
      </c>
      <c r="BC2344" s="341"/>
      <c r="BD2344" s="308"/>
      <c r="BE2344" s="342"/>
      <c r="BF2344" s="274" t="str">
        <f>IFERROR(__xludf.DUMMYFUNCTION("LOWER(Regexreplace(to_text(E2344),""[^A-Za-z0-9]"","""")&amp;""_""&amp;Regexreplace(to_text(F2344),""[^A-Za-z0-9]"",""""))"),"neptronic_evcbseries")</f>
        <v>neptronic_evcbseries</v>
      </c>
      <c r="BG2344" s="275" t="str">
        <f>IFERROR(__xludf.DUMMYFUNCTION("upper(Regexreplace(to_text(E2344),""[^A-Za-z0-9]"","""")&amp;""-""&amp;Regexreplace(to_text(F2344),""[^A-Za-z0-9]"",""""))"),"NEPTRONIC-EVCBSERIES")</f>
        <v>NEPTRONIC-EVCBSERIES</v>
      </c>
    </row>
    <row r="2345" ht="30.0" customHeight="1">
      <c r="A2345" s="173">
        <v>2337.0</v>
      </c>
      <c r="B2345" s="328" t="s">
        <v>670</v>
      </c>
      <c r="C2345" s="257" t="s">
        <v>7919</v>
      </c>
      <c r="D2345" s="173" t="s">
        <v>7919</v>
      </c>
      <c r="E2345" s="174" t="s">
        <v>2861</v>
      </c>
      <c r="F2345" s="173" t="s">
        <v>2862</v>
      </c>
      <c r="G2345" s="328" t="s">
        <v>673</v>
      </c>
      <c r="H2345" s="328" t="s">
        <v>2863</v>
      </c>
      <c r="I2345" s="258" t="s">
        <v>2864</v>
      </c>
      <c r="J2345" s="259" t="s">
        <v>1453</v>
      </c>
      <c r="K2345" s="260"/>
      <c r="L2345" s="363"/>
      <c r="M2345" s="329"/>
      <c r="N2345" s="173" t="s">
        <v>679</v>
      </c>
      <c r="O2345" s="173"/>
      <c r="P2345" s="262" t="str">
        <f t="shared" si="1"/>
        <v>IN-BLR-ANANTA-VAV-1917_11</v>
      </c>
      <c r="Q2345" s="173" t="s">
        <v>7920</v>
      </c>
      <c r="R2345" s="328" t="str">
        <f>IFS(C2345="","",C2345="n/a","N/A",LEN(C2345),Concatenate("{",char(34),"asset",char(34),":{",char(34),"guid",char(34),":",char(34),Q2345,char(34),",",char(34),"site",char(34),":",char(34),LOWER('2-Building'!$B$4),char(34),",",char(34),"name",char(34),":",char(34),LOWER(C2345),char(34),"}}"))</f>
        <v>{"asset":{"guid":"uuid://8ff027d3-3cc1-40d3-a0e9-05d9ce9a122f","site":"in-blr-ananta","name":"vav-1917"}}</v>
      </c>
      <c r="S2345" s="333"/>
      <c r="T2345" s="330"/>
      <c r="U2345" s="330"/>
      <c r="V2345" s="331"/>
      <c r="W2345" s="332"/>
      <c r="X2345" s="333"/>
      <c r="Y2345" s="33" t="s">
        <v>2867</v>
      </c>
      <c r="Z2345" s="258">
        <v>121917.0</v>
      </c>
      <c r="AA2345" s="333"/>
      <c r="AB2345" s="333"/>
      <c r="AC2345" s="333"/>
      <c r="AD2345" s="329"/>
      <c r="AE2345" s="362" t="s">
        <v>685</v>
      </c>
      <c r="AF2345" s="336"/>
      <c r="AG2345" s="337"/>
      <c r="AH2345" s="333"/>
      <c r="AI2345" s="333"/>
      <c r="AJ2345" s="333"/>
      <c r="AK2345" s="328" t="s">
        <v>2653</v>
      </c>
      <c r="AL2345" s="328" t="s">
        <v>688</v>
      </c>
      <c r="AM2345" s="338"/>
      <c r="AN2345" s="333"/>
      <c r="AO2345" s="333"/>
      <c r="AP2345" s="333"/>
      <c r="AQ2345" s="333"/>
      <c r="AR2345" s="333"/>
      <c r="AS2345" s="333"/>
      <c r="AT2345" s="333"/>
      <c r="AU2345" s="329"/>
      <c r="AV2345" s="341"/>
      <c r="AW2345" s="269"/>
      <c r="AX2345" s="334" t="s">
        <v>2869</v>
      </c>
      <c r="AY2345" s="270" t="s">
        <v>695</v>
      </c>
      <c r="AZ2345" s="173" t="s">
        <v>5516</v>
      </c>
      <c r="BA2345" s="265">
        <v>10.0</v>
      </c>
      <c r="BB2345" s="174" t="s">
        <v>245</v>
      </c>
      <c r="BC2345" s="341"/>
      <c r="BD2345" s="308"/>
      <c r="BE2345" s="342"/>
      <c r="BF2345" s="274" t="str">
        <f>IFERROR(__xludf.DUMMYFUNCTION("LOWER(Regexreplace(to_text(E2345),""[^A-Za-z0-9]"","""")&amp;""_""&amp;Regexreplace(to_text(F2345),""[^A-Za-z0-9]"",""""))"),"neptronic_evcbseries")</f>
        <v>neptronic_evcbseries</v>
      </c>
      <c r="BG2345" s="275" t="str">
        <f>IFERROR(__xludf.DUMMYFUNCTION("upper(Regexreplace(to_text(E2345),""[^A-Za-z0-9]"","""")&amp;""-""&amp;Regexreplace(to_text(F2345),""[^A-Za-z0-9]"",""""))"),"NEPTRONIC-EVCBSERIES")</f>
        <v>NEPTRONIC-EVCBSERIES</v>
      </c>
    </row>
    <row r="2346" ht="30.0" customHeight="1">
      <c r="A2346" s="258">
        <v>2338.0</v>
      </c>
      <c r="B2346" s="328" t="s">
        <v>670</v>
      </c>
      <c r="C2346" s="257" t="s">
        <v>7921</v>
      </c>
      <c r="D2346" s="173" t="s">
        <v>7921</v>
      </c>
      <c r="E2346" s="174" t="s">
        <v>2861</v>
      </c>
      <c r="F2346" s="173" t="s">
        <v>2862</v>
      </c>
      <c r="G2346" s="328" t="s">
        <v>673</v>
      </c>
      <c r="H2346" s="328" t="s">
        <v>2863</v>
      </c>
      <c r="I2346" s="258" t="s">
        <v>2864</v>
      </c>
      <c r="J2346" s="259" t="s">
        <v>1453</v>
      </c>
      <c r="K2346" s="260"/>
      <c r="L2346" s="363"/>
      <c r="M2346" s="329"/>
      <c r="N2346" s="173" t="s">
        <v>679</v>
      </c>
      <c r="O2346" s="173"/>
      <c r="P2346" s="262" t="str">
        <f t="shared" si="1"/>
        <v>IN-BLR-ANANTA-VAV-1918_11</v>
      </c>
      <c r="Q2346" s="173" t="s">
        <v>7922</v>
      </c>
      <c r="R2346" s="328" t="str">
        <f>IFS(C2346="","",C2346="n/a","N/A",LEN(C2346),Concatenate("{",char(34),"asset",char(34),":{",char(34),"guid",char(34),":",char(34),Q2346,char(34),",",char(34),"site",char(34),":",char(34),LOWER('2-Building'!$B$4),char(34),",",char(34),"name",char(34),":",char(34),LOWER(C2346),char(34),"}}"))</f>
        <v>{"asset":{"guid":"uuid://bcfeb0b5-f0b6-4b1b-9610-16fadd241ca3","site":"in-blr-ananta","name":"vav-1918"}}</v>
      </c>
      <c r="S2346" s="333"/>
      <c r="T2346" s="330"/>
      <c r="U2346" s="330"/>
      <c r="V2346" s="331"/>
      <c r="W2346" s="332"/>
      <c r="X2346" s="333"/>
      <c r="Y2346" s="33" t="s">
        <v>2867</v>
      </c>
      <c r="Z2346" s="258">
        <v>121918.0</v>
      </c>
      <c r="AA2346" s="333"/>
      <c r="AB2346" s="333"/>
      <c r="AC2346" s="333"/>
      <c r="AD2346" s="329"/>
      <c r="AE2346" s="362" t="s">
        <v>685</v>
      </c>
      <c r="AF2346" s="336"/>
      <c r="AG2346" s="337"/>
      <c r="AH2346" s="333"/>
      <c r="AI2346" s="333"/>
      <c r="AJ2346" s="333"/>
      <c r="AK2346" s="328" t="s">
        <v>2658</v>
      </c>
      <c r="AL2346" s="328" t="s">
        <v>688</v>
      </c>
      <c r="AM2346" s="338"/>
      <c r="AN2346" s="333"/>
      <c r="AO2346" s="333"/>
      <c r="AP2346" s="333"/>
      <c r="AQ2346" s="333"/>
      <c r="AR2346" s="333"/>
      <c r="AS2346" s="333"/>
      <c r="AT2346" s="333"/>
      <c r="AU2346" s="329"/>
      <c r="AV2346" s="341"/>
      <c r="AW2346" s="269"/>
      <c r="AX2346" s="334" t="s">
        <v>2869</v>
      </c>
      <c r="AY2346" s="270" t="s">
        <v>695</v>
      </c>
      <c r="AZ2346" s="173" t="s">
        <v>5516</v>
      </c>
      <c r="BA2346" s="265">
        <v>10.0</v>
      </c>
      <c r="BB2346" s="174" t="s">
        <v>245</v>
      </c>
      <c r="BC2346" s="341"/>
      <c r="BD2346" s="308"/>
      <c r="BE2346" s="342"/>
      <c r="BF2346" s="274" t="str">
        <f>IFERROR(__xludf.DUMMYFUNCTION("LOWER(Regexreplace(to_text(E2346),""[^A-Za-z0-9]"","""")&amp;""_""&amp;Regexreplace(to_text(F2346),""[^A-Za-z0-9]"",""""))"),"neptronic_evcbseries")</f>
        <v>neptronic_evcbseries</v>
      </c>
      <c r="BG2346" s="275" t="str">
        <f>IFERROR(__xludf.DUMMYFUNCTION("upper(Regexreplace(to_text(E2346),""[^A-Za-z0-9]"","""")&amp;""-""&amp;Regexreplace(to_text(F2346),""[^A-Za-z0-9]"",""""))"),"NEPTRONIC-EVCBSERIES")</f>
        <v>NEPTRONIC-EVCBSERIES</v>
      </c>
    </row>
    <row r="2347" ht="30.0" customHeight="1">
      <c r="A2347" s="173">
        <v>2339.0</v>
      </c>
      <c r="B2347" s="328" t="s">
        <v>670</v>
      </c>
      <c r="C2347" s="257" t="s">
        <v>7923</v>
      </c>
      <c r="D2347" s="173" t="s">
        <v>7923</v>
      </c>
      <c r="E2347" s="174" t="s">
        <v>2861</v>
      </c>
      <c r="F2347" s="173" t="s">
        <v>2862</v>
      </c>
      <c r="G2347" s="328" t="s">
        <v>673</v>
      </c>
      <c r="H2347" s="328" t="s">
        <v>2863</v>
      </c>
      <c r="I2347" s="258" t="s">
        <v>2864</v>
      </c>
      <c r="J2347" s="259" t="s">
        <v>1453</v>
      </c>
      <c r="K2347" s="260"/>
      <c r="L2347" s="363"/>
      <c r="M2347" s="329"/>
      <c r="N2347" s="173" t="s">
        <v>679</v>
      </c>
      <c r="O2347" s="173"/>
      <c r="P2347" s="262" t="str">
        <f t="shared" si="1"/>
        <v>IN-BLR-ANANTA-VAV-1919_11</v>
      </c>
      <c r="Q2347" s="173" t="s">
        <v>7924</v>
      </c>
      <c r="R2347" s="328" t="str">
        <f>IFS(C2347="","",C2347="n/a","N/A",LEN(C2347),Concatenate("{",char(34),"asset",char(34),":{",char(34),"guid",char(34),":",char(34),Q2347,char(34),",",char(34),"site",char(34),":",char(34),LOWER('2-Building'!$B$4),char(34),",",char(34),"name",char(34),":",char(34),LOWER(C2347),char(34),"}}"))</f>
        <v>{"asset":{"guid":"uuid://1b0c244d-f7c7-4749-8090-b99546af93e0","site":"in-blr-ananta","name":"vav-1919"}}</v>
      </c>
      <c r="S2347" s="333"/>
      <c r="T2347" s="330"/>
      <c r="U2347" s="330"/>
      <c r="V2347" s="331"/>
      <c r="W2347" s="332"/>
      <c r="X2347" s="333"/>
      <c r="Y2347" s="33" t="s">
        <v>2867</v>
      </c>
      <c r="Z2347" s="258">
        <v>121919.0</v>
      </c>
      <c r="AA2347" s="333"/>
      <c r="AB2347" s="333"/>
      <c r="AC2347" s="333"/>
      <c r="AD2347" s="329"/>
      <c r="AE2347" s="362" t="s">
        <v>685</v>
      </c>
      <c r="AF2347" s="336"/>
      <c r="AG2347" s="337"/>
      <c r="AH2347" s="333"/>
      <c r="AI2347" s="333"/>
      <c r="AJ2347" s="333"/>
      <c r="AK2347" s="328" t="s">
        <v>2663</v>
      </c>
      <c r="AL2347" s="328" t="s">
        <v>688</v>
      </c>
      <c r="AM2347" s="338"/>
      <c r="AN2347" s="333"/>
      <c r="AO2347" s="333"/>
      <c r="AP2347" s="333"/>
      <c r="AQ2347" s="333"/>
      <c r="AR2347" s="333"/>
      <c r="AS2347" s="333"/>
      <c r="AT2347" s="333"/>
      <c r="AU2347" s="329"/>
      <c r="AV2347" s="341"/>
      <c r="AW2347" s="269"/>
      <c r="AX2347" s="334" t="s">
        <v>2869</v>
      </c>
      <c r="AY2347" s="270" t="s">
        <v>695</v>
      </c>
      <c r="AZ2347" s="173" t="s">
        <v>5516</v>
      </c>
      <c r="BA2347" s="265">
        <v>10.0</v>
      </c>
      <c r="BB2347" s="174" t="s">
        <v>245</v>
      </c>
      <c r="BC2347" s="341"/>
      <c r="BD2347" s="308"/>
      <c r="BE2347" s="342"/>
      <c r="BF2347" s="274" t="str">
        <f>IFERROR(__xludf.DUMMYFUNCTION("LOWER(Regexreplace(to_text(E2347),""[^A-Za-z0-9]"","""")&amp;""_""&amp;Regexreplace(to_text(F2347),""[^A-Za-z0-9]"",""""))"),"neptronic_evcbseries")</f>
        <v>neptronic_evcbseries</v>
      </c>
      <c r="BG2347" s="275" t="str">
        <f>IFERROR(__xludf.DUMMYFUNCTION("upper(Regexreplace(to_text(E2347),""[^A-Za-z0-9]"","""")&amp;""-""&amp;Regexreplace(to_text(F2347),""[^A-Za-z0-9]"",""""))"),"NEPTRONIC-EVCBSERIES")</f>
        <v>NEPTRONIC-EVCBSERIES</v>
      </c>
    </row>
    <row r="2348" ht="30.0" customHeight="1">
      <c r="A2348" s="258">
        <v>2340.0</v>
      </c>
      <c r="B2348" s="328" t="s">
        <v>670</v>
      </c>
      <c r="C2348" s="257" t="s">
        <v>7925</v>
      </c>
      <c r="D2348" s="173" t="s">
        <v>7925</v>
      </c>
      <c r="E2348" s="174" t="s">
        <v>2861</v>
      </c>
      <c r="F2348" s="173" t="s">
        <v>2862</v>
      </c>
      <c r="G2348" s="328" t="s">
        <v>673</v>
      </c>
      <c r="H2348" s="328" t="s">
        <v>2863</v>
      </c>
      <c r="I2348" s="258" t="s">
        <v>2864</v>
      </c>
      <c r="J2348" s="259" t="s">
        <v>1453</v>
      </c>
      <c r="K2348" s="260"/>
      <c r="L2348" s="363"/>
      <c r="M2348" s="329"/>
      <c r="N2348" s="173" t="s">
        <v>679</v>
      </c>
      <c r="O2348" s="173"/>
      <c r="P2348" s="262" t="str">
        <f t="shared" si="1"/>
        <v>IN-BLR-ANANTA-VAV-1920_11</v>
      </c>
      <c r="Q2348" s="173" t="s">
        <v>7926</v>
      </c>
      <c r="R2348" s="328" t="str">
        <f>IFS(C2348="","",C2348="n/a","N/A",LEN(C2348),Concatenate("{",char(34),"asset",char(34),":{",char(34),"guid",char(34),":",char(34),Q2348,char(34),",",char(34),"site",char(34),":",char(34),LOWER('2-Building'!$B$4),char(34),",",char(34),"name",char(34),":",char(34),LOWER(C2348),char(34),"}}"))</f>
        <v>{"asset":{"guid":"uuid://5476ae4b-56ba-497c-93a7-23c1a146c854","site":"in-blr-ananta","name":"vav-1920"}}</v>
      </c>
      <c r="S2348" s="333"/>
      <c r="T2348" s="330"/>
      <c r="U2348" s="330"/>
      <c r="V2348" s="331"/>
      <c r="W2348" s="332"/>
      <c r="X2348" s="333"/>
      <c r="Y2348" s="33" t="s">
        <v>2867</v>
      </c>
      <c r="Z2348" s="258">
        <v>121920.0</v>
      </c>
      <c r="AA2348" s="333"/>
      <c r="AB2348" s="333"/>
      <c r="AC2348" s="333"/>
      <c r="AD2348" s="329"/>
      <c r="AE2348" s="362" t="s">
        <v>685</v>
      </c>
      <c r="AF2348" s="336"/>
      <c r="AG2348" s="337"/>
      <c r="AH2348" s="333"/>
      <c r="AI2348" s="333"/>
      <c r="AJ2348" s="333"/>
      <c r="AK2348" s="328" t="s">
        <v>2668</v>
      </c>
      <c r="AL2348" s="328" t="s">
        <v>688</v>
      </c>
      <c r="AM2348" s="338"/>
      <c r="AN2348" s="333"/>
      <c r="AO2348" s="333"/>
      <c r="AP2348" s="333"/>
      <c r="AQ2348" s="333"/>
      <c r="AR2348" s="333"/>
      <c r="AS2348" s="333"/>
      <c r="AT2348" s="333"/>
      <c r="AU2348" s="329"/>
      <c r="AV2348" s="341"/>
      <c r="AW2348" s="269"/>
      <c r="AX2348" s="334" t="s">
        <v>2869</v>
      </c>
      <c r="AY2348" s="270" t="s">
        <v>695</v>
      </c>
      <c r="AZ2348" s="173" t="s">
        <v>5516</v>
      </c>
      <c r="BA2348" s="265">
        <v>10.0</v>
      </c>
      <c r="BB2348" s="174" t="s">
        <v>245</v>
      </c>
      <c r="BC2348" s="341"/>
      <c r="BD2348" s="308"/>
      <c r="BE2348" s="342"/>
      <c r="BF2348" s="274" t="str">
        <f>IFERROR(__xludf.DUMMYFUNCTION("LOWER(Regexreplace(to_text(E2348),""[^A-Za-z0-9]"","""")&amp;""_""&amp;Regexreplace(to_text(F2348),""[^A-Za-z0-9]"",""""))"),"neptronic_evcbseries")</f>
        <v>neptronic_evcbseries</v>
      </c>
      <c r="BG2348" s="275" t="str">
        <f>IFERROR(__xludf.DUMMYFUNCTION("upper(Regexreplace(to_text(E2348),""[^A-Za-z0-9]"","""")&amp;""-""&amp;Regexreplace(to_text(F2348),""[^A-Za-z0-9]"",""""))"),"NEPTRONIC-EVCBSERIES")</f>
        <v>NEPTRONIC-EVCBSERIES</v>
      </c>
    </row>
    <row r="2349" ht="30.0" customHeight="1">
      <c r="A2349" s="173">
        <v>2341.0</v>
      </c>
      <c r="B2349" s="328" t="s">
        <v>670</v>
      </c>
      <c r="C2349" s="257" t="s">
        <v>7927</v>
      </c>
      <c r="D2349" s="173" t="s">
        <v>7927</v>
      </c>
      <c r="E2349" s="174" t="s">
        <v>2861</v>
      </c>
      <c r="F2349" s="173" t="s">
        <v>2862</v>
      </c>
      <c r="G2349" s="328" t="s">
        <v>673</v>
      </c>
      <c r="H2349" s="328" t="s">
        <v>2863</v>
      </c>
      <c r="I2349" s="258" t="s">
        <v>2864</v>
      </c>
      <c r="J2349" s="259" t="s">
        <v>1453</v>
      </c>
      <c r="K2349" s="260"/>
      <c r="L2349" s="363"/>
      <c r="M2349" s="329"/>
      <c r="N2349" s="173" t="s">
        <v>679</v>
      </c>
      <c r="O2349" s="173"/>
      <c r="P2349" s="262" t="str">
        <f t="shared" si="1"/>
        <v>IN-BLR-ANANTA-VAV-1921_11</v>
      </c>
      <c r="Q2349" s="173" t="s">
        <v>7928</v>
      </c>
      <c r="R2349" s="328" t="str">
        <f>IFS(C2349="","",C2349="n/a","N/A",LEN(C2349),Concatenate("{",char(34),"asset",char(34),":{",char(34),"guid",char(34),":",char(34),Q2349,char(34),",",char(34),"site",char(34),":",char(34),LOWER('2-Building'!$B$4),char(34),",",char(34),"name",char(34),":",char(34),LOWER(C2349),char(34),"}}"))</f>
        <v>{"asset":{"guid":"uuid://763ad478-d963-4f66-a21a-fb9110099c71","site":"in-blr-ananta","name":"vav-1921"}}</v>
      </c>
      <c r="S2349" s="333"/>
      <c r="T2349" s="330"/>
      <c r="U2349" s="330"/>
      <c r="V2349" s="331"/>
      <c r="W2349" s="332"/>
      <c r="X2349" s="333"/>
      <c r="Y2349" s="33" t="s">
        <v>2867</v>
      </c>
      <c r="Z2349" s="258">
        <v>121921.0</v>
      </c>
      <c r="AA2349" s="333"/>
      <c r="AB2349" s="333"/>
      <c r="AC2349" s="333"/>
      <c r="AD2349" s="329"/>
      <c r="AE2349" s="362" t="s">
        <v>685</v>
      </c>
      <c r="AF2349" s="336"/>
      <c r="AG2349" s="337"/>
      <c r="AH2349" s="333"/>
      <c r="AI2349" s="333"/>
      <c r="AJ2349" s="333"/>
      <c r="AK2349" s="328" t="s">
        <v>2673</v>
      </c>
      <c r="AL2349" s="328" t="s">
        <v>688</v>
      </c>
      <c r="AM2349" s="338"/>
      <c r="AN2349" s="333"/>
      <c r="AO2349" s="333"/>
      <c r="AP2349" s="333"/>
      <c r="AQ2349" s="333"/>
      <c r="AR2349" s="333"/>
      <c r="AS2349" s="333"/>
      <c r="AT2349" s="333"/>
      <c r="AU2349" s="329"/>
      <c r="AV2349" s="341"/>
      <c r="AW2349" s="269"/>
      <c r="AX2349" s="334" t="s">
        <v>2869</v>
      </c>
      <c r="AY2349" s="270" t="s">
        <v>695</v>
      </c>
      <c r="AZ2349" s="173" t="s">
        <v>5516</v>
      </c>
      <c r="BA2349" s="265">
        <v>10.0</v>
      </c>
      <c r="BB2349" s="174" t="s">
        <v>245</v>
      </c>
      <c r="BC2349" s="341"/>
      <c r="BD2349" s="308"/>
      <c r="BE2349" s="342"/>
      <c r="BF2349" s="274" t="str">
        <f>IFERROR(__xludf.DUMMYFUNCTION("LOWER(Regexreplace(to_text(E2349),""[^A-Za-z0-9]"","""")&amp;""_""&amp;Regexreplace(to_text(F2349),""[^A-Za-z0-9]"",""""))"),"neptronic_evcbseries")</f>
        <v>neptronic_evcbseries</v>
      </c>
      <c r="BG2349" s="275" t="str">
        <f>IFERROR(__xludf.DUMMYFUNCTION("upper(Regexreplace(to_text(E2349),""[^A-Za-z0-9]"","""")&amp;""-""&amp;Regexreplace(to_text(F2349),""[^A-Za-z0-9]"",""""))"),"NEPTRONIC-EVCBSERIES")</f>
        <v>NEPTRONIC-EVCBSERIES</v>
      </c>
    </row>
    <row r="2350" ht="30.0" customHeight="1">
      <c r="A2350" s="258">
        <v>2342.0</v>
      </c>
      <c r="B2350" s="328" t="s">
        <v>670</v>
      </c>
      <c r="C2350" s="257" t="s">
        <v>7929</v>
      </c>
      <c r="D2350" s="173" t="s">
        <v>7929</v>
      </c>
      <c r="E2350" s="174" t="s">
        <v>2861</v>
      </c>
      <c r="F2350" s="173" t="s">
        <v>2862</v>
      </c>
      <c r="G2350" s="328" t="s">
        <v>673</v>
      </c>
      <c r="H2350" s="328" t="s">
        <v>2863</v>
      </c>
      <c r="I2350" s="258" t="s">
        <v>2864</v>
      </c>
      <c r="J2350" s="259" t="s">
        <v>1453</v>
      </c>
      <c r="K2350" s="260"/>
      <c r="L2350" s="363"/>
      <c r="M2350" s="329"/>
      <c r="N2350" s="173" t="s">
        <v>679</v>
      </c>
      <c r="O2350" s="173"/>
      <c r="P2350" s="262" t="str">
        <f t="shared" si="1"/>
        <v>IN-BLR-ANANTA-VAV-1922_11</v>
      </c>
      <c r="Q2350" s="173" t="s">
        <v>7930</v>
      </c>
      <c r="R2350" s="328" t="str">
        <f>IFS(C2350="","",C2350="n/a","N/A",LEN(C2350),Concatenate("{",char(34),"asset",char(34),":{",char(34),"guid",char(34),":",char(34),Q2350,char(34),",",char(34),"site",char(34),":",char(34),LOWER('2-Building'!$B$4),char(34),",",char(34),"name",char(34),":",char(34),LOWER(C2350),char(34),"}}"))</f>
        <v>{"asset":{"guid":"uuid://dcdd4151-369a-47ff-99e9-6583a7e36397","site":"in-blr-ananta","name":"vav-1922"}}</v>
      </c>
      <c r="S2350" s="333"/>
      <c r="T2350" s="330"/>
      <c r="U2350" s="330"/>
      <c r="V2350" s="331"/>
      <c r="W2350" s="332"/>
      <c r="X2350" s="333"/>
      <c r="Y2350" s="33" t="s">
        <v>2867</v>
      </c>
      <c r="Z2350" s="258">
        <v>121922.0</v>
      </c>
      <c r="AA2350" s="333"/>
      <c r="AB2350" s="333"/>
      <c r="AC2350" s="333"/>
      <c r="AD2350" s="329"/>
      <c r="AE2350" s="362" t="s">
        <v>685</v>
      </c>
      <c r="AF2350" s="336"/>
      <c r="AG2350" s="337"/>
      <c r="AH2350" s="333"/>
      <c r="AI2350" s="333"/>
      <c r="AJ2350" s="333"/>
      <c r="AK2350" s="328" t="s">
        <v>2678</v>
      </c>
      <c r="AL2350" s="328" t="s">
        <v>688</v>
      </c>
      <c r="AM2350" s="338"/>
      <c r="AN2350" s="333"/>
      <c r="AO2350" s="333"/>
      <c r="AP2350" s="333"/>
      <c r="AQ2350" s="333"/>
      <c r="AR2350" s="333"/>
      <c r="AS2350" s="333"/>
      <c r="AT2350" s="333"/>
      <c r="AU2350" s="329"/>
      <c r="AV2350" s="341"/>
      <c r="AW2350" s="269"/>
      <c r="AX2350" s="334" t="s">
        <v>2869</v>
      </c>
      <c r="AY2350" s="270" t="s">
        <v>695</v>
      </c>
      <c r="AZ2350" s="173" t="s">
        <v>5516</v>
      </c>
      <c r="BA2350" s="265">
        <v>10.0</v>
      </c>
      <c r="BB2350" s="174" t="s">
        <v>245</v>
      </c>
      <c r="BC2350" s="341"/>
      <c r="BD2350" s="308"/>
      <c r="BE2350" s="342"/>
      <c r="BF2350" s="274" t="str">
        <f>IFERROR(__xludf.DUMMYFUNCTION("LOWER(Regexreplace(to_text(E2350),""[^A-Za-z0-9]"","""")&amp;""_""&amp;Regexreplace(to_text(F2350),""[^A-Za-z0-9]"",""""))"),"neptronic_evcbseries")</f>
        <v>neptronic_evcbseries</v>
      </c>
      <c r="BG2350" s="275" t="str">
        <f>IFERROR(__xludf.DUMMYFUNCTION("upper(Regexreplace(to_text(E2350),""[^A-Za-z0-9]"","""")&amp;""-""&amp;Regexreplace(to_text(F2350),""[^A-Za-z0-9]"",""""))"),"NEPTRONIC-EVCBSERIES")</f>
        <v>NEPTRONIC-EVCBSERIES</v>
      </c>
    </row>
    <row r="2351" ht="30.0" customHeight="1">
      <c r="A2351" s="173">
        <v>2343.0</v>
      </c>
      <c r="B2351" s="328" t="s">
        <v>670</v>
      </c>
      <c r="C2351" s="257" t="s">
        <v>7931</v>
      </c>
      <c r="D2351" s="173" t="s">
        <v>7931</v>
      </c>
      <c r="E2351" s="174" t="s">
        <v>2861</v>
      </c>
      <c r="F2351" s="173" t="s">
        <v>2862</v>
      </c>
      <c r="G2351" s="328" t="s">
        <v>673</v>
      </c>
      <c r="H2351" s="328" t="s">
        <v>2863</v>
      </c>
      <c r="I2351" s="258" t="s">
        <v>2864</v>
      </c>
      <c r="J2351" s="259" t="s">
        <v>1453</v>
      </c>
      <c r="K2351" s="260"/>
      <c r="L2351" s="363"/>
      <c r="M2351" s="329"/>
      <c r="N2351" s="173" t="s">
        <v>679</v>
      </c>
      <c r="O2351" s="173"/>
      <c r="P2351" s="262" t="str">
        <f t="shared" si="1"/>
        <v>IN-BLR-ANANTA-VAV-1923_11</v>
      </c>
      <c r="Q2351" s="173" t="s">
        <v>7932</v>
      </c>
      <c r="R2351" s="328" t="str">
        <f>IFS(C2351="","",C2351="n/a","N/A",LEN(C2351),Concatenate("{",char(34),"asset",char(34),":{",char(34),"guid",char(34),":",char(34),Q2351,char(34),",",char(34),"site",char(34),":",char(34),LOWER('2-Building'!$B$4),char(34),",",char(34),"name",char(34),":",char(34),LOWER(C2351),char(34),"}}"))</f>
        <v>{"asset":{"guid":"uuid://adfeb26e-5ce4-4c62-9a57-35529325c696","site":"in-blr-ananta","name":"vav-1923"}}</v>
      </c>
      <c r="S2351" s="333"/>
      <c r="T2351" s="330"/>
      <c r="U2351" s="330"/>
      <c r="V2351" s="331"/>
      <c r="W2351" s="332"/>
      <c r="X2351" s="333"/>
      <c r="Y2351" s="33" t="s">
        <v>2867</v>
      </c>
      <c r="Z2351" s="258">
        <v>121923.0</v>
      </c>
      <c r="AA2351" s="333"/>
      <c r="AB2351" s="333"/>
      <c r="AC2351" s="333"/>
      <c r="AD2351" s="329"/>
      <c r="AE2351" s="362" t="s">
        <v>685</v>
      </c>
      <c r="AF2351" s="336"/>
      <c r="AG2351" s="337"/>
      <c r="AH2351" s="333"/>
      <c r="AI2351" s="333"/>
      <c r="AJ2351" s="333"/>
      <c r="AK2351" s="328" t="s">
        <v>2683</v>
      </c>
      <c r="AL2351" s="328" t="s">
        <v>688</v>
      </c>
      <c r="AM2351" s="338"/>
      <c r="AN2351" s="333"/>
      <c r="AO2351" s="333"/>
      <c r="AP2351" s="333"/>
      <c r="AQ2351" s="333"/>
      <c r="AR2351" s="333"/>
      <c r="AS2351" s="333"/>
      <c r="AT2351" s="333"/>
      <c r="AU2351" s="329"/>
      <c r="AV2351" s="341"/>
      <c r="AW2351" s="269"/>
      <c r="AX2351" s="334" t="s">
        <v>2869</v>
      </c>
      <c r="AY2351" s="270" t="s">
        <v>695</v>
      </c>
      <c r="AZ2351" s="173" t="s">
        <v>5516</v>
      </c>
      <c r="BA2351" s="265">
        <v>10.0</v>
      </c>
      <c r="BB2351" s="174" t="s">
        <v>245</v>
      </c>
      <c r="BC2351" s="341"/>
      <c r="BD2351" s="308"/>
      <c r="BE2351" s="342"/>
      <c r="BF2351" s="274" t="str">
        <f>IFERROR(__xludf.DUMMYFUNCTION("LOWER(Regexreplace(to_text(E2351),""[^A-Za-z0-9]"","""")&amp;""_""&amp;Regexreplace(to_text(F2351),""[^A-Za-z0-9]"",""""))"),"neptronic_evcbseries")</f>
        <v>neptronic_evcbseries</v>
      </c>
      <c r="BG2351" s="275" t="str">
        <f>IFERROR(__xludf.DUMMYFUNCTION("upper(Regexreplace(to_text(E2351),""[^A-Za-z0-9]"","""")&amp;""-""&amp;Regexreplace(to_text(F2351),""[^A-Za-z0-9]"",""""))"),"NEPTRONIC-EVCBSERIES")</f>
        <v>NEPTRONIC-EVCBSERIES</v>
      </c>
    </row>
    <row r="2352" ht="30.0" customHeight="1">
      <c r="A2352" s="258">
        <v>2344.0</v>
      </c>
      <c r="B2352" s="328" t="s">
        <v>670</v>
      </c>
      <c r="C2352" s="257" t="s">
        <v>7933</v>
      </c>
      <c r="D2352" s="173" t="s">
        <v>7933</v>
      </c>
      <c r="E2352" s="174" t="s">
        <v>2861</v>
      </c>
      <c r="F2352" s="173" t="s">
        <v>2862</v>
      </c>
      <c r="G2352" s="328" t="s">
        <v>673</v>
      </c>
      <c r="H2352" s="328" t="s">
        <v>2863</v>
      </c>
      <c r="I2352" s="258" t="s">
        <v>2864</v>
      </c>
      <c r="J2352" s="259" t="s">
        <v>1453</v>
      </c>
      <c r="K2352" s="260"/>
      <c r="L2352" s="363"/>
      <c r="M2352" s="329"/>
      <c r="N2352" s="173" t="s">
        <v>679</v>
      </c>
      <c r="O2352" s="173"/>
      <c r="P2352" s="262" t="str">
        <f t="shared" si="1"/>
        <v>IN-BLR-ANANTA-VAV-1924_11</v>
      </c>
      <c r="Q2352" s="173" t="s">
        <v>7934</v>
      </c>
      <c r="R2352" s="328" t="str">
        <f>IFS(C2352="","",C2352="n/a","N/A",LEN(C2352),Concatenate("{",char(34),"asset",char(34),":{",char(34),"guid",char(34),":",char(34),Q2352,char(34),",",char(34),"site",char(34),":",char(34),LOWER('2-Building'!$B$4),char(34),",",char(34),"name",char(34),":",char(34),LOWER(C2352),char(34),"}}"))</f>
        <v>{"asset":{"guid":"uuid://3ea1f8b5-4588-4e82-ac75-97375e253984","site":"in-blr-ananta","name":"vav-1924"}}</v>
      </c>
      <c r="S2352" s="333"/>
      <c r="T2352" s="330"/>
      <c r="U2352" s="330"/>
      <c r="V2352" s="331"/>
      <c r="W2352" s="332"/>
      <c r="X2352" s="333"/>
      <c r="Y2352" s="33" t="s">
        <v>2867</v>
      </c>
      <c r="Z2352" s="258">
        <v>121924.0</v>
      </c>
      <c r="AA2352" s="333"/>
      <c r="AB2352" s="333"/>
      <c r="AC2352" s="333"/>
      <c r="AD2352" s="329"/>
      <c r="AE2352" s="362" t="s">
        <v>685</v>
      </c>
      <c r="AF2352" s="336"/>
      <c r="AG2352" s="337"/>
      <c r="AH2352" s="333"/>
      <c r="AI2352" s="333"/>
      <c r="AJ2352" s="333"/>
      <c r="AK2352" s="328" t="s">
        <v>2689</v>
      </c>
      <c r="AL2352" s="328" t="s">
        <v>688</v>
      </c>
      <c r="AM2352" s="338"/>
      <c r="AN2352" s="333"/>
      <c r="AO2352" s="333"/>
      <c r="AP2352" s="333"/>
      <c r="AQ2352" s="333"/>
      <c r="AR2352" s="333"/>
      <c r="AS2352" s="333"/>
      <c r="AT2352" s="333"/>
      <c r="AU2352" s="329"/>
      <c r="AV2352" s="341"/>
      <c r="AW2352" s="269"/>
      <c r="AX2352" s="334" t="s">
        <v>2869</v>
      </c>
      <c r="AY2352" s="270" t="s">
        <v>695</v>
      </c>
      <c r="AZ2352" s="173" t="s">
        <v>5516</v>
      </c>
      <c r="BA2352" s="265">
        <v>10.0</v>
      </c>
      <c r="BB2352" s="174" t="s">
        <v>245</v>
      </c>
      <c r="BC2352" s="341"/>
      <c r="BD2352" s="308"/>
      <c r="BE2352" s="342"/>
      <c r="BF2352" s="274" t="str">
        <f>IFERROR(__xludf.DUMMYFUNCTION("LOWER(Regexreplace(to_text(E2352),""[^A-Za-z0-9]"","""")&amp;""_""&amp;Regexreplace(to_text(F2352),""[^A-Za-z0-9]"",""""))"),"neptronic_evcbseries")</f>
        <v>neptronic_evcbseries</v>
      </c>
      <c r="BG2352" s="275" t="str">
        <f>IFERROR(__xludf.DUMMYFUNCTION("upper(Regexreplace(to_text(E2352),""[^A-Za-z0-9]"","""")&amp;""-""&amp;Regexreplace(to_text(F2352),""[^A-Za-z0-9]"",""""))"),"NEPTRONIC-EVCBSERIES")</f>
        <v>NEPTRONIC-EVCBSERIES</v>
      </c>
    </row>
    <row r="2353" ht="30.0" customHeight="1">
      <c r="A2353" s="173">
        <v>2345.0</v>
      </c>
      <c r="B2353" s="328" t="s">
        <v>670</v>
      </c>
      <c r="C2353" s="257" t="s">
        <v>7935</v>
      </c>
      <c r="D2353" s="173" t="s">
        <v>7935</v>
      </c>
      <c r="E2353" s="174" t="s">
        <v>2861</v>
      </c>
      <c r="F2353" s="173" t="s">
        <v>2862</v>
      </c>
      <c r="G2353" s="328" t="s">
        <v>673</v>
      </c>
      <c r="H2353" s="328" t="s">
        <v>2863</v>
      </c>
      <c r="I2353" s="258" t="s">
        <v>2864</v>
      </c>
      <c r="J2353" s="259" t="s">
        <v>1453</v>
      </c>
      <c r="K2353" s="260"/>
      <c r="L2353" s="363"/>
      <c r="M2353" s="329"/>
      <c r="N2353" s="173" t="s">
        <v>679</v>
      </c>
      <c r="O2353" s="173"/>
      <c r="P2353" s="262" t="str">
        <f t="shared" si="1"/>
        <v>IN-BLR-ANANTA-VAV-1925_11</v>
      </c>
      <c r="Q2353" s="173" t="s">
        <v>7936</v>
      </c>
      <c r="R2353" s="328" t="str">
        <f>IFS(C2353="","",C2353="n/a","N/A",LEN(C2353),Concatenate("{",char(34),"asset",char(34),":{",char(34),"guid",char(34),":",char(34),Q2353,char(34),",",char(34),"site",char(34),":",char(34),LOWER('2-Building'!$B$4),char(34),",",char(34),"name",char(34),":",char(34),LOWER(C2353),char(34),"}}"))</f>
        <v>{"asset":{"guid":"uuid://9ba9e6bd-d4c2-4aed-9b03-3346a9ea183b","site":"in-blr-ananta","name":"vav-1925"}}</v>
      </c>
      <c r="S2353" s="333"/>
      <c r="T2353" s="330"/>
      <c r="U2353" s="330"/>
      <c r="V2353" s="331"/>
      <c r="W2353" s="332"/>
      <c r="X2353" s="333"/>
      <c r="Y2353" s="33" t="s">
        <v>2867</v>
      </c>
      <c r="Z2353" s="258">
        <v>121925.0</v>
      </c>
      <c r="AA2353" s="333"/>
      <c r="AB2353" s="333"/>
      <c r="AC2353" s="333"/>
      <c r="AD2353" s="329"/>
      <c r="AE2353" s="362" t="s">
        <v>685</v>
      </c>
      <c r="AF2353" s="336"/>
      <c r="AG2353" s="337"/>
      <c r="AH2353" s="333"/>
      <c r="AI2353" s="333"/>
      <c r="AJ2353" s="333"/>
      <c r="AK2353" s="328" t="s">
        <v>2693</v>
      </c>
      <c r="AL2353" s="328" t="s">
        <v>688</v>
      </c>
      <c r="AM2353" s="338"/>
      <c r="AN2353" s="333"/>
      <c r="AO2353" s="333"/>
      <c r="AP2353" s="333"/>
      <c r="AQ2353" s="333"/>
      <c r="AR2353" s="333"/>
      <c r="AS2353" s="333"/>
      <c r="AT2353" s="333"/>
      <c r="AU2353" s="329"/>
      <c r="AV2353" s="341"/>
      <c r="AW2353" s="269"/>
      <c r="AX2353" s="334" t="s">
        <v>2869</v>
      </c>
      <c r="AY2353" s="270" t="s">
        <v>695</v>
      </c>
      <c r="AZ2353" s="173" t="s">
        <v>5516</v>
      </c>
      <c r="BA2353" s="265">
        <v>10.0</v>
      </c>
      <c r="BB2353" s="174" t="s">
        <v>245</v>
      </c>
      <c r="BC2353" s="341"/>
      <c r="BD2353" s="308"/>
      <c r="BE2353" s="342"/>
      <c r="BF2353" s="274" t="str">
        <f>IFERROR(__xludf.DUMMYFUNCTION("LOWER(Regexreplace(to_text(E2353),""[^A-Za-z0-9]"","""")&amp;""_""&amp;Regexreplace(to_text(F2353),""[^A-Za-z0-9]"",""""))"),"neptronic_evcbseries")</f>
        <v>neptronic_evcbseries</v>
      </c>
      <c r="BG2353" s="275" t="str">
        <f>IFERROR(__xludf.DUMMYFUNCTION("upper(Regexreplace(to_text(E2353),""[^A-Za-z0-9]"","""")&amp;""-""&amp;Regexreplace(to_text(F2353),""[^A-Za-z0-9]"",""""))"),"NEPTRONIC-EVCBSERIES")</f>
        <v>NEPTRONIC-EVCBSERIES</v>
      </c>
    </row>
    <row r="2354" ht="30.0" customHeight="1">
      <c r="A2354" s="258">
        <v>2346.0</v>
      </c>
      <c r="B2354" s="328" t="s">
        <v>670</v>
      </c>
      <c r="C2354" s="257" t="s">
        <v>7937</v>
      </c>
      <c r="D2354" s="173" t="s">
        <v>7937</v>
      </c>
      <c r="E2354" s="174" t="s">
        <v>2861</v>
      </c>
      <c r="F2354" s="173" t="s">
        <v>2862</v>
      </c>
      <c r="G2354" s="328" t="s">
        <v>673</v>
      </c>
      <c r="H2354" s="328" t="s">
        <v>2863</v>
      </c>
      <c r="I2354" s="258" t="s">
        <v>2864</v>
      </c>
      <c r="J2354" s="259" t="s">
        <v>1453</v>
      </c>
      <c r="K2354" s="260"/>
      <c r="L2354" s="363"/>
      <c r="M2354" s="329"/>
      <c r="N2354" s="173" t="s">
        <v>679</v>
      </c>
      <c r="O2354" s="173"/>
      <c r="P2354" s="262" t="str">
        <f t="shared" si="1"/>
        <v>IN-BLR-ANANTA-VAV-1926_11</v>
      </c>
      <c r="Q2354" s="173" t="s">
        <v>7938</v>
      </c>
      <c r="R2354" s="328" t="str">
        <f>IFS(C2354="","",C2354="n/a","N/A",LEN(C2354),Concatenate("{",char(34),"asset",char(34),":{",char(34),"guid",char(34),":",char(34),Q2354,char(34),",",char(34),"site",char(34),":",char(34),LOWER('2-Building'!$B$4),char(34),",",char(34),"name",char(34),":",char(34),LOWER(C2354),char(34),"}}"))</f>
        <v>{"asset":{"guid":"uuid://8b24c860-e9cc-485e-b573-5d6bd41f17f8","site":"in-blr-ananta","name":"vav-1926"}}</v>
      </c>
      <c r="S2354" s="333"/>
      <c r="T2354" s="330"/>
      <c r="U2354" s="330"/>
      <c r="V2354" s="331"/>
      <c r="W2354" s="332"/>
      <c r="X2354" s="333"/>
      <c r="Y2354" s="33" t="s">
        <v>2867</v>
      </c>
      <c r="Z2354" s="258">
        <v>121926.0</v>
      </c>
      <c r="AA2354" s="333"/>
      <c r="AB2354" s="333"/>
      <c r="AC2354" s="333"/>
      <c r="AD2354" s="329"/>
      <c r="AE2354" s="362" t="s">
        <v>685</v>
      </c>
      <c r="AF2354" s="336"/>
      <c r="AG2354" s="337"/>
      <c r="AH2354" s="333"/>
      <c r="AI2354" s="333"/>
      <c r="AJ2354" s="333"/>
      <c r="AK2354" s="328" t="s">
        <v>2698</v>
      </c>
      <c r="AL2354" s="328" t="s">
        <v>688</v>
      </c>
      <c r="AM2354" s="338"/>
      <c r="AN2354" s="333"/>
      <c r="AO2354" s="333"/>
      <c r="AP2354" s="333"/>
      <c r="AQ2354" s="333"/>
      <c r="AR2354" s="333"/>
      <c r="AS2354" s="333"/>
      <c r="AT2354" s="333"/>
      <c r="AU2354" s="329"/>
      <c r="AV2354" s="341"/>
      <c r="AW2354" s="269"/>
      <c r="AX2354" s="334" t="s">
        <v>2869</v>
      </c>
      <c r="AY2354" s="270" t="s">
        <v>695</v>
      </c>
      <c r="AZ2354" s="173" t="s">
        <v>5516</v>
      </c>
      <c r="BA2354" s="265">
        <v>10.0</v>
      </c>
      <c r="BB2354" s="174" t="s">
        <v>245</v>
      </c>
      <c r="BC2354" s="341"/>
      <c r="BD2354" s="308"/>
      <c r="BE2354" s="342"/>
      <c r="BF2354" s="274" t="str">
        <f>IFERROR(__xludf.DUMMYFUNCTION("LOWER(Regexreplace(to_text(E2354),""[^A-Za-z0-9]"","""")&amp;""_""&amp;Regexreplace(to_text(F2354),""[^A-Za-z0-9]"",""""))"),"neptronic_evcbseries")</f>
        <v>neptronic_evcbseries</v>
      </c>
      <c r="BG2354" s="275" t="str">
        <f>IFERROR(__xludf.DUMMYFUNCTION("upper(Regexreplace(to_text(E2354),""[^A-Za-z0-9]"","""")&amp;""-""&amp;Regexreplace(to_text(F2354),""[^A-Za-z0-9]"",""""))"),"NEPTRONIC-EVCBSERIES")</f>
        <v>NEPTRONIC-EVCBSERIES</v>
      </c>
    </row>
    <row r="2355" ht="30.0" customHeight="1">
      <c r="A2355" s="173">
        <v>2347.0</v>
      </c>
      <c r="B2355" s="328" t="s">
        <v>670</v>
      </c>
      <c r="C2355" s="257" t="s">
        <v>7939</v>
      </c>
      <c r="D2355" s="173" t="s">
        <v>7939</v>
      </c>
      <c r="E2355" s="174" t="s">
        <v>2861</v>
      </c>
      <c r="F2355" s="173" t="s">
        <v>2862</v>
      </c>
      <c r="G2355" s="328" t="s">
        <v>673</v>
      </c>
      <c r="H2355" s="328" t="s">
        <v>2863</v>
      </c>
      <c r="I2355" s="258" t="s">
        <v>2864</v>
      </c>
      <c r="J2355" s="259" t="s">
        <v>1453</v>
      </c>
      <c r="K2355" s="260"/>
      <c r="L2355" s="363"/>
      <c r="M2355" s="329"/>
      <c r="N2355" s="173" t="s">
        <v>679</v>
      </c>
      <c r="O2355" s="173"/>
      <c r="P2355" s="262" t="str">
        <f t="shared" si="1"/>
        <v>IN-BLR-ANANTA-VAV-1927_11</v>
      </c>
      <c r="Q2355" s="173" t="s">
        <v>7940</v>
      </c>
      <c r="R2355" s="328" t="str">
        <f>IFS(C2355="","",C2355="n/a","N/A",LEN(C2355),Concatenate("{",char(34),"asset",char(34),":{",char(34),"guid",char(34),":",char(34),Q2355,char(34),",",char(34),"site",char(34),":",char(34),LOWER('2-Building'!$B$4),char(34),",",char(34),"name",char(34),":",char(34),LOWER(C2355),char(34),"}}"))</f>
        <v>{"asset":{"guid":"uuid://c450fd46-b542-40d4-b532-1175861c38b3","site":"in-blr-ananta","name":"vav-1927"}}</v>
      </c>
      <c r="S2355" s="333"/>
      <c r="T2355" s="330"/>
      <c r="U2355" s="330"/>
      <c r="V2355" s="331"/>
      <c r="W2355" s="332"/>
      <c r="X2355" s="333"/>
      <c r="Y2355" s="33" t="s">
        <v>2867</v>
      </c>
      <c r="Z2355" s="258">
        <v>121927.0</v>
      </c>
      <c r="AA2355" s="333"/>
      <c r="AB2355" s="333"/>
      <c r="AC2355" s="333"/>
      <c r="AD2355" s="329"/>
      <c r="AE2355" s="362" t="s">
        <v>685</v>
      </c>
      <c r="AF2355" s="336"/>
      <c r="AG2355" s="337"/>
      <c r="AH2355" s="333"/>
      <c r="AI2355" s="333"/>
      <c r="AJ2355" s="333"/>
      <c r="AK2355" s="328" t="s">
        <v>2703</v>
      </c>
      <c r="AL2355" s="328" t="s">
        <v>688</v>
      </c>
      <c r="AM2355" s="338"/>
      <c r="AN2355" s="333"/>
      <c r="AO2355" s="333"/>
      <c r="AP2355" s="333"/>
      <c r="AQ2355" s="333"/>
      <c r="AR2355" s="333"/>
      <c r="AS2355" s="333"/>
      <c r="AT2355" s="333"/>
      <c r="AU2355" s="329"/>
      <c r="AV2355" s="341"/>
      <c r="AW2355" s="269"/>
      <c r="AX2355" s="334" t="s">
        <v>2869</v>
      </c>
      <c r="AY2355" s="270" t="s">
        <v>695</v>
      </c>
      <c r="AZ2355" s="173" t="s">
        <v>5516</v>
      </c>
      <c r="BA2355" s="265">
        <v>10.0</v>
      </c>
      <c r="BB2355" s="174" t="s">
        <v>245</v>
      </c>
      <c r="BC2355" s="341"/>
      <c r="BD2355" s="308"/>
      <c r="BE2355" s="342"/>
      <c r="BF2355" s="274" t="str">
        <f>IFERROR(__xludf.DUMMYFUNCTION("LOWER(Regexreplace(to_text(E2355),""[^A-Za-z0-9]"","""")&amp;""_""&amp;Regexreplace(to_text(F2355),""[^A-Za-z0-9]"",""""))"),"neptronic_evcbseries")</f>
        <v>neptronic_evcbseries</v>
      </c>
      <c r="BG2355" s="275" t="str">
        <f>IFERROR(__xludf.DUMMYFUNCTION("upper(Regexreplace(to_text(E2355),""[^A-Za-z0-9]"","""")&amp;""-""&amp;Regexreplace(to_text(F2355),""[^A-Za-z0-9]"",""""))"),"NEPTRONIC-EVCBSERIES")</f>
        <v>NEPTRONIC-EVCBSERIES</v>
      </c>
    </row>
    <row r="2356" ht="30.0" customHeight="1">
      <c r="A2356" s="258">
        <v>2348.0</v>
      </c>
      <c r="B2356" s="328" t="s">
        <v>670</v>
      </c>
      <c r="C2356" s="257" t="s">
        <v>7941</v>
      </c>
      <c r="D2356" s="173" t="s">
        <v>7941</v>
      </c>
      <c r="E2356" s="174" t="s">
        <v>2861</v>
      </c>
      <c r="F2356" s="173" t="s">
        <v>2862</v>
      </c>
      <c r="G2356" s="328" t="s">
        <v>673</v>
      </c>
      <c r="H2356" s="328" t="s">
        <v>2863</v>
      </c>
      <c r="I2356" s="258" t="s">
        <v>2864</v>
      </c>
      <c r="J2356" s="259" t="s">
        <v>1453</v>
      </c>
      <c r="K2356" s="260"/>
      <c r="L2356" s="363"/>
      <c r="M2356" s="329"/>
      <c r="N2356" s="173" t="s">
        <v>679</v>
      </c>
      <c r="O2356" s="173"/>
      <c r="P2356" s="262" t="str">
        <f t="shared" si="1"/>
        <v>IN-BLR-ANANTA-VAV-1928_11</v>
      </c>
      <c r="Q2356" s="173" t="s">
        <v>7942</v>
      </c>
      <c r="R2356" s="328" t="str">
        <f>IFS(C2356="","",C2356="n/a","N/A",LEN(C2356),Concatenate("{",char(34),"asset",char(34),":{",char(34),"guid",char(34),":",char(34),Q2356,char(34),",",char(34),"site",char(34),":",char(34),LOWER('2-Building'!$B$4),char(34),",",char(34),"name",char(34),":",char(34),LOWER(C2356),char(34),"}}"))</f>
        <v>{"asset":{"guid":"uuid://70a34105-c99a-464e-bbc1-a4293add9871","site":"in-blr-ananta","name":"vav-1928"}}</v>
      </c>
      <c r="S2356" s="333"/>
      <c r="T2356" s="330"/>
      <c r="U2356" s="330"/>
      <c r="V2356" s="331"/>
      <c r="W2356" s="332"/>
      <c r="X2356" s="333"/>
      <c r="Y2356" s="33" t="s">
        <v>2867</v>
      </c>
      <c r="Z2356" s="258">
        <v>121928.0</v>
      </c>
      <c r="AA2356" s="333"/>
      <c r="AB2356" s="333"/>
      <c r="AC2356" s="333"/>
      <c r="AD2356" s="329"/>
      <c r="AE2356" s="362" t="s">
        <v>685</v>
      </c>
      <c r="AF2356" s="336"/>
      <c r="AG2356" s="337"/>
      <c r="AH2356" s="333"/>
      <c r="AI2356" s="333"/>
      <c r="AJ2356" s="333"/>
      <c r="AK2356" s="328" t="s">
        <v>2709</v>
      </c>
      <c r="AL2356" s="328" t="s">
        <v>688</v>
      </c>
      <c r="AM2356" s="338"/>
      <c r="AN2356" s="333"/>
      <c r="AO2356" s="333"/>
      <c r="AP2356" s="333"/>
      <c r="AQ2356" s="333"/>
      <c r="AR2356" s="333"/>
      <c r="AS2356" s="333"/>
      <c r="AT2356" s="333"/>
      <c r="AU2356" s="329"/>
      <c r="AV2356" s="341"/>
      <c r="AW2356" s="269"/>
      <c r="AX2356" s="334" t="s">
        <v>2869</v>
      </c>
      <c r="AY2356" s="270" t="s">
        <v>695</v>
      </c>
      <c r="AZ2356" s="173" t="s">
        <v>5516</v>
      </c>
      <c r="BA2356" s="265">
        <v>10.0</v>
      </c>
      <c r="BB2356" s="174" t="s">
        <v>245</v>
      </c>
      <c r="BC2356" s="341"/>
      <c r="BD2356" s="308"/>
      <c r="BE2356" s="342"/>
      <c r="BF2356" s="274" t="str">
        <f>IFERROR(__xludf.DUMMYFUNCTION("LOWER(Regexreplace(to_text(E2356),""[^A-Za-z0-9]"","""")&amp;""_""&amp;Regexreplace(to_text(F2356),""[^A-Za-z0-9]"",""""))"),"neptronic_evcbseries")</f>
        <v>neptronic_evcbseries</v>
      </c>
      <c r="BG2356" s="275" t="str">
        <f>IFERROR(__xludf.DUMMYFUNCTION("upper(Regexreplace(to_text(E2356),""[^A-Za-z0-9]"","""")&amp;""-""&amp;Regexreplace(to_text(F2356),""[^A-Za-z0-9]"",""""))"),"NEPTRONIC-EVCBSERIES")</f>
        <v>NEPTRONIC-EVCBSERIES</v>
      </c>
    </row>
    <row r="2357" ht="30.0" customHeight="1">
      <c r="A2357" s="173">
        <v>2349.0</v>
      </c>
      <c r="B2357" s="328" t="s">
        <v>670</v>
      </c>
      <c r="C2357" s="257" t="s">
        <v>7943</v>
      </c>
      <c r="D2357" s="173" t="s">
        <v>7943</v>
      </c>
      <c r="E2357" s="174" t="s">
        <v>2861</v>
      </c>
      <c r="F2357" s="173" t="s">
        <v>2862</v>
      </c>
      <c r="G2357" s="328" t="s">
        <v>673</v>
      </c>
      <c r="H2357" s="328" t="s">
        <v>2863</v>
      </c>
      <c r="I2357" s="258" t="s">
        <v>2864</v>
      </c>
      <c r="J2357" s="259" t="s">
        <v>1453</v>
      </c>
      <c r="K2357" s="260"/>
      <c r="L2357" s="363"/>
      <c r="M2357" s="329"/>
      <c r="N2357" s="173" t="s">
        <v>679</v>
      </c>
      <c r="O2357" s="173"/>
      <c r="P2357" s="262" t="str">
        <f t="shared" si="1"/>
        <v>IN-BLR-ANANTA-VAV-1929_11</v>
      </c>
      <c r="Q2357" s="173" t="s">
        <v>7944</v>
      </c>
      <c r="R2357" s="328" t="str">
        <f>IFS(C2357="","",C2357="n/a","N/A",LEN(C2357),Concatenate("{",char(34),"asset",char(34),":{",char(34),"guid",char(34),":",char(34),Q2357,char(34),",",char(34),"site",char(34),":",char(34),LOWER('2-Building'!$B$4),char(34),",",char(34),"name",char(34),":",char(34),LOWER(C2357),char(34),"}}"))</f>
        <v>{"asset":{"guid":"uuid://c834b4db-7030-4b78-9d4c-814e8a1ba687","site":"in-blr-ananta","name":"vav-1929"}}</v>
      </c>
      <c r="S2357" s="333"/>
      <c r="T2357" s="330"/>
      <c r="U2357" s="330"/>
      <c r="V2357" s="331"/>
      <c r="W2357" s="332"/>
      <c r="X2357" s="333"/>
      <c r="Y2357" s="33" t="s">
        <v>2867</v>
      </c>
      <c r="Z2357" s="258">
        <v>121929.0</v>
      </c>
      <c r="AA2357" s="333"/>
      <c r="AB2357" s="333"/>
      <c r="AC2357" s="333"/>
      <c r="AD2357" s="329"/>
      <c r="AE2357" s="362" t="s">
        <v>685</v>
      </c>
      <c r="AF2357" s="336"/>
      <c r="AG2357" s="337"/>
      <c r="AH2357" s="333"/>
      <c r="AI2357" s="333"/>
      <c r="AJ2357" s="333"/>
      <c r="AK2357" s="328" t="s">
        <v>2714</v>
      </c>
      <c r="AL2357" s="328" t="s">
        <v>688</v>
      </c>
      <c r="AM2357" s="338"/>
      <c r="AN2357" s="333"/>
      <c r="AO2357" s="333"/>
      <c r="AP2357" s="333"/>
      <c r="AQ2357" s="333"/>
      <c r="AR2357" s="333"/>
      <c r="AS2357" s="333"/>
      <c r="AT2357" s="333"/>
      <c r="AU2357" s="329"/>
      <c r="AV2357" s="341"/>
      <c r="AW2357" s="269"/>
      <c r="AX2357" s="334" t="s">
        <v>2869</v>
      </c>
      <c r="AY2357" s="270" t="s">
        <v>695</v>
      </c>
      <c r="AZ2357" s="173" t="s">
        <v>5516</v>
      </c>
      <c r="BA2357" s="265">
        <v>10.0</v>
      </c>
      <c r="BB2357" s="174" t="s">
        <v>245</v>
      </c>
      <c r="BC2357" s="341"/>
      <c r="BD2357" s="308"/>
      <c r="BE2357" s="342"/>
      <c r="BF2357" s="274" t="str">
        <f>IFERROR(__xludf.DUMMYFUNCTION("LOWER(Regexreplace(to_text(E2357),""[^A-Za-z0-9]"","""")&amp;""_""&amp;Regexreplace(to_text(F2357),""[^A-Za-z0-9]"",""""))"),"neptronic_evcbseries")</f>
        <v>neptronic_evcbseries</v>
      </c>
      <c r="BG2357" s="275" t="str">
        <f>IFERROR(__xludf.DUMMYFUNCTION("upper(Regexreplace(to_text(E2357),""[^A-Za-z0-9]"","""")&amp;""-""&amp;Regexreplace(to_text(F2357),""[^A-Za-z0-9]"",""""))"),"NEPTRONIC-EVCBSERIES")</f>
        <v>NEPTRONIC-EVCBSERIES</v>
      </c>
    </row>
    <row r="2358" ht="30.0" customHeight="1">
      <c r="A2358" s="258">
        <v>2350.0</v>
      </c>
      <c r="B2358" s="328" t="s">
        <v>670</v>
      </c>
      <c r="C2358" s="257" t="s">
        <v>7945</v>
      </c>
      <c r="D2358" s="173" t="s">
        <v>7945</v>
      </c>
      <c r="E2358" s="174" t="s">
        <v>2861</v>
      </c>
      <c r="F2358" s="173" t="s">
        <v>2862</v>
      </c>
      <c r="G2358" s="328" t="s">
        <v>673</v>
      </c>
      <c r="H2358" s="328" t="s">
        <v>2863</v>
      </c>
      <c r="I2358" s="258" t="s">
        <v>2864</v>
      </c>
      <c r="J2358" s="259" t="s">
        <v>1453</v>
      </c>
      <c r="K2358" s="260"/>
      <c r="L2358" s="363"/>
      <c r="M2358" s="329"/>
      <c r="N2358" s="173" t="s">
        <v>679</v>
      </c>
      <c r="O2358" s="173"/>
      <c r="P2358" s="262" t="str">
        <f t="shared" si="1"/>
        <v>IN-BLR-ANANTA-VAV-1930_11</v>
      </c>
      <c r="Q2358" s="173" t="s">
        <v>7946</v>
      </c>
      <c r="R2358" s="328" t="str">
        <f>IFS(C2358="","",C2358="n/a","N/A",LEN(C2358),Concatenate("{",char(34),"asset",char(34),":{",char(34),"guid",char(34),":",char(34),Q2358,char(34),",",char(34),"site",char(34),":",char(34),LOWER('2-Building'!$B$4),char(34),",",char(34),"name",char(34),":",char(34),LOWER(C2358),char(34),"}}"))</f>
        <v>{"asset":{"guid":"uuid://06ad870c-bcc2-4337-998e-9bd3d956e321","site":"in-blr-ananta","name":"vav-1930"}}</v>
      </c>
      <c r="S2358" s="333"/>
      <c r="T2358" s="330"/>
      <c r="U2358" s="330"/>
      <c r="V2358" s="331"/>
      <c r="W2358" s="332"/>
      <c r="X2358" s="333"/>
      <c r="Y2358" s="33" t="s">
        <v>2867</v>
      </c>
      <c r="Z2358" s="258">
        <v>121930.0</v>
      </c>
      <c r="AA2358" s="333"/>
      <c r="AB2358" s="333"/>
      <c r="AC2358" s="333"/>
      <c r="AD2358" s="329"/>
      <c r="AE2358" s="362" t="s">
        <v>685</v>
      </c>
      <c r="AF2358" s="336"/>
      <c r="AG2358" s="337"/>
      <c r="AH2358" s="333"/>
      <c r="AI2358" s="333"/>
      <c r="AJ2358" s="333"/>
      <c r="AK2358" s="328" t="s">
        <v>2720</v>
      </c>
      <c r="AL2358" s="328" t="s">
        <v>688</v>
      </c>
      <c r="AM2358" s="338"/>
      <c r="AN2358" s="333"/>
      <c r="AO2358" s="333"/>
      <c r="AP2358" s="333"/>
      <c r="AQ2358" s="333"/>
      <c r="AR2358" s="333"/>
      <c r="AS2358" s="333"/>
      <c r="AT2358" s="333"/>
      <c r="AU2358" s="329"/>
      <c r="AV2358" s="341"/>
      <c r="AW2358" s="269"/>
      <c r="AX2358" s="334" t="s">
        <v>2869</v>
      </c>
      <c r="AY2358" s="270" t="s">
        <v>695</v>
      </c>
      <c r="AZ2358" s="173" t="s">
        <v>5516</v>
      </c>
      <c r="BA2358" s="265">
        <v>10.0</v>
      </c>
      <c r="BB2358" s="174" t="s">
        <v>245</v>
      </c>
      <c r="BC2358" s="341"/>
      <c r="BD2358" s="308"/>
      <c r="BE2358" s="342"/>
      <c r="BF2358" s="274" t="str">
        <f>IFERROR(__xludf.DUMMYFUNCTION("LOWER(Regexreplace(to_text(E2358),""[^A-Za-z0-9]"","""")&amp;""_""&amp;Regexreplace(to_text(F2358),""[^A-Za-z0-9]"",""""))"),"neptronic_evcbseries")</f>
        <v>neptronic_evcbseries</v>
      </c>
      <c r="BG2358" s="275" t="str">
        <f>IFERROR(__xludf.DUMMYFUNCTION("upper(Regexreplace(to_text(E2358),""[^A-Za-z0-9]"","""")&amp;""-""&amp;Regexreplace(to_text(F2358),""[^A-Za-z0-9]"",""""))"),"NEPTRONIC-EVCBSERIES")</f>
        <v>NEPTRONIC-EVCBSERIES</v>
      </c>
    </row>
    <row r="2359" ht="30.0" customHeight="1">
      <c r="A2359" s="173">
        <v>2351.0</v>
      </c>
      <c r="B2359" s="328" t="s">
        <v>670</v>
      </c>
      <c r="C2359" s="257" t="s">
        <v>7947</v>
      </c>
      <c r="D2359" s="173" t="s">
        <v>7947</v>
      </c>
      <c r="E2359" s="174" t="s">
        <v>2861</v>
      </c>
      <c r="F2359" s="173" t="s">
        <v>2862</v>
      </c>
      <c r="G2359" s="328" t="s">
        <v>673</v>
      </c>
      <c r="H2359" s="328" t="s">
        <v>2863</v>
      </c>
      <c r="I2359" s="258" t="s">
        <v>2864</v>
      </c>
      <c r="J2359" s="259" t="s">
        <v>1453</v>
      </c>
      <c r="K2359" s="260"/>
      <c r="L2359" s="363"/>
      <c r="M2359" s="329"/>
      <c r="N2359" s="173" t="s">
        <v>679</v>
      </c>
      <c r="O2359" s="173"/>
      <c r="P2359" s="262" t="str">
        <f t="shared" si="1"/>
        <v>IN-BLR-ANANTA-VAV-1931_11</v>
      </c>
      <c r="Q2359" s="173" t="s">
        <v>7948</v>
      </c>
      <c r="R2359" s="328" t="str">
        <f>IFS(C2359="","",C2359="n/a","N/A",LEN(C2359),Concatenate("{",char(34),"asset",char(34),":{",char(34),"guid",char(34),":",char(34),Q2359,char(34),",",char(34),"site",char(34),":",char(34),LOWER('2-Building'!$B$4),char(34),",",char(34),"name",char(34),":",char(34),LOWER(C2359),char(34),"}}"))</f>
        <v>{"asset":{"guid":"uuid://9f698ce1-0737-48cb-a077-1c7260a501c1","site":"in-blr-ananta","name":"vav-1931"}}</v>
      </c>
      <c r="S2359" s="333"/>
      <c r="T2359" s="330"/>
      <c r="U2359" s="330"/>
      <c r="V2359" s="331"/>
      <c r="W2359" s="332"/>
      <c r="X2359" s="333"/>
      <c r="Y2359" s="33" t="s">
        <v>2867</v>
      </c>
      <c r="Z2359" s="258">
        <v>121931.0</v>
      </c>
      <c r="AA2359" s="333"/>
      <c r="AB2359" s="333"/>
      <c r="AC2359" s="333"/>
      <c r="AD2359" s="329"/>
      <c r="AE2359" s="362" t="s">
        <v>685</v>
      </c>
      <c r="AF2359" s="336"/>
      <c r="AG2359" s="337"/>
      <c r="AH2359" s="333"/>
      <c r="AI2359" s="333"/>
      <c r="AJ2359" s="333"/>
      <c r="AK2359" s="328" t="s">
        <v>2725</v>
      </c>
      <c r="AL2359" s="328" t="s">
        <v>688</v>
      </c>
      <c r="AM2359" s="338"/>
      <c r="AN2359" s="333"/>
      <c r="AO2359" s="333"/>
      <c r="AP2359" s="333"/>
      <c r="AQ2359" s="333"/>
      <c r="AR2359" s="333"/>
      <c r="AS2359" s="333"/>
      <c r="AT2359" s="333"/>
      <c r="AU2359" s="329"/>
      <c r="AV2359" s="341"/>
      <c r="AW2359" s="269"/>
      <c r="AX2359" s="334" t="s">
        <v>2869</v>
      </c>
      <c r="AY2359" s="270" t="s">
        <v>695</v>
      </c>
      <c r="AZ2359" s="173" t="s">
        <v>5516</v>
      </c>
      <c r="BA2359" s="265">
        <v>10.0</v>
      </c>
      <c r="BB2359" s="174" t="s">
        <v>245</v>
      </c>
      <c r="BC2359" s="341"/>
      <c r="BD2359" s="308"/>
      <c r="BE2359" s="342"/>
      <c r="BF2359" s="274" t="str">
        <f>IFERROR(__xludf.DUMMYFUNCTION("LOWER(Regexreplace(to_text(E2359),""[^A-Za-z0-9]"","""")&amp;""_""&amp;Regexreplace(to_text(F2359),""[^A-Za-z0-9]"",""""))"),"neptronic_evcbseries")</f>
        <v>neptronic_evcbseries</v>
      </c>
      <c r="BG2359" s="275" t="str">
        <f>IFERROR(__xludf.DUMMYFUNCTION("upper(Regexreplace(to_text(E2359),""[^A-Za-z0-9]"","""")&amp;""-""&amp;Regexreplace(to_text(F2359),""[^A-Za-z0-9]"",""""))"),"NEPTRONIC-EVCBSERIES")</f>
        <v>NEPTRONIC-EVCBSERIES</v>
      </c>
    </row>
    <row r="2360" ht="30.0" customHeight="1">
      <c r="A2360" s="258">
        <v>2352.0</v>
      </c>
      <c r="B2360" s="328" t="s">
        <v>670</v>
      </c>
      <c r="C2360" s="257" t="s">
        <v>7949</v>
      </c>
      <c r="D2360" s="173" t="s">
        <v>7949</v>
      </c>
      <c r="E2360" s="174" t="s">
        <v>2861</v>
      </c>
      <c r="F2360" s="173" t="s">
        <v>2862</v>
      </c>
      <c r="G2360" s="328" t="s">
        <v>673</v>
      </c>
      <c r="H2360" s="328" t="s">
        <v>2863</v>
      </c>
      <c r="I2360" s="258" t="s">
        <v>2864</v>
      </c>
      <c r="J2360" s="259" t="s">
        <v>1453</v>
      </c>
      <c r="K2360" s="260"/>
      <c r="L2360" s="363"/>
      <c r="M2360" s="329"/>
      <c r="N2360" s="173" t="s">
        <v>679</v>
      </c>
      <c r="O2360" s="173"/>
      <c r="P2360" s="262" t="str">
        <f t="shared" si="1"/>
        <v>IN-BLR-ANANTA-VAV-1932_11</v>
      </c>
      <c r="Q2360" s="173" t="s">
        <v>7950</v>
      </c>
      <c r="R2360" s="328" t="str">
        <f>IFS(C2360="","",C2360="n/a","N/A",LEN(C2360),Concatenate("{",char(34),"asset",char(34),":{",char(34),"guid",char(34),":",char(34),Q2360,char(34),",",char(34),"site",char(34),":",char(34),LOWER('2-Building'!$B$4),char(34),",",char(34),"name",char(34),":",char(34),LOWER(C2360),char(34),"}}"))</f>
        <v>{"asset":{"guid":"uuid://7e6d06b6-bffb-4fc8-8ff7-8d41cd0b2a9a","site":"in-blr-ananta","name":"vav-1932"}}</v>
      </c>
      <c r="S2360" s="333"/>
      <c r="T2360" s="330"/>
      <c r="U2360" s="330"/>
      <c r="V2360" s="331"/>
      <c r="W2360" s="332"/>
      <c r="X2360" s="333"/>
      <c r="Y2360" s="33" t="s">
        <v>2867</v>
      </c>
      <c r="Z2360" s="258">
        <v>121932.0</v>
      </c>
      <c r="AA2360" s="333"/>
      <c r="AB2360" s="333"/>
      <c r="AC2360" s="333"/>
      <c r="AD2360" s="329"/>
      <c r="AE2360" s="362" t="s">
        <v>685</v>
      </c>
      <c r="AF2360" s="336"/>
      <c r="AG2360" s="337"/>
      <c r="AH2360" s="333"/>
      <c r="AI2360" s="333"/>
      <c r="AJ2360" s="333"/>
      <c r="AK2360" s="328" t="s">
        <v>2731</v>
      </c>
      <c r="AL2360" s="328" t="s">
        <v>688</v>
      </c>
      <c r="AM2360" s="338"/>
      <c r="AN2360" s="333"/>
      <c r="AO2360" s="333"/>
      <c r="AP2360" s="333"/>
      <c r="AQ2360" s="333"/>
      <c r="AR2360" s="333"/>
      <c r="AS2360" s="333"/>
      <c r="AT2360" s="333"/>
      <c r="AU2360" s="329"/>
      <c r="AV2360" s="341"/>
      <c r="AW2360" s="269"/>
      <c r="AX2360" s="334" t="s">
        <v>2869</v>
      </c>
      <c r="AY2360" s="270" t="s">
        <v>695</v>
      </c>
      <c r="AZ2360" s="173" t="s">
        <v>5516</v>
      </c>
      <c r="BA2360" s="265">
        <v>10.0</v>
      </c>
      <c r="BB2360" s="174" t="s">
        <v>245</v>
      </c>
      <c r="BC2360" s="341"/>
      <c r="BD2360" s="308"/>
      <c r="BE2360" s="342"/>
      <c r="BF2360" s="274" t="str">
        <f>IFERROR(__xludf.DUMMYFUNCTION("LOWER(Regexreplace(to_text(E2360),""[^A-Za-z0-9]"","""")&amp;""_""&amp;Regexreplace(to_text(F2360),""[^A-Za-z0-9]"",""""))"),"neptronic_evcbseries")</f>
        <v>neptronic_evcbseries</v>
      </c>
      <c r="BG2360" s="275" t="str">
        <f>IFERROR(__xludf.DUMMYFUNCTION("upper(Regexreplace(to_text(E2360),""[^A-Za-z0-9]"","""")&amp;""-""&amp;Regexreplace(to_text(F2360),""[^A-Za-z0-9]"",""""))"),"NEPTRONIC-EVCBSERIES")</f>
        <v>NEPTRONIC-EVCBSERIES</v>
      </c>
    </row>
    <row r="2361" ht="30.0" customHeight="1">
      <c r="A2361" s="173">
        <v>2353.0</v>
      </c>
      <c r="B2361" s="328" t="s">
        <v>670</v>
      </c>
      <c r="C2361" s="257" t="s">
        <v>7951</v>
      </c>
      <c r="D2361" s="173" t="s">
        <v>7951</v>
      </c>
      <c r="E2361" s="174" t="s">
        <v>2861</v>
      </c>
      <c r="F2361" s="173" t="s">
        <v>2862</v>
      </c>
      <c r="G2361" s="328" t="s">
        <v>673</v>
      </c>
      <c r="H2361" s="328" t="s">
        <v>2863</v>
      </c>
      <c r="I2361" s="258" t="s">
        <v>2864</v>
      </c>
      <c r="J2361" s="259" t="s">
        <v>1453</v>
      </c>
      <c r="K2361" s="260"/>
      <c r="L2361" s="363"/>
      <c r="M2361" s="329"/>
      <c r="N2361" s="173" t="s">
        <v>679</v>
      </c>
      <c r="O2361" s="173"/>
      <c r="P2361" s="262" t="str">
        <f t="shared" si="1"/>
        <v>IN-BLR-ANANTA-VAV-1933_11</v>
      </c>
      <c r="Q2361" s="173" t="s">
        <v>7952</v>
      </c>
      <c r="R2361" s="328" t="str">
        <f>IFS(C2361="","",C2361="n/a","N/A",LEN(C2361),Concatenate("{",char(34),"asset",char(34),":{",char(34),"guid",char(34),":",char(34),Q2361,char(34),",",char(34),"site",char(34),":",char(34),LOWER('2-Building'!$B$4),char(34),",",char(34),"name",char(34),":",char(34),LOWER(C2361),char(34),"}}"))</f>
        <v>{"asset":{"guid":"uuid://80b595f9-4942-41e1-968e-732ee2cc8a01","site":"in-blr-ananta","name":"vav-1933"}}</v>
      </c>
      <c r="S2361" s="333"/>
      <c r="T2361" s="330"/>
      <c r="U2361" s="330"/>
      <c r="V2361" s="331"/>
      <c r="W2361" s="332"/>
      <c r="X2361" s="333"/>
      <c r="Y2361" s="33" t="s">
        <v>2867</v>
      </c>
      <c r="Z2361" s="258">
        <v>121933.0</v>
      </c>
      <c r="AA2361" s="333"/>
      <c r="AB2361" s="333"/>
      <c r="AC2361" s="333"/>
      <c r="AD2361" s="329"/>
      <c r="AE2361" s="362" t="s">
        <v>685</v>
      </c>
      <c r="AF2361" s="336"/>
      <c r="AG2361" s="337"/>
      <c r="AH2361" s="333"/>
      <c r="AI2361" s="333"/>
      <c r="AJ2361" s="333"/>
      <c r="AK2361" s="328" t="s">
        <v>1602</v>
      </c>
      <c r="AL2361" s="328" t="s">
        <v>688</v>
      </c>
      <c r="AM2361" s="338"/>
      <c r="AN2361" s="333"/>
      <c r="AO2361" s="333"/>
      <c r="AP2361" s="333"/>
      <c r="AQ2361" s="333"/>
      <c r="AR2361" s="333"/>
      <c r="AS2361" s="333"/>
      <c r="AT2361" s="333"/>
      <c r="AU2361" s="329"/>
      <c r="AV2361" s="341"/>
      <c r="AW2361" s="269"/>
      <c r="AX2361" s="334" t="s">
        <v>2869</v>
      </c>
      <c r="AY2361" s="270" t="s">
        <v>695</v>
      </c>
      <c r="AZ2361" s="173" t="s">
        <v>5516</v>
      </c>
      <c r="BA2361" s="265">
        <v>10.0</v>
      </c>
      <c r="BB2361" s="174" t="s">
        <v>245</v>
      </c>
      <c r="BC2361" s="341"/>
      <c r="BD2361" s="308"/>
      <c r="BE2361" s="342"/>
      <c r="BF2361" s="274" t="str">
        <f>IFERROR(__xludf.DUMMYFUNCTION("LOWER(Regexreplace(to_text(E2361),""[^A-Za-z0-9]"","""")&amp;""_""&amp;Regexreplace(to_text(F2361),""[^A-Za-z0-9]"",""""))"),"neptronic_evcbseries")</f>
        <v>neptronic_evcbseries</v>
      </c>
      <c r="BG2361" s="275" t="str">
        <f>IFERROR(__xludf.DUMMYFUNCTION("upper(Regexreplace(to_text(E2361),""[^A-Za-z0-9]"","""")&amp;""-""&amp;Regexreplace(to_text(F2361),""[^A-Za-z0-9]"",""""))"),"NEPTRONIC-EVCBSERIES")</f>
        <v>NEPTRONIC-EVCBSERIES</v>
      </c>
    </row>
    <row r="2362" ht="30.0" customHeight="1">
      <c r="A2362" s="258">
        <v>2354.0</v>
      </c>
      <c r="B2362" s="328" t="s">
        <v>670</v>
      </c>
      <c r="C2362" s="257" t="s">
        <v>7953</v>
      </c>
      <c r="D2362" s="173" t="s">
        <v>7953</v>
      </c>
      <c r="E2362" s="174" t="s">
        <v>2861</v>
      </c>
      <c r="F2362" s="173" t="s">
        <v>2862</v>
      </c>
      <c r="G2362" s="328" t="s">
        <v>673</v>
      </c>
      <c r="H2362" s="328" t="s">
        <v>2863</v>
      </c>
      <c r="I2362" s="258" t="s">
        <v>2864</v>
      </c>
      <c r="J2362" s="259" t="s">
        <v>1453</v>
      </c>
      <c r="K2362" s="260"/>
      <c r="L2362" s="363"/>
      <c r="M2362" s="329"/>
      <c r="N2362" s="173" t="s">
        <v>679</v>
      </c>
      <c r="O2362" s="173"/>
      <c r="P2362" s="262" t="str">
        <f t="shared" si="1"/>
        <v>IN-BLR-ANANTA-VAV-1934_11</v>
      </c>
      <c r="Q2362" s="173" t="s">
        <v>7954</v>
      </c>
      <c r="R2362" s="328" t="str">
        <f>IFS(C2362="","",C2362="n/a","N/A",LEN(C2362),Concatenate("{",char(34),"asset",char(34),":{",char(34),"guid",char(34),":",char(34),Q2362,char(34),",",char(34),"site",char(34),":",char(34),LOWER('2-Building'!$B$4),char(34),",",char(34),"name",char(34),":",char(34),LOWER(C2362),char(34),"}}"))</f>
        <v>{"asset":{"guid":"uuid://c61c27c3-742b-4f6c-a8a8-64d038e8718d","site":"in-blr-ananta","name":"vav-1934"}}</v>
      </c>
      <c r="S2362" s="333"/>
      <c r="T2362" s="330"/>
      <c r="U2362" s="330"/>
      <c r="V2362" s="331"/>
      <c r="W2362" s="332"/>
      <c r="X2362" s="333"/>
      <c r="Y2362" s="33" t="s">
        <v>2867</v>
      </c>
      <c r="Z2362" s="258">
        <v>121934.0</v>
      </c>
      <c r="AA2362" s="333"/>
      <c r="AB2362" s="333"/>
      <c r="AC2362" s="333"/>
      <c r="AD2362" s="329"/>
      <c r="AE2362" s="362" t="s">
        <v>685</v>
      </c>
      <c r="AF2362" s="336"/>
      <c r="AG2362" s="337"/>
      <c r="AH2362" s="333"/>
      <c r="AI2362" s="333"/>
      <c r="AJ2362" s="333"/>
      <c r="AK2362" s="328" t="s">
        <v>2740</v>
      </c>
      <c r="AL2362" s="328" t="s">
        <v>688</v>
      </c>
      <c r="AM2362" s="338"/>
      <c r="AN2362" s="333"/>
      <c r="AO2362" s="333"/>
      <c r="AP2362" s="333"/>
      <c r="AQ2362" s="333"/>
      <c r="AR2362" s="333"/>
      <c r="AS2362" s="333"/>
      <c r="AT2362" s="333"/>
      <c r="AU2362" s="329"/>
      <c r="AV2362" s="341"/>
      <c r="AW2362" s="269"/>
      <c r="AX2362" s="334" t="s">
        <v>2869</v>
      </c>
      <c r="AY2362" s="270" t="s">
        <v>695</v>
      </c>
      <c r="AZ2362" s="173" t="s">
        <v>5516</v>
      </c>
      <c r="BA2362" s="265">
        <v>10.0</v>
      </c>
      <c r="BB2362" s="174" t="s">
        <v>245</v>
      </c>
      <c r="BC2362" s="341"/>
      <c r="BD2362" s="308"/>
      <c r="BE2362" s="342"/>
      <c r="BF2362" s="274" t="str">
        <f>IFERROR(__xludf.DUMMYFUNCTION("LOWER(Regexreplace(to_text(E2362),""[^A-Za-z0-9]"","""")&amp;""_""&amp;Regexreplace(to_text(F2362),""[^A-Za-z0-9]"",""""))"),"neptronic_evcbseries")</f>
        <v>neptronic_evcbseries</v>
      </c>
      <c r="BG2362" s="275" t="str">
        <f>IFERROR(__xludf.DUMMYFUNCTION("upper(Regexreplace(to_text(E2362),""[^A-Za-z0-9]"","""")&amp;""-""&amp;Regexreplace(to_text(F2362),""[^A-Za-z0-9]"",""""))"),"NEPTRONIC-EVCBSERIES")</f>
        <v>NEPTRONIC-EVCBSERIES</v>
      </c>
    </row>
    <row r="2363" ht="30.0" customHeight="1">
      <c r="A2363" s="173">
        <v>2355.0</v>
      </c>
      <c r="B2363" s="328" t="s">
        <v>670</v>
      </c>
      <c r="C2363" s="257" t="s">
        <v>7955</v>
      </c>
      <c r="D2363" s="173" t="s">
        <v>7955</v>
      </c>
      <c r="E2363" s="174" t="s">
        <v>2861</v>
      </c>
      <c r="F2363" s="173" t="s">
        <v>2862</v>
      </c>
      <c r="G2363" s="328" t="s">
        <v>673</v>
      </c>
      <c r="H2363" s="328" t="s">
        <v>2863</v>
      </c>
      <c r="I2363" s="258" t="s">
        <v>2864</v>
      </c>
      <c r="J2363" s="259" t="s">
        <v>1453</v>
      </c>
      <c r="K2363" s="260"/>
      <c r="L2363" s="363"/>
      <c r="M2363" s="329"/>
      <c r="N2363" s="173" t="s">
        <v>679</v>
      </c>
      <c r="O2363" s="173"/>
      <c r="P2363" s="262" t="str">
        <f t="shared" si="1"/>
        <v>IN-BLR-ANANTA-VAV-1935_11</v>
      </c>
      <c r="Q2363" s="173" t="s">
        <v>7956</v>
      </c>
      <c r="R2363" s="328" t="str">
        <f>IFS(C2363="","",C2363="n/a","N/A",LEN(C2363),Concatenate("{",char(34),"asset",char(34),":{",char(34),"guid",char(34),":",char(34),Q2363,char(34),",",char(34),"site",char(34),":",char(34),LOWER('2-Building'!$B$4),char(34),",",char(34),"name",char(34),":",char(34),LOWER(C2363),char(34),"}}"))</f>
        <v>{"asset":{"guid":"uuid://46d92550-c71d-42fc-8ac6-698cc698cdc6","site":"in-blr-ananta","name":"vav-1935"}}</v>
      </c>
      <c r="S2363" s="333"/>
      <c r="T2363" s="330"/>
      <c r="U2363" s="330"/>
      <c r="V2363" s="331"/>
      <c r="W2363" s="332"/>
      <c r="X2363" s="333"/>
      <c r="Y2363" s="33" t="s">
        <v>2867</v>
      </c>
      <c r="Z2363" s="258">
        <v>121935.0</v>
      </c>
      <c r="AA2363" s="333"/>
      <c r="AB2363" s="333"/>
      <c r="AC2363" s="333"/>
      <c r="AD2363" s="329"/>
      <c r="AE2363" s="362" t="s">
        <v>685</v>
      </c>
      <c r="AF2363" s="336"/>
      <c r="AG2363" s="337"/>
      <c r="AH2363" s="333"/>
      <c r="AI2363" s="333"/>
      <c r="AJ2363" s="333"/>
      <c r="AK2363" s="328" t="s">
        <v>2745</v>
      </c>
      <c r="AL2363" s="328" t="s">
        <v>688</v>
      </c>
      <c r="AM2363" s="338"/>
      <c r="AN2363" s="333"/>
      <c r="AO2363" s="333"/>
      <c r="AP2363" s="333"/>
      <c r="AQ2363" s="333"/>
      <c r="AR2363" s="333"/>
      <c r="AS2363" s="333"/>
      <c r="AT2363" s="333"/>
      <c r="AU2363" s="329"/>
      <c r="AV2363" s="341"/>
      <c r="AW2363" s="269"/>
      <c r="AX2363" s="334" t="s">
        <v>2869</v>
      </c>
      <c r="AY2363" s="270" t="s">
        <v>695</v>
      </c>
      <c r="AZ2363" s="173" t="s">
        <v>5516</v>
      </c>
      <c r="BA2363" s="265">
        <v>10.0</v>
      </c>
      <c r="BB2363" s="174" t="s">
        <v>245</v>
      </c>
      <c r="BC2363" s="341"/>
      <c r="BD2363" s="308"/>
      <c r="BE2363" s="342"/>
      <c r="BF2363" s="274" t="str">
        <f>IFERROR(__xludf.DUMMYFUNCTION("LOWER(Regexreplace(to_text(E2363),""[^A-Za-z0-9]"","""")&amp;""_""&amp;Regexreplace(to_text(F2363),""[^A-Za-z0-9]"",""""))"),"neptronic_evcbseries")</f>
        <v>neptronic_evcbseries</v>
      </c>
      <c r="BG2363" s="275" t="str">
        <f>IFERROR(__xludf.DUMMYFUNCTION("upper(Regexreplace(to_text(E2363),""[^A-Za-z0-9]"","""")&amp;""-""&amp;Regexreplace(to_text(F2363),""[^A-Za-z0-9]"",""""))"),"NEPTRONIC-EVCBSERIES")</f>
        <v>NEPTRONIC-EVCBSERIES</v>
      </c>
    </row>
    <row r="2364" ht="30.0" customHeight="1">
      <c r="A2364" s="258">
        <v>2356.0</v>
      </c>
      <c r="B2364" s="328" t="s">
        <v>670</v>
      </c>
      <c r="C2364" s="257" t="s">
        <v>7957</v>
      </c>
      <c r="D2364" s="173" t="s">
        <v>7957</v>
      </c>
      <c r="E2364" s="174" t="s">
        <v>2861</v>
      </c>
      <c r="F2364" s="173" t="s">
        <v>2862</v>
      </c>
      <c r="G2364" s="328" t="s">
        <v>673</v>
      </c>
      <c r="H2364" s="328" t="s">
        <v>2863</v>
      </c>
      <c r="I2364" s="258" t="s">
        <v>2864</v>
      </c>
      <c r="J2364" s="259" t="s">
        <v>1453</v>
      </c>
      <c r="K2364" s="260"/>
      <c r="L2364" s="363"/>
      <c r="M2364" s="329"/>
      <c r="N2364" s="173" t="s">
        <v>679</v>
      </c>
      <c r="O2364" s="173"/>
      <c r="P2364" s="262" t="str">
        <f t="shared" si="1"/>
        <v>IN-BLR-ANANTA-VAV-1936_11</v>
      </c>
      <c r="Q2364" s="173" t="s">
        <v>7958</v>
      </c>
      <c r="R2364" s="328" t="str">
        <f>IFS(C2364="","",C2364="n/a","N/A",LEN(C2364),Concatenate("{",char(34),"asset",char(34),":{",char(34),"guid",char(34),":",char(34),Q2364,char(34),",",char(34),"site",char(34),":",char(34),LOWER('2-Building'!$B$4),char(34),",",char(34),"name",char(34),":",char(34),LOWER(C2364),char(34),"}}"))</f>
        <v>{"asset":{"guid":"uuid://11afe40e-764e-41f6-9eb2-5ea7ea97f2d8","site":"in-blr-ananta","name":"vav-1936"}}</v>
      </c>
      <c r="S2364" s="333"/>
      <c r="T2364" s="330"/>
      <c r="U2364" s="330"/>
      <c r="V2364" s="331"/>
      <c r="W2364" s="332"/>
      <c r="X2364" s="333"/>
      <c r="Y2364" s="33" t="s">
        <v>2867</v>
      </c>
      <c r="Z2364" s="258">
        <v>121936.0</v>
      </c>
      <c r="AA2364" s="333"/>
      <c r="AB2364" s="333"/>
      <c r="AC2364" s="333"/>
      <c r="AD2364" s="329"/>
      <c r="AE2364" s="362" t="s">
        <v>685</v>
      </c>
      <c r="AF2364" s="336"/>
      <c r="AG2364" s="337"/>
      <c r="AH2364" s="333"/>
      <c r="AI2364" s="333"/>
      <c r="AJ2364" s="333"/>
      <c r="AK2364" s="328" t="s">
        <v>2751</v>
      </c>
      <c r="AL2364" s="328" t="s">
        <v>688</v>
      </c>
      <c r="AM2364" s="338"/>
      <c r="AN2364" s="333"/>
      <c r="AO2364" s="333"/>
      <c r="AP2364" s="333"/>
      <c r="AQ2364" s="333"/>
      <c r="AR2364" s="333"/>
      <c r="AS2364" s="333"/>
      <c r="AT2364" s="333"/>
      <c r="AU2364" s="329"/>
      <c r="AV2364" s="341"/>
      <c r="AW2364" s="269"/>
      <c r="AX2364" s="334" t="s">
        <v>2869</v>
      </c>
      <c r="AY2364" s="270" t="s">
        <v>695</v>
      </c>
      <c r="AZ2364" s="173" t="s">
        <v>5516</v>
      </c>
      <c r="BA2364" s="265">
        <v>10.0</v>
      </c>
      <c r="BB2364" s="174" t="s">
        <v>245</v>
      </c>
      <c r="BC2364" s="341"/>
      <c r="BD2364" s="308"/>
      <c r="BE2364" s="342"/>
      <c r="BF2364" s="274" t="str">
        <f>IFERROR(__xludf.DUMMYFUNCTION("LOWER(Regexreplace(to_text(E2364),""[^A-Za-z0-9]"","""")&amp;""_""&amp;Regexreplace(to_text(F2364),""[^A-Za-z0-9]"",""""))"),"neptronic_evcbseries")</f>
        <v>neptronic_evcbseries</v>
      </c>
      <c r="BG2364" s="275" t="str">
        <f>IFERROR(__xludf.DUMMYFUNCTION("upper(Regexreplace(to_text(E2364),""[^A-Za-z0-9]"","""")&amp;""-""&amp;Regexreplace(to_text(F2364),""[^A-Za-z0-9]"",""""))"),"NEPTRONIC-EVCBSERIES")</f>
        <v>NEPTRONIC-EVCBSERIES</v>
      </c>
    </row>
    <row r="2365" ht="30.0" customHeight="1">
      <c r="A2365" s="173">
        <v>2357.0</v>
      </c>
      <c r="B2365" s="328" t="s">
        <v>670</v>
      </c>
      <c r="C2365" s="257" t="s">
        <v>7959</v>
      </c>
      <c r="D2365" s="173" t="s">
        <v>7959</v>
      </c>
      <c r="E2365" s="174" t="s">
        <v>2861</v>
      </c>
      <c r="F2365" s="173" t="s">
        <v>2862</v>
      </c>
      <c r="G2365" s="328" t="s">
        <v>673</v>
      </c>
      <c r="H2365" s="328" t="s">
        <v>2863</v>
      </c>
      <c r="I2365" s="258" t="s">
        <v>2864</v>
      </c>
      <c r="J2365" s="259" t="s">
        <v>1453</v>
      </c>
      <c r="K2365" s="260"/>
      <c r="L2365" s="363"/>
      <c r="M2365" s="329"/>
      <c r="N2365" s="173" t="s">
        <v>679</v>
      </c>
      <c r="O2365" s="173"/>
      <c r="P2365" s="262" t="str">
        <f t="shared" si="1"/>
        <v>IN-BLR-ANANTA-VAV-1937_11</v>
      </c>
      <c r="Q2365" s="173" t="s">
        <v>7960</v>
      </c>
      <c r="R2365" s="328" t="str">
        <f>IFS(C2365="","",C2365="n/a","N/A",LEN(C2365),Concatenate("{",char(34),"asset",char(34),":{",char(34),"guid",char(34),":",char(34),Q2365,char(34),",",char(34),"site",char(34),":",char(34),LOWER('2-Building'!$B$4),char(34),",",char(34),"name",char(34),":",char(34),LOWER(C2365),char(34),"}}"))</f>
        <v>{"asset":{"guid":"uuid://93a67d87-bcbb-4d0d-b3c8-53d7fe1c1406","site":"in-blr-ananta","name":"vav-1937"}}</v>
      </c>
      <c r="S2365" s="333"/>
      <c r="T2365" s="330"/>
      <c r="U2365" s="330"/>
      <c r="V2365" s="331"/>
      <c r="W2365" s="332"/>
      <c r="X2365" s="333"/>
      <c r="Y2365" s="33" t="s">
        <v>2867</v>
      </c>
      <c r="Z2365" s="258">
        <v>121937.0</v>
      </c>
      <c r="AA2365" s="333"/>
      <c r="AB2365" s="333"/>
      <c r="AC2365" s="333"/>
      <c r="AD2365" s="329"/>
      <c r="AE2365" s="331"/>
      <c r="AF2365" s="336"/>
      <c r="AG2365" s="337"/>
      <c r="AH2365" s="333"/>
      <c r="AI2365" s="333"/>
      <c r="AJ2365" s="333"/>
      <c r="AK2365" s="333"/>
      <c r="AL2365" s="333"/>
      <c r="AM2365" s="338"/>
      <c r="AN2365" s="333"/>
      <c r="AO2365" s="333"/>
      <c r="AP2365" s="333"/>
      <c r="AQ2365" s="333"/>
      <c r="AR2365" s="333"/>
      <c r="AS2365" s="333"/>
      <c r="AT2365" s="333"/>
      <c r="AU2365" s="329"/>
      <c r="AV2365" s="341"/>
      <c r="AW2365" s="269"/>
      <c r="AX2365" s="334" t="s">
        <v>2869</v>
      </c>
      <c r="AY2365" s="270" t="s">
        <v>695</v>
      </c>
      <c r="AZ2365" s="173" t="s">
        <v>5516</v>
      </c>
      <c r="BA2365" s="265">
        <v>10.0</v>
      </c>
      <c r="BB2365" s="174" t="s">
        <v>245</v>
      </c>
      <c r="BC2365" s="341"/>
      <c r="BD2365" s="308"/>
      <c r="BE2365" s="342"/>
      <c r="BF2365" s="274" t="str">
        <f>IFERROR(__xludf.DUMMYFUNCTION("LOWER(Regexreplace(to_text(E2365),""[^A-Za-z0-9]"","""")&amp;""_""&amp;Regexreplace(to_text(F2365),""[^A-Za-z0-9]"",""""))"),"neptronic_evcbseries")</f>
        <v>neptronic_evcbseries</v>
      </c>
      <c r="BG2365" s="275" t="str">
        <f>IFERROR(__xludf.DUMMYFUNCTION("upper(Regexreplace(to_text(E2365),""[^A-Za-z0-9]"","""")&amp;""-""&amp;Regexreplace(to_text(F2365),""[^A-Za-z0-9]"",""""))"),"NEPTRONIC-EVCBSERIES")</f>
        <v>NEPTRONIC-EVCBSERIES</v>
      </c>
    </row>
    <row r="2366" ht="30.0" customHeight="1">
      <c r="A2366" s="258">
        <v>2358.0</v>
      </c>
      <c r="B2366" s="328" t="s">
        <v>670</v>
      </c>
      <c r="C2366" s="257" t="s">
        <v>7961</v>
      </c>
      <c r="D2366" s="173" t="s">
        <v>7961</v>
      </c>
      <c r="E2366" s="174" t="s">
        <v>2861</v>
      </c>
      <c r="F2366" s="173" t="s">
        <v>2862</v>
      </c>
      <c r="G2366" s="328" t="s">
        <v>673</v>
      </c>
      <c r="H2366" s="328" t="s">
        <v>2863</v>
      </c>
      <c r="I2366" s="258" t="s">
        <v>2864</v>
      </c>
      <c r="J2366" s="259" t="s">
        <v>1453</v>
      </c>
      <c r="K2366" s="260"/>
      <c r="L2366" s="363"/>
      <c r="M2366" s="329"/>
      <c r="N2366" s="173" t="s">
        <v>679</v>
      </c>
      <c r="O2366" s="173"/>
      <c r="P2366" s="262" t="str">
        <f t="shared" si="1"/>
        <v>IN-BLR-ANANTA-VAV-1938_11</v>
      </c>
      <c r="Q2366" s="173" t="s">
        <v>7962</v>
      </c>
      <c r="R2366" s="328" t="str">
        <f>IFS(C2366="","",C2366="n/a","N/A",LEN(C2366),Concatenate("{",char(34),"asset",char(34),":{",char(34),"guid",char(34),":",char(34),Q2366,char(34),",",char(34),"site",char(34),":",char(34),LOWER('2-Building'!$B$4),char(34),",",char(34),"name",char(34),":",char(34),LOWER(C2366),char(34),"}}"))</f>
        <v>{"asset":{"guid":"uuid://72323ac7-12c6-4eed-b8f2-85e5e8ae456d","site":"in-blr-ananta","name":"vav-1938"}}</v>
      </c>
      <c r="S2366" s="333"/>
      <c r="T2366" s="330"/>
      <c r="U2366" s="330"/>
      <c r="V2366" s="331"/>
      <c r="W2366" s="332"/>
      <c r="X2366" s="333"/>
      <c r="Y2366" s="33" t="s">
        <v>2867</v>
      </c>
      <c r="Z2366" s="258">
        <v>121938.0</v>
      </c>
      <c r="AA2366" s="333"/>
      <c r="AB2366" s="333"/>
      <c r="AC2366" s="333"/>
      <c r="AD2366" s="329"/>
      <c r="AE2366" s="331"/>
      <c r="AF2366" s="336"/>
      <c r="AG2366" s="337"/>
      <c r="AH2366" s="333"/>
      <c r="AI2366" s="333"/>
      <c r="AJ2366" s="333"/>
      <c r="AK2366" s="333"/>
      <c r="AL2366" s="333"/>
      <c r="AM2366" s="338"/>
      <c r="AN2366" s="333"/>
      <c r="AO2366" s="333"/>
      <c r="AP2366" s="333"/>
      <c r="AQ2366" s="333"/>
      <c r="AR2366" s="333"/>
      <c r="AS2366" s="333"/>
      <c r="AT2366" s="333"/>
      <c r="AU2366" s="329"/>
      <c r="AV2366" s="341"/>
      <c r="AW2366" s="269"/>
      <c r="AX2366" s="334" t="s">
        <v>2869</v>
      </c>
      <c r="AY2366" s="270" t="s">
        <v>695</v>
      </c>
      <c r="AZ2366" s="173" t="s">
        <v>5516</v>
      </c>
      <c r="BA2366" s="265">
        <v>10.0</v>
      </c>
      <c r="BB2366" s="174" t="s">
        <v>245</v>
      </c>
      <c r="BC2366" s="341"/>
      <c r="BD2366" s="308"/>
      <c r="BE2366" s="342"/>
      <c r="BF2366" s="274" t="str">
        <f>IFERROR(__xludf.DUMMYFUNCTION("LOWER(Regexreplace(to_text(E2366),""[^A-Za-z0-9]"","""")&amp;""_""&amp;Regexreplace(to_text(F2366),""[^A-Za-z0-9]"",""""))"),"neptronic_evcbseries")</f>
        <v>neptronic_evcbseries</v>
      </c>
      <c r="BG2366" s="275" t="str">
        <f>IFERROR(__xludf.DUMMYFUNCTION("upper(Regexreplace(to_text(E2366),""[^A-Za-z0-9]"","""")&amp;""-""&amp;Regexreplace(to_text(F2366),""[^A-Za-z0-9]"",""""))"),"NEPTRONIC-EVCBSERIES")</f>
        <v>NEPTRONIC-EVCBSERIES</v>
      </c>
    </row>
    <row r="2367" ht="30.0" customHeight="1">
      <c r="A2367" s="173">
        <v>2359.0</v>
      </c>
      <c r="B2367" s="328" t="s">
        <v>670</v>
      </c>
      <c r="C2367" s="257" t="s">
        <v>7963</v>
      </c>
      <c r="D2367" s="173" t="s">
        <v>7963</v>
      </c>
      <c r="E2367" s="174" t="s">
        <v>2861</v>
      </c>
      <c r="F2367" s="173" t="s">
        <v>2862</v>
      </c>
      <c r="G2367" s="328" t="s">
        <v>673</v>
      </c>
      <c r="H2367" s="328" t="s">
        <v>2863</v>
      </c>
      <c r="I2367" s="258" t="s">
        <v>2864</v>
      </c>
      <c r="J2367" s="259" t="s">
        <v>1453</v>
      </c>
      <c r="K2367" s="260"/>
      <c r="L2367" s="363"/>
      <c r="M2367" s="329"/>
      <c r="N2367" s="173" t="s">
        <v>679</v>
      </c>
      <c r="O2367" s="173"/>
      <c r="P2367" s="262" t="str">
        <f t="shared" si="1"/>
        <v>IN-BLR-ANANTA-VAV-1939_11</v>
      </c>
      <c r="Q2367" s="173" t="s">
        <v>7964</v>
      </c>
      <c r="R2367" s="328" t="str">
        <f>IFS(C2367="","",C2367="n/a","N/A",LEN(C2367),Concatenate("{",char(34),"asset",char(34),":{",char(34),"guid",char(34),":",char(34),Q2367,char(34),",",char(34),"site",char(34),":",char(34),LOWER('2-Building'!$B$4),char(34),",",char(34),"name",char(34),":",char(34),LOWER(C2367),char(34),"}}"))</f>
        <v>{"asset":{"guid":"uuid://40abca2e-7b85-4d7a-8ce2-9b3ca779bd04","site":"in-blr-ananta","name":"vav-1939"}}</v>
      </c>
      <c r="S2367" s="333"/>
      <c r="T2367" s="330"/>
      <c r="U2367" s="330"/>
      <c r="V2367" s="331"/>
      <c r="W2367" s="332"/>
      <c r="X2367" s="333"/>
      <c r="Y2367" s="33" t="s">
        <v>2867</v>
      </c>
      <c r="Z2367" s="258">
        <v>121939.0</v>
      </c>
      <c r="AA2367" s="333"/>
      <c r="AB2367" s="333"/>
      <c r="AC2367" s="333"/>
      <c r="AD2367" s="329"/>
      <c r="AE2367" s="331"/>
      <c r="AF2367" s="336"/>
      <c r="AG2367" s="337"/>
      <c r="AH2367" s="333"/>
      <c r="AI2367" s="333"/>
      <c r="AJ2367" s="333"/>
      <c r="AK2367" s="333"/>
      <c r="AL2367" s="333"/>
      <c r="AM2367" s="338"/>
      <c r="AN2367" s="333"/>
      <c r="AO2367" s="333"/>
      <c r="AP2367" s="333"/>
      <c r="AQ2367" s="333"/>
      <c r="AR2367" s="333"/>
      <c r="AS2367" s="333"/>
      <c r="AT2367" s="333"/>
      <c r="AU2367" s="329"/>
      <c r="AV2367" s="341"/>
      <c r="AW2367" s="269"/>
      <c r="AX2367" s="334" t="s">
        <v>2869</v>
      </c>
      <c r="AY2367" s="270" t="s">
        <v>695</v>
      </c>
      <c r="AZ2367" s="173" t="s">
        <v>5516</v>
      </c>
      <c r="BA2367" s="265">
        <v>10.0</v>
      </c>
      <c r="BB2367" s="174" t="s">
        <v>245</v>
      </c>
      <c r="BC2367" s="341"/>
      <c r="BD2367" s="308"/>
      <c r="BE2367" s="342"/>
      <c r="BF2367" s="274" t="str">
        <f>IFERROR(__xludf.DUMMYFUNCTION("LOWER(Regexreplace(to_text(E2367),""[^A-Za-z0-9]"","""")&amp;""_""&amp;Regexreplace(to_text(F2367),""[^A-Za-z0-9]"",""""))"),"neptronic_evcbseries")</f>
        <v>neptronic_evcbseries</v>
      </c>
      <c r="BG2367" s="275" t="str">
        <f>IFERROR(__xludf.DUMMYFUNCTION("upper(Regexreplace(to_text(E2367),""[^A-Za-z0-9]"","""")&amp;""-""&amp;Regexreplace(to_text(F2367),""[^A-Za-z0-9]"",""""))"),"NEPTRONIC-EVCBSERIES")</f>
        <v>NEPTRONIC-EVCBSERIES</v>
      </c>
    </row>
    <row r="2368" ht="30.0" customHeight="1">
      <c r="A2368" s="258">
        <v>2360.0</v>
      </c>
      <c r="B2368" s="328" t="s">
        <v>670</v>
      </c>
      <c r="C2368" s="257" t="s">
        <v>7965</v>
      </c>
      <c r="D2368" s="173" t="s">
        <v>7965</v>
      </c>
      <c r="E2368" s="174" t="s">
        <v>2861</v>
      </c>
      <c r="F2368" s="173" t="s">
        <v>2862</v>
      </c>
      <c r="G2368" s="328" t="s">
        <v>673</v>
      </c>
      <c r="H2368" s="328" t="s">
        <v>2863</v>
      </c>
      <c r="I2368" s="258" t="s">
        <v>2864</v>
      </c>
      <c r="J2368" s="259" t="s">
        <v>1453</v>
      </c>
      <c r="K2368" s="260"/>
      <c r="L2368" s="363"/>
      <c r="M2368" s="329"/>
      <c r="N2368" s="173" t="s">
        <v>679</v>
      </c>
      <c r="O2368" s="173"/>
      <c r="P2368" s="262" t="str">
        <f t="shared" si="1"/>
        <v>IN-BLR-ANANTA-VAV-1940_11</v>
      </c>
      <c r="Q2368" s="173" t="s">
        <v>7966</v>
      </c>
      <c r="R2368" s="328" t="str">
        <f>IFS(C2368="","",C2368="n/a","N/A",LEN(C2368),Concatenate("{",char(34),"asset",char(34),":{",char(34),"guid",char(34),":",char(34),Q2368,char(34),",",char(34),"site",char(34),":",char(34),LOWER('2-Building'!$B$4),char(34),",",char(34),"name",char(34),":",char(34),LOWER(C2368),char(34),"}}"))</f>
        <v>{"asset":{"guid":"uuid://796fd432-f454-4947-9870-79b7eb385b2d","site":"in-blr-ananta","name":"vav-1940"}}</v>
      </c>
      <c r="S2368" s="333"/>
      <c r="T2368" s="330"/>
      <c r="U2368" s="330"/>
      <c r="V2368" s="331"/>
      <c r="W2368" s="332"/>
      <c r="X2368" s="333"/>
      <c r="Y2368" s="33" t="s">
        <v>2867</v>
      </c>
      <c r="Z2368" s="258">
        <v>121940.0</v>
      </c>
      <c r="AA2368" s="333"/>
      <c r="AB2368" s="333"/>
      <c r="AC2368" s="333"/>
      <c r="AD2368" s="329"/>
      <c r="AE2368" s="331"/>
      <c r="AF2368" s="336"/>
      <c r="AG2368" s="337"/>
      <c r="AH2368" s="333"/>
      <c r="AI2368" s="333"/>
      <c r="AJ2368" s="333"/>
      <c r="AK2368" s="333"/>
      <c r="AL2368" s="333"/>
      <c r="AM2368" s="338"/>
      <c r="AN2368" s="333"/>
      <c r="AO2368" s="333"/>
      <c r="AP2368" s="333"/>
      <c r="AQ2368" s="333"/>
      <c r="AR2368" s="333"/>
      <c r="AS2368" s="333"/>
      <c r="AT2368" s="333"/>
      <c r="AU2368" s="329"/>
      <c r="AV2368" s="341"/>
      <c r="AW2368" s="269"/>
      <c r="AX2368" s="334" t="s">
        <v>2869</v>
      </c>
      <c r="AY2368" s="270" t="s">
        <v>695</v>
      </c>
      <c r="AZ2368" s="173" t="s">
        <v>5516</v>
      </c>
      <c r="BA2368" s="265">
        <v>10.0</v>
      </c>
      <c r="BB2368" s="174" t="s">
        <v>245</v>
      </c>
      <c r="BC2368" s="341"/>
      <c r="BD2368" s="308"/>
      <c r="BE2368" s="342"/>
      <c r="BF2368" s="274" t="str">
        <f>IFERROR(__xludf.DUMMYFUNCTION("LOWER(Regexreplace(to_text(E2368),""[^A-Za-z0-9]"","""")&amp;""_""&amp;Regexreplace(to_text(F2368),""[^A-Za-z0-9]"",""""))"),"neptronic_evcbseries")</f>
        <v>neptronic_evcbseries</v>
      </c>
      <c r="BG2368" s="275" t="str">
        <f>IFERROR(__xludf.DUMMYFUNCTION("upper(Regexreplace(to_text(E2368),""[^A-Za-z0-9]"","""")&amp;""-""&amp;Regexreplace(to_text(F2368),""[^A-Za-z0-9]"",""""))"),"NEPTRONIC-EVCBSERIES")</f>
        <v>NEPTRONIC-EVCBSERIES</v>
      </c>
    </row>
    <row r="2369" ht="30.0" customHeight="1">
      <c r="A2369" s="173">
        <v>2361.0</v>
      </c>
      <c r="B2369" s="328" t="s">
        <v>670</v>
      </c>
      <c r="C2369" s="257" t="s">
        <v>7967</v>
      </c>
      <c r="D2369" s="173" t="s">
        <v>7967</v>
      </c>
      <c r="E2369" s="174" t="s">
        <v>2861</v>
      </c>
      <c r="F2369" s="173" t="s">
        <v>2862</v>
      </c>
      <c r="G2369" s="328" t="s">
        <v>673</v>
      </c>
      <c r="H2369" s="328" t="s">
        <v>2863</v>
      </c>
      <c r="I2369" s="258" t="s">
        <v>2864</v>
      </c>
      <c r="J2369" s="259" t="s">
        <v>1453</v>
      </c>
      <c r="K2369" s="260"/>
      <c r="L2369" s="363"/>
      <c r="M2369" s="329"/>
      <c r="N2369" s="173" t="s">
        <v>679</v>
      </c>
      <c r="O2369" s="173"/>
      <c r="P2369" s="262" t="str">
        <f t="shared" si="1"/>
        <v>IN-BLR-ANANTA-VAV-1941_11</v>
      </c>
      <c r="Q2369" s="173" t="s">
        <v>7968</v>
      </c>
      <c r="R2369" s="328" t="str">
        <f>IFS(C2369="","",C2369="n/a","N/A",LEN(C2369),Concatenate("{",char(34),"asset",char(34),":{",char(34),"guid",char(34),":",char(34),Q2369,char(34),",",char(34),"site",char(34),":",char(34),LOWER('2-Building'!$B$4),char(34),",",char(34),"name",char(34),":",char(34),LOWER(C2369),char(34),"}}"))</f>
        <v>{"asset":{"guid":"uuid://49454f84-2f38-4ec3-8ace-67c6d689bd09","site":"in-blr-ananta","name":"vav-1941"}}</v>
      </c>
      <c r="S2369" s="333"/>
      <c r="T2369" s="330"/>
      <c r="U2369" s="330"/>
      <c r="V2369" s="331"/>
      <c r="W2369" s="332"/>
      <c r="X2369" s="333"/>
      <c r="Y2369" s="33" t="s">
        <v>2867</v>
      </c>
      <c r="Z2369" s="258">
        <v>121941.0</v>
      </c>
      <c r="AA2369" s="333"/>
      <c r="AB2369" s="333"/>
      <c r="AC2369" s="333"/>
      <c r="AD2369" s="329"/>
      <c r="AE2369" s="331"/>
      <c r="AF2369" s="336"/>
      <c r="AG2369" s="337" t="str">
        <f>IFS(LEN(AF2369)=17,LOWER('2-Building'!$B$4 &amp; "-" &amp; C2369), AF2369="N/A", "N/A", LEN(AF2369)=0,"")</f>
        <v/>
      </c>
      <c r="AH2369" s="333"/>
      <c r="AI2369" s="333"/>
      <c r="AJ2369" s="333"/>
      <c r="AK2369" s="333"/>
      <c r="AL2369" s="333"/>
      <c r="AM2369" s="338"/>
      <c r="AN2369" s="333"/>
      <c r="AO2369" s="333"/>
      <c r="AP2369" s="333"/>
      <c r="AQ2369" s="333"/>
      <c r="AR2369" s="333"/>
      <c r="AS2369" s="333"/>
      <c r="AT2369" s="333"/>
      <c r="AU2369" s="329"/>
      <c r="AV2369" s="341"/>
      <c r="AW2369" s="269"/>
      <c r="AX2369" s="334" t="s">
        <v>2869</v>
      </c>
      <c r="AY2369" s="270" t="s">
        <v>695</v>
      </c>
      <c r="AZ2369" s="173" t="s">
        <v>5516</v>
      </c>
      <c r="BA2369" s="265">
        <v>10.0</v>
      </c>
      <c r="BB2369" s="174" t="s">
        <v>245</v>
      </c>
      <c r="BC2369" s="341"/>
      <c r="BD2369" s="308"/>
      <c r="BE2369" s="342"/>
      <c r="BF2369" s="274" t="str">
        <f>IFERROR(__xludf.DUMMYFUNCTION("LOWER(Regexreplace(to_text(E2369),""[^A-Za-z0-9]"","""")&amp;""_""&amp;Regexreplace(to_text(F2369),""[^A-Za-z0-9]"",""""))"),"neptronic_evcbseries")</f>
        <v>neptronic_evcbseries</v>
      </c>
      <c r="BG2369" s="275" t="str">
        <f>IFERROR(__xludf.DUMMYFUNCTION("upper(Regexreplace(to_text(E2369),""[^A-Za-z0-9]"","""")&amp;""-""&amp;Regexreplace(to_text(F2369),""[^A-Za-z0-9]"",""""))"),"NEPTRONIC-EVCBSERIES")</f>
        <v>NEPTRONIC-EVCBSERIES</v>
      </c>
    </row>
    <row r="2370" ht="30.0" customHeight="1">
      <c r="A2370" s="258">
        <v>2362.0</v>
      </c>
      <c r="B2370" s="328" t="s">
        <v>670</v>
      </c>
      <c r="C2370" s="257" t="s">
        <v>7969</v>
      </c>
      <c r="D2370" s="173" t="s">
        <v>7969</v>
      </c>
      <c r="E2370" s="174" t="s">
        <v>2861</v>
      </c>
      <c r="F2370" s="173" t="s">
        <v>2862</v>
      </c>
      <c r="G2370" s="328" t="s">
        <v>673</v>
      </c>
      <c r="H2370" s="328" t="s">
        <v>2863</v>
      </c>
      <c r="I2370" s="258" t="s">
        <v>2864</v>
      </c>
      <c r="J2370" s="259" t="s">
        <v>1453</v>
      </c>
      <c r="K2370" s="260"/>
      <c r="L2370" s="363"/>
      <c r="M2370" s="329"/>
      <c r="N2370" s="173" t="s">
        <v>679</v>
      </c>
      <c r="O2370" s="173"/>
      <c r="P2370" s="262" t="str">
        <f t="shared" si="1"/>
        <v>IN-BLR-ANANTA-VAV-1942_11</v>
      </c>
      <c r="Q2370" s="173" t="s">
        <v>7970</v>
      </c>
      <c r="R2370" s="328" t="str">
        <f>IFS(C2370="","",C2370="n/a","N/A",LEN(C2370),Concatenate("{",char(34),"asset",char(34),":{",char(34),"guid",char(34),":",char(34),Q2370,char(34),",",char(34),"site",char(34),":",char(34),LOWER('2-Building'!$B$4),char(34),",",char(34),"name",char(34),":",char(34),LOWER(C2370),char(34),"}}"))</f>
        <v>{"asset":{"guid":"uuid://b2f9a70f-bec4-4ed4-8066-673a6e42b55b","site":"in-blr-ananta","name":"vav-1942"}}</v>
      </c>
      <c r="S2370" s="333"/>
      <c r="T2370" s="330"/>
      <c r="U2370" s="330"/>
      <c r="V2370" s="331"/>
      <c r="W2370" s="332"/>
      <c r="X2370" s="333"/>
      <c r="Y2370" s="33" t="s">
        <v>2867</v>
      </c>
      <c r="Z2370" s="258">
        <v>121942.0</v>
      </c>
      <c r="AA2370" s="333"/>
      <c r="AB2370" s="333"/>
      <c r="AC2370" s="333"/>
      <c r="AD2370" s="329"/>
      <c r="AE2370" s="331"/>
      <c r="AF2370" s="336"/>
      <c r="AG2370" s="337" t="str">
        <f>IFS(LEN(AF2370)=17,LOWER('2-Building'!$B$4 &amp; "-" &amp; C2370), AF2370="N/A", "N/A", LEN(AF2370)=0,"")</f>
        <v/>
      </c>
      <c r="AH2370" s="333"/>
      <c r="AI2370" s="333"/>
      <c r="AJ2370" s="333"/>
      <c r="AK2370" s="333"/>
      <c r="AL2370" s="333"/>
      <c r="AM2370" s="338"/>
      <c r="AN2370" s="333"/>
      <c r="AO2370" s="333"/>
      <c r="AP2370" s="333"/>
      <c r="AQ2370" s="333"/>
      <c r="AR2370" s="333"/>
      <c r="AS2370" s="333"/>
      <c r="AT2370" s="333"/>
      <c r="AU2370" s="329"/>
      <c r="AV2370" s="341"/>
      <c r="AW2370" s="269"/>
      <c r="AX2370" s="334" t="s">
        <v>2869</v>
      </c>
      <c r="AY2370" s="270" t="s">
        <v>695</v>
      </c>
      <c r="AZ2370" s="173" t="s">
        <v>5516</v>
      </c>
      <c r="BA2370" s="265">
        <v>10.0</v>
      </c>
      <c r="BB2370" s="174" t="s">
        <v>245</v>
      </c>
      <c r="BC2370" s="341"/>
      <c r="BD2370" s="308"/>
      <c r="BE2370" s="342"/>
      <c r="BF2370" s="274" t="str">
        <f>IFERROR(__xludf.DUMMYFUNCTION("LOWER(Regexreplace(to_text(E2370),""[^A-Za-z0-9]"","""")&amp;""_""&amp;Regexreplace(to_text(F2370),""[^A-Za-z0-9]"",""""))"),"neptronic_evcbseries")</f>
        <v>neptronic_evcbseries</v>
      </c>
      <c r="BG2370" s="275" t="str">
        <f>IFERROR(__xludf.DUMMYFUNCTION("upper(Regexreplace(to_text(E2370),""[^A-Za-z0-9]"","""")&amp;""-""&amp;Regexreplace(to_text(F2370),""[^A-Za-z0-9]"",""""))"),"NEPTRONIC-EVCBSERIES")</f>
        <v>NEPTRONIC-EVCBSERIES</v>
      </c>
    </row>
    <row r="2371" ht="30.0" customHeight="1">
      <c r="A2371" s="173">
        <v>2363.0</v>
      </c>
      <c r="B2371" s="328" t="s">
        <v>670</v>
      </c>
      <c r="C2371" s="257" t="s">
        <v>7971</v>
      </c>
      <c r="D2371" s="173" t="s">
        <v>7971</v>
      </c>
      <c r="E2371" s="174" t="s">
        <v>2861</v>
      </c>
      <c r="F2371" s="173" t="s">
        <v>2862</v>
      </c>
      <c r="G2371" s="328" t="s">
        <v>673</v>
      </c>
      <c r="H2371" s="328" t="s">
        <v>2863</v>
      </c>
      <c r="I2371" s="258" t="s">
        <v>2864</v>
      </c>
      <c r="J2371" s="259" t="s">
        <v>1453</v>
      </c>
      <c r="K2371" s="260"/>
      <c r="L2371" s="363"/>
      <c r="M2371" s="329"/>
      <c r="N2371" s="173" t="s">
        <v>679</v>
      </c>
      <c r="O2371" s="173"/>
      <c r="P2371" s="262" t="str">
        <f t="shared" si="1"/>
        <v>IN-BLR-ANANTA-VAV-1943_11</v>
      </c>
      <c r="Q2371" s="173" t="s">
        <v>7972</v>
      </c>
      <c r="R2371" s="328" t="str">
        <f>IFS(C2371="","",C2371="n/a","N/A",LEN(C2371),Concatenate("{",char(34),"asset",char(34),":{",char(34),"guid",char(34),":",char(34),Q2371,char(34),",",char(34),"site",char(34),":",char(34),LOWER('2-Building'!$B$4),char(34),",",char(34),"name",char(34),":",char(34),LOWER(C2371),char(34),"}}"))</f>
        <v>{"asset":{"guid":"uuid://13dbb037-14c7-43e4-b6e2-a8d120fc45df","site":"in-blr-ananta","name":"vav-1943"}}</v>
      </c>
      <c r="S2371" s="333"/>
      <c r="T2371" s="330"/>
      <c r="U2371" s="330"/>
      <c r="V2371" s="331"/>
      <c r="W2371" s="332"/>
      <c r="X2371" s="333"/>
      <c r="Y2371" s="33" t="s">
        <v>2867</v>
      </c>
      <c r="Z2371" s="258">
        <v>121943.0</v>
      </c>
      <c r="AA2371" s="333"/>
      <c r="AB2371" s="333"/>
      <c r="AC2371" s="333"/>
      <c r="AD2371" s="329"/>
      <c r="AE2371" s="331"/>
      <c r="AF2371" s="336"/>
      <c r="AG2371" s="337" t="str">
        <f>IFS(LEN(AF2371)=17,LOWER('2-Building'!$B$4 &amp; "-" &amp; C2371), AF2371="N/A", "N/A", LEN(AF2371)=0,"")</f>
        <v/>
      </c>
      <c r="AH2371" s="333"/>
      <c r="AI2371" s="333"/>
      <c r="AJ2371" s="333"/>
      <c r="AK2371" s="333"/>
      <c r="AL2371" s="333"/>
      <c r="AM2371" s="338"/>
      <c r="AN2371" s="333"/>
      <c r="AO2371" s="333"/>
      <c r="AP2371" s="333"/>
      <c r="AQ2371" s="333"/>
      <c r="AR2371" s="333"/>
      <c r="AS2371" s="333"/>
      <c r="AT2371" s="333"/>
      <c r="AU2371" s="329"/>
      <c r="AV2371" s="341"/>
      <c r="AW2371" s="269"/>
      <c r="AX2371" s="334" t="s">
        <v>2869</v>
      </c>
      <c r="AY2371" s="270" t="s">
        <v>695</v>
      </c>
      <c r="AZ2371" s="173" t="s">
        <v>5516</v>
      </c>
      <c r="BA2371" s="265">
        <v>10.0</v>
      </c>
      <c r="BB2371" s="174" t="s">
        <v>245</v>
      </c>
      <c r="BC2371" s="341"/>
      <c r="BD2371" s="308"/>
      <c r="BE2371" s="342"/>
      <c r="BF2371" s="274" t="str">
        <f>IFERROR(__xludf.DUMMYFUNCTION("LOWER(Regexreplace(to_text(E2371),""[^A-Za-z0-9]"","""")&amp;""_""&amp;Regexreplace(to_text(F2371),""[^A-Za-z0-9]"",""""))"),"neptronic_evcbseries")</f>
        <v>neptronic_evcbseries</v>
      </c>
      <c r="BG2371" s="275" t="str">
        <f>IFERROR(__xludf.DUMMYFUNCTION("upper(Regexreplace(to_text(E2371),""[^A-Za-z0-9]"","""")&amp;""-""&amp;Regexreplace(to_text(F2371),""[^A-Za-z0-9]"",""""))"),"NEPTRONIC-EVCBSERIES")</f>
        <v>NEPTRONIC-EVCBSERIES</v>
      </c>
    </row>
    <row r="2372" ht="30.0" customHeight="1">
      <c r="A2372" s="258">
        <v>2364.0</v>
      </c>
      <c r="B2372" s="328" t="s">
        <v>670</v>
      </c>
      <c r="C2372" s="257" t="s">
        <v>7973</v>
      </c>
      <c r="D2372" s="173" t="s">
        <v>7973</v>
      </c>
      <c r="E2372" s="174" t="s">
        <v>2861</v>
      </c>
      <c r="F2372" s="173" t="s">
        <v>2862</v>
      </c>
      <c r="G2372" s="328" t="s">
        <v>673</v>
      </c>
      <c r="H2372" s="328" t="s">
        <v>2863</v>
      </c>
      <c r="I2372" s="258" t="s">
        <v>2864</v>
      </c>
      <c r="J2372" s="259" t="s">
        <v>1453</v>
      </c>
      <c r="K2372" s="260"/>
      <c r="L2372" s="363"/>
      <c r="M2372" s="329"/>
      <c r="N2372" s="173" t="s">
        <v>679</v>
      </c>
      <c r="O2372" s="173"/>
      <c r="P2372" s="262" t="str">
        <f t="shared" si="1"/>
        <v>IN-BLR-ANANTA-VAV-1944_11</v>
      </c>
      <c r="Q2372" s="173" t="s">
        <v>7974</v>
      </c>
      <c r="R2372" s="328" t="str">
        <f>IFS(C2372="","",C2372="n/a","N/A",LEN(C2372),Concatenate("{",char(34),"asset",char(34),":{",char(34),"guid",char(34),":",char(34),Q2372,char(34),",",char(34),"site",char(34),":",char(34),LOWER('2-Building'!$B$4),char(34),",",char(34),"name",char(34),":",char(34),LOWER(C2372),char(34),"}}"))</f>
        <v>{"asset":{"guid":"uuid://a289ed67-23a7-4a4b-be6d-281f047d5d48","site":"in-blr-ananta","name":"vav-1944"}}</v>
      </c>
      <c r="S2372" s="333"/>
      <c r="T2372" s="330"/>
      <c r="U2372" s="330"/>
      <c r="V2372" s="331"/>
      <c r="W2372" s="332"/>
      <c r="X2372" s="333"/>
      <c r="Y2372" s="33" t="s">
        <v>2867</v>
      </c>
      <c r="Z2372" s="258">
        <v>121944.0</v>
      </c>
      <c r="AA2372" s="333"/>
      <c r="AB2372" s="333"/>
      <c r="AC2372" s="333"/>
      <c r="AD2372" s="329"/>
      <c r="AE2372" s="331"/>
      <c r="AF2372" s="336"/>
      <c r="AG2372" s="337" t="str">
        <f>IFS(LEN(AF2372)=17,LOWER('2-Building'!$B$4 &amp; "-" &amp; C2372), AF2372="N/A", "N/A", LEN(AF2372)=0,"")</f>
        <v/>
      </c>
      <c r="AH2372" s="333"/>
      <c r="AI2372" s="333"/>
      <c r="AJ2372" s="333"/>
      <c r="AK2372" s="333"/>
      <c r="AL2372" s="333"/>
      <c r="AM2372" s="338"/>
      <c r="AN2372" s="333"/>
      <c r="AO2372" s="333"/>
      <c r="AP2372" s="333"/>
      <c r="AQ2372" s="333"/>
      <c r="AR2372" s="333"/>
      <c r="AS2372" s="333"/>
      <c r="AT2372" s="333"/>
      <c r="AU2372" s="329"/>
      <c r="AV2372" s="341"/>
      <c r="AW2372" s="269"/>
      <c r="AX2372" s="334" t="s">
        <v>2869</v>
      </c>
      <c r="AY2372" s="270" t="s">
        <v>695</v>
      </c>
      <c r="AZ2372" s="173" t="s">
        <v>5516</v>
      </c>
      <c r="BA2372" s="265">
        <v>10.0</v>
      </c>
      <c r="BB2372" s="174" t="s">
        <v>245</v>
      </c>
      <c r="BC2372" s="341"/>
      <c r="BD2372" s="308"/>
      <c r="BE2372" s="342"/>
      <c r="BF2372" s="274" t="str">
        <f>IFERROR(__xludf.DUMMYFUNCTION("LOWER(Regexreplace(to_text(E2372),""[^A-Za-z0-9]"","""")&amp;""_""&amp;Regexreplace(to_text(F2372),""[^A-Za-z0-9]"",""""))"),"neptronic_evcbseries")</f>
        <v>neptronic_evcbseries</v>
      </c>
      <c r="BG2372" s="275" t="str">
        <f>IFERROR(__xludf.DUMMYFUNCTION("upper(Regexreplace(to_text(E2372),""[^A-Za-z0-9]"","""")&amp;""-""&amp;Regexreplace(to_text(F2372),""[^A-Za-z0-9]"",""""))"),"NEPTRONIC-EVCBSERIES")</f>
        <v>NEPTRONIC-EVCBSERIES</v>
      </c>
    </row>
    <row r="2373" ht="30.0" customHeight="1">
      <c r="A2373" s="173">
        <v>2365.0</v>
      </c>
      <c r="B2373" s="328" t="s">
        <v>670</v>
      </c>
      <c r="C2373" s="257" t="s">
        <v>7975</v>
      </c>
      <c r="D2373" s="173" t="s">
        <v>7975</v>
      </c>
      <c r="E2373" s="174" t="s">
        <v>2861</v>
      </c>
      <c r="F2373" s="173" t="s">
        <v>2862</v>
      </c>
      <c r="G2373" s="328" t="s">
        <v>673</v>
      </c>
      <c r="H2373" s="328" t="s">
        <v>2863</v>
      </c>
      <c r="I2373" s="258" t="s">
        <v>2864</v>
      </c>
      <c r="J2373" s="259" t="s">
        <v>1453</v>
      </c>
      <c r="K2373" s="260"/>
      <c r="L2373" s="363"/>
      <c r="M2373" s="329"/>
      <c r="N2373" s="173" t="s">
        <v>679</v>
      </c>
      <c r="O2373" s="173"/>
      <c r="P2373" s="262" t="str">
        <f t="shared" si="1"/>
        <v>IN-BLR-ANANTA-VAV-1945_11</v>
      </c>
      <c r="Q2373" s="173" t="s">
        <v>7976</v>
      </c>
      <c r="R2373" s="328" t="str">
        <f>IFS(C2373="","",C2373="n/a","N/A",LEN(C2373),Concatenate("{",char(34),"asset",char(34),":{",char(34),"guid",char(34),":",char(34),Q2373,char(34),",",char(34),"site",char(34),":",char(34),LOWER('2-Building'!$B$4),char(34),",",char(34),"name",char(34),":",char(34),LOWER(C2373),char(34),"}}"))</f>
        <v>{"asset":{"guid":"uuid://ba23d656-9fce-4a11-9dc7-44cca5446bac","site":"in-blr-ananta","name":"vav-1945"}}</v>
      </c>
      <c r="S2373" s="333"/>
      <c r="T2373" s="330"/>
      <c r="U2373" s="330"/>
      <c r="V2373" s="331"/>
      <c r="W2373" s="332"/>
      <c r="X2373" s="333"/>
      <c r="Y2373" s="33" t="s">
        <v>2867</v>
      </c>
      <c r="Z2373" s="258">
        <v>121945.0</v>
      </c>
      <c r="AA2373" s="333"/>
      <c r="AB2373" s="333"/>
      <c r="AC2373" s="333"/>
      <c r="AD2373" s="329"/>
      <c r="AE2373" s="331"/>
      <c r="AF2373" s="336"/>
      <c r="AG2373" s="337" t="str">
        <f>IFS(LEN(AF2373)=17,LOWER('2-Building'!$B$4 &amp; "-" &amp; C2373), AF2373="N/A", "N/A", LEN(AF2373)=0,"")</f>
        <v/>
      </c>
      <c r="AH2373" s="333"/>
      <c r="AI2373" s="333"/>
      <c r="AJ2373" s="333"/>
      <c r="AK2373" s="333"/>
      <c r="AL2373" s="333"/>
      <c r="AM2373" s="338"/>
      <c r="AN2373" s="333"/>
      <c r="AO2373" s="333"/>
      <c r="AP2373" s="333"/>
      <c r="AQ2373" s="333"/>
      <c r="AR2373" s="333"/>
      <c r="AS2373" s="333"/>
      <c r="AT2373" s="333"/>
      <c r="AU2373" s="329"/>
      <c r="AV2373" s="341"/>
      <c r="AW2373" s="269"/>
      <c r="AX2373" s="334" t="s">
        <v>2869</v>
      </c>
      <c r="AY2373" s="270" t="s">
        <v>695</v>
      </c>
      <c r="AZ2373" s="173" t="s">
        <v>5516</v>
      </c>
      <c r="BA2373" s="265">
        <v>10.0</v>
      </c>
      <c r="BB2373" s="174" t="s">
        <v>245</v>
      </c>
      <c r="BC2373" s="341"/>
      <c r="BD2373" s="308"/>
      <c r="BE2373" s="342"/>
      <c r="BF2373" s="274" t="str">
        <f>IFERROR(__xludf.DUMMYFUNCTION("LOWER(Regexreplace(to_text(E2373),""[^A-Za-z0-9]"","""")&amp;""_""&amp;Regexreplace(to_text(F2373),""[^A-Za-z0-9]"",""""))"),"neptronic_evcbseries")</f>
        <v>neptronic_evcbseries</v>
      </c>
      <c r="BG2373" s="275" t="str">
        <f>IFERROR(__xludf.DUMMYFUNCTION("upper(Regexreplace(to_text(E2373),""[^A-Za-z0-9]"","""")&amp;""-""&amp;Regexreplace(to_text(F2373),""[^A-Za-z0-9]"",""""))"),"NEPTRONIC-EVCBSERIES")</f>
        <v>NEPTRONIC-EVCBSERIES</v>
      </c>
    </row>
    <row r="2374" ht="30.0" customHeight="1">
      <c r="A2374" s="258">
        <v>2366.0</v>
      </c>
      <c r="B2374" s="328" t="s">
        <v>670</v>
      </c>
      <c r="C2374" s="257" t="s">
        <v>7977</v>
      </c>
      <c r="D2374" s="173" t="s">
        <v>7977</v>
      </c>
      <c r="E2374" s="174" t="s">
        <v>2861</v>
      </c>
      <c r="F2374" s="173" t="s">
        <v>2862</v>
      </c>
      <c r="G2374" s="328" t="s">
        <v>673</v>
      </c>
      <c r="H2374" s="328" t="s">
        <v>2863</v>
      </c>
      <c r="I2374" s="258" t="s">
        <v>2864</v>
      </c>
      <c r="J2374" s="259" t="s">
        <v>1453</v>
      </c>
      <c r="K2374" s="260"/>
      <c r="L2374" s="363"/>
      <c r="M2374" s="329"/>
      <c r="N2374" s="173" t="s">
        <v>679</v>
      </c>
      <c r="O2374" s="173"/>
      <c r="P2374" s="262" t="str">
        <f t="shared" si="1"/>
        <v>IN-BLR-ANANTA-VAV-1946_11</v>
      </c>
      <c r="Q2374" s="173" t="s">
        <v>7978</v>
      </c>
      <c r="R2374" s="328" t="str">
        <f>IFS(C2374="","",C2374="n/a","N/A",LEN(C2374),Concatenate("{",char(34),"asset",char(34),":{",char(34),"guid",char(34),":",char(34),Q2374,char(34),",",char(34),"site",char(34),":",char(34),LOWER('2-Building'!$B$4),char(34),",",char(34),"name",char(34),":",char(34),LOWER(C2374),char(34),"}}"))</f>
        <v>{"asset":{"guid":"uuid://f9f8f506-7a95-4c0e-9dbb-6dd312da75f3","site":"in-blr-ananta","name":"vav-1946"}}</v>
      </c>
      <c r="S2374" s="333"/>
      <c r="T2374" s="330"/>
      <c r="U2374" s="330"/>
      <c r="V2374" s="331"/>
      <c r="W2374" s="332"/>
      <c r="X2374" s="333"/>
      <c r="Y2374" s="33" t="s">
        <v>2867</v>
      </c>
      <c r="Z2374" s="258">
        <v>121946.0</v>
      </c>
      <c r="AA2374" s="333"/>
      <c r="AB2374" s="333"/>
      <c r="AC2374" s="333"/>
      <c r="AD2374" s="329"/>
      <c r="AE2374" s="331"/>
      <c r="AF2374" s="336"/>
      <c r="AG2374" s="337" t="str">
        <f>IFS(LEN(AF2374)=17,LOWER('2-Building'!$B$4 &amp; "-" &amp; C2374), AF2374="N/A", "N/A", LEN(AF2374)=0,"")</f>
        <v/>
      </c>
      <c r="AH2374" s="333"/>
      <c r="AI2374" s="333"/>
      <c r="AJ2374" s="333"/>
      <c r="AK2374" s="333"/>
      <c r="AL2374" s="333"/>
      <c r="AM2374" s="338"/>
      <c r="AN2374" s="333"/>
      <c r="AO2374" s="333"/>
      <c r="AP2374" s="333"/>
      <c r="AQ2374" s="333"/>
      <c r="AR2374" s="333"/>
      <c r="AS2374" s="333"/>
      <c r="AT2374" s="333"/>
      <c r="AU2374" s="329"/>
      <c r="AV2374" s="341"/>
      <c r="AW2374" s="269"/>
      <c r="AX2374" s="334" t="s">
        <v>2869</v>
      </c>
      <c r="AY2374" s="270" t="s">
        <v>695</v>
      </c>
      <c r="AZ2374" s="173" t="s">
        <v>5516</v>
      </c>
      <c r="BA2374" s="265">
        <v>10.0</v>
      </c>
      <c r="BB2374" s="174" t="s">
        <v>245</v>
      </c>
      <c r="BC2374" s="341"/>
      <c r="BD2374" s="308"/>
      <c r="BE2374" s="342"/>
      <c r="BF2374" s="274" t="str">
        <f>IFERROR(__xludf.DUMMYFUNCTION("LOWER(Regexreplace(to_text(E2374),""[^A-Za-z0-9]"","""")&amp;""_""&amp;Regexreplace(to_text(F2374),""[^A-Za-z0-9]"",""""))"),"neptronic_evcbseries")</f>
        <v>neptronic_evcbseries</v>
      </c>
      <c r="BG2374" s="275" t="str">
        <f>IFERROR(__xludf.DUMMYFUNCTION("upper(Regexreplace(to_text(E2374),""[^A-Za-z0-9]"","""")&amp;""-""&amp;Regexreplace(to_text(F2374),""[^A-Za-z0-9]"",""""))"),"NEPTRONIC-EVCBSERIES")</f>
        <v>NEPTRONIC-EVCBSERIES</v>
      </c>
    </row>
    <row r="2375" ht="30.0" customHeight="1">
      <c r="A2375" s="173">
        <v>2367.0</v>
      </c>
      <c r="B2375" s="328" t="s">
        <v>670</v>
      </c>
      <c r="C2375" s="257" t="s">
        <v>7979</v>
      </c>
      <c r="D2375" s="173" t="s">
        <v>7979</v>
      </c>
      <c r="E2375" s="174" t="s">
        <v>2861</v>
      </c>
      <c r="F2375" s="173" t="s">
        <v>2862</v>
      </c>
      <c r="G2375" s="328" t="s">
        <v>673</v>
      </c>
      <c r="H2375" s="328" t="s">
        <v>2863</v>
      </c>
      <c r="I2375" s="258" t="s">
        <v>2864</v>
      </c>
      <c r="J2375" s="259" t="s">
        <v>1453</v>
      </c>
      <c r="K2375" s="260"/>
      <c r="L2375" s="363"/>
      <c r="M2375" s="329"/>
      <c r="N2375" s="173" t="s">
        <v>679</v>
      </c>
      <c r="O2375" s="173"/>
      <c r="P2375" s="262" t="str">
        <f t="shared" si="1"/>
        <v>IN-BLR-ANANTA-VAV-1947_11</v>
      </c>
      <c r="Q2375" s="173" t="s">
        <v>7980</v>
      </c>
      <c r="R2375" s="328" t="str">
        <f>IFS(C2375="","",C2375="n/a","N/A",LEN(C2375),Concatenate("{",char(34),"asset",char(34),":{",char(34),"guid",char(34),":",char(34),Q2375,char(34),",",char(34),"site",char(34),":",char(34),LOWER('2-Building'!$B$4),char(34),",",char(34),"name",char(34),":",char(34),LOWER(C2375),char(34),"}}"))</f>
        <v>{"asset":{"guid":"uuid://4d7d4504-e8fa-48e0-80fa-d337a53381f2","site":"in-blr-ananta","name":"vav-1947"}}</v>
      </c>
      <c r="S2375" s="333"/>
      <c r="T2375" s="330"/>
      <c r="U2375" s="330"/>
      <c r="V2375" s="331"/>
      <c r="W2375" s="332"/>
      <c r="X2375" s="333"/>
      <c r="Y2375" s="33" t="s">
        <v>2867</v>
      </c>
      <c r="Z2375" s="258">
        <v>121947.0</v>
      </c>
      <c r="AA2375" s="333"/>
      <c r="AB2375" s="333"/>
      <c r="AC2375" s="333"/>
      <c r="AD2375" s="329"/>
      <c r="AE2375" s="331"/>
      <c r="AF2375" s="336"/>
      <c r="AG2375" s="337" t="str">
        <f>IFS(LEN(AF2375)=17,LOWER('2-Building'!$B$4 &amp; "-" &amp; C2375), AF2375="N/A", "N/A", LEN(AF2375)=0,"")</f>
        <v/>
      </c>
      <c r="AH2375" s="333"/>
      <c r="AI2375" s="333"/>
      <c r="AJ2375" s="333"/>
      <c r="AK2375" s="333"/>
      <c r="AL2375" s="333"/>
      <c r="AM2375" s="338"/>
      <c r="AN2375" s="333"/>
      <c r="AO2375" s="333"/>
      <c r="AP2375" s="333"/>
      <c r="AQ2375" s="333"/>
      <c r="AR2375" s="333"/>
      <c r="AS2375" s="333"/>
      <c r="AT2375" s="333"/>
      <c r="AU2375" s="329"/>
      <c r="AV2375" s="341"/>
      <c r="AW2375" s="269"/>
      <c r="AX2375" s="334" t="s">
        <v>2869</v>
      </c>
      <c r="AY2375" s="270" t="s">
        <v>695</v>
      </c>
      <c r="AZ2375" s="173" t="s">
        <v>5516</v>
      </c>
      <c r="BA2375" s="265">
        <v>10.0</v>
      </c>
      <c r="BB2375" s="174" t="s">
        <v>245</v>
      </c>
      <c r="BC2375" s="341"/>
      <c r="BD2375" s="308"/>
      <c r="BE2375" s="342"/>
      <c r="BF2375" s="274" t="str">
        <f>IFERROR(__xludf.DUMMYFUNCTION("LOWER(Regexreplace(to_text(E2375),""[^A-Za-z0-9]"","""")&amp;""_""&amp;Regexreplace(to_text(F2375),""[^A-Za-z0-9]"",""""))"),"neptronic_evcbseries")</f>
        <v>neptronic_evcbseries</v>
      </c>
      <c r="BG2375" s="275" t="str">
        <f>IFERROR(__xludf.DUMMYFUNCTION("upper(Regexreplace(to_text(E2375),""[^A-Za-z0-9]"","""")&amp;""-""&amp;Regexreplace(to_text(F2375),""[^A-Za-z0-9]"",""""))"),"NEPTRONIC-EVCBSERIES")</f>
        <v>NEPTRONIC-EVCBSERIES</v>
      </c>
    </row>
    <row r="2376" ht="30.0" customHeight="1">
      <c r="A2376" s="258">
        <v>2368.0</v>
      </c>
      <c r="B2376" s="328" t="s">
        <v>670</v>
      </c>
      <c r="C2376" s="257" t="s">
        <v>7981</v>
      </c>
      <c r="D2376" s="173" t="s">
        <v>7981</v>
      </c>
      <c r="E2376" s="174" t="s">
        <v>2861</v>
      </c>
      <c r="F2376" s="173" t="s">
        <v>2862</v>
      </c>
      <c r="G2376" s="328" t="s">
        <v>673</v>
      </c>
      <c r="H2376" s="328" t="s">
        <v>2863</v>
      </c>
      <c r="I2376" s="258" t="s">
        <v>2864</v>
      </c>
      <c r="J2376" s="259" t="s">
        <v>1453</v>
      </c>
      <c r="K2376" s="260"/>
      <c r="L2376" s="363"/>
      <c r="M2376" s="329"/>
      <c r="N2376" s="173" t="s">
        <v>679</v>
      </c>
      <c r="O2376" s="173"/>
      <c r="P2376" s="262" t="str">
        <f t="shared" si="1"/>
        <v>IN-BLR-ANANTA-VAV-1948_11</v>
      </c>
      <c r="Q2376" s="173" t="s">
        <v>7982</v>
      </c>
      <c r="R2376" s="328" t="str">
        <f>IFS(C2376="","",C2376="n/a","N/A",LEN(C2376),Concatenate("{",char(34),"asset",char(34),":{",char(34),"guid",char(34),":",char(34),Q2376,char(34),",",char(34),"site",char(34),":",char(34),LOWER('2-Building'!$B$4),char(34),",",char(34),"name",char(34),":",char(34),LOWER(C2376),char(34),"}}"))</f>
        <v>{"asset":{"guid":"uuid://71903a49-d069-44a7-b497-37205f5c1d21","site":"in-blr-ananta","name":"vav-1948"}}</v>
      </c>
      <c r="S2376" s="333"/>
      <c r="T2376" s="330"/>
      <c r="U2376" s="330"/>
      <c r="V2376" s="331"/>
      <c r="W2376" s="332"/>
      <c r="X2376" s="333"/>
      <c r="Y2376" s="33" t="s">
        <v>2867</v>
      </c>
      <c r="Z2376" s="258">
        <v>121948.0</v>
      </c>
      <c r="AA2376" s="333"/>
      <c r="AB2376" s="333"/>
      <c r="AC2376" s="333"/>
      <c r="AD2376" s="329"/>
      <c r="AE2376" s="331"/>
      <c r="AF2376" s="336"/>
      <c r="AG2376" s="337" t="str">
        <f>IFS(LEN(AF2376)=17,LOWER('2-Building'!$B$4 &amp; "-" &amp; C2376), AF2376="N/A", "N/A", LEN(AF2376)=0,"")</f>
        <v/>
      </c>
      <c r="AH2376" s="333"/>
      <c r="AI2376" s="333"/>
      <c r="AJ2376" s="333"/>
      <c r="AK2376" s="333"/>
      <c r="AL2376" s="333"/>
      <c r="AM2376" s="338"/>
      <c r="AN2376" s="333"/>
      <c r="AO2376" s="333"/>
      <c r="AP2376" s="333"/>
      <c r="AQ2376" s="333"/>
      <c r="AR2376" s="333"/>
      <c r="AS2376" s="333"/>
      <c r="AT2376" s="333"/>
      <c r="AU2376" s="329"/>
      <c r="AV2376" s="341"/>
      <c r="AW2376" s="269"/>
      <c r="AX2376" s="334" t="s">
        <v>2869</v>
      </c>
      <c r="AY2376" s="270" t="s">
        <v>695</v>
      </c>
      <c r="AZ2376" s="173" t="s">
        <v>5516</v>
      </c>
      <c r="BA2376" s="265">
        <v>10.0</v>
      </c>
      <c r="BB2376" s="174" t="s">
        <v>245</v>
      </c>
      <c r="BC2376" s="341"/>
      <c r="BD2376" s="308"/>
      <c r="BE2376" s="342"/>
      <c r="BF2376" s="274" t="str">
        <f>IFERROR(__xludf.DUMMYFUNCTION("LOWER(Regexreplace(to_text(E2376),""[^A-Za-z0-9]"","""")&amp;""_""&amp;Regexreplace(to_text(F2376),""[^A-Za-z0-9]"",""""))"),"neptronic_evcbseries")</f>
        <v>neptronic_evcbseries</v>
      </c>
      <c r="BG2376" s="275" t="str">
        <f>IFERROR(__xludf.DUMMYFUNCTION("upper(Regexreplace(to_text(E2376),""[^A-Za-z0-9]"","""")&amp;""-""&amp;Regexreplace(to_text(F2376),""[^A-Za-z0-9]"",""""))"),"NEPTRONIC-EVCBSERIES")</f>
        <v>NEPTRONIC-EVCBSERIES</v>
      </c>
    </row>
    <row r="2377" ht="30.0" customHeight="1">
      <c r="A2377" s="173">
        <v>2369.0</v>
      </c>
      <c r="B2377" s="328" t="s">
        <v>670</v>
      </c>
      <c r="C2377" s="257" t="s">
        <v>7983</v>
      </c>
      <c r="D2377" s="173" t="s">
        <v>7983</v>
      </c>
      <c r="E2377" s="174" t="s">
        <v>2861</v>
      </c>
      <c r="F2377" s="173" t="s">
        <v>2862</v>
      </c>
      <c r="G2377" s="328" t="s">
        <v>673</v>
      </c>
      <c r="H2377" s="328" t="s">
        <v>2863</v>
      </c>
      <c r="I2377" s="258" t="s">
        <v>2864</v>
      </c>
      <c r="J2377" s="259" t="s">
        <v>1453</v>
      </c>
      <c r="K2377" s="260"/>
      <c r="L2377" s="363"/>
      <c r="M2377" s="329"/>
      <c r="N2377" s="173" t="s">
        <v>679</v>
      </c>
      <c r="O2377" s="173"/>
      <c r="P2377" s="262" t="str">
        <f t="shared" si="1"/>
        <v>IN-BLR-ANANTA-VAV-1949_11</v>
      </c>
      <c r="Q2377" s="173" t="s">
        <v>7984</v>
      </c>
      <c r="R2377" s="328" t="str">
        <f>IFS(C2377="","",C2377="n/a","N/A",LEN(C2377),Concatenate("{",char(34),"asset",char(34),":{",char(34),"guid",char(34),":",char(34),Q2377,char(34),",",char(34),"site",char(34),":",char(34),LOWER('2-Building'!$B$4),char(34),",",char(34),"name",char(34),":",char(34),LOWER(C2377),char(34),"}}"))</f>
        <v>{"asset":{"guid":"uuid://8442ea77-2446-4910-a370-45f8bd9415ca","site":"in-blr-ananta","name":"vav-1949"}}</v>
      </c>
      <c r="S2377" s="333"/>
      <c r="T2377" s="330"/>
      <c r="U2377" s="330"/>
      <c r="V2377" s="331"/>
      <c r="W2377" s="332"/>
      <c r="X2377" s="333"/>
      <c r="Y2377" s="33" t="s">
        <v>2867</v>
      </c>
      <c r="Z2377" s="258">
        <v>121949.0</v>
      </c>
      <c r="AA2377" s="333"/>
      <c r="AB2377" s="333"/>
      <c r="AC2377" s="333"/>
      <c r="AD2377" s="329"/>
      <c r="AE2377" s="331"/>
      <c r="AF2377" s="336"/>
      <c r="AG2377" s="337" t="str">
        <f>IFS(LEN(AF2377)=17,LOWER('2-Building'!$B$4 &amp; "-" &amp; C2377), AF2377="N/A", "N/A", LEN(AF2377)=0,"")</f>
        <v/>
      </c>
      <c r="AH2377" s="333"/>
      <c r="AI2377" s="333"/>
      <c r="AJ2377" s="333"/>
      <c r="AK2377" s="333"/>
      <c r="AL2377" s="333"/>
      <c r="AM2377" s="338"/>
      <c r="AN2377" s="333"/>
      <c r="AO2377" s="333"/>
      <c r="AP2377" s="333"/>
      <c r="AQ2377" s="333"/>
      <c r="AR2377" s="333"/>
      <c r="AS2377" s="333"/>
      <c r="AT2377" s="333"/>
      <c r="AU2377" s="329"/>
      <c r="AV2377" s="341"/>
      <c r="AW2377" s="269"/>
      <c r="AX2377" s="334" t="s">
        <v>2869</v>
      </c>
      <c r="AY2377" s="270" t="s">
        <v>695</v>
      </c>
      <c r="AZ2377" s="173" t="s">
        <v>5516</v>
      </c>
      <c r="BA2377" s="265">
        <v>10.0</v>
      </c>
      <c r="BB2377" s="174" t="s">
        <v>245</v>
      </c>
      <c r="BC2377" s="341"/>
      <c r="BD2377" s="308"/>
      <c r="BE2377" s="342"/>
      <c r="BF2377" s="274" t="str">
        <f>IFERROR(__xludf.DUMMYFUNCTION("LOWER(Regexreplace(to_text(E2377),""[^A-Za-z0-9]"","""")&amp;""_""&amp;Regexreplace(to_text(F2377),""[^A-Za-z0-9]"",""""))"),"neptronic_evcbseries")</f>
        <v>neptronic_evcbseries</v>
      </c>
      <c r="BG2377" s="275" t="str">
        <f>IFERROR(__xludf.DUMMYFUNCTION("upper(Regexreplace(to_text(E2377),""[^A-Za-z0-9]"","""")&amp;""-""&amp;Regexreplace(to_text(F2377),""[^A-Za-z0-9]"",""""))"),"NEPTRONIC-EVCBSERIES")</f>
        <v>NEPTRONIC-EVCBSERIES</v>
      </c>
    </row>
    <row r="2378" ht="30.0" customHeight="1">
      <c r="A2378" s="258">
        <v>2370.0</v>
      </c>
      <c r="B2378" s="328" t="s">
        <v>670</v>
      </c>
      <c r="C2378" s="257" t="s">
        <v>7985</v>
      </c>
      <c r="D2378" s="173" t="s">
        <v>7985</v>
      </c>
      <c r="E2378" s="174" t="s">
        <v>2861</v>
      </c>
      <c r="F2378" s="173" t="s">
        <v>2862</v>
      </c>
      <c r="G2378" s="328" t="s">
        <v>673</v>
      </c>
      <c r="H2378" s="328" t="s">
        <v>2863</v>
      </c>
      <c r="I2378" s="258" t="s">
        <v>2864</v>
      </c>
      <c r="J2378" s="259" t="s">
        <v>1453</v>
      </c>
      <c r="K2378" s="260"/>
      <c r="L2378" s="363"/>
      <c r="M2378" s="329"/>
      <c r="N2378" s="173" t="s">
        <v>679</v>
      </c>
      <c r="O2378" s="173"/>
      <c r="P2378" s="262" t="str">
        <f t="shared" si="1"/>
        <v>IN-BLR-ANANTA-VAV-1950_11</v>
      </c>
      <c r="Q2378" s="173" t="s">
        <v>7986</v>
      </c>
      <c r="R2378" s="328" t="str">
        <f>IFS(C2378="","",C2378="n/a","N/A",LEN(C2378),Concatenate("{",char(34),"asset",char(34),":{",char(34),"guid",char(34),":",char(34),Q2378,char(34),",",char(34),"site",char(34),":",char(34),LOWER('2-Building'!$B$4),char(34),",",char(34),"name",char(34),":",char(34),LOWER(C2378),char(34),"}}"))</f>
        <v>{"asset":{"guid":"uuid://d17f74d7-6cc1-45a2-8ac4-788cebd2f799","site":"in-blr-ananta","name":"vav-1950"}}</v>
      </c>
      <c r="S2378" s="333"/>
      <c r="T2378" s="330"/>
      <c r="U2378" s="330"/>
      <c r="V2378" s="331"/>
      <c r="W2378" s="332"/>
      <c r="X2378" s="333"/>
      <c r="Y2378" s="33" t="s">
        <v>2867</v>
      </c>
      <c r="Z2378" s="258">
        <v>121950.0</v>
      </c>
      <c r="AA2378" s="333"/>
      <c r="AB2378" s="333"/>
      <c r="AC2378" s="333"/>
      <c r="AD2378" s="329"/>
      <c r="AE2378" s="331"/>
      <c r="AF2378" s="336"/>
      <c r="AG2378" s="337" t="str">
        <f>IFS(LEN(AF2378)=17,LOWER('2-Building'!$B$4 &amp; "-" &amp; C2378), AF2378="N/A", "N/A", LEN(AF2378)=0,"")</f>
        <v/>
      </c>
      <c r="AH2378" s="333"/>
      <c r="AI2378" s="333"/>
      <c r="AJ2378" s="333"/>
      <c r="AK2378" s="333"/>
      <c r="AL2378" s="333"/>
      <c r="AM2378" s="338"/>
      <c r="AN2378" s="333"/>
      <c r="AO2378" s="333"/>
      <c r="AP2378" s="333"/>
      <c r="AQ2378" s="333"/>
      <c r="AR2378" s="333"/>
      <c r="AS2378" s="333"/>
      <c r="AT2378" s="333"/>
      <c r="AU2378" s="329"/>
      <c r="AV2378" s="341"/>
      <c r="AW2378" s="269"/>
      <c r="AX2378" s="334" t="s">
        <v>2869</v>
      </c>
      <c r="AY2378" s="270" t="s">
        <v>695</v>
      </c>
      <c r="AZ2378" s="173" t="s">
        <v>5516</v>
      </c>
      <c r="BA2378" s="265">
        <v>10.0</v>
      </c>
      <c r="BB2378" s="174" t="s">
        <v>245</v>
      </c>
      <c r="BC2378" s="341"/>
      <c r="BD2378" s="308"/>
      <c r="BE2378" s="342"/>
      <c r="BF2378" s="274" t="str">
        <f>IFERROR(__xludf.DUMMYFUNCTION("LOWER(Regexreplace(to_text(E2378),""[^A-Za-z0-9]"","""")&amp;""_""&amp;Regexreplace(to_text(F2378),""[^A-Za-z0-9]"",""""))"),"neptronic_evcbseries")</f>
        <v>neptronic_evcbseries</v>
      </c>
      <c r="BG2378" s="275" t="str">
        <f>IFERROR(__xludf.DUMMYFUNCTION("upper(Regexreplace(to_text(E2378),""[^A-Za-z0-9]"","""")&amp;""-""&amp;Regexreplace(to_text(F2378),""[^A-Za-z0-9]"",""""))"),"NEPTRONIC-EVCBSERIES")</f>
        <v>NEPTRONIC-EVCBSERIES</v>
      </c>
    </row>
    <row r="2379" ht="30.0" customHeight="1">
      <c r="A2379" s="173">
        <v>2371.0</v>
      </c>
      <c r="B2379" s="328" t="s">
        <v>670</v>
      </c>
      <c r="C2379" s="257" t="s">
        <v>7987</v>
      </c>
      <c r="D2379" s="173" t="s">
        <v>7987</v>
      </c>
      <c r="E2379" s="174" t="s">
        <v>2861</v>
      </c>
      <c r="F2379" s="173" t="s">
        <v>2862</v>
      </c>
      <c r="G2379" s="328" t="s">
        <v>673</v>
      </c>
      <c r="H2379" s="328" t="s">
        <v>2863</v>
      </c>
      <c r="I2379" s="258" t="s">
        <v>2864</v>
      </c>
      <c r="J2379" s="259" t="s">
        <v>1453</v>
      </c>
      <c r="K2379" s="260"/>
      <c r="L2379" s="363"/>
      <c r="M2379" s="329"/>
      <c r="N2379" s="173" t="s">
        <v>679</v>
      </c>
      <c r="O2379" s="173"/>
      <c r="P2379" s="262" t="str">
        <f t="shared" si="1"/>
        <v>IN-BLR-ANANTA-VAV-1951_11</v>
      </c>
      <c r="Q2379" s="173" t="s">
        <v>7988</v>
      </c>
      <c r="R2379" s="328" t="str">
        <f>IFS(C2379="","",C2379="n/a","N/A",LEN(C2379),Concatenate("{",char(34),"asset",char(34),":{",char(34),"guid",char(34),":",char(34),Q2379,char(34),",",char(34),"site",char(34),":",char(34),LOWER('2-Building'!$B$4),char(34),",",char(34),"name",char(34),":",char(34),LOWER(C2379),char(34),"}}"))</f>
        <v>{"asset":{"guid":"uuid://de73a76c-ef8e-445d-9356-2b6d35a59f70","site":"in-blr-ananta","name":"vav-1951"}}</v>
      </c>
      <c r="S2379" s="333"/>
      <c r="T2379" s="330"/>
      <c r="U2379" s="330"/>
      <c r="V2379" s="331"/>
      <c r="W2379" s="332"/>
      <c r="X2379" s="333"/>
      <c r="Y2379" s="33" t="s">
        <v>2867</v>
      </c>
      <c r="Z2379" s="258">
        <v>121951.0</v>
      </c>
      <c r="AA2379" s="333"/>
      <c r="AB2379" s="333"/>
      <c r="AC2379" s="333"/>
      <c r="AD2379" s="329"/>
      <c r="AE2379" s="331"/>
      <c r="AF2379" s="336"/>
      <c r="AG2379" s="337" t="str">
        <f>IFS(LEN(AF2379)=17,LOWER('2-Building'!$B$4 &amp; "-" &amp; C2379), AF2379="N/A", "N/A", LEN(AF2379)=0,"")</f>
        <v/>
      </c>
      <c r="AH2379" s="333"/>
      <c r="AI2379" s="333"/>
      <c r="AJ2379" s="333"/>
      <c r="AK2379" s="333"/>
      <c r="AL2379" s="333"/>
      <c r="AM2379" s="338"/>
      <c r="AN2379" s="333"/>
      <c r="AO2379" s="333"/>
      <c r="AP2379" s="333"/>
      <c r="AQ2379" s="333"/>
      <c r="AR2379" s="333"/>
      <c r="AS2379" s="333"/>
      <c r="AT2379" s="333"/>
      <c r="AU2379" s="329"/>
      <c r="AV2379" s="341"/>
      <c r="AW2379" s="269"/>
      <c r="AX2379" s="334" t="s">
        <v>2869</v>
      </c>
      <c r="AY2379" s="270" t="s">
        <v>695</v>
      </c>
      <c r="AZ2379" s="173" t="s">
        <v>5516</v>
      </c>
      <c r="BA2379" s="265">
        <v>10.0</v>
      </c>
      <c r="BB2379" s="174" t="s">
        <v>245</v>
      </c>
      <c r="BC2379" s="341"/>
      <c r="BD2379" s="308"/>
      <c r="BE2379" s="342"/>
      <c r="BF2379" s="274" t="str">
        <f>IFERROR(__xludf.DUMMYFUNCTION("LOWER(Regexreplace(to_text(E2379),""[^A-Za-z0-9]"","""")&amp;""_""&amp;Regexreplace(to_text(F2379),""[^A-Za-z0-9]"",""""))"),"neptronic_evcbseries")</f>
        <v>neptronic_evcbseries</v>
      </c>
      <c r="BG2379" s="275" t="str">
        <f>IFERROR(__xludf.DUMMYFUNCTION("upper(Regexreplace(to_text(E2379),""[^A-Za-z0-9]"","""")&amp;""-""&amp;Regexreplace(to_text(F2379),""[^A-Za-z0-9]"",""""))"),"NEPTRONIC-EVCBSERIES")</f>
        <v>NEPTRONIC-EVCBSERIES</v>
      </c>
    </row>
    <row r="2380" ht="30.0" customHeight="1">
      <c r="A2380" s="258">
        <v>2372.0</v>
      </c>
      <c r="B2380" s="328" t="s">
        <v>670</v>
      </c>
      <c r="C2380" s="257" t="s">
        <v>7989</v>
      </c>
      <c r="D2380" s="173" t="s">
        <v>7989</v>
      </c>
      <c r="E2380" s="174" t="s">
        <v>2861</v>
      </c>
      <c r="F2380" s="173" t="s">
        <v>2862</v>
      </c>
      <c r="G2380" s="328" t="s">
        <v>673</v>
      </c>
      <c r="H2380" s="328" t="s">
        <v>2863</v>
      </c>
      <c r="I2380" s="258" t="s">
        <v>2864</v>
      </c>
      <c r="J2380" s="259" t="s">
        <v>1453</v>
      </c>
      <c r="K2380" s="260"/>
      <c r="L2380" s="363"/>
      <c r="M2380" s="329"/>
      <c r="N2380" s="173" t="s">
        <v>679</v>
      </c>
      <c r="O2380" s="173"/>
      <c r="P2380" s="262" t="str">
        <f t="shared" si="1"/>
        <v>IN-BLR-ANANTA-VAV-1952_11</v>
      </c>
      <c r="Q2380" s="173" t="s">
        <v>7990</v>
      </c>
      <c r="R2380" s="328" t="str">
        <f>IFS(C2380="","",C2380="n/a","N/A",LEN(C2380),Concatenate("{",char(34),"asset",char(34),":{",char(34),"guid",char(34),":",char(34),Q2380,char(34),",",char(34),"site",char(34),":",char(34),LOWER('2-Building'!$B$4),char(34),",",char(34),"name",char(34),":",char(34),LOWER(C2380),char(34),"}}"))</f>
        <v>{"asset":{"guid":"uuid://17c7d6e4-4981-4505-9242-2e185ce057eb","site":"in-blr-ananta","name":"vav-1952"}}</v>
      </c>
      <c r="S2380" s="333"/>
      <c r="T2380" s="330"/>
      <c r="U2380" s="330"/>
      <c r="V2380" s="331"/>
      <c r="W2380" s="332"/>
      <c r="X2380" s="333"/>
      <c r="Y2380" s="33" t="s">
        <v>2867</v>
      </c>
      <c r="Z2380" s="258">
        <v>121952.0</v>
      </c>
      <c r="AA2380" s="333"/>
      <c r="AB2380" s="333"/>
      <c r="AC2380" s="333"/>
      <c r="AD2380" s="329"/>
      <c r="AE2380" s="331"/>
      <c r="AF2380" s="336"/>
      <c r="AG2380" s="337" t="str">
        <f>IFS(LEN(AF2380)=17,LOWER('2-Building'!$B$4 &amp; "-" &amp; C2380), AF2380="N/A", "N/A", LEN(AF2380)=0,"")</f>
        <v/>
      </c>
      <c r="AH2380" s="333"/>
      <c r="AI2380" s="333"/>
      <c r="AJ2380" s="333"/>
      <c r="AK2380" s="333"/>
      <c r="AL2380" s="333"/>
      <c r="AM2380" s="338"/>
      <c r="AN2380" s="333"/>
      <c r="AO2380" s="333"/>
      <c r="AP2380" s="333"/>
      <c r="AQ2380" s="333"/>
      <c r="AR2380" s="333"/>
      <c r="AS2380" s="333"/>
      <c r="AT2380" s="333"/>
      <c r="AU2380" s="329"/>
      <c r="AV2380" s="341"/>
      <c r="AW2380" s="269"/>
      <c r="AX2380" s="334" t="s">
        <v>2869</v>
      </c>
      <c r="AY2380" s="270" t="s">
        <v>695</v>
      </c>
      <c r="AZ2380" s="173" t="s">
        <v>5516</v>
      </c>
      <c r="BA2380" s="265">
        <v>10.0</v>
      </c>
      <c r="BB2380" s="174" t="s">
        <v>245</v>
      </c>
      <c r="BC2380" s="341"/>
      <c r="BD2380" s="308"/>
      <c r="BE2380" s="342"/>
      <c r="BF2380" s="274" t="str">
        <f>IFERROR(__xludf.DUMMYFUNCTION("LOWER(Regexreplace(to_text(E2380),""[^A-Za-z0-9]"","""")&amp;""_""&amp;Regexreplace(to_text(F2380),""[^A-Za-z0-9]"",""""))"),"neptronic_evcbseries")</f>
        <v>neptronic_evcbseries</v>
      </c>
      <c r="BG2380" s="275" t="str">
        <f>IFERROR(__xludf.DUMMYFUNCTION("upper(Regexreplace(to_text(E2380),""[^A-Za-z0-9]"","""")&amp;""-""&amp;Regexreplace(to_text(F2380),""[^A-Za-z0-9]"",""""))"),"NEPTRONIC-EVCBSERIES")</f>
        <v>NEPTRONIC-EVCBSERIES</v>
      </c>
    </row>
    <row r="2381" ht="30.0" customHeight="1">
      <c r="A2381" s="173">
        <v>2373.0</v>
      </c>
      <c r="B2381" s="328" t="s">
        <v>670</v>
      </c>
      <c r="C2381" s="257" t="s">
        <v>7991</v>
      </c>
      <c r="D2381" s="173" t="s">
        <v>7991</v>
      </c>
      <c r="E2381" s="174" t="s">
        <v>2861</v>
      </c>
      <c r="F2381" s="173" t="s">
        <v>2862</v>
      </c>
      <c r="G2381" s="328" t="s">
        <v>673</v>
      </c>
      <c r="H2381" s="328" t="s">
        <v>2863</v>
      </c>
      <c r="I2381" s="258" t="s">
        <v>2864</v>
      </c>
      <c r="J2381" s="259" t="s">
        <v>1453</v>
      </c>
      <c r="K2381" s="260"/>
      <c r="L2381" s="363"/>
      <c r="M2381" s="329"/>
      <c r="N2381" s="173" t="s">
        <v>679</v>
      </c>
      <c r="O2381" s="173"/>
      <c r="P2381" s="262" t="str">
        <f t="shared" si="1"/>
        <v>IN-BLR-ANANTA-VAV-1953_11</v>
      </c>
      <c r="Q2381" s="173" t="s">
        <v>7992</v>
      </c>
      <c r="R2381" s="328" t="str">
        <f>IFS(C2381="","",C2381="n/a","N/A",LEN(C2381),Concatenate("{",char(34),"asset",char(34),":{",char(34),"guid",char(34),":",char(34),Q2381,char(34),",",char(34),"site",char(34),":",char(34),LOWER('2-Building'!$B$4),char(34),",",char(34),"name",char(34),":",char(34),LOWER(C2381),char(34),"}}"))</f>
        <v>{"asset":{"guid":"uuid://5f473b37-9ec9-4663-9e1b-f882faa50a5a","site":"in-blr-ananta","name":"vav-1953"}}</v>
      </c>
      <c r="S2381" s="333"/>
      <c r="T2381" s="330"/>
      <c r="U2381" s="330"/>
      <c r="V2381" s="331"/>
      <c r="W2381" s="332"/>
      <c r="X2381" s="333"/>
      <c r="Y2381" s="33" t="s">
        <v>2867</v>
      </c>
      <c r="Z2381" s="258">
        <v>121953.0</v>
      </c>
      <c r="AA2381" s="333"/>
      <c r="AB2381" s="333"/>
      <c r="AC2381" s="333"/>
      <c r="AD2381" s="329"/>
      <c r="AE2381" s="331"/>
      <c r="AF2381" s="336"/>
      <c r="AG2381" s="337" t="str">
        <f>IFS(LEN(AF2381)=17,LOWER('2-Building'!$B$4 &amp; "-" &amp; C2381), AF2381="N/A", "N/A", LEN(AF2381)=0,"")</f>
        <v/>
      </c>
      <c r="AH2381" s="333"/>
      <c r="AI2381" s="333"/>
      <c r="AJ2381" s="333"/>
      <c r="AK2381" s="333"/>
      <c r="AL2381" s="333"/>
      <c r="AM2381" s="338"/>
      <c r="AN2381" s="333"/>
      <c r="AO2381" s="333"/>
      <c r="AP2381" s="333"/>
      <c r="AQ2381" s="333"/>
      <c r="AR2381" s="333"/>
      <c r="AS2381" s="333"/>
      <c r="AT2381" s="333"/>
      <c r="AU2381" s="329"/>
      <c r="AV2381" s="341"/>
      <c r="AW2381" s="269"/>
      <c r="AX2381" s="334" t="s">
        <v>2869</v>
      </c>
      <c r="AY2381" s="270" t="s">
        <v>695</v>
      </c>
      <c r="AZ2381" s="173" t="s">
        <v>5516</v>
      </c>
      <c r="BA2381" s="265">
        <v>10.0</v>
      </c>
      <c r="BB2381" s="174" t="s">
        <v>245</v>
      </c>
      <c r="BC2381" s="341"/>
      <c r="BD2381" s="308"/>
      <c r="BE2381" s="342"/>
      <c r="BF2381" s="274" t="str">
        <f>IFERROR(__xludf.DUMMYFUNCTION("LOWER(Regexreplace(to_text(E2381),""[^A-Za-z0-9]"","""")&amp;""_""&amp;Regexreplace(to_text(F2381),""[^A-Za-z0-9]"",""""))"),"neptronic_evcbseries")</f>
        <v>neptronic_evcbseries</v>
      </c>
      <c r="BG2381" s="275" t="str">
        <f>IFERROR(__xludf.DUMMYFUNCTION("upper(Regexreplace(to_text(E2381),""[^A-Za-z0-9]"","""")&amp;""-""&amp;Regexreplace(to_text(F2381),""[^A-Za-z0-9]"",""""))"),"NEPTRONIC-EVCBSERIES")</f>
        <v>NEPTRONIC-EVCBSERIES</v>
      </c>
    </row>
    <row r="2382" ht="30.0" customHeight="1">
      <c r="A2382" s="258">
        <v>2374.0</v>
      </c>
      <c r="B2382" s="328" t="s">
        <v>670</v>
      </c>
      <c r="C2382" s="257" t="s">
        <v>7993</v>
      </c>
      <c r="D2382" s="173" t="s">
        <v>7993</v>
      </c>
      <c r="E2382" s="174" t="s">
        <v>2861</v>
      </c>
      <c r="F2382" s="173" t="s">
        <v>2862</v>
      </c>
      <c r="G2382" s="328" t="s">
        <v>673</v>
      </c>
      <c r="H2382" s="328" t="s">
        <v>2863</v>
      </c>
      <c r="I2382" s="258" t="s">
        <v>2864</v>
      </c>
      <c r="J2382" s="259" t="s">
        <v>1453</v>
      </c>
      <c r="K2382" s="260"/>
      <c r="L2382" s="363"/>
      <c r="M2382" s="329"/>
      <c r="N2382" s="173" t="s">
        <v>679</v>
      </c>
      <c r="O2382" s="173"/>
      <c r="P2382" s="262" t="str">
        <f t="shared" si="1"/>
        <v>IN-BLR-ANANTA-VAV-1954_11</v>
      </c>
      <c r="Q2382" s="173" t="s">
        <v>7994</v>
      </c>
      <c r="R2382" s="328" t="str">
        <f>IFS(C2382="","",C2382="n/a","N/A",LEN(C2382),Concatenate("{",char(34),"asset",char(34),":{",char(34),"guid",char(34),":",char(34),Q2382,char(34),",",char(34),"site",char(34),":",char(34),LOWER('2-Building'!$B$4),char(34),",",char(34),"name",char(34),":",char(34),LOWER(C2382),char(34),"}}"))</f>
        <v>{"asset":{"guid":"uuid://8c024f40-1899-4858-9ce7-d7543cc0c538","site":"in-blr-ananta","name":"vav-1954"}}</v>
      </c>
      <c r="S2382" s="333"/>
      <c r="T2382" s="330"/>
      <c r="U2382" s="330"/>
      <c r="V2382" s="331"/>
      <c r="W2382" s="332"/>
      <c r="X2382" s="333"/>
      <c r="Y2382" s="33" t="s">
        <v>2867</v>
      </c>
      <c r="Z2382" s="258">
        <v>121954.0</v>
      </c>
      <c r="AA2382" s="333"/>
      <c r="AB2382" s="333"/>
      <c r="AC2382" s="333"/>
      <c r="AD2382" s="329"/>
      <c r="AE2382" s="331"/>
      <c r="AF2382" s="336"/>
      <c r="AG2382" s="337" t="str">
        <f>IFS(LEN(AF2382)=17,LOWER('2-Building'!$B$4 &amp; "-" &amp; C2382), AF2382="N/A", "N/A", LEN(AF2382)=0,"")</f>
        <v/>
      </c>
      <c r="AH2382" s="333"/>
      <c r="AI2382" s="333"/>
      <c r="AJ2382" s="333"/>
      <c r="AK2382" s="333"/>
      <c r="AL2382" s="333"/>
      <c r="AM2382" s="338"/>
      <c r="AN2382" s="333"/>
      <c r="AO2382" s="333"/>
      <c r="AP2382" s="333"/>
      <c r="AQ2382" s="333"/>
      <c r="AR2382" s="333"/>
      <c r="AS2382" s="333"/>
      <c r="AT2382" s="333"/>
      <c r="AU2382" s="329"/>
      <c r="AV2382" s="341"/>
      <c r="AW2382" s="269"/>
      <c r="AX2382" s="334" t="s">
        <v>2869</v>
      </c>
      <c r="AY2382" s="270" t="s">
        <v>695</v>
      </c>
      <c r="AZ2382" s="173" t="s">
        <v>5516</v>
      </c>
      <c r="BA2382" s="265">
        <v>10.0</v>
      </c>
      <c r="BB2382" s="174" t="s">
        <v>245</v>
      </c>
      <c r="BC2382" s="341"/>
      <c r="BD2382" s="308"/>
      <c r="BE2382" s="342"/>
      <c r="BF2382" s="274" t="str">
        <f>IFERROR(__xludf.DUMMYFUNCTION("LOWER(Regexreplace(to_text(E2382),""[^A-Za-z0-9]"","""")&amp;""_""&amp;Regexreplace(to_text(F2382),""[^A-Za-z0-9]"",""""))"),"neptronic_evcbseries")</f>
        <v>neptronic_evcbseries</v>
      </c>
      <c r="BG2382" s="275" t="str">
        <f>IFERROR(__xludf.DUMMYFUNCTION("upper(Regexreplace(to_text(E2382),""[^A-Za-z0-9]"","""")&amp;""-""&amp;Regexreplace(to_text(F2382),""[^A-Za-z0-9]"",""""))"),"NEPTRONIC-EVCBSERIES")</f>
        <v>NEPTRONIC-EVCBSERIES</v>
      </c>
    </row>
    <row r="2383" ht="30.0" customHeight="1">
      <c r="A2383" s="173">
        <v>2375.0</v>
      </c>
      <c r="B2383" s="328" t="s">
        <v>670</v>
      </c>
      <c r="C2383" s="257" t="s">
        <v>7995</v>
      </c>
      <c r="D2383" s="173" t="s">
        <v>7995</v>
      </c>
      <c r="E2383" s="174" t="s">
        <v>2861</v>
      </c>
      <c r="F2383" s="173" t="s">
        <v>2862</v>
      </c>
      <c r="G2383" s="328" t="s">
        <v>673</v>
      </c>
      <c r="H2383" s="328" t="s">
        <v>2863</v>
      </c>
      <c r="I2383" s="258" t="s">
        <v>2864</v>
      </c>
      <c r="J2383" s="259" t="s">
        <v>1453</v>
      </c>
      <c r="K2383" s="260"/>
      <c r="L2383" s="363"/>
      <c r="M2383" s="329"/>
      <c r="N2383" s="173" t="s">
        <v>679</v>
      </c>
      <c r="O2383" s="173"/>
      <c r="P2383" s="262" t="str">
        <f t="shared" si="1"/>
        <v>IN-BLR-ANANTA-VAV-1955_11</v>
      </c>
      <c r="Q2383" s="173" t="s">
        <v>7996</v>
      </c>
      <c r="R2383" s="328" t="str">
        <f>IFS(C2383="","",C2383="n/a","N/A",LEN(C2383),Concatenate("{",char(34),"asset",char(34),":{",char(34),"guid",char(34),":",char(34),Q2383,char(34),",",char(34),"site",char(34),":",char(34),LOWER('2-Building'!$B$4),char(34),",",char(34),"name",char(34),":",char(34),LOWER(C2383),char(34),"}}"))</f>
        <v>{"asset":{"guid":"uuid://bda37bdf-c97f-4343-bd67-d38c979c4584","site":"in-blr-ananta","name":"vav-1955"}}</v>
      </c>
      <c r="S2383" s="333"/>
      <c r="T2383" s="330"/>
      <c r="U2383" s="330"/>
      <c r="V2383" s="331"/>
      <c r="W2383" s="332"/>
      <c r="X2383" s="333"/>
      <c r="Y2383" s="33" t="s">
        <v>2867</v>
      </c>
      <c r="Z2383" s="258">
        <v>121955.0</v>
      </c>
      <c r="AA2383" s="333"/>
      <c r="AB2383" s="333"/>
      <c r="AC2383" s="333"/>
      <c r="AD2383" s="329"/>
      <c r="AE2383" s="331"/>
      <c r="AF2383" s="336"/>
      <c r="AG2383" s="337" t="str">
        <f>IFS(LEN(AF2383)=17,LOWER('2-Building'!$B$4 &amp; "-" &amp; C2383), AF2383="N/A", "N/A", LEN(AF2383)=0,"")</f>
        <v/>
      </c>
      <c r="AH2383" s="333"/>
      <c r="AI2383" s="333"/>
      <c r="AJ2383" s="333"/>
      <c r="AK2383" s="333"/>
      <c r="AL2383" s="333"/>
      <c r="AM2383" s="338"/>
      <c r="AN2383" s="333"/>
      <c r="AO2383" s="333"/>
      <c r="AP2383" s="333"/>
      <c r="AQ2383" s="333"/>
      <c r="AR2383" s="333"/>
      <c r="AS2383" s="333"/>
      <c r="AT2383" s="333"/>
      <c r="AU2383" s="329"/>
      <c r="AV2383" s="341"/>
      <c r="AW2383" s="269"/>
      <c r="AX2383" s="334" t="s">
        <v>2869</v>
      </c>
      <c r="AY2383" s="270" t="s">
        <v>695</v>
      </c>
      <c r="AZ2383" s="173" t="s">
        <v>5516</v>
      </c>
      <c r="BA2383" s="265">
        <v>10.0</v>
      </c>
      <c r="BB2383" s="174" t="s">
        <v>245</v>
      </c>
      <c r="BC2383" s="341"/>
      <c r="BD2383" s="308"/>
      <c r="BE2383" s="342"/>
      <c r="BF2383" s="274" t="str">
        <f>IFERROR(__xludf.DUMMYFUNCTION("LOWER(Regexreplace(to_text(E2383),""[^A-Za-z0-9]"","""")&amp;""_""&amp;Regexreplace(to_text(F2383),""[^A-Za-z0-9]"",""""))"),"neptronic_evcbseries")</f>
        <v>neptronic_evcbseries</v>
      </c>
      <c r="BG2383" s="275" t="str">
        <f>IFERROR(__xludf.DUMMYFUNCTION("upper(Regexreplace(to_text(E2383),""[^A-Za-z0-9]"","""")&amp;""-""&amp;Regexreplace(to_text(F2383),""[^A-Za-z0-9]"",""""))"),"NEPTRONIC-EVCBSERIES")</f>
        <v>NEPTRONIC-EVCBSERIES</v>
      </c>
    </row>
    <row r="2384" ht="30.0" customHeight="1">
      <c r="A2384" s="258">
        <v>2376.0</v>
      </c>
      <c r="B2384" s="328" t="s">
        <v>670</v>
      </c>
      <c r="C2384" s="257" t="s">
        <v>7997</v>
      </c>
      <c r="D2384" s="173" t="s">
        <v>7997</v>
      </c>
      <c r="E2384" s="174" t="s">
        <v>2861</v>
      </c>
      <c r="F2384" s="173" t="s">
        <v>2862</v>
      </c>
      <c r="G2384" s="328" t="s">
        <v>673</v>
      </c>
      <c r="H2384" s="328" t="s">
        <v>2863</v>
      </c>
      <c r="I2384" s="258" t="s">
        <v>2864</v>
      </c>
      <c r="J2384" s="259" t="s">
        <v>1453</v>
      </c>
      <c r="K2384" s="260"/>
      <c r="L2384" s="363"/>
      <c r="M2384" s="329"/>
      <c r="N2384" s="173" t="s">
        <v>679</v>
      </c>
      <c r="O2384" s="173"/>
      <c r="P2384" s="262" t="str">
        <f t="shared" si="1"/>
        <v>IN-BLR-ANANTA-VAV-1956_11</v>
      </c>
      <c r="Q2384" s="173" t="s">
        <v>7998</v>
      </c>
      <c r="R2384" s="328" t="str">
        <f>IFS(C2384="","",C2384="n/a","N/A",LEN(C2384),Concatenate("{",char(34),"asset",char(34),":{",char(34),"guid",char(34),":",char(34),Q2384,char(34),",",char(34),"site",char(34),":",char(34),LOWER('2-Building'!$B$4),char(34),",",char(34),"name",char(34),":",char(34),LOWER(C2384),char(34),"}}"))</f>
        <v>{"asset":{"guid":"uuid://5a2a82c2-d26d-46f3-8653-c2a21ea495e2","site":"in-blr-ananta","name":"vav-1956"}}</v>
      </c>
      <c r="S2384" s="333"/>
      <c r="T2384" s="330"/>
      <c r="U2384" s="330"/>
      <c r="V2384" s="331"/>
      <c r="W2384" s="332"/>
      <c r="X2384" s="333"/>
      <c r="Y2384" s="33" t="s">
        <v>2867</v>
      </c>
      <c r="Z2384" s="258">
        <v>121956.0</v>
      </c>
      <c r="AA2384" s="333"/>
      <c r="AB2384" s="333"/>
      <c r="AC2384" s="333"/>
      <c r="AD2384" s="329"/>
      <c r="AE2384" s="331"/>
      <c r="AF2384" s="336"/>
      <c r="AG2384" s="337" t="str">
        <f>IFS(LEN(AF2384)=17,LOWER('2-Building'!$B$4 &amp; "-" &amp; C2384), AF2384="N/A", "N/A", LEN(AF2384)=0,"")</f>
        <v/>
      </c>
      <c r="AH2384" s="333"/>
      <c r="AI2384" s="333"/>
      <c r="AJ2384" s="333"/>
      <c r="AK2384" s="333"/>
      <c r="AL2384" s="333"/>
      <c r="AM2384" s="338"/>
      <c r="AN2384" s="333"/>
      <c r="AO2384" s="333"/>
      <c r="AP2384" s="333"/>
      <c r="AQ2384" s="333"/>
      <c r="AR2384" s="333"/>
      <c r="AS2384" s="333"/>
      <c r="AT2384" s="333"/>
      <c r="AU2384" s="329"/>
      <c r="AV2384" s="341"/>
      <c r="AW2384" s="269"/>
      <c r="AX2384" s="334" t="s">
        <v>2869</v>
      </c>
      <c r="AY2384" s="270" t="s">
        <v>695</v>
      </c>
      <c r="AZ2384" s="173" t="s">
        <v>5516</v>
      </c>
      <c r="BA2384" s="265">
        <v>10.0</v>
      </c>
      <c r="BB2384" s="174" t="s">
        <v>245</v>
      </c>
      <c r="BC2384" s="341"/>
      <c r="BD2384" s="308"/>
      <c r="BE2384" s="342"/>
      <c r="BF2384" s="274" t="str">
        <f>IFERROR(__xludf.DUMMYFUNCTION("LOWER(Regexreplace(to_text(E2384),""[^A-Za-z0-9]"","""")&amp;""_""&amp;Regexreplace(to_text(F2384),""[^A-Za-z0-9]"",""""))"),"neptronic_evcbseries")</f>
        <v>neptronic_evcbseries</v>
      </c>
      <c r="BG2384" s="275" t="str">
        <f>IFERROR(__xludf.DUMMYFUNCTION("upper(Regexreplace(to_text(E2384),""[^A-Za-z0-9]"","""")&amp;""-""&amp;Regexreplace(to_text(F2384),""[^A-Za-z0-9]"",""""))"),"NEPTRONIC-EVCBSERIES")</f>
        <v>NEPTRONIC-EVCBSERIES</v>
      </c>
    </row>
    <row r="2385" ht="30.0" customHeight="1">
      <c r="A2385" s="173">
        <v>2377.0</v>
      </c>
      <c r="B2385" s="328" t="s">
        <v>670</v>
      </c>
      <c r="C2385" s="257" t="s">
        <v>7999</v>
      </c>
      <c r="D2385" s="173" t="s">
        <v>7999</v>
      </c>
      <c r="E2385" s="174" t="s">
        <v>2861</v>
      </c>
      <c r="F2385" s="173" t="s">
        <v>2862</v>
      </c>
      <c r="G2385" s="328" t="s">
        <v>673</v>
      </c>
      <c r="H2385" s="328" t="s">
        <v>2863</v>
      </c>
      <c r="I2385" s="258" t="s">
        <v>2864</v>
      </c>
      <c r="J2385" s="259" t="s">
        <v>1453</v>
      </c>
      <c r="K2385" s="260"/>
      <c r="L2385" s="363"/>
      <c r="M2385" s="329"/>
      <c r="N2385" s="173" t="s">
        <v>679</v>
      </c>
      <c r="O2385" s="173"/>
      <c r="P2385" s="262" t="str">
        <f t="shared" si="1"/>
        <v>IN-BLR-ANANTA-VAV-1957_11</v>
      </c>
      <c r="Q2385" s="173" t="s">
        <v>8000</v>
      </c>
      <c r="R2385" s="328" t="str">
        <f>IFS(C2385="","",C2385="n/a","N/A",LEN(C2385),Concatenate("{",char(34),"asset",char(34),":{",char(34),"guid",char(34),":",char(34),Q2385,char(34),",",char(34),"site",char(34),":",char(34),LOWER('2-Building'!$B$4),char(34),",",char(34),"name",char(34),":",char(34),LOWER(C2385),char(34),"}}"))</f>
        <v>{"asset":{"guid":"uuid://9879ce42-0747-4e06-b639-7e262a147e29","site":"in-blr-ananta","name":"vav-1957"}}</v>
      </c>
      <c r="S2385" s="333"/>
      <c r="T2385" s="330"/>
      <c r="U2385" s="330"/>
      <c r="V2385" s="331"/>
      <c r="W2385" s="332"/>
      <c r="X2385" s="333"/>
      <c r="Y2385" s="33" t="s">
        <v>2867</v>
      </c>
      <c r="Z2385" s="258">
        <v>121957.0</v>
      </c>
      <c r="AA2385" s="333"/>
      <c r="AB2385" s="333"/>
      <c r="AC2385" s="333"/>
      <c r="AD2385" s="329"/>
      <c r="AE2385" s="331"/>
      <c r="AF2385" s="336"/>
      <c r="AG2385" s="337" t="str">
        <f>IFS(LEN(AF2385)=17,LOWER('2-Building'!$B$4 &amp; "-" &amp; C2385), AF2385="N/A", "N/A", LEN(AF2385)=0,"")</f>
        <v/>
      </c>
      <c r="AH2385" s="333"/>
      <c r="AI2385" s="333"/>
      <c r="AJ2385" s="333"/>
      <c r="AK2385" s="333"/>
      <c r="AL2385" s="333"/>
      <c r="AM2385" s="338"/>
      <c r="AN2385" s="333"/>
      <c r="AO2385" s="333"/>
      <c r="AP2385" s="333"/>
      <c r="AQ2385" s="333"/>
      <c r="AR2385" s="333"/>
      <c r="AS2385" s="333"/>
      <c r="AT2385" s="333"/>
      <c r="AU2385" s="329"/>
      <c r="AV2385" s="341"/>
      <c r="AW2385" s="269"/>
      <c r="AX2385" s="334" t="s">
        <v>2869</v>
      </c>
      <c r="AY2385" s="270" t="s">
        <v>695</v>
      </c>
      <c r="AZ2385" s="173" t="s">
        <v>5516</v>
      </c>
      <c r="BA2385" s="265">
        <v>10.0</v>
      </c>
      <c r="BB2385" s="174" t="s">
        <v>245</v>
      </c>
      <c r="BC2385" s="341"/>
      <c r="BD2385" s="308"/>
      <c r="BE2385" s="364" t="s">
        <v>8001</v>
      </c>
      <c r="BF2385" s="274" t="str">
        <f>IFERROR(__xludf.DUMMYFUNCTION("LOWER(Regexreplace(to_text(E2385),""[^A-Za-z0-9]"","""")&amp;""_""&amp;Regexreplace(to_text(F2385),""[^A-Za-z0-9]"",""""))"),"neptronic_evcbseries")</f>
        <v>neptronic_evcbseries</v>
      </c>
      <c r="BG2385" s="275" t="str">
        <f>IFERROR(__xludf.DUMMYFUNCTION("upper(Regexreplace(to_text(E2385),""[^A-Za-z0-9]"","""")&amp;""-""&amp;Regexreplace(to_text(F2385),""[^A-Za-z0-9]"",""""))"),"NEPTRONIC-EVCBSERIES")</f>
        <v>NEPTRONIC-EVCBSERIES</v>
      </c>
    </row>
    <row r="2386" ht="30.0" customHeight="1">
      <c r="A2386" s="258">
        <v>2378.0</v>
      </c>
      <c r="B2386" s="328" t="s">
        <v>670</v>
      </c>
      <c r="C2386" s="257" t="s">
        <v>8002</v>
      </c>
      <c r="D2386" s="173" t="s">
        <v>8002</v>
      </c>
      <c r="E2386" s="174" t="s">
        <v>2861</v>
      </c>
      <c r="F2386" s="173" t="s">
        <v>2862</v>
      </c>
      <c r="G2386" s="328" t="s">
        <v>673</v>
      </c>
      <c r="H2386" s="328" t="s">
        <v>2863</v>
      </c>
      <c r="I2386" s="258" t="s">
        <v>2864</v>
      </c>
      <c r="J2386" s="259" t="s">
        <v>1453</v>
      </c>
      <c r="K2386" s="260"/>
      <c r="L2386" s="363"/>
      <c r="M2386" s="329"/>
      <c r="N2386" s="173" t="s">
        <v>679</v>
      </c>
      <c r="O2386" s="173"/>
      <c r="P2386" s="262" t="str">
        <f t="shared" si="1"/>
        <v>IN-BLR-ANANTA-VAV-1958_11</v>
      </c>
      <c r="Q2386" s="173" t="s">
        <v>8003</v>
      </c>
      <c r="R2386" s="328" t="str">
        <f>IFS(C2386="","",C2386="n/a","N/A",LEN(C2386),Concatenate("{",char(34),"asset",char(34),":{",char(34),"guid",char(34),":",char(34),Q2386,char(34),",",char(34),"site",char(34),":",char(34),LOWER('2-Building'!$B$4),char(34),",",char(34),"name",char(34),":",char(34),LOWER(C2386),char(34),"}}"))</f>
        <v>{"asset":{"guid":"uuid://922547df-9697-4865-a36d-d31c1218cc62","site":"in-blr-ananta","name":"vav-1958"}}</v>
      </c>
      <c r="S2386" s="333"/>
      <c r="T2386" s="330"/>
      <c r="U2386" s="330"/>
      <c r="V2386" s="331"/>
      <c r="W2386" s="332"/>
      <c r="X2386" s="333"/>
      <c r="Y2386" s="33" t="s">
        <v>2867</v>
      </c>
      <c r="Z2386" s="258">
        <v>121958.0</v>
      </c>
      <c r="AA2386" s="333"/>
      <c r="AB2386" s="333"/>
      <c r="AC2386" s="333"/>
      <c r="AD2386" s="329"/>
      <c r="AE2386" s="331"/>
      <c r="AF2386" s="336"/>
      <c r="AG2386" s="337" t="str">
        <f>IFS(LEN(AF2386)=17,LOWER('2-Building'!$B$4 &amp; "-" &amp; C2386), AF2386="N/A", "N/A", LEN(AF2386)=0,"")</f>
        <v/>
      </c>
      <c r="AH2386" s="333"/>
      <c r="AI2386" s="333"/>
      <c r="AJ2386" s="333"/>
      <c r="AK2386" s="333"/>
      <c r="AL2386" s="333"/>
      <c r="AM2386" s="338"/>
      <c r="AN2386" s="333"/>
      <c r="AO2386" s="333"/>
      <c r="AP2386" s="333"/>
      <c r="AQ2386" s="333"/>
      <c r="AR2386" s="333"/>
      <c r="AS2386" s="333"/>
      <c r="AT2386" s="333"/>
      <c r="AU2386" s="329"/>
      <c r="AV2386" s="341"/>
      <c r="AW2386" s="269"/>
      <c r="AX2386" s="334" t="s">
        <v>2869</v>
      </c>
      <c r="AY2386" s="270" t="s">
        <v>695</v>
      </c>
      <c r="AZ2386" s="173" t="s">
        <v>5516</v>
      </c>
      <c r="BA2386" s="265">
        <v>10.0</v>
      </c>
      <c r="BB2386" s="174" t="s">
        <v>245</v>
      </c>
      <c r="BC2386" s="341"/>
      <c r="BD2386" s="308"/>
      <c r="BE2386" s="342"/>
      <c r="BF2386" s="274" t="str">
        <f>IFERROR(__xludf.DUMMYFUNCTION("LOWER(Regexreplace(to_text(E2386),""[^A-Za-z0-9]"","""")&amp;""_""&amp;Regexreplace(to_text(F2386),""[^A-Za-z0-9]"",""""))"),"neptronic_evcbseries")</f>
        <v>neptronic_evcbseries</v>
      </c>
      <c r="BG2386" s="275" t="str">
        <f>IFERROR(__xludf.DUMMYFUNCTION("upper(Regexreplace(to_text(E2386),""[^A-Za-z0-9]"","""")&amp;""-""&amp;Regexreplace(to_text(F2386),""[^A-Za-z0-9]"",""""))"),"NEPTRONIC-EVCBSERIES")</f>
        <v>NEPTRONIC-EVCBSERIES</v>
      </c>
    </row>
    <row r="2387" ht="30.0" customHeight="1">
      <c r="A2387" s="173">
        <v>2379.0</v>
      </c>
      <c r="B2387" s="328" t="s">
        <v>670</v>
      </c>
      <c r="C2387" s="257" t="s">
        <v>8004</v>
      </c>
      <c r="D2387" s="173" t="s">
        <v>8004</v>
      </c>
      <c r="E2387" s="174" t="s">
        <v>2861</v>
      </c>
      <c r="F2387" s="173" t="s">
        <v>2862</v>
      </c>
      <c r="G2387" s="328" t="s">
        <v>673</v>
      </c>
      <c r="H2387" s="328" t="s">
        <v>2863</v>
      </c>
      <c r="I2387" s="258" t="s">
        <v>2864</v>
      </c>
      <c r="J2387" s="259" t="s">
        <v>1453</v>
      </c>
      <c r="K2387" s="260"/>
      <c r="L2387" s="363"/>
      <c r="M2387" s="329"/>
      <c r="N2387" s="173" t="s">
        <v>679</v>
      </c>
      <c r="O2387" s="173"/>
      <c r="P2387" s="262" t="str">
        <f t="shared" si="1"/>
        <v>IN-BLR-ANANTA-VAV-1959_11</v>
      </c>
      <c r="Q2387" s="173" t="s">
        <v>8005</v>
      </c>
      <c r="R2387" s="328" t="str">
        <f>IFS(C2387="","",C2387="n/a","N/A",LEN(C2387),Concatenate("{",char(34),"asset",char(34),":{",char(34),"guid",char(34),":",char(34),Q2387,char(34),",",char(34),"site",char(34),":",char(34),LOWER('2-Building'!$B$4),char(34),",",char(34),"name",char(34),":",char(34),LOWER(C2387),char(34),"}}"))</f>
        <v>{"asset":{"guid":"uuid://c25268a9-f35b-4bf4-82f4-becda70989f1","site":"in-blr-ananta","name":"vav-1959"}}</v>
      </c>
      <c r="S2387" s="333"/>
      <c r="T2387" s="330"/>
      <c r="U2387" s="330"/>
      <c r="V2387" s="331"/>
      <c r="W2387" s="332"/>
      <c r="X2387" s="333"/>
      <c r="Y2387" s="33" t="s">
        <v>2867</v>
      </c>
      <c r="Z2387" s="258">
        <v>121959.0</v>
      </c>
      <c r="AA2387" s="333"/>
      <c r="AB2387" s="333"/>
      <c r="AC2387" s="333"/>
      <c r="AD2387" s="329"/>
      <c r="AE2387" s="331"/>
      <c r="AF2387" s="336"/>
      <c r="AG2387" s="337" t="str">
        <f>IFS(LEN(AF2387)=17,LOWER('2-Building'!$B$4 &amp; "-" &amp; C2387), AF2387="N/A", "N/A", LEN(AF2387)=0,"")</f>
        <v/>
      </c>
      <c r="AH2387" s="333"/>
      <c r="AI2387" s="333"/>
      <c r="AJ2387" s="333"/>
      <c r="AK2387" s="333"/>
      <c r="AL2387" s="333"/>
      <c r="AM2387" s="338"/>
      <c r="AN2387" s="333"/>
      <c r="AO2387" s="333"/>
      <c r="AP2387" s="333"/>
      <c r="AQ2387" s="333"/>
      <c r="AR2387" s="333"/>
      <c r="AS2387" s="333"/>
      <c r="AT2387" s="333"/>
      <c r="AU2387" s="329"/>
      <c r="AV2387" s="341"/>
      <c r="AW2387" s="269"/>
      <c r="AX2387" s="334" t="s">
        <v>2869</v>
      </c>
      <c r="AY2387" s="270" t="s">
        <v>695</v>
      </c>
      <c r="AZ2387" s="173" t="s">
        <v>5516</v>
      </c>
      <c r="BA2387" s="265">
        <v>10.0</v>
      </c>
      <c r="BB2387" s="174" t="s">
        <v>245</v>
      </c>
      <c r="BC2387" s="341"/>
      <c r="BD2387" s="308"/>
      <c r="BE2387" s="342"/>
      <c r="BF2387" s="274" t="str">
        <f>IFERROR(__xludf.DUMMYFUNCTION("LOWER(Regexreplace(to_text(E2387),""[^A-Za-z0-9]"","""")&amp;""_""&amp;Regexreplace(to_text(F2387),""[^A-Za-z0-9]"",""""))"),"neptronic_evcbseries")</f>
        <v>neptronic_evcbseries</v>
      </c>
      <c r="BG2387" s="275" t="str">
        <f>IFERROR(__xludf.DUMMYFUNCTION("upper(Regexreplace(to_text(E2387),""[^A-Za-z0-9]"","""")&amp;""-""&amp;Regexreplace(to_text(F2387),""[^A-Za-z0-9]"",""""))"),"NEPTRONIC-EVCBSERIES")</f>
        <v>NEPTRONIC-EVCBSERIES</v>
      </c>
    </row>
    <row r="2388" ht="30.0" customHeight="1">
      <c r="A2388" s="258">
        <v>2380.0</v>
      </c>
      <c r="B2388" s="328" t="s">
        <v>670</v>
      </c>
      <c r="C2388" s="257" t="s">
        <v>8006</v>
      </c>
      <c r="D2388" s="173" t="s">
        <v>8006</v>
      </c>
      <c r="E2388" s="174" t="s">
        <v>2861</v>
      </c>
      <c r="F2388" s="173" t="s">
        <v>2862</v>
      </c>
      <c r="G2388" s="328" t="s">
        <v>673</v>
      </c>
      <c r="H2388" s="328" t="s">
        <v>2863</v>
      </c>
      <c r="I2388" s="258" t="s">
        <v>2864</v>
      </c>
      <c r="J2388" s="259" t="s">
        <v>1453</v>
      </c>
      <c r="K2388" s="260"/>
      <c r="L2388" s="363"/>
      <c r="M2388" s="329"/>
      <c r="N2388" s="173" t="s">
        <v>679</v>
      </c>
      <c r="O2388" s="173"/>
      <c r="P2388" s="262" t="str">
        <f t="shared" si="1"/>
        <v>IN-BLR-ANANTA-VAV-1960_11</v>
      </c>
      <c r="Q2388" s="173" t="s">
        <v>8007</v>
      </c>
      <c r="R2388" s="328" t="str">
        <f>IFS(C2388="","",C2388="n/a","N/A",LEN(C2388),Concatenate("{",char(34),"asset",char(34),":{",char(34),"guid",char(34),":",char(34),Q2388,char(34),",",char(34),"site",char(34),":",char(34),LOWER('2-Building'!$B$4),char(34),",",char(34),"name",char(34),":",char(34),LOWER(C2388),char(34),"}}"))</f>
        <v>{"asset":{"guid":"uuid://7456551a-0671-4164-b7c0-42fcafbead25","site":"in-blr-ananta","name":"vav-1960"}}</v>
      </c>
      <c r="S2388" s="333"/>
      <c r="T2388" s="330"/>
      <c r="U2388" s="330"/>
      <c r="V2388" s="331"/>
      <c r="W2388" s="332"/>
      <c r="X2388" s="333"/>
      <c r="Y2388" s="33" t="s">
        <v>2867</v>
      </c>
      <c r="Z2388" s="258">
        <v>121960.0</v>
      </c>
      <c r="AA2388" s="333"/>
      <c r="AB2388" s="333"/>
      <c r="AC2388" s="333"/>
      <c r="AD2388" s="329"/>
      <c r="AE2388" s="331"/>
      <c r="AF2388" s="336"/>
      <c r="AG2388" s="337" t="str">
        <f>IFS(LEN(AF2388)=17,LOWER('2-Building'!$B$4 &amp; "-" &amp; C2388), AF2388="N/A", "N/A", LEN(AF2388)=0,"")</f>
        <v/>
      </c>
      <c r="AH2388" s="333"/>
      <c r="AI2388" s="333"/>
      <c r="AJ2388" s="333"/>
      <c r="AK2388" s="333"/>
      <c r="AL2388" s="333"/>
      <c r="AM2388" s="338"/>
      <c r="AN2388" s="333"/>
      <c r="AO2388" s="333"/>
      <c r="AP2388" s="333"/>
      <c r="AQ2388" s="333"/>
      <c r="AR2388" s="333"/>
      <c r="AS2388" s="333"/>
      <c r="AT2388" s="333"/>
      <c r="AU2388" s="329"/>
      <c r="AV2388" s="341"/>
      <c r="AW2388" s="269"/>
      <c r="AX2388" s="334" t="s">
        <v>2869</v>
      </c>
      <c r="AY2388" s="270" t="s">
        <v>695</v>
      </c>
      <c r="AZ2388" s="173" t="s">
        <v>5516</v>
      </c>
      <c r="BA2388" s="265">
        <v>10.0</v>
      </c>
      <c r="BB2388" s="174" t="s">
        <v>245</v>
      </c>
      <c r="BC2388" s="341"/>
      <c r="BD2388" s="308"/>
      <c r="BE2388" s="342"/>
      <c r="BF2388" s="274" t="str">
        <f>IFERROR(__xludf.DUMMYFUNCTION("LOWER(Regexreplace(to_text(E2388),""[^A-Za-z0-9]"","""")&amp;""_""&amp;Regexreplace(to_text(F2388),""[^A-Za-z0-9]"",""""))"),"neptronic_evcbseries")</f>
        <v>neptronic_evcbseries</v>
      </c>
      <c r="BG2388" s="275" t="str">
        <f>IFERROR(__xludf.DUMMYFUNCTION("upper(Regexreplace(to_text(E2388),""[^A-Za-z0-9]"","""")&amp;""-""&amp;Regexreplace(to_text(F2388),""[^A-Za-z0-9]"",""""))"),"NEPTRONIC-EVCBSERIES")</f>
        <v>NEPTRONIC-EVCBSERIES</v>
      </c>
    </row>
    <row r="2389" ht="30.0" customHeight="1">
      <c r="A2389" s="173">
        <v>2381.0</v>
      </c>
      <c r="B2389" s="328" t="s">
        <v>670</v>
      </c>
      <c r="C2389" s="257" t="s">
        <v>8008</v>
      </c>
      <c r="D2389" s="173" t="s">
        <v>8008</v>
      </c>
      <c r="E2389" s="174" t="s">
        <v>2861</v>
      </c>
      <c r="F2389" s="173" t="s">
        <v>2862</v>
      </c>
      <c r="G2389" s="328" t="s">
        <v>673</v>
      </c>
      <c r="H2389" s="328" t="s">
        <v>2863</v>
      </c>
      <c r="I2389" s="258" t="s">
        <v>2864</v>
      </c>
      <c r="J2389" s="259" t="s">
        <v>1453</v>
      </c>
      <c r="K2389" s="260"/>
      <c r="L2389" s="363"/>
      <c r="M2389" s="329"/>
      <c r="N2389" s="173" t="s">
        <v>679</v>
      </c>
      <c r="O2389" s="173"/>
      <c r="P2389" s="262" t="str">
        <f t="shared" si="1"/>
        <v>IN-BLR-ANANTA-VAV-1961_11</v>
      </c>
      <c r="Q2389" s="173" t="s">
        <v>8009</v>
      </c>
      <c r="R2389" s="328" t="str">
        <f>IFS(C2389="","",C2389="n/a","N/A",LEN(C2389),Concatenate("{",char(34),"asset",char(34),":{",char(34),"guid",char(34),":",char(34),Q2389,char(34),",",char(34),"site",char(34),":",char(34),LOWER('2-Building'!$B$4),char(34),",",char(34),"name",char(34),":",char(34),LOWER(C2389),char(34),"}}"))</f>
        <v>{"asset":{"guid":"uuid://73b77ce4-915d-4225-9029-6bc7d16018d1","site":"in-blr-ananta","name":"vav-1961"}}</v>
      </c>
      <c r="S2389" s="333"/>
      <c r="T2389" s="330"/>
      <c r="U2389" s="330"/>
      <c r="V2389" s="331"/>
      <c r="W2389" s="332"/>
      <c r="X2389" s="333"/>
      <c r="Y2389" s="33" t="s">
        <v>2867</v>
      </c>
      <c r="Z2389" s="258">
        <v>121961.0</v>
      </c>
      <c r="AA2389" s="333"/>
      <c r="AB2389" s="333"/>
      <c r="AC2389" s="333"/>
      <c r="AD2389" s="329"/>
      <c r="AE2389" s="331"/>
      <c r="AF2389" s="336"/>
      <c r="AG2389" s="337" t="str">
        <f>IFS(LEN(AF2389)=17,LOWER('2-Building'!$B$4 &amp; "-" &amp; C2389), AF2389="N/A", "N/A", LEN(AF2389)=0,"")</f>
        <v/>
      </c>
      <c r="AH2389" s="333"/>
      <c r="AI2389" s="333"/>
      <c r="AJ2389" s="333"/>
      <c r="AK2389" s="333"/>
      <c r="AL2389" s="333"/>
      <c r="AM2389" s="338"/>
      <c r="AN2389" s="333"/>
      <c r="AO2389" s="333"/>
      <c r="AP2389" s="333"/>
      <c r="AQ2389" s="333"/>
      <c r="AR2389" s="333"/>
      <c r="AS2389" s="333"/>
      <c r="AT2389" s="333"/>
      <c r="AU2389" s="329"/>
      <c r="AV2389" s="341"/>
      <c r="AW2389" s="269"/>
      <c r="AX2389" s="334" t="s">
        <v>2869</v>
      </c>
      <c r="AY2389" s="270" t="s">
        <v>695</v>
      </c>
      <c r="AZ2389" s="173" t="s">
        <v>5516</v>
      </c>
      <c r="BA2389" s="265">
        <v>10.0</v>
      </c>
      <c r="BB2389" s="174" t="s">
        <v>245</v>
      </c>
      <c r="BC2389" s="341"/>
      <c r="BD2389" s="308"/>
      <c r="BE2389" s="342"/>
      <c r="BF2389" s="274" t="str">
        <f>IFERROR(__xludf.DUMMYFUNCTION("LOWER(Regexreplace(to_text(E2389),""[^A-Za-z0-9]"","""")&amp;""_""&amp;Regexreplace(to_text(F2389),""[^A-Za-z0-9]"",""""))"),"neptronic_evcbseries")</f>
        <v>neptronic_evcbseries</v>
      </c>
      <c r="BG2389" s="275" t="str">
        <f>IFERROR(__xludf.DUMMYFUNCTION("upper(Regexreplace(to_text(E2389),""[^A-Za-z0-9]"","""")&amp;""-""&amp;Regexreplace(to_text(F2389),""[^A-Za-z0-9]"",""""))"),"NEPTRONIC-EVCBSERIES")</f>
        <v>NEPTRONIC-EVCBSERIES</v>
      </c>
    </row>
    <row r="2390" ht="30.0" customHeight="1">
      <c r="A2390" s="258">
        <v>2382.0</v>
      </c>
      <c r="B2390" s="328" t="s">
        <v>670</v>
      </c>
      <c r="C2390" s="257" t="s">
        <v>8010</v>
      </c>
      <c r="D2390" s="173" t="s">
        <v>8010</v>
      </c>
      <c r="E2390" s="174" t="s">
        <v>2861</v>
      </c>
      <c r="F2390" s="173" t="s">
        <v>2862</v>
      </c>
      <c r="G2390" s="328" t="s">
        <v>673</v>
      </c>
      <c r="H2390" s="328" t="s">
        <v>2863</v>
      </c>
      <c r="I2390" s="258" t="s">
        <v>2864</v>
      </c>
      <c r="J2390" s="259" t="s">
        <v>1453</v>
      </c>
      <c r="K2390" s="260"/>
      <c r="L2390" s="363"/>
      <c r="M2390" s="329"/>
      <c r="N2390" s="173" t="s">
        <v>679</v>
      </c>
      <c r="O2390" s="173"/>
      <c r="P2390" s="262" t="str">
        <f t="shared" si="1"/>
        <v>IN-BLR-ANANTA-VAV-1962_11</v>
      </c>
      <c r="Q2390" s="173" t="s">
        <v>8011</v>
      </c>
      <c r="R2390" s="328" t="str">
        <f>IFS(C2390="","",C2390="n/a","N/A",LEN(C2390),Concatenate("{",char(34),"asset",char(34),":{",char(34),"guid",char(34),":",char(34),Q2390,char(34),",",char(34),"site",char(34),":",char(34),LOWER('2-Building'!$B$4),char(34),",",char(34),"name",char(34),":",char(34),LOWER(C2390),char(34),"}}"))</f>
        <v>{"asset":{"guid":"uuid://fa43dc26-b880-418b-bda2-0bea2f19d9a3","site":"in-blr-ananta","name":"vav-1962"}}</v>
      </c>
      <c r="S2390" s="333"/>
      <c r="T2390" s="330"/>
      <c r="U2390" s="330"/>
      <c r="V2390" s="331"/>
      <c r="W2390" s="332"/>
      <c r="X2390" s="333"/>
      <c r="Y2390" s="33" t="s">
        <v>2867</v>
      </c>
      <c r="Z2390" s="258">
        <v>121962.0</v>
      </c>
      <c r="AA2390" s="333"/>
      <c r="AB2390" s="333"/>
      <c r="AC2390" s="333"/>
      <c r="AD2390" s="329"/>
      <c r="AE2390" s="331"/>
      <c r="AF2390" s="336"/>
      <c r="AG2390" s="337" t="str">
        <f>IFS(LEN(AF2390)=17,LOWER('2-Building'!$B$4 &amp; "-" &amp; C2390), AF2390="N/A", "N/A", LEN(AF2390)=0,"")</f>
        <v/>
      </c>
      <c r="AH2390" s="333"/>
      <c r="AI2390" s="333"/>
      <c r="AJ2390" s="333"/>
      <c r="AK2390" s="333"/>
      <c r="AL2390" s="333"/>
      <c r="AM2390" s="338"/>
      <c r="AN2390" s="333"/>
      <c r="AO2390" s="333"/>
      <c r="AP2390" s="333"/>
      <c r="AQ2390" s="333"/>
      <c r="AR2390" s="333"/>
      <c r="AS2390" s="333"/>
      <c r="AT2390" s="333"/>
      <c r="AU2390" s="329"/>
      <c r="AV2390" s="341"/>
      <c r="AW2390" s="269"/>
      <c r="AX2390" s="334" t="s">
        <v>2869</v>
      </c>
      <c r="AY2390" s="270" t="s">
        <v>695</v>
      </c>
      <c r="AZ2390" s="173" t="s">
        <v>5516</v>
      </c>
      <c r="BA2390" s="265">
        <v>10.0</v>
      </c>
      <c r="BB2390" s="174" t="s">
        <v>245</v>
      </c>
      <c r="BC2390" s="341"/>
      <c r="BD2390" s="308"/>
      <c r="BE2390" s="342"/>
      <c r="BF2390" s="274" t="str">
        <f>IFERROR(__xludf.DUMMYFUNCTION("LOWER(Regexreplace(to_text(E2390),""[^A-Za-z0-9]"","""")&amp;""_""&amp;Regexreplace(to_text(F2390),""[^A-Za-z0-9]"",""""))"),"neptronic_evcbseries")</f>
        <v>neptronic_evcbseries</v>
      </c>
      <c r="BG2390" s="275" t="str">
        <f>IFERROR(__xludf.DUMMYFUNCTION("upper(Regexreplace(to_text(E2390),""[^A-Za-z0-9]"","""")&amp;""-""&amp;Regexreplace(to_text(F2390),""[^A-Za-z0-9]"",""""))"),"NEPTRONIC-EVCBSERIES")</f>
        <v>NEPTRONIC-EVCBSERIES</v>
      </c>
    </row>
    <row r="2391" ht="30.0" customHeight="1">
      <c r="A2391" s="173">
        <v>2383.0</v>
      </c>
      <c r="B2391" s="328" t="s">
        <v>670</v>
      </c>
      <c r="C2391" s="257" t="s">
        <v>8012</v>
      </c>
      <c r="D2391" s="173" t="s">
        <v>8012</v>
      </c>
      <c r="E2391" s="174" t="s">
        <v>2861</v>
      </c>
      <c r="F2391" s="173" t="s">
        <v>2862</v>
      </c>
      <c r="G2391" s="328" t="s">
        <v>673</v>
      </c>
      <c r="H2391" s="328" t="s">
        <v>2863</v>
      </c>
      <c r="I2391" s="258" t="s">
        <v>2864</v>
      </c>
      <c r="J2391" s="259" t="s">
        <v>1453</v>
      </c>
      <c r="K2391" s="260"/>
      <c r="L2391" s="363"/>
      <c r="M2391" s="329"/>
      <c r="N2391" s="173" t="s">
        <v>679</v>
      </c>
      <c r="O2391" s="173"/>
      <c r="P2391" s="262" t="str">
        <f t="shared" si="1"/>
        <v>IN-BLR-ANANTA-VAV-1963_11</v>
      </c>
      <c r="Q2391" s="173" t="s">
        <v>8013</v>
      </c>
      <c r="R2391" s="328" t="str">
        <f>IFS(C2391="","",C2391="n/a","N/A",LEN(C2391),Concatenate("{",char(34),"asset",char(34),":{",char(34),"guid",char(34),":",char(34),Q2391,char(34),",",char(34),"site",char(34),":",char(34),LOWER('2-Building'!$B$4),char(34),",",char(34),"name",char(34),":",char(34),LOWER(C2391),char(34),"}}"))</f>
        <v>{"asset":{"guid":"uuid://be11d8cf-e05c-4622-879e-00d78597412e","site":"in-blr-ananta","name":"vav-1963"}}</v>
      </c>
      <c r="S2391" s="333"/>
      <c r="T2391" s="330"/>
      <c r="U2391" s="330"/>
      <c r="V2391" s="331"/>
      <c r="W2391" s="332"/>
      <c r="X2391" s="333"/>
      <c r="Y2391" s="33" t="s">
        <v>2867</v>
      </c>
      <c r="Z2391" s="258">
        <v>121963.0</v>
      </c>
      <c r="AA2391" s="333"/>
      <c r="AB2391" s="333"/>
      <c r="AC2391" s="333"/>
      <c r="AD2391" s="329"/>
      <c r="AE2391" s="331"/>
      <c r="AF2391" s="336"/>
      <c r="AG2391" s="337" t="str">
        <f>IFS(LEN(AF2391)=17,LOWER('2-Building'!$B$4 &amp; "-" &amp; C2391), AF2391="N/A", "N/A", LEN(AF2391)=0,"")</f>
        <v/>
      </c>
      <c r="AH2391" s="333"/>
      <c r="AI2391" s="333"/>
      <c r="AJ2391" s="333"/>
      <c r="AK2391" s="333"/>
      <c r="AL2391" s="333"/>
      <c r="AM2391" s="338"/>
      <c r="AN2391" s="333"/>
      <c r="AO2391" s="333"/>
      <c r="AP2391" s="333"/>
      <c r="AQ2391" s="333"/>
      <c r="AR2391" s="333"/>
      <c r="AS2391" s="333"/>
      <c r="AT2391" s="333"/>
      <c r="AU2391" s="329"/>
      <c r="AV2391" s="341"/>
      <c r="AW2391" s="269"/>
      <c r="AX2391" s="334" t="s">
        <v>2869</v>
      </c>
      <c r="AY2391" s="270" t="s">
        <v>695</v>
      </c>
      <c r="AZ2391" s="173" t="s">
        <v>5516</v>
      </c>
      <c r="BA2391" s="265">
        <v>10.0</v>
      </c>
      <c r="BB2391" s="174" t="s">
        <v>245</v>
      </c>
      <c r="BC2391" s="341"/>
      <c r="BD2391" s="308"/>
      <c r="BE2391" s="342"/>
      <c r="BF2391" s="274" t="str">
        <f>IFERROR(__xludf.DUMMYFUNCTION("LOWER(Regexreplace(to_text(E2391),""[^A-Za-z0-9]"","""")&amp;""_""&amp;Regexreplace(to_text(F2391),""[^A-Za-z0-9]"",""""))"),"neptronic_evcbseries")</f>
        <v>neptronic_evcbseries</v>
      </c>
      <c r="BG2391" s="275" t="str">
        <f>IFERROR(__xludf.DUMMYFUNCTION("upper(Regexreplace(to_text(E2391),""[^A-Za-z0-9]"","""")&amp;""-""&amp;Regexreplace(to_text(F2391),""[^A-Za-z0-9]"",""""))"),"NEPTRONIC-EVCBSERIES")</f>
        <v>NEPTRONIC-EVCBSERIES</v>
      </c>
    </row>
    <row r="2392" ht="30.0" customHeight="1">
      <c r="A2392" s="258">
        <v>2384.0</v>
      </c>
      <c r="B2392" s="328" t="s">
        <v>670</v>
      </c>
      <c r="C2392" s="257" t="s">
        <v>8014</v>
      </c>
      <c r="D2392" s="173" t="s">
        <v>8014</v>
      </c>
      <c r="E2392" s="174" t="s">
        <v>2861</v>
      </c>
      <c r="F2392" s="173" t="s">
        <v>2862</v>
      </c>
      <c r="G2392" s="328" t="s">
        <v>673</v>
      </c>
      <c r="H2392" s="328" t="s">
        <v>2863</v>
      </c>
      <c r="I2392" s="258" t="s">
        <v>2864</v>
      </c>
      <c r="J2392" s="259" t="s">
        <v>1453</v>
      </c>
      <c r="K2392" s="260"/>
      <c r="L2392" s="363"/>
      <c r="M2392" s="329"/>
      <c r="N2392" s="173" t="s">
        <v>679</v>
      </c>
      <c r="O2392" s="173"/>
      <c r="P2392" s="262" t="str">
        <f t="shared" si="1"/>
        <v>IN-BLR-ANANTA-VAV-1964_11</v>
      </c>
      <c r="Q2392" s="173" t="s">
        <v>8015</v>
      </c>
      <c r="R2392" s="328" t="str">
        <f>IFS(C2392="","",C2392="n/a","N/A",LEN(C2392),Concatenate("{",char(34),"asset",char(34),":{",char(34),"guid",char(34),":",char(34),Q2392,char(34),",",char(34),"site",char(34),":",char(34),LOWER('2-Building'!$B$4),char(34),",",char(34),"name",char(34),":",char(34),LOWER(C2392),char(34),"}}"))</f>
        <v>{"asset":{"guid":"uuid://7bb181cb-1054-41d6-bda6-17f83a018aa2","site":"in-blr-ananta","name":"vav-1964"}}</v>
      </c>
      <c r="S2392" s="333"/>
      <c r="T2392" s="330"/>
      <c r="U2392" s="330"/>
      <c r="V2392" s="331"/>
      <c r="W2392" s="332"/>
      <c r="X2392" s="333"/>
      <c r="Y2392" s="33" t="s">
        <v>2867</v>
      </c>
      <c r="Z2392" s="258">
        <v>121964.0</v>
      </c>
      <c r="AA2392" s="333"/>
      <c r="AB2392" s="333"/>
      <c r="AC2392" s="333"/>
      <c r="AD2392" s="329"/>
      <c r="AE2392" s="331"/>
      <c r="AF2392" s="336"/>
      <c r="AG2392" s="337" t="str">
        <f>IFS(LEN(AF2392)=17,LOWER('2-Building'!$B$4 &amp; "-" &amp; C2392), AF2392="N/A", "N/A", LEN(AF2392)=0,"")</f>
        <v/>
      </c>
      <c r="AH2392" s="333"/>
      <c r="AI2392" s="333"/>
      <c r="AJ2392" s="333"/>
      <c r="AK2392" s="333"/>
      <c r="AL2392" s="333"/>
      <c r="AM2392" s="338"/>
      <c r="AN2392" s="333"/>
      <c r="AO2392" s="333"/>
      <c r="AP2392" s="333"/>
      <c r="AQ2392" s="333"/>
      <c r="AR2392" s="333"/>
      <c r="AS2392" s="333"/>
      <c r="AT2392" s="333"/>
      <c r="AU2392" s="329"/>
      <c r="AV2392" s="341"/>
      <c r="AW2392" s="269"/>
      <c r="AX2392" s="334" t="s">
        <v>2869</v>
      </c>
      <c r="AY2392" s="270" t="s">
        <v>695</v>
      </c>
      <c r="AZ2392" s="173" t="s">
        <v>5516</v>
      </c>
      <c r="BA2392" s="265">
        <v>10.0</v>
      </c>
      <c r="BB2392" s="174" t="s">
        <v>245</v>
      </c>
      <c r="BC2392" s="341"/>
      <c r="BD2392" s="308"/>
      <c r="BE2392" s="342"/>
      <c r="BF2392" s="274" t="str">
        <f>IFERROR(__xludf.DUMMYFUNCTION("LOWER(Regexreplace(to_text(E2392),""[^A-Za-z0-9]"","""")&amp;""_""&amp;Regexreplace(to_text(F2392),""[^A-Za-z0-9]"",""""))"),"neptronic_evcbseries")</f>
        <v>neptronic_evcbseries</v>
      </c>
      <c r="BG2392" s="275" t="str">
        <f>IFERROR(__xludf.DUMMYFUNCTION("upper(Regexreplace(to_text(E2392),""[^A-Za-z0-9]"","""")&amp;""-""&amp;Regexreplace(to_text(F2392),""[^A-Za-z0-9]"",""""))"),"NEPTRONIC-EVCBSERIES")</f>
        <v>NEPTRONIC-EVCBSERIES</v>
      </c>
    </row>
    <row r="2393" ht="30.0" customHeight="1">
      <c r="A2393" s="173">
        <v>2385.0</v>
      </c>
      <c r="B2393" s="328" t="s">
        <v>670</v>
      </c>
      <c r="C2393" s="257" t="s">
        <v>8016</v>
      </c>
      <c r="D2393" s="173" t="s">
        <v>8016</v>
      </c>
      <c r="E2393" s="174" t="s">
        <v>2861</v>
      </c>
      <c r="F2393" s="173" t="s">
        <v>2862</v>
      </c>
      <c r="G2393" s="328" t="s">
        <v>673</v>
      </c>
      <c r="H2393" s="328" t="s">
        <v>2863</v>
      </c>
      <c r="I2393" s="258" t="s">
        <v>2864</v>
      </c>
      <c r="J2393" s="259" t="s">
        <v>1453</v>
      </c>
      <c r="K2393" s="260"/>
      <c r="L2393" s="363"/>
      <c r="M2393" s="329"/>
      <c r="N2393" s="173" t="s">
        <v>679</v>
      </c>
      <c r="O2393" s="173"/>
      <c r="P2393" s="262" t="str">
        <f t="shared" si="1"/>
        <v>IN-BLR-ANANTA-VAV-1965_11</v>
      </c>
      <c r="Q2393" s="173" t="s">
        <v>8017</v>
      </c>
      <c r="R2393" s="328" t="str">
        <f>IFS(C2393="","",C2393="n/a","N/A",LEN(C2393),Concatenate("{",char(34),"asset",char(34),":{",char(34),"guid",char(34),":",char(34),Q2393,char(34),",",char(34),"site",char(34),":",char(34),LOWER('2-Building'!$B$4),char(34),",",char(34),"name",char(34),":",char(34),LOWER(C2393),char(34),"}}"))</f>
        <v>{"asset":{"guid":"uuid://76bfe4a9-37f0-469f-b7ac-f90450c29159","site":"in-blr-ananta","name":"vav-1965"}}</v>
      </c>
      <c r="S2393" s="333"/>
      <c r="T2393" s="330"/>
      <c r="U2393" s="330"/>
      <c r="V2393" s="331"/>
      <c r="W2393" s="332"/>
      <c r="X2393" s="333"/>
      <c r="Y2393" s="33" t="s">
        <v>2867</v>
      </c>
      <c r="Z2393" s="258">
        <v>121965.0</v>
      </c>
      <c r="AA2393" s="333"/>
      <c r="AB2393" s="333"/>
      <c r="AC2393" s="333"/>
      <c r="AD2393" s="329"/>
      <c r="AE2393" s="331"/>
      <c r="AF2393" s="336"/>
      <c r="AG2393" s="337" t="str">
        <f>IFS(LEN(AF2393)=17,LOWER('2-Building'!$B$4 &amp; "-" &amp; C2393), AF2393="N/A", "N/A", LEN(AF2393)=0,"")</f>
        <v/>
      </c>
      <c r="AH2393" s="333"/>
      <c r="AI2393" s="333"/>
      <c r="AJ2393" s="333"/>
      <c r="AK2393" s="333"/>
      <c r="AL2393" s="333"/>
      <c r="AM2393" s="338"/>
      <c r="AN2393" s="333"/>
      <c r="AO2393" s="333"/>
      <c r="AP2393" s="333"/>
      <c r="AQ2393" s="333"/>
      <c r="AR2393" s="333"/>
      <c r="AS2393" s="333"/>
      <c r="AT2393" s="333"/>
      <c r="AU2393" s="329"/>
      <c r="AV2393" s="341"/>
      <c r="AW2393" s="269"/>
      <c r="AX2393" s="334" t="s">
        <v>2869</v>
      </c>
      <c r="AY2393" s="270" t="s">
        <v>695</v>
      </c>
      <c r="AZ2393" s="173" t="s">
        <v>5516</v>
      </c>
      <c r="BA2393" s="265">
        <v>10.0</v>
      </c>
      <c r="BB2393" s="174" t="s">
        <v>245</v>
      </c>
      <c r="BC2393" s="341"/>
      <c r="BD2393" s="308"/>
      <c r="BE2393" s="342"/>
      <c r="BF2393" s="274" t="str">
        <f>IFERROR(__xludf.DUMMYFUNCTION("LOWER(Regexreplace(to_text(E2393),""[^A-Za-z0-9]"","""")&amp;""_""&amp;Regexreplace(to_text(F2393),""[^A-Za-z0-9]"",""""))"),"neptronic_evcbseries")</f>
        <v>neptronic_evcbseries</v>
      </c>
      <c r="BG2393" s="275" t="str">
        <f>IFERROR(__xludf.DUMMYFUNCTION("upper(Regexreplace(to_text(E2393),""[^A-Za-z0-9]"","""")&amp;""-""&amp;Regexreplace(to_text(F2393),""[^A-Za-z0-9]"",""""))"),"NEPTRONIC-EVCBSERIES")</f>
        <v>NEPTRONIC-EVCBSERIES</v>
      </c>
    </row>
    <row r="2394" ht="30.0" customHeight="1">
      <c r="A2394" s="258">
        <v>2386.0</v>
      </c>
      <c r="B2394" s="328" t="s">
        <v>670</v>
      </c>
      <c r="C2394" s="257" t="s">
        <v>8018</v>
      </c>
      <c r="D2394" s="173" t="s">
        <v>8018</v>
      </c>
      <c r="E2394" s="174" t="s">
        <v>2861</v>
      </c>
      <c r="F2394" s="173" t="s">
        <v>2862</v>
      </c>
      <c r="G2394" s="328" t="s">
        <v>673</v>
      </c>
      <c r="H2394" s="328" t="s">
        <v>2863</v>
      </c>
      <c r="I2394" s="258" t="s">
        <v>2864</v>
      </c>
      <c r="J2394" s="259" t="s">
        <v>1453</v>
      </c>
      <c r="K2394" s="260"/>
      <c r="L2394" s="363"/>
      <c r="M2394" s="329"/>
      <c r="N2394" s="173" t="s">
        <v>679</v>
      </c>
      <c r="O2394" s="173"/>
      <c r="P2394" s="262" t="str">
        <f t="shared" si="1"/>
        <v>IN-BLR-ANANTA-VAV-1966_11</v>
      </c>
      <c r="Q2394" s="173" t="s">
        <v>8019</v>
      </c>
      <c r="R2394" s="328" t="str">
        <f>IFS(C2394="","",C2394="n/a","N/A",LEN(C2394),Concatenate("{",char(34),"asset",char(34),":{",char(34),"guid",char(34),":",char(34),Q2394,char(34),",",char(34),"site",char(34),":",char(34),LOWER('2-Building'!$B$4),char(34),",",char(34),"name",char(34),":",char(34),LOWER(C2394),char(34),"}}"))</f>
        <v>{"asset":{"guid":"uuid://f2de4f70-cee4-4ba7-8244-f96886063fa4","site":"in-blr-ananta","name":"vav-1966"}}</v>
      </c>
      <c r="S2394" s="333"/>
      <c r="T2394" s="330"/>
      <c r="U2394" s="330"/>
      <c r="V2394" s="331"/>
      <c r="W2394" s="332"/>
      <c r="X2394" s="333"/>
      <c r="Y2394" s="33" t="s">
        <v>2867</v>
      </c>
      <c r="Z2394" s="258">
        <v>121966.0</v>
      </c>
      <c r="AA2394" s="333"/>
      <c r="AB2394" s="333"/>
      <c r="AC2394" s="333"/>
      <c r="AD2394" s="329"/>
      <c r="AE2394" s="331"/>
      <c r="AF2394" s="336"/>
      <c r="AG2394" s="337" t="str">
        <f>IFS(LEN(AF2394)=17,LOWER('2-Building'!$B$4 &amp; "-" &amp; C2394), AF2394="N/A", "N/A", LEN(AF2394)=0,"")</f>
        <v/>
      </c>
      <c r="AH2394" s="333"/>
      <c r="AI2394" s="333"/>
      <c r="AJ2394" s="333"/>
      <c r="AK2394" s="333"/>
      <c r="AL2394" s="333"/>
      <c r="AM2394" s="338"/>
      <c r="AN2394" s="333"/>
      <c r="AO2394" s="333"/>
      <c r="AP2394" s="333"/>
      <c r="AQ2394" s="333"/>
      <c r="AR2394" s="333"/>
      <c r="AS2394" s="333"/>
      <c r="AT2394" s="333"/>
      <c r="AU2394" s="329"/>
      <c r="AV2394" s="341"/>
      <c r="AW2394" s="269"/>
      <c r="AX2394" s="334" t="s">
        <v>2869</v>
      </c>
      <c r="AY2394" s="270" t="s">
        <v>695</v>
      </c>
      <c r="AZ2394" s="173" t="s">
        <v>5516</v>
      </c>
      <c r="BA2394" s="265">
        <v>10.0</v>
      </c>
      <c r="BB2394" s="174" t="s">
        <v>245</v>
      </c>
      <c r="BC2394" s="341"/>
      <c r="BD2394" s="308"/>
      <c r="BE2394" s="342"/>
      <c r="BF2394" s="274" t="str">
        <f>IFERROR(__xludf.DUMMYFUNCTION("LOWER(Regexreplace(to_text(E2394),""[^A-Za-z0-9]"","""")&amp;""_""&amp;Regexreplace(to_text(F2394),""[^A-Za-z0-9]"",""""))"),"neptronic_evcbseries")</f>
        <v>neptronic_evcbseries</v>
      </c>
      <c r="BG2394" s="275" t="str">
        <f>IFERROR(__xludf.DUMMYFUNCTION("upper(Regexreplace(to_text(E2394),""[^A-Za-z0-9]"","""")&amp;""-""&amp;Regexreplace(to_text(F2394),""[^A-Za-z0-9]"",""""))"),"NEPTRONIC-EVCBSERIES")</f>
        <v>NEPTRONIC-EVCBSERIES</v>
      </c>
    </row>
    <row r="2395" ht="30.0" customHeight="1">
      <c r="A2395" s="173">
        <v>2387.0</v>
      </c>
      <c r="B2395" s="328" t="s">
        <v>670</v>
      </c>
      <c r="C2395" s="257" t="s">
        <v>8020</v>
      </c>
      <c r="D2395" s="173" t="s">
        <v>8020</v>
      </c>
      <c r="E2395" s="174" t="s">
        <v>2861</v>
      </c>
      <c r="F2395" s="173" t="s">
        <v>2862</v>
      </c>
      <c r="G2395" s="328" t="s">
        <v>673</v>
      </c>
      <c r="H2395" s="328" t="s">
        <v>2863</v>
      </c>
      <c r="I2395" s="258" t="s">
        <v>2864</v>
      </c>
      <c r="J2395" s="259" t="s">
        <v>1453</v>
      </c>
      <c r="K2395" s="260"/>
      <c r="L2395" s="363"/>
      <c r="M2395" s="329"/>
      <c r="N2395" s="173" t="s">
        <v>679</v>
      </c>
      <c r="O2395" s="173"/>
      <c r="P2395" s="262" t="str">
        <f t="shared" si="1"/>
        <v>IN-BLR-ANANTA-VAV-1967_11</v>
      </c>
      <c r="Q2395" s="173" t="s">
        <v>8021</v>
      </c>
      <c r="R2395" s="328" t="str">
        <f>IFS(C2395="","",C2395="n/a","N/A",LEN(C2395),Concatenate("{",char(34),"asset",char(34),":{",char(34),"guid",char(34),":",char(34),Q2395,char(34),",",char(34),"site",char(34),":",char(34),LOWER('2-Building'!$B$4),char(34),",",char(34),"name",char(34),":",char(34),LOWER(C2395),char(34),"}}"))</f>
        <v>{"asset":{"guid":"uuid://32378023-59d8-4627-848a-59b35f6cee46","site":"in-blr-ananta","name":"vav-1967"}}</v>
      </c>
      <c r="S2395" s="333"/>
      <c r="T2395" s="330"/>
      <c r="U2395" s="330"/>
      <c r="V2395" s="331"/>
      <c r="W2395" s="332"/>
      <c r="X2395" s="333"/>
      <c r="Y2395" s="33" t="s">
        <v>2867</v>
      </c>
      <c r="Z2395" s="258">
        <v>121967.0</v>
      </c>
      <c r="AA2395" s="333"/>
      <c r="AB2395" s="333"/>
      <c r="AC2395" s="333"/>
      <c r="AD2395" s="329"/>
      <c r="AE2395" s="331"/>
      <c r="AF2395" s="336"/>
      <c r="AG2395" s="337" t="str">
        <f>IFS(LEN(AF2395)=17,LOWER('2-Building'!$B$4 &amp; "-" &amp; C2395), AF2395="N/A", "N/A", LEN(AF2395)=0,"")</f>
        <v/>
      </c>
      <c r="AH2395" s="333"/>
      <c r="AI2395" s="333"/>
      <c r="AJ2395" s="333"/>
      <c r="AK2395" s="333"/>
      <c r="AL2395" s="333"/>
      <c r="AM2395" s="338"/>
      <c r="AN2395" s="333"/>
      <c r="AO2395" s="333"/>
      <c r="AP2395" s="333"/>
      <c r="AQ2395" s="333"/>
      <c r="AR2395" s="333"/>
      <c r="AS2395" s="333"/>
      <c r="AT2395" s="333"/>
      <c r="AU2395" s="329"/>
      <c r="AV2395" s="341"/>
      <c r="AW2395" s="269"/>
      <c r="AX2395" s="334" t="s">
        <v>2869</v>
      </c>
      <c r="AY2395" s="270" t="s">
        <v>695</v>
      </c>
      <c r="AZ2395" s="173" t="s">
        <v>5516</v>
      </c>
      <c r="BA2395" s="265">
        <v>10.0</v>
      </c>
      <c r="BB2395" s="174" t="s">
        <v>245</v>
      </c>
      <c r="BC2395" s="341"/>
      <c r="BD2395" s="308"/>
      <c r="BE2395" s="342"/>
      <c r="BF2395" s="274" t="str">
        <f>IFERROR(__xludf.DUMMYFUNCTION("LOWER(Regexreplace(to_text(E2395),""[^A-Za-z0-9]"","""")&amp;""_""&amp;Regexreplace(to_text(F2395),""[^A-Za-z0-9]"",""""))"),"neptronic_evcbseries")</f>
        <v>neptronic_evcbseries</v>
      </c>
      <c r="BG2395" s="275" t="str">
        <f>IFERROR(__xludf.DUMMYFUNCTION("upper(Regexreplace(to_text(E2395),""[^A-Za-z0-9]"","""")&amp;""-""&amp;Regexreplace(to_text(F2395),""[^A-Za-z0-9]"",""""))"),"NEPTRONIC-EVCBSERIES")</f>
        <v>NEPTRONIC-EVCBSERIES</v>
      </c>
    </row>
    <row r="2396" ht="30.0" customHeight="1">
      <c r="A2396" s="258">
        <v>2388.0</v>
      </c>
      <c r="B2396" s="328" t="s">
        <v>670</v>
      </c>
      <c r="C2396" s="257" t="s">
        <v>8022</v>
      </c>
      <c r="D2396" s="173" t="s">
        <v>8022</v>
      </c>
      <c r="E2396" s="174" t="s">
        <v>2861</v>
      </c>
      <c r="F2396" s="173" t="s">
        <v>2862</v>
      </c>
      <c r="G2396" s="328" t="s">
        <v>673</v>
      </c>
      <c r="H2396" s="328" t="s">
        <v>2863</v>
      </c>
      <c r="I2396" s="258" t="s">
        <v>2864</v>
      </c>
      <c r="J2396" s="259" t="s">
        <v>1453</v>
      </c>
      <c r="K2396" s="260"/>
      <c r="L2396" s="363"/>
      <c r="M2396" s="329"/>
      <c r="N2396" s="173" t="s">
        <v>679</v>
      </c>
      <c r="O2396" s="173"/>
      <c r="P2396" s="262" t="str">
        <f t="shared" si="1"/>
        <v>IN-BLR-ANANTA-VAV-1968_11</v>
      </c>
      <c r="Q2396" s="173" t="s">
        <v>8023</v>
      </c>
      <c r="R2396" s="328" t="str">
        <f>IFS(C2396="","",C2396="n/a","N/A",LEN(C2396),Concatenate("{",char(34),"asset",char(34),":{",char(34),"guid",char(34),":",char(34),Q2396,char(34),",",char(34),"site",char(34),":",char(34),LOWER('2-Building'!$B$4),char(34),",",char(34),"name",char(34),":",char(34),LOWER(C2396),char(34),"}}"))</f>
        <v>{"asset":{"guid":"uuid://71a39d90-6d9f-400d-b8a0-c60ee746a6d7","site":"in-blr-ananta","name":"vav-1968"}}</v>
      </c>
      <c r="S2396" s="333"/>
      <c r="T2396" s="330"/>
      <c r="U2396" s="330"/>
      <c r="V2396" s="331"/>
      <c r="W2396" s="332"/>
      <c r="X2396" s="333"/>
      <c r="Y2396" s="33" t="s">
        <v>2867</v>
      </c>
      <c r="Z2396" s="258">
        <v>121968.0</v>
      </c>
      <c r="AA2396" s="333"/>
      <c r="AB2396" s="333"/>
      <c r="AC2396" s="333"/>
      <c r="AD2396" s="329"/>
      <c r="AE2396" s="331"/>
      <c r="AF2396" s="336"/>
      <c r="AG2396" s="337" t="str">
        <f>IFS(LEN(AF2396)=17,LOWER('2-Building'!$B$4 &amp; "-" &amp; C2396), AF2396="N/A", "N/A", LEN(AF2396)=0,"")</f>
        <v/>
      </c>
      <c r="AH2396" s="333"/>
      <c r="AI2396" s="333"/>
      <c r="AJ2396" s="333"/>
      <c r="AK2396" s="333"/>
      <c r="AL2396" s="333"/>
      <c r="AM2396" s="338"/>
      <c r="AN2396" s="333"/>
      <c r="AO2396" s="333"/>
      <c r="AP2396" s="333"/>
      <c r="AQ2396" s="333"/>
      <c r="AR2396" s="333"/>
      <c r="AS2396" s="333"/>
      <c r="AT2396" s="333"/>
      <c r="AU2396" s="329"/>
      <c r="AV2396" s="341"/>
      <c r="AW2396" s="269"/>
      <c r="AX2396" s="334" t="s">
        <v>2869</v>
      </c>
      <c r="AY2396" s="270" t="s">
        <v>695</v>
      </c>
      <c r="AZ2396" s="173" t="s">
        <v>5516</v>
      </c>
      <c r="BA2396" s="265">
        <v>10.0</v>
      </c>
      <c r="BB2396" s="174" t="s">
        <v>245</v>
      </c>
      <c r="BC2396" s="341"/>
      <c r="BD2396" s="308"/>
      <c r="BE2396" s="342"/>
      <c r="BF2396" s="274" t="str">
        <f>IFERROR(__xludf.DUMMYFUNCTION("LOWER(Regexreplace(to_text(E2396),""[^A-Za-z0-9]"","""")&amp;""_""&amp;Regexreplace(to_text(F2396),""[^A-Za-z0-9]"",""""))"),"neptronic_evcbseries")</f>
        <v>neptronic_evcbseries</v>
      </c>
      <c r="BG2396" s="275" t="str">
        <f>IFERROR(__xludf.DUMMYFUNCTION("upper(Regexreplace(to_text(E2396),""[^A-Za-z0-9]"","""")&amp;""-""&amp;Regexreplace(to_text(F2396),""[^A-Za-z0-9]"",""""))"),"NEPTRONIC-EVCBSERIES")</f>
        <v>NEPTRONIC-EVCBSERIES</v>
      </c>
    </row>
    <row r="2397" ht="30.0" customHeight="1">
      <c r="A2397" s="173">
        <v>2389.0</v>
      </c>
      <c r="B2397" s="328" t="s">
        <v>670</v>
      </c>
      <c r="C2397" s="257" t="s">
        <v>8024</v>
      </c>
      <c r="D2397" s="173" t="s">
        <v>8024</v>
      </c>
      <c r="E2397" s="174" t="s">
        <v>2861</v>
      </c>
      <c r="F2397" s="173" t="s">
        <v>2862</v>
      </c>
      <c r="G2397" s="328" t="s">
        <v>673</v>
      </c>
      <c r="H2397" s="328" t="s">
        <v>2863</v>
      </c>
      <c r="I2397" s="258" t="s">
        <v>2864</v>
      </c>
      <c r="J2397" s="259" t="s">
        <v>1453</v>
      </c>
      <c r="K2397" s="260"/>
      <c r="L2397" s="363"/>
      <c r="M2397" s="329"/>
      <c r="N2397" s="173" t="s">
        <v>679</v>
      </c>
      <c r="O2397" s="173"/>
      <c r="P2397" s="262" t="str">
        <f t="shared" si="1"/>
        <v>IN-BLR-ANANTA-VAV-1969_11</v>
      </c>
      <c r="Q2397" s="173" t="s">
        <v>8025</v>
      </c>
      <c r="R2397" s="328" t="str">
        <f>IFS(C2397="","",C2397="n/a","N/A",LEN(C2397),Concatenate("{",char(34),"asset",char(34),":{",char(34),"guid",char(34),":",char(34),Q2397,char(34),",",char(34),"site",char(34),":",char(34),LOWER('2-Building'!$B$4),char(34),",",char(34),"name",char(34),":",char(34),LOWER(C2397),char(34),"}}"))</f>
        <v>{"asset":{"guid":"uuid://6320d62e-b5e7-458a-a20a-823127c3ed84","site":"in-blr-ananta","name":"vav-1969"}}</v>
      </c>
      <c r="S2397" s="333"/>
      <c r="T2397" s="330"/>
      <c r="U2397" s="330"/>
      <c r="V2397" s="331"/>
      <c r="W2397" s="332"/>
      <c r="X2397" s="333"/>
      <c r="Y2397" s="33" t="s">
        <v>2867</v>
      </c>
      <c r="Z2397" s="258">
        <v>121969.0</v>
      </c>
      <c r="AA2397" s="333"/>
      <c r="AB2397" s="333"/>
      <c r="AC2397" s="333"/>
      <c r="AD2397" s="329"/>
      <c r="AE2397" s="331"/>
      <c r="AF2397" s="336"/>
      <c r="AG2397" s="337" t="str">
        <f>IFS(LEN(AF2397)=17,LOWER('2-Building'!$B$4 &amp; "-" &amp; C2397), AF2397="N/A", "N/A", LEN(AF2397)=0,"")</f>
        <v/>
      </c>
      <c r="AH2397" s="333"/>
      <c r="AI2397" s="333"/>
      <c r="AJ2397" s="333"/>
      <c r="AK2397" s="333"/>
      <c r="AL2397" s="333"/>
      <c r="AM2397" s="338"/>
      <c r="AN2397" s="333"/>
      <c r="AO2397" s="333"/>
      <c r="AP2397" s="333"/>
      <c r="AQ2397" s="333"/>
      <c r="AR2397" s="333"/>
      <c r="AS2397" s="333"/>
      <c r="AT2397" s="333"/>
      <c r="AU2397" s="329"/>
      <c r="AV2397" s="341"/>
      <c r="AW2397" s="269"/>
      <c r="AX2397" s="334" t="s">
        <v>2869</v>
      </c>
      <c r="AY2397" s="270" t="s">
        <v>695</v>
      </c>
      <c r="AZ2397" s="173" t="s">
        <v>5516</v>
      </c>
      <c r="BA2397" s="265">
        <v>10.0</v>
      </c>
      <c r="BB2397" s="174" t="s">
        <v>245</v>
      </c>
      <c r="BC2397" s="341"/>
      <c r="BD2397" s="308"/>
      <c r="BE2397" s="342"/>
      <c r="BF2397" s="274" t="str">
        <f>IFERROR(__xludf.DUMMYFUNCTION("LOWER(Regexreplace(to_text(E2397),""[^A-Za-z0-9]"","""")&amp;""_""&amp;Regexreplace(to_text(F2397),""[^A-Za-z0-9]"",""""))"),"neptronic_evcbseries")</f>
        <v>neptronic_evcbseries</v>
      </c>
      <c r="BG2397" s="275" t="str">
        <f>IFERROR(__xludf.DUMMYFUNCTION("upper(Regexreplace(to_text(E2397),""[^A-Za-z0-9]"","""")&amp;""-""&amp;Regexreplace(to_text(F2397),""[^A-Za-z0-9]"",""""))"),"NEPTRONIC-EVCBSERIES")</f>
        <v>NEPTRONIC-EVCBSERIES</v>
      </c>
    </row>
    <row r="2398" ht="30.0" customHeight="1">
      <c r="A2398" s="258">
        <v>2390.0</v>
      </c>
      <c r="B2398" s="328" t="s">
        <v>670</v>
      </c>
      <c r="C2398" s="257" t="s">
        <v>8026</v>
      </c>
      <c r="D2398" s="173" t="s">
        <v>8026</v>
      </c>
      <c r="E2398" s="174" t="s">
        <v>2861</v>
      </c>
      <c r="F2398" s="173" t="s">
        <v>2862</v>
      </c>
      <c r="G2398" s="328" t="s">
        <v>673</v>
      </c>
      <c r="H2398" s="328" t="s">
        <v>2863</v>
      </c>
      <c r="I2398" s="258" t="s">
        <v>2864</v>
      </c>
      <c r="J2398" s="259" t="s">
        <v>1453</v>
      </c>
      <c r="K2398" s="260"/>
      <c r="L2398" s="363"/>
      <c r="M2398" s="329"/>
      <c r="N2398" s="173" t="s">
        <v>679</v>
      </c>
      <c r="O2398" s="173"/>
      <c r="P2398" s="262" t="str">
        <f t="shared" si="1"/>
        <v>IN-BLR-ANANTA-VAV-1970_11</v>
      </c>
      <c r="Q2398" s="173" t="s">
        <v>8027</v>
      </c>
      <c r="R2398" s="328" t="str">
        <f>IFS(C2398="","",C2398="n/a","N/A",LEN(C2398),Concatenate("{",char(34),"asset",char(34),":{",char(34),"guid",char(34),":",char(34),Q2398,char(34),",",char(34),"site",char(34),":",char(34),LOWER('2-Building'!$B$4),char(34),",",char(34),"name",char(34),":",char(34),LOWER(C2398),char(34),"}}"))</f>
        <v>{"asset":{"guid":"uuid://66a15362-62f9-4204-a436-58e922efbdfb","site":"in-blr-ananta","name":"vav-1970"}}</v>
      </c>
      <c r="S2398" s="333"/>
      <c r="T2398" s="330"/>
      <c r="U2398" s="330"/>
      <c r="V2398" s="331"/>
      <c r="W2398" s="332"/>
      <c r="X2398" s="333"/>
      <c r="Y2398" s="33" t="s">
        <v>2867</v>
      </c>
      <c r="Z2398" s="258">
        <v>121970.0</v>
      </c>
      <c r="AA2398" s="333"/>
      <c r="AB2398" s="333"/>
      <c r="AC2398" s="333"/>
      <c r="AD2398" s="329"/>
      <c r="AE2398" s="331"/>
      <c r="AF2398" s="336"/>
      <c r="AG2398" s="337" t="str">
        <f>IFS(LEN(AF2398)=17,LOWER('2-Building'!$B$4 &amp; "-" &amp; C2398), AF2398="N/A", "N/A", LEN(AF2398)=0,"")</f>
        <v/>
      </c>
      <c r="AH2398" s="333"/>
      <c r="AI2398" s="333"/>
      <c r="AJ2398" s="333"/>
      <c r="AK2398" s="333"/>
      <c r="AL2398" s="333"/>
      <c r="AM2398" s="338"/>
      <c r="AN2398" s="333"/>
      <c r="AO2398" s="333"/>
      <c r="AP2398" s="333"/>
      <c r="AQ2398" s="333"/>
      <c r="AR2398" s="333"/>
      <c r="AS2398" s="333"/>
      <c r="AT2398" s="333"/>
      <c r="AU2398" s="329"/>
      <c r="AV2398" s="341"/>
      <c r="AW2398" s="269"/>
      <c r="AX2398" s="334" t="s">
        <v>2869</v>
      </c>
      <c r="AY2398" s="270" t="s">
        <v>695</v>
      </c>
      <c r="AZ2398" s="173" t="s">
        <v>5516</v>
      </c>
      <c r="BA2398" s="265">
        <v>10.0</v>
      </c>
      <c r="BB2398" s="174" t="s">
        <v>245</v>
      </c>
      <c r="BC2398" s="341"/>
      <c r="BD2398" s="308"/>
      <c r="BE2398" s="342"/>
      <c r="BF2398" s="274" t="str">
        <f>IFERROR(__xludf.DUMMYFUNCTION("LOWER(Regexreplace(to_text(E2398),""[^A-Za-z0-9]"","""")&amp;""_""&amp;Regexreplace(to_text(F2398),""[^A-Za-z0-9]"",""""))"),"neptronic_evcbseries")</f>
        <v>neptronic_evcbseries</v>
      </c>
      <c r="BG2398" s="275" t="str">
        <f>IFERROR(__xludf.DUMMYFUNCTION("upper(Regexreplace(to_text(E2398),""[^A-Za-z0-9]"","""")&amp;""-""&amp;Regexreplace(to_text(F2398),""[^A-Za-z0-9]"",""""))"),"NEPTRONIC-EVCBSERIES")</f>
        <v>NEPTRONIC-EVCBSERIES</v>
      </c>
    </row>
    <row r="2399" ht="30.0" customHeight="1">
      <c r="A2399" s="173">
        <v>2391.0</v>
      </c>
      <c r="B2399" s="328" t="s">
        <v>670</v>
      </c>
      <c r="C2399" s="257" t="s">
        <v>8028</v>
      </c>
      <c r="D2399" s="173" t="s">
        <v>8028</v>
      </c>
      <c r="E2399" s="174" t="s">
        <v>2861</v>
      </c>
      <c r="F2399" s="173" t="s">
        <v>2862</v>
      </c>
      <c r="G2399" s="328" t="s">
        <v>673</v>
      </c>
      <c r="H2399" s="328" t="s">
        <v>2863</v>
      </c>
      <c r="I2399" s="258" t="s">
        <v>2864</v>
      </c>
      <c r="J2399" s="259" t="s">
        <v>1453</v>
      </c>
      <c r="K2399" s="260"/>
      <c r="L2399" s="363"/>
      <c r="M2399" s="329"/>
      <c r="N2399" s="173" t="s">
        <v>679</v>
      </c>
      <c r="O2399" s="173"/>
      <c r="P2399" s="262" t="str">
        <f t="shared" si="1"/>
        <v>IN-BLR-ANANTA-VAV-1971_11</v>
      </c>
      <c r="Q2399" s="173" t="s">
        <v>8029</v>
      </c>
      <c r="R2399" s="328" t="str">
        <f>IFS(C2399="","",C2399="n/a","N/A",LEN(C2399),Concatenate("{",char(34),"asset",char(34),":{",char(34),"guid",char(34),":",char(34),Q2399,char(34),",",char(34),"site",char(34),":",char(34),LOWER('2-Building'!$B$4),char(34),",",char(34),"name",char(34),":",char(34),LOWER(C2399),char(34),"}}"))</f>
        <v>{"asset":{"guid":"uuid://9d4d3f2d-953b-402a-8e42-019f579b92c0","site":"in-blr-ananta","name":"vav-1971"}}</v>
      </c>
      <c r="S2399" s="333"/>
      <c r="T2399" s="330"/>
      <c r="U2399" s="330"/>
      <c r="V2399" s="331"/>
      <c r="W2399" s="332"/>
      <c r="X2399" s="333"/>
      <c r="Y2399" s="33" t="s">
        <v>2867</v>
      </c>
      <c r="Z2399" s="258">
        <v>121971.0</v>
      </c>
      <c r="AA2399" s="333"/>
      <c r="AB2399" s="333"/>
      <c r="AC2399" s="333"/>
      <c r="AD2399" s="329"/>
      <c r="AE2399" s="331"/>
      <c r="AF2399" s="336"/>
      <c r="AG2399" s="337" t="str">
        <f>IFS(LEN(AF2399)=17,LOWER('2-Building'!$B$4 &amp; "-" &amp; C2399), AF2399="N/A", "N/A", LEN(AF2399)=0,"")</f>
        <v/>
      </c>
      <c r="AH2399" s="333"/>
      <c r="AI2399" s="333"/>
      <c r="AJ2399" s="333"/>
      <c r="AK2399" s="333"/>
      <c r="AL2399" s="333"/>
      <c r="AM2399" s="338"/>
      <c r="AN2399" s="333"/>
      <c r="AO2399" s="333"/>
      <c r="AP2399" s="333"/>
      <c r="AQ2399" s="333"/>
      <c r="AR2399" s="333"/>
      <c r="AS2399" s="333"/>
      <c r="AT2399" s="333"/>
      <c r="AU2399" s="329"/>
      <c r="AV2399" s="341"/>
      <c r="AW2399" s="269"/>
      <c r="AX2399" s="334" t="s">
        <v>2869</v>
      </c>
      <c r="AY2399" s="270" t="s">
        <v>695</v>
      </c>
      <c r="AZ2399" s="173" t="s">
        <v>5516</v>
      </c>
      <c r="BA2399" s="265">
        <v>10.0</v>
      </c>
      <c r="BB2399" s="174" t="s">
        <v>245</v>
      </c>
      <c r="BC2399" s="341"/>
      <c r="BD2399" s="308"/>
      <c r="BE2399" s="342"/>
      <c r="BF2399" s="274" t="str">
        <f>IFERROR(__xludf.DUMMYFUNCTION("LOWER(Regexreplace(to_text(E2399),""[^A-Za-z0-9]"","""")&amp;""_""&amp;Regexreplace(to_text(F2399),""[^A-Za-z0-9]"",""""))"),"neptronic_evcbseries")</f>
        <v>neptronic_evcbseries</v>
      </c>
      <c r="BG2399" s="275" t="str">
        <f>IFERROR(__xludf.DUMMYFUNCTION("upper(Regexreplace(to_text(E2399),""[^A-Za-z0-9]"","""")&amp;""-""&amp;Regexreplace(to_text(F2399),""[^A-Za-z0-9]"",""""))"),"NEPTRONIC-EVCBSERIES")</f>
        <v>NEPTRONIC-EVCBSERIES</v>
      </c>
    </row>
    <row r="2400" ht="30.0" customHeight="1">
      <c r="A2400" s="258">
        <v>2392.0</v>
      </c>
      <c r="B2400" s="328" t="s">
        <v>670</v>
      </c>
      <c r="C2400" s="257" t="s">
        <v>8030</v>
      </c>
      <c r="D2400" s="173" t="s">
        <v>8030</v>
      </c>
      <c r="E2400" s="174" t="s">
        <v>2861</v>
      </c>
      <c r="F2400" s="173" t="s">
        <v>2862</v>
      </c>
      <c r="G2400" s="328" t="s">
        <v>673</v>
      </c>
      <c r="H2400" s="328" t="s">
        <v>2863</v>
      </c>
      <c r="I2400" s="258" t="s">
        <v>2864</v>
      </c>
      <c r="J2400" s="259" t="s">
        <v>1453</v>
      </c>
      <c r="K2400" s="260"/>
      <c r="L2400" s="363"/>
      <c r="M2400" s="329"/>
      <c r="N2400" s="173" t="s">
        <v>679</v>
      </c>
      <c r="O2400" s="173"/>
      <c r="P2400" s="262" t="str">
        <f t="shared" si="1"/>
        <v>IN-BLR-ANANTA-VAV-1972_11</v>
      </c>
      <c r="Q2400" s="173" t="s">
        <v>8031</v>
      </c>
      <c r="R2400" s="328" t="str">
        <f>IFS(C2400="","",C2400="n/a","N/A",LEN(C2400),Concatenate("{",char(34),"asset",char(34),":{",char(34),"guid",char(34),":",char(34),Q2400,char(34),",",char(34),"site",char(34),":",char(34),LOWER('2-Building'!$B$4),char(34),",",char(34),"name",char(34),":",char(34),LOWER(C2400),char(34),"}}"))</f>
        <v>{"asset":{"guid":"uuid://96b76411-cdff-4e25-8d93-e8f1412936dc","site":"in-blr-ananta","name":"vav-1972"}}</v>
      </c>
      <c r="S2400" s="333"/>
      <c r="T2400" s="330"/>
      <c r="U2400" s="330"/>
      <c r="V2400" s="331"/>
      <c r="W2400" s="332"/>
      <c r="X2400" s="333"/>
      <c r="Y2400" s="33" t="s">
        <v>2867</v>
      </c>
      <c r="Z2400" s="258">
        <v>121972.0</v>
      </c>
      <c r="AA2400" s="333"/>
      <c r="AB2400" s="333"/>
      <c r="AC2400" s="333"/>
      <c r="AD2400" s="329"/>
      <c r="AE2400" s="331"/>
      <c r="AF2400" s="336"/>
      <c r="AG2400" s="337" t="str">
        <f>IFS(LEN(AF2400)=17,LOWER('2-Building'!$B$4 &amp; "-" &amp; C2400), AF2400="N/A", "N/A", LEN(AF2400)=0,"")</f>
        <v/>
      </c>
      <c r="AH2400" s="333"/>
      <c r="AI2400" s="333"/>
      <c r="AJ2400" s="333"/>
      <c r="AK2400" s="333"/>
      <c r="AL2400" s="333"/>
      <c r="AM2400" s="338"/>
      <c r="AN2400" s="333"/>
      <c r="AO2400" s="333"/>
      <c r="AP2400" s="333"/>
      <c r="AQ2400" s="333"/>
      <c r="AR2400" s="333"/>
      <c r="AS2400" s="333"/>
      <c r="AT2400" s="333"/>
      <c r="AU2400" s="329"/>
      <c r="AV2400" s="341"/>
      <c r="AW2400" s="269"/>
      <c r="AX2400" s="334" t="s">
        <v>2869</v>
      </c>
      <c r="AY2400" s="270" t="s">
        <v>695</v>
      </c>
      <c r="AZ2400" s="173" t="s">
        <v>5516</v>
      </c>
      <c r="BA2400" s="265">
        <v>10.0</v>
      </c>
      <c r="BB2400" s="174" t="s">
        <v>245</v>
      </c>
      <c r="BC2400" s="341"/>
      <c r="BD2400" s="308"/>
      <c r="BE2400" s="364" t="s">
        <v>8001</v>
      </c>
      <c r="BF2400" s="274" t="str">
        <f>IFERROR(__xludf.DUMMYFUNCTION("LOWER(Regexreplace(to_text(E2400),""[^A-Za-z0-9]"","""")&amp;""_""&amp;Regexreplace(to_text(F2400),""[^A-Za-z0-9]"",""""))"),"neptronic_evcbseries")</f>
        <v>neptronic_evcbseries</v>
      </c>
      <c r="BG2400" s="275" t="str">
        <f>IFERROR(__xludf.DUMMYFUNCTION("upper(Regexreplace(to_text(E2400),""[^A-Za-z0-9]"","""")&amp;""-""&amp;Regexreplace(to_text(F2400),""[^A-Za-z0-9]"",""""))"),"NEPTRONIC-EVCBSERIES")</f>
        <v>NEPTRONIC-EVCBSERIES</v>
      </c>
    </row>
    <row r="2401" ht="30.0" customHeight="1">
      <c r="A2401" s="173">
        <v>2393.0</v>
      </c>
      <c r="B2401" s="328" t="s">
        <v>670</v>
      </c>
      <c r="C2401" s="257" t="s">
        <v>8032</v>
      </c>
      <c r="D2401" s="173" t="s">
        <v>8032</v>
      </c>
      <c r="E2401" s="174" t="s">
        <v>2861</v>
      </c>
      <c r="F2401" s="173" t="s">
        <v>2862</v>
      </c>
      <c r="G2401" s="328" t="s">
        <v>673</v>
      </c>
      <c r="H2401" s="328" t="s">
        <v>2863</v>
      </c>
      <c r="I2401" s="258" t="s">
        <v>2864</v>
      </c>
      <c r="J2401" s="259" t="s">
        <v>1453</v>
      </c>
      <c r="K2401" s="260"/>
      <c r="L2401" s="363"/>
      <c r="M2401" s="329"/>
      <c r="N2401" s="173" t="s">
        <v>679</v>
      </c>
      <c r="O2401" s="173"/>
      <c r="P2401" s="262" t="str">
        <f t="shared" si="1"/>
        <v>IN-BLR-ANANTA-VAV-1973_11</v>
      </c>
      <c r="Q2401" s="173" t="s">
        <v>8033</v>
      </c>
      <c r="R2401" s="328" t="str">
        <f>IFS(C2401="","",C2401="n/a","N/A",LEN(C2401),Concatenate("{",char(34),"asset",char(34),":{",char(34),"guid",char(34),":",char(34),Q2401,char(34),",",char(34),"site",char(34),":",char(34),LOWER('2-Building'!$B$4),char(34),",",char(34),"name",char(34),":",char(34),LOWER(C2401),char(34),"}}"))</f>
        <v>{"asset":{"guid":"uuid://1aa30cc5-acde-4e0a-affc-f7cc99a83435","site":"in-blr-ananta","name":"vav-1973"}}</v>
      </c>
      <c r="S2401" s="333"/>
      <c r="T2401" s="330"/>
      <c r="U2401" s="330"/>
      <c r="V2401" s="331"/>
      <c r="W2401" s="332"/>
      <c r="X2401" s="333"/>
      <c r="Y2401" s="33" t="s">
        <v>2867</v>
      </c>
      <c r="Z2401" s="258">
        <v>121973.0</v>
      </c>
      <c r="AA2401" s="333"/>
      <c r="AB2401" s="333"/>
      <c r="AC2401" s="333"/>
      <c r="AD2401" s="329"/>
      <c r="AE2401" s="331"/>
      <c r="AF2401" s="336"/>
      <c r="AG2401" s="337" t="str">
        <f>IFS(LEN(AF2401)=17,LOWER('2-Building'!$B$4 &amp; "-" &amp; C2401), AF2401="N/A", "N/A", LEN(AF2401)=0,"")</f>
        <v/>
      </c>
      <c r="AH2401" s="333"/>
      <c r="AI2401" s="333"/>
      <c r="AJ2401" s="333"/>
      <c r="AK2401" s="333"/>
      <c r="AL2401" s="333"/>
      <c r="AM2401" s="338"/>
      <c r="AN2401" s="333"/>
      <c r="AO2401" s="333"/>
      <c r="AP2401" s="333"/>
      <c r="AQ2401" s="333"/>
      <c r="AR2401" s="333"/>
      <c r="AS2401" s="333"/>
      <c r="AT2401" s="333"/>
      <c r="AU2401" s="329"/>
      <c r="AV2401" s="341"/>
      <c r="AW2401" s="269"/>
      <c r="AX2401" s="334" t="s">
        <v>2869</v>
      </c>
      <c r="AY2401" s="270" t="s">
        <v>695</v>
      </c>
      <c r="AZ2401" s="173" t="s">
        <v>5516</v>
      </c>
      <c r="BA2401" s="265">
        <v>10.0</v>
      </c>
      <c r="BB2401" s="174" t="s">
        <v>245</v>
      </c>
      <c r="BC2401" s="341"/>
      <c r="BD2401" s="308"/>
      <c r="BE2401" s="364" t="s">
        <v>8034</v>
      </c>
      <c r="BF2401" s="274" t="str">
        <f>IFERROR(__xludf.DUMMYFUNCTION("LOWER(Regexreplace(to_text(E2401),""[^A-Za-z0-9]"","""")&amp;""_""&amp;Regexreplace(to_text(F2401),""[^A-Za-z0-9]"",""""))"),"neptronic_evcbseries")</f>
        <v>neptronic_evcbseries</v>
      </c>
      <c r="BG2401" s="275" t="str">
        <f>IFERROR(__xludf.DUMMYFUNCTION("upper(Regexreplace(to_text(E2401),""[^A-Za-z0-9]"","""")&amp;""-""&amp;Regexreplace(to_text(F2401),""[^A-Za-z0-9]"",""""))"),"NEPTRONIC-EVCBSERIES")</f>
        <v>NEPTRONIC-EVCBSERIES</v>
      </c>
    </row>
    <row r="2402" ht="30.0" customHeight="1">
      <c r="A2402" s="258">
        <v>2394.0</v>
      </c>
      <c r="B2402" s="328" t="s">
        <v>670</v>
      </c>
      <c r="C2402" s="257" t="s">
        <v>8035</v>
      </c>
      <c r="D2402" s="173" t="s">
        <v>8035</v>
      </c>
      <c r="E2402" s="174" t="s">
        <v>2861</v>
      </c>
      <c r="F2402" s="173" t="s">
        <v>2862</v>
      </c>
      <c r="G2402" s="328" t="s">
        <v>673</v>
      </c>
      <c r="H2402" s="328" t="s">
        <v>2863</v>
      </c>
      <c r="I2402" s="258" t="s">
        <v>2864</v>
      </c>
      <c r="J2402" s="259" t="s">
        <v>1453</v>
      </c>
      <c r="K2402" s="260"/>
      <c r="L2402" s="363"/>
      <c r="M2402" s="329"/>
      <c r="N2402" s="173" t="s">
        <v>679</v>
      </c>
      <c r="O2402" s="173"/>
      <c r="P2402" s="262" t="str">
        <f t="shared" si="1"/>
        <v>IN-BLR-ANANTA-VAV-1974_11</v>
      </c>
      <c r="Q2402" s="173" t="s">
        <v>8036</v>
      </c>
      <c r="R2402" s="328" t="str">
        <f>IFS(C2402="","",C2402="n/a","N/A",LEN(C2402),Concatenate("{",char(34),"asset",char(34),":{",char(34),"guid",char(34),":",char(34),Q2402,char(34),",",char(34),"site",char(34),":",char(34),LOWER('2-Building'!$B$4),char(34),",",char(34),"name",char(34),":",char(34),LOWER(C2402),char(34),"}}"))</f>
        <v>{"asset":{"guid":"uuid://41def74e-767b-4935-9c54-bc857061c5f4","site":"in-blr-ananta","name":"vav-1974"}}</v>
      </c>
      <c r="S2402" s="333"/>
      <c r="T2402" s="330"/>
      <c r="U2402" s="330"/>
      <c r="V2402" s="331"/>
      <c r="W2402" s="332"/>
      <c r="X2402" s="333"/>
      <c r="Y2402" s="33" t="s">
        <v>2867</v>
      </c>
      <c r="Z2402" s="258">
        <v>121974.0</v>
      </c>
      <c r="AA2402" s="333"/>
      <c r="AB2402" s="333"/>
      <c r="AC2402" s="333"/>
      <c r="AD2402" s="329"/>
      <c r="AE2402" s="331"/>
      <c r="AF2402" s="336"/>
      <c r="AG2402" s="337" t="str">
        <f>IFS(LEN(AF2402)=17,LOWER('2-Building'!$B$4 &amp; "-" &amp; C2402), AF2402="N/A", "N/A", LEN(AF2402)=0,"")</f>
        <v/>
      </c>
      <c r="AH2402" s="333"/>
      <c r="AI2402" s="333"/>
      <c r="AJ2402" s="333"/>
      <c r="AK2402" s="333"/>
      <c r="AL2402" s="333"/>
      <c r="AM2402" s="338"/>
      <c r="AN2402" s="333"/>
      <c r="AO2402" s="333"/>
      <c r="AP2402" s="333"/>
      <c r="AQ2402" s="333"/>
      <c r="AR2402" s="333"/>
      <c r="AS2402" s="333"/>
      <c r="AT2402" s="333"/>
      <c r="AU2402" s="329"/>
      <c r="AV2402" s="341"/>
      <c r="AW2402" s="269"/>
      <c r="AX2402" s="334" t="s">
        <v>2869</v>
      </c>
      <c r="AY2402" s="270" t="s">
        <v>695</v>
      </c>
      <c r="AZ2402" s="173" t="s">
        <v>5516</v>
      </c>
      <c r="BA2402" s="265">
        <v>10.0</v>
      </c>
      <c r="BB2402" s="174" t="s">
        <v>245</v>
      </c>
      <c r="BC2402" s="341"/>
      <c r="BD2402" s="308"/>
      <c r="BE2402" s="364" t="s">
        <v>8034</v>
      </c>
      <c r="BF2402" s="274" t="str">
        <f>IFERROR(__xludf.DUMMYFUNCTION("LOWER(Regexreplace(to_text(E2402),""[^A-Za-z0-9]"","""")&amp;""_""&amp;Regexreplace(to_text(F2402),""[^A-Za-z0-9]"",""""))"),"neptronic_evcbseries")</f>
        <v>neptronic_evcbseries</v>
      </c>
      <c r="BG2402" s="275" t="str">
        <f>IFERROR(__xludf.DUMMYFUNCTION("upper(Regexreplace(to_text(E2402),""[^A-Za-z0-9]"","""")&amp;""-""&amp;Regexreplace(to_text(F2402),""[^A-Za-z0-9]"",""""))"),"NEPTRONIC-EVCBSERIES")</f>
        <v>NEPTRONIC-EVCBSERIES</v>
      </c>
    </row>
    <row r="2403" ht="30.0" customHeight="1">
      <c r="A2403" s="173">
        <v>2395.0</v>
      </c>
      <c r="B2403" s="328" t="s">
        <v>670</v>
      </c>
      <c r="C2403" s="257" t="s">
        <v>8037</v>
      </c>
      <c r="D2403" s="173" t="s">
        <v>8037</v>
      </c>
      <c r="E2403" s="174" t="s">
        <v>2861</v>
      </c>
      <c r="F2403" s="173" t="s">
        <v>2862</v>
      </c>
      <c r="G2403" s="328" t="s">
        <v>673</v>
      </c>
      <c r="H2403" s="328" t="s">
        <v>2863</v>
      </c>
      <c r="I2403" s="258" t="s">
        <v>2864</v>
      </c>
      <c r="J2403" s="259" t="s">
        <v>1453</v>
      </c>
      <c r="K2403" s="260"/>
      <c r="L2403" s="363"/>
      <c r="M2403" s="329"/>
      <c r="N2403" s="173" t="s">
        <v>679</v>
      </c>
      <c r="O2403" s="173"/>
      <c r="P2403" s="262" t="str">
        <f t="shared" si="1"/>
        <v>IN-BLR-ANANTA-VAV-1975_11</v>
      </c>
      <c r="Q2403" s="173" t="s">
        <v>8038</v>
      </c>
      <c r="R2403" s="328" t="str">
        <f>IFS(C2403="","",C2403="n/a","N/A",LEN(C2403),Concatenate("{",char(34),"asset",char(34),":{",char(34),"guid",char(34),":",char(34),Q2403,char(34),",",char(34),"site",char(34),":",char(34),LOWER('2-Building'!$B$4),char(34),",",char(34),"name",char(34),":",char(34),LOWER(C2403),char(34),"}}"))</f>
        <v>{"asset":{"guid":"uuid://7102ecd6-fa6b-42ae-b316-b93d81ca805b","site":"in-blr-ananta","name":"vav-1975"}}</v>
      </c>
      <c r="S2403" s="333"/>
      <c r="T2403" s="330"/>
      <c r="U2403" s="330"/>
      <c r="V2403" s="331"/>
      <c r="W2403" s="332"/>
      <c r="X2403" s="333"/>
      <c r="Y2403" s="33" t="s">
        <v>2867</v>
      </c>
      <c r="Z2403" s="258">
        <v>121975.0</v>
      </c>
      <c r="AA2403" s="333"/>
      <c r="AB2403" s="333"/>
      <c r="AC2403" s="333"/>
      <c r="AD2403" s="329"/>
      <c r="AE2403" s="331"/>
      <c r="AF2403" s="336"/>
      <c r="AG2403" s="337" t="str">
        <f>IFS(LEN(AF2403)=17,LOWER('2-Building'!$B$4 &amp; "-" &amp; C2403), AF2403="N/A", "N/A", LEN(AF2403)=0,"")</f>
        <v/>
      </c>
      <c r="AH2403" s="333"/>
      <c r="AI2403" s="333"/>
      <c r="AJ2403" s="333"/>
      <c r="AK2403" s="333"/>
      <c r="AL2403" s="333"/>
      <c r="AM2403" s="338"/>
      <c r="AN2403" s="333"/>
      <c r="AO2403" s="333"/>
      <c r="AP2403" s="333"/>
      <c r="AQ2403" s="333"/>
      <c r="AR2403" s="333"/>
      <c r="AS2403" s="333"/>
      <c r="AT2403" s="333"/>
      <c r="AU2403" s="329"/>
      <c r="AV2403" s="341"/>
      <c r="AW2403" s="269"/>
      <c r="AX2403" s="334" t="s">
        <v>2869</v>
      </c>
      <c r="AY2403" s="270" t="s">
        <v>695</v>
      </c>
      <c r="AZ2403" s="173" t="s">
        <v>5516</v>
      </c>
      <c r="BA2403" s="265">
        <v>10.0</v>
      </c>
      <c r="BB2403" s="174" t="s">
        <v>245</v>
      </c>
      <c r="BC2403" s="341"/>
      <c r="BD2403" s="308"/>
      <c r="BE2403" s="364" t="s">
        <v>8034</v>
      </c>
      <c r="BF2403" s="274" t="str">
        <f>IFERROR(__xludf.DUMMYFUNCTION("LOWER(Regexreplace(to_text(E2403),""[^A-Za-z0-9]"","""")&amp;""_""&amp;Regexreplace(to_text(F2403),""[^A-Za-z0-9]"",""""))"),"neptronic_evcbseries")</f>
        <v>neptronic_evcbseries</v>
      </c>
      <c r="BG2403" s="275" t="str">
        <f>IFERROR(__xludf.DUMMYFUNCTION("upper(Regexreplace(to_text(E2403),""[^A-Za-z0-9]"","""")&amp;""-""&amp;Regexreplace(to_text(F2403),""[^A-Za-z0-9]"",""""))"),"NEPTRONIC-EVCBSERIES")</f>
        <v>NEPTRONIC-EVCBSERIES</v>
      </c>
    </row>
    <row r="2404" ht="30.0" customHeight="1">
      <c r="A2404" s="258">
        <v>2396.0</v>
      </c>
      <c r="B2404" s="328" t="s">
        <v>670</v>
      </c>
      <c r="C2404" s="257" t="s">
        <v>8039</v>
      </c>
      <c r="D2404" s="173" t="s">
        <v>8039</v>
      </c>
      <c r="E2404" s="174" t="s">
        <v>2861</v>
      </c>
      <c r="F2404" s="173" t="s">
        <v>2862</v>
      </c>
      <c r="G2404" s="328" t="s">
        <v>673</v>
      </c>
      <c r="H2404" s="328" t="s">
        <v>2863</v>
      </c>
      <c r="I2404" s="258" t="s">
        <v>2864</v>
      </c>
      <c r="J2404" s="259" t="s">
        <v>1453</v>
      </c>
      <c r="K2404" s="260"/>
      <c r="L2404" s="363"/>
      <c r="M2404" s="329"/>
      <c r="N2404" s="173" t="s">
        <v>679</v>
      </c>
      <c r="O2404" s="173"/>
      <c r="P2404" s="262" t="str">
        <f t="shared" si="1"/>
        <v>IN-BLR-ANANTA-VAV-1976_11</v>
      </c>
      <c r="Q2404" s="173" t="s">
        <v>8040</v>
      </c>
      <c r="R2404" s="328" t="str">
        <f>IFS(C2404="","",C2404="n/a","N/A",LEN(C2404),Concatenate("{",char(34),"asset",char(34),":{",char(34),"guid",char(34),":",char(34),Q2404,char(34),",",char(34),"site",char(34),":",char(34),LOWER('2-Building'!$B$4),char(34),",",char(34),"name",char(34),":",char(34),LOWER(C2404),char(34),"}}"))</f>
        <v>{"asset":{"guid":"uuid://56759076-b2a0-4307-aa17-2f5e3a19069d","site":"in-blr-ananta","name":"vav-1976"}}</v>
      </c>
      <c r="S2404" s="333"/>
      <c r="T2404" s="330"/>
      <c r="U2404" s="330"/>
      <c r="V2404" s="331"/>
      <c r="W2404" s="332"/>
      <c r="X2404" s="333"/>
      <c r="Y2404" s="33" t="s">
        <v>2867</v>
      </c>
      <c r="Z2404" s="258">
        <v>121976.0</v>
      </c>
      <c r="AA2404" s="333"/>
      <c r="AB2404" s="333"/>
      <c r="AC2404" s="333"/>
      <c r="AD2404" s="329"/>
      <c r="AE2404" s="331"/>
      <c r="AF2404" s="336"/>
      <c r="AG2404" s="337" t="str">
        <f>IFS(LEN(AF2404)=17,LOWER('2-Building'!$B$4 &amp; "-" &amp; C2404), AF2404="N/A", "N/A", LEN(AF2404)=0,"")</f>
        <v/>
      </c>
      <c r="AH2404" s="333"/>
      <c r="AI2404" s="333"/>
      <c r="AJ2404" s="333"/>
      <c r="AK2404" s="333"/>
      <c r="AL2404" s="333"/>
      <c r="AM2404" s="338"/>
      <c r="AN2404" s="333"/>
      <c r="AO2404" s="333"/>
      <c r="AP2404" s="333"/>
      <c r="AQ2404" s="333"/>
      <c r="AR2404" s="333"/>
      <c r="AS2404" s="333"/>
      <c r="AT2404" s="333"/>
      <c r="AU2404" s="329"/>
      <c r="AV2404" s="341"/>
      <c r="AW2404" s="269"/>
      <c r="AX2404" s="334" t="s">
        <v>2869</v>
      </c>
      <c r="AY2404" s="270" t="s">
        <v>695</v>
      </c>
      <c r="AZ2404" s="173" t="s">
        <v>5516</v>
      </c>
      <c r="BA2404" s="265">
        <v>10.0</v>
      </c>
      <c r="BB2404" s="174" t="s">
        <v>245</v>
      </c>
      <c r="BC2404" s="341"/>
      <c r="BD2404" s="308"/>
      <c r="BE2404" s="364" t="s">
        <v>8034</v>
      </c>
      <c r="BF2404" s="274" t="str">
        <f>IFERROR(__xludf.DUMMYFUNCTION("LOWER(Regexreplace(to_text(E2404),""[^A-Za-z0-9]"","""")&amp;""_""&amp;Regexreplace(to_text(F2404),""[^A-Za-z0-9]"",""""))"),"neptronic_evcbseries")</f>
        <v>neptronic_evcbseries</v>
      </c>
      <c r="BG2404" s="275" t="str">
        <f>IFERROR(__xludf.DUMMYFUNCTION("upper(Regexreplace(to_text(E2404),""[^A-Za-z0-9]"","""")&amp;""-""&amp;Regexreplace(to_text(F2404),""[^A-Za-z0-9]"",""""))"),"NEPTRONIC-EVCBSERIES")</f>
        <v>NEPTRONIC-EVCBSERIES</v>
      </c>
    </row>
    <row r="2405" ht="30.0" customHeight="1">
      <c r="A2405" s="173">
        <v>2397.0</v>
      </c>
      <c r="B2405" s="328" t="s">
        <v>670</v>
      </c>
      <c r="C2405" s="257" t="s">
        <v>8041</v>
      </c>
      <c r="D2405" s="173" t="s">
        <v>8041</v>
      </c>
      <c r="E2405" s="174" t="s">
        <v>2861</v>
      </c>
      <c r="F2405" s="173" t="s">
        <v>2862</v>
      </c>
      <c r="G2405" s="328" t="s">
        <v>673</v>
      </c>
      <c r="H2405" s="328" t="s">
        <v>2863</v>
      </c>
      <c r="I2405" s="258" t="s">
        <v>2864</v>
      </c>
      <c r="J2405" s="259" t="s">
        <v>1453</v>
      </c>
      <c r="K2405" s="260"/>
      <c r="L2405" s="363"/>
      <c r="M2405" s="329"/>
      <c r="N2405" s="173" t="s">
        <v>679</v>
      </c>
      <c r="O2405" s="173"/>
      <c r="P2405" s="262" t="str">
        <f t="shared" si="1"/>
        <v>IN-BLR-ANANTA-VAV-1977_11</v>
      </c>
      <c r="Q2405" s="173" t="s">
        <v>8042</v>
      </c>
      <c r="R2405" s="328" t="str">
        <f>IFS(C2405="","",C2405="n/a","N/A",LEN(C2405),Concatenate("{",char(34),"asset",char(34),":{",char(34),"guid",char(34),":",char(34),Q2405,char(34),",",char(34),"site",char(34),":",char(34),LOWER('2-Building'!$B$4),char(34),",",char(34),"name",char(34),":",char(34),LOWER(C2405),char(34),"}}"))</f>
        <v>{"asset":{"guid":"uuid://ddb0f6c0-8434-42e8-8187-398f31dc934f","site":"in-blr-ananta","name":"vav-1977"}}</v>
      </c>
      <c r="S2405" s="333"/>
      <c r="T2405" s="330"/>
      <c r="U2405" s="330"/>
      <c r="V2405" s="331"/>
      <c r="W2405" s="332"/>
      <c r="X2405" s="333"/>
      <c r="Y2405" s="33" t="s">
        <v>2867</v>
      </c>
      <c r="Z2405" s="258">
        <v>121977.0</v>
      </c>
      <c r="AA2405" s="333"/>
      <c r="AB2405" s="333"/>
      <c r="AC2405" s="333"/>
      <c r="AD2405" s="329"/>
      <c r="AE2405" s="331"/>
      <c r="AF2405" s="336"/>
      <c r="AG2405" s="337" t="str">
        <f>IFS(LEN(AF2405)=17,LOWER('2-Building'!$B$4 &amp; "-" &amp; C2405), AF2405="N/A", "N/A", LEN(AF2405)=0,"")</f>
        <v/>
      </c>
      <c r="AH2405" s="333"/>
      <c r="AI2405" s="333"/>
      <c r="AJ2405" s="333"/>
      <c r="AK2405" s="333"/>
      <c r="AL2405" s="333"/>
      <c r="AM2405" s="338"/>
      <c r="AN2405" s="333"/>
      <c r="AO2405" s="333"/>
      <c r="AP2405" s="333"/>
      <c r="AQ2405" s="333"/>
      <c r="AR2405" s="333"/>
      <c r="AS2405" s="333"/>
      <c r="AT2405" s="333"/>
      <c r="AU2405" s="329"/>
      <c r="AV2405" s="341"/>
      <c r="AW2405" s="269"/>
      <c r="AX2405" s="334" t="s">
        <v>2869</v>
      </c>
      <c r="AY2405" s="270" t="s">
        <v>695</v>
      </c>
      <c r="AZ2405" s="173" t="s">
        <v>5516</v>
      </c>
      <c r="BA2405" s="265">
        <v>10.0</v>
      </c>
      <c r="BB2405" s="174" t="s">
        <v>245</v>
      </c>
      <c r="BC2405" s="341"/>
      <c r="BD2405" s="308"/>
      <c r="BE2405" s="364" t="s">
        <v>8034</v>
      </c>
      <c r="BF2405" s="274" t="str">
        <f>IFERROR(__xludf.DUMMYFUNCTION("LOWER(Regexreplace(to_text(E2405),""[^A-Za-z0-9]"","""")&amp;""_""&amp;Regexreplace(to_text(F2405),""[^A-Za-z0-9]"",""""))"),"neptronic_evcbseries")</f>
        <v>neptronic_evcbseries</v>
      </c>
      <c r="BG2405" s="275" t="str">
        <f>IFERROR(__xludf.DUMMYFUNCTION("upper(Regexreplace(to_text(E2405),""[^A-Za-z0-9]"","""")&amp;""-""&amp;Regexreplace(to_text(F2405),""[^A-Za-z0-9]"",""""))"),"NEPTRONIC-EVCBSERIES")</f>
        <v>NEPTRONIC-EVCBSERIES</v>
      </c>
    </row>
    <row r="2406" ht="30.0" customHeight="1">
      <c r="A2406" s="258">
        <v>2398.0</v>
      </c>
      <c r="B2406" s="328" t="s">
        <v>670</v>
      </c>
      <c r="C2406" s="257" t="s">
        <v>8043</v>
      </c>
      <c r="D2406" s="173" t="s">
        <v>8043</v>
      </c>
      <c r="E2406" s="174" t="s">
        <v>2861</v>
      </c>
      <c r="F2406" s="173" t="s">
        <v>2862</v>
      </c>
      <c r="G2406" s="328" t="s">
        <v>673</v>
      </c>
      <c r="H2406" s="328" t="s">
        <v>2863</v>
      </c>
      <c r="I2406" s="258" t="s">
        <v>2864</v>
      </c>
      <c r="J2406" s="259" t="s">
        <v>1453</v>
      </c>
      <c r="K2406" s="260"/>
      <c r="L2406" s="363"/>
      <c r="M2406" s="329"/>
      <c r="N2406" s="173" t="s">
        <v>679</v>
      </c>
      <c r="O2406" s="173"/>
      <c r="P2406" s="262" t="str">
        <f t="shared" si="1"/>
        <v>IN-BLR-ANANTA-VAV-1978_11</v>
      </c>
      <c r="Q2406" s="173" t="s">
        <v>8044</v>
      </c>
      <c r="R2406" s="328" t="str">
        <f>IFS(C2406="","",C2406="n/a","N/A",LEN(C2406),Concatenate("{",char(34),"asset",char(34),":{",char(34),"guid",char(34),":",char(34),Q2406,char(34),",",char(34),"site",char(34),":",char(34),LOWER('2-Building'!$B$4),char(34),",",char(34),"name",char(34),":",char(34),LOWER(C2406),char(34),"}}"))</f>
        <v>{"asset":{"guid":"uuid://418c58ef-9ede-4d6c-9723-3bfbcef31c6c","site":"in-blr-ananta","name":"vav-1978"}}</v>
      </c>
      <c r="S2406" s="333"/>
      <c r="T2406" s="330"/>
      <c r="U2406" s="330"/>
      <c r="V2406" s="331"/>
      <c r="W2406" s="332"/>
      <c r="X2406" s="333"/>
      <c r="Y2406" s="33" t="s">
        <v>2867</v>
      </c>
      <c r="Z2406" s="258">
        <v>121978.0</v>
      </c>
      <c r="AA2406" s="333"/>
      <c r="AB2406" s="333"/>
      <c r="AC2406" s="333"/>
      <c r="AD2406" s="329"/>
      <c r="AE2406" s="331"/>
      <c r="AF2406" s="336"/>
      <c r="AG2406" s="337" t="str">
        <f>IFS(LEN(AF2406)=17,LOWER('2-Building'!$B$4 &amp; "-" &amp; C2406), AF2406="N/A", "N/A", LEN(AF2406)=0,"")</f>
        <v/>
      </c>
      <c r="AH2406" s="333"/>
      <c r="AI2406" s="333"/>
      <c r="AJ2406" s="333"/>
      <c r="AK2406" s="333"/>
      <c r="AL2406" s="333"/>
      <c r="AM2406" s="338"/>
      <c r="AN2406" s="333"/>
      <c r="AO2406" s="333"/>
      <c r="AP2406" s="333"/>
      <c r="AQ2406" s="333"/>
      <c r="AR2406" s="333"/>
      <c r="AS2406" s="333"/>
      <c r="AT2406" s="333"/>
      <c r="AU2406" s="329"/>
      <c r="AV2406" s="341"/>
      <c r="AW2406" s="269"/>
      <c r="AX2406" s="334" t="s">
        <v>2869</v>
      </c>
      <c r="AY2406" s="270" t="s">
        <v>695</v>
      </c>
      <c r="AZ2406" s="173" t="s">
        <v>5516</v>
      </c>
      <c r="BA2406" s="265">
        <v>10.0</v>
      </c>
      <c r="BB2406" s="174" t="s">
        <v>245</v>
      </c>
      <c r="BC2406" s="341"/>
      <c r="BD2406" s="308"/>
      <c r="BE2406" s="364" t="s">
        <v>8034</v>
      </c>
      <c r="BF2406" s="274" t="str">
        <f>IFERROR(__xludf.DUMMYFUNCTION("LOWER(Regexreplace(to_text(E2406),""[^A-Za-z0-9]"","""")&amp;""_""&amp;Regexreplace(to_text(F2406),""[^A-Za-z0-9]"",""""))"),"neptronic_evcbseries")</f>
        <v>neptronic_evcbseries</v>
      </c>
      <c r="BG2406" s="275" t="str">
        <f>IFERROR(__xludf.DUMMYFUNCTION("upper(Regexreplace(to_text(E2406),""[^A-Za-z0-9]"","""")&amp;""-""&amp;Regexreplace(to_text(F2406),""[^A-Za-z0-9]"",""""))"),"NEPTRONIC-EVCBSERIES")</f>
        <v>NEPTRONIC-EVCBSERIES</v>
      </c>
    </row>
    <row r="2407" ht="30.0" customHeight="1">
      <c r="A2407" s="173">
        <v>2399.0</v>
      </c>
      <c r="B2407" s="328" t="s">
        <v>670</v>
      </c>
      <c r="C2407" s="257" t="s">
        <v>8045</v>
      </c>
      <c r="D2407" s="173" t="s">
        <v>8045</v>
      </c>
      <c r="E2407" s="174" t="s">
        <v>2861</v>
      </c>
      <c r="F2407" s="173" t="s">
        <v>2862</v>
      </c>
      <c r="G2407" s="328" t="s">
        <v>673</v>
      </c>
      <c r="H2407" s="328" t="s">
        <v>2863</v>
      </c>
      <c r="I2407" s="258" t="s">
        <v>2864</v>
      </c>
      <c r="J2407" s="259" t="s">
        <v>1453</v>
      </c>
      <c r="K2407" s="260"/>
      <c r="L2407" s="363"/>
      <c r="M2407" s="329"/>
      <c r="N2407" s="173" t="s">
        <v>679</v>
      </c>
      <c r="O2407" s="173"/>
      <c r="P2407" s="262" t="str">
        <f t="shared" si="1"/>
        <v>IN-BLR-ANANTA-VAV-1979_11</v>
      </c>
      <c r="Q2407" s="173" t="s">
        <v>8046</v>
      </c>
      <c r="R2407" s="328" t="str">
        <f>IFS(C2407="","",C2407="n/a","N/A",LEN(C2407),Concatenate("{",char(34),"asset",char(34),":{",char(34),"guid",char(34),":",char(34),Q2407,char(34),",",char(34),"site",char(34),":",char(34),LOWER('2-Building'!$B$4),char(34),",",char(34),"name",char(34),":",char(34),LOWER(C2407),char(34),"}}"))</f>
        <v>{"asset":{"guid":"uuid://a798eb6a-65e0-4e9e-8cb5-b484d30e66dd","site":"in-blr-ananta","name":"vav-1979"}}</v>
      </c>
      <c r="S2407" s="333"/>
      <c r="T2407" s="330"/>
      <c r="U2407" s="330"/>
      <c r="V2407" s="331"/>
      <c r="W2407" s="332"/>
      <c r="X2407" s="333"/>
      <c r="Y2407" s="33" t="s">
        <v>2867</v>
      </c>
      <c r="Z2407" s="258">
        <v>121979.0</v>
      </c>
      <c r="AA2407" s="333"/>
      <c r="AB2407" s="333"/>
      <c r="AC2407" s="333"/>
      <c r="AD2407" s="329"/>
      <c r="AE2407" s="331"/>
      <c r="AF2407" s="336"/>
      <c r="AG2407" s="337" t="str">
        <f>IFS(LEN(AF2407)=17,LOWER('2-Building'!$B$4 &amp; "-" &amp; C2407), AF2407="N/A", "N/A", LEN(AF2407)=0,"")</f>
        <v/>
      </c>
      <c r="AH2407" s="333"/>
      <c r="AI2407" s="333"/>
      <c r="AJ2407" s="333"/>
      <c r="AK2407" s="333"/>
      <c r="AL2407" s="333"/>
      <c r="AM2407" s="338"/>
      <c r="AN2407" s="333"/>
      <c r="AO2407" s="333"/>
      <c r="AP2407" s="333"/>
      <c r="AQ2407" s="333"/>
      <c r="AR2407" s="333"/>
      <c r="AS2407" s="333"/>
      <c r="AT2407" s="333"/>
      <c r="AU2407" s="329"/>
      <c r="AV2407" s="341"/>
      <c r="AW2407" s="269"/>
      <c r="AX2407" s="334" t="s">
        <v>2869</v>
      </c>
      <c r="AY2407" s="270" t="s">
        <v>695</v>
      </c>
      <c r="AZ2407" s="173" t="s">
        <v>5516</v>
      </c>
      <c r="BA2407" s="265">
        <v>10.0</v>
      </c>
      <c r="BB2407" s="174" t="s">
        <v>245</v>
      </c>
      <c r="BC2407" s="341"/>
      <c r="BD2407" s="308"/>
      <c r="BE2407" s="364" t="s">
        <v>8034</v>
      </c>
      <c r="BF2407" s="274" t="str">
        <f>IFERROR(__xludf.DUMMYFUNCTION("LOWER(Regexreplace(to_text(E2407),""[^A-Za-z0-9]"","""")&amp;""_""&amp;Regexreplace(to_text(F2407),""[^A-Za-z0-9]"",""""))"),"neptronic_evcbseries")</f>
        <v>neptronic_evcbseries</v>
      </c>
      <c r="BG2407" s="275" t="str">
        <f>IFERROR(__xludf.DUMMYFUNCTION("upper(Regexreplace(to_text(E2407),""[^A-Za-z0-9]"","""")&amp;""-""&amp;Regexreplace(to_text(F2407),""[^A-Za-z0-9]"",""""))"),"NEPTRONIC-EVCBSERIES")</f>
        <v>NEPTRONIC-EVCBSERIES</v>
      </c>
    </row>
    <row r="2408" ht="30.0" customHeight="1">
      <c r="A2408" s="258">
        <v>2400.0</v>
      </c>
      <c r="B2408" s="328" t="s">
        <v>670</v>
      </c>
      <c r="C2408" s="257" t="s">
        <v>8047</v>
      </c>
      <c r="D2408" s="173" t="s">
        <v>8047</v>
      </c>
      <c r="E2408" s="174" t="s">
        <v>2861</v>
      </c>
      <c r="F2408" s="173" t="s">
        <v>2862</v>
      </c>
      <c r="G2408" s="328" t="s">
        <v>673</v>
      </c>
      <c r="H2408" s="328" t="s">
        <v>2863</v>
      </c>
      <c r="I2408" s="258" t="s">
        <v>2864</v>
      </c>
      <c r="J2408" s="259" t="s">
        <v>1453</v>
      </c>
      <c r="K2408" s="260"/>
      <c r="L2408" s="363"/>
      <c r="M2408" s="329"/>
      <c r="N2408" s="173" t="s">
        <v>679</v>
      </c>
      <c r="O2408" s="173"/>
      <c r="P2408" s="262" t="str">
        <f t="shared" si="1"/>
        <v>IN-BLR-ANANTA-VAV-1980_11</v>
      </c>
      <c r="Q2408" s="173" t="s">
        <v>8048</v>
      </c>
      <c r="R2408" s="328" t="str">
        <f>IFS(C2408="","",C2408="n/a","N/A",LEN(C2408),Concatenate("{",char(34),"asset",char(34),":{",char(34),"guid",char(34),":",char(34),Q2408,char(34),",",char(34),"site",char(34),":",char(34),LOWER('2-Building'!$B$4),char(34),",",char(34),"name",char(34),":",char(34),LOWER(C2408),char(34),"}}"))</f>
        <v>{"asset":{"guid":"uuid://9101fcae-7348-44e6-9edb-02863470f782","site":"in-blr-ananta","name":"vav-1980"}}</v>
      </c>
      <c r="S2408" s="333"/>
      <c r="T2408" s="330"/>
      <c r="U2408" s="330"/>
      <c r="V2408" s="331"/>
      <c r="W2408" s="332"/>
      <c r="X2408" s="333"/>
      <c r="Y2408" s="33" t="s">
        <v>2867</v>
      </c>
      <c r="Z2408" s="258">
        <v>121980.0</v>
      </c>
      <c r="AA2408" s="333"/>
      <c r="AB2408" s="333"/>
      <c r="AC2408" s="333"/>
      <c r="AD2408" s="329"/>
      <c r="AE2408" s="331"/>
      <c r="AF2408" s="336"/>
      <c r="AG2408" s="337" t="str">
        <f>IFS(LEN(AF2408)=17,LOWER('2-Building'!$B$4 &amp; "-" &amp; C2408), AF2408="N/A", "N/A", LEN(AF2408)=0,"")</f>
        <v/>
      </c>
      <c r="AH2408" s="333"/>
      <c r="AI2408" s="333"/>
      <c r="AJ2408" s="333"/>
      <c r="AK2408" s="333"/>
      <c r="AL2408" s="333"/>
      <c r="AM2408" s="338"/>
      <c r="AN2408" s="333"/>
      <c r="AO2408" s="333"/>
      <c r="AP2408" s="333"/>
      <c r="AQ2408" s="333"/>
      <c r="AR2408" s="333"/>
      <c r="AS2408" s="333"/>
      <c r="AT2408" s="333"/>
      <c r="AU2408" s="329"/>
      <c r="AV2408" s="341"/>
      <c r="AW2408" s="269"/>
      <c r="AX2408" s="334" t="s">
        <v>2869</v>
      </c>
      <c r="AY2408" s="270" t="s">
        <v>695</v>
      </c>
      <c r="AZ2408" s="173" t="s">
        <v>5516</v>
      </c>
      <c r="BA2408" s="265">
        <v>10.0</v>
      </c>
      <c r="BB2408" s="174" t="s">
        <v>245</v>
      </c>
      <c r="BC2408" s="341"/>
      <c r="BD2408" s="308"/>
      <c r="BE2408" s="364" t="s">
        <v>8034</v>
      </c>
      <c r="BF2408" s="274" t="str">
        <f>IFERROR(__xludf.DUMMYFUNCTION("LOWER(Regexreplace(to_text(E2408),""[^A-Za-z0-9]"","""")&amp;""_""&amp;Regexreplace(to_text(F2408),""[^A-Za-z0-9]"",""""))"),"neptronic_evcbseries")</f>
        <v>neptronic_evcbseries</v>
      </c>
      <c r="BG2408" s="275" t="str">
        <f>IFERROR(__xludf.DUMMYFUNCTION("upper(Regexreplace(to_text(E2408),""[^A-Za-z0-9]"","""")&amp;""-""&amp;Regexreplace(to_text(F2408),""[^A-Za-z0-9]"",""""))"),"NEPTRONIC-EVCBSERIES")</f>
        <v>NEPTRONIC-EVCBSERIES</v>
      </c>
    </row>
    <row r="2409" ht="30.0" customHeight="1">
      <c r="A2409" s="173">
        <v>2401.0</v>
      </c>
      <c r="B2409" s="328" t="s">
        <v>670</v>
      </c>
      <c r="C2409" s="257" t="s">
        <v>8049</v>
      </c>
      <c r="D2409" s="173" t="s">
        <v>8049</v>
      </c>
      <c r="E2409" s="174" t="s">
        <v>2861</v>
      </c>
      <c r="F2409" s="173" t="s">
        <v>2862</v>
      </c>
      <c r="G2409" s="328" t="s">
        <v>673</v>
      </c>
      <c r="H2409" s="328" t="s">
        <v>2863</v>
      </c>
      <c r="I2409" s="258" t="s">
        <v>2864</v>
      </c>
      <c r="J2409" s="259" t="s">
        <v>1453</v>
      </c>
      <c r="K2409" s="260"/>
      <c r="L2409" s="363"/>
      <c r="M2409" s="329"/>
      <c r="N2409" s="173" t="s">
        <v>679</v>
      </c>
      <c r="O2409" s="173"/>
      <c r="P2409" s="262" t="str">
        <f t="shared" si="1"/>
        <v>IN-BLR-ANANTA-VAV-1981_11</v>
      </c>
      <c r="Q2409" s="173" t="s">
        <v>8050</v>
      </c>
      <c r="R2409" s="328" t="str">
        <f>IFS(C2409="","",C2409="n/a","N/A",LEN(C2409),Concatenate("{",char(34),"asset",char(34),":{",char(34),"guid",char(34),":",char(34),Q2409,char(34),",",char(34),"site",char(34),":",char(34),LOWER('2-Building'!$B$4),char(34),",",char(34),"name",char(34),":",char(34),LOWER(C2409),char(34),"}}"))</f>
        <v>{"asset":{"guid":"uuid://fe1d3b55-31d5-4eab-a87a-4fdc3448d515","site":"in-blr-ananta","name":"vav-1981"}}</v>
      </c>
      <c r="S2409" s="333"/>
      <c r="T2409" s="330"/>
      <c r="U2409" s="330"/>
      <c r="V2409" s="331"/>
      <c r="W2409" s="332"/>
      <c r="X2409" s="333"/>
      <c r="Y2409" s="33" t="s">
        <v>2867</v>
      </c>
      <c r="Z2409" s="258">
        <v>121981.0</v>
      </c>
      <c r="AA2409" s="333"/>
      <c r="AB2409" s="333"/>
      <c r="AC2409" s="333"/>
      <c r="AD2409" s="329"/>
      <c r="AE2409" s="331"/>
      <c r="AF2409" s="336"/>
      <c r="AG2409" s="337" t="str">
        <f>IFS(LEN(AF2409)=17,LOWER('2-Building'!$B$4 &amp; "-" &amp; C2409), AF2409="N/A", "N/A", LEN(AF2409)=0,"")</f>
        <v/>
      </c>
      <c r="AH2409" s="333"/>
      <c r="AI2409" s="333"/>
      <c r="AJ2409" s="333"/>
      <c r="AK2409" s="333"/>
      <c r="AL2409" s="333"/>
      <c r="AM2409" s="338"/>
      <c r="AN2409" s="333"/>
      <c r="AO2409" s="333"/>
      <c r="AP2409" s="333"/>
      <c r="AQ2409" s="333"/>
      <c r="AR2409" s="333"/>
      <c r="AS2409" s="333"/>
      <c r="AT2409" s="333"/>
      <c r="AU2409" s="329"/>
      <c r="AV2409" s="341"/>
      <c r="AW2409" s="269"/>
      <c r="AX2409" s="334" t="s">
        <v>2869</v>
      </c>
      <c r="AY2409" s="270" t="s">
        <v>695</v>
      </c>
      <c r="AZ2409" s="173" t="s">
        <v>5516</v>
      </c>
      <c r="BA2409" s="265">
        <v>10.0</v>
      </c>
      <c r="BB2409" s="174" t="s">
        <v>245</v>
      </c>
      <c r="BC2409" s="341"/>
      <c r="BD2409" s="308"/>
      <c r="BE2409" s="364" t="s">
        <v>8034</v>
      </c>
      <c r="BF2409" s="274" t="str">
        <f>IFERROR(__xludf.DUMMYFUNCTION("LOWER(Regexreplace(to_text(E2409),""[^A-Za-z0-9]"","""")&amp;""_""&amp;Regexreplace(to_text(F2409),""[^A-Za-z0-9]"",""""))"),"neptronic_evcbseries")</f>
        <v>neptronic_evcbseries</v>
      </c>
      <c r="BG2409" s="275" t="str">
        <f>IFERROR(__xludf.DUMMYFUNCTION("upper(Regexreplace(to_text(E2409),""[^A-Za-z0-9]"","""")&amp;""-""&amp;Regexreplace(to_text(F2409),""[^A-Za-z0-9]"",""""))"),"NEPTRONIC-EVCBSERIES")</f>
        <v>NEPTRONIC-EVCBSERIES</v>
      </c>
    </row>
    <row r="2410" ht="30.0" customHeight="1">
      <c r="A2410" s="258">
        <v>2402.0</v>
      </c>
      <c r="B2410" s="328" t="s">
        <v>670</v>
      </c>
      <c r="C2410" s="257" t="s">
        <v>8051</v>
      </c>
      <c r="D2410" s="173" t="s">
        <v>8051</v>
      </c>
      <c r="E2410" s="174" t="s">
        <v>2861</v>
      </c>
      <c r="F2410" s="173" t="s">
        <v>2862</v>
      </c>
      <c r="G2410" s="328" t="s">
        <v>673</v>
      </c>
      <c r="H2410" s="328" t="s">
        <v>2863</v>
      </c>
      <c r="I2410" s="258" t="s">
        <v>2864</v>
      </c>
      <c r="J2410" s="259" t="s">
        <v>1453</v>
      </c>
      <c r="K2410" s="260"/>
      <c r="L2410" s="363"/>
      <c r="M2410" s="329"/>
      <c r="N2410" s="173" t="s">
        <v>679</v>
      </c>
      <c r="O2410" s="173"/>
      <c r="P2410" s="262" t="str">
        <f t="shared" si="1"/>
        <v>IN-BLR-ANANTA-VAV-1982_11</v>
      </c>
      <c r="Q2410" s="173" t="s">
        <v>8052</v>
      </c>
      <c r="R2410" s="328" t="str">
        <f>IFS(C2410="","",C2410="n/a","N/A",LEN(C2410),Concatenate("{",char(34),"asset",char(34),":{",char(34),"guid",char(34),":",char(34),Q2410,char(34),",",char(34),"site",char(34),":",char(34),LOWER('2-Building'!$B$4),char(34),",",char(34),"name",char(34),":",char(34),LOWER(C2410),char(34),"}}"))</f>
        <v>{"asset":{"guid":"uuid://a7d1ab88-8058-4a26-ba73-fd092f7f1d83","site":"in-blr-ananta","name":"vav-1982"}}</v>
      </c>
      <c r="S2410" s="333"/>
      <c r="T2410" s="330"/>
      <c r="U2410" s="330"/>
      <c r="V2410" s="331"/>
      <c r="W2410" s="332"/>
      <c r="X2410" s="333"/>
      <c r="Y2410" s="33" t="s">
        <v>2867</v>
      </c>
      <c r="Z2410" s="258">
        <v>121982.0</v>
      </c>
      <c r="AA2410" s="333"/>
      <c r="AB2410" s="333"/>
      <c r="AC2410" s="333"/>
      <c r="AD2410" s="329"/>
      <c r="AE2410" s="331"/>
      <c r="AF2410" s="336"/>
      <c r="AG2410" s="337" t="str">
        <f>IFS(LEN(AF2410)=17,LOWER('2-Building'!$B$4 &amp; "-" &amp; C2410), AF2410="N/A", "N/A", LEN(AF2410)=0,"")</f>
        <v/>
      </c>
      <c r="AH2410" s="333"/>
      <c r="AI2410" s="333"/>
      <c r="AJ2410" s="333"/>
      <c r="AK2410" s="333"/>
      <c r="AL2410" s="333"/>
      <c r="AM2410" s="338"/>
      <c r="AN2410" s="333"/>
      <c r="AO2410" s="333"/>
      <c r="AP2410" s="333"/>
      <c r="AQ2410" s="333"/>
      <c r="AR2410" s="333"/>
      <c r="AS2410" s="333"/>
      <c r="AT2410" s="333"/>
      <c r="AU2410" s="329"/>
      <c r="AV2410" s="341"/>
      <c r="AW2410" s="269"/>
      <c r="AX2410" s="334" t="s">
        <v>2869</v>
      </c>
      <c r="AY2410" s="270" t="s">
        <v>695</v>
      </c>
      <c r="AZ2410" s="173" t="s">
        <v>5516</v>
      </c>
      <c r="BA2410" s="265">
        <v>10.0</v>
      </c>
      <c r="BB2410" s="174" t="s">
        <v>245</v>
      </c>
      <c r="BC2410" s="341"/>
      <c r="BD2410" s="308"/>
      <c r="BE2410" s="364" t="s">
        <v>8034</v>
      </c>
      <c r="BF2410" s="274" t="str">
        <f>IFERROR(__xludf.DUMMYFUNCTION("LOWER(Regexreplace(to_text(E2410),""[^A-Za-z0-9]"","""")&amp;""_""&amp;Regexreplace(to_text(F2410),""[^A-Za-z0-9]"",""""))"),"neptronic_evcbseries")</f>
        <v>neptronic_evcbseries</v>
      </c>
      <c r="BG2410" s="275" t="str">
        <f>IFERROR(__xludf.DUMMYFUNCTION("upper(Regexreplace(to_text(E2410),""[^A-Za-z0-9]"","""")&amp;""-""&amp;Regexreplace(to_text(F2410),""[^A-Za-z0-9]"",""""))"),"NEPTRONIC-EVCBSERIES")</f>
        <v>NEPTRONIC-EVCBSERIES</v>
      </c>
    </row>
    <row r="2411" ht="30.0" customHeight="1">
      <c r="A2411" s="173">
        <v>2403.0</v>
      </c>
      <c r="B2411" s="328" t="s">
        <v>670</v>
      </c>
      <c r="C2411" s="257" t="s">
        <v>8053</v>
      </c>
      <c r="D2411" s="173" t="s">
        <v>8053</v>
      </c>
      <c r="E2411" s="174" t="s">
        <v>2861</v>
      </c>
      <c r="F2411" s="173" t="s">
        <v>2862</v>
      </c>
      <c r="G2411" s="328" t="s">
        <v>673</v>
      </c>
      <c r="H2411" s="328" t="s">
        <v>2863</v>
      </c>
      <c r="I2411" s="258" t="s">
        <v>2864</v>
      </c>
      <c r="J2411" s="259" t="s">
        <v>1453</v>
      </c>
      <c r="K2411" s="260"/>
      <c r="L2411" s="363"/>
      <c r="M2411" s="329"/>
      <c r="N2411" s="173" t="s">
        <v>679</v>
      </c>
      <c r="O2411" s="173"/>
      <c r="P2411" s="262" t="str">
        <f t="shared" si="1"/>
        <v>IN-BLR-ANANTA-VAV-1983_11</v>
      </c>
      <c r="Q2411" s="173" t="s">
        <v>8054</v>
      </c>
      <c r="R2411" s="328" t="str">
        <f>IFS(C2411="","",C2411="n/a","N/A",LEN(C2411),Concatenate("{",char(34),"asset",char(34),":{",char(34),"guid",char(34),":",char(34),Q2411,char(34),",",char(34),"site",char(34),":",char(34),LOWER('2-Building'!$B$4),char(34),",",char(34),"name",char(34),":",char(34),LOWER(C2411),char(34),"}}"))</f>
        <v>{"asset":{"guid":"uuid://bc6fc8a7-3c6e-49d7-a84f-f21c27dad063","site":"in-blr-ananta","name":"vav-1983"}}</v>
      </c>
      <c r="S2411" s="333"/>
      <c r="T2411" s="330"/>
      <c r="U2411" s="330"/>
      <c r="V2411" s="331"/>
      <c r="W2411" s="332"/>
      <c r="X2411" s="333"/>
      <c r="Y2411" s="33" t="s">
        <v>2867</v>
      </c>
      <c r="Z2411" s="258">
        <v>121983.0</v>
      </c>
      <c r="AA2411" s="333"/>
      <c r="AB2411" s="333"/>
      <c r="AC2411" s="333"/>
      <c r="AD2411" s="329"/>
      <c r="AE2411" s="331"/>
      <c r="AF2411" s="336"/>
      <c r="AG2411" s="337" t="str">
        <f>IFS(LEN(AF2411)=17,LOWER('2-Building'!$B$4 &amp; "-" &amp; C2411), AF2411="N/A", "N/A", LEN(AF2411)=0,"")</f>
        <v/>
      </c>
      <c r="AH2411" s="333"/>
      <c r="AI2411" s="333"/>
      <c r="AJ2411" s="333"/>
      <c r="AK2411" s="333"/>
      <c r="AL2411" s="333"/>
      <c r="AM2411" s="338"/>
      <c r="AN2411" s="333"/>
      <c r="AO2411" s="333"/>
      <c r="AP2411" s="333"/>
      <c r="AQ2411" s="333"/>
      <c r="AR2411" s="333"/>
      <c r="AS2411" s="333"/>
      <c r="AT2411" s="333"/>
      <c r="AU2411" s="329"/>
      <c r="AV2411" s="341"/>
      <c r="AW2411" s="269"/>
      <c r="AX2411" s="334" t="s">
        <v>2869</v>
      </c>
      <c r="AY2411" s="270" t="s">
        <v>695</v>
      </c>
      <c r="AZ2411" s="173" t="s">
        <v>5516</v>
      </c>
      <c r="BA2411" s="265">
        <v>10.0</v>
      </c>
      <c r="BB2411" s="174" t="s">
        <v>245</v>
      </c>
      <c r="BC2411" s="341"/>
      <c r="BD2411" s="308"/>
      <c r="BE2411" s="364" t="s">
        <v>8034</v>
      </c>
      <c r="BF2411" s="274" t="str">
        <f>IFERROR(__xludf.DUMMYFUNCTION("LOWER(Regexreplace(to_text(E2411),""[^A-Za-z0-9]"","""")&amp;""_""&amp;Regexreplace(to_text(F2411),""[^A-Za-z0-9]"",""""))"),"neptronic_evcbseries")</f>
        <v>neptronic_evcbseries</v>
      </c>
      <c r="BG2411" s="275" t="str">
        <f>IFERROR(__xludf.DUMMYFUNCTION("upper(Regexreplace(to_text(E2411),""[^A-Za-z0-9]"","""")&amp;""-""&amp;Regexreplace(to_text(F2411),""[^A-Za-z0-9]"",""""))"),"NEPTRONIC-EVCBSERIES")</f>
        <v>NEPTRONIC-EVCBSERIES</v>
      </c>
    </row>
    <row r="2412" ht="30.0" customHeight="1">
      <c r="A2412" s="258">
        <v>2404.0</v>
      </c>
      <c r="B2412" s="328" t="s">
        <v>670</v>
      </c>
      <c r="C2412" s="257" t="s">
        <v>8055</v>
      </c>
      <c r="D2412" s="173" t="s">
        <v>8055</v>
      </c>
      <c r="E2412" s="174" t="s">
        <v>2861</v>
      </c>
      <c r="F2412" s="173" t="s">
        <v>2862</v>
      </c>
      <c r="G2412" s="328" t="s">
        <v>673</v>
      </c>
      <c r="H2412" s="328" t="s">
        <v>2863</v>
      </c>
      <c r="I2412" s="258" t="s">
        <v>2864</v>
      </c>
      <c r="J2412" s="259" t="s">
        <v>1453</v>
      </c>
      <c r="K2412" s="260"/>
      <c r="L2412" s="363"/>
      <c r="M2412" s="329"/>
      <c r="N2412" s="173" t="s">
        <v>679</v>
      </c>
      <c r="O2412" s="173"/>
      <c r="P2412" s="262" t="str">
        <f t="shared" si="1"/>
        <v>IN-BLR-ANANTA-VAV-1984_11</v>
      </c>
      <c r="Q2412" s="173" t="s">
        <v>8056</v>
      </c>
      <c r="R2412" s="328" t="str">
        <f>IFS(C2412="","",C2412="n/a","N/A",LEN(C2412),Concatenate("{",char(34),"asset",char(34),":{",char(34),"guid",char(34),":",char(34),Q2412,char(34),",",char(34),"site",char(34),":",char(34),LOWER('2-Building'!$B$4),char(34),",",char(34),"name",char(34),":",char(34),LOWER(C2412),char(34),"}}"))</f>
        <v>{"asset":{"guid":"uuid://24fbbd9e-c70f-4ef3-9c16-c5766b3a8baf","site":"in-blr-ananta","name":"vav-1984"}}</v>
      </c>
      <c r="S2412" s="333"/>
      <c r="T2412" s="330"/>
      <c r="U2412" s="330"/>
      <c r="V2412" s="331"/>
      <c r="W2412" s="332"/>
      <c r="X2412" s="333"/>
      <c r="Y2412" s="33" t="s">
        <v>2867</v>
      </c>
      <c r="Z2412" s="258">
        <v>121984.0</v>
      </c>
      <c r="AA2412" s="333"/>
      <c r="AB2412" s="333"/>
      <c r="AC2412" s="333"/>
      <c r="AD2412" s="329"/>
      <c r="AE2412" s="331"/>
      <c r="AF2412" s="336"/>
      <c r="AG2412" s="337" t="str">
        <f>IFS(LEN(AF2412)=17,LOWER('2-Building'!$B$4 &amp; "-" &amp; C2412), AF2412="N/A", "N/A", LEN(AF2412)=0,"")</f>
        <v/>
      </c>
      <c r="AH2412" s="333"/>
      <c r="AI2412" s="333"/>
      <c r="AJ2412" s="333"/>
      <c r="AK2412" s="333"/>
      <c r="AL2412" s="333"/>
      <c r="AM2412" s="338"/>
      <c r="AN2412" s="333"/>
      <c r="AO2412" s="333"/>
      <c r="AP2412" s="333"/>
      <c r="AQ2412" s="333"/>
      <c r="AR2412" s="333"/>
      <c r="AS2412" s="333"/>
      <c r="AT2412" s="333"/>
      <c r="AU2412" s="329"/>
      <c r="AV2412" s="341"/>
      <c r="AW2412" s="269"/>
      <c r="AX2412" s="334" t="s">
        <v>2869</v>
      </c>
      <c r="AY2412" s="270" t="s">
        <v>695</v>
      </c>
      <c r="AZ2412" s="173" t="s">
        <v>5516</v>
      </c>
      <c r="BA2412" s="265">
        <v>10.0</v>
      </c>
      <c r="BB2412" s="174" t="s">
        <v>245</v>
      </c>
      <c r="BC2412" s="341"/>
      <c r="BD2412" s="308"/>
      <c r="BE2412" s="364" t="s">
        <v>8034</v>
      </c>
      <c r="BF2412" s="274" t="str">
        <f>IFERROR(__xludf.DUMMYFUNCTION("LOWER(Regexreplace(to_text(E2412),""[^A-Za-z0-9]"","""")&amp;""_""&amp;Regexreplace(to_text(F2412),""[^A-Za-z0-9]"",""""))"),"neptronic_evcbseries")</f>
        <v>neptronic_evcbseries</v>
      </c>
      <c r="BG2412" s="275" t="str">
        <f>IFERROR(__xludf.DUMMYFUNCTION("upper(Regexreplace(to_text(E2412),""[^A-Za-z0-9]"","""")&amp;""-""&amp;Regexreplace(to_text(F2412),""[^A-Za-z0-9]"",""""))"),"NEPTRONIC-EVCBSERIES")</f>
        <v>NEPTRONIC-EVCBSERIES</v>
      </c>
    </row>
    <row r="2413" ht="30.0" customHeight="1">
      <c r="A2413" s="173">
        <v>2405.0</v>
      </c>
      <c r="B2413" s="328" t="s">
        <v>670</v>
      </c>
      <c r="C2413" s="257" t="s">
        <v>8057</v>
      </c>
      <c r="D2413" s="173" t="s">
        <v>8057</v>
      </c>
      <c r="E2413" s="174" t="s">
        <v>2861</v>
      </c>
      <c r="F2413" s="173" t="s">
        <v>2862</v>
      </c>
      <c r="G2413" s="328" t="s">
        <v>673</v>
      </c>
      <c r="H2413" s="328" t="s">
        <v>2863</v>
      </c>
      <c r="I2413" s="258" t="s">
        <v>2864</v>
      </c>
      <c r="J2413" s="259" t="s">
        <v>1453</v>
      </c>
      <c r="K2413" s="260"/>
      <c r="L2413" s="363"/>
      <c r="M2413" s="329"/>
      <c r="N2413" s="173" t="s">
        <v>679</v>
      </c>
      <c r="O2413" s="173"/>
      <c r="P2413" s="262" t="str">
        <f t="shared" si="1"/>
        <v>IN-BLR-ANANTA-VAV-1985_11</v>
      </c>
      <c r="Q2413" s="173" t="s">
        <v>8058</v>
      </c>
      <c r="R2413" s="328" t="str">
        <f>IFS(C2413="","",C2413="n/a","N/A",LEN(C2413),Concatenate("{",char(34),"asset",char(34),":{",char(34),"guid",char(34),":",char(34),Q2413,char(34),",",char(34),"site",char(34),":",char(34),LOWER('2-Building'!$B$4),char(34),",",char(34),"name",char(34),":",char(34),LOWER(C2413),char(34),"}}"))</f>
        <v>{"asset":{"guid":"uuid://9a908b97-5e3e-4d63-82a5-cf76c797bc60","site":"in-blr-ananta","name":"vav-1985"}}</v>
      </c>
      <c r="S2413" s="333"/>
      <c r="T2413" s="330"/>
      <c r="U2413" s="330"/>
      <c r="V2413" s="331"/>
      <c r="W2413" s="332"/>
      <c r="X2413" s="333"/>
      <c r="Y2413" s="33" t="s">
        <v>2867</v>
      </c>
      <c r="Z2413" s="258">
        <v>121985.0</v>
      </c>
      <c r="AA2413" s="333"/>
      <c r="AB2413" s="333"/>
      <c r="AC2413" s="333"/>
      <c r="AD2413" s="329"/>
      <c r="AE2413" s="331"/>
      <c r="AF2413" s="336"/>
      <c r="AG2413" s="337" t="str">
        <f>IFS(LEN(AF2413)=17,LOWER('2-Building'!$B$4 &amp; "-" &amp; C2413), AF2413="N/A", "N/A", LEN(AF2413)=0,"")</f>
        <v/>
      </c>
      <c r="AH2413" s="333"/>
      <c r="AI2413" s="333"/>
      <c r="AJ2413" s="333"/>
      <c r="AK2413" s="333"/>
      <c r="AL2413" s="333"/>
      <c r="AM2413" s="338"/>
      <c r="AN2413" s="333"/>
      <c r="AO2413" s="333"/>
      <c r="AP2413" s="333"/>
      <c r="AQ2413" s="333"/>
      <c r="AR2413" s="333"/>
      <c r="AS2413" s="333"/>
      <c r="AT2413" s="333"/>
      <c r="AU2413" s="329"/>
      <c r="AV2413" s="341"/>
      <c r="AW2413" s="269"/>
      <c r="AX2413" s="334" t="s">
        <v>2869</v>
      </c>
      <c r="AY2413" s="270" t="s">
        <v>695</v>
      </c>
      <c r="AZ2413" s="173" t="s">
        <v>5516</v>
      </c>
      <c r="BA2413" s="265">
        <v>10.0</v>
      </c>
      <c r="BB2413" s="174" t="s">
        <v>245</v>
      </c>
      <c r="BC2413" s="341"/>
      <c r="BD2413" s="308"/>
      <c r="BE2413" s="364" t="s">
        <v>8034</v>
      </c>
      <c r="BF2413" s="274" t="str">
        <f>IFERROR(__xludf.DUMMYFUNCTION("LOWER(Regexreplace(to_text(E2413),""[^A-Za-z0-9]"","""")&amp;""_""&amp;Regexreplace(to_text(F2413),""[^A-Za-z0-9]"",""""))"),"neptronic_evcbseries")</f>
        <v>neptronic_evcbseries</v>
      </c>
      <c r="BG2413" s="275" t="str">
        <f>IFERROR(__xludf.DUMMYFUNCTION("upper(Regexreplace(to_text(E2413),""[^A-Za-z0-9]"","""")&amp;""-""&amp;Regexreplace(to_text(F2413),""[^A-Za-z0-9]"",""""))"),"NEPTRONIC-EVCBSERIES")</f>
        <v>NEPTRONIC-EVCBSERIES</v>
      </c>
    </row>
    <row r="2414" ht="30.0" customHeight="1">
      <c r="A2414" s="258">
        <v>2406.0</v>
      </c>
      <c r="B2414" s="328" t="s">
        <v>670</v>
      </c>
      <c r="C2414" s="257" t="s">
        <v>8059</v>
      </c>
      <c r="D2414" s="173" t="s">
        <v>8059</v>
      </c>
      <c r="E2414" s="174" t="s">
        <v>2861</v>
      </c>
      <c r="F2414" s="173" t="s">
        <v>2862</v>
      </c>
      <c r="G2414" s="328" t="s">
        <v>673</v>
      </c>
      <c r="H2414" s="328" t="s">
        <v>2863</v>
      </c>
      <c r="I2414" s="258" t="s">
        <v>2864</v>
      </c>
      <c r="J2414" s="259" t="s">
        <v>1453</v>
      </c>
      <c r="K2414" s="260"/>
      <c r="L2414" s="363"/>
      <c r="M2414" s="329"/>
      <c r="N2414" s="173" t="s">
        <v>679</v>
      </c>
      <c r="O2414" s="173"/>
      <c r="P2414" s="262" t="str">
        <f t="shared" si="1"/>
        <v>IN-BLR-ANANTA-VAV-1986_11</v>
      </c>
      <c r="Q2414" s="173" t="s">
        <v>8060</v>
      </c>
      <c r="R2414" s="328" t="str">
        <f>IFS(C2414="","",C2414="n/a","N/A",LEN(C2414),Concatenate("{",char(34),"asset",char(34),":{",char(34),"guid",char(34),":",char(34),Q2414,char(34),",",char(34),"site",char(34),":",char(34),LOWER('2-Building'!$B$4),char(34),",",char(34),"name",char(34),":",char(34),LOWER(C2414),char(34),"}}"))</f>
        <v>{"asset":{"guid":"uuid://66be4453-966e-4cab-89d1-84ef162f6f6a","site":"in-blr-ananta","name":"vav-1986"}}</v>
      </c>
      <c r="S2414" s="333"/>
      <c r="T2414" s="330"/>
      <c r="U2414" s="330"/>
      <c r="V2414" s="331"/>
      <c r="W2414" s="332"/>
      <c r="X2414" s="333"/>
      <c r="Y2414" s="33" t="s">
        <v>2867</v>
      </c>
      <c r="Z2414" s="258">
        <v>121986.0</v>
      </c>
      <c r="AA2414" s="333"/>
      <c r="AB2414" s="333"/>
      <c r="AC2414" s="333"/>
      <c r="AD2414" s="329"/>
      <c r="AE2414" s="331"/>
      <c r="AF2414" s="336"/>
      <c r="AG2414" s="337" t="str">
        <f>IFS(LEN(AF2414)=17,LOWER('2-Building'!$B$4 &amp; "-" &amp; C2414), AF2414="N/A", "N/A", LEN(AF2414)=0,"")</f>
        <v/>
      </c>
      <c r="AH2414" s="333"/>
      <c r="AI2414" s="333"/>
      <c r="AJ2414" s="333"/>
      <c r="AK2414" s="333"/>
      <c r="AL2414" s="333"/>
      <c r="AM2414" s="338"/>
      <c r="AN2414" s="333"/>
      <c r="AO2414" s="333"/>
      <c r="AP2414" s="333"/>
      <c r="AQ2414" s="333"/>
      <c r="AR2414" s="333"/>
      <c r="AS2414" s="333"/>
      <c r="AT2414" s="333"/>
      <c r="AU2414" s="329"/>
      <c r="AV2414" s="341"/>
      <c r="AW2414" s="269"/>
      <c r="AX2414" s="334" t="s">
        <v>2869</v>
      </c>
      <c r="AY2414" s="270" t="s">
        <v>695</v>
      </c>
      <c r="AZ2414" s="173" t="s">
        <v>5516</v>
      </c>
      <c r="BA2414" s="265">
        <v>10.0</v>
      </c>
      <c r="BB2414" s="174" t="s">
        <v>245</v>
      </c>
      <c r="BC2414" s="341"/>
      <c r="BD2414" s="308"/>
      <c r="BE2414" s="364" t="s">
        <v>8034</v>
      </c>
      <c r="BF2414" s="274" t="str">
        <f>IFERROR(__xludf.DUMMYFUNCTION("LOWER(Regexreplace(to_text(E2414),""[^A-Za-z0-9]"","""")&amp;""_""&amp;Regexreplace(to_text(F2414),""[^A-Za-z0-9]"",""""))"),"neptronic_evcbseries")</f>
        <v>neptronic_evcbseries</v>
      </c>
      <c r="BG2414" s="275" t="str">
        <f>IFERROR(__xludf.DUMMYFUNCTION("upper(Regexreplace(to_text(E2414),""[^A-Za-z0-9]"","""")&amp;""-""&amp;Regexreplace(to_text(F2414),""[^A-Za-z0-9]"",""""))"),"NEPTRONIC-EVCBSERIES")</f>
        <v>NEPTRONIC-EVCBSERIES</v>
      </c>
    </row>
    <row r="2415" ht="30.0" customHeight="1">
      <c r="A2415" s="173">
        <v>2407.0</v>
      </c>
      <c r="B2415" s="328" t="s">
        <v>670</v>
      </c>
      <c r="C2415" s="257" t="s">
        <v>8061</v>
      </c>
      <c r="D2415" s="173" t="s">
        <v>8061</v>
      </c>
      <c r="E2415" s="174" t="s">
        <v>2861</v>
      </c>
      <c r="F2415" s="173" t="s">
        <v>2862</v>
      </c>
      <c r="G2415" s="328" t="s">
        <v>673</v>
      </c>
      <c r="H2415" s="328" t="s">
        <v>2863</v>
      </c>
      <c r="I2415" s="258" t="s">
        <v>2864</v>
      </c>
      <c r="J2415" s="259" t="s">
        <v>1453</v>
      </c>
      <c r="K2415" s="260"/>
      <c r="L2415" s="363"/>
      <c r="M2415" s="329"/>
      <c r="N2415" s="173" t="s">
        <v>679</v>
      </c>
      <c r="O2415" s="173"/>
      <c r="P2415" s="262" t="str">
        <f t="shared" si="1"/>
        <v>IN-BLR-ANANTA-VAV-1987_11</v>
      </c>
      <c r="Q2415" s="173" t="s">
        <v>8062</v>
      </c>
      <c r="R2415" s="328" t="str">
        <f>IFS(C2415="","",C2415="n/a","N/A",LEN(C2415),Concatenate("{",char(34),"asset",char(34),":{",char(34),"guid",char(34),":",char(34),Q2415,char(34),",",char(34),"site",char(34),":",char(34),LOWER('2-Building'!$B$4),char(34),",",char(34),"name",char(34),":",char(34),LOWER(C2415),char(34),"}}"))</f>
        <v>{"asset":{"guid":"uuid://8f4d1549-96a3-477e-957e-b152f302c017","site":"in-blr-ananta","name":"vav-1987"}}</v>
      </c>
      <c r="S2415" s="333"/>
      <c r="T2415" s="330"/>
      <c r="U2415" s="330"/>
      <c r="V2415" s="331"/>
      <c r="W2415" s="332"/>
      <c r="X2415" s="333"/>
      <c r="Y2415" s="33" t="s">
        <v>2867</v>
      </c>
      <c r="Z2415" s="258">
        <v>121987.0</v>
      </c>
      <c r="AA2415" s="333"/>
      <c r="AB2415" s="333"/>
      <c r="AC2415" s="333"/>
      <c r="AD2415" s="329"/>
      <c r="AE2415" s="331"/>
      <c r="AF2415" s="336"/>
      <c r="AG2415" s="337" t="str">
        <f>IFS(LEN(AF2415)=17,LOWER('2-Building'!$B$4 &amp; "-" &amp; C2415), AF2415="N/A", "N/A", LEN(AF2415)=0,"")</f>
        <v/>
      </c>
      <c r="AH2415" s="333"/>
      <c r="AI2415" s="333"/>
      <c r="AJ2415" s="333"/>
      <c r="AK2415" s="333"/>
      <c r="AL2415" s="333"/>
      <c r="AM2415" s="338"/>
      <c r="AN2415" s="333"/>
      <c r="AO2415" s="333"/>
      <c r="AP2415" s="333"/>
      <c r="AQ2415" s="333"/>
      <c r="AR2415" s="333"/>
      <c r="AS2415" s="333"/>
      <c r="AT2415" s="333"/>
      <c r="AU2415" s="329"/>
      <c r="AV2415" s="341"/>
      <c r="AW2415" s="269"/>
      <c r="AX2415" s="334" t="s">
        <v>2869</v>
      </c>
      <c r="AY2415" s="270" t="s">
        <v>695</v>
      </c>
      <c r="AZ2415" s="173" t="s">
        <v>5516</v>
      </c>
      <c r="BA2415" s="265">
        <v>10.0</v>
      </c>
      <c r="BB2415" s="174" t="s">
        <v>245</v>
      </c>
      <c r="BC2415" s="341"/>
      <c r="BD2415" s="308"/>
      <c r="BE2415" s="364" t="s">
        <v>8034</v>
      </c>
      <c r="BF2415" s="274" t="str">
        <f>IFERROR(__xludf.DUMMYFUNCTION("LOWER(Regexreplace(to_text(E2415),""[^A-Za-z0-9]"","""")&amp;""_""&amp;Regexreplace(to_text(F2415),""[^A-Za-z0-9]"",""""))"),"neptronic_evcbseries")</f>
        <v>neptronic_evcbseries</v>
      </c>
      <c r="BG2415" s="275" t="str">
        <f>IFERROR(__xludf.DUMMYFUNCTION("upper(Regexreplace(to_text(E2415),""[^A-Za-z0-9]"","""")&amp;""-""&amp;Regexreplace(to_text(F2415),""[^A-Za-z0-9]"",""""))"),"NEPTRONIC-EVCBSERIES")</f>
        <v>NEPTRONIC-EVCBSERIES</v>
      </c>
    </row>
    <row r="2416" ht="30.0" customHeight="1">
      <c r="A2416" s="258">
        <v>2408.0</v>
      </c>
      <c r="B2416" s="328" t="s">
        <v>670</v>
      </c>
      <c r="C2416" s="257" t="s">
        <v>8063</v>
      </c>
      <c r="D2416" s="173" t="s">
        <v>8063</v>
      </c>
      <c r="E2416" s="174" t="s">
        <v>2861</v>
      </c>
      <c r="F2416" s="173" t="s">
        <v>2862</v>
      </c>
      <c r="G2416" s="328" t="s">
        <v>673</v>
      </c>
      <c r="H2416" s="328" t="s">
        <v>2863</v>
      </c>
      <c r="I2416" s="258" t="s">
        <v>2864</v>
      </c>
      <c r="J2416" s="259" t="s">
        <v>1453</v>
      </c>
      <c r="K2416" s="260"/>
      <c r="L2416" s="363"/>
      <c r="M2416" s="329"/>
      <c r="N2416" s="173" t="s">
        <v>679</v>
      </c>
      <c r="O2416" s="173"/>
      <c r="P2416" s="262" t="str">
        <f t="shared" si="1"/>
        <v>IN-BLR-ANANTA-VAV-1988_11</v>
      </c>
      <c r="Q2416" s="173" t="s">
        <v>8064</v>
      </c>
      <c r="R2416" s="328" t="str">
        <f>IFS(C2416="","",C2416="n/a","N/A",LEN(C2416),Concatenate("{",char(34),"asset",char(34),":{",char(34),"guid",char(34),":",char(34),Q2416,char(34),",",char(34),"site",char(34),":",char(34),LOWER('2-Building'!$B$4),char(34),",",char(34),"name",char(34),":",char(34),LOWER(C2416),char(34),"}}"))</f>
        <v>{"asset":{"guid":"uuid://22cf0202-9d99-4937-b6af-05c7264d99f1","site":"in-blr-ananta","name":"vav-1988"}}</v>
      </c>
      <c r="S2416" s="333"/>
      <c r="T2416" s="330"/>
      <c r="U2416" s="330"/>
      <c r="V2416" s="331"/>
      <c r="W2416" s="332"/>
      <c r="X2416" s="333"/>
      <c r="Y2416" s="33" t="s">
        <v>2867</v>
      </c>
      <c r="Z2416" s="258">
        <v>121988.0</v>
      </c>
      <c r="AA2416" s="333"/>
      <c r="AB2416" s="333"/>
      <c r="AC2416" s="333"/>
      <c r="AD2416" s="329"/>
      <c r="AE2416" s="331"/>
      <c r="AF2416" s="336"/>
      <c r="AG2416" s="337" t="str">
        <f>IFS(LEN(AF2416)=17,LOWER('2-Building'!$B$4 &amp; "-" &amp; C2416), AF2416="N/A", "N/A", LEN(AF2416)=0,"")</f>
        <v/>
      </c>
      <c r="AH2416" s="333"/>
      <c r="AI2416" s="333"/>
      <c r="AJ2416" s="333"/>
      <c r="AK2416" s="333"/>
      <c r="AL2416" s="333"/>
      <c r="AM2416" s="338"/>
      <c r="AN2416" s="333"/>
      <c r="AO2416" s="333"/>
      <c r="AP2416" s="333"/>
      <c r="AQ2416" s="333"/>
      <c r="AR2416" s="333"/>
      <c r="AS2416" s="333"/>
      <c r="AT2416" s="333"/>
      <c r="AU2416" s="329"/>
      <c r="AV2416" s="341"/>
      <c r="AW2416" s="269"/>
      <c r="AX2416" s="334" t="s">
        <v>2869</v>
      </c>
      <c r="AY2416" s="270" t="s">
        <v>695</v>
      </c>
      <c r="AZ2416" s="173" t="s">
        <v>5516</v>
      </c>
      <c r="BA2416" s="265">
        <v>10.0</v>
      </c>
      <c r="BB2416" s="174" t="s">
        <v>245</v>
      </c>
      <c r="BC2416" s="341"/>
      <c r="BD2416" s="308"/>
      <c r="BE2416" s="364" t="s">
        <v>8034</v>
      </c>
      <c r="BF2416" s="274" t="str">
        <f>IFERROR(__xludf.DUMMYFUNCTION("LOWER(Regexreplace(to_text(E2416),""[^A-Za-z0-9]"","""")&amp;""_""&amp;Regexreplace(to_text(F2416),""[^A-Za-z0-9]"",""""))"),"neptronic_evcbseries")</f>
        <v>neptronic_evcbseries</v>
      </c>
      <c r="BG2416" s="275" t="str">
        <f>IFERROR(__xludf.DUMMYFUNCTION("upper(Regexreplace(to_text(E2416),""[^A-Za-z0-9]"","""")&amp;""-""&amp;Regexreplace(to_text(F2416),""[^A-Za-z0-9]"",""""))"),"NEPTRONIC-EVCBSERIES")</f>
        <v>NEPTRONIC-EVCBSERIES</v>
      </c>
    </row>
    <row r="2417" ht="30.0" customHeight="1">
      <c r="A2417" s="173">
        <v>2409.0</v>
      </c>
      <c r="B2417" s="328" t="s">
        <v>670</v>
      </c>
      <c r="C2417" s="257" t="s">
        <v>8065</v>
      </c>
      <c r="D2417" s="173" t="s">
        <v>8065</v>
      </c>
      <c r="E2417" s="174" t="s">
        <v>2861</v>
      </c>
      <c r="F2417" s="173" t="s">
        <v>2862</v>
      </c>
      <c r="G2417" s="328" t="s">
        <v>673</v>
      </c>
      <c r="H2417" s="328" t="s">
        <v>2863</v>
      </c>
      <c r="I2417" s="258" t="s">
        <v>2864</v>
      </c>
      <c r="J2417" s="259" t="s">
        <v>1453</v>
      </c>
      <c r="K2417" s="260"/>
      <c r="L2417" s="363"/>
      <c r="M2417" s="329"/>
      <c r="N2417" s="173" t="s">
        <v>679</v>
      </c>
      <c r="O2417" s="173"/>
      <c r="P2417" s="262" t="str">
        <f t="shared" si="1"/>
        <v>IN-BLR-ANANTA-VAV-1989_11</v>
      </c>
      <c r="Q2417" s="173" t="s">
        <v>8066</v>
      </c>
      <c r="R2417" s="328" t="str">
        <f>IFS(C2417="","",C2417="n/a","N/A",LEN(C2417),Concatenate("{",char(34),"asset",char(34),":{",char(34),"guid",char(34),":",char(34),Q2417,char(34),",",char(34),"site",char(34),":",char(34),LOWER('2-Building'!$B$4),char(34),",",char(34),"name",char(34),":",char(34),LOWER(C2417),char(34),"}}"))</f>
        <v>{"asset":{"guid":"uuid://89097c5b-a28e-4210-bb5f-0e00562045d1","site":"in-blr-ananta","name":"vav-1989"}}</v>
      </c>
      <c r="S2417" s="333"/>
      <c r="T2417" s="330"/>
      <c r="U2417" s="330"/>
      <c r="V2417" s="331"/>
      <c r="W2417" s="332"/>
      <c r="X2417" s="333"/>
      <c r="Y2417" s="33" t="s">
        <v>2867</v>
      </c>
      <c r="Z2417" s="258">
        <v>121989.0</v>
      </c>
      <c r="AA2417" s="333"/>
      <c r="AB2417" s="333"/>
      <c r="AC2417" s="333"/>
      <c r="AD2417" s="329"/>
      <c r="AE2417" s="331"/>
      <c r="AF2417" s="336"/>
      <c r="AG2417" s="337" t="str">
        <f>IFS(LEN(AF2417)=17,LOWER('2-Building'!$B$4 &amp; "-" &amp; C2417), AF2417="N/A", "N/A", LEN(AF2417)=0,"")</f>
        <v/>
      </c>
      <c r="AH2417" s="333"/>
      <c r="AI2417" s="333"/>
      <c r="AJ2417" s="333"/>
      <c r="AK2417" s="333"/>
      <c r="AL2417" s="333"/>
      <c r="AM2417" s="338"/>
      <c r="AN2417" s="333"/>
      <c r="AO2417" s="333"/>
      <c r="AP2417" s="333"/>
      <c r="AQ2417" s="333"/>
      <c r="AR2417" s="333"/>
      <c r="AS2417" s="333"/>
      <c r="AT2417" s="333"/>
      <c r="AU2417" s="329"/>
      <c r="AV2417" s="341"/>
      <c r="AW2417" s="269"/>
      <c r="AX2417" s="334" t="s">
        <v>2869</v>
      </c>
      <c r="AY2417" s="270" t="s">
        <v>695</v>
      </c>
      <c r="AZ2417" s="173" t="s">
        <v>5516</v>
      </c>
      <c r="BA2417" s="265">
        <v>10.0</v>
      </c>
      <c r="BB2417" s="174" t="s">
        <v>245</v>
      </c>
      <c r="BC2417" s="341"/>
      <c r="BD2417" s="308"/>
      <c r="BE2417" s="364" t="s">
        <v>8034</v>
      </c>
      <c r="BF2417" s="274" t="str">
        <f>IFERROR(__xludf.DUMMYFUNCTION("LOWER(Regexreplace(to_text(E2417),""[^A-Za-z0-9]"","""")&amp;""_""&amp;Regexreplace(to_text(F2417),""[^A-Za-z0-9]"",""""))"),"neptronic_evcbseries")</f>
        <v>neptronic_evcbseries</v>
      </c>
      <c r="BG2417" s="275" t="str">
        <f>IFERROR(__xludf.DUMMYFUNCTION("upper(Regexreplace(to_text(E2417),""[^A-Za-z0-9]"","""")&amp;""-""&amp;Regexreplace(to_text(F2417),""[^A-Za-z0-9]"",""""))"),"NEPTRONIC-EVCBSERIES")</f>
        <v>NEPTRONIC-EVCBSERIES</v>
      </c>
    </row>
    <row r="2418" ht="30.0" customHeight="1">
      <c r="A2418" s="258">
        <v>2410.0</v>
      </c>
      <c r="B2418" s="328" t="s">
        <v>670</v>
      </c>
      <c r="C2418" s="257" t="s">
        <v>8067</v>
      </c>
      <c r="D2418" s="173" t="s">
        <v>8067</v>
      </c>
      <c r="E2418" s="174" t="s">
        <v>2861</v>
      </c>
      <c r="F2418" s="173" t="s">
        <v>2862</v>
      </c>
      <c r="G2418" s="328" t="s">
        <v>673</v>
      </c>
      <c r="H2418" s="328" t="s">
        <v>2863</v>
      </c>
      <c r="I2418" s="258" t="s">
        <v>2864</v>
      </c>
      <c r="J2418" s="259" t="s">
        <v>1453</v>
      </c>
      <c r="K2418" s="260"/>
      <c r="L2418" s="363"/>
      <c r="M2418" s="329"/>
      <c r="N2418" s="173" t="s">
        <v>679</v>
      </c>
      <c r="O2418" s="173"/>
      <c r="P2418" s="262" t="str">
        <f t="shared" si="1"/>
        <v>IN-BLR-ANANTA-VAV-1990_11</v>
      </c>
      <c r="Q2418" s="173" t="s">
        <v>8068</v>
      </c>
      <c r="R2418" s="328" t="str">
        <f>IFS(C2418="","",C2418="n/a","N/A",LEN(C2418),Concatenate("{",char(34),"asset",char(34),":{",char(34),"guid",char(34),":",char(34),Q2418,char(34),",",char(34),"site",char(34),":",char(34),LOWER('2-Building'!$B$4),char(34),",",char(34),"name",char(34),":",char(34),LOWER(C2418),char(34),"}}"))</f>
        <v>{"asset":{"guid":"uuid://d6b1ed40-d273-433e-b8ba-6d8325f3ba01","site":"in-blr-ananta","name":"vav-1990"}}</v>
      </c>
      <c r="S2418" s="333"/>
      <c r="T2418" s="330"/>
      <c r="U2418" s="330"/>
      <c r="V2418" s="331"/>
      <c r="W2418" s="332"/>
      <c r="X2418" s="333"/>
      <c r="Y2418" s="33" t="s">
        <v>2867</v>
      </c>
      <c r="Z2418" s="258">
        <v>121990.0</v>
      </c>
      <c r="AA2418" s="333"/>
      <c r="AB2418" s="333"/>
      <c r="AC2418" s="333"/>
      <c r="AD2418" s="329"/>
      <c r="AE2418" s="331"/>
      <c r="AF2418" s="336"/>
      <c r="AG2418" s="337" t="str">
        <f>IFS(LEN(AF2418)=17,LOWER('2-Building'!$B$4 &amp; "-" &amp; C2418), AF2418="N/A", "N/A", LEN(AF2418)=0,"")</f>
        <v/>
      </c>
      <c r="AH2418" s="333"/>
      <c r="AI2418" s="333"/>
      <c r="AJ2418" s="333"/>
      <c r="AK2418" s="333"/>
      <c r="AL2418" s="333"/>
      <c r="AM2418" s="338"/>
      <c r="AN2418" s="333"/>
      <c r="AO2418" s="333"/>
      <c r="AP2418" s="333"/>
      <c r="AQ2418" s="333"/>
      <c r="AR2418" s="333"/>
      <c r="AS2418" s="333"/>
      <c r="AT2418" s="333"/>
      <c r="AU2418" s="329"/>
      <c r="AV2418" s="341"/>
      <c r="AW2418" s="269"/>
      <c r="AX2418" s="334" t="s">
        <v>2869</v>
      </c>
      <c r="AY2418" s="270" t="s">
        <v>695</v>
      </c>
      <c r="AZ2418" s="173" t="s">
        <v>5516</v>
      </c>
      <c r="BA2418" s="265">
        <v>10.0</v>
      </c>
      <c r="BB2418" s="174" t="s">
        <v>245</v>
      </c>
      <c r="BC2418" s="341"/>
      <c r="BD2418" s="308"/>
      <c r="BE2418" s="364" t="s">
        <v>8034</v>
      </c>
      <c r="BF2418" s="274" t="str">
        <f>IFERROR(__xludf.DUMMYFUNCTION("LOWER(Regexreplace(to_text(E2418),""[^A-Za-z0-9]"","""")&amp;""_""&amp;Regexreplace(to_text(F2418),""[^A-Za-z0-9]"",""""))"),"neptronic_evcbseries")</f>
        <v>neptronic_evcbseries</v>
      </c>
      <c r="BG2418" s="275" t="str">
        <f>IFERROR(__xludf.DUMMYFUNCTION("upper(Regexreplace(to_text(E2418),""[^A-Za-z0-9]"","""")&amp;""-""&amp;Regexreplace(to_text(F2418),""[^A-Za-z0-9]"",""""))"),"NEPTRONIC-EVCBSERIES")</f>
        <v>NEPTRONIC-EVCBSERIES</v>
      </c>
    </row>
    <row r="2419" ht="30.0" customHeight="1">
      <c r="A2419" s="173">
        <v>2411.0</v>
      </c>
      <c r="B2419" s="328" t="s">
        <v>670</v>
      </c>
      <c r="C2419" s="257" t="s">
        <v>8069</v>
      </c>
      <c r="D2419" s="173" t="s">
        <v>8069</v>
      </c>
      <c r="E2419" s="174" t="s">
        <v>8070</v>
      </c>
      <c r="F2419" s="173" t="s">
        <v>8071</v>
      </c>
      <c r="G2419" s="328" t="s">
        <v>673</v>
      </c>
      <c r="H2419" s="328" t="s">
        <v>2863</v>
      </c>
      <c r="I2419" s="258" t="s">
        <v>8072</v>
      </c>
      <c r="J2419" s="259" t="s">
        <v>727</v>
      </c>
      <c r="K2419" s="260" t="s">
        <v>8073</v>
      </c>
      <c r="L2419" s="365"/>
      <c r="M2419" s="329"/>
      <c r="N2419" s="173" t="s">
        <v>679</v>
      </c>
      <c r="O2419" s="173" t="s">
        <v>225</v>
      </c>
      <c r="P2419" s="262" t="str">
        <f t="shared" si="1"/>
        <v>IN-BLR-ANANTA-EM-1_B1</v>
      </c>
      <c r="Q2419" s="173" t="s">
        <v>8074</v>
      </c>
      <c r="R2419" s="328" t="str">
        <f>IFS(C2419="","",C2419="n/a","N/A",LEN(C2419),Concatenate("{",char(34),"asset",char(34),":{",char(34),"guid",char(34),":",char(34),Q2419,char(34),",",char(34),"site",char(34),":",char(34),LOWER('2-Building'!$B$4),char(34),",",char(34),"name",char(34),":",char(34),LOWER(C2419),char(34),"}}"))</f>
        <v>{"asset":{"guid":"uuid://a4da800f-a7b7-47f6-8161-4d2faffab949","site":"in-blr-ananta","name":"em-1"}}</v>
      </c>
      <c r="S2419" s="366" t="s">
        <v>8075</v>
      </c>
      <c r="T2419" s="330"/>
      <c r="U2419" s="330"/>
      <c r="V2419" s="331"/>
      <c r="W2419" s="332"/>
      <c r="X2419" s="333"/>
      <c r="Y2419" s="33" t="s">
        <v>8076</v>
      </c>
      <c r="Z2419" s="258"/>
      <c r="AA2419" s="333"/>
      <c r="AB2419" s="258">
        <v>2.0</v>
      </c>
      <c r="AC2419" s="333"/>
      <c r="AD2419" s="329"/>
      <c r="AE2419" s="335" t="s">
        <v>689</v>
      </c>
      <c r="AF2419" s="336"/>
      <c r="AG2419" s="337" t="str">
        <f>IFS(LEN(AF2419)=17,LOWER('2-Building'!$B$4 &amp; "-" &amp; C2419), AF2419="N/A", "N/A", LEN(AF2419)=0,"")</f>
        <v/>
      </c>
      <c r="AH2419" s="333"/>
      <c r="AI2419" s="333"/>
      <c r="AJ2419" s="333"/>
      <c r="AK2419" s="333"/>
      <c r="AL2419" s="333"/>
      <c r="AM2419" s="338"/>
      <c r="AN2419" s="333"/>
      <c r="AO2419" s="333"/>
      <c r="AP2419" s="333"/>
      <c r="AQ2419" s="333"/>
      <c r="AR2419" s="333"/>
      <c r="AS2419" s="333"/>
      <c r="AT2419" s="339"/>
      <c r="AU2419" s="329"/>
      <c r="AV2419" s="367"/>
      <c r="AW2419" s="269" t="s">
        <v>1890</v>
      </c>
      <c r="AX2419" s="269" t="s">
        <v>2869</v>
      </c>
      <c r="AY2419" s="270" t="s">
        <v>695</v>
      </c>
      <c r="AZ2419" s="173" t="s">
        <v>8075</v>
      </c>
      <c r="BA2419" s="265">
        <v>10.0</v>
      </c>
      <c r="BB2419" s="174" t="s">
        <v>245</v>
      </c>
      <c r="BC2419" s="341"/>
      <c r="BD2419" s="308" t="s">
        <v>1844</v>
      </c>
      <c r="BE2419" s="364"/>
      <c r="BF2419" s="274" t="str">
        <f>IFERROR(__xludf.DUMMYFUNCTION("LOWER(Regexreplace(to_text(E2419),""[^A-Za-z0-9]"","""")&amp;""_""&amp;Regexreplace(to_text(F2419),""[^A-Za-z0-9]"",""""))"),"schneider_pm2200")</f>
        <v>schneider_pm2200</v>
      </c>
      <c r="BG2419" s="275" t="str">
        <f>IFERROR(__xludf.DUMMYFUNCTION("upper(Regexreplace(to_text(E2419),""[^A-Za-z0-9]"","""")&amp;""-""&amp;Regexreplace(to_text(F2419),""[^A-Za-z0-9]"",""""))"),"SCHNEIDER-PM2200")</f>
        <v>SCHNEIDER-PM2200</v>
      </c>
    </row>
    <row r="2420" ht="30.0" customHeight="1">
      <c r="A2420" s="258">
        <v>2412.0</v>
      </c>
      <c r="B2420" s="328" t="s">
        <v>670</v>
      </c>
      <c r="C2420" s="257" t="s">
        <v>8077</v>
      </c>
      <c r="D2420" s="173" t="s">
        <v>8077</v>
      </c>
      <c r="E2420" s="174" t="s">
        <v>8070</v>
      </c>
      <c r="F2420" s="173" t="s">
        <v>8078</v>
      </c>
      <c r="G2420" s="328" t="s">
        <v>673</v>
      </c>
      <c r="H2420" s="328" t="s">
        <v>2863</v>
      </c>
      <c r="I2420" s="258" t="s">
        <v>8072</v>
      </c>
      <c r="J2420" s="259" t="s">
        <v>727</v>
      </c>
      <c r="K2420" s="260" t="s">
        <v>8073</v>
      </c>
      <c r="L2420" s="365"/>
      <c r="M2420" s="329"/>
      <c r="N2420" s="173" t="s">
        <v>679</v>
      </c>
      <c r="O2420" s="173" t="s">
        <v>225</v>
      </c>
      <c r="P2420" s="262" t="str">
        <f t="shared" si="1"/>
        <v>IN-BLR-ANANTA-EM-2_B1</v>
      </c>
      <c r="Q2420" s="173" t="s">
        <v>8079</v>
      </c>
      <c r="R2420" s="328" t="str">
        <f>IFS(C2420="","",C2420="n/a","N/A",LEN(C2420),Concatenate("{",char(34),"asset",char(34),":{",char(34),"guid",char(34),":",char(34),Q2420,char(34),",",char(34),"site",char(34),":",char(34),LOWER('2-Building'!$B$4),char(34),",",char(34),"name",char(34),":",char(34),LOWER(C2420),char(34),"}}"))</f>
        <v>{"asset":{"guid":"uuid://e576d9e1-d410-4e55-976c-787d3571b9f6","site":"in-blr-ananta","name":"em-2"}}</v>
      </c>
      <c r="S2420" s="366" t="s">
        <v>8075</v>
      </c>
      <c r="T2420" s="330"/>
      <c r="U2420" s="330"/>
      <c r="V2420" s="331"/>
      <c r="W2420" s="332"/>
      <c r="X2420" s="333"/>
      <c r="Y2420" s="33" t="s">
        <v>8076</v>
      </c>
      <c r="Z2420" s="258"/>
      <c r="AA2420" s="333"/>
      <c r="AB2420" s="258">
        <v>3.0</v>
      </c>
      <c r="AC2420" s="333"/>
      <c r="AD2420" s="329"/>
      <c r="AE2420" s="331"/>
      <c r="AF2420" s="336"/>
      <c r="AG2420" s="337" t="str">
        <f>IFS(LEN(AF2420)=17,LOWER('2-Building'!$B$4 &amp; "-" &amp; C2420), AF2420="N/A", "N/A", LEN(AF2420)=0,"")</f>
        <v/>
      </c>
      <c r="AH2420" s="333"/>
      <c r="AI2420" s="333"/>
      <c r="AJ2420" s="333"/>
      <c r="AK2420" s="333"/>
      <c r="AL2420" s="333"/>
      <c r="AM2420" s="338"/>
      <c r="AN2420" s="333"/>
      <c r="AO2420" s="333"/>
      <c r="AP2420" s="333"/>
      <c r="AQ2420" s="333"/>
      <c r="AR2420" s="333"/>
      <c r="AS2420" s="333"/>
      <c r="AT2420" s="333"/>
      <c r="AU2420" s="329"/>
      <c r="AV2420" s="341"/>
      <c r="AW2420" s="269" t="s">
        <v>1890</v>
      </c>
      <c r="AX2420" s="269" t="s">
        <v>2869</v>
      </c>
      <c r="AY2420" s="270" t="s">
        <v>695</v>
      </c>
      <c r="AZ2420" s="173" t="s">
        <v>8075</v>
      </c>
      <c r="BA2420" s="265">
        <v>10.0</v>
      </c>
      <c r="BB2420" s="174" t="s">
        <v>245</v>
      </c>
      <c r="BC2420" s="341"/>
      <c r="BD2420" s="308" t="s">
        <v>1844</v>
      </c>
      <c r="BE2420" s="364"/>
      <c r="BF2420" s="274" t="str">
        <f>IFERROR(__xludf.DUMMYFUNCTION("LOWER(Regexreplace(to_text(E2420),""[^A-Za-z0-9]"","""")&amp;""_""&amp;Regexreplace(to_text(F2420),""[^A-Za-z0-9]"",""""))"),"schneider_easylogicem6436hrs")</f>
        <v>schneider_easylogicem6436hrs</v>
      </c>
      <c r="BG2420" s="275" t="str">
        <f>IFERROR(__xludf.DUMMYFUNCTION("upper(Regexreplace(to_text(E2420),""[^A-Za-z0-9]"","""")&amp;""-""&amp;Regexreplace(to_text(F2420),""[^A-Za-z0-9]"",""""))"),"SCHNEIDER-EASYLOGICEM6436HRS")</f>
        <v>SCHNEIDER-EASYLOGICEM6436HRS</v>
      </c>
    </row>
    <row r="2421" ht="30.0" customHeight="1">
      <c r="A2421" s="173">
        <v>2413.0</v>
      </c>
      <c r="B2421" s="328" t="s">
        <v>670</v>
      </c>
      <c r="C2421" s="257" t="s">
        <v>8080</v>
      </c>
      <c r="D2421" s="173" t="s">
        <v>8080</v>
      </c>
      <c r="E2421" s="174" t="s">
        <v>8070</v>
      </c>
      <c r="F2421" s="173" t="s">
        <v>8078</v>
      </c>
      <c r="G2421" s="328" t="s">
        <v>673</v>
      </c>
      <c r="H2421" s="328" t="s">
        <v>2863</v>
      </c>
      <c r="I2421" s="258" t="s">
        <v>8072</v>
      </c>
      <c r="J2421" s="259" t="s">
        <v>727</v>
      </c>
      <c r="K2421" s="260" t="s">
        <v>8073</v>
      </c>
      <c r="L2421" s="365"/>
      <c r="M2421" s="329"/>
      <c r="N2421" s="173" t="s">
        <v>679</v>
      </c>
      <c r="O2421" s="173" t="s">
        <v>225</v>
      </c>
      <c r="P2421" s="262" t="str">
        <f t="shared" si="1"/>
        <v>IN-BLR-ANANTA-EM-3_B1</v>
      </c>
      <c r="Q2421" s="173" t="s">
        <v>8081</v>
      </c>
      <c r="R2421" s="328" t="str">
        <f>IFS(C2421="","",C2421="n/a","N/A",LEN(C2421),Concatenate("{",char(34),"asset",char(34),":{",char(34),"guid",char(34),":",char(34),Q2421,char(34),",",char(34),"site",char(34),":",char(34),LOWER('2-Building'!$B$4),char(34),",",char(34),"name",char(34),":",char(34),LOWER(C2421),char(34),"}}"))</f>
        <v>{"asset":{"guid":"uuid://3adfd422-e637-421a-a188-da44d447cc28","site":"in-blr-ananta","name":"em-3"}}</v>
      </c>
      <c r="S2421" s="366" t="s">
        <v>8075</v>
      </c>
      <c r="T2421" s="330"/>
      <c r="U2421" s="330"/>
      <c r="V2421" s="331"/>
      <c r="W2421" s="332"/>
      <c r="X2421" s="333"/>
      <c r="Y2421" s="33" t="s">
        <v>8076</v>
      </c>
      <c r="Z2421" s="258"/>
      <c r="AA2421" s="333"/>
      <c r="AB2421" s="258">
        <v>4.0</v>
      </c>
      <c r="AC2421" s="333"/>
      <c r="AD2421" s="329"/>
      <c r="AE2421" s="331"/>
      <c r="AF2421" s="336"/>
      <c r="AG2421" s="337" t="str">
        <f>IFS(LEN(AF2421)=17,LOWER('2-Building'!$B$4 &amp; "-" &amp; C2421), AF2421="N/A", "N/A", LEN(AF2421)=0,"")</f>
        <v/>
      </c>
      <c r="AH2421" s="333"/>
      <c r="AI2421" s="333"/>
      <c r="AJ2421" s="333"/>
      <c r="AK2421" s="333"/>
      <c r="AL2421" s="333"/>
      <c r="AM2421" s="338"/>
      <c r="AN2421" s="333"/>
      <c r="AO2421" s="333"/>
      <c r="AP2421" s="333"/>
      <c r="AQ2421" s="333"/>
      <c r="AR2421" s="333"/>
      <c r="AS2421" s="333"/>
      <c r="AT2421" s="333"/>
      <c r="AU2421" s="329"/>
      <c r="AV2421" s="341"/>
      <c r="AW2421" s="269" t="s">
        <v>1890</v>
      </c>
      <c r="AX2421" s="269" t="s">
        <v>2869</v>
      </c>
      <c r="AY2421" s="270" t="s">
        <v>695</v>
      </c>
      <c r="AZ2421" s="173" t="s">
        <v>8075</v>
      </c>
      <c r="BA2421" s="265">
        <v>10.0</v>
      </c>
      <c r="BB2421" s="174" t="s">
        <v>245</v>
      </c>
      <c r="BC2421" s="341"/>
      <c r="BD2421" s="308" t="s">
        <v>1844</v>
      </c>
      <c r="BE2421" s="364"/>
      <c r="BF2421" s="274" t="str">
        <f>IFERROR(__xludf.DUMMYFUNCTION("LOWER(Regexreplace(to_text(E2421),""[^A-Za-z0-9]"","""")&amp;""_""&amp;Regexreplace(to_text(F2421),""[^A-Za-z0-9]"",""""))"),"schneider_easylogicem6436hrs")</f>
        <v>schneider_easylogicem6436hrs</v>
      </c>
      <c r="BG2421" s="275" t="str">
        <f>IFERROR(__xludf.DUMMYFUNCTION("upper(Regexreplace(to_text(E2421),""[^A-Za-z0-9]"","""")&amp;""-""&amp;Regexreplace(to_text(F2421),""[^A-Za-z0-9]"",""""))"),"SCHNEIDER-EASYLOGICEM6436HRS")</f>
        <v>SCHNEIDER-EASYLOGICEM6436HRS</v>
      </c>
    </row>
    <row r="2422" ht="30.0" customHeight="1">
      <c r="A2422" s="258">
        <v>2414.0</v>
      </c>
      <c r="B2422" s="328" t="s">
        <v>670</v>
      </c>
      <c r="C2422" s="257" t="s">
        <v>8082</v>
      </c>
      <c r="D2422" s="173" t="s">
        <v>8082</v>
      </c>
      <c r="E2422" s="174" t="s">
        <v>8070</v>
      </c>
      <c r="F2422" s="173" t="s">
        <v>8078</v>
      </c>
      <c r="G2422" s="328" t="s">
        <v>673</v>
      </c>
      <c r="H2422" s="328" t="s">
        <v>2863</v>
      </c>
      <c r="I2422" s="258" t="s">
        <v>8072</v>
      </c>
      <c r="J2422" s="259" t="s">
        <v>727</v>
      </c>
      <c r="K2422" s="260" t="s">
        <v>8073</v>
      </c>
      <c r="L2422" s="365"/>
      <c r="M2422" s="329"/>
      <c r="N2422" s="173" t="s">
        <v>679</v>
      </c>
      <c r="O2422" s="173" t="s">
        <v>225</v>
      </c>
      <c r="P2422" s="262" t="str">
        <f t="shared" si="1"/>
        <v>IN-BLR-ANANTA-EM-4_B1</v>
      </c>
      <c r="Q2422" s="173" t="s">
        <v>8083</v>
      </c>
      <c r="R2422" s="328" t="str">
        <f>IFS(C2422="","",C2422="n/a","N/A",LEN(C2422),Concatenate("{",char(34),"asset",char(34),":{",char(34),"guid",char(34),":",char(34),Q2422,char(34),",",char(34),"site",char(34),":",char(34),LOWER('2-Building'!$B$4),char(34),",",char(34),"name",char(34),":",char(34),LOWER(C2422),char(34),"}}"))</f>
        <v>{"asset":{"guid":"uuid://2efe55a7-a47b-42ec-ab34-2eb44492ba57","site":"in-blr-ananta","name":"em-4"}}</v>
      </c>
      <c r="S2422" s="366" t="s">
        <v>8075</v>
      </c>
      <c r="T2422" s="330"/>
      <c r="U2422" s="330"/>
      <c r="V2422" s="331"/>
      <c r="W2422" s="332"/>
      <c r="X2422" s="333"/>
      <c r="Y2422" s="33" t="s">
        <v>8076</v>
      </c>
      <c r="Z2422" s="258"/>
      <c r="AA2422" s="333"/>
      <c r="AB2422" s="258">
        <v>5.0</v>
      </c>
      <c r="AC2422" s="333"/>
      <c r="AD2422" s="329"/>
      <c r="AE2422" s="331"/>
      <c r="AF2422" s="336"/>
      <c r="AG2422" s="337" t="str">
        <f>IFS(LEN(AF2422)=17,LOWER('2-Building'!$B$4 &amp; "-" &amp; C2422), AF2422="N/A", "N/A", LEN(AF2422)=0,"")</f>
        <v/>
      </c>
      <c r="AH2422" s="333"/>
      <c r="AI2422" s="333"/>
      <c r="AJ2422" s="333"/>
      <c r="AK2422" s="333"/>
      <c r="AL2422" s="333"/>
      <c r="AM2422" s="338"/>
      <c r="AN2422" s="333"/>
      <c r="AO2422" s="333"/>
      <c r="AP2422" s="333"/>
      <c r="AQ2422" s="333"/>
      <c r="AR2422" s="333"/>
      <c r="AS2422" s="333"/>
      <c r="AT2422" s="333"/>
      <c r="AU2422" s="329"/>
      <c r="AV2422" s="341"/>
      <c r="AW2422" s="269" t="s">
        <v>1890</v>
      </c>
      <c r="AX2422" s="269" t="s">
        <v>2869</v>
      </c>
      <c r="AY2422" s="270" t="s">
        <v>695</v>
      </c>
      <c r="AZ2422" s="173" t="s">
        <v>8075</v>
      </c>
      <c r="BA2422" s="265">
        <v>10.0</v>
      </c>
      <c r="BB2422" s="174" t="s">
        <v>245</v>
      </c>
      <c r="BC2422" s="341"/>
      <c r="BD2422" s="308" t="s">
        <v>1844</v>
      </c>
      <c r="BE2422" s="364"/>
      <c r="BF2422" s="274" t="str">
        <f>IFERROR(__xludf.DUMMYFUNCTION("LOWER(Regexreplace(to_text(E2422),""[^A-Za-z0-9]"","""")&amp;""_""&amp;Regexreplace(to_text(F2422),""[^A-Za-z0-9]"",""""))"),"schneider_easylogicem6436hrs")</f>
        <v>schneider_easylogicem6436hrs</v>
      </c>
      <c r="BG2422" s="275" t="str">
        <f>IFERROR(__xludf.DUMMYFUNCTION("upper(Regexreplace(to_text(E2422),""[^A-Za-z0-9]"","""")&amp;""-""&amp;Regexreplace(to_text(F2422),""[^A-Za-z0-9]"",""""))"),"SCHNEIDER-EASYLOGICEM6436HRS")</f>
        <v>SCHNEIDER-EASYLOGICEM6436HRS</v>
      </c>
    </row>
    <row r="2423" ht="30.0" customHeight="1">
      <c r="A2423" s="173">
        <v>2415.0</v>
      </c>
      <c r="B2423" s="328" t="s">
        <v>670</v>
      </c>
      <c r="C2423" s="257" t="s">
        <v>8084</v>
      </c>
      <c r="D2423" s="173" t="s">
        <v>8084</v>
      </c>
      <c r="E2423" s="174" t="s">
        <v>8070</v>
      </c>
      <c r="F2423" s="173" t="s">
        <v>8071</v>
      </c>
      <c r="G2423" s="328" t="s">
        <v>673</v>
      </c>
      <c r="H2423" s="328" t="s">
        <v>2863</v>
      </c>
      <c r="I2423" s="258" t="s">
        <v>8072</v>
      </c>
      <c r="J2423" s="259" t="s">
        <v>727</v>
      </c>
      <c r="K2423" s="260" t="s">
        <v>8073</v>
      </c>
      <c r="L2423" s="365"/>
      <c r="M2423" s="329"/>
      <c r="N2423" s="173" t="s">
        <v>679</v>
      </c>
      <c r="O2423" s="173" t="s">
        <v>225</v>
      </c>
      <c r="P2423" s="262" t="str">
        <f t="shared" si="1"/>
        <v>IN-BLR-ANANTA-EM-5_B1</v>
      </c>
      <c r="Q2423" s="173" t="s">
        <v>8085</v>
      </c>
      <c r="R2423" s="328" t="str">
        <f>IFS(C2423="","",C2423="n/a","N/A",LEN(C2423),Concatenate("{",char(34),"asset",char(34),":{",char(34),"guid",char(34),":",char(34),Q2423,char(34),",",char(34),"site",char(34),":",char(34),LOWER('2-Building'!$B$4),char(34),",",char(34),"name",char(34),":",char(34),LOWER(C2423),char(34),"}}"))</f>
        <v>{"asset":{"guid":"uuid://38a6d2cc-2d65-474a-9750-ef0b710da56b","site":"in-blr-ananta","name":"em-5"}}</v>
      </c>
      <c r="S2423" s="366" t="s">
        <v>8075</v>
      </c>
      <c r="T2423" s="330"/>
      <c r="U2423" s="330"/>
      <c r="V2423" s="331"/>
      <c r="W2423" s="332"/>
      <c r="X2423" s="333"/>
      <c r="Y2423" s="33" t="s">
        <v>8076</v>
      </c>
      <c r="Z2423" s="258"/>
      <c r="AA2423" s="333"/>
      <c r="AB2423" s="258">
        <v>6.0</v>
      </c>
      <c r="AC2423" s="333"/>
      <c r="AD2423" s="329"/>
      <c r="AE2423" s="331"/>
      <c r="AF2423" s="336"/>
      <c r="AG2423" s="337" t="str">
        <f>IFS(LEN(AF2423)=17,LOWER('2-Building'!$B$4 &amp; "-" &amp; C2423), AF2423="N/A", "N/A", LEN(AF2423)=0,"")</f>
        <v/>
      </c>
      <c r="AH2423" s="333"/>
      <c r="AI2423" s="333"/>
      <c r="AJ2423" s="333"/>
      <c r="AK2423" s="333"/>
      <c r="AL2423" s="333"/>
      <c r="AM2423" s="338"/>
      <c r="AN2423" s="333"/>
      <c r="AO2423" s="333"/>
      <c r="AP2423" s="333"/>
      <c r="AQ2423" s="333"/>
      <c r="AR2423" s="333"/>
      <c r="AS2423" s="333"/>
      <c r="AT2423" s="333"/>
      <c r="AU2423" s="329"/>
      <c r="AV2423" s="341"/>
      <c r="AW2423" s="269" t="s">
        <v>1890</v>
      </c>
      <c r="AX2423" s="269" t="s">
        <v>2869</v>
      </c>
      <c r="AY2423" s="270" t="s">
        <v>695</v>
      </c>
      <c r="AZ2423" s="173" t="s">
        <v>8075</v>
      </c>
      <c r="BA2423" s="265">
        <v>10.0</v>
      </c>
      <c r="BB2423" s="174" t="s">
        <v>245</v>
      </c>
      <c r="BC2423" s="341"/>
      <c r="BD2423" s="308" t="s">
        <v>1844</v>
      </c>
      <c r="BE2423" s="364"/>
      <c r="BF2423" s="274" t="str">
        <f>IFERROR(__xludf.DUMMYFUNCTION("LOWER(Regexreplace(to_text(E2423),""[^A-Za-z0-9]"","""")&amp;""_""&amp;Regexreplace(to_text(F2423),""[^A-Za-z0-9]"",""""))"),"schneider_pm2200")</f>
        <v>schneider_pm2200</v>
      </c>
      <c r="BG2423" s="275" t="str">
        <f>IFERROR(__xludf.DUMMYFUNCTION("upper(Regexreplace(to_text(E2423),""[^A-Za-z0-9]"","""")&amp;""-""&amp;Regexreplace(to_text(F2423),""[^A-Za-z0-9]"",""""))"),"SCHNEIDER-PM2200")</f>
        <v>SCHNEIDER-PM2200</v>
      </c>
    </row>
    <row r="2424" ht="30.0" customHeight="1">
      <c r="A2424" s="258">
        <v>2416.0</v>
      </c>
      <c r="B2424" s="328" t="s">
        <v>670</v>
      </c>
      <c r="C2424" s="257" t="s">
        <v>8086</v>
      </c>
      <c r="D2424" s="173" t="s">
        <v>8086</v>
      </c>
      <c r="E2424" s="174" t="s">
        <v>8070</v>
      </c>
      <c r="F2424" s="173" t="s">
        <v>8071</v>
      </c>
      <c r="G2424" s="328" t="s">
        <v>673</v>
      </c>
      <c r="H2424" s="328" t="s">
        <v>2863</v>
      </c>
      <c r="I2424" s="258" t="s">
        <v>8072</v>
      </c>
      <c r="J2424" s="259" t="s">
        <v>739</v>
      </c>
      <c r="K2424" s="260" t="s">
        <v>8087</v>
      </c>
      <c r="L2424" s="365"/>
      <c r="M2424" s="329"/>
      <c r="N2424" s="173" t="s">
        <v>679</v>
      </c>
      <c r="O2424" s="173" t="s">
        <v>225</v>
      </c>
      <c r="P2424" s="262" t="str">
        <f t="shared" si="1"/>
        <v>IN-BLR-ANANTA-EM-6_G</v>
      </c>
      <c r="Q2424" s="173" t="s">
        <v>8088</v>
      </c>
      <c r="R2424" s="328" t="str">
        <f>IFS(C2424="","",C2424="n/a","N/A",LEN(C2424),Concatenate("{",char(34),"asset",char(34),":{",char(34),"guid",char(34),":",char(34),Q2424,char(34),",",char(34),"site",char(34),":",char(34),LOWER('2-Building'!$B$4),char(34),",",char(34),"name",char(34),":",char(34),LOWER(C2424),char(34),"}}"))</f>
        <v>{"asset":{"guid":"uuid://b14171be-dab2-4c5d-a5c6-1af5569bbda4","site":"in-blr-ananta","name":"em-6"}}</v>
      </c>
      <c r="S2424" s="366" t="s">
        <v>8075</v>
      </c>
      <c r="T2424" s="330"/>
      <c r="U2424" s="330"/>
      <c r="V2424" s="331"/>
      <c r="W2424" s="332"/>
      <c r="X2424" s="333"/>
      <c r="Y2424" s="33" t="s">
        <v>8076</v>
      </c>
      <c r="Z2424" s="258"/>
      <c r="AA2424" s="333"/>
      <c r="AB2424" s="258">
        <v>2.0</v>
      </c>
      <c r="AC2424" s="333"/>
      <c r="AD2424" s="329"/>
      <c r="AE2424" s="331"/>
      <c r="AF2424" s="336"/>
      <c r="AG2424" s="337" t="str">
        <f>IFS(LEN(AF2424)=17,LOWER('2-Building'!$B$4 &amp; "-" &amp; C2424), AF2424="N/A", "N/A", LEN(AF2424)=0,"")</f>
        <v/>
      </c>
      <c r="AH2424" s="333"/>
      <c r="AI2424" s="333"/>
      <c r="AJ2424" s="333"/>
      <c r="AK2424" s="333"/>
      <c r="AL2424" s="333"/>
      <c r="AM2424" s="338"/>
      <c r="AN2424" s="333"/>
      <c r="AO2424" s="333"/>
      <c r="AP2424" s="333"/>
      <c r="AQ2424" s="333"/>
      <c r="AR2424" s="333"/>
      <c r="AS2424" s="333"/>
      <c r="AT2424" s="333"/>
      <c r="AU2424" s="329"/>
      <c r="AV2424" s="341"/>
      <c r="AW2424" s="269" t="s">
        <v>1921</v>
      </c>
      <c r="AX2424" s="269" t="s">
        <v>2869</v>
      </c>
      <c r="AY2424" s="270" t="s">
        <v>695</v>
      </c>
      <c r="AZ2424" s="173" t="s">
        <v>8075</v>
      </c>
      <c r="BA2424" s="265">
        <v>10.0</v>
      </c>
      <c r="BB2424" s="174" t="s">
        <v>245</v>
      </c>
      <c r="BC2424" s="341"/>
      <c r="BD2424" s="308" t="s">
        <v>1844</v>
      </c>
      <c r="BE2424" s="364"/>
      <c r="BF2424" s="274" t="str">
        <f>IFERROR(__xludf.DUMMYFUNCTION("LOWER(Regexreplace(to_text(E2424),""[^A-Za-z0-9]"","""")&amp;""_""&amp;Regexreplace(to_text(F2424),""[^A-Za-z0-9]"",""""))"),"schneider_pm2200")</f>
        <v>schneider_pm2200</v>
      </c>
      <c r="BG2424" s="275" t="str">
        <f>IFERROR(__xludf.DUMMYFUNCTION("upper(Regexreplace(to_text(E2424),""[^A-Za-z0-9]"","""")&amp;""-""&amp;Regexreplace(to_text(F2424),""[^A-Za-z0-9]"",""""))"),"SCHNEIDER-PM2200")</f>
        <v>SCHNEIDER-PM2200</v>
      </c>
    </row>
    <row r="2425" ht="30.0" customHeight="1">
      <c r="A2425" s="173">
        <v>2417.0</v>
      </c>
      <c r="B2425" s="328" t="s">
        <v>670</v>
      </c>
      <c r="C2425" s="257" t="s">
        <v>8089</v>
      </c>
      <c r="D2425" s="173" t="s">
        <v>8089</v>
      </c>
      <c r="E2425" s="174" t="s">
        <v>8070</v>
      </c>
      <c r="F2425" s="173" t="s">
        <v>8071</v>
      </c>
      <c r="G2425" s="328" t="s">
        <v>673</v>
      </c>
      <c r="H2425" s="328" t="s">
        <v>2863</v>
      </c>
      <c r="I2425" s="258" t="s">
        <v>8072</v>
      </c>
      <c r="J2425" s="259" t="s">
        <v>739</v>
      </c>
      <c r="K2425" s="260" t="s">
        <v>8087</v>
      </c>
      <c r="L2425" s="365"/>
      <c r="M2425" s="329"/>
      <c r="N2425" s="173" t="s">
        <v>679</v>
      </c>
      <c r="O2425" s="173" t="s">
        <v>225</v>
      </c>
      <c r="P2425" s="262" t="str">
        <f t="shared" si="1"/>
        <v>IN-BLR-ANANTA-EM-7_G</v>
      </c>
      <c r="Q2425" s="173" t="s">
        <v>8090</v>
      </c>
      <c r="R2425" s="328" t="str">
        <f>IFS(C2425="","",C2425="n/a","N/A",LEN(C2425),Concatenate("{",char(34),"asset",char(34),":{",char(34),"guid",char(34),":",char(34),Q2425,char(34),",",char(34),"site",char(34),":",char(34),LOWER('2-Building'!$B$4),char(34),",",char(34),"name",char(34),":",char(34),LOWER(C2425),char(34),"}}"))</f>
        <v>{"asset":{"guid":"uuid://415adcbc-c22a-43f5-9a22-8ed25ee47c67","site":"in-blr-ananta","name":"em-7"}}</v>
      </c>
      <c r="S2425" s="366" t="s">
        <v>8075</v>
      </c>
      <c r="T2425" s="330"/>
      <c r="U2425" s="330"/>
      <c r="V2425" s="331"/>
      <c r="W2425" s="332"/>
      <c r="X2425" s="333"/>
      <c r="Y2425" s="33" t="s">
        <v>8076</v>
      </c>
      <c r="Z2425" s="258"/>
      <c r="AA2425" s="333"/>
      <c r="AB2425" s="258">
        <v>3.0</v>
      </c>
      <c r="AC2425" s="333"/>
      <c r="AD2425" s="329"/>
      <c r="AE2425" s="331"/>
      <c r="AF2425" s="336"/>
      <c r="AG2425" s="337" t="str">
        <f>IFS(LEN(AF2425)=17,LOWER('2-Building'!$B$4 &amp; "-" &amp; C2425), AF2425="N/A", "N/A", LEN(AF2425)=0,"")</f>
        <v/>
      </c>
      <c r="AH2425" s="333"/>
      <c r="AI2425" s="333"/>
      <c r="AJ2425" s="333"/>
      <c r="AK2425" s="333"/>
      <c r="AL2425" s="333"/>
      <c r="AM2425" s="338"/>
      <c r="AN2425" s="333"/>
      <c r="AO2425" s="333"/>
      <c r="AP2425" s="333"/>
      <c r="AQ2425" s="333"/>
      <c r="AR2425" s="333"/>
      <c r="AS2425" s="333"/>
      <c r="AT2425" s="333"/>
      <c r="AU2425" s="329"/>
      <c r="AV2425" s="341"/>
      <c r="AW2425" s="269" t="s">
        <v>1921</v>
      </c>
      <c r="AX2425" s="269" t="s">
        <v>2869</v>
      </c>
      <c r="AY2425" s="270" t="s">
        <v>695</v>
      </c>
      <c r="AZ2425" s="173" t="s">
        <v>8075</v>
      </c>
      <c r="BA2425" s="265">
        <v>10.0</v>
      </c>
      <c r="BB2425" s="174" t="s">
        <v>245</v>
      </c>
      <c r="BC2425" s="341"/>
      <c r="BD2425" s="308" t="s">
        <v>1844</v>
      </c>
      <c r="BE2425" s="364"/>
      <c r="BF2425" s="274" t="str">
        <f>IFERROR(__xludf.DUMMYFUNCTION("LOWER(Regexreplace(to_text(E2425),""[^A-Za-z0-9]"","""")&amp;""_""&amp;Regexreplace(to_text(F2425),""[^A-Za-z0-9]"",""""))"),"schneider_pm2200")</f>
        <v>schneider_pm2200</v>
      </c>
      <c r="BG2425" s="275" t="str">
        <f>IFERROR(__xludf.DUMMYFUNCTION("upper(Regexreplace(to_text(E2425),""[^A-Za-z0-9]"","""")&amp;""-""&amp;Regexreplace(to_text(F2425),""[^A-Za-z0-9]"",""""))"),"SCHNEIDER-PM2200")</f>
        <v>SCHNEIDER-PM2200</v>
      </c>
    </row>
    <row r="2426" ht="30.0" customHeight="1">
      <c r="A2426" s="258">
        <v>2418.0</v>
      </c>
      <c r="B2426" s="328" t="s">
        <v>670</v>
      </c>
      <c r="C2426" s="257" t="s">
        <v>8091</v>
      </c>
      <c r="D2426" s="173" t="s">
        <v>8091</v>
      </c>
      <c r="E2426" s="174" t="s">
        <v>8070</v>
      </c>
      <c r="F2426" s="173" t="s">
        <v>8071</v>
      </c>
      <c r="G2426" s="328" t="s">
        <v>673</v>
      </c>
      <c r="H2426" s="328" t="s">
        <v>2863</v>
      </c>
      <c r="I2426" s="258" t="s">
        <v>8072</v>
      </c>
      <c r="J2426" s="259" t="s">
        <v>739</v>
      </c>
      <c r="K2426" s="260" t="s">
        <v>8087</v>
      </c>
      <c r="L2426" s="365"/>
      <c r="M2426" s="329"/>
      <c r="N2426" s="173" t="s">
        <v>679</v>
      </c>
      <c r="O2426" s="173" t="s">
        <v>225</v>
      </c>
      <c r="P2426" s="262" t="str">
        <f t="shared" si="1"/>
        <v>IN-BLR-ANANTA-EM-8_G</v>
      </c>
      <c r="Q2426" s="173" t="s">
        <v>8092</v>
      </c>
      <c r="R2426" s="328" t="str">
        <f>IFS(C2426="","",C2426="n/a","N/A",LEN(C2426),Concatenate("{",char(34),"asset",char(34),":{",char(34),"guid",char(34),":",char(34),Q2426,char(34),",",char(34),"site",char(34),":",char(34),LOWER('2-Building'!$B$4),char(34),",",char(34),"name",char(34),":",char(34),LOWER(C2426),char(34),"}}"))</f>
        <v>{"asset":{"guid":"uuid://779a7175-3dde-481c-9592-ed0adfccd2ae","site":"in-blr-ananta","name":"em-8"}}</v>
      </c>
      <c r="S2426" s="366" t="s">
        <v>8075</v>
      </c>
      <c r="T2426" s="330"/>
      <c r="U2426" s="330"/>
      <c r="V2426" s="331"/>
      <c r="W2426" s="332"/>
      <c r="X2426" s="333"/>
      <c r="Y2426" s="33" t="s">
        <v>8076</v>
      </c>
      <c r="Z2426" s="258"/>
      <c r="AA2426" s="333"/>
      <c r="AB2426" s="258">
        <v>4.0</v>
      </c>
      <c r="AC2426" s="333"/>
      <c r="AD2426" s="329"/>
      <c r="AE2426" s="331"/>
      <c r="AF2426" s="336"/>
      <c r="AG2426" s="337" t="str">
        <f>IFS(LEN(AF2426)=17,LOWER('2-Building'!$B$4 &amp; "-" &amp; C2426), AF2426="N/A", "N/A", LEN(AF2426)=0,"")</f>
        <v/>
      </c>
      <c r="AH2426" s="333"/>
      <c r="AI2426" s="333"/>
      <c r="AJ2426" s="333"/>
      <c r="AK2426" s="333"/>
      <c r="AL2426" s="333"/>
      <c r="AM2426" s="338"/>
      <c r="AN2426" s="333"/>
      <c r="AO2426" s="333"/>
      <c r="AP2426" s="333"/>
      <c r="AQ2426" s="333"/>
      <c r="AR2426" s="333"/>
      <c r="AS2426" s="333"/>
      <c r="AT2426" s="333"/>
      <c r="AU2426" s="329"/>
      <c r="AV2426" s="341"/>
      <c r="AW2426" s="269" t="s">
        <v>1921</v>
      </c>
      <c r="AX2426" s="269" t="s">
        <v>2869</v>
      </c>
      <c r="AY2426" s="270" t="s">
        <v>695</v>
      </c>
      <c r="AZ2426" s="173" t="s">
        <v>8075</v>
      </c>
      <c r="BA2426" s="265">
        <v>10.0</v>
      </c>
      <c r="BB2426" s="174" t="s">
        <v>245</v>
      </c>
      <c r="BC2426" s="341"/>
      <c r="BD2426" s="308" t="s">
        <v>1844</v>
      </c>
      <c r="BE2426" s="364"/>
      <c r="BF2426" s="274" t="str">
        <f>IFERROR(__xludf.DUMMYFUNCTION("LOWER(Regexreplace(to_text(E2426),""[^A-Za-z0-9]"","""")&amp;""_""&amp;Regexreplace(to_text(F2426),""[^A-Za-z0-9]"",""""))"),"schneider_pm2200")</f>
        <v>schneider_pm2200</v>
      </c>
      <c r="BG2426" s="275" t="str">
        <f>IFERROR(__xludf.DUMMYFUNCTION("upper(Regexreplace(to_text(E2426),""[^A-Za-z0-9]"","""")&amp;""-""&amp;Regexreplace(to_text(F2426),""[^A-Za-z0-9]"",""""))"),"SCHNEIDER-PM2200")</f>
        <v>SCHNEIDER-PM2200</v>
      </c>
    </row>
    <row r="2427" ht="30.0" customHeight="1">
      <c r="A2427" s="173">
        <v>2419.0</v>
      </c>
      <c r="B2427" s="328" t="s">
        <v>670</v>
      </c>
      <c r="C2427" s="257" t="s">
        <v>8093</v>
      </c>
      <c r="D2427" s="173" t="s">
        <v>8093</v>
      </c>
      <c r="E2427" s="174" t="s">
        <v>8070</v>
      </c>
      <c r="F2427" s="173" t="s">
        <v>8071</v>
      </c>
      <c r="G2427" s="328" t="s">
        <v>673</v>
      </c>
      <c r="H2427" s="328" t="s">
        <v>2863</v>
      </c>
      <c r="I2427" s="258" t="s">
        <v>8072</v>
      </c>
      <c r="J2427" s="259" t="s">
        <v>739</v>
      </c>
      <c r="K2427" s="260" t="s">
        <v>8087</v>
      </c>
      <c r="L2427" s="365"/>
      <c r="M2427" s="329"/>
      <c r="N2427" s="173" t="s">
        <v>679</v>
      </c>
      <c r="O2427" s="173" t="s">
        <v>225</v>
      </c>
      <c r="P2427" s="262" t="str">
        <f t="shared" si="1"/>
        <v>IN-BLR-ANANTA-EM-9_G</v>
      </c>
      <c r="Q2427" s="173" t="s">
        <v>8094</v>
      </c>
      <c r="R2427" s="328" t="str">
        <f>IFS(C2427="","",C2427="n/a","N/A",LEN(C2427),Concatenate("{",char(34),"asset",char(34),":{",char(34),"guid",char(34),":",char(34),Q2427,char(34),",",char(34),"site",char(34),":",char(34),LOWER('2-Building'!$B$4),char(34),",",char(34),"name",char(34),":",char(34),LOWER(C2427),char(34),"}}"))</f>
        <v>{"asset":{"guid":"uuid://198a7d48-fe7a-4d0e-85a7-ce9917739525","site":"in-blr-ananta","name":"em-9"}}</v>
      </c>
      <c r="S2427" s="366" t="s">
        <v>8075</v>
      </c>
      <c r="T2427" s="330"/>
      <c r="U2427" s="330"/>
      <c r="V2427" s="331"/>
      <c r="W2427" s="332"/>
      <c r="X2427" s="333"/>
      <c r="Y2427" s="33" t="s">
        <v>8076</v>
      </c>
      <c r="Z2427" s="258"/>
      <c r="AA2427" s="333"/>
      <c r="AB2427" s="258">
        <v>5.0</v>
      </c>
      <c r="AC2427" s="333"/>
      <c r="AD2427" s="329"/>
      <c r="AE2427" s="331"/>
      <c r="AF2427" s="336"/>
      <c r="AG2427" s="337" t="str">
        <f>IFS(LEN(AF2427)=17,LOWER('2-Building'!$B$4 &amp; "-" &amp; C2427), AF2427="N/A", "N/A", LEN(AF2427)=0,"")</f>
        <v/>
      </c>
      <c r="AH2427" s="333"/>
      <c r="AI2427" s="333"/>
      <c r="AJ2427" s="333"/>
      <c r="AK2427" s="333"/>
      <c r="AL2427" s="333"/>
      <c r="AM2427" s="338"/>
      <c r="AN2427" s="333"/>
      <c r="AO2427" s="333"/>
      <c r="AP2427" s="333"/>
      <c r="AQ2427" s="333"/>
      <c r="AR2427" s="333"/>
      <c r="AS2427" s="333"/>
      <c r="AT2427" s="333"/>
      <c r="AU2427" s="329"/>
      <c r="AV2427" s="341"/>
      <c r="AW2427" s="269" t="s">
        <v>1921</v>
      </c>
      <c r="AX2427" s="269" t="s">
        <v>2869</v>
      </c>
      <c r="AY2427" s="270" t="s">
        <v>695</v>
      </c>
      <c r="AZ2427" s="173" t="s">
        <v>8075</v>
      </c>
      <c r="BA2427" s="265">
        <v>10.0</v>
      </c>
      <c r="BB2427" s="174" t="s">
        <v>245</v>
      </c>
      <c r="BC2427" s="341"/>
      <c r="BD2427" s="308" t="s">
        <v>1844</v>
      </c>
      <c r="BE2427" s="364"/>
      <c r="BF2427" s="274" t="str">
        <f>IFERROR(__xludf.DUMMYFUNCTION("LOWER(Regexreplace(to_text(E2427),""[^A-Za-z0-9]"","""")&amp;""_""&amp;Regexreplace(to_text(F2427),""[^A-Za-z0-9]"",""""))"),"schneider_pm2200")</f>
        <v>schneider_pm2200</v>
      </c>
      <c r="BG2427" s="275" t="str">
        <f>IFERROR(__xludf.DUMMYFUNCTION("upper(Regexreplace(to_text(E2427),""[^A-Za-z0-9]"","""")&amp;""-""&amp;Regexreplace(to_text(F2427),""[^A-Za-z0-9]"",""""))"),"SCHNEIDER-PM2200")</f>
        <v>SCHNEIDER-PM2200</v>
      </c>
    </row>
    <row r="2428" ht="30.0" customHeight="1">
      <c r="A2428" s="258">
        <v>2420.0</v>
      </c>
      <c r="B2428" s="328" t="s">
        <v>670</v>
      </c>
      <c r="C2428" s="257" t="s">
        <v>8095</v>
      </c>
      <c r="D2428" s="173" t="s">
        <v>8095</v>
      </c>
      <c r="E2428" s="174" t="s">
        <v>8070</v>
      </c>
      <c r="F2428" s="173" t="s">
        <v>8071</v>
      </c>
      <c r="G2428" s="328" t="s">
        <v>673</v>
      </c>
      <c r="H2428" s="328" t="s">
        <v>2863</v>
      </c>
      <c r="I2428" s="258" t="s">
        <v>8072</v>
      </c>
      <c r="J2428" s="259" t="s">
        <v>739</v>
      </c>
      <c r="K2428" s="260" t="s">
        <v>8087</v>
      </c>
      <c r="L2428" s="365"/>
      <c r="M2428" s="329"/>
      <c r="N2428" s="173" t="s">
        <v>679</v>
      </c>
      <c r="O2428" s="173" t="s">
        <v>225</v>
      </c>
      <c r="P2428" s="262" t="str">
        <f t="shared" si="1"/>
        <v>IN-BLR-ANANTA-EM-10_G</v>
      </c>
      <c r="Q2428" s="173" t="s">
        <v>8096</v>
      </c>
      <c r="R2428" s="328" t="str">
        <f>IFS(C2428="","",C2428="n/a","N/A",LEN(C2428),Concatenate("{",char(34),"asset",char(34),":{",char(34),"guid",char(34),":",char(34),Q2428,char(34),",",char(34),"site",char(34),":",char(34),LOWER('2-Building'!$B$4),char(34),",",char(34),"name",char(34),":",char(34),LOWER(C2428),char(34),"}}"))</f>
        <v>{"asset":{"guid":"uuid://8b0a2504-2727-4728-93a5-de4cea0f8d40","site":"in-blr-ananta","name":"em-10"}}</v>
      </c>
      <c r="S2428" s="366" t="s">
        <v>8075</v>
      </c>
      <c r="T2428" s="330"/>
      <c r="U2428" s="330"/>
      <c r="V2428" s="331"/>
      <c r="W2428" s="332"/>
      <c r="X2428" s="333"/>
      <c r="Y2428" s="33" t="s">
        <v>8076</v>
      </c>
      <c r="Z2428" s="258"/>
      <c r="AA2428" s="333"/>
      <c r="AB2428" s="258">
        <v>6.0</v>
      </c>
      <c r="AC2428" s="333"/>
      <c r="AD2428" s="329"/>
      <c r="AE2428" s="331"/>
      <c r="AF2428" s="336"/>
      <c r="AG2428" s="337" t="str">
        <f>IFS(LEN(AF2428)=17,LOWER('2-Building'!$B$4 &amp; "-" &amp; C2428), AF2428="N/A", "N/A", LEN(AF2428)=0,"")</f>
        <v/>
      </c>
      <c r="AH2428" s="333"/>
      <c r="AI2428" s="333"/>
      <c r="AJ2428" s="333"/>
      <c r="AK2428" s="333"/>
      <c r="AL2428" s="333"/>
      <c r="AM2428" s="338"/>
      <c r="AN2428" s="333"/>
      <c r="AO2428" s="333"/>
      <c r="AP2428" s="333"/>
      <c r="AQ2428" s="333"/>
      <c r="AR2428" s="333"/>
      <c r="AS2428" s="333"/>
      <c r="AT2428" s="333"/>
      <c r="AU2428" s="329"/>
      <c r="AV2428" s="341"/>
      <c r="AW2428" s="269" t="s">
        <v>1921</v>
      </c>
      <c r="AX2428" s="269" t="s">
        <v>2869</v>
      </c>
      <c r="AY2428" s="270" t="s">
        <v>695</v>
      </c>
      <c r="AZ2428" s="173" t="s">
        <v>8075</v>
      </c>
      <c r="BA2428" s="265">
        <v>10.0</v>
      </c>
      <c r="BB2428" s="174" t="s">
        <v>245</v>
      </c>
      <c r="BC2428" s="341"/>
      <c r="BD2428" s="308" t="s">
        <v>1844</v>
      </c>
      <c r="BE2428" s="364"/>
      <c r="BF2428" s="274" t="str">
        <f>IFERROR(__xludf.DUMMYFUNCTION("LOWER(Regexreplace(to_text(E2428),""[^A-Za-z0-9]"","""")&amp;""_""&amp;Regexreplace(to_text(F2428),""[^A-Za-z0-9]"",""""))"),"schneider_pm2200")</f>
        <v>schneider_pm2200</v>
      </c>
      <c r="BG2428" s="275" t="str">
        <f>IFERROR(__xludf.DUMMYFUNCTION("upper(Regexreplace(to_text(E2428),""[^A-Za-z0-9]"","""")&amp;""-""&amp;Regexreplace(to_text(F2428),""[^A-Za-z0-9]"",""""))"),"SCHNEIDER-PM2200")</f>
        <v>SCHNEIDER-PM2200</v>
      </c>
    </row>
    <row r="2429" ht="30.0" customHeight="1">
      <c r="A2429" s="173">
        <v>2421.0</v>
      </c>
      <c r="B2429" s="328" t="s">
        <v>670</v>
      </c>
      <c r="C2429" s="257" t="s">
        <v>8097</v>
      </c>
      <c r="D2429" s="173" t="s">
        <v>8097</v>
      </c>
      <c r="E2429" s="174" t="s">
        <v>8070</v>
      </c>
      <c r="F2429" s="173" t="s">
        <v>8071</v>
      </c>
      <c r="G2429" s="328" t="s">
        <v>673</v>
      </c>
      <c r="H2429" s="328" t="s">
        <v>2863</v>
      </c>
      <c r="I2429" s="258" t="s">
        <v>8072</v>
      </c>
      <c r="J2429" s="259" t="s">
        <v>739</v>
      </c>
      <c r="K2429" s="260" t="s">
        <v>1782</v>
      </c>
      <c r="L2429" s="365"/>
      <c r="M2429" s="329"/>
      <c r="N2429" s="173" t="s">
        <v>679</v>
      </c>
      <c r="O2429" s="173" t="s">
        <v>225</v>
      </c>
      <c r="P2429" s="262" t="str">
        <f t="shared" si="1"/>
        <v>IN-BLR-ANANTA-EM-11_G</v>
      </c>
      <c r="Q2429" s="173" t="s">
        <v>8098</v>
      </c>
      <c r="R2429" s="328" t="str">
        <f>IFS(C2429="","",C2429="n/a","N/A",LEN(C2429),Concatenate("{",char(34),"asset",char(34),":{",char(34),"guid",char(34),":",char(34),Q2429,char(34),",",char(34),"site",char(34),":",char(34),LOWER('2-Building'!$B$4),char(34),",",char(34),"name",char(34),":",char(34),LOWER(C2429),char(34),"}}"))</f>
        <v>{"asset":{"guid":"uuid://ef4729bb-f1e4-4693-b5e7-71f8f0998e8a","site":"in-blr-ananta","name":"em-11"}}</v>
      </c>
      <c r="S2429" s="366" t="s">
        <v>8075</v>
      </c>
      <c r="T2429" s="330"/>
      <c r="U2429" s="330"/>
      <c r="V2429" s="331"/>
      <c r="W2429" s="332"/>
      <c r="X2429" s="333"/>
      <c r="Y2429" s="33" t="s">
        <v>8076</v>
      </c>
      <c r="Z2429" s="258"/>
      <c r="AA2429" s="333"/>
      <c r="AB2429" s="258">
        <v>2.0</v>
      </c>
      <c r="AC2429" s="333"/>
      <c r="AD2429" s="329"/>
      <c r="AE2429" s="331"/>
      <c r="AF2429" s="336"/>
      <c r="AG2429" s="337" t="str">
        <f>IFS(LEN(AF2429)=17,LOWER('2-Building'!$B$4 &amp; "-" &amp; C2429), AF2429="N/A", "N/A", LEN(AF2429)=0,"")</f>
        <v/>
      </c>
      <c r="AH2429" s="333"/>
      <c r="AI2429" s="333"/>
      <c r="AJ2429" s="333"/>
      <c r="AK2429" s="333"/>
      <c r="AL2429" s="333"/>
      <c r="AM2429" s="338"/>
      <c r="AN2429" s="333"/>
      <c r="AO2429" s="333"/>
      <c r="AP2429" s="333"/>
      <c r="AQ2429" s="333"/>
      <c r="AR2429" s="333"/>
      <c r="AS2429" s="333"/>
      <c r="AT2429" s="333"/>
      <c r="AU2429" s="329"/>
      <c r="AV2429" s="341"/>
      <c r="AW2429" s="269" t="s">
        <v>1572</v>
      </c>
      <c r="AX2429" s="269" t="s">
        <v>2869</v>
      </c>
      <c r="AY2429" s="270" t="s">
        <v>695</v>
      </c>
      <c r="AZ2429" s="173" t="s">
        <v>8075</v>
      </c>
      <c r="BA2429" s="265">
        <v>10.0</v>
      </c>
      <c r="BB2429" s="174" t="s">
        <v>245</v>
      </c>
      <c r="BC2429" s="341"/>
      <c r="BD2429" s="308" t="s">
        <v>1844</v>
      </c>
      <c r="BE2429" s="364"/>
      <c r="BF2429" s="274" t="str">
        <f>IFERROR(__xludf.DUMMYFUNCTION("LOWER(Regexreplace(to_text(E2429),""[^A-Za-z0-9]"","""")&amp;""_""&amp;Regexreplace(to_text(F2429),""[^A-Za-z0-9]"",""""))"),"schneider_pm2200")</f>
        <v>schneider_pm2200</v>
      </c>
      <c r="BG2429" s="275" t="str">
        <f>IFERROR(__xludf.DUMMYFUNCTION("upper(Regexreplace(to_text(E2429),""[^A-Za-z0-9]"","""")&amp;""-""&amp;Regexreplace(to_text(F2429),""[^A-Za-z0-9]"",""""))"),"SCHNEIDER-PM2200")</f>
        <v>SCHNEIDER-PM2200</v>
      </c>
    </row>
    <row r="2430" ht="30.0" customHeight="1">
      <c r="A2430" s="258">
        <v>2422.0</v>
      </c>
      <c r="B2430" s="328" t="s">
        <v>670</v>
      </c>
      <c r="C2430" s="257" t="s">
        <v>8099</v>
      </c>
      <c r="D2430" s="173" t="s">
        <v>8099</v>
      </c>
      <c r="E2430" s="174" t="s">
        <v>8070</v>
      </c>
      <c r="F2430" s="173" t="s">
        <v>8071</v>
      </c>
      <c r="G2430" s="328" t="s">
        <v>673</v>
      </c>
      <c r="H2430" s="328" t="s">
        <v>2863</v>
      </c>
      <c r="I2430" s="258" t="s">
        <v>8072</v>
      </c>
      <c r="J2430" s="259" t="s">
        <v>739</v>
      </c>
      <c r="K2430" s="260" t="s">
        <v>1782</v>
      </c>
      <c r="L2430" s="365"/>
      <c r="M2430" s="329"/>
      <c r="N2430" s="173" t="s">
        <v>679</v>
      </c>
      <c r="O2430" s="173" t="s">
        <v>225</v>
      </c>
      <c r="P2430" s="262" t="str">
        <f t="shared" si="1"/>
        <v>IN-BLR-ANANTA-EM-12_G</v>
      </c>
      <c r="Q2430" s="173" t="s">
        <v>8100</v>
      </c>
      <c r="R2430" s="328" t="str">
        <f>IFS(C2430="","",C2430="n/a","N/A",LEN(C2430),Concatenate("{",char(34),"asset",char(34),":{",char(34),"guid",char(34),":",char(34),Q2430,char(34),",",char(34),"site",char(34),":",char(34),LOWER('2-Building'!$B$4),char(34),",",char(34),"name",char(34),":",char(34),LOWER(C2430),char(34),"}}"))</f>
        <v>{"asset":{"guid":"uuid://ac42cee8-479f-4179-b681-3b9390379a0c","site":"in-blr-ananta","name":"em-12"}}</v>
      </c>
      <c r="S2430" s="366" t="s">
        <v>8075</v>
      </c>
      <c r="T2430" s="330"/>
      <c r="U2430" s="330"/>
      <c r="V2430" s="331"/>
      <c r="W2430" s="332"/>
      <c r="X2430" s="333"/>
      <c r="Y2430" s="33" t="s">
        <v>8076</v>
      </c>
      <c r="Z2430" s="258"/>
      <c r="AA2430" s="333"/>
      <c r="AB2430" s="258">
        <v>3.0</v>
      </c>
      <c r="AC2430" s="333"/>
      <c r="AD2430" s="329"/>
      <c r="AE2430" s="331"/>
      <c r="AF2430" s="336"/>
      <c r="AG2430" s="337" t="str">
        <f>IFS(LEN(AF2430)=17,LOWER('2-Building'!$B$4 &amp; "-" &amp; C2430), AF2430="N/A", "N/A", LEN(AF2430)=0,"")</f>
        <v/>
      </c>
      <c r="AH2430" s="333"/>
      <c r="AI2430" s="333"/>
      <c r="AJ2430" s="333"/>
      <c r="AK2430" s="333"/>
      <c r="AL2430" s="333"/>
      <c r="AM2430" s="338"/>
      <c r="AN2430" s="333"/>
      <c r="AO2430" s="333"/>
      <c r="AP2430" s="333"/>
      <c r="AQ2430" s="333"/>
      <c r="AR2430" s="333"/>
      <c r="AS2430" s="333"/>
      <c r="AT2430" s="333"/>
      <c r="AU2430" s="329"/>
      <c r="AV2430" s="341"/>
      <c r="AW2430" s="269" t="s">
        <v>1572</v>
      </c>
      <c r="AX2430" s="269" t="s">
        <v>2869</v>
      </c>
      <c r="AY2430" s="270" t="s">
        <v>695</v>
      </c>
      <c r="AZ2430" s="173" t="s">
        <v>8075</v>
      </c>
      <c r="BA2430" s="265">
        <v>10.0</v>
      </c>
      <c r="BB2430" s="174" t="s">
        <v>245</v>
      </c>
      <c r="BC2430" s="341"/>
      <c r="BD2430" s="308" t="s">
        <v>1844</v>
      </c>
      <c r="BE2430" s="364"/>
      <c r="BF2430" s="274" t="str">
        <f>IFERROR(__xludf.DUMMYFUNCTION("LOWER(Regexreplace(to_text(E2430),""[^A-Za-z0-9]"","""")&amp;""_""&amp;Regexreplace(to_text(F2430),""[^A-Za-z0-9]"",""""))"),"schneider_pm2200")</f>
        <v>schneider_pm2200</v>
      </c>
      <c r="BG2430" s="275" t="str">
        <f>IFERROR(__xludf.DUMMYFUNCTION("upper(Regexreplace(to_text(E2430),""[^A-Za-z0-9]"","""")&amp;""-""&amp;Regexreplace(to_text(F2430),""[^A-Za-z0-9]"",""""))"),"SCHNEIDER-PM2200")</f>
        <v>SCHNEIDER-PM2200</v>
      </c>
    </row>
    <row r="2431" ht="30.0" customHeight="1">
      <c r="A2431" s="173">
        <v>2423.0</v>
      </c>
      <c r="B2431" s="328" t="s">
        <v>670</v>
      </c>
      <c r="C2431" s="257" t="s">
        <v>8101</v>
      </c>
      <c r="D2431" s="173" t="s">
        <v>8101</v>
      </c>
      <c r="E2431" s="174" t="s">
        <v>8070</v>
      </c>
      <c r="F2431" s="173" t="s">
        <v>8071</v>
      </c>
      <c r="G2431" s="328" t="s">
        <v>673</v>
      </c>
      <c r="H2431" s="328" t="s">
        <v>2863</v>
      </c>
      <c r="I2431" s="258" t="s">
        <v>8072</v>
      </c>
      <c r="J2431" s="259" t="s">
        <v>739</v>
      </c>
      <c r="K2431" s="260" t="s">
        <v>1782</v>
      </c>
      <c r="L2431" s="365"/>
      <c r="M2431" s="329"/>
      <c r="N2431" s="173" t="s">
        <v>679</v>
      </c>
      <c r="O2431" s="173" t="s">
        <v>225</v>
      </c>
      <c r="P2431" s="262" t="str">
        <f t="shared" si="1"/>
        <v>IN-BLR-ANANTA-EM-13_G</v>
      </c>
      <c r="Q2431" s="173" t="s">
        <v>8102</v>
      </c>
      <c r="R2431" s="328" t="str">
        <f>IFS(C2431="","",C2431="n/a","N/A",LEN(C2431),Concatenate("{",char(34),"asset",char(34),":{",char(34),"guid",char(34),":",char(34),Q2431,char(34),",",char(34),"site",char(34),":",char(34),LOWER('2-Building'!$B$4),char(34),",",char(34),"name",char(34),":",char(34),LOWER(C2431),char(34),"}}"))</f>
        <v>{"asset":{"guid":"uuid://24ca14ce-1a64-4100-aa66-01fc1a718581","site":"in-blr-ananta","name":"em-13"}}</v>
      </c>
      <c r="S2431" s="366" t="s">
        <v>8075</v>
      </c>
      <c r="T2431" s="330"/>
      <c r="U2431" s="330"/>
      <c r="V2431" s="331"/>
      <c r="W2431" s="332"/>
      <c r="X2431" s="333"/>
      <c r="Y2431" s="33" t="s">
        <v>8076</v>
      </c>
      <c r="Z2431" s="258"/>
      <c r="AA2431" s="333"/>
      <c r="AB2431" s="258">
        <v>4.0</v>
      </c>
      <c r="AC2431" s="333"/>
      <c r="AD2431" s="329"/>
      <c r="AE2431" s="331"/>
      <c r="AF2431" s="336"/>
      <c r="AG2431" s="337" t="str">
        <f>IFS(LEN(AF2431)=17,LOWER('2-Building'!$B$4 &amp; "-" &amp; C2431), AF2431="N/A", "N/A", LEN(AF2431)=0,"")</f>
        <v/>
      </c>
      <c r="AH2431" s="333"/>
      <c r="AI2431" s="333"/>
      <c r="AJ2431" s="333"/>
      <c r="AK2431" s="333"/>
      <c r="AL2431" s="333"/>
      <c r="AM2431" s="338"/>
      <c r="AN2431" s="333"/>
      <c r="AO2431" s="333"/>
      <c r="AP2431" s="333"/>
      <c r="AQ2431" s="333"/>
      <c r="AR2431" s="333"/>
      <c r="AS2431" s="333"/>
      <c r="AT2431" s="333"/>
      <c r="AU2431" s="329"/>
      <c r="AV2431" s="341"/>
      <c r="AW2431" s="269" t="s">
        <v>1572</v>
      </c>
      <c r="AX2431" s="269" t="s">
        <v>2869</v>
      </c>
      <c r="AY2431" s="270" t="s">
        <v>695</v>
      </c>
      <c r="AZ2431" s="173" t="s">
        <v>8075</v>
      </c>
      <c r="BA2431" s="265">
        <v>10.0</v>
      </c>
      <c r="BB2431" s="174" t="s">
        <v>245</v>
      </c>
      <c r="BC2431" s="341"/>
      <c r="BD2431" s="308" t="s">
        <v>1844</v>
      </c>
      <c r="BE2431" s="364"/>
      <c r="BF2431" s="274" t="str">
        <f>IFERROR(__xludf.DUMMYFUNCTION("LOWER(Regexreplace(to_text(E2431),""[^A-Za-z0-9]"","""")&amp;""_""&amp;Regexreplace(to_text(F2431),""[^A-Za-z0-9]"",""""))"),"schneider_pm2200")</f>
        <v>schneider_pm2200</v>
      </c>
      <c r="BG2431" s="275" t="str">
        <f>IFERROR(__xludf.DUMMYFUNCTION("upper(Regexreplace(to_text(E2431),""[^A-Za-z0-9]"","""")&amp;""-""&amp;Regexreplace(to_text(F2431),""[^A-Za-z0-9]"",""""))"),"SCHNEIDER-PM2200")</f>
        <v>SCHNEIDER-PM2200</v>
      </c>
    </row>
    <row r="2432" ht="30.0" customHeight="1">
      <c r="A2432" s="258">
        <v>2424.0</v>
      </c>
      <c r="B2432" s="328" t="s">
        <v>670</v>
      </c>
      <c r="C2432" s="257" t="s">
        <v>8103</v>
      </c>
      <c r="D2432" s="173" t="s">
        <v>8103</v>
      </c>
      <c r="E2432" s="174" t="s">
        <v>8070</v>
      </c>
      <c r="F2432" s="173" t="s">
        <v>8071</v>
      </c>
      <c r="G2432" s="328" t="s">
        <v>673</v>
      </c>
      <c r="H2432" s="328" t="s">
        <v>2863</v>
      </c>
      <c r="I2432" s="258" t="s">
        <v>8072</v>
      </c>
      <c r="J2432" s="259" t="s">
        <v>739</v>
      </c>
      <c r="K2432" s="260" t="s">
        <v>1782</v>
      </c>
      <c r="L2432" s="365"/>
      <c r="M2432" s="329"/>
      <c r="N2432" s="173" t="s">
        <v>679</v>
      </c>
      <c r="O2432" s="173" t="s">
        <v>225</v>
      </c>
      <c r="P2432" s="262" t="str">
        <f t="shared" si="1"/>
        <v>IN-BLR-ANANTA-EM-14_G</v>
      </c>
      <c r="Q2432" s="173" t="s">
        <v>8104</v>
      </c>
      <c r="R2432" s="328" t="str">
        <f>IFS(C2432="","",C2432="n/a","N/A",LEN(C2432),Concatenate("{",char(34),"asset",char(34),":{",char(34),"guid",char(34),":",char(34),Q2432,char(34),",",char(34),"site",char(34),":",char(34),LOWER('2-Building'!$B$4),char(34),",",char(34),"name",char(34),":",char(34),LOWER(C2432),char(34),"}}"))</f>
        <v>{"asset":{"guid":"uuid://24cab94d-1393-492e-b990-e361af002780","site":"in-blr-ananta","name":"em-14"}}</v>
      </c>
      <c r="S2432" s="366" t="s">
        <v>8075</v>
      </c>
      <c r="T2432" s="330"/>
      <c r="U2432" s="330"/>
      <c r="V2432" s="331"/>
      <c r="W2432" s="332"/>
      <c r="X2432" s="333"/>
      <c r="Y2432" s="33" t="s">
        <v>8076</v>
      </c>
      <c r="Z2432" s="258"/>
      <c r="AA2432" s="333"/>
      <c r="AB2432" s="258">
        <v>5.0</v>
      </c>
      <c r="AC2432" s="333"/>
      <c r="AD2432" s="329"/>
      <c r="AE2432" s="331"/>
      <c r="AF2432" s="336"/>
      <c r="AG2432" s="337" t="str">
        <f>IFS(LEN(AF2432)=17,LOWER('2-Building'!$B$4 &amp; "-" &amp; C2432), AF2432="N/A", "N/A", LEN(AF2432)=0,"")</f>
        <v/>
      </c>
      <c r="AH2432" s="333"/>
      <c r="AI2432" s="333"/>
      <c r="AJ2432" s="333"/>
      <c r="AK2432" s="333"/>
      <c r="AL2432" s="333"/>
      <c r="AM2432" s="338"/>
      <c r="AN2432" s="333"/>
      <c r="AO2432" s="333"/>
      <c r="AP2432" s="333"/>
      <c r="AQ2432" s="333"/>
      <c r="AR2432" s="333"/>
      <c r="AS2432" s="333"/>
      <c r="AT2432" s="333"/>
      <c r="AU2432" s="329"/>
      <c r="AV2432" s="341"/>
      <c r="AW2432" s="269" t="s">
        <v>1572</v>
      </c>
      <c r="AX2432" s="269" t="s">
        <v>2869</v>
      </c>
      <c r="AY2432" s="270" t="s">
        <v>695</v>
      </c>
      <c r="AZ2432" s="173" t="s">
        <v>8075</v>
      </c>
      <c r="BA2432" s="265">
        <v>10.0</v>
      </c>
      <c r="BB2432" s="174" t="s">
        <v>245</v>
      </c>
      <c r="BC2432" s="341"/>
      <c r="BD2432" s="308" t="s">
        <v>1844</v>
      </c>
      <c r="BE2432" s="364"/>
      <c r="BF2432" s="274" t="str">
        <f>IFERROR(__xludf.DUMMYFUNCTION("LOWER(Regexreplace(to_text(E2432),""[^A-Za-z0-9]"","""")&amp;""_""&amp;Regexreplace(to_text(F2432),""[^A-Za-z0-9]"",""""))"),"schneider_pm2200")</f>
        <v>schneider_pm2200</v>
      </c>
      <c r="BG2432" s="275" t="str">
        <f>IFERROR(__xludf.DUMMYFUNCTION("upper(Regexreplace(to_text(E2432),""[^A-Za-z0-9]"","""")&amp;""-""&amp;Regexreplace(to_text(F2432),""[^A-Za-z0-9]"",""""))"),"SCHNEIDER-PM2200")</f>
        <v>SCHNEIDER-PM2200</v>
      </c>
    </row>
    <row r="2433" ht="30.0" customHeight="1">
      <c r="A2433" s="173">
        <v>2425.0</v>
      </c>
      <c r="B2433" s="328" t="s">
        <v>670</v>
      </c>
      <c r="C2433" s="257" t="s">
        <v>8105</v>
      </c>
      <c r="D2433" s="173" t="s">
        <v>8105</v>
      </c>
      <c r="E2433" s="174" t="s">
        <v>8070</v>
      </c>
      <c r="F2433" s="173" t="s">
        <v>8071</v>
      </c>
      <c r="G2433" s="328" t="s">
        <v>673</v>
      </c>
      <c r="H2433" s="328" t="s">
        <v>2863</v>
      </c>
      <c r="I2433" s="258" t="s">
        <v>8072</v>
      </c>
      <c r="J2433" s="259" t="s">
        <v>739</v>
      </c>
      <c r="K2433" s="260" t="s">
        <v>1782</v>
      </c>
      <c r="L2433" s="365"/>
      <c r="M2433" s="329"/>
      <c r="N2433" s="173" t="s">
        <v>679</v>
      </c>
      <c r="O2433" s="173" t="s">
        <v>225</v>
      </c>
      <c r="P2433" s="262" t="str">
        <f t="shared" si="1"/>
        <v>IN-BLR-ANANTA-EM-15_G</v>
      </c>
      <c r="Q2433" s="173" t="s">
        <v>8106</v>
      </c>
      <c r="R2433" s="328" t="str">
        <f>IFS(C2433="","",C2433="n/a","N/A",LEN(C2433),Concatenate("{",char(34),"asset",char(34),":{",char(34),"guid",char(34),":",char(34),Q2433,char(34),",",char(34),"site",char(34),":",char(34),LOWER('2-Building'!$B$4),char(34),",",char(34),"name",char(34),":",char(34),LOWER(C2433),char(34),"}}"))</f>
        <v>{"asset":{"guid":"uuid://3e88fafb-5d93-403e-b05a-c90d4fa12610","site":"in-blr-ananta","name":"em-15"}}</v>
      </c>
      <c r="S2433" s="366" t="s">
        <v>8075</v>
      </c>
      <c r="T2433" s="330"/>
      <c r="U2433" s="330"/>
      <c r="V2433" s="331"/>
      <c r="W2433" s="332"/>
      <c r="X2433" s="333"/>
      <c r="Y2433" s="33" t="s">
        <v>8076</v>
      </c>
      <c r="Z2433" s="258"/>
      <c r="AA2433" s="333"/>
      <c r="AB2433" s="258">
        <v>6.0</v>
      </c>
      <c r="AC2433" s="333"/>
      <c r="AD2433" s="329"/>
      <c r="AE2433" s="331"/>
      <c r="AF2433" s="336"/>
      <c r="AG2433" s="337" t="str">
        <f>IFS(LEN(AF2433)=17,LOWER('2-Building'!$B$4 &amp; "-" &amp; C2433), AF2433="N/A", "N/A", LEN(AF2433)=0,"")</f>
        <v/>
      </c>
      <c r="AH2433" s="333"/>
      <c r="AI2433" s="333"/>
      <c r="AJ2433" s="333"/>
      <c r="AK2433" s="333"/>
      <c r="AL2433" s="333"/>
      <c r="AM2433" s="338"/>
      <c r="AN2433" s="333"/>
      <c r="AO2433" s="333"/>
      <c r="AP2433" s="333"/>
      <c r="AQ2433" s="333"/>
      <c r="AR2433" s="333"/>
      <c r="AS2433" s="333"/>
      <c r="AT2433" s="333"/>
      <c r="AU2433" s="329"/>
      <c r="AV2433" s="341"/>
      <c r="AW2433" s="269" t="s">
        <v>1572</v>
      </c>
      <c r="AX2433" s="269" t="s">
        <v>2869</v>
      </c>
      <c r="AY2433" s="270" t="s">
        <v>695</v>
      </c>
      <c r="AZ2433" s="173" t="s">
        <v>8075</v>
      </c>
      <c r="BA2433" s="265">
        <v>10.0</v>
      </c>
      <c r="BB2433" s="174" t="s">
        <v>245</v>
      </c>
      <c r="BC2433" s="341"/>
      <c r="BD2433" s="308" t="s">
        <v>1844</v>
      </c>
      <c r="BE2433" s="364"/>
      <c r="BF2433" s="274" t="str">
        <f>IFERROR(__xludf.DUMMYFUNCTION("LOWER(Regexreplace(to_text(E2433),""[^A-Za-z0-9]"","""")&amp;""_""&amp;Regexreplace(to_text(F2433),""[^A-Za-z0-9]"",""""))"),"schneider_pm2200")</f>
        <v>schneider_pm2200</v>
      </c>
      <c r="BG2433" s="275" t="str">
        <f>IFERROR(__xludf.DUMMYFUNCTION("upper(Regexreplace(to_text(E2433),""[^A-Za-z0-9]"","""")&amp;""-""&amp;Regexreplace(to_text(F2433),""[^A-Za-z0-9]"",""""))"),"SCHNEIDER-PM2200")</f>
        <v>SCHNEIDER-PM2200</v>
      </c>
    </row>
    <row r="2434" ht="30.0" customHeight="1">
      <c r="A2434" s="258">
        <v>2426.0</v>
      </c>
      <c r="B2434" s="328" t="s">
        <v>670</v>
      </c>
      <c r="C2434" s="257" t="s">
        <v>8107</v>
      </c>
      <c r="D2434" s="173" t="s">
        <v>8107</v>
      </c>
      <c r="E2434" s="174" t="s">
        <v>8070</v>
      </c>
      <c r="F2434" s="173" t="s">
        <v>8071</v>
      </c>
      <c r="G2434" s="328" t="s">
        <v>673</v>
      </c>
      <c r="H2434" s="328" t="s">
        <v>2863</v>
      </c>
      <c r="I2434" s="258" t="s">
        <v>8072</v>
      </c>
      <c r="J2434" s="259" t="s">
        <v>846</v>
      </c>
      <c r="K2434" s="260">
        <v>170.0</v>
      </c>
      <c r="L2434" s="365"/>
      <c r="M2434" s="329"/>
      <c r="N2434" s="173" t="s">
        <v>679</v>
      </c>
      <c r="O2434" s="173" t="s">
        <v>225</v>
      </c>
      <c r="P2434" s="262" t="str">
        <f t="shared" si="1"/>
        <v>IN-BLR-ANANTA-EM-16_1</v>
      </c>
      <c r="Q2434" s="173" t="s">
        <v>8108</v>
      </c>
      <c r="R2434" s="328" t="str">
        <f>IFS(C2434="","",C2434="n/a","N/A",LEN(C2434),Concatenate("{",char(34),"asset",char(34),":{",char(34),"guid",char(34),":",char(34),Q2434,char(34),",",char(34),"site",char(34),":",char(34),LOWER('2-Building'!$B$4),char(34),",",char(34),"name",char(34),":",char(34),LOWER(C2434),char(34),"}}"))</f>
        <v>{"asset":{"guid":"uuid://a938830f-8808-470b-94f2-47d4774cf74e","site":"in-blr-ananta","name":"em-16"}}</v>
      </c>
      <c r="S2434" s="366" t="s">
        <v>8075</v>
      </c>
      <c r="T2434" s="330"/>
      <c r="U2434" s="330"/>
      <c r="V2434" s="331"/>
      <c r="W2434" s="332"/>
      <c r="X2434" s="333"/>
      <c r="Y2434" s="33" t="s">
        <v>8076</v>
      </c>
      <c r="Z2434" s="258"/>
      <c r="AA2434" s="333"/>
      <c r="AB2434" s="258">
        <v>2.0</v>
      </c>
      <c r="AC2434" s="333"/>
      <c r="AD2434" s="329"/>
      <c r="AE2434" s="331"/>
      <c r="AF2434" s="336"/>
      <c r="AG2434" s="337" t="str">
        <f>IFS(LEN(AF2434)=17,LOWER('2-Building'!$B$4 &amp; "-" &amp; C2434), AF2434="N/A", "N/A", LEN(AF2434)=0,"")</f>
        <v/>
      </c>
      <c r="AH2434" s="333"/>
      <c r="AI2434" s="333"/>
      <c r="AJ2434" s="333"/>
      <c r="AK2434" s="333"/>
      <c r="AL2434" s="333"/>
      <c r="AM2434" s="338"/>
      <c r="AN2434" s="333"/>
      <c r="AO2434" s="333"/>
      <c r="AP2434" s="333"/>
      <c r="AQ2434" s="333"/>
      <c r="AR2434" s="333"/>
      <c r="AS2434" s="333"/>
      <c r="AT2434" s="333"/>
      <c r="AU2434" s="329"/>
      <c r="AV2434" s="341"/>
      <c r="AW2434" s="269" t="s">
        <v>1972</v>
      </c>
      <c r="AX2434" s="269" t="s">
        <v>2869</v>
      </c>
      <c r="AY2434" s="270" t="s">
        <v>695</v>
      </c>
      <c r="AZ2434" s="173" t="s">
        <v>8075</v>
      </c>
      <c r="BA2434" s="265">
        <v>10.0</v>
      </c>
      <c r="BB2434" s="174" t="s">
        <v>245</v>
      </c>
      <c r="BC2434" s="341"/>
      <c r="BD2434" s="308" t="s">
        <v>1844</v>
      </c>
      <c r="BE2434" s="364"/>
      <c r="BF2434" s="274" t="str">
        <f>IFERROR(__xludf.DUMMYFUNCTION("LOWER(Regexreplace(to_text(E2434),""[^A-Za-z0-9]"","""")&amp;""_""&amp;Regexreplace(to_text(F2434),""[^A-Za-z0-9]"",""""))"),"schneider_pm2200")</f>
        <v>schneider_pm2200</v>
      </c>
      <c r="BG2434" s="275" t="str">
        <f>IFERROR(__xludf.DUMMYFUNCTION("upper(Regexreplace(to_text(E2434),""[^A-Za-z0-9]"","""")&amp;""-""&amp;Regexreplace(to_text(F2434),""[^A-Za-z0-9]"",""""))"),"SCHNEIDER-PM2200")</f>
        <v>SCHNEIDER-PM2200</v>
      </c>
    </row>
    <row r="2435" ht="30.0" customHeight="1">
      <c r="A2435" s="173">
        <v>2427.0</v>
      </c>
      <c r="B2435" s="328" t="s">
        <v>670</v>
      </c>
      <c r="C2435" s="257" t="s">
        <v>8109</v>
      </c>
      <c r="D2435" s="173" t="s">
        <v>8109</v>
      </c>
      <c r="E2435" s="174" t="s">
        <v>8070</v>
      </c>
      <c r="F2435" s="173" t="s">
        <v>8071</v>
      </c>
      <c r="G2435" s="328" t="s">
        <v>673</v>
      </c>
      <c r="H2435" s="328" t="s">
        <v>2863</v>
      </c>
      <c r="I2435" s="258" t="s">
        <v>8072</v>
      </c>
      <c r="J2435" s="259" t="s">
        <v>846</v>
      </c>
      <c r="K2435" s="260">
        <v>170.0</v>
      </c>
      <c r="L2435" s="365"/>
      <c r="M2435" s="329"/>
      <c r="N2435" s="173" t="s">
        <v>679</v>
      </c>
      <c r="O2435" s="173" t="s">
        <v>225</v>
      </c>
      <c r="P2435" s="262" t="str">
        <f t="shared" si="1"/>
        <v>IN-BLR-ANANTA-EM-17_1</v>
      </c>
      <c r="Q2435" s="173" t="s">
        <v>8110</v>
      </c>
      <c r="R2435" s="328" t="str">
        <f>IFS(C2435="","",C2435="n/a","N/A",LEN(C2435),Concatenate("{",char(34),"asset",char(34),":{",char(34),"guid",char(34),":",char(34),Q2435,char(34),",",char(34),"site",char(34),":",char(34),LOWER('2-Building'!$B$4),char(34),",",char(34),"name",char(34),":",char(34),LOWER(C2435),char(34),"}}"))</f>
        <v>{"asset":{"guid":"uuid://f3e4ec8b-3235-4012-9cd1-29a43d2a4fad","site":"in-blr-ananta","name":"em-17"}}</v>
      </c>
      <c r="S2435" s="366" t="s">
        <v>8075</v>
      </c>
      <c r="T2435" s="330"/>
      <c r="U2435" s="330"/>
      <c r="V2435" s="331"/>
      <c r="W2435" s="332"/>
      <c r="X2435" s="333"/>
      <c r="Y2435" s="33" t="s">
        <v>8076</v>
      </c>
      <c r="Z2435" s="258"/>
      <c r="AA2435" s="333"/>
      <c r="AB2435" s="258">
        <v>3.0</v>
      </c>
      <c r="AC2435" s="333"/>
      <c r="AD2435" s="329"/>
      <c r="AE2435" s="331"/>
      <c r="AF2435" s="336"/>
      <c r="AG2435" s="337" t="str">
        <f>IFS(LEN(AF2435)=17,LOWER('2-Building'!$B$4 &amp; "-" &amp; C2435), AF2435="N/A", "N/A", LEN(AF2435)=0,"")</f>
        <v/>
      </c>
      <c r="AH2435" s="333"/>
      <c r="AI2435" s="333"/>
      <c r="AJ2435" s="333"/>
      <c r="AK2435" s="333"/>
      <c r="AL2435" s="333"/>
      <c r="AM2435" s="338"/>
      <c r="AN2435" s="333"/>
      <c r="AO2435" s="333"/>
      <c r="AP2435" s="333"/>
      <c r="AQ2435" s="333"/>
      <c r="AR2435" s="333"/>
      <c r="AS2435" s="333"/>
      <c r="AT2435" s="333"/>
      <c r="AU2435" s="329"/>
      <c r="AV2435" s="341"/>
      <c r="AW2435" s="269" t="s">
        <v>1972</v>
      </c>
      <c r="AX2435" s="269" t="s">
        <v>2869</v>
      </c>
      <c r="AY2435" s="270" t="s">
        <v>695</v>
      </c>
      <c r="AZ2435" s="173" t="s">
        <v>8075</v>
      </c>
      <c r="BA2435" s="265">
        <v>10.0</v>
      </c>
      <c r="BB2435" s="174" t="s">
        <v>245</v>
      </c>
      <c r="BC2435" s="341"/>
      <c r="BD2435" s="308" t="s">
        <v>1844</v>
      </c>
      <c r="BE2435" s="364"/>
      <c r="BF2435" s="274" t="str">
        <f>IFERROR(__xludf.DUMMYFUNCTION("LOWER(Regexreplace(to_text(E2435),""[^A-Za-z0-9]"","""")&amp;""_""&amp;Regexreplace(to_text(F2435),""[^A-Za-z0-9]"",""""))"),"schneider_pm2200")</f>
        <v>schneider_pm2200</v>
      </c>
      <c r="BG2435" s="275" t="str">
        <f>IFERROR(__xludf.DUMMYFUNCTION("upper(Regexreplace(to_text(E2435),""[^A-Za-z0-9]"","""")&amp;""-""&amp;Regexreplace(to_text(F2435),""[^A-Za-z0-9]"",""""))"),"SCHNEIDER-PM2200")</f>
        <v>SCHNEIDER-PM2200</v>
      </c>
    </row>
    <row r="2436" ht="30.0" customHeight="1">
      <c r="A2436" s="258">
        <v>2428.0</v>
      </c>
      <c r="B2436" s="328" t="s">
        <v>670</v>
      </c>
      <c r="C2436" s="257" t="s">
        <v>8111</v>
      </c>
      <c r="D2436" s="173" t="s">
        <v>8111</v>
      </c>
      <c r="E2436" s="174" t="s">
        <v>8070</v>
      </c>
      <c r="F2436" s="173" t="s">
        <v>8071</v>
      </c>
      <c r="G2436" s="328" t="s">
        <v>673</v>
      </c>
      <c r="H2436" s="328" t="s">
        <v>2863</v>
      </c>
      <c r="I2436" s="258" t="s">
        <v>8072</v>
      </c>
      <c r="J2436" s="259" t="s">
        <v>846</v>
      </c>
      <c r="K2436" s="260" t="s">
        <v>8112</v>
      </c>
      <c r="L2436" s="365"/>
      <c r="M2436" s="329"/>
      <c r="N2436" s="173" t="s">
        <v>679</v>
      </c>
      <c r="O2436" s="173" t="s">
        <v>225</v>
      </c>
      <c r="P2436" s="262" t="str">
        <f t="shared" si="1"/>
        <v>IN-BLR-ANANTA-EM-18_1</v>
      </c>
      <c r="Q2436" s="173" t="s">
        <v>8113</v>
      </c>
      <c r="R2436" s="328" t="str">
        <f>IFS(C2436="","",C2436="n/a","N/A",LEN(C2436),Concatenate("{",char(34),"asset",char(34),":{",char(34),"guid",char(34),":",char(34),Q2436,char(34),",",char(34),"site",char(34),":",char(34),LOWER('2-Building'!$B$4),char(34),",",char(34),"name",char(34),":",char(34),LOWER(C2436),char(34),"}}"))</f>
        <v>{"asset":{"guid":"uuid://08690d5a-4b5b-4e57-91e5-4961b40d0bee","site":"in-blr-ananta","name":"em-18"}}</v>
      </c>
      <c r="S2436" s="366" t="s">
        <v>8075</v>
      </c>
      <c r="T2436" s="330"/>
      <c r="U2436" s="330"/>
      <c r="V2436" s="331"/>
      <c r="W2436" s="332"/>
      <c r="X2436" s="333"/>
      <c r="Y2436" s="33" t="s">
        <v>8076</v>
      </c>
      <c r="Z2436" s="258"/>
      <c r="AA2436" s="333"/>
      <c r="AB2436" s="258">
        <v>4.0</v>
      </c>
      <c r="AC2436" s="333"/>
      <c r="AD2436" s="329"/>
      <c r="AE2436" s="331"/>
      <c r="AF2436" s="336"/>
      <c r="AG2436" s="337" t="str">
        <f>IFS(LEN(AF2436)=17,LOWER('2-Building'!$B$4 &amp; "-" &amp; C2436), AF2436="N/A", "N/A", LEN(AF2436)=0,"")</f>
        <v/>
      </c>
      <c r="AH2436" s="333"/>
      <c r="AI2436" s="333"/>
      <c r="AJ2436" s="333"/>
      <c r="AK2436" s="333"/>
      <c r="AL2436" s="333"/>
      <c r="AM2436" s="338"/>
      <c r="AN2436" s="333"/>
      <c r="AO2436" s="333"/>
      <c r="AP2436" s="333"/>
      <c r="AQ2436" s="333"/>
      <c r="AR2436" s="333"/>
      <c r="AS2436" s="333"/>
      <c r="AT2436" s="333"/>
      <c r="AU2436" s="329"/>
      <c r="AV2436" s="341"/>
      <c r="AW2436" s="269" t="s">
        <v>1972</v>
      </c>
      <c r="AX2436" s="269" t="s">
        <v>2869</v>
      </c>
      <c r="AY2436" s="270" t="s">
        <v>695</v>
      </c>
      <c r="AZ2436" s="173" t="s">
        <v>8075</v>
      </c>
      <c r="BA2436" s="265">
        <v>10.0</v>
      </c>
      <c r="BB2436" s="174" t="s">
        <v>245</v>
      </c>
      <c r="BC2436" s="341"/>
      <c r="BD2436" s="308" t="s">
        <v>1844</v>
      </c>
      <c r="BE2436" s="364"/>
      <c r="BF2436" s="274" t="str">
        <f>IFERROR(__xludf.DUMMYFUNCTION("LOWER(Regexreplace(to_text(E2436),""[^A-Za-z0-9]"","""")&amp;""_""&amp;Regexreplace(to_text(F2436),""[^A-Za-z0-9]"",""""))"),"schneider_pm2200")</f>
        <v>schneider_pm2200</v>
      </c>
      <c r="BG2436" s="275" t="str">
        <f>IFERROR(__xludf.DUMMYFUNCTION("upper(Regexreplace(to_text(E2436),""[^A-Za-z0-9]"","""")&amp;""-""&amp;Regexreplace(to_text(F2436),""[^A-Za-z0-9]"",""""))"),"SCHNEIDER-PM2200")</f>
        <v>SCHNEIDER-PM2200</v>
      </c>
    </row>
    <row r="2437" ht="30.0" customHeight="1">
      <c r="A2437" s="173">
        <v>2429.0</v>
      </c>
      <c r="B2437" s="328" t="s">
        <v>670</v>
      </c>
      <c r="C2437" s="257" t="s">
        <v>8114</v>
      </c>
      <c r="D2437" s="173" t="s">
        <v>8114</v>
      </c>
      <c r="E2437" s="174" t="s">
        <v>8070</v>
      </c>
      <c r="F2437" s="173" t="s">
        <v>8071</v>
      </c>
      <c r="G2437" s="328" t="s">
        <v>673</v>
      </c>
      <c r="H2437" s="328" t="s">
        <v>2863</v>
      </c>
      <c r="I2437" s="258" t="s">
        <v>8072</v>
      </c>
      <c r="J2437" s="259" t="s">
        <v>846</v>
      </c>
      <c r="K2437" s="260">
        <v>182.0</v>
      </c>
      <c r="L2437" s="365"/>
      <c r="M2437" s="329"/>
      <c r="N2437" s="173" t="s">
        <v>679</v>
      </c>
      <c r="O2437" s="173" t="s">
        <v>225</v>
      </c>
      <c r="P2437" s="262" t="str">
        <f t="shared" si="1"/>
        <v>IN-BLR-ANANTA-EM-19_1</v>
      </c>
      <c r="Q2437" s="173" t="s">
        <v>8115</v>
      </c>
      <c r="R2437" s="328" t="str">
        <f>IFS(C2437="","",C2437="n/a","N/A",LEN(C2437),Concatenate("{",char(34),"asset",char(34),":{",char(34),"guid",char(34),":",char(34),Q2437,char(34),",",char(34),"site",char(34),":",char(34),LOWER('2-Building'!$B$4),char(34),",",char(34),"name",char(34),":",char(34),LOWER(C2437),char(34),"}}"))</f>
        <v>{"asset":{"guid":"uuid://7392fc2d-6106-435a-b6a2-fe6d1c9792e0","site":"in-blr-ananta","name":"em-19"}}</v>
      </c>
      <c r="S2437" s="366" t="s">
        <v>8075</v>
      </c>
      <c r="T2437" s="330"/>
      <c r="U2437" s="330"/>
      <c r="V2437" s="331"/>
      <c r="W2437" s="332"/>
      <c r="X2437" s="333"/>
      <c r="Y2437" s="33" t="s">
        <v>8076</v>
      </c>
      <c r="Z2437" s="258"/>
      <c r="AA2437" s="333"/>
      <c r="AB2437" s="258">
        <v>5.0</v>
      </c>
      <c r="AC2437" s="333"/>
      <c r="AD2437" s="329"/>
      <c r="AE2437" s="331"/>
      <c r="AF2437" s="336"/>
      <c r="AG2437" s="337" t="str">
        <f>IFS(LEN(AF2437)=17,LOWER('2-Building'!$B$4 &amp; "-" &amp; C2437), AF2437="N/A", "N/A", LEN(AF2437)=0,"")</f>
        <v/>
      </c>
      <c r="AH2437" s="333"/>
      <c r="AI2437" s="333"/>
      <c r="AJ2437" s="333"/>
      <c r="AK2437" s="333"/>
      <c r="AL2437" s="333"/>
      <c r="AM2437" s="338"/>
      <c r="AN2437" s="333"/>
      <c r="AO2437" s="333"/>
      <c r="AP2437" s="333"/>
      <c r="AQ2437" s="333"/>
      <c r="AR2437" s="333"/>
      <c r="AS2437" s="333"/>
      <c r="AT2437" s="333"/>
      <c r="AU2437" s="329"/>
      <c r="AV2437" s="341"/>
      <c r="AW2437" s="269" t="s">
        <v>2003</v>
      </c>
      <c r="AX2437" s="269" t="s">
        <v>2869</v>
      </c>
      <c r="AY2437" s="270" t="s">
        <v>695</v>
      </c>
      <c r="AZ2437" s="173" t="s">
        <v>8075</v>
      </c>
      <c r="BA2437" s="265">
        <v>10.0</v>
      </c>
      <c r="BB2437" s="174" t="s">
        <v>245</v>
      </c>
      <c r="BC2437" s="341"/>
      <c r="BD2437" s="308" t="s">
        <v>1844</v>
      </c>
      <c r="BE2437" s="364"/>
      <c r="BF2437" s="274" t="str">
        <f>IFERROR(__xludf.DUMMYFUNCTION("LOWER(Regexreplace(to_text(E2437),""[^A-Za-z0-9]"","""")&amp;""_""&amp;Regexreplace(to_text(F2437),""[^A-Za-z0-9]"",""""))"),"schneider_pm2200")</f>
        <v>schneider_pm2200</v>
      </c>
      <c r="BG2437" s="275" t="str">
        <f>IFERROR(__xludf.DUMMYFUNCTION("upper(Regexreplace(to_text(E2437),""[^A-Za-z0-9]"","""")&amp;""-""&amp;Regexreplace(to_text(F2437),""[^A-Za-z0-9]"",""""))"),"SCHNEIDER-PM2200")</f>
        <v>SCHNEIDER-PM2200</v>
      </c>
    </row>
    <row r="2438" ht="30.0" customHeight="1">
      <c r="A2438" s="258">
        <v>2430.0</v>
      </c>
      <c r="B2438" s="328" t="s">
        <v>670</v>
      </c>
      <c r="C2438" s="257" t="s">
        <v>8116</v>
      </c>
      <c r="D2438" s="173" t="s">
        <v>8116</v>
      </c>
      <c r="E2438" s="174" t="s">
        <v>8070</v>
      </c>
      <c r="F2438" s="173" t="s">
        <v>8071</v>
      </c>
      <c r="G2438" s="328" t="s">
        <v>673</v>
      </c>
      <c r="H2438" s="328" t="s">
        <v>2863</v>
      </c>
      <c r="I2438" s="258" t="s">
        <v>8072</v>
      </c>
      <c r="J2438" s="259" t="s">
        <v>846</v>
      </c>
      <c r="K2438" s="260">
        <v>182.0</v>
      </c>
      <c r="L2438" s="365"/>
      <c r="M2438" s="329"/>
      <c r="N2438" s="173" t="s">
        <v>679</v>
      </c>
      <c r="O2438" s="173" t="s">
        <v>225</v>
      </c>
      <c r="P2438" s="262" t="str">
        <f t="shared" si="1"/>
        <v>IN-BLR-ANANTA-EM-20_1</v>
      </c>
      <c r="Q2438" s="173" t="s">
        <v>8117</v>
      </c>
      <c r="R2438" s="328" t="str">
        <f>IFS(C2438="","",C2438="n/a","N/A",LEN(C2438),Concatenate("{",char(34),"asset",char(34),":{",char(34),"guid",char(34),":",char(34),Q2438,char(34),",",char(34),"site",char(34),":",char(34),LOWER('2-Building'!$B$4),char(34),",",char(34),"name",char(34),":",char(34),LOWER(C2438),char(34),"}}"))</f>
        <v>{"asset":{"guid":"uuid://b12eb63a-02d6-4c7e-b40b-bcd47b3f3d86","site":"in-blr-ananta","name":"em-20"}}</v>
      </c>
      <c r="S2438" s="366" t="s">
        <v>8075</v>
      </c>
      <c r="T2438" s="330"/>
      <c r="U2438" s="330"/>
      <c r="V2438" s="331"/>
      <c r="W2438" s="332"/>
      <c r="X2438" s="333"/>
      <c r="Y2438" s="33" t="s">
        <v>8076</v>
      </c>
      <c r="Z2438" s="258"/>
      <c r="AA2438" s="333"/>
      <c r="AB2438" s="258">
        <v>6.0</v>
      </c>
      <c r="AC2438" s="333"/>
      <c r="AD2438" s="329"/>
      <c r="AE2438" s="331"/>
      <c r="AF2438" s="336"/>
      <c r="AG2438" s="337" t="str">
        <f>IFS(LEN(AF2438)=17,LOWER('2-Building'!$B$4 &amp; "-" &amp; C2438), AF2438="N/A", "N/A", LEN(AF2438)=0,"")</f>
        <v/>
      </c>
      <c r="AH2438" s="333"/>
      <c r="AI2438" s="333"/>
      <c r="AJ2438" s="333"/>
      <c r="AK2438" s="333"/>
      <c r="AL2438" s="333"/>
      <c r="AM2438" s="338"/>
      <c r="AN2438" s="333"/>
      <c r="AO2438" s="333"/>
      <c r="AP2438" s="333"/>
      <c r="AQ2438" s="333"/>
      <c r="AR2438" s="333"/>
      <c r="AS2438" s="333"/>
      <c r="AT2438" s="333"/>
      <c r="AU2438" s="329"/>
      <c r="AV2438" s="341"/>
      <c r="AW2438" s="269" t="s">
        <v>2003</v>
      </c>
      <c r="AX2438" s="269" t="s">
        <v>2869</v>
      </c>
      <c r="AY2438" s="270" t="s">
        <v>695</v>
      </c>
      <c r="AZ2438" s="173" t="s">
        <v>8075</v>
      </c>
      <c r="BA2438" s="265">
        <v>10.0</v>
      </c>
      <c r="BB2438" s="174" t="s">
        <v>245</v>
      </c>
      <c r="BC2438" s="341"/>
      <c r="BD2438" s="308" t="s">
        <v>1844</v>
      </c>
      <c r="BE2438" s="364"/>
      <c r="BF2438" s="274" t="str">
        <f>IFERROR(__xludf.DUMMYFUNCTION("LOWER(Regexreplace(to_text(E2438),""[^A-Za-z0-9]"","""")&amp;""_""&amp;Regexreplace(to_text(F2438),""[^A-Za-z0-9]"",""""))"),"schneider_pm2200")</f>
        <v>schneider_pm2200</v>
      </c>
      <c r="BG2438" s="275" t="str">
        <f>IFERROR(__xludf.DUMMYFUNCTION("upper(Regexreplace(to_text(E2438),""[^A-Za-z0-9]"","""")&amp;""-""&amp;Regexreplace(to_text(F2438),""[^A-Za-z0-9]"",""""))"),"SCHNEIDER-PM2200")</f>
        <v>SCHNEIDER-PM2200</v>
      </c>
    </row>
    <row r="2439" ht="30.0" customHeight="1">
      <c r="A2439" s="173">
        <v>2431.0</v>
      </c>
      <c r="B2439" s="328" t="s">
        <v>670</v>
      </c>
      <c r="C2439" s="257" t="s">
        <v>8118</v>
      </c>
      <c r="D2439" s="173" t="s">
        <v>8118</v>
      </c>
      <c r="E2439" s="174" t="s">
        <v>8070</v>
      </c>
      <c r="F2439" s="173" t="s">
        <v>8071</v>
      </c>
      <c r="G2439" s="328" t="s">
        <v>673</v>
      </c>
      <c r="H2439" s="328" t="s">
        <v>2863</v>
      </c>
      <c r="I2439" s="258" t="s">
        <v>8072</v>
      </c>
      <c r="J2439" s="259" t="s">
        <v>902</v>
      </c>
      <c r="K2439" s="260">
        <v>270.0</v>
      </c>
      <c r="L2439" s="365"/>
      <c r="M2439" s="329"/>
      <c r="N2439" s="173" t="s">
        <v>679</v>
      </c>
      <c r="O2439" s="173" t="s">
        <v>225</v>
      </c>
      <c r="P2439" s="262" t="str">
        <f t="shared" si="1"/>
        <v>IN-BLR-ANANTA-EM-21_2</v>
      </c>
      <c r="Q2439" s="173" t="s">
        <v>8119</v>
      </c>
      <c r="R2439" s="328" t="str">
        <f>IFS(C2439="","",C2439="n/a","N/A",LEN(C2439),Concatenate("{",char(34),"asset",char(34),":{",char(34),"guid",char(34),":",char(34),Q2439,char(34),",",char(34),"site",char(34),":",char(34),LOWER('2-Building'!$B$4),char(34),",",char(34),"name",char(34),":",char(34),LOWER(C2439),char(34),"}}"))</f>
        <v>{"asset":{"guid":"uuid://af53d373-fe62-40f1-b717-2537110f1209","site":"in-blr-ananta","name":"em-21"}}</v>
      </c>
      <c r="S2439" s="366" t="s">
        <v>8075</v>
      </c>
      <c r="T2439" s="330"/>
      <c r="U2439" s="330"/>
      <c r="V2439" s="331"/>
      <c r="W2439" s="332"/>
      <c r="X2439" s="333"/>
      <c r="Y2439" s="33" t="s">
        <v>8076</v>
      </c>
      <c r="Z2439" s="258"/>
      <c r="AA2439" s="333"/>
      <c r="AB2439" s="258">
        <v>2.0</v>
      </c>
      <c r="AC2439" s="333"/>
      <c r="AD2439" s="329"/>
      <c r="AE2439" s="331"/>
      <c r="AF2439" s="336"/>
      <c r="AG2439" s="337" t="str">
        <f>IFS(LEN(AF2439)=17,LOWER('2-Building'!$B$4 &amp; "-" &amp; C2439), AF2439="N/A", "N/A", LEN(AF2439)=0,"")</f>
        <v/>
      </c>
      <c r="AH2439" s="333"/>
      <c r="AI2439" s="333"/>
      <c r="AJ2439" s="333"/>
      <c r="AK2439" s="333"/>
      <c r="AL2439" s="333"/>
      <c r="AM2439" s="338"/>
      <c r="AN2439" s="333"/>
      <c r="AO2439" s="333"/>
      <c r="AP2439" s="333"/>
      <c r="AQ2439" s="333"/>
      <c r="AR2439" s="333"/>
      <c r="AS2439" s="333"/>
      <c r="AT2439" s="333"/>
      <c r="AU2439" s="329"/>
      <c r="AV2439" s="341"/>
      <c r="AW2439" s="269" t="s">
        <v>2023</v>
      </c>
      <c r="AX2439" s="269" t="s">
        <v>2869</v>
      </c>
      <c r="AY2439" s="270" t="s">
        <v>695</v>
      </c>
      <c r="AZ2439" s="173" t="s">
        <v>8075</v>
      </c>
      <c r="BA2439" s="265">
        <v>10.0</v>
      </c>
      <c r="BB2439" s="174" t="s">
        <v>245</v>
      </c>
      <c r="BC2439" s="341"/>
      <c r="BD2439" s="308" t="s">
        <v>1844</v>
      </c>
      <c r="BE2439" s="364"/>
      <c r="BF2439" s="274" t="str">
        <f>IFERROR(__xludf.DUMMYFUNCTION("LOWER(Regexreplace(to_text(E2439),""[^A-Za-z0-9]"","""")&amp;""_""&amp;Regexreplace(to_text(F2439),""[^A-Za-z0-9]"",""""))"),"schneider_pm2200")</f>
        <v>schneider_pm2200</v>
      </c>
      <c r="BG2439" s="275" t="str">
        <f>IFERROR(__xludf.DUMMYFUNCTION("upper(Regexreplace(to_text(E2439),""[^A-Za-z0-9]"","""")&amp;""-""&amp;Regexreplace(to_text(F2439),""[^A-Za-z0-9]"",""""))"),"SCHNEIDER-PM2200")</f>
        <v>SCHNEIDER-PM2200</v>
      </c>
    </row>
    <row r="2440" ht="30.0" customHeight="1">
      <c r="A2440" s="258">
        <v>2432.0</v>
      </c>
      <c r="B2440" s="328" t="s">
        <v>670</v>
      </c>
      <c r="C2440" s="257" t="s">
        <v>8120</v>
      </c>
      <c r="D2440" s="173" t="s">
        <v>8120</v>
      </c>
      <c r="E2440" s="174" t="s">
        <v>8070</v>
      </c>
      <c r="F2440" s="173" t="s">
        <v>8071</v>
      </c>
      <c r="G2440" s="328" t="s">
        <v>673</v>
      </c>
      <c r="H2440" s="328" t="s">
        <v>2863</v>
      </c>
      <c r="I2440" s="258" t="s">
        <v>8072</v>
      </c>
      <c r="J2440" s="259" t="s">
        <v>902</v>
      </c>
      <c r="K2440" s="260">
        <v>270.0</v>
      </c>
      <c r="L2440" s="365"/>
      <c r="M2440" s="329"/>
      <c r="N2440" s="173" t="s">
        <v>679</v>
      </c>
      <c r="O2440" s="173" t="s">
        <v>225</v>
      </c>
      <c r="P2440" s="262" t="str">
        <f t="shared" si="1"/>
        <v>IN-BLR-ANANTA-EM-22_2</v>
      </c>
      <c r="Q2440" s="173" t="s">
        <v>8121</v>
      </c>
      <c r="R2440" s="328" t="str">
        <f>IFS(C2440="","",C2440="n/a","N/A",LEN(C2440),Concatenate("{",char(34),"asset",char(34),":{",char(34),"guid",char(34),":",char(34),Q2440,char(34),",",char(34),"site",char(34),":",char(34),LOWER('2-Building'!$B$4),char(34),",",char(34),"name",char(34),":",char(34),LOWER(C2440),char(34),"}}"))</f>
        <v>{"asset":{"guid":"uuid://26dc872d-ef89-47ab-8aad-32af1b90a0ba","site":"in-blr-ananta","name":"em-22"}}</v>
      </c>
      <c r="S2440" s="366" t="s">
        <v>8075</v>
      </c>
      <c r="T2440" s="330"/>
      <c r="U2440" s="330"/>
      <c r="V2440" s="331"/>
      <c r="W2440" s="332"/>
      <c r="X2440" s="333"/>
      <c r="Y2440" s="33" t="s">
        <v>8076</v>
      </c>
      <c r="Z2440" s="258"/>
      <c r="AA2440" s="333"/>
      <c r="AB2440" s="258">
        <v>3.0</v>
      </c>
      <c r="AC2440" s="333"/>
      <c r="AD2440" s="329"/>
      <c r="AE2440" s="331"/>
      <c r="AF2440" s="336"/>
      <c r="AG2440" s="337" t="str">
        <f>IFS(LEN(AF2440)=17,LOWER('2-Building'!$B$4 &amp; "-" &amp; C2440), AF2440="N/A", "N/A", LEN(AF2440)=0,"")</f>
        <v/>
      </c>
      <c r="AH2440" s="333"/>
      <c r="AI2440" s="333"/>
      <c r="AJ2440" s="333"/>
      <c r="AK2440" s="333"/>
      <c r="AL2440" s="333"/>
      <c r="AM2440" s="338"/>
      <c r="AN2440" s="333"/>
      <c r="AO2440" s="333"/>
      <c r="AP2440" s="333"/>
      <c r="AQ2440" s="333"/>
      <c r="AR2440" s="333"/>
      <c r="AS2440" s="333"/>
      <c r="AT2440" s="333"/>
      <c r="AU2440" s="329"/>
      <c r="AV2440" s="341"/>
      <c r="AW2440" s="269" t="s">
        <v>2023</v>
      </c>
      <c r="AX2440" s="269" t="s">
        <v>2869</v>
      </c>
      <c r="AY2440" s="270" t="s">
        <v>695</v>
      </c>
      <c r="AZ2440" s="173" t="s">
        <v>8075</v>
      </c>
      <c r="BA2440" s="265">
        <v>10.0</v>
      </c>
      <c r="BB2440" s="174" t="s">
        <v>245</v>
      </c>
      <c r="BC2440" s="341"/>
      <c r="BD2440" s="308" t="s">
        <v>1844</v>
      </c>
      <c r="BE2440" s="364"/>
      <c r="BF2440" s="274" t="str">
        <f>IFERROR(__xludf.DUMMYFUNCTION("LOWER(Regexreplace(to_text(E2440),""[^A-Za-z0-9]"","""")&amp;""_""&amp;Regexreplace(to_text(F2440),""[^A-Za-z0-9]"",""""))"),"schneider_pm2200")</f>
        <v>schneider_pm2200</v>
      </c>
      <c r="BG2440" s="275" t="str">
        <f>IFERROR(__xludf.DUMMYFUNCTION("upper(Regexreplace(to_text(E2440),""[^A-Za-z0-9]"","""")&amp;""-""&amp;Regexreplace(to_text(F2440),""[^A-Za-z0-9]"",""""))"),"SCHNEIDER-PM2200")</f>
        <v>SCHNEIDER-PM2200</v>
      </c>
    </row>
    <row r="2441" ht="30.0" customHeight="1">
      <c r="A2441" s="173">
        <v>2433.0</v>
      </c>
      <c r="B2441" s="328" t="s">
        <v>670</v>
      </c>
      <c r="C2441" s="257" t="s">
        <v>8122</v>
      </c>
      <c r="D2441" s="173" t="s">
        <v>8122</v>
      </c>
      <c r="E2441" s="174" t="s">
        <v>8070</v>
      </c>
      <c r="F2441" s="173" t="s">
        <v>8071</v>
      </c>
      <c r="G2441" s="328" t="s">
        <v>673</v>
      </c>
      <c r="H2441" s="328" t="s">
        <v>2863</v>
      </c>
      <c r="I2441" s="258" t="s">
        <v>8072</v>
      </c>
      <c r="J2441" s="259" t="s">
        <v>902</v>
      </c>
      <c r="K2441" s="260">
        <v>205.0</v>
      </c>
      <c r="L2441" s="365"/>
      <c r="M2441" s="329"/>
      <c r="N2441" s="173" t="s">
        <v>679</v>
      </c>
      <c r="O2441" s="173" t="s">
        <v>225</v>
      </c>
      <c r="P2441" s="262" t="str">
        <f t="shared" si="1"/>
        <v>IN-BLR-ANANTA-EM-23_2</v>
      </c>
      <c r="Q2441" s="173" t="s">
        <v>8123</v>
      </c>
      <c r="R2441" s="328" t="str">
        <f>IFS(C2441="","",C2441="n/a","N/A",LEN(C2441),Concatenate("{",char(34),"asset",char(34),":{",char(34),"guid",char(34),":",char(34),Q2441,char(34),",",char(34),"site",char(34),":",char(34),LOWER('2-Building'!$B$4),char(34),",",char(34),"name",char(34),":",char(34),LOWER(C2441),char(34),"}}"))</f>
        <v>{"asset":{"guid":"uuid://11ca21a3-cd7f-4a9f-97a9-918552479e05","site":"in-blr-ananta","name":"em-23"}}</v>
      </c>
      <c r="S2441" s="366" t="s">
        <v>8075</v>
      </c>
      <c r="T2441" s="330"/>
      <c r="U2441" s="330"/>
      <c r="V2441" s="331"/>
      <c r="W2441" s="332"/>
      <c r="X2441" s="333"/>
      <c r="Y2441" s="33" t="s">
        <v>8076</v>
      </c>
      <c r="Z2441" s="258"/>
      <c r="AA2441" s="333"/>
      <c r="AB2441" s="258">
        <v>4.0</v>
      </c>
      <c r="AC2441" s="333"/>
      <c r="AD2441" s="329"/>
      <c r="AE2441" s="331"/>
      <c r="AF2441" s="336"/>
      <c r="AG2441" s="337" t="str">
        <f>IFS(LEN(AF2441)=17,LOWER('2-Building'!$B$4 &amp; "-" &amp; C2441), AF2441="N/A", "N/A", LEN(AF2441)=0,"")</f>
        <v/>
      </c>
      <c r="AH2441" s="333"/>
      <c r="AI2441" s="333"/>
      <c r="AJ2441" s="333"/>
      <c r="AK2441" s="333"/>
      <c r="AL2441" s="333"/>
      <c r="AM2441" s="338"/>
      <c r="AN2441" s="333"/>
      <c r="AO2441" s="333"/>
      <c r="AP2441" s="333"/>
      <c r="AQ2441" s="333"/>
      <c r="AR2441" s="333"/>
      <c r="AS2441" s="333"/>
      <c r="AT2441" s="333"/>
      <c r="AU2441" s="329"/>
      <c r="AV2441" s="341"/>
      <c r="AW2441" s="269" t="s">
        <v>2023</v>
      </c>
      <c r="AX2441" s="269" t="s">
        <v>2869</v>
      </c>
      <c r="AY2441" s="270" t="s">
        <v>695</v>
      </c>
      <c r="AZ2441" s="173" t="s">
        <v>8075</v>
      </c>
      <c r="BA2441" s="265">
        <v>10.0</v>
      </c>
      <c r="BB2441" s="174" t="s">
        <v>245</v>
      </c>
      <c r="BC2441" s="341"/>
      <c r="BD2441" s="308" t="s">
        <v>1844</v>
      </c>
      <c r="BE2441" s="364"/>
      <c r="BF2441" s="274" t="str">
        <f>IFERROR(__xludf.DUMMYFUNCTION("LOWER(Regexreplace(to_text(E2441),""[^A-Za-z0-9]"","""")&amp;""_""&amp;Regexreplace(to_text(F2441),""[^A-Za-z0-9]"",""""))"),"schneider_pm2200")</f>
        <v>schneider_pm2200</v>
      </c>
      <c r="BG2441" s="275" t="str">
        <f>IFERROR(__xludf.DUMMYFUNCTION("upper(Regexreplace(to_text(E2441),""[^A-Za-z0-9]"","""")&amp;""-""&amp;Regexreplace(to_text(F2441),""[^A-Za-z0-9]"",""""))"),"SCHNEIDER-PM2200")</f>
        <v>SCHNEIDER-PM2200</v>
      </c>
    </row>
    <row r="2442" ht="30.0" customHeight="1">
      <c r="A2442" s="258">
        <v>2434.0</v>
      </c>
      <c r="B2442" s="328" t="s">
        <v>670</v>
      </c>
      <c r="C2442" s="257" t="s">
        <v>8124</v>
      </c>
      <c r="D2442" s="173" t="s">
        <v>8124</v>
      </c>
      <c r="E2442" s="174" t="s">
        <v>8070</v>
      </c>
      <c r="F2442" s="173" t="s">
        <v>8071</v>
      </c>
      <c r="G2442" s="328" t="s">
        <v>673</v>
      </c>
      <c r="H2442" s="328" t="s">
        <v>2863</v>
      </c>
      <c r="I2442" s="258" t="s">
        <v>8072</v>
      </c>
      <c r="J2442" s="259" t="s">
        <v>902</v>
      </c>
      <c r="K2442" s="260">
        <v>256.0</v>
      </c>
      <c r="L2442" s="365"/>
      <c r="M2442" s="329"/>
      <c r="N2442" s="173" t="s">
        <v>679</v>
      </c>
      <c r="O2442" s="173" t="s">
        <v>225</v>
      </c>
      <c r="P2442" s="262" t="str">
        <f t="shared" si="1"/>
        <v>IN-BLR-ANANTA-EM-24_2</v>
      </c>
      <c r="Q2442" s="173" t="s">
        <v>8125</v>
      </c>
      <c r="R2442" s="328" t="str">
        <f>IFS(C2442="","",C2442="n/a","N/A",LEN(C2442),Concatenate("{",char(34),"asset",char(34),":{",char(34),"guid",char(34),":",char(34),Q2442,char(34),",",char(34),"site",char(34),":",char(34),LOWER('2-Building'!$B$4),char(34),",",char(34),"name",char(34),":",char(34),LOWER(C2442),char(34),"}}"))</f>
        <v>{"asset":{"guid":"uuid://92a5030e-2b6e-413b-8623-d3a5dcc2b5da","site":"in-blr-ananta","name":"em-24"}}</v>
      </c>
      <c r="S2442" s="366" t="s">
        <v>8075</v>
      </c>
      <c r="T2442" s="330"/>
      <c r="U2442" s="330"/>
      <c r="V2442" s="331"/>
      <c r="W2442" s="332"/>
      <c r="X2442" s="333"/>
      <c r="Y2442" s="33" t="s">
        <v>8076</v>
      </c>
      <c r="Z2442" s="258"/>
      <c r="AA2442" s="333"/>
      <c r="AB2442" s="258">
        <v>5.0</v>
      </c>
      <c r="AC2442" s="333"/>
      <c r="AD2442" s="329"/>
      <c r="AE2442" s="331"/>
      <c r="AF2442" s="336"/>
      <c r="AG2442" s="337" t="str">
        <f>IFS(LEN(AF2442)=17,LOWER('2-Building'!$B$4 &amp; "-" &amp; C2442), AF2442="N/A", "N/A", LEN(AF2442)=0,"")</f>
        <v/>
      </c>
      <c r="AH2442" s="333"/>
      <c r="AI2442" s="333"/>
      <c r="AJ2442" s="333"/>
      <c r="AK2442" s="333"/>
      <c r="AL2442" s="333"/>
      <c r="AM2442" s="338"/>
      <c r="AN2442" s="333"/>
      <c r="AO2442" s="333"/>
      <c r="AP2442" s="333"/>
      <c r="AQ2442" s="333"/>
      <c r="AR2442" s="333"/>
      <c r="AS2442" s="333"/>
      <c r="AT2442" s="333"/>
      <c r="AU2442" s="329"/>
      <c r="AV2442" s="341"/>
      <c r="AW2442" s="269" t="s">
        <v>2023</v>
      </c>
      <c r="AX2442" s="269" t="s">
        <v>2869</v>
      </c>
      <c r="AY2442" s="270" t="s">
        <v>695</v>
      </c>
      <c r="AZ2442" s="173" t="s">
        <v>8075</v>
      </c>
      <c r="BA2442" s="265">
        <v>10.0</v>
      </c>
      <c r="BB2442" s="174" t="s">
        <v>245</v>
      </c>
      <c r="BC2442" s="341"/>
      <c r="BD2442" s="308" t="s">
        <v>1844</v>
      </c>
      <c r="BE2442" s="364"/>
      <c r="BF2442" s="274" t="str">
        <f>IFERROR(__xludf.DUMMYFUNCTION("LOWER(Regexreplace(to_text(E2442),""[^A-Za-z0-9]"","""")&amp;""_""&amp;Regexreplace(to_text(F2442),""[^A-Za-z0-9]"",""""))"),"schneider_pm2200")</f>
        <v>schneider_pm2200</v>
      </c>
      <c r="BG2442" s="275" t="str">
        <f>IFERROR(__xludf.DUMMYFUNCTION("upper(Regexreplace(to_text(E2442),""[^A-Za-z0-9]"","""")&amp;""-""&amp;Regexreplace(to_text(F2442),""[^A-Za-z0-9]"",""""))"),"SCHNEIDER-PM2200")</f>
        <v>SCHNEIDER-PM2200</v>
      </c>
    </row>
    <row r="2443" ht="30.0" customHeight="1">
      <c r="A2443" s="173">
        <v>2435.0</v>
      </c>
      <c r="B2443" s="328" t="s">
        <v>670</v>
      </c>
      <c r="C2443" s="257" t="s">
        <v>8126</v>
      </c>
      <c r="D2443" s="173" t="s">
        <v>8126</v>
      </c>
      <c r="E2443" s="174" t="s">
        <v>8070</v>
      </c>
      <c r="F2443" s="173" t="s">
        <v>8071</v>
      </c>
      <c r="G2443" s="328" t="s">
        <v>673</v>
      </c>
      <c r="H2443" s="328" t="s">
        <v>2863</v>
      </c>
      <c r="I2443" s="258" t="s">
        <v>8072</v>
      </c>
      <c r="J2443" s="259" t="s">
        <v>902</v>
      </c>
      <c r="K2443" s="260">
        <v>282.0</v>
      </c>
      <c r="L2443" s="365"/>
      <c r="M2443" s="329"/>
      <c r="N2443" s="173" t="s">
        <v>679</v>
      </c>
      <c r="O2443" s="173" t="s">
        <v>225</v>
      </c>
      <c r="P2443" s="262" t="str">
        <f t="shared" si="1"/>
        <v>IN-BLR-ANANTA-EM-25_2</v>
      </c>
      <c r="Q2443" s="173" t="s">
        <v>8127</v>
      </c>
      <c r="R2443" s="328" t="str">
        <f>IFS(C2443="","",C2443="n/a","N/A",LEN(C2443),Concatenate("{",char(34),"asset",char(34),":{",char(34),"guid",char(34),":",char(34),Q2443,char(34),",",char(34),"site",char(34),":",char(34),LOWER('2-Building'!$B$4),char(34),",",char(34),"name",char(34),":",char(34),LOWER(C2443),char(34),"}}"))</f>
        <v>{"asset":{"guid":"uuid://c1e3a0c0-6bd1-4a86-a30f-1d63d9e59b14","site":"in-blr-ananta","name":"em-25"}}</v>
      </c>
      <c r="S2443" s="366" t="s">
        <v>8075</v>
      </c>
      <c r="T2443" s="330"/>
      <c r="U2443" s="330"/>
      <c r="V2443" s="331"/>
      <c r="W2443" s="332"/>
      <c r="X2443" s="333"/>
      <c r="Y2443" s="33" t="s">
        <v>8076</v>
      </c>
      <c r="Z2443" s="258"/>
      <c r="AA2443" s="333"/>
      <c r="AB2443" s="258">
        <v>6.0</v>
      </c>
      <c r="AC2443" s="333"/>
      <c r="AD2443" s="329"/>
      <c r="AE2443" s="331"/>
      <c r="AF2443" s="336"/>
      <c r="AG2443" s="337" t="str">
        <f>IFS(LEN(AF2443)=17,LOWER('2-Building'!$B$4 &amp; "-" &amp; C2443), AF2443="N/A", "N/A", LEN(AF2443)=0,"")</f>
        <v/>
      </c>
      <c r="AH2443" s="333"/>
      <c r="AI2443" s="333"/>
      <c r="AJ2443" s="333"/>
      <c r="AK2443" s="333"/>
      <c r="AL2443" s="333"/>
      <c r="AM2443" s="338"/>
      <c r="AN2443" s="333"/>
      <c r="AO2443" s="333"/>
      <c r="AP2443" s="333"/>
      <c r="AQ2443" s="333"/>
      <c r="AR2443" s="333"/>
      <c r="AS2443" s="333"/>
      <c r="AT2443" s="333"/>
      <c r="AU2443" s="329"/>
      <c r="AV2443" s="341"/>
      <c r="AW2443" s="269" t="s">
        <v>2023</v>
      </c>
      <c r="AX2443" s="269" t="s">
        <v>2869</v>
      </c>
      <c r="AY2443" s="270" t="s">
        <v>695</v>
      </c>
      <c r="AZ2443" s="173" t="s">
        <v>8075</v>
      </c>
      <c r="BA2443" s="265">
        <v>10.0</v>
      </c>
      <c r="BB2443" s="174" t="s">
        <v>245</v>
      </c>
      <c r="BC2443" s="341"/>
      <c r="BD2443" s="308" t="s">
        <v>1844</v>
      </c>
      <c r="BE2443" s="364"/>
      <c r="BF2443" s="274" t="str">
        <f>IFERROR(__xludf.DUMMYFUNCTION("LOWER(Regexreplace(to_text(E2443),""[^A-Za-z0-9]"","""")&amp;""_""&amp;Regexreplace(to_text(F2443),""[^A-Za-z0-9]"",""""))"),"schneider_pm2200")</f>
        <v>schneider_pm2200</v>
      </c>
      <c r="BG2443" s="275" t="str">
        <f>IFERROR(__xludf.DUMMYFUNCTION("upper(Regexreplace(to_text(E2443),""[^A-Za-z0-9]"","""")&amp;""-""&amp;Regexreplace(to_text(F2443),""[^A-Za-z0-9]"",""""))"),"SCHNEIDER-PM2200")</f>
        <v>SCHNEIDER-PM2200</v>
      </c>
    </row>
    <row r="2444" ht="30.0" customHeight="1">
      <c r="A2444" s="258">
        <v>2436.0</v>
      </c>
      <c r="B2444" s="328" t="s">
        <v>670</v>
      </c>
      <c r="C2444" s="257" t="s">
        <v>8128</v>
      </c>
      <c r="D2444" s="173" t="s">
        <v>8128</v>
      </c>
      <c r="E2444" s="174" t="s">
        <v>8070</v>
      </c>
      <c r="F2444" s="173" t="s">
        <v>8071</v>
      </c>
      <c r="G2444" s="328" t="s">
        <v>673</v>
      </c>
      <c r="H2444" s="328" t="s">
        <v>2863</v>
      </c>
      <c r="I2444" s="258" t="s">
        <v>8072</v>
      </c>
      <c r="J2444" s="259" t="s">
        <v>902</v>
      </c>
      <c r="K2444" s="260">
        <v>282.0</v>
      </c>
      <c r="L2444" s="365"/>
      <c r="M2444" s="329"/>
      <c r="N2444" s="173" t="s">
        <v>679</v>
      </c>
      <c r="O2444" s="173" t="s">
        <v>225</v>
      </c>
      <c r="P2444" s="262" t="str">
        <f t="shared" si="1"/>
        <v>IN-BLR-ANANTA-EM-26_2</v>
      </c>
      <c r="Q2444" s="173" t="s">
        <v>8129</v>
      </c>
      <c r="R2444" s="328" t="str">
        <f>IFS(C2444="","",C2444="n/a","N/A",LEN(C2444),Concatenate("{",char(34),"asset",char(34),":{",char(34),"guid",char(34),":",char(34),Q2444,char(34),",",char(34),"site",char(34),":",char(34),LOWER('2-Building'!$B$4),char(34),",",char(34),"name",char(34),":",char(34),LOWER(C2444),char(34),"}}"))</f>
        <v>{"asset":{"guid":"uuid://6891a95e-322a-4adc-ba01-68b2b4fb6d3f","site":"in-blr-ananta","name":"em-26"}}</v>
      </c>
      <c r="S2444" s="366" t="s">
        <v>8075</v>
      </c>
      <c r="T2444" s="330"/>
      <c r="U2444" s="330"/>
      <c r="V2444" s="331"/>
      <c r="W2444" s="332"/>
      <c r="X2444" s="333"/>
      <c r="Y2444" s="33" t="s">
        <v>8076</v>
      </c>
      <c r="Z2444" s="258"/>
      <c r="AA2444" s="333"/>
      <c r="AB2444" s="258">
        <v>7.0</v>
      </c>
      <c r="AC2444" s="333"/>
      <c r="AD2444" s="329"/>
      <c r="AE2444" s="331"/>
      <c r="AF2444" s="336"/>
      <c r="AG2444" s="337" t="str">
        <f>IFS(LEN(AF2444)=17,LOWER('2-Building'!$B$4 &amp; "-" &amp; C2444), AF2444="N/A", "N/A", LEN(AF2444)=0,"")</f>
        <v/>
      </c>
      <c r="AH2444" s="333"/>
      <c r="AI2444" s="333"/>
      <c r="AJ2444" s="333"/>
      <c r="AK2444" s="333"/>
      <c r="AL2444" s="333"/>
      <c r="AM2444" s="338"/>
      <c r="AN2444" s="333"/>
      <c r="AO2444" s="333"/>
      <c r="AP2444" s="333"/>
      <c r="AQ2444" s="333"/>
      <c r="AR2444" s="333"/>
      <c r="AS2444" s="333"/>
      <c r="AT2444" s="333"/>
      <c r="AU2444" s="329"/>
      <c r="AV2444" s="341"/>
      <c r="AW2444" s="269" t="s">
        <v>2023</v>
      </c>
      <c r="AX2444" s="269" t="s">
        <v>2869</v>
      </c>
      <c r="AY2444" s="270" t="s">
        <v>695</v>
      </c>
      <c r="AZ2444" s="173" t="s">
        <v>8075</v>
      </c>
      <c r="BA2444" s="265">
        <v>10.0</v>
      </c>
      <c r="BB2444" s="174" t="s">
        <v>245</v>
      </c>
      <c r="BC2444" s="341"/>
      <c r="BD2444" s="308" t="s">
        <v>1844</v>
      </c>
      <c r="BE2444" s="364"/>
      <c r="BF2444" s="274" t="str">
        <f>IFERROR(__xludf.DUMMYFUNCTION("LOWER(Regexreplace(to_text(E2444),""[^A-Za-z0-9]"","""")&amp;""_""&amp;Regexreplace(to_text(F2444),""[^A-Za-z0-9]"",""""))"),"schneider_pm2200")</f>
        <v>schneider_pm2200</v>
      </c>
      <c r="BG2444" s="275" t="str">
        <f>IFERROR(__xludf.DUMMYFUNCTION("upper(Regexreplace(to_text(E2444),""[^A-Za-z0-9]"","""")&amp;""-""&amp;Regexreplace(to_text(F2444),""[^A-Za-z0-9]"",""""))"),"SCHNEIDER-PM2200")</f>
        <v>SCHNEIDER-PM2200</v>
      </c>
    </row>
    <row r="2445" ht="30.0" customHeight="1">
      <c r="A2445" s="173">
        <v>2437.0</v>
      </c>
      <c r="B2445" s="328" t="s">
        <v>670</v>
      </c>
      <c r="C2445" s="257" t="s">
        <v>8130</v>
      </c>
      <c r="D2445" s="173" t="s">
        <v>8130</v>
      </c>
      <c r="E2445" s="174" t="s">
        <v>8070</v>
      </c>
      <c r="F2445" s="173" t="s">
        <v>8071</v>
      </c>
      <c r="G2445" s="328" t="s">
        <v>673</v>
      </c>
      <c r="H2445" s="328" t="s">
        <v>2863</v>
      </c>
      <c r="I2445" s="258" t="s">
        <v>8072</v>
      </c>
      <c r="J2445" s="259" t="s">
        <v>965</v>
      </c>
      <c r="K2445" s="260">
        <v>370.0</v>
      </c>
      <c r="L2445" s="365"/>
      <c r="M2445" s="329"/>
      <c r="N2445" s="173" t="s">
        <v>679</v>
      </c>
      <c r="O2445" s="173" t="s">
        <v>225</v>
      </c>
      <c r="P2445" s="262" t="str">
        <f t="shared" si="1"/>
        <v>IN-BLR-ANANTA-EM-27_3</v>
      </c>
      <c r="Q2445" s="173" t="s">
        <v>8131</v>
      </c>
      <c r="R2445" s="328" t="str">
        <f>IFS(C2445="","",C2445="n/a","N/A",LEN(C2445),Concatenate("{",char(34),"asset",char(34),":{",char(34),"guid",char(34),":",char(34),Q2445,char(34),",",char(34),"site",char(34),":",char(34),LOWER('2-Building'!$B$4),char(34),",",char(34),"name",char(34),":",char(34),LOWER(C2445),char(34),"}}"))</f>
        <v>{"asset":{"guid":"uuid://a547908e-64c9-4722-903e-1fe1d2631457","site":"in-blr-ananta","name":"em-27"}}</v>
      </c>
      <c r="S2445" s="366" t="s">
        <v>8075</v>
      </c>
      <c r="T2445" s="330"/>
      <c r="U2445" s="330"/>
      <c r="V2445" s="331"/>
      <c r="W2445" s="332"/>
      <c r="X2445" s="333"/>
      <c r="Y2445" s="33" t="s">
        <v>8076</v>
      </c>
      <c r="Z2445" s="258"/>
      <c r="AA2445" s="333"/>
      <c r="AB2445" s="258">
        <v>2.0</v>
      </c>
      <c r="AC2445" s="333"/>
      <c r="AD2445" s="329"/>
      <c r="AE2445" s="331"/>
      <c r="AF2445" s="336"/>
      <c r="AG2445" s="337" t="str">
        <f>IFS(LEN(AF2445)=17,LOWER('2-Building'!$B$4 &amp; "-" &amp; C2445), AF2445="N/A", "N/A", LEN(AF2445)=0,"")</f>
        <v/>
      </c>
      <c r="AH2445" s="333"/>
      <c r="AI2445" s="333"/>
      <c r="AJ2445" s="333"/>
      <c r="AK2445" s="333"/>
      <c r="AL2445" s="333"/>
      <c r="AM2445" s="338"/>
      <c r="AN2445" s="333"/>
      <c r="AO2445" s="333"/>
      <c r="AP2445" s="333"/>
      <c r="AQ2445" s="333"/>
      <c r="AR2445" s="333"/>
      <c r="AS2445" s="333"/>
      <c r="AT2445" s="333"/>
      <c r="AU2445" s="329"/>
      <c r="AV2445" s="341"/>
      <c r="AW2445" s="269" t="s">
        <v>2089</v>
      </c>
      <c r="AX2445" s="269" t="s">
        <v>2869</v>
      </c>
      <c r="AY2445" s="270" t="s">
        <v>695</v>
      </c>
      <c r="AZ2445" s="173" t="s">
        <v>8075</v>
      </c>
      <c r="BA2445" s="265">
        <v>10.0</v>
      </c>
      <c r="BB2445" s="174" t="s">
        <v>245</v>
      </c>
      <c r="BC2445" s="341"/>
      <c r="BD2445" s="308" t="s">
        <v>1844</v>
      </c>
      <c r="BE2445" s="364"/>
      <c r="BF2445" s="274" t="str">
        <f>IFERROR(__xludf.DUMMYFUNCTION("LOWER(Regexreplace(to_text(E2445),""[^A-Za-z0-9]"","""")&amp;""_""&amp;Regexreplace(to_text(F2445),""[^A-Za-z0-9]"",""""))"),"schneider_pm2200")</f>
        <v>schneider_pm2200</v>
      </c>
      <c r="BG2445" s="275" t="str">
        <f>IFERROR(__xludf.DUMMYFUNCTION("upper(Regexreplace(to_text(E2445),""[^A-Za-z0-9]"","""")&amp;""-""&amp;Regexreplace(to_text(F2445),""[^A-Za-z0-9]"",""""))"),"SCHNEIDER-PM2200")</f>
        <v>SCHNEIDER-PM2200</v>
      </c>
    </row>
    <row r="2446" ht="30.0" customHeight="1">
      <c r="A2446" s="258">
        <v>2438.0</v>
      </c>
      <c r="B2446" s="328" t="s">
        <v>670</v>
      </c>
      <c r="C2446" s="257" t="s">
        <v>8132</v>
      </c>
      <c r="D2446" s="173" t="s">
        <v>8132</v>
      </c>
      <c r="E2446" s="174" t="s">
        <v>8070</v>
      </c>
      <c r="F2446" s="173" t="s">
        <v>8071</v>
      </c>
      <c r="G2446" s="328" t="s">
        <v>673</v>
      </c>
      <c r="H2446" s="328" t="s">
        <v>2863</v>
      </c>
      <c r="I2446" s="258" t="s">
        <v>8072</v>
      </c>
      <c r="J2446" s="259" t="s">
        <v>965</v>
      </c>
      <c r="K2446" s="260">
        <v>370.0</v>
      </c>
      <c r="L2446" s="365"/>
      <c r="M2446" s="329"/>
      <c r="N2446" s="173" t="s">
        <v>679</v>
      </c>
      <c r="O2446" s="173" t="s">
        <v>225</v>
      </c>
      <c r="P2446" s="262" t="str">
        <f t="shared" si="1"/>
        <v>IN-BLR-ANANTA-EM-28_3</v>
      </c>
      <c r="Q2446" s="173" t="s">
        <v>8133</v>
      </c>
      <c r="R2446" s="328" t="str">
        <f>IFS(C2446="","",C2446="n/a","N/A",LEN(C2446),Concatenate("{",char(34),"asset",char(34),":{",char(34),"guid",char(34),":",char(34),Q2446,char(34),",",char(34),"site",char(34),":",char(34),LOWER('2-Building'!$B$4),char(34),",",char(34),"name",char(34),":",char(34),LOWER(C2446),char(34),"}}"))</f>
        <v>{"asset":{"guid":"uuid://516480ba-88c9-437e-bb4a-28cd1d2a71de","site":"in-blr-ananta","name":"em-28"}}</v>
      </c>
      <c r="S2446" s="366" t="s">
        <v>8075</v>
      </c>
      <c r="T2446" s="330"/>
      <c r="U2446" s="330"/>
      <c r="V2446" s="331"/>
      <c r="W2446" s="332"/>
      <c r="X2446" s="333"/>
      <c r="Y2446" s="33" t="s">
        <v>8076</v>
      </c>
      <c r="Z2446" s="258"/>
      <c r="AA2446" s="333"/>
      <c r="AB2446" s="258">
        <v>3.0</v>
      </c>
      <c r="AC2446" s="333"/>
      <c r="AD2446" s="329"/>
      <c r="AE2446" s="331"/>
      <c r="AF2446" s="336"/>
      <c r="AG2446" s="337" t="str">
        <f>IFS(LEN(AF2446)=17,LOWER('2-Building'!$B$4 &amp; "-" &amp; C2446), AF2446="N/A", "N/A", LEN(AF2446)=0,"")</f>
        <v/>
      </c>
      <c r="AH2446" s="333"/>
      <c r="AI2446" s="333"/>
      <c r="AJ2446" s="333"/>
      <c r="AK2446" s="333"/>
      <c r="AL2446" s="333"/>
      <c r="AM2446" s="338"/>
      <c r="AN2446" s="333"/>
      <c r="AO2446" s="333"/>
      <c r="AP2446" s="333"/>
      <c r="AQ2446" s="333"/>
      <c r="AR2446" s="333"/>
      <c r="AS2446" s="333"/>
      <c r="AT2446" s="333"/>
      <c r="AU2446" s="329"/>
      <c r="AV2446" s="341"/>
      <c r="AW2446" s="269" t="s">
        <v>2089</v>
      </c>
      <c r="AX2446" s="269" t="s">
        <v>2869</v>
      </c>
      <c r="AY2446" s="270" t="s">
        <v>695</v>
      </c>
      <c r="AZ2446" s="173" t="s">
        <v>8075</v>
      </c>
      <c r="BA2446" s="265">
        <v>10.0</v>
      </c>
      <c r="BB2446" s="174" t="s">
        <v>245</v>
      </c>
      <c r="BC2446" s="341"/>
      <c r="BD2446" s="308" t="s">
        <v>1844</v>
      </c>
      <c r="BE2446" s="364"/>
      <c r="BF2446" s="274" t="str">
        <f>IFERROR(__xludf.DUMMYFUNCTION("LOWER(Regexreplace(to_text(E2446),""[^A-Za-z0-9]"","""")&amp;""_""&amp;Regexreplace(to_text(F2446),""[^A-Za-z0-9]"",""""))"),"schneider_pm2200")</f>
        <v>schneider_pm2200</v>
      </c>
      <c r="BG2446" s="275" t="str">
        <f>IFERROR(__xludf.DUMMYFUNCTION("upper(Regexreplace(to_text(E2446),""[^A-Za-z0-9]"","""")&amp;""-""&amp;Regexreplace(to_text(F2446),""[^A-Za-z0-9]"",""""))"),"SCHNEIDER-PM2200")</f>
        <v>SCHNEIDER-PM2200</v>
      </c>
    </row>
    <row r="2447" ht="30.0" customHeight="1">
      <c r="A2447" s="173">
        <v>2439.0</v>
      </c>
      <c r="B2447" s="328" t="s">
        <v>670</v>
      </c>
      <c r="C2447" s="257" t="s">
        <v>8134</v>
      </c>
      <c r="D2447" s="173" t="s">
        <v>8134</v>
      </c>
      <c r="E2447" s="174" t="s">
        <v>8070</v>
      </c>
      <c r="F2447" s="173" t="s">
        <v>8071</v>
      </c>
      <c r="G2447" s="328" t="s">
        <v>673</v>
      </c>
      <c r="H2447" s="328" t="s">
        <v>2863</v>
      </c>
      <c r="I2447" s="258" t="s">
        <v>8072</v>
      </c>
      <c r="J2447" s="259" t="s">
        <v>965</v>
      </c>
      <c r="K2447" s="260">
        <v>305.0</v>
      </c>
      <c r="L2447" s="365"/>
      <c r="M2447" s="329"/>
      <c r="N2447" s="173" t="s">
        <v>679</v>
      </c>
      <c r="O2447" s="173" t="s">
        <v>225</v>
      </c>
      <c r="P2447" s="262" t="str">
        <f t="shared" si="1"/>
        <v>IN-BLR-ANANTA-EM-29_3</v>
      </c>
      <c r="Q2447" s="173" t="s">
        <v>8135</v>
      </c>
      <c r="R2447" s="328" t="str">
        <f>IFS(C2447="","",C2447="n/a","N/A",LEN(C2447),Concatenate("{",char(34),"asset",char(34),":{",char(34),"guid",char(34),":",char(34),Q2447,char(34),",",char(34),"site",char(34),":",char(34),LOWER('2-Building'!$B$4),char(34),",",char(34),"name",char(34),":",char(34),LOWER(C2447),char(34),"}}"))</f>
        <v>{"asset":{"guid":"uuid://ab9abafc-e586-4f05-9366-566356487a28","site":"in-blr-ananta","name":"em-29"}}</v>
      </c>
      <c r="S2447" s="366" t="s">
        <v>8075</v>
      </c>
      <c r="T2447" s="330"/>
      <c r="U2447" s="330"/>
      <c r="V2447" s="331"/>
      <c r="W2447" s="332"/>
      <c r="X2447" s="333"/>
      <c r="Y2447" s="33" t="s">
        <v>8076</v>
      </c>
      <c r="Z2447" s="258"/>
      <c r="AA2447" s="333"/>
      <c r="AB2447" s="258">
        <v>4.0</v>
      </c>
      <c r="AC2447" s="333"/>
      <c r="AD2447" s="329"/>
      <c r="AE2447" s="331"/>
      <c r="AF2447" s="336"/>
      <c r="AG2447" s="337" t="str">
        <f>IFS(LEN(AF2447)=17,LOWER('2-Building'!$B$4 &amp; "-" &amp; C2447), AF2447="N/A", "N/A", LEN(AF2447)=0,"")</f>
        <v/>
      </c>
      <c r="AH2447" s="333"/>
      <c r="AI2447" s="333"/>
      <c r="AJ2447" s="333"/>
      <c r="AK2447" s="333"/>
      <c r="AL2447" s="333"/>
      <c r="AM2447" s="338"/>
      <c r="AN2447" s="333"/>
      <c r="AO2447" s="333"/>
      <c r="AP2447" s="333"/>
      <c r="AQ2447" s="333"/>
      <c r="AR2447" s="333"/>
      <c r="AS2447" s="333"/>
      <c r="AT2447" s="333"/>
      <c r="AU2447" s="329"/>
      <c r="AV2447" s="341"/>
      <c r="AW2447" s="269" t="s">
        <v>2089</v>
      </c>
      <c r="AX2447" s="269" t="s">
        <v>2869</v>
      </c>
      <c r="AY2447" s="270" t="s">
        <v>695</v>
      </c>
      <c r="AZ2447" s="173" t="s">
        <v>8075</v>
      </c>
      <c r="BA2447" s="265">
        <v>10.0</v>
      </c>
      <c r="BB2447" s="174" t="s">
        <v>245</v>
      </c>
      <c r="BC2447" s="341"/>
      <c r="BD2447" s="308" t="s">
        <v>1844</v>
      </c>
      <c r="BE2447" s="364"/>
      <c r="BF2447" s="274" t="str">
        <f>IFERROR(__xludf.DUMMYFUNCTION("LOWER(Regexreplace(to_text(E2447),""[^A-Za-z0-9]"","""")&amp;""_""&amp;Regexreplace(to_text(F2447),""[^A-Za-z0-9]"",""""))"),"schneider_pm2200")</f>
        <v>schneider_pm2200</v>
      </c>
      <c r="BG2447" s="275" t="str">
        <f>IFERROR(__xludf.DUMMYFUNCTION("upper(Regexreplace(to_text(E2447),""[^A-Za-z0-9]"","""")&amp;""-""&amp;Regexreplace(to_text(F2447),""[^A-Za-z0-9]"",""""))"),"SCHNEIDER-PM2200")</f>
        <v>SCHNEIDER-PM2200</v>
      </c>
    </row>
    <row r="2448" ht="30.0" customHeight="1">
      <c r="A2448" s="258">
        <v>2440.0</v>
      </c>
      <c r="B2448" s="328" t="s">
        <v>670</v>
      </c>
      <c r="C2448" s="257" t="s">
        <v>8136</v>
      </c>
      <c r="D2448" s="173" t="s">
        <v>8136</v>
      </c>
      <c r="E2448" s="174" t="s">
        <v>8070</v>
      </c>
      <c r="F2448" s="173" t="s">
        <v>8071</v>
      </c>
      <c r="G2448" s="328" t="s">
        <v>673</v>
      </c>
      <c r="H2448" s="328" t="s">
        <v>2863</v>
      </c>
      <c r="I2448" s="258" t="s">
        <v>8072</v>
      </c>
      <c r="J2448" s="259" t="s">
        <v>965</v>
      </c>
      <c r="K2448" s="260">
        <v>356.0</v>
      </c>
      <c r="L2448" s="365"/>
      <c r="M2448" s="329"/>
      <c r="N2448" s="173" t="s">
        <v>679</v>
      </c>
      <c r="O2448" s="173" t="s">
        <v>225</v>
      </c>
      <c r="P2448" s="262" t="str">
        <f t="shared" si="1"/>
        <v>IN-BLR-ANANTA-EM-30_3</v>
      </c>
      <c r="Q2448" s="173" t="s">
        <v>8137</v>
      </c>
      <c r="R2448" s="328" t="str">
        <f>IFS(C2448="","",C2448="n/a","N/A",LEN(C2448),Concatenate("{",char(34),"asset",char(34),":{",char(34),"guid",char(34),":",char(34),Q2448,char(34),",",char(34),"site",char(34),":",char(34),LOWER('2-Building'!$B$4),char(34),",",char(34),"name",char(34),":",char(34),LOWER(C2448),char(34),"}}"))</f>
        <v>{"asset":{"guid":"uuid://5ad21117-c0eb-4e32-8e51-927f53dfced5","site":"in-blr-ananta","name":"em-30"}}</v>
      </c>
      <c r="S2448" s="366" t="s">
        <v>8075</v>
      </c>
      <c r="T2448" s="330"/>
      <c r="U2448" s="330"/>
      <c r="V2448" s="331"/>
      <c r="W2448" s="332"/>
      <c r="X2448" s="333"/>
      <c r="Y2448" s="33" t="s">
        <v>8076</v>
      </c>
      <c r="Z2448" s="258"/>
      <c r="AA2448" s="333"/>
      <c r="AB2448" s="258">
        <v>5.0</v>
      </c>
      <c r="AC2448" s="333"/>
      <c r="AD2448" s="329"/>
      <c r="AE2448" s="331"/>
      <c r="AF2448" s="336"/>
      <c r="AG2448" s="337" t="str">
        <f>IFS(LEN(AF2448)=17,LOWER('2-Building'!$B$4 &amp; "-" &amp; C2448), AF2448="N/A", "N/A", LEN(AF2448)=0,"")</f>
        <v/>
      </c>
      <c r="AH2448" s="333"/>
      <c r="AI2448" s="333"/>
      <c r="AJ2448" s="333"/>
      <c r="AK2448" s="333"/>
      <c r="AL2448" s="333"/>
      <c r="AM2448" s="338"/>
      <c r="AN2448" s="333"/>
      <c r="AO2448" s="333"/>
      <c r="AP2448" s="333"/>
      <c r="AQ2448" s="333"/>
      <c r="AR2448" s="333"/>
      <c r="AS2448" s="333"/>
      <c r="AT2448" s="333"/>
      <c r="AU2448" s="329"/>
      <c r="AV2448" s="341"/>
      <c r="AW2448" s="269" t="s">
        <v>2089</v>
      </c>
      <c r="AX2448" s="269" t="s">
        <v>2869</v>
      </c>
      <c r="AY2448" s="270" t="s">
        <v>695</v>
      </c>
      <c r="AZ2448" s="173" t="s">
        <v>8075</v>
      </c>
      <c r="BA2448" s="265">
        <v>10.0</v>
      </c>
      <c r="BB2448" s="174" t="s">
        <v>245</v>
      </c>
      <c r="BC2448" s="341"/>
      <c r="BD2448" s="308" t="s">
        <v>1844</v>
      </c>
      <c r="BE2448" s="364"/>
      <c r="BF2448" s="274" t="str">
        <f>IFERROR(__xludf.DUMMYFUNCTION("LOWER(Regexreplace(to_text(E2448),""[^A-Za-z0-9]"","""")&amp;""_""&amp;Regexreplace(to_text(F2448),""[^A-Za-z0-9]"",""""))"),"schneider_pm2200")</f>
        <v>schneider_pm2200</v>
      </c>
      <c r="BG2448" s="275" t="str">
        <f>IFERROR(__xludf.DUMMYFUNCTION("upper(Regexreplace(to_text(E2448),""[^A-Za-z0-9]"","""")&amp;""-""&amp;Regexreplace(to_text(F2448),""[^A-Za-z0-9]"",""""))"),"SCHNEIDER-PM2200")</f>
        <v>SCHNEIDER-PM2200</v>
      </c>
    </row>
    <row r="2449" ht="30.0" customHeight="1">
      <c r="A2449" s="173">
        <v>2441.0</v>
      </c>
      <c r="B2449" s="328" t="s">
        <v>670</v>
      </c>
      <c r="C2449" s="257" t="s">
        <v>8138</v>
      </c>
      <c r="D2449" s="173" t="s">
        <v>8138</v>
      </c>
      <c r="E2449" s="174" t="s">
        <v>8070</v>
      </c>
      <c r="F2449" s="173" t="s">
        <v>8071</v>
      </c>
      <c r="G2449" s="328" t="s">
        <v>673</v>
      </c>
      <c r="H2449" s="328" t="s">
        <v>2863</v>
      </c>
      <c r="I2449" s="258" t="s">
        <v>8072</v>
      </c>
      <c r="J2449" s="259" t="s">
        <v>965</v>
      </c>
      <c r="K2449" s="260">
        <v>382.0</v>
      </c>
      <c r="L2449" s="365"/>
      <c r="M2449" s="329"/>
      <c r="N2449" s="173" t="s">
        <v>679</v>
      </c>
      <c r="O2449" s="173" t="s">
        <v>225</v>
      </c>
      <c r="P2449" s="262" t="str">
        <f t="shared" si="1"/>
        <v>IN-BLR-ANANTA-EM-31_3</v>
      </c>
      <c r="Q2449" s="173" t="s">
        <v>8139</v>
      </c>
      <c r="R2449" s="328" t="str">
        <f>IFS(C2449="","",C2449="n/a","N/A",LEN(C2449),Concatenate("{",char(34),"asset",char(34),":{",char(34),"guid",char(34),":",char(34),Q2449,char(34),",",char(34),"site",char(34),":",char(34),LOWER('2-Building'!$B$4),char(34),",",char(34),"name",char(34),":",char(34),LOWER(C2449),char(34),"}}"))</f>
        <v>{"asset":{"guid":"uuid://9284c760-590d-4abb-afe6-68225f84f939","site":"in-blr-ananta","name":"em-31"}}</v>
      </c>
      <c r="S2449" s="366" t="s">
        <v>8075</v>
      </c>
      <c r="T2449" s="330"/>
      <c r="U2449" s="330"/>
      <c r="V2449" s="331"/>
      <c r="W2449" s="332"/>
      <c r="X2449" s="333"/>
      <c r="Y2449" s="33" t="s">
        <v>8076</v>
      </c>
      <c r="Z2449" s="258"/>
      <c r="AA2449" s="333"/>
      <c r="AB2449" s="258">
        <v>6.0</v>
      </c>
      <c r="AC2449" s="333"/>
      <c r="AD2449" s="329"/>
      <c r="AE2449" s="331"/>
      <c r="AF2449" s="336"/>
      <c r="AG2449" s="337" t="str">
        <f>IFS(LEN(AF2449)=17,LOWER('2-Building'!$B$4 &amp; "-" &amp; C2449), AF2449="N/A", "N/A", LEN(AF2449)=0,"")</f>
        <v/>
      </c>
      <c r="AH2449" s="333"/>
      <c r="AI2449" s="333"/>
      <c r="AJ2449" s="333"/>
      <c r="AK2449" s="333"/>
      <c r="AL2449" s="333"/>
      <c r="AM2449" s="338"/>
      <c r="AN2449" s="333"/>
      <c r="AO2449" s="333"/>
      <c r="AP2449" s="333"/>
      <c r="AQ2449" s="333"/>
      <c r="AR2449" s="333"/>
      <c r="AS2449" s="333"/>
      <c r="AT2449" s="333"/>
      <c r="AU2449" s="329"/>
      <c r="AV2449" s="341"/>
      <c r="AW2449" s="269" t="s">
        <v>2089</v>
      </c>
      <c r="AX2449" s="269" t="s">
        <v>2869</v>
      </c>
      <c r="AY2449" s="270" t="s">
        <v>695</v>
      </c>
      <c r="AZ2449" s="173" t="s">
        <v>8075</v>
      </c>
      <c r="BA2449" s="265">
        <v>10.0</v>
      </c>
      <c r="BB2449" s="174" t="s">
        <v>245</v>
      </c>
      <c r="BC2449" s="341"/>
      <c r="BD2449" s="308" t="s">
        <v>1844</v>
      </c>
      <c r="BE2449" s="364"/>
      <c r="BF2449" s="274" t="str">
        <f>IFERROR(__xludf.DUMMYFUNCTION("LOWER(Regexreplace(to_text(E2449),""[^A-Za-z0-9]"","""")&amp;""_""&amp;Regexreplace(to_text(F2449),""[^A-Za-z0-9]"",""""))"),"schneider_pm2200")</f>
        <v>schneider_pm2200</v>
      </c>
      <c r="BG2449" s="275" t="str">
        <f>IFERROR(__xludf.DUMMYFUNCTION("upper(Regexreplace(to_text(E2449),""[^A-Za-z0-9]"","""")&amp;""-""&amp;Regexreplace(to_text(F2449),""[^A-Za-z0-9]"",""""))"),"SCHNEIDER-PM2200")</f>
        <v>SCHNEIDER-PM2200</v>
      </c>
    </row>
    <row r="2450" ht="30.0" customHeight="1">
      <c r="A2450" s="258">
        <v>2442.0</v>
      </c>
      <c r="B2450" s="328" t="s">
        <v>670</v>
      </c>
      <c r="C2450" s="257" t="s">
        <v>8140</v>
      </c>
      <c r="D2450" s="173" t="s">
        <v>8140</v>
      </c>
      <c r="E2450" s="174" t="s">
        <v>8070</v>
      </c>
      <c r="F2450" s="173" t="s">
        <v>8071</v>
      </c>
      <c r="G2450" s="328" t="s">
        <v>673</v>
      </c>
      <c r="H2450" s="328" t="s">
        <v>2863</v>
      </c>
      <c r="I2450" s="258" t="s">
        <v>8072</v>
      </c>
      <c r="J2450" s="259" t="s">
        <v>965</v>
      </c>
      <c r="K2450" s="260">
        <v>382.0</v>
      </c>
      <c r="L2450" s="365"/>
      <c r="M2450" s="329"/>
      <c r="N2450" s="173" t="s">
        <v>679</v>
      </c>
      <c r="O2450" s="173" t="s">
        <v>225</v>
      </c>
      <c r="P2450" s="262" t="str">
        <f t="shared" si="1"/>
        <v>IN-BLR-ANANTA-EM-32_3</v>
      </c>
      <c r="Q2450" s="173" t="s">
        <v>8141</v>
      </c>
      <c r="R2450" s="328" t="str">
        <f>IFS(C2450="","",C2450="n/a","N/A",LEN(C2450),Concatenate("{",char(34),"asset",char(34),":{",char(34),"guid",char(34),":",char(34),Q2450,char(34),",",char(34),"site",char(34),":",char(34),LOWER('2-Building'!$B$4),char(34),",",char(34),"name",char(34),":",char(34),LOWER(C2450),char(34),"}}"))</f>
        <v>{"asset":{"guid":"uuid://35d0980a-71ab-485e-a813-cec2366dffac","site":"in-blr-ananta","name":"em-32"}}</v>
      </c>
      <c r="S2450" s="366" t="s">
        <v>8075</v>
      </c>
      <c r="T2450" s="330"/>
      <c r="U2450" s="330"/>
      <c r="V2450" s="331"/>
      <c r="W2450" s="332"/>
      <c r="X2450" s="333"/>
      <c r="Y2450" s="33" t="s">
        <v>8076</v>
      </c>
      <c r="Z2450" s="258"/>
      <c r="AA2450" s="333"/>
      <c r="AB2450" s="258">
        <v>7.0</v>
      </c>
      <c r="AC2450" s="333"/>
      <c r="AD2450" s="329"/>
      <c r="AE2450" s="331"/>
      <c r="AF2450" s="336"/>
      <c r="AG2450" s="337" t="str">
        <f>IFS(LEN(AF2450)=17,LOWER('2-Building'!$B$4 &amp; "-" &amp; C2450), AF2450="N/A", "N/A", LEN(AF2450)=0,"")</f>
        <v/>
      </c>
      <c r="AH2450" s="333"/>
      <c r="AI2450" s="333"/>
      <c r="AJ2450" s="333"/>
      <c r="AK2450" s="333"/>
      <c r="AL2450" s="333"/>
      <c r="AM2450" s="338"/>
      <c r="AN2450" s="333"/>
      <c r="AO2450" s="333"/>
      <c r="AP2450" s="333"/>
      <c r="AQ2450" s="333"/>
      <c r="AR2450" s="333"/>
      <c r="AS2450" s="333"/>
      <c r="AT2450" s="333"/>
      <c r="AU2450" s="329"/>
      <c r="AV2450" s="341"/>
      <c r="AW2450" s="269" t="s">
        <v>2089</v>
      </c>
      <c r="AX2450" s="269" t="s">
        <v>2869</v>
      </c>
      <c r="AY2450" s="270" t="s">
        <v>695</v>
      </c>
      <c r="AZ2450" s="173" t="s">
        <v>8075</v>
      </c>
      <c r="BA2450" s="265">
        <v>10.0</v>
      </c>
      <c r="BB2450" s="174" t="s">
        <v>245</v>
      </c>
      <c r="BC2450" s="341"/>
      <c r="BD2450" s="308" t="s">
        <v>1844</v>
      </c>
      <c r="BE2450" s="364"/>
      <c r="BF2450" s="274" t="str">
        <f>IFERROR(__xludf.DUMMYFUNCTION("LOWER(Regexreplace(to_text(E2450),""[^A-Za-z0-9]"","""")&amp;""_""&amp;Regexreplace(to_text(F2450),""[^A-Za-z0-9]"",""""))"),"schneider_pm2200")</f>
        <v>schneider_pm2200</v>
      </c>
      <c r="BG2450" s="275" t="str">
        <f>IFERROR(__xludf.DUMMYFUNCTION("upper(Regexreplace(to_text(E2450),""[^A-Za-z0-9]"","""")&amp;""-""&amp;Regexreplace(to_text(F2450),""[^A-Za-z0-9]"",""""))"),"SCHNEIDER-PM2200")</f>
        <v>SCHNEIDER-PM2200</v>
      </c>
    </row>
    <row r="2451" ht="30.0" customHeight="1">
      <c r="A2451" s="173">
        <v>2443.0</v>
      </c>
      <c r="B2451" s="328" t="s">
        <v>670</v>
      </c>
      <c r="C2451" s="257" t="s">
        <v>8142</v>
      </c>
      <c r="D2451" s="173" t="s">
        <v>8142</v>
      </c>
      <c r="E2451" s="174" t="s">
        <v>8070</v>
      </c>
      <c r="F2451" s="173" t="s">
        <v>8071</v>
      </c>
      <c r="G2451" s="328" t="s">
        <v>673</v>
      </c>
      <c r="H2451" s="328" t="s">
        <v>2863</v>
      </c>
      <c r="I2451" s="258" t="s">
        <v>8072</v>
      </c>
      <c r="J2451" s="259" t="s">
        <v>1026</v>
      </c>
      <c r="K2451" s="260">
        <v>470.0</v>
      </c>
      <c r="L2451" s="365"/>
      <c r="M2451" s="329"/>
      <c r="N2451" s="173" t="s">
        <v>679</v>
      </c>
      <c r="O2451" s="173" t="s">
        <v>225</v>
      </c>
      <c r="P2451" s="262" t="str">
        <f t="shared" si="1"/>
        <v>IN-BLR-ANANTA-EM-33_4</v>
      </c>
      <c r="Q2451" s="173" t="s">
        <v>8143</v>
      </c>
      <c r="R2451" s="328" t="str">
        <f>IFS(C2451="","",C2451="n/a","N/A",LEN(C2451),Concatenate("{",char(34),"asset",char(34),":{",char(34),"guid",char(34),":",char(34),Q2451,char(34),",",char(34),"site",char(34),":",char(34),LOWER('2-Building'!$B$4),char(34),",",char(34),"name",char(34),":",char(34),LOWER(C2451),char(34),"}}"))</f>
        <v>{"asset":{"guid":"uuid://3b9d82af-9cf1-453e-b46e-914efe4f61d6","site":"in-blr-ananta","name":"em-33"}}</v>
      </c>
      <c r="S2451" s="366" t="s">
        <v>8075</v>
      </c>
      <c r="T2451" s="330"/>
      <c r="U2451" s="330"/>
      <c r="V2451" s="331"/>
      <c r="W2451" s="332"/>
      <c r="X2451" s="333"/>
      <c r="Y2451" s="33" t="s">
        <v>8076</v>
      </c>
      <c r="Z2451" s="258"/>
      <c r="AA2451" s="333"/>
      <c r="AB2451" s="258">
        <v>2.0</v>
      </c>
      <c r="AC2451" s="333"/>
      <c r="AD2451" s="329"/>
      <c r="AE2451" s="331"/>
      <c r="AF2451" s="336"/>
      <c r="AG2451" s="337" t="str">
        <f>IFS(LEN(AF2451)=17,LOWER('2-Building'!$B$4 &amp; "-" &amp; C2451), AF2451="N/A", "N/A", LEN(AF2451)=0,"")</f>
        <v/>
      </c>
      <c r="AH2451" s="333"/>
      <c r="AI2451" s="333"/>
      <c r="AJ2451" s="333"/>
      <c r="AK2451" s="333"/>
      <c r="AL2451" s="333"/>
      <c r="AM2451" s="338"/>
      <c r="AN2451" s="333"/>
      <c r="AO2451" s="333"/>
      <c r="AP2451" s="333"/>
      <c r="AQ2451" s="333"/>
      <c r="AR2451" s="333"/>
      <c r="AS2451" s="333"/>
      <c r="AT2451" s="333"/>
      <c r="AU2451" s="329"/>
      <c r="AV2451" s="341"/>
      <c r="AW2451" s="269" t="s">
        <v>1734</v>
      </c>
      <c r="AX2451" s="269" t="s">
        <v>2869</v>
      </c>
      <c r="AY2451" s="270" t="s">
        <v>695</v>
      </c>
      <c r="AZ2451" s="173" t="s">
        <v>8075</v>
      </c>
      <c r="BA2451" s="265">
        <v>10.0</v>
      </c>
      <c r="BB2451" s="174" t="s">
        <v>245</v>
      </c>
      <c r="BC2451" s="341"/>
      <c r="BD2451" s="308" t="s">
        <v>1844</v>
      </c>
      <c r="BE2451" s="364"/>
      <c r="BF2451" s="274" t="str">
        <f>IFERROR(__xludf.DUMMYFUNCTION("LOWER(Regexreplace(to_text(E2451),""[^A-Za-z0-9]"","""")&amp;""_""&amp;Regexreplace(to_text(F2451),""[^A-Za-z0-9]"",""""))"),"schneider_pm2200")</f>
        <v>schneider_pm2200</v>
      </c>
      <c r="BG2451" s="275" t="str">
        <f>IFERROR(__xludf.DUMMYFUNCTION("upper(Regexreplace(to_text(E2451),""[^A-Za-z0-9]"","""")&amp;""-""&amp;Regexreplace(to_text(F2451),""[^A-Za-z0-9]"",""""))"),"SCHNEIDER-PM2200")</f>
        <v>SCHNEIDER-PM2200</v>
      </c>
    </row>
    <row r="2452" ht="30.0" customHeight="1">
      <c r="A2452" s="258">
        <v>2444.0</v>
      </c>
      <c r="B2452" s="328" t="s">
        <v>670</v>
      </c>
      <c r="C2452" s="257" t="s">
        <v>8144</v>
      </c>
      <c r="D2452" s="173" t="s">
        <v>8144</v>
      </c>
      <c r="E2452" s="174" t="s">
        <v>8070</v>
      </c>
      <c r="F2452" s="173" t="s">
        <v>8071</v>
      </c>
      <c r="G2452" s="328" t="s">
        <v>673</v>
      </c>
      <c r="H2452" s="328" t="s">
        <v>2863</v>
      </c>
      <c r="I2452" s="258" t="s">
        <v>8072</v>
      </c>
      <c r="J2452" s="259" t="s">
        <v>1026</v>
      </c>
      <c r="K2452" s="260">
        <v>470.0</v>
      </c>
      <c r="L2452" s="365"/>
      <c r="M2452" s="329"/>
      <c r="N2452" s="173" t="s">
        <v>679</v>
      </c>
      <c r="O2452" s="173" t="s">
        <v>225</v>
      </c>
      <c r="P2452" s="262" t="str">
        <f t="shared" si="1"/>
        <v>IN-BLR-ANANTA-EM-34_4</v>
      </c>
      <c r="Q2452" s="173" t="s">
        <v>8145</v>
      </c>
      <c r="R2452" s="328" t="str">
        <f>IFS(C2452="","",C2452="n/a","N/A",LEN(C2452),Concatenate("{",char(34),"asset",char(34),":{",char(34),"guid",char(34),":",char(34),Q2452,char(34),",",char(34),"site",char(34),":",char(34),LOWER('2-Building'!$B$4),char(34),",",char(34),"name",char(34),":",char(34),LOWER(C2452),char(34),"}}"))</f>
        <v>{"asset":{"guid":"uuid://4d87fb04-29f2-48f2-910b-4adde35a504f","site":"in-blr-ananta","name":"em-34"}}</v>
      </c>
      <c r="S2452" s="366" t="s">
        <v>8075</v>
      </c>
      <c r="T2452" s="330"/>
      <c r="U2452" s="330"/>
      <c r="V2452" s="331"/>
      <c r="W2452" s="332"/>
      <c r="X2452" s="333"/>
      <c r="Y2452" s="33" t="s">
        <v>8076</v>
      </c>
      <c r="Z2452" s="258"/>
      <c r="AA2452" s="333"/>
      <c r="AB2452" s="258">
        <v>3.0</v>
      </c>
      <c r="AC2452" s="333"/>
      <c r="AD2452" s="329"/>
      <c r="AE2452" s="331"/>
      <c r="AF2452" s="336"/>
      <c r="AG2452" s="337" t="str">
        <f>IFS(LEN(AF2452)=17,LOWER('2-Building'!$B$4 &amp; "-" &amp; C2452), AF2452="N/A", "N/A", LEN(AF2452)=0,"")</f>
        <v/>
      </c>
      <c r="AH2452" s="333"/>
      <c r="AI2452" s="333"/>
      <c r="AJ2452" s="333"/>
      <c r="AK2452" s="333"/>
      <c r="AL2452" s="333"/>
      <c r="AM2452" s="338"/>
      <c r="AN2452" s="333"/>
      <c r="AO2452" s="333"/>
      <c r="AP2452" s="333"/>
      <c r="AQ2452" s="333"/>
      <c r="AR2452" s="333"/>
      <c r="AS2452" s="333"/>
      <c r="AT2452" s="333"/>
      <c r="AU2452" s="329"/>
      <c r="AV2452" s="341"/>
      <c r="AW2452" s="269" t="s">
        <v>1734</v>
      </c>
      <c r="AX2452" s="269" t="s">
        <v>2869</v>
      </c>
      <c r="AY2452" s="270" t="s">
        <v>695</v>
      </c>
      <c r="AZ2452" s="173" t="s">
        <v>8075</v>
      </c>
      <c r="BA2452" s="265">
        <v>10.0</v>
      </c>
      <c r="BB2452" s="174" t="s">
        <v>245</v>
      </c>
      <c r="BC2452" s="341"/>
      <c r="BD2452" s="308" t="s">
        <v>1844</v>
      </c>
      <c r="BE2452" s="364"/>
      <c r="BF2452" s="274" t="str">
        <f>IFERROR(__xludf.DUMMYFUNCTION("LOWER(Regexreplace(to_text(E2452),""[^A-Za-z0-9]"","""")&amp;""_""&amp;Regexreplace(to_text(F2452),""[^A-Za-z0-9]"",""""))"),"schneider_pm2200")</f>
        <v>schneider_pm2200</v>
      </c>
      <c r="BG2452" s="275" t="str">
        <f>IFERROR(__xludf.DUMMYFUNCTION("upper(Regexreplace(to_text(E2452),""[^A-Za-z0-9]"","""")&amp;""-""&amp;Regexreplace(to_text(F2452),""[^A-Za-z0-9]"",""""))"),"SCHNEIDER-PM2200")</f>
        <v>SCHNEIDER-PM2200</v>
      </c>
    </row>
    <row r="2453" ht="30.0" customHeight="1">
      <c r="A2453" s="173">
        <v>2445.0</v>
      </c>
      <c r="B2453" s="328" t="s">
        <v>670</v>
      </c>
      <c r="C2453" s="257" t="s">
        <v>8146</v>
      </c>
      <c r="D2453" s="173" t="s">
        <v>8146</v>
      </c>
      <c r="E2453" s="174" t="s">
        <v>8070</v>
      </c>
      <c r="F2453" s="173" t="s">
        <v>8071</v>
      </c>
      <c r="G2453" s="328" t="s">
        <v>673</v>
      </c>
      <c r="H2453" s="328" t="s">
        <v>2863</v>
      </c>
      <c r="I2453" s="258" t="s">
        <v>8072</v>
      </c>
      <c r="J2453" s="259" t="s">
        <v>1026</v>
      </c>
      <c r="K2453" s="260">
        <v>405.0</v>
      </c>
      <c r="L2453" s="365"/>
      <c r="M2453" s="329"/>
      <c r="N2453" s="173" t="s">
        <v>679</v>
      </c>
      <c r="O2453" s="173" t="s">
        <v>225</v>
      </c>
      <c r="P2453" s="262" t="str">
        <f t="shared" si="1"/>
        <v>IN-BLR-ANANTA-EM-35_4</v>
      </c>
      <c r="Q2453" s="173" t="s">
        <v>8147</v>
      </c>
      <c r="R2453" s="328" t="str">
        <f>IFS(C2453="","",C2453="n/a","N/A",LEN(C2453),Concatenate("{",char(34),"asset",char(34),":{",char(34),"guid",char(34),":",char(34),Q2453,char(34),",",char(34),"site",char(34),":",char(34),LOWER('2-Building'!$B$4),char(34),",",char(34),"name",char(34),":",char(34),LOWER(C2453),char(34),"}}"))</f>
        <v>{"asset":{"guid":"uuid://c0e4a3d4-d013-4693-92c0-c043f655d744","site":"in-blr-ananta","name":"em-35"}}</v>
      </c>
      <c r="S2453" s="366" t="s">
        <v>8075</v>
      </c>
      <c r="T2453" s="330"/>
      <c r="U2453" s="330"/>
      <c r="V2453" s="331"/>
      <c r="W2453" s="332"/>
      <c r="X2453" s="333"/>
      <c r="Y2453" s="33" t="s">
        <v>8076</v>
      </c>
      <c r="Z2453" s="258"/>
      <c r="AA2453" s="333"/>
      <c r="AB2453" s="258">
        <v>4.0</v>
      </c>
      <c r="AC2453" s="333"/>
      <c r="AD2453" s="329"/>
      <c r="AE2453" s="331"/>
      <c r="AF2453" s="336"/>
      <c r="AG2453" s="337" t="str">
        <f>IFS(LEN(AF2453)=17,LOWER('2-Building'!$B$4 &amp; "-" &amp; C2453), AF2453="N/A", "N/A", LEN(AF2453)=0,"")</f>
        <v/>
      </c>
      <c r="AH2453" s="333"/>
      <c r="AI2453" s="333"/>
      <c r="AJ2453" s="333"/>
      <c r="AK2453" s="333"/>
      <c r="AL2453" s="333"/>
      <c r="AM2453" s="338"/>
      <c r="AN2453" s="333"/>
      <c r="AO2453" s="333"/>
      <c r="AP2453" s="333"/>
      <c r="AQ2453" s="333"/>
      <c r="AR2453" s="333"/>
      <c r="AS2453" s="333"/>
      <c r="AT2453" s="333"/>
      <c r="AU2453" s="329"/>
      <c r="AV2453" s="341"/>
      <c r="AW2453" s="269" t="s">
        <v>1734</v>
      </c>
      <c r="AX2453" s="269" t="s">
        <v>2869</v>
      </c>
      <c r="AY2453" s="270" t="s">
        <v>695</v>
      </c>
      <c r="AZ2453" s="173" t="s">
        <v>8075</v>
      </c>
      <c r="BA2453" s="265">
        <v>10.0</v>
      </c>
      <c r="BB2453" s="174" t="s">
        <v>245</v>
      </c>
      <c r="BC2453" s="341"/>
      <c r="BD2453" s="308" t="s">
        <v>1844</v>
      </c>
      <c r="BE2453" s="364"/>
      <c r="BF2453" s="274" t="str">
        <f>IFERROR(__xludf.DUMMYFUNCTION("LOWER(Regexreplace(to_text(E2453),""[^A-Za-z0-9]"","""")&amp;""_""&amp;Regexreplace(to_text(F2453),""[^A-Za-z0-9]"",""""))"),"schneider_pm2200")</f>
        <v>schneider_pm2200</v>
      </c>
      <c r="BG2453" s="275" t="str">
        <f>IFERROR(__xludf.DUMMYFUNCTION("upper(Regexreplace(to_text(E2453),""[^A-Za-z0-9]"","""")&amp;""-""&amp;Regexreplace(to_text(F2453),""[^A-Za-z0-9]"",""""))"),"SCHNEIDER-PM2200")</f>
        <v>SCHNEIDER-PM2200</v>
      </c>
    </row>
    <row r="2454" ht="30.0" customHeight="1">
      <c r="A2454" s="258">
        <v>2446.0</v>
      </c>
      <c r="B2454" s="328" t="s">
        <v>670</v>
      </c>
      <c r="C2454" s="257" t="s">
        <v>8148</v>
      </c>
      <c r="D2454" s="173" t="s">
        <v>8148</v>
      </c>
      <c r="E2454" s="174" t="s">
        <v>8070</v>
      </c>
      <c r="F2454" s="173" t="s">
        <v>8071</v>
      </c>
      <c r="G2454" s="328" t="s">
        <v>673</v>
      </c>
      <c r="H2454" s="328" t="s">
        <v>2863</v>
      </c>
      <c r="I2454" s="258" t="s">
        <v>8072</v>
      </c>
      <c r="J2454" s="259" t="s">
        <v>1026</v>
      </c>
      <c r="K2454" s="260">
        <v>456.0</v>
      </c>
      <c r="L2454" s="365"/>
      <c r="M2454" s="329"/>
      <c r="N2454" s="173" t="s">
        <v>679</v>
      </c>
      <c r="O2454" s="173" t="s">
        <v>225</v>
      </c>
      <c r="P2454" s="262" t="str">
        <f t="shared" si="1"/>
        <v>IN-BLR-ANANTA-EM-36_4</v>
      </c>
      <c r="Q2454" s="173" t="s">
        <v>8149</v>
      </c>
      <c r="R2454" s="328" t="str">
        <f>IFS(C2454="","",C2454="n/a","N/A",LEN(C2454),Concatenate("{",char(34),"asset",char(34),":{",char(34),"guid",char(34),":",char(34),Q2454,char(34),",",char(34),"site",char(34),":",char(34),LOWER('2-Building'!$B$4),char(34),",",char(34),"name",char(34),":",char(34),LOWER(C2454),char(34),"}}"))</f>
        <v>{"asset":{"guid":"uuid://8079ea7c-f3d0-4b0b-bb89-de611dcffd80","site":"in-blr-ananta","name":"em-36"}}</v>
      </c>
      <c r="S2454" s="366" t="s">
        <v>8075</v>
      </c>
      <c r="T2454" s="330"/>
      <c r="U2454" s="330"/>
      <c r="V2454" s="331"/>
      <c r="W2454" s="332"/>
      <c r="X2454" s="333"/>
      <c r="Y2454" s="33" t="s">
        <v>8076</v>
      </c>
      <c r="Z2454" s="258"/>
      <c r="AA2454" s="333"/>
      <c r="AB2454" s="258">
        <v>5.0</v>
      </c>
      <c r="AC2454" s="333"/>
      <c r="AD2454" s="329"/>
      <c r="AE2454" s="331"/>
      <c r="AF2454" s="336"/>
      <c r="AG2454" s="337" t="str">
        <f>IFS(LEN(AF2454)=17,LOWER('2-Building'!$B$4 &amp; "-" &amp; C2454), AF2454="N/A", "N/A", LEN(AF2454)=0,"")</f>
        <v/>
      </c>
      <c r="AH2454" s="333"/>
      <c r="AI2454" s="333"/>
      <c r="AJ2454" s="333"/>
      <c r="AK2454" s="333"/>
      <c r="AL2454" s="333"/>
      <c r="AM2454" s="338"/>
      <c r="AN2454" s="333"/>
      <c r="AO2454" s="333"/>
      <c r="AP2454" s="333"/>
      <c r="AQ2454" s="333"/>
      <c r="AR2454" s="333"/>
      <c r="AS2454" s="333"/>
      <c r="AT2454" s="333"/>
      <c r="AU2454" s="329"/>
      <c r="AV2454" s="341"/>
      <c r="AW2454" s="269" t="s">
        <v>1734</v>
      </c>
      <c r="AX2454" s="269" t="s">
        <v>2869</v>
      </c>
      <c r="AY2454" s="270" t="s">
        <v>695</v>
      </c>
      <c r="AZ2454" s="173" t="s">
        <v>8075</v>
      </c>
      <c r="BA2454" s="265">
        <v>10.0</v>
      </c>
      <c r="BB2454" s="174" t="s">
        <v>245</v>
      </c>
      <c r="BC2454" s="341"/>
      <c r="BD2454" s="308" t="s">
        <v>1844</v>
      </c>
      <c r="BE2454" s="364"/>
      <c r="BF2454" s="274" t="str">
        <f>IFERROR(__xludf.DUMMYFUNCTION("LOWER(Regexreplace(to_text(E2454),""[^A-Za-z0-9]"","""")&amp;""_""&amp;Regexreplace(to_text(F2454),""[^A-Za-z0-9]"",""""))"),"schneider_pm2200")</f>
        <v>schneider_pm2200</v>
      </c>
      <c r="BG2454" s="275" t="str">
        <f>IFERROR(__xludf.DUMMYFUNCTION("upper(Regexreplace(to_text(E2454),""[^A-Za-z0-9]"","""")&amp;""-""&amp;Regexreplace(to_text(F2454),""[^A-Za-z0-9]"",""""))"),"SCHNEIDER-PM2200")</f>
        <v>SCHNEIDER-PM2200</v>
      </c>
    </row>
    <row r="2455" ht="30.0" customHeight="1">
      <c r="A2455" s="173">
        <v>2447.0</v>
      </c>
      <c r="B2455" s="328" t="s">
        <v>670</v>
      </c>
      <c r="C2455" s="257" t="s">
        <v>8150</v>
      </c>
      <c r="D2455" s="173" t="s">
        <v>8150</v>
      </c>
      <c r="E2455" s="174" t="s">
        <v>8070</v>
      </c>
      <c r="F2455" s="173" t="s">
        <v>8071</v>
      </c>
      <c r="G2455" s="328" t="s">
        <v>673</v>
      </c>
      <c r="H2455" s="328" t="s">
        <v>2863</v>
      </c>
      <c r="I2455" s="258" t="s">
        <v>8072</v>
      </c>
      <c r="J2455" s="259" t="s">
        <v>1026</v>
      </c>
      <c r="K2455" s="260">
        <v>482.0</v>
      </c>
      <c r="L2455" s="365"/>
      <c r="M2455" s="329"/>
      <c r="N2455" s="173" t="s">
        <v>679</v>
      </c>
      <c r="O2455" s="173" t="s">
        <v>225</v>
      </c>
      <c r="P2455" s="262" t="str">
        <f t="shared" si="1"/>
        <v>IN-BLR-ANANTA-EM-37_4</v>
      </c>
      <c r="Q2455" s="173" t="s">
        <v>8151</v>
      </c>
      <c r="R2455" s="328" t="str">
        <f>IFS(C2455="","",C2455="n/a","N/A",LEN(C2455),Concatenate("{",char(34),"asset",char(34),":{",char(34),"guid",char(34),":",char(34),Q2455,char(34),",",char(34),"site",char(34),":",char(34),LOWER('2-Building'!$B$4),char(34),",",char(34),"name",char(34),":",char(34),LOWER(C2455),char(34),"}}"))</f>
        <v>{"asset":{"guid":"uuid://24f7c456-4db4-46a1-a0e3-f6bc4593a04f","site":"in-blr-ananta","name":"em-37"}}</v>
      </c>
      <c r="S2455" s="366" t="s">
        <v>8075</v>
      </c>
      <c r="T2455" s="330"/>
      <c r="U2455" s="330"/>
      <c r="V2455" s="331"/>
      <c r="W2455" s="332"/>
      <c r="X2455" s="333"/>
      <c r="Y2455" s="33" t="s">
        <v>8076</v>
      </c>
      <c r="Z2455" s="258"/>
      <c r="AA2455" s="333"/>
      <c r="AB2455" s="258">
        <v>6.0</v>
      </c>
      <c r="AC2455" s="333"/>
      <c r="AD2455" s="329"/>
      <c r="AE2455" s="331"/>
      <c r="AF2455" s="336"/>
      <c r="AG2455" s="337" t="str">
        <f>IFS(LEN(AF2455)=17,LOWER('2-Building'!$B$4 &amp; "-" &amp; C2455), AF2455="N/A", "N/A", LEN(AF2455)=0,"")</f>
        <v/>
      </c>
      <c r="AH2455" s="333"/>
      <c r="AI2455" s="333"/>
      <c r="AJ2455" s="333"/>
      <c r="AK2455" s="333"/>
      <c r="AL2455" s="333"/>
      <c r="AM2455" s="338"/>
      <c r="AN2455" s="333"/>
      <c r="AO2455" s="333"/>
      <c r="AP2455" s="333"/>
      <c r="AQ2455" s="333"/>
      <c r="AR2455" s="333"/>
      <c r="AS2455" s="333"/>
      <c r="AT2455" s="333"/>
      <c r="AU2455" s="329"/>
      <c r="AV2455" s="341"/>
      <c r="AW2455" s="269" t="s">
        <v>1734</v>
      </c>
      <c r="AX2455" s="269" t="s">
        <v>2869</v>
      </c>
      <c r="AY2455" s="270" t="s">
        <v>695</v>
      </c>
      <c r="AZ2455" s="173" t="s">
        <v>8075</v>
      </c>
      <c r="BA2455" s="265">
        <v>10.0</v>
      </c>
      <c r="BB2455" s="174" t="s">
        <v>245</v>
      </c>
      <c r="BC2455" s="341"/>
      <c r="BD2455" s="308" t="s">
        <v>1844</v>
      </c>
      <c r="BE2455" s="364"/>
      <c r="BF2455" s="274" t="str">
        <f>IFERROR(__xludf.DUMMYFUNCTION("LOWER(Regexreplace(to_text(E2455),""[^A-Za-z0-9]"","""")&amp;""_""&amp;Regexreplace(to_text(F2455),""[^A-Za-z0-9]"",""""))"),"schneider_pm2200")</f>
        <v>schneider_pm2200</v>
      </c>
      <c r="BG2455" s="275" t="str">
        <f>IFERROR(__xludf.DUMMYFUNCTION("upper(Regexreplace(to_text(E2455),""[^A-Za-z0-9]"","""")&amp;""-""&amp;Regexreplace(to_text(F2455),""[^A-Za-z0-9]"",""""))"),"SCHNEIDER-PM2200")</f>
        <v>SCHNEIDER-PM2200</v>
      </c>
    </row>
    <row r="2456" ht="30.0" customHeight="1">
      <c r="A2456" s="258">
        <v>2448.0</v>
      </c>
      <c r="B2456" s="328" t="s">
        <v>670</v>
      </c>
      <c r="C2456" s="257" t="s">
        <v>8152</v>
      </c>
      <c r="D2456" s="173" t="s">
        <v>8152</v>
      </c>
      <c r="E2456" s="174" t="s">
        <v>8070</v>
      </c>
      <c r="F2456" s="173" t="s">
        <v>8071</v>
      </c>
      <c r="G2456" s="328" t="s">
        <v>673</v>
      </c>
      <c r="H2456" s="328" t="s">
        <v>2863</v>
      </c>
      <c r="I2456" s="258" t="s">
        <v>8072</v>
      </c>
      <c r="J2456" s="259" t="s">
        <v>1026</v>
      </c>
      <c r="K2456" s="260">
        <v>482.0</v>
      </c>
      <c r="L2456" s="365"/>
      <c r="M2456" s="329"/>
      <c r="N2456" s="173" t="s">
        <v>679</v>
      </c>
      <c r="O2456" s="173" t="s">
        <v>225</v>
      </c>
      <c r="P2456" s="262" t="str">
        <f t="shared" si="1"/>
        <v>IN-BLR-ANANTA-EM-38_4</v>
      </c>
      <c r="Q2456" s="173" t="s">
        <v>8153</v>
      </c>
      <c r="R2456" s="328" t="str">
        <f>IFS(C2456="","",C2456="n/a","N/A",LEN(C2456),Concatenate("{",char(34),"asset",char(34),":{",char(34),"guid",char(34),":",char(34),Q2456,char(34),",",char(34),"site",char(34),":",char(34),LOWER('2-Building'!$B$4),char(34),",",char(34),"name",char(34),":",char(34),LOWER(C2456),char(34),"}}"))</f>
        <v>{"asset":{"guid":"uuid://69d87379-0cb9-4f99-ac12-562d8d9c59d6","site":"in-blr-ananta","name":"em-38"}}</v>
      </c>
      <c r="S2456" s="366" t="s">
        <v>8075</v>
      </c>
      <c r="T2456" s="330"/>
      <c r="U2456" s="330"/>
      <c r="V2456" s="331"/>
      <c r="W2456" s="332"/>
      <c r="X2456" s="333"/>
      <c r="Y2456" s="33" t="s">
        <v>8076</v>
      </c>
      <c r="Z2456" s="258"/>
      <c r="AA2456" s="333"/>
      <c r="AB2456" s="258">
        <v>7.0</v>
      </c>
      <c r="AC2456" s="333"/>
      <c r="AD2456" s="329"/>
      <c r="AE2456" s="331"/>
      <c r="AF2456" s="336"/>
      <c r="AG2456" s="337" t="str">
        <f>IFS(LEN(AF2456)=17,LOWER('2-Building'!$B$4 &amp; "-" &amp; C2456), AF2456="N/A", "N/A", LEN(AF2456)=0,"")</f>
        <v/>
      </c>
      <c r="AH2456" s="333"/>
      <c r="AI2456" s="333"/>
      <c r="AJ2456" s="333"/>
      <c r="AK2456" s="333"/>
      <c r="AL2456" s="333"/>
      <c r="AM2456" s="338"/>
      <c r="AN2456" s="333"/>
      <c r="AO2456" s="333"/>
      <c r="AP2456" s="333"/>
      <c r="AQ2456" s="333"/>
      <c r="AR2456" s="333"/>
      <c r="AS2456" s="333"/>
      <c r="AT2456" s="333"/>
      <c r="AU2456" s="329"/>
      <c r="AV2456" s="341"/>
      <c r="AW2456" s="269" t="s">
        <v>1734</v>
      </c>
      <c r="AX2456" s="269" t="s">
        <v>2869</v>
      </c>
      <c r="AY2456" s="270" t="s">
        <v>695</v>
      </c>
      <c r="AZ2456" s="173" t="s">
        <v>8075</v>
      </c>
      <c r="BA2456" s="265">
        <v>10.0</v>
      </c>
      <c r="BB2456" s="174" t="s">
        <v>245</v>
      </c>
      <c r="BC2456" s="341"/>
      <c r="BD2456" s="308" t="s">
        <v>1844</v>
      </c>
      <c r="BE2456" s="364"/>
      <c r="BF2456" s="274" t="str">
        <f>IFERROR(__xludf.DUMMYFUNCTION("LOWER(Regexreplace(to_text(E2456),""[^A-Za-z0-9]"","""")&amp;""_""&amp;Regexreplace(to_text(F2456),""[^A-Za-z0-9]"",""""))"),"schneider_pm2200")</f>
        <v>schneider_pm2200</v>
      </c>
      <c r="BG2456" s="275" t="str">
        <f>IFERROR(__xludf.DUMMYFUNCTION("upper(Regexreplace(to_text(E2456),""[^A-Za-z0-9]"","""")&amp;""-""&amp;Regexreplace(to_text(F2456),""[^A-Za-z0-9]"",""""))"),"SCHNEIDER-PM2200")</f>
        <v>SCHNEIDER-PM2200</v>
      </c>
    </row>
    <row r="2457" ht="30.0" customHeight="1">
      <c r="A2457" s="173">
        <v>2449.0</v>
      </c>
      <c r="B2457" s="328" t="s">
        <v>670</v>
      </c>
      <c r="C2457" s="257" t="s">
        <v>8154</v>
      </c>
      <c r="D2457" s="173" t="s">
        <v>8154</v>
      </c>
      <c r="E2457" s="174" t="s">
        <v>8070</v>
      </c>
      <c r="F2457" s="173" t="s">
        <v>8071</v>
      </c>
      <c r="G2457" s="328" t="s">
        <v>673</v>
      </c>
      <c r="H2457" s="328" t="s">
        <v>2863</v>
      </c>
      <c r="I2457" s="258" t="s">
        <v>8072</v>
      </c>
      <c r="J2457" s="259" t="s">
        <v>1088</v>
      </c>
      <c r="K2457" s="260" t="s">
        <v>8155</v>
      </c>
      <c r="L2457" s="365"/>
      <c r="M2457" s="329"/>
      <c r="N2457" s="173" t="s">
        <v>679</v>
      </c>
      <c r="O2457" s="173" t="s">
        <v>225</v>
      </c>
      <c r="P2457" s="262" t="str">
        <f t="shared" si="1"/>
        <v>IN-BLR-ANANTA-EM-39_5</v>
      </c>
      <c r="Q2457" s="173" t="s">
        <v>8156</v>
      </c>
      <c r="R2457" s="328" t="str">
        <f>IFS(C2457="","",C2457="n/a","N/A",LEN(C2457),Concatenate("{",char(34),"asset",char(34),":{",char(34),"guid",char(34),":",char(34),Q2457,char(34),",",char(34),"site",char(34),":",char(34),LOWER('2-Building'!$B$4),char(34),",",char(34),"name",char(34),":",char(34),LOWER(C2457),char(34),"}}"))</f>
        <v>{"asset":{"guid":"uuid://eece6445-8538-43b6-93bc-68c0ef242f6e","site":"in-blr-ananta","name":"em-39"}}</v>
      </c>
      <c r="S2457" s="366" t="s">
        <v>8075</v>
      </c>
      <c r="T2457" s="330"/>
      <c r="U2457" s="330"/>
      <c r="V2457" s="331"/>
      <c r="W2457" s="332"/>
      <c r="X2457" s="333"/>
      <c r="Y2457" s="33" t="s">
        <v>8076</v>
      </c>
      <c r="Z2457" s="258"/>
      <c r="AA2457" s="333"/>
      <c r="AB2457" s="258">
        <v>2.0</v>
      </c>
      <c r="AC2457" s="333"/>
      <c r="AD2457" s="329"/>
      <c r="AE2457" s="331"/>
      <c r="AF2457" s="336"/>
      <c r="AG2457" s="337" t="str">
        <f>IFS(LEN(AF2457)=17,LOWER('2-Building'!$B$4 &amp; "-" &amp; C2457), AF2457="N/A", "N/A", LEN(AF2457)=0,"")</f>
        <v/>
      </c>
      <c r="AH2457" s="333"/>
      <c r="AI2457" s="333"/>
      <c r="AJ2457" s="333"/>
      <c r="AK2457" s="333"/>
      <c r="AL2457" s="333"/>
      <c r="AM2457" s="338"/>
      <c r="AN2457" s="333"/>
      <c r="AO2457" s="333"/>
      <c r="AP2457" s="333"/>
      <c r="AQ2457" s="333"/>
      <c r="AR2457" s="333"/>
      <c r="AS2457" s="333"/>
      <c r="AT2457" s="333"/>
      <c r="AU2457" s="329"/>
      <c r="AV2457" s="341"/>
      <c r="AW2457" s="269" t="s">
        <v>2311</v>
      </c>
      <c r="AX2457" s="269" t="s">
        <v>2869</v>
      </c>
      <c r="AY2457" s="270" t="s">
        <v>695</v>
      </c>
      <c r="AZ2457" s="173" t="s">
        <v>8075</v>
      </c>
      <c r="BA2457" s="265">
        <v>10.0</v>
      </c>
      <c r="BB2457" s="174" t="s">
        <v>245</v>
      </c>
      <c r="BC2457" s="341"/>
      <c r="BD2457" s="308" t="s">
        <v>1844</v>
      </c>
      <c r="BE2457" s="364"/>
      <c r="BF2457" s="274" t="str">
        <f>IFERROR(__xludf.DUMMYFUNCTION("LOWER(Regexreplace(to_text(E2457),""[^A-Za-z0-9]"","""")&amp;""_""&amp;Regexreplace(to_text(F2457),""[^A-Za-z0-9]"",""""))"),"schneider_pm2200")</f>
        <v>schneider_pm2200</v>
      </c>
      <c r="BG2457" s="275" t="str">
        <f>IFERROR(__xludf.DUMMYFUNCTION("upper(Regexreplace(to_text(E2457),""[^A-Za-z0-9]"","""")&amp;""-""&amp;Regexreplace(to_text(F2457),""[^A-Za-z0-9]"",""""))"),"SCHNEIDER-PM2200")</f>
        <v>SCHNEIDER-PM2200</v>
      </c>
    </row>
    <row r="2458" ht="30.0" customHeight="1">
      <c r="A2458" s="258">
        <v>2450.0</v>
      </c>
      <c r="B2458" s="328" t="s">
        <v>670</v>
      </c>
      <c r="C2458" s="257" t="s">
        <v>8157</v>
      </c>
      <c r="D2458" s="173" t="s">
        <v>8157</v>
      </c>
      <c r="E2458" s="174" t="s">
        <v>8070</v>
      </c>
      <c r="F2458" s="173" t="s">
        <v>8071</v>
      </c>
      <c r="G2458" s="328" t="s">
        <v>673</v>
      </c>
      <c r="H2458" s="328" t="s">
        <v>2863</v>
      </c>
      <c r="I2458" s="258" t="s">
        <v>8072</v>
      </c>
      <c r="J2458" s="259" t="s">
        <v>1088</v>
      </c>
      <c r="K2458" s="260" t="s">
        <v>8155</v>
      </c>
      <c r="L2458" s="365"/>
      <c r="M2458" s="329"/>
      <c r="N2458" s="173" t="s">
        <v>679</v>
      </c>
      <c r="O2458" s="173" t="s">
        <v>225</v>
      </c>
      <c r="P2458" s="262" t="str">
        <f t="shared" si="1"/>
        <v>IN-BLR-ANANTA-EM-40_5</v>
      </c>
      <c r="Q2458" s="173" t="s">
        <v>8158</v>
      </c>
      <c r="R2458" s="328" t="str">
        <f>IFS(C2458="","",C2458="n/a","N/A",LEN(C2458),Concatenate("{",char(34),"asset",char(34),":{",char(34),"guid",char(34),":",char(34),Q2458,char(34),",",char(34),"site",char(34),":",char(34),LOWER('2-Building'!$B$4),char(34),",",char(34),"name",char(34),":",char(34),LOWER(C2458),char(34),"}}"))</f>
        <v>{"asset":{"guid":"uuid://42f03782-6763-42e4-8a88-6ea0cae4fbc8","site":"in-blr-ananta","name":"em-40"}}</v>
      </c>
      <c r="S2458" s="366" t="s">
        <v>8075</v>
      </c>
      <c r="T2458" s="330"/>
      <c r="U2458" s="330"/>
      <c r="V2458" s="331"/>
      <c r="W2458" s="332"/>
      <c r="X2458" s="333"/>
      <c r="Y2458" s="33" t="s">
        <v>8076</v>
      </c>
      <c r="Z2458" s="258"/>
      <c r="AA2458" s="333"/>
      <c r="AB2458" s="258">
        <v>3.0</v>
      </c>
      <c r="AC2458" s="333"/>
      <c r="AD2458" s="329"/>
      <c r="AE2458" s="331"/>
      <c r="AF2458" s="336"/>
      <c r="AG2458" s="337" t="str">
        <f>IFS(LEN(AF2458)=17,LOWER('2-Building'!$B$4 &amp; "-" &amp; C2458), AF2458="N/A", "N/A", LEN(AF2458)=0,"")</f>
        <v/>
      </c>
      <c r="AH2458" s="333"/>
      <c r="AI2458" s="333"/>
      <c r="AJ2458" s="333"/>
      <c r="AK2458" s="333"/>
      <c r="AL2458" s="333"/>
      <c r="AM2458" s="338"/>
      <c r="AN2458" s="333"/>
      <c r="AO2458" s="333"/>
      <c r="AP2458" s="333"/>
      <c r="AQ2458" s="333"/>
      <c r="AR2458" s="333"/>
      <c r="AS2458" s="333"/>
      <c r="AT2458" s="333"/>
      <c r="AU2458" s="329"/>
      <c r="AV2458" s="341"/>
      <c r="AW2458" s="269" t="s">
        <v>2311</v>
      </c>
      <c r="AX2458" s="269" t="s">
        <v>2869</v>
      </c>
      <c r="AY2458" s="270" t="s">
        <v>695</v>
      </c>
      <c r="AZ2458" s="173" t="s">
        <v>8075</v>
      </c>
      <c r="BA2458" s="265">
        <v>10.0</v>
      </c>
      <c r="BB2458" s="174" t="s">
        <v>245</v>
      </c>
      <c r="BC2458" s="341"/>
      <c r="BD2458" s="308" t="s">
        <v>1844</v>
      </c>
      <c r="BE2458" s="364"/>
      <c r="BF2458" s="274" t="str">
        <f>IFERROR(__xludf.DUMMYFUNCTION("LOWER(Regexreplace(to_text(E2458),""[^A-Za-z0-9]"","""")&amp;""_""&amp;Regexreplace(to_text(F2458),""[^A-Za-z0-9]"",""""))"),"schneider_pm2200")</f>
        <v>schneider_pm2200</v>
      </c>
      <c r="BG2458" s="275" t="str">
        <f>IFERROR(__xludf.DUMMYFUNCTION("upper(Regexreplace(to_text(E2458),""[^A-Za-z0-9]"","""")&amp;""-""&amp;Regexreplace(to_text(F2458),""[^A-Za-z0-9]"",""""))"),"SCHNEIDER-PM2200")</f>
        <v>SCHNEIDER-PM2200</v>
      </c>
    </row>
    <row r="2459" ht="30.0" customHeight="1">
      <c r="A2459" s="173">
        <v>2451.0</v>
      </c>
      <c r="B2459" s="328" t="s">
        <v>670</v>
      </c>
      <c r="C2459" s="257" t="s">
        <v>8159</v>
      </c>
      <c r="D2459" s="173" t="s">
        <v>8159</v>
      </c>
      <c r="E2459" s="174" t="s">
        <v>8070</v>
      </c>
      <c r="F2459" s="173" t="s">
        <v>8071</v>
      </c>
      <c r="G2459" s="328" t="s">
        <v>673</v>
      </c>
      <c r="H2459" s="328" t="s">
        <v>2863</v>
      </c>
      <c r="I2459" s="258" t="s">
        <v>8072</v>
      </c>
      <c r="J2459" s="259" t="s">
        <v>1088</v>
      </c>
      <c r="K2459" s="260" t="s">
        <v>8155</v>
      </c>
      <c r="L2459" s="365"/>
      <c r="M2459" s="329"/>
      <c r="N2459" s="173" t="s">
        <v>679</v>
      </c>
      <c r="O2459" s="173" t="s">
        <v>225</v>
      </c>
      <c r="P2459" s="262" t="str">
        <f t="shared" si="1"/>
        <v>IN-BLR-ANANTA-EM-41_5</v>
      </c>
      <c r="Q2459" s="173" t="s">
        <v>8160</v>
      </c>
      <c r="R2459" s="328" t="str">
        <f>IFS(C2459="","",C2459="n/a","N/A",LEN(C2459),Concatenate("{",char(34),"asset",char(34),":{",char(34),"guid",char(34),":",char(34),Q2459,char(34),",",char(34),"site",char(34),":",char(34),LOWER('2-Building'!$B$4),char(34),",",char(34),"name",char(34),":",char(34),LOWER(C2459),char(34),"}}"))</f>
        <v>{"asset":{"guid":"uuid://4f0d6074-925d-4c81-b7b8-9a2a7d21bb00","site":"in-blr-ananta","name":"em-41"}}</v>
      </c>
      <c r="S2459" s="366" t="s">
        <v>8075</v>
      </c>
      <c r="T2459" s="330"/>
      <c r="U2459" s="330"/>
      <c r="V2459" s="331"/>
      <c r="W2459" s="332"/>
      <c r="X2459" s="333"/>
      <c r="Y2459" s="33" t="s">
        <v>8076</v>
      </c>
      <c r="Z2459" s="258"/>
      <c r="AA2459" s="333"/>
      <c r="AB2459" s="258">
        <v>4.0</v>
      </c>
      <c r="AC2459" s="333"/>
      <c r="AD2459" s="329"/>
      <c r="AE2459" s="331"/>
      <c r="AF2459" s="336"/>
      <c r="AG2459" s="337" t="str">
        <f>IFS(LEN(AF2459)=17,LOWER('2-Building'!$B$4 &amp; "-" &amp; C2459), AF2459="N/A", "N/A", LEN(AF2459)=0,"")</f>
        <v/>
      </c>
      <c r="AH2459" s="333"/>
      <c r="AI2459" s="333"/>
      <c r="AJ2459" s="333"/>
      <c r="AK2459" s="333"/>
      <c r="AL2459" s="333"/>
      <c r="AM2459" s="338"/>
      <c r="AN2459" s="333"/>
      <c r="AO2459" s="333"/>
      <c r="AP2459" s="333"/>
      <c r="AQ2459" s="333"/>
      <c r="AR2459" s="333"/>
      <c r="AS2459" s="333"/>
      <c r="AT2459" s="333"/>
      <c r="AU2459" s="329"/>
      <c r="AV2459" s="341"/>
      <c r="AW2459" s="269" t="s">
        <v>2311</v>
      </c>
      <c r="AX2459" s="269" t="s">
        <v>2869</v>
      </c>
      <c r="AY2459" s="270" t="s">
        <v>695</v>
      </c>
      <c r="AZ2459" s="173" t="s">
        <v>8075</v>
      </c>
      <c r="BA2459" s="265">
        <v>10.0</v>
      </c>
      <c r="BB2459" s="174" t="s">
        <v>245</v>
      </c>
      <c r="BC2459" s="341"/>
      <c r="BD2459" s="308" t="s">
        <v>1844</v>
      </c>
      <c r="BE2459" s="364"/>
      <c r="BF2459" s="274" t="str">
        <f>IFERROR(__xludf.DUMMYFUNCTION("LOWER(Regexreplace(to_text(E2459),""[^A-Za-z0-9]"","""")&amp;""_""&amp;Regexreplace(to_text(F2459),""[^A-Za-z0-9]"",""""))"),"schneider_pm2200")</f>
        <v>schneider_pm2200</v>
      </c>
      <c r="BG2459" s="275" t="str">
        <f>IFERROR(__xludf.DUMMYFUNCTION("upper(Regexreplace(to_text(E2459),""[^A-Za-z0-9]"","""")&amp;""-""&amp;Regexreplace(to_text(F2459),""[^A-Za-z0-9]"",""""))"),"SCHNEIDER-PM2200")</f>
        <v>SCHNEIDER-PM2200</v>
      </c>
    </row>
    <row r="2460" ht="30.0" customHeight="1">
      <c r="A2460" s="258">
        <v>2452.0</v>
      </c>
      <c r="B2460" s="328" t="s">
        <v>670</v>
      </c>
      <c r="C2460" s="257" t="s">
        <v>8161</v>
      </c>
      <c r="D2460" s="173" t="s">
        <v>8161</v>
      </c>
      <c r="E2460" s="174" t="s">
        <v>8070</v>
      </c>
      <c r="F2460" s="173" t="s">
        <v>8071</v>
      </c>
      <c r="G2460" s="328" t="s">
        <v>673</v>
      </c>
      <c r="H2460" s="328" t="s">
        <v>2863</v>
      </c>
      <c r="I2460" s="258" t="s">
        <v>8072</v>
      </c>
      <c r="J2460" s="259" t="s">
        <v>1088</v>
      </c>
      <c r="K2460" s="260" t="s">
        <v>8155</v>
      </c>
      <c r="L2460" s="365"/>
      <c r="M2460" s="329"/>
      <c r="N2460" s="173" t="s">
        <v>679</v>
      </c>
      <c r="O2460" s="173" t="s">
        <v>225</v>
      </c>
      <c r="P2460" s="262" t="str">
        <f t="shared" si="1"/>
        <v>IN-BLR-ANANTA-EM-42_5</v>
      </c>
      <c r="Q2460" s="173" t="s">
        <v>8162</v>
      </c>
      <c r="R2460" s="328" t="str">
        <f>IFS(C2460="","",C2460="n/a","N/A",LEN(C2460),Concatenate("{",char(34),"asset",char(34),":{",char(34),"guid",char(34),":",char(34),Q2460,char(34),",",char(34),"site",char(34),":",char(34),LOWER('2-Building'!$B$4),char(34),",",char(34),"name",char(34),":",char(34),LOWER(C2460),char(34),"}}"))</f>
        <v>{"asset":{"guid":"uuid://8e307516-c0c7-4947-a715-12de039fdee4","site":"in-blr-ananta","name":"em-42"}}</v>
      </c>
      <c r="S2460" s="366" t="s">
        <v>8075</v>
      </c>
      <c r="T2460" s="330"/>
      <c r="U2460" s="330"/>
      <c r="V2460" s="331"/>
      <c r="W2460" s="332"/>
      <c r="X2460" s="333"/>
      <c r="Y2460" s="33" t="s">
        <v>8076</v>
      </c>
      <c r="Z2460" s="258"/>
      <c r="AA2460" s="333"/>
      <c r="AB2460" s="258">
        <v>5.0</v>
      </c>
      <c r="AC2460" s="333"/>
      <c r="AD2460" s="329"/>
      <c r="AE2460" s="331"/>
      <c r="AF2460" s="336"/>
      <c r="AG2460" s="337" t="str">
        <f>IFS(LEN(AF2460)=17,LOWER('2-Building'!$B$4 &amp; "-" &amp; C2460), AF2460="N/A", "N/A", LEN(AF2460)=0,"")</f>
        <v/>
      </c>
      <c r="AH2460" s="333"/>
      <c r="AI2460" s="333"/>
      <c r="AJ2460" s="333"/>
      <c r="AK2460" s="333"/>
      <c r="AL2460" s="333"/>
      <c r="AM2460" s="338"/>
      <c r="AN2460" s="333"/>
      <c r="AO2460" s="333"/>
      <c r="AP2460" s="333"/>
      <c r="AQ2460" s="333"/>
      <c r="AR2460" s="333"/>
      <c r="AS2460" s="333"/>
      <c r="AT2460" s="333"/>
      <c r="AU2460" s="329"/>
      <c r="AV2460" s="341"/>
      <c r="AW2460" s="269" t="s">
        <v>2311</v>
      </c>
      <c r="AX2460" s="269" t="s">
        <v>2869</v>
      </c>
      <c r="AY2460" s="270" t="s">
        <v>695</v>
      </c>
      <c r="AZ2460" s="173" t="s">
        <v>8075</v>
      </c>
      <c r="BA2460" s="265">
        <v>10.0</v>
      </c>
      <c r="BB2460" s="174" t="s">
        <v>245</v>
      </c>
      <c r="BC2460" s="341"/>
      <c r="BD2460" s="308" t="s">
        <v>1844</v>
      </c>
      <c r="BE2460" s="364"/>
      <c r="BF2460" s="274" t="str">
        <f>IFERROR(__xludf.DUMMYFUNCTION("LOWER(Regexreplace(to_text(E2460),""[^A-Za-z0-9]"","""")&amp;""_""&amp;Regexreplace(to_text(F2460),""[^A-Za-z0-9]"",""""))"),"schneider_pm2200")</f>
        <v>schneider_pm2200</v>
      </c>
      <c r="BG2460" s="275" t="str">
        <f>IFERROR(__xludf.DUMMYFUNCTION("upper(Regexreplace(to_text(E2460),""[^A-Za-z0-9]"","""")&amp;""-""&amp;Regexreplace(to_text(F2460),""[^A-Za-z0-9]"",""""))"),"SCHNEIDER-PM2200")</f>
        <v>SCHNEIDER-PM2200</v>
      </c>
    </row>
    <row r="2461" ht="30.0" customHeight="1">
      <c r="A2461" s="173">
        <v>2453.0</v>
      </c>
      <c r="B2461" s="328" t="s">
        <v>670</v>
      </c>
      <c r="C2461" s="257" t="s">
        <v>8163</v>
      </c>
      <c r="D2461" s="173" t="s">
        <v>8163</v>
      </c>
      <c r="E2461" s="174" t="s">
        <v>8070</v>
      </c>
      <c r="F2461" s="173" t="s">
        <v>8071</v>
      </c>
      <c r="G2461" s="328" t="s">
        <v>673</v>
      </c>
      <c r="H2461" s="328" t="s">
        <v>2863</v>
      </c>
      <c r="I2461" s="258" t="s">
        <v>8072</v>
      </c>
      <c r="J2461" s="259" t="s">
        <v>1088</v>
      </c>
      <c r="K2461" s="260" t="s">
        <v>8155</v>
      </c>
      <c r="L2461" s="365"/>
      <c r="M2461" s="329"/>
      <c r="N2461" s="173" t="s">
        <v>679</v>
      </c>
      <c r="O2461" s="173" t="s">
        <v>225</v>
      </c>
      <c r="P2461" s="262" t="str">
        <f t="shared" si="1"/>
        <v>IN-BLR-ANANTA-EM-43_5</v>
      </c>
      <c r="Q2461" s="173" t="s">
        <v>8164</v>
      </c>
      <c r="R2461" s="328" t="str">
        <f>IFS(C2461="","",C2461="n/a","N/A",LEN(C2461),Concatenate("{",char(34),"asset",char(34),":{",char(34),"guid",char(34),":",char(34),Q2461,char(34),",",char(34),"site",char(34),":",char(34),LOWER('2-Building'!$B$4),char(34),",",char(34),"name",char(34),":",char(34),LOWER(C2461),char(34),"}}"))</f>
        <v>{"asset":{"guid":"uuid://f2c74c32-5b2c-4d3a-80f2-aa191d259322","site":"in-blr-ananta","name":"em-43"}}</v>
      </c>
      <c r="S2461" s="366" t="s">
        <v>8075</v>
      </c>
      <c r="T2461" s="330"/>
      <c r="U2461" s="330"/>
      <c r="V2461" s="331"/>
      <c r="W2461" s="332"/>
      <c r="X2461" s="333"/>
      <c r="Y2461" s="33" t="s">
        <v>8076</v>
      </c>
      <c r="Z2461" s="258"/>
      <c r="AA2461" s="333"/>
      <c r="AB2461" s="258">
        <v>6.0</v>
      </c>
      <c r="AC2461" s="333"/>
      <c r="AD2461" s="329"/>
      <c r="AE2461" s="331"/>
      <c r="AF2461" s="336"/>
      <c r="AG2461" s="337" t="str">
        <f>IFS(LEN(AF2461)=17,LOWER('2-Building'!$B$4 &amp; "-" &amp; C2461), AF2461="N/A", "N/A", LEN(AF2461)=0,"")</f>
        <v/>
      </c>
      <c r="AH2461" s="333"/>
      <c r="AI2461" s="333"/>
      <c r="AJ2461" s="333"/>
      <c r="AK2461" s="333"/>
      <c r="AL2461" s="333"/>
      <c r="AM2461" s="338"/>
      <c r="AN2461" s="333"/>
      <c r="AO2461" s="333"/>
      <c r="AP2461" s="333"/>
      <c r="AQ2461" s="333"/>
      <c r="AR2461" s="333"/>
      <c r="AS2461" s="333"/>
      <c r="AT2461" s="333"/>
      <c r="AU2461" s="329"/>
      <c r="AV2461" s="341"/>
      <c r="AW2461" s="269" t="s">
        <v>2311</v>
      </c>
      <c r="AX2461" s="269" t="s">
        <v>2869</v>
      </c>
      <c r="AY2461" s="270" t="s">
        <v>695</v>
      </c>
      <c r="AZ2461" s="173" t="s">
        <v>8075</v>
      </c>
      <c r="BA2461" s="265">
        <v>10.0</v>
      </c>
      <c r="BB2461" s="174" t="s">
        <v>245</v>
      </c>
      <c r="BC2461" s="341"/>
      <c r="BD2461" s="308" t="s">
        <v>1844</v>
      </c>
      <c r="BE2461" s="364"/>
      <c r="BF2461" s="274" t="str">
        <f>IFERROR(__xludf.DUMMYFUNCTION("LOWER(Regexreplace(to_text(E2461),""[^A-Za-z0-9]"","""")&amp;""_""&amp;Regexreplace(to_text(F2461),""[^A-Za-z0-9]"",""""))"),"schneider_pm2200")</f>
        <v>schneider_pm2200</v>
      </c>
      <c r="BG2461" s="275" t="str">
        <f>IFERROR(__xludf.DUMMYFUNCTION("upper(Regexreplace(to_text(E2461),""[^A-Za-z0-9]"","""")&amp;""-""&amp;Regexreplace(to_text(F2461),""[^A-Za-z0-9]"",""""))"),"SCHNEIDER-PM2200")</f>
        <v>SCHNEIDER-PM2200</v>
      </c>
    </row>
    <row r="2462" ht="30.0" customHeight="1">
      <c r="A2462" s="258">
        <v>2454.0</v>
      </c>
      <c r="B2462" s="328" t="s">
        <v>670</v>
      </c>
      <c r="C2462" s="257" t="s">
        <v>8165</v>
      </c>
      <c r="D2462" s="173" t="s">
        <v>8165</v>
      </c>
      <c r="E2462" s="174" t="s">
        <v>8070</v>
      </c>
      <c r="F2462" s="173" t="s">
        <v>8071</v>
      </c>
      <c r="G2462" s="328" t="s">
        <v>673</v>
      </c>
      <c r="H2462" s="328" t="s">
        <v>2863</v>
      </c>
      <c r="I2462" s="258" t="s">
        <v>8072</v>
      </c>
      <c r="J2462" s="259" t="s">
        <v>1088</v>
      </c>
      <c r="K2462" s="260" t="s">
        <v>8155</v>
      </c>
      <c r="L2462" s="365"/>
      <c r="M2462" s="329"/>
      <c r="N2462" s="173" t="s">
        <v>679</v>
      </c>
      <c r="O2462" s="173" t="s">
        <v>225</v>
      </c>
      <c r="P2462" s="262" t="str">
        <f t="shared" si="1"/>
        <v>IN-BLR-ANANTA-EM-44_5</v>
      </c>
      <c r="Q2462" s="173" t="s">
        <v>8166</v>
      </c>
      <c r="R2462" s="328" t="str">
        <f>IFS(C2462="","",C2462="n/a","N/A",LEN(C2462),Concatenate("{",char(34),"asset",char(34),":{",char(34),"guid",char(34),":",char(34),Q2462,char(34),",",char(34),"site",char(34),":",char(34),LOWER('2-Building'!$B$4),char(34),",",char(34),"name",char(34),":",char(34),LOWER(C2462),char(34),"}}"))</f>
        <v>{"asset":{"guid":"uuid://5e0726ef-f9d0-4de6-8ace-c5efc8f1d568","site":"in-blr-ananta","name":"em-44"}}</v>
      </c>
      <c r="S2462" s="366" t="s">
        <v>8075</v>
      </c>
      <c r="T2462" s="330"/>
      <c r="U2462" s="330"/>
      <c r="V2462" s="331"/>
      <c r="W2462" s="332"/>
      <c r="X2462" s="333"/>
      <c r="Y2462" s="33" t="s">
        <v>8076</v>
      </c>
      <c r="Z2462" s="258"/>
      <c r="AA2462" s="333"/>
      <c r="AB2462" s="258">
        <v>7.0</v>
      </c>
      <c r="AC2462" s="333"/>
      <c r="AD2462" s="329"/>
      <c r="AE2462" s="331"/>
      <c r="AF2462" s="336"/>
      <c r="AG2462" s="337" t="str">
        <f>IFS(LEN(AF2462)=17,LOWER('2-Building'!$B$4 &amp; "-" &amp; C2462), AF2462="N/A", "N/A", LEN(AF2462)=0,"")</f>
        <v/>
      </c>
      <c r="AH2462" s="333"/>
      <c r="AI2462" s="333"/>
      <c r="AJ2462" s="333"/>
      <c r="AK2462" s="333"/>
      <c r="AL2462" s="333"/>
      <c r="AM2462" s="338"/>
      <c r="AN2462" s="333"/>
      <c r="AO2462" s="333"/>
      <c r="AP2462" s="333"/>
      <c r="AQ2462" s="333"/>
      <c r="AR2462" s="333"/>
      <c r="AS2462" s="333"/>
      <c r="AT2462" s="333"/>
      <c r="AU2462" s="329"/>
      <c r="AV2462" s="341"/>
      <c r="AW2462" s="269" t="s">
        <v>2311</v>
      </c>
      <c r="AX2462" s="269" t="s">
        <v>2869</v>
      </c>
      <c r="AY2462" s="270" t="s">
        <v>695</v>
      </c>
      <c r="AZ2462" s="173" t="s">
        <v>8075</v>
      </c>
      <c r="BA2462" s="265">
        <v>10.0</v>
      </c>
      <c r="BB2462" s="174" t="s">
        <v>245</v>
      </c>
      <c r="BC2462" s="341"/>
      <c r="BD2462" s="308" t="s">
        <v>1844</v>
      </c>
      <c r="BE2462" s="364"/>
      <c r="BF2462" s="274" t="str">
        <f>IFERROR(__xludf.DUMMYFUNCTION("LOWER(Regexreplace(to_text(E2462),""[^A-Za-z0-9]"","""")&amp;""_""&amp;Regexreplace(to_text(F2462),""[^A-Za-z0-9]"",""""))"),"schneider_pm2200")</f>
        <v>schneider_pm2200</v>
      </c>
      <c r="BG2462" s="275" t="str">
        <f>IFERROR(__xludf.DUMMYFUNCTION("upper(Regexreplace(to_text(E2462),""[^A-Za-z0-9]"","""")&amp;""-""&amp;Regexreplace(to_text(F2462),""[^A-Za-z0-9]"",""""))"),"SCHNEIDER-PM2200")</f>
        <v>SCHNEIDER-PM2200</v>
      </c>
    </row>
    <row r="2463" ht="30.0" customHeight="1">
      <c r="A2463" s="173">
        <v>2455.0</v>
      </c>
      <c r="B2463" s="328" t="s">
        <v>670</v>
      </c>
      <c r="C2463" s="257" t="s">
        <v>8167</v>
      </c>
      <c r="D2463" s="173" t="s">
        <v>8167</v>
      </c>
      <c r="E2463" s="174" t="s">
        <v>8070</v>
      </c>
      <c r="F2463" s="173" t="s">
        <v>8071</v>
      </c>
      <c r="G2463" s="328" t="s">
        <v>673</v>
      </c>
      <c r="H2463" s="328" t="s">
        <v>2863</v>
      </c>
      <c r="I2463" s="258" t="s">
        <v>8072</v>
      </c>
      <c r="J2463" s="259" t="s">
        <v>1088</v>
      </c>
      <c r="K2463" s="260" t="s">
        <v>8155</v>
      </c>
      <c r="L2463" s="365"/>
      <c r="M2463" s="329"/>
      <c r="N2463" s="173" t="s">
        <v>679</v>
      </c>
      <c r="O2463" s="173" t="s">
        <v>225</v>
      </c>
      <c r="P2463" s="262" t="str">
        <f t="shared" si="1"/>
        <v>IN-BLR-ANANTA-EM-45_5</v>
      </c>
      <c r="Q2463" s="173" t="s">
        <v>8168</v>
      </c>
      <c r="R2463" s="328" t="str">
        <f>IFS(C2463="","",C2463="n/a","N/A",LEN(C2463),Concatenate("{",char(34),"asset",char(34),":{",char(34),"guid",char(34),":",char(34),Q2463,char(34),",",char(34),"site",char(34),":",char(34),LOWER('2-Building'!$B$4),char(34),",",char(34),"name",char(34),":",char(34),LOWER(C2463),char(34),"}}"))</f>
        <v>{"asset":{"guid":"uuid://3a6db8ef-b1d0-46c9-bd3b-a80f97af7378","site":"in-blr-ananta","name":"em-45"}}</v>
      </c>
      <c r="S2463" s="366" t="s">
        <v>8075</v>
      </c>
      <c r="T2463" s="330"/>
      <c r="U2463" s="330"/>
      <c r="V2463" s="331"/>
      <c r="W2463" s="332"/>
      <c r="X2463" s="333"/>
      <c r="Y2463" s="33" t="s">
        <v>8076</v>
      </c>
      <c r="Z2463" s="258"/>
      <c r="AA2463" s="333"/>
      <c r="AB2463" s="258">
        <v>8.0</v>
      </c>
      <c r="AC2463" s="333"/>
      <c r="AD2463" s="329"/>
      <c r="AE2463" s="331"/>
      <c r="AF2463" s="336"/>
      <c r="AG2463" s="337" t="str">
        <f>IFS(LEN(AF2463)=17,LOWER('2-Building'!$B$4 &amp; "-" &amp; C2463), AF2463="N/A", "N/A", LEN(AF2463)=0,"")</f>
        <v/>
      </c>
      <c r="AH2463" s="333"/>
      <c r="AI2463" s="333"/>
      <c r="AJ2463" s="333"/>
      <c r="AK2463" s="333"/>
      <c r="AL2463" s="333"/>
      <c r="AM2463" s="338"/>
      <c r="AN2463" s="333"/>
      <c r="AO2463" s="333"/>
      <c r="AP2463" s="333"/>
      <c r="AQ2463" s="333"/>
      <c r="AR2463" s="333"/>
      <c r="AS2463" s="333"/>
      <c r="AT2463" s="333"/>
      <c r="AU2463" s="329"/>
      <c r="AV2463" s="341"/>
      <c r="AW2463" s="269" t="s">
        <v>2311</v>
      </c>
      <c r="AX2463" s="269" t="s">
        <v>2869</v>
      </c>
      <c r="AY2463" s="270" t="s">
        <v>695</v>
      </c>
      <c r="AZ2463" s="173" t="s">
        <v>8075</v>
      </c>
      <c r="BA2463" s="265">
        <v>10.0</v>
      </c>
      <c r="BB2463" s="174" t="s">
        <v>245</v>
      </c>
      <c r="BC2463" s="341"/>
      <c r="BD2463" s="308" t="s">
        <v>1844</v>
      </c>
      <c r="BE2463" s="364"/>
      <c r="BF2463" s="274" t="str">
        <f>IFERROR(__xludf.DUMMYFUNCTION("LOWER(Regexreplace(to_text(E2463),""[^A-Za-z0-9]"","""")&amp;""_""&amp;Regexreplace(to_text(F2463),""[^A-Za-z0-9]"",""""))"),"schneider_pm2200")</f>
        <v>schneider_pm2200</v>
      </c>
      <c r="BG2463" s="275" t="str">
        <f>IFERROR(__xludf.DUMMYFUNCTION("upper(Regexreplace(to_text(E2463),""[^A-Za-z0-9]"","""")&amp;""-""&amp;Regexreplace(to_text(F2463),""[^A-Za-z0-9]"",""""))"),"SCHNEIDER-PM2200")</f>
        <v>SCHNEIDER-PM2200</v>
      </c>
    </row>
    <row r="2464" ht="30.0" customHeight="1">
      <c r="A2464" s="258">
        <v>2456.0</v>
      </c>
      <c r="B2464" s="328" t="s">
        <v>670</v>
      </c>
      <c r="C2464" s="257" t="s">
        <v>8169</v>
      </c>
      <c r="D2464" s="173" t="s">
        <v>8169</v>
      </c>
      <c r="E2464" s="174" t="s">
        <v>8070</v>
      </c>
      <c r="F2464" s="173" t="s">
        <v>8071</v>
      </c>
      <c r="G2464" s="328" t="s">
        <v>673</v>
      </c>
      <c r="H2464" s="328" t="s">
        <v>2863</v>
      </c>
      <c r="I2464" s="258" t="s">
        <v>8072</v>
      </c>
      <c r="J2464" s="259" t="s">
        <v>1088</v>
      </c>
      <c r="K2464" s="260" t="s">
        <v>8155</v>
      </c>
      <c r="L2464" s="365"/>
      <c r="M2464" s="329"/>
      <c r="N2464" s="173" t="s">
        <v>679</v>
      </c>
      <c r="O2464" s="173" t="s">
        <v>225</v>
      </c>
      <c r="P2464" s="262" t="str">
        <f t="shared" si="1"/>
        <v>IN-BLR-ANANTA-EM-46_5</v>
      </c>
      <c r="Q2464" s="173" t="s">
        <v>8170</v>
      </c>
      <c r="R2464" s="328" t="str">
        <f>IFS(C2464="","",C2464="n/a","N/A",LEN(C2464),Concatenate("{",char(34),"asset",char(34),":{",char(34),"guid",char(34),":",char(34),Q2464,char(34),",",char(34),"site",char(34),":",char(34),LOWER('2-Building'!$B$4),char(34),",",char(34),"name",char(34),":",char(34),LOWER(C2464),char(34),"}}"))</f>
        <v>{"asset":{"guid":"uuid://5aec6711-a8ec-4f98-9fe5-85311a2a7073","site":"in-blr-ananta","name":"em-46"}}</v>
      </c>
      <c r="S2464" s="366" t="s">
        <v>8075</v>
      </c>
      <c r="T2464" s="330"/>
      <c r="U2464" s="330"/>
      <c r="V2464" s="331"/>
      <c r="W2464" s="332"/>
      <c r="X2464" s="333"/>
      <c r="Y2464" s="33" t="s">
        <v>8076</v>
      </c>
      <c r="Z2464" s="258"/>
      <c r="AA2464" s="333"/>
      <c r="AB2464" s="258">
        <v>2.0</v>
      </c>
      <c r="AC2464" s="333"/>
      <c r="AD2464" s="329"/>
      <c r="AE2464" s="331"/>
      <c r="AF2464" s="336"/>
      <c r="AG2464" s="337" t="str">
        <f>IFS(LEN(AF2464)=17,LOWER('2-Building'!$B$4 &amp; "-" &amp; C2464), AF2464="N/A", "N/A", LEN(AF2464)=0,"")</f>
        <v/>
      </c>
      <c r="AH2464" s="333"/>
      <c r="AI2464" s="333"/>
      <c r="AJ2464" s="333"/>
      <c r="AK2464" s="333"/>
      <c r="AL2464" s="333"/>
      <c r="AM2464" s="338"/>
      <c r="AN2464" s="333"/>
      <c r="AO2464" s="333"/>
      <c r="AP2464" s="333"/>
      <c r="AQ2464" s="333"/>
      <c r="AR2464" s="333"/>
      <c r="AS2464" s="333"/>
      <c r="AT2464" s="333"/>
      <c r="AU2464" s="329"/>
      <c r="AV2464" s="341"/>
      <c r="AW2464" s="269" t="s">
        <v>2311</v>
      </c>
      <c r="AX2464" s="269" t="s">
        <v>2869</v>
      </c>
      <c r="AY2464" s="270" t="s">
        <v>695</v>
      </c>
      <c r="AZ2464" s="173" t="s">
        <v>8075</v>
      </c>
      <c r="BA2464" s="265">
        <v>10.0</v>
      </c>
      <c r="BB2464" s="174" t="s">
        <v>245</v>
      </c>
      <c r="BC2464" s="341"/>
      <c r="BD2464" s="308" t="s">
        <v>1844</v>
      </c>
      <c r="BE2464" s="364"/>
      <c r="BF2464" s="274" t="str">
        <f>IFERROR(__xludf.DUMMYFUNCTION("LOWER(Regexreplace(to_text(E2464),""[^A-Za-z0-9]"","""")&amp;""_""&amp;Regexreplace(to_text(F2464),""[^A-Za-z0-9]"",""""))"),"schneider_pm2200")</f>
        <v>schneider_pm2200</v>
      </c>
      <c r="BG2464" s="275" t="str">
        <f>IFERROR(__xludf.DUMMYFUNCTION("upper(Regexreplace(to_text(E2464),""[^A-Za-z0-9]"","""")&amp;""-""&amp;Regexreplace(to_text(F2464),""[^A-Za-z0-9]"",""""))"),"SCHNEIDER-PM2200")</f>
        <v>SCHNEIDER-PM2200</v>
      </c>
    </row>
    <row r="2465" ht="30.0" customHeight="1">
      <c r="A2465" s="173">
        <v>2457.0</v>
      </c>
      <c r="B2465" s="328" t="s">
        <v>670</v>
      </c>
      <c r="C2465" s="257" t="s">
        <v>8171</v>
      </c>
      <c r="D2465" s="173" t="s">
        <v>8171</v>
      </c>
      <c r="E2465" s="174" t="s">
        <v>8070</v>
      </c>
      <c r="F2465" s="173" t="s">
        <v>8071</v>
      </c>
      <c r="G2465" s="328" t="s">
        <v>673</v>
      </c>
      <c r="H2465" s="328" t="s">
        <v>2863</v>
      </c>
      <c r="I2465" s="258" t="s">
        <v>8072</v>
      </c>
      <c r="J2465" s="259" t="s">
        <v>1088</v>
      </c>
      <c r="K2465" s="260" t="s">
        <v>8155</v>
      </c>
      <c r="L2465" s="365"/>
      <c r="M2465" s="329"/>
      <c r="N2465" s="173" t="s">
        <v>679</v>
      </c>
      <c r="O2465" s="173" t="s">
        <v>225</v>
      </c>
      <c r="P2465" s="262" t="str">
        <f t="shared" si="1"/>
        <v>IN-BLR-ANANTA-EM-47_5</v>
      </c>
      <c r="Q2465" s="173" t="s">
        <v>8172</v>
      </c>
      <c r="R2465" s="328" t="str">
        <f>IFS(C2465="","",C2465="n/a","N/A",LEN(C2465),Concatenate("{",char(34),"asset",char(34),":{",char(34),"guid",char(34),":",char(34),Q2465,char(34),",",char(34),"site",char(34),":",char(34),LOWER('2-Building'!$B$4),char(34),",",char(34),"name",char(34),":",char(34),LOWER(C2465),char(34),"}}"))</f>
        <v>{"asset":{"guid":"uuid://f5106620-4c57-461f-8072-44cafc358740","site":"in-blr-ananta","name":"em-47"}}</v>
      </c>
      <c r="S2465" s="366" t="s">
        <v>8075</v>
      </c>
      <c r="T2465" s="330"/>
      <c r="U2465" s="330"/>
      <c r="V2465" s="331"/>
      <c r="W2465" s="332"/>
      <c r="X2465" s="333"/>
      <c r="Y2465" s="33" t="s">
        <v>8076</v>
      </c>
      <c r="Z2465" s="258"/>
      <c r="AA2465" s="333"/>
      <c r="AB2465" s="258">
        <v>3.0</v>
      </c>
      <c r="AC2465" s="333"/>
      <c r="AD2465" s="329"/>
      <c r="AE2465" s="331"/>
      <c r="AF2465" s="336"/>
      <c r="AG2465" s="337" t="str">
        <f>IFS(LEN(AF2465)=17,LOWER('2-Building'!$B$4 &amp; "-" &amp; C2465), AF2465="N/A", "N/A", LEN(AF2465)=0,"")</f>
        <v/>
      </c>
      <c r="AH2465" s="333"/>
      <c r="AI2465" s="333"/>
      <c r="AJ2465" s="333"/>
      <c r="AK2465" s="333"/>
      <c r="AL2465" s="333"/>
      <c r="AM2465" s="338"/>
      <c r="AN2465" s="333"/>
      <c r="AO2465" s="333"/>
      <c r="AP2465" s="333"/>
      <c r="AQ2465" s="333"/>
      <c r="AR2465" s="333"/>
      <c r="AS2465" s="333"/>
      <c r="AT2465" s="333"/>
      <c r="AU2465" s="329"/>
      <c r="AV2465" s="341"/>
      <c r="AW2465" s="269" t="s">
        <v>2311</v>
      </c>
      <c r="AX2465" s="269" t="s">
        <v>2869</v>
      </c>
      <c r="AY2465" s="270" t="s">
        <v>695</v>
      </c>
      <c r="AZ2465" s="173" t="s">
        <v>8075</v>
      </c>
      <c r="BA2465" s="265">
        <v>10.0</v>
      </c>
      <c r="BB2465" s="174" t="s">
        <v>245</v>
      </c>
      <c r="BC2465" s="341"/>
      <c r="BD2465" s="308" t="s">
        <v>1844</v>
      </c>
      <c r="BE2465" s="364"/>
      <c r="BF2465" s="274" t="str">
        <f>IFERROR(__xludf.DUMMYFUNCTION("LOWER(Regexreplace(to_text(E2465),""[^A-Za-z0-9]"","""")&amp;""_""&amp;Regexreplace(to_text(F2465),""[^A-Za-z0-9]"",""""))"),"schneider_pm2200")</f>
        <v>schneider_pm2200</v>
      </c>
      <c r="BG2465" s="275" t="str">
        <f>IFERROR(__xludf.DUMMYFUNCTION("upper(Regexreplace(to_text(E2465),""[^A-Za-z0-9]"","""")&amp;""-""&amp;Regexreplace(to_text(F2465),""[^A-Za-z0-9]"",""""))"),"SCHNEIDER-PM2200")</f>
        <v>SCHNEIDER-PM2200</v>
      </c>
    </row>
    <row r="2466" ht="30.0" customHeight="1">
      <c r="A2466" s="258">
        <v>2458.0</v>
      </c>
      <c r="B2466" s="328" t="s">
        <v>670</v>
      </c>
      <c r="C2466" s="257" t="s">
        <v>8173</v>
      </c>
      <c r="D2466" s="173" t="s">
        <v>8173</v>
      </c>
      <c r="E2466" s="174" t="s">
        <v>8070</v>
      </c>
      <c r="F2466" s="173" t="s">
        <v>8071</v>
      </c>
      <c r="G2466" s="328" t="s">
        <v>673</v>
      </c>
      <c r="H2466" s="328" t="s">
        <v>2863</v>
      </c>
      <c r="I2466" s="258" t="s">
        <v>8072</v>
      </c>
      <c r="J2466" s="259" t="s">
        <v>1088</v>
      </c>
      <c r="K2466" s="260" t="s">
        <v>8155</v>
      </c>
      <c r="L2466" s="365"/>
      <c r="M2466" s="329"/>
      <c r="N2466" s="173" t="s">
        <v>679</v>
      </c>
      <c r="O2466" s="173" t="s">
        <v>225</v>
      </c>
      <c r="P2466" s="262" t="str">
        <f t="shared" si="1"/>
        <v>IN-BLR-ANANTA-EM-48_5</v>
      </c>
      <c r="Q2466" s="173" t="s">
        <v>8174</v>
      </c>
      <c r="R2466" s="328" t="str">
        <f>IFS(C2466="","",C2466="n/a","N/A",LEN(C2466),Concatenate("{",char(34),"asset",char(34),":{",char(34),"guid",char(34),":",char(34),Q2466,char(34),",",char(34),"site",char(34),":",char(34),LOWER('2-Building'!$B$4),char(34),",",char(34),"name",char(34),":",char(34),LOWER(C2466),char(34),"}}"))</f>
        <v>{"asset":{"guid":"uuid://897fdda2-75da-48f0-95d8-e28c379db008","site":"in-blr-ananta","name":"em-48"}}</v>
      </c>
      <c r="S2466" s="366" t="s">
        <v>8075</v>
      </c>
      <c r="T2466" s="330"/>
      <c r="U2466" s="330"/>
      <c r="V2466" s="331"/>
      <c r="W2466" s="332"/>
      <c r="X2466" s="333"/>
      <c r="Y2466" s="33" t="s">
        <v>8076</v>
      </c>
      <c r="Z2466" s="258"/>
      <c r="AA2466" s="333"/>
      <c r="AB2466" s="258">
        <v>4.0</v>
      </c>
      <c r="AC2466" s="333"/>
      <c r="AD2466" s="329"/>
      <c r="AE2466" s="331"/>
      <c r="AF2466" s="336"/>
      <c r="AG2466" s="337" t="str">
        <f>IFS(LEN(AF2466)=17,LOWER('2-Building'!$B$4 &amp; "-" &amp; C2466), AF2466="N/A", "N/A", LEN(AF2466)=0,"")</f>
        <v/>
      </c>
      <c r="AH2466" s="333"/>
      <c r="AI2466" s="333"/>
      <c r="AJ2466" s="333"/>
      <c r="AK2466" s="333"/>
      <c r="AL2466" s="333"/>
      <c r="AM2466" s="338"/>
      <c r="AN2466" s="333"/>
      <c r="AO2466" s="333"/>
      <c r="AP2466" s="333"/>
      <c r="AQ2466" s="333"/>
      <c r="AR2466" s="333"/>
      <c r="AS2466" s="333"/>
      <c r="AT2466" s="333"/>
      <c r="AU2466" s="329"/>
      <c r="AV2466" s="341"/>
      <c r="AW2466" s="269" t="s">
        <v>2311</v>
      </c>
      <c r="AX2466" s="269" t="s">
        <v>2869</v>
      </c>
      <c r="AY2466" s="270" t="s">
        <v>695</v>
      </c>
      <c r="AZ2466" s="173" t="s">
        <v>8075</v>
      </c>
      <c r="BA2466" s="265">
        <v>10.0</v>
      </c>
      <c r="BB2466" s="174" t="s">
        <v>245</v>
      </c>
      <c r="BC2466" s="341"/>
      <c r="BD2466" s="308" t="s">
        <v>1844</v>
      </c>
      <c r="BE2466" s="364"/>
      <c r="BF2466" s="274" t="str">
        <f>IFERROR(__xludf.DUMMYFUNCTION("LOWER(Regexreplace(to_text(E2466),""[^A-Za-z0-9]"","""")&amp;""_""&amp;Regexreplace(to_text(F2466),""[^A-Za-z0-9]"",""""))"),"schneider_pm2200")</f>
        <v>schneider_pm2200</v>
      </c>
      <c r="BG2466" s="275" t="str">
        <f>IFERROR(__xludf.DUMMYFUNCTION("upper(Regexreplace(to_text(E2466),""[^A-Za-z0-9]"","""")&amp;""-""&amp;Regexreplace(to_text(F2466),""[^A-Za-z0-9]"",""""))"),"SCHNEIDER-PM2200")</f>
        <v>SCHNEIDER-PM2200</v>
      </c>
    </row>
    <row r="2467" ht="30.0" customHeight="1">
      <c r="A2467" s="173">
        <v>2459.0</v>
      </c>
      <c r="B2467" s="328" t="s">
        <v>670</v>
      </c>
      <c r="C2467" s="257" t="s">
        <v>8175</v>
      </c>
      <c r="D2467" s="173" t="s">
        <v>8175</v>
      </c>
      <c r="E2467" s="174" t="s">
        <v>8070</v>
      </c>
      <c r="F2467" s="173" t="s">
        <v>8071</v>
      </c>
      <c r="G2467" s="328" t="s">
        <v>673</v>
      </c>
      <c r="H2467" s="328" t="s">
        <v>2863</v>
      </c>
      <c r="I2467" s="258" t="s">
        <v>8072</v>
      </c>
      <c r="J2467" s="259" t="s">
        <v>1088</v>
      </c>
      <c r="K2467" s="260" t="s">
        <v>8155</v>
      </c>
      <c r="L2467" s="365"/>
      <c r="M2467" s="329"/>
      <c r="N2467" s="173" t="s">
        <v>679</v>
      </c>
      <c r="O2467" s="173" t="s">
        <v>225</v>
      </c>
      <c r="P2467" s="262" t="str">
        <f t="shared" si="1"/>
        <v>IN-BLR-ANANTA-EM-49_5</v>
      </c>
      <c r="Q2467" s="173" t="s">
        <v>8176</v>
      </c>
      <c r="R2467" s="328" t="str">
        <f>IFS(C2467="","",C2467="n/a","N/A",LEN(C2467),Concatenate("{",char(34),"asset",char(34),":{",char(34),"guid",char(34),":",char(34),Q2467,char(34),",",char(34),"site",char(34),":",char(34),LOWER('2-Building'!$B$4),char(34),",",char(34),"name",char(34),":",char(34),LOWER(C2467),char(34),"}}"))</f>
        <v>{"asset":{"guid":"uuid://edf2f013-e93f-4998-9b63-9ab0461f9c86","site":"in-blr-ananta","name":"em-49"}}</v>
      </c>
      <c r="S2467" s="366" t="s">
        <v>8075</v>
      </c>
      <c r="T2467" s="330"/>
      <c r="U2467" s="330"/>
      <c r="V2467" s="331"/>
      <c r="W2467" s="332"/>
      <c r="X2467" s="333"/>
      <c r="Y2467" s="33" t="s">
        <v>8076</v>
      </c>
      <c r="Z2467" s="258"/>
      <c r="AA2467" s="333"/>
      <c r="AB2467" s="258">
        <v>5.0</v>
      </c>
      <c r="AC2467" s="333"/>
      <c r="AD2467" s="329"/>
      <c r="AE2467" s="331"/>
      <c r="AF2467" s="336"/>
      <c r="AG2467" s="337" t="str">
        <f>IFS(LEN(AF2467)=17,LOWER('2-Building'!$B$4 &amp; "-" &amp; C2467), AF2467="N/A", "N/A", LEN(AF2467)=0,"")</f>
        <v/>
      </c>
      <c r="AH2467" s="333"/>
      <c r="AI2467" s="333"/>
      <c r="AJ2467" s="333"/>
      <c r="AK2467" s="333"/>
      <c r="AL2467" s="333"/>
      <c r="AM2467" s="338"/>
      <c r="AN2467" s="333"/>
      <c r="AO2467" s="333"/>
      <c r="AP2467" s="333"/>
      <c r="AQ2467" s="333"/>
      <c r="AR2467" s="333"/>
      <c r="AS2467" s="333"/>
      <c r="AT2467" s="333"/>
      <c r="AU2467" s="329"/>
      <c r="AV2467" s="341"/>
      <c r="AW2467" s="269" t="s">
        <v>2311</v>
      </c>
      <c r="AX2467" s="269" t="s">
        <v>2869</v>
      </c>
      <c r="AY2467" s="270" t="s">
        <v>695</v>
      </c>
      <c r="AZ2467" s="173" t="s">
        <v>8075</v>
      </c>
      <c r="BA2467" s="265">
        <v>10.0</v>
      </c>
      <c r="BB2467" s="174" t="s">
        <v>245</v>
      </c>
      <c r="BC2467" s="341"/>
      <c r="BD2467" s="308" t="s">
        <v>1844</v>
      </c>
      <c r="BE2467" s="364"/>
      <c r="BF2467" s="274" t="str">
        <f>IFERROR(__xludf.DUMMYFUNCTION("LOWER(Regexreplace(to_text(E2467),""[^A-Za-z0-9]"","""")&amp;""_""&amp;Regexreplace(to_text(F2467),""[^A-Za-z0-9]"",""""))"),"schneider_pm2200")</f>
        <v>schneider_pm2200</v>
      </c>
      <c r="BG2467" s="275" t="str">
        <f>IFERROR(__xludf.DUMMYFUNCTION("upper(Regexreplace(to_text(E2467),""[^A-Za-z0-9]"","""")&amp;""-""&amp;Regexreplace(to_text(F2467),""[^A-Za-z0-9]"",""""))"),"SCHNEIDER-PM2200")</f>
        <v>SCHNEIDER-PM2200</v>
      </c>
    </row>
    <row r="2468" ht="30.0" customHeight="1">
      <c r="A2468" s="258">
        <v>2460.0</v>
      </c>
      <c r="B2468" s="328" t="s">
        <v>670</v>
      </c>
      <c r="C2468" s="257" t="s">
        <v>8177</v>
      </c>
      <c r="D2468" s="173" t="s">
        <v>8177</v>
      </c>
      <c r="E2468" s="174" t="s">
        <v>8070</v>
      </c>
      <c r="F2468" s="173" t="s">
        <v>8071</v>
      </c>
      <c r="G2468" s="328" t="s">
        <v>673</v>
      </c>
      <c r="H2468" s="328" t="s">
        <v>2863</v>
      </c>
      <c r="I2468" s="258" t="s">
        <v>8072</v>
      </c>
      <c r="J2468" s="259" t="s">
        <v>1088</v>
      </c>
      <c r="K2468" s="260" t="s">
        <v>8155</v>
      </c>
      <c r="L2468" s="365"/>
      <c r="M2468" s="329"/>
      <c r="N2468" s="173" t="s">
        <v>679</v>
      </c>
      <c r="O2468" s="173" t="s">
        <v>225</v>
      </c>
      <c r="P2468" s="262" t="str">
        <f t="shared" si="1"/>
        <v>IN-BLR-ANANTA-EM-50_5</v>
      </c>
      <c r="Q2468" s="173" t="s">
        <v>8178</v>
      </c>
      <c r="R2468" s="328" t="str">
        <f>IFS(C2468="","",C2468="n/a","N/A",LEN(C2468),Concatenate("{",char(34),"asset",char(34),":{",char(34),"guid",char(34),":",char(34),Q2468,char(34),",",char(34),"site",char(34),":",char(34),LOWER('2-Building'!$B$4),char(34),",",char(34),"name",char(34),":",char(34),LOWER(C2468),char(34),"}}"))</f>
        <v>{"asset":{"guid":"uuid://8425ca0d-1b9d-42dd-a6b5-215a7a77f9bc","site":"in-blr-ananta","name":"em-50"}}</v>
      </c>
      <c r="S2468" s="366" t="s">
        <v>8075</v>
      </c>
      <c r="T2468" s="330"/>
      <c r="U2468" s="330"/>
      <c r="V2468" s="331"/>
      <c r="W2468" s="332"/>
      <c r="X2468" s="333"/>
      <c r="Y2468" s="33" t="s">
        <v>8076</v>
      </c>
      <c r="Z2468" s="368"/>
      <c r="AA2468" s="333"/>
      <c r="AB2468" s="258">
        <v>6.0</v>
      </c>
      <c r="AC2468" s="333"/>
      <c r="AD2468" s="329"/>
      <c r="AE2468" s="331"/>
      <c r="AF2468" s="336"/>
      <c r="AG2468" s="337" t="str">
        <f>IFS(LEN(AF2468)=17,LOWER('2-Building'!$B$4 &amp; "-" &amp; C2468), AF2468="N/A", "N/A", LEN(AF2468)=0,"")</f>
        <v/>
      </c>
      <c r="AH2468" s="333"/>
      <c r="AI2468" s="333"/>
      <c r="AJ2468" s="333"/>
      <c r="AK2468" s="333"/>
      <c r="AL2468" s="333"/>
      <c r="AM2468" s="338"/>
      <c r="AN2468" s="333"/>
      <c r="AO2468" s="333"/>
      <c r="AP2468" s="333"/>
      <c r="AQ2468" s="333"/>
      <c r="AR2468" s="333"/>
      <c r="AS2468" s="333"/>
      <c r="AT2468" s="333"/>
      <c r="AU2468" s="329"/>
      <c r="AV2468" s="341"/>
      <c r="AW2468" s="269" t="s">
        <v>2311</v>
      </c>
      <c r="AX2468" s="269" t="s">
        <v>2869</v>
      </c>
      <c r="AY2468" s="270" t="s">
        <v>695</v>
      </c>
      <c r="AZ2468" s="173" t="s">
        <v>8075</v>
      </c>
      <c r="BA2468" s="265">
        <v>10.0</v>
      </c>
      <c r="BB2468" s="174" t="s">
        <v>245</v>
      </c>
      <c r="BC2468" s="341"/>
      <c r="BD2468" s="308" t="s">
        <v>1844</v>
      </c>
      <c r="BE2468" s="364"/>
      <c r="BF2468" s="274" t="str">
        <f>IFERROR(__xludf.DUMMYFUNCTION("LOWER(Regexreplace(to_text(E2468),""[^A-Za-z0-9]"","""")&amp;""_""&amp;Regexreplace(to_text(F2468),""[^A-Za-z0-9]"",""""))"),"schneider_pm2200")</f>
        <v>schneider_pm2200</v>
      </c>
      <c r="BG2468" s="275" t="str">
        <f>IFERROR(__xludf.DUMMYFUNCTION("upper(Regexreplace(to_text(E2468),""[^A-Za-z0-9]"","""")&amp;""-""&amp;Regexreplace(to_text(F2468),""[^A-Za-z0-9]"",""""))"),"SCHNEIDER-PM2200")</f>
        <v>SCHNEIDER-PM2200</v>
      </c>
    </row>
    <row r="2469" ht="30.0" customHeight="1">
      <c r="A2469" s="173">
        <v>2461.0</v>
      </c>
      <c r="B2469" s="328" t="s">
        <v>670</v>
      </c>
      <c r="C2469" s="257" t="s">
        <v>8179</v>
      </c>
      <c r="D2469" s="173" t="s">
        <v>8179</v>
      </c>
      <c r="E2469" s="174" t="s">
        <v>8070</v>
      </c>
      <c r="F2469" s="173" t="s">
        <v>8071</v>
      </c>
      <c r="G2469" s="328" t="s">
        <v>673</v>
      </c>
      <c r="H2469" s="328" t="s">
        <v>2863</v>
      </c>
      <c r="I2469" s="258" t="s">
        <v>8072</v>
      </c>
      <c r="J2469" s="259" t="s">
        <v>1088</v>
      </c>
      <c r="K2469" s="260" t="s">
        <v>8155</v>
      </c>
      <c r="L2469" s="365"/>
      <c r="M2469" s="329"/>
      <c r="N2469" s="173" t="s">
        <v>679</v>
      </c>
      <c r="O2469" s="173" t="s">
        <v>225</v>
      </c>
      <c r="P2469" s="262" t="str">
        <f t="shared" si="1"/>
        <v>IN-BLR-ANANTA-EM-51_5</v>
      </c>
      <c r="Q2469" s="173" t="s">
        <v>8180</v>
      </c>
      <c r="R2469" s="328" t="str">
        <f>IFS(C2469="","",C2469="n/a","N/A",LEN(C2469),Concatenate("{",char(34),"asset",char(34),":{",char(34),"guid",char(34),":",char(34),Q2469,char(34),",",char(34),"site",char(34),":",char(34),LOWER('2-Building'!$B$4),char(34),",",char(34),"name",char(34),":",char(34),LOWER(C2469),char(34),"}}"))</f>
        <v>{"asset":{"guid":"uuid://6eda6c01-affb-474a-bd97-e6a2a9dd504a","site":"in-blr-ananta","name":"em-51"}}</v>
      </c>
      <c r="S2469" s="366" t="s">
        <v>8075</v>
      </c>
      <c r="T2469" s="330"/>
      <c r="U2469" s="330"/>
      <c r="V2469" s="331"/>
      <c r="W2469" s="332"/>
      <c r="X2469" s="333"/>
      <c r="Y2469" s="33" t="s">
        <v>8076</v>
      </c>
      <c r="Z2469" s="368"/>
      <c r="AA2469" s="333"/>
      <c r="AB2469" s="258">
        <v>7.0</v>
      </c>
      <c r="AC2469" s="333"/>
      <c r="AD2469" s="329"/>
      <c r="AE2469" s="331"/>
      <c r="AF2469" s="336"/>
      <c r="AG2469" s="337" t="str">
        <f>IFS(LEN(AF2469)=17,LOWER('2-Building'!$B$4 &amp; "-" &amp; C2469), AF2469="N/A", "N/A", LEN(AF2469)=0,"")</f>
        <v/>
      </c>
      <c r="AH2469" s="333"/>
      <c r="AI2469" s="333"/>
      <c r="AJ2469" s="333"/>
      <c r="AK2469" s="333"/>
      <c r="AL2469" s="333"/>
      <c r="AM2469" s="338"/>
      <c r="AN2469" s="333"/>
      <c r="AO2469" s="333"/>
      <c r="AP2469" s="333"/>
      <c r="AQ2469" s="333"/>
      <c r="AR2469" s="333"/>
      <c r="AS2469" s="333"/>
      <c r="AT2469" s="333"/>
      <c r="AU2469" s="329"/>
      <c r="AV2469" s="341"/>
      <c r="AW2469" s="269" t="s">
        <v>2311</v>
      </c>
      <c r="AX2469" s="269" t="s">
        <v>2869</v>
      </c>
      <c r="AY2469" s="270" t="s">
        <v>695</v>
      </c>
      <c r="AZ2469" s="173" t="s">
        <v>8075</v>
      </c>
      <c r="BA2469" s="265">
        <v>10.0</v>
      </c>
      <c r="BB2469" s="174" t="s">
        <v>245</v>
      </c>
      <c r="BC2469" s="341"/>
      <c r="BD2469" s="308" t="s">
        <v>1844</v>
      </c>
      <c r="BE2469" s="364"/>
      <c r="BF2469" s="274" t="str">
        <f>IFERROR(__xludf.DUMMYFUNCTION("LOWER(Regexreplace(to_text(E2469),""[^A-Za-z0-9]"","""")&amp;""_""&amp;Regexreplace(to_text(F2469),""[^A-Za-z0-9]"",""""))"),"schneider_pm2200")</f>
        <v>schneider_pm2200</v>
      </c>
      <c r="BG2469" s="275" t="str">
        <f>IFERROR(__xludf.DUMMYFUNCTION("upper(Regexreplace(to_text(E2469),""[^A-Za-z0-9]"","""")&amp;""-""&amp;Regexreplace(to_text(F2469),""[^A-Za-z0-9]"",""""))"),"SCHNEIDER-PM2200")</f>
        <v>SCHNEIDER-PM2200</v>
      </c>
    </row>
    <row r="2470" ht="30.0" customHeight="1">
      <c r="A2470" s="258">
        <v>2462.0</v>
      </c>
      <c r="B2470" s="328" t="s">
        <v>670</v>
      </c>
      <c r="C2470" s="257" t="s">
        <v>8181</v>
      </c>
      <c r="D2470" s="173" t="s">
        <v>8181</v>
      </c>
      <c r="E2470" s="174" t="s">
        <v>8070</v>
      </c>
      <c r="F2470" s="173" t="s">
        <v>8071</v>
      </c>
      <c r="G2470" s="328" t="s">
        <v>673</v>
      </c>
      <c r="H2470" s="328" t="s">
        <v>2863</v>
      </c>
      <c r="I2470" s="258" t="s">
        <v>8072</v>
      </c>
      <c r="J2470" s="259" t="s">
        <v>1088</v>
      </c>
      <c r="K2470" s="260" t="s">
        <v>8155</v>
      </c>
      <c r="L2470" s="365"/>
      <c r="M2470" s="329"/>
      <c r="N2470" s="173" t="s">
        <v>679</v>
      </c>
      <c r="O2470" s="173" t="s">
        <v>225</v>
      </c>
      <c r="P2470" s="262" t="str">
        <f t="shared" si="1"/>
        <v>IN-BLR-ANANTA-EM-52_5</v>
      </c>
      <c r="Q2470" s="173" t="s">
        <v>8182</v>
      </c>
      <c r="R2470" s="328" t="str">
        <f>IFS(C2470="","",C2470="n/a","N/A",LEN(C2470),Concatenate("{",char(34),"asset",char(34),":{",char(34),"guid",char(34),":",char(34),Q2470,char(34),",",char(34),"site",char(34),":",char(34),LOWER('2-Building'!$B$4),char(34),",",char(34),"name",char(34),":",char(34),LOWER(C2470),char(34),"}}"))</f>
        <v>{"asset":{"guid":"uuid://1ffeaf15-e27e-4fcc-9304-a07f0f7d9b33","site":"in-blr-ananta","name":"em-52"}}</v>
      </c>
      <c r="S2470" s="366" t="s">
        <v>8075</v>
      </c>
      <c r="T2470" s="330"/>
      <c r="U2470" s="330"/>
      <c r="V2470" s="331"/>
      <c r="W2470" s="332"/>
      <c r="X2470" s="333"/>
      <c r="Y2470" s="33" t="s">
        <v>8076</v>
      </c>
      <c r="Z2470" s="368"/>
      <c r="AA2470" s="333"/>
      <c r="AB2470" s="258">
        <v>8.0</v>
      </c>
      <c r="AC2470" s="333"/>
      <c r="AD2470" s="329"/>
      <c r="AE2470" s="331"/>
      <c r="AF2470" s="336"/>
      <c r="AG2470" s="337" t="str">
        <f>IFS(LEN(AF2470)=17,LOWER('2-Building'!$B$4 &amp; "-" &amp; C2470), AF2470="N/A", "N/A", LEN(AF2470)=0,"")</f>
        <v/>
      </c>
      <c r="AH2470" s="333"/>
      <c r="AI2470" s="333"/>
      <c r="AJ2470" s="333"/>
      <c r="AK2470" s="333"/>
      <c r="AL2470" s="333"/>
      <c r="AM2470" s="338"/>
      <c r="AN2470" s="333"/>
      <c r="AO2470" s="333"/>
      <c r="AP2470" s="333"/>
      <c r="AQ2470" s="333"/>
      <c r="AR2470" s="333"/>
      <c r="AS2470" s="333"/>
      <c r="AT2470" s="333"/>
      <c r="AU2470" s="329"/>
      <c r="AV2470" s="341"/>
      <c r="AW2470" s="269" t="s">
        <v>2311</v>
      </c>
      <c r="AX2470" s="269" t="s">
        <v>2869</v>
      </c>
      <c r="AY2470" s="270" t="s">
        <v>695</v>
      </c>
      <c r="AZ2470" s="173" t="s">
        <v>8075</v>
      </c>
      <c r="BA2470" s="265">
        <v>10.0</v>
      </c>
      <c r="BB2470" s="174" t="s">
        <v>245</v>
      </c>
      <c r="BC2470" s="341"/>
      <c r="BD2470" s="308" t="s">
        <v>1844</v>
      </c>
      <c r="BE2470" s="364"/>
      <c r="BF2470" s="274" t="str">
        <f>IFERROR(__xludf.DUMMYFUNCTION("LOWER(Regexreplace(to_text(E2470),""[^A-Za-z0-9]"","""")&amp;""_""&amp;Regexreplace(to_text(F2470),""[^A-Za-z0-9]"",""""))"),"schneider_pm2200")</f>
        <v>schneider_pm2200</v>
      </c>
      <c r="BG2470" s="275" t="str">
        <f>IFERROR(__xludf.DUMMYFUNCTION("upper(Regexreplace(to_text(E2470),""[^A-Za-z0-9]"","""")&amp;""-""&amp;Regexreplace(to_text(F2470),""[^A-Za-z0-9]"",""""))"),"SCHNEIDER-PM2200")</f>
        <v>SCHNEIDER-PM2200</v>
      </c>
    </row>
    <row r="2471" ht="30.0" customHeight="1">
      <c r="A2471" s="173">
        <v>2463.0</v>
      </c>
      <c r="B2471" s="328" t="s">
        <v>670</v>
      </c>
      <c r="C2471" s="257" t="s">
        <v>8183</v>
      </c>
      <c r="D2471" s="173" t="s">
        <v>8183</v>
      </c>
      <c r="E2471" s="174" t="s">
        <v>8070</v>
      </c>
      <c r="F2471" s="173" t="s">
        <v>8071</v>
      </c>
      <c r="G2471" s="328" t="s">
        <v>673</v>
      </c>
      <c r="H2471" s="328" t="s">
        <v>2863</v>
      </c>
      <c r="I2471" s="258" t="s">
        <v>8072</v>
      </c>
      <c r="J2471" s="259" t="s">
        <v>1088</v>
      </c>
      <c r="K2471" s="260" t="s">
        <v>8155</v>
      </c>
      <c r="L2471" s="365"/>
      <c r="M2471" s="329"/>
      <c r="N2471" s="173" t="s">
        <v>679</v>
      </c>
      <c r="O2471" s="173" t="s">
        <v>225</v>
      </c>
      <c r="P2471" s="262" t="str">
        <f t="shared" si="1"/>
        <v>IN-BLR-ANANTA-EM-53_5</v>
      </c>
      <c r="Q2471" s="173" t="s">
        <v>8184</v>
      </c>
      <c r="R2471" s="328" t="str">
        <f>IFS(C2471="","",C2471="n/a","N/A",LEN(C2471),Concatenate("{",char(34),"asset",char(34),":{",char(34),"guid",char(34),":",char(34),Q2471,char(34),",",char(34),"site",char(34),":",char(34),LOWER('2-Building'!$B$4),char(34),",",char(34),"name",char(34),":",char(34),LOWER(C2471),char(34),"}}"))</f>
        <v>{"asset":{"guid":"uuid://b84d561b-0f5c-4494-a568-80ee97d359e7","site":"in-blr-ananta","name":"em-53"}}</v>
      </c>
      <c r="S2471" s="366" t="s">
        <v>8075</v>
      </c>
      <c r="T2471" s="330"/>
      <c r="U2471" s="330"/>
      <c r="V2471" s="331"/>
      <c r="W2471" s="332"/>
      <c r="X2471" s="333"/>
      <c r="Y2471" s="33" t="s">
        <v>8076</v>
      </c>
      <c r="Z2471" s="368"/>
      <c r="AA2471" s="333"/>
      <c r="AB2471" s="258">
        <v>9.0</v>
      </c>
      <c r="AC2471" s="333"/>
      <c r="AD2471" s="329"/>
      <c r="AE2471" s="331"/>
      <c r="AF2471" s="336"/>
      <c r="AG2471" s="337" t="str">
        <f>IFS(LEN(AF2471)=17,LOWER('2-Building'!$B$4 &amp; "-" &amp; C2471), AF2471="N/A", "N/A", LEN(AF2471)=0,"")</f>
        <v/>
      </c>
      <c r="AH2471" s="333"/>
      <c r="AI2471" s="333"/>
      <c r="AJ2471" s="333"/>
      <c r="AK2471" s="333"/>
      <c r="AL2471" s="333"/>
      <c r="AM2471" s="338"/>
      <c r="AN2471" s="333"/>
      <c r="AO2471" s="333"/>
      <c r="AP2471" s="333"/>
      <c r="AQ2471" s="333"/>
      <c r="AR2471" s="333"/>
      <c r="AS2471" s="333"/>
      <c r="AT2471" s="333"/>
      <c r="AU2471" s="329"/>
      <c r="AV2471" s="341"/>
      <c r="AW2471" s="269" t="s">
        <v>2311</v>
      </c>
      <c r="AX2471" s="269" t="s">
        <v>2869</v>
      </c>
      <c r="AY2471" s="270" t="s">
        <v>695</v>
      </c>
      <c r="AZ2471" s="173" t="s">
        <v>8075</v>
      </c>
      <c r="BA2471" s="265">
        <v>10.0</v>
      </c>
      <c r="BB2471" s="174" t="s">
        <v>245</v>
      </c>
      <c r="BC2471" s="341"/>
      <c r="BD2471" s="308" t="s">
        <v>1844</v>
      </c>
      <c r="BE2471" s="364"/>
      <c r="BF2471" s="274" t="str">
        <f>IFERROR(__xludf.DUMMYFUNCTION("LOWER(Regexreplace(to_text(E2471),""[^A-Za-z0-9]"","""")&amp;""_""&amp;Regexreplace(to_text(F2471),""[^A-Za-z0-9]"",""""))"),"schneider_pm2200")</f>
        <v>schneider_pm2200</v>
      </c>
      <c r="BG2471" s="275" t="str">
        <f>IFERROR(__xludf.DUMMYFUNCTION("upper(Regexreplace(to_text(E2471),""[^A-Za-z0-9]"","""")&amp;""-""&amp;Regexreplace(to_text(F2471),""[^A-Za-z0-9]"",""""))"),"SCHNEIDER-PM2200")</f>
        <v>SCHNEIDER-PM2200</v>
      </c>
    </row>
    <row r="2472" ht="30.0" customHeight="1">
      <c r="A2472" s="258">
        <v>2464.0</v>
      </c>
      <c r="B2472" s="328" t="s">
        <v>670</v>
      </c>
      <c r="C2472" s="257" t="s">
        <v>8185</v>
      </c>
      <c r="D2472" s="173" t="s">
        <v>8185</v>
      </c>
      <c r="E2472" s="174" t="s">
        <v>8070</v>
      </c>
      <c r="F2472" s="173" t="s">
        <v>8071</v>
      </c>
      <c r="G2472" s="328" t="s">
        <v>673</v>
      </c>
      <c r="H2472" s="328" t="s">
        <v>2863</v>
      </c>
      <c r="I2472" s="258" t="s">
        <v>8072</v>
      </c>
      <c r="J2472" s="259" t="s">
        <v>1088</v>
      </c>
      <c r="K2472" s="260" t="s">
        <v>8155</v>
      </c>
      <c r="L2472" s="365"/>
      <c r="M2472" s="329"/>
      <c r="N2472" s="173" t="s">
        <v>679</v>
      </c>
      <c r="O2472" s="173" t="s">
        <v>225</v>
      </c>
      <c r="P2472" s="262" t="str">
        <f t="shared" si="1"/>
        <v>IN-BLR-ANANTA-EM-54_5</v>
      </c>
      <c r="Q2472" s="173" t="s">
        <v>8186</v>
      </c>
      <c r="R2472" s="328" t="str">
        <f>IFS(C2472="","",C2472="n/a","N/A",LEN(C2472),Concatenate("{",char(34),"asset",char(34),":{",char(34),"guid",char(34),":",char(34),Q2472,char(34),",",char(34),"site",char(34),":",char(34),LOWER('2-Building'!$B$4),char(34),",",char(34),"name",char(34),":",char(34),LOWER(C2472),char(34),"}}"))</f>
        <v>{"asset":{"guid":"uuid://7c2f7d6f-1ec3-47c9-86a0-abc1f4dc06ad","site":"in-blr-ananta","name":"em-54"}}</v>
      </c>
      <c r="S2472" s="366" t="s">
        <v>8075</v>
      </c>
      <c r="T2472" s="330"/>
      <c r="U2472" s="330"/>
      <c r="V2472" s="331"/>
      <c r="W2472" s="332"/>
      <c r="X2472" s="333"/>
      <c r="Y2472" s="33" t="s">
        <v>8076</v>
      </c>
      <c r="Z2472" s="368"/>
      <c r="AA2472" s="333"/>
      <c r="AB2472" s="258">
        <v>10.0</v>
      </c>
      <c r="AC2472" s="333"/>
      <c r="AD2472" s="329"/>
      <c r="AE2472" s="331"/>
      <c r="AF2472" s="336"/>
      <c r="AG2472" s="337" t="str">
        <f>IFS(LEN(AF2472)=17,LOWER('2-Building'!$B$4 &amp; "-" &amp; C2472), AF2472="N/A", "N/A", LEN(AF2472)=0,"")</f>
        <v/>
      </c>
      <c r="AH2472" s="333"/>
      <c r="AI2472" s="333"/>
      <c r="AJ2472" s="333"/>
      <c r="AK2472" s="333"/>
      <c r="AL2472" s="333"/>
      <c r="AM2472" s="338"/>
      <c r="AN2472" s="333"/>
      <c r="AO2472" s="333"/>
      <c r="AP2472" s="333"/>
      <c r="AQ2472" s="333"/>
      <c r="AR2472" s="333"/>
      <c r="AS2472" s="333"/>
      <c r="AT2472" s="333"/>
      <c r="AU2472" s="329"/>
      <c r="AV2472" s="341"/>
      <c r="AW2472" s="269" t="s">
        <v>2311</v>
      </c>
      <c r="AX2472" s="269" t="s">
        <v>2869</v>
      </c>
      <c r="AY2472" s="270" t="s">
        <v>695</v>
      </c>
      <c r="AZ2472" s="173" t="s">
        <v>8075</v>
      </c>
      <c r="BA2472" s="265">
        <v>10.0</v>
      </c>
      <c r="BB2472" s="174" t="s">
        <v>245</v>
      </c>
      <c r="BC2472" s="341"/>
      <c r="BD2472" s="308" t="s">
        <v>1844</v>
      </c>
      <c r="BE2472" s="364"/>
      <c r="BF2472" s="274" t="str">
        <f>IFERROR(__xludf.DUMMYFUNCTION("LOWER(Regexreplace(to_text(E2472),""[^A-Za-z0-9]"","""")&amp;""_""&amp;Regexreplace(to_text(F2472),""[^A-Za-z0-9]"",""""))"),"schneider_pm2200")</f>
        <v>schneider_pm2200</v>
      </c>
      <c r="BG2472" s="275" t="str">
        <f>IFERROR(__xludf.DUMMYFUNCTION("upper(Regexreplace(to_text(E2472),""[^A-Za-z0-9]"","""")&amp;""-""&amp;Regexreplace(to_text(F2472),""[^A-Za-z0-9]"",""""))"),"SCHNEIDER-PM2200")</f>
        <v>SCHNEIDER-PM2200</v>
      </c>
    </row>
    <row r="2473" ht="30.0" customHeight="1">
      <c r="A2473" s="173">
        <v>2465.0</v>
      </c>
      <c r="B2473" s="328" t="s">
        <v>670</v>
      </c>
      <c r="C2473" s="257" t="s">
        <v>8187</v>
      </c>
      <c r="D2473" s="173" t="s">
        <v>8187</v>
      </c>
      <c r="E2473" s="174" t="s">
        <v>8070</v>
      </c>
      <c r="F2473" s="173" t="s">
        <v>8071</v>
      </c>
      <c r="G2473" s="328" t="s">
        <v>673</v>
      </c>
      <c r="H2473" s="328" t="s">
        <v>2863</v>
      </c>
      <c r="I2473" s="258" t="s">
        <v>8072</v>
      </c>
      <c r="J2473" s="259" t="s">
        <v>1088</v>
      </c>
      <c r="K2473" s="260" t="s">
        <v>8155</v>
      </c>
      <c r="L2473" s="365"/>
      <c r="M2473" s="329"/>
      <c r="N2473" s="173" t="s">
        <v>679</v>
      </c>
      <c r="O2473" s="173" t="s">
        <v>225</v>
      </c>
      <c r="P2473" s="262" t="str">
        <f t="shared" si="1"/>
        <v>IN-BLR-ANANTA-EM-55_5</v>
      </c>
      <c r="Q2473" s="173" t="s">
        <v>8188</v>
      </c>
      <c r="R2473" s="328" t="str">
        <f>IFS(C2473="","",C2473="n/a","N/A",LEN(C2473),Concatenate("{",char(34),"asset",char(34),":{",char(34),"guid",char(34),":",char(34),Q2473,char(34),",",char(34),"site",char(34),":",char(34),LOWER('2-Building'!$B$4),char(34),",",char(34),"name",char(34),":",char(34),LOWER(C2473),char(34),"}}"))</f>
        <v>{"asset":{"guid":"uuid://8166dcef-c22f-4803-a8e9-46911c9497c0","site":"in-blr-ananta","name":"em-55"}}</v>
      </c>
      <c r="S2473" s="366" t="s">
        <v>8075</v>
      </c>
      <c r="T2473" s="330"/>
      <c r="U2473" s="330"/>
      <c r="V2473" s="331"/>
      <c r="W2473" s="332"/>
      <c r="X2473" s="333"/>
      <c r="Y2473" s="33" t="s">
        <v>8076</v>
      </c>
      <c r="Z2473" s="368"/>
      <c r="AA2473" s="333"/>
      <c r="AB2473" s="258">
        <v>11.0</v>
      </c>
      <c r="AC2473" s="333"/>
      <c r="AD2473" s="329"/>
      <c r="AE2473" s="331"/>
      <c r="AF2473" s="336"/>
      <c r="AG2473" s="337" t="str">
        <f>IFS(LEN(AF2473)=17,LOWER('2-Building'!$B$4 &amp; "-" &amp; C2473), AF2473="N/A", "N/A", LEN(AF2473)=0,"")</f>
        <v/>
      </c>
      <c r="AH2473" s="333"/>
      <c r="AI2473" s="333"/>
      <c r="AJ2473" s="333"/>
      <c r="AK2473" s="333"/>
      <c r="AL2473" s="333"/>
      <c r="AM2473" s="338"/>
      <c r="AN2473" s="333"/>
      <c r="AO2473" s="333"/>
      <c r="AP2473" s="333"/>
      <c r="AQ2473" s="333"/>
      <c r="AR2473" s="333"/>
      <c r="AS2473" s="333"/>
      <c r="AT2473" s="333"/>
      <c r="AU2473" s="329"/>
      <c r="AV2473" s="341"/>
      <c r="AW2473" s="269" t="s">
        <v>2311</v>
      </c>
      <c r="AX2473" s="269" t="s">
        <v>2869</v>
      </c>
      <c r="AY2473" s="270" t="s">
        <v>695</v>
      </c>
      <c r="AZ2473" s="173" t="s">
        <v>8075</v>
      </c>
      <c r="BA2473" s="265">
        <v>10.0</v>
      </c>
      <c r="BB2473" s="174" t="s">
        <v>245</v>
      </c>
      <c r="BC2473" s="341"/>
      <c r="BD2473" s="308" t="s">
        <v>1844</v>
      </c>
      <c r="BE2473" s="364"/>
      <c r="BF2473" s="274" t="str">
        <f>IFERROR(__xludf.DUMMYFUNCTION("LOWER(Regexreplace(to_text(E2473),""[^A-Za-z0-9]"","""")&amp;""_""&amp;Regexreplace(to_text(F2473),""[^A-Za-z0-9]"",""""))"),"schneider_pm2200")</f>
        <v>schneider_pm2200</v>
      </c>
      <c r="BG2473" s="275" t="str">
        <f>IFERROR(__xludf.DUMMYFUNCTION("upper(Regexreplace(to_text(E2473),""[^A-Za-z0-9]"","""")&amp;""-""&amp;Regexreplace(to_text(F2473),""[^A-Za-z0-9]"",""""))"),"SCHNEIDER-PM2200")</f>
        <v>SCHNEIDER-PM2200</v>
      </c>
    </row>
    <row r="2474" ht="30.0" customHeight="1">
      <c r="A2474" s="258">
        <v>2466.0</v>
      </c>
      <c r="B2474" s="328" t="s">
        <v>670</v>
      </c>
      <c r="C2474" s="257" t="s">
        <v>8189</v>
      </c>
      <c r="D2474" s="173" t="s">
        <v>8189</v>
      </c>
      <c r="E2474" s="174" t="s">
        <v>8070</v>
      </c>
      <c r="F2474" s="173" t="s">
        <v>8071</v>
      </c>
      <c r="G2474" s="328" t="s">
        <v>673</v>
      </c>
      <c r="H2474" s="328" t="s">
        <v>2863</v>
      </c>
      <c r="I2474" s="258" t="s">
        <v>8072</v>
      </c>
      <c r="J2474" s="259" t="s">
        <v>1088</v>
      </c>
      <c r="K2474" s="260" t="s">
        <v>8155</v>
      </c>
      <c r="L2474" s="365"/>
      <c r="M2474" s="329"/>
      <c r="N2474" s="173" t="s">
        <v>679</v>
      </c>
      <c r="O2474" s="173" t="s">
        <v>225</v>
      </c>
      <c r="P2474" s="262" t="str">
        <f t="shared" si="1"/>
        <v>IN-BLR-ANANTA-EM-56_5</v>
      </c>
      <c r="Q2474" s="173" t="s">
        <v>8190</v>
      </c>
      <c r="R2474" s="328" t="str">
        <f>IFS(C2474="","",C2474="n/a","N/A",LEN(C2474),Concatenate("{",char(34),"asset",char(34),":{",char(34),"guid",char(34),":",char(34),Q2474,char(34),",",char(34),"site",char(34),":",char(34),LOWER('2-Building'!$B$4),char(34),",",char(34),"name",char(34),":",char(34),LOWER(C2474),char(34),"}}"))</f>
        <v>{"asset":{"guid":"uuid://d7161478-c3a2-498e-a874-b5c0e0fdcae6","site":"in-blr-ananta","name":"em-56"}}</v>
      </c>
      <c r="S2474" s="366" t="s">
        <v>8075</v>
      </c>
      <c r="T2474" s="330"/>
      <c r="U2474" s="330"/>
      <c r="V2474" s="331"/>
      <c r="W2474" s="332"/>
      <c r="X2474" s="333"/>
      <c r="Y2474" s="33" t="s">
        <v>8076</v>
      </c>
      <c r="Z2474" s="368"/>
      <c r="AA2474" s="333"/>
      <c r="AB2474" s="258">
        <v>12.0</v>
      </c>
      <c r="AC2474" s="333"/>
      <c r="AD2474" s="329"/>
      <c r="AE2474" s="331"/>
      <c r="AF2474" s="336"/>
      <c r="AG2474" s="337" t="str">
        <f>IFS(LEN(AF2474)=17,LOWER('2-Building'!$B$4 &amp; "-" &amp; C2474), AF2474="N/A", "N/A", LEN(AF2474)=0,"")</f>
        <v/>
      </c>
      <c r="AH2474" s="333"/>
      <c r="AI2474" s="333"/>
      <c r="AJ2474" s="333"/>
      <c r="AK2474" s="333"/>
      <c r="AL2474" s="333"/>
      <c r="AM2474" s="338"/>
      <c r="AN2474" s="333"/>
      <c r="AO2474" s="333"/>
      <c r="AP2474" s="333"/>
      <c r="AQ2474" s="333"/>
      <c r="AR2474" s="333"/>
      <c r="AS2474" s="333"/>
      <c r="AT2474" s="333"/>
      <c r="AU2474" s="329"/>
      <c r="AV2474" s="341"/>
      <c r="AW2474" s="269" t="s">
        <v>2311</v>
      </c>
      <c r="AX2474" s="269" t="s">
        <v>2869</v>
      </c>
      <c r="AY2474" s="270" t="s">
        <v>695</v>
      </c>
      <c r="AZ2474" s="173" t="s">
        <v>8075</v>
      </c>
      <c r="BA2474" s="265">
        <v>10.0</v>
      </c>
      <c r="BB2474" s="174" t="s">
        <v>245</v>
      </c>
      <c r="BC2474" s="341"/>
      <c r="BD2474" s="308" t="s">
        <v>1844</v>
      </c>
      <c r="BE2474" s="364"/>
      <c r="BF2474" s="274" t="str">
        <f>IFERROR(__xludf.DUMMYFUNCTION("LOWER(Regexreplace(to_text(E2474),""[^A-Za-z0-9]"","""")&amp;""_""&amp;Regexreplace(to_text(F2474),""[^A-Za-z0-9]"",""""))"),"schneider_pm2200")</f>
        <v>schneider_pm2200</v>
      </c>
      <c r="BG2474" s="275" t="str">
        <f>IFERROR(__xludf.DUMMYFUNCTION("upper(Regexreplace(to_text(E2474),""[^A-Za-z0-9]"","""")&amp;""-""&amp;Regexreplace(to_text(F2474),""[^A-Za-z0-9]"",""""))"),"SCHNEIDER-PM2200")</f>
        <v>SCHNEIDER-PM2200</v>
      </c>
    </row>
    <row r="2475" ht="30.0" customHeight="1">
      <c r="A2475" s="173">
        <v>2467.0</v>
      </c>
      <c r="B2475" s="328" t="s">
        <v>670</v>
      </c>
      <c r="C2475" s="257" t="s">
        <v>8191</v>
      </c>
      <c r="D2475" s="173" t="s">
        <v>8191</v>
      </c>
      <c r="E2475" s="174" t="s">
        <v>8070</v>
      </c>
      <c r="F2475" s="173" t="s">
        <v>8071</v>
      </c>
      <c r="G2475" s="328" t="s">
        <v>673</v>
      </c>
      <c r="H2475" s="328" t="s">
        <v>2863</v>
      </c>
      <c r="I2475" s="258" t="s">
        <v>8072</v>
      </c>
      <c r="J2475" s="259" t="s">
        <v>1088</v>
      </c>
      <c r="K2475" s="260" t="s">
        <v>8155</v>
      </c>
      <c r="L2475" s="365"/>
      <c r="M2475" s="329"/>
      <c r="N2475" s="173" t="s">
        <v>679</v>
      </c>
      <c r="O2475" s="173" t="s">
        <v>225</v>
      </c>
      <c r="P2475" s="262" t="str">
        <f t="shared" si="1"/>
        <v>IN-BLR-ANANTA-EM-57_5</v>
      </c>
      <c r="Q2475" s="173" t="s">
        <v>8192</v>
      </c>
      <c r="R2475" s="328" t="str">
        <f>IFS(C2475="","",C2475="n/a","N/A",LEN(C2475),Concatenate("{",char(34),"asset",char(34),":{",char(34),"guid",char(34),":",char(34),Q2475,char(34),",",char(34),"site",char(34),":",char(34),LOWER('2-Building'!$B$4),char(34),",",char(34),"name",char(34),":",char(34),LOWER(C2475),char(34),"}}"))</f>
        <v>{"asset":{"guid":"uuid://05fb76f7-7fe7-4897-8f39-7c62849d6c53","site":"in-blr-ananta","name":"em-57"}}</v>
      </c>
      <c r="S2475" s="366" t="s">
        <v>8075</v>
      </c>
      <c r="T2475" s="330"/>
      <c r="U2475" s="330"/>
      <c r="V2475" s="331"/>
      <c r="W2475" s="332"/>
      <c r="X2475" s="333"/>
      <c r="Y2475" s="33" t="s">
        <v>8076</v>
      </c>
      <c r="Z2475" s="368"/>
      <c r="AA2475" s="333"/>
      <c r="AB2475" s="258">
        <v>13.0</v>
      </c>
      <c r="AC2475" s="333"/>
      <c r="AD2475" s="329"/>
      <c r="AE2475" s="331"/>
      <c r="AF2475" s="336"/>
      <c r="AG2475" s="337" t="str">
        <f>IFS(LEN(AF2475)=17,LOWER('2-Building'!$B$4 &amp; "-" &amp; C2475), AF2475="N/A", "N/A", LEN(AF2475)=0,"")</f>
        <v/>
      </c>
      <c r="AH2475" s="333"/>
      <c r="AI2475" s="333"/>
      <c r="AJ2475" s="333"/>
      <c r="AK2475" s="333"/>
      <c r="AL2475" s="333"/>
      <c r="AM2475" s="338"/>
      <c r="AN2475" s="333"/>
      <c r="AO2475" s="333"/>
      <c r="AP2475" s="333"/>
      <c r="AQ2475" s="333"/>
      <c r="AR2475" s="333"/>
      <c r="AS2475" s="333"/>
      <c r="AT2475" s="333"/>
      <c r="AU2475" s="329"/>
      <c r="AV2475" s="341"/>
      <c r="AW2475" s="269" t="s">
        <v>2311</v>
      </c>
      <c r="AX2475" s="269" t="s">
        <v>2869</v>
      </c>
      <c r="AY2475" s="270" t="s">
        <v>695</v>
      </c>
      <c r="AZ2475" s="173" t="s">
        <v>8075</v>
      </c>
      <c r="BA2475" s="265">
        <v>10.0</v>
      </c>
      <c r="BB2475" s="174" t="s">
        <v>245</v>
      </c>
      <c r="BC2475" s="341"/>
      <c r="BD2475" s="308" t="s">
        <v>1844</v>
      </c>
      <c r="BE2475" s="364"/>
      <c r="BF2475" s="274" t="str">
        <f>IFERROR(__xludf.DUMMYFUNCTION("LOWER(Regexreplace(to_text(E2475),""[^A-Za-z0-9]"","""")&amp;""_""&amp;Regexreplace(to_text(F2475),""[^A-Za-z0-9]"",""""))"),"schneider_pm2200")</f>
        <v>schneider_pm2200</v>
      </c>
      <c r="BG2475" s="275" t="str">
        <f>IFERROR(__xludf.DUMMYFUNCTION("upper(Regexreplace(to_text(E2475),""[^A-Za-z0-9]"","""")&amp;""-""&amp;Regexreplace(to_text(F2475),""[^A-Za-z0-9]"",""""))"),"SCHNEIDER-PM2200")</f>
        <v>SCHNEIDER-PM2200</v>
      </c>
    </row>
    <row r="2476" ht="30.0" customHeight="1">
      <c r="A2476" s="258">
        <v>2468.0</v>
      </c>
      <c r="B2476" s="328" t="s">
        <v>670</v>
      </c>
      <c r="C2476" s="257" t="s">
        <v>8193</v>
      </c>
      <c r="D2476" s="173" t="s">
        <v>8193</v>
      </c>
      <c r="E2476" s="174" t="s">
        <v>8070</v>
      </c>
      <c r="F2476" s="173" t="s">
        <v>8071</v>
      </c>
      <c r="G2476" s="328" t="s">
        <v>673</v>
      </c>
      <c r="H2476" s="328" t="s">
        <v>2863</v>
      </c>
      <c r="I2476" s="258" t="s">
        <v>8072</v>
      </c>
      <c r="J2476" s="259" t="s">
        <v>1088</v>
      </c>
      <c r="K2476" s="260" t="s">
        <v>8155</v>
      </c>
      <c r="L2476" s="365"/>
      <c r="M2476" s="329"/>
      <c r="N2476" s="173" t="s">
        <v>679</v>
      </c>
      <c r="O2476" s="173" t="s">
        <v>225</v>
      </c>
      <c r="P2476" s="262" t="str">
        <f t="shared" si="1"/>
        <v>IN-BLR-ANANTA-EM-58_5</v>
      </c>
      <c r="Q2476" s="173" t="s">
        <v>8194</v>
      </c>
      <c r="R2476" s="328" t="str">
        <f>IFS(C2476="","",C2476="n/a","N/A",LEN(C2476),Concatenate("{",char(34),"asset",char(34),":{",char(34),"guid",char(34),":",char(34),Q2476,char(34),",",char(34),"site",char(34),":",char(34),LOWER('2-Building'!$B$4),char(34),",",char(34),"name",char(34),":",char(34),LOWER(C2476),char(34),"}}"))</f>
        <v>{"asset":{"guid":"uuid://8416de64-69a8-4d31-b361-692e0708f553","site":"in-blr-ananta","name":"em-58"}}</v>
      </c>
      <c r="S2476" s="366" t="s">
        <v>8075</v>
      </c>
      <c r="T2476" s="330"/>
      <c r="U2476" s="330"/>
      <c r="V2476" s="331"/>
      <c r="W2476" s="332"/>
      <c r="X2476" s="333"/>
      <c r="Y2476" s="33" t="s">
        <v>8076</v>
      </c>
      <c r="Z2476" s="368"/>
      <c r="AA2476" s="333"/>
      <c r="AB2476" s="258">
        <v>14.0</v>
      </c>
      <c r="AC2476" s="333"/>
      <c r="AD2476" s="329"/>
      <c r="AE2476" s="331"/>
      <c r="AF2476" s="336"/>
      <c r="AG2476" s="337" t="str">
        <f>IFS(LEN(AF2476)=17,LOWER('2-Building'!$B$4 &amp; "-" &amp; C2476), AF2476="N/A", "N/A", LEN(AF2476)=0,"")</f>
        <v/>
      </c>
      <c r="AH2476" s="333"/>
      <c r="AI2476" s="333"/>
      <c r="AJ2476" s="333"/>
      <c r="AK2476" s="333"/>
      <c r="AL2476" s="333"/>
      <c r="AM2476" s="338"/>
      <c r="AN2476" s="333"/>
      <c r="AO2476" s="333"/>
      <c r="AP2476" s="333"/>
      <c r="AQ2476" s="333"/>
      <c r="AR2476" s="333"/>
      <c r="AS2476" s="333"/>
      <c r="AT2476" s="333"/>
      <c r="AU2476" s="329"/>
      <c r="AV2476" s="341"/>
      <c r="AW2476" s="269" t="s">
        <v>2311</v>
      </c>
      <c r="AX2476" s="269" t="s">
        <v>2869</v>
      </c>
      <c r="AY2476" s="270" t="s">
        <v>695</v>
      </c>
      <c r="AZ2476" s="173" t="s">
        <v>8075</v>
      </c>
      <c r="BA2476" s="265">
        <v>10.0</v>
      </c>
      <c r="BB2476" s="174" t="s">
        <v>245</v>
      </c>
      <c r="BC2476" s="341"/>
      <c r="BD2476" s="308" t="s">
        <v>1844</v>
      </c>
      <c r="BE2476" s="364"/>
      <c r="BF2476" s="274" t="str">
        <f>IFERROR(__xludf.DUMMYFUNCTION("LOWER(Regexreplace(to_text(E2476),""[^A-Za-z0-9]"","""")&amp;""_""&amp;Regexreplace(to_text(F2476),""[^A-Za-z0-9]"",""""))"),"schneider_pm2200")</f>
        <v>schneider_pm2200</v>
      </c>
      <c r="BG2476" s="275" t="str">
        <f>IFERROR(__xludf.DUMMYFUNCTION("upper(Regexreplace(to_text(E2476),""[^A-Za-z0-9]"","""")&amp;""-""&amp;Regexreplace(to_text(F2476),""[^A-Za-z0-9]"",""""))"),"SCHNEIDER-PM2200")</f>
        <v>SCHNEIDER-PM2200</v>
      </c>
    </row>
    <row r="2477" ht="30.0" customHeight="1">
      <c r="A2477" s="173">
        <v>2469.0</v>
      </c>
      <c r="B2477" s="328" t="s">
        <v>670</v>
      </c>
      <c r="C2477" s="257" t="s">
        <v>8195</v>
      </c>
      <c r="D2477" s="173" t="s">
        <v>8195</v>
      </c>
      <c r="E2477" s="174" t="s">
        <v>8070</v>
      </c>
      <c r="F2477" s="173" t="s">
        <v>8071</v>
      </c>
      <c r="G2477" s="328" t="s">
        <v>673</v>
      </c>
      <c r="H2477" s="328" t="s">
        <v>2863</v>
      </c>
      <c r="I2477" s="258" t="s">
        <v>8072</v>
      </c>
      <c r="J2477" s="259" t="s">
        <v>1088</v>
      </c>
      <c r="K2477" s="260" t="s">
        <v>8155</v>
      </c>
      <c r="L2477" s="365"/>
      <c r="M2477" s="329"/>
      <c r="N2477" s="173" t="s">
        <v>679</v>
      </c>
      <c r="O2477" s="173" t="s">
        <v>225</v>
      </c>
      <c r="P2477" s="262" t="str">
        <f t="shared" si="1"/>
        <v>IN-BLR-ANANTA-EM-59_5</v>
      </c>
      <c r="Q2477" s="173" t="s">
        <v>8196</v>
      </c>
      <c r="R2477" s="328" t="str">
        <f>IFS(C2477="","",C2477="n/a","N/A",LEN(C2477),Concatenate("{",char(34),"asset",char(34),":{",char(34),"guid",char(34),":",char(34),Q2477,char(34),",",char(34),"site",char(34),":",char(34),LOWER('2-Building'!$B$4),char(34),",",char(34),"name",char(34),":",char(34),LOWER(C2477),char(34),"}}"))</f>
        <v>{"asset":{"guid":"uuid://8294b6ae-e238-4354-aaa6-ec6482df81bd","site":"in-blr-ananta","name":"em-59"}}</v>
      </c>
      <c r="S2477" s="366" t="s">
        <v>8075</v>
      </c>
      <c r="T2477" s="330"/>
      <c r="U2477" s="330"/>
      <c r="V2477" s="331"/>
      <c r="W2477" s="332"/>
      <c r="X2477" s="333"/>
      <c r="Y2477" s="33" t="s">
        <v>8076</v>
      </c>
      <c r="Z2477" s="368"/>
      <c r="AA2477" s="333"/>
      <c r="AB2477" s="258">
        <v>15.0</v>
      </c>
      <c r="AC2477" s="333"/>
      <c r="AD2477" s="329"/>
      <c r="AE2477" s="331"/>
      <c r="AF2477" s="336"/>
      <c r="AG2477" s="337" t="str">
        <f>IFS(LEN(AF2477)=17,LOWER('2-Building'!$B$4 &amp; "-" &amp; C2477), AF2477="N/A", "N/A", LEN(AF2477)=0,"")</f>
        <v/>
      </c>
      <c r="AH2477" s="333"/>
      <c r="AI2477" s="333"/>
      <c r="AJ2477" s="333"/>
      <c r="AK2477" s="333"/>
      <c r="AL2477" s="333"/>
      <c r="AM2477" s="338"/>
      <c r="AN2477" s="333"/>
      <c r="AO2477" s="333"/>
      <c r="AP2477" s="333"/>
      <c r="AQ2477" s="333"/>
      <c r="AR2477" s="333"/>
      <c r="AS2477" s="333"/>
      <c r="AT2477" s="333"/>
      <c r="AU2477" s="329"/>
      <c r="AV2477" s="341"/>
      <c r="AW2477" s="269" t="s">
        <v>2311</v>
      </c>
      <c r="AX2477" s="269" t="s">
        <v>2869</v>
      </c>
      <c r="AY2477" s="270" t="s">
        <v>695</v>
      </c>
      <c r="AZ2477" s="173" t="s">
        <v>8075</v>
      </c>
      <c r="BA2477" s="265">
        <v>10.0</v>
      </c>
      <c r="BB2477" s="174" t="s">
        <v>245</v>
      </c>
      <c r="BC2477" s="341"/>
      <c r="BD2477" s="308" t="s">
        <v>1844</v>
      </c>
      <c r="BE2477" s="364"/>
      <c r="BF2477" s="274" t="str">
        <f>IFERROR(__xludf.DUMMYFUNCTION("LOWER(Regexreplace(to_text(E2477),""[^A-Za-z0-9]"","""")&amp;""_""&amp;Regexreplace(to_text(F2477),""[^A-Za-z0-9]"",""""))"),"schneider_pm2200")</f>
        <v>schneider_pm2200</v>
      </c>
      <c r="BG2477" s="275" t="str">
        <f>IFERROR(__xludf.DUMMYFUNCTION("upper(Regexreplace(to_text(E2477),""[^A-Za-z0-9]"","""")&amp;""-""&amp;Regexreplace(to_text(F2477),""[^A-Za-z0-9]"",""""))"),"SCHNEIDER-PM2200")</f>
        <v>SCHNEIDER-PM2200</v>
      </c>
    </row>
    <row r="2478" ht="30.0" customHeight="1">
      <c r="A2478" s="258">
        <v>2470.0</v>
      </c>
      <c r="B2478" s="328" t="s">
        <v>670</v>
      </c>
      <c r="C2478" s="257" t="s">
        <v>8197</v>
      </c>
      <c r="D2478" s="173" t="s">
        <v>8197</v>
      </c>
      <c r="E2478" s="174" t="s">
        <v>8070</v>
      </c>
      <c r="F2478" s="173" t="s">
        <v>8071</v>
      </c>
      <c r="G2478" s="328" t="s">
        <v>673</v>
      </c>
      <c r="H2478" s="328" t="s">
        <v>2863</v>
      </c>
      <c r="I2478" s="258" t="s">
        <v>8072</v>
      </c>
      <c r="J2478" s="259" t="s">
        <v>1088</v>
      </c>
      <c r="K2478" s="260" t="s">
        <v>8155</v>
      </c>
      <c r="L2478" s="365"/>
      <c r="M2478" s="329"/>
      <c r="N2478" s="173" t="s">
        <v>679</v>
      </c>
      <c r="O2478" s="173" t="s">
        <v>225</v>
      </c>
      <c r="P2478" s="262" t="str">
        <f t="shared" si="1"/>
        <v>IN-BLR-ANANTA-EM-60_5</v>
      </c>
      <c r="Q2478" s="173" t="s">
        <v>8198</v>
      </c>
      <c r="R2478" s="328" t="str">
        <f>IFS(C2478="","",C2478="n/a","N/A",LEN(C2478),Concatenate("{",char(34),"asset",char(34),":{",char(34),"guid",char(34),":",char(34),Q2478,char(34),",",char(34),"site",char(34),":",char(34),LOWER('2-Building'!$B$4),char(34),",",char(34),"name",char(34),":",char(34),LOWER(C2478),char(34),"}}"))</f>
        <v>{"asset":{"guid":"uuid://94cb7ca8-be7d-4bb1-8fb0-0eb8274a0c24","site":"in-blr-ananta","name":"em-60"}}</v>
      </c>
      <c r="S2478" s="366" t="s">
        <v>8075</v>
      </c>
      <c r="T2478" s="330"/>
      <c r="U2478" s="330"/>
      <c r="V2478" s="331"/>
      <c r="W2478" s="332"/>
      <c r="X2478" s="333"/>
      <c r="Y2478" s="33" t="s">
        <v>8076</v>
      </c>
      <c r="Z2478" s="368"/>
      <c r="AA2478" s="333"/>
      <c r="AB2478" s="258">
        <v>16.0</v>
      </c>
      <c r="AC2478" s="333"/>
      <c r="AD2478" s="329"/>
      <c r="AE2478" s="331"/>
      <c r="AF2478" s="336"/>
      <c r="AG2478" s="337" t="str">
        <f>IFS(LEN(AF2478)=17,LOWER('2-Building'!$B$4 &amp; "-" &amp; C2478), AF2478="N/A", "N/A", LEN(AF2478)=0,"")</f>
        <v/>
      </c>
      <c r="AH2478" s="333"/>
      <c r="AI2478" s="333"/>
      <c r="AJ2478" s="333"/>
      <c r="AK2478" s="333"/>
      <c r="AL2478" s="333"/>
      <c r="AM2478" s="338"/>
      <c r="AN2478" s="333"/>
      <c r="AO2478" s="333"/>
      <c r="AP2478" s="333"/>
      <c r="AQ2478" s="333"/>
      <c r="AR2478" s="333"/>
      <c r="AS2478" s="333"/>
      <c r="AT2478" s="333"/>
      <c r="AU2478" s="329"/>
      <c r="AV2478" s="341"/>
      <c r="AW2478" s="269" t="s">
        <v>2311</v>
      </c>
      <c r="AX2478" s="269" t="s">
        <v>2869</v>
      </c>
      <c r="AY2478" s="270" t="s">
        <v>695</v>
      </c>
      <c r="AZ2478" s="173" t="s">
        <v>8075</v>
      </c>
      <c r="BA2478" s="265">
        <v>10.0</v>
      </c>
      <c r="BB2478" s="174" t="s">
        <v>245</v>
      </c>
      <c r="BC2478" s="341"/>
      <c r="BD2478" s="308" t="s">
        <v>1844</v>
      </c>
      <c r="BE2478" s="364"/>
      <c r="BF2478" s="274" t="str">
        <f>IFERROR(__xludf.DUMMYFUNCTION("LOWER(Regexreplace(to_text(E2478),""[^A-Za-z0-9]"","""")&amp;""_""&amp;Regexreplace(to_text(F2478),""[^A-Za-z0-9]"",""""))"),"schneider_pm2200")</f>
        <v>schneider_pm2200</v>
      </c>
      <c r="BG2478" s="275" t="str">
        <f>IFERROR(__xludf.DUMMYFUNCTION("upper(Regexreplace(to_text(E2478),""[^A-Za-z0-9]"","""")&amp;""-""&amp;Regexreplace(to_text(F2478),""[^A-Za-z0-9]"",""""))"),"SCHNEIDER-PM2200")</f>
        <v>SCHNEIDER-PM2200</v>
      </c>
    </row>
    <row r="2479" ht="30.0" customHeight="1">
      <c r="A2479" s="173">
        <v>2471.0</v>
      </c>
      <c r="B2479" s="328" t="s">
        <v>670</v>
      </c>
      <c r="C2479" s="257" t="s">
        <v>8199</v>
      </c>
      <c r="D2479" s="173" t="s">
        <v>8199</v>
      </c>
      <c r="E2479" s="174" t="s">
        <v>8070</v>
      </c>
      <c r="F2479" s="173" t="s">
        <v>8071</v>
      </c>
      <c r="G2479" s="328" t="s">
        <v>673</v>
      </c>
      <c r="H2479" s="328" t="s">
        <v>2863</v>
      </c>
      <c r="I2479" s="258" t="s">
        <v>8072</v>
      </c>
      <c r="J2479" s="259" t="s">
        <v>1088</v>
      </c>
      <c r="K2479" s="260" t="s">
        <v>8155</v>
      </c>
      <c r="L2479" s="365"/>
      <c r="M2479" s="329"/>
      <c r="N2479" s="173" t="s">
        <v>679</v>
      </c>
      <c r="O2479" s="173" t="s">
        <v>225</v>
      </c>
      <c r="P2479" s="262" t="str">
        <f t="shared" si="1"/>
        <v>IN-BLR-ANANTA-EM-61_5</v>
      </c>
      <c r="Q2479" s="173" t="s">
        <v>8200</v>
      </c>
      <c r="R2479" s="328" t="str">
        <f>IFS(C2479="","",C2479="n/a","N/A",LEN(C2479),Concatenate("{",char(34),"asset",char(34),":{",char(34),"guid",char(34),":",char(34),Q2479,char(34),",",char(34),"site",char(34),":",char(34),LOWER('2-Building'!$B$4),char(34),",",char(34),"name",char(34),":",char(34),LOWER(C2479),char(34),"}}"))</f>
        <v>{"asset":{"guid":"uuid://a4b490ae-dacb-4f66-ba64-d8f69f139f2c","site":"in-blr-ananta","name":"em-61"}}</v>
      </c>
      <c r="S2479" s="366" t="s">
        <v>8075</v>
      </c>
      <c r="T2479" s="330"/>
      <c r="U2479" s="330"/>
      <c r="V2479" s="331"/>
      <c r="W2479" s="332"/>
      <c r="X2479" s="333"/>
      <c r="Y2479" s="33" t="s">
        <v>8076</v>
      </c>
      <c r="Z2479" s="368"/>
      <c r="AA2479" s="333"/>
      <c r="AB2479" s="258">
        <v>17.0</v>
      </c>
      <c r="AC2479" s="333"/>
      <c r="AD2479" s="329"/>
      <c r="AE2479" s="331"/>
      <c r="AF2479" s="336"/>
      <c r="AG2479" s="337" t="str">
        <f>IFS(LEN(AF2479)=17,LOWER('2-Building'!$B$4 &amp; "-" &amp; C2479), AF2479="N/A", "N/A", LEN(AF2479)=0,"")</f>
        <v/>
      </c>
      <c r="AH2479" s="333"/>
      <c r="AI2479" s="333"/>
      <c r="AJ2479" s="333"/>
      <c r="AK2479" s="333"/>
      <c r="AL2479" s="333"/>
      <c r="AM2479" s="338"/>
      <c r="AN2479" s="333"/>
      <c r="AO2479" s="333"/>
      <c r="AP2479" s="333"/>
      <c r="AQ2479" s="333"/>
      <c r="AR2479" s="333"/>
      <c r="AS2479" s="333"/>
      <c r="AT2479" s="333"/>
      <c r="AU2479" s="329"/>
      <c r="AV2479" s="341"/>
      <c r="AW2479" s="269" t="s">
        <v>2311</v>
      </c>
      <c r="AX2479" s="269" t="s">
        <v>2869</v>
      </c>
      <c r="AY2479" s="270" t="s">
        <v>695</v>
      </c>
      <c r="AZ2479" s="173" t="s">
        <v>8075</v>
      </c>
      <c r="BA2479" s="265">
        <v>10.0</v>
      </c>
      <c r="BB2479" s="174" t="s">
        <v>245</v>
      </c>
      <c r="BC2479" s="341"/>
      <c r="BD2479" s="308" t="s">
        <v>1844</v>
      </c>
      <c r="BE2479" s="364"/>
      <c r="BF2479" s="274" t="str">
        <f>IFERROR(__xludf.DUMMYFUNCTION("LOWER(Regexreplace(to_text(E2479),""[^A-Za-z0-9]"","""")&amp;""_""&amp;Regexreplace(to_text(F2479),""[^A-Za-z0-9]"",""""))"),"schneider_pm2200")</f>
        <v>schneider_pm2200</v>
      </c>
      <c r="BG2479" s="275" t="str">
        <f>IFERROR(__xludf.DUMMYFUNCTION("upper(Regexreplace(to_text(E2479),""[^A-Za-z0-9]"","""")&amp;""-""&amp;Regexreplace(to_text(F2479),""[^A-Za-z0-9]"",""""))"),"SCHNEIDER-PM2200")</f>
        <v>SCHNEIDER-PM2200</v>
      </c>
    </row>
    <row r="2480" ht="30.0" customHeight="1">
      <c r="A2480" s="258">
        <v>2472.0</v>
      </c>
      <c r="B2480" s="328" t="s">
        <v>670</v>
      </c>
      <c r="C2480" s="257" t="s">
        <v>8201</v>
      </c>
      <c r="D2480" s="173" t="s">
        <v>8201</v>
      </c>
      <c r="E2480" s="174" t="s">
        <v>8070</v>
      </c>
      <c r="F2480" s="173" t="s">
        <v>8071</v>
      </c>
      <c r="G2480" s="328" t="s">
        <v>673</v>
      </c>
      <c r="H2480" s="328" t="s">
        <v>2863</v>
      </c>
      <c r="I2480" s="258" t="s">
        <v>8072</v>
      </c>
      <c r="J2480" s="259" t="s">
        <v>1088</v>
      </c>
      <c r="K2480" s="260" t="s">
        <v>8155</v>
      </c>
      <c r="L2480" s="365"/>
      <c r="M2480" s="329"/>
      <c r="N2480" s="173" t="s">
        <v>679</v>
      </c>
      <c r="O2480" s="173" t="s">
        <v>225</v>
      </c>
      <c r="P2480" s="262" t="str">
        <f t="shared" si="1"/>
        <v>IN-BLR-ANANTA-EM-62_5</v>
      </c>
      <c r="Q2480" s="173" t="s">
        <v>8202</v>
      </c>
      <c r="R2480" s="328" t="str">
        <f>IFS(C2480="","",C2480="n/a","N/A",LEN(C2480),Concatenate("{",char(34),"asset",char(34),":{",char(34),"guid",char(34),":",char(34),Q2480,char(34),",",char(34),"site",char(34),":",char(34),LOWER('2-Building'!$B$4),char(34),",",char(34),"name",char(34),":",char(34),LOWER(C2480),char(34),"}}"))</f>
        <v>{"asset":{"guid":"uuid://13b5f3c6-22b1-4b25-ae3c-06d7d79986ec","site":"in-blr-ananta","name":"em-62"}}</v>
      </c>
      <c r="S2480" s="366" t="s">
        <v>8075</v>
      </c>
      <c r="T2480" s="330"/>
      <c r="U2480" s="330"/>
      <c r="V2480" s="331"/>
      <c r="W2480" s="332"/>
      <c r="X2480" s="333"/>
      <c r="Y2480" s="33" t="s">
        <v>8076</v>
      </c>
      <c r="Z2480" s="368"/>
      <c r="AA2480" s="333"/>
      <c r="AB2480" s="258">
        <v>18.0</v>
      </c>
      <c r="AC2480" s="333"/>
      <c r="AD2480" s="329"/>
      <c r="AE2480" s="331"/>
      <c r="AF2480" s="336"/>
      <c r="AG2480" s="337" t="str">
        <f>IFS(LEN(AF2480)=17,LOWER('2-Building'!$B$4 &amp; "-" &amp; C2480), AF2480="N/A", "N/A", LEN(AF2480)=0,"")</f>
        <v/>
      </c>
      <c r="AH2480" s="333"/>
      <c r="AI2480" s="333"/>
      <c r="AJ2480" s="333"/>
      <c r="AK2480" s="333"/>
      <c r="AL2480" s="333"/>
      <c r="AM2480" s="338"/>
      <c r="AN2480" s="333"/>
      <c r="AO2480" s="333"/>
      <c r="AP2480" s="333"/>
      <c r="AQ2480" s="333"/>
      <c r="AR2480" s="333"/>
      <c r="AS2480" s="333"/>
      <c r="AT2480" s="333"/>
      <c r="AU2480" s="329"/>
      <c r="AV2480" s="341"/>
      <c r="AW2480" s="269" t="s">
        <v>2311</v>
      </c>
      <c r="AX2480" s="269" t="s">
        <v>2869</v>
      </c>
      <c r="AY2480" s="270" t="s">
        <v>695</v>
      </c>
      <c r="AZ2480" s="173" t="s">
        <v>8075</v>
      </c>
      <c r="BA2480" s="265">
        <v>10.0</v>
      </c>
      <c r="BB2480" s="174" t="s">
        <v>245</v>
      </c>
      <c r="BC2480" s="341"/>
      <c r="BD2480" s="308" t="s">
        <v>1844</v>
      </c>
      <c r="BE2480" s="364"/>
      <c r="BF2480" s="274" t="str">
        <f>IFERROR(__xludf.DUMMYFUNCTION("LOWER(Regexreplace(to_text(E2480),""[^A-Za-z0-9]"","""")&amp;""_""&amp;Regexreplace(to_text(F2480),""[^A-Za-z0-9]"",""""))"),"schneider_pm2200")</f>
        <v>schneider_pm2200</v>
      </c>
      <c r="BG2480" s="275" t="str">
        <f>IFERROR(__xludf.DUMMYFUNCTION("upper(Regexreplace(to_text(E2480),""[^A-Za-z0-9]"","""")&amp;""-""&amp;Regexreplace(to_text(F2480),""[^A-Za-z0-9]"",""""))"),"SCHNEIDER-PM2200")</f>
        <v>SCHNEIDER-PM2200</v>
      </c>
    </row>
    <row r="2481" ht="30.0" customHeight="1">
      <c r="A2481" s="173">
        <v>2473.0</v>
      </c>
      <c r="B2481" s="328" t="s">
        <v>670</v>
      </c>
      <c r="C2481" s="257" t="s">
        <v>8203</v>
      </c>
      <c r="D2481" s="173" t="s">
        <v>8203</v>
      </c>
      <c r="E2481" s="174" t="s">
        <v>8070</v>
      </c>
      <c r="F2481" s="173" t="s">
        <v>8071</v>
      </c>
      <c r="G2481" s="328" t="s">
        <v>673</v>
      </c>
      <c r="H2481" s="328" t="s">
        <v>2863</v>
      </c>
      <c r="I2481" s="258" t="s">
        <v>8072</v>
      </c>
      <c r="J2481" s="259" t="s">
        <v>1088</v>
      </c>
      <c r="K2481" s="260" t="s">
        <v>8155</v>
      </c>
      <c r="L2481" s="365"/>
      <c r="M2481" s="329"/>
      <c r="N2481" s="173" t="s">
        <v>679</v>
      </c>
      <c r="O2481" s="173" t="s">
        <v>225</v>
      </c>
      <c r="P2481" s="262" t="str">
        <f t="shared" si="1"/>
        <v>IN-BLR-ANANTA-EM-63_5</v>
      </c>
      <c r="Q2481" s="173" t="s">
        <v>8204</v>
      </c>
      <c r="R2481" s="328" t="str">
        <f>IFS(C2481="","",C2481="n/a","N/A",LEN(C2481),Concatenate("{",char(34),"asset",char(34),":{",char(34),"guid",char(34),":",char(34),Q2481,char(34),",",char(34),"site",char(34),":",char(34),LOWER('2-Building'!$B$4),char(34),",",char(34),"name",char(34),":",char(34),LOWER(C2481),char(34),"}}"))</f>
        <v>{"asset":{"guid":"uuid://df2e8013-c8bb-484f-9d55-b22a494663ca","site":"in-blr-ananta","name":"em-63"}}</v>
      </c>
      <c r="S2481" s="366" t="s">
        <v>8075</v>
      </c>
      <c r="T2481" s="330"/>
      <c r="U2481" s="330"/>
      <c r="V2481" s="331"/>
      <c r="W2481" s="332"/>
      <c r="X2481" s="333"/>
      <c r="Y2481" s="33" t="s">
        <v>8076</v>
      </c>
      <c r="Z2481" s="368"/>
      <c r="AA2481" s="333"/>
      <c r="AB2481" s="258">
        <v>19.0</v>
      </c>
      <c r="AC2481" s="333"/>
      <c r="AD2481" s="329"/>
      <c r="AE2481" s="331"/>
      <c r="AF2481" s="336"/>
      <c r="AG2481" s="337" t="str">
        <f>IFS(LEN(AF2481)=17,LOWER('2-Building'!$B$4 &amp; "-" &amp; C2481), AF2481="N/A", "N/A", LEN(AF2481)=0,"")</f>
        <v/>
      </c>
      <c r="AH2481" s="333"/>
      <c r="AI2481" s="333"/>
      <c r="AJ2481" s="333"/>
      <c r="AK2481" s="333"/>
      <c r="AL2481" s="333"/>
      <c r="AM2481" s="338"/>
      <c r="AN2481" s="333"/>
      <c r="AO2481" s="333"/>
      <c r="AP2481" s="333"/>
      <c r="AQ2481" s="333"/>
      <c r="AR2481" s="333"/>
      <c r="AS2481" s="333"/>
      <c r="AT2481" s="333"/>
      <c r="AU2481" s="329"/>
      <c r="AV2481" s="341"/>
      <c r="AW2481" s="269" t="s">
        <v>2311</v>
      </c>
      <c r="AX2481" s="269" t="s">
        <v>2869</v>
      </c>
      <c r="AY2481" s="270" t="s">
        <v>695</v>
      </c>
      <c r="AZ2481" s="173" t="s">
        <v>8075</v>
      </c>
      <c r="BA2481" s="265">
        <v>10.0</v>
      </c>
      <c r="BB2481" s="174" t="s">
        <v>245</v>
      </c>
      <c r="BC2481" s="341"/>
      <c r="BD2481" s="308" t="s">
        <v>1844</v>
      </c>
      <c r="BE2481" s="364"/>
      <c r="BF2481" s="274" t="str">
        <f>IFERROR(__xludf.DUMMYFUNCTION("LOWER(Regexreplace(to_text(E2481),""[^A-Za-z0-9]"","""")&amp;""_""&amp;Regexreplace(to_text(F2481),""[^A-Za-z0-9]"",""""))"),"schneider_pm2200")</f>
        <v>schneider_pm2200</v>
      </c>
      <c r="BG2481" s="275" t="str">
        <f>IFERROR(__xludf.DUMMYFUNCTION("upper(Regexreplace(to_text(E2481),""[^A-Za-z0-9]"","""")&amp;""-""&amp;Regexreplace(to_text(F2481),""[^A-Za-z0-9]"",""""))"),"SCHNEIDER-PM2200")</f>
        <v>SCHNEIDER-PM2200</v>
      </c>
    </row>
    <row r="2482" ht="30.0" customHeight="1">
      <c r="A2482" s="258">
        <v>2474.0</v>
      </c>
      <c r="B2482" s="328" t="s">
        <v>670</v>
      </c>
      <c r="C2482" s="257" t="s">
        <v>8205</v>
      </c>
      <c r="D2482" s="173" t="s">
        <v>8205</v>
      </c>
      <c r="E2482" s="174" t="s">
        <v>8070</v>
      </c>
      <c r="F2482" s="173" t="s">
        <v>8071</v>
      </c>
      <c r="G2482" s="328" t="s">
        <v>673</v>
      </c>
      <c r="H2482" s="328" t="s">
        <v>2863</v>
      </c>
      <c r="I2482" s="258" t="s">
        <v>8072</v>
      </c>
      <c r="J2482" s="259" t="s">
        <v>1088</v>
      </c>
      <c r="K2482" s="260" t="s">
        <v>8155</v>
      </c>
      <c r="L2482" s="365"/>
      <c r="M2482" s="329"/>
      <c r="N2482" s="173" t="s">
        <v>679</v>
      </c>
      <c r="O2482" s="173" t="s">
        <v>225</v>
      </c>
      <c r="P2482" s="262" t="str">
        <f t="shared" si="1"/>
        <v>IN-BLR-ANANTA-EM-64_5</v>
      </c>
      <c r="Q2482" s="173" t="s">
        <v>8206</v>
      </c>
      <c r="R2482" s="328" t="str">
        <f>IFS(C2482="","",C2482="n/a","N/A",LEN(C2482),Concatenate("{",char(34),"asset",char(34),":{",char(34),"guid",char(34),":",char(34),Q2482,char(34),",",char(34),"site",char(34),":",char(34),LOWER('2-Building'!$B$4),char(34),",",char(34),"name",char(34),":",char(34),LOWER(C2482),char(34),"}}"))</f>
        <v>{"asset":{"guid":"uuid://582a505f-dc58-4a3d-bda3-c68e874b13ca","site":"in-blr-ananta","name":"em-64"}}</v>
      </c>
      <c r="S2482" s="366" t="s">
        <v>8075</v>
      </c>
      <c r="T2482" s="330"/>
      <c r="U2482" s="330"/>
      <c r="V2482" s="331"/>
      <c r="W2482" s="332"/>
      <c r="X2482" s="333"/>
      <c r="Y2482" s="33" t="s">
        <v>8076</v>
      </c>
      <c r="Z2482" s="368"/>
      <c r="AA2482" s="333"/>
      <c r="AB2482" s="258">
        <v>20.0</v>
      </c>
      <c r="AC2482" s="333"/>
      <c r="AD2482" s="329"/>
      <c r="AE2482" s="331"/>
      <c r="AF2482" s="336"/>
      <c r="AG2482" s="337" t="str">
        <f>IFS(LEN(AF2482)=17,LOWER('2-Building'!$B$4 &amp; "-" &amp; C2482), AF2482="N/A", "N/A", LEN(AF2482)=0,"")</f>
        <v/>
      </c>
      <c r="AH2482" s="333"/>
      <c r="AI2482" s="333"/>
      <c r="AJ2482" s="333"/>
      <c r="AK2482" s="333"/>
      <c r="AL2482" s="333"/>
      <c r="AM2482" s="338"/>
      <c r="AN2482" s="333"/>
      <c r="AO2482" s="333"/>
      <c r="AP2482" s="333"/>
      <c r="AQ2482" s="333"/>
      <c r="AR2482" s="333"/>
      <c r="AS2482" s="333"/>
      <c r="AT2482" s="333"/>
      <c r="AU2482" s="329"/>
      <c r="AV2482" s="341"/>
      <c r="AW2482" s="269" t="s">
        <v>2311</v>
      </c>
      <c r="AX2482" s="269" t="s">
        <v>2869</v>
      </c>
      <c r="AY2482" s="270" t="s">
        <v>695</v>
      </c>
      <c r="AZ2482" s="173" t="s">
        <v>8075</v>
      </c>
      <c r="BA2482" s="265">
        <v>10.0</v>
      </c>
      <c r="BB2482" s="174" t="s">
        <v>245</v>
      </c>
      <c r="BC2482" s="341"/>
      <c r="BD2482" s="308" t="s">
        <v>1844</v>
      </c>
      <c r="BE2482" s="364"/>
      <c r="BF2482" s="274" t="str">
        <f>IFERROR(__xludf.DUMMYFUNCTION("LOWER(Regexreplace(to_text(E2482),""[^A-Za-z0-9]"","""")&amp;""_""&amp;Regexreplace(to_text(F2482),""[^A-Za-z0-9]"",""""))"),"schneider_pm2200")</f>
        <v>schneider_pm2200</v>
      </c>
      <c r="BG2482" s="275" t="str">
        <f>IFERROR(__xludf.DUMMYFUNCTION("upper(Regexreplace(to_text(E2482),""[^A-Za-z0-9]"","""")&amp;""-""&amp;Regexreplace(to_text(F2482),""[^A-Za-z0-9]"",""""))"),"SCHNEIDER-PM2200")</f>
        <v>SCHNEIDER-PM2200</v>
      </c>
    </row>
    <row r="2483" ht="30.0" customHeight="1">
      <c r="A2483" s="173">
        <v>2475.0</v>
      </c>
      <c r="B2483" s="328" t="s">
        <v>670</v>
      </c>
      <c r="C2483" s="257" t="s">
        <v>8207</v>
      </c>
      <c r="D2483" s="173" t="s">
        <v>8207</v>
      </c>
      <c r="E2483" s="174" t="s">
        <v>8070</v>
      </c>
      <c r="F2483" s="173" t="s">
        <v>8071</v>
      </c>
      <c r="G2483" s="328" t="s">
        <v>673</v>
      </c>
      <c r="H2483" s="328" t="s">
        <v>2863</v>
      </c>
      <c r="I2483" s="258" t="s">
        <v>8072</v>
      </c>
      <c r="J2483" s="259" t="s">
        <v>1088</v>
      </c>
      <c r="K2483" s="260" t="s">
        <v>8155</v>
      </c>
      <c r="L2483" s="365"/>
      <c r="M2483" s="329"/>
      <c r="N2483" s="173" t="s">
        <v>679</v>
      </c>
      <c r="O2483" s="173" t="s">
        <v>225</v>
      </c>
      <c r="P2483" s="262" t="str">
        <f t="shared" si="1"/>
        <v>IN-BLR-ANANTA-EM-65_5</v>
      </c>
      <c r="Q2483" s="173" t="s">
        <v>8208</v>
      </c>
      <c r="R2483" s="328" t="str">
        <f>IFS(C2483="","",C2483="n/a","N/A",LEN(C2483),Concatenate("{",char(34),"asset",char(34),":{",char(34),"guid",char(34),":",char(34),Q2483,char(34),",",char(34),"site",char(34),":",char(34),LOWER('2-Building'!$B$4),char(34),",",char(34),"name",char(34),":",char(34),LOWER(C2483),char(34),"}}"))</f>
        <v>{"asset":{"guid":"uuid://17481a17-a7ef-474a-8f69-0ebc5496ad3d","site":"in-blr-ananta","name":"em-65"}}</v>
      </c>
      <c r="S2483" s="366" t="s">
        <v>8075</v>
      </c>
      <c r="T2483" s="330"/>
      <c r="U2483" s="330"/>
      <c r="V2483" s="331"/>
      <c r="W2483" s="332"/>
      <c r="X2483" s="333"/>
      <c r="Y2483" s="33" t="s">
        <v>8076</v>
      </c>
      <c r="Z2483" s="368"/>
      <c r="AA2483" s="333"/>
      <c r="AB2483" s="258">
        <v>21.0</v>
      </c>
      <c r="AC2483" s="333"/>
      <c r="AD2483" s="329"/>
      <c r="AE2483" s="331"/>
      <c r="AF2483" s="336"/>
      <c r="AG2483" s="337" t="str">
        <f>IFS(LEN(AF2483)=17,LOWER('2-Building'!$B$4 &amp; "-" &amp; C2483), AF2483="N/A", "N/A", LEN(AF2483)=0,"")</f>
        <v/>
      </c>
      <c r="AH2483" s="333"/>
      <c r="AI2483" s="333"/>
      <c r="AJ2483" s="333"/>
      <c r="AK2483" s="333"/>
      <c r="AL2483" s="333"/>
      <c r="AM2483" s="338"/>
      <c r="AN2483" s="333"/>
      <c r="AO2483" s="333"/>
      <c r="AP2483" s="333"/>
      <c r="AQ2483" s="333"/>
      <c r="AR2483" s="333"/>
      <c r="AS2483" s="333"/>
      <c r="AT2483" s="333"/>
      <c r="AU2483" s="329"/>
      <c r="AV2483" s="341"/>
      <c r="AW2483" s="269" t="s">
        <v>2311</v>
      </c>
      <c r="AX2483" s="269" t="s">
        <v>2869</v>
      </c>
      <c r="AY2483" s="270" t="s">
        <v>695</v>
      </c>
      <c r="AZ2483" s="173" t="s">
        <v>8075</v>
      </c>
      <c r="BA2483" s="265">
        <v>10.0</v>
      </c>
      <c r="BB2483" s="174" t="s">
        <v>245</v>
      </c>
      <c r="BC2483" s="341"/>
      <c r="BD2483" s="308" t="s">
        <v>1844</v>
      </c>
      <c r="BE2483" s="364"/>
      <c r="BF2483" s="274" t="str">
        <f>IFERROR(__xludf.DUMMYFUNCTION("LOWER(Regexreplace(to_text(E2483),""[^A-Za-z0-9]"","""")&amp;""_""&amp;Regexreplace(to_text(F2483),""[^A-Za-z0-9]"",""""))"),"schneider_pm2200")</f>
        <v>schneider_pm2200</v>
      </c>
      <c r="BG2483" s="275" t="str">
        <f>IFERROR(__xludf.DUMMYFUNCTION("upper(Regexreplace(to_text(E2483),""[^A-Za-z0-9]"","""")&amp;""-""&amp;Regexreplace(to_text(F2483),""[^A-Za-z0-9]"",""""))"),"SCHNEIDER-PM2200")</f>
        <v>SCHNEIDER-PM2200</v>
      </c>
    </row>
    <row r="2484" ht="30.0" customHeight="1">
      <c r="A2484" s="258">
        <v>2476.0</v>
      </c>
      <c r="B2484" s="328" t="s">
        <v>670</v>
      </c>
      <c r="C2484" s="257" t="s">
        <v>8209</v>
      </c>
      <c r="D2484" s="173" t="s">
        <v>8209</v>
      </c>
      <c r="E2484" s="174" t="s">
        <v>8070</v>
      </c>
      <c r="F2484" s="173" t="s">
        <v>8071</v>
      </c>
      <c r="G2484" s="328" t="s">
        <v>673</v>
      </c>
      <c r="H2484" s="328" t="s">
        <v>2863</v>
      </c>
      <c r="I2484" s="258" t="s">
        <v>8072</v>
      </c>
      <c r="J2484" s="259" t="s">
        <v>1088</v>
      </c>
      <c r="K2484" s="260" t="s">
        <v>8155</v>
      </c>
      <c r="L2484" s="365"/>
      <c r="M2484" s="329"/>
      <c r="N2484" s="173" t="s">
        <v>679</v>
      </c>
      <c r="O2484" s="173" t="s">
        <v>225</v>
      </c>
      <c r="P2484" s="262" t="str">
        <f t="shared" si="1"/>
        <v>IN-BLR-ANANTA-EM-66_5</v>
      </c>
      <c r="Q2484" s="173" t="s">
        <v>8210</v>
      </c>
      <c r="R2484" s="328" t="str">
        <f>IFS(C2484="","",C2484="n/a","N/A",LEN(C2484),Concatenate("{",char(34),"asset",char(34),":{",char(34),"guid",char(34),":",char(34),Q2484,char(34),",",char(34),"site",char(34),":",char(34),LOWER('2-Building'!$B$4),char(34),",",char(34),"name",char(34),":",char(34),LOWER(C2484),char(34),"}}"))</f>
        <v>{"asset":{"guid":"uuid://a36e78ec-8a0a-48e7-a1a7-1b57009d7c3b","site":"in-blr-ananta","name":"em-66"}}</v>
      </c>
      <c r="S2484" s="366" t="s">
        <v>8075</v>
      </c>
      <c r="T2484" s="330"/>
      <c r="U2484" s="330"/>
      <c r="V2484" s="331"/>
      <c r="W2484" s="332"/>
      <c r="X2484" s="333"/>
      <c r="Y2484" s="33" t="s">
        <v>8076</v>
      </c>
      <c r="Z2484" s="368"/>
      <c r="AA2484" s="333"/>
      <c r="AB2484" s="258">
        <v>22.0</v>
      </c>
      <c r="AC2484" s="333"/>
      <c r="AD2484" s="329"/>
      <c r="AE2484" s="331"/>
      <c r="AF2484" s="336"/>
      <c r="AG2484" s="337" t="str">
        <f>IFS(LEN(AF2484)=17,LOWER('2-Building'!$B$4 &amp; "-" &amp; C2484), AF2484="N/A", "N/A", LEN(AF2484)=0,"")</f>
        <v/>
      </c>
      <c r="AH2484" s="333"/>
      <c r="AI2484" s="333"/>
      <c r="AJ2484" s="333"/>
      <c r="AK2484" s="333"/>
      <c r="AL2484" s="333"/>
      <c r="AM2484" s="338"/>
      <c r="AN2484" s="333"/>
      <c r="AO2484" s="333"/>
      <c r="AP2484" s="333"/>
      <c r="AQ2484" s="333"/>
      <c r="AR2484" s="333"/>
      <c r="AS2484" s="333"/>
      <c r="AT2484" s="333"/>
      <c r="AU2484" s="329"/>
      <c r="AV2484" s="341"/>
      <c r="AW2484" s="269" t="s">
        <v>2311</v>
      </c>
      <c r="AX2484" s="269" t="s">
        <v>2869</v>
      </c>
      <c r="AY2484" s="270" t="s">
        <v>695</v>
      </c>
      <c r="AZ2484" s="173" t="s">
        <v>8075</v>
      </c>
      <c r="BA2484" s="265">
        <v>10.0</v>
      </c>
      <c r="BB2484" s="174" t="s">
        <v>245</v>
      </c>
      <c r="BC2484" s="341"/>
      <c r="BD2484" s="308" t="s">
        <v>1844</v>
      </c>
      <c r="BE2484" s="364"/>
      <c r="BF2484" s="274" t="str">
        <f>IFERROR(__xludf.DUMMYFUNCTION("LOWER(Regexreplace(to_text(E2484),""[^A-Za-z0-9]"","""")&amp;""_""&amp;Regexreplace(to_text(F2484),""[^A-Za-z0-9]"",""""))"),"schneider_pm2200")</f>
        <v>schneider_pm2200</v>
      </c>
      <c r="BG2484" s="275" t="str">
        <f>IFERROR(__xludf.DUMMYFUNCTION("upper(Regexreplace(to_text(E2484),""[^A-Za-z0-9]"","""")&amp;""-""&amp;Regexreplace(to_text(F2484),""[^A-Za-z0-9]"",""""))"),"SCHNEIDER-PM2200")</f>
        <v>SCHNEIDER-PM2200</v>
      </c>
    </row>
    <row r="2485" ht="30.0" customHeight="1">
      <c r="A2485" s="173">
        <v>2477.0</v>
      </c>
      <c r="B2485" s="328" t="s">
        <v>670</v>
      </c>
      <c r="C2485" s="257" t="s">
        <v>8211</v>
      </c>
      <c r="D2485" s="173" t="s">
        <v>8211</v>
      </c>
      <c r="E2485" s="174" t="s">
        <v>8070</v>
      </c>
      <c r="F2485" s="173" t="s">
        <v>8071</v>
      </c>
      <c r="G2485" s="328" t="s">
        <v>673</v>
      </c>
      <c r="H2485" s="328" t="s">
        <v>2863</v>
      </c>
      <c r="I2485" s="258" t="s">
        <v>8072</v>
      </c>
      <c r="J2485" s="259" t="s">
        <v>1088</v>
      </c>
      <c r="K2485" s="260" t="s">
        <v>8155</v>
      </c>
      <c r="L2485" s="365"/>
      <c r="M2485" s="329"/>
      <c r="N2485" s="173" t="s">
        <v>679</v>
      </c>
      <c r="O2485" s="173" t="s">
        <v>225</v>
      </c>
      <c r="P2485" s="262" t="str">
        <f t="shared" si="1"/>
        <v>IN-BLR-ANANTA-EM-67_5</v>
      </c>
      <c r="Q2485" s="173" t="s">
        <v>8212</v>
      </c>
      <c r="R2485" s="328" t="str">
        <f>IFS(C2485="","",C2485="n/a","N/A",LEN(C2485),Concatenate("{",char(34),"asset",char(34),":{",char(34),"guid",char(34),":",char(34),Q2485,char(34),",",char(34),"site",char(34),":",char(34),LOWER('2-Building'!$B$4),char(34),",",char(34),"name",char(34),":",char(34),LOWER(C2485),char(34),"}}"))</f>
        <v>{"asset":{"guid":"uuid://a21509f1-1937-4622-a943-8fc9a16c0428","site":"in-blr-ananta","name":"em-67"}}</v>
      </c>
      <c r="S2485" s="366" t="s">
        <v>8075</v>
      </c>
      <c r="T2485" s="330"/>
      <c r="U2485" s="330"/>
      <c r="V2485" s="331"/>
      <c r="W2485" s="332"/>
      <c r="X2485" s="333"/>
      <c r="Y2485" s="33" t="s">
        <v>8076</v>
      </c>
      <c r="Z2485" s="368"/>
      <c r="AA2485" s="333"/>
      <c r="AB2485" s="258">
        <v>23.0</v>
      </c>
      <c r="AC2485" s="333"/>
      <c r="AD2485" s="329"/>
      <c r="AE2485" s="331"/>
      <c r="AF2485" s="336"/>
      <c r="AG2485" s="337" t="str">
        <f>IFS(LEN(AF2485)=17,LOWER('2-Building'!$B$4 &amp; "-" &amp; C2485), AF2485="N/A", "N/A", LEN(AF2485)=0,"")</f>
        <v/>
      </c>
      <c r="AH2485" s="333"/>
      <c r="AI2485" s="333"/>
      <c r="AJ2485" s="333"/>
      <c r="AK2485" s="333"/>
      <c r="AL2485" s="333"/>
      <c r="AM2485" s="338"/>
      <c r="AN2485" s="333"/>
      <c r="AO2485" s="333"/>
      <c r="AP2485" s="333"/>
      <c r="AQ2485" s="333"/>
      <c r="AR2485" s="333"/>
      <c r="AS2485" s="333"/>
      <c r="AT2485" s="333"/>
      <c r="AU2485" s="329"/>
      <c r="AV2485" s="341"/>
      <c r="AW2485" s="269" t="s">
        <v>2311</v>
      </c>
      <c r="AX2485" s="269" t="s">
        <v>2869</v>
      </c>
      <c r="AY2485" s="270" t="s">
        <v>695</v>
      </c>
      <c r="AZ2485" s="173" t="s">
        <v>8075</v>
      </c>
      <c r="BA2485" s="265">
        <v>10.0</v>
      </c>
      <c r="BB2485" s="174" t="s">
        <v>245</v>
      </c>
      <c r="BC2485" s="341"/>
      <c r="BD2485" s="308" t="s">
        <v>1844</v>
      </c>
      <c r="BE2485" s="364"/>
      <c r="BF2485" s="274" t="str">
        <f>IFERROR(__xludf.DUMMYFUNCTION("LOWER(Regexreplace(to_text(E2485),""[^A-Za-z0-9]"","""")&amp;""_""&amp;Regexreplace(to_text(F2485),""[^A-Za-z0-9]"",""""))"),"schneider_pm2200")</f>
        <v>schneider_pm2200</v>
      </c>
      <c r="BG2485" s="275" t="str">
        <f>IFERROR(__xludf.DUMMYFUNCTION("upper(Regexreplace(to_text(E2485),""[^A-Za-z0-9]"","""")&amp;""-""&amp;Regexreplace(to_text(F2485),""[^A-Za-z0-9]"",""""))"),"SCHNEIDER-PM2200")</f>
        <v>SCHNEIDER-PM2200</v>
      </c>
    </row>
    <row r="2486" ht="30.0" customHeight="1">
      <c r="A2486" s="258">
        <v>2478.0</v>
      </c>
      <c r="B2486" s="328" t="s">
        <v>670</v>
      </c>
      <c r="C2486" s="257" t="s">
        <v>8213</v>
      </c>
      <c r="D2486" s="173" t="s">
        <v>8213</v>
      </c>
      <c r="E2486" s="174" t="s">
        <v>8070</v>
      </c>
      <c r="F2486" s="173" t="s">
        <v>8071</v>
      </c>
      <c r="G2486" s="328" t="s">
        <v>673</v>
      </c>
      <c r="H2486" s="328" t="s">
        <v>2863</v>
      </c>
      <c r="I2486" s="258" t="s">
        <v>8072</v>
      </c>
      <c r="J2486" s="259" t="s">
        <v>1088</v>
      </c>
      <c r="K2486" s="260" t="s">
        <v>8155</v>
      </c>
      <c r="L2486" s="365"/>
      <c r="M2486" s="329"/>
      <c r="N2486" s="173" t="s">
        <v>679</v>
      </c>
      <c r="O2486" s="173" t="s">
        <v>225</v>
      </c>
      <c r="P2486" s="262" t="str">
        <f t="shared" si="1"/>
        <v>IN-BLR-ANANTA-EM-68_5</v>
      </c>
      <c r="Q2486" s="173" t="s">
        <v>8214</v>
      </c>
      <c r="R2486" s="328" t="str">
        <f>IFS(C2486="","",C2486="n/a","N/A",LEN(C2486),Concatenate("{",char(34),"asset",char(34),":{",char(34),"guid",char(34),":",char(34),Q2486,char(34),",",char(34),"site",char(34),":",char(34),LOWER('2-Building'!$B$4),char(34),",",char(34),"name",char(34),":",char(34),LOWER(C2486),char(34),"}}"))</f>
        <v>{"asset":{"guid":"uuid://1c57c085-e832-40e6-bedb-85d34c522b13","site":"in-blr-ananta","name":"em-68"}}</v>
      </c>
      <c r="S2486" s="366" t="s">
        <v>8075</v>
      </c>
      <c r="T2486" s="330"/>
      <c r="U2486" s="330"/>
      <c r="V2486" s="331"/>
      <c r="W2486" s="332"/>
      <c r="X2486" s="333"/>
      <c r="Y2486" s="33" t="s">
        <v>8076</v>
      </c>
      <c r="Z2486" s="368"/>
      <c r="AA2486" s="333"/>
      <c r="AB2486" s="258">
        <v>24.0</v>
      </c>
      <c r="AC2486" s="333"/>
      <c r="AD2486" s="329"/>
      <c r="AE2486" s="331"/>
      <c r="AF2486" s="336"/>
      <c r="AG2486" s="337" t="str">
        <f>IFS(LEN(AF2486)=17,LOWER('2-Building'!$B$4 &amp; "-" &amp; C2486), AF2486="N/A", "N/A", LEN(AF2486)=0,"")</f>
        <v/>
      </c>
      <c r="AH2486" s="333"/>
      <c r="AI2486" s="333"/>
      <c r="AJ2486" s="333"/>
      <c r="AK2486" s="333"/>
      <c r="AL2486" s="333"/>
      <c r="AM2486" s="338"/>
      <c r="AN2486" s="333"/>
      <c r="AO2486" s="333"/>
      <c r="AP2486" s="333"/>
      <c r="AQ2486" s="333"/>
      <c r="AR2486" s="333"/>
      <c r="AS2486" s="333"/>
      <c r="AT2486" s="333"/>
      <c r="AU2486" s="329"/>
      <c r="AV2486" s="341"/>
      <c r="AW2486" s="269" t="s">
        <v>2311</v>
      </c>
      <c r="AX2486" s="269" t="s">
        <v>2869</v>
      </c>
      <c r="AY2486" s="270" t="s">
        <v>695</v>
      </c>
      <c r="AZ2486" s="173" t="s">
        <v>8075</v>
      </c>
      <c r="BA2486" s="265">
        <v>10.0</v>
      </c>
      <c r="BB2486" s="174" t="s">
        <v>245</v>
      </c>
      <c r="BC2486" s="341"/>
      <c r="BD2486" s="308" t="s">
        <v>1844</v>
      </c>
      <c r="BE2486" s="364"/>
      <c r="BF2486" s="274" t="str">
        <f>IFERROR(__xludf.DUMMYFUNCTION("LOWER(Regexreplace(to_text(E2486),""[^A-Za-z0-9]"","""")&amp;""_""&amp;Regexreplace(to_text(F2486),""[^A-Za-z0-9]"",""""))"),"schneider_pm2200")</f>
        <v>schneider_pm2200</v>
      </c>
      <c r="BG2486" s="275" t="str">
        <f>IFERROR(__xludf.DUMMYFUNCTION("upper(Regexreplace(to_text(E2486),""[^A-Za-z0-9]"","""")&amp;""-""&amp;Regexreplace(to_text(F2486),""[^A-Za-z0-9]"",""""))"),"SCHNEIDER-PM2200")</f>
        <v>SCHNEIDER-PM2200</v>
      </c>
    </row>
    <row r="2487" ht="30.0" customHeight="1">
      <c r="A2487" s="173">
        <v>2479.0</v>
      </c>
      <c r="B2487" s="328" t="s">
        <v>670</v>
      </c>
      <c r="C2487" s="257" t="s">
        <v>8215</v>
      </c>
      <c r="D2487" s="173" t="s">
        <v>8215</v>
      </c>
      <c r="E2487" s="174" t="s">
        <v>8070</v>
      </c>
      <c r="F2487" s="173" t="s">
        <v>8071</v>
      </c>
      <c r="G2487" s="328" t="s">
        <v>673</v>
      </c>
      <c r="H2487" s="328" t="s">
        <v>2863</v>
      </c>
      <c r="I2487" s="258" t="s">
        <v>8072</v>
      </c>
      <c r="J2487" s="259" t="s">
        <v>1088</v>
      </c>
      <c r="K2487" s="260" t="s">
        <v>8155</v>
      </c>
      <c r="L2487" s="365"/>
      <c r="M2487" s="329"/>
      <c r="N2487" s="173" t="s">
        <v>679</v>
      </c>
      <c r="O2487" s="173" t="s">
        <v>225</v>
      </c>
      <c r="P2487" s="262" t="str">
        <f t="shared" si="1"/>
        <v>IN-BLR-ANANTA-EM-69_5</v>
      </c>
      <c r="Q2487" s="173" t="s">
        <v>8216</v>
      </c>
      <c r="R2487" s="328" t="str">
        <f>IFS(C2487="","",C2487="n/a","N/A",LEN(C2487),Concatenate("{",char(34),"asset",char(34),":{",char(34),"guid",char(34),":",char(34),Q2487,char(34),",",char(34),"site",char(34),":",char(34),LOWER('2-Building'!$B$4),char(34),",",char(34),"name",char(34),":",char(34),LOWER(C2487),char(34),"}}"))</f>
        <v>{"asset":{"guid":"uuid://98b0b1bc-ddb9-4ab0-9034-8ed96fbf9897","site":"in-blr-ananta","name":"em-69"}}</v>
      </c>
      <c r="S2487" s="366" t="s">
        <v>8075</v>
      </c>
      <c r="T2487" s="330"/>
      <c r="U2487" s="330"/>
      <c r="V2487" s="331"/>
      <c r="W2487" s="332"/>
      <c r="X2487" s="333"/>
      <c r="Y2487" s="33" t="s">
        <v>8076</v>
      </c>
      <c r="Z2487" s="368"/>
      <c r="AA2487" s="333"/>
      <c r="AB2487" s="258">
        <v>2.0</v>
      </c>
      <c r="AC2487" s="333"/>
      <c r="AD2487" s="329"/>
      <c r="AE2487" s="331"/>
      <c r="AF2487" s="336"/>
      <c r="AG2487" s="337" t="str">
        <f>IFS(LEN(AF2487)=17,LOWER('2-Building'!$B$4 &amp; "-" &amp; C2487), AF2487="N/A", "N/A", LEN(AF2487)=0,"")</f>
        <v/>
      </c>
      <c r="AH2487" s="333"/>
      <c r="AI2487" s="333"/>
      <c r="AJ2487" s="333"/>
      <c r="AK2487" s="333"/>
      <c r="AL2487" s="333"/>
      <c r="AM2487" s="338"/>
      <c r="AN2487" s="333"/>
      <c r="AO2487" s="333"/>
      <c r="AP2487" s="333"/>
      <c r="AQ2487" s="333"/>
      <c r="AR2487" s="333"/>
      <c r="AS2487" s="333"/>
      <c r="AT2487" s="333"/>
      <c r="AU2487" s="329"/>
      <c r="AV2487" s="341"/>
      <c r="AW2487" s="269" t="s">
        <v>2299</v>
      </c>
      <c r="AX2487" s="269" t="s">
        <v>2869</v>
      </c>
      <c r="AY2487" s="270" t="s">
        <v>695</v>
      </c>
      <c r="AZ2487" s="173" t="s">
        <v>8075</v>
      </c>
      <c r="BA2487" s="265">
        <v>10.0</v>
      </c>
      <c r="BB2487" s="174" t="s">
        <v>245</v>
      </c>
      <c r="BC2487" s="341"/>
      <c r="BD2487" s="308" t="s">
        <v>1844</v>
      </c>
      <c r="BE2487" s="364"/>
      <c r="BF2487" s="274" t="str">
        <f>IFERROR(__xludf.DUMMYFUNCTION("LOWER(Regexreplace(to_text(E2487),""[^A-Za-z0-9]"","""")&amp;""_""&amp;Regexreplace(to_text(F2487),""[^A-Za-z0-9]"",""""))"),"schneider_pm2200")</f>
        <v>schneider_pm2200</v>
      </c>
      <c r="BG2487" s="275" t="str">
        <f>IFERROR(__xludf.DUMMYFUNCTION("upper(Regexreplace(to_text(E2487),""[^A-Za-z0-9]"","""")&amp;""-""&amp;Regexreplace(to_text(F2487),""[^A-Za-z0-9]"",""""))"),"SCHNEIDER-PM2200")</f>
        <v>SCHNEIDER-PM2200</v>
      </c>
    </row>
    <row r="2488" ht="30.0" customHeight="1">
      <c r="A2488" s="258">
        <v>2480.0</v>
      </c>
      <c r="B2488" s="328" t="s">
        <v>670</v>
      </c>
      <c r="C2488" s="257" t="s">
        <v>8217</v>
      </c>
      <c r="D2488" s="173" t="s">
        <v>8217</v>
      </c>
      <c r="E2488" s="174" t="s">
        <v>8070</v>
      </c>
      <c r="F2488" s="173" t="s">
        <v>8071</v>
      </c>
      <c r="G2488" s="328" t="s">
        <v>673</v>
      </c>
      <c r="H2488" s="328" t="s">
        <v>2863</v>
      </c>
      <c r="I2488" s="258" t="s">
        <v>8072</v>
      </c>
      <c r="J2488" s="259" t="s">
        <v>1088</v>
      </c>
      <c r="K2488" s="260" t="s">
        <v>8155</v>
      </c>
      <c r="L2488" s="365"/>
      <c r="M2488" s="329"/>
      <c r="N2488" s="173" t="s">
        <v>679</v>
      </c>
      <c r="O2488" s="173" t="s">
        <v>225</v>
      </c>
      <c r="P2488" s="262" t="str">
        <f t="shared" si="1"/>
        <v>IN-BLR-ANANTA-EM-70_5</v>
      </c>
      <c r="Q2488" s="173" t="s">
        <v>8218</v>
      </c>
      <c r="R2488" s="328" t="str">
        <f>IFS(C2488="","",C2488="n/a","N/A",LEN(C2488),Concatenate("{",char(34),"asset",char(34),":{",char(34),"guid",char(34),":",char(34),Q2488,char(34),",",char(34),"site",char(34),":",char(34),LOWER('2-Building'!$B$4),char(34),",",char(34),"name",char(34),":",char(34),LOWER(C2488),char(34),"}}"))</f>
        <v>{"asset":{"guid":"uuid://60d3cde1-c2a4-4d72-8c72-aa368dd4ce4d","site":"in-blr-ananta","name":"em-70"}}</v>
      </c>
      <c r="S2488" s="366" t="s">
        <v>8075</v>
      </c>
      <c r="T2488" s="330"/>
      <c r="U2488" s="330"/>
      <c r="V2488" s="331"/>
      <c r="W2488" s="332"/>
      <c r="X2488" s="333"/>
      <c r="Y2488" s="33" t="s">
        <v>8076</v>
      </c>
      <c r="Z2488" s="368"/>
      <c r="AA2488" s="333"/>
      <c r="AB2488" s="258">
        <v>3.0</v>
      </c>
      <c r="AC2488" s="333"/>
      <c r="AD2488" s="329"/>
      <c r="AE2488" s="331"/>
      <c r="AF2488" s="336"/>
      <c r="AG2488" s="337" t="str">
        <f>IFS(LEN(AF2488)=17,LOWER('2-Building'!$B$4 &amp; "-" &amp; C2488), AF2488="N/A", "N/A", LEN(AF2488)=0,"")</f>
        <v/>
      </c>
      <c r="AH2488" s="333"/>
      <c r="AI2488" s="333"/>
      <c r="AJ2488" s="333"/>
      <c r="AK2488" s="333"/>
      <c r="AL2488" s="333"/>
      <c r="AM2488" s="338"/>
      <c r="AN2488" s="333"/>
      <c r="AO2488" s="333"/>
      <c r="AP2488" s="333"/>
      <c r="AQ2488" s="333"/>
      <c r="AR2488" s="333"/>
      <c r="AS2488" s="333"/>
      <c r="AT2488" s="333"/>
      <c r="AU2488" s="329"/>
      <c r="AV2488" s="341"/>
      <c r="AW2488" s="269" t="s">
        <v>2299</v>
      </c>
      <c r="AX2488" s="269" t="s">
        <v>2869</v>
      </c>
      <c r="AY2488" s="270" t="s">
        <v>695</v>
      </c>
      <c r="AZ2488" s="173" t="s">
        <v>8075</v>
      </c>
      <c r="BA2488" s="265">
        <v>10.0</v>
      </c>
      <c r="BB2488" s="174" t="s">
        <v>245</v>
      </c>
      <c r="BC2488" s="341"/>
      <c r="BD2488" s="308" t="s">
        <v>1844</v>
      </c>
      <c r="BE2488" s="364"/>
      <c r="BF2488" s="274" t="str">
        <f>IFERROR(__xludf.DUMMYFUNCTION("LOWER(Regexreplace(to_text(E2488),""[^A-Za-z0-9]"","""")&amp;""_""&amp;Regexreplace(to_text(F2488),""[^A-Za-z0-9]"",""""))"),"schneider_pm2200")</f>
        <v>schneider_pm2200</v>
      </c>
      <c r="BG2488" s="275" t="str">
        <f>IFERROR(__xludf.DUMMYFUNCTION("upper(Regexreplace(to_text(E2488),""[^A-Za-z0-9]"","""")&amp;""-""&amp;Regexreplace(to_text(F2488),""[^A-Za-z0-9]"",""""))"),"SCHNEIDER-PM2200")</f>
        <v>SCHNEIDER-PM2200</v>
      </c>
    </row>
    <row r="2489" ht="30.0" customHeight="1">
      <c r="A2489" s="173">
        <v>2481.0</v>
      </c>
      <c r="B2489" s="328" t="s">
        <v>670</v>
      </c>
      <c r="C2489" s="257" t="s">
        <v>8219</v>
      </c>
      <c r="D2489" s="173" t="s">
        <v>8219</v>
      </c>
      <c r="E2489" s="174" t="s">
        <v>8070</v>
      </c>
      <c r="F2489" s="173" t="s">
        <v>8071</v>
      </c>
      <c r="G2489" s="328" t="s">
        <v>673</v>
      </c>
      <c r="H2489" s="328" t="s">
        <v>2863</v>
      </c>
      <c r="I2489" s="258" t="s">
        <v>8072</v>
      </c>
      <c r="J2489" s="259" t="s">
        <v>1088</v>
      </c>
      <c r="K2489" s="260" t="s">
        <v>8155</v>
      </c>
      <c r="L2489" s="365"/>
      <c r="M2489" s="329"/>
      <c r="N2489" s="173" t="s">
        <v>679</v>
      </c>
      <c r="O2489" s="173" t="s">
        <v>225</v>
      </c>
      <c r="P2489" s="262" t="str">
        <f t="shared" si="1"/>
        <v>IN-BLR-ANANTA-EM-71_5</v>
      </c>
      <c r="Q2489" s="173" t="s">
        <v>8220</v>
      </c>
      <c r="R2489" s="328" t="str">
        <f>IFS(C2489="","",C2489="n/a","N/A",LEN(C2489),Concatenate("{",char(34),"asset",char(34),":{",char(34),"guid",char(34),":",char(34),Q2489,char(34),",",char(34),"site",char(34),":",char(34),LOWER('2-Building'!$B$4),char(34),",",char(34),"name",char(34),":",char(34),LOWER(C2489),char(34),"}}"))</f>
        <v>{"asset":{"guid":"uuid://da646467-3e8a-4edd-a44d-770bcab5a5ac","site":"in-blr-ananta","name":"em-71"}}</v>
      </c>
      <c r="S2489" s="366" t="s">
        <v>8075</v>
      </c>
      <c r="T2489" s="330"/>
      <c r="U2489" s="330"/>
      <c r="V2489" s="331"/>
      <c r="W2489" s="332"/>
      <c r="X2489" s="333"/>
      <c r="Y2489" s="33" t="s">
        <v>8076</v>
      </c>
      <c r="Z2489" s="368"/>
      <c r="AA2489" s="333"/>
      <c r="AB2489" s="258">
        <v>4.0</v>
      </c>
      <c r="AC2489" s="333"/>
      <c r="AD2489" s="329"/>
      <c r="AE2489" s="331"/>
      <c r="AF2489" s="336"/>
      <c r="AG2489" s="337" t="str">
        <f>IFS(LEN(AF2489)=17,LOWER('2-Building'!$B$4 &amp; "-" &amp; C2489), AF2489="N/A", "N/A", LEN(AF2489)=0,"")</f>
        <v/>
      </c>
      <c r="AH2489" s="333"/>
      <c r="AI2489" s="333"/>
      <c r="AJ2489" s="333"/>
      <c r="AK2489" s="333"/>
      <c r="AL2489" s="333"/>
      <c r="AM2489" s="338"/>
      <c r="AN2489" s="333"/>
      <c r="AO2489" s="333"/>
      <c r="AP2489" s="333"/>
      <c r="AQ2489" s="333"/>
      <c r="AR2489" s="333"/>
      <c r="AS2489" s="333"/>
      <c r="AT2489" s="333"/>
      <c r="AU2489" s="329"/>
      <c r="AV2489" s="341"/>
      <c r="AW2489" s="269" t="s">
        <v>2299</v>
      </c>
      <c r="AX2489" s="269" t="s">
        <v>2869</v>
      </c>
      <c r="AY2489" s="270" t="s">
        <v>695</v>
      </c>
      <c r="AZ2489" s="173" t="s">
        <v>8075</v>
      </c>
      <c r="BA2489" s="265">
        <v>10.0</v>
      </c>
      <c r="BB2489" s="174" t="s">
        <v>245</v>
      </c>
      <c r="BC2489" s="341"/>
      <c r="BD2489" s="308" t="s">
        <v>1844</v>
      </c>
      <c r="BE2489" s="364"/>
      <c r="BF2489" s="274" t="str">
        <f>IFERROR(__xludf.DUMMYFUNCTION("LOWER(Regexreplace(to_text(E2489),""[^A-Za-z0-9]"","""")&amp;""_""&amp;Regexreplace(to_text(F2489),""[^A-Za-z0-9]"",""""))"),"schneider_pm2200")</f>
        <v>schneider_pm2200</v>
      </c>
      <c r="BG2489" s="275" t="str">
        <f>IFERROR(__xludf.DUMMYFUNCTION("upper(Regexreplace(to_text(E2489),""[^A-Za-z0-9]"","""")&amp;""-""&amp;Regexreplace(to_text(F2489),""[^A-Za-z0-9]"",""""))"),"SCHNEIDER-PM2200")</f>
        <v>SCHNEIDER-PM2200</v>
      </c>
    </row>
    <row r="2490" ht="30.0" customHeight="1">
      <c r="A2490" s="258">
        <v>2482.0</v>
      </c>
      <c r="B2490" s="328" t="s">
        <v>670</v>
      </c>
      <c r="C2490" s="257" t="s">
        <v>8221</v>
      </c>
      <c r="D2490" s="173" t="s">
        <v>8221</v>
      </c>
      <c r="E2490" s="174" t="s">
        <v>8070</v>
      </c>
      <c r="F2490" s="173" t="s">
        <v>8071</v>
      </c>
      <c r="G2490" s="328" t="s">
        <v>673</v>
      </c>
      <c r="H2490" s="328" t="s">
        <v>2863</v>
      </c>
      <c r="I2490" s="258" t="s">
        <v>8072</v>
      </c>
      <c r="J2490" s="259" t="s">
        <v>1088</v>
      </c>
      <c r="K2490" s="260" t="s">
        <v>8155</v>
      </c>
      <c r="L2490" s="365"/>
      <c r="M2490" s="329"/>
      <c r="N2490" s="173" t="s">
        <v>679</v>
      </c>
      <c r="O2490" s="173" t="s">
        <v>225</v>
      </c>
      <c r="P2490" s="262" t="str">
        <f t="shared" si="1"/>
        <v>IN-BLR-ANANTA-EM-72_5</v>
      </c>
      <c r="Q2490" s="173" t="s">
        <v>8222</v>
      </c>
      <c r="R2490" s="328" t="str">
        <f>IFS(C2490="","",C2490="n/a","N/A",LEN(C2490),Concatenate("{",char(34),"asset",char(34),":{",char(34),"guid",char(34),":",char(34),Q2490,char(34),",",char(34),"site",char(34),":",char(34),LOWER('2-Building'!$B$4),char(34),",",char(34),"name",char(34),":",char(34),LOWER(C2490),char(34),"}}"))</f>
        <v>{"asset":{"guid":"uuid://78ba3aa5-136e-4c5a-a2d5-d3b1c46562a3","site":"in-blr-ananta","name":"em-72"}}</v>
      </c>
      <c r="S2490" s="366" t="s">
        <v>8075</v>
      </c>
      <c r="T2490" s="330"/>
      <c r="U2490" s="330"/>
      <c r="V2490" s="331"/>
      <c r="W2490" s="332"/>
      <c r="X2490" s="333"/>
      <c r="Y2490" s="33" t="s">
        <v>8076</v>
      </c>
      <c r="Z2490" s="368"/>
      <c r="AA2490" s="333"/>
      <c r="AB2490" s="258">
        <v>5.0</v>
      </c>
      <c r="AC2490" s="333"/>
      <c r="AD2490" s="329"/>
      <c r="AE2490" s="331"/>
      <c r="AF2490" s="336"/>
      <c r="AG2490" s="337" t="str">
        <f>IFS(LEN(AF2490)=17,LOWER('2-Building'!$B$4 &amp; "-" &amp; C2490), AF2490="N/A", "N/A", LEN(AF2490)=0,"")</f>
        <v/>
      </c>
      <c r="AH2490" s="333"/>
      <c r="AI2490" s="333"/>
      <c r="AJ2490" s="333"/>
      <c r="AK2490" s="333"/>
      <c r="AL2490" s="333"/>
      <c r="AM2490" s="338"/>
      <c r="AN2490" s="333"/>
      <c r="AO2490" s="333"/>
      <c r="AP2490" s="333"/>
      <c r="AQ2490" s="333"/>
      <c r="AR2490" s="333"/>
      <c r="AS2490" s="333"/>
      <c r="AT2490" s="333"/>
      <c r="AU2490" s="329"/>
      <c r="AV2490" s="341"/>
      <c r="AW2490" s="269" t="s">
        <v>2299</v>
      </c>
      <c r="AX2490" s="269" t="s">
        <v>2869</v>
      </c>
      <c r="AY2490" s="270" t="s">
        <v>695</v>
      </c>
      <c r="AZ2490" s="173" t="s">
        <v>8075</v>
      </c>
      <c r="BA2490" s="265">
        <v>10.0</v>
      </c>
      <c r="BB2490" s="174" t="s">
        <v>245</v>
      </c>
      <c r="BC2490" s="341"/>
      <c r="BD2490" s="308" t="s">
        <v>1844</v>
      </c>
      <c r="BE2490" s="364"/>
      <c r="BF2490" s="274" t="str">
        <f>IFERROR(__xludf.DUMMYFUNCTION("LOWER(Regexreplace(to_text(E2490),""[^A-Za-z0-9]"","""")&amp;""_""&amp;Regexreplace(to_text(F2490),""[^A-Za-z0-9]"",""""))"),"schneider_pm2200")</f>
        <v>schneider_pm2200</v>
      </c>
      <c r="BG2490" s="275" t="str">
        <f>IFERROR(__xludf.DUMMYFUNCTION("upper(Regexreplace(to_text(E2490),""[^A-Za-z0-9]"","""")&amp;""-""&amp;Regexreplace(to_text(F2490),""[^A-Za-z0-9]"",""""))"),"SCHNEIDER-PM2200")</f>
        <v>SCHNEIDER-PM2200</v>
      </c>
    </row>
    <row r="2491" ht="30.0" customHeight="1">
      <c r="A2491" s="173">
        <v>2483.0</v>
      </c>
      <c r="B2491" s="328" t="s">
        <v>670</v>
      </c>
      <c r="C2491" s="257" t="s">
        <v>8223</v>
      </c>
      <c r="D2491" s="173" t="s">
        <v>8223</v>
      </c>
      <c r="E2491" s="174" t="s">
        <v>8070</v>
      </c>
      <c r="F2491" s="173" t="s">
        <v>8071</v>
      </c>
      <c r="G2491" s="328" t="s">
        <v>673</v>
      </c>
      <c r="H2491" s="328" t="s">
        <v>2863</v>
      </c>
      <c r="I2491" s="258" t="s">
        <v>8072</v>
      </c>
      <c r="J2491" s="259" t="s">
        <v>1088</v>
      </c>
      <c r="K2491" s="260" t="s">
        <v>8155</v>
      </c>
      <c r="L2491" s="365"/>
      <c r="M2491" s="329"/>
      <c r="N2491" s="173" t="s">
        <v>679</v>
      </c>
      <c r="O2491" s="173" t="s">
        <v>225</v>
      </c>
      <c r="P2491" s="262" t="str">
        <f t="shared" si="1"/>
        <v>IN-BLR-ANANTA-EM-73_5</v>
      </c>
      <c r="Q2491" s="173" t="s">
        <v>8224</v>
      </c>
      <c r="R2491" s="328" t="str">
        <f>IFS(C2491="","",C2491="n/a","N/A",LEN(C2491),Concatenate("{",char(34),"asset",char(34),":{",char(34),"guid",char(34),":",char(34),Q2491,char(34),",",char(34),"site",char(34),":",char(34),LOWER('2-Building'!$B$4),char(34),",",char(34),"name",char(34),":",char(34),LOWER(C2491),char(34),"}}"))</f>
        <v>{"asset":{"guid":"uuid://963f2bad-433a-40ff-afbb-d228048712bb","site":"in-blr-ananta","name":"em-73"}}</v>
      </c>
      <c r="S2491" s="366" t="s">
        <v>8075</v>
      </c>
      <c r="T2491" s="330"/>
      <c r="U2491" s="330"/>
      <c r="V2491" s="331"/>
      <c r="W2491" s="332"/>
      <c r="X2491" s="333"/>
      <c r="Y2491" s="33" t="s">
        <v>8076</v>
      </c>
      <c r="Z2491" s="368"/>
      <c r="AA2491" s="333"/>
      <c r="AB2491" s="258">
        <v>6.0</v>
      </c>
      <c r="AC2491" s="333"/>
      <c r="AD2491" s="329"/>
      <c r="AE2491" s="331"/>
      <c r="AF2491" s="336"/>
      <c r="AG2491" s="337" t="str">
        <f>IFS(LEN(AF2491)=17,LOWER('2-Building'!$B$4 &amp; "-" &amp; C2491), AF2491="N/A", "N/A", LEN(AF2491)=0,"")</f>
        <v/>
      </c>
      <c r="AH2491" s="333"/>
      <c r="AI2491" s="333"/>
      <c r="AJ2491" s="333"/>
      <c r="AK2491" s="333"/>
      <c r="AL2491" s="333"/>
      <c r="AM2491" s="338"/>
      <c r="AN2491" s="333"/>
      <c r="AO2491" s="333"/>
      <c r="AP2491" s="333"/>
      <c r="AQ2491" s="333"/>
      <c r="AR2491" s="333"/>
      <c r="AS2491" s="333"/>
      <c r="AT2491" s="333"/>
      <c r="AU2491" s="329"/>
      <c r="AV2491" s="341"/>
      <c r="AW2491" s="269" t="s">
        <v>2299</v>
      </c>
      <c r="AX2491" s="269" t="s">
        <v>2869</v>
      </c>
      <c r="AY2491" s="270" t="s">
        <v>695</v>
      </c>
      <c r="AZ2491" s="173" t="s">
        <v>8075</v>
      </c>
      <c r="BA2491" s="265">
        <v>10.0</v>
      </c>
      <c r="BB2491" s="174" t="s">
        <v>245</v>
      </c>
      <c r="BC2491" s="341"/>
      <c r="BD2491" s="308" t="s">
        <v>1844</v>
      </c>
      <c r="BE2491" s="364"/>
      <c r="BF2491" s="274" t="str">
        <f>IFERROR(__xludf.DUMMYFUNCTION("LOWER(Regexreplace(to_text(E2491),""[^A-Za-z0-9]"","""")&amp;""_""&amp;Regexreplace(to_text(F2491),""[^A-Za-z0-9]"",""""))"),"schneider_pm2200")</f>
        <v>schneider_pm2200</v>
      </c>
      <c r="BG2491" s="275" t="str">
        <f>IFERROR(__xludf.DUMMYFUNCTION("upper(Regexreplace(to_text(E2491),""[^A-Za-z0-9]"","""")&amp;""-""&amp;Regexreplace(to_text(F2491),""[^A-Za-z0-9]"",""""))"),"SCHNEIDER-PM2200")</f>
        <v>SCHNEIDER-PM2200</v>
      </c>
    </row>
    <row r="2492" ht="30.0" customHeight="1">
      <c r="A2492" s="258">
        <v>2484.0</v>
      </c>
      <c r="B2492" s="328" t="s">
        <v>670</v>
      </c>
      <c r="C2492" s="257" t="s">
        <v>8225</v>
      </c>
      <c r="D2492" s="173" t="s">
        <v>8225</v>
      </c>
      <c r="E2492" s="174" t="s">
        <v>8070</v>
      </c>
      <c r="F2492" s="173" t="s">
        <v>8071</v>
      </c>
      <c r="G2492" s="328" t="s">
        <v>673</v>
      </c>
      <c r="H2492" s="328" t="s">
        <v>2863</v>
      </c>
      <c r="I2492" s="258" t="s">
        <v>8072</v>
      </c>
      <c r="J2492" s="259" t="s">
        <v>1088</v>
      </c>
      <c r="K2492" s="260" t="s">
        <v>8155</v>
      </c>
      <c r="L2492" s="365"/>
      <c r="M2492" s="329"/>
      <c r="N2492" s="173" t="s">
        <v>679</v>
      </c>
      <c r="O2492" s="173" t="s">
        <v>225</v>
      </c>
      <c r="P2492" s="262" t="str">
        <f t="shared" si="1"/>
        <v>IN-BLR-ANANTA-EM-74_5</v>
      </c>
      <c r="Q2492" s="173" t="s">
        <v>8226</v>
      </c>
      <c r="R2492" s="328" t="str">
        <f>IFS(C2492="","",C2492="n/a","N/A",LEN(C2492),Concatenate("{",char(34),"asset",char(34),":{",char(34),"guid",char(34),":",char(34),Q2492,char(34),",",char(34),"site",char(34),":",char(34),LOWER('2-Building'!$B$4),char(34),",",char(34),"name",char(34),":",char(34),LOWER(C2492),char(34),"}}"))</f>
        <v>{"asset":{"guid":"uuid://b7f4c83d-91b3-4c23-ad23-e3a5e91e954c","site":"in-blr-ananta","name":"em-74"}}</v>
      </c>
      <c r="S2492" s="366" t="s">
        <v>8075</v>
      </c>
      <c r="T2492" s="330"/>
      <c r="U2492" s="330"/>
      <c r="V2492" s="331"/>
      <c r="W2492" s="332"/>
      <c r="X2492" s="333"/>
      <c r="Y2492" s="33" t="s">
        <v>8076</v>
      </c>
      <c r="Z2492" s="368"/>
      <c r="AA2492" s="333"/>
      <c r="AB2492" s="258">
        <v>7.0</v>
      </c>
      <c r="AC2492" s="333"/>
      <c r="AD2492" s="329"/>
      <c r="AE2492" s="331"/>
      <c r="AF2492" s="336"/>
      <c r="AG2492" s="337" t="str">
        <f>IFS(LEN(AF2492)=17,LOWER('2-Building'!$B$4 &amp; "-" &amp; C2492), AF2492="N/A", "N/A", LEN(AF2492)=0,"")</f>
        <v/>
      </c>
      <c r="AH2492" s="333"/>
      <c r="AI2492" s="333"/>
      <c r="AJ2492" s="333"/>
      <c r="AK2492" s="333"/>
      <c r="AL2492" s="333"/>
      <c r="AM2492" s="338"/>
      <c r="AN2492" s="333"/>
      <c r="AO2492" s="333"/>
      <c r="AP2492" s="333"/>
      <c r="AQ2492" s="333"/>
      <c r="AR2492" s="333"/>
      <c r="AS2492" s="333"/>
      <c r="AT2492" s="333"/>
      <c r="AU2492" s="329"/>
      <c r="AV2492" s="341"/>
      <c r="AW2492" s="269" t="s">
        <v>2299</v>
      </c>
      <c r="AX2492" s="269" t="s">
        <v>2869</v>
      </c>
      <c r="AY2492" s="270" t="s">
        <v>695</v>
      </c>
      <c r="AZ2492" s="173" t="s">
        <v>8075</v>
      </c>
      <c r="BA2492" s="265">
        <v>10.0</v>
      </c>
      <c r="BB2492" s="174" t="s">
        <v>245</v>
      </c>
      <c r="BC2492" s="341"/>
      <c r="BD2492" s="308" t="s">
        <v>1844</v>
      </c>
      <c r="BE2492" s="364"/>
      <c r="BF2492" s="274" t="str">
        <f>IFERROR(__xludf.DUMMYFUNCTION("LOWER(Regexreplace(to_text(E2492),""[^A-Za-z0-9]"","""")&amp;""_""&amp;Regexreplace(to_text(F2492),""[^A-Za-z0-9]"",""""))"),"schneider_pm2200")</f>
        <v>schneider_pm2200</v>
      </c>
      <c r="BG2492" s="275" t="str">
        <f>IFERROR(__xludf.DUMMYFUNCTION("upper(Regexreplace(to_text(E2492),""[^A-Za-z0-9]"","""")&amp;""-""&amp;Regexreplace(to_text(F2492),""[^A-Za-z0-9]"",""""))"),"SCHNEIDER-PM2200")</f>
        <v>SCHNEIDER-PM2200</v>
      </c>
    </row>
    <row r="2493" ht="30.0" customHeight="1">
      <c r="A2493" s="173">
        <v>2485.0</v>
      </c>
      <c r="B2493" s="328" t="s">
        <v>670</v>
      </c>
      <c r="C2493" s="257" t="s">
        <v>8227</v>
      </c>
      <c r="D2493" s="173" t="s">
        <v>8227</v>
      </c>
      <c r="E2493" s="174" t="s">
        <v>8070</v>
      </c>
      <c r="F2493" s="173" t="s">
        <v>8071</v>
      </c>
      <c r="G2493" s="328" t="s">
        <v>673</v>
      </c>
      <c r="H2493" s="328" t="s">
        <v>2863</v>
      </c>
      <c r="I2493" s="258" t="s">
        <v>8072</v>
      </c>
      <c r="J2493" s="259" t="s">
        <v>1088</v>
      </c>
      <c r="K2493" s="260" t="s">
        <v>8155</v>
      </c>
      <c r="L2493" s="365"/>
      <c r="M2493" s="329"/>
      <c r="N2493" s="173" t="s">
        <v>679</v>
      </c>
      <c r="O2493" s="173" t="s">
        <v>225</v>
      </c>
      <c r="P2493" s="262" t="str">
        <f t="shared" si="1"/>
        <v>IN-BLR-ANANTA-EM-75_5</v>
      </c>
      <c r="Q2493" s="173" t="s">
        <v>8228</v>
      </c>
      <c r="R2493" s="328" t="str">
        <f>IFS(C2493="","",C2493="n/a","N/A",LEN(C2493),Concatenate("{",char(34),"asset",char(34),":{",char(34),"guid",char(34),":",char(34),Q2493,char(34),",",char(34),"site",char(34),":",char(34),LOWER('2-Building'!$B$4),char(34),",",char(34),"name",char(34),":",char(34),LOWER(C2493),char(34),"}}"))</f>
        <v>{"asset":{"guid":"uuid://22ec20e7-14b9-4e98-8365-f04d9135b348","site":"in-blr-ananta","name":"em-75"}}</v>
      </c>
      <c r="S2493" s="366" t="s">
        <v>8075</v>
      </c>
      <c r="T2493" s="330"/>
      <c r="U2493" s="330"/>
      <c r="V2493" s="331"/>
      <c r="W2493" s="332"/>
      <c r="X2493" s="333"/>
      <c r="Y2493" s="33" t="s">
        <v>8076</v>
      </c>
      <c r="Z2493" s="368"/>
      <c r="AA2493" s="333"/>
      <c r="AB2493" s="258">
        <v>2.0</v>
      </c>
      <c r="AC2493" s="333"/>
      <c r="AD2493" s="329"/>
      <c r="AE2493" s="331"/>
      <c r="AF2493" s="336"/>
      <c r="AG2493" s="337" t="str">
        <f>IFS(LEN(AF2493)=17,LOWER('2-Building'!$B$4 &amp; "-" &amp; C2493), AF2493="N/A", "N/A", LEN(AF2493)=0,"")</f>
        <v/>
      </c>
      <c r="AH2493" s="333"/>
      <c r="AI2493" s="333"/>
      <c r="AJ2493" s="333"/>
      <c r="AK2493" s="333"/>
      <c r="AL2493" s="333"/>
      <c r="AM2493" s="338"/>
      <c r="AN2493" s="333"/>
      <c r="AO2493" s="333"/>
      <c r="AP2493" s="333"/>
      <c r="AQ2493" s="333"/>
      <c r="AR2493" s="333"/>
      <c r="AS2493" s="333"/>
      <c r="AT2493" s="333"/>
      <c r="AU2493" s="329"/>
      <c r="AV2493" s="341"/>
      <c r="AW2493" s="269" t="s">
        <v>2299</v>
      </c>
      <c r="AX2493" s="269" t="s">
        <v>2869</v>
      </c>
      <c r="AY2493" s="270" t="s">
        <v>695</v>
      </c>
      <c r="AZ2493" s="173" t="s">
        <v>8075</v>
      </c>
      <c r="BA2493" s="265">
        <v>10.0</v>
      </c>
      <c r="BB2493" s="174" t="s">
        <v>245</v>
      </c>
      <c r="BC2493" s="341"/>
      <c r="BD2493" s="308" t="s">
        <v>1844</v>
      </c>
      <c r="BE2493" s="364"/>
      <c r="BF2493" s="274" t="str">
        <f>IFERROR(__xludf.DUMMYFUNCTION("LOWER(Regexreplace(to_text(E2493),""[^A-Za-z0-9]"","""")&amp;""_""&amp;Regexreplace(to_text(F2493),""[^A-Za-z0-9]"",""""))"),"schneider_pm2200")</f>
        <v>schneider_pm2200</v>
      </c>
      <c r="BG2493" s="275" t="str">
        <f>IFERROR(__xludf.DUMMYFUNCTION("upper(Regexreplace(to_text(E2493),""[^A-Za-z0-9]"","""")&amp;""-""&amp;Regexreplace(to_text(F2493),""[^A-Za-z0-9]"",""""))"),"SCHNEIDER-PM2200")</f>
        <v>SCHNEIDER-PM2200</v>
      </c>
    </row>
    <row r="2494" ht="30.0" customHeight="1">
      <c r="A2494" s="258">
        <v>2486.0</v>
      </c>
      <c r="B2494" s="328" t="s">
        <v>670</v>
      </c>
      <c r="C2494" s="257" t="s">
        <v>8229</v>
      </c>
      <c r="D2494" s="173" t="s">
        <v>8229</v>
      </c>
      <c r="E2494" s="174" t="s">
        <v>8070</v>
      </c>
      <c r="F2494" s="173" t="s">
        <v>8071</v>
      </c>
      <c r="G2494" s="328" t="s">
        <v>673</v>
      </c>
      <c r="H2494" s="328" t="s">
        <v>2863</v>
      </c>
      <c r="I2494" s="258" t="s">
        <v>8072</v>
      </c>
      <c r="J2494" s="259" t="s">
        <v>1088</v>
      </c>
      <c r="K2494" s="260" t="s">
        <v>8155</v>
      </c>
      <c r="L2494" s="365"/>
      <c r="M2494" s="329"/>
      <c r="N2494" s="173" t="s">
        <v>679</v>
      </c>
      <c r="O2494" s="173" t="s">
        <v>225</v>
      </c>
      <c r="P2494" s="262" t="str">
        <f t="shared" si="1"/>
        <v>IN-BLR-ANANTA-EM-76_5</v>
      </c>
      <c r="Q2494" s="173" t="s">
        <v>8230</v>
      </c>
      <c r="R2494" s="328" t="str">
        <f>IFS(C2494="","",C2494="n/a","N/A",LEN(C2494),Concatenate("{",char(34),"asset",char(34),":{",char(34),"guid",char(34),":",char(34),Q2494,char(34),",",char(34),"site",char(34),":",char(34),LOWER('2-Building'!$B$4),char(34),",",char(34),"name",char(34),":",char(34),LOWER(C2494),char(34),"}}"))</f>
        <v>{"asset":{"guid":"uuid://80330382-c4e3-4d92-bfbd-367860d39bda","site":"in-blr-ananta","name":"em-76"}}</v>
      </c>
      <c r="S2494" s="366" t="s">
        <v>8075</v>
      </c>
      <c r="T2494" s="330"/>
      <c r="U2494" s="330"/>
      <c r="V2494" s="331"/>
      <c r="W2494" s="332"/>
      <c r="X2494" s="333"/>
      <c r="Y2494" s="33" t="s">
        <v>8076</v>
      </c>
      <c r="Z2494" s="368"/>
      <c r="AA2494" s="333"/>
      <c r="AB2494" s="258">
        <v>3.0</v>
      </c>
      <c r="AC2494" s="333"/>
      <c r="AD2494" s="329"/>
      <c r="AE2494" s="331"/>
      <c r="AF2494" s="336"/>
      <c r="AG2494" s="337" t="str">
        <f>IFS(LEN(AF2494)=17,LOWER('2-Building'!$B$4 &amp; "-" &amp; C2494), AF2494="N/A", "N/A", LEN(AF2494)=0,"")</f>
        <v/>
      </c>
      <c r="AH2494" s="333"/>
      <c r="AI2494" s="333"/>
      <c r="AJ2494" s="333"/>
      <c r="AK2494" s="333"/>
      <c r="AL2494" s="333"/>
      <c r="AM2494" s="338"/>
      <c r="AN2494" s="333"/>
      <c r="AO2494" s="333"/>
      <c r="AP2494" s="333"/>
      <c r="AQ2494" s="333"/>
      <c r="AR2494" s="333"/>
      <c r="AS2494" s="333"/>
      <c r="AT2494" s="333"/>
      <c r="AU2494" s="329"/>
      <c r="AV2494" s="341"/>
      <c r="AW2494" s="269" t="s">
        <v>2299</v>
      </c>
      <c r="AX2494" s="269" t="s">
        <v>2869</v>
      </c>
      <c r="AY2494" s="270" t="s">
        <v>695</v>
      </c>
      <c r="AZ2494" s="173" t="s">
        <v>8075</v>
      </c>
      <c r="BA2494" s="265">
        <v>10.0</v>
      </c>
      <c r="BB2494" s="174" t="s">
        <v>245</v>
      </c>
      <c r="BC2494" s="341"/>
      <c r="BD2494" s="308" t="s">
        <v>1844</v>
      </c>
      <c r="BE2494" s="364"/>
      <c r="BF2494" s="274" t="str">
        <f>IFERROR(__xludf.DUMMYFUNCTION("LOWER(Regexreplace(to_text(E2494),""[^A-Za-z0-9]"","""")&amp;""_""&amp;Regexreplace(to_text(F2494),""[^A-Za-z0-9]"",""""))"),"schneider_pm2200")</f>
        <v>schneider_pm2200</v>
      </c>
      <c r="BG2494" s="275" t="str">
        <f>IFERROR(__xludf.DUMMYFUNCTION("upper(Regexreplace(to_text(E2494),""[^A-Za-z0-9]"","""")&amp;""-""&amp;Regexreplace(to_text(F2494),""[^A-Za-z0-9]"",""""))"),"SCHNEIDER-PM2200")</f>
        <v>SCHNEIDER-PM2200</v>
      </c>
    </row>
    <row r="2495" ht="30.0" customHeight="1">
      <c r="A2495" s="173">
        <v>2487.0</v>
      </c>
      <c r="B2495" s="328" t="s">
        <v>670</v>
      </c>
      <c r="C2495" s="257" t="s">
        <v>8231</v>
      </c>
      <c r="D2495" s="173" t="s">
        <v>8231</v>
      </c>
      <c r="E2495" s="174" t="s">
        <v>8070</v>
      </c>
      <c r="F2495" s="173" t="s">
        <v>8071</v>
      </c>
      <c r="G2495" s="328" t="s">
        <v>673</v>
      </c>
      <c r="H2495" s="328" t="s">
        <v>2863</v>
      </c>
      <c r="I2495" s="258" t="s">
        <v>8072</v>
      </c>
      <c r="J2495" s="259" t="s">
        <v>1088</v>
      </c>
      <c r="K2495" s="260" t="s">
        <v>8155</v>
      </c>
      <c r="L2495" s="365"/>
      <c r="M2495" s="329"/>
      <c r="N2495" s="173" t="s">
        <v>679</v>
      </c>
      <c r="O2495" s="173" t="s">
        <v>225</v>
      </c>
      <c r="P2495" s="262" t="str">
        <f t="shared" si="1"/>
        <v>IN-BLR-ANANTA-EM-77_5</v>
      </c>
      <c r="Q2495" s="173" t="s">
        <v>8232</v>
      </c>
      <c r="R2495" s="328" t="str">
        <f>IFS(C2495="","",C2495="n/a","N/A",LEN(C2495),Concatenate("{",char(34),"asset",char(34),":{",char(34),"guid",char(34),":",char(34),Q2495,char(34),",",char(34),"site",char(34),":",char(34),LOWER('2-Building'!$B$4),char(34),",",char(34),"name",char(34),":",char(34),LOWER(C2495),char(34),"}}"))</f>
        <v>{"asset":{"guid":"uuid://fe4fd650-68dd-400e-ad83-d31a508c6441","site":"in-blr-ananta","name":"em-77"}}</v>
      </c>
      <c r="S2495" s="366" t="s">
        <v>8075</v>
      </c>
      <c r="T2495" s="330"/>
      <c r="U2495" s="330"/>
      <c r="V2495" s="331"/>
      <c r="W2495" s="332"/>
      <c r="X2495" s="333"/>
      <c r="Y2495" s="33" t="s">
        <v>8076</v>
      </c>
      <c r="Z2495" s="368"/>
      <c r="AA2495" s="333"/>
      <c r="AB2495" s="258">
        <v>4.0</v>
      </c>
      <c r="AC2495" s="333"/>
      <c r="AD2495" s="329"/>
      <c r="AE2495" s="331"/>
      <c r="AF2495" s="336"/>
      <c r="AG2495" s="337" t="str">
        <f>IFS(LEN(AF2495)=17,LOWER('2-Building'!$B$4 &amp; "-" &amp; C2495), AF2495="N/A", "N/A", LEN(AF2495)=0,"")</f>
        <v/>
      </c>
      <c r="AH2495" s="333"/>
      <c r="AI2495" s="333"/>
      <c r="AJ2495" s="333"/>
      <c r="AK2495" s="333"/>
      <c r="AL2495" s="333"/>
      <c r="AM2495" s="338"/>
      <c r="AN2495" s="333"/>
      <c r="AO2495" s="333"/>
      <c r="AP2495" s="333"/>
      <c r="AQ2495" s="333"/>
      <c r="AR2495" s="333"/>
      <c r="AS2495" s="333"/>
      <c r="AT2495" s="333"/>
      <c r="AU2495" s="329"/>
      <c r="AV2495" s="341"/>
      <c r="AW2495" s="269" t="s">
        <v>2299</v>
      </c>
      <c r="AX2495" s="269" t="s">
        <v>2869</v>
      </c>
      <c r="AY2495" s="270" t="s">
        <v>695</v>
      </c>
      <c r="AZ2495" s="173" t="s">
        <v>8075</v>
      </c>
      <c r="BA2495" s="265">
        <v>10.0</v>
      </c>
      <c r="BB2495" s="174" t="s">
        <v>245</v>
      </c>
      <c r="BC2495" s="341"/>
      <c r="BD2495" s="308" t="s">
        <v>1844</v>
      </c>
      <c r="BE2495" s="364"/>
      <c r="BF2495" s="274" t="str">
        <f>IFERROR(__xludf.DUMMYFUNCTION("LOWER(Regexreplace(to_text(E2495),""[^A-Za-z0-9]"","""")&amp;""_""&amp;Regexreplace(to_text(F2495),""[^A-Za-z0-9]"",""""))"),"schneider_pm2200")</f>
        <v>schneider_pm2200</v>
      </c>
      <c r="BG2495" s="275" t="str">
        <f>IFERROR(__xludf.DUMMYFUNCTION("upper(Regexreplace(to_text(E2495),""[^A-Za-z0-9]"","""")&amp;""-""&amp;Regexreplace(to_text(F2495),""[^A-Za-z0-9]"",""""))"),"SCHNEIDER-PM2200")</f>
        <v>SCHNEIDER-PM2200</v>
      </c>
    </row>
    <row r="2496" ht="30.0" customHeight="1">
      <c r="A2496" s="258">
        <v>2488.0</v>
      </c>
      <c r="B2496" s="328" t="s">
        <v>670</v>
      </c>
      <c r="C2496" s="257" t="s">
        <v>8233</v>
      </c>
      <c r="D2496" s="173" t="s">
        <v>8233</v>
      </c>
      <c r="E2496" s="174" t="s">
        <v>8070</v>
      </c>
      <c r="F2496" s="173" t="s">
        <v>8071</v>
      </c>
      <c r="G2496" s="328" t="s">
        <v>673</v>
      </c>
      <c r="H2496" s="328" t="s">
        <v>2863</v>
      </c>
      <c r="I2496" s="258" t="s">
        <v>8072</v>
      </c>
      <c r="J2496" s="259" t="s">
        <v>1088</v>
      </c>
      <c r="K2496" s="260" t="s">
        <v>8155</v>
      </c>
      <c r="L2496" s="365"/>
      <c r="M2496" s="329"/>
      <c r="N2496" s="173" t="s">
        <v>679</v>
      </c>
      <c r="O2496" s="173" t="s">
        <v>225</v>
      </c>
      <c r="P2496" s="262" t="str">
        <f t="shared" si="1"/>
        <v>IN-BLR-ANANTA-EM-78_5</v>
      </c>
      <c r="Q2496" s="173" t="s">
        <v>8234</v>
      </c>
      <c r="R2496" s="328" t="str">
        <f>IFS(C2496="","",C2496="n/a","N/A",LEN(C2496),Concatenate("{",char(34),"asset",char(34),":{",char(34),"guid",char(34),":",char(34),Q2496,char(34),",",char(34),"site",char(34),":",char(34),LOWER('2-Building'!$B$4),char(34),",",char(34),"name",char(34),":",char(34),LOWER(C2496),char(34),"}}"))</f>
        <v>{"asset":{"guid":"uuid://74fcaf34-9073-4c9a-af0a-feb1163bba57","site":"in-blr-ananta","name":"em-78"}}</v>
      </c>
      <c r="S2496" s="366" t="s">
        <v>8075</v>
      </c>
      <c r="T2496" s="330"/>
      <c r="U2496" s="330"/>
      <c r="V2496" s="331"/>
      <c r="W2496" s="332"/>
      <c r="X2496" s="333"/>
      <c r="Y2496" s="33" t="s">
        <v>8076</v>
      </c>
      <c r="Z2496" s="368"/>
      <c r="AA2496" s="333"/>
      <c r="AB2496" s="258">
        <v>5.0</v>
      </c>
      <c r="AC2496" s="333"/>
      <c r="AD2496" s="329"/>
      <c r="AE2496" s="331"/>
      <c r="AF2496" s="336"/>
      <c r="AG2496" s="337" t="str">
        <f>IFS(LEN(AF2496)=17,LOWER('2-Building'!$B$4 &amp; "-" &amp; C2496), AF2496="N/A", "N/A", LEN(AF2496)=0,"")</f>
        <v/>
      </c>
      <c r="AH2496" s="333"/>
      <c r="AI2496" s="333"/>
      <c r="AJ2496" s="333"/>
      <c r="AK2496" s="333"/>
      <c r="AL2496" s="333"/>
      <c r="AM2496" s="338"/>
      <c r="AN2496" s="333"/>
      <c r="AO2496" s="333"/>
      <c r="AP2496" s="333"/>
      <c r="AQ2496" s="333"/>
      <c r="AR2496" s="333"/>
      <c r="AS2496" s="333"/>
      <c r="AT2496" s="333"/>
      <c r="AU2496" s="329"/>
      <c r="AV2496" s="341"/>
      <c r="AW2496" s="269" t="s">
        <v>2299</v>
      </c>
      <c r="AX2496" s="269" t="s">
        <v>2869</v>
      </c>
      <c r="AY2496" s="270" t="s">
        <v>695</v>
      </c>
      <c r="AZ2496" s="173" t="s">
        <v>8075</v>
      </c>
      <c r="BA2496" s="265">
        <v>10.0</v>
      </c>
      <c r="BB2496" s="174" t="s">
        <v>245</v>
      </c>
      <c r="BC2496" s="341"/>
      <c r="BD2496" s="308" t="s">
        <v>1844</v>
      </c>
      <c r="BE2496" s="364"/>
      <c r="BF2496" s="274" t="str">
        <f>IFERROR(__xludf.DUMMYFUNCTION("LOWER(Regexreplace(to_text(E2496),""[^A-Za-z0-9]"","""")&amp;""_""&amp;Regexreplace(to_text(F2496),""[^A-Za-z0-9]"",""""))"),"schneider_pm2200")</f>
        <v>schneider_pm2200</v>
      </c>
      <c r="BG2496" s="275" t="str">
        <f>IFERROR(__xludf.DUMMYFUNCTION("upper(Regexreplace(to_text(E2496),""[^A-Za-z0-9]"","""")&amp;""-""&amp;Regexreplace(to_text(F2496),""[^A-Za-z0-9]"",""""))"),"SCHNEIDER-PM2200")</f>
        <v>SCHNEIDER-PM2200</v>
      </c>
    </row>
    <row r="2497" ht="30.0" customHeight="1">
      <c r="A2497" s="173">
        <v>2489.0</v>
      </c>
      <c r="B2497" s="328" t="s">
        <v>670</v>
      </c>
      <c r="C2497" s="257" t="s">
        <v>8235</v>
      </c>
      <c r="D2497" s="173" t="s">
        <v>8235</v>
      </c>
      <c r="E2497" s="174" t="s">
        <v>8070</v>
      </c>
      <c r="F2497" s="173" t="s">
        <v>8071</v>
      </c>
      <c r="G2497" s="328" t="s">
        <v>673</v>
      </c>
      <c r="H2497" s="328" t="s">
        <v>2863</v>
      </c>
      <c r="I2497" s="258" t="s">
        <v>8072</v>
      </c>
      <c r="J2497" s="259" t="s">
        <v>1088</v>
      </c>
      <c r="K2497" s="260" t="s">
        <v>8155</v>
      </c>
      <c r="L2497" s="365"/>
      <c r="M2497" s="329"/>
      <c r="N2497" s="173" t="s">
        <v>679</v>
      </c>
      <c r="O2497" s="173" t="s">
        <v>225</v>
      </c>
      <c r="P2497" s="262" t="str">
        <f t="shared" si="1"/>
        <v>IN-BLR-ANANTA-EM-79_5</v>
      </c>
      <c r="Q2497" s="173" t="s">
        <v>8236</v>
      </c>
      <c r="R2497" s="328" t="str">
        <f>IFS(C2497="","",C2497="n/a","N/A",LEN(C2497),Concatenate("{",char(34),"asset",char(34),":{",char(34),"guid",char(34),":",char(34),Q2497,char(34),",",char(34),"site",char(34),":",char(34),LOWER('2-Building'!$B$4),char(34),",",char(34),"name",char(34),":",char(34),LOWER(C2497),char(34),"}}"))</f>
        <v>{"asset":{"guid":"uuid://74e27837-54d3-492d-9868-7dee1b7dd8f2","site":"in-blr-ananta","name":"em-79"}}</v>
      </c>
      <c r="S2497" s="366" t="s">
        <v>8075</v>
      </c>
      <c r="T2497" s="330"/>
      <c r="U2497" s="330"/>
      <c r="V2497" s="331"/>
      <c r="W2497" s="332"/>
      <c r="X2497" s="333"/>
      <c r="Y2497" s="33" t="s">
        <v>8076</v>
      </c>
      <c r="Z2497" s="368"/>
      <c r="AA2497" s="333"/>
      <c r="AB2497" s="258">
        <v>6.0</v>
      </c>
      <c r="AC2497" s="333"/>
      <c r="AD2497" s="329"/>
      <c r="AE2497" s="331"/>
      <c r="AF2497" s="336"/>
      <c r="AG2497" s="337" t="str">
        <f>IFS(LEN(AF2497)=17,LOWER('2-Building'!$B$4 &amp; "-" &amp; C2497), AF2497="N/A", "N/A", LEN(AF2497)=0,"")</f>
        <v/>
      </c>
      <c r="AH2497" s="333"/>
      <c r="AI2497" s="333"/>
      <c r="AJ2497" s="333"/>
      <c r="AK2497" s="333"/>
      <c r="AL2497" s="333"/>
      <c r="AM2497" s="338"/>
      <c r="AN2497" s="333"/>
      <c r="AO2497" s="333"/>
      <c r="AP2497" s="333"/>
      <c r="AQ2497" s="333"/>
      <c r="AR2497" s="333"/>
      <c r="AS2497" s="333"/>
      <c r="AT2497" s="333"/>
      <c r="AU2497" s="329"/>
      <c r="AV2497" s="341"/>
      <c r="AW2497" s="269" t="s">
        <v>2299</v>
      </c>
      <c r="AX2497" s="269" t="s">
        <v>2869</v>
      </c>
      <c r="AY2497" s="270" t="s">
        <v>695</v>
      </c>
      <c r="AZ2497" s="173" t="s">
        <v>8075</v>
      </c>
      <c r="BA2497" s="265">
        <v>10.0</v>
      </c>
      <c r="BB2497" s="174" t="s">
        <v>245</v>
      </c>
      <c r="BC2497" s="341"/>
      <c r="BD2497" s="308" t="s">
        <v>1844</v>
      </c>
      <c r="BE2497" s="364"/>
      <c r="BF2497" s="274" t="str">
        <f>IFERROR(__xludf.DUMMYFUNCTION("LOWER(Regexreplace(to_text(E2497),""[^A-Za-z0-9]"","""")&amp;""_""&amp;Regexreplace(to_text(F2497),""[^A-Za-z0-9]"",""""))"),"schneider_pm2200")</f>
        <v>schneider_pm2200</v>
      </c>
      <c r="BG2497" s="275" t="str">
        <f>IFERROR(__xludf.DUMMYFUNCTION("upper(Regexreplace(to_text(E2497),""[^A-Za-z0-9]"","""")&amp;""-""&amp;Regexreplace(to_text(F2497),""[^A-Za-z0-9]"",""""))"),"SCHNEIDER-PM2200")</f>
        <v>SCHNEIDER-PM2200</v>
      </c>
    </row>
    <row r="2498" ht="30.0" customHeight="1">
      <c r="A2498" s="258">
        <v>2490.0</v>
      </c>
      <c r="B2498" s="328" t="s">
        <v>670</v>
      </c>
      <c r="C2498" s="257" t="s">
        <v>8237</v>
      </c>
      <c r="D2498" s="173" t="s">
        <v>8237</v>
      </c>
      <c r="E2498" s="174" t="s">
        <v>8070</v>
      </c>
      <c r="F2498" s="173" t="s">
        <v>8071</v>
      </c>
      <c r="G2498" s="328" t="s">
        <v>673</v>
      </c>
      <c r="H2498" s="328" t="s">
        <v>2863</v>
      </c>
      <c r="I2498" s="258" t="s">
        <v>8072</v>
      </c>
      <c r="J2498" s="259" t="s">
        <v>1088</v>
      </c>
      <c r="K2498" s="260" t="s">
        <v>8155</v>
      </c>
      <c r="L2498" s="365"/>
      <c r="M2498" s="329"/>
      <c r="N2498" s="173" t="s">
        <v>679</v>
      </c>
      <c r="O2498" s="173" t="s">
        <v>225</v>
      </c>
      <c r="P2498" s="262" t="str">
        <f t="shared" si="1"/>
        <v>IN-BLR-ANANTA-EM-80_5</v>
      </c>
      <c r="Q2498" s="173" t="s">
        <v>8238</v>
      </c>
      <c r="R2498" s="328" t="str">
        <f>IFS(C2498="","",C2498="n/a","N/A",LEN(C2498),Concatenate("{",char(34),"asset",char(34),":{",char(34),"guid",char(34),":",char(34),Q2498,char(34),",",char(34),"site",char(34),":",char(34),LOWER('2-Building'!$B$4),char(34),",",char(34),"name",char(34),":",char(34),LOWER(C2498),char(34),"}}"))</f>
        <v>{"asset":{"guid":"uuid://26ab393f-c480-49b6-a54a-c8d992c4e2db","site":"in-blr-ananta","name":"em-80"}}</v>
      </c>
      <c r="S2498" s="366" t="s">
        <v>8075</v>
      </c>
      <c r="T2498" s="330"/>
      <c r="U2498" s="330"/>
      <c r="V2498" s="331"/>
      <c r="W2498" s="332"/>
      <c r="X2498" s="333"/>
      <c r="Y2498" s="33" t="s">
        <v>8076</v>
      </c>
      <c r="Z2498" s="368"/>
      <c r="AA2498" s="333"/>
      <c r="AB2498" s="258">
        <v>7.0</v>
      </c>
      <c r="AC2498" s="333"/>
      <c r="AD2498" s="329"/>
      <c r="AE2498" s="331"/>
      <c r="AF2498" s="336"/>
      <c r="AG2498" s="337" t="str">
        <f>IFS(LEN(AF2498)=17,LOWER('2-Building'!$B$4 &amp; "-" &amp; C2498), AF2498="N/A", "N/A", LEN(AF2498)=0,"")</f>
        <v/>
      </c>
      <c r="AH2498" s="333"/>
      <c r="AI2498" s="333"/>
      <c r="AJ2498" s="333"/>
      <c r="AK2498" s="333"/>
      <c r="AL2498" s="333"/>
      <c r="AM2498" s="338"/>
      <c r="AN2498" s="333"/>
      <c r="AO2498" s="333"/>
      <c r="AP2498" s="333"/>
      <c r="AQ2498" s="333"/>
      <c r="AR2498" s="333"/>
      <c r="AS2498" s="333"/>
      <c r="AT2498" s="333"/>
      <c r="AU2498" s="329"/>
      <c r="AV2498" s="341"/>
      <c r="AW2498" s="269" t="s">
        <v>2299</v>
      </c>
      <c r="AX2498" s="269" t="s">
        <v>2869</v>
      </c>
      <c r="AY2498" s="270" t="s">
        <v>695</v>
      </c>
      <c r="AZ2498" s="173" t="s">
        <v>8075</v>
      </c>
      <c r="BA2498" s="265">
        <v>10.0</v>
      </c>
      <c r="BB2498" s="174" t="s">
        <v>245</v>
      </c>
      <c r="BC2498" s="341"/>
      <c r="BD2498" s="308" t="s">
        <v>1844</v>
      </c>
      <c r="BE2498" s="364"/>
      <c r="BF2498" s="274" t="str">
        <f>IFERROR(__xludf.DUMMYFUNCTION("LOWER(Regexreplace(to_text(E2498),""[^A-Za-z0-9]"","""")&amp;""_""&amp;Regexreplace(to_text(F2498),""[^A-Za-z0-9]"",""""))"),"schneider_pm2200")</f>
        <v>schneider_pm2200</v>
      </c>
      <c r="BG2498" s="275" t="str">
        <f>IFERROR(__xludf.DUMMYFUNCTION("upper(Regexreplace(to_text(E2498),""[^A-Za-z0-9]"","""")&amp;""-""&amp;Regexreplace(to_text(F2498),""[^A-Za-z0-9]"",""""))"),"SCHNEIDER-PM2200")</f>
        <v>SCHNEIDER-PM2200</v>
      </c>
    </row>
    <row r="2499" ht="30.0" customHeight="1">
      <c r="A2499" s="173">
        <v>2491.0</v>
      </c>
      <c r="B2499" s="328" t="s">
        <v>670</v>
      </c>
      <c r="C2499" s="257" t="s">
        <v>8239</v>
      </c>
      <c r="D2499" s="173" t="s">
        <v>8239</v>
      </c>
      <c r="E2499" s="174" t="s">
        <v>8070</v>
      </c>
      <c r="F2499" s="173" t="s">
        <v>8071</v>
      </c>
      <c r="G2499" s="328" t="s">
        <v>673</v>
      </c>
      <c r="H2499" s="328" t="s">
        <v>2863</v>
      </c>
      <c r="I2499" s="258" t="s">
        <v>8072</v>
      </c>
      <c r="J2499" s="259" t="s">
        <v>1088</v>
      </c>
      <c r="K2499" s="260" t="s">
        <v>8155</v>
      </c>
      <c r="L2499" s="365"/>
      <c r="M2499" s="329"/>
      <c r="N2499" s="173" t="s">
        <v>679</v>
      </c>
      <c r="O2499" s="173" t="s">
        <v>225</v>
      </c>
      <c r="P2499" s="262" t="str">
        <f t="shared" si="1"/>
        <v>IN-BLR-ANANTA-EM-81_5</v>
      </c>
      <c r="Q2499" s="173" t="s">
        <v>8240</v>
      </c>
      <c r="R2499" s="328" t="str">
        <f>IFS(C2499="","",C2499="n/a","N/A",LEN(C2499),Concatenate("{",char(34),"asset",char(34),":{",char(34),"guid",char(34),":",char(34),Q2499,char(34),",",char(34),"site",char(34),":",char(34),LOWER('2-Building'!$B$4),char(34),",",char(34),"name",char(34),":",char(34),LOWER(C2499),char(34),"}}"))</f>
        <v>{"asset":{"guid":"uuid://3d7feaca-f4fb-4367-9069-f3038cb0fef6","site":"in-blr-ananta","name":"em-81"}}</v>
      </c>
      <c r="S2499" s="366" t="s">
        <v>8075</v>
      </c>
      <c r="T2499" s="330"/>
      <c r="U2499" s="330"/>
      <c r="V2499" s="331"/>
      <c r="W2499" s="332"/>
      <c r="X2499" s="333"/>
      <c r="Y2499" s="33" t="s">
        <v>8076</v>
      </c>
      <c r="Z2499" s="368"/>
      <c r="AA2499" s="333"/>
      <c r="AB2499" s="258">
        <v>8.0</v>
      </c>
      <c r="AC2499" s="333"/>
      <c r="AD2499" s="329"/>
      <c r="AE2499" s="331"/>
      <c r="AF2499" s="336"/>
      <c r="AG2499" s="337" t="str">
        <f>IFS(LEN(AF2499)=17,LOWER('2-Building'!$B$4 &amp; "-" &amp; C2499), AF2499="N/A", "N/A", LEN(AF2499)=0,"")</f>
        <v/>
      </c>
      <c r="AH2499" s="333"/>
      <c r="AI2499" s="333"/>
      <c r="AJ2499" s="333"/>
      <c r="AK2499" s="333"/>
      <c r="AL2499" s="333"/>
      <c r="AM2499" s="338"/>
      <c r="AN2499" s="333"/>
      <c r="AO2499" s="333"/>
      <c r="AP2499" s="333"/>
      <c r="AQ2499" s="333"/>
      <c r="AR2499" s="333"/>
      <c r="AS2499" s="333"/>
      <c r="AT2499" s="333"/>
      <c r="AU2499" s="329"/>
      <c r="AV2499" s="341"/>
      <c r="AW2499" s="269" t="s">
        <v>2299</v>
      </c>
      <c r="AX2499" s="269" t="s">
        <v>2869</v>
      </c>
      <c r="AY2499" s="270" t="s">
        <v>695</v>
      </c>
      <c r="AZ2499" s="173" t="s">
        <v>8075</v>
      </c>
      <c r="BA2499" s="265">
        <v>10.0</v>
      </c>
      <c r="BB2499" s="174" t="s">
        <v>245</v>
      </c>
      <c r="BC2499" s="341"/>
      <c r="BD2499" s="308" t="s">
        <v>1844</v>
      </c>
      <c r="BE2499" s="364"/>
      <c r="BF2499" s="274" t="str">
        <f>IFERROR(__xludf.DUMMYFUNCTION("LOWER(Regexreplace(to_text(E2499),""[^A-Za-z0-9]"","""")&amp;""_""&amp;Regexreplace(to_text(F2499),""[^A-Za-z0-9]"",""""))"),"schneider_pm2200")</f>
        <v>schneider_pm2200</v>
      </c>
      <c r="BG2499" s="275" t="str">
        <f>IFERROR(__xludf.DUMMYFUNCTION("upper(Regexreplace(to_text(E2499),""[^A-Za-z0-9]"","""")&amp;""-""&amp;Regexreplace(to_text(F2499),""[^A-Za-z0-9]"",""""))"),"SCHNEIDER-PM2200")</f>
        <v>SCHNEIDER-PM2200</v>
      </c>
    </row>
    <row r="2500" ht="30.0" customHeight="1">
      <c r="A2500" s="258">
        <v>2492.0</v>
      </c>
      <c r="B2500" s="328" t="s">
        <v>670</v>
      </c>
      <c r="C2500" s="257" t="s">
        <v>8241</v>
      </c>
      <c r="D2500" s="173" t="s">
        <v>8241</v>
      </c>
      <c r="E2500" s="174" t="s">
        <v>8070</v>
      </c>
      <c r="F2500" s="173" t="s">
        <v>8071</v>
      </c>
      <c r="G2500" s="328" t="s">
        <v>673</v>
      </c>
      <c r="H2500" s="328" t="s">
        <v>2863</v>
      </c>
      <c r="I2500" s="258" t="s">
        <v>8072</v>
      </c>
      <c r="J2500" s="259" t="s">
        <v>1088</v>
      </c>
      <c r="K2500" s="260" t="s">
        <v>8155</v>
      </c>
      <c r="L2500" s="365"/>
      <c r="M2500" s="329"/>
      <c r="N2500" s="173" t="s">
        <v>679</v>
      </c>
      <c r="O2500" s="173" t="s">
        <v>225</v>
      </c>
      <c r="P2500" s="262" t="str">
        <f t="shared" si="1"/>
        <v>IN-BLR-ANANTA-EM-82_5</v>
      </c>
      <c r="Q2500" s="173" t="s">
        <v>8242</v>
      </c>
      <c r="R2500" s="328" t="str">
        <f>IFS(C2500="","",C2500="n/a","N/A",LEN(C2500),Concatenate("{",char(34),"asset",char(34),":{",char(34),"guid",char(34),":",char(34),Q2500,char(34),",",char(34),"site",char(34),":",char(34),LOWER('2-Building'!$B$4),char(34),",",char(34),"name",char(34),":",char(34),LOWER(C2500),char(34),"}}"))</f>
        <v>{"asset":{"guid":"uuid://a6113f0b-15ca-4638-a7af-ff88965e4d25","site":"in-blr-ananta","name":"em-82"}}</v>
      </c>
      <c r="S2500" s="366" t="s">
        <v>8075</v>
      </c>
      <c r="T2500" s="330"/>
      <c r="U2500" s="330"/>
      <c r="V2500" s="331"/>
      <c r="W2500" s="332"/>
      <c r="X2500" s="333"/>
      <c r="Y2500" s="33" t="s">
        <v>8076</v>
      </c>
      <c r="Z2500" s="368"/>
      <c r="AA2500" s="333"/>
      <c r="AB2500" s="258">
        <v>9.0</v>
      </c>
      <c r="AC2500" s="333"/>
      <c r="AD2500" s="329"/>
      <c r="AE2500" s="331"/>
      <c r="AF2500" s="336"/>
      <c r="AG2500" s="337" t="str">
        <f>IFS(LEN(AF2500)=17,LOWER('2-Building'!$B$4 &amp; "-" &amp; C2500), AF2500="N/A", "N/A", LEN(AF2500)=0,"")</f>
        <v/>
      </c>
      <c r="AH2500" s="333"/>
      <c r="AI2500" s="333"/>
      <c r="AJ2500" s="333"/>
      <c r="AK2500" s="333"/>
      <c r="AL2500" s="333"/>
      <c r="AM2500" s="338"/>
      <c r="AN2500" s="333"/>
      <c r="AO2500" s="333"/>
      <c r="AP2500" s="333"/>
      <c r="AQ2500" s="333"/>
      <c r="AR2500" s="333"/>
      <c r="AS2500" s="333"/>
      <c r="AT2500" s="333"/>
      <c r="AU2500" s="329"/>
      <c r="AV2500" s="341"/>
      <c r="AW2500" s="269" t="s">
        <v>2299</v>
      </c>
      <c r="AX2500" s="269" t="s">
        <v>2869</v>
      </c>
      <c r="AY2500" s="270" t="s">
        <v>695</v>
      </c>
      <c r="AZ2500" s="173" t="s">
        <v>8075</v>
      </c>
      <c r="BA2500" s="265">
        <v>10.0</v>
      </c>
      <c r="BB2500" s="174" t="s">
        <v>245</v>
      </c>
      <c r="BC2500" s="341"/>
      <c r="BD2500" s="308" t="s">
        <v>1844</v>
      </c>
      <c r="BE2500" s="364"/>
      <c r="BF2500" s="274" t="str">
        <f>IFERROR(__xludf.DUMMYFUNCTION("LOWER(Regexreplace(to_text(E2500),""[^A-Za-z0-9]"","""")&amp;""_""&amp;Regexreplace(to_text(F2500),""[^A-Za-z0-9]"",""""))"),"schneider_pm2200")</f>
        <v>schneider_pm2200</v>
      </c>
      <c r="BG2500" s="275" t="str">
        <f>IFERROR(__xludf.DUMMYFUNCTION("upper(Regexreplace(to_text(E2500),""[^A-Za-z0-9]"","""")&amp;""-""&amp;Regexreplace(to_text(F2500),""[^A-Za-z0-9]"",""""))"),"SCHNEIDER-PM2200")</f>
        <v>SCHNEIDER-PM2200</v>
      </c>
    </row>
    <row r="2501" ht="30.0" customHeight="1">
      <c r="A2501" s="173">
        <v>2493.0</v>
      </c>
      <c r="B2501" s="328" t="s">
        <v>670</v>
      </c>
      <c r="C2501" s="257" t="s">
        <v>8243</v>
      </c>
      <c r="D2501" s="173" t="s">
        <v>8243</v>
      </c>
      <c r="E2501" s="174" t="s">
        <v>8070</v>
      </c>
      <c r="F2501" s="173" t="s">
        <v>8071</v>
      </c>
      <c r="G2501" s="328" t="s">
        <v>673</v>
      </c>
      <c r="H2501" s="328" t="s">
        <v>2863</v>
      </c>
      <c r="I2501" s="258" t="s">
        <v>8072</v>
      </c>
      <c r="J2501" s="259" t="s">
        <v>1088</v>
      </c>
      <c r="K2501" s="260" t="s">
        <v>8155</v>
      </c>
      <c r="L2501" s="365"/>
      <c r="M2501" s="329"/>
      <c r="N2501" s="173" t="s">
        <v>679</v>
      </c>
      <c r="O2501" s="173" t="s">
        <v>225</v>
      </c>
      <c r="P2501" s="262" t="str">
        <f t="shared" si="1"/>
        <v>IN-BLR-ANANTA-EM-83_5</v>
      </c>
      <c r="Q2501" s="173" t="s">
        <v>8244</v>
      </c>
      <c r="R2501" s="328" t="str">
        <f>IFS(C2501="","",C2501="n/a","N/A",LEN(C2501),Concatenate("{",char(34),"asset",char(34),":{",char(34),"guid",char(34),":",char(34),Q2501,char(34),",",char(34),"site",char(34),":",char(34),LOWER('2-Building'!$B$4),char(34),",",char(34),"name",char(34),":",char(34),LOWER(C2501),char(34),"}}"))</f>
        <v>{"asset":{"guid":"uuid://91c5bc4c-008c-4b6b-be3e-91f11978beec","site":"in-blr-ananta","name":"em-83"}}</v>
      </c>
      <c r="S2501" s="366" t="s">
        <v>8075</v>
      </c>
      <c r="T2501" s="330"/>
      <c r="U2501" s="330"/>
      <c r="V2501" s="331"/>
      <c r="W2501" s="332"/>
      <c r="X2501" s="333"/>
      <c r="Y2501" s="33" t="s">
        <v>8076</v>
      </c>
      <c r="Z2501" s="368"/>
      <c r="AA2501" s="333"/>
      <c r="AB2501" s="258">
        <v>10.0</v>
      </c>
      <c r="AC2501" s="333"/>
      <c r="AD2501" s="329"/>
      <c r="AE2501" s="331"/>
      <c r="AF2501" s="336"/>
      <c r="AG2501" s="337" t="str">
        <f>IFS(LEN(AF2501)=17,LOWER('2-Building'!$B$4 &amp; "-" &amp; C2501), AF2501="N/A", "N/A", LEN(AF2501)=0,"")</f>
        <v/>
      </c>
      <c r="AH2501" s="333"/>
      <c r="AI2501" s="333"/>
      <c r="AJ2501" s="333"/>
      <c r="AK2501" s="333"/>
      <c r="AL2501" s="333"/>
      <c r="AM2501" s="338"/>
      <c r="AN2501" s="333"/>
      <c r="AO2501" s="333"/>
      <c r="AP2501" s="333"/>
      <c r="AQ2501" s="333"/>
      <c r="AR2501" s="333"/>
      <c r="AS2501" s="333"/>
      <c r="AT2501" s="333"/>
      <c r="AU2501" s="329"/>
      <c r="AV2501" s="341"/>
      <c r="AW2501" s="269" t="s">
        <v>2299</v>
      </c>
      <c r="AX2501" s="269" t="s">
        <v>2869</v>
      </c>
      <c r="AY2501" s="270" t="s">
        <v>695</v>
      </c>
      <c r="AZ2501" s="173" t="s">
        <v>8075</v>
      </c>
      <c r="BA2501" s="265">
        <v>10.0</v>
      </c>
      <c r="BB2501" s="174" t="s">
        <v>245</v>
      </c>
      <c r="BC2501" s="341"/>
      <c r="BD2501" s="308" t="s">
        <v>1844</v>
      </c>
      <c r="BE2501" s="364"/>
      <c r="BF2501" s="274" t="str">
        <f>IFERROR(__xludf.DUMMYFUNCTION("LOWER(Regexreplace(to_text(E2501),""[^A-Za-z0-9]"","""")&amp;""_""&amp;Regexreplace(to_text(F2501),""[^A-Za-z0-9]"",""""))"),"schneider_pm2200")</f>
        <v>schneider_pm2200</v>
      </c>
      <c r="BG2501" s="275" t="str">
        <f>IFERROR(__xludf.DUMMYFUNCTION("upper(Regexreplace(to_text(E2501),""[^A-Za-z0-9]"","""")&amp;""-""&amp;Regexreplace(to_text(F2501),""[^A-Za-z0-9]"",""""))"),"SCHNEIDER-PM2200")</f>
        <v>SCHNEIDER-PM2200</v>
      </c>
    </row>
    <row r="2502" ht="30.0" customHeight="1">
      <c r="A2502" s="258">
        <v>2494.0</v>
      </c>
      <c r="B2502" s="328" t="s">
        <v>670</v>
      </c>
      <c r="C2502" s="257" t="s">
        <v>8245</v>
      </c>
      <c r="D2502" s="173" t="s">
        <v>8245</v>
      </c>
      <c r="E2502" s="174" t="s">
        <v>8070</v>
      </c>
      <c r="F2502" s="173" t="s">
        <v>8071</v>
      </c>
      <c r="G2502" s="328" t="s">
        <v>673</v>
      </c>
      <c r="H2502" s="328" t="s">
        <v>2863</v>
      </c>
      <c r="I2502" s="258" t="s">
        <v>8072</v>
      </c>
      <c r="J2502" s="259" t="s">
        <v>1088</v>
      </c>
      <c r="K2502" s="260" t="s">
        <v>8155</v>
      </c>
      <c r="L2502" s="365"/>
      <c r="M2502" s="329"/>
      <c r="N2502" s="173" t="s">
        <v>679</v>
      </c>
      <c r="O2502" s="173" t="s">
        <v>225</v>
      </c>
      <c r="P2502" s="262" t="str">
        <f t="shared" si="1"/>
        <v>IN-BLR-ANANTA-EM-84_5</v>
      </c>
      <c r="Q2502" s="173" t="s">
        <v>8246</v>
      </c>
      <c r="R2502" s="328" t="str">
        <f>IFS(C2502="","",C2502="n/a","N/A",LEN(C2502),Concatenate("{",char(34),"asset",char(34),":{",char(34),"guid",char(34),":",char(34),Q2502,char(34),",",char(34),"site",char(34),":",char(34),LOWER('2-Building'!$B$4),char(34),",",char(34),"name",char(34),":",char(34),LOWER(C2502),char(34),"}}"))</f>
        <v>{"asset":{"guid":"uuid://0fb74d10-e988-45d7-9903-5470c7ca50ea","site":"in-blr-ananta","name":"em-84"}}</v>
      </c>
      <c r="S2502" s="366" t="s">
        <v>8075</v>
      </c>
      <c r="T2502" s="330"/>
      <c r="U2502" s="330"/>
      <c r="V2502" s="331"/>
      <c r="W2502" s="332"/>
      <c r="X2502" s="333"/>
      <c r="Y2502" s="33" t="s">
        <v>8076</v>
      </c>
      <c r="Z2502" s="368"/>
      <c r="AA2502" s="333"/>
      <c r="AB2502" s="258">
        <v>11.0</v>
      </c>
      <c r="AC2502" s="333"/>
      <c r="AD2502" s="329"/>
      <c r="AE2502" s="331"/>
      <c r="AF2502" s="336"/>
      <c r="AG2502" s="337" t="str">
        <f>IFS(LEN(AF2502)=17,LOWER('2-Building'!$B$4 &amp; "-" &amp; C2502), AF2502="N/A", "N/A", LEN(AF2502)=0,"")</f>
        <v/>
      </c>
      <c r="AH2502" s="333"/>
      <c r="AI2502" s="333"/>
      <c r="AJ2502" s="333"/>
      <c r="AK2502" s="333"/>
      <c r="AL2502" s="333"/>
      <c r="AM2502" s="338"/>
      <c r="AN2502" s="333"/>
      <c r="AO2502" s="333"/>
      <c r="AP2502" s="333"/>
      <c r="AQ2502" s="333"/>
      <c r="AR2502" s="333"/>
      <c r="AS2502" s="333"/>
      <c r="AT2502" s="333"/>
      <c r="AU2502" s="329"/>
      <c r="AV2502" s="341"/>
      <c r="AW2502" s="269" t="s">
        <v>2299</v>
      </c>
      <c r="AX2502" s="269" t="s">
        <v>2869</v>
      </c>
      <c r="AY2502" s="270" t="s">
        <v>695</v>
      </c>
      <c r="AZ2502" s="173" t="s">
        <v>8075</v>
      </c>
      <c r="BA2502" s="265">
        <v>10.0</v>
      </c>
      <c r="BB2502" s="174" t="s">
        <v>245</v>
      </c>
      <c r="BC2502" s="341"/>
      <c r="BD2502" s="308" t="s">
        <v>1844</v>
      </c>
      <c r="BE2502" s="364"/>
      <c r="BF2502" s="274" t="str">
        <f>IFERROR(__xludf.DUMMYFUNCTION("LOWER(Regexreplace(to_text(E2502),""[^A-Za-z0-9]"","""")&amp;""_""&amp;Regexreplace(to_text(F2502),""[^A-Za-z0-9]"",""""))"),"schneider_pm2200")</f>
        <v>schneider_pm2200</v>
      </c>
      <c r="BG2502" s="275" t="str">
        <f>IFERROR(__xludf.DUMMYFUNCTION("upper(Regexreplace(to_text(E2502),""[^A-Za-z0-9]"","""")&amp;""-""&amp;Regexreplace(to_text(F2502),""[^A-Za-z0-9]"",""""))"),"SCHNEIDER-PM2200")</f>
        <v>SCHNEIDER-PM2200</v>
      </c>
    </row>
    <row r="2503" ht="30.0" customHeight="1">
      <c r="A2503" s="173">
        <v>2495.0</v>
      </c>
      <c r="B2503" s="328" t="s">
        <v>670</v>
      </c>
      <c r="C2503" s="257" t="s">
        <v>8247</v>
      </c>
      <c r="D2503" s="173" t="s">
        <v>8247</v>
      </c>
      <c r="E2503" s="174" t="s">
        <v>8070</v>
      </c>
      <c r="F2503" s="173" t="s">
        <v>8071</v>
      </c>
      <c r="G2503" s="328" t="s">
        <v>673</v>
      </c>
      <c r="H2503" s="328" t="s">
        <v>2863</v>
      </c>
      <c r="I2503" s="258" t="s">
        <v>8072</v>
      </c>
      <c r="J2503" s="259" t="s">
        <v>1088</v>
      </c>
      <c r="K2503" s="260" t="s">
        <v>8155</v>
      </c>
      <c r="L2503" s="365"/>
      <c r="M2503" s="329"/>
      <c r="N2503" s="173" t="s">
        <v>679</v>
      </c>
      <c r="O2503" s="173" t="s">
        <v>225</v>
      </c>
      <c r="P2503" s="262" t="str">
        <f t="shared" si="1"/>
        <v>IN-BLR-ANANTA-EM-85_5</v>
      </c>
      <c r="Q2503" s="173" t="s">
        <v>8248</v>
      </c>
      <c r="R2503" s="328" t="str">
        <f>IFS(C2503="","",C2503="n/a","N/A",LEN(C2503),Concatenate("{",char(34),"asset",char(34),":{",char(34),"guid",char(34),":",char(34),Q2503,char(34),",",char(34),"site",char(34),":",char(34),LOWER('2-Building'!$B$4),char(34),",",char(34),"name",char(34),":",char(34),LOWER(C2503),char(34),"}}"))</f>
        <v>{"asset":{"guid":"uuid://6cae4c03-b6bc-465e-a707-8067b74384f6","site":"in-blr-ananta","name":"em-85"}}</v>
      </c>
      <c r="S2503" s="366" t="s">
        <v>8075</v>
      </c>
      <c r="T2503" s="330"/>
      <c r="U2503" s="330"/>
      <c r="V2503" s="331"/>
      <c r="W2503" s="332"/>
      <c r="X2503" s="333"/>
      <c r="Y2503" s="33" t="s">
        <v>8076</v>
      </c>
      <c r="Z2503" s="368"/>
      <c r="AA2503" s="333"/>
      <c r="AB2503" s="258">
        <v>12.0</v>
      </c>
      <c r="AC2503" s="333"/>
      <c r="AD2503" s="329"/>
      <c r="AE2503" s="331"/>
      <c r="AF2503" s="336"/>
      <c r="AG2503" s="337" t="str">
        <f>IFS(LEN(AF2503)=17,LOWER('2-Building'!$B$4 &amp; "-" &amp; C2503), AF2503="N/A", "N/A", LEN(AF2503)=0,"")</f>
        <v/>
      </c>
      <c r="AH2503" s="333"/>
      <c r="AI2503" s="333"/>
      <c r="AJ2503" s="333"/>
      <c r="AK2503" s="333"/>
      <c r="AL2503" s="333"/>
      <c r="AM2503" s="338"/>
      <c r="AN2503" s="333"/>
      <c r="AO2503" s="333"/>
      <c r="AP2503" s="333"/>
      <c r="AQ2503" s="333"/>
      <c r="AR2503" s="333"/>
      <c r="AS2503" s="333"/>
      <c r="AT2503" s="333"/>
      <c r="AU2503" s="329"/>
      <c r="AV2503" s="341"/>
      <c r="AW2503" s="269" t="s">
        <v>2299</v>
      </c>
      <c r="AX2503" s="269" t="s">
        <v>2869</v>
      </c>
      <c r="AY2503" s="270" t="s">
        <v>695</v>
      </c>
      <c r="AZ2503" s="173" t="s">
        <v>8075</v>
      </c>
      <c r="BA2503" s="265">
        <v>10.0</v>
      </c>
      <c r="BB2503" s="174" t="s">
        <v>245</v>
      </c>
      <c r="BC2503" s="341"/>
      <c r="BD2503" s="308" t="s">
        <v>1844</v>
      </c>
      <c r="BE2503" s="364"/>
      <c r="BF2503" s="274" t="str">
        <f>IFERROR(__xludf.DUMMYFUNCTION("LOWER(Regexreplace(to_text(E2503),""[^A-Za-z0-9]"","""")&amp;""_""&amp;Regexreplace(to_text(F2503),""[^A-Za-z0-9]"",""""))"),"schneider_pm2200")</f>
        <v>schneider_pm2200</v>
      </c>
      <c r="BG2503" s="275" t="str">
        <f>IFERROR(__xludf.DUMMYFUNCTION("upper(Regexreplace(to_text(E2503),""[^A-Za-z0-9]"","""")&amp;""-""&amp;Regexreplace(to_text(F2503),""[^A-Za-z0-9]"",""""))"),"SCHNEIDER-PM2200")</f>
        <v>SCHNEIDER-PM2200</v>
      </c>
    </row>
    <row r="2504" ht="30.0" customHeight="1">
      <c r="A2504" s="258">
        <v>2496.0</v>
      </c>
      <c r="B2504" s="328" t="s">
        <v>670</v>
      </c>
      <c r="C2504" s="257" t="s">
        <v>8249</v>
      </c>
      <c r="D2504" s="173" t="s">
        <v>8249</v>
      </c>
      <c r="E2504" s="174" t="s">
        <v>8070</v>
      </c>
      <c r="F2504" s="173" t="s">
        <v>8071</v>
      </c>
      <c r="G2504" s="328" t="s">
        <v>673</v>
      </c>
      <c r="H2504" s="328" t="s">
        <v>2863</v>
      </c>
      <c r="I2504" s="258" t="s">
        <v>8072</v>
      </c>
      <c r="J2504" s="259" t="s">
        <v>1088</v>
      </c>
      <c r="K2504" s="260" t="s">
        <v>8155</v>
      </c>
      <c r="L2504" s="365"/>
      <c r="M2504" s="329"/>
      <c r="N2504" s="173" t="s">
        <v>679</v>
      </c>
      <c r="O2504" s="173" t="s">
        <v>225</v>
      </c>
      <c r="P2504" s="262" t="str">
        <f t="shared" si="1"/>
        <v>IN-BLR-ANANTA-EM-86_5</v>
      </c>
      <c r="Q2504" s="173" t="s">
        <v>8250</v>
      </c>
      <c r="R2504" s="328" t="str">
        <f>IFS(C2504="","",C2504="n/a","N/A",LEN(C2504),Concatenate("{",char(34),"asset",char(34),":{",char(34),"guid",char(34),":",char(34),Q2504,char(34),",",char(34),"site",char(34),":",char(34),LOWER('2-Building'!$B$4),char(34),",",char(34),"name",char(34),":",char(34),LOWER(C2504),char(34),"}}"))</f>
        <v>{"asset":{"guid":"uuid://f8ccbc38-5041-45ed-852b-eb84f2b72efe","site":"in-blr-ananta","name":"em-86"}}</v>
      </c>
      <c r="S2504" s="366" t="s">
        <v>8075</v>
      </c>
      <c r="T2504" s="330"/>
      <c r="U2504" s="330"/>
      <c r="V2504" s="331"/>
      <c r="W2504" s="332"/>
      <c r="X2504" s="333"/>
      <c r="Y2504" s="33" t="s">
        <v>8076</v>
      </c>
      <c r="Z2504" s="368"/>
      <c r="AA2504" s="333"/>
      <c r="AB2504" s="258">
        <v>13.0</v>
      </c>
      <c r="AC2504" s="333"/>
      <c r="AD2504" s="329"/>
      <c r="AE2504" s="331"/>
      <c r="AF2504" s="336"/>
      <c r="AG2504" s="337" t="str">
        <f>IFS(LEN(AF2504)=17,LOWER('2-Building'!$B$4 &amp; "-" &amp; C2504), AF2504="N/A", "N/A", LEN(AF2504)=0,"")</f>
        <v/>
      </c>
      <c r="AH2504" s="333"/>
      <c r="AI2504" s="333"/>
      <c r="AJ2504" s="333"/>
      <c r="AK2504" s="333"/>
      <c r="AL2504" s="333"/>
      <c r="AM2504" s="338"/>
      <c r="AN2504" s="333"/>
      <c r="AO2504" s="333"/>
      <c r="AP2504" s="333"/>
      <c r="AQ2504" s="333"/>
      <c r="AR2504" s="333"/>
      <c r="AS2504" s="333"/>
      <c r="AT2504" s="333"/>
      <c r="AU2504" s="329"/>
      <c r="AV2504" s="341"/>
      <c r="AW2504" s="269" t="s">
        <v>2299</v>
      </c>
      <c r="AX2504" s="269" t="s">
        <v>2869</v>
      </c>
      <c r="AY2504" s="270" t="s">
        <v>695</v>
      </c>
      <c r="AZ2504" s="173" t="s">
        <v>8075</v>
      </c>
      <c r="BA2504" s="265">
        <v>10.0</v>
      </c>
      <c r="BB2504" s="174" t="s">
        <v>245</v>
      </c>
      <c r="BC2504" s="341"/>
      <c r="BD2504" s="308" t="s">
        <v>1844</v>
      </c>
      <c r="BE2504" s="364"/>
      <c r="BF2504" s="274" t="str">
        <f>IFERROR(__xludf.DUMMYFUNCTION("LOWER(Regexreplace(to_text(E2504),""[^A-Za-z0-9]"","""")&amp;""_""&amp;Regexreplace(to_text(F2504),""[^A-Za-z0-9]"",""""))"),"schneider_pm2200")</f>
        <v>schneider_pm2200</v>
      </c>
      <c r="BG2504" s="275" t="str">
        <f>IFERROR(__xludf.DUMMYFUNCTION("upper(Regexreplace(to_text(E2504),""[^A-Za-z0-9]"","""")&amp;""-""&amp;Regexreplace(to_text(F2504),""[^A-Za-z0-9]"",""""))"),"SCHNEIDER-PM2200")</f>
        <v>SCHNEIDER-PM2200</v>
      </c>
    </row>
    <row r="2505" ht="30.0" customHeight="1">
      <c r="A2505" s="173">
        <v>2497.0</v>
      </c>
      <c r="B2505" s="328" t="s">
        <v>670</v>
      </c>
      <c r="C2505" s="257" t="s">
        <v>8251</v>
      </c>
      <c r="D2505" s="173" t="s">
        <v>8251</v>
      </c>
      <c r="E2505" s="174" t="s">
        <v>8070</v>
      </c>
      <c r="F2505" s="173" t="s">
        <v>8071</v>
      </c>
      <c r="G2505" s="328" t="s">
        <v>673</v>
      </c>
      <c r="H2505" s="328" t="s">
        <v>2863</v>
      </c>
      <c r="I2505" s="258" t="s">
        <v>8072</v>
      </c>
      <c r="J2505" s="259" t="s">
        <v>1088</v>
      </c>
      <c r="K2505" s="260" t="s">
        <v>8155</v>
      </c>
      <c r="L2505" s="365"/>
      <c r="M2505" s="329"/>
      <c r="N2505" s="173" t="s">
        <v>679</v>
      </c>
      <c r="O2505" s="173" t="s">
        <v>225</v>
      </c>
      <c r="P2505" s="262" t="str">
        <f t="shared" si="1"/>
        <v>IN-BLR-ANANTA-EM-87_5</v>
      </c>
      <c r="Q2505" s="173" t="s">
        <v>8252</v>
      </c>
      <c r="R2505" s="328" t="str">
        <f>IFS(C2505="","",C2505="n/a","N/A",LEN(C2505),Concatenate("{",char(34),"asset",char(34),":{",char(34),"guid",char(34),":",char(34),Q2505,char(34),",",char(34),"site",char(34),":",char(34),LOWER('2-Building'!$B$4),char(34),",",char(34),"name",char(34),":",char(34),LOWER(C2505),char(34),"}}"))</f>
        <v>{"asset":{"guid":"uuid://026d4c28-38ea-4622-b510-73a7005d5ff8","site":"in-blr-ananta","name":"em-87"}}</v>
      </c>
      <c r="S2505" s="366" t="s">
        <v>8075</v>
      </c>
      <c r="T2505" s="330"/>
      <c r="U2505" s="330"/>
      <c r="V2505" s="331"/>
      <c r="W2505" s="332"/>
      <c r="X2505" s="333"/>
      <c r="Y2505" s="33" t="s">
        <v>8076</v>
      </c>
      <c r="Z2505" s="368"/>
      <c r="AA2505" s="333"/>
      <c r="AB2505" s="258">
        <v>14.0</v>
      </c>
      <c r="AC2505" s="333"/>
      <c r="AD2505" s="329"/>
      <c r="AE2505" s="331"/>
      <c r="AF2505" s="336"/>
      <c r="AG2505" s="337" t="str">
        <f>IFS(LEN(AF2505)=17,LOWER('2-Building'!$B$4 &amp; "-" &amp; C2505), AF2505="N/A", "N/A", LEN(AF2505)=0,"")</f>
        <v/>
      </c>
      <c r="AH2505" s="333"/>
      <c r="AI2505" s="333"/>
      <c r="AJ2505" s="333"/>
      <c r="AK2505" s="333"/>
      <c r="AL2505" s="333"/>
      <c r="AM2505" s="338"/>
      <c r="AN2505" s="333"/>
      <c r="AO2505" s="333"/>
      <c r="AP2505" s="333"/>
      <c r="AQ2505" s="333"/>
      <c r="AR2505" s="333"/>
      <c r="AS2505" s="333"/>
      <c r="AT2505" s="333"/>
      <c r="AU2505" s="329"/>
      <c r="AV2505" s="341"/>
      <c r="AW2505" s="269" t="s">
        <v>2299</v>
      </c>
      <c r="AX2505" s="269" t="s">
        <v>2869</v>
      </c>
      <c r="AY2505" s="270" t="s">
        <v>695</v>
      </c>
      <c r="AZ2505" s="173" t="s">
        <v>8075</v>
      </c>
      <c r="BA2505" s="265">
        <v>10.0</v>
      </c>
      <c r="BB2505" s="174" t="s">
        <v>245</v>
      </c>
      <c r="BC2505" s="341"/>
      <c r="BD2505" s="308" t="s">
        <v>1844</v>
      </c>
      <c r="BE2505" s="364"/>
      <c r="BF2505" s="274" t="str">
        <f>IFERROR(__xludf.DUMMYFUNCTION("LOWER(Regexreplace(to_text(E2505),""[^A-Za-z0-9]"","""")&amp;""_""&amp;Regexreplace(to_text(F2505),""[^A-Za-z0-9]"",""""))"),"schneider_pm2200")</f>
        <v>schneider_pm2200</v>
      </c>
      <c r="BG2505" s="275" t="str">
        <f>IFERROR(__xludf.DUMMYFUNCTION("upper(Regexreplace(to_text(E2505),""[^A-Za-z0-9]"","""")&amp;""-""&amp;Regexreplace(to_text(F2505),""[^A-Za-z0-9]"",""""))"),"SCHNEIDER-PM2200")</f>
        <v>SCHNEIDER-PM2200</v>
      </c>
    </row>
    <row r="2506" ht="30.0" customHeight="1">
      <c r="A2506" s="258">
        <v>2498.0</v>
      </c>
      <c r="B2506" s="328" t="s">
        <v>670</v>
      </c>
      <c r="C2506" s="257" t="s">
        <v>8253</v>
      </c>
      <c r="D2506" s="173" t="s">
        <v>8253</v>
      </c>
      <c r="E2506" s="174" t="s">
        <v>8070</v>
      </c>
      <c r="F2506" s="173" t="s">
        <v>8071</v>
      </c>
      <c r="G2506" s="328" t="s">
        <v>673</v>
      </c>
      <c r="H2506" s="328" t="s">
        <v>2863</v>
      </c>
      <c r="I2506" s="258" t="s">
        <v>8072</v>
      </c>
      <c r="J2506" s="259" t="s">
        <v>1088</v>
      </c>
      <c r="K2506" s="260" t="s">
        <v>8155</v>
      </c>
      <c r="L2506" s="365"/>
      <c r="M2506" s="329"/>
      <c r="N2506" s="173" t="s">
        <v>679</v>
      </c>
      <c r="O2506" s="173" t="s">
        <v>225</v>
      </c>
      <c r="P2506" s="262" t="str">
        <f t="shared" si="1"/>
        <v>IN-BLR-ANANTA-EM-88_5</v>
      </c>
      <c r="Q2506" s="173" t="s">
        <v>8254</v>
      </c>
      <c r="R2506" s="328" t="str">
        <f>IFS(C2506="","",C2506="n/a","N/A",LEN(C2506),Concatenate("{",char(34),"asset",char(34),":{",char(34),"guid",char(34),":",char(34),Q2506,char(34),",",char(34),"site",char(34),":",char(34),LOWER('2-Building'!$B$4),char(34),",",char(34),"name",char(34),":",char(34),LOWER(C2506),char(34),"}}"))</f>
        <v>{"asset":{"guid":"uuid://9b703f19-0604-4f8e-8441-268ced385b36","site":"in-blr-ananta","name":"em-88"}}</v>
      </c>
      <c r="S2506" s="366" t="s">
        <v>8075</v>
      </c>
      <c r="T2506" s="330"/>
      <c r="U2506" s="330"/>
      <c r="V2506" s="331"/>
      <c r="W2506" s="332"/>
      <c r="X2506" s="333"/>
      <c r="Y2506" s="33" t="s">
        <v>8076</v>
      </c>
      <c r="Z2506" s="368"/>
      <c r="AA2506" s="333"/>
      <c r="AB2506" s="258">
        <v>15.0</v>
      </c>
      <c r="AC2506" s="333"/>
      <c r="AD2506" s="329"/>
      <c r="AE2506" s="331"/>
      <c r="AF2506" s="336"/>
      <c r="AG2506" s="337" t="str">
        <f>IFS(LEN(AF2506)=17,LOWER('2-Building'!$B$4 &amp; "-" &amp; C2506), AF2506="N/A", "N/A", LEN(AF2506)=0,"")</f>
        <v/>
      </c>
      <c r="AH2506" s="333"/>
      <c r="AI2506" s="333"/>
      <c r="AJ2506" s="333"/>
      <c r="AK2506" s="333"/>
      <c r="AL2506" s="333"/>
      <c r="AM2506" s="338"/>
      <c r="AN2506" s="333"/>
      <c r="AO2506" s="333"/>
      <c r="AP2506" s="333"/>
      <c r="AQ2506" s="333"/>
      <c r="AR2506" s="333"/>
      <c r="AS2506" s="333"/>
      <c r="AT2506" s="333"/>
      <c r="AU2506" s="329"/>
      <c r="AV2506" s="341"/>
      <c r="AW2506" s="269" t="s">
        <v>2299</v>
      </c>
      <c r="AX2506" s="269" t="s">
        <v>2869</v>
      </c>
      <c r="AY2506" s="270" t="s">
        <v>695</v>
      </c>
      <c r="AZ2506" s="173" t="s">
        <v>8075</v>
      </c>
      <c r="BA2506" s="265">
        <v>10.0</v>
      </c>
      <c r="BB2506" s="174" t="s">
        <v>245</v>
      </c>
      <c r="BC2506" s="341"/>
      <c r="BD2506" s="308" t="s">
        <v>1844</v>
      </c>
      <c r="BE2506" s="364"/>
      <c r="BF2506" s="274" t="str">
        <f>IFERROR(__xludf.DUMMYFUNCTION("LOWER(Regexreplace(to_text(E2506),""[^A-Za-z0-9]"","""")&amp;""_""&amp;Regexreplace(to_text(F2506),""[^A-Za-z0-9]"",""""))"),"schneider_pm2200")</f>
        <v>schneider_pm2200</v>
      </c>
      <c r="BG2506" s="275" t="str">
        <f>IFERROR(__xludf.DUMMYFUNCTION("upper(Regexreplace(to_text(E2506),""[^A-Za-z0-9]"","""")&amp;""-""&amp;Regexreplace(to_text(F2506),""[^A-Za-z0-9]"",""""))"),"SCHNEIDER-PM2200")</f>
        <v>SCHNEIDER-PM2200</v>
      </c>
    </row>
    <row r="2507" ht="30.0" customHeight="1">
      <c r="A2507" s="173">
        <v>2499.0</v>
      </c>
      <c r="B2507" s="328" t="s">
        <v>670</v>
      </c>
      <c r="C2507" s="257" t="s">
        <v>8255</v>
      </c>
      <c r="D2507" s="173" t="s">
        <v>8255</v>
      </c>
      <c r="E2507" s="174" t="s">
        <v>8070</v>
      </c>
      <c r="F2507" s="173" t="s">
        <v>8071</v>
      </c>
      <c r="G2507" s="328" t="s">
        <v>673</v>
      </c>
      <c r="H2507" s="328" t="s">
        <v>2863</v>
      </c>
      <c r="I2507" s="258" t="s">
        <v>8072</v>
      </c>
      <c r="J2507" s="259" t="s">
        <v>1088</v>
      </c>
      <c r="K2507" s="260" t="s">
        <v>8155</v>
      </c>
      <c r="L2507" s="365"/>
      <c r="M2507" s="329"/>
      <c r="N2507" s="173" t="s">
        <v>679</v>
      </c>
      <c r="O2507" s="173" t="s">
        <v>225</v>
      </c>
      <c r="P2507" s="262" t="str">
        <f t="shared" si="1"/>
        <v>IN-BLR-ANANTA-EM-89_5</v>
      </c>
      <c r="Q2507" s="173" t="s">
        <v>8256</v>
      </c>
      <c r="R2507" s="328" t="str">
        <f>IFS(C2507="","",C2507="n/a","N/A",LEN(C2507),Concatenate("{",char(34),"asset",char(34),":{",char(34),"guid",char(34),":",char(34),Q2507,char(34),",",char(34),"site",char(34),":",char(34),LOWER('2-Building'!$B$4),char(34),",",char(34),"name",char(34),":",char(34),LOWER(C2507),char(34),"}}"))</f>
        <v>{"asset":{"guid":"uuid://b2e22f5c-ef5f-456e-901a-f1986cd6aabc","site":"in-blr-ananta","name":"em-89"}}</v>
      </c>
      <c r="S2507" s="366" t="s">
        <v>8075</v>
      </c>
      <c r="T2507" s="330"/>
      <c r="U2507" s="330"/>
      <c r="V2507" s="331"/>
      <c r="W2507" s="332"/>
      <c r="X2507" s="333"/>
      <c r="Y2507" s="33" t="s">
        <v>8076</v>
      </c>
      <c r="Z2507" s="368"/>
      <c r="AA2507" s="333"/>
      <c r="AB2507" s="258">
        <v>16.0</v>
      </c>
      <c r="AC2507" s="333"/>
      <c r="AD2507" s="329"/>
      <c r="AE2507" s="331"/>
      <c r="AF2507" s="336"/>
      <c r="AG2507" s="337" t="str">
        <f>IFS(LEN(AF2507)=17,LOWER('2-Building'!$B$4 &amp; "-" &amp; C2507), AF2507="N/A", "N/A", LEN(AF2507)=0,"")</f>
        <v/>
      </c>
      <c r="AH2507" s="333"/>
      <c r="AI2507" s="333"/>
      <c r="AJ2507" s="333"/>
      <c r="AK2507" s="333"/>
      <c r="AL2507" s="333"/>
      <c r="AM2507" s="338"/>
      <c r="AN2507" s="333"/>
      <c r="AO2507" s="333"/>
      <c r="AP2507" s="333"/>
      <c r="AQ2507" s="333"/>
      <c r="AR2507" s="333"/>
      <c r="AS2507" s="333"/>
      <c r="AT2507" s="333"/>
      <c r="AU2507" s="329"/>
      <c r="AV2507" s="341"/>
      <c r="AW2507" s="269" t="s">
        <v>2299</v>
      </c>
      <c r="AX2507" s="269" t="s">
        <v>2869</v>
      </c>
      <c r="AY2507" s="270" t="s">
        <v>695</v>
      </c>
      <c r="AZ2507" s="173" t="s">
        <v>8075</v>
      </c>
      <c r="BA2507" s="265">
        <v>10.0</v>
      </c>
      <c r="BB2507" s="174" t="s">
        <v>245</v>
      </c>
      <c r="BC2507" s="341"/>
      <c r="BD2507" s="308" t="s">
        <v>1844</v>
      </c>
      <c r="BE2507" s="364"/>
      <c r="BF2507" s="274" t="str">
        <f>IFERROR(__xludf.DUMMYFUNCTION("LOWER(Regexreplace(to_text(E2507),""[^A-Za-z0-9]"","""")&amp;""_""&amp;Regexreplace(to_text(F2507),""[^A-Za-z0-9]"",""""))"),"schneider_pm2200")</f>
        <v>schneider_pm2200</v>
      </c>
      <c r="BG2507" s="275" t="str">
        <f>IFERROR(__xludf.DUMMYFUNCTION("upper(Regexreplace(to_text(E2507),""[^A-Za-z0-9]"","""")&amp;""-""&amp;Regexreplace(to_text(F2507),""[^A-Za-z0-9]"",""""))"),"SCHNEIDER-PM2200")</f>
        <v>SCHNEIDER-PM2200</v>
      </c>
    </row>
    <row r="2508" ht="30.0" customHeight="1">
      <c r="A2508" s="258">
        <v>2500.0</v>
      </c>
      <c r="B2508" s="328" t="s">
        <v>670</v>
      </c>
      <c r="C2508" s="257" t="s">
        <v>8257</v>
      </c>
      <c r="D2508" s="173" t="s">
        <v>8257</v>
      </c>
      <c r="E2508" s="174" t="s">
        <v>8070</v>
      </c>
      <c r="F2508" s="173" t="s">
        <v>8071</v>
      </c>
      <c r="G2508" s="328" t="s">
        <v>673</v>
      </c>
      <c r="H2508" s="328" t="s">
        <v>2863</v>
      </c>
      <c r="I2508" s="258" t="s">
        <v>8072</v>
      </c>
      <c r="J2508" s="259" t="s">
        <v>1088</v>
      </c>
      <c r="K2508" s="260" t="s">
        <v>8155</v>
      </c>
      <c r="L2508" s="365"/>
      <c r="M2508" s="329"/>
      <c r="N2508" s="173" t="s">
        <v>679</v>
      </c>
      <c r="O2508" s="173" t="s">
        <v>225</v>
      </c>
      <c r="P2508" s="262" t="str">
        <f t="shared" si="1"/>
        <v>IN-BLR-ANANTA-EM-90_5</v>
      </c>
      <c r="Q2508" s="173" t="s">
        <v>8258</v>
      </c>
      <c r="R2508" s="328" t="str">
        <f>IFS(C2508="","",C2508="n/a","N/A",LEN(C2508),Concatenate("{",char(34),"asset",char(34),":{",char(34),"guid",char(34),":",char(34),Q2508,char(34),",",char(34),"site",char(34),":",char(34),LOWER('2-Building'!$B$4),char(34),",",char(34),"name",char(34),":",char(34),LOWER(C2508),char(34),"}}"))</f>
        <v>{"asset":{"guid":"uuid://f2b933fb-b661-46dc-bb2b-1affe5cc5114","site":"in-blr-ananta","name":"em-90"}}</v>
      </c>
      <c r="S2508" s="366" t="s">
        <v>8075</v>
      </c>
      <c r="T2508" s="330"/>
      <c r="U2508" s="330"/>
      <c r="V2508" s="331"/>
      <c r="W2508" s="332"/>
      <c r="X2508" s="333"/>
      <c r="Y2508" s="33" t="s">
        <v>8076</v>
      </c>
      <c r="Z2508" s="368"/>
      <c r="AA2508" s="333"/>
      <c r="AB2508" s="258">
        <v>17.0</v>
      </c>
      <c r="AC2508" s="333"/>
      <c r="AD2508" s="329"/>
      <c r="AE2508" s="331"/>
      <c r="AF2508" s="336"/>
      <c r="AG2508" s="337" t="str">
        <f>IFS(LEN(AF2508)=17,LOWER('2-Building'!$B$4 &amp; "-" &amp; C2508), AF2508="N/A", "N/A", LEN(AF2508)=0,"")</f>
        <v/>
      </c>
      <c r="AH2508" s="333"/>
      <c r="AI2508" s="333"/>
      <c r="AJ2508" s="333"/>
      <c r="AK2508" s="333"/>
      <c r="AL2508" s="333"/>
      <c r="AM2508" s="338"/>
      <c r="AN2508" s="333"/>
      <c r="AO2508" s="333"/>
      <c r="AP2508" s="333"/>
      <c r="AQ2508" s="333"/>
      <c r="AR2508" s="333"/>
      <c r="AS2508" s="333"/>
      <c r="AT2508" s="333"/>
      <c r="AU2508" s="329"/>
      <c r="AV2508" s="341"/>
      <c r="AW2508" s="269" t="s">
        <v>2299</v>
      </c>
      <c r="AX2508" s="269" t="s">
        <v>2869</v>
      </c>
      <c r="AY2508" s="270" t="s">
        <v>695</v>
      </c>
      <c r="AZ2508" s="173" t="s">
        <v>8075</v>
      </c>
      <c r="BA2508" s="265">
        <v>10.0</v>
      </c>
      <c r="BB2508" s="174" t="s">
        <v>245</v>
      </c>
      <c r="BC2508" s="341"/>
      <c r="BD2508" s="308" t="s">
        <v>1844</v>
      </c>
      <c r="BE2508" s="364"/>
      <c r="BF2508" s="274" t="str">
        <f>IFERROR(__xludf.DUMMYFUNCTION("LOWER(Regexreplace(to_text(E2508),""[^A-Za-z0-9]"","""")&amp;""_""&amp;Regexreplace(to_text(F2508),""[^A-Za-z0-9]"",""""))"),"schneider_pm2200")</f>
        <v>schneider_pm2200</v>
      </c>
      <c r="BG2508" s="275" t="str">
        <f>IFERROR(__xludf.DUMMYFUNCTION("upper(Regexreplace(to_text(E2508),""[^A-Za-z0-9]"","""")&amp;""-""&amp;Regexreplace(to_text(F2508),""[^A-Za-z0-9]"",""""))"),"SCHNEIDER-PM2200")</f>
        <v>SCHNEIDER-PM2200</v>
      </c>
    </row>
    <row r="2509" ht="30.0" customHeight="1">
      <c r="A2509" s="173">
        <v>2501.0</v>
      </c>
      <c r="B2509" s="328" t="s">
        <v>670</v>
      </c>
      <c r="C2509" s="257" t="s">
        <v>8259</v>
      </c>
      <c r="D2509" s="173" t="s">
        <v>8259</v>
      </c>
      <c r="E2509" s="174" t="s">
        <v>8070</v>
      </c>
      <c r="F2509" s="173" t="s">
        <v>8071</v>
      </c>
      <c r="G2509" s="328" t="s">
        <v>673</v>
      </c>
      <c r="H2509" s="328" t="s">
        <v>2863</v>
      </c>
      <c r="I2509" s="258" t="s">
        <v>8072</v>
      </c>
      <c r="J2509" s="259" t="s">
        <v>1088</v>
      </c>
      <c r="K2509" s="260" t="s">
        <v>8155</v>
      </c>
      <c r="L2509" s="365"/>
      <c r="M2509" s="329"/>
      <c r="N2509" s="173" t="s">
        <v>679</v>
      </c>
      <c r="O2509" s="173" t="s">
        <v>225</v>
      </c>
      <c r="P2509" s="262" t="str">
        <f t="shared" si="1"/>
        <v>IN-BLR-ANANTA-EM-91_5</v>
      </c>
      <c r="Q2509" s="173" t="s">
        <v>8260</v>
      </c>
      <c r="R2509" s="328" t="str">
        <f>IFS(C2509="","",C2509="n/a","N/A",LEN(C2509),Concatenate("{",char(34),"asset",char(34),":{",char(34),"guid",char(34),":",char(34),Q2509,char(34),",",char(34),"site",char(34),":",char(34),LOWER('2-Building'!$B$4),char(34),",",char(34),"name",char(34),":",char(34),LOWER(C2509),char(34),"}}"))</f>
        <v>{"asset":{"guid":"uuid://4b952c8b-8b4a-45ab-a083-f22aa3175009","site":"in-blr-ananta","name":"em-91"}}</v>
      </c>
      <c r="S2509" s="366" t="s">
        <v>8075</v>
      </c>
      <c r="T2509" s="330"/>
      <c r="U2509" s="330"/>
      <c r="V2509" s="331"/>
      <c r="W2509" s="332"/>
      <c r="X2509" s="333"/>
      <c r="Y2509" s="33" t="s">
        <v>8076</v>
      </c>
      <c r="Z2509" s="368"/>
      <c r="AA2509" s="333"/>
      <c r="AB2509" s="258">
        <v>18.0</v>
      </c>
      <c r="AC2509" s="333"/>
      <c r="AD2509" s="329"/>
      <c r="AE2509" s="331"/>
      <c r="AF2509" s="336"/>
      <c r="AG2509" s="337" t="str">
        <f>IFS(LEN(AF2509)=17,LOWER('2-Building'!$B$4 &amp; "-" &amp; C2509), AF2509="N/A", "N/A", LEN(AF2509)=0,"")</f>
        <v/>
      </c>
      <c r="AH2509" s="333"/>
      <c r="AI2509" s="333"/>
      <c r="AJ2509" s="333"/>
      <c r="AK2509" s="333"/>
      <c r="AL2509" s="333"/>
      <c r="AM2509" s="338"/>
      <c r="AN2509" s="333"/>
      <c r="AO2509" s="333"/>
      <c r="AP2509" s="333"/>
      <c r="AQ2509" s="333"/>
      <c r="AR2509" s="333"/>
      <c r="AS2509" s="333"/>
      <c r="AT2509" s="333"/>
      <c r="AU2509" s="329"/>
      <c r="AV2509" s="341"/>
      <c r="AW2509" s="269" t="s">
        <v>2299</v>
      </c>
      <c r="AX2509" s="269" t="s">
        <v>2869</v>
      </c>
      <c r="AY2509" s="270" t="s">
        <v>695</v>
      </c>
      <c r="AZ2509" s="173" t="s">
        <v>8075</v>
      </c>
      <c r="BA2509" s="265">
        <v>10.0</v>
      </c>
      <c r="BB2509" s="174" t="s">
        <v>245</v>
      </c>
      <c r="BC2509" s="341"/>
      <c r="BD2509" s="308" t="s">
        <v>1844</v>
      </c>
      <c r="BE2509" s="364"/>
      <c r="BF2509" s="274" t="str">
        <f>IFERROR(__xludf.DUMMYFUNCTION("LOWER(Regexreplace(to_text(E2509),""[^A-Za-z0-9]"","""")&amp;""_""&amp;Regexreplace(to_text(F2509),""[^A-Za-z0-9]"",""""))"),"schneider_pm2200")</f>
        <v>schneider_pm2200</v>
      </c>
      <c r="BG2509" s="275" t="str">
        <f>IFERROR(__xludf.DUMMYFUNCTION("upper(Regexreplace(to_text(E2509),""[^A-Za-z0-9]"","""")&amp;""-""&amp;Regexreplace(to_text(F2509),""[^A-Za-z0-9]"",""""))"),"SCHNEIDER-PM2200")</f>
        <v>SCHNEIDER-PM2200</v>
      </c>
    </row>
    <row r="2510" ht="30.0" customHeight="1">
      <c r="A2510" s="258">
        <v>2502.0</v>
      </c>
      <c r="B2510" s="328" t="s">
        <v>670</v>
      </c>
      <c r="C2510" s="257" t="s">
        <v>8261</v>
      </c>
      <c r="D2510" s="173" t="s">
        <v>8261</v>
      </c>
      <c r="E2510" s="174" t="s">
        <v>8070</v>
      </c>
      <c r="F2510" s="173" t="s">
        <v>8071</v>
      </c>
      <c r="G2510" s="328" t="s">
        <v>673</v>
      </c>
      <c r="H2510" s="328" t="s">
        <v>2863</v>
      </c>
      <c r="I2510" s="258" t="s">
        <v>8072</v>
      </c>
      <c r="J2510" s="259" t="s">
        <v>1088</v>
      </c>
      <c r="K2510" s="260" t="s">
        <v>8155</v>
      </c>
      <c r="L2510" s="365"/>
      <c r="M2510" s="329"/>
      <c r="N2510" s="173" t="s">
        <v>679</v>
      </c>
      <c r="O2510" s="173" t="s">
        <v>225</v>
      </c>
      <c r="P2510" s="262" t="str">
        <f t="shared" si="1"/>
        <v>IN-BLR-ANANTA-EM-92_5</v>
      </c>
      <c r="Q2510" s="173" t="s">
        <v>8262</v>
      </c>
      <c r="R2510" s="328" t="str">
        <f>IFS(C2510="","",C2510="n/a","N/A",LEN(C2510),Concatenate("{",char(34),"asset",char(34),":{",char(34),"guid",char(34),":",char(34),Q2510,char(34),",",char(34),"site",char(34),":",char(34),LOWER('2-Building'!$B$4),char(34),",",char(34),"name",char(34),":",char(34),LOWER(C2510),char(34),"}}"))</f>
        <v>{"asset":{"guid":"uuid://bb12d3de-7419-43bf-873c-084f212fbb95","site":"in-blr-ananta","name":"em-92"}}</v>
      </c>
      <c r="S2510" s="366" t="s">
        <v>8075</v>
      </c>
      <c r="T2510" s="330"/>
      <c r="U2510" s="330"/>
      <c r="V2510" s="331"/>
      <c r="W2510" s="332"/>
      <c r="X2510" s="333"/>
      <c r="Y2510" s="33" t="s">
        <v>8076</v>
      </c>
      <c r="Z2510" s="368"/>
      <c r="AA2510" s="333"/>
      <c r="AB2510" s="258">
        <v>19.0</v>
      </c>
      <c r="AC2510" s="333"/>
      <c r="AD2510" s="329"/>
      <c r="AE2510" s="331"/>
      <c r="AF2510" s="336"/>
      <c r="AG2510" s="337" t="str">
        <f>IFS(LEN(AF2510)=17,LOWER('2-Building'!$B$4 &amp; "-" &amp; C2510), AF2510="N/A", "N/A", LEN(AF2510)=0,"")</f>
        <v/>
      </c>
      <c r="AH2510" s="333"/>
      <c r="AI2510" s="333"/>
      <c r="AJ2510" s="333"/>
      <c r="AK2510" s="333"/>
      <c r="AL2510" s="333"/>
      <c r="AM2510" s="338"/>
      <c r="AN2510" s="333"/>
      <c r="AO2510" s="333"/>
      <c r="AP2510" s="333"/>
      <c r="AQ2510" s="333"/>
      <c r="AR2510" s="333"/>
      <c r="AS2510" s="333"/>
      <c r="AT2510" s="333"/>
      <c r="AU2510" s="329"/>
      <c r="AV2510" s="341"/>
      <c r="AW2510" s="269" t="s">
        <v>2299</v>
      </c>
      <c r="AX2510" s="269" t="s">
        <v>2869</v>
      </c>
      <c r="AY2510" s="270" t="s">
        <v>695</v>
      </c>
      <c r="AZ2510" s="173" t="s">
        <v>8075</v>
      </c>
      <c r="BA2510" s="265">
        <v>10.0</v>
      </c>
      <c r="BB2510" s="174" t="s">
        <v>245</v>
      </c>
      <c r="BC2510" s="341"/>
      <c r="BD2510" s="308" t="s">
        <v>1844</v>
      </c>
      <c r="BE2510" s="364"/>
      <c r="BF2510" s="274" t="str">
        <f>IFERROR(__xludf.DUMMYFUNCTION("LOWER(Regexreplace(to_text(E2510),""[^A-Za-z0-9]"","""")&amp;""_""&amp;Regexreplace(to_text(F2510),""[^A-Za-z0-9]"",""""))"),"schneider_pm2200")</f>
        <v>schneider_pm2200</v>
      </c>
      <c r="BG2510" s="275" t="str">
        <f>IFERROR(__xludf.DUMMYFUNCTION("upper(Regexreplace(to_text(E2510),""[^A-Za-z0-9]"","""")&amp;""-""&amp;Regexreplace(to_text(F2510),""[^A-Za-z0-9]"",""""))"),"SCHNEIDER-PM2200")</f>
        <v>SCHNEIDER-PM2200</v>
      </c>
    </row>
    <row r="2511" ht="30.0" customHeight="1">
      <c r="A2511" s="173">
        <v>2503.0</v>
      </c>
      <c r="B2511" s="328" t="s">
        <v>670</v>
      </c>
      <c r="C2511" s="257" t="s">
        <v>8263</v>
      </c>
      <c r="D2511" s="173" t="s">
        <v>8263</v>
      </c>
      <c r="E2511" s="174" t="s">
        <v>8070</v>
      </c>
      <c r="F2511" s="173" t="s">
        <v>8071</v>
      </c>
      <c r="G2511" s="328" t="s">
        <v>673</v>
      </c>
      <c r="H2511" s="328" t="s">
        <v>2863</v>
      </c>
      <c r="I2511" s="258" t="s">
        <v>8072</v>
      </c>
      <c r="J2511" s="259" t="s">
        <v>1088</v>
      </c>
      <c r="K2511" s="260" t="s">
        <v>8155</v>
      </c>
      <c r="L2511" s="365"/>
      <c r="M2511" s="329"/>
      <c r="N2511" s="173" t="s">
        <v>679</v>
      </c>
      <c r="O2511" s="173" t="s">
        <v>225</v>
      </c>
      <c r="P2511" s="262" t="str">
        <f t="shared" si="1"/>
        <v>IN-BLR-ANANTA-EM-93_5</v>
      </c>
      <c r="Q2511" s="173" t="s">
        <v>8264</v>
      </c>
      <c r="R2511" s="328" t="str">
        <f>IFS(C2511="","",C2511="n/a","N/A",LEN(C2511),Concatenate("{",char(34),"asset",char(34),":{",char(34),"guid",char(34),":",char(34),Q2511,char(34),",",char(34),"site",char(34),":",char(34),LOWER('2-Building'!$B$4),char(34),",",char(34),"name",char(34),":",char(34),LOWER(C2511),char(34),"}}"))</f>
        <v>{"asset":{"guid":"uuid://8dbf5b81-e021-4a82-a524-4a3b5557b3a6","site":"in-blr-ananta","name":"em-93"}}</v>
      </c>
      <c r="S2511" s="366" t="s">
        <v>8075</v>
      </c>
      <c r="T2511" s="330"/>
      <c r="U2511" s="330"/>
      <c r="V2511" s="331"/>
      <c r="W2511" s="332"/>
      <c r="X2511" s="333"/>
      <c r="Y2511" s="33" t="s">
        <v>8076</v>
      </c>
      <c r="Z2511" s="368"/>
      <c r="AA2511" s="333"/>
      <c r="AB2511" s="258">
        <v>20.0</v>
      </c>
      <c r="AC2511" s="333"/>
      <c r="AD2511" s="329"/>
      <c r="AE2511" s="331"/>
      <c r="AF2511" s="336"/>
      <c r="AG2511" s="337" t="str">
        <f>IFS(LEN(AF2511)=17,LOWER('2-Building'!$B$4 &amp; "-" &amp; C2511), AF2511="N/A", "N/A", LEN(AF2511)=0,"")</f>
        <v/>
      </c>
      <c r="AH2511" s="333"/>
      <c r="AI2511" s="333"/>
      <c r="AJ2511" s="333"/>
      <c r="AK2511" s="333"/>
      <c r="AL2511" s="333"/>
      <c r="AM2511" s="338"/>
      <c r="AN2511" s="333"/>
      <c r="AO2511" s="333"/>
      <c r="AP2511" s="333"/>
      <c r="AQ2511" s="333"/>
      <c r="AR2511" s="333"/>
      <c r="AS2511" s="333"/>
      <c r="AT2511" s="333"/>
      <c r="AU2511" s="329"/>
      <c r="AV2511" s="341"/>
      <c r="AW2511" s="269" t="s">
        <v>2299</v>
      </c>
      <c r="AX2511" s="269" t="s">
        <v>2869</v>
      </c>
      <c r="AY2511" s="270" t="s">
        <v>695</v>
      </c>
      <c r="AZ2511" s="173" t="s">
        <v>8075</v>
      </c>
      <c r="BA2511" s="265">
        <v>10.0</v>
      </c>
      <c r="BB2511" s="174" t="s">
        <v>245</v>
      </c>
      <c r="BC2511" s="341"/>
      <c r="BD2511" s="308" t="s">
        <v>1844</v>
      </c>
      <c r="BE2511" s="364"/>
      <c r="BF2511" s="274" t="str">
        <f>IFERROR(__xludf.DUMMYFUNCTION("LOWER(Regexreplace(to_text(E2511),""[^A-Za-z0-9]"","""")&amp;""_""&amp;Regexreplace(to_text(F2511),""[^A-Za-z0-9]"",""""))"),"schneider_pm2200")</f>
        <v>schneider_pm2200</v>
      </c>
      <c r="BG2511" s="275" t="str">
        <f>IFERROR(__xludf.DUMMYFUNCTION("upper(Regexreplace(to_text(E2511),""[^A-Za-z0-9]"","""")&amp;""-""&amp;Regexreplace(to_text(F2511),""[^A-Za-z0-9]"",""""))"),"SCHNEIDER-PM2200")</f>
        <v>SCHNEIDER-PM2200</v>
      </c>
    </row>
    <row r="2512" ht="30.0" customHeight="1">
      <c r="A2512" s="258">
        <v>2504.0</v>
      </c>
      <c r="B2512" s="328" t="s">
        <v>670</v>
      </c>
      <c r="C2512" s="257" t="s">
        <v>8265</v>
      </c>
      <c r="D2512" s="173" t="s">
        <v>8265</v>
      </c>
      <c r="E2512" s="174" t="s">
        <v>8070</v>
      </c>
      <c r="F2512" s="173" t="s">
        <v>8071</v>
      </c>
      <c r="G2512" s="328" t="s">
        <v>673</v>
      </c>
      <c r="H2512" s="328" t="s">
        <v>2863</v>
      </c>
      <c r="I2512" s="258" t="s">
        <v>8072</v>
      </c>
      <c r="J2512" s="259" t="s">
        <v>1088</v>
      </c>
      <c r="K2512" s="260" t="s">
        <v>8155</v>
      </c>
      <c r="L2512" s="365"/>
      <c r="M2512" s="329"/>
      <c r="N2512" s="173" t="s">
        <v>679</v>
      </c>
      <c r="O2512" s="173" t="s">
        <v>225</v>
      </c>
      <c r="P2512" s="262" t="str">
        <f t="shared" si="1"/>
        <v>IN-BLR-ANANTA-EM-94_5</v>
      </c>
      <c r="Q2512" s="173" t="s">
        <v>8266</v>
      </c>
      <c r="R2512" s="328" t="str">
        <f>IFS(C2512="","",C2512="n/a","N/A",LEN(C2512),Concatenate("{",char(34),"asset",char(34),":{",char(34),"guid",char(34),":",char(34),Q2512,char(34),",",char(34),"site",char(34),":",char(34),LOWER('2-Building'!$B$4),char(34),",",char(34),"name",char(34),":",char(34),LOWER(C2512),char(34),"}}"))</f>
        <v>{"asset":{"guid":"uuid://ad0ee72a-b7a5-4a12-b6ad-99be8772264e","site":"in-blr-ananta","name":"em-94"}}</v>
      </c>
      <c r="S2512" s="366" t="s">
        <v>8075</v>
      </c>
      <c r="T2512" s="330"/>
      <c r="U2512" s="330"/>
      <c r="V2512" s="331"/>
      <c r="W2512" s="332"/>
      <c r="X2512" s="333"/>
      <c r="Y2512" s="33" t="s">
        <v>8076</v>
      </c>
      <c r="Z2512" s="368"/>
      <c r="AA2512" s="333"/>
      <c r="AB2512" s="258">
        <v>21.0</v>
      </c>
      <c r="AC2512" s="333"/>
      <c r="AD2512" s="329"/>
      <c r="AE2512" s="331"/>
      <c r="AF2512" s="336"/>
      <c r="AG2512" s="337" t="str">
        <f>IFS(LEN(AF2512)=17,LOWER('2-Building'!$B$4 &amp; "-" &amp; C2512), AF2512="N/A", "N/A", LEN(AF2512)=0,"")</f>
        <v/>
      </c>
      <c r="AH2512" s="333"/>
      <c r="AI2512" s="333"/>
      <c r="AJ2512" s="333"/>
      <c r="AK2512" s="333"/>
      <c r="AL2512" s="333"/>
      <c r="AM2512" s="338"/>
      <c r="AN2512" s="333"/>
      <c r="AO2512" s="333"/>
      <c r="AP2512" s="333"/>
      <c r="AQ2512" s="333"/>
      <c r="AR2512" s="333"/>
      <c r="AS2512" s="333"/>
      <c r="AT2512" s="333"/>
      <c r="AU2512" s="329"/>
      <c r="AV2512" s="341"/>
      <c r="AW2512" s="269" t="s">
        <v>2299</v>
      </c>
      <c r="AX2512" s="269" t="s">
        <v>2869</v>
      </c>
      <c r="AY2512" s="270" t="s">
        <v>695</v>
      </c>
      <c r="AZ2512" s="173" t="s">
        <v>8075</v>
      </c>
      <c r="BA2512" s="265">
        <v>10.0</v>
      </c>
      <c r="BB2512" s="174" t="s">
        <v>245</v>
      </c>
      <c r="BC2512" s="341"/>
      <c r="BD2512" s="308" t="s">
        <v>1844</v>
      </c>
      <c r="BE2512" s="364"/>
      <c r="BF2512" s="274" t="str">
        <f>IFERROR(__xludf.DUMMYFUNCTION("LOWER(Regexreplace(to_text(E2512),""[^A-Za-z0-9]"","""")&amp;""_""&amp;Regexreplace(to_text(F2512),""[^A-Za-z0-9]"",""""))"),"schneider_pm2200")</f>
        <v>schneider_pm2200</v>
      </c>
      <c r="BG2512" s="275" t="str">
        <f>IFERROR(__xludf.DUMMYFUNCTION("upper(Regexreplace(to_text(E2512),""[^A-Za-z0-9]"","""")&amp;""-""&amp;Regexreplace(to_text(F2512),""[^A-Za-z0-9]"",""""))"),"SCHNEIDER-PM2200")</f>
        <v>SCHNEIDER-PM2200</v>
      </c>
    </row>
    <row r="2513" ht="30.0" customHeight="1">
      <c r="A2513" s="173">
        <v>2505.0</v>
      </c>
      <c r="B2513" s="328" t="s">
        <v>670</v>
      </c>
      <c r="C2513" s="257" t="s">
        <v>8267</v>
      </c>
      <c r="D2513" s="173" t="s">
        <v>8267</v>
      </c>
      <c r="E2513" s="174" t="s">
        <v>8070</v>
      </c>
      <c r="F2513" s="173" t="s">
        <v>8071</v>
      </c>
      <c r="G2513" s="328" t="s">
        <v>673</v>
      </c>
      <c r="H2513" s="328" t="s">
        <v>2863</v>
      </c>
      <c r="I2513" s="258" t="s">
        <v>8072</v>
      </c>
      <c r="J2513" s="259" t="s">
        <v>1088</v>
      </c>
      <c r="K2513" s="260" t="s">
        <v>8155</v>
      </c>
      <c r="L2513" s="365"/>
      <c r="M2513" s="329"/>
      <c r="N2513" s="173" t="s">
        <v>679</v>
      </c>
      <c r="O2513" s="173" t="s">
        <v>225</v>
      </c>
      <c r="P2513" s="262" t="str">
        <f t="shared" si="1"/>
        <v>IN-BLR-ANANTA-EM-95_5</v>
      </c>
      <c r="Q2513" s="173" t="s">
        <v>8268</v>
      </c>
      <c r="R2513" s="328" t="str">
        <f>IFS(C2513="","",C2513="n/a","N/A",LEN(C2513),Concatenate("{",char(34),"asset",char(34),":{",char(34),"guid",char(34),":",char(34),Q2513,char(34),",",char(34),"site",char(34),":",char(34),LOWER('2-Building'!$B$4),char(34),",",char(34),"name",char(34),":",char(34),LOWER(C2513),char(34),"}}"))</f>
        <v>{"asset":{"guid":"uuid://c6fa060a-c7d0-4cb6-a5f6-ea4293f1caae","site":"in-blr-ananta","name":"em-95"}}</v>
      </c>
      <c r="S2513" s="366" t="s">
        <v>8075</v>
      </c>
      <c r="T2513" s="330"/>
      <c r="U2513" s="330"/>
      <c r="V2513" s="331"/>
      <c r="W2513" s="332"/>
      <c r="X2513" s="333"/>
      <c r="Y2513" s="33" t="s">
        <v>8076</v>
      </c>
      <c r="Z2513" s="368"/>
      <c r="AA2513" s="333"/>
      <c r="AB2513" s="258">
        <v>22.0</v>
      </c>
      <c r="AC2513" s="333"/>
      <c r="AD2513" s="329"/>
      <c r="AE2513" s="331"/>
      <c r="AF2513" s="336"/>
      <c r="AG2513" s="337" t="str">
        <f>IFS(LEN(AF2513)=17,LOWER('2-Building'!$B$4 &amp; "-" &amp; C2513), AF2513="N/A", "N/A", LEN(AF2513)=0,"")</f>
        <v/>
      </c>
      <c r="AH2513" s="333"/>
      <c r="AI2513" s="333"/>
      <c r="AJ2513" s="333"/>
      <c r="AK2513" s="333"/>
      <c r="AL2513" s="333"/>
      <c r="AM2513" s="338"/>
      <c r="AN2513" s="333"/>
      <c r="AO2513" s="333"/>
      <c r="AP2513" s="333"/>
      <c r="AQ2513" s="333"/>
      <c r="AR2513" s="333"/>
      <c r="AS2513" s="333"/>
      <c r="AT2513" s="333"/>
      <c r="AU2513" s="329"/>
      <c r="AV2513" s="341"/>
      <c r="AW2513" s="269" t="s">
        <v>2299</v>
      </c>
      <c r="AX2513" s="269" t="s">
        <v>2869</v>
      </c>
      <c r="AY2513" s="270" t="s">
        <v>695</v>
      </c>
      <c r="AZ2513" s="173" t="s">
        <v>8075</v>
      </c>
      <c r="BA2513" s="265">
        <v>10.0</v>
      </c>
      <c r="BB2513" s="174" t="s">
        <v>245</v>
      </c>
      <c r="BC2513" s="341"/>
      <c r="BD2513" s="308" t="s">
        <v>1844</v>
      </c>
      <c r="BE2513" s="364"/>
      <c r="BF2513" s="274" t="str">
        <f>IFERROR(__xludf.DUMMYFUNCTION("LOWER(Regexreplace(to_text(E2513),""[^A-Za-z0-9]"","""")&amp;""_""&amp;Regexreplace(to_text(F2513),""[^A-Za-z0-9]"",""""))"),"schneider_pm2200")</f>
        <v>schneider_pm2200</v>
      </c>
      <c r="BG2513" s="275" t="str">
        <f>IFERROR(__xludf.DUMMYFUNCTION("upper(Regexreplace(to_text(E2513),""[^A-Za-z0-9]"","""")&amp;""-""&amp;Regexreplace(to_text(F2513),""[^A-Za-z0-9]"",""""))"),"SCHNEIDER-PM2200")</f>
        <v>SCHNEIDER-PM2200</v>
      </c>
    </row>
    <row r="2514" ht="30.0" customHeight="1">
      <c r="A2514" s="258">
        <v>2506.0</v>
      </c>
      <c r="B2514" s="328" t="s">
        <v>670</v>
      </c>
      <c r="C2514" s="257" t="s">
        <v>8269</v>
      </c>
      <c r="D2514" s="173" t="s">
        <v>8269</v>
      </c>
      <c r="E2514" s="174" t="s">
        <v>8070</v>
      </c>
      <c r="F2514" s="173" t="s">
        <v>8071</v>
      </c>
      <c r="G2514" s="328" t="s">
        <v>673</v>
      </c>
      <c r="H2514" s="328" t="s">
        <v>2863</v>
      </c>
      <c r="I2514" s="258" t="s">
        <v>8072</v>
      </c>
      <c r="J2514" s="259" t="s">
        <v>1088</v>
      </c>
      <c r="K2514" s="260" t="s">
        <v>8155</v>
      </c>
      <c r="L2514" s="365"/>
      <c r="M2514" s="329"/>
      <c r="N2514" s="173" t="s">
        <v>679</v>
      </c>
      <c r="O2514" s="173" t="s">
        <v>225</v>
      </c>
      <c r="P2514" s="262" t="str">
        <f t="shared" si="1"/>
        <v>IN-BLR-ANANTA-EM-96_5</v>
      </c>
      <c r="Q2514" s="173" t="s">
        <v>8270</v>
      </c>
      <c r="R2514" s="328" t="str">
        <f>IFS(C2514="","",C2514="n/a","N/A",LEN(C2514),Concatenate("{",char(34),"asset",char(34),":{",char(34),"guid",char(34),":",char(34),Q2514,char(34),",",char(34),"site",char(34),":",char(34),LOWER('2-Building'!$B$4),char(34),",",char(34),"name",char(34),":",char(34),LOWER(C2514),char(34),"}}"))</f>
        <v>{"asset":{"guid":"uuid://35b2fc11-bd6a-476d-b87a-e5a45bfe2b6a","site":"in-blr-ananta","name":"em-96"}}</v>
      </c>
      <c r="S2514" s="366" t="s">
        <v>8075</v>
      </c>
      <c r="T2514" s="330"/>
      <c r="U2514" s="330"/>
      <c r="V2514" s="331"/>
      <c r="W2514" s="332"/>
      <c r="X2514" s="333"/>
      <c r="Y2514" s="33" t="s">
        <v>8076</v>
      </c>
      <c r="Z2514" s="368"/>
      <c r="AA2514" s="333"/>
      <c r="AB2514" s="258">
        <v>23.0</v>
      </c>
      <c r="AC2514" s="333"/>
      <c r="AD2514" s="329"/>
      <c r="AE2514" s="331"/>
      <c r="AF2514" s="336"/>
      <c r="AG2514" s="337" t="str">
        <f>IFS(LEN(AF2514)=17,LOWER('2-Building'!$B$4 &amp; "-" &amp; C2514), AF2514="N/A", "N/A", LEN(AF2514)=0,"")</f>
        <v/>
      </c>
      <c r="AH2514" s="333"/>
      <c r="AI2514" s="333"/>
      <c r="AJ2514" s="333"/>
      <c r="AK2514" s="333"/>
      <c r="AL2514" s="333"/>
      <c r="AM2514" s="338"/>
      <c r="AN2514" s="333"/>
      <c r="AO2514" s="333"/>
      <c r="AP2514" s="333"/>
      <c r="AQ2514" s="333"/>
      <c r="AR2514" s="333"/>
      <c r="AS2514" s="333"/>
      <c r="AT2514" s="333"/>
      <c r="AU2514" s="329"/>
      <c r="AV2514" s="341"/>
      <c r="AW2514" s="269" t="s">
        <v>2299</v>
      </c>
      <c r="AX2514" s="269" t="s">
        <v>2869</v>
      </c>
      <c r="AY2514" s="270" t="s">
        <v>695</v>
      </c>
      <c r="AZ2514" s="173" t="s">
        <v>8075</v>
      </c>
      <c r="BA2514" s="265">
        <v>10.0</v>
      </c>
      <c r="BB2514" s="174" t="s">
        <v>245</v>
      </c>
      <c r="BC2514" s="341"/>
      <c r="BD2514" s="308" t="s">
        <v>1844</v>
      </c>
      <c r="BE2514" s="364"/>
      <c r="BF2514" s="274" t="str">
        <f>IFERROR(__xludf.DUMMYFUNCTION("LOWER(Regexreplace(to_text(E2514),""[^A-Za-z0-9]"","""")&amp;""_""&amp;Regexreplace(to_text(F2514),""[^A-Za-z0-9]"",""""))"),"schneider_pm2200")</f>
        <v>schneider_pm2200</v>
      </c>
      <c r="BG2514" s="275" t="str">
        <f>IFERROR(__xludf.DUMMYFUNCTION("upper(Regexreplace(to_text(E2514),""[^A-Za-z0-9]"","""")&amp;""-""&amp;Regexreplace(to_text(F2514),""[^A-Za-z0-9]"",""""))"),"SCHNEIDER-PM2200")</f>
        <v>SCHNEIDER-PM2200</v>
      </c>
    </row>
    <row r="2515" ht="30.0" customHeight="1">
      <c r="A2515" s="173">
        <v>2507.0</v>
      </c>
      <c r="B2515" s="328" t="s">
        <v>670</v>
      </c>
      <c r="C2515" s="257" t="s">
        <v>8271</v>
      </c>
      <c r="D2515" s="173" t="s">
        <v>8271</v>
      </c>
      <c r="E2515" s="174" t="s">
        <v>8070</v>
      </c>
      <c r="F2515" s="173" t="s">
        <v>8071</v>
      </c>
      <c r="G2515" s="328" t="s">
        <v>673</v>
      </c>
      <c r="H2515" s="328" t="s">
        <v>2863</v>
      </c>
      <c r="I2515" s="258" t="s">
        <v>8072</v>
      </c>
      <c r="J2515" s="259" t="s">
        <v>1088</v>
      </c>
      <c r="K2515" s="260" t="s">
        <v>8155</v>
      </c>
      <c r="L2515" s="365"/>
      <c r="M2515" s="329"/>
      <c r="N2515" s="173" t="s">
        <v>679</v>
      </c>
      <c r="O2515" s="173" t="s">
        <v>225</v>
      </c>
      <c r="P2515" s="262" t="str">
        <f t="shared" si="1"/>
        <v>IN-BLR-ANANTA-EM-97_5</v>
      </c>
      <c r="Q2515" s="173" t="s">
        <v>8272</v>
      </c>
      <c r="R2515" s="328" t="str">
        <f>IFS(C2515="","",C2515="n/a","N/A",LEN(C2515),Concatenate("{",char(34),"asset",char(34),":{",char(34),"guid",char(34),":",char(34),Q2515,char(34),",",char(34),"site",char(34),":",char(34),LOWER('2-Building'!$B$4),char(34),",",char(34),"name",char(34),":",char(34),LOWER(C2515),char(34),"}}"))</f>
        <v>{"asset":{"guid":"uuid://7a4b7c8c-fdc7-4fa4-9395-bd27e89c6fb6","site":"in-blr-ananta","name":"em-97"}}</v>
      </c>
      <c r="S2515" s="366" t="s">
        <v>8075</v>
      </c>
      <c r="T2515" s="330"/>
      <c r="U2515" s="330"/>
      <c r="V2515" s="331"/>
      <c r="W2515" s="332"/>
      <c r="X2515" s="333"/>
      <c r="Y2515" s="33" t="s">
        <v>8076</v>
      </c>
      <c r="Z2515" s="368"/>
      <c r="AA2515" s="333"/>
      <c r="AB2515" s="258">
        <v>24.0</v>
      </c>
      <c r="AC2515" s="333"/>
      <c r="AD2515" s="329"/>
      <c r="AE2515" s="331"/>
      <c r="AF2515" s="336"/>
      <c r="AG2515" s="337" t="str">
        <f>IFS(LEN(AF2515)=17,LOWER('2-Building'!$B$4 &amp; "-" &amp; C2515), AF2515="N/A", "N/A", LEN(AF2515)=0,"")</f>
        <v/>
      </c>
      <c r="AH2515" s="333"/>
      <c r="AI2515" s="333"/>
      <c r="AJ2515" s="333"/>
      <c r="AK2515" s="333"/>
      <c r="AL2515" s="333"/>
      <c r="AM2515" s="338"/>
      <c r="AN2515" s="333"/>
      <c r="AO2515" s="333"/>
      <c r="AP2515" s="333"/>
      <c r="AQ2515" s="333"/>
      <c r="AR2515" s="333"/>
      <c r="AS2515" s="333"/>
      <c r="AT2515" s="333"/>
      <c r="AU2515" s="329"/>
      <c r="AV2515" s="341"/>
      <c r="AW2515" s="269" t="s">
        <v>2299</v>
      </c>
      <c r="AX2515" s="269" t="s">
        <v>2869</v>
      </c>
      <c r="AY2515" s="270" t="s">
        <v>695</v>
      </c>
      <c r="AZ2515" s="173" t="s">
        <v>8075</v>
      </c>
      <c r="BA2515" s="265">
        <v>10.0</v>
      </c>
      <c r="BB2515" s="174" t="s">
        <v>245</v>
      </c>
      <c r="BC2515" s="341"/>
      <c r="BD2515" s="308" t="s">
        <v>1844</v>
      </c>
      <c r="BE2515" s="364"/>
      <c r="BF2515" s="274" t="str">
        <f>IFERROR(__xludf.DUMMYFUNCTION("LOWER(Regexreplace(to_text(E2515),""[^A-Za-z0-9]"","""")&amp;""_""&amp;Regexreplace(to_text(F2515),""[^A-Za-z0-9]"",""""))"),"schneider_pm2200")</f>
        <v>schneider_pm2200</v>
      </c>
      <c r="BG2515" s="275" t="str">
        <f>IFERROR(__xludf.DUMMYFUNCTION("upper(Regexreplace(to_text(E2515),""[^A-Za-z0-9]"","""")&amp;""-""&amp;Regexreplace(to_text(F2515),""[^A-Za-z0-9]"",""""))"),"SCHNEIDER-PM2200")</f>
        <v>SCHNEIDER-PM2200</v>
      </c>
    </row>
    <row r="2516" ht="30.0" customHeight="1">
      <c r="A2516" s="258">
        <v>2508.0</v>
      </c>
      <c r="B2516" s="328" t="s">
        <v>670</v>
      </c>
      <c r="C2516" s="257" t="s">
        <v>8273</v>
      </c>
      <c r="D2516" s="173" t="s">
        <v>8273</v>
      </c>
      <c r="E2516" s="174" t="s">
        <v>8070</v>
      </c>
      <c r="F2516" s="173" t="s">
        <v>8071</v>
      </c>
      <c r="G2516" s="328" t="s">
        <v>673</v>
      </c>
      <c r="H2516" s="328" t="s">
        <v>2863</v>
      </c>
      <c r="I2516" s="258" t="s">
        <v>8072</v>
      </c>
      <c r="J2516" s="259" t="s">
        <v>1088</v>
      </c>
      <c r="K2516" s="260">
        <v>570.0</v>
      </c>
      <c r="L2516" s="365"/>
      <c r="M2516" s="329"/>
      <c r="N2516" s="173" t="s">
        <v>679</v>
      </c>
      <c r="O2516" s="173" t="s">
        <v>225</v>
      </c>
      <c r="P2516" s="262" t="str">
        <f t="shared" si="1"/>
        <v>IN-BLR-ANANTA-EM-98_5</v>
      </c>
      <c r="Q2516" s="173" t="s">
        <v>8274</v>
      </c>
      <c r="R2516" s="328" t="str">
        <f>IFS(C2516="","",C2516="n/a","N/A",LEN(C2516),Concatenate("{",char(34),"asset",char(34),":{",char(34),"guid",char(34),":",char(34),Q2516,char(34),",",char(34),"site",char(34),":",char(34),LOWER('2-Building'!$B$4),char(34),",",char(34),"name",char(34),":",char(34),LOWER(C2516),char(34),"}}"))</f>
        <v>{"asset":{"guid":"uuid://53b26948-a277-4624-bb98-5a0617c1fe43","site":"in-blr-ananta","name":"em-98"}}</v>
      </c>
      <c r="S2516" s="366" t="s">
        <v>8075</v>
      </c>
      <c r="T2516" s="330"/>
      <c r="U2516" s="330"/>
      <c r="V2516" s="331"/>
      <c r="W2516" s="332"/>
      <c r="X2516" s="333"/>
      <c r="Y2516" s="33" t="s">
        <v>8076</v>
      </c>
      <c r="Z2516" s="368"/>
      <c r="AA2516" s="333"/>
      <c r="AB2516" s="258">
        <v>2.0</v>
      </c>
      <c r="AC2516" s="333"/>
      <c r="AD2516" s="329"/>
      <c r="AE2516" s="331"/>
      <c r="AF2516" s="336"/>
      <c r="AG2516" s="337" t="str">
        <f>IFS(LEN(AF2516)=17,LOWER('2-Building'!$B$4 &amp; "-" &amp; C2516), AF2516="N/A", "N/A", LEN(AF2516)=0,"")</f>
        <v/>
      </c>
      <c r="AH2516" s="333"/>
      <c r="AI2516" s="333"/>
      <c r="AJ2516" s="333"/>
      <c r="AK2516" s="333"/>
      <c r="AL2516" s="333"/>
      <c r="AM2516" s="338"/>
      <c r="AN2516" s="333"/>
      <c r="AO2516" s="333"/>
      <c r="AP2516" s="333"/>
      <c r="AQ2516" s="333"/>
      <c r="AR2516" s="333"/>
      <c r="AS2516" s="333"/>
      <c r="AT2516" s="333"/>
      <c r="AU2516" s="329"/>
      <c r="AV2516" s="341"/>
      <c r="AW2516" s="269" t="s">
        <v>1780</v>
      </c>
      <c r="AX2516" s="269" t="s">
        <v>2869</v>
      </c>
      <c r="AY2516" s="270" t="s">
        <v>695</v>
      </c>
      <c r="AZ2516" s="173" t="s">
        <v>8075</v>
      </c>
      <c r="BA2516" s="265">
        <v>10.0</v>
      </c>
      <c r="BB2516" s="174" t="s">
        <v>245</v>
      </c>
      <c r="BC2516" s="341"/>
      <c r="BD2516" s="308" t="s">
        <v>1844</v>
      </c>
      <c r="BE2516" s="364"/>
      <c r="BF2516" s="274" t="str">
        <f>IFERROR(__xludf.DUMMYFUNCTION("LOWER(Regexreplace(to_text(E2516),""[^A-Za-z0-9]"","""")&amp;""_""&amp;Regexreplace(to_text(F2516),""[^A-Za-z0-9]"",""""))"),"schneider_pm2200")</f>
        <v>schneider_pm2200</v>
      </c>
      <c r="BG2516" s="275" t="str">
        <f>IFERROR(__xludf.DUMMYFUNCTION("upper(Regexreplace(to_text(E2516),""[^A-Za-z0-9]"","""")&amp;""-""&amp;Regexreplace(to_text(F2516),""[^A-Za-z0-9]"",""""))"),"SCHNEIDER-PM2200")</f>
        <v>SCHNEIDER-PM2200</v>
      </c>
    </row>
    <row r="2517" ht="30.0" customHeight="1">
      <c r="A2517" s="173">
        <v>2509.0</v>
      </c>
      <c r="B2517" s="328" t="s">
        <v>670</v>
      </c>
      <c r="C2517" s="257" t="s">
        <v>8275</v>
      </c>
      <c r="D2517" s="173" t="s">
        <v>8275</v>
      </c>
      <c r="E2517" s="174" t="s">
        <v>8070</v>
      </c>
      <c r="F2517" s="173" t="s">
        <v>8071</v>
      </c>
      <c r="G2517" s="328" t="s">
        <v>673</v>
      </c>
      <c r="H2517" s="328" t="s">
        <v>2863</v>
      </c>
      <c r="I2517" s="258" t="s">
        <v>8072</v>
      </c>
      <c r="J2517" s="259" t="s">
        <v>1088</v>
      </c>
      <c r="K2517" s="260">
        <v>570.0</v>
      </c>
      <c r="L2517" s="365"/>
      <c r="M2517" s="329"/>
      <c r="N2517" s="173" t="s">
        <v>679</v>
      </c>
      <c r="O2517" s="173" t="s">
        <v>225</v>
      </c>
      <c r="P2517" s="262" t="str">
        <f t="shared" si="1"/>
        <v>IN-BLR-ANANTA-EM-99_5</v>
      </c>
      <c r="Q2517" s="173" t="s">
        <v>8276</v>
      </c>
      <c r="R2517" s="328" t="str">
        <f>IFS(C2517="","",C2517="n/a","N/A",LEN(C2517),Concatenate("{",char(34),"asset",char(34),":{",char(34),"guid",char(34),":",char(34),Q2517,char(34),",",char(34),"site",char(34),":",char(34),LOWER('2-Building'!$B$4),char(34),",",char(34),"name",char(34),":",char(34),LOWER(C2517),char(34),"}}"))</f>
        <v>{"asset":{"guid":"uuid://b6ee4c67-d8ac-45b4-bd8d-6bb55ab3615e","site":"in-blr-ananta","name":"em-99"}}</v>
      </c>
      <c r="S2517" s="366" t="s">
        <v>8075</v>
      </c>
      <c r="T2517" s="330"/>
      <c r="U2517" s="330"/>
      <c r="V2517" s="331"/>
      <c r="W2517" s="332"/>
      <c r="X2517" s="333"/>
      <c r="Y2517" s="33" t="s">
        <v>8076</v>
      </c>
      <c r="Z2517" s="368"/>
      <c r="AA2517" s="333"/>
      <c r="AB2517" s="258">
        <v>3.0</v>
      </c>
      <c r="AC2517" s="333"/>
      <c r="AD2517" s="329"/>
      <c r="AE2517" s="331"/>
      <c r="AF2517" s="336"/>
      <c r="AG2517" s="337" t="str">
        <f>IFS(LEN(AF2517)=17,LOWER('2-Building'!$B$4 &amp; "-" &amp; C2517), AF2517="N/A", "N/A", LEN(AF2517)=0,"")</f>
        <v/>
      </c>
      <c r="AH2517" s="333"/>
      <c r="AI2517" s="333"/>
      <c r="AJ2517" s="333"/>
      <c r="AK2517" s="333"/>
      <c r="AL2517" s="333"/>
      <c r="AM2517" s="338"/>
      <c r="AN2517" s="333"/>
      <c r="AO2517" s="333"/>
      <c r="AP2517" s="333"/>
      <c r="AQ2517" s="333"/>
      <c r="AR2517" s="333"/>
      <c r="AS2517" s="333"/>
      <c r="AT2517" s="333"/>
      <c r="AU2517" s="329"/>
      <c r="AV2517" s="341"/>
      <c r="AW2517" s="269" t="s">
        <v>1780</v>
      </c>
      <c r="AX2517" s="269" t="s">
        <v>2869</v>
      </c>
      <c r="AY2517" s="270" t="s">
        <v>695</v>
      </c>
      <c r="AZ2517" s="173" t="s">
        <v>8075</v>
      </c>
      <c r="BA2517" s="265">
        <v>10.0</v>
      </c>
      <c r="BB2517" s="174" t="s">
        <v>245</v>
      </c>
      <c r="BC2517" s="341"/>
      <c r="BD2517" s="308" t="s">
        <v>1844</v>
      </c>
      <c r="BE2517" s="364"/>
      <c r="BF2517" s="274" t="str">
        <f>IFERROR(__xludf.DUMMYFUNCTION("LOWER(Regexreplace(to_text(E2517),""[^A-Za-z0-9]"","""")&amp;""_""&amp;Regexreplace(to_text(F2517),""[^A-Za-z0-9]"",""""))"),"schneider_pm2200")</f>
        <v>schneider_pm2200</v>
      </c>
      <c r="BG2517" s="275" t="str">
        <f>IFERROR(__xludf.DUMMYFUNCTION("upper(Regexreplace(to_text(E2517),""[^A-Za-z0-9]"","""")&amp;""-""&amp;Regexreplace(to_text(F2517),""[^A-Za-z0-9]"",""""))"),"SCHNEIDER-PM2200")</f>
        <v>SCHNEIDER-PM2200</v>
      </c>
    </row>
    <row r="2518" ht="30.0" customHeight="1">
      <c r="A2518" s="258">
        <v>2510.0</v>
      </c>
      <c r="B2518" s="328" t="s">
        <v>670</v>
      </c>
      <c r="C2518" s="257" t="s">
        <v>8277</v>
      </c>
      <c r="D2518" s="173" t="s">
        <v>8277</v>
      </c>
      <c r="E2518" s="174" t="s">
        <v>8070</v>
      </c>
      <c r="F2518" s="173" t="s">
        <v>8071</v>
      </c>
      <c r="G2518" s="328" t="s">
        <v>673</v>
      </c>
      <c r="H2518" s="328" t="s">
        <v>2863</v>
      </c>
      <c r="I2518" s="258" t="s">
        <v>8072</v>
      </c>
      <c r="J2518" s="259" t="s">
        <v>1088</v>
      </c>
      <c r="K2518" s="260">
        <v>505.0</v>
      </c>
      <c r="L2518" s="365"/>
      <c r="M2518" s="329"/>
      <c r="N2518" s="173" t="s">
        <v>679</v>
      </c>
      <c r="O2518" s="173" t="s">
        <v>225</v>
      </c>
      <c r="P2518" s="262" t="str">
        <f t="shared" si="1"/>
        <v>IN-BLR-ANANTA-EM-100_5</v>
      </c>
      <c r="Q2518" s="173" t="s">
        <v>8278</v>
      </c>
      <c r="R2518" s="328" t="str">
        <f>IFS(C2518="","",C2518="n/a","N/A",LEN(C2518),Concatenate("{",char(34),"asset",char(34),":{",char(34),"guid",char(34),":",char(34),Q2518,char(34),",",char(34),"site",char(34),":",char(34),LOWER('2-Building'!$B$4),char(34),",",char(34),"name",char(34),":",char(34),LOWER(C2518),char(34),"}}"))</f>
        <v>{"asset":{"guid":"uuid://18d85c8d-bc6f-42fc-bb24-dfc5203523f4","site":"in-blr-ananta","name":"em-100"}}</v>
      </c>
      <c r="S2518" s="366" t="s">
        <v>8075</v>
      </c>
      <c r="T2518" s="330"/>
      <c r="U2518" s="330"/>
      <c r="V2518" s="331"/>
      <c r="W2518" s="332"/>
      <c r="X2518" s="333"/>
      <c r="Y2518" s="33" t="s">
        <v>8076</v>
      </c>
      <c r="Z2518" s="368"/>
      <c r="AA2518" s="333"/>
      <c r="AB2518" s="258">
        <v>4.0</v>
      </c>
      <c r="AC2518" s="333"/>
      <c r="AD2518" s="329"/>
      <c r="AE2518" s="331"/>
      <c r="AF2518" s="336"/>
      <c r="AG2518" s="337" t="str">
        <f>IFS(LEN(AF2518)=17,LOWER('2-Building'!$B$4 &amp; "-" &amp; C2518), AF2518="N/A", "N/A", LEN(AF2518)=0,"")</f>
        <v/>
      </c>
      <c r="AH2518" s="333"/>
      <c r="AI2518" s="333"/>
      <c r="AJ2518" s="333"/>
      <c r="AK2518" s="333"/>
      <c r="AL2518" s="333"/>
      <c r="AM2518" s="338"/>
      <c r="AN2518" s="333"/>
      <c r="AO2518" s="333"/>
      <c r="AP2518" s="333"/>
      <c r="AQ2518" s="333"/>
      <c r="AR2518" s="333"/>
      <c r="AS2518" s="333"/>
      <c r="AT2518" s="333"/>
      <c r="AU2518" s="329"/>
      <c r="AV2518" s="341"/>
      <c r="AW2518" s="269" t="s">
        <v>1780</v>
      </c>
      <c r="AX2518" s="269" t="s">
        <v>2869</v>
      </c>
      <c r="AY2518" s="270" t="s">
        <v>695</v>
      </c>
      <c r="AZ2518" s="173" t="s">
        <v>8075</v>
      </c>
      <c r="BA2518" s="265">
        <v>10.0</v>
      </c>
      <c r="BB2518" s="174" t="s">
        <v>245</v>
      </c>
      <c r="BC2518" s="341"/>
      <c r="BD2518" s="308" t="s">
        <v>1844</v>
      </c>
      <c r="BE2518" s="364"/>
      <c r="BF2518" s="274" t="str">
        <f>IFERROR(__xludf.DUMMYFUNCTION("LOWER(Regexreplace(to_text(E2518),""[^A-Za-z0-9]"","""")&amp;""_""&amp;Regexreplace(to_text(F2518),""[^A-Za-z0-9]"",""""))"),"schneider_pm2200")</f>
        <v>schneider_pm2200</v>
      </c>
      <c r="BG2518" s="275" t="str">
        <f>IFERROR(__xludf.DUMMYFUNCTION("upper(Regexreplace(to_text(E2518),""[^A-Za-z0-9]"","""")&amp;""-""&amp;Regexreplace(to_text(F2518),""[^A-Za-z0-9]"",""""))"),"SCHNEIDER-PM2200")</f>
        <v>SCHNEIDER-PM2200</v>
      </c>
    </row>
    <row r="2519" ht="30.0" customHeight="1">
      <c r="A2519" s="173">
        <v>2511.0</v>
      </c>
      <c r="B2519" s="328" t="s">
        <v>670</v>
      </c>
      <c r="C2519" s="257" t="s">
        <v>8279</v>
      </c>
      <c r="D2519" s="173" t="s">
        <v>8279</v>
      </c>
      <c r="E2519" s="174" t="s">
        <v>8070</v>
      </c>
      <c r="F2519" s="173" t="s">
        <v>8071</v>
      </c>
      <c r="G2519" s="328" t="s">
        <v>673</v>
      </c>
      <c r="H2519" s="328" t="s">
        <v>2863</v>
      </c>
      <c r="I2519" s="258" t="s">
        <v>8072</v>
      </c>
      <c r="J2519" s="259" t="s">
        <v>1088</v>
      </c>
      <c r="K2519" s="260">
        <v>556.0</v>
      </c>
      <c r="L2519" s="365"/>
      <c r="M2519" s="329"/>
      <c r="N2519" s="173" t="s">
        <v>679</v>
      </c>
      <c r="O2519" s="173" t="s">
        <v>225</v>
      </c>
      <c r="P2519" s="262" t="str">
        <f t="shared" si="1"/>
        <v>IN-BLR-ANANTA-EM-101_5</v>
      </c>
      <c r="Q2519" s="173" t="s">
        <v>8280</v>
      </c>
      <c r="R2519" s="328" t="str">
        <f>IFS(C2519="","",C2519="n/a","N/A",LEN(C2519),Concatenate("{",char(34),"asset",char(34),":{",char(34),"guid",char(34),":",char(34),Q2519,char(34),",",char(34),"site",char(34),":",char(34),LOWER('2-Building'!$B$4),char(34),",",char(34),"name",char(34),":",char(34),LOWER(C2519),char(34),"}}"))</f>
        <v>{"asset":{"guid":"uuid://6639b7df-de70-496d-9c9c-289d7a9e6f2c","site":"in-blr-ananta","name":"em-101"}}</v>
      </c>
      <c r="S2519" s="366" t="s">
        <v>8075</v>
      </c>
      <c r="T2519" s="330"/>
      <c r="U2519" s="330"/>
      <c r="V2519" s="331"/>
      <c r="W2519" s="332"/>
      <c r="X2519" s="333"/>
      <c r="Y2519" s="33" t="s">
        <v>8076</v>
      </c>
      <c r="Z2519" s="368"/>
      <c r="AA2519" s="333"/>
      <c r="AB2519" s="258">
        <v>5.0</v>
      </c>
      <c r="AC2519" s="333"/>
      <c r="AD2519" s="329"/>
      <c r="AE2519" s="331"/>
      <c r="AF2519" s="336"/>
      <c r="AG2519" s="337" t="str">
        <f>IFS(LEN(AF2519)=17,LOWER('2-Building'!$B$4 &amp; "-" &amp; C2519), AF2519="N/A", "N/A", LEN(AF2519)=0,"")</f>
        <v/>
      </c>
      <c r="AH2519" s="333"/>
      <c r="AI2519" s="333"/>
      <c r="AJ2519" s="333"/>
      <c r="AK2519" s="333"/>
      <c r="AL2519" s="333"/>
      <c r="AM2519" s="338"/>
      <c r="AN2519" s="333"/>
      <c r="AO2519" s="333"/>
      <c r="AP2519" s="333"/>
      <c r="AQ2519" s="333"/>
      <c r="AR2519" s="333"/>
      <c r="AS2519" s="333"/>
      <c r="AT2519" s="333"/>
      <c r="AU2519" s="329"/>
      <c r="AV2519" s="341"/>
      <c r="AW2519" s="269" t="s">
        <v>1780</v>
      </c>
      <c r="AX2519" s="269" t="s">
        <v>2869</v>
      </c>
      <c r="AY2519" s="270" t="s">
        <v>695</v>
      </c>
      <c r="AZ2519" s="173" t="s">
        <v>8075</v>
      </c>
      <c r="BA2519" s="265">
        <v>10.0</v>
      </c>
      <c r="BB2519" s="174" t="s">
        <v>245</v>
      </c>
      <c r="BC2519" s="341"/>
      <c r="BD2519" s="308" t="s">
        <v>1844</v>
      </c>
      <c r="BE2519" s="364"/>
      <c r="BF2519" s="274" t="str">
        <f>IFERROR(__xludf.DUMMYFUNCTION("LOWER(Regexreplace(to_text(E2519),""[^A-Za-z0-9]"","""")&amp;""_""&amp;Regexreplace(to_text(F2519),""[^A-Za-z0-9]"",""""))"),"schneider_pm2200")</f>
        <v>schneider_pm2200</v>
      </c>
      <c r="BG2519" s="275" t="str">
        <f>IFERROR(__xludf.DUMMYFUNCTION("upper(Regexreplace(to_text(E2519),""[^A-Za-z0-9]"","""")&amp;""-""&amp;Regexreplace(to_text(F2519),""[^A-Za-z0-9]"",""""))"),"SCHNEIDER-PM2200")</f>
        <v>SCHNEIDER-PM2200</v>
      </c>
    </row>
    <row r="2520" ht="30.0" customHeight="1">
      <c r="A2520" s="258">
        <v>2512.0</v>
      </c>
      <c r="B2520" s="328" t="s">
        <v>670</v>
      </c>
      <c r="C2520" s="257" t="s">
        <v>8281</v>
      </c>
      <c r="D2520" s="173" t="s">
        <v>8281</v>
      </c>
      <c r="E2520" s="174" t="s">
        <v>8070</v>
      </c>
      <c r="F2520" s="173" t="s">
        <v>8071</v>
      </c>
      <c r="G2520" s="328" t="s">
        <v>673</v>
      </c>
      <c r="H2520" s="328" t="s">
        <v>2863</v>
      </c>
      <c r="I2520" s="258" t="s">
        <v>8072</v>
      </c>
      <c r="J2520" s="259" t="s">
        <v>1088</v>
      </c>
      <c r="K2520" s="260">
        <v>582.0</v>
      </c>
      <c r="L2520" s="365"/>
      <c r="M2520" s="329"/>
      <c r="N2520" s="173" t="s">
        <v>679</v>
      </c>
      <c r="O2520" s="173" t="s">
        <v>225</v>
      </c>
      <c r="P2520" s="262" t="str">
        <f t="shared" si="1"/>
        <v>IN-BLR-ANANTA-EM-102_5</v>
      </c>
      <c r="Q2520" s="173" t="s">
        <v>8282</v>
      </c>
      <c r="R2520" s="328" t="str">
        <f>IFS(C2520="","",C2520="n/a","N/A",LEN(C2520),Concatenate("{",char(34),"asset",char(34),":{",char(34),"guid",char(34),":",char(34),Q2520,char(34),",",char(34),"site",char(34),":",char(34),LOWER('2-Building'!$B$4),char(34),",",char(34),"name",char(34),":",char(34),LOWER(C2520),char(34),"}}"))</f>
        <v>{"asset":{"guid":"uuid://087928a1-a2d3-42fe-8396-429aedce920d","site":"in-blr-ananta","name":"em-102"}}</v>
      </c>
      <c r="S2520" s="366" t="s">
        <v>8075</v>
      </c>
      <c r="T2520" s="330"/>
      <c r="U2520" s="330"/>
      <c r="V2520" s="331"/>
      <c r="W2520" s="332"/>
      <c r="X2520" s="333"/>
      <c r="Y2520" s="33" t="s">
        <v>8076</v>
      </c>
      <c r="Z2520" s="368"/>
      <c r="AA2520" s="333"/>
      <c r="AB2520" s="258">
        <v>6.0</v>
      </c>
      <c r="AC2520" s="333"/>
      <c r="AD2520" s="329"/>
      <c r="AE2520" s="331"/>
      <c r="AF2520" s="336"/>
      <c r="AG2520" s="337" t="str">
        <f>IFS(LEN(AF2520)=17,LOWER('2-Building'!$B$4 &amp; "-" &amp; C2520), AF2520="N/A", "N/A", LEN(AF2520)=0,"")</f>
        <v/>
      </c>
      <c r="AH2520" s="333"/>
      <c r="AI2520" s="333"/>
      <c r="AJ2520" s="333"/>
      <c r="AK2520" s="333"/>
      <c r="AL2520" s="333"/>
      <c r="AM2520" s="338"/>
      <c r="AN2520" s="333"/>
      <c r="AO2520" s="333"/>
      <c r="AP2520" s="333"/>
      <c r="AQ2520" s="333"/>
      <c r="AR2520" s="333"/>
      <c r="AS2520" s="333"/>
      <c r="AT2520" s="333"/>
      <c r="AU2520" s="329"/>
      <c r="AV2520" s="341"/>
      <c r="AW2520" s="269" t="s">
        <v>1780</v>
      </c>
      <c r="AX2520" s="269" t="s">
        <v>2869</v>
      </c>
      <c r="AY2520" s="270" t="s">
        <v>695</v>
      </c>
      <c r="AZ2520" s="173" t="s">
        <v>8075</v>
      </c>
      <c r="BA2520" s="265">
        <v>10.0</v>
      </c>
      <c r="BB2520" s="174" t="s">
        <v>245</v>
      </c>
      <c r="BC2520" s="341"/>
      <c r="BD2520" s="308" t="s">
        <v>1844</v>
      </c>
      <c r="BE2520" s="364"/>
      <c r="BF2520" s="274" t="str">
        <f>IFERROR(__xludf.DUMMYFUNCTION("LOWER(Regexreplace(to_text(E2520),""[^A-Za-z0-9]"","""")&amp;""_""&amp;Regexreplace(to_text(F2520),""[^A-Za-z0-9]"",""""))"),"schneider_pm2200")</f>
        <v>schneider_pm2200</v>
      </c>
      <c r="BG2520" s="275" t="str">
        <f>IFERROR(__xludf.DUMMYFUNCTION("upper(Regexreplace(to_text(E2520),""[^A-Za-z0-9]"","""")&amp;""-""&amp;Regexreplace(to_text(F2520),""[^A-Za-z0-9]"",""""))"),"SCHNEIDER-PM2200")</f>
        <v>SCHNEIDER-PM2200</v>
      </c>
    </row>
    <row r="2521" ht="30.0" customHeight="1">
      <c r="A2521" s="173">
        <v>2513.0</v>
      </c>
      <c r="B2521" s="328" t="s">
        <v>670</v>
      </c>
      <c r="C2521" s="257" t="s">
        <v>8283</v>
      </c>
      <c r="D2521" s="173" t="s">
        <v>8283</v>
      </c>
      <c r="E2521" s="174" t="s">
        <v>8070</v>
      </c>
      <c r="F2521" s="173" t="s">
        <v>8071</v>
      </c>
      <c r="G2521" s="328" t="s">
        <v>673</v>
      </c>
      <c r="H2521" s="328" t="s">
        <v>2863</v>
      </c>
      <c r="I2521" s="258" t="s">
        <v>8072</v>
      </c>
      <c r="J2521" s="259" t="s">
        <v>1088</v>
      </c>
      <c r="K2521" s="260">
        <v>570.0</v>
      </c>
      <c r="L2521" s="365"/>
      <c r="M2521" s="329"/>
      <c r="N2521" s="173" t="s">
        <v>679</v>
      </c>
      <c r="O2521" s="173" t="s">
        <v>225</v>
      </c>
      <c r="P2521" s="262" t="str">
        <f t="shared" si="1"/>
        <v>IN-BLR-ANANTA-EM-103_5</v>
      </c>
      <c r="Q2521" s="173" t="s">
        <v>8284</v>
      </c>
      <c r="R2521" s="328" t="str">
        <f>IFS(C2521="","",C2521="n/a","N/A",LEN(C2521),Concatenate("{",char(34),"asset",char(34),":{",char(34),"guid",char(34),":",char(34),Q2521,char(34),",",char(34),"site",char(34),":",char(34),LOWER('2-Building'!$B$4),char(34),",",char(34),"name",char(34),":",char(34),LOWER(C2521),char(34),"}}"))</f>
        <v>{"asset":{"guid":"uuid://df6de6b4-33d1-49c3-837c-18aeb086d041","site":"in-blr-ananta","name":"em-103"}}</v>
      </c>
      <c r="S2521" s="366" t="s">
        <v>8075</v>
      </c>
      <c r="T2521" s="330"/>
      <c r="U2521" s="330"/>
      <c r="V2521" s="331"/>
      <c r="W2521" s="332"/>
      <c r="X2521" s="333"/>
      <c r="Y2521" s="33" t="s">
        <v>8076</v>
      </c>
      <c r="Z2521" s="368"/>
      <c r="AA2521" s="333"/>
      <c r="AB2521" s="258">
        <v>7.0</v>
      </c>
      <c r="AC2521" s="333"/>
      <c r="AD2521" s="329"/>
      <c r="AE2521" s="331"/>
      <c r="AF2521" s="336"/>
      <c r="AG2521" s="337" t="str">
        <f>IFS(LEN(AF2521)=17,LOWER('2-Building'!$B$4 &amp; "-" &amp; C2521), AF2521="N/A", "N/A", LEN(AF2521)=0,"")</f>
        <v/>
      </c>
      <c r="AH2521" s="333"/>
      <c r="AI2521" s="333"/>
      <c r="AJ2521" s="333"/>
      <c r="AK2521" s="333"/>
      <c r="AL2521" s="333"/>
      <c r="AM2521" s="338"/>
      <c r="AN2521" s="333"/>
      <c r="AO2521" s="333"/>
      <c r="AP2521" s="333"/>
      <c r="AQ2521" s="333"/>
      <c r="AR2521" s="333"/>
      <c r="AS2521" s="333"/>
      <c r="AT2521" s="333"/>
      <c r="AU2521" s="329"/>
      <c r="AV2521" s="341"/>
      <c r="AW2521" s="269" t="s">
        <v>1780</v>
      </c>
      <c r="AX2521" s="269" t="s">
        <v>2869</v>
      </c>
      <c r="AY2521" s="270" t="s">
        <v>695</v>
      </c>
      <c r="AZ2521" s="173" t="s">
        <v>8075</v>
      </c>
      <c r="BA2521" s="265">
        <v>10.0</v>
      </c>
      <c r="BB2521" s="174" t="s">
        <v>245</v>
      </c>
      <c r="BC2521" s="341"/>
      <c r="BD2521" s="308" t="s">
        <v>1844</v>
      </c>
      <c r="BE2521" s="364"/>
      <c r="BF2521" s="274" t="str">
        <f>IFERROR(__xludf.DUMMYFUNCTION("LOWER(Regexreplace(to_text(E2521),""[^A-Za-z0-9]"","""")&amp;""_""&amp;Regexreplace(to_text(F2521),""[^A-Za-z0-9]"",""""))"),"schneider_pm2200")</f>
        <v>schneider_pm2200</v>
      </c>
      <c r="BG2521" s="275" t="str">
        <f>IFERROR(__xludf.DUMMYFUNCTION("upper(Regexreplace(to_text(E2521),""[^A-Za-z0-9]"","""")&amp;""-""&amp;Regexreplace(to_text(F2521),""[^A-Za-z0-9]"",""""))"),"SCHNEIDER-PM2200")</f>
        <v>SCHNEIDER-PM2200</v>
      </c>
    </row>
    <row r="2522" ht="30.0" customHeight="1">
      <c r="A2522" s="258">
        <v>2514.0</v>
      </c>
      <c r="B2522" s="328" t="s">
        <v>670</v>
      </c>
      <c r="C2522" s="257" t="s">
        <v>8285</v>
      </c>
      <c r="D2522" s="173" t="s">
        <v>8285</v>
      </c>
      <c r="E2522" s="174" t="s">
        <v>8070</v>
      </c>
      <c r="F2522" s="173" t="s">
        <v>8071</v>
      </c>
      <c r="G2522" s="328" t="s">
        <v>673</v>
      </c>
      <c r="H2522" s="328" t="s">
        <v>2863</v>
      </c>
      <c r="I2522" s="258" t="s">
        <v>8072</v>
      </c>
      <c r="J2522" s="259" t="s">
        <v>1149</v>
      </c>
      <c r="K2522" s="260">
        <v>670.0</v>
      </c>
      <c r="L2522" s="365"/>
      <c r="M2522" s="329"/>
      <c r="N2522" s="173" t="s">
        <v>679</v>
      </c>
      <c r="O2522" s="173" t="s">
        <v>225</v>
      </c>
      <c r="P2522" s="262" t="str">
        <f t="shared" si="1"/>
        <v>IN-BLR-ANANTA-EM-104_6</v>
      </c>
      <c r="Q2522" s="173" t="s">
        <v>8286</v>
      </c>
      <c r="R2522" s="328" t="str">
        <f>IFS(C2522="","",C2522="n/a","N/A",LEN(C2522),Concatenate("{",char(34),"asset",char(34),":{",char(34),"guid",char(34),":",char(34),Q2522,char(34),",",char(34),"site",char(34),":",char(34),LOWER('2-Building'!$B$4),char(34),",",char(34),"name",char(34),":",char(34),LOWER(C2522),char(34),"}}"))</f>
        <v>{"asset":{"guid":"uuid://f36bd281-2b90-4e7a-b94a-9d687ba33199","site":"in-blr-ananta","name":"em-104"}}</v>
      </c>
      <c r="S2522" s="366" t="s">
        <v>8287</v>
      </c>
      <c r="T2522" s="330"/>
      <c r="U2522" s="330"/>
      <c r="V2522" s="331"/>
      <c r="W2522" s="332"/>
      <c r="X2522" s="333"/>
      <c r="Y2522" s="33" t="s">
        <v>8076</v>
      </c>
      <c r="Z2522" s="368"/>
      <c r="AA2522" s="333"/>
      <c r="AB2522" s="258">
        <v>2.0</v>
      </c>
      <c r="AC2522" s="333"/>
      <c r="AD2522" s="329"/>
      <c r="AE2522" s="331"/>
      <c r="AF2522" s="336"/>
      <c r="AG2522" s="337" t="str">
        <f>IFS(LEN(AF2522)=17,LOWER('2-Building'!$B$4 &amp; "-" &amp; C2522), AF2522="N/A", "N/A", LEN(AF2522)=0,"")</f>
        <v/>
      </c>
      <c r="AH2522" s="333"/>
      <c r="AI2522" s="333"/>
      <c r="AJ2522" s="333"/>
      <c r="AK2522" s="333"/>
      <c r="AL2522" s="333"/>
      <c r="AM2522" s="338"/>
      <c r="AN2522" s="333"/>
      <c r="AO2522" s="333"/>
      <c r="AP2522" s="333"/>
      <c r="AQ2522" s="333"/>
      <c r="AR2522" s="333"/>
      <c r="AS2522" s="333"/>
      <c r="AT2522" s="333"/>
      <c r="AU2522" s="329"/>
      <c r="AV2522" s="341"/>
      <c r="AW2522" s="269" t="s">
        <v>2327</v>
      </c>
      <c r="AX2522" s="269" t="s">
        <v>2869</v>
      </c>
      <c r="AY2522" s="270" t="s">
        <v>695</v>
      </c>
      <c r="AZ2522" s="173" t="s">
        <v>8288</v>
      </c>
      <c r="BA2522" s="265">
        <v>10.0</v>
      </c>
      <c r="BB2522" s="174" t="s">
        <v>245</v>
      </c>
      <c r="BC2522" s="341"/>
      <c r="BD2522" s="308" t="s">
        <v>1844</v>
      </c>
      <c r="BE2522" s="364"/>
      <c r="BF2522" s="274" t="str">
        <f>IFERROR(__xludf.DUMMYFUNCTION("LOWER(Regexreplace(to_text(E2522),""[^A-Za-z0-9]"","""")&amp;""_""&amp;Regexreplace(to_text(F2522),""[^A-Za-z0-9]"",""""))"),"schneider_pm2200")</f>
        <v>schneider_pm2200</v>
      </c>
      <c r="BG2522" s="275" t="str">
        <f>IFERROR(__xludf.DUMMYFUNCTION("upper(Regexreplace(to_text(E2522),""[^A-Za-z0-9]"","""")&amp;""-""&amp;Regexreplace(to_text(F2522),""[^A-Za-z0-9]"",""""))"),"SCHNEIDER-PM2200")</f>
        <v>SCHNEIDER-PM2200</v>
      </c>
    </row>
    <row r="2523" ht="30.0" customHeight="1">
      <c r="A2523" s="173">
        <v>2515.0</v>
      </c>
      <c r="B2523" s="328" t="s">
        <v>670</v>
      </c>
      <c r="C2523" s="257" t="s">
        <v>8289</v>
      </c>
      <c r="D2523" s="173" t="s">
        <v>8289</v>
      </c>
      <c r="E2523" s="174" t="s">
        <v>8070</v>
      </c>
      <c r="F2523" s="173" t="s">
        <v>8071</v>
      </c>
      <c r="G2523" s="328" t="s">
        <v>673</v>
      </c>
      <c r="H2523" s="328" t="s">
        <v>2863</v>
      </c>
      <c r="I2523" s="258" t="s">
        <v>8072</v>
      </c>
      <c r="J2523" s="259" t="s">
        <v>1149</v>
      </c>
      <c r="K2523" s="260">
        <v>670.0</v>
      </c>
      <c r="L2523" s="365"/>
      <c r="M2523" s="329"/>
      <c r="N2523" s="173" t="s">
        <v>679</v>
      </c>
      <c r="O2523" s="173" t="s">
        <v>225</v>
      </c>
      <c r="P2523" s="262" t="str">
        <f t="shared" si="1"/>
        <v>IN-BLR-ANANTA-EM-105_6</v>
      </c>
      <c r="Q2523" s="173" t="s">
        <v>8290</v>
      </c>
      <c r="R2523" s="328" t="str">
        <f>IFS(C2523="","",C2523="n/a","N/A",LEN(C2523),Concatenate("{",char(34),"asset",char(34),":{",char(34),"guid",char(34),":",char(34),Q2523,char(34),",",char(34),"site",char(34),":",char(34),LOWER('2-Building'!$B$4),char(34),",",char(34),"name",char(34),":",char(34),LOWER(C2523),char(34),"}}"))</f>
        <v>{"asset":{"guid":"uuid://09a128f0-a15d-4051-91a1-75476d76e4b2","site":"in-blr-ananta","name":"em-105"}}</v>
      </c>
      <c r="S2523" s="366" t="s">
        <v>8287</v>
      </c>
      <c r="T2523" s="330"/>
      <c r="U2523" s="330"/>
      <c r="V2523" s="331"/>
      <c r="W2523" s="332"/>
      <c r="X2523" s="333"/>
      <c r="Y2523" s="33" t="s">
        <v>8076</v>
      </c>
      <c r="Z2523" s="368"/>
      <c r="AA2523" s="333"/>
      <c r="AB2523" s="258">
        <v>3.0</v>
      </c>
      <c r="AC2523" s="333"/>
      <c r="AD2523" s="329"/>
      <c r="AE2523" s="331"/>
      <c r="AF2523" s="336"/>
      <c r="AG2523" s="337" t="str">
        <f>IFS(LEN(AF2523)=17,LOWER('2-Building'!$B$4 &amp; "-" &amp; C2523), AF2523="N/A", "N/A", LEN(AF2523)=0,"")</f>
        <v/>
      </c>
      <c r="AH2523" s="333"/>
      <c r="AI2523" s="333"/>
      <c r="AJ2523" s="333"/>
      <c r="AK2523" s="333"/>
      <c r="AL2523" s="333"/>
      <c r="AM2523" s="338"/>
      <c r="AN2523" s="333"/>
      <c r="AO2523" s="333"/>
      <c r="AP2523" s="333"/>
      <c r="AQ2523" s="333"/>
      <c r="AR2523" s="333"/>
      <c r="AS2523" s="333"/>
      <c r="AT2523" s="333"/>
      <c r="AU2523" s="329"/>
      <c r="AV2523" s="341"/>
      <c r="AW2523" s="269" t="s">
        <v>2327</v>
      </c>
      <c r="AX2523" s="269" t="s">
        <v>2869</v>
      </c>
      <c r="AY2523" s="270" t="s">
        <v>695</v>
      </c>
      <c r="AZ2523" s="173" t="s">
        <v>8288</v>
      </c>
      <c r="BA2523" s="265">
        <v>10.0</v>
      </c>
      <c r="BB2523" s="174" t="s">
        <v>245</v>
      </c>
      <c r="BC2523" s="341"/>
      <c r="BD2523" s="308" t="s">
        <v>1844</v>
      </c>
      <c r="BE2523" s="364"/>
      <c r="BF2523" s="274" t="str">
        <f>IFERROR(__xludf.DUMMYFUNCTION("LOWER(Regexreplace(to_text(E2523),""[^A-Za-z0-9]"","""")&amp;""_""&amp;Regexreplace(to_text(F2523),""[^A-Za-z0-9]"",""""))"),"schneider_pm2200")</f>
        <v>schneider_pm2200</v>
      </c>
      <c r="BG2523" s="275" t="str">
        <f>IFERROR(__xludf.DUMMYFUNCTION("upper(Regexreplace(to_text(E2523),""[^A-Za-z0-9]"","""")&amp;""-""&amp;Regexreplace(to_text(F2523),""[^A-Za-z0-9]"",""""))"),"SCHNEIDER-PM2200")</f>
        <v>SCHNEIDER-PM2200</v>
      </c>
    </row>
    <row r="2524" ht="30.0" customHeight="1">
      <c r="A2524" s="258">
        <v>2516.0</v>
      </c>
      <c r="B2524" s="328" t="s">
        <v>670</v>
      </c>
      <c r="C2524" s="257" t="s">
        <v>8291</v>
      </c>
      <c r="D2524" s="173" t="s">
        <v>8291</v>
      </c>
      <c r="E2524" s="174" t="s">
        <v>8070</v>
      </c>
      <c r="F2524" s="173" t="s">
        <v>8071</v>
      </c>
      <c r="G2524" s="328" t="s">
        <v>673</v>
      </c>
      <c r="H2524" s="328" t="s">
        <v>2863</v>
      </c>
      <c r="I2524" s="258" t="s">
        <v>8072</v>
      </c>
      <c r="J2524" s="259" t="s">
        <v>1149</v>
      </c>
      <c r="K2524" s="260">
        <v>605.0</v>
      </c>
      <c r="L2524" s="365"/>
      <c r="M2524" s="329"/>
      <c r="N2524" s="173" t="s">
        <v>679</v>
      </c>
      <c r="O2524" s="173" t="s">
        <v>225</v>
      </c>
      <c r="P2524" s="262" t="str">
        <f t="shared" si="1"/>
        <v>IN-BLR-ANANTA-EM-106_6</v>
      </c>
      <c r="Q2524" s="173" t="s">
        <v>8292</v>
      </c>
      <c r="R2524" s="328" t="str">
        <f>IFS(C2524="","",C2524="n/a","N/A",LEN(C2524),Concatenate("{",char(34),"asset",char(34),":{",char(34),"guid",char(34),":",char(34),Q2524,char(34),",",char(34),"site",char(34),":",char(34),LOWER('2-Building'!$B$4),char(34),",",char(34),"name",char(34),":",char(34),LOWER(C2524),char(34),"}}"))</f>
        <v>{"asset":{"guid":"uuid://94e0ec17-de57-41e3-bd43-26822357e78c","site":"in-blr-ananta","name":"em-106"}}</v>
      </c>
      <c r="S2524" s="366" t="s">
        <v>8287</v>
      </c>
      <c r="T2524" s="330"/>
      <c r="U2524" s="330"/>
      <c r="V2524" s="331"/>
      <c r="W2524" s="332"/>
      <c r="X2524" s="333"/>
      <c r="Y2524" s="33" t="s">
        <v>8076</v>
      </c>
      <c r="Z2524" s="368"/>
      <c r="AA2524" s="333"/>
      <c r="AB2524" s="258">
        <v>4.0</v>
      </c>
      <c r="AC2524" s="333"/>
      <c r="AD2524" s="329"/>
      <c r="AE2524" s="331"/>
      <c r="AF2524" s="336"/>
      <c r="AG2524" s="337" t="str">
        <f>IFS(LEN(AF2524)=17,LOWER('2-Building'!$B$4 &amp; "-" &amp; C2524), AF2524="N/A", "N/A", LEN(AF2524)=0,"")</f>
        <v/>
      </c>
      <c r="AH2524" s="333"/>
      <c r="AI2524" s="333"/>
      <c r="AJ2524" s="333"/>
      <c r="AK2524" s="333"/>
      <c r="AL2524" s="333"/>
      <c r="AM2524" s="338"/>
      <c r="AN2524" s="333"/>
      <c r="AO2524" s="333"/>
      <c r="AP2524" s="333"/>
      <c r="AQ2524" s="333"/>
      <c r="AR2524" s="333"/>
      <c r="AS2524" s="333"/>
      <c r="AT2524" s="333"/>
      <c r="AU2524" s="329"/>
      <c r="AV2524" s="341"/>
      <c r="AW2524" s="269" t="s">
        <v>2327</v>
      </c>
      <c r="AX2524" s="269" t="s">
        <v>2869</v>
      </c>
      <c r="AY2524" s="270" t="s">
        <v>695</v>
      </c>
      <c r="AZ2524" s="173" t="s">
        <v>8288</v>
      </c>
      <c r="BA2524" s="265">
        <v>10.0</v>
      </c>
      <c r="BB2524" s="174" t="s">
        <v>245</v>
      </c>
      <c r="BC2524" s="341"/>
      <c r="BD2524" s="308" t="s">
        <v>1844</v>
      </c>
      <c r="BE2524" s="364"/>
      <c r="BF2524" s="274" t="str">
        <f>IFERROR(__xludf.DUMMYFUNCTION("LOWER(Regexreplace(to_text(E2524),""[^A-Za-z0-9]"","""")&amp;""_""&amp;Regexreplace(to_text(F2524),""[^A-Za-z0-9]"",""""))"),"schneider_pm2200")</f>
        <v>schneider_pm2200</v>
      </c>
      <c r="BG2524" s="275" t="str">
        <f>IFERROR(__xludf.DUMMYFUNCTION("upper(Regexreplace(to_text(E2524),""[^A-Za-z0-9]"","""")&amp;""-""&amp;Regexreplace(to_text(F2524),""[^A-Za-z0-9]"",""""))"),"SCHNEIDER-PM2200")</f>
        <v>SCHNEIDER-PM2200</v>
      </c>
    </row>
    <row r="2525" ht="30.0" customHeight="1">
      <c r="A2525" s="173">
        <v>2517.0</v>
      </c>
      <c r="B2525" s="328" t="s">
        <v>670</v>
      </c>
      <c r="C2525" s="257" t="s">
        <v>8293</v>
      </c>
      <c r="D2525" s="173" t="s">
        <v>8293</v>
      </c>
      <c r="E2525" s="174" t="s">
        <v>8070</v>
      </c>
      <c r="F2525" s="173" t="s">
        <v>8071</v>
      </c>
      <c r="G2525" s="328" t="s">
        <v>673</v>
      </c>
      <c r="H2525" s="328" t="s">
        <v>2863</v>
      </c>
      <c r="I2525" s="258" t="s">
        <v>8072</v>
      </c>
      <c r="J2525" s="259" t="s">
        <v>1149</v>
      </c>
      <c r="K2525" s="260">
        <v>656.0</v>
      </c>
      <c r="L2525" s="365"/>
      <c r="M2525" s="329"/>
      <c r="N2525" s="173" t="s">
        <v>679</v>
      </c>
      <c r="O2525" s="173" t="s">
        <v>225</v>
      </c>
      <c r="P2525" s="262" t="str">
        <f t="shared" si="1"/>
        <v>IN-BLR-ANANTA-EM-107_6</v>
      </c>
      <c r="Q2525" s="173" t="s">
        <v>8294</v>
      </c>
      <c r="R2525" s="328" t="str">
        <f>IFS(C2525="","",C2525="n/a","N/A",LEN(C2525),Concatenate("{",char(34),"asset",char(34),":{",char(34),"guid",char(34),":",char(34),Q2525,char(34),",",char(34),"site",char(34),":",char(34),LOWER('2-Building'!$B$4),char(34),",",char(34),"name",char(34),":",char(34),LOWER(C2525),char(34),"}}"))</f>
        <v>{"asset":{"guid":"uuid://2b23ce94-8c7c-48af-92e1-98120f76457c","site":"in-blr-ananta","name":"em-107"}}</v>
      </c>
      <c r="S2525" s="366" t="s">
        <v>8287</v>
      </c>
      <c r="T2525" s="330"/>
      <c r="U2525" s="330"/>
      <c r="V2525" s="331"/>
      <c r="W2525" s="332"/>
      <c r="X2525" s="333"/>
      <c r="Y2525" s="33" t="s">
        <v>8076</v>
      </c>
      <c r="Z2525" s="368"/>
      <c r="AA2525" s="333"/>
      <c r="AB2525" s="258">
        <v>5.0</v>
      </c>
      <c r="AC2525" s="333"/>
      <c r="AD2525" s="329"/>
      <c r="AE2525" s="331"/>
      <c r="AF2525" s="336"/>
      <c r="AG2525" s="337" t="str">
        <f>IFS(LEN(AF2525)=17,LOWER('2-Building'!$B$4 &amp; "-" &amp; C2525), AF2525="N/A", "N/A", LEN(AF2525)=0,"")</f>
        <v/>
      </c>
      <c r="AH2525" s="333"/>
      <c r="AI2525" s="333"/>
      <c r="AJ2525" s="333"/>
      <c r="AK2525" s="333"/>
      <c r="AL2525" s="333"/>
      <c r="AM2525" s="338"/>
      <c r="AN2525" s="333"/>
      <c r="AO2525" s="333"/>
      <c r="AP2525" s="333"/>
      <c r="AQ2525" s="333"/>
      <c r="AR2525" s="333"/>
      <c r="AS2525" s="333"/>
      <c r="AT2525" s="333"/>
      <c r="AU2525" s="329"/>
      <c r="AV2525" s="341"/>
      <c r="AW2525" s="269" t="s">
        <v>2327</v>
      </c>
      <c r="AX2525" s="269" t="s">
        <v>2869</v>
      </c>
      <c r="AY2525" s="270" t="s">
        <v>695</v>
      </c>
      <c r="AZ2525" s="173" t="s">
        <v>8288</v>
      </c>
      <c r="BA2525" s="265">
        <v>10.0</v>
      </c>
      <c r="BB2525" s="174" t="s">
        <v>245</v>
      </c>
      <c r="BC2525" s="341"/>
      <c r="BD2525" s="308" t="s">
        <v>1844</v>
      </c>
      <c r="BE2525" s="364"/>
      <c r="BF2525" s="274" t="str">
        <f>IFERROR(__xludf.DUMMYFUNCTION("LOWER(Regexreplace(to_text(E2525),""[^A-Za-z0-9]"","""")&amp;""_""&amp;Regexreplace(to_text(F2525),""[^A-Za-z0-9]"",""""))"),"schneider_pm2200")</f>
        <v>schneider_pm2200</v>
      </c>
      <c r="BG2525" s="275" t="str">
        <f>IFERROR(__xludf.DUMMYFUNCTION("upper(Regexreplace(to_text(E2525),""[^A-Za-z0-9]"","""")&amp;""-""&amp;Regexreplace(to_text(F2525),""[^A-Za-z0-9]"",""""))"),"SCHNEIDER-PM2200")</f>
        <v>SCHNEIDER-PM2200</v>
      </c>
    </row>
    <row r="2526" ht="30.0" customHeight="1">
      <c r="A2526" s="258">
        <v>2518.0</v>
      </c>
      <c r="B2526" s="328" t="s">
        <v>670</v>
      </c>
      <c r="C2526" s="257" t="s">
        <v>8295</v>
      </c>
      <c r="D2526" s="173" t="s">
        <v>8295</v>
      </c>
      <c r="E2526" s="174" t="s">
        <v>8070</v>
      </c>
      <c r="F2526" s="173" t="s">
        <v>8071</v>
      </c>
      <c r="G2526" s="328" t="s">
        <v>673</v>
      </c>
      <c r="H2526" s="328" t="s">
        <v>2863</v>
      </c>
      <c r="I2526" s="258" t="s">
        <v>8072</v>
      </c>
      <c r="J2526" s="259" t="s">
        <v>1149</v>
      </c>
      <c r="K2526" s="260">
        <v>682.0</v>
      </c>
      <c r="L2526" s="365"/>
      <c r="M2526" s="329"/>
      <c r="N2526" s="173" t="s">
        <v>679</v>
      </c>
      <c r="O2526" s="173" t="s">
        <v>225</v>
      </c>
      <c r="P2526" s="262" t="str">
        <f t="shared" si="1"/>
        <v>IN-BLR-ANANTA-EM-108_6</v>
      </c>
      <c r="Q2526" s="173" t="s">
        <v>8296</v>
      </c>
      <c r="R2526" s="328" t="str">
        <f>IFS(C2526="","",C2526="n/a","N/A",LEN(C2526),Concatenate("{",char(34),"asset",char(34),":{",char(34),"guid",char(34),":",char(34),Q2526,char(34),",",char(34),"site",char(34),":",char(34),LOWER('2-Building'!$B$4),char(34),",",char(34),"name",char(34),":",char(34),LOWER(C2526),char(34),"}}"))</f>
        <v>{"asset":{"guid":"uuid://86a9ff06-5673-4547-907a-ea4c1d4854db","site":"in-blr-ananta","name":"em-108"}}</v>
      </c>
      <c r="S2526" s="366" t="s">
        <v>8287</v>
      </c>
      <c r="T2526" s="330"/>
      <c r="U2526" s="330"/>
      <c r="V2526" s="331"/>
      <c r="W2526" s="332"/>
      <c r="X2526" s="333"/>
      <c r="Y2526" s="33" t="s">
        <v>8076</v>
      </c>
      <c r="Z2526" s="368"/>
      <c r="AA2526" s="333"/>
      <c r="AB2526" s="258">
        <v>7.0</v>
      </c>
      <c r="AC2526" s="333"/>
      <c r="AD2526" s="329"/>
      <c r="AE2526" s="331"/>
      <c r="AF2526" s="336"/>
      <c r="AG2526" s="337" t="str">
        <f>IFS(LEN(AF2526)=17,LOWER('2-Building'!$B$4 &amp; "-" &amp; C2526), AF2526="N/A", "N/A", LEN(AF2526)=0,"")</f>
        <v/>
      </c>
      <c r="AH2526" s="333"/>
      <c r="AI2526" s="333"/>
      <c r="AJ2526" s="333"/>
      <c r="AK2526" s="333"/>
      <c r="AL2526" s="333"/>
      <c r="AM2526" s="338"/>
      <c r="AN2526" s="333"/>
      <c r="AO2526" s="333"/>
      <c r="AP2526" s="333"/>
      <c r="AQ2526" s="333"/>
      <c r="AR2526" s="333"/>
      <c r="AS2526" s="333"/>
      <c r="AT2526" s="333"/>
      <c r="AU2526" s="329"/>
      <c r="AV2526" s="341"/>
      <c r="AW2526" s="269" t="s">
        <v>2327</v>
      </c>
      <c r="AX2526" s="269" t="s">
        <v>2869</v>
      </c>
      <c r="AY2526" s="270" t="s">
        <v>695</v>
      </c>
      <c r="AZ2526" s="173" t="s">
        <v>8288</v>
      </c>
      <c r="BA2526" s="265">
        <v>10.0</v>
      </c>
      <c r="BB2526" s="174" t="s">
        <v>245</v>
      </c>
      <c r="BC2526" s="341"/>
      <c r="BD2526" s="308" t="s">
        <v>1844</v>
      </c>
      <c r="BE2526" s="364"/>
      <c r="BF2526" s="274" t="str">
        <f>IFERROR(__xludf.DUMMYFUNCTION("LOWER(Regexreplace(to_text(E2526),""[^A-Za-z0-9]"","""")&amp;""_""&amp;Regexreplace(to_text(F2526),""[^A-Za-z0-9]"",""""))"),"schneider_pm2200")</f>
        <v>schneider_pm2200</v>
      </c>
      <c r="BG2526" s="275" t="str">
        <f>IFERROR(__xludf.DUMMYFUNCTION("upper(Regexreplace(to_text(E2526),""[^A-Za-z0-9]"","""")&amp;""-""&amp;Regexreplace(to_text(F2526),""[^A-Za-z0-9]"",""""))"),"SCHNEIDER-PM2200")</f>
        <v>SCHNEIDER-PM2200</v>
      </c>
    </row>
    <row r="2527" ht="30.0" customHeight="1">
      <c r="A2527" s="173">
        <v>2519.0</v>
      </c>
      <c r="B2527" s="328" t="s">
        <v>670</v>
      </c>
      <c r="C2527" s="257" t="s">
        <v>8297</v>
      </c>
      <c r="D2527" s="173" t="s">
        <v>8297</v>
      </c>
      <c r="E2527" s="174" t="s">
        <v>8070</v>
      </c>
      <c r="F2527" s="173" t="s">
        <v>8071</v>
      </c>
      <c r="G2527" s="328" t="s">
        <v>673</v>
      </c>
      <c r="H2527" s="328" t="s">
        <v>2863</v>
      </c>
      <c r="I2527" s="258" t="s">
        <v>8072</v>
      </c>
      <c r="J2527" s="259" t="s">
        <v>1149</v>
      </c>
      <c r="K2527" s="260">
        <v>682.0</v>
      </c>
      <c r="L2527" s="365"/>
      <c r="M2527" s="329"/>
      <c r="N2527" s="173" t="s">
        <v>679</v>
      </c>
      <c r="O2527" s="173" t="s">
        <v>225</v>
      </c>
      <c r="P2527" s="262" t="str">
        <f t="shared" si="1"/>
        <v>IN-BLR-ANANTA-EM-109_6</v>
      </c>
      <c r="Q2527" s="173" t="s">
        <v>8298</v>
      </c>
      <c r="R2527" s="328" t="str">
        <f>IFS(C2527="","",C2527="n/a","N/A",LEN(C2527),Concatenate("{",char(34),"asset",char(34),":{",char(34),"guid",char(34),":",char(34),Q2527,char(34),",",char(34),"site",char(34),":",char(34),LOWER('2-Building'!$B$4),char(34),",",char(34),"name",char(34),":",char(34),LOWER(C2527),char(34),"}}"))</f>
        <v>{"asset":{"guid":"uuid://24bec362-7ddd-4f05-b17c-86af84224397","site":"in-blr-ananta","name":"em-109"}}</v>
      </c>
      <c r="S2527" s="366" t="s">
        <v>8287</v>
      </c>
      <c r="T2527" s="330"/>
      <c r="U2527" s="330"/>
      <c r="V2527" s="331"/>
      <c r="W2527" s="332"/>
      <c r="X2527" s="333"/>
      <c r="Y2527" s="33" t="s">
        <v>8076</v>
      </c>
      <c r="Z2527" s="368"/>
      <c r="AA2527" s="333"/>
      <c r="AB2527" s="258">
        <v>6.0</v>
      </c>
      <c r="AC2527" s="333"/>
      <c r="AD2527" s="329"/>
      <c r="AE2527" s="331"/>
      <c r="AF2527" s="336"/>
      <c r="AG2527" s="337" t="str">
        <f>IFS(LEN(AF2527)=17,LOWER('2-Building'!$B$4 &amp; "-" &amp; C2527), AF2527="N/A", "N/A", LEN(AF2527)=0,"")</f>
        <v/>
      </c>
      <c r="AH2527" s="333"/>
      <c r="AI2527" s="333"/>
      <c r="AJ2527" s="333"/>
      <c r="AK2527" s="333"/>
      <c r="AL2527" s="333"/>
      <c r="AM2527" s="338"/>
      <c r="AN2527" s="333"/>
      <c r="AO2527" s="333"/>
      <c r="AP2527" s="333"/>
      <c r="AQ2527" s="333"/>
      <c r="AR2527" s="333"/>
      <c r="AS2527" s="333"/>
      <c r="AT2527" s="333"/>
      <c r="AU2527" s="329"/>
      <c r="AV2527" s="341"/>
      <c r="AW2527" s="269" t="s">
        <v>2327</v>
      </c>
      <c r="AX2527" s="269" t="s">
        <v>2869</v>
      </c>
      <c r="AY2527" s="270" t="s">
        <v>695</v>
      </c>
      <c r="AZ2527" s="173" t="s">
        <v>8288</v>
      </c>
      <c r="BA2527" s="265">
        <v>10.0</v>
      </c>
      <c r="BB2527" s="174" t="s">
        <v>245</v>
      </c>
      <c r="BC2527" s="341"/>
      <c r="BD2527" s="308" t="s">
        <v>1844</v>
      </c>
      <c r="BE2527" s="364"/>
      <c r="BF2527" s="274" t="str">
        <f>IFERROR(__xludf.DUMMYFUNCTION("LOWER(Regexreplace(to_text(E2527),""[^A-Za-z0-9]"","""")&amp;""_""&amp;Regexreplace(to_text(F2527),""[^A-Za-z0-9]"",""""))"),"schneider_pm2200")</f>
        <v>schneider_pm2200</v>
      </c>
      <c r="BG2527" s="275" t="str">
        <f>IFERROR(__xludf.DUMMYFUNCTION("upper(Regexreplace(to_text(E2527),""[^A-Za-z0-9]"","""")&amp;""-""&amp;Regexreplace(to_text(F2527),""[^A-Za-z0-9]"",""""))"),"SCHNEIDER-PM2200")</f>
        <v>SCHNEIDER-PM2200</v>
      </c>
    </row>
    <row r="2528" ht="30.0" customHeight="1">
      <c r="A2528" s="258">
        <v>2520.0</v>
      </c>
      <c r="B2528" s="328" t="s">
        <v>670</v>
      </c>
      <c r="C2528" s="257" t="s">
        <v>8299</v>
      </c>
      <c r="D2528" s="173" t="s">
        <v>8299</v>
      </c>
      <c r="E2528" s="174" t="s">
        <v>8070</v>
      </c>
      <c r="F2528" s="173" t="s">
        <v>8071</v>
      </c>
      <c r="G2528" s="328" t="s">
        <v>673</v>
      </c>
      <c r="H2528" s="328" t="s">
        <v>2863</v>
      </c>
      <c r="I2528" s="258" t="s">
        <v>8072</v>
      </c>
      <c r="J2528" s="259" t="s">
        <v>1149</v>
      </c>
      <c r="K2528" s="260">
        <v>670.0</v>
      </c>
      <c r="L2528" s="365"/>
      <c r="M2528" s="329"/>
      <c r="N2528" s="173" t="s">
        <v>679</v>
      </c>
      <c r="O2528" s="173" t="s">
        <v>225</v>
      </c>
      <c r="P2528" s="262" t="str">
        <f t="shared" si="1"/>
        <v>IN-BLR-ANANTA-EM-110_6</v>
      </c>
      <c r="Q2528" s="173" t="s">
        <v>8300</v>
      </c>
      <c r="R2528" s="328" t="str">
        <f>IFS(C2528="","",C2528="n/a","N/A",LEN(C2528),Concatenate("{",char(34),"asset",char(34),":{",char(34),"guid",char(34),":",char(34),Q2528,char(34),",",char(34),"site",char(34),":",char(34),LOWER('2-Building'!$B$4),char(34),",",char(34),"name",char(34),":",char(34),LOWER(C2528),char(34),"}}"))</f>
        <v>{"asset":{"guid":"uuid://fce44ffa-eb2a-49ad-b6fa-0c4167159ba8","site":"in-blr-ananta","name":"em-110"}}</v>
      </c>
      <c r="S2528" s="366" t="s">
        <v>8287</v>
      </c>
      <c r="T2528" s="330"/>
      <c r="U2528" s="330"/>
      <c r="V2528" s="331"/>
      <c r="W2528" s="332"/>
      <c r="X2528" s="333"/>
      <c r="Y2528" s="33" t="s">
        <v>8076</v>
      </c>
      <c r="Z2528" s="368"/>
      <c r="AA2528" s="333"/>
      <c r="AB2528" s="258">
        <v>8.0</v>
      </c>
      <c r="AC2528" s="333"/>
      <c r="AD2528" s="329"/>
      <c r="AE2528" s="331"/>
      <c r="AF2528" s="336"/>
      <c r="AG2528" s="337" t="str">
        <f>IFS(LEN(AF2528)=17,LOWER('2-Building'!$B$4 &amp; "-" &amp; C2528), AF2528="N/A", "N/A", LEN(AF2528)=0,"")</f>
        <v/>
      </c>
      <c r="AH2528" s="333"/>
      <c r="AI2528" s="333"/>
      <c r="AJ2528" s="333"/>
      <c r="AK2528" s="333"/>
      <c r="AL2528" s="333"/>
      <c r="AM2528" s="338"/>
      <c r="AN2528" s="333"/>
      <c r="AO2528" s="333"/>
      <c r="AP2528" s="333"/>
      <c r="AQ2528" s="333"/>
      <c r="AR2528" s="333"/>
      <c r="AS2528" s="333"/>
      <c r="AT2528" s="333"/>
      <c r="AU2528" s="329"/>
      <c r="AV2528" s="341"/>
      <c r="AW2528" s="269" t="s">
        <v>2327</v>
      </c>
      <c r="AX2528" s="269" t="s">
        <v>2869</v>
      </c>
      <c r="AY2528" s="270" t="s">
        <v>695</v>
      </c>
      <c r="AZ2528" s="173" t="s">
        <v>8288</v>
      </c>
      <c r="BA2528" s="265">
        <v>10.0</v>
      </c>
      <c r="BB2528" s="174" t="s">
        <v>245</v>
      </c>
      <c r="BC2528" s="341"/>
      <c r="BD2528" s="308" t="s">
        <v>1844</v>
      </c>
      <c r="BE2528" s="364"/>
      <c r="BF2528" s="274" t="str">
        <f>IFERROR(__xludf.DUMMYFUNCTION("LOWER(Regexreplace(to_text(E2528),""[^A-Za-z0-9]"","""")&amp;""_""&amp;Regexreplace(to_text(F2528),""[^A-Za-z0-9]"",""""))"),"schneider_pm2200")</f>
        <v>schneider_pm2200</v>
      </c>
      <c r="BG2528" s="275" t="str">
        <f>IFERROR(__xludf.DUMMYFUNCTION("upper(Regexreplace(to_text(E2528),""[^A-Za-z0-9]"","""")&amp;""-""&amp;Regexreplace(to_text(F2528),""[^A-Za-z0-9]"",""""))"),"SCHNEIDER-PM2200")</f>
        <v>SCHNEIDER-PM2200</v>
      </c>
    </row>
    <row r="2529" ht="30.0" customHeight="1">
      <c r="A2529" s="173">
        <v>2521.0</v>
      </c>
      <c r="B2529" s="328" t="s">
        <v>670</v>
      </c>
      <c r="C2529" s="257" t="s">
        <v>8301</v>
      </c>
      <c r="D2529" s="173" t="s">
        <v>8301</v>
      </c>
      <c r="E2529" s="174" t="s">
        <v>8070</v>
      </c>
      <c r="F2529" s="173" t="s">
        <v>8071</v>
      </c>
      <c r="G2529" s="328" t="s">
        <v>673</v>
      </c>
      <c r="H2529" s="328" t="s">
        <v>2863</v>
      </c>
      <c r="I2529" s="258" t="s">
        <v>8072</v>
      </c>
      <c r="J2529" s="259" t="s">
        <v>1149</v>
      </c>
      <c r="K2529" s="260">
        <v>670.0</v>
      </c>
      <c r="L2529" s="365"/>
      <c r="M2529" s="329"/>
      <c r="N2529" s="173" t="s">
        <v>679</v>
      </c>
      <c r="O2529" s="173" t="s">
        <v>225</v>
      </c>
      <c r="P2529" s="262" t="str">
        <f t="shared" si="1"/>
        <v>IN-BLR-ANANTA-EM-111_6</v>
      </c>
      <c r="Q2529" s="173" t="s">
        <v>8302</v>
      </c>
      <c r="R2529" s="328" t="str">
        <f>IFS(C2529="","",C2529="n/a","N/A",LEN(C2529),Concatenate("{",char(34),"asset",char(34),":{",char(34),"guid",char(34),":",char(34),Q2529,char(34),",",char(34),"site",char(34),":",char(34),LOWER('2-Building'!$B$4),char(34),",",char(34),"name",char(34),":",char(34),LOWER(C2529),char(34),"}}"))</f>
        <v>{"asset":{"guid":"uuid://08c77d4d-467a-4993-a7df-d9919d2e5e94","site":"in-blr-ananta","name":"em-111"}}</v>
      </c>
      <c r="S2529" s="366" t="s">
        <v>8287</v>
      </c>
      <c r="T2529" s="330"/>
      <c r="U2529" s="330"/>
      <c r="V2529" s="331"/>
      <c r="W2529" s="332"/>
      <c r="X2529" s="333"/>
      <c r="Y2529" s="33" t="s">
        <v>8076</v>
      </c>
      <c r="Z2529" s="368"/>
      <c r="AA2529" s="333"/>
      <c r="AB2529" s="258">
        <v>9.0</v>
      </c>
      <c r="AC2529" s="333"/>
      <c r="AD2529" s="329"/>
      <c r="AE2529" s="331"/>
      <c r="AF2529" s="336"/>
      <c r="AG2529" s="337" t="str">
        <f>IFS(LEN(AF2529)=17,LOWER('2-Building'!$B$4 &amp; "-" &amp; C2529), AF2529="N/A", "N/A", LEN(AF2529)=0,"")</f>
        <v/>
      </c>
      <c r="AH2529" s="333"/>
      <c r="AI2529" s="333"/>
      <c r="AJ2529" s="333"/>
      <c r="AK2529" s="333"/>
      <c r="AL2529" s="333"/>
      <c r="AM2529" s="338"/>
      <c r="AN2529" s="333"/>
      <c r="AO2529" s="333"/>
      <c r="AP2529" s="333"/>
      <c r="AQ2529" s="333"/>
      <c r="AR2529" s="333"/>
      <c r="AS2529" s="333"/>
      <c r="AT2529" s="333"/>
      <c r="AU2529" s="329"/>
      <c r="AV2529" s="341"/>
      <c r="AW2529" s="269" t="s">
        <v>2327</v>
      </c>
      <c r="AX2529" s="269" t="s">
        <v>2869</v>
      </c>
      <c r="AY2529" s="270" t="s">
        <v>695</v>
      </c>
      <c r="AZ2529" s="173" t="s">
        <v>8288</v>
      </c>
      <c r="BA2529" s="265">
        <v>10.0</v>
      </c>
      <c r="BB2529" s="174" t="s">
        <v>245</v>
      </c>
      <c r="BC2529" s="341"/>
      <c r="BD2529" s="308" t="s">
        <v>1844</v>
      </c>
      <c r="BE2529" s="364"/>
      <c r="BF2529" s="274" t="str">
        <f>IFERROR(__xludf.DUMMYFUNCTION("LOWER(Regexreplace(to_text(E2529),""[^A-Za-z0-9]"","""")&amp;""_""&amp;Regexreplace(to_text(F2529),""[^A-Za-z0-9]"",""""))"),"schneider_pm2200")</f>
        <v>schneider_pm2200</v>
      </c>
      <c r="BG2529" s="275" t="str">
        <f>IFERROR(__xludf.DUMMYFUNCTION("upper(Regexreplace(to_text(E2529),""[^A-Za-z0-9]"","""")&amp;""-""&amp;Regexreplace(to_text(F2529),""[^A-Za-z0-9]"",""""))"),"SCHNEIDER-PM2200")</f>
        <v>SCHNEIDER-PM2200</v>
      </c>
    </row>
    <row r="2530" ht="30.0" customHeight="1">
      <c r="A2530" s="258">
        <v>2522.0</v>
      </c>
      <c r="B2530" s="328" t="s">
        <v>670</v>
      </c>
      <c r="C2530" s="257" t="s">
        <v>8303</v>
      </c>
      <c r="D2530" s="173" t="s">
        <v>8303</v>
      </c>
      <c r="E2530" s="174" t="s">
        <v>8070</v>
      </c>
      <c r="F2530" s="173" t="s">
        <v>8071</v>
      </c>
      <c r="G2530" s="328" t="s">
        <v>673</v>
      </c>
      <c r="H2530" s="328" t="s">
        <v>2863</v>
      </c>
      <c r="I2530" s="258" t="s">
        <v>8072</v>
      </c>
      <c r="J2530" s="259" t="s">
        <v>1211</v>
      </c>
      <c r="K2530" s="260">
        <v>770.0</v>
      </c>
      <c r="L2530" s="365"/>
      <c r="M2530" s="329"/>
      <c r="N2530" s="173" t="s">
        <v>679</v>
      </c>
      <c r="O2530" s="173" t="s">
        <v>225</v>
      </c>
      <c r="P2530" s="262" t="str">
        <f t="shared" si="1"/>
        <v>IN-BLR-ANANTA-EM-112_7</v>
      </c>
      <c r="Q2530" s="173" t="s">
        <v>8304</v>
      </c>
      <c r="R2530" s="328" t="str">
        <f>IFS(C2530="","",C2530="n/a","N/A",LEN(C2530),Concatenate("{",char(34),"asset",char(34),":{",char(34),"guid",char(34),":",char(34),Q2530,char(34),",",char(34),"site",char(34),":",char(34),LOWER('2-Building'!$B$4),char(34),",",char(34),"name",char(34),":",char(34),LOWER(C2530),char(34),"}}"))</f>
        <v>{"asset":{"guid":"uuid://24c48c12-058d-4049-98b5-b0c4773c8e81","site":"in-blr-ananta","name":"em-112"}}</v>
      </c>
      <c r="S2530" s="366" t="s">
        <v>8287</v>
      </c>
      <c r="T2530" s="330"/>
      <c r="U2530" s="330"/>
      <c r="V2530" s="331"/>
      <c r="W2530" s="332"/>
      <c r="X2530" s="333"/>
      <c r="Y2530" s="33" t="s">
        <v>8076</v>
      </c>
      <c r="Z2530" s="368"/>
      <c r="AA2530" s="333"/>
      <c r="AB2530" s="258">
        <v>2.0</v>
      </c>
      <c r="AC2530" s="333"/>
      <c r="AD2530" s="329"/>
      <c r="AE2530" s="331"/>
      <c r="AF2530" s="336"/>
      <c r="AG2530" s="337" t="str">
        <f>IFS(LEN(AF2530)=17,LOWER('2-Building'!$B$4 &amp; "-" &amp; C2530), AF2530="N/A", "N/A", LEN(AF2530)=0,"")</f>
        <v/>
      </c>
      <c r="AH2530" s="333"/>
      <c r="AI2530" s="333"/>
      <c r="AJ2530" s="333"/>
      <c r="AK2530" s="333"/>
      <c r="AL2530" s="333"/>
      <c r="AM2530" s="338"/>
      <c r="AN2530" s="333"/>
      <c r="AO2530" s="333"/>
      <c r="AP2530" s="333"/>
      <c r="AQ2530" s="333"/>
      <c r="AR2530" s="333"/>
      <c r="AS2530" s="333"/>
      <c r="AT2530" s="333"/>
      <c r="AU2530" s="329"/>
      <c r="AV2530" s="341"/>
      <c r="AW2530" s="269" t="s">
        <v>2391</v>
      </c>
      <c r="AX2530" s="269" t="s">
        <v>2869</v>
      </c>
      <c r="AY2530" s="270" t="s">
        <v>695</v>
      </c>
      <c r="AZ2530" s="173" t="s">
        <v>8288</v>
      </c>
      <c r="BA2530" s="265">
        <v>10.0</v>
      </c>
      <c r="BB2530" s="174" t="s">
        <v>245</v>
      </c>
      <c r="BC2530" s="341"/>
      <c r="BD2530" s="308" t="s">
        <v>1844</v>
      </c>
      <c r="BE2530" s="364"/>
      <c r="BF2530" s="274" t="str">
        <f>IFERROR(__xludf.DUMMYFUNCTION("LOWER(Regexreplace(to_text(E2530),""[^A-Za-z0-9]"","""")&amp;""_""&amp;Regexreplace(to_text(F2530),""[^A-Za-z0-9]"",""""))"),"schneider_pm2200")</f>
        <v>schneider_pm2200</v>
      </c>
      <c r="BG2530" s="275" t="str">
        <f>IFERROR(__xludf.DUMMYFUNCTION("upper(Regexreplace(to_text(E2530),""[^A-Za-z0-9]"","""")&amp;""-""&amp;Regexreplace(to_text(F2530),""[^A-Za-z0-9]"",""""))"),"SCHNEIDER-PM2200")</f>
        <v>SCHNEIDER-PM2200</v>
      </c>
    </row>
    <row r="2531" ht="30.0" customHeight="1">
      <c r="A2531" s="173">
        <v>2523.0</v>
      </c>
      <c r="B2531" s="328" t="s">
        <v>670</v>
      </c>
      <c r="C2531" s="257" t="s">
        <v>8305</v>
      </c>
      <c r="D2531" s="173" t="s">
        <v>8305</v>
      </c>
      <c r="E2531" s="174" t="s">
        <v>8070</v>
      </c>
      <c r="F2531" s="173" t="s">
        <v>8071</v>
      </c>
      <c r="G2531" s="328" t="s">
        <v>673</v>
      </c>
      <c r="H2531" s="328" t="s">
        <v>2863</v>
      </c>
      <c r="I2531" s="258" t="s">
        <v>8072</v>
      </c>
      <c r="J2531" s="259" t="s">
        <v>1211</v>
      </c>
      <c r="K2531" s="260">
        <v>770.0</v>
      </c>
      <c r="L2531" s="365"/>
      <c r="M2531" s="329"/>
      <c r="N2531" s="173" t="s">
        <v>679</v>
      </c>
      <c r="O2531" s="173" t="s">
        <v>225</v>
      </c>
      <c r="P2531" s="262" t="str">
        <f t="shared" si="1"/>
        <v>IN-BLR-ANANTA-EM-113_7</v>
      </c>
      <c r="Q2531" s="173" t="s">
        <v>8306</v>
      </c>
      <c r="R2531" s="328" t="str">
        <f>IFS(C2531="","",C2531="n/a","N/A",LEN(C2531),Concatenate("{",char(34),"asset",char(34),":{",char(34),"guid",char(34),":",char(34),Q2531,char(34),",",char(34),"site",char(34),":",char(34),LOWER('2-Building'!$B$4),char(34),",",char(34),"name",char(34),":",char(34),LOWER(C2531),char(34),"}}"))</f>
        <v>{"asset":{"guid":"uuid://195ee3a7-275e-407e-98c0-75c09bae2b5e","site":"in-blr-ananta","name":"em-113"}}</v>
      </c>
      <c r="S2531" s="366" t="s">
        <v>8287</v>
      </c>
      <c r="T2531" s="330"/>
      <c r="U2531" s="330"/>
      <c r="V2531" s="331"/>
      <c r="W2531" s="332"/>
      <c r="X2531" s="333"/>
      <c r="Y2531" s="33" t="s">
        <v>8076</v>
      </c>
      <c r="Z2531" s="368"/>
      <c r="AA2531" s="333"/>
      <c r="AB2531" s="258">
        <v>3.0</v>
      </c>
      <c r="AC2531" s="333"/>
      <c r="AD2531" s="329"/>
      <c r="AE2531" s="331"/>
      <c r="AF2531" s="336"/>
      <c r="AG2531" s="337" t="str">
        <f>IFS(LEN(AF2531)=17,LOWER('2-Building'!$B$4 &amp; "-" &amp; C2531), AF2531="N/A", "N/A", LEN(AF2531)=0,"")</f>
        <v/>
      </c>
      <c r="AH2531" s="333"/>
      <c r="AI2531" s="333"/>
      <c r="AJ2531" s="333"/>
      <c r="AK2531" s="333"/>
      <c r="AL2531" s="333"/>
      <c r="AM2531" s="338"/>
      <c r="AN2531" s="333"/>
      <c r="AO2531" s="333"/>
      <c r="AP2531" s="333"/>
      <c r="AQ2531" s="333"/>
      <c r="AR2531" s="333"/>
      <c r="AS2531" s="333"/>
      <c r="AT2531" s="333"/>
      <c r="AU2531" s="329"/>
      <c r="AV2531" s="341"/>
      <c r="AW2531" s="269" t="s">
        <v>2391</v>
      </c>
      <c r="AX2531" s="269" t="s">
        <v>2869</v>
      </c>
      <c r="AY2531" s="270" t="s">
        <v>695</v>
      </c>
      <c r="AZ2531" s="173" t="s">
        <v>8288</v>
      </c>
      <c r="BA2531" s="265">
        <v>10.0</v>
      </c>
      <c r="BB2531" s="174" t="s">
        <v>245</v>
      </c>
      <c r="BC2531" s="341"/>
      <c r="BD2531" s="308" t="s">
        <v>1844</v>
      </c>
      <c r="BE2531" s="364"/>
      <c r="BF2531" s="274" t="str">
        <f>IFERROR(__xludf.DUMMYFUNCTION("LOWER(Regexreplace(to_text(E2531),""[^A-Za-z0-9]"","""")&amp;""_""&amp;Regexreplace(to_text(F2531),""[^A-Za-z0-9]"",""""))"),"schneider_pm2200")</f>
        <v>schneider_pm2200</v>
      </c>
      <c r="BG2531" s="275" t="str">
        <f>IFERROR(__xludf.DUMMYFUNCTION("upper(Regexreplace(to_text(E2531),""[^A-Za-z0-9]"","""")&amp;""-""&amp;Regexreplace(to_text(F2531),""[^A-Za-z0-9]"",""""))"),"SCHNEIDER-PM2200")</f>
        <v>SCHNEIDER-PM2200</v>
      </c>
    </row>
    <row r="2532" ht="30.0" customHeight="1">
      <c r="A2532" s="258">
        <v>2524.0</v>
      </c>
      <c r="B2532" s="328" t="s">
        <v>670</v>
      </c>
      <c r="C2532" s="257" t="s">
        <v>8307</v>
      </c>
      <c r="D2532" s="173" t="s">
        <v>8307</v>
      </c>
      <c r="E2532" s="174" t="s">
        <v>8070</v>
      </c>
      <c r="F2532" s="173" t="s">
        <v>8071</v>
      </c>
      <c r="G2532" s="328" t="s">
        <v>673</v>
      </c>
      <c r="H2532" s="328" t="s">
        <v>2863</v>
      </c>
      <c r="I2532" s="258" t="s">
        <v>8072</v>
      </c>
      <c r="J2532" s="259" t="s">
        <v>1211</v>
      </c>
      <c r="K2532" s="260">
        <v>705.0</v>
      </c>
      <c r="L2532" s="365"/>
      <c r="M2532" s="329"/>
      <c r="N2532" s="173" t="s">
        <v>679</v>
      </c>
      <c r="O2532" s="173" t="s">
        <v>225</v>
      </c>
      <c r="P2532" s="262" t="str">
        <f t="shared" si="1"/>
        <v>IN-BLR-ANANTA-EM-114_7</v>
      </c>
      <c r="Q2532" s="173" t="s">
        <v>8308</v>
      </c>
      <c r="R2532" s="328" t="str">
        <f>IFS(C2532="","",C2532="n/a","N/A",LEN(C2532),Concatenate("{",char(34),"asset",char(34),":{",char(34),"guid",char(34),":",char(34),Q2532,char(34),",",char(34),"site",char(34),":",char(34),LOWER('2-Building'!$B$4),char(34),",",char(34),"name",char(34),":",char(34),LOWER(C2532),char(34),"}}"))</f>
        <v>{"asset":{"guid":"uuid://7974a644-dc41-440a-83ad-2e0f006edf53","site":"in-blr-ananta","name":"em-114"}}</v>
      </c>
      <c r="S2532" s="366" t="s">
        <v>8287</v>
      </c>
      <c r="T2532" s="330"/>
      <c r="U2532" s="330"/>
      <c r="V2532" s="331"/>
      <c r="W2532" s="332"/>
      <c r="X2532" s="333"/>
      <c r="Y2532" s="33" t="s">
        <v>8076</v>
      </c>
      <c r="Z2532" s="368"/>
      <c r="AA2532" s="333"/>
      <c r="AB2532" s="258">
        <v>4.0</v>
      </c>
      <c r="AC2532" s="333"/>
      <c r="AD2532" s="329"/>
      <c r="AE2532" s="331"/>
      <c r="AF2532" s="336"/>
      <c r="AG2532" s="337" t="str">
        <f>IFS(LEN(AF2532)=17,LOWER('2-Building'!$B$4 &amp; "-" &amp; C2532), AF2532="N/A", "N/A", LEN(AF2532)=0,"")</f>
        <v/>
      </c>
      <c r="AH2532" s="333"/>
      <c r="AI2532" s="333"/>
      <c r="AJ2532" s="333"/>
      <c r="AK2532" s="333"/>
      <c r="AL2532" s="333"/>
      <c r="AM2532" s="338"/>
      <c r="AN2532" s="333"/>
      <c r="AO2532" s="333"/>
      <c r="AP2532" s="333"/>
      <c r="AQ2532" s="333"/>
      <c r="AR2532" s="333"/>
      <c r="AS2532" s="333"/>
      <c r="AT2532" s="333"/>
      <c r="AU2532" s="329"/>
      <c r="AV2532" s="341"/>
      <c r="AW2532" s="269" t="s">
        <v>2391</v>
      </c>
      <c r="AX2532" s="269" t="s">
        <v>2869</v>
      </c>
      <c r="AY2532" s="270" t="s">
        <v>695</v>
      </c>
      <c r="AZ2532" s="173" t="s">
        <v>8288</v>
      </c>
      <c r="BA2532" s="265">
        <v>10.0</v>
      </c>
      <c r="BB2532" s="174" t="s">
        <v>245</v>
      </c>
      <c r="BC2532" s="341"/>
      <c r="BD2532" s="308" t="s">
        <v>1844</v>
      </c>
      <c r="BE2532" s="364"/>
      <c r="BF2532" s="274" t="str">
        <f>IFERROR(__xludf.DUMMYFUNCTION("LOWER(Regexreplace(to_text(E2532),""[^A-Za-z0-9]"","""")&amp;""_""&amp;Regexreplace(to_text(F2532),""[^A-Za-z0-9]"",""""))"),"schneider_pm2200")</f>
        <v>schneider_pm2200</v>
      </c>
      <c r="BG2532" s="275" t="str">
        <f>IFERROR(__xludf.DUMMYFUNCTION("upper(Regexreplace(to_text(E2532),""[^A-Za-z0-9]"","""")&amp;""-""&amp;Regexreplace(to_text(F2532),""[^A-Za-z0-9]"",""""))"),"SCHNEIDER-PM2200")</f>
        <v>SCHNEIDER-PM2200</v>
      </c>
    </row>
    <row r="2533" ht="30.0" customHeight="1">
      <c r="A2533" s="173">
        <v>2525.0</v>
      </c>
      <c r="B2533" s="328" t="s">
        <v>670</v>
      </c>
      <c r="C2533" s="257" t="s">
        <v>8309</v>
      </c>
      <c r="D2533" s="173" t="s">
        <v>8309</v>
      </c>
      <c r="E2533" s="174" t="s">
        <v>8070</v>
      </c>
      <c r="F2533" s="173" t="s">
        <v>8071</v>
      </c>
      <c r="G2533" s="328" t="s">
        <v>673</v>
      </c>
      <c r="H2533" s="328" t="s">
        <v>2863</v>
      </c>
      <c r="I2533" s="258" t="s">
        <v>8072</v>
      </c>
      <c r="J2533" s="259" t="s">
        <v>1211</v>
      </c>
      <c r="K2533" s="260">
        <v>756.0</v>
      </c>
      <c r="L2533" s="365"/>
      <c r="M2533" s="329"/>
      <c r="N2533" s="173" t="s">
        <v>679</v>
      </c>
      <c r="O2533" s="173" t="s">
        <v>225</v>
      </c>
      <c r="P2533" s="262" t="str">
        <f t="shared" si="1"/>
        <v>IN-BLR-ANANTA-EM-115_7</v>
      </c>
      <c r="Q2533" s="173" t="s">
        <v>8310</v>
      </c>
      <c r="R2533" s="328" t="str">
        <f>IFS(C2533="","",C2533="n/a","N/A",LEN(C2533),Concatenate("{",char(34),"asset",char(34),":{",char(34),"guid",char(34),":",char(34),Q2533,char(34),",",char(34),"site",char(34),":",char(34),LOWER('2-Building'!$B$4),char(34),",",char(34),"name",char(34),":",char(34),LOWER(C2533),char(34),"}}"))</f>
        <v>{"asset":{"guid":"uuid://3c2b94fb-cb6d-4cfa-bd6b-ed3f0c182748","site":"in-blr-ananta","name":"em-115"}}</v>
      </c>
      <c r="S2533" s="366" t="s">
        <v>8287</v>
      </c>
      <c r="T2533" s="330"/>
      <c r="U2533" s="330"/>
      <c r="V2533" s="331"/>
      <c r="W2533" s="332"/>
      <c r="X2533" s="333"/>
      <c r="Y2533" s="33" t="s">
        <v>8076</v>
      </c>
      <c r="Z2533" s="368"/>
      <c r="AA2533" s="333"/>
      <c r="AB2533" s="258">
        <v>5.0</v>
      </c>
      <c r="AC2533" s="333"/>
      <c r="AD2533" s="329"/>
      <c r="AE2533" s="331"/>
      <c r="AF2533" s="336"/>
      <c r="AG2533" s="337" t="str">
        <f>IFS(LEN(AF2533)=17,LOWER('2-Building'!$B$4 &amp; "-" &amp; C2533), AF2533="N/A", "N/A", LEN(AF2533)=0,"")</f>
        <v/>
      </c>
      <c r="AH2533" s="333"/>
      <c r="AI2533" s="333"/>
      <c r="AJ2533" s="333"/>
      <c r="AK2533" s="333"/>
      <c r="AL2533" s="333"/>
      <c r="AM2533" s="338"/>
      <c r="AN2533" s="333"/>
      <c r="AO2533" s="333"/>
      <c r="AP2533" s="333"/>
      <c r="AQ2533" s="333"/>
      <c r="AR2533" s="333"/>
      <c r="AS2533" s="333"/>
      <c r="AT2533" s="333"/>
      <c r="AU2533" s="329"/>
      <c r="AV2533" s="341"/>
      <c r="AW2533" s="269" t="s">
        <v>2391</v>
      </c>
      <c r="AX2533" s="269" t="s">
        <v>2869</v>
      </c>
      <c r="AY2533" s="270" t="s">
        <v>695</v>
      </c>
      <c r="AZ2533" s="173" t="s">
        <v>8288</v>
      </c>
      <c r="BA2533" s="265">
        <v>10.0</v>
      </c>
      <c r="BB2533" s="174" t="s">
        <v>245</v>
      </c>
      <c r="BC2533" s="341"/>
      <c r="BD2533" s="308" t="s">
        <v>1844</v>
      </c>
      <c r="BE2533" s="364"/>
      <c r="BF2533" s="274" t="str">
        <f>IFERROR(__xludf.DUMMYFUNCTION("LOWER(Regexreplace(to_text(E2533),""[^A-Za-z0-9]"","""")&amp;""_""&amp;Regexreplace(to_text(F2533),""[^A-Za-z0-9]"",""""))"),"schneider_pm2200")</f>
        <v>schneider_pm2200</v>
      </c>
      <c r="BG2533" s="275" t="str">
        <f>IFERROR(__xludf.DUMMYFUNCTION("upper(Regexreplace(to_text(E2533),""[^A-Za-z0-9]"","""")&amp;""-""&amp;Regexreplace(to_text(F2533),""[^A-Za-z0-9]"",""""))"),"SCHNEIDER-PM2200")</f>
        <v>SCHNEIDER-PM2200</v>
      </c>
    </row>
    <row r="2534" ht="30.0" customHeight="1">
      <c r="A2534" s="258">
        <v>2526.0</v>
      </c>
      <c r="B2534" s="328" t="s">
        <v>670</v>
      </c>
      <c r="C2534" s="257" t="s">
        <v>8311</v>
      </c>
      <c r="D2534" s="173" t="s">
        <v>8311</v>
      </c>
      <c r="E2534" s="174" t="s">
        <v>8070</v>
      </c>
      <c r="F2534" s="173" t="s">
        <v>8071</v>
      </c>
      <c r="G2534" s="328" t="s">
        <v>673</v>
      </c>
      <c r="H2534" s="328" t="s">
        <v>2863</v>
      </c>
      <c r="I2534" s="258" t="s">
        <v>8072</v>
      </c>
      <c r="J2534" s="259" t="s">
        <v>1211</v>
      </c>
      <c r="K2534" s="260">
        <v>782.0</v>
      </c>
      <c r="L2534" s="365"/>
      <c r="M2534" s="329"/>
      <c r="N2534" s="173" t="s">
        <v>679</v>
      </c>
      <c r="O2534" s="173" t="s">
        <v>225</v>
      </c>
      <c r="P2534" s="262" t="str">
        <f t="shared" si="1"/>
        <v>IN-BLR-ANANTA-EM-116_7</v>
      </c>
      <c r="Q2534" s="173" t="s">
        <v>8312</v>
      </c>
      <c r="R2534" s="328" t="str">
        <f>IFS(C2534="","",C2534="n/a","N/A",LEN(C2534),Concatenate("{",char(34),"asset",char(34),":{",char(34),"guid",char(34),":",char(34),Q2534,char(34),",",char(34),"site",char(34),":",char(34),LOWER('2-Building'!$B$4),char(34),",",char(34),"name",char(34),":",char(34),LOWER(C2534),char(34),"}}"))</f>
        <v>{"asset":{"guid":"uuid://7c468891-318c-4fa6-857a-f523677b9f31","site":"in-blr-ananta","name":"em-116"}}</v>
      </c>
      <c r="S2534" s="366" t="s">
        <v>8287</v>
      </c>
      <c r="T2534" s="330"/>
      <c r="U2534" s="330"/>
      <c r="V2534" s="331"/>
      <c r="W2534" s="332"/>
      <c r="X2534" s="333"/>
      <c r="Y2534" s="33" t="s">
        <v>8076</v>
      </c>
      <c r="Z2534" s="368"/>
      <c r="AA2534" s="333"/>
      <c r="AB2534" s="258">
        <v>6.0</v>
      </c>
      <c r="AC2534" s="333"/>
      <c r="AD2534" s="329"/>
      <c r="AE2534" s="331"/>
      <c r="AF2534" s="336"/>
      <c r="AG2534" s="337" t="str">
        <f>IFS(LEN(AF2534)=17,LOWER('2-Building'!$B$4 &amp; "-" &amp; C2534), AF2534="N/A", "N/A", LEN(AF2534)=0,"")</f>
        <v/>
      </c>
      <c r="AH2534" s="333"/>
      <c r="AI2534" s="333"/>
      <c r="AJ2534" s="333"/>
      <c r="AK2534" s="333"/>
      <c r="AL2534" s="333"/>
      <c r="AM2534" s="338"/>
      <c r="AN2534" s="333"/>
      <c r="AO2534" s="333"/>
      <c r="AP2534" s="333"/>
      <c r="AQ2534" s="333"/>
      <c r="AR2534" s="333"/>
      <c r="AS2534" s="333"/>
      <c r="AT2534" s="333"/>
      <c r="AU2534" s="329"/>
      <c r="AV2534" s="341"/>
      <c r="AW2534" s="269" t="s">
        <v>2391</v>
      </c>
      <c r="AX2534" s="269" t="s">
        <v>2869</v>
      </c>
      <c r="AY2534" s="270" t="s">
        <v>695</v>
      </c>
      <c r="AZ2534" s="173" t="s">
        <v>8288</v>
      </c>
      <c r="BA2534" s="265">
        <v>10.0</v>
      </c>
      <c r="BB2534" s="174" t="s">
        <v>245</v>
      </c>
      <c r="BC2534" s="341"/>
      <c r="BD2534" s="308" t="s">
        <v>1844</v>
      </c>
      <c r="BE2534" s="364"/>
      <c r="BF2534" s="274" t="str">
        <f>IFERROR(__xludf.DUMMYFUNCTION("LOWER(Regexreplace(to_text(E2534),""[^A-Za-z0-9]"","""")&amp;""_""&amp;Regexreplace(to_text(F2534),""[^A-Za-z0-9]"",""""))"),"schneider_pm2200")</f>
        <v>schneider_pm2200</v>
      </c>
      <c r="BG2534" s="275" t="str">
        <f>IFERROR(__xludf.DUMMYFUNCTION("upper(Regexreplace(to_text(E2534),""[^A-Za-z0-9]"","""")&amp;""-""&amp;Regexreplace(to_text(F2534),""[^A-Za-z0-9]"",""""))"),"SCHNEIDER-PM2200")</f>
        <v>SCHNEIDER-PM2200</v>
      </c>
    </row>
    <row r="2535" ht="30.0" customHeight="1">
      <c r="A2535" s="173">
        <v>2527.0</v>
      </c>
      <c r="B2535" s="328" t="s">
        <v>670</v>
      </c>
      <c r="C2535" s="257" t="s">
        <v>8313</v>
      </c>
      <c r="D2535" s="173" t="s">
        <v>8313</v>
      </c>
      <c r="E2535" s="174" t="s">
        <v>8070</v>
      </c>
      <c r="F2535" s="173" t="s">
        <v>8071</v>
      </c>
      <c r="G2535" s="328" t="s">
        <v>673</v>
      </c>
      <c r="H2535" s="328" t="s">
        <v>2863</v>
      </c>
      <c r="I2535" s="258" t="s">
        <v>8072</v>
      </c>
      <c r="J2535" s="259" t="s">
        <v>1211</v>
      </c>
      <c r="K2535" s="260">
        <v>782.0</v>
      </c>
      <c r="L2535" s="365"/>
      <c r="M2535" s="329"/>
      <c r="N2535" s="173" t="s">
        <v>679</v>
      </c>
      <c r="O2535" s="173" t="s">
        <v>225</v>
      </c>
      <c r="P2535" s="262" t="str">
        <f t="shared" si="1"/>
        <v>IN-BLR-ANANTA-EM-117_7</v>
      </c>
      <c r="Q2535" s="173" t="s">
        <v>8314</v>
      </c>
      <c r="R2535" s="328" t="str">
        <f>IFS(C2535="","",C2535="n/a","N/A",LEN(C2535),Concatenate("{",char(34),"asset",char(34),":{",char(34),"guid",char(34),":",char(34),Q2535,char(34),",",char(34),"site",char(34),":",char(34),LOWER('2-Building'!$B$4),char(34),",",char(34),"name",char(34),":",char(34),LOWER(C2535),char(34),"}}"))</f>
        <v>{"asset":{"guid":"uuid://51c217d7-735a-46aa-92b7-59f09daa798a","site":"in-blr-ananta","name":"em-117"}}</v>
      </c>
      <c r="S2535" s="366" t="s">
        <v>8287</v>
      </c>
      <c r="T2535" s="330"/>
      <c r="U2535" s="330"/>
      <c r="V2535" s="331"/>
      <c r="W2535" s="332"/>
      <c r="X2535" s="333"/>
      <c r="Y2535" s="33" t="s">
        <v>8076</v>
      </c>
      <c r="Z2535" s="368"/>
      <c r="AA2535" s="333"/>
      <c r="AB2535" s="258">
        <v>7.0</v>
      </c>
      <c r="AC2535" s="333"/>
      <c r="AD2535" s="329"/>
      <c r="AE2535" s="331"/>
      <c r="AF2535" s="336"/>
      <c r="AG2535" s="337" t="str">
        <f>IFS(LEN(AF2535)=17,LOWER('2-Building'!$B$4 &amp; "-" &amp; C2535), AF2535="N/A", "N/A", LEN(AF2535)=0,"")</f>
        <v/>
      </c>
      <c r="AH2535" s="333"/>
      <c r="AI2535" s="333"/>
      <c r="AJ2535" s="333"/>
      <c r="AK2535" s="333"/>
      <c r="AL2535" s="333"/>
      <c r="AM2535" s="338"/>
      <c r="AN2535" s="333"/>
      <c r="AO2535" s="333"/>
      <c r="AP2535" s="333"/>
      <c r="AQ2535" s="333"/>
      <c r="AR2535" s="333"/>
      <c r="AS2535" s="333"/>
      <c r="AT2535" s="333"/>
      <c r="AU2535" s="329"/>
      <c r="AV2535" s="341"/>
      <c r="AW2535" s="269" t="s">
        <v>2391</v>
      </c>
      <c r="AX2535" s="269" t="s">
        <v>2869</v>
      </c>
      <c r="AY2535" s="270" t="s">
        <v>695</v>
      </c>
      <c r="AZ2535" s="173" t="s">
        <v>8288</v>
      </c>
      <c r="BA2535" s="265">
        <v>10.0</v>
      </c>
      <c r="BB2535" s="174" t="s">
        <v>245</v>
      </c>
      <c r="BC2535" s="341"/>
      <c r="BD2535" s="308" t="s">
        <v>1844</v>
      </c>
      <c r="BE2535" s="364"/>
      <c r="BF2535" s="274" t="str">
        <f>IFERROR(__xludf.DUMMYFUNCTION("LOWER(Regexreplace(to_text(E2535),""[^A-Za-z0-9]"","""")&amp;""_""&amp;Regexreplace(to_text(F2535),""[^A-Za-z0-9]"",""""))"),"schneider_pm2200")</f>
        <v>schneider_pm2200</v>
      </c>
      <c r="BG2535" s="275" t="str">
        <f>IFERROR(__xludf.DUMMYFUNCTION("upper(Regexreplace(to_text(E2535),""[^A-Za-z0-9]"","""")&amp;""-""&amp;Regexreplace(to_text(F2535),""[^A-Za-z0-9]"",""""))"),"SCHNEIDER-PM2200")</f>
        <v>SCHNEIDER-PM2200</v>
      </c>
    </row>
    <row r="2536" ht="30.0" customHeight="1">
      <c r="A2536" s="258">
        <v>2528.0</v>
      </c>
      <c r="B2536" s="328" t="s">
        <v>670</v>
      </c>
      <c r="C2536" s="257" t="s">
        <v>8315</v>
      </c>
      <c r="D2536" s="173" t="s">
        <v>8315</v>
      </c>
      <c r="E2536" s="174" t="s">
        <v>8070</v>
      </c>
      <c r="F2536" s="173" t="s">
        <v>8071</v>
      </c>
      <c r="G2536" s="328" t="s">
        <v>673</v>
      </c>
      <c r="H2536" s="328" t="s">
        <v>2863</v>
      </c>
      <c r="I2536" s="258" t="s">
        <v>8072</v>
      </c>
      <c r="J2536" s="259" t="s">
        <v>1272</v>
      </c>
      <c r="K2536" s="260">
        <v>805.0</v>
      </c>
      <c r="L2536" s="365"/>
      <c r="M2536" s="329"/>
      <c r="N2536" s="173" t="s">
        <v>679</v>
      </c>
      <c r="O2536" s="173" t="s">
        <v>225</v>
      </c>
      <c r="P2536" s="262" t="str">
        <f t="shared" si="1"/>
        <v>IN-BLR-ANANTA-EM-118_8</v>
      </c>
      <c r="Q2536" s="173" t="s">
        <v>8316</v>
      </c>
      <c r="R2536" s="328" t="str">
        <f>IFS(C2536="","",C2536="n/a","N/A",LEN(C2536),Concatenate("{",char(34),"asset",char(34),":{",char(34),"guid",char(34),":",char(34),Q2536,char(34),",",char(34),"site",char(34),":",char(34),LOWER('2-Building'!$B$4),char(34),",",char(34),"name",char(34),":",char(34),LOWER(C2536),char(34),"}}"))</f>
        <v>{"asset":{"guid":"uuid://51026d1a-da05-4bf3-a980-743754ec4a0d","site":"in-blr-ananta","name":"em-118"}}</v>
      </c>
      <c r="S2536" s="366" t="s">
        <v>8287</v>
      </c>
      <c r="T2536" s="330"/>
      <c r="U2536" s="330"/>
      <c r="V2536" s="331"/>
      <c r="W2536" s="332"/>
      <c r="X2536" s="333"/>
      <c r="Y2536" s="33" t="s">
        <v>8076</v>
      </c>
      <c r="Z2536" s="368"/>
      <c r="AA2536" s="333"/>
      <c r="AB2536" s="258">
        <v>4.0</v>
      </c>
      <c r="AC2536" s="333"/>
      <c r="AD2536" s="329"/>
      <c r="AE2536" s="331"/>
      <c r="AF2536" s="336"/>
      <c r="AG2536" s="337" t="str">
        <f>IFS(LEN(AF2536)=17,LOWER('2-Building'!$B$4 &amp; "-" &amp; C2536), AF2536="N/A", "N/A", LEN(AF2536)=0,"")</f>
        <v/>
      </c>
      <c r="AH2536" s="333"/>
      <c r="AI2536" s="333"/>
      <c r="AJ2536" s="333"/>
      <c r="AK2536" s="333"/>
      <c r="AL2536" s="333"/>
      <c r="AM2536" s="338"/>
      <c r="AN2536" s="333"/>
      <c r="AO2536" s="333"/>
      <c r="AP2536" s="333"/>
      <c r="AQ2536" s="333"/>
      <c r="AR2536" s="333"/>
      <c r="AS2536" s="333"/>
      <c r="AT2536" s="333"/>
      <c r="AU2536" s="329"/>
      <c r="AV2536" s="341"/>
      <c r="AW2536" s="269" t="s">
        <v>2456</v>
      </c>
      <c r="AX2536" s="269" t="s">
        <v>2869</v>
      </c>
      <c r="AY2536" s="270" t="s">
        <v>695</v>
      </c>
      <c r="AZ2536" s="173" t="s">
        <v>8288</v>
      </c>
      <c r="BA2536" s="265">
        <v>10.0</v>
      </c>
      <c r="BB2536" s="174" t="s">
        <v>245</v>
      </c>
      <c r="BC2536" s="341"/>
      <c r="BD2536" s="308" t="s">
        <v>1844</v>
      </c>
      <c r="BE2536" s="364"/>
      <c r="BF2536" s="274" t="str">
        <f>IFERROR(__xludf.DUMMYFUNCTION("LOWER(Regexreplace(to_text(E2536),""[^A-Za-z0-9]"","""")&amp;""_""&amp;Regexreplace(to_text(F2536),""[^A-Za-z0-9]"",""""))"),"schneider_pm2200")</f>
        <v>schneider_pm2200</v>
      </c>
      <c r="BG2536" s="275" t="str">
        <f>IFERROR(__xludf.DUMMYFUNCTION("upper(Regexreplace(to_text(E2536),""[^A-Za-z0-9]"","""")&amp;""-""&amp;Regexreplace(to_text(F2536),""[^A-Za-z0-9]"",""""))"),"SCHNEIDER-PM2200")</f>
        <v>SCHNEIDER-PM2200</v>
      </c>
    </row>
    <row r="2537" ht="30.0" customHeight="1">
      <c r="A2537" s="173">
        <v>2529.0</v>
      </c>
      <c r="B2537" s="328" t="s">
        <v>670</v>
      </c>
      <c r="C2537" s="257" t="s">
        <v>8317</v>
      </c>
      <c r="D2537" s="173" t="s">
        <v>8317</v>
      </c>
      <c r="E2537" s="174" t="s">
        <v>8070</v>
      </c>
      <c r="F2537" s="173" t="s">
        <v>8071</v>
      </c>
      <c r="G2537" s="328" t="s">
        <v>673</v>
      </c>
      <c r="H2537" s="328" t="s">
        <v>2863</v>
      </c>
      <c r="I2537" s="258" t="s">
        <v>8072</v>
      </c>
      <c r="J2537" s="259" t="s">
        <v>1272</v>
      </c>
      <c r="K2537" s="260">
        <v>856.0</v>
      </c>
      <c r="L2537" s="365"/>
      <c r="M2537" s="329"/>
      <c r="N2537" s="173" t="s">
        <v>679</v>
      </c>
      <c r="O2537" s="173" t="s">
        <v>225</v>
      </c>
      <c r="P2537" s="262" t="str">
        <f t="shared" si="1"/>
        <v>IN-BLR-ANANTA-EM-119_8</v>
      </c>
      <c r="Q2537" s="173" t="s">
        <v>8318</v>
      </c>
      <c r="R2537" s="328" t="str">
        <f>IFS(C2537="","",C2537="n/a","N/A",LEN(C2537),Concatenate("{",char(34),"asset",char(34),":{",char(34),"guid",char(34),":",char(34),Q2537,char(34),",",char(34),"site",char(34),":",char(34),LOWER('2-Building'!$B$4),char(34),",",char(34),"name",char(34),":",char(34),LOWER(C2537),char(34),"}}"))</f>
        <v>{"asset":{"guid":"uuid://60b350d2-a531-4c6b-8207-131960769c05","site":"in-blr-ananta","name":"em-119"}}</v>
      </c>
      <c r="S2537" s="366" t="s">
        <v>8287</v>
      </c>
      <c r="T2537" s="330"/>
      <c r="U2537" s="330"/>
      <c r="V2537" s="331"/>
      <c r="W2537" s="332"/>
      <c r="X2537" s="333"/>
      <c r="Y2537" s="33" t="s">
        <v>8076</v>
      </c>
      <c r="Z2537" s="368"/>
      <c r="AA2537" s="333"/>
      <c r="AB2537" s="258">
        <v>5.0</v>
      </c>
      <c r="AC2537" s="333"/>
      <c r="AD2537" s="329"/>
      <c r="AE2537" s="331"/>
      <c r="AF2537" s="336"/>
      <c r="AG2537" s="337" t="str">
        <f>IFS(LEN(AF2537)=17,LOWER('2-Building'!$B$4 &amp; "-" &amp; C2537), AF2537="N/A", "N/A", LEN(AF2537)=0,"")</f>
        <v/>
      </c>
      <c r="AH2537" s="333"/>
      <c r="AI2537" s="333"/>
      <c r="AJ2537" s="333"/>
      <c r="AK2537" s="333"/>
      <c r="AL2537" s="333"/>
      <c r="AM2537" s="338"/>
      <c r="AN2537" s="333"/>
      <c r="AO2537" s="333"/>
      <c r="AP2537" s="333"/>
      <c r="AQ2537" s="333"/>
      <c r="AR2537" s="333"/>
      <c r="AS2537" s="333"/>
      <c r="AT2537" s="333"/>
      <c r="AU2537" s="329"/>
      <c r="AV2537" s="341"/>
      <c r="AW2537" s="269" t="s">
        <v>2456</v>
      </c>
      <c r="AX2537" s="269" t="s">
        <v>2869</v>
      </c>
      <c r="AY2537" s="270" t="s">
        <v>695</v>
      </c>
      <c r="AZ2537" s="173" t="s">
        <v>8288</v>
      </c>
      <c r="BA2537" s="265">
        <v>10.0</v>
      </c>
      <c r="BB2537" s="174" t="s">
        <v>245</v>
      </c>
      <c r="BC2537" s="341"/>
      <c r="BD2537" s="308" t="s">
        <v>1844</v>
      </c>
      <c r="BE2537" s="364"/>
      <c r="BF2537" s="274" t="str">
        <f>IFERROR(__xludf.DUMMYFUNCTION("LOWER(Regexreplace(to_text(E2537),""[^A-Za-z0-9]"","""")&amp;""_""&amp;Regexreplace(to_text(F2537),""[^A-Za-z0-9]"",""""))"),"schneider_pm2200")</f>
        <v>schneider_pm2200</v>
      </c>
      <c r="BG2537" s="275" t="str">
        <f>IFERROR(__xludf.DUMMYFUNCTION("upper(Regexreplace(to_text(E2537),""[^A-Za-z0-9]"","""")&amp;""-""&amp;Regexreplace(to_text(F2537),""[^A-Za-z0-9]"",""""))"),"SCHNEIDER-PM2200")</f>
        <v>SCHNEIDER-PM2200</v>
      </c>
    </row>
    <row r="2538" ht="30.0" customHeight="1">
      <c r="A2538" s="258">
        <v>2530.0</v>
      </c>
      <c r="B2538" s="328" t="s">
        <v>670</v>
      </c>
      <c r="C2538" s="257" t="s">
        <v>8319</v>
      </c>
      <c r="D2538" s="173" t="s">
        <v>8319</v>
      </c>
      <c r="E2538" s="174" t="s">
        <v>8070</v>
      </c>
      <c r="F2538" s="173" t="s">
        <v>8071</v>
      </c>
      <c r="G2538" s="328" t="s">
        <v>673</v>
      </c>
      <c r="H2538" s="328" t="s">
        <v>2863</v>
      </c>
      <c r="I2538" s="258" t="s">
        <v>8072</v>
      </c>
      <c r="J2538" s="259" t="s">
        <v>1272</v>
      </c>
      <c r="K2538" s="260">
        <v>882.0</v>
      </c>
      <c r="L2538" s="365"/>
      <c r="M2538" s="329"/>
      <c r="N2538" s="173" t="s">
        <v>679</v>
      </c>
      <c r="O2538" s="173" t="s">
        <v>225</v>
      </c>
      <c r="P2538" s="262" t="str">
        <f t="shared" si="1"/>
        <v>IN-BLR-ANANTA-EM-120_8</v>
      </c>
      <c r="Q2538" s="173" t="s">
        <v>8320</v>
      </c>
      <c r="R2538" s="328" t="str">
        <f>IFS(C2538="","",C2538="n/a","N/A",LEN(C2538),Concatenate("{",char(34),"asset",char(34),":{",char(34),"guid",char(34),":",char(34),Q2538,char(34),",",char(34),"site",char(34),":",char(34),LOWER('2-Building'!$B$4),char(34),",",char(34),"name",char(34),":",char(34),LOWER(C2538),char(34),"}}"))</f>
        <v>{"asset":{"guid":"uuid://711a586c-f718-458c-8a8b-1b449a1e6783","site":"in-blr-ananta","name":"em-120"}}</v>
      </c>
      <c r="S2538" s="366" t="s">
        <v>8287</v>
      </c>
      <c r="T2538" s="330"/>
      <c r="U2538" s="330"/>
      <c r="V2538" s="331"/>
      <c r="W2538" s="332"/>
      <c r="X2538" s="333"/>
      <c r="Y2538" s="33" t="s">
        <v>8076</v>
      </c>
      <c r="Z2538" s="368"/>
      <c r="AA2538" s="333"/>
      <c r="AB2538" s="258">
        <v>6.0</v>
      </c>
      <c r="AC2538" s="333"/>
      <c r="AD2538" s="329"/>
      <c r="AE2538" s="331"/>
      <c r="AF2538" s="336"/>
      <c r="AG2538" s="337" t="str">
        <f>IFS(LEN(AF2538)=17,LOWER('2-Building'!$B$4 &amp; "-" &amp; C2538), AF2538="N/A", "N/A", LEN(AF2538)=0,"")</f>
        <v/>
      </c>
      <c r="AH2538" s="333"/>
      <c r="AI2538" s="333"/>
      <c r="AJ2538" s="333"/>
      <c r="AK2538" s="333"/>
      <c r="AL2538" s="333"/>
      <c r="AM2538" s="338"/>
      <c r="AN2538" s="333"/>
      <c r="AO2538" s="333"/>
      <c r="AP2538" s="333"/>
      <c r="AQ2538" s="333"/>
      <c r="AR2538" s="333"/>
      <c r="AS2538" s="333"/>
      <c r="AT2538" s="333"/>
      <c r="AU2538" s="329"/>
      <c r="AV2538" s="341"/>
      <c r="AW2538" s="269" t="s">
        <v>2456</v>
      </c>
      <c r="AX2538" s="269" t="s">
        <v>2869</v>
      </c>
      <c r="AY2538" s="270" t="s">
        <v>695</v>
      </c>
      <c r="AZ2538" s="173" t="s">
        <v>8288</v>
      </c>
      <c r="BA2538" s="265">
        <v>10.0</v>
      </c>
      <c r="BB2538" s="174" t="s">
        <v>245</v>
      </c>
      <c r="BC2538" s="341"/>
      <c r="BD2538" s="308" t="s">
        <v>1844</v>
      </c>
      <c r="BE2538" s="364"/>
      <c r="BF2538" s="274" t="str">
        <f>IFERROR(__xludf.DUMMYFUNCTION("LOWER(Regexreplace(to_text(E2538),""[^A-Za-z0-9]"","""")&amp;""_""&amp;Regexreplace(to_text(F2538),""[^A-Za-z0-9]"",""""))"),"schneider_pm2200")</f>
        <v>schneider_pm2200</v>
      </c>
      <c r="BG2538" s="275" t="str">
        <f>IFERROR(__xludf.DUMMYFUNCTION("upper(Regexreplace(to_text(E2538),""[^A-Za-z0-9]"","""")&amp;""-""&amp;Regexreplace(to_text(F2538),""[^A-Za-z0-9]"",""""))"),"SCHNEIDER-PM2200")</f>
        <v>SCHNEIDER-PM2200</v>
      </c>
    </row>
    <row r="2539" ht="30.0" customHeight="1">
      <c r="A2539" s="173">
        <v>2531.0</v>
      </c>
      <c r="B2539" s="328" t="s">
        <v>670</v>
      </c>
      <c r="C2539" s="257" t="s">
        <v>8321</v>
      </c>
      <c r="D2539" s="173" t="s">
        <v>8321</v>
      </c>
      <c r="E2539" s="174" t="s">
        <v>8070</v>
      </c>
      <c r="F2539" s="173" t="s">
        <v>8071</v>
      </c>
      <c r="G2539" s="328" t="s">
        <v>673</v>
      </c>
      <c r="H2539" s="328" t="s">
        <v>2863</v>
      </c>
      <c r="I2539" s="258" t="s">
        <v>8072</v>
      </c>
      <c r="J2539" s="259" t="s">
        <v>1272</v>
      </c>
      <c r="K2539" s="260">
        <v>982.0</v>
      </c>
      <c r="L2539" s="365"/>
      <c r="M2539" s="329"/>
      <c r="N2539" s="173" t="s">
        <v>679</v>
      </c>
      <c r="O2539" s="173" t="s">
        <v>225</v>
      </c>
      <c r="P2539" s="262" t="str">
        <f t="shared" si="1"/>
        <v>IN-BLR-ANANTA-EM-121_8</v>
      </c>
      <c r="Q2539" s="173" t="s">
        <v>8322</v>
      </c>
      <c r="R2539" s="328" t="str">
        <f>IFS(C2539="","",C2539="n/a","N/A",LEN(C2539),Concatenate("{",char(34),"asset",char(34),":{",char(34),"guid",char(34),":",char(34),Q2539,char(34),",",char(34),"site",char(34),":",char(34),LOWER('2-Building'!$B$4),char(34),",",char(34),"name",char(34),":",char(34),LOWER(C2539),char(34),"}}"))</f>
        <v>{"asset":{"guid":"uuid://4d82831e-06a0-4e51-9a42-081f494f6fd2","site":"in-blr-ananta","name":"em-121"}}</v>
      </c>
      <c r="S2539" s="366" t="s">
        <v>8287</v>
      </c>
      <c r="T2539" s="330"/>
      <c r="U2539" s="330"/>
      <c r="V2539" s="331"/>
      <c r="W2539" s="332"/>
      <c r="X2539" s="333"/>
      <c r="Y2539" s="33" t="s">
        <v>8076</v>
      </c>
      <c r="Z2539" s="368"/>
      <c r="AA2539" s="333"/>
      <c r="AB2539" s="258">
        <v>7.0</v>
      </c>
      <c r="AC2539" s="333"/>
      <c r="AD2539" s="329"/>
      <c r="AE2539" s="331"/>
      <c r="AF2539" s="336"/>
      <c r="AG2539" s="337" t="str">
        <f>IFS(LEN(AF2539)=17,LOWER('2-Building'!$B$4 &amp; "-" &amp; C2539), AF2539="N/A", "N/A", LEN(AF2539)=0,"")</f>
        <v/>
      </c>
      <c r="AH2539" s="333"/>
      <c r="AI2539" s="333"/>
      <c r="AJ2539" s="333"/>
      <c r="AK2539" s="333"/>
      <c r="AL2539" s="333"/>
      <c r="AM2539" s="338"/>
      <c r="AN2539" s="333"/>
      <c r="AO2539" s="333"/>
      <c r="AP2539" s="333"/>
      <c r="AQ2539" s="333"/>
      <c r="AR2539" s="333"/>
      <c r="AS2539" s="333"/>
      <c r="AT2539" s="333"/>
      <c r="AU2539" s="329"/>
      <c r="AV2539" s="341"/>
      <c r="AW2539" s="269" t="s">
        <v>2456</v>
      </c>
      <c r="AX2539" s="269" t="s">
        <v>2869</v>
      </c>
      <c r="AY2539" s="270" t="s">
        <v>695</v>
      </c>
      <c r="AZ2539" s="173" t="s">
        <v>8288</v>
      </c>
      <c r="BA2539" s="265">
        <v>10.0</v>
      </c>
      <c r="BB2539" s="174" t="s">
        <v>245</v>
      </c>
      <c r="BC2539" s="341"/>
      <c r="BD2539" s="308" t="s">
        <v>1844</v>
      </c>
      <c r="BE2539" s="364"/>
      <c r="BF2539" s="274" t="str">
        <f>IFERROR(__xludf.DUMMYFUNCTION("LOWER(Regexreplace(to_text(E2539),""[^A-Za-z0-9]"","""")&amp;""_""&amp;Regexreplace(to_text(F2539),""[^A-Za-z0-9]"",""""))"),"schneider_pm2200")</f>
        <v>schneider_pm2200</v>
      </c>
      <c r="BG2539" s="275" t="str">
        <f>IFERROR(__xludf.DUMMYFUNCTION("upper(Regexreplace(to_text(E2539),""[^A-Za-z0-9]"","""")&amp;""-""&amp;Regexreplace(to_text(F2539),""[^A-Za-z0-9]"",""""))"),"SCHNEIDER-PM2200")</f>
        <v>SCHNEIDER-PM2200</v>
      </c>
    </row>
    <row r="2540" ht="30.0" customHeight="1">
      <c r="A2540" s="258">
        <v>2532.0</v>
      </c>
      <c r="B2540" s="328" t="s">
        <v>670</v>
      </c>
      <c r="C2540" s="257" t="s">
        <v>8323</v>
      </c>
      <c r="D2540" s="173" t="s">
        <v>8323</v>
      </c>
      <c r="E2540" s="174" t="s">
        <v>8070</v>
      </c>
      <c r="F2540" s="173" t="s">
        <v>8071</v>
      </c>
      <c r="G2540" s="328" t="s">
        <v>673</v>
      </c>
      <c r="H2540" s="328" t="s">
        <v>2863</v>
      </c>
      <c r="I2540" s="258" t="s">
        <v>8072</v>
      </c>
      <c r="J2540" s="259" t="s">
        <v>1272</v>
      </c>
      <c r="K2540" s="260">
        <v>870.0</v>
      </c>
      <c r="L2540" s="365"/>
      <c r="M2540" s="329"/>
      <c r="N2540" s="173" t="s">
        <v>679</v>
      </c>
      <c r="O2540" s="173" t="s">
        <v>225</v>
      </c>
      <c r="P2540" s="262" t="str">
        <f t="shared" si="1"/>
        <v>IN-BLR-ANANTA-EM-122_8</v>
      </c>
      <c r="Q2540" s="173" t="s">
        <v>8324</v>
      </c>
      <c r="R2540" s="328" t="str">
        <f>IFS(C2540="","",C2540="n/a","N/A",LEN(C2540),Concatenate("{",char(34),"asset",char(34),":{",char(34),"guid",char(34),":",char(34),Q2540,char(34),",",char(34),"site",char(34),":",char(34),LOWER('2-Building'!$B$4),char(34),",",char(34),"name",char(34),":",char(34),LOWER(C2540),char(34),"}}"))</f>
        <v>{"asset":{"guid":"uuid://9b54b386-aed8-4ed3-81b3-b8a97f0595c9","site":"in-blr-ananta","name":"em-122"}}</v>
      </c>
      <c r="S2540" s="366" t="s">
        <v>8287</v>
      </c>
      <c r="T2540" s="330"/>
      <c r="U2540" s="330"/>
      <c r="V2540" s="331"/>
      <c r="W2540" s="332"/>
      <c r="X2540" s="333"/>
      <c r="Y2540" s="33" t="s">
        <v>8076</v>
      </c>
      <c r="Z2540" s="368"/>
      <c r="AA2540" s="333"/>
      <c r="AB2540" s="258">
        <v>3.0</v>
      </c>
      <c r="AC2540" s="333"/>
      <c r="AD2540" s="329"/>
      <c r="AE2540" s="331"/>
      <c r="AF2540" s="336"/>
      <c r="AG2540" s="337" t="str">
        <f>IFS(LEN(AF2540)=17,LOWER('2-Building'!$B$4 &amp; "-" &amp; C2540), AF2540="N/A", "N/A", LEN(AF2540)=0,"")</f>
        <v/>
      </c>
      <c r="AH2540" s="333"/>
      <c r="AI2540" s="333"/>
      <c r="AJ2540" s="333"/>
      <c r="AK2540" s="333"/>
      <c r="AL2540" s="333"/>
      <c r="AM2540" s="338"/>
      <c r="AN2540" s="333"/>
      <c r="AO2540" s="333"/>
      <c r="AP2540" s="333"/>
      <c r="AQ2540" s="333"/>
      <c r="AR2540" s="333"/>
      <c r="AS2540" s="333"/>
      <c r="AT2540" s="333"/>
      <c r="AU2540" s="329"/>
      <c r="AV2540" s="341"/>
      <c r="AW2540" s="269" t="s">
        <v>2456</v>
      </c>
      <c r="AX2540" s="269" t="s">
        <v>2869</v>
      </c>
      <c r="AY2540" s="270" t="s">
        <v>695</v>
      </c>
      <c r="AZ2540" s="173" t="s">
        <v>8288</v>
      </c>
      <c r="BA2540" s="265">
        <v>10.0</v>
      </c>
      <c r="BB2540" s="174" t="s">
        <v>245</v>
      </c>
      <c r="BC2540" s="341"/>
      <c r="BD2540" s="308" t="s">
        <v>1844</v>
      </c>
      <c r="BE2540" s="364"/>
      <c r="BF2540" s="274" t="str">
        <f>IFERROR(__xludf.DUMMYFUNCTION("LOWER(Regexreplace(to_text(E2540),""[^A-Za-z0-9]"","""")&amp;""_""&amp;Regexreplace(to_text(F2540),""[^A-Za-z0-9]"",""""))"),"schneider_pm2200")</f>
        <v>schneider_pm2200</v>
      </c>
      <c r="BG2540" s="275" t="str">
        <f>IFERROR(__xludf.DUMMYFUNCTION("upper(Regexreplace(to_text(E2540),""[^A-Za-z0-9]"","""")&amp;""-""&amp;Regexreplace(to_text(F2540),""[^A-Za-z0-9]"",""""))"),"SCHNEIDER-PM2200")</f>
        <v>SCHNEIDER-PM2200</v>
      </c>
    </row>
    <row r="2541" ht="30.0" customHeight="1">
      <c r="A2541" s="173">
        <v>2533.0</v>
      </c>
      <c r="B2541" s="328" t="s">
        <v>670</v>
      </c>
      <c r="C2541" s="257" t="s">
        <v>8325</v>
      </c>
      <c r="D2541" s="173" t="s">
        <v>8325</v>
      </c>
      <c r="E2541" s="174" t="s">
        <v>8070</v>
      </c>
      <c r="F2541" s="173" t="s">
        <v>8071</v>
      </c>
      <c r="G2541" s="328" t="s">
        <v>673</v>
      </c>
      <c r="H2541" s="328" t="s">
        <v>2863</v>
      </c>
      <c r="I2541" s="258" t="s">
        <v>8072</v>
      </c>
      <c r="J2541" s="259" t="s">
        <v>1333</v>
      </c>
      <c r="K2541" s="260">
        <v>870.0</v>
      </c>
      <c r="L2541" s="365"/>
      <c r="M2541" s="329"/>
      <c r="N2541" s="173" t="s">
        <v>679</v>
      </c>
      <c r="O2541" s="173" t="s">
        <v>225</v>
      </c>
      <c r="P2541" s="262" t="str">
        <f t="shared" si="1"/>
        <v>IN-BLR-ANANTA-EM-123_9</v>
      </c>
      <c r="Q2541" s="173" t="s">
        <v>8326</v>
      </c>
      <c r="R2541" s="328" t="str">
        <f>IFS(C2541="","",C2541="n/a","N/A",LEN(C2541),Concatenate("{",char(34),"asset",char(34),":{",char(34),"guid",char(34),":",char(34),Q2541,char(34),",",char(34),"site",char(34),":",char(34),LOWER('2-Building'!$B$4),char(34),",",char(34),"name",char(34),":",char(34),LOWER(C2541),char(34),"}}"))</f>
        <v>{"asset":{"guid":"uuid://e249a9d0-ea92-48da-a290-5c5c85a55ccd","site":"in-blr-ananta","name":"em-123"}}</v>
      </c>
      <c r="S2541" s="366" t="s">
        <v>8287</v>
      </c>
      <c r="T2541" s="330"/>
      <c r="U2541" s="330"/>
      <c r="V2541" s="331"/>
      <c r="W2541" s="332"/>
      <c r="X2541" s="333"/>
      <c r="Y2541" s="33" t="s">
        <v>8076</v>
      </c>
      <c r="Z2541" s="368"/>
      <c r="AA2541" s="333"/>
      <c r="AB2541" s="258">
        <v>2.0</v>
      </c>
      <c r="AC2541" s="333"/>
      <c r="AD2541" s="329"/>
      <c r="AE2541" s="331"/>
      <c r="AF2541" s="336"/>
      <c r="AG2541" s="337" t="str">
        <f>IFS(LEN(AF2541)=17,LOWER('2-Building'!$B$4 &amp; "-" &amp; C2541), AF2541="N/A", "N/A", LEN(AF2541)=0,"")</f>
        <v/>
      </c>
      <c r="AH2541" s="333"/>
      <c r="AI2541" s="333"/>
      <c r="AJ2541" s="333"/>
      <c r="AK2541" s="333"/>
      <c r="AL2541" s="333"/>
      <c r="AM2541" s="338"/>
      <c r="AN2541" s="333"/>
      <c r="AO2541" s="333"/>
      <c r="AP2541" s="333"/>
      <c r="AQ2541" s="333"/>
      <c r="AR2541" s="333"/>
      <c r="AS2541" s="333"/>
      <c r="AT2541" s="333"/>
      <c r="AU2541" s="329"/>
      <c r="AV2541" s="341"/>
      <c r="AW2541" s="269" t="s">
        <v>2456</v>
      </c>
      <c r="AX2541" s="269" t="s">
        <v>2869</v>
      </c>
      <c r="AY2541" s="270" t="s">
        <v>695</v>
      </c>
      <c r="AZ2541" s="173" t="s">
        <v>8288</v>
      </c>
      <c r="BA2541" s="265">
        <v>10.0</v>
      </c>
      <c r="BB2541" s="174" t="s">
        <v>245</v>
      </c>
      <c r="BC2541" s="341"/>
      <c r="BD2541" s="308" t="s">
        <v>1844</v>
      </c>
      <c r="BE2541" s="364"/>
      <c r="BF2541" s="274" t="str">
        <f>IFERROR(__xludf.DUMMYFUNCTION("LOWER(Regexreplace(to_text(E2541),""[^A-Za-z0-9]"","""")&amp;""_""&amp;Regexreplace(to_text(F2541),""[^A-Za-z0-9]"",""""))"),"schneider_pm2200")</f>
        <v>schneider_pm2200</v>
      </c>
      <c r="BG2541" s="275" t="str">
        <f>IFERROR(__xludf.DUMMYFUNCTION("upper(Regexreplace(to_text(E2541),""[^A-Za-z0-9]"","""")&amp;""-""&amp;Regexreplace(to_text(F2541),""[^A-Za-z0-9]"",""""))"),"SCHNEIDER-PM2200")</f>
        <v>SCHNEIDER-PM2200</v>
      </c>
    </row>
    <row r="2542" ht="30.0" customHeight="1">
      <c r="A2542" s="258">
        <v>2534.0</v>
      </c>
      <c r="B2542" s="328" t="s">
        <v>670</v>
      </c>
      <c r="C2542" s="257" t="s">
        <v>8327</v>
      </c>
      <c r="D2542" s="173" t="s">
        <v>8327</v>
      </c>
      <c r="E2542" s="174" t="s">
        <v>8070</v>
      </c>
      <c r="F2542" s="173" t="s">
        <v>8071</v>
      </c>
      <c r="G2542" s="328" t="s">
        <v>673</v>
      </c>
      <c r="H2542" s="328" t="s">
        <v>2863</v>
      </c>
      <c r="I2542" s="258" t="s">
        <v>8072</v>
      </c>
      <c r="J2542" s="259" t="s">
        <v>1333</v>
      </c>
      <c r="K2542" s="260">
        <v>905.0</v>
      </c>
      <c r="L2542" s="365"/>
      <c r="M2542" s="329"/>
      <c r="N2542" s="173" t="s">
        <v>679</v>
      </c>
      <c r="O2542" s="173" t="s">
        <v>225</v>
      </c>
      <c r="P2542" s="262" t="str">
        <f t="shared" si="1"/>
        <v>IN-BLR-ANANTA-EM-124_9</v>
      </c>
      <c r="Q2542" s="173" t="s">
        <v>8328</v>
      </c>
      <c r="R2542" s="328" t="str">
        <f>IFS(C2542="","",C2542="n/a","N/A",LEN(C2542),Concatenate("{",char(34),"asset",char(34),":{",char(34),"guid",char(34),":",char(34),Q2542,char(34),",",char(34),"site",char(34),":",char(34),LOWER('2-Building'!$B$4),char(34),",",char(34),"name",char(34),":",char(34),LOWER(C2542),char(34),"}}"))</f>
        <v>{"asset":{"guid":"uuid://1dca7380-9ff9-4f0c-9a22-78e5cb2f8106","site":"in-blr-ananta","name":"em-124"}}</v>
      </c>
      <c r="S2542" s="366" t="s">
        <v>8287</v>
      </c>
      <c r="T2542" s="330"/>
      <c r="U2542" s="330"/>
      <c r="V2542" s="331"/>
      <c r="W2542" s="332"/>
      <c r="X2542" s="333"/>
      <c r="Y2542" s="33" t="s">
        <v>8076</v>
      </c>
      <c r="Z2542" s="368"/>
      <c r="AA2542" s="333"/>
      <c r="AB2542" s="258">
        <v>4.0</v>
      </c>
      <c r="AC2542" s="333"/>
      <c r="AD2542" s="329"/>
      <c r="AE2542" s="331"/>
      <c r="AF2542" s="336"/>
      <c r="AG2542" s="337" t="str">
        <f>IFS(LEN(AF2542)=17,LOWER('2-Building'!$B$4 &amp; "-" &amp; C2542), AF2542="N/A", "N/A", LEN(AF2542)=0,"")</f>
        <v/>
      </c>
      <c r="AH2542" s="333"/>
      <c r="AI2542" s="333"/>
      <c r="AJ2542" s="333"/>
      <c r="AK2542" s="333"/>
      <c r="AL2542" s="333"/>
      <c r="AM2542" s="338"/>
      <c r="AN2542" s="333"/>
      <c r="AO2542" s="333"/>
      <c r="AP2542" s="333"/>
      <c r="AQ2542" s="333"/>
      <c r="AR2542" s="333"/>
      <c r="AS2542" s="333"/>
      <c r="AT2542" s="333"/>
      <c r="AU2542" s="329"/>
      <c r="AV2542" s="341"/>
      <c r="AW2542" s="269" t="s">
        <v>1327</v>
      </c>
      <c r="AX2542" s="269" t="s">
        <v>2869</v>
      </c>
      <c r="AY2542" s="270" t="s">
        <v>695</v>
      </c>
      <c r="AZ2542" s="173" t="s">
        <v>8288</v>
      </c>
      <c r="BA2542" s="265">
        <v>10.0</v>
      </c>
      <c r="BB2542" s="174" t="s">
        <v>245</v>
      </c>
      <c r="BC2542" s="341"/>
      <c r="BD2542" s="308" t="s">
        <v>1844</v>
      </c>
      <c r="BE2542" s="364"/>
      <c r="BF2542" s="274" t="str">
        <f>IFERROR(__xludf.DUMMYFUNCTION("LOWER(Regexreplace(to_text(E2542),""[^A-Za-z0-9]"","""")&amp;""_""&amp;Regexreplace(to_text(F2542),""[^A-Za-z0-9]"",""""))"),"schneider_pm2200")</f>
        <v>schneider_pm2200</v>
      </c>
      <c r="BG2542" s="275" t="str">
        <f>IFERROR(__xludf.DUMMYFUNCTION("upper(Regexreplace(to_text(E2542),""[^A-Za-z0-9]"","""")&amp;""-""&amp;Regexreplace(to_text(F2542),""[^A-Za-z0-9]"",""""))"),"SCHNEIDER-PM2200")</f>
        <v>SCHNEIDER-PM2200</v>
      </c>
    </row>
    <row r="2543" ht="30.0" customHeight="1">
      <c r="A2543" s="173">
        <v>2535.0</v>
      </c>
      <c r="B2543" s="328" t="s">
        <v>670</v>
      </c>
      <c r="C2543" s="257" t="s">
        <v>8329</v>
      </c>
      <c r="D2543" s="173" t="s">
        <v>8329</v>
      </c>
      <c r="E2543" s="174" t="s">
        <v>8070</v>
      </c>
      <c r="F2543" s="173" t="s">
        <v>8071</v>
      </c>
      <c r="G2543" s="328" t="s">
        <v>673</v>
      </c>
      <c r="H2543" s="328" t="s">
        <v>2863</v>
      </c>
      <c r="I2543" s="258" t="s">
        <v>8072</v>
      </c>
      <c r="J2543" s="259" t="s">
        <v>1333</v>
      </c>
      <c r="K2543" s="260">
        <v>956.0</v>
      </c>
      <c r="L2543" s="365"/>
      <c r="M2543" s="329"/>
      <c r="N2543" s="173" t="s">
        <v>679</v>
      </c>
      <c r="O2543" s="173" t="s">
        <v>225</v>
      </c>
      <c r="P2543" s="262" t="str">
        <f t="shared" si="1"/>
        <v>IN-BLR-ANANTA-EM-125_9</v>
      </c>
      <c r="Q2543" s="173" t="s">
        <v>8330</v>
      </c>
      <c r="R2543" s="328" t="str">
        <f>IFS(C2543="","",C2543="n/a","N/A",LEN(C2543),Concatenate("{",char(34),"asset",char(34),":{",char(34),"guid",char(34),":",char(34),Q2543,char(34),",",char(34),"site",char(34),":",char(34),LOWER('2-Building'!$B$4),char(34),",",char(34),"name",char(34),":",char(34),LOWER(C2543),char(34),"}}"))</f>
        <v>{"asset":{"guid":"uuid://ee3c99c5-ecda-4b7f-9f91-aa6c2afeb636","site":"in-blr-ananta","name":"em-125"}}</v>
      </c>
      <c r="S2543" s="366" t="s">
        <v>8287</v>
      </c>
      <c r="T2543" s="330"/>
      <c r="U2543" s="330"/>
      <c r="V2543" s="331"/>
      <c r="W2543" s="332"/>
      <c r="X2543" s="333"/>
      <c r="Y2543" s="33" t="s">
        <v>8076</v>
      </c>
      <c r="Z2543" s="368"/>
      <c r="AA2543" s="333"/>
      <c r="AB2543" s="258">
        <v>5.0</v>
      </c>
      <c r="AC2543" s="333"/>
      <c r="AD2543" s="329"/>
      <c r="AE2543" s="331"/>
      <c r="AF2543" s="336"/>
      <c r="AG2543" s="337" t="str">
        <f>IFS(LEN(AF2543)=17,LOWER('2-Building'!$B$4 &amp; "-" &amp; C2543), AF2543="N/A", "N/A", LEN(AF2543)=0,"")</f>
        <v/>
      </c>
      <c r="AH2543" s="333"/>
      <c r="AI2543" s="333"/>
      <c r="AJ2543" s="333"/>
      <c r="AK2543" s="333"/>
      <c r="AL2543" s="333"/>
      <c r="AM2543" s="338"/>
      <c r="AN2543" s="333"/>
      <c r="AO2543" s="333"/>
      <c r="AP2543" s="333"/>
      <c r="AQ2543" s="333"/>
      <c r="AR2543" s="333"/>
      <c r="AS2543" s="333"/>
      <c r="AT2543" s="333"/>
      <c r="AU2543" s="329"/>
      <c r="AV2543" s="341"/>
      <c r="AW2543" s="269" t="s">
        <v>1327</v>
      </c>
      <c r="AX2543" s="269" t="s">
        <v>2869</v>
      </c>
      <c r="AY2543" s="270" t="s">
        <v>695</v>
      </c>
      <c r="AZ2543" s="173" t="s">
        <v>8288</v>
      </c>
      <c r="BA2543" s="265">
        <v>10.0</v>
      </c>
      <c r="BB2543" s="174" t="s">
        <v>245</v>
      </c>
      <c r="BC2543" s="341"/>
      <c r="BD2543" s="308" t="s">
        <v>1844</v>
      </c>
      <c r="BE2543" s="364"/>
      <c r="BF2543" s="274" t="str">
        <f>IFERROR(__xludf.DUMMYFUNCTION("LOWER(Regexreplace(to_text(E2543),""[^A-Za-z0-9]"","""")&amp;""_""&amp;Regexreplace(to_text(F2543),""[^A-Za-z0-9]"",""""))"),"schneider_pm2200")</f>
        <v>schneider_pm2200</v>
      </c>
      <c r="BG2543" s="275" t="str">
        <f>IFERROR(__xludf.DUMMYFUNCTION("upper(Regexreplace(to_text(E2543),""[^A-Za-z0-9]"","""")&amp;""-""&amp;Regexreplace(to_text(F2543),""[^A-Za-z0-9]"",""""))"),"SCHNEIDER-PM2200")</f>
        <v>SCHNEIDER-PM2200</v>
      </c>
    </row>
    <row r="2544" ht="30.0" customHeight="1">
      <c r="A2544" s="258">
        <v>2536.0</v>
      </c>
      <c r="B2544" s="328" t="s">
        <v>670</v>
      </c>
      <c r="C2544" s="257" t="s">
        <v>8331</v>
      </c>
      <c r="D2544" s="173" t="s">
        <v>8331</v>
      </c>
      <c r="E2544" s="174" t="s">
        <v>8070</v>
      </c>
      <c r="F2544" s="173" t="s">
        <v>8071</v>
      </c>
      <c r="G2544" s="328" t="s">
        <v>673</v>
      </c>
      <c r="H2544" s="328" t="s">
        <v>2863</v>
      </c>
      <c r="I2544" s="258" t="s">
        <v>8072</v>
      </c>
      <c r="J2544" s="259" t="s">
        <v>1333</v>
      </c>
      <c r="K2544" s="260">
        <v>982.0</v>
      </c>
      <c r="L2544" s="365"/>
      <c r="M2544" s="329"/>
      <c r="N2544" s="173" t="s">
        <v>679</v>
      </c>
      <c r="O2544" s="173" t="s">
        <v>225</v>
      </c>
      <c r="P2544" s="262" t="str">
        <f t="shared" si="1"/>
        <v>IN-BLR-ANANTA-EM-126_9</v>
      </c>
      <c r="Q2544" s="173" t="s">
        <v>8332</v>
      </c>
      <c r="R2544" s="328" t="str">
        <f>IFS(C2544="","",C2544="n/a","N/A",LEN(C2544),Concatenate("{",char(34),"asset",char(34),":{",char(34),"guid",char(34),":",char(34),Q2544,char(34),",",char(34),"site",char(34),":",char(34),LOWER('2-Building'!$B$4),char(34),",",char(34),"name",char(34),":",char(34),LOWER(C2544),char(34),"}}"))</f>
        <v>{"asset":{"guid":"uuid://6281d348-09f7-4068-abd2-e5d888689b7c","site":"in-blr-ananta","name":"em-126"}}</v>
      </c>
      <c r="S2544" s="366" t="s">
        <v>8287</v>
      </c>
      <c r="T2544" s="330"/>
      <c r="U2544" s="330"/>
      <c r="V2544" s="331"/>
      <c r="W2544" s="332"/>
      <c r="X2544" s="333"/>
      <c r="Y2544" s="33" t="s">
        <v>8076</v>
      </c>
      <c r="Z2544" s="368"/>
      <c r="AA2544" s="333"/>
      <c r="AB2544" s="258">
        <v>6.0</v>
      </c>
      <c r="AC2544" s="333"/>
      <c r="AD2544" s="329"/>
      <c r="AE2544" s="331"/>
      <c r="AF2544" s="336"/>
      <c r="AG2544" s="337" t="str">
        <f>IFS(LEN(AF2544)=17,LOWER('2-Building'!$B$4 &amp; "-" &amp; C2544), AF2544="N/A", "N/A", LEN(AF2544)=0,"")</f>
        <v/>
      </c>
      <c r="AH2544" s="333"/>
      <c r="AI2544" s="333"/>
      <c r="AJ2544" s="333"/>
      <c r="AK2544" s="333"/>
      <c r="AL2544" s="333"/>
      <c r="AM2544" s="338"/>
      <c r="AN2544" s="333"/>
      <c r="AO2544" s="333"/>
      <c r="AP2544" s="333"/>
      <c r="AQ2544" s="333"/>
      <c r="AR2544" s="333"/>
      <c r="AS2544" s="333"/>
      <c r="AT2544" s="333"/>
      <c r="AU2544" s="329"/>
      <c r="AV2544" s="341"/>
      <c r="AW2544" s="269" t="s">
        <v>1327</v>
      </c>
      <c r="AX2544" s="269" t="s">
        <v>2869</v>
      </c>
      <c r="AY2544" s="270" t="s">
        <v>695</v>
      </c>
      <c r="AZ2544" s="173" t="s">
        <v>8288</v>
      </c>
      <c r="BA2544" s="265">
        <v>10.0</v>
      </c>
      <c r="BB2544" s="174" t="s">
        <v>245</v>
      </c>
      <c r="BC2544" s="341"/>
      <c r="BD2544" s="308" t="s">
        <v>1844</v>
      </c>
      <c r="BE2544" s="364"/>
      <c r="BF2544" s="274" t="str">
        <f>IFERROR(__xludf.DUMMYFUNCTION("LOWER(Regexreplace(to_text(E2544),""[^A-Za-z0-9]"","""")&amp;""_""&amp;Regexreplace(to_text(F2544),""[^A-Za-z0-9]"",""""))"),"schneider_pm2200")</f>
        <v>schneider_pm2200</v>
      </c>
      <c r="BG2544" s="275" t="str">
        <f>IFERROR(__xludf.DUMMYFUNCTION("upper(Regexreplace(to_text(E2544),""[^A-Za-z0-9]"","""")&amp;""-""&amp;Regexreplace(to_text(F2544),""[^A-Za-z0-9]"",""""))"),"SCHNEIDER-PM2200")</f>
        <v>SCHNEIDER-PM2200</v>
      </c>
    </row>
    <row r="2545" ht="30.0" customHeight="1">
      <c r="A2545" s="173">
        <v>2537.0</v>
      </c>
      <c r="B2545" s="328" t="s">
        <v>670</v>
      </c>
      <c r="C2545" s="257" t="s">
        <v>8333</v>
      </c>
      <c r="D2545" s="173" t="s">
        <v>8333</v>
      </c>
      <c r="E2545" s="174" t="s">
        <v>8070</v>
      </c>
      <c r="F2545" s="173" t="s">
        <v>8071</v>
      </c>
      <c r="G2545" s="328" t="s">
        <v>673</v>
      </c>
      <c r="H2545" s="328" t="s">
        <v>2863</v>
      </c>
      <c r="I2545" s="258" t="s">
        <v>8072</v>
      </c>
      <c r="J2545" s="259" t="s">
        <v>1333</v>
      </c>
      <c r="K2545" s="260">
        <v>982.0</v>
      </c>
      <c r="L2545" s="365"/>
      <c r="M2545" s="329"/>
      <c r="N2545" s="173" t="s">
        <v>679</v>
      </c>
      <c r="O2545" s="173" t="s">
        <v>225</v>
      </c>
      <c r="P2545" s="262" t="str">
        <f t="shared" si="1"/>
        <v>IN-BLR-ANANTA-EM-127_9</v>
      </c>
      <c r="Q2545" s="173" t="s">
        <v>8334</v>
      </c>
      <c r="R2545" s="328" t="str">
        <f>IFS(C2545="","",C2545="n/a","N/A",LEN(C2545),Concatenate("{",char(34),"asset",char(34),":{",char(34),"guid",char(34),":",char(34),Q2545,char(34),",",char(34),"site",char(34),":",char(34),LOWER('2-Building'!$B$4),char(34),",",char(34),"name",char(34),":",char(34),LOWER(C2545),char(34),"}}"))</f>
        <v>{"asset":{"guid":"uuid://b7d480f0-bc69-4b79-bc5f-bee292b7af36","site":"in-blr-ananta","name":"em-127"}}</v>
      </c>
      <c r="S2545" s="366" t="s">
        <v>8287</v>
      </c>
      <c r="T2545" s="330"/>
      <c r="U2545" s="330"/>
      <c r="V2545" s="331"/>
      <c r="W2545" s="332"/>
      <c r="X2545" s="333"/>
      <c r="Y2545" s="33" t="s">
        <v>8076</v>
      </c>
      <c r="Z2545" s="368"/>
      <c r="AA2545" s="333"/>
      <c r="AB2545" s="258">
        <v>7.0</v>
      </c>
      <c r="AC2545" s="333"/>
      <c r="AD2545" s="329"/>
      <c r="AE2545" s="331"/>
      <c r="AF2545" s="336"/>
      <c r="AG2545" s="337" t="str">
        <f>IFS(LEN(AF2545)=17,LOWER('2-Building'!$B$4 &amp; "-" &amp; C2545), AF2545="N/A", "N/A", LEN(AF2545)=0,"")</f>
        <v/>
      </c>
      <c r="AH2545" s="333"/>
      <c r="AI2545" s="333"/>
      <c r="AJ2545" s="333"/>
      <c r="AK2545" s="333"/>
      <c r="AL2545" s="333"/>
      <c r="AM2545" s="338"/>
      <c r="AN2545" s="333"/>
      <c r="AO2545" s="333"/>
      <c r="AP2545" s="333"/>
      <c r="AQ2545" s="333"/>
      <c r="AR2545" s="333"/>
      <c r="AS2545" s="333"/>
      <c r="AT2545" s="333"/>
      <c r="AU2545" s="329"/>
      <c r="AV2545" s="341"/>
      <c r="AW2545" s="269" t="s">
        <v>1327</v>
      </c>
      <c r="AX2545" s="269" t="s">
        <v>2869</v>
      </c>
      <c r="AY2545" s="270" t="s">
        <v>695</v>
      </c>
      <c r="AZ2545" s="173" t="s">
        <v>8288</v>
      </c>
      <c r="BA2545" s="265">
        <v>10.0</v>
      </c>
      <c r="BB2545" s="174" t="s">
        <v>245</v>
      </c>
      <c r="BC2545" s="341"/>
      <c r="BD2545" s="308" t="s">
        <v>1844</v>
      </c>
      <c r="BE2545" s="364"/>
      <c r="BF2545" s="274" t="str">
        <f>IFERROR(__xludf.DUMMYFUNCTION("LOWER(Regexreplace(to_text(E2545),""[^A-Za-z0-9]"","""")&amp;""_""&amp;Regexreplace(to_text(F2545),""[^A-Za-z0-9]"",""""))"),"schneider_pm2200")</f>
        <v>schneider_pm2200</v>
      </c>
      <c r="BG2545" s="275" t="str">
        <f>IFERROR(__xludf.DUMMYFUNCTION("upper(Regexreplace(to_text(E2545),""[^A-Za-z0-9]"","""")&amp;""-""&amp;Regexreplace(to_text(F2545),""[^A-Za-z0-9]"",""""))"),"SCHNEIDER-PM2200")</f>
        <v>SCHNEIDER-PM2200</v>
      </c>
    </row>
    <row r="2546" ht="30.0" customHeight="1">
      <c r="A2546" s="258">
        <v>2538.0</v>
      </c>
      <c r="B2546" s="328" t="s">
        <v>670</v>
      </c>
      <c r="C2546" s="257" t="s">
        <v>8335</v>
      </c>
      <c r="D2546" s="173" t="s">
        <v>8335</v>
      </c>
      <c r="E2546" s="174" t="s">
        <v>8070</v>
      </c>
      <c r="F2546" s="173" t="s">
        <v>8071</v>
      </c>
      <c r="G2546" s="328" t="s">
        <v>673</v>
      </c>
      <c r="H2546" s="328" t="s">
        <v>2863</v>
      </c>
      <c r="I2546" s="258" t="s">
        <v>8072</v>
      </c>
      <c r="J2546" s="259" t="s">
        <v>1333</v>
      </c>
      <c r="K2546" s="260">
        <v>970.0</v>
      </c>
      <c r="L2546" s="365"/>
      <c r="M2546" s="329"/>
      <c r="N2546" s="173" t="s">
        <v>679</v>
      </c>
      <c r="O2546" s="173" t="s">
        <v>225</v>
      </c>
      <c r="P2546" s="262" t="str">
        <f t="shared" si="1"/>
        <v>IN-BLR-ANANTA-EM-128_9</v>
      </c>
      <c r="Q2546" s="173" t="s">
        <v>8336</v>
      </c>
      <c r="R2546" s="328" t="str">
        <f>IFS(C2546="","",C2546="n/a","N/A",LEN(C2546),Concatenate("{",char(34),"asset",char(34),":{",char(34),"guid",char(34),":",char(34),Q2546,char(34),",",char(34),"site",char(34),":",char(34),LOWER('2-Building'!$B$4),char(34),",",char(34),"name",char(34),":",char(34),LOWER(C2546),char(34),"}}"))</f>
        <v>{"asset":{"guid":"uuid://6a26ada9-032e-47c6-80e4-484cf76747d6","site":"in-blr-ananta","name":"em-128"}}</v>
      </c>
      <c r="S2546" s="366" t="s">
        <v>8287</v>
      </c>
      <c r="T2546" s="330"/>
      <c r="U2546" s="330"/>
      <c r="V2546" s="331"/>
      <c r="W2546" s="332"/>
      <c r="X2546" s="333"/>
      <c r="Y2546" s="33" t="s">
        <v>8076</v>
      </c>
      <c r="Z2546" s="368"/>
      <c r="AA2546" s="333"/>
      <c r="AB2546" s="258">
        <v>3.0</v>
      </c>
      <c r="AC2546" s="333"/>
      <c r="AD2546" s="329"/>
      <c r="AE2546" s="331"/>
      <c r="AF2546" s="336"/>
      <c r="AG2546" s="337" t="str">
        <f>IFS(LEN(AF2546)=17,LOWER('2-Building'!$B$4 &amp; "-" &amp; C2546), AF2546="N/A", "N/A", LEN(AF2546)=0,"")</f>
        <v/>
      </c>
      <c r="AH2546" s="333"/>
      <c r="AI2546" s="333"/>
      <c r="AJ2546" s="333"/>
      <c r="AK2546" s="333"/>
      <c r="AL2546" s="333"/>
      <c r="AM2546" s="338"/>
      <c r="AN2546" s="333"/>
      <c r="AO2546" s="333"/>
      <c r="AP2546" s="333"/>
      <c r="AQ2546" s="333"/>
      <c r="AR2546" s="333"/>
      <c r="AS2546" s="333"/>
      <c r="AT2546" s="333"/>
      <c r="AU2546" s="329"/>
      <c r="AV2546" s="341"/>
      <c r="AW2546" s="269" t="s">
        <v>1327</v>
      </c>
      <c r="AX2546" s="269" t="s">
        <v>2869</v>
      </c>
      <c r="AY2546" s="270" t="s">
        <v>695</v>
      </c>
      <c r="AZ2546" s="173" t="s">
        <v>8288</v>
      </c>
      <c r="BA2546" s="265">
        <v>10.0</v>
      </c>
      <c r="BB2546" s="174" t="s">
        <v>245</v>
      </c>
      <c r="BC2546" s="341"/>
      <c r="BD2546" s="308" t="s">
        <v>1844</v>
      </c>
      <c r="BE2546" s="364"/>
      <c r="BF2546" s="274" t="str">
        <f>IFERROR(__xludf.DUMMYFUNCTION("LOWER(Regexreplace(to_text(E2546),""[^A-Za-z0-9]"","""")&amp;""_""&amp;Regexreplace(to_text(F2546),""[^A-Za-z0-9]"",""""))"),"schneider_pm2200")</f>
        <v>schneider_pm2200</v>
      </c>
      <c r="BG2546" s="275" t="str">
        <f>IFERROR(__xludf.DUMMYFUNCTION("upper(Regexreplace(to_text(E2546),""[^A-Za-z0-9]"","""")&amp;""-""&amp;Regexreplace(to_text(F2546),""[^A-Za-z0-9]"",""""))"),"SCHNEIDER-PM2200")</f>
        <v>SCHNEIDER-PM2200</v>
      </c>
    </row>
    <row r="2547" ht="30.0" customHeight="1">
      <c r="A2547" s="173">
        <v>2539.0</v>
      </c>
      <c r="B2547" s="328" t="s">
        <v>670</v>
      </c>
      <c r="C2547" s="257" t="s">
        <v>8337</v>
      </c>
      <c r="D2547" s="173" t="s">
        <v>8337</v>
      </c>
      <c r="E2547" s="174" t="s">
        <v>8070</v>
      </c>
      <c r="F2547" s="173" t="s">
        <v>8071</v>
      </c>
      <c r="G2547" s="328" t="s">
        <v>673</v>
      </c>
      <c r="H2547" s="328" t="s">
        <v>2863</v>
      </c>
      <c r="I2547" s="258" t="s">
        <v>8072</v>
      </c>
      <c r="J2547" s="259" t="s">
        <v>1333</v>
      </c>
      <c r="K2547" s="260">
        <v>970.0</v>
      </c>
      <c r="L2547" s="365"/>
      <c r="M2547" s="329"/>
      <c r="N2547" s="173" t="s">
        <v>679</v>
      </c>
      <c r="O2547" s="173" t="s">
        <v>225</v>
      </c>
      <c r="P2547" s="262" t="str">
        <f t="shared" si="1"/>
        <v>IN-BLR-ANANTA-EM-129_9</v>
      </c>
      <c r="Q2547" s="173" t="s">
        <v>8338</v>
      </c>
      <c r="R2547" s="328" t="str">
        <f>IFS(C2547="","",C2547="n/a","N/A",LEN(C2547),Concatenate("{",char(34),"asset",char(34),":{",char(34),"guid",char(34),":",char(34),Q2547,char(34),",",char(34),"site",char(34),":",char(34),LOWER('2-Building'!$B$4),char(34),",",char(34),"name",char(34),":",char(34),LOWER(C2547),char(34),"}}"))</f>
        <v>{"asset":{"guid":"uuid://c30755e4-43d3-4818-b858-e07829b06d95","site":"in-blr-ananta","name":"em-129"}}</v>
      </c>
      <c r="S2547" s="366" t="s">
        <v>8287</v>
      </c>
      <c r="T2547" s="330"/>
      <c r="U2547" s="330"/>
      <c r="V2547" s="331"/>
      <c r="W2547" s="332"/>
      <c r="X2547" s="333"/>
      <c r="Y2547" s="33" t="s">
        <v>8076</v>
      </c>
      <c r="Z2547" s="368"/>
      <c r="AA2547" s="333"/>
      <c r="AB2547" s="258">
        <v>2.0</v>
      </c>
      <c r="AC2547" s="333"/>
      <c r="AD2547" s="329"/>
      <c r="AE2547" s="331"/>
      <c r="AF2547" s="336"/>
      <c r="AG2547" s="337" t="str">
        <f>IFS(LEN(AF2547)=17,LOWER('2-Building'!$B$4 &amp; "-" &amp; C2547), AF2547="N/A", "N/A", LEN(AF2547)=0,"")</f>
        <v/>
      </c>
      <c r="AH2547" s="333"/>
      <c r="AI2547" s="333"/>
      <c r="AJ2547" s="333"/>
      <c r="AK2547" s="333"/>
      <c r="AL2547" s="333"/>
      <c r="AM2547" s="338"/>
      <c r="AN2547" s="333"/>
      <c r="AO2547" s="333"/>
      <c r="AP2547" s="333"/>
      <c r="AQ2547" s="333"/>
      <c r="AR2547" s="333"/>
      <c r="AS2547" s="333"/>
      <c r="AT2547" s="333"/>
      <c r="AU2547" s="329"/>
      <c r="AV2547" s="341"/>
      <c r="AW2547" s="269" t="s">
        <v>1327</v>
      </c>
      <c r="AX2547" s="269" t="s">
        <v>2869</v>
      </c>
      <c r="AY2547" s="270" t="s">
        <v>695</v>
      </c>
      <c r="AZ2547" s="173" t="s">
        <v>8288</v>
      </c>
      <c r="BA2547" s="265">
        <v>10.0</v>
      </c>
      <c r="BB2547" s="174" t="s">
        <v>245</v>
      </c>
      <c r="BC2547" s="341"/>
      <c r="BD2547" s="308" t="s">
        <v>1844</v>
      </c>
      <c r="BE2547" s="364"/>
      <c r="BF2547" s="274" t="str">
        <f>IFERROR(__xludf.DUMMYFUNCTION("LOWER(Regexreplace(to_text(E2547),""[^A-Za-z0-9]"","""")&amp;""_""&amp;Regexreplace(to_text(F2547),""[^A-Za-z0-9]"",""""))"),"schneider_pm2200")</f>
        <v>schneider_pm2200</v>
      </c>
      <c r="BG2547" s="275" t="str">
        <f>IFERROR(__xludf.DUMMYFUNCTION("upper(Regexreplace(to_text(E2547),""[^A-Za-z0-9]"","""")&amp;""-""&amp;Regexreplace(to_text(F2547),""[^A-Za-z0-9]"",""""))"),"SCHNEIDER-PM2200")</f>
        <v>SCHNEIDER-PM2200</v>
      </c>
    </row>
    <row r="2548" ht="30.0" customHeight="1">
      <c r="A2548" s="258">
        <v>2670.0</v>
      </c>
      <c r="B2548" s="328" t="s">
        <v>670</v>
      </c>
      <c r="C2548" s="257" t="s">
        <v>8339</v>
      </c>
      <c r="D2548" s="173" t="s">
        <v>8339</v>
      </c>
      <c r="E2548" s="174" t="s">
        <v>8070</v>
      </c>
      <c r="F2548" s="173" t="s">
        <v>8340</v>
      </c>
      <c r="G2548" s="328" t="s">
        <v>673</v>
      </c>
      <c r="H2548" s="328" t="s">
        <v>2863</v>
      </c>
      <c r="I2548" s="258" t="s">
        <v>8072</v>
      </c>
      <c r="J2548" s="259" t="s">
        <v>1333</v>
      </c>
      <c r="K2548" s="260" t="s">
        <v>8341</v>
      </c>
      <c r="L2548" s="365"/>
      <c r="M2548" s="329"/>
      <c r="N2548" s="173" t="s">
        <v>679</v>
      </c>
      <c r="O2548" s="173" t="s">
        <v>225</v>
      </c>
      <c r="P2548" s="262" t="str">
        <f t="shared" si="1"/>
        <v>IN-BLR-ANANTA-EM-130_9</v>
      </c>
      <c r="Q2548" s="173" t="s">
        <v>8342</v>
      </c>
      <c r="R2548" s="328" t="str">
        <f>IFS(C2548="","",C2548="n/a","N/A",LEN(C2548),Concatenate("{",char(34),"asset",char(34),":{",char(34),"guid",char(34),":",char(34),Q2548,char(34),",",char(34),"site",char(34),":",char(34),LOWER('2-Building'!$B$4),char(34),",",char(34),"name",char(34),":",char(34),LOWER(C2548),char(34),"}}"))</f>
        <v>{"asset":{"guid":"uuid://88c28ec7-46ec-484a-bb8a-6d2039843c92","site":"in-blr-ananta","name":"em-130"}}</v>
      </c>
      <c r="S2548" s="366" t="s">
        <v>8287</v>
      </c>
      <c r="T2548" s="330"/>
      <c r="U2548" s="330"/>
      <c r="V2548" s="331"/>
      <c r="W2548" s="332"/>
      <c r="X2548" s="333"/>
      <c r="Y2548" s="33" t="s">
        <v>8076</v>
      </c>
      <c r="Z2548" s="368"/>
      <c r="AA2548" s="333"/>
      <c r="AB2548" s="258">
        <v>12.0</v>
      </c>
      <c r="AC2548" s="333"/>
      <c r="AD2548" s="329"/>
      <c r="AE2548" s="331"/>
      <c r="AF2548" s="336"/>
      <c r="AG2548" s="337" t="str">
        <f>IFS(LEN(AF2548)=17,LOWER('2-Building'!$B$4 &amp; "-" &amp; C2548), AF2548="N/A", "N/A", LEN(AF2548)=0,"")</f>
        <v/>
      </c>
      <c r="AH2548" s="333"/>
      <c r="AI2548" s="333"/>
      <c r="AJ2548" s="333"/>
      <c r="AK2548" s="333"/>
      <c r="AL2548" s="333"/>
      <c r="AM2548" s="338"/>
      <c r="AN2548" s="333"/>
      <c r="AO2548" s="333"/>
      <c r="AP2548" s="333"/>
      <c r="AQ2548" s="333"/>
      <c r="AR2548" s="333"/>
      <c r="AS2548" s="333"/>
      <c r="AT2548" s="333"/>
      <c r="AU2548" s="329"/>
      <c r="AV2548" s="341"/>
      <c r="AW2548" s="269" t="s">
        <v>872</v>
      </c>
      <c r="AX2548" s="269" t="s">
        <v>2869</v>
      </c>
      <c r="AY2548" s="270" t="s">
        <v>695</v>
      </c>
      <c r="AZ2548" s="173" t="s">
        <v>8288</v>
      </c>
      <c r="BA2548" s="265"/>
      <c r="BB2548" s="174" t="s">
        <v>245</v>
      </c>
      <c r="BC2548" s="341"/>
      <c r="BD2548" s="308" t="s">
        <v>1844</v>
      </c>
      <c r="BE2548" s="364" t="s">
        <v>8034</v>
      </c>
      <c r="BF2548" s="274" t="str">
        <f>IFERROR(__xludf.DUMMYFUNCTION("LOWER(Regexreplace(to_text(E2548),""[^A-Za-z0-9]"","""")&amp;""_""&amp;Regexreplace(to_text(F2548),""[^A-Za-z0-9]"",""""))"),"schneider_iem3000")</f>
        <v>schneider_iem3000</v>
      </c>
      <c r="BG2548" s="275" t="str">
        <f>IFERROR(__xludf.DUMMYFUNCTION("upper(Regexreplace(to_text(E2548),""[^A-Za-z0-9]"","""")&amp;""-""&amp;Regexreplace(to_text(F2548),""[^A-Za-z0-9]"",""""))"),"SCHNEIDER-IEM3000")</f>
        <v>SCHNEIDER-IEM3000</v>
      </c>
    </row>
    <row r="2549" ht="30.0" customHeight="1">
      <c r="A2549" s="173">
        <v>2671.0</v>
      </c>
      <c r="B2549" s="328" t="s">
        <v>670</v>
      </c>
      <c r="C2549" s="257" t="s">
        <v>8343</v>
      </c>
      <c r="D2549" s="173" t="s">
        <v>8343</v>
      </c>
      <c r="E2549" s="174" t="s">
        <v>8070</v>
      </c>
      <c r="F2549" s="173" t="s">
        <v>8340</v>
      </c>
      <c r="G2549" s="328" t="s">
        <v>673</v>
      </c>
      <c r="H2549" s="328" t="s">
        <v>2863</v>
      </c>
      <c r="I2549" s="258" t="s">
        <v>8072</v>
      </c>
      <c r="J2549" s="259" t="s">
        <v>1333</v>
      </c>
      <c r="K2549" s="260" t="s">
        <v>8341</v>
      </c>
      <c r="L2549" s="365"/>
      <c r="M2549" s="329"/>
      <c r="N2549" s="173" t="s">
        <v>679</v>
      </c>
      <c r="O2549" s="173" t="s">
        <v>225</v>
      </c>
      <c r="P2549" s="262" t="str">
        <f t="shared" si="1"/>
        <v>IN-BLR-ANANTA-EM-131_9</v>
      </c>
      <c r="Q2549" s="173" t="s">
        <v>8344</v>
      </c>
      <c r="R2549" s="328" t="str">
        <f>IFS(C2549="","",C2549="n/a","N/A",LEN(C2549),Concatenate("{",char(34),"asset",char(34),":{",char(34),"guid",char(34),":",char(34),Q2549,char(34),",",char(34),"site",char(34),":",char(34),LOWER('2-Building'!$B$4),char(34),",",char(34),"name",char(34),":",char(34),LOWER(C2549),char(34),"}}"))</f>
        <v>{"asset":{"guid":"uuid://06b253d2-84e6-498d-9daa-2b0c89c47b51","site":"in-blr-ananta","name":"em-131"}}</v>
      </c>
      <c r="S2549" s="366" t="s">
        <v>8287</v>
      </c>
      <c r="T2549" s="330"/>
      <c r="U2549" s="330"/>
      <c r="V2549" s="331"/>
      <c r="W2549" s="332"/>
      <c r="X2549" s="333"/>
      <c r="Y2549" s="33" t="s">
        <v>8076</v>
      </c>
      <c r="Z2549" s="368"/>
      <c r="AA2549" s="333"/>
      <c r="AB2549" s="258">
        <v>13.0</v>
      </c>
      <c r="AC2549" s="333"/>
      <c r="AD2549" s="329"/>
      <c r="AE2549" s="331"/>
      <c r="AF2549" s="336"/>
      <c r="AG2549" s="337" t="str">
        <f>IFS(LEN(AF2549)=17,LOWER('2-Building'!$B$4 &amp; "-" &amp; C2549), AF2549="N/A", "N/A", LEN(AF2549)=0,"")</f>
        <v/>
      </c>
      <c r="AH2549" s="333"/>
      <c r="AI2549" s="333"/>
      <c r="AJ2549" s="333"/>
      <c r="AK2549" s="333"/>
      <c r="AL2549" s="333"/>
      <c r="AM2549" s="338"/>
      <c r="AN2549" s="333"/>
      <c r="AO2549" s="333"/>
      <c r="AP2549" s="333"/>
      <c r="AQ2549" s="333"/>
      <c r="AR2549" s="333"/>
      <c r="AS2549" s="333"/>
      <c r="AT2549" s="333"/>
      <c r="AU2549" s="329"/>
      <c r="AV2549" s="341"/>
      <c r="AW2549" s="269" t="s">
        <v>883</v>
      </c>
      <c r="AX2549" s="269" t="s">
        <v>2869</v>
      </c>
      <c r="AY2549" s="270" t="s">
        <v>695</v>
      </c>
      <c r="AZ2549" s="173" t="s">
        <v>8288</v>
      </c>
      <c r="BA2549" s="265"/>
      <c r="BB2549" s="174" t="s">
        <v>245</v>
      </c>
      <c r="BC2549" s="341"/>
      <c r="BD2549" s="308" t="s">
        <v>1844</v>
      </c>
      <c r="BE2549" s="364" t="s">
        <v>8034</v>
      </c>
      <c r="BF2549" s="274" t="str">
        <f>IFERROR(__xludf.DUMMYFUNCTION("LOWER(Regexreplace(to_text(E2549),""[^A-Za-z0-9]"","""")&amp;""_""&amp;Regexreplace(to_text(F2549),""[^A-Za-z0-9]"",""""))"),"schneider_iem3000")</f>
        <v>schneider_iem3000</v>
      </c>
      <c r="BG2549" s="275" t="str">
        <f>IFERROR(__xludf.DUMMYFUNCTION("upper(Regexreplace(to_text(E2549),""[^A-Za-z0-9]"","""")&amp;""-""&amp;Regexreplace(to_text(F2549),""[^A-Za-z0-9]"",""""))"),"SCHNEIDER-IEM3000")</f>
        <v>SCHNEIDER-IEM3000</v>
      </c>
    </row>
    <row r="2550" ht="30.0" customHeight="1">
      <c r="A2550" s="258">
        <v>2672.0</v>
      </c>
      <c r="B2550" s="328" t="s">
        <v>670</v>
      </c>
      <c r="C2550" s="257" t="s">
        <v>8345</v>
      </c>
      <c r="D2550" s="173" t="s">
        <v>8345</v>
      </c>
      <c r="E2550" s="174" t="s">
        <v>8070</v>
      </c>
      <c r="F2550" s="173" t="s">
        <v>8340</v>
      </c>
      <c r="G2550" s="328" t="s">
        <v>673</v>
      </c>
      <c r="H2550" s="328" t="s">
        <v>2863</v>
      </c>
      <c r="I2550" s="258" t="s">
        <v>8072</v>
      </c>
      <c r="J2550" s="259" t="s">
        <v>1333</v>
      </c>
      <c r="K2550" s="260" t="s">
        <v>8346</v>
      </c>
      <c r="L2550" s="365"/>
      <c r="M2550" s="329"/>
      <c r="N2550" s="173" t="s">
        <v>679</v>
      </c>
      <c r="O2550" s="173" t="s">
        <v>225</v>
      </c>
      <c r="P2550" s="262" t="str">
        <f t="shared" si="1"/>
        <v>IN-BLR-ANANTA-EM-132_9</v>
      </c>
      <c r="Q2550" s="173" t="s">
        <v>8347</v>
      </c>
      <c r="R2550" s="328" t="str">
        <f>IFS(C2550="","",C2550="n/a","N/A",LEN(C2550),Concatenate("{",char(34),"asset",char(34),":{",char(34),"guid",char(34),":",char(34),Q2550,char(34),",",char(34),"site",char(34),":",char(34),LOWER('2-Building'!$B$4),char(34),",",char(34),"name",char(34),":",char(34),LOWER(C2550),char(34),"}}"))</f>
        <v>{"asset":{"guid":"uuid://dbe8d875-3d5e-45dc-8e31-9c3dfa9a1eec","site":"in-blr-ananta","name":"em-132"}}</v>
      </c>
      <c r="S2550" s="366" t="s">
        <v>8287</v>
      </c>
      <c r="T2550" s="330"/>
      <c r="U2550" s="330"/>
      <c r="V2550" s="331"/>
      <c r="W2550" s="332"/>
      <c r="X2550" s="333"/>
      <c r="Y2550" s="33" t="s">
        <v>8076</v>
      </c>
      <c r="Z2550" s="368"/>
      <c r="AA2550" s="333"/>
      <c r="AB2550" s="258">
        <v>14.0</v>
      </c>
      <c r="AC2550" s="333"/>
      <c r="AD2550" s="329"/>
      <c r="AE2550" s="331"/>
      <c r="AF2550" s="336"/>
      <c r="AG2550" s="337" t="str">
        <f>IFS(LEN(AF2550)=17,LOWER('2-Building'!$B$4 &amp; "-" &amp; C2550), AF2550="N/A", "N/A", LEN(AF2550)=0,"")</f>
        <v/>
      </c>
      <c r="AH2550" s="333"/>
      <c r="AI2550" s="333"/>
      <c r="AJ2550" s="333"/>
      <c r="AK2550" s="333"/>
      <c r="AL2550" s="333"/>
      <c r="AM2550" s="338"/>
      <c r="AN2550" s="333"/>
      <c r="AO2550" s="333"/>
      <c r="AP2550" s="333"/>
      <c r="AQ2550" s="333"/>
      <c r="AR2550" s="333"/>
      <c r="AS2550" s="333"/>
      <c r="AT2550" s="333"/>
      <c r="AU2550" s="329"/>
      <c r="AV2550" s="341"/>
      <c r="AW2550" s="269" t="s">
        <v>894</v>
      </c>
      <c r="AX2550" s="269" t="s">
        <v>2869</v>
      </c>
      <c r="AY2550" s="270" t="s">
        <v>695</v>
      </c>
      <c r="AZ2550" s="173" t="s">
        <v>8288</v>
      </c>
      <c r="BA2550" s="265"/>
      <c r="BB2550" s="174" t="s">
        <v>245</v>
      </c>
      <c r="BC2550" s="341"/>
      <c r="BD2550" s="308" t="s">
        <v>1844</v>
      </c>
      <c r="BE2550" s="364" t="s">
        <v>8034</v>
      </c>
      <c r="BF2550" s="274" t="str">
        <f>IFERROR(__xludf.DUMMYFUNCTION("LOWER(Regexreplace(to_text(E2550),""[^A-Za-z0-9]"","""")&amp;""_""&amp;Regexreplace(to_text(F2550),""[^A-Za-z0-9]"",""""))"),"schneider_iem3000")</f>
        <v>schneider_iem3000</v>
      </c>
      <c r="BG2550" s="275" t="str">
        <f>IFERROR(__xludf.DUMMYFUNCTION("upper(Regexreplace(to_text(E2550),""[^A-Za-z0-9]"","""")&amp;""-""&amp;Regexreplace(to_text(F2550),""[^A-Za-z0-9]"",""""))"),"SCHNEIDER-IEM3000")</f>
        <v>SCHNEIDER-IEM3000</v>
      </c>
    </row>
    <row r="2551" ht="30.0" customHeight="1">
      <c r="A2551" s="173">
        <v>2673.0</v>
      </c>
      <c r="B2551" s="328" t="s">
        <v>670</v>
      </c>
      <c r="C2551" s="257" t="s">
        <v>8348</v>
      </c>
      <c r="D2551" s="173" t="s">
        <v>8348</v>
      </c>
      <c r="E2551" s="174" t="s">
        <v>8070</v>
      </c>
      <c r="F2551" s="173" t="s">
        <v>8340</v>
      </c>
      <c r="G2551" s="328" t="s">
        <v>673</v>
      </c>
      <c r="H2551" s="328" t="s">
        <v>2863</v>
      </c>
      <c r="I2551" s="258" t="s">
        <v>8072</v>
      </c>
      <c r="J2551" s="259" t="s">
        <v>1333</v>
      </c>
      <c r="K2551" s="260" t="s">
        <v>8346</v>
      </c>
      <c r="L2551" s="365"/>
      <c r="M2551" s="329"/>
      <c r="N2551" s="173" t="s">
        <v>679</v>
      </c>
      <c r="O2551" s="173" t="s">
        <v>225</v>
      </c>
      <c r="P2551" s="262" t="str">
        <f t="shared" si="1"/>
        <v>IN-BLR-ANANTA-EM-133_9</v>
      </c>
      <c r="Q2551" s="173" t="s">
        <v>8349</v>
      </c>
      <c r="R2551" s="328" t="str">
        <f>IFS(C2551="","",C2551="n/a","N/A",LEN(C2551),Concatenate("{",char(34),"asset",char(34),":{",char(34),"guid",char(34),":",char(34),Q2551,char(34),",",char(34),"site",char(34),":",char(34),LOWER('2-Building'!$B$4),char(34),",",char(34),"name",char(34),":",char(34),LOWER(C2551),char(34),"}}"))</f>
        <v>{"asset":{"guid":"uuid://72486a5d-dbff-4a07-811a-8408e1976ccf","site":"in-blr-ananta","name":"em-133"}}</v>
      </c>
      <c r="S2551" s="366" t="s">
        <v>8287</v>
      </c>
      <c r="T2551" s="330"/>
      <c r="U2551" s="330"/>
      <c r="V2551" s="331"/>
      <c r="W2551" s="332"/>
      <c r="X2551" s="333"/>
      <c r="Y2551" s="33" t="s">
        <v>8076</v>
      </c>
      <c r="Z2551" s="368"/>
      <c r="AA2551" s="333"/>
      <c r="AB2551" s="258">
        <v>15.0</v>
      </c>
      <c r="AC2551" s="333"/>
      <c r="AD2551" s="329"/>
      <c r="AE2551" s="331"/>
      <c r="AF2551" s="336"/>
      <c r="AG2551" s="337" t="str">
        <f>IFS(LEN(AF2551)=17,LOWER('2-Building'!$B$4 &amp; "-" &amp; C2551), AF2551="N/A", "N/A", LEN(AF2551)=0,"")</f>
        <v/>
      </c>
      <c r="AH2551" s="333"/>
      <c r="AI2551" s="333"/>
      <c r="AJ2551" s="333"/>
      <c r="AK2551" s="333"/>
      <c r="AL2551" s="333"/>
      <c r="AM2551" s="338"/>
      <c r="AN2551" s="333"/>
      <c r="AO2551" s="333"/>
      <c r="AP2551" s="333"/>
      <c r="AQ2551" s="333"/>
      <c r="AR2551" s="333"/>
      <c r="AS2551" s="333"/>
      <c r="AT2551" s="333"/>
      <c r="AU2551" s="329"/>
      <c r="AV2551" s="341"/>
      <c r="AW2551" s="269" t="s">
        <v>1997</v>
      </c>
      <c r="AX2551" s="269" t="s">
        <v>2869</v>
      </c>
      <c r="AY2551" s="270" t="s">
        <v>695</v>
      </c>
      <c r="AZ2551" s="173" t="s">
        <v>8288</v>
      </c>
      <c r="BA2551" s="265"/>
      <c r="BB2551" s="174" t="s">
        <v>245</v>
      </c>
      <c r="BC2551" s="341"/>
      <c r="BD2551" s="308" t="s">
        <v>1844</v>
      </c>
      <c r="BE2551" s="364" t="s">
        <v>8034</v>
      </c>
      <c r="BF2551" s="274" t="str">
        <f>IFERROR(__xludf.DUMMYFUNCTION("LOWER(Regexreplace(to_text(E2551),""[^A-Za-z0-9]"","""")&amp;""_""&amp;Regexreplace(to_text(F2551),""[^A-Za-z0-9]"",""""))"),"schneider_iem3000")</f>
        <v>schneider_iem3000</v>
      </c>
      <c r="BG2551" s="275" t="str">
        <f>IFERROR(__xludf.DUMMYFUNCTION("upper(Regexreplace(to_text(E2551),""[^A-Za-z0-9]"","""")&amp;""-""&amp;Regexreplace(to_text(F2551),""[^A-Za-z0-9]"",""""))"),"SCHNEIDER-IEM3000")</f>
        <v>SCHNEIDER-IEM3000</v>
      </c>
    </row>
    <row r="2552" ht="30.0" customHeight="1">
      <c r="A2552" s="258">
        <v>2674.0</v>
      </c>
      <c r="B2552" s="328" t="s">
        <v>670</v>
      </c>
      <c r="C2552" s="257" t="s">
        <v>8350</v>
      </c>
      <c r="D2552" s="173" t="s">
        <v>8350</v>
      </c>
      <c r="E2552" s="174" t="s">
        <v>8070</v>
      </c>
      <c r="F2552" s="173" t="s">
        <v>8340</v>
      </c>
      <c r="G2552" s="328" t="s">
        <v>673</v>
      </c>
      <c r="H2552" s="328" t="s">
        <v>2863</v>
      </c>
      <c r="I2552" s="258" t="s">
        <v>8072</v>
      </c>
      <c r="J2552" s="259" t="s">
        <v>739</v>
      </c>
      <c r="K2552" s="260" t="s">
        <v>8351</v>
      </c>
      <c r="L2552" s="365"/>
      <c r="M2552" s="329"/>
      <c r="N2552" s="173" t="s">
        <v>679</v>
      </c>
      <c r="O2552" s="173" t="s">
        <v>225</v>
      </c>
      <c r="P2552" s="262" t="str">
        <f t="shared" si="1"/>
        <v>IN-BLR-ANANTA-EM-134_G</v>
      </c>
      <c r="Q2552" s="173" t="s">
        <v>8352</v>
      </c>
      <c r="R2552" s="328" t="str">
        <f>IFS(C2552="","",C2552="n/a","N/A",LEN(C2552),Concatenate("{",char(34),"asset",char(34),":{",char(34),"guid",char(34),":",char(34),Q2552,char(34),",",char(34),"site",char(34),":",char(34),LOWER('2-Building'!$B$4),char(34),",",char(34),"name",char(34),":",char(34),LOWER(C2552),char(34),"}}"))</f>
        <v>{"asset":{"guid":"uuid://6bdff10c-04b8-4e1e-b4e8-d1c1a8e1177e","site":"in-blr-ananta","name":"em-134"}}</v>
      </c>
      <c r="S2552" s="366" t="s">
        <v>8075</v>
      </c>
      <c r="T2552" s="330"/>
      <c r="U2552" s="330"/>
      <c r="V2552" s="331"/>
      <c r="W2552" s="332"/>
      <c r="X2552" s="333"/>
      <c r="Y2552" s="33" t="s">
        <v>8076</v>
      </c>
      <c r="Z2552" s="368"/>
      <c r="AA2552" s="333"/>
      <c r="AB2552" s="258">
        <v>11.0</v>
      </c>
      <c r="AC2552" s="333"/>
      <c r="AD2552" s="329"/>
      <c r="AE2552" s="331"/>
      <c r="AF2552" s="336"/>
      <c r="AG2552" s="337" t="str">
        <f>IFS(LEN(AF2552)=17,LOWER('2-Building'!$B$4 &amp; "-" &amp; C2552), AF2552="N/A", "N/A", LEN(AF2552)=0,"")</f>
        <v/>
      </c>
      <c r="AH2552" s="333"/>
      <c r="AI2552" s="333"/>
      <c r="AJ2552" s="333"/>
      <c r="AK2552" s="333"/>
      <c r="AL2552" s="333"/>
      <c r="AM2552" s="338"/>
      <c r="AN2552" s="333"/>
      <c r="AO2552" s="333"/>
      <c r="AP2552" s="333"/>
      <c r="AQ2552" s="333"/>
      <c r="AR2552" s="333"/>
      <c r="AS2552" s="333"/>
      <c r="AT2552" s="333"/>
      <c r="AU2552" s="329"/>
      <c r="AV2552" s="341"/>
      <c r="AW2552" s="269" t="s">
        <v>1921</v>
      </c>
      <c r="AX2552" s="269" t="s">
        <v>2869</v>
      </c>
      <c r="AY2552" s="270" t="s">
        <v>695</v>
      </c>
      <c r="AZ2552" s="173" t="s">
        <v>8075</v>
      </c>
      <c r="BA2552" s="265">
        <v>10.0</v>
      </c>
      <c r="BB2552" s="174" t="s">
        <v>245</v>
      </c>
      <c r="BC2552" s="341"/>
      <c r="BD2552" s="308" t="s">
        <v>1844</v>
      </c>
      <c r="BE2552" s="364" t="s">
        <v>8034</v>
      </c>
      <c r="BF2552" s="274" t="str">
        <f>IFERROR(__xludf.DUMMYFUNCTION("LOWER(Regexreplace(to_text(E2552),""[^A-Za-z0-9]"","""")&amp;""_""&amp;Regexreplace(to_text(F2552),""[^A-Za-z0-9]"",""""))"),"schneider_iem3000")</f>
        <v>schneider_iem3000</v>
      </c>
      <c r="BG2552" s="275" t="str">
        <f>IFERROR(__xludf.DUMMYFUNCTION("upper(Regexreplace(to_text(E2552),""[^A-Za-z0-9]"","""")&amp;""-""&amp;Regexreplace(to_text(F2552),""[^A-Za-z0-9]"",""""))"),"SCHNEIDER-IEM3000")</f>
        <v>SCHNEIDER-IEM3000</v>
      </c>
    </row>
    <row r="2553" ht="30.0" customHeight="1">
      <c r="A2553" s="173">
        <v>2675.0</v>
      </c>
      <c r="B2553" s="328" t="s">
        <v>670</v>
      </c>
      <c r="C2553" s="257" t="s">
        <v>8353</v>
      </c>
      <c r="D2553" s="173" t="s">
        <v>8353</v>
      </c>
      <c r="E2553" s="174" t="s">
        <v>8070</v>
      </c>
      <c r="F2553" s="173" t="s">
        <v>8340</v>
      </c>
      <c r="G2553" s="328" t="s">
        <v>673</v>
      </c>
      <c r="H2553" s="328" t="s">
        <v>2863</v>
      </c>
      <c r="I2553" s="258" t="s">
        <v>8072</v>
      </c>
      <c r="J2553" s="259" t="s">
        <v>739</v>
      </c>
      <c r="K2553" s="260" t="s">
        <v>8351</v>
      </c>
      <c r="L2553" s="365"/>
      <c r="M2553" s="329"/>
      <c r="N2553" s="173" t="s">
        <v>679</v>
      </c>
      <c r="O2553" s="173" t="s">
        <v>225</v>
      </c>
      <c r="P2553" s="262" t="str">
        <f t="shared" si="1"/>
        <v>IN-BLR-ANANTA-EM-135_G</v>
      </c>
      <c r="Q2553" s="173" t="s">
        <v>8354</v>
      </c>
      <c r="R2553" s="328" t="str">
        <f>IFS(C2553="","",C2553="n/a","N/A",LEN(C2553),Concatenate("{",char(34),"asset",char(34),":{",char(34),"guid",char(34),":",char(34),Q2553,char(34),",",char(34),"site",char(34),":",char(34),LOWER('2-Building'!$B$4),char(34),",",char(34),"name",char(34),":",char(34),LOWER(C2553),char(34),"}}"))</f>
        <v>{"asset":{"guid":"uuid://0d84611a-ac77-479f-8a9a-341ffaf1b6e5","site":"in-blr-ananta","name":"em-135"}}</v>
      </c>
      <c r="S2553" s="366" t="s">
        <v>8075</v>
      </c>
      <c r="T2553" s="330"/>
      <c r="U2553" s="330"/>
      <c r="V2553" s="331"/>
      <c r="W2553" s="332"/>
      <c r="X2553" s="333"/>
      <c r="Y2553" s="33" t="s">
        <v>8076</v>
      </c>
      <c r="Z2553" s="368"/>
      <c r="AA2553" s="333"/>
      <c r="AB2553" s="258">
        <v>12.0</v>
      </c>
      <c r="AC2553" s="333"/>
      <c r="AD2553" s="329"/>
      <c r="AE2553" s="331"/>
      <c r="AF2553" s="336"/>
      <c r="AG2553" s="337" t="str">
        <f>IFS(LEN(AF2553)=17,LOWER('2-Building'!$B$4 &amp; "-" &amp; C2553), AF2553="N/A", "N/A", LEN(AF2553)=0,"")</f>
        <v/>
      </c>
      <c r="AH2553" s="333"/>
      <c r="AI2553" s="333"/>
      <c r="AJ2553" s="333"/>
      <c r="AK2553" s="333"/>
      <c r="AL2553" s="333"/>
      <c r="AM2553" s="338"/>
      <c r="AN2553" s="333"/>
      <c r="AO2553" s="333"/>
      <c r="AP2553" s="333"/>
      <c r="AQ2553" s="333"/>
      <c r="AR2553" s="333"/>
      <c r="AS2553" s="333"/>
      <c r="AT2553" s="333"/>
      <c r="AU2553" s="329"/>
      <c r="AV2553" s="341"/>
      <c r="AW2553" s="269" t="s">
        <v>1921</v>
      </c>
      <c r="AX2553" s="269" t="s">
        <v>2869</v>
      </c>
      <c r="AY2553" s="270" t="s">
        <v>695</v>
      </c>
      <c r="AZ2553" s="173" t="s">
        <v>8075</v>
      </c>
      <c r="BA2553" s="265">
        <v>10.0</v>
      </c>
      <c r="BB2553" s="174" t="s">
        <v>245</v>
      </c>
      <c r="BC2553" s="341"/>
      <c r="BD2553" s="308" t="s">
        <v>1844</v>
      </c>
      <c r="BE2553" s="364" t="s">
        <v>8034</v>
      </c>
      <c r="BF2553" s="274" t="str">
        <f>IFERROR(__xludf.DUMMYFUNCTION("LOWER(Regexreplace(to_text(E2553),""[^A-Za-z0-9]"","""")&amp;""_""&amp;Regexreplace(to_text(F2553),""[^A-Za-z0-9]"",""""))"),"schneider_iem3000")</f>
        <v>schneider_iem3000</v>
      </c>
      <c r="BG2553" s="275" t="str">
        <f>IFERROR(__xludf.DUMMYFUNCTION("upper(Regexreplace(to_text(E2553),""[^A-Za-z0-9]"","""")&amp;""-""&amp;Regexreplace(to_text(F2553),""[^A-Za-z0-9]"",""""))"),"SCHNEIDER-IEM3000")</f>
        <v>SCHNEIDER-IEM3000</v>
      </c>
    </row>
    <row r="2554" ht="30.0" customHeight="1">
      <c r="A2554" s="258">
        <v>2676.0</v>
      </c>
      <c r="B2554" s="328" t="s">
        <v>670</v>
      </c>
      <c r="C2554" s="257" t="s">
        <v>8355</v>
      </c>
      <c r="D2554" s="173" t="s">
        <v>8355</v>
      </c>
      <c r="E2554" s="174" t="s">
        <v>8070</v>
      </c>
      <c r="F2554" s="173" t="s">
        <v>8340</v>
      </c>
      <c r="G2554" s="328" t="s">
        <v>673</v>
      </c>
      <c r="H2554" s="328" t="s">
        <v>2863</v>
      </c>
      <c r="I2554" s="258" t="s">
        <v>8072</v>
      </c>
      <c r="J2554" s="259" t="s">
        <v>739</v>
      </c>
      <c r="K2554" s="260" t="s">
        <v>8356</v>
      </c>
      <c r="L2554" s="365"/>
      <c r="M2554" s="329"/>
      <c r="N2554" s="173" t="s">
        <v>679</v>
      </c>
      <c r="O2554" s="173" t="s">
        <v>225</v>
      </c>
      <c r="P2554" s="262" t="str">
        <f t="shared" si="1"/>
        <v>IN-BLR-ANANTA-EM-136_G</v>
      </c>
      <c r="Q2554" s="173" t="s">
        <v>8357</v>
      </c>
      <c r="R2554" s="328" t="str">
        <f>IFS(C2554="","",C2554="n/a","N/A",LEN(C2554),Concatenate("{",char(34),"asset",char(34),":{",char(34),"guid",char(34),":",char(34),Q2554,char(34),",",char(34),"site",char(34),":",char(34),LOWER('2-Building'!$B$4),char(34),",",char(34),"name",char(34),":",char(34),LOWER(C2554),char(34),"}}"))</f>
        <v>{"asset":{"guid":"uuid://d44e9071-f677-4c68-9563-13a156adbee9","site":"in-blr-ananta","name":"em-136"}}</v>
      </c>
      <c r="S2554" s="366" t="s">
        <v>8075</v>
      </c>
      <c r="T2554" s="330"/>
      <c r="U2554" s="330"/>
      <c r="V2554" s="331"/>
      <c r="W2554" s="332"/>
      <c r="X2554" s="333"/>
      <c r="Y2554" s="33" t="s">
        <v>8076</v>
      </c>
      <c r="Z2554" s="368"/>
      <c r="AA2554" s="333"/>
      <c r="AB2554" s="258">
        <v>13.0</v>
      </c>
      <c r="AC2554" s="333"/>
      <c r="AD2554" s="329"/>
      <c r="AE2554" s="331"/>
      <c r="AF2554" s="336"/>
      <c r="AG2554" s="337" t="str">
        <f>IFS(LEN(AF2554)=17,LOWER('2-Building'!$B$4 &amp; "-" &amp; C2554), AF2554="N/A", "N/A", LEN(AF2554)=0,"")</f>
        <v/>
      </c>
      <c r="AH2554" s="333"/>
      <c r="AI2554" s="333"/>
      <c r="AJ2554" s="333"/>
      <c r="AK2554" s="333"/>
      <c r="AL2554" s="333"/>
      <c r="AM2554" s="338"/>
      <c r="AN2554" s="333"/>
      <c r="AO2554" s="333"/>
      <c r="AP2554" s="333"/>
      <c r="AQ2554" s="333"/>
      <c r="AR2554" s="333"/>
      <c r="AS2554" s="333"/>
      <c r="AT2554" s="333"/>
      <c r="AU2554" s="329"/>
      <c r="AV2554" s="341"/>
      <c r="AW2554" s="269" t="s">
        <v>1572</v>
      </c>
      <c r="AX2554" s="269" t="s">
        <v>2869</v>
      </c>
      <c r="AY2554" s="270" t="s">
        <v>695</v>
      </c>
      <c r="AZ2554" s="173" t="s">
        <v>8075</v>
      </c>
      <c r="BA2554" s="265">
        <v>10.0</v>
      </c>
      <c r="BB2554" s="174" t="s">
        <v>245</v>
      </c>
      <c r="BC2554" s="341"/>
      <c r="BD2554" s="308" t="s">
        <v>1844</v>
      </c>
      <c r="BE2554" s="364" t="s">
        <v>8034</v>
      </c>
      <c r="BF2554" s="274" t="str">
        <f>IFERROR(__xludf.DUMMYFUNCTION("LOWER(Regexreplace(to_text(E2554),""[^A-Za-z0-9]"","""")&amp;""_""&amp;Regexreplace(to_text(F2554),""[^A-Za-z0-9]"",""""))"),"schneider_iem3000")</f>
        <v>schneider_iem3000</v>
      </c>
      <c r="BG2554" s="275" t="str">
        <f>IFERROR(__xludf.DUMMYFUNCTION("upper(Regexreplace(to_text(E2554),""[^A-Za-z0-9]"","""")&amp;""-""&amp;Regexreplace(to_text(F2554),""[^A-Za-z0-9]"",""""))"),"SCHNEIDER-IEM3000")</f>
        <v>SCHNEIDER-IEM3000</v>
      </c>
    </row>
    <row r="2555" ht="30.0" customHeight="1">
      <c r="A2555" s="173">
        <v>2677.0</v>
      </c>
      <c r="B2555" s="328" t="s">
        <v>670</v>
      </c>
      <c r="C2555" s="257" t="s">
        <v>8358</v>
      </c>
      <c r="D2555" s="173" t="s">
        <v>8358</v>
      </c>
      <c r="E2555" s="174" t="s">
        <v>8070</v>
      </c>
      <c r="F2555" s="173" t="s">
        <v>8340</v>
      </c>
      <c r="G2555" s="328" t="s">
        <v>673</v>
      </c>
      <c r="H2555" s="328" t="s">
        <v>2863</v>
      </c>
      <c r="I2555" s="258" t="s">
        <v>8072</v>
      </c>
      <c r="J2555" s="259" t="s">
        <v>739</v>
      </c>
      <c r="K2555" s="260" t="s">
        <v>8356</v>
      </c>
      <c r="L2555" s="365"/>
      <c r="M2555" s="329"/>
      <c r="N2555" s="173" t="s">
        <v>679</v>
      </c>
      <c r="O2555" s="173" t="s">
        <v>225</v>
      </c>
      <c r="P2555" s="262" t="str">
        <f t="shared" si="1"/>
        <v>IN-BLR-ANANTA-EM-137_G</v>
      </c>
      <c r="Q2555" s="173" t="s">
        <v>8359</v>
      </c>
      <c r="R2555" s="328" t="str">
        <f>IFS(C2555="","",C2555="n/a","N/A",LEN(C2555),Concatenate("{",char(34),"asset",char(34),":{",char(34),"guid",char(34),":",char(34),Q2555,char(34),",",char(34),"site",char(34),":",char(34),LOWER('2-Building'!$B$4),char(34),",",char(34),"name",char(34),":",char(34),LOWER(C2555),char(34),"}}"))</f>
        <v>{"asset":{"guid":"uuid://88b42b49-eca8-4646-a4b4-0cc7a64e8f69","site":"in-blr-ananta","name":"em-137"}}</v>
      </c>
      <c r="S2555" s="366" t="s">
        <v>8075</v>
      </c>
      <c r="T2555" s="330"/>
      <c r="U2555" s="330"/>
      <c r="V2555" s="331"/>
      <c r="W2555" s="332"/>
      <c r="X2555" s="333"/>
      <c r="Y2555" s="33" t="s">
        <v>8076</v>
      </c>
      <c r="Z2555" s="368"/>
      <c r="AA2555" s="333"/>
      <c r="AB2555" s="258">
        <v>14.0</v>
      </c>
      <c r="AC2555" s="333"/>
      <c r="AD2555" s="329"/>
      <c r="AE2555" s="331"/>
      <c r="AF2555" s="336"/>
      <c r="AG2555" s="337" t="str">
        <f>IFS(LEN(AF2555)=17,LOWER('2-Building'!$B$4 &amp; "-" &amp; C2555), AF2555="N/A", "N/A", LEN(AF2555)=0,"")</f>
        <v/>
      </c>
      <c r="AH2555" s="333"/>
      <c r="AI2555" s="333"/>
      <c r="AJ2555" s="333"/>
      <c r="AK2555" s="333"/>
      <c r="AL2555" s="333"/>
      <c r="AM2555" s="338"/>
      <c r="AN2555" s="333"/>
      <c r="AO2555" s="333"/>
      <c r="AP2555" s="333"/>
      <c r="AQ2555" s="333"/>
      <c r="AR2555" s="333"/>
      <c r="AS2555" s="333"/>
      <c r="AT2555" s="333"/>
      <c r="AU2555" s="329"/>
      <c r="AV2555" s="341"/>
      <c r="AW2555" s="269" t="s">
        <v>1572</v>
      </c>
      <c r="AX2555" s="269" t="s">
        <v>2869</v>
      </c>
      <c r="AY2555" s="270" t="s">
        <v>695</v>
      </c>
      <c r="AZ2555" s="173" t="s">
        <v>8075</v>
      </c>
      <c r="BA2555" s="265">
        <v>10.0</v>
      </c>
      <c r="BB2555" s="174" t="s">
        <v>245</v>
      </c>
      <c r="BC2555" s="341"/>
      <c r="BD2555" s="308" t="s">
        <v>1844</v>
      </c>
      <c r="BE2555" s="364" t="s">
        <v>8034</v>
      </c>
      <c r="BF2555" s="274" t="str">
        <f>IFERROR(__xludf.DUMMYFUNCTION("LOWER(Regexreplace(to_text(E2555),""[^A-Za-z0-9]"","""")&amp;""_""&amp;Regexreplace(to_text(F2555),""[^A-Za-z0-9]"",""""))"),"schneider_iem3000")</f>
        <v>schneider_iem3000</v>
      </c>
      <c r="BG2555" s="275" t="str">
        <f>IFERROR(__xludf.DUMMYFUNCTION("upper(Regexreplace(to_text(E2555),""[^A-Za-z0-9]"","""")&amp;""-""&amp;Regexreplace(to_text(F2555),""[^A-Za-z0-9]"",""""))"),"SCHNEIDER-IEM3000")</f>
        <v>SCHNEIDER-IEM3000</v>
      </c>
    </row>
    <row r="2556" ht="30.0" customHeight="1">
      <c r="A2556" s="280"/>
      <c r="B2556" s="296" t="s">
        <v>670</v>
      </c>
      <c r="C2556" s="257" t="s">
        <v>8360</v>
      </c>
      <c r="D2556" s="173" t="s">
        <v>8360</v>
      </c>
      <c r="E2556" s="174" t="s">
        <v>8070</v>
      </c>
      <c r="F2556" s="173" t="s">
        <v>8340</v>
      </c>
      <c r="G2556" s="328" t="s">
        <v>673</v>
      </c>
      <c r="H2556" s="296" t="s">
        <v>2863</v>
      </c>
      <c r="I2556" s="258" t="s">
        <v>8072</v>
      </c>
      <c r="J2556" s="259" t="s">
        <v>727</v>
      </c>
      <c r="K2556" s="260" t="s">
        <v>8073</v>
      </c>
      <c r="L2556" s="369"/>
      <c r="M2556" s="370"/>
      <c r="N2556" s="173" t="s">
        <v>679</v>
      </c>
      <c r="O2556" s="173" t="s">
        <v>225</v>
      </c>
      <c r="P2556" s="262" t="str">
        <f t="shared" si="1"/>
        <v>IN-BLR-ANANTA-EM-138_B1</v>
      </c>
      <c r="Q2556" s="173" t="s">
        <v>8361</v>
      </c>
      <c r="R2556" s="328" t="str">
        <f>IFS(C2556="","",C2556="n/a","N/A",LEN(C2556),Concatenate("{",char(34),"asset",char(34),":{",char(34),"guid",char(34),":",char(34),Q2556,char(34),",",char(34),"site",char(34),":",char(34),LOWER('2-Building'!$B$4),char(34),",",char(34),"name",char(34),":",char(34),LOWER(C2556),char(34),"}}"))</f>
        <v>{"asset":{"guid":"uuid://aa7d6a6f-145d-4af9-89da-f2b8c8e71d89","site":"in-blr-ananta","name":"em-138"}}</v>
      </c>
      <c r="S2556" s="366" t="s">
        <v>8075</v>
      </c>
      <c r="T2556" s="371"/>
      <c r="U2556" s="371"/>
      <c r="V2556" s="372"/>
      <c r="W2556" s="373"/>
      <c r="X2556" s="374"/>
      <c r="Y2556" s="33" t="s">
        <v>8076</v>
      </c>
      <c r="Z2556" s="305"/>
      <c r="AA2556" s="374"/>
      <c r="AB2556" s="258">
        <v>7.0</v>
      </c>
      <c r="AC2556" s="374"/>
      <c r="AD2556" s="370"/>
      <c r="AE2556" s="372"/>
      <c r="AF2556" s="375"/>
      <c r="AG2556" s="374"/>
      <c r="AH2556" s="374"/>
      <c r="AI2556" s="374"/>
      <c r="AJ2556" s="374"/>
      <c r="AK2556" s="374"/>
      <c r="AL2556" s="374"/>
      <c r="AM2556" s="374"/>
      <c r="AN2556" s="374"/>
      <c r="AO2556" s="374"/>
      <c r="AP2556" s="374"/>
      <c r="AQ2556" s="374"/>
      <c r="AR2556" s="374"/>
      <c r="AS2556" s="374"/>
      <c r="AT2556" s="374"/>
      <c r="AU2556" s="370"/>
      <c r="AV2556" s="376"/>
      <c r="AW2556" s="269" t="s">
        <v>1890</v>
      </c>
      <c r="AX2556" s="269" t="s">
        <v>2869</v>
      </c>
      <c r="AY2556" s="270" t="s">
        <v>695</v>
      </c>
      <c r="AZ2556" s="173"/>
      <c r="BA2556" s="265"/>
      <c r="BB2556" s="174" t="s">
        <v>245</v>
      </c>
      <c r="BC2556" s="376"/>
      <c r="BD2556" s="308" t="s">
        <v>1844</v>
      </c>
      <c r="BE2556" s="377"/>
      <c r="BF2556" s="274" t="str">
        <f>IFERROR(__xludf.DUMMYFUNCTION("LOWER(Regexreplace(to_text(E2556),""[^A-Za-z0-9]"","""")&amp;""_""&amp;Regexreplace(to_text(F2556),""[^A-Za-z0-9]"",""""))"),"schneider_iem3000")</f>
        <v>schneider_iem3000</v>
      </c>
      <c r="BG2556" s="275" t="str">
        <f>IFERROR(__xludf.DUMMYFUNCTION("upper(Regexreplace(to_text(E2556),""[^A-Za-z0-9]"","""")&amp;""-""&amp;Regexreplace(to_text(F2556),""[^A-Za-z0-9]"",""""))"),"SCHNEIDER-IEM3000")</f>
        <v>SCHNEIDER-IEM3000</v>
      </c>
    </row>
    <row r="2557" ht="30.0" customHeight="1">
      <c r="A2557" s="173">
        <v>2679.0</v>
      </c>
      <c r="B2557" s="328" t="s">
        <v>670</v>
      </c>
      <c r="C2557" s="257" t="s">
        <v>8362</v>
      </c>
      <c r="D2557" s="173" t="s">
        <v>8362</v>
      </c>
      <c r="E2557" s="174" t="s">
        <v>8070</v>
      </c>
      <c r="F2557" s="173" t="s">
        <v>8340</v>
      </c>
      <c r="G2557" s="328" t="s">
        <v>673</v>
      </c>
      <c r="H2557" s="328" t="s">
        <v>2863</v>
      </c>
      <c r="I2557" s="258" t="s">
        <v>8072</v>
      </c>
      <c r="J2557" s="259" t="s">
        <v>846</v>
      </c>
      <c r="K2557" s="260" t="s">
        <v>896</v>
      </c>
      <c r="L2557" s="365"/>
      <c r="M2557" s="329"/>
      <c r="N2557" s="173" t="s">
        <v>679</v>
      </c>
      <c r="O2557" s="173" t="s">
        <v>225</v>
      </c>
      <c r="P2557" s="262" t="str">
        <f t="shared" si="1"/>
        <v>IN-BLR-ANANTA-EM-139_1</v>
      </c>
      <c r="Q2557" s="173" t="s">
        <v>8363</v>
      </c>
      <c r="R2557" s="328" t="str">
        <f>IFS(C2557="","",C2557="n/a","N/A",LEN(C2557),Concatenate("{",char(34),"asset",char(34),":{",char(34),"guid",char(34),":",char(34),Q2557,char(34),",",char(34),"site",char(34),":",char(34),LOWER('2-Building'!$B$4),char(34),",",char(34),"name",char(34),":",char(34),LOWER(C2557),char(34),"}}"))</f>
        <v>{"asset":{"guid":"uuid://586955a9-975a-4a78-980e-6b2e8627bbfc","site":"in-blr-ananta","name":"em-139"}}</v>
      </c>
      <c r="S2557" s="366" t="s">
        <v>8075</v>
      </c>
      <c r="T2557" s="330"/>
      <c r="U2557" s="330"/>
      <c r="V2557" s="331"/>
      <c r="W2557" s="332"/>
      <c r="X2557" s="333"/>
      <c r="Y2557" s="33" t="s">
        <v>8076</v>
      </c>
      <c r="Z2557" s="368"/>
      <c r="AA2557" s="333"/>
      <c r="AB2557" s="258">
        <v>6.0</v>
      </c>
      <c r="AC2557" s="333"/>
      <c r="AD2557" s="329"/>
      <c r="AE2557" s="331"/>
      <c r="AF2557" s="336"/>
      <c r="AG2557" s="337" t="str">
        <f>IFS(LEN(AF2557)=17,LOWER('2-Building'!$B$4 &amp; "-" &amp; C2557), AF2557="N/A", "N/A", LEN(AF2557)=0,"")</f>
        <v/>
      </c>
      <c r="AH2557" s="333"/>
      <c r="AI2557" s="333"/>
      <c r="AJ2557" s="333"/>
      <c r="AK2557" s="333"/>
      <c r="AL2557" s="333"/>
      <c r="AM2557" s="338"/>
      <c r="AN2557" s="333"/>
      <c r="AO2557" s="333"/>
      <c r="AP2557" s="333"/>
      <c r="AQ2557" s="333"/>
      <c r="AR2557" s="333"/>
      <c r="AS2557" s="333"/>
      <c r="AT2557" s="333"/>
      <c r="AU2557" s="329"/>
      <c r="AV2557" s="341"/>
      <c r="AW2557" s="269" t="s">
        <v>2003</v>
      </c>
      <c r="AX2557" s="269" t="s">
        <v>2869</v>
      </c>
      <c r="AY2557" s="270" t="s">
        <v>695</v>
      </c>
      <c r="AZ2557" s="173" t="s">
        <v>8075</v>
      </c>
      <c r="BA2557" s="265">
        <v>10.0</v>
      </c>
      <c r="BB2557" s="174" t="s">
        <v>245</v>
      </c>
      <c r="BC2557" s="341"/>
      <c r="BD2557" s="308" t="s">
        <v>1844</v>
      </c>
      <c r="BE2557" s="364" t="s">
        <v>8034</v>
      </c>
      <c r="BF2557" s="274" t="str">
        <f>IFERROR(__xludf.DUMMYFUNCTION("LOWER(Regexreplace(to_text(E2557),""[^A-Za-z0-9]"","""")&amp;""_""&amp;Regexreplace(to_text(F2557),""[^A-Za-z0-9]"",""""))"),"schneider_iem3000")</f>
        <v>schneider_iem3000</v>
      </c>
      <c r="BG2557" s="275" t="str">
        <f>IFERROR(__xludf.DUMMYFUNCTION("upper(Regexreplace(to_text(E2557),""[^A-Za-z0-9]"","""")&amp;""-""&amp;Regexreplace(to_text(F2557),""[^A-Za-z0-9]"",""""))"),"SCHNEIDER-IEM3000")</f>
        <v>SCHNEIDER-IEM3000</v>
      </c>
    </row>
    <row r="2558" ht="30.0" customHeight="1">
      <c r="A2558" s="258">
        <v>2680.0</v>
      </c>
      <c r="B2558" s="328" t="s">
        <v>670</v>
      </c>
      <c r="C2558" s="257" t="s">
        <v>8364</v>
      </c>
      <c r="D2558" s="173" t="s">
        <v>8364</v>
      </c>
      <c r="E2558" s="174" t="s">
        <v>8070</v>
      </c>
      <c r="F2558" s="173" t="s">
        <v>8340</v>
      </c>
      <c r="G2558" s="328" t="s">
        <v>673</v>
      </c>
      <c r="H2558" s="328" t="s">
        <v>2863</v>
      </c>
      <c r="I2558" s="258" t="s">
        <v>8072</v>
      </c>
      <c r="J2558" s="259" t="s">
        <v>846</v>
      </c>
      <c r="K2558" s="260" t="s">
        <v>896</v>
      </c>
      <c r="L2558" s="365"/>
      <c r="M2558" s="329"/>
      <c r="N2558" s="173" t="s">
        <v>679</v>
      </c>
      <c r="O2558" s="173" t="s">
        <v>225</v>
      </c>
      <c r="P2558" s="262" t="str">
        <f t="shared" si="1"/>
        <v>IN-BLR-ANANTA-EM-140_1</v>
      </c>
      <c r="Q2558" s="173" t="s">
        <v>8365</v>
      </c>
      <c r="R2558" s="328" t="str">
        <f>IFS(C2558="","",C2558="n/a","N/A",LEN(C2558),Concatenate("{",char(34),"asset",char(34),":{",char(34),"guid",char(34),":",char(34),Q2558,char(34),",",char(34),"site",char(34),":",char(34),LOWER('2-Building'!$B$4),char(34),",",char(34),"name",char(34),":",char(34),LOWER(C2558),char(34),"}}"))</f>
        <v>{"asset":{"guid":"uuid://5289607c-0131-4f66-b46d-9ec50fb2ecdd","site":"in-blr-ananta","name":"em-140"}}</v>
      </c>
      <c r="S2558" s="366" t="s">
        <v>8075</v>
      </c>
      <c r="T2558" s="330"/>
      <c r="U2558" s="330"/>
      <c r="V2558" s="331"/>
      <c r="W2558" s="332"/>
      <c r="X2558" s="333"/>
      <c r="Y2558" s="33" t="s">
        <v>8076</v>
      </c>
      <c r="Z2558" s="368"/>
      <c r="AA2558" s="333"/>
      <c r="AB2558" s="258">
        <v>7.0</v>
      </c>
      <c r="AC2558" s="333"/>
      <c r="AD2558" s="329"/>
      <c r="AE2558" s="331"/>
      <c r="AF2558" s="336"/>
      <c r="AG2558" s="337" t="str">
        <f>IFS(LEN(AF2558)=17,LOWER('2-Building'!$B$4 &amp; "-" &amp; C2558), AF2558="N/A", "N/A", LEN(AF2558)=0,"")</f>
        <v/>
      </c>
      <c r="AH2558" s="333"/>
      <c r="AI2558" s="333"/>
      <c r="AJ2558" s="333"/>
      <c r="AK2558" s="333"/>
      <c r="AL2558" s="333"/>
      <c r="AM2558" s="338"/>
      <c r="AN2558" s="333"/>
      <c r="AO2558" s="333"/>
      <c r="AP2558" s="333"/>
      <c r="AQ2558" s="333"/>
      <c r="AR2558" s="333"/>
      <c r="AS2558" s="333"/>
      <c r="AT2558" s="333"/>
      <c r="AU2558" s="329"/>
      <c r="AV2558" s="341"/>
      <c r="AW2558" s="269" t="s">
        <v>2003</v>
      </c>
      <c r="AX2558" s="269" t="s">
        <v>2869</v>
      </c>
      <c r="AY2558" s="270" t="s">
        <v>695</v>
      </c>
      <c r="AZ2558" s="173" t="s">
        <v>8075</v>
      </c>
      <c r="BA2558" s="265">
        <v>10.0</v>
      </c>
      <c r="BB2558" s="174" t="s">
        <v>245</v>
      </c>
      <c r="BC2558" s="341"/>
      <c r="BD2558" s="308" t="s">
        <v>1844</v>
      </c>
      <c r="BE2558" s="364" t="s">
        <v>8034</v>
      </c>
      <c r="BF2558" s="274" t="str">
        <f>IFERROR(__xludf.DUMMYFUNCTION("LOWER(Regexreplace(to_text(E2558),""[^A-Za-z0-9]"","""")&amp;""_""&amp;Regexreplace(to_text(F2558),""[^A-Za-z0-9]"",""""))"),"schneider_iem3000")</f>
        <v>schneider_iem3000</v>
      </c>
      <c r="BG2558" s="275" t="str">
        <f>IFERROR(__xludf.DUMMYFUNCTION("upper(Regexreplace(to_text(E2558),""[^A-Za-z0-9]"","""")&amp;""-""&amp;Regexreplace(to_text(F2558),""[^A-Za-z0-9]"",""""))"),"SCHNEIDER-IEM3000")</f>
        <v>SCHNEIDER-IEM3000</v>
      </c>
    </row>
    <row r="2559" ht="30.0" customHeight="1">
      <c r="A2559" s="173">
        <v>2681.0</v>
      </c>
      <c r="B2559" s="328" t="s">
        <v>670</v>
      </c>
      <c r="C2559" s="257" t="s">
        <v>8366</v>
      </c>
      <c r="D2559" s="173" t="s">
        <v>8366</v>
      </c>
      <c r="E2559" s="174" t="s">
        <v>8070</v>
      </c>
      <c r="F2559" s="173" t="s">
        <v>8340</v>
      </c>
      <c r="G2559" s="328" t="s">
        <v>673</v>
      </c>
      <c r="H2559" s="328" t="s">
        <v>2863</v>
      </c>
      <c r="I2559" s="258" t="s">
        <v>8072</v>
      </c>
      <c r="J2559" s="259" t="s">
        <v>846</v>
      </c>
      <c r="K2559" s="260" t="s">
        <v>889</v>
      </c>
      <c r="L2559" s="365"/>
      <c r="M2559" s="329"/>
      <c r="N2559" s="173" t="s">
        <v>679</v>
      </c>
      <c r="O2559" s="173" t="s">
        <v>225</v>
      </c>
      <c r="P2559" s="262" t="str">
        <f t="shared" si="1"/>
        <v>IN-BLR-ANANTA-EM-141_1</v>
      </c>
      <c r="Q2559" s="173" t="s">
        <v>8367</v>
      </c>
      <c r="R2559" s="328" t="str">
        <f>IFS(C2559="","",C2559="n/a","N/A",LEN(C2559),Concatenate("{",char(34),"asset",char(34),":{",char(34),"guid",char(34),":",char(34),Q2559,char(34),",",char(34),"site",char(34),":",char(34),LOWER('2-Building'!$B$4),char(34),",",char(34),"name",char(34),":",char(34),LOWER(C2559),char(34),"}}"))</f>
        <v>{"asset":{"guid":"uuid://30e239cd-1c99-440b-b372-b583ec225a09","site":"in-blr-ananta","name":"em-141"}}</v>
      </c>
      <c r="S2559" s="366" t="s">
        <v>8075</v>
      </c>
      <c r="T2559" s="330"/>
      <c r="U2559" s="330"/>
      <c r="V2559" s="331"/>
      <c r="W2559" s="332"/>
      <c r="X2559" s="333"/>
      <c r="Y2559" s="33" t="s">
        <v>8076</v>
      </c>
      <c r="Z2559" s="368"/>
      <c r="AA2559" s="333"/>
      <c r="AB2559" s="258">
        <v>8.0</v>
      </c>
      <c r="AC2559" s="333"/>
      <c r="AD2559" s="329"/>
      <c r="AE2559" s="331"/>
      <c r="AF2559" s="336"/>
      <c r="AG2559" s="337" t="str">
        <f>IFS(LEN(AF2559)=17,LOWER('2-Building'!$B$4 &amp; "-" &amp; C2559), AF2559="N/A", "N/A", LEN(AF2559)=0,"")</f>
        <v/>
      </c>
      <c r="AH2559" s="333"/>
      <c r="AI2559" s="333"/>
      <c r="AJ2559" s="333"/>
      <c r="AK2559" s="333"/>
      <c r="AL2559" s="333"/>
      <c r="AM2559" s="338"/>
      <c r="AN2559" s="333"/>
      <c r="AO2559" s="333"/>
      <c r="AP2559" s="333"/>
      <c r="AQ2559" s="333"/>
      <c r="AR2559" s="333"/>
      <c r="AS2559" s="333"/>
      <c r="AT2559" s="333"/>
      <c r="AU2559" s="329"/>
      <c r="AV2559" s="341"/>
      <c r="AW2559" s="269" t="s">
        <v>1972</v>
      </c>
      <c r="AX2559" s="269" t="s">
        <v>2869</v>
      </c>
      <c r="AY2559" s="270" t="s">
        <v>695</v>
      </c>
      <c r="AZ2559" s="173" t="s">
        <v>8075</v>
      </c>
      <c r="BA2559" s="265">
        <v>10.0</v>
      </c>
      <c r="BB2559" s="174" t="s">
        <v>245</v>
      </c>
      <c r="BC2559" s="341"/>
      <c r="BD2559" s="308" t="s">
        <v>1844</v>
      </c>
      <c r="BE2559" s="364" t="s">
        <v>8034</v>
      </c>
      <c r="BF2559" s="274" t="str">
        <f>IFERROR(__xludf.DUMMYFUNCTION("LOWER(Regexreplace(to_text(E2559),""[^A-Za-z0-9]"","""")&amp;""_""&amp;Regexreplace(to_text(F2559),""[^A-Za-z0-9]"",""""))"),"schneider_iem3000")</f>
        <v>schneider_iem3000</v>
      </c>
      <c r="BG2559" s="275" t="str">
        <f>IFERROR(__xludf.DUMMYFUNCTION("upper(Regexreplace(to_text(E2559),""[^A-Za-z0-9]"","""")&amp;""-""&amp;Regexreplace(to_text(F2559),""[^A-Za-z0-9]"",""""))"),"SCHNEIDER-IEM3000")</f>
        <v>SCHNEIDER-IEM3000</v>
      </c>
    </row>
    <row r="2560" ht="30.0" customHeight="1">
      <c r="A2560" s="258">
        <v>2682.0</v>
      </c>
      <c r="B2560" s="328" t="s">
        <v>670</v>
      </c>
      <c r="C2560" s="257" t="s">
        <v>8368</v>
      </c>
      <c r="D2560" s="173" t="s">
        <v>8368</v>
      </c>
      <c r="E2560" s="174" t="s">
        <v>8070</v>
      </c>
      <c r="F2560" s="173" t="s">
        <v>8340</v>
      </c>
      <c r="G2560" s="328" t="s">
        <v>673</v>
      </c>
      <c r="H2560" s="328" t="s">
        <v>2863</v>
      </c>
      <c r="I2560" s="258" t="s">
        <v>8072</v>
      </c>
      <c r="J2560" s="259" t="s">
        <v>846</v>
      </c>
      <c r="K2560" s="260" t="s">
        <v>889</v>
      </c>
      <c r="L2560" s="365"/>
      <c r="M2560" s="329"/>
      <c r="N2560" s="173" t="s">
        <v>679</v>
      </c>
      <c r="O2560" s="173" t="s">
        <v>225</v>
      </c>
      <c r="P2560" s="262" t="str">
        <f t="shared" si="1"/>
        <v>IN-BLR-ANANTA-EM-142_1</v>
      </c>
      <c r="Q2560" s="173" t="s">
        <v>8369</v>
      </c>
      <c r="R2560" s="328" t="str">
        <f>IFS(C2560="","",C2560="n/a","N/A",LEN(C2560),Concatenate("{",char(34),"asset",char(34),":{",char(34),"guid",char(34),":",char(34),Q2560,char(34),",",char(34),"site",char(34),":",char(34),LOWER('2-Building'!$B$4),char(34),",",char(34),"name",char(34),":",char(34),LOWER(C2560),char(34),"}}"))</f>
        <v>{"asset":{"guid":"uuid://be8d3d6e-4bbc-4930-a103-95d78ba880cf","site":"in-blr-ananta","name":"em-142"}}</v>
      </c>
      <c r="S2560" s="366" t="s">
        <v>8075</v>
      </c>
      <c r="T2560" s="330"/>
      <c r="U2560" s="330"/>
      <c r="V2560" s="331"/>
      <c r="W2560" s="332"/>
      <c r="X2560" s="333"/>
      <c r="Y2560" s="33" t="s">
        <v>8076</v>
      </c>
      <c r="Z2560" s="368"/>
      <c r="AA2560" s="333"/>
      <c r="AB2560" s="258">
        <v>9.0</v>
      </c>
      <c r="AC2560" s="333"/>
      <c r="AD2560" s="329"/>
      <c r="AE2560" s="331"/>
      <c r="AF2560" s="336"/>
      <c r="AG2560" s="337" t="str">
        <f>IFS(LEN(AF2560)=17,LOWER('2-Building'!$B$4 &amp; "-" &amp; C2560), AF2560="N/A", "N/A", LEN(AF2560)=0,"")</f>
        <v/>
      </c>
      <c r="AH2560" s="333"/>
      <c r="AI2560" s="333"/>
      <c r="AJ2560" s="333"/>
      <c r="AK2560" s="333"/>
      <c r="AL2560" s="333"/>
      <c r="AM2560" s="338"/>
      <c r="AN2560" s="333"/>
      <c r="AO2560" s="333"/>
      <c r="AP2560" s="333"/>
      <c r="AQ2560" s="333"/>
      <c r="AR2560" s="333"/>
      <c r="AS2560" s="333"/>
      <c r="AT2560" s="333"/>
      <c r="AU2560" s="329"/>
      <c r="AV2560" s="341"/>
      <c r="AW2560" s="269" t="s">
        <v>1972</v>
      </c>
      <c r="AX2560" s="269" t="s">
        <v>2869</v>
      </c>
      <c r="AY2560" s="270" t="s">
        <v>695</v>
      </c>
      <c r="AZ2560" s="173" t="s">
        <v>8075</v>
      </c>
      <c r="BA2560" s="265">
        <v>10.0</v>
      </c>
      <c r="BB2560" s="174" t="s">
        <v>245</v>
      </c>
      <c r="BC2560" s="341"/>
      <c r="BD2560" s="308" t="s">
        <v>1844</v>
      </c>
      <c r="BE2560" s="364" t="s">
        <v>8034</v>
      </c>
      <c r="BF2560" s="274" t="str">
        <f>IFERROR(__xludf.DUMMYFUNCTION("LOWER(Regexreplace(to_text(E2560),""[^A-Za-z0-9]"","""")&amp;""_""&amp;Regexreplace(to_text(F2560),""[^A-Za-z0-9]"",""""))"),"schneider_iem3000")</f>
        <v>schneider_iem3000</v>
      </c>
      <c r="BG2560" s="275" t="str">
        <f>IFERROR(__xludf.DUMMYFUNCTION("upper(Regexreplace(to_text(E2560),""[^A-Za-z0-9]"","""")&amp;""-""&amp;Regexreplace(to_text(F2560),""[^A-Za-z0-9]"",""""))"),"SCHNEIDER-IEM3000")</f>
        <v>SCHNEIDER-IEM3000</v>
      </c>
    </row>
    <row r="2561" ht="30.0" customHeight="1">
      <c r="A2561" s="173">
        <v>2683.0</v>
      </c>
      <c r="B2561" s="328" t="s">
        <v>670</v>
      </c>
      <c r="C2561" s="257" t="s">
        <v>8370</v>
      </c>
      <c r="D2561" s="173" t="s">
        <v>8370</v>
      </c>
      <c r="E2561" s="174" t="s">
        <v>8070</v>
      </c>
      <c r="F2561" s="173" t="s">
        <v>8340</v>
      </c>
      <c r="G2561" s="328" t="s">
        <v>673</v>
      </c>
      <c r="H2561" s="328" t="s">
        <v>2863</v>
      </c>
      <c r="I2561" s="258" t="s">
        <v>8072</v>
      </c>
      <c r="J2561" s="259" t="s">
        <v>902</v>
      </c>
      <c r="K2561" s="260" t="s">
        <v>1675</v>
      </c>
      <c r="L2561" s="365"/>
      <c r="M2561" s="329"/>
      <c r="N2561" s="173" t="s">
        <v>679</v>
      </c>
      <c r="O2561" s="173" t="s">
        <v>225</v>
      </c>
      <c r="P2561" s="262" t="str">
        <f t="shared" si="1"/>
        <v>IN-BLR-ANANTA-EM-143_2</v>
      </c>
      <c r="Q2561" s="173" t="s">
        <v>8371</v>
      </c>
      <c r="R2561" s="328" t="str">
        <f>IFS(C2561="","",C2561="n/a","N/A",LEN(C2561),Concatenate("{",char(34),"asset",char(34),":{",char(34),"guid",char(34),":",char(34),Q2561,char(34),",",char(34),"site",char(34),":",char(34),LOWER('2-Building'!$B$4),char(34),",",char(34),"name",char(34),":",char(34),LOWER(C2561),char(34),"}}"))</f>
        <v>{"asset":{"guid":"uuid://f4e515f0-03b6-46d2-b876-724b4a123604","site":"in-blr-ananta","name":"em-143"}}</v>
      </c>
      <c r="S2561" s="366" t="s">
        <v>8075</v>
      </c>
      <c r="T2561" s="330"/>
      <c r="U2561" s="330"/>
      <c r="V2561" s="331"/>
      <c r="W2561" s="332"/>
      <c r="X2561" s="333"/>
      <c r="Y2561" s="33" t="s">
        <v>8076</v>
      </c>
      <c r="Z2561" s="368"/>
      <c r="AA2561" s="333"/>
      <c r="AB2561" s="258">
        <v>13.0</v>
      </c>
      <c r="AC2561" s="333"/>
      <c r="AD2561" s="329"/>
      <c r="AE2561" s="331"/>
      <c r="AF2561" s="336"/>
      <c r="AG2561" s="337" t="str">
        <f>IFS(LEN(AF2561)=17,LOWER('2-Building'!$B$4 &amp; "-" &amp; C2561), AF2561="N/A", "N/A", LEN(AF2561)=0,"")</f>
        <v/>
      </c>
      <c r="AH2561" s="333"/>
      <c r="AI2561" s="333"/>
      <c r="AJ2561" s="333"/>
      <c r="AK2561" s="333"/>
      <c r="AL2561" s="333"/>
      <c r="AM2561" s="338"/>
      <c r="AN2561" s="333"/>
      <c r="AO2561" s="333"/>
      <c r="AP2561" s="333"/>
      <c r="AQ2561" s="333"/>
      <c r="AR2561" s="333"/>
      <c r="AS2561" s="333"/>
      <c r="AT2561" s="333"/>
      <c r="AU2561" s="329"/>
      <c r="AV2561" s="341"/>
      <c r="AW2561" s="269" t="s">
        <v>2023</v>
      </c>
      <c r="AX2561" s="269" t="s">
        <v>2869</v>
      </c>
      <c r="AY2561" s="270" t="s">
        <v>695</v>
      </c>
      <c r="AZ2561" s="173" t="s">
        <v>8075</v>
      </c>
      <c r="BA2561" s="265">
        <v>10.0</v>
      </c>
      <c r="BB2561" s="174" t="s">
        <v>245</v>
      </c>
      <c r="BC2561" s="341"/>
      <c r="BD2561" s="308" t="s">
        <v>1844</v>
      </c>
      <c r="BE2561" s="364" t="s">
        <v>8034</v>
      </c>
      <c r="BF2561" s="274" t="str">
        <f>IFERROR(__xludf.DUMMYFUNCTION("LOWER(Regexreplace(to_text(E2561),""[^A-Za-z0-9]"","""")&amp;""_""&amp;Regexreplace(to_text(F2561),""[^A-Za-z0-9]"",""""))"),"schneider_iem3000")</f>
        <v>schneider_iem3000</v>
      </c>
      <c r="BG2561" s="275" t="str">
        <f>IFERROR(__xludf.DUMMYFUNCTION("upper(Regexreplace(to_text(E2561),""[^A-Za-z0-9]"","""")&amp;""-""&amp;Regexreplace(to_text(F2561),""[^A-Za-z0-9]"",""""))"),"SCHNEIDER-IEM3000")</f>
        <v>SCHNEIDER-IEM3000</v>
      </c>
    </row>
    <row r="2562" ht="30.0" customHeight="1">
      <c r="A2562" s="258">
        <v>2684.0</v>
      </c>
      <c r="B2562" s="328" t="s">
        <v>670</v>
      </c>
      <c r="C2562" s="257" t="s">
        <v>8372</v>
      </c>
      <c r="D2562" s="173" t="s">
        <v>8372</v>
      </c>
      <c r="E2562" s="174" t="s">
        <v>8070</v>
      </c>
      <c r="F2562" s="173" t="s">
        <v>8340</v>
      </c>
      <c r="G2562" s="328" t="s">
        <v>673</v>
      </c>
      <c r="H2562" s="328" t="s">
        <v>2863</v>
      </c>
      <c r="I2562" s="258" t="s">
        <v>8072</v>
      </c>
      <c r="J2562" s="259" t="s">
        <v>902</v>
      </c>
      <c r="K2562" s="260" t="s">
        <v>1675</v>
      </c>
      <c r="L2562" s="365"/>
      <c r="M2562" s="329"/>
      <c r="N2562" s="173" t="s">
        <v>679</v>
      </c>
      <c r="O2562" s="173" t="s">
        <v>225</v>
      </c>
      <c r="P2562" s="262" t="str">
        <f t="shared" si="1"/>
        <v>IN-BLR-ANANTA-EM-144_2</v>
      </c>
      <c r="Q2562" s="173" t="s">
        <v>8373</v>
      </c>
      <c r="R2562" s="328" t="str">
        <f>IFS(C2562="","",C2562="n/a","N/A",LEN(C2562),Concatenate("{",char(34),"asset",char(34),":{",char(34),"guid",char(34),":",char(34),Q2562,char(34),",",char(34),"site",char(34),":",char(34),LOWER('2-Building'!$B$4),char(34),",",char(34),"name",char(34),":",char(34),LOWER(C2562),char(34),"}}"))</f>
        <v>{"asset":{"guid":"uuid://e2861983-2b1e-44d4-8c8f-4c17c783a755","site":"in-blr-ananta","name":"em-144"}}</v>
      </c>
      <c r="S2562" s="366" t="s">
        <v>8075</v>
      </c>
      <c r="T2562" s="330"/>
      <c r="U2562" s="330"/>
      <c r="V2562" s="331"/>
      <c r="W2562" s="332"/>
      <c r="X2562" s="333"/>
      <c r="Y2562" s="33" t="s">
        <v>8076</v>
      </c>
      <c r="Z2562" s="368"/>
      <c r="AA2562" s="333"/>
      <c r="AB2562" s="258">
        <v>14.0</v>
      </c>
      <c r="AC2562" s="333"/>
      <c r="AD2562" s="329"/>
      <c r="AE2562" s="331"/>
      <c r="AF2562" s="336"/>
      <c r="AG2562" s="337" t="str">
        <f>IFS(LEN(AF2562)=17,LOWER('2-Building'!$B$4 &amp; "-" &amp; C2562), AF2562="N/A", "N/A", LEN(AF2562)=0,"")</f>
        <v/>
      </c>
      <c r="AH2562" s="333"/>
      <c r="AI2562" s="333"/>
      <c r="AJ2562" s="333"/>
      <c r="AK2562" s="333"/>
      <c r="AL2562" s="333"/>
      <c r="AM2562" s="338"/>
      <c r="AN2562" s="333"/>
      <c r="AO2562" s="333"/>
      <c r="AP2562" s="333"/>
      <c r="AQ2562" s="333"/>
      <c r="AR2562" s="333"/>
      <c r="AS2562" s="333"/>
      <c r="AT2562" s="333"/>
      <c r="AU2562" s="329"/>
      <c r="AV2562" s="341"/>
      <c r="AW2562" s="269" t="s">
        <v>2023</v>
      </c>
      <c r="AX2562" s="269" t="s">
        <v>2869</v>
      </c>
      <c r="AY2562" s="270" t="s">
        <v>695</v>
      </c>
      <c r="AZ2562" s="173" t="s">
        <v>8075</v>
      </c>
      <c r="BA2562" s="265">
        <v>10.0</v>
      </c>
      <c r="BB2562" s="174" t="s">
        <v>245</v>
      </c>
      <c r="BC2562" s="341"/>
      <c r="BD2562" s="308" t="s">
        <v>1844</v>
      </c>
      <c r="BE2562" s="364" t="s">
        <v>8034</v>
      </c>
      <c r="BF2562" s="274" t="str">
        <f>IFERROR(__xludf.DUMMYFUNCTION("LOWER(Regexreplace(to_text(E2562),""[^A-Za-z0-9]"","""")&amp;""_""&amp;Regexreplace(to_text(F2562),""[^A-Za-z0-9]"",""""))"),"schneider_iem3000")</f>
        <v>schneider_iem3000</v>
      </c>
      <c r="BG2562" s="275" t="str">
        <f>IFERROR(__xludf.DUMMYFUNCTION("upper(Regexreplace(to_text(E2562),""[^A-Za-z0-9]"","""")&amp;""-""&amp;Regexreplace(to_text(F2562),""[^A-Za-z0-9]"",""""))"),"SCHNEIDER-IEM3000")</f>
        <v>SCHNEIDER-IEM3000</v>
      </c>
    </row>
    <row r="2563" ht="30.0" customHeight="1">
      <c r="A2563" s="173">
        <v>2685.0</v>
      </c>
      <c r="B2563" s="328" t="s">
        <v>670</v>
      </c>
      <c r="C2563" s="257" t="s">
        <v>8374</v>
      </c>
      <c r="D2563" s="173" t="s">
        <v>8374</v>
      </c>
      <c r="E2563" s="174" t="s">
        <v>8070</v>
      </c>
      <c r="F2563" s="173" t="s">
        <v>8340</v>
      </c>
      <c r="G2563" s="328" t="s">
        <v>673</v>
      </c>
      <c r="H2563" s="328" t="s">
        <v>2863</v>
      </c>
      <c r="I2563" s="258" t="s">
        <v>8072</v>
      </c>
      <c r="J2563" s="259" t="s">
        <v>902</v>
      </c>
      <c r="K2563" s="260" t="s">
        <v>8375</v>
      </c>
      <c r="L2563" s="365"/>
      <c r="M2563" s="329"/>
      <c r="N2563" s="173" t="s">
        <v>679</v>
      </c>
      <c r="O2563" s="173" t="s">
        <v>225</v>
      </c>
      <c r="P2563" s="262" t="str">
        <f t="shared" si="1"/>
        <v>IN-BLR-ANANTA-EM-145_2</v>
      </c>
      <c r="Q2563" s="173" t="s">
        <v>8376</v>
      </c>
      <c r="R2563" s="328" t="str">
        <f>IFS(C2563="","",C2563="n/a","N/A",LEN(C2563),Concatenate("{",char(34),"asset",char(34),":{",char(34),"guid",char(34),":",char(34),Q2563,char(34),",",char(34),"site",char(34),":",char(34),LOWER('2-Building'!$B$4),char(34),",",char(34),"name",char(34),":",char(34),LOWER(C2563),char(34),"}}"))</f>
        <v>{"asset":{"guid":"uuid://e3b44e98-93ce-47ce-893d-9fee6d8f773f","site":"in-blr-ananta","name":"em-145"}}</v>
      </c>
      <c r="S2563" s="366" t="s">
        <v>8075</v>
      </c>
      <c r="T2563" s="330"/>
      <c r="U2563" s="330"/>
      <c r="V2563" s="331"/>
      <c r="W2563" s="332"/>
      <c r="X2563" s="333"/>
      <c r="Y2563" s="33" t="s">
        <v>8076</v>
      </c>
      <c r="Z2563" s="368"/>
      <c r="AA2563" s="333"/>
      <c r="AB2563" s="258">
        <v>11.0</v>
      </c>
      <c r="AC2563" s="333"/>
      <c r="AD2563" s="329"/>
      <c r="AE2563" s="331"/>
      <c r="AF2563" s="336"/>
      <c r="AG2563" s="337" t="str">
        <f>IFS(LEN(AF2563)=17,LOWER('2-Building'!$B$4 &amp; "-" &amp; C2563), AF2563="N/A", "N/A", LEN(AF2563)=0,"")</f>
        <v/>
      </c>
      <c r="AH2563" s="333"/>
      <c r="AI2563" s="333"/>
      <c r="AJ2563" s="333"/>
      <c r="AK2563" s="333"/>
      <c r="AL2563" s="333"/>
      <c r="AM2563" s="338"/>
      <c r="AN2563" s="333"/>
      <c r="AO2563" s="333"/>
      <c r="AP2563" s="333"/>
      <c r="AQ2563" s="333"/>
      <c r="AR2563" s="333"/>
      <c r="AS2563" s="333"/>
      <c r="AT2563" s="333"/>
      <c r="AU2563" s="329"/>
      <c r="AV2563" s="341"/>
      <c r="AW2563" s="269" t="s">
        <v>2023</v>
      </c>
      <c r="AX2563" s="269" t="s">
        <v>2869</v>
      </c>
      <c r="AY2563" s="270" t="s">
        <v>695</v>
      </c>
      <c r="AZ2563" s="173" t="s">
        <v>8075</v>
      </c>
      <c r="BA2563" s="265">
        <v>10.0</v>
      </c>
      <c r="BB2563" s="174" t="s">
        <v>245</v>
      </c>
      <c r="BC2563" s="341"/>
      <c r="BD2563" s="308" t="s">
        <v>1844</v>
      </c>
      <c r="BE2563" s="364" t="s">
        <v>8034</v>
      </c>
      <c r="BF2563" s="274" t="str">
        <f>IFERROR(__xludf.DUMMYFUNCTION("LOWER(Regexreplace(to_text(E2563),""[^A-Za-z0-9]"","""")&amp;""_""&amp;Regexreplace(to_text(F2563),""[^A-Za-z0-9]"",""""))"),"schneider_iem3000")</f>
        <v>schneider_iem3000</v>
      </c>
      <c r="BG2563" s="275" t="str">
        <f>IFERROR(__xludf.DUMMYFUNCTION("upper(Regexreplace(to_text(E2563),""[^A-Za-z0-9]"","""")&amp;""-""&amp;Regexreplace(to_text(F2563),""[^A-Za-z0-9]"",""""))"),"SCHNEIDER-IEM3000")</f>
        <v>SCHNEIDER-IEM3000</v>
      </c>
    </row>
    <row r="2564" ht="30.0" customHeight="1">
      <c r="A2564" s="258">
        <v>2686.0</v>
      </c>
      <c r="B2564" s="328" t="s">
        <v>670</v>
      </c>
      <c r="C2564" s="257" t="s">
        <v>8377</v>
      </c>
      <c r="D2564" s="173" t="s">
        <v>8377</v>
      </c>
      <c r="E2564" s="174" t="s">
        <v>8070</v>
      </c>
      <c r="F2564" s="173" t="s">
        <v>8340</v>
      </c>
      <c r="G2564" s="328" t="s">
        <v>673</v>
      </c>
      <c r="H2564" s="328" t="s">
        <v>2863</v>
      </c>
      <c r="I2564" s="258" t="s">
        <v>8072</v>
      </c>
      <c r="J2564" s="259" t="s">
        <v>902</v>
      </c>
      <c r="K2564" s="260" t="s">
        <v>8375</v>
      </c>
      <c r="L2564" s="365"/>
      <c r="M2564" s="329"/>
      <c r="N2564" s="173" t="s">
        <v>679</v>
      </c>
      <c r="O2564" s="173" t="s">
        <v>225</v>
      </c>
      <c r="P2564" s="262" t="str">
        <f t="shared" si="1"/>
        <v>IN-BLR-ANANTA-EM-146_2</v>
      </c>
      <c r="Q2564" s="173" t="s">
        <v>8378</v>
      </c>
      <c r="R2564" s="328" t="str">
        <f>IFS(C2564="","",C2564="n/a","N/A",LEN(C2564),Concatenate("{",char(34),"asset",char(34),":{",char(34),"guid",char(34),":",char(34),Q2564,char(34),",",char(34),"site",char(34),":",char(34),LOWER('2-Building'!$B$4),char(34),",",char(34),"name",char(34),":",char(34),LOWER(C2564),char(34),"}}"))</f>
        <v>{"asset":{"guid":"uuid://77bf1d0f-4a2b-4f8a-8357-06735fd56900","site":"in-blr-ananta","name":"em-146"}}</v>
      </c>
      <c r="S2564" s="366" t="s">
        <v>8075</v>
      </c>
      <c r="T2564" s="330"/>
      <c r="U2564" s="330"/>
      <c r="V2564" s="331"/>
      <c r="W2564" s="332"/>
      <c r="X2564" s="333"/>
      <c r="Y2564" s="33" t="s">
        <v>8076</v>
      </c>
      <c r="Z2564" s="368"/>
      <c r="AA2564" s="333"/>
      <c r="AB2564" s="258">
        <v>12.0</v>
      </c>
      <c r="AC2564" s="333"/>
      <c r="AD2564" s="329"/>
      <c r="AE2564" s="331"/>
      <c r="AF2564" s="336"/>
      <c r="AG2564" s="337" t="str">
        <f>IFS(LEN(AF2564)=17,LOWER('2-Building'!$B$4 &amp; "-" &amp; C2564), AF2564="N/A", "N/A", LEN(AF2564)=0,"")</f>
        <v/>
      </c>
      <c r="AH2564" s="333"/>
      <c r="AI2564" s="333"/>
      <c r="AJ2564" s="333"/>
      <c r="AK2564" s="333"/>
      <c r="AL2564" s="333"/>
      <c r="AM2564" s="338"/>
      <c r="AN2564" s="333"/>
      <c r="AO2564" s="333"/>
      <c r="AP2564" s="333"/>
      <c r="AQ2564" s="333"/>
      <c r="AR2564" s="333"/>
      <c r="AS2564" s="333"/>
      <c r="AT2564" s="333"/>
      <c r="AU2564" s="329"/>
      <c r="AV2564" s="341"/>
      <c r="AW2564" s="269" t="s">
        <v>2023</v>
      </c>
      <c r="AX2564" s="269" t="s">
        <v>2869</v>
      </c>
      <c r="AY2564" s="270" t="s">
        <v>695</v>
      </c>
      <c r="AZ2564" s="173" t="s">
        <v>8075</v>
      </c>
      <c r="BA2564" s="265">
        <v>10.0</v>
      </c>
      <c r="BB2564" s="174" t="s">
        <v>245</v>
      </c>
      <c r="BC2564" s="341"/>
      <c r="BD2564" s="308" t="s">
        <v>1844</v>
      </c>
      <c r="BE2564" s="364" t="s">
        <v>8034</v>
      </c>
      <c r="BF2564" s="274" t="str">
        <f>IFERROR(__xludf.DUMMYFUNCTION("LOWER(Regexreplace(to_text(E2564),""[^A-Za-z0-9]"","""")&amp;""_""&amp;Regexreplace(to_text(F2564),""[^A-Za-z0-9]"",""""))"),"schneider_iem3000")</f>
        <v>schneider_iem3000</v>
      </c>
      <c r="BG2564" s="275" t="str">
        <f>IFERROR(__xludf.DUMMYFUNCTION("upper(Regexreplace(to_text(E2564),""[^A-Za-z0-9]"","""")&amp;""-""&amp;Regexreplace(to_text(F2564),""[^A-Za-z0-9]"",""""))"),"SCHNEIDER-IEM3000")</f>
        <v>SCHNEIDER-IEM3000</v>
      </c>
    </row>
    <row r="2565" ht="30.0" customHeight="1">
      <c r="A2565" s="173">
        <v>2687.0</v>
      </c>
      <c r="B2565" s="328" t="s">
        <v>670</v>
      </c>
      <c r="C2565" s="257" t="s">
        <v>8379</v>
      </c>
      <c r="D2565" s="173" t="s">
        <v>8379</v>
      </c>
      <c r="E2565" s="174" t="s">
        <v>8070</v>
      </c>
      <c r="F2565" s="173" t="s">
        <v>8340</v>
      </c>
      <c r="G2565" s="328" t="s">
        <v>673</v>
      </c>
      <c r="H2565" s="328" t="s">
        <v>2863</v>
      </c>
      <c r="I2565" s="258" t="s">
        <v>8072</v>
      </c>
      <c r="J2565" s="259" t="s">
        <v>965</v>
      </c>
      <c r="K2565" s="260">
        <v>356.0</v>
      </c>
      <c r="L2565" s="365"/>
      <c r="M2565" s="329"/>
      <c r="N2565" s="173" t="s">
        <v>679</v>
      </c>
      <c r="O2565" s="173" t="s">
        <v>225</v>
      </c>
      <c r="P2565" s="262" t="str">
        <f t="shared" si="1"/>
        <v>IN-BLR-ANANTA-EM-147_3</v>
      </c>
      <c r="Q2565" s="173" t="s">
        <v>8380</v>
      </c>
      <c r="R2565" s="328" t="str">
        <f>IFS(C2565="","",C2565="n/a","N/A",LEN(C2565),Concatenate("{",char(34),"asset",char(34),":{",char(34),"guid",char(34),":",char(34),Q2565,char(34),",",char(34),"site",char(34),":",char(34),LOWER('2-Building'!$B$4),char(34),",",char(34),"name",char(34),":",char(34),LOWER(C2565),char(34),"}}"))</f>
        <v>{"asset":{"guid":"uuid://32db984a-252a-4272-b6a3-96bf724b2abd","site":"in-blr-ananta","name":"em-147"}}</v>
      </c>
      <c r="S2565" s="366" t="s">
        <v>8075</v>
      </c>
      <c r="T2565" s="330"/>
      <c r="U2565" s="330"/>
      <c r="V2565" s="331"/>
      <c r="W2565" s="332"/>
      <c r="X2565" s="333"/>
      <c r="Y2565" s="33" t="s">
        <v>8076</v>
      </c>
      <c r="Z2565" s="368"/>
      <c r="AA2565" s="333"/>
      <c r="AB2565" s="258">
        <v>11.0</v>
      </c>
      <c r="AC2565" s="333"/>
      <c r="AD2565" s="329"/>
      <c r="AE2565" s="331"/>
      <c r="AF2565" s="336"/>
      <c r="AG2565" s="337" t="str">
        <f>IFS(LEN(AF2565)=17,LOWER('2-Building'!$B$4 &amp; "-" &amp; C2565), AF2565="N/A", "N/A", LEN(AF2565)=0,"")</f>
        <v/>
      </c>
      <c r="AH2565" s="333"/>
      <c r="AI2565" s="333"/>
      <c r="AJ2565" s="333"/>
      <c r="AK2565" s="333"/>
      <c r="AL2565" s="333"/>
      <c r="AM2565" s="338"/>
      <c r="AN2565" s="333"/>
      <c r="AO2565" s="333"/>
      <c r="AP2565" s="333"/>
      <c r="AQ2565" s="333"/>
      <c r="AR2565" s="333"/>
      <c r="AS2565" s="333"/>
      <c r="AT2565" s="333"/>
      <c r="AU2565" s="329"/>
      <c r="AV2565" s="341"/>
      <c r="AW2565" s="269" t="s">
        <v>1246</v>
      </c>
      <c r="AX2565" s="269" t="s">
        <v>2869</v>
      </c>
      <c r="AY2565" s="270" t="s">
        <v>695</v>
      </c>
      <c r="AZ2565" s="173" t="s">
        <v>8075</v>
      </c>
      <c r="BA2565" s="265"/>
      <c r="BB2565" s="174" t="s">
        <v>245</v>
      </c>
      <c r="BC2565" s="341"/>
      <c r="BD2565" s="308" t="s">
        <v>1844</v>
      </c>
      <c r="BE2565" s="364" t="s">
        <v>8034</v>
      </c>
      <c r="BF2565" s="274" t="str">
        <f>IFERROR(__xludf.DUMMYFUNCTION("LOWER(Regexreplace(to_text(E2565),""[^A-Za-z0-9]"","""")&amp;""_""&amp;Regexreplace(to_text(F2565),""[^A-Za-z0-9]"",""""))"),"schneider_iem3000")</f>
        <v>schneider_iem3000</v>
      </c>
      <c r="BG2565" s="275" t="str">
        <f>IFERROR(__xludf.DUMMYFUNCTION("upper(Regexreplace(to_text(E2565),""[^A-Za-z0-9]"","""")&amp;""-""&amp;Regexreplace(to_text(F2565),""[^A-Za-z0-9]"",""""))"),"SCHNEIDER-IEM3000")</f>
        <v>SCHNEIDER-IEM3000</v>
      </c>
    </row>
    <row r="2566" ht="30.0" customHeight="1">
      <c r="A2566" s="258">
        <v>2688.0</v>
      </c>
      <c r="B2566" s="328" t="s">
        <v>670</v>
      </c>
      <c r="C2566" s="257" t="s">
        <v>8381</v>
      </c>
      <c r="D2566" s="173" t="s">
        <v>8381</v>
      </c>
      <c r="E2566" s="174" t="s">
        <v>8070</v>
      </c>
      <c r="F2566" s="173" t="s">
        <v>8340</v>
      </c>
      <c r="G2566" s="328" t="s">
        <v>673</v>
      </c>
      <c r="H2566" s="328" t="s">
        <v>2863</v>
      </c>
      <c r="I2566" s="258" t="s">
        <v>8072</v>
      </c>
      <c r="J2566" s="259" t="s">
        <v>965</v>
      </c>
      <c r="K2566" s="260">
        <v>356.0</v>
      </c>
      <c r="L2566" s="365"/>
      <c r="M2566" s="329"/>
      <c r="N2566" s="173" t="s">
        <v>679</v>
      </c>
      <c r="O2566" s="173" t="s">
        <v>225</v>
      </c>
      <c r="P2566" s="262" t="str">
        <f t="shared" si="1"/>
        <v>IN-BLR-ANANTA-EM-148_3</v>
      </c>
      <c r="Q2566" s="173" t="s">
        <v>8382</v>
      </c>
      <c r="R2566" s="328" t="str">
        <f>IFS(C2566="","",C2566="n/a","N/A",LEN(C2566),Concatenate("{",char(34),"asset",char(34),":{",char(34),"guid",char(34),":",char(34),Q2566,char(34),",",char(34),"site",char(34),":",char(34),LOWER('2-Building'!$B$4),char(34),",",char(34),"name",char(34),":",char(34),LOWER(C2566),char(34),"}}"))</f>
        <v>{"asset":{"guid":"uuid://913f636f-ec8f-45f7-862d-61f7c26b8924","site":"in-blr-ananta","name":"em-148"}}</v>
      </c>
      <c r="S2566" s="366" t="s">
        <v>8075</v>
      </c>
      <c r="T2566" s="330"/>
      <c r="U2566" s="330"/>
      <c r="V2566" s="331"/>
      <c r="W2566" s="332"/>
      <c r="X2566" s="333"/>
      <c r="Y2566" s="33" t="s">
        <v>8076</v>
      </c>
      <c r="Z2566" s="368"/>
      <c r="AA2566" s="333"/>
      <c r="AB2566" s="258">
        <v>12.0</v>
      </c>
      <c r="AC2566" s="333"/>
      <c r="AD2566" s="329"/>
      <c r="AE2566" s="331"/>
      <c r="AF2566" s="336"/>
      <c r="AG2566" s="337" t="str">
        <f>IFS(LEN(AF2566)=17,LOWER('2-Building'!$B$4 &amp; "-" &amp; C2566), AF2566="N/A", "N/A", LEN(AF2566)=0,"")</f>
        <v/>
      </c>
      <c r="AH2566" s="333"/>
      <c r="AI2566" s="333"/>
      <c r="AJ2566" s="333"/>
      <c r="AK2566" s="333"/>
      <c r="AL2566" s="333"/>
      <c r="AM2566" s="338"/>
      <c r="AN2566" s="333"/>
      <c r="AO2566" s="333"/>
      <c r="AP2566" s="333"/>
      <c r="AQ2566" s="333"/>
      <c r="AR2566" s="333"/>
      <c r="AS2566" s="333"/>
      <c r="AT2566" s="333"/>
      <c r="AU2566" s="329"/>
      <c r="AV2566" s="341"/>
      <c r="AW2566" s="269" t="s">
        <v>1307</v>
      </c>
      <c r="AX2566" s="269" t="s">
        <v>2869</v>
      </c>
      <c r="AY2566" s="270" t="s">
        <v>695</v>
      </c>
      <c r="AZ2566" s="173" t="s">
        <v>8075</v>
      </c>
      <c r="BA2566" s="265"/>
      <c r="BB2566" s="174" t="s">
        <v>245</v>
      </c>
      <c r="BC2566" s="341"/>
      <c r="BD2566" s="308" t="s">
        <v>1844</v>
      </c>
      <c r="BE2566" s="364" t="s">
        <v>8034</v>
      </c>
      <c r="BF2566" s="274" t="str">
        <f>IFERROR(__xludf.DUMMYFUNCTION("LOWER(Regexreplace(to_text(E2566),""[^A-Za-z0-9]"","""")&amp;""_""&amp;Regexreplace(to_text(F2566),""[^A-Za-z0-9]"",""""))"),"schneider_iem3000")</f>
        <v>schneider_iem3000</v>
      </c>
      <c r="BG2566" s="275" t="str">
        <f>IFERROR(__xludf.DUMMYFUNCTION("upper(Regexreplace(to_text(E2566),""[^A-Za-z0-9]"","""")&amp;""-""&amp;Regexreplace(to_text(F2566),""[^A-Za-z0-9]"",""""))"),"SCHNEIDER-IEM3000")</f>
        <v>SCHNEIDER-IEM3000</v>
      </c>
    </row>
    <row r="2567" ht="30.0" customHeight="1">
      <c r="A2567" s="173">
        <v>2689.0</v>
      </c>
      <c r="B2567" s="328" t="s">
        <v>670</v>
      </c>
      <c r="C2567" s="257" t="s">
        <v>8383</v>
      </c>
      <c r="D2567" s="173" t="s">
        <v>8383</v>
      </c>
      <c r="E2567" s="174" t="s">
        <v>8070</v>
      </c>
      <c r="F2567" s="173" t="s">
        <v>8340</v>
      </c>
      <c r="G2567" s="328" t="s">
        <v>673</v>
      </c>
      <c r="H2567" s="328" t="s">
        <v>2863</v>
      </c>
      <c r="I2567" s="258" t="s">
        <v>8072</v>
      </c>
      <c r="J2567" s="259" t="s">
        <v>965</v>
      </c>
      <c r="K2567" s="260">
        <v>305.0</v>
      </c>
      <c r="L2567" s="365"/>
      <c r="M2567" s="329"/>
      <c r="N2567" s="173" t="s">
        <v>679</v>
      </c>
      <c r="O2567" s="173" t="s">
        <v>225</v>
      </c>
      <c r="P2567" s="262" t="str">
        <f t="shared" si="1"/>
        <v>IN-BLR-ANANTA-EM-149_3</v>
      </c>
      <c r="Q2567" s="173" t="s">
        <v>8384</v>
      </c>
      <c r="R2567" s="328" t="str">
        <f>IFS(C2567="","",C2567="n/a","N/A",LEN(C2567),Concatenate("{",char(34),"asset",char(34),":{",char(34),"guid",char(34),":",char(34),Q2567,char(34),",",char(34),"site",char(34),":",char(34),LOWER('2-Building'!$B$4),char(34),",",char(34),"name",char(34),":",char(34),LOWER(C2567),char(34),"}}"))</f>
        <v>{"asset":{"guid":"uuid://d665f009-9411-4c78-a758-e00ab98961fa","site":"in-blr-ananta","name":"em-149"}}</v>
      </c>
      <c r="S2567" s="366" t="s">
        <v>8075</v>
      </c>
      <c r="T2567" s="330"/>
      <c r="U2567" s="330"/>
      <c r="V2567" s="331"/>
      <c r="W2567" s="332"/>
      <c r="X2567" s="333"/>
      <c r="Y2567" s="33" t="s">
        <v>8076</v>
      </c>
      <c r="Z2567" s="368"/>
      <c r="AA2567" s="333"/>
      <c r="AB2567" s="258">
        <v>13.0</v>
      </c>
      <c r="AC2567" s="333"/>
      <c r="AD2567" s="329"/>
      <c r="AE2567" s="331"/>
      <c r="AF2567" s="336"/>
      <c r="AG2567" s="337" t="str">
        <f>IFS(LEN(AF2567)=17,LOWER('2-Building'!$B$4 &amp; "-" &amp; C2567), AF2567="N/A", "N/A", LEN(AF2567)=0,"")</f>
        <v/>
      </c>
      <c r="AH2567" s="333"/>
      <c r="AI2567" s="333"/>
      <c r="AJ2567" s="333"/>
      <c r="AK2567" s="333"/>
      <c r="AL2567" s="333"/>
      <c r="AM2567" s="338"/>
      <c r="AN2567" s="333"/>
      <c r="AO2567" s="333"/>
      <c r="AP2567" s="333"/>
      <c r="AQ2567" s="333"/>
      <c r="AR2567" s="333"/>
      <c r="AS2567" s="333"/>
      <c r="AT2567" s="333"/>
      <c r="AU2567" s="329"/>
      <c r="AV2567" s="341"/>
      <c r="AW2567" s="269" t="s">
        <v>1297</v>
      </c>
      <c r="AX2567" s="269" t="s">
        <v>2869</v>
      </c>
      <c r="AY2567" s="270" t="s">
        <v>695</v>
      </c>
      <c r="AZ2567" s="173" t="s">
        <v>8075</v>
      </c>
      <c r="BA2567" s="265"/>
      <c r="BB2567" s="174" t="s">
        <v>245</v>
      </c>
      <c r="BC2567" s="341"/>
      <c r="BD2567" s="308" t="s">
        <v>1844</v>
      </c>
      <c r="BE2567" s="364" t="s">
        <v>8034</v>
      </c>
      <c r="BF2567" s="274" t="str">
        <f>IFERROR(__xludf.DUMMYFUNCTION("LOWER(Regexreplace(to_text(E2567),""[^A-Za-z0-9]"","""")&amp;""_""&amp;Regexreplace(to_text(F2567),""[^A-Za-z0-9]"",""""))"),"schneider_iem3000")</f>
        <v>schneider_iem3000</v>
      </c>
      <c r="BG2567" s="275" t="str">
        <f>IFERROR(__xludf.DUMMYFUNCTION("upper(Regexreplace(to_text(E2567),""[^A-Za-z0-9]"","""")&amp;""-""&amp;Regexreplace(to_text(F2567),""[^A-Za-z0-9]"",""""))"),"SCHNEIDER-IEM3000")</f>
        <v>SCHNEIDER-IEM3000</v>
      </c>
    </row>
    <row r="2568" ht="30.0" customHeight="1">
      <c r="A2568" s="173">
        <v>2691.0</v>
      </c>
      <c r="B2568" s="328" t="s">
        <v>670</v>
      </c>
      <c r="C2568" s="257" t="s">
        <v>8385</v>
      </c>
      <c r="D2568" s="173" t="s">
        <v>8385</v>
      </c>
      <c r="E2568" s="174" t="s">
        <v>8070</v>
      </c>
      <c r="F2568" s="173" t="s">
        <v>8340</v>
      </c>
      <c r="G2568" s="328" t="s">
        <v>673</v>
      </c>
      <c r="H2568" s="328" t="s">
        <v>2863</v>
      </c>
      <c r="I2568" s="258" t="s">
        <v>8072</v>
      </c>
      <c r="J2568" s="259" t="s">
        <v>965</v>
      </c>
      <c r="K2568" s="260" t="s">
        <v>8386</v>
      </c>
      <c r="L2568" s="365"/>
      <c r="M2568" s="329"/>
      <c r="N2568" s="173" t="s">
        <v>679</v>
      </c>
      <c r="O2568" s="173" t="s">
        <v>225</v>
      </c>
      <c r="P2568" s="262" t="str">
        <f t="shared" si="1"/>
        <v>IN-BLR-ANANTA-EM-150_3</v>
      </c>
      <c r="Q2568" s="173" t="s">
        <v>8387</v>
      </c>
      <c r="R2568" s="328" t="str">
        <f>IFS(C2568="","",C2568="n/a","N/A",LEN(C2568),Concatenate("{",char(34),"asset",char(34),":{",char(34),"guid",char(34),":",char(34),Q2568,char(34),",",char(34),"site",char(34),":",char(34),LOWER('2-Building'!$B$4),char(34),",",char(34),"name",char(34),":",char(34),LOWER(C2568),char(34),"}}"))</f>
        <v>{"asset":{"guid":"uuid://8e5b4351-cc83-4937-a41f-8862755ad859","site":"in-blr-ananta","name":"em-150"}}</v>
      </c>
      <c r="S2568" s="366" t="s">
        <v>8075</v>
      </c>
      <c r="T2568" s="330"/>
      <c r="U2568" s="330"/>
      <c r="V2568" s="331"/>
      <c r="W2568" s="332"/>
      <c r="X2568" s="333"/>
      <c r="Y2568" s="33" t="s">
        <v>8076</v>
      </c>
      <c r="Z2568" s="368"/>
      <c r="AA2568" s="333"/>
      <c r="AB2568" s="258">
        <v>14.0</v>
      </c>
      <c r="AC2568" s="333"/>
      <c r="AD2568" s="329"/>
      <c r="AE2568" s="331"/>
      <c r="AF2568" s="336"/>
      <c r="AG2568" s="337" t="str">
        <f>IFS(LEN(AF2568)=17,LOWER('2-Building'!$B$4 &amp; "-" &amp; C2568), AF2568="N/A", "N/A", LEN(AF2568)=0,"")</f>
        <v/>
      </c>
      <c r="AH2568" s="333"/>
      <c r="AI2568" s="333"/>
      <c r="AJ2568" s="333"/>
      <c r="AK2568" s="333"/>
      <c r="AL2568" s="333"/>
      <c r="AM2568" s="338"/>
      <c r="AN2568" s="333"/>
      <c r="AO2568" s="333"/>
      <c r="AP2568" s="333"/>
      <c r="AQ2568" s="333"/>
      <c r="AR2568" s="333"/>
      <c r="AS2568" s="333"/>
      <c r="AT2568" s="333"/>
      <c r="AU2568" s="329"/>
      <c r="AV2568" s="341"/>
      <c r="AW2568" s="269" t="s">
        <v>1367</v>
      </c>
      <c r="AX2568" s="269" t="s">
        <v>2869</v>
      </c>
      <c r="AY2568" s="270" t="s">
        <v>695</v>
      </c>
      <c r="AZ2568" s="173" t="s">
        <v>8075</v>
      </c>
      <c r="BA2568" s="265">
        <v>10.0</v>
      </c>
      <c r="BB2568" s="174" t="s">
        <v>245</v>
      </c>
      <c r="BC2568" s="341"/>
      <c r="BD2568" s="308" t="s">
        <v>1844</v>
      </c>
      <c r="BE2568" s="364" t="s">
        <v>8034</v>
      </c>
      <c r="BF2568" s="274" t="str">
        <f>IFERROR(__xludf.DUMMYFUNCTION("LOWER(Regexreplace(to_text(E2568),""[^A-Za-z0-9]"","""")&amp;""_""&amp;Regexreplace(to_text(F2568),""[^A-Za-z0-9]"",""""))"),"schneider_iem3000")</f>
        <v>schneider_iem3000</v>
      </c>
      <c r="BG2568" s="275" t="str">
        <f>IFERROR(__xludf.DUMMYFUNCTION("upper(Regexreplace(to_text(E2568),""[^A-Za-z0-9]"","""")&amp;""-""&amp;Regexreplace(to_text(F2568),""[^A-Za-z0-9]"",""""))"),"SCHNEIDER-IEM3000")</f>
        <v>SCHNEIDER-IEM3000</v>
      </c>
    </row>
    <row r="2569" ht="30.0" customHeight="1">
      <c r="A2569" s="258"/>
      <c r="B2569" s="328" t="s">
        <v>670</v>
      </c>
      <c r="C2569" s="257" t="s">
        <v>8388</v>
      </c>
      <c r="D2569" s="173" t="s">
        <v>8388</v>
      </c>
      <c r="E2569" s="174" t="s">
        <v>8070</v>
      </c>
      <c r="F2569" s="173" t="s">
        <v>8340</v>
      </c>
      <c r="G2569" s="328" t="s">
        <v>673</v>
      </c>
      <c r="H2569" s="328" t="s">
        <v>2863</v>
      </c>
      <c r="I2569" s="258" t="s">
        <v>8072</v>
      </c>
      <c r="J2569" s="259" t="s">
        <v>1026</v>
      </c>
      <c r="K2569" s="260" t="s">
        <v>8389</v>
      </c>
      <c r="L2569" s="365"/>
      <c r="M2569" s="329"/>
      <c r="N2569" s="173" t="s">
        <v>679</v>
      </c>
      <c r="O2569" s="173" t="s">
        <v>225</v>
      </c>
      <c r="P2569" s="262" t="str">
        <f t="shared" si="1"/>
        <v>IN-BLR-ANANTA-EM-151_4</v>
      </c>
      <c r="Q2569" s="173" t="s">
        <v>8390</v>
      </c>
      <c r="R2569" s="328" t="str">
        <f>IFS(C2569="","",C2569="n/a","N/A",LEN(C2569),Concatenate("{",char(34),"asset",char(34),":{",char(34),"guid",char(34),":",char(34),Q2569,char(34),",",char(34),"site",char(34),":",char(34),LOWER('2-Building'!$B$4),char(34),",",char(34),"name",char(34),":",char(34),LOWER(C2569),char(34),"}}"))</f>
        <v>{"asset":{"guid":"uuid://26ad3396-b845-4758-8ea3-ee81a4a72430","site":"in-blr-ananta","name":"em-151"}}</v>
      </c>
      <c r="S2569" s="366" t="s">
        <v>8075</v>
      </c>
      <c r="T2569" s="330"/>
      <c r="U2569" s="330"/>
      <c r="V2569" s="331"/>
      <c r="W2569" s="332"/>
      <c r="X2569" s="333"/>
      <c r="Y2569" s="33" t="s">
        <v>8076</v>
      </c>
      <c r="Z2569" s="368"/>
      <c r="AA2569" s="333"/>
      <c r="AB2569" s="258">
        <v>11.0</v>
      </c>
      <c r="AC2569" s="333"/>
      <c r="AD2569" s="329"/>
      <c r="AE2569" s="331"/>
      <c r="AF2569" s="336"/>
      <c r="AG2569" s="337"/>
      <c r="AH2569" s="333"/>
      <c r="AI2569" s="333"/>
      <c r="AJ2569" s="333"/>
      <c r="AK2569" s="333"/>
      <c r="AL2569" s="333"/>
      <c r="AM2569" s="338"/>
      <c r="AN2569" s="333"/>
      <c r="AO2569" s="333"/>
      <c r="AP2569" s="333"/>
      <c r="AQ2569" s="333"/>
      <c r="AR2569" s="333"/>
      <c r="AS2569" s="333"/>
      <c r="AT2569" s="333"/>
      <c r="AU2569" s="329"/>
      <c r="AV2569" s="341"/>
      <c r="AW2569" s="269" t="s">
        <v>1734</v>
      </c>
      <c r="AX2569" s="269" t="s">
        <v>2869</v>
      </c>
      <c r="AY2569" s="270" t="s">
        <v>695</v>
      </c>
      <c r="AZ2569" s="173" t="s">
        <v>8075</v>
      </c>
      <c r="BA2569" s="265">
        <v>10.0</v>
      </c>
      <c r="BB2569" s="174" t="s">
        <v>245</v>
      </c>
      <c r="BC2569" s="341"/>
      <c r="BD2569" s="308" t="s">
        <v>1844</v>
      </c>
      <c r="BE2569" s="378"/>
      <c r="BF2569" s="274" t="str">
        <f>IFERROR(__xludf.DUMMYFUNCTION("LOWER(Regexreplace(to_text(E2569),""[^A-Za-z0-9]"","""")&amp;""_""&amp;Regexreplace(to_text(F2569),""[^A-Za-z0-9]"",""""))"),"schneider_iem3000")</f>
        <v>schneider_iem3000</v>
      </c>
      <c r="BG2569" s="275" t="str">
        <f>IFERROR(__xludf.DUMMYFUNCTION("upper(Regexreplace(to_text(E2569),""[^A-Za-z0-9]"","""")&amp;""-""&amp;Regexreplace(to_text(F2569),""[^A-Za-z0-9]"",""""))"),"SCHNEIDER-IEM3000")</f>
        <v>SCHNEIDER-IEM3000</v>
      </c>
    </row>
    <row r="2570" ht="30.0" customHeight="1">
      <c r="A2570" s="258"/>
      <c r="B2570" s="328" t="s">
        <v>670</v>
      </c>
      <c r="C2570" s="257" t="s">
        <v>8391</v>
      </c>
      <c r="D2570" s="173" t="s">
        <v>8391</v>
      </c>
      <c r="E2570" s="174" t="s">
        <v>8070</v>
      </c>
      <c r="F2570" s="173" t="s">
        <v>8340</v>
      </c>
      <c r="G2570" s="328" t="s">
        <v>673</v>
      </c>
      <c r="H2570" s="328" t="s">
        <v>2863</v>
      </c>
      <c r="I2570" s="258" t="s">
        <v>8072</v>
      </c>
      <c r="J2570" s="259" t="s">
        <v>1026</v>
      </c>
      <c r="K2570" s="260" t="s">
        <v>8389</v>
      </c>
      <c r="L2570" s="365"/>
      <c r="M2570" s="329"/>
      <c r="N2570" s="173" t="s">
        <v>679</v>
      </c>
      <c r="O2570" s="173" t="s">
        <v>225</v>
      </c>
      <c r="P2570" s="262" t="str">
        <f t="shared" si="1"/>
        <v>IN-BLR-ANANTA-EM-152_4</v>
      </c>
      <c r="Q2570" s="173" t="s">
        <v>8392</v>
      </c>
      <c r="R2570" s="328" t="str">
        <f>IFS(C2570="","",C2570="n/a","N/A",LEN(C2570),Concatenate("{",char(34),"asset",char(34),":{",char(34),"guid",char(34),":",char(34),Q2570,char(34),",",char(34),"site",char(34),":",char(34),LOWER('2-Building'!$B$4),char(34),",",char(34),"name",char(34),":",char(34),LOWER(C2570),char(34),"}}"))</f>
        <v>{"asset":{"guid":"uuid://39764020-a11c-4977-a1c6-01a71bfbb694","site":"in-blr-ananta","name":"em-152"}}</v>
      </c>
      <c r="S2570" s="366" t="s">
        <v>8075</v>
      </c>
      <c r="T2570" s="330"/>
      <c r="U2570" s="330"/>
      <c r="V2570" s="331"/>
      <c r="W2570" s="332"/>
      <c r="X2570" s="333"/>
      <c r="Y2570" s="33" t="s">
        <v>8076</v>
      </c>
      <c r="Z2570" s="368"/>
      <c r="AA2570" s="333"/>
      <c r="AB2570" s="258">
        <v>12.0</v>
      </c>
      <c r="AC2570" s="333"/>
      <c r="AD2570" s="329"/>
      <c r="AE2570" s="331"/>
      <c r="AF2570" s="336"/>
      <c r="AG2570" s="337"/>
      <c r="AH2570" s="333"/>
      <c r="AI2570" s="333"/>
      <c r="AJ2570" s="333"/>
      <c r="AK2570" s="333"/>
      <c r="AL2570" s="333"/>
      <c r="AM2570" s="338"/>
      <c r="AN2570" s="333"/>
      <c r="AO2570" s="333"/>
      <c r="AP2570" s="333"/>
      <c r="AQ2570" s="333"/>
      <c r="AR2570" s="333"/>
      <c r="AS2570" s="333"/>
      <c r="AT2570" s="333"/>
      <c r="AU2570" s="329"/>
      <c r="AV2570" s="341"/>
      <c r="AW2570" s="269" t="s">
        <v>1734</v>
      </c>
      <c r="AX2570" s="269" t="s">
        <v>2869</v>
      </c>
      <c r="AY2570" s="270" t="s">
        <v>695</v>
      </c>
      <c r="AZ2570" s="173" t="s">
        <v>8075</v>
      </c>
      <c r="BA2570" s="265">
        <v>10.0</v>
      </c>
      <c r="BB2570" s="174" t="s">
        <v>245</v>
      </c>
      <c r="BC2570" s="341"/>
      <c r="BD2570" s="308" t="s">
        <v>1844</v>
      </c>
      <c r="BE2570" s="378"/>
      <c r="BF2570" s="274" t="str">
        <f>IFERROR(__xludf.DUMMYFUNCTION("LOWER(Regexreplace(to_text(E2570),""[^A-Za-z0-9]"","""")&amp;""_""&amp;Regexreplace(to_text(F2570),""[^A-Za-z0-9]"",""""))"),"schneider_iem3000")</f>
        <v>schneider_iem3000</v>
      </c>
      <c r="BG2570" s="275" t="str">
        <f>IFERROR(__xludf.DUMMYFUNCTION("upper(Regexreplace(to_text(E2570),""[^A-Za-z0-9]"","""")&amp;""-""&amp;Regexreplace(to_text(F2570),""[^A-Za-z0-9]"",""""))"),"SCHNEIDER-IEM3000")</f>
        <v>SCHNEIDER-IEM3000</v>
      </c>
    </row>
    <row r="2571" ht="30.0" customHeight="1">
      <c r="A2571" s="258"/>
      <c r="B2571" s="328" t="s">
        <v>670</v>
      </c>
      <c r="C2571" s="257" t="s">
        <v>8393</v>
      </c>
      <c r="D2571" s="173" t="s">
        <v>8393</v>
      </c>
      <c r="E2571" s="174" t="s">
        <v>8070</v>
      </c>
      <c r="F2571" s="173" t="s">
        <v>8340</v>
      </c>
      <c r="G2571" s="328" t="s">
        <v>673</v>
      </c>
      <c r="H2571" s="328" t="s">
        <v>2863</v>
      </c>
      <c r="I2571" s="258" t="s">
        <v>8072</v>
      </c>
      <c r="J2571" s="259" t="s">
        <v>1026</v>
      </c>
      <c r="K2571" s="260" t="s">
        <v>8394</v>
      </c>
      <c r="L2571" s="365"/>
      <c r="M2571" s="329"/>
      <c r="N2571" s="173" t="s">
        <v>679</v>
      </c>
      <c r="O2571" s="173" t="s">
        <v>225</v>
      </c>
      <c r="P2571" s="262" t="str">
        <f t="shared" si="1"/>
        <v>IN-BLR-ANANTA-EM-153_4</v>
      </c>
      <c r="Q2571" s="173" t="s">
        <v>8395</v>
      </c>
      <c r="R2571" s="328" t="str">
        <f>IFS(C2571="","",C2571="n/a","N/A",LEN(C2571),Concatenate("{",char(34),"asset",char(34),":{",char(34),"guid",char(34),":",char(34),Q2571,char(34),",",char(34),"site",char(34),":",char(34),LOWER('2-Building'!$B$4),char(34),",",char(34),"name",char(34),":",char(34),LOWER(C2571),char(34),"}}"))</f>
        <v>{"asset":{"guid":"uuid://41555c9e-fb59-46b8-a55d-a9de235c0043","site":"in-blr-ananta","name":"em-153"}}</v>
      </c>
      <c r="S2571" s="366" t="s">
        <v>8075</v>
      </c>
      <c r="T2571" s="330"/>
      <c r="U2571" s="330"/>
      <c r="V2571" s="331"/>
      <c r="W2571" s="332"/>
      <c r="X2571" s="333"/>
      <c r="Y2571" s="33" t="s">
        <v>8076</v>
      </c>
      <c r="Z2571" s="368"/>
      <c r="AA2571" s="333"/>
      <c r="AB2571" s="258">
        <v>13.0</v>
      </c>
      <c r="AC2571" s="333"/>
      <c r="AD2571" s="329"/>
      <c r="AE2571" s="331"/>
      <c r="AF2571" s="336"/>
      <c r="AG2571" s="337"/>
      <c r="AH2571" s="333"/>
      <c r="AI2571" s="333"/>
      <c r="AJ2571" s="333"/>
      <c r="AK2571" s="333"/>
      <c r="AL2571" s="333"/>
      <c r="AM2571" s="338"/>
      <c r="AN2571" s="333"/>
      <c r="AO2571" s="333"/>
      <c r="AP2571" s="333"/>
      <c r="AQ2571" s="333"/>
      <c r="AR2571" s="333"/>
      <c r="AS2571" s="333"/>
      <c r="AT2571" s="333"/>
      <c r="AU2571" s="329"/>
      <c r="AV2571" s="341"/>
      <c r="AW2571" s="269" t="s">
        <v>1734</v>
      </c>
      <c r="AX2571" s="269" t="s">
        <v>2869</v>
      </c>
      <c r="AY2571" s="270" t="s">
        <v>695</v>
      </c>
      <c r="AZ2571" s="173" t="s">
        <v>8075</v>
      </c>
      <c r="BA2571" s="265">
        <v>10.0</v>
      </c>
      <c r="BB2571" s="174" t="s">
        <v>245</v>
      </c>
      <c r="BC2571" s="341"/>
      <c r="BD2571" s="308" t="s">
        <v>1844</v>
      </c>
      <c r="BE2571" s="378"/>
      <c r="BF2571" s="274" t="str">
        <f>IFERROR(__xludf.DUMMYFUNCTION("LOWER(Regexreplace(to_text(E2571),""[^A-Za-z0-9]"","""")&amp;""_""&amp;Regexreplace(to_text(F2571),""[^A-Za-z0-9]"",""""))"),"schneider_iem3000")</f>
        <v>schneider_iem3000</v>
      </c>
      <c r="BG2571" s="275" t="str">
        <f>IFERROR(__xludf.DUMMYFUNCTION("upper(Regexreplace(to_text(E2571),""[^A-Za-z0-9]"","""")&amp;""-""&amp;Regexreplace(to_text(F2571),""[^A-Za-z0-9]"",""""))"),"SCHNEIDER-IEM3000")</f>
        <v>SCHNEIDER-IEM3000</v>
      </c>
    </row>
    <row r="2572" ht="30.0" customHeight="1">
      <c r="A2572" s="258"/>
      <c r="B2572" s="328" t="s">
        <v>670</v>
      </c>
      <c r="C2572" s="257" t="s">
        <v>8396</v>
      </c>
      <c r="D2572" s="173" t="s">
        <v>8396</v>
      </c>
      <c r="E2572" s="174" t="s">
        <v>8070</v>
      </c>
      <c r="F2572" s="173" t="s">
        <v>8340</v>
      </c>
      <c r="G2572" s="328" t="s">
        <v>673</v>
      </c>
      <c r="H2572" s="328" t="s">
        <v>2863</v>
      </c>
      <c r="I2572" s="258" t="s">
        <v>8072</v>
      </c>
      <c r="J2572" s="259" t="s">
        <v>1026</v>
      </c>
      <c r="K2572" s="260" t="s">
        <v>8394</v>
      </c>
      <c r="L2572" s="365"/>
      <c r="M2572" s="329"/>
      <c r="N2572" s="173" t="s">
        <v>679</v>
      </c>
      <c r="O2572" s="173" t="s">
        <v>225</v>
      </c>
      <c r="P2572" s="262" t="str">
        <f t="shared" si="1"/>
        <v>IN-BLR-ANANTA-EM-154_4</v>
      </c>
      <c r="Q2572" s="173" t="s">
        <v>8397</v>
      </c>
      <c r="R2572" s="328" t="str">
        <f>IFS(C2572="","",C2572="n/a","N/A",LEN(C2572),Concatenate("{",char(34),"asset",char(34),":{",char(34),"guid",char(34),":",char(34),Q2572,char(34),",",char(34),"site",char(34),":",char(34),LOWER('2-Building'!$B$4),char(34),",",char(34),"name",char(34),":",char(34),LOWER(C2572),char(34),"}}"))</f>
        <v>{"asset":{"guid":"uuid://4bf59106-2975-4ea0-ad8d-f06fbea296b1","site":"in-blr-ananta","name":"em-154"}}</v>
      </c>
      <c r="S2572" s="366" t="s">
        <v>8075</v>
      </c>
      <c r="T2572" s="330"/>
      <c r="U2572" s="330"/>
      <c r="V2572" s="331"/>
      <c r="W2572" s="332"/>
      <c r="X2572" s="333"/>
      <c r="Y2572" s="33" t="s">
        <v>8076</v>
      </c>
      <c r="Z2572" s="368"/>
      <c r="AA2572" s="333"/>
      <c r="AB2572" s="258">
        <v>14.0</v>
      </c>
      <c r="AC2572" s="333"/>
      <c r="AD2572" s="329"/>
      <c r="AE2572" s="331"/>
      <c r="AF2572" s="336"/>
      <c r="AG2572" s="337"/>
      <c r="AH2572" s="333"/>
      <c r="AI2572" s="333"/>
      <c r="AJ2572" s="333"/>
      <c r="AK2572" s="333"/>
      <c r="AL2572" s="333"/>
      <c r="AM2572" s="338"/>
      <c r="AN2572" s="333"/>
      <c r="AO2572" s="333"/>
      <c r="AP2572" s="333"/>
      <c r="AQ2572" s="333"/>
      <c r="AR2572" s="333"/>
      <c r="AS2572" s="333"/>
      <c r="AT2572" s="333"/>
      <c r="AU2572" s="329"/>
      <c r="AV2572" s="341"/>
      <c r="AW2572" s="269" t="s">
        <v>1734</v>
      </c>
      <c r="AX2572" s="269" t="s">
        <v>2869</v>
      </c>
      <c r="AY2572" s="270" t="s">
        <v>695</v>
      </c>
      <c r="AZ2572" s="173" t="s">
        <v>8075</v>
      </c>
      <c r="BA2572" s="265">
        <v>10.0</v>
      </c>
      <c r="BB2572" s="174" t="s">
        <v>245</v>
      </c>
      <c r="BC2572" s="341"/>
      <c r="BD2572" s="308" t="s">
        <v>1844</v>
      </c>
      <c r="BE2572" s="378"/>
      <c r="BF2572" s="274" t="str">
        <f>IFERROR(__xludf.DUMMYFUNCTION("LOWER(Regexreplace(to_text(E2572),""[^A-Za-z0-9]"","""")&amp;""_""&amp;Regexreplace(to_text(F2572),""[^A-Za-z0-9]"",""""))"),"schneider_iem3000")</f>
        <v>schneider_iem3000</v>
      </c>
      <c r="BG2572" s="275" t="str">
        <f>IFERROR(__xludf.DUMMYFUNCTION("upper(Regexreplace(to_text(E2572),""[^A-Za-z0-9]"","""")&amp;""-""&amp;Regexreplace(to_text(F2572),""[^A-Za-z0-9]"",""""))"),"SCHNEIDER-IEM3000")</f>
        <v>SCHNEIDER-IEM3000</v>
      </c>
    </row>
    <row r="2573" ht="30.0" customHeight="1">
      <c r="A2573" s="258"/>
      <c r="B2573" s="328" t="s">
        <v>670</v>
      </c>
      <c r="C2573" s="257" t="s">
        <v>8398</v>
      </c>
      <c r="D2573" s="173" t="s">
        <v>8398</v>
      </c>
      <c r="E2573" s="174" t="s">
        <v>8070</v>
      </c>
      <c r="F2573" s="173" t="s">
        <v>8340</v>
      </c>
      <c r="G2573" s="328" t="s">
        <v>673</v>
      </c>
      <c r="H2573" s="328" t="s">
        <v>2863</v>
      </c>
      <c r="I2573" s="258" t="s">
        <v>8072</v>
      </c>
      <c r="J2573" s="259" t="s">
        <v>1088</v>
      </c>
      <c r="K2573" s="260" t="s">
        <v>8399</v>
      </c>
      <c r="L2573" s="365"/>
      <c r="M2573" s="329"/>
      <c r="N2573" s="173" t="s">
        <v>679</v>
      </c>
      <c r="O2573" s="173" t="s">
        <v>225</v>
      </c>
      <c r="P2573" s="262" t="str">
        <f t="shared" si="1"/>
        <v>IN-BLR-ANANTA-EM-155_5</v>
      </c>
      <c r="Q2573" s="173" t="s">
        <v>8400</v>
      </c>
      <c r="R2573" s="328" t="str">
        <f>IFS(C2573="","",C2573="n/a","N/A",LEN(C2573),Concatenate("{",char(34),"asset",char(34),":{",char(34),"guid",char(34),":",char(34),Q2573,char(34),",",char(34),"site",char(34),":",char(34),LOWER('2-Building'!$B$4),char(34),",",char(34),"name",char(34),":",char(34),LOWER(C2573),char(34),"}}"))</f>
        <v>{"asset":{"guid":"uuid://756a409a-a96e-46cb-ab3f-60e3fd7d7841","site":"in-blr-ananta","name":"em-155"}}</v>
      </c>
      <c r="S2573" s="366" t="s">
        <v>8075</v>
      </c>
      <c r="T2573" s="330"/>
      <c r="U2573" s="330"/>
      <c r="V2573" s="331"/>
      <c r="W2573" s="332"/>
      <c r="X2573" s="333"/>
      <c r="Y2573" s="33" t="s">
        <v>8076</v>
      </c>
      <c r="Z2573" s="368"/>
      <c r="AA2573" s="333"/>
      <c r="AB2573" s="258">
        <v>11.0</v>
      </c>
      <c r="AC2573" s="333"/>
      <c r="AD2573" s="329"/>
      <c r="AE2573" s="331"/>
      <c r="AF2573" s="336"/>
      <c r="AG2573" s="337"/>
      <c r="AH2573" s="333"/>
      <c r="AI2573" s="333"/>
      <c r="AJ2573" s="333"/>
      <c r="AK2573" s="333"/>
      <c r="AL2573" s="333"/>
      <c r="AM2573" s="338"/>
      <c r="AN2573" s="333"/>
      <c r="AO2573" s="333"/>
      <c r="AP2573" s="333"/>
      <c r="AQ2573" s="333"/>
      <c r="AR2573" s="333"/>
      <c r="AS2573" s="333"/>
      <c r="AT2573" s="333"/>
      <c r="AU2573" s="329"/>
      <c r="AV2573" s="341"/>
      <c r="AW2573" s="269" t="s">
        <v>1780</v>
      </c>
      <c r="AX2573" s="269" t="s">
        <v>2869</v>
      </c>
      <c r="AY2573" s="270" t="s">
        <v>695</v>
      </c>
      <c r="AZ2573" s="173" t="s">
        <v>8075</v>
      </c>
      <c r="BA2573" s="265">
        <v>10.0</v>
      </c>
      <c r="BB2573" s="174" t="s">
        <v>245</v>
      </c>
      <c r="BC2573" s="341"/>
      <c r="BD2573" s="308" t="s">
        <v>1844</v>
      </c>
      <c r="BE2573" s="378"/>
      <c r="BF2573" s="274" t="str">
        <f>IFERROR(__xludf.DUMMYFUNCTION("LOWER(Regexreplace(to_text(E2573),""[^A-Za-z0-9]"","""")&amp;""_""&amp;Regexreplace(to_text(F2573),""[^A-Za-z0-9]"",""""))"),"schneider_iem3000")</f>
        <v>schneider_iem3000</v>
      </c>
      <c r="BG2573" s="275" t="str">
        <f>IFERROR(__xludf.DUMMYFUNCTION("upper(Regexreplace(to_text(E2573),""[^A-Za-z0-9]"","""")&amp;""-""&amp;Regexreplace(to_text(F2573),""[^A-Za-z0-9]"",""""))"),"SCHNEIDER-IEM3000")</f>
        <v>SCHNEIDER-IEM3000</v>
      </c>
    </row>
    <row r="2574" ht="30.0" customHeight="1">
      <c r="A2574" s="258"/>
      <c r="B2574" s="328" t="s">
        <v>670</v>
      </c>
      <c r="C2574" s="257" t="s">
        <v>8401</v>
      </c>
      <c r="D2574" s="173" t="s">
        <v>8401</v>
      </c>
      <c r="E2574" s="174" t="s">
        <v>8070</v>
      </c>
      <c r="F2574" s="173" t="s">
        <v>8340</v>
      </c>
      <c r="G2574" s="328" t="s">
        <v>673</v>
      </c>
      <c r="H2574" s="328" t="s">
        <v>2863</v>
      </c>
      <c r="I2574" s="258" t="s">
        <v>8072</v>
      </c>
      <c r="J2574" s="259" t="s">
        <v>1088</v>
      </c>
      <c r="K2574" s="260" t="s">
        <v>8399</v>
      </c>
      <c r="L2574" s="365"/>
      <c r="M2574" s="329"/>
      <c r="N2574" s="173" t="s">
        <v>679</v>
      </c>
      <c r="O2574" s="173" t="s">
        <v>225</v>
      </c>
      <c r="P2574" s="262" t="str">
        <f t="shared" si="1"/>
        <v>IN-BLR-ANANTA-EM-156_5</v>
      </c>
      <c r="Q2574" s="173" t="s">
        <v>8402</v>
      </c>
      <c r="R2574" s="328" t="str">
        <f>IFS(C2574="","",C2574="n/a","N/A",LEN(C2574),Concatenate("{",char(34),"asset",char(34),":{",char(34),"guid",char(34),":",char(34),Q2574,char(34),",",char(34),"site",char(34),":",char(34),LOWER('2-Building'!$B$4),char(34),",",char(34),"name",char(34),":",char(34),LOWER(C2574),char(34),"}}"))</f>
        <v>{"asset":{"guid":"uuid://aa2bb59e-2dbe-491f-b809-201dc6f5bff8","site":"in-blr-ananta","name":"em-156"}}</v>
      </c>
      <c r="S2574" s="366" t="s">
        <v>8075</v>
      </c>
      <c r="T2574" s="330"/>
      <c r="U2574" s="330"/>
      <c r="V2574" s="331"/>
      <c r="W2574" s="332"/>
      <c r="X2574" s="333"/>
      <c r="Y2574" s="33" t="s">
        <v>8076</v>
      </c>
      <c r="Z2574" s="368"/>
      <c r="AA2574" s="333"/>
      <c r="AB2574" s="258">
        <v>12.0</v>
      </c>
      <c r="AC2574" s="333"/>
      <c r="AD2574" s="329"/>
      <c r="AE2574" s="331"/>
      <c r="AF2574" s="336"/>
      <c r="AG2574" s="337"/>
      <c r="AH2574" s="333"/>
      <c r="AI2574" s="333"/>
      <c r="AJ2574" s="333"/>
      <c r="AK2574" s="333"/>
      <c r="AL2574" s="333"/>
      <c r="AM2574" s="338"/>
      <c r="AN2574" s="333"/>
      <c r="AO2574" s="333"/>
      <c r="AP2574" s="333"/>
      <c r="AQ2574" s="333"/>
      <c r="AR2574" s="333"/>
      <c r="AS2574" s="333"/>
      <c r="AT2574" s="333"/>
      <c r="AU2574" s="329"/>
      <c r="AV2574" s="341"/>
      <c r="AW2574" s="269" t="s">
        <v>1780</v>
      </c>
      <c r="AX2574" s="269" t="s">
        <v>2869</v>
      </c>
      <c r="AY2574" s="270" t="s">
        <v>695</v>
      </c>
      <c r="AZ2574" s="173" t="s">
        <v>8075</v>
      </c>
      <c r="BA2574" s="265">
        <v>10.0</v>
      </c>
      <c r="BB2574" s="174" t="s">
        <v>245</v>
      </c>
      <c r="BC2574" s="341"/>
      <c r="BD2574" s="308" t="s">
        <v>1844</v>
      </c>
      <c r="BE2574" s="378"/>
      <c r="BF2574" s="274" t="str">
        <f>IFERROR(__xludf.DUMMYFUNCTION("LOWER(Regexreplace(to_text(E2574),""[^A-Za-z0-9]"","""")&amp;""_""&amp;Regexreplace(to_text(F2574),""[^A-Za-z0-9]"",""""))"),"schneider_iem3000")</f>
        <v>schneider_iem3000</v>
      </c>
      <c r="BG2574" s="275" t="str">
        <f>IFERROR(__xludf.DUMMYFUNCTION("upper(Regexreplace(to_text(E2574),""[^A-Za-z0-9]"","""")&amp;""-""&amp;Regexreplace(to_text(F2574),""[^A-Za-z0-9]"",""""))"),"SCHNEIDER-IEM3000")</f>
        <v>SCHNEIDER-IEM3000</v>
      </c>
    </row>
    <row r="2575" ht="30.0" customHeight="1">
      <c r="A2575" s="258"/>
      <c r="B2575" s="328" t="s">
        <v>670</v>
      </c>
      <c r="C2575" s="257" t="s">
        <v>8403</v>
      </c>
      <c r="D2575" s="173" t="s">
        <v>8403</v>
      </c>
      <c r="E2575" s="174" t="s">
        <v>8070</v>
      </c>
      <c r="F2575" s="173" t="s">
        <v>8340</v>
      </c>
      <c r="G2575" s="328" t="s">
        <v>673</v>
      </c>
      <c r="H2575" s="328" t="s">
        <v>2863</v>
      </c>
      <c r="I2575" s="258" t="s">
        <v>8072</v>
      </c>
      <c r="J2575" s="259" t="s">
        <v>1088</v>
      </c>
      <c r="K2575" s="260" t="s">
        <v>5394</v>
      </c>
      <c r="L2575" s="365"/>
      <c r="M2575" s="329"/>
      <c r="N2575" s="173" t="s">
        <v>679</v>
      </c>
      <c r="O2575" s="173" t="s">
        <v>225</v>
      </c>
      <c r="P2575" s="262" t="str">
        <f t="shared" si="1"/>
        <v>IN-BLR-ANANTA-EM-157_5</v>
      </c>
      <c r="Q2575" s="173" t="s">
        <v>8404</v>
      </c>
      <c r="R2575" s="328" t="str">
        <f>IFS(C2575="","",C2575="n/a","N/A",LEN(C2575),Concatenate("{",char(34),"asset",char(34),":{",char(34),"guid",char(34),":",char(34),Q2575,char(34),",",char(34),"site",char(34),":",char(34),LOWER('2-Building'!$B$4),char(34),",",char(34),"name",char(34),":",char(34),LOWER(C2575),char(34),"}}"))</f>
        <v>{"asset":{"guid":"uuid://8216141c-e5cc-4201-9369-ac914cc6873e","site":"in-blr-ananta","name":"em-157"}}</v>
      </c>
      <c r="S2575" s="366" t="s">
        <v>8075</v>
      </c>
      <c r="T2575" s="330"/>
      <c r="U2575" s="330"/>
      <c r="V2575" s="331"/>
      <c r="W2575" s="332"/>
      <c r="X2575" s="333"/>
      <c r="Y2575" s="33" t="s">
        <v>8076</v>
      </c>
      <c r="Z2575" s="368"/>
      <c r="AA2575" s="333"/>
      <c r="AB2575" s="258">
        <v>13.0</v>
      </c>
      <c r="AC2575" s="333"/>
      <c r="AD2575" s="329"/>
      <c r="AE2575" s="331"/>
      <c r="AF2575" s="336"/>
      <c r="AG2575" s="337"/>
      <c r="AH2575" s="333"/>
      <c r="AI2575" s="333"/>
      <c r="AJ2575" s="333"/>
      <c r="AK2575" s="333"/>
      <c r="AL2575" s="333"/>
      <c r="AM2575" s="338"/>
      <c r="AN2575" s="333"/>
      <c r="AO2575" s="333"/>
      <c r="AP2575" s="333"/>
      <c r="AQ2575" s="333"/>
      <c r="AR2575" s="333"/>
      <c r="AS2575" s="333"/>
      <c r="AT2575" s="333"/>
      <c r="AU2575" s="329"/>
      <c r="AV2575" s="341"/>
      <c r="AW2575" s="269" t="s">
        <v>1780</v>
      </c>
      <c r="AX2575" s="269" t="s">
        <v>2869</v>
      </c>
      <c r="AY2575" s="270" t="s">
        <v>695</v>
      </c>
      <c r="AZ2575" s="173" t="s">
        <v>8075</v>
      </c>
      <c r="BA2575" s="265">
        <v>10.0</v>
      </c>
      <c r="BB2575" s="174" t="s">
        <v>245</v>
      </c>
      <c r="BC2575" s="341"/>
      <c r="BD2575" s="308" t="s">
        <v>1844</v>
      </c>
      <c r="BE2575" s="378"/>
      <c r="BF2575" s="274" t="str">
        <f>IFERROR(__xludf.DUMMYFUNCTION("LOWER(Regexreplace(to_text(E2575),""[^A-Za-z0-9]"","""")&amp;""_""&amp;Regexreplace(to_text(F2575),""[^A-Za-z0-9]"",""""))"),"schneider_iem3000")</f>
        <v>schneider_iem3000</v>
      </c>
      <c r="BG2575" s="275" t="str">
        <f>IFERROR(__xludf.DUMMYFUNCTION("upper(Regexreplace(to_text(E2575),""[^A-Za-z0-9]"","""")&amp;""-""&amp;Regexreplace(to_text(F2575),""[^A-Za-z0-9]"",""""))"),"SCHNEIDER-IEM3000")</f>
        <v>SCHNEIDER-IEM3000</v>
      </c>
    </row>
    <row r="2576" ht="30.0" customHeight="1">
      <c r="A2576" s="258"/>
      <c r="B2576" s="328" t="s">
        <v>670</v>
      </c>
      <c r="C2576" s="257" t="s">
        <v>8405</v>
      </c>
      <c r="D2576" s="173" t="s">
        <v>8405</v>
      </c>
      <c r="E2576" s="174" t="s">
        <v>8070</v>
      </c>
      <c r="F2576" s="173" t="s">
        <v>8340</v>
      </c>
      <c r="G2576" s="328" t="s">
        <v>673</v>
      </c>
      <c r="H2576" s="328" t="s">
        <v>2863</v>
      </c>
      <c r="I2576" s="258" t="s">
        <v>8072</v>
      </c>
      <c r="J2576" s="259" t="s">
        <v>1088</v>
      </c>
      <c r="K2576" s="260" t="s">
        <v>5394</v>
      </c>
      <c r="L2576" s="365"/>
      <c r="M2576" s="329"/>
      <c r="N2576" s="173" t="s">
        <v>679</v>
      </c>
      <c r="O2576" s="173" t="s">
        <v>225</v>
      </c>
      <c r="P2576" s="262" t="str">
        <f t="shared" si="1"/>
        <v>IN-BLR-ANANTA-EM-158_5</v>
      </c>
      <c r="Q2576" s="173" t="s">
        <v>8406</v>
      </c>
      <c r="R2576" s="328" t="str">
        <f>IFS(C2576="","",C2576="n/a","N/A",LEN(C2576),Concatenate("{",char(34),"asset",char(34),":{",char(34),"guid",char(34),":",char(34),Q2576,char(34),",",char(34),"site",char(34),":",char(34),LOWER('2-Building'!$B$4),char(34),",",char(34),"name",char(34),":",char(34),LOWER(C2576),char(34),"}}"))</f>
        <v>{"asset":{"guid":"uuid://a9d7d989-eb81-42ac-9e46-a60e94a1ea3f","site":"in-blr-ananta","name":"em-158"}}</v>
      </c>
      <c r="S2576" s="366" t="s">
        <v>8075</v>
      </c>
      <c r="T2576" s="330"/>
      <c r="U2576" s="330"/>
      <c r="V2576" s="331"/>
      <c r="W2576" s="332"/>
      <c r="X2576" s="333"/>
      <c r="Y2576" s="33" t="s">
        <v>8076</v>
      </c>
      <c r="Z2576" s="368"/>
      <c r="AA2576" s="333"/>
      <c r="AB2576" s="258">
        <v>14.0</v>
      </c>
      <c r="AC2576" s="333"/>
      <c r="AD2576" s="329"/>
      <c r="AE2576" s="331"/>
      <c r="AF2576" s="336"/>
      <c r="AG2576" s="337"/>
      <c r="AH2576" s="333"/>
      <c r="AI2576" s="333"/>
      <c r="AJ2576" s="333"/>
      <c r="AK2576" s="333"/>
      <c r="AL2576" s="333"/>
      <c r="AM2576" s="338"/>
      <c r="AN2576" s="333"/>
      <c r="AO2576" s="333"/>
      <c r="AP2576" s="333"/>
      <c r="AQ2576" s="333"/>
      <c r="AR2576" s="333"/>
      <c r="AS2576" s="333"/>
      <c r="AT2576" s="333"/>
      <c r="AU2576" s="329"/>
      <c r="AV2576" s="341"/>
      <c r="AW2576" s="269" t="s">
        <v>1780</v>
      </c>
      <c r="AX2576" s="269" t="s">
        <v>2869</v>
      </c>
      <c r="AY2576" s="270" t="s">
        <v>695</v>
      </c>
      <c r="AZ2576" s="173" t="s">
        <v>8075</v>
      </c>
      <c r="BA2576" s="265">
        <v>10.0</v>
      </c>
      <c r="BB2576" s="174" t="s">
        <v>245</v>
      </c>
      <c r="BC2576" s="341"/>
      <c r="BD2576" s="308" t="s">
        <v>1844</v>
      </c>
      <c r="BE2576" s="378"/>
      <c r="BF2576" s="274" t="str">
        <f>IFERROR(__xludf.DUMMYFUNCTION("LOWER(Regexreplace(to_text(E2576),""[^A-Za-z0-9]"","""")&amp;""_""&amp;Regexreplace(to_text(F2576),""[^A-Za-z0-9]"",""""))"),"schneider_iem3000")</f>
        <v>schneider_iem3000</v>
      </c>
      <c r="BG2576" s="275" t="str">
        <f>IFERROR(__xludf.DUMMYFUNCTION("upper(Regexreplace(to_text(E2576),""[^A-Za-z0-9]"","""")&amp;""-""&amp;Regexreplace(to_text(F2576),""[^A-Za-z0-9]"",""""))"),"SCHNEIDER-IEM3000")</f>
        <v>SCHNEIDER-IEM3000</v>
      </c>
    </row>
    <row r="2577" ht="30.0" customHeight="1">
      <c r="A2577" s="258"/>
      <c r="B2577" s="328" t="s">
        <v>670</v>
      </c>
      <c r="C2577" s="257" t="s">
        <v>8407</v>
      </c>
      <c r="D2577" s="173" t="s">
        <v>8407</v>
      </c>
      <c r="E2577" s="174" t="s">
        <v>8070</v>
      </c>
      <c r="F2577" s="173" t="s">
        <v>8340</v>
      </c>
      <c r="G2577" s="328" t="s">
        <v>673</v>
      </c>
      <c r="H2577" s="328" t="s">
        <v>2863</v>
      </c>
      <c r="I2577" s="258" t="s">
        <v>8072</v>
      </c>
      <c r="J2577" s="259" t="s">
        <v>1149</v>
      </c>
      <c r="K2577" s="260" t="s">
        <v>8408</v>
      </c>
      <c r="L2577" s="365"/>
      <c r="M2577" s="329"/>
      <c r="N2577" s="173" t="s">
        <v>679</v>
      </c>
      <c r="O2577" s="173" t="s">
        <v>225</v>
      </c>
      <c r="P2577" s="262" t="str">
        <f t="shared" si="1"/>
        <v>IN-BLR-ANANTA-EM-159_6</v>
      </c>
      <c r="Q2577" s="173" t="s">
        <v>8409</v>
      </c>
      <c r="R2577" s="328" t="str">
        <f>IFS(C2577="","",C2577="n/a","N/A",LEN(C2577),Concatenate("{",char(34),"asset",char(34),":{",char(34),"guid",char(34),":",char(34),Q2577,char(34),",",char(34),"site",char(34),":",char(34),LOWER('2-Building'!$B$4),char(34),",",char(34),"name",char(34),":",char(34),LOWER(C2577),char(34),"}}"))</f>
        <v>{"asset":{"guid":"uuid://35e5ede8-e6ec-4d4e-b927-96c2c0c76266","site":"in-blr-ananta","name":"em-159"}}</v>
      </c>
      <c r="S2577" s="366" t="s">
        <v>8075</v>
      </c>
      <c r="T2577" s="330"/>
      <c r="U2577" s="330"/>
      <c r="V2577" s="331"/>
      <c r="W2577" s="332"/>
      <c r="X2577" s="333"/>
      <c r="Y2577" s="33" t="s">
        <v>8076</v>
      </c>
      <c r="Z2577" s="368"/>
      <c r="AA2577" s="333"/>
      <c r="AB2577" s="258">
        <v>11.0</v>
      </c>
      <c r="AC2577" s="333"/>
      <c r="AD2577" s="329"/>
      <c r="AE2577" s="331"/>
      <c r="AF2577" s="336"/>
      <c r="AG2577" s="337"/>
      <c r="AH2577" s="333"/>
      <c r="AI2577" s="333"/>
      <c r="AJ2577" s="333"/>
      <c r="AK2577" s="333"/>
      <c r="AL2577" s="333"/>
      <c r="AM2577" s="338"/>
      <c r="AN2577" s="333"/>
      <c r="AO2577" s="333"/>
      <c r="AP2577" s="333"/>
      <c r="AQ2577" s="333"/>
      <c r="AR2577" s="333"/>
      <c r="AS2577" s="333"/>
      <c r="AT2577" s="333"/>
      <c r="AU2577" s="329"/>
      <c r="AV2577" s="341"/>
      <c r="AW2577" s="269" t="s">
        <v>2327</v>
      </c>
      <c r="AX2577" s="269" t="s">
        <v>2869</v>
      </c>
      <c r="AY2577" s="270" t="s">
        <v>695</v>
      </c>
      <c r="AZ2577" s="173" t="s">
        <v>8288</v>
      </c>
      <c r="BA2577" s="265">
        <v>10.0</v>
      </c>
      <c r="BB2577" s="174" t="s">
        <v>245</v>
      </c>
      <c r="BC2577" s="341"/>
      <c r="BD2577" s="308" t="s">
        <v>1844</v>
      </c>
      <c r="BE2577" s="378"/>
      <c r="BF2577" s="274" t="str">
        <f>IFERROR(__xludf.DUMMYFUNCTION("LOWER(Regexreplace(to_text(E2577),""[^A-Za-z0-9]"","""")&amp;""_""&amp;Regexreplace(to_text(F2577),""[^A-Za-z0-9]"",""""))"),"schneider_iem3000")</f>
        <v>schneider_iem3000</v>
      </c>
      <c r="BG2577" s="275" t="str">
        <f>IFERROR(__xludf.DUMMYFUNCTION("upper(Regexreplace(to_text(E2577),""[^A-Za-z0-9]"","""")&amp;""-""&amp;Regexreplace(to_text(F2577),""[^A-Za-z0-9]"",""""))"),"SCHNEIDER-IEM3000")</f>
        <v>SCHNEIDER-IEM3000</v>
      </c>
    </row>
    <row r="2578" ht="30.0" customHeight="1">
      <c r="A2578" s="258"/>
      <c r="B2578" s="328" t="s">
        <v>670</v>
      </c>
      <c r="C2578" s="257" t="s">
        <v>8410</v>
      </c>
      <c r="D2578" s="173" t="s">
        <v>8410</v>
      </c>
      <c r="E2578" s="174" t="s">
        <v>8070</v>
      </c>
      <c r="F2578" s="173" t="s">
        <v>8340</v>
      </c>
      <c r="G2578" s="328" t="s">
        <v>673</v>
      </c>
      <c r="H2578" s="328" t="s">
        <v>2863</v>
      </c>
      <c r="I2578" s="258" t="s">
        <v>8072</v>
      </c>
      <c r="J2578" s="259" t="s">
        <v>1149</v>
      </c>
      <c r="K2578" s="260" t="s">
        <v>8408</v>
      </c>
      <c r="L2578" s="365"/>
      <c r="M2578" s="329"/>
      <c r="N2578" s="173" t="s">
        <v>679</v>
      </c>
      <c r="O2578" s="173" t="s">
        <v>225</v>
      </c>
      <c r="P2578" s="262" t="str">
        <f t="shared" si="1"/>
        <v>IN-BLR-ANANTA-EM-160_6</v>
      </c>
      <c r="Q2578" s="173" t="s">
        <v>8411</v>
      </c>
      <c r="R2578" s="328" t="str">
        <f>IFS(C2578="","",C2578="n/a","N/A",LEN(C2578),Concatenate("{",char(34),"asset",char(34),":{",char(34),"guid",char(34),":",char(34),Q2578,char(34),",",char(34),"site",char(34),":",char(34),LOWER('2-Building'!$B$4),char(34),",",char(34),"name",char(34),":",char(34),LOWER(C2578),char(34),"}}"))</f>
        <v>{"asset":{"guid":"uuid://b3264151-9fdc-497d-94a9-bb506e309aa3","site":"in-blr-ananta","name":"em-160"}}</v>
      </c>
      <c r="S2578" s="366" t="s">
        <v>8075</v>
      </c>
      <c r="T2578" s="330"/>
      <c r="U2578" s="330"/>
      <c r="V2578" s="331"/>
      <c r="W2578" s="332"/>
      <c r="X2578" s="333"/>
      <c r="Y2578" s="33" t="s">
        <v>8076</v>
      </c>
      <c r="Z2578" s="368"/>
      <c r="AA2578" s="333"/>
      <c r="AB2578" s="258">
        <v>12.0</v>
      </c>
      <c r="AC2578" s="333"/>
      <c r="AD2578" s="329"/>
      <c r="AE2578" s="331"/>
      <c r="AF2578" s="336"/>
      <c r="AG2578" s="337"/>
      <c r="AH2578" s="333"/>
      <c r="AI2578" s="333"/>
      <c r="AJ2578" s="333"/>
      <c r="AK2578" s="333"/>
      <c r="AL2578" s="333"/>
      <c r="AM2578" s="338"/>
      <c r="AN2578" s="333"/>
      <c r="AO2578" s="333"/>
      <c r="AP2578" s="333"/>
      <c r="AQ2578" s="333"/>
      <c r="AR2578" s="333"/>
      <c r="AS2578" s="333"/>
      <c r="AT2578" s="333"/>
      <c r="AU2578" s="329"/>
      <c r="AV2578" s="341"/>
      <c r="AW2578" s="269" t="s">
        <v>2327</v>
      </c>
      <c r="AX2578" s="269" t="s">
        <v>2869</v>
      </c>
      <c r="AY2578" s="270" t="s">
        <v>695</v>
      </c>
      <c r="AZ2578" s="173" t="s">
        <v>8288</v>
      </c>
      <c r="BA2578" s="265">
        <v>10.0</v>
      </c>
      <c r="BB2578" s="174" t="s">
        <v>245</v>
      </c>
      <c r="BC2578" s="341"/>
      <c r="BD2578" s="308" t="s">
        <v>1844</v>
      </c>
      <c r="BE2578" s="378"/>
      <c r="BF2578" s="274" t="str">
        <f>IFERROR(__xludf.DUMMYFUNCTION("LOWER(Regexreplace(to_text(E2578),""[^A-Za-z0-9]"","""")&amp;""_""&amp;Regexreplace(to_text(F2578),""[^A-Za-z0-9]"",""""))"),"schneider_iem3000")</f>
        <v>schneider_iem3000</v>
      </c>
      <c r="BG2578" s="275" t="str">
        <f>IFERROR(__xludf.DUMMYFUNCTION("upper(Regexreplace(to_text(E2578),""[^A-Za-z0-9]"","""")&amp;""-""&amp;Regexreplace(to_text(F2578),""[^A-Za-z0-9]"",""""))"),"SCHNEIDER-IEM3000")</f>
        <v>SCHNEIDER-IEM3000</v>
      </c>
    </row>
    <row r="2579" ht="30.0" customHeight="1">
      <c r="A2579" s="258"/>
      <c r="B2579" s="328" t="s">
        <v>670</v>
      </c>
      <c r="C2579" s="257" t="s">
        <v>8412</v>
      </c>
      <c r="D2579" s="173" t="s">
        <v>8412</v>
      </c>
      <c r="E2579" s="174" t="s">
        <v>8070</v>
      </c>
      <c r="F2579" s="173" t="s">
        <v>8340</v>
      </c>
      <c r="G2579" s="328" t="s">
        <v>673</v>
      </c>
      <c r="H2579" s="328" t="s">
        <v>2863</v>
      </c>
      <c r="I2579" s="258" t="s">
        <v>8072</v>
      </c>
      <c r="J2579" s="259" t="s">
        <v>1149</v>
      </c>
      <c r="K2579" s="260" t="s">
        <v>8408</v>
      </c>
      <c r="L2579" s="365"/>
      <c r="M2579" s="329"/>
      <c r="N2579" s="173" t="s">
        <v>679</v>
      </c>
      <c r="O2579" s="173" t="s">
        <v>225</v>
      </c>
      <c r="P2579" s="262" t="str">
        <f t="shared" si="1"/>
        <v>IN-BLR-ANANTA-EM-161_6</v>
      </c>
      <c r="Q2579" s="173" t="s">
        <v>8413</v>
      </c>
      <c r="R2579" s="328" t="str">
        <f>IFS(C2579="","",C2579="n/a","N/A",LEN(C2579),Concatenate("{",char(34),"asset",char(34),":{",char(34),"guid",char(34),":",char(34),Q2579,char(34),",",char(34),"site",char(34),":",char(34),LOWER('2-Building'!$B$4),char(34),",",char(34),"name",char(34),":",char(34),LOWER(C2579),char(34),"}}"))</f>
        <v>{"asset":{"guid":"uuid://691cb694-92ef-446e-8eec-b550fa102b43","site":"in-blr-ananta","name":"em-161"}}</v>
      </c>
      <c r="S2579" s="366" t="s">
        <v>8075</v>
      </c>
      <c r="T2579" s="330"/>
      <c r="U2579" s="330"/>
      <c r="V2579" s="331"/>
      <c r="W2579" s="332"/>
      <c r="X2579" s="333"/>
      <c r="Y2579" s="33" t="s">
        <v>8076</v>
      </c>
      <c r="Z2579" s="368"/>
      <c r="AA2579" s="333"/>
      <c r="AB2579" s="258">
        <v>13.0</v>
      </c>
      <c r="AC2579" s="333"/>
      <c r="AD2579" s="329"/>
      <c r="AE2579" s="331"/>
      <c r="AF2579" s="336"/>
      <c r="AG2579" s="337"/>
      <c r="AH2579" s="333"/>
      <c r="AI2579" s="333"/>
      <c r="AJ2579" s="333"/>
      <c r="AK2579" s="333"/>
      <c r="AL2579" s="333"/>
      <c r="AM2579" s="338"/>
      <c r="AN2579" s="333"/>
      <c r="AO2579" s="333"/>
      <c r="AP2579" s="333"/>
      <c r="AQ2579" s="333"/>
      <c r="AR2579" s="333"/>
      <c r="AS2579" s="333"/>
      <c r="AT2579" s="333"/>
      <c r="AU2579" s="329"/>
      <c r="AV2579" s="341"/>
      <c r="AW2579" s="269" t="s">
        <v>2327</v>
      </c>
      <c r="AX2579" s="269" t="s">
        <v>2869</v>
      </c>
      <c r="AY2579" s="270" t="s">
        <v>695</v>
      </c>
      <c r="AZ2579" s="173" t="s">
        <v>8288</v>
      </c>
      <c r="BA2579" s="265">
        <v>10.0</v>
      </c>
      <c r="BB2579" s="174" t="s">
        <v>245</v>
      </c>
      <c r="BC2579" s="341"/>
      <c r="BD2579" s="308" t="s">
        <v>1844</v>
      </c>
      <c r="BE2579" s="378"/>
      <c r="BF2579" s="274" t="str">
        <f>IFERROR(__xludf.DUMMYFUNCTION("LOWER(Regexreplace(to_text(E2579),""[^A-Za-z0-9]"","""")&amp;""_""&amp;Regexreplace(to_text(F2579),""[^A-Za-z0-9]"",""""))"),"schneider_iem3000")</f>
        <v>schneider_iem3000</v>
      </c>
      <c r="BG2579" s="275" t="str">
        <f>IFERROR(__xludf.DUMMYFUNCTION("upper(Regexreplace(to_text(E2579),""[^A-Za-z0-9]"","""")&amp;""-""&amp;Regexreplace(to_text(F2579),""[^A-Za-z0-9]"",""""))"),"SCHNEIDER-IEM3000")</f>
        <v>SCHNEIDER-IEM3000</v>
      </c>
    </row>
    <row r="2580" ht="30.0" customHeight="1">
      <c r="A2580" s="258"/>
      <c r="B2580" s="328" t="s">
        <v>670</v>
      </c>
      <c r="C2580" s="257" t="s">
        <v>8414</v>
      </c>
      <c r="D2580" s="173" t="s">
        <v>8414</v>
      </c>
      <c r="E2580" s="174" t="s">
        <v>8070</v>
      </c>
      <c r="F2580" s="173" t="s">
        <v>8340</v>
      </c>
      <c r="G2580" s="328" t="s">
        <v>673</v>
      </c>
      <c r="H2580" s="328" t="s">
        <v>2863</v>
      </c>
      <c r="I2580" s="258" t="s">
        <v>8072</v>
      </c>
      <c r="J2580" s="259" t="s">
        <v>1149</v>
      </c>
      <c r="K2580" s="260" t="s">
        <v>8415</v>
      </c>
      <c r="L2580" s="365"/>
      <c r="M2580" s="329"/>
      <c r="N2580" s="173" t="s">
        <v>679</v>
      </c>
      <c r="O2580" s="173" t="s">
        <v>225</v>
      </c>
      <c r="P2580" s="262" t="str">
        <f t="shared" si="1"/>
        <v>IN-BLR-ANANTA-EM-162_6</v>
      </c>
      <c r="Q2580" s="173" t="s">
        <v>8416</v>
      </c>
      <c r="R2580" s="328" t="str">
        <f>IFS(C2580="","",C2580="n/a","N/A",LEN(C2580),Concatenate("{",char(34),"asset",char(34),":{",char(34),"guid",char(34),":",char(34),Q2580,char(34),",",char(34),"site",char(34),":",char(34),LOWER('2-Building'!$B$4),char(34),",",char(34),"name",char(34),":",char(34),LOWER(C2580),char(34),"}}"))</f>
        <v>{"asset":{"guid":"uuid://e65624c3-fabd-43a6-a47f-811dd021e6c6","site":"in-blr-ananta","name":"em-162"}}</v>
      </c>
      <c r="S2580" s="366" t="s">
        <v>8075</v>
      </c>
      <c r="T2580" s="330"/>
      <c r="U2580" s="330"/>
      <c r="V2580" s="331"/>
      <c r="W2580" s="332"/>
      <c r="X2580" s="333"/>
      <c r="Y2580" s="33" t="s">
        <v>8076</v>
      </c>
      <c r="Z2580" s="368"/>
      <c r="AA2580" s="333"/>
      <c r="AB2580" s="258">
        <v>14.0</v>
      </c>
      <c r="AC2580" s="333"/>
      <c r="AD2580" s="329"/>
      <c r="AE2580" s="331"/>
      <c r="AF2580" s="336"/>
      <c r="AG2580" s="337"/>
      <c r="AH2580" s="333"/>
      <c r="AI2580" s="333"/>
      <c r="AJ2580" s="333"/>
      <c r="AK2580" s="333"/>
      <c r="AL2580" s="333"/>
      <c r="AM2580" s="338"/>
      <c r="AN2580" s="333"/>
      <c r="AO2580" s="333"/>
      <c r="AP2580" s="333"/>
      <c r="AQ2580" s="333"/>
      <c r="AR2580" s="333"/>
      <c r="AS2580" s="333"/>
      <c r="AT2580" s="333"/>
      <c r="AU2580" s="329"/>
      <c r="AV2580" s="341"/>
      <c r="AW2580" s="269" t="s">
        <v>2327</v>
      </c>
      <c r="AX2580" s="269" t="s">
        <v>2869</v>
      </c>
      <c r="AY2580" s="270" t="s">
        <v>695</v>
      </c>
      <c r="AZ2580" s="173" t="s">
        <v>8288</v>
      </c>
      <c r="BA2580" s="265">
        <v>10.0</v>
      </c>
      <c r="BB2580" s="174" t="s">
        <v>245</v>
      </c>
      <c r="BC2580" s="341"/>
      <c r="BD2580" s="308" t="s">
        <v>1844</v>
      </c>
      <c r="BE2580" s="378"/>
      <c r="BF2580" s="274" t="str">
        <f>IFERROR(__xludf.DUMMYFUNCTION("LOWER(Regexreplace(to_text(E2580),""[^A-Za-z0-9]"","""")&amp;""_""&amp;Regexreplace(to_text(F2580),""[^A-Za-z0-9]"",""""))"),"schneider_iem3000")</f>
        <v>schneider_iem3000</v>
      </c>
      <c r="BG2580" s="275" t="str">
        <f>IFERROR(__xludf.DUMMYFUNCTION("upper(Regexreplace(to_text(E2580),""[^A-Za-z0-9]"","""")&amp;""-""&amp;Regexreplace(to_text(F2580),""[^A-Za-z0-9]"",""""))"),"SCHNEIDER-IEM3000")</f>
        <v>SCHNEIDER-IEM3000</v>
      </c>
    </row>
    <row r="2581" ht="30.0" customHeight="1">
      <c r="A2581" s="258"/>
      <c r="B2581" s="328" t="s">
        <v>670</v>
      </c>
      <c r="C2581" s="257" t="s">
        <v>8417</v>
      </c>
      <c r="D2581" s="173" t="s">
        <v>8417</v>
      </c>
      <c r="E2581" s="174" t="s">
        <v>8070</v>
      </c>
      <c r="F2581" s="173" t="s">
        <v>8340</v>
      </c>
      <c r="G2581" s="328" t="s">
        <v>673</v>
      </c>
      <c r="H2581" s="328" t="s">
        <v>2863</v>
      </c>
      <c r="I2581" s="258" t="s">
        <v>8072</v>
      </c>
      <c r="J2581" s="259" t="s">
        <v>1149</v>
      </c>
      <c r="K2581" s="260" t="s">
        <v>8415</v>
      </c>
      <c r="L2581" s="365"/>
      <c r="M2581" s="329"/>
      <c r="N2581" s="173" t="s">
        <v>679</v>
      </c>
      <c r="O2581" s="173" t="s">
        <v>225</v>
      </c>
      <c r="P2581" s="262" t="str">
        <f t="shared" si="1"/>
        <v>IN-BLR-ANANTA-EM-163_6</v>
      </c>
      <c r="Q2581" s="173" t="s">
        <v>8418</v>
      </c>
      <c r="R2581" s="328" t="str">
        <f>IFS(C2581="","",C2581="n/a","N/A",LEN(C2581),Concatenate("{",char(34),"asset",char(34),":{",char(34),"guid",char(34),":",char(34),Q2581,char(34),",",char(34),"site",char(34),":",char(34),LOWER('2-Building'!$B$4),char(34),",",char(34),"name",char(34),":",char(34),LOWER(C2581),char(34),"}}"))</f>
        <v>{"asset":{"guid":"uuid://b9561a42-08f5-47e4-8f07-9832af5ea27e","site":"in-blr-ananta","name":"em-163"}}</v>
      </c>
      <c r="S2581" s="366" t="s">
        <v>8075</v>
      </c>
      <c r="T2581" s="330"/>
      <c r="U2581" s="330"/>
      <c r="V2581" s="331"/>
      <c r="W2581" s="332"/>
      <c r="X2581" s="333"/>
      <c r="Y2581" s="33" t="s">
        <v>8076</v>
      </c>
      <c r="Z2581" s="368"/>
      <c r="AA2581" s="333"/>
      <c r="AB2581" s="258">
        <v>15.0</v>
      </c>
      <c r="AC2581" s="333"/>
      <c r="AD2581" s="329"/>
      <c r="AE2581" s="331"/>
      <c r="AF2581" s="336"/>
      <c r="AG2581" s="337"/>
      <c r="AH2581" s="333"/>
      <c r="AI2581" s="333"/>
      <c r="AJ2581" s="333"/>
      <c r="AK2581" s="333"/>
      <c r="AL2581" s="333"/>
      <c r="AM2581" s="338"/>
      <c r="AN2581" s="333"/>
      <c r="AO2581" s="333"/>
      <c r="AP2581" s="333"/>
      <c r="AQ2581" s="333"/>
      <c r="AR2581" s="333"/>
      <c r="AS2581" s="333"/>
      <c r="AT2581" s="333"/>
      <c r="AU2581" s="329"/>
      <c r="AV2581" s="341"/>
      <c r="AW2581" s="269" t="s">
        <v>2327</v>
      </c>
      <c r="AX2581" s="269" t="s">
        <v>2869</v>
      </c>
      <c r="AY2581" s="270" t="s">
        <v>695</v>
      </c>
      <c r="AZ2581" s="173" t="s">
        <v>8288</v>
      </c>
      <c r="BA2581" s="265">
        <v>10.0</v>
      </c>
      <c r="BB2581" s="174" t="s">
        <v>245</v>
      </c>
      <c r="BC2581" s="341"/>
      <c r="BD2581" s="308" t="s">
        <v>1844</v>
      </c>
      <c r="BE2581" s="378"/>
      <c r="BF2581" s="274" t="str">
        <f>IFERROR(__xludf.DUMMYFUNCTION("LOWER(Regexreplace(to_text(E2581),""[^A-Za-z0-9]"","""")&amp;""_""&amp;Regexreplace(to_text(F2581),""[^A-Za-z0-9]"",""""))"),"schneider_iem3000")</f>
        <v>schneider_iem3000</v>
      </c>
      <c r="BG2581" s="275" t="str">
        <f>IFERROR(__xludf.DUMMYFUNCTION("upper(Regexreplace(to_text(E2581),""[^A-Za-z0-9]"","""")&amp;""-""&amp;Regexreplace(to_text(F2581),""[^A-Za-z0-9]"",""""))"),"SCHNEIDER-IEM3000")</f>
        <v>SCHNEIDER-IEM3000</v>
      </c>
    </row>
    <row r="2582" ht="30.0" customHeight="1">
      <c r="A2582" s="258"/>
      <c r="B2582" s="328" t="s">
        <v>670</v>
      </c>
      <c r="C2582" s="257" t="s">
        <v>8419</v>
      </c>
      <c r="D2582" s="173" t="s">
        <v>8419</v>
      </c>
      <c r="E2582" s="174" t="s">
        <v>8070</v>
      </c>
      <c r="F2582" s="173" t="s">
        <v>8340</v>
      </c>
      <c r="G2582" s="328" t="s">
        <v>673</v>
      </c>
      <c r="H2582" s="328" t="s">
        <v>2863</v>
      </c>
      <c r="I2582" s="258" t="s">
        <v>8072</v>
      </c>
      <c r="J2582" s="259" t="s">
        <v>1149</v>
      </c>
      <c r="K2582" s="260" t="s">
        <v>8415</v>
      </c>
      <c r="L2582" s="365"/>
      <c r="M2582" s="329"/>
      <c r="N2582" s="173" t="s">
        <v>679</v>
      </c>
      <c r="O2582" s="173" t="s">
        <v>225</v>
      </c>
      <c r="P2582" s="262" t="str">
        <f t="shared" si="1"/>
        <v>IN-BLR-ANANTA-EM-164_6</v>
      </c>
      <c r="Q2582" s="173" t="s">
        <v>8420</v>
      </c>
      <c r="R2582" s="328" t="str">
        <f>IFS(C2582="","",C2582="n/a","N/A",LEN(C2582),Concatenate("{",char(34),"asset",char(34),":{",char(34),"guid",char(34),":",char(34),Q2582,char(34),",",char(34),"site",char(34),":",char(34),LOWER('2-Building'!$B$4),char(34),",",char(34),"name",char(34),":",char(34),LOWER(C2582),char(34),"}}"))</f>
        <v>{"asset":{"guid":"uuid://77cc921b-1beb-42b1-9281-b210bb3370f5","site":"in-blr-ananta","name":"em-164"}}</v>
      </c>
      <c r="S2582" s="366" t="s">
        <v>8075</v>
      </c>
      <c r="T2582" s="330"/>
      <c r="U2582" s="330"/>
      <c r="V2582" s="331"/>
      <c r="W2582" s="332"/>
      <c r="X2582" s="333"/>
      <c r="Y2582" s="33" t="s">
        <v>8076</v>
      </c>
      <c r="Z2582" s="368"/>
      <c r="AA2582" s="333"/>
      <c r="AB2582" s="258">
        <v>16.0</v>
      </c>
      <c r="AC2582" s="333"/>
      <c r="AD2582" s="329"/>
      <c r="AE2582" s="331"/>
      <c r="AF2582" s="336"/>
      <c r="AG2582" s="337"/>
      <c r="AH2582" s="333"/>
      <c r="AI2582" s="333"/>
      <c r="AJ2582" s="333"/>
      <c r="AK2582" s="333"/>
      <c r="AL2582" s="333"/>
      <c r="AM2582" s="338"/>
      <c r="AN2582" s="333"/>
      <c r="AO2582" s="333"/>
      <c r="AP2582" s="333"/>
      <c r="AQ2582" s="333"/>
      <c r="AR2582" s="333"/>
      <c r="AS2582" s="333"/>
      <c r="AT2582" s="333"/>
      <c r="AU2582" s="329"/>
      <c r="AV2582" s="341"/>
      <c r="AW2582" s="269" t="s">
        <v>2327</v>
      </c>
      <c r="AX2582" s="269" t="s">
        <v>2869</v>
      </c>
      <c r="AY2582" s="270" t="s">
        <v>695</v>
      </c>
      <c r="AZ2582" s="173" t="s">
        <v>8288</v>
      </c>
      <c r="BA2582" s="265">
        <v>10.0</v>
      </c>
      <c r="BB2582" s="174" t="s">
        <v>245</v>
      </c>
      <c r="BC2582" s="341"/>
      <c r="BD2582" s="308" t="s">
        <v>1844</v>
      </c>
      <c r="BE2582" s="378"/>
      <c r="BF2582" s="274" t="str">
        <f>IFERROR(__xludf.DUMMYFUNCTION("LOWER(Regexreplace(to_text(E2582),""[^A-Za-z0-9]"","""")&amp;""_""&amp;Regexreplace(to_text(F2582),""[^A-Za-z0-9]"",""""))"),"schneider_iem3000")</f>
        <v>schneider_iem3000</v>
      </c>
      <c r="BG2582" s="275" t="str">
        <f>IFERROR(__xludf.DUMMYFUNCTION("upper(Regexreplace(to_text(E2582),""[^A-Za-z0-9]"","""")&amp;""-""&amp;Regexreplace(to_text(F2582),""[^A-Za-z0-9]"",""""))"),"SCHNEIDER-IEM3000")</f>
        <v>SCHNEIDER-IEM3000</v>
      </c>
    </row>
    <row r="2583" ht="30.0" customHeight="1">
      <c r="A2583" s="258"/>
      <c r="B2583" s="328" t="s">
        <v>670</v>
      </c>
      <c r="C2583" s="257" t="s">
        <v>8421</v>
      </c>
      <c r="D2583" s="173" t="s">
        <v>8421</v>
      </c>
      <c r="E2583" s="174" t="s">
        <v>8070</v>
      </c>
      <c r="F2583" s="173" t="s">
        <v>8340</v>
      </c>
      <c r="G2583" s="328" t="s">
        <v>673</v>
      </c>
      <c r="H2583" s="328" t="s">
        <v>2863</v>
      </c>
      <c r="I2583" s="258" t="s">
        <v>8072</v>
      </c>
      <c r="J2583" s="259" t="s">
        <v>1211</v>
      </c>
      <c r="K2583" s="260" t="s">
        <v>8422</v>
      </c>
      <c r="L2583" s="365"/>
      <c r="M2583" s="329"/>
      <c r="N2583" s="173" t="s">
        <v>679</v>
      </c>
      <c r="O2583" s="173" t="s">
        <v>225</v>
      </c>
      <c r="P2583" s="262" t="str">
        <f t="shared" si="1"/>
        <v>IN-BLR-ANANTA-EM-165_7</v>
      </c>
      <c r="Q2583" s="173" t="s">
        <v>8423</v>
      </c>
      <c r="R2583" s="328" t="str">
        <f>IFS(C2583="","",C2583="n/a","N/A",LEN(C2583),Concatenate("{",char(34),"asset",char(34),":{",char(34),"guid",char(34),":",char(34),Q2583,char(34),",",char(34),"site",char(34),":",char(34),LOWER('2-Building'!$B$4),char(34),",",char(34),"name",char(34),":",char(34),LOWER(C2583),char(34),"}}"))</f>
        <v>{"asset":{"guid":"uuid://7c8acb97-a533-40b5-8f83-85b34e92f84b","site":"in-blr-ananta","name":"em-165"}}</v>
      </c>
      <c r="S2583" s="366" t="s">
        <v>8287</v>
      </c>
      <c r="T2583" s="330"/>
      <c r="U2583" s="330"/>
      <c r="V2583" s="331"/>
      <c r="W2583" s="332"/>
      <c r="X2583" s="333"/>
      <c r="Y2583" s="33" t="s">
        <v>8076</v>
      </c>
      <c r="Z2583" s="368"/>
      <c r="AA2583" s="333"/>
      <c r="AB2583" s="258">
        <v>11.0</v>
      </c>
      <c r="AC2583" s="333"/>
      <c r="AD2583" s="329"/>
      <c r="AE2583" s="331"/>
      <c r="AF2583" s="336"/>
      <c r="AG2583" s="337"/>
      <c r="AH2583" s="333"/>
      <c r="AI2583" s="333"/>
      <c r="AJ2583" s="333"/>
      <c r="AK2583" s="333"/>
      <c r="AL2583" s="333"/>
      <c r="AM2583" s="338"/>
      <c r="AN2583" s="333"/>
      <c r="AO2583" s="333"/>
      <c r="AP2583" s="333"/>
      <c r="AQ2583" s="333"/>
      <c r="AR2583" s="333"/>
      <c r="AS2583" s="333"/>
      <c r="AT2583" s="333"/>
      <c r="AU2583" s="329"/>
      <c r="AV2583" s="341"/>
      <c r="AW2583" s="269" t="s">
        <v>2391</v>
      </c>
      <c r="AX2583" s="269" t="s">
        <v>2869</v>
      </c>
      <c r="AY2583" s="270" t="s">
        <v>695</v>
      </c>
      <c r="AZ2583" s="173" t="s">
        <v>8288</v>
      </c>
      <c r="BA2583" s="265">
        <v>10.0</v>
      </c>
      <c r="BB2583" s="174" t="s">
        <v>245</v>
      </c>
      <c r="BC2583" s="341"/>
      <c r="BD2583" s="308" t="s">
        <v>1844</v>
      </c>
      <c r="BE2583" s="378"/>
      <c r="BF2583" s="274" t="str">
        <f>IFERROR(__xludf.DUMMYFUNCTION("LOWER(Regexreplace(to_text(E2583),""[^A-Za-z0-9]"","""")&amp;""_""&amp;Regexreplace(to_text(F2583),""[^A-Za-z0-9]"",""""))"),"schneider_iem3000")</f>
        <v>schneider_iem3000</v>
      </c>
      <c r="BG2583" s="275" t="str">
        <f>IFERROR(__xludf.DUMMYFUNCTION("upper(Regexreplace(to_text(E2583),""[^A-Za-z0-9]"","""")&amp;""-""&amp;Regexreplace(to_text(F2583),""[^A-Za-z0-9]"",""""))"),"SCHNEIDER-IEM3000")</f>
        <v>SCHNEIDER-IEM3000</v>
      </c>
    </row>
    <row r="2584" ht="30.0" customHeight="1">
      <c r="A2584" s="258"/>
      <c r="B2584" s="328" t="s">
        <v>670</v>
      </c>
      <c r="C2584" s="257" t="s">
        <v>8424</v>
      </c>
      <c r="D2584" s="173" t="s">
        <v>8424</v>
      </c>
      <c r="E2584" s="174" t="s">
        <v>8070</v>
      </c>
      <c r="F2584" s="173" t="s">
        <v>8340</v>
      </c>
      <c r="G2584" s="328" t="s">
        <v>673</v>
      </c>
      <c r="H2584" s="328" t="s">
        <v>2863</v>
      </c>
      <c r="I2584" s="258" t="s">
        <v>8072</v>
      </c>
      <c r="J2584" s="259" t="s">
        <v>1211</v>
      </c>
      <c r="K2584" s="260" t="s">
        <v>8422</v>
      </c>
      <c r="L2584" s="365"/>
      <c r="M2584" s="329"/>
      <c r="N2584" s="173" t="s">
        <v>679</v>
      </c>
      <c r="O2584" s="173" t="s">
        <v>225</v>
      </c>
      <c r="P2584" s="262" t="str">
        <f t="shared" si="1"/>
        <v>IN-BLR-ANANTA-EM-166_7</v>
      </c>
      <c r="Q2584" s="173" t="s">
        <v>8425</v>
      </c>
      <c r="R2584" s="328" t="str">
        <f>IFS(C2584="","",C2584="n/a","N/A",LEN(C2584),Concatenate("{",char(34),"asset",char(34),":{",char(34),"guid",char(34),":",char(34),Q2584,char(34),",",char(34),"site",char(34),":",char(34),LOWER('2-Building'!$B$4),char(34),",",char(34),"name",char(34),":",char(34),LOWER(C2584),char(34),"}}"))</f>
        <v>{"asset":{"guid":"uuid://d30d81dd-34dd-42e3-8c46-4b60ed107053","site":"in-blr-ananta","name":"em-166"}}</v>
      </c>
      <c r="S2584" s="366" t="s">
        <v>8287</v>
      </c>
      <c r="T2584" s="330"/>
      <c r="U2584" s="330"/>
      <c r="V2584" s="331"/>
      <c r="W2584" s="332"/>
      <c r="X2584" s="333"/>
      <c r="Y2584" s="33" t="s">
        <v>8076</v>
      </c>
      <c r="Z2584" s="368"/>
      <c r="AA2584" s="333"/>
      <c r="AB2584" s="258">
        <v>12.0</v>
      </c>
      <c r="AC2584" s="333"/>
      <c r="AD2584" s="329"/>
      <c r="AE2584" s="331"/>
      <c r="AF2584" s="336"/>
      <c r="AG2584" s="337"/>
      <c r="AH2584" s="333"/>
      <c r="AI2584" s="333"/>
      <c r="AJ2584" s="333"/>
      <c r="AK2584" s="333"/>
      <c r="AL2584" s="333"/>
      <c r="AM2584" s="338"/>
      <c r="AN2584" s="333"/>
      <c r="AO2584" s="333"/>
      <c r="AP2584" s="333"/>
      <c r="AQ2584" s="333"/>
      <c r="AR2584" s="333"/>
      <c r="AS2584" s="333"/>
      <c r="AT2584" s="333"/>
      <c r="AU2584" s="329"/>
      <c r="AV2584" s="341"/>
      <c r="AW2584" s="269" t="s">
        <v>2391</v>
      </c>
      <c r="AX2584" s="269" t="s">
        <v>2869</v>
      </c>
      <c r="AY2584" s="270" t="s">
        <v>695</v>
      </c>
      <c r="AZ2584" s="173" t="s">
        <v>8288</v>
      </c>
      <c r="BA2584" s="265">
        <v>10.0</v>
      </c>
      <c r="BB2584" s="174" t="s">
        <v>245</v>
      </c>
      <c r="BC2584" s="341"/>
      <c r="BD2584" s="308" t="s">
        <v>1844</v>
      </c>
      <c r="BE2584" s="378"/>
      <c r="BF2584" s="274" t="str">
        <f>IFERROR(__xludf.DUMMYFUNCTION("LOWER(Regexreplace(to_text(E2584),""[^A-Za-z0-9]"","""")&amp;""_""&amp;Regexreplace(to_text(F2584),""[^A-Za-z0-9]"",""""))"),"schneider_iem3000")</f>
        <v>schneider_iem3000</v>
      </c>
      <c r="BG2584" s="275" t="str">
        <f>IFERROR(__xludf.DUMMYFUNCTION("upper(Regexreplace(to_text(E2584),""[^A-Za-z0-9]"","""")&amp;""-""&amp;Regexreplace(to_text(F2584),""[^A-Za-z0-9]"",""""))"),"SCHNEIDER-IEM3000")</f>
        <v>SCHNEIDER-IEM3000</v>
      </c>
    </row>
    <row r="2585" ht="30.0" customHeight="1">
      <c r="A2585" s="258"/>
      <c r="B2585" s="328" t="s">
        <v>670</v>
      </c>
      <c r="C2585" s="257" t="s">
        <v>8426</v>
      </c>
      <c r="D2585" s="173" t="s">
        <v>8426</v>
      </c>
      <c r="E2585" s="174" t="s">
        <v>8070</v>
      </c>
      <c r="F2585" s="173" t="s">
        <v>8340</v>
      </c>
      <c r="G2585" s="328" t="s">
        <v>673</v>
      </c>
      <c r="H2585" s="328" t="s">
        <v>2863</v>
      </c>
      <c r="I2585" s="258" t="s">
        <v>8072</v>
      </c>
      <c r="J2585" s="259" t="s">
        <v>1211</v>
      </c>
      <c r="K2585" s="260">
        <v>756.0</v>
      </c>
      <c r="L2585" s="365"/>
      <c r="M2585" s="329"/>
      <c r="N2585" s="173" t="s">
        <v>679</v>
      </c>
      <c r="O2585" s="173" t="s">
        <v>225</v>
      </c>
      <c r="P2585" s="262" t="str">
        <f t="shared" si="1"/>
        <v>IN-BLR-ANANTA-EM-167_7</v>
      </c>
      <c r="Q2585" s="173" t="s">
        <v>8427</v>
      </c>
      <c r="R2585" s="328" t="str">
        <f>IFS(C2585="","",C2585="n/a","N/A",LEN(C2585),Concatenate("{",char(34),"asset",char(34),":{",char(34),"guid",char(34),":",char(34),Q2585,char(34),",",char(34),"site",char(34),":",char(34),LOWER('2-Building'!$B$4),char(34),",",char(34),"name",char(34),":",char(34),LOWER(C2585),char(34),"}}"))</f>
        <v>{"asset":{"guid":"uuid://c2873138-a672-4448-8c7f-f4b177d3aadc","site":"in-blr-ananta","name":"em-167"}}</v>
      </c>
      <c r="S2585" s="366" t="s">
        <v>8287</v>
      </c>
      <c r="T2585" s="330"/>
      <c r="U2585" s="330"/>
      <c r="V2585" s="331"/>
      <c r="W2585" s="332"/>
      <c r="X2585" s="333"/>
      <c r="Y2585" s="33" t="s">
        <v>8076</v>
      </c>
      <c r="Z2585" s="368"/>
      <c r="AA2585" s="333"/>
      <c r="AB2585" s="258">
        <v>13.0</v>
      </c>
      <c r="AC2585" s="333"/>
      <c r="AD2585" s="329"/>
      <c r="AE2585" s="331"/>
      <c r="AF2585" s="336"/>
      <c r="AG2585" s="337"/>
      <c r="AH2585" s="333"/>
      <c r="AI2585" s="333"/>
      <c r="AJ2585" s="333"/>
      <c r="AK2585" s="333"/>
      <c r="AL2585" s="333"/>
      <c r="AM2585" s="338"/>
      <c r="AN2585" s="333"/>
      <c r="AO2585" s="333"/>
      <c r="AP2585" s="333"/>
      <c r="AQ2585" s="333"/>
      <c r="AR2585" s="333"/>
      <c r="AS2585" s="333"/>
      <c r="AT2585" s="333"/>
      <c r="AU2585" s="329"/>
      <c r="AV2585" s="341"/>
      <c r="AW2585" s="269" t="s">
        <v>2391</v>
      </c>
      <c r="AX2585" s="269" t="s">
        <v>2869</v>
      </c>
      <c r="AY2585" s="270" t="s">
        <v>695</v>
      </c>
      <c r="AZ2585" s="173" t="s">
        <v>8288</v>
      </c>
      <c r="BA2585" s="265">
        <v>10.0</v>
      </c>
      <c r="BB2585" s="174" t="s">
        <v>245</v>
      </c>
      <c r="BC2585" s="341"/>
      <c r="BD2585" s="308" t="s">
        <v>1844</v>
      </c>
      <c r="BE2585" s="378"/>
      <c r="BF2585" s="274" t="str">
        <f>IFERROR(__xludf.DUMMYFUNCTION("LOWER(Regexreplace(to_text(E2585),""[^A-Za-z0-9]"","""")&amp;""_""&amp;Regexreplace(to_text(F2585),""[^A-Za-z0-9]"",""""))"),"schneider_iem3000")</f>
        <v>schneider_iem3000</v>
      </c>
      <c r="BG2585" s="275" t="str">
        <f>IFERROR(__xludf.DUMMYFUNCTION("upper(Regexreplace(to_text(E2585),""[^A-Za-z0-9]"","""")&amp;""-""&amp;Regexreplace(to_text(F2585),""[^A-Za-z0-9]"",""""))"),"SCHNEIDER-IEM3000")</f>
        <v>SCHNEIDER-IEM3000</v>
      </c>
    </row>
    <row r="2586" ht="30.0" customHeight="1">
      <c r="A2586" s="258"/>
      <c r="B2586" s="328" t="s">
        <v>670</v>
      </c>
      <c r="C2586" s="257" t="s">
        <v>8428</v>
      </c>
      <c r="D2586" s="173" t="s">
        <v>8428</v>
      </c>
      <c r="E2586" s="174" t="s">
        <v>8070</v>
      </c>
      <c r="F2586" s="173" t="s">
        <v>8340</v>
      </c>
      <c r="G2586" s="328" t="s">
        <v>673</v>
      </c>
      <c r="H2586" s="328" t="s">
        <v>2863</v>
      </c>
      <c r="I2586" s="258" t="s">
        <v>8072</v>
      </c>
      <c r="J2586" s="259" t="s">
        <v>1211</v>
      </c>
      <c r="K2586" s="260">
        <v>756.0</v>
      </c>
      <c r="L2586" s="365"/>
      <c r="M2586" s="329"/>
      <c r="N2586" s="173" t="s">
        <v>679</v>
      </c>
      <c r="O2586" s="173" t="s">
        <v>225</v>
      </c>
      <c r="P2586" s="262" t="str">
        <f t="shared" si="1"/>
        <v>IN-BLR-ANANTA-EM-168_7</v>
      </c>
      <c r="Q2586" s="173" t="s">
        <v>8429</v>
      </c>
      <c r="R2586" s="328" t="str">
        <f>IFS(C2586="","",C2586="n/a","N/A",LEN(C2586),Concatenate("{",char(34),"asset",char(34),":{",char(34),"guid",char(34),":",char(34),Q2586,char(34),",",char(34),"site",char(34),":",char(34),LOWER('2-Building'!$B$4),char(34),",",char(34),"name",char(34),":",char(34),LOWER(C2586),char(34),"}}"))</f>
        <v>{"asset":{"guid":"uuid://3b82fd6a-7738-45ef-9f51-98a5faccc413","site":"in-blr-ananta","name":"em-168"}}</v>
      </c>
      <c r="S2586" s="366" t="s">
        <v>8287</v>
      </c>
      <c r="T2586" s="330"/>
      <c r="U2586" s="330"/>
      <c r="V2586" s="331"/>
      <c r="W2586" s="332"/>
      <c r="X2586" s="333"/>
      <c r="Y2586" s="33" t="s">
        <v>8076</v>
      </c>
      <c r="Z2586" s="368"/>
      <c r="AA2586" s="333"/>
      <c r="AB2586" s="258">
        <v>14.0</v>
      </c>
      <c r="AC2586" s="333"/>
      <c r="AD2586" s="329"/>
      <c r="AE2586" s="331"/>
      <c r="AF2586" s="336"/>
      <c r="AG2586" s="337"/>
      <c r="AH2586" s="333"/>
      <c r="AI2586" s="333"/>
      <c r="AJ2586" s="333"/>
      <c r="AK2586" s="333"/>
      <c r="AL2586" s="333"/>
      <c r="AM2586" s="338"/>
      <c r="AN2586" s="333"/>
      <c r="AO2586" s="333"/>
      <c r="AP2586" s="333"/>
      <c r="AQ2586" s="333"/>
      <c r="AR2586" s="333"/>
      <c r="AS2586" s="333"/>
      <c r="AT2586" s="333"/>
      <c r="AU2586" s="329"/>
      <c r="AV2586" s="341"/>
      <c r="AW2586" s="269" t="s">
        <v>2391</v>
      </c>
      <c r="AX2586" s="269" t="s">
        <v>2869</v>
      </c>
      <c r="AY2586" s="270" t="s">
        <v>695</v>
      </c>
      <c r="AZ2586" s="173" t="s">
        <v>8288</v>
      </c>
      <c r="BA2586" s="265">
        <v>10.0</v>
      </c>
      <c r="BB2586" s="174" t="s">
        <v>245</v>
      </c>
      <c r="BC2586" s="341"/>
      <c r="BD2586" s="308" t="s">
        <v>1844</v>
      </c>
      <c r="BE2586" s="378"/>
      <c r="BF2586" s="274" t="str">
        <f>IFERROR(__xludf.DUMMYFUNCTION("LOWER(Regexreplace(to_text(E2586),""[^A-Za-z0-9]"","""")&amp;""_""&amp;Regexreplace(to_text(F2586),""[^A-Za-z0-9]"",""""))"),"schneider_iem3000")</f>
        <v>schneider_iem3000</v>
      </c>
      <c r="BG2586" s="275" t="str">
        <f>IFERROR(__xludf.DUMMYFUNCTION("upper(Regexreplace(to_text(E2586),""[^A-Za-z0-9]"","""")&amp;""-""&amp;Regexreplace(to_text(F2586),""[^A-Za-z0-9]"",""""))"),"SCHNEIDER-IEM3000")</f>
        <v>SCHNEIDER-IEM3000</v>
      </c>
    </row>
    <row r="2587" ht="30.0" customHeight="1">
      <c r="A2587" s="258"/>
      <c r="B2587" s="328" t="s">
        <v>670</v>
      </c>
      <c r="C2587" s="257" t="s">
        <v>8430</v>
      </c>
      <c r="D2587" s="173" t="s">
        <v>8430</v>
      </c>
      <c r="E2587" s="174" t="s">
        <v>8070</v>
      </c>
      <c r="F2587" s="173" t="s">
        <v>8340</v>
      </c>
      <c r="G2587" s="328" t="s">
        <v>673</v>
      </c>
      <c r="H2587" s="328" t="s">
        <v>2863</v>
      </c>
      <c r="I2587" s="258" t="s">
        <v>8072</v>
      </c>
      <c r="J2587" s="259" t="s">
        <v>1272</v>
      </c>
      <c r="K2587" s="260" t="s">
        <v>8431</v>
      </c>
      <c r="L2587" s="365"/>
      <c r="M2587" s="329"/>
      <c r="N2587" s="173" t="s">
        <v>679</v>
      </c>
      <c r="O2587" s="173" t="s">
        <v>225</v>
      </c>
      <c r="P2587" s="262" t="str">
        <f t="shared" si="1"/>
        <v>IN-BLR-ANANTA-EM-169_8</v>
      </c>
      <c r="Q2587" s="173" t="s">
        <v>8432</v>
      </c>
      <c r="R2587" s="328" t="str">
        <f>IFS(C2587="","",C2587="n/a","N/A",LEN(C2587),Concatenate("{",char(34),"asset",char(34),":{",char(34),"guid",char(34),":",char(34),Q2587,char(34),",",char(34),"site",char(34),":",char(34),LOWER('2-Building'!$B$4),char(34),",",char(34),"name",char(34),":",char(34),LOWER(C2587),char(34),"}}"))</f>
        <v>{"asset":{"guid":"uuid://4e7e41e3-7531-4f22-b772-bb3e4fa02d4a","site":"in-blr-ananta","name":"em-169"}}</v>
      </c>
      <c r="S2587" s="366" t="s">
        <v>8287</v>
      </c>
      <c r="T2587" s="330"/>
      <c r="U2587" s="330"/>
      <c r="V2587" s="331"/>
      <c r="W2587" s="332"/>
      <c r="X2587" s="333"/>
      <c r="Y2587" s="33" t="s">
        <v>8076</v>
      </c>
      <c r="Z2587" s="368"/>
      <c r="AA2587" s="333"/>
      <c r="AB2587" s="258">
        <v>11.0</v>
      </c>
      <c r="AC2587" s="333"/>
      <c r="AD2587" s="329"/>
      <c r="AE2587" s="331"/>
      <c r="AF2587" s="336"/>
      <c r="AG2587" s="337"/>
      <c r="AH2587" s="333"/>
      <c r="AI2587" s="333"/>
      <c r="AJ2587" s="333"/>
      <c r="AK2587" s="333"/>
      <c r="AL2587" s="333"/>
      <c r="AM2587" s="338"/>
      <c r="AN2587" s="333"/>
      <c r="AO2587" s="333"/>
      <c r="AP2587" s="333"/>
      <c r="AQ2587" s="333"/>
      <c r="AR2587" s="333"/>
      <c r="AS2587" s="333"/>
      <c r="AT2587" s="333"/>
      <c r="AU2587" s="329"/>
      <c r="AV2587" s="341"/>
      <c r="AW2587" s="269" t="s">
        <v>2456</v>
      </c>
      <c r="AX2587" s="269" t="s">
        <v>2869</v>
      </c>
      <c r="AY2587" s="270" t="s">
        <v>695</v>
      </c>
      <c r="AZ2587" s="173" t="s">
        <v>8288</v>
      </c>
      <c r="BA2587" s="265">
        <v>10.0</v>
      </c>
      <c r="BB2587" s="174" t="s">
        <v>245</v>
      </c>
      <c r="BC2587" s="341"/>
      <c r="BD2587" s="308" t="s">
        <v>1844</v>
      </c>
      <c r="BE2587" s="378"/>
      <c r="BF2587" s="274" t="str">
        <f>IFERROR(__xludf.DUMMYFUNCTION("LOWER(Regexreplace(to_text(E2587),""[^A-Za-z0-9]"","""")&amp;""_""&amp;Regexreplace(to_text(F2587),""[^A-Za-z0-9]"",""""))"),"schneider_iem3000")</f>
        <v>schneider_iem3000</v>
      </c>
      <c r="BG2587" s="275" t="str">
        <f>IFERROR(__xludf.DUMMYFUNCTION("upper(Regexreplace(to_text(E2587),""[^A-Za-z0-9]"","""")&amp;""-""&amp;Regexreplace(to_text(F2587),""[^A-Za-z0-9]"",""""))"),"SCHNEIDER-IEM3000")</f>
        <v>SCHNEIDER-IEM3000</v>
      </c>
    </row>
    <row r="2588" ht="30.0" customHeight="1">
      <c r="A2588" s="258"/>
      <c r="B2588" s="328" t="s">
        <v>670</v>
      </c>
      <c r="C2588" s="257" t="s">
        <v>8433</v>
      </c>
      <c r="D2588" s="173" t="s">
        <v>8433</v>
      </c>
      <c r="E2588" s="174" t="s">
        <v>8070</v>
      </c>
      <c r="F2588" s="173" t="s">
        <v>8340</v>
      </c>
      <c r="G2588" s="328" t="s">
        <v>673</v>
      </c>
      <c r="H2588" s="328" t="s">
        <v>2863</v>
      </c>
      <c r="I2588" s="258" t="s">
        <v>8072</v>
      </c>
      <c r="J2588" s="259" t="s">
        <v>1272</v>
      </c>
      <c r="K2588" s="260" t="s">
        <v>8431</v>
      </c>
      <c r="L2588" s="365"/>
      <c r="M2588" s="329"/>
      <c r="N2588" s="173" t="s">
        <v>679</v>
      </c>
      <c r="O2588" s="173" t="s">
        <v>225</v>
      </c>
      <c r="P2588" s="262" t="str">
        <f t="shared" si="1"/>
        <v>IN-BLR-ANANTA-EM-170_8</v>
      </c>
      <c r="Q2588" s="173" t="s">
        <v>8434</v>
      </c>
      <c r="R2588" s="328" t="str">
        <f>IFS(C2588="","",C2588="n/a","N/A",LEN(C2588),Concatenate("{",char(34),"asset",char(34),":{",char(34),"guid",char(34),":",char(34),Q2588,char(34),",",char(34),"site",char(34),":",char(34),LOWER('2-Building'!$B$4),char(34),",",char(34),"name",char(34),":",char(34),LOWER(C2588),char(34),"}}"))</f>
        <v>{"asset":{"guid":"uuid://c3b4cc82-9149-43be-8af3-a73771212dc4","site":"in-blr-ananta","name":"em-170"}}</v>
      </c>
      <c r="S2588" s="366" t="s">
        <v>8287</v>
      </c>
      <c r="T2588" s="330"/>
      <c r="U2588" s="330"/>
      <c r="V2588" s="331"/>
      <c r="W2588" s="332"/>
      <c r="X2588" s="333"/>
      <c r="Y2588" s="33" t="s">
        <v>8076</v>
      </c>
      <c r="Z2588" s="368"/>
      <c r="AA2588" s="333"/>
      <c r="AB2588" s="258">
        <v>12.0</v>
      </c>
      <c r="AC2588" s="333"/>
      <c r="AD2588" s="329"/>
      <c r="AE2588" s="331"/>
      <c r="AF2588" s="336"/>
      <c r="AG2588" s="337"/>
      <c r="AH2588" s="333"/>
      <c r="AI2588" s="333"/>
      <c r="AJ2588" s="333"/>
      <c r="AK2588" s="333"/>
      <c r="AL2588" s="333"/>
      <c r="AM2588" s="338"/>
      <c r="AN2588" s="333"/>
      <c r="AO2588" s="333"/>
      <c r="AP2588" s="333"/>
      <c r="AQ2588" s="333"/>
      <c r="AR2588" s="333"/>
      <c r="AS2588" s="333"/>
      <c r="AT2588" s="333"/>
      <c r="AU2588" s="329"/>
      <c r="AV2588" s="341"/>
      <c r="AW2588" s="269" t="s">
        <v>2456</v>
      </c>
      <c r="AX2588" s="269" t="s">
        <v>2869</v>
      </c>
      <c r="AY2588" s="270" t="s">
        <v>695</v>
      </c>
      <c r="AZ2588" s="173" t="s">
        <v>8288</v>
      </c>
      <c r="BA2588" s="265">
        <v>10.0</v>
      </c>
      <c r="BB2588" s="174" t="s">
        <v>245</v>
      </c>
      <c r="BC2588" s="341"/>
      <c r="BD2588" s="308" t="s">
        <v>1844</v>
      </c>
      <c r="BE2588" s="378"/>
      <c r="BF2588" s="274" t="str">
        <f>IFERROR(__xludf.DUMMYFUNCTION("LOWER(Regexreplace(to_text(E2588),""[^A-Za-z0-9]"","""")&amp;""_""&amp;Regexreplace(to_text(F2588),""[^A-Za-z0-9]"",""""))"),"schneider_iem3000")</f>
        <v>schneider_iem3000</v>
      </c>
      <c r="BG2588" s="275" t="str">
        <f>IFERROR(__xludf.DUMMYFUNCTION("upper(Regexreplace(to_text(E2588),""[^A-Za-z0-9]"","""")&amp;""-""&amp;Regexreplace(to_text(F2588),""[^A-Za-z0-9]"",""""))"),"SCHNEIDER-IEM3000")</f>
        <v>SCHNEIDER-IEM3000</v>
      </c>
    </row>
    <row r="2589" ht="30.0" customHeight="1">
      <c r="A2589" s="258"/>
      <c r="B2589" s="328" t="s">
        <v>670</v>
      </c>
      <c r="C2589" s="257" t="s">
        <v>8435</v>
      </c>
      <c r="D2589" s="173" t="s">
        <v>8435</v>
      </c>
      <c r="E2589" s="174" t="s">
        <v>8070</v>
      </c>
      <c r="F2589" s="173" t="s">
        <v>8340</v>
      </c>
      <c r="G2589" s="328" t="s">
        <v>673</v>
      </c>
      <c r="H2589" s="328" t="s">
        <v>2863</v>
      </c>
      <c r="I2589" s="258" t="s">
        <v>8072</v>
      </c>
      <c r="J2589" s="259" t="s">
        <v>1272</v>
      </c>
      <c r="K2589" s="260" t="s">
        <v>8436</v>
      </c>
      <c r="L2589" s="365"/>
      <c r="M2589" s="329"/>
      <c r="N2589" s="173" t="s">
        <v>679</v>
      </c>
      <c r="O2589" s="173" t="s">
        <v>225</v>
      </c>
      <c r="P2589" s="262" t="str">
        <f t="shared" si="1"/>
        <v>IN-BLR-ANANTA-EM-171_8</v>
      </c>
      <c r="Q2589" s="173" t="s">
        <v>8437</v>
      </c>
      <c r="R2589" s="328" t="str">
        <f>IFS(C2589="","",C2589="n/a","N/A",LEN(C2589),Concatenate("{",char(34),"asset",char(34),":{",char(34),"guid",char(34),":",char(34),Q2589,char(34),",",char(34),"site",char(34),":",char(34),LOWER('2-Building'!$B$4),char(34),",",char(34),"name",char(34),":",char(34),LOWER(C2589),char(34),"}}"))</f>
        <v>{"asset":{"guid":"uuid://ce86e2da-1448-4670-bcca-c983f640033f","site":"in-blr-ananta","name":"em-171"}}</v>
      </c>
      <c r="S2589" s="366" t="s">
        <v>8287</v>
      </c>
      <c r="T2589" s="330"/>
      <c r="U2589" s="330"/>
      <c r="V2589" s="331"/>
      <c r="W2589" s="332"/>
      <c r="X2589" s="333"/>
      <c r="Y2589" s="33" t="s">
        <v>8076</v>
      </c>
      <c r="Z2589" s="368"/>
      <c r="AA2589" s="333"/>
      <c r="AB2589" s="258">
        <v>13.0</v>
      </c>
      <c r="AC2589" s="333"/>
      <c r="AD2589" s="329"/>
      <c r="AE2589" s="331"/>
      <c r="AF2589" s="336"/>
      <c r="AG2589" s="337"/>
      <c r="AH2589" s="333"/>
      <c r="AI2589" s="333"/>
      <c r="AJ2589" s="333"/>
      <c r="AK2589" s="333"/>
      <c r="AL2589" s="333"/>
      <c r="AM2589" s="338"/>
      <c r="AN2589" s="333"/>
      <c r="AO2589" s="333"/>
      <c r="AP2589" s="333"/>
      <c r="AQ2589" s="333"/>
      <c r="AR2589" s="333"/>
      <c r="AS2589" s="333"/>
      <c r="AT2589" s="333"/>
      <c r="AU2589" s="329"/>
      <c r="AV2589" s="341"/>
      <c r="AW2589" s="269" t="s">
        <v>2456</v>
      </c>
      <c r="AX2589" s="269" t="s">
        <v>2869</v>
      </c>
      <c r="AY2589" s="270" t="s">
        <v>695</v>
      </c>
      <c r="AZ2589" s="173" t="s">
        <v>8288</v>
      </c>
      <c r="BA2589" s="265">
        <v>10.0</v>
      </c>
      <c r="BB2589" s="174" t="s">
        <v>245</v>
      </c>
      <c r="BC2589" s="341"/>
      <c r="BD2589" s="308" t="s">
        <v>1844</v>
      </c>
      <c r="BE2589" s="378"/>
      <c r="BF2589" s="274" t="str">
        <f>IFERROR(__xludf.DUMMYFUNCTION("LOWER(Regexreplace(to_text(E2589),""[^A-Za-z0-9]"","""")&amp;""_""&amp;Regexreplace(to_text(F2589),""[^A-Za-z0-9]"",""""))"),"schneider_iem3000")</f>
        <v>schneider_iem3000</v>
      </c>
      <c r="BG2589" s="275" t="str">
        <f>IFERROR(__xludf.DUMMYFUNCTION("upper(Regexreplace(to_text(E2589),""[^A-Za-z0-9]"","""")&amp;""-""&amp;Regexreplace(to_text(F2589),""[^A-Za-z0-9]"",""""))"),"SCHNEIDER-IEM3000")</f>
        <v>SCHNEIDER-IEM3000</v>
      </c>
    </row>
    <row r="2590" ht="30.0" customHeight="1">
      <c r="A2590" s="258"/>
      <c r="B2590" s="328" t="s">
        <v>670</v>
      </c>
      <c r="C2590" s="257" t="s">
        <v>8438</v>
      </c>
      <c r="D2590" s="173" t="s">
        <v>8438</v>
      </c>
      <c r="E2590" s="174" t="s">
        <v>8070</v>
      </c>
      <c r="F2590" s="173" t="s">
        <v>8340</v>
      </c>
      <c r="G2590" s="328" t="s">
        <v>673</v>
      </c>
      <c r="H2590" s="328" t="s">
        <v>2863</v>
      </c>
      <c r="I2590" s="258" t="s">
        <v>8072</v>
      </c>
      <c r="J2590" s="259" t="s">
        <v>1272</v>
      </c>
      <c r="K2590" s="260" t="s">
        <v>8436</v>
      </c>
      <c r="L2590" s="365"/>
      <c r="M2590" s="329"/>
      <c r="N2590" s="173" t="s">
        <v>679</v>
      </c>
      <c r="O2590" s="173" t="s">
        <v>225</v>
      </c>
      <c r="P2590" s="262" t="str">
        <f t="shared" si="1"/>
        <v>IN-BLR-ANANTA-EM-172_8</v>
      </c>
      <c r="Q2590" s="173" t="s">
        <v>8439</v>
      </c>
      <c r="R2590" s="328" t="str">
        <f>IFS(C2590="","",C2590="n/a","N/A",LEN(C2590),Concatenate("{",char(34),"asset",char(34),":{",char(34),"guid",char(34),":",char(34),Q2590,char(34),",",char(34),"site",char(34),":",char(34),LOWER('2-Building'!$B$4),char(34),",",char(34),"name",char(34),":",char(34),LOWER(C2590),char(34),"}}"))</f>
        <v>{"asset":{"guid":"uuid://45273d2f-7bcb-43af-b11d-00cf7092ec65","site":"in-blr-ananta","name":"em-172"}}</v>
      </c>
      <c r="S2590" s="366" t="s">
        <v>8287</v>
      </c>
      <c r="T2590" s="330"/>
      <c r="U2590" s="330"/>
      <c r="V2590" s="331"/>
      <c r="W2590" s="332"/>
      <c r="X2590" s="333"/>
      <c r="Y2590" s="33" t="s">
        <v>8076</v>
      </c>
      <c r="Z2590" s="368"/>
      <c r="AA2590" s="333"/>
      <c r="AB2590" s="258">
        <v>14.0</v>
      </c>
      <c r="AC2590" s="333"/>
      <c r="AD2590" s="329"/>
      <c r="AE2590" s="331"/>
      <c r="AF2590" s="336"/>
      <c r="AG2590" s="337"/>
      <c r="AH2590" s="333"/>
      <c r="AI2590" s="333"/>
      <c r="AJ2590" s="333"/>
      <c r="AK2590" s="333"/>
      <c r="AL2590" s="333"/>
      <c r="AM2590" s="338"/>
      <c r="AN2590" s="333"/>
      <c r="AO2590" s="333"/>
      <c r="AP2590" s="333"/>
      <c r="AQ2590" s="333"/>
      <c r="AR2590" s="333"/>
      <c r="AS2590" s="333"/>
      <c r="AT2590" s="333"/>
      <c r="AU2590" s="329"/>
      <c r="AV2590" s="341"/>
      <c r="AW2590" s="269" t="s">
        <v>2456</v>
      </c>
      <c r="AX2590" s="269" t="s">
        <v>2869</v>
      </c>
      <c r="AY2590" s="270" t="s">
        <v>695</v>
      </c>
      <c r="AZ2590" s="173" t="s">
        <v>8288</v>
      </c>
      <c r="BA2590" s="265">
        <v>10.0</v>
      </c>
      <c r="BB2590" s="174" t="s">
        <v>245</v>
      </c>
      <c r="BC2590" s="341"/>
      <c r="BD2590" s="308" t="s">
        <v>1844</v>
      </c>
      <c r="BE2590" s="378"/>
      <c r="BF2590" s="274" t="str">
        <f>IFERROR(__xludf.DUMMYFUNCTION("LOWER(Regexreplace(to_text(E2590),""[^A-Za-z0-9]"","""")&amp;""_""&amp;Regexreplace(to_text(F2590),""[^A-Za-z0-9]"",""""))"),"schneider_iem3000")</f>
        <v>schneider_iem3000</v>
      </c>
      <c r="BG2590" s="275" t="str">
        <f>IFERROR(__xludf.DUMMYFUNCTION("upper(Regexreplace(to_text(E2590),""[^A-Za-z0-9]"","""")&amp;""-""&amp;Regexreplace(to_text(F2590),""[^A-Za-z0-9]"",""""))"),"SCHNEIDER-IEM3000")</f>
        <v>SCHNEIDER-IEM3000</v>
      </c>
    </row>
    <row r="2591" ht="30.0" customHeight="1">
      <c r="A2591" s="258"/>
      <c r="B2591" s="328" t="s">
        <v>670</v>
      </c>
      <c r="C2591" s="257" t="s">
        <v>8440</v>
      </c>
      <c r="D2591" s="173" t="s">
        <v>8440</v>
      </c>
      <c r="E2591" s="174" t="s">
        <v>8070</v>
      </c>
      <c r="F2591" s="173" t="s">
        <v>8071</v>
      </c>
      <c r="G2591" s="328" t="s">
        <v>673</v>
      </c>
      <c r="H2591" s="328" t="s">
        <v>2863</v>
      </c>
      <c r="I2591" s="258" t="s">
        <v>8072</v>
      </c>
      <c r="J2591" s="259" t="s">
        <v>1393</v>
      </c>
      <c r="K2591" s="260" t="s">
        <v>8441</v>
      </c>
      <c r="L2591" s="365"/>
      <c r="M2591" s="329"/>
      <c r="N2591" s="173" t="s">
        <v>679</v>
      </c>
      <c r="O2591" s="173" t="s">
        <v>225</v>
      </c>
      <c r="P2591" s="262" t="str">
        <f t="shared" si="1"/>
        <v>IN-BLR-ANANTA-EM-173_10</v>
      </c>
      <c r="Q2591" s="173" t="s">
        <v>8442</v>
      </c>
      <c r="R2591" s="328" t="str">
        <f>IFS(C2591="","",C2591="n/a","N/A",LEN(C2591),Concatenate("{",char(34),"asset",char(34),":{",char(34),"guid",char(34),":",char(34),Q2591,char(34),",",char(34),"site",char(34),":",char(34),LOWER('2-Building'!$B$4),char(34),",",char(34),"name",char(34),":",char(34),LOWER(C2591),char(34),"}}"))</f>
        <v>{"asset":{"guid":"uuid://ad075a58-7698-4d4a-9ed1-6bc15456f70f","site":"in-blr-ananta","name":"em-173"}}</v>
      </c>
      <c r="S2591" s="366" t="s">
        <v>8075</v>
      </c>
      <c r="T2591" s="330"/>
      <c r="U2591" s="330"/>
      <c r="V2591" s="331"/>
      <c r="W2591" s="332"/>
      <c r="X2591" s="333"/>
      <c r="Y2591" s="33" t="s">
        <v>8076</v>
      </c>
      <c r="Z2591" s="368"/>
      <c r="AA2591" s="333"/>
      <c r="AB2591" s="258">
        <v>6.0</v>
      </c>
      <c r="AC2591" s="333"/>
      <c r="AD2591" s="329"/>
      <c r="AE2591" s="331"/>
      <c r="AF2591" s="336"/>
      <c r="AG2591" s="337"/>
      <c r="AH2591" s="333"/>
      <c r="AI2591" s="333"/>
      <c r="AJ2591" s="333"/>
      <c r="AK2591" s="333"/>
      <c r="AL2591" s="333"/>
      <c r="AM2591" s="338"/>
      <c r="AN2591" s="333"/>
      <c r="AO2591" s="333"/>
      <c r="AP2591" s="333"/>
      <c r="AQ2591" s="333"/>
      <c r="AR2591" s="333"/>
      <c r="AS2591" s="333"/>
      <c r="AT2591" s="333"/>
      <c r="AU2591" s="329"/>
      <c r="AV2591" s="341"/>
      <c r="AW2591" s="269" t="s">
        <v>2583</v>
      </c>
      <c r="AX2591" s="269" t="s">
        <v>2869</v>
      </c>
      <c r="AY2591" s="270" t="s">
        <v>695</v>
      </c>
      <c r="AZ2591" s="173" t="s">
        <v>8288</v>
      </c>
      <c r="BA2591" s="265">
        <v>10.0</v>
      </c>
      <c r="BB2591" s="367"/>
      <c r="BC2591" s="341"/>
      <c r="BD2591" s="308" t="s">
        <v>1844</v>
      </c>
      <c r="BE2591" s="378"/>
      <c r="BF2591" s="274" t="str">
        <f>IFERROR(__xludf.DUMMYFUNCTION("LOWER(Regexreplace(to_text(E2591),""[^A-Za-z0-9]"","""")&amp;""_""&amp;Regexreplace(to_text(F2591),""[^A-Za-z0-9]"",""""))"),"schneider_pm2200")</f>
        <v>schneider_pm2200</v>
      </c>
      <c r="BG2591" s="275" t="str">
        <f>IFERROR(__xludf.DUMMYFUNCTION("upper(Regexreplace(to_text(E2591),""[^A-Za-z0-9]"","""")&amp;""-""&amp;Regexreplace(to_text(F2591),""[^A-Za-z0-9]"",""""))"),"SCHNEIDER-PM2200")</f>
        <v>SCHNEIDER-PM2200</v>
      </c>
    </row>
    <row r="2592" ht="30.0" customHeight="1">
      <c r="A2592" s="258"/>
      <c r="B2592" s="328" t="s">
        <v>670</v>
      </c>
      <c r="C2592" s="257" t="s">
        <v>8443</v>
      </c>
      <c r="D2592" s="173" t="s">
        <v>8443</v>
      </c>
      <c r="E2592" s="174" t="s">
        <v>8070</v>
      </c>
      <c r="F2592" s="173" t="s">
        <v>8071</v>
      </c>
      <c r="G2592" s="328" t="s">
        <v>673</v>
      </c>
      <c r="H2592" s="328" t="s">
        <v>2863</v>
      </c>
      <c r="I2592" s="258" t="s">
        <v>8072</v>
      </c>
      <c r="J2592" s="259" t="s">
        <v>1393</v>
      </c>
      <c r="K2592" s="260" t="s">
        <v>8444</v>
      </c>
      <c r="L2592" s="365"/>
      <c r="M2592" s="329"/>
      <c r="N2592" s="173" t="s">
        <v>679</v>
      </c>
      <c r="O2592" s="173" t="s">
        <v>225</v>
      </c>
      <c r="P2592" s="262" t="str">
        <f t="shared" si="1"/>
        <v>IN-BLR-ANANTA-EM-174_10</v>
      </c>
      <c r="Q2592" s="173" t="s">
        <v>8445</v>
      </c>
      <c r="R2592" s="328" t="str">
        <f>IFS(C2592="","",C2592="n/a","N/A",LEN(C2592),Concatenate("{",char(34),"asset",char(34),":{",char(34),"guid",char(34),":",char(34),Q2592,char(34),",",char(34),"site",char(34),":",char(34),LOWER('2-Building'!$B$4),char(34),",",char(34),"name",char(34),":",char(34),LOWER(C2592),char(34),"}}"))</f>
        <v>{"asset":{"guid":"uuid://65bf6803-6d16-4f9f-a17f-a1e00ee92c47","site":"in-blr-ananta","name":"em-174"}}</v>
      </c>
      <c r="S2592" s="366" t="s">
        <v>8075</v>
      </c>
      <c r="T2592" s="330"/>
      <c r="U2592" s="330"/>
      <c r="V2592" s="331"/>
      <c r="W2592" s="332"/>
      <c r="X2592" s="333"/>
      <c r="Y2592" s="33" t="s">
        <v>8076</v>
      </c>
      <c r="Z2592" s="368"/>
      <c r="AA2592" s="333"/>
      <c r="AB2592" s="258">
        <v>8.0</v>
      </c>
      <c r="AC2592" s="333"/>
      <c r="AD2592" s="329"/>
      <c r="AE2592" s="331"/>
      <c r="AF2592" s="336"/>
      <c r="AG2592" s="337"/>
      <c r="AH2592" s="333"/>
      <c r="AI2592" s="333"/>
      <c r="AJ2592" s="333"/>
      <c r="AK2592" s="333"/>
      <c r="AL2592" s="333"/>
      <c r="AM2592" s="338"/>
      <c r="AN2592" s="333"/>
      <c r="AO2592" s="333"/>
      <c r="AP2592" s="333"/>
      <c r="AQ2592" s="333"/>
      <c r="AR2592" s="333"/>
      <c r="AS2592" s="333"/>
      <c r="AT2592" s="333"/>
      <c r="AU2592" s="329"/>
      <c r="AV2592" s="341"/>
      <c r="AW2592" s="269" t="s">
        <v>2583</v>
      </c>
      <c r="AX2592" s="269" t="s">
        <v>2869</v>
      </c>
      <c r="AY2592" s="270" t="s">
        <v>695</v>
      </c>
      <c r="AZ2592" s="173" t="s">
        <v>8288</v>
      </c>
      <c r="BA2592" s="265">
        <v>10.0</v>
      </c>
      <c r="BB2592" s="367"/>
      <c r="BC2592" s="341"/>
      <c r="BD2592" s="308" t="s">
        <v>1844</v>
      </c>
      <c r="BE2592" s="378"/>
      <c r="BF2592" s="274" t="str">
        <f>IFERROR(__xludf.DUMMYFUNCTION("LOWER(Regexreplace(to_text(E2592),""[^A-Za-z0-9]"","""")&amp;""_""&amp;Regexreplace(to_text(F2592),""[^A-Za-z0-9]"",""""))"),"schneider_pm2200")</f>
        <v>schneider_pm2200</v>
      </c>
      <c r="BG2592" s="275" t="str">
        <f>IFERROR(__xludf.DUMMYFUNCTION("upper(Regexreplace(to_text(E2592),""[^A-Za-z0-9]"","""")&amp;""-""&amp;Regexreplace(to_text(F2592),""[^A-Za-z0-9]"",""""))"),"SCHNEIDER-PM2200")</f>
        <v>SCHNEIDER-PM2200</v>
      </c>
    </row>
    <row r="2593" ht="30.0" customHeight="1">
      <c r="A2593" s="258"/>
      <c r="B2593" s="328" t="s">
        <v>670</v>
      </c>
      <c r="C2593" s="257" t="s">
        <v>8446</v>
      </c>
      <c r="D2593" s="173" t="s">
        <v>8446</v>
      </c>
      <c r="E2593" s="174" t="s">
        <v>8070</v>
      </c>
      <c r="F2593" s="173" t="s">
        <v>8071</v>
      </c>
      <c r="G2593" s="328" t="s">
        <v>673</v>
      </c>
      <c r="H2593" s="328" t="s">
        <v>2863</v>
      </c>
      <c r="I2593" s="258" t="s">
        <v>8072</v>
      </c>
      <c r="J2593" s="259" t="s">
        <v>1393</v>
      </c>
      <c r="K2593" s="260" t="s">
        <v>8447</v>
      </c>
      <c r="L2593" s="365"/>
      <c r="M2593" s="329"/>
      <c r="N2593" s="173" t="s">
        <v>679</v>
      </c>
      <c r="O2593" s="173" t="s">
        <v>225</v>
      </c>
      <c r="P2593" s="262" t="str">
        <f t="shared" si="1"/>
        <v>IN-BLR-ANANTA-EM-175_10</v>
      </c>
      <c r="Q2593" s="173" t="s">
        <v>8448</v>
      </c>
      <c r="R2593" s="328" t="str">
        <f>IFS(C2593="","",C2593="n/a","N/A",LEN(C2593),Concatenate("{",char(34),"asset",char(34),":{",char(34),"guid",char(34),":",char(34),Q2593,char(34),",",char(34),"site",char(34),":",char(34),LOWER('2-Building'!$B$4),char(34),",",char(34),"name",char(34),":",char(34),LOWER(C2593),char(34),"}}"))</f>
        <v>{"asset":{"guid":"uuid://5ef64c33-0e46-432d-b76c-e3b7cca11e0e","site":"in-blr-ananta","name":"em-175"}}</v>
      </c>
      <c r="S2593" s="366" t="s">
        <v>8075</v>
      </c>
      <c r="T2593" s="330"/>
      <c r="U2593" s="330"/>
      <c r="V2593" s="331"/>
      <c r="W2593" s="332"/>
      <c r="X2593" s="333"/>
      <c r="Y2593" s="33" t="s">
        <v>8076</v>
      </c>
      <c r="Z2593" s="368"/>
      <c r="AA2593" s="333"/>
      <c r="AB2593" s="258">
        <v>10.0</v>
      </c>
      <c r="AC2593" s="333"/>
      <c r="AD2593" s="329"/>
      <c r="AE2593" s="331"/>
      <c r="AF2593" s="336"/>
      <c r="AG2593" s="337"/>
      <c r="AH2593" s="333"/>
      <c r="AI2593" s="333"/>
      <c r="AJ2593" s="333"/>
      <c r="AK2593" s="333"/>
      <c r="AL2593" s="333"/>
      <c r="AM2593" s="338"/>
      <c r="AN2593" s="333"/>
      <c r="AO2593" s="333"/>
      <c r="AP2593" s="333"/>
      <c r="AQ2593" s="333"/>
      <c r="AR2593" s="333"/>
      <c r="AS2593" s="333"/>
      <c r="AT2593" s="333"/>
      <c r="AU2593" s="329"/>
      <c r="AV2593" s="341"/>
      <c r="AW2593" s="269" t="s">
        <v>2583</v>
      </c>
      <c r="AX2593" s="269" t="s">
        <v>2869</v>
      </c>
      <c r="AY2593" s="270" t="s">
        <v>695</v>
      </c>
      <c r="AZ2593" s="173" t="s">
        <v>8288</v>
      </c>
      <c r="BA2593" s="265">
        <v>10.0</v>
      </c>
      <c r="BB2593" s="367"/>
      <c r="BC2593" s="341"/>
      <c r="BD2593" s="308" t="s">
        <v>1844</v>
      </c>
      <c r="BE2593" s="378"/>
      <c r="BF2593" s="274" t="str">
        <f>IFERROR(__xludf.DUMMYFUNCTION("LOWER(Regexreplace(to_text(E2593),""[^A-Za-z0-9]"","""")&amp;""_""&amp;Regexreplace(to_text(F2593),""[^A-Za-z0-9]"",""""))"),"schneider_pm2200")</f>
        <v>schneider_pm2200</v>
      </c>
      <c r="BG2593" s="275" t="str">
        <f>IFERROR(__xludf.DUMMYFUNCTION("upper(Regexreplace(to_text(E2593),""[^A-Za-z0-9]"","""")&amp;""-""&amp;Regexreplace(to_text(F2593),""[^A-Za-z0-9]"",""""))"),"SCHNEIDER-PM2200")</f>
        <v>SCHNEIDER-PM2200</v>
      </c>
    </row>
    <row r="2594" ht="30.0" customHeight="1">
      <c r="A2594" s="258"/>
      <c r="B2594" s="328" t="s">
        <v>670</v>
      </c>
      <c r="C2594" s="257" t="s">
        <v>8449</v>
      </c>
      <c r="D2594" s="173" t="s">
        <v>8449</v>
      </c>
      <c r="E2594" s="174" t="s">
        <v>8070</v>
      </c>
      <c r="F2594" s="173" t="s">
        <v>8071</v>
      </c>
      <c r="G2594" s="328" t="s">
        <v>673</v>
      </c>
      <c r="H2594" s="328" t="s">
        <v>2863</v>
      </c>
      <c r="I2594" s="258" t="s">
        <v>8072</v>
      </c>
      <c r="J2594" s="259" t="s">
        <v>1393</v>
      </c>
      <c r="K2594" s="260" t="s">
        <v>8447</v>
      </c>
      <c r="L2594" s="365"/>
      <c r="M2594" s="329"/>
      <c r="N2594" s="173" t="s">
        <v>679</v>
      </c>
      <c r="O2594" s="173" t="s">
        <v>225</v>
      </c>
      <c r="P2594" s="262" t="str">
        <f t="shared" si="1"/>
        <v>IN-BLR-ANANTA-EM-176_10</v>
      </c>
      <c r="Q2594" s="173" t="s">
        <v>8450</v>
      </c>
      <c r="R2594" s="328" t="str">
        <f>IFS(C2594="","",C2594="n/a","N/A",LEN(C2594),Concatenate("{",char(34),"asset",char(34),":{",char(34),"guid",char(34),":",char(34),Q2594,char(34),",",char(34),"site",char(34),":",char(34),LOWER('2-Building'!$B$4),char(34),",",char(34),"name",char(34),":",char(34),LOWER(C2594),char(34),"}}"))</f>
        <v>{"asset":{"guid":"uuid://2d26ebe5-bcdf-4d50-a923-789a7650a36f","site":"in-blr-ananta","name":"em-176"}}</v>
      </c>
      <c r="S2594" s="366" t="s">
        <v>8075</v>
      </c>
      <c r="T2594" s="330"/>
      <c r="U2594" s="330"/>
      <c r="V2594" s="331"/>
      <c r="W2594" s="332"/>
      <c r="X2594" s="333"/>
      <c r="Y2594" s="33" t="s">
        <v>8076</v>
      </c>
      <c r="Z2594" s="368"/>
      <c r="AA2594" s="333"/>
      <c r="AB2594" s="258">
        <v>11.0</v>
      </c>
      <c r="AC2594" s="333"/>
      <c r="AD2594" s="329"/>
      <c r="AE2594" s="331"/>
      <c r="AF2594" s="336"/>
      <c r="AG2594" s="337"/>
      <c r="AH2594" s="333"/>
      <c r="AI2594" s="333"/>
      <c r="AJ2594" s="333"/>
      <c r="AK2594" s="333"/>
      <c r="AL2594" s="333"/>
      <c r="AM2594" s="338"/>
      <c r="AN2594" s="333"/>
      <c r="AO2594" s="333"/>
      <c r="AP2594" s="333"/>
      <c r="AQ2594" s="333"/>
      <c r="AR2594" s="333"/>
      <c r="AS2594" s="333"/>
      <c r="AT2594" s="333"/>
      <c r="AU2594" s="329"/>
      <c r="AV2594" s="341"/>
      <c r="AW2594" s="269" t="s">
        <v>2583</v>
      </c>
      <c r="AX2594" s="269" t="s">
        <v>2869</v>
      </c>
      <c r="AY2594" s="270" t="s">
        <v>695</v>
      </c>
      <c r="AZ2594" s="173" t="s">
        <v>8288</v>
      </c>
      <c r="BA2594" s="265">
        <v>10.0</v>
      </c>
      <c r="BB2594" s="367"/>
      <c r="BC2594" s="341"/>
      <c r="BD2594" s="308" t="s">
        <v>1844</v>
      </c>
      <c r="BE2594" s="378"/>
      <c r="BF2594" s="274" t="str">
        <f>IFERROR(__xludf.DUMMYFUNCTION("LOWER(Regexreplace(to_text(E2594),""[^A-Za-z0-9]"","""")&amp;""_""&amp;Regexreplace(to_text(F2594),""[^A-Za-z0-9]"",""""))"),"schneider_pm2200")</f>
        <v>schneider_pm2200</v>
      </c>
      <c r="BG2594" s="275" t="str">
        <f>IFERROR(__xludf.DUMMYFUNCTION("upper(Regexreplace(to_text(E2594),""[^A-Za-z0-9]"","""")&amp;""-""&amp;Regexreplace(to_text(F2594),""[^A-Za-z0-9]"",""""))"),"SCHNEIDER-PM2200")</f>
        <v>SCHNEIDER-PM2200</v>
      </c>
    </row>
    <row r="2595" ht="30.0" customHeight="1">
      <c r="A2595" s="258"/>
      <c r="B2595" s="328" t="s">
        <v>670</v>
      </c>
      <c r="C2595" s="257" t="s">
        <v>8451</v>
      </c>
      <c r="D2595" s="173" t="s">
        <v>8451</v>
      </c>
      <c r="E2595" s="174" t="s">
        <v>8070</v>
      </c>
      <c r="F2595" s="173" t="s">
        <v>8071</v>
      </c>
      <c r="G2595" s="328" t="s">
        <v>673</v>
      </c>
      <c r="H2595" s="328" t="s">
        <v>2863</v>
      </c>
      <c r="I2595" s="258" t="s">
        <v>8072</v>
      </c>
      <c r="J2595" s="259" t="s">
        <v>1393</v>
      </c>
      <c r="K2595" s="260" t="s">
        <v>8452</v>
      </c>
      <c r="L2595" s="365"/>
      <c r="M2595" s="329"/>
      <c r="N2595" s="173" t="s">
        <v>679</v>
      </c>
      <c r="O2595" s="173" t="s">
        <v>225</v>
      </c>
      <c r="P2595" s="262" t="str">
        <f t="shared" si="1"/>
        <v>IN-BLR-ANANTA-EM-177_10</v>
      </c>
      <c r="Q2595" s="173" t="s">
        <v>8453</v>
      </c>
      <c r="R2595" s="328" t="str">
        <f>IFS(C2595="","",C2595="n/a","N/A",LEN(C2595),Concatenate("{",char(34),"asset",char(34),":{",char(34),"guid",char(34),":",char(34),Q2595,char(34),",",char(34),"site",char(34),":",char(34),LOWER('2-Building'!$B$4),char(34),",",char(34),"name",char(34),":",char(34),LOWER(C2595),char(34),"}}"))</f>
        <v>{"asset":{"guid":"uuid://a1229b81-5940-461e-9f40-2b70bae967a8","site":"in-blr-ananta","name":"em-177"}}</v>
      </c>
      <c r="S2595" s="366" t="s">
        <v>8075</v>
      </c>
      <c r="T2595" s="330"/>
      <c r="U2595" s="330"/>
      <c r="V2595" s="331"/>
      <c r="W2595" s="332"/>
      <c r="X2595" s="333"/>
      <c r="Y2595" s="33" t="s">
        <v>8076</v>
      </c>
      <c r="Z2595" s="368"/>
      <c r="AA2595" s="333"/>
      <c r="AB2595" s="258">
        <v>3.0</v>
      </c>
      <c r="AC2595" s="333"/>
      <c r="AD2595" s="329"/>
      <c r="AE2595" s="331"/>
      <c r="AF2595" s="336"/>
      <c r="AG2595" s="337"/>
      <c r="AH2595" s="333"/>
      <c r="AI2595" s="333"/>
      <c r="AJ2595" s="333"/>
      <c r="AK2595" s="333"/>
      <c r="AL2595" s="333"/>
      <c r="AM2595" s="338"/>
      <c r="AN2595" s="333"/>
      <c r="AO2595" s="333"/>
      <c r="AP2595" s="333"/>
      <c r="AQ2595" s="333"/>
      <c r="AR2595" s="333"/>
      <c r="AS2595" s="333"/>
      <c r="AT2595" s="333"/>
      <c r="AU2595" s="329"/>
      <c r="AV2595" s="341"/>
      <c r="AW2595" s="269" t="s">
        <v>2583</v>
      </c>
      <c r="AX2595" s="269" t="s">
        <v>2869</v>
      </c>
      <c r="AY2595" s="270" t="s">
        <v>695</v>
      </c>
      <c r="AZ2595" s="173" t="s">
        <v>8288</v>
      </c>
      <c r="BA2595" s="265">
        <v>10.0</v>
      </c>
      <c r="BB2595" s="367"/>
      <c r="BC2595" s="341"/>
      <c r="BD2595" s="308" t="s">
        <v>1844</v>
      </c>
      <c r="BE2595" s="378"/>
      <c r="BF2595" s="274" t="str">
        <f>IFERROR(__xludf.DUMMYFUNCTION("LOWER(Regexreplace(to_text(E2595),""[^A-Za-z0-9]"","""")&amp;""_""&amp;Regexreplace(to_text(F2595),""[^A-Za-z0-9]"",""""))"),"schneider_pm2200")</f>
        <v>schneider_pm2200</v>
      </c>
      <c r="BG2595" s="275" t="str">
        <f>IFERROR(__xludf.DUMMYFUNCTION("upper(Regexreplace(to_text(E2595),""[^A-Za-z0-9]"","""")&amp;""-""&amp;Regexreplace(to_text(F2595),""[^A-Za-z0-9]"",""""))"),"SCHNEIDER-PM2200")</f>
        <v>SCHNEIDER-PM2200</v>
      </c>
    </row>
    <row r="2596" ht="30.0" customHeight="1">
      <c r="A2596" s="258"/>
      <c r="B2596" s="328" t="s">
        <v>670</v>
      </c>
      <c r="C2596" s="257" t="s">
        <v>8454</v>
      </c>
      <c r="D2596" s="173" t="s">
        <v>8454</v>
      </c>
      <c r="E2596" s="174" t="s">
        <v>8070</v>
      </c>
      <c r="F2596" s="173" t="s">
        <v>8071</v>
      </c>
      <c r="G2596" s="328" t="s">
        <v>673</v>
      </c>
      <c r="H2596" s="328" t="s">
        <v>2863</v>
      </c>
      <c r="I2596" s="258" t="s">
        <v>8072</v>
      </c>
      <c r="J2596" s="259" t="s">
        <v>1393</v>
      </c>
      <c r="K2596" s="260" t="s">
        <v>8452</v>
      </c>
      <c r="L2596" s="365"/>
      <c r="M2596" s="329"/>
      <c r="N2596" s="173" t="s">
        <v>679</v>
      </c>
      <c r="O2596" s="173" t="s">
        <v>225</v>
      </c>
      <c r="P2596" s="262" t="str">
        <f t="shared" si="1"/>
        <v>IN-BLR-ANANTA-EM-178_10</v>
      </c>
      <c r="Q2596" s="173" t="s">
        <v>8455</v>
      </c>
      <c r="R2596" s="328" t="str">
        <f>IFS(C2596="","",C2596="n/a","N/A",LEN(C2596),Concatenate("{",char(34),"asset",char(34),":{",char(34),"guid",char(34),":",char(34),Q2596,char(34),",",char(34),"site",char(34),":",char(34),LOWER('2-Building'!$B$4),char(34),",",char(34),"name",char(34),":",char(34),LOWER(C2596),char(34),"}}"))</f>
        <v>{"asset":{"guid":"uuid://6a5508af-7a73-478a-b86c-1ca4f0cf9b3d","site":"in-blr-ananta","name":"em-178"}}</v>
      </c>
      <c r="S2596" s="366" t="s">
        <v>8075</v>
      </c>
      <c r="T2596" s="330"/>
      <c r="U2596" s="330"/>
      <c r="V2596" s="331"/>
      <c r="W2596" s="332"/>
      <c r="X2596" s="333"/>
      <c r="Y2596" s="33" t="s">
        <v>8076</v>
      </c>
      <c r="Z2596" s="368"/>
      <c r="AA2596" s="333"/>
      <c r="AB2596" s="258">
        <v>2.0</v>
      </c>
      <c r="AC2596" s="333"/>
      <c r="AD2596" s="329"/>
      <c r="AE2596" s="331"/>
      <c r="AF2596" s="336"/>
      <c r="AG2596" s="337"/>
      <c r="AH2596" s="333"/>
      <c r="AI2596" s="333"/>
      <c r="AJ2596" s="333"/>
      <c r="AK2596" s="333"/>
      <c r="AL2596" s="333"/>
      <c r="AM2596" s="338"/>
      <c r="AN2596" s="333"/>
      <c r="AO2596" s="333"/>
      <c r="AP2596" s="333"/>
      <c r="AQ2596" s="333"/>
      <c r="AR2596" s="333"/>
      <c r="AS2596" s="333"/>
      <c r="AT2596" s="333"/>
      <c r="AU2596" s="329"/>
      <c r="AV2596" s="341"/>
      <c r="AW2596" s="269" t="s">
        <v>2583</v>
      </c>
      <c r="AX2596" s="269" t="s">
        <v>2869</v>
      </c>
      <c r="AY2596" s="270" t="s">
        <v>695</v>
      </c>
      <c r="AZ2596" s="173" t="s">
        <v>8288</v>
      </c>
      <c r="BA2596" s="265">
        <v>10.0</v>
      </c>
      <c r="BB2596" s="367"/>
      <c r="BC2596" s="341"/>
      <c r="BD2596" s="308" t="s">
        <v>1844</v>
      </c>
      <c r="BE2596" s="378"/>
      <c r="BF2596" s="274" t="str">
        <f>IFERROR(__xludf.DUMMYFUNCTION("LOWER(Regexreplace(to_text(E2596),""[^A-Za-z0-9]"","""")&amp;""_""&amp;Regexreplace(to_text(F2596),""[^A-Za-z0-9]"",""""))"),"schneider_pm2200")</f>
        <v>schneider_pm2200</v>
      </c>
      <c r="BG2596" s="275" t="str">
        <f>IFERROR(__xludf.DUMMYFUNCTION("upper(Regexreplace(to_text(E2596),""[^A-Za-z0-9]"","""")&amp;""-""&amp;Regexreplace(to_text(F2596),""[^A-Za-z0-9]"",""""))"),"SCHNEIDER-PM2200")</f>
        <v>SCHNEIDER-PM2200</v>
      </c>
    </row>
    <row r="2597" ht="30.0" customHeight="1">
      <c r="A2597" s="258"/>
      <c r="B2597" s="328" t="s">
        <v>670</v>
      </c>
      <c r="C2597" s="257" t="s">
        <v>8456</v>
      </c>
      <c r="D2597" s="173" t="s">
        <v>8456</v>
      </c>
      <c r="E2597" s="174" t="s">
        <v>8070</v>
      </c>
      <c r="F2597" s="173" t="s">
        <v>8071</v>
      </c>
      <c r="G2597" s="328" t="s">
        <v>673</v>
      </c>
      <c r="H2597" s="328" t="s">
        <v>2863</v>
      </c>
      <c r="I2597" s="258" t="s">
        <v>8072</v>
      </c>
      <c r="J2597" s="259" t="s">
        <v>1393</v>
      </c>
      <c r="K2597" s="260" t="s">
        <v>8452</v>
      </c>
      <c r="L2597" s="365"/>
      <c r="M2597" s="329"/>
      <c r="N2597" s="173" t="s">
        <v>679</v>
      </c>
      <c r="O2597" s="173" t="s">
        <v>225</v>
      </c>
      <c r="P2597" s="262" t="str">
        <f t="shared" si="1"/>
        <v>IN-BLR-ANANTA-EM-179_10</v>
      </c>
      <c r="Q2597" s="173" t="s">
        <v>8457</v>
      </c>
      <c r="R2597" s="328" t="str">
        <f>IFS(C2597="","",C2597="n/a","N/A",LEN(C2597),Concatenate("{",char(34),"asset",char(34),":{",char(34),"guid",char(34),":",char(34),Q2597,char(34),",",char(34),"site",char(34),":",char(34),LOWER('2-Building'!$B$4),char(34),",",char(34),"name",char(34),":",char(34),LOWER(C2597),char(34),"}}"))</f>
        <v>{"asset":{"guid":"uuid://841f508d-894d-4672-bc39-dbf7579cb15c","site":"in-blr-ananta","name":"em-179"}}</v>
      </c>
      <c r="S2597" s="366" t="s">
        <v>8075</v>
      </c>
      <c r="T2597" s="330"/>
      <c r="U2597" s="330"/>
      <c r="V2597" s="331"/>
      <c r="W2597" s="332"/>
      <c r="X2597" s="333"/>
      <c r="Y2597" s="33" t="s">
        <v>8076</v>
      </c>
      <c r="Z2597" s="368"/>
      <c r="AA2597" s="333"/>
      <c r="AB2597" s="258">
        <v>4.0</v>
      </c>
      <c r="AC2597" s="333"/>
      <c r="AD2597" s="329"/>
      <c r="AE2597" s="331"/>
      <c r="AF2597" s="336"/>
      <c r="AG2597" s="337"/>
      <c r="AH2597" s="333"/>
      <c r="AI2597" s="333"/>
      <c r="AJ2597" s="333"/>
      <c r="AK2597" s="333"/>
      <c r="AL2597" s="333"/>
      <c r="AM2597" s="338"/>
      <c r="AN2597" s="333"/>
      <c r="AO2597" s="333"/>
      <c r="AP2597" s="333"/>
      <c r="AQ2597" s="333"/>
      <c r="AR2597" s="333"/>
      <c r="AS2597" s="333"/>
      <c r="AT2597" s="333"/>
      <c r="AU2597" s="329"/>
      <c r="AV2597" s="341"/>
      <c r="AW2597" s="269" t="s">
        <v>2583</v>
      </c>
      <c r="AX2597" s="269" t="s">
        <v>2869</v>
      </c>
      <c r="AY2597" s="270" t="s">
        <v>695</v>
      </c>
      <c r="AZ2597" s="173" t="s">
        <v>8288</v>
      </c>
      <c r="BA2597" s="265">
        <v>10.0</v>
      </c>
      <c r="BB2597" s="367"/>
      <c r="BC2597" s="341"/>
      <c r="BD2597" s="308" t="s">
        <v>1844</v>
      </c>
      <c r="BE2597" s="378"/>
      <c r="BF2597" s="274" t="str">
        <f>IFERROR(__xludf.DUMMYFUNCTION("LOWER(Regexreplace(to_text(E2597),""[^A-Za-z0-9]"","""")&amp;""_""&amp;Regexreplace(to_text(F2597),""[^A-Za-z0-9]"",""""))"),"schneider_pm2200")</f>
        <v>schneider_pm2200</v>
      </c>
      <c r="BG2597" s="275" t="str">
        <f>IFERROR(__xludf.DUMMYFUNCTION("upper(Regexreplace(to_text(E2597),""[^A-Za-z0-9]"","""")&amp;""-""&amp;Regexreplace(to_text(F2597),""[^A-Za-z0-9]"",""""))"),"SCHNEIDER-PM2200")</f>
        <v>SCHNEIDER-PM2200</v>
      </c>
    </row>
    <row r="2598" ht="30.0" customHeight="1">
      <c r="A2598" s="258"/>
      <c r="B2598" s="328" t="s">
        <v>670</v>
      </c>
      <c r="C2598" s="257" t="s">
        <v>8458</v>
      </c>
      <c r="D2598" s="173" t="s">
        <v>8458</v>
      </c>
      <c r="E2598" s="174" t="s">
        <v>8070</v>
      </c>
      <c r="F2598" s="173" t="s">
        <v>8071</v>
      </c>
      <c r="G2598" s="328" t="s">
        <v>673</v>
      </c>
      <c r="H2598" s="328" t="s">
        <v>2863</v>
      </c>
      <c r="I2598" s="258" t="s">
        <v>8072</v>
      </c>
      <c r="J2598" s="259" t="s">
        <v>1393</v>
      </c>
      <c r="K2598" s="260" t="s">
        <v>8452</v>
      </c>
      <c r="L2598" s="365"/>
      <c r="M2598" s="329"/>
      <c r="N2598" s="173" t="s">
        <v>679</v>
      </c>
      <c r="O2598" s="173" t="s">
        <v>225</v>
      </c>
      <c r="P2598" s="262" t="str">
        <f t="shared" si="1"/>
        <v>IN-BLR-ANANTA-EM-180_10</v>
      </c>
      <c r="Q2598" s="173" t="s">
        <v>8459</v>
      </c>
      <c r="R2598" s="328" t="str">
        <f>IFS(C2598="","",C2598="n/a","N/A",LEN(C2598),Concatenate("{",char(34),"asset",char(34),":{",char(34),"guid",char(34),":",char(34),Q2598,char(34),",",char(34),"site",char(34),":",char(34),LOWER('2-Building'!$B$4),char(34),",",char(34),"name",char(34),":",char(34),LOWER(C2598),char(34),"}}"))</f>
        <v>{"asset":{"guid":"uuid://79ca0148-e369-4b44-8ec5-6b40f5efb39c","site":"in-blr-ananta","name":"em-180"}}</v>
      </c>
      <c r="S2598" s="366" t="s">
        <v>8075</v>
      </c>
      <c r="T2598" s="330"/>
      <c r="U2598" s="330"/>
      <c r="V2598" s="331"/>
      <c r="W2598" s="332"/>
      <c r="X2598" s="333"/>
      <c r="Y2598" s="33" t="s">
        <v>8076</v>
      </c>
      <c r="Z2598" s="368"/>
      <c r="AA2598" s="333"/>
      <c r="AB2598" s="258">
        <v>5.0</v>
      </c>
      <c r="AC2598" s="333"/>
      <c r="AD2598" s="329"/>
      <c r="AE2598" s="331"/>
      <c r="AF2598" s="336"/>
      <c r="AG2598" s="337"/>
      <c r="AH2598" s="333"/>
      <c r="AI2598" s="333"/>
      <c r="AJ2598" s="333"/>
      <c r="AK2598" s="333"/>
      <c r="AL2598" s="333"/>
      <c r="AM2598" s="338"/>
      <c r="AN2598" s="333"/>
      <c r="AO2598" s="333"/>
      <c r="AP2598" s="333"/>
      <c r="AQ2598" s="333"/>
      <c r="AR2598" s="333"/>
      <c r="AS2598" s="333"/>
      <c r="AT2598" s="333"/>
      <c r="AU2598" s="329"/>
      <c r="AV2598" s="341"/>
      <c r="AW2598" s="269" t="s">
        <v>2583</v>
      </c>
      <c r="AX2598" s="269" t="s">
        <v>2869</v>
      </c>
      <c r="AY2598" s="270" t="s">
        <v>695</v>
      </c>
      <c r="AZ2598" s="173" t="s">
        <v>8288</v>
      </c>
      <c r="BA2598" s="265">
        <v>10.0</v>
      </c>
      <c r="BB2598" s="367"/>
      <c r="BC2598" s="341"/>
      <c r="BD2598" s="308" t="s">
        <v>1844</v>
      </c>
      <c r="BE2598" s="378"/>
      <c r="BF2598" s="274" t="str">
        <f>IFERROR(__xludf.DUMMYFUNCTION("LOWER(Regexreplace(to_text(E2598),""[^A-Za-z0-9]"","""")&amp;""_""&amp;Regexreplace(to_text(F2598),""[^A-Za-z0-9]"",""""))"),"schneider_pm2200")</f>
        <v>schneider_pm2200</v>
      </c>
      <c r="BG2598" s="275" t="str">
        <f>IFERROR(__xludf.DUMMYFUNCTION("upper(Regexreplace(to_text(E2598),""[^A-Za-z0-9]"","""")&amp;""-""&amp;Regexreplace(to_text(F2598),""[^A-Za-z0-9]"",""""))"),"SCHNEIDER-PM2200")</f>
        <v>SCHNEIDER-PM2200</v>
      </c>
    </row>
    <row r="2599" ht="30.0" customHeight="1">
      <c r="A2599" s="258"/>
      <c r="B2599" s="328" t="s">
        <v>670</v>
      </c>
      <c r="C2599" s="257" t="s">
        <v>8460</v>
      </c>
      <c r="D2599" s="173" t="s">
        <v>8460</v>
      </c>
      <c r="E2599" s="174" t="s">
        <v>8070</v>
      </c>
      <c r="F2599" s="173" t="s">
        <v>8340</v>
      </c>
      <c r="G2599" s="328" t="s">
        <v>673</v>
      </c>
      <c r="H2599" s="328" t="s">
        <v>2863</v>
      </c>
      <c r="I2599" s="258" t="s">
        <v>8072</v>
      </c>
      <c r="J2599" s="259" t="s">
        <v>1393</v>
      </c>
      <c r="K2599" s="260" t="s">
        <v>8441</v>
      </c>
      <c r="L2599" s="365"/>
      <c r="M2599" s="329"/>
      <c r="N2599" s="173" t="s">
        <v>679</v>
      </c>
      <c r="O2599" s="173" t="s">
        <v>225</v>
      </c>
      <c r="P2599" s="262" t="str">
        <f t="shared" si="1"/>
        <v>IN-BLR-ANANTA-EM-181_10</v>
      </c>
      <c r="Q2599" s="173" t="s">
        <v>8461</v>
      </c>
      <c r="R2599" s="328" t="str">
        <f>IFS(C2599="","",C2599="n/a","N/A",LEN(C2599),Concatenate("{",char(34),"asset",char(34),":{",char(34),"guid",char(34),":",char(34),Q2599,char(34),",",char(34),"site",char(34),":",char(34),LOWER('2-Building'!$B$4),char(34),",",char(34),"name",char(34),":",char(34),LOWER(C2599),char(34),"}}"))</f>
        <v>{"asset":{"guid":"uuid://b7fbf898-06e2-4297-aa05-6ceb5c7b78f9","site":"in-blr-ananta","name":"em-181"}}</v>
      </c>
      <c r="S2599" s="366" t="s">
        <v>8075</v>
      </c>
      <c r="T2599" s="330"/>
      <c r="U2599" s="330"/>
      <c r="V2599" s="331"/>
      <c r="W2599" s="332"/>
      <c r="X2599" s="333"/>
      <c r="Y2599" s="33" t="s">
        <v>8076</v>
      </c>
      <c r="Z2599" s="368"/>
      <c r="AA2599" s="333"/>
      <c r="AB2599" s="258">
        <v>7.0</v>
      </c>
      <c r="AC2599" s="333"/>
      <c r="AD2599" s="329"/>
      <c r="AE2599" s="331"/>
      <c r="AF2599" s="336"/>
      <c r="AG2599" s="337"/>
      <c r="AH2599" s="333"/>
      <c r="AI2599" s="333"/>
      <c r="AJ2599" s="333"/>
      <c r="AK2599" s="333"/>
      <c r="AL2599" s="333"/>
      <c r="AM2599" s="338"/>
      <c r="AN2599" s="333"/>
      <c r="AO2599" s="333"/>
      <c r="AP2599" s="333"/>
      <c r="AQ2599" s="333"/>
      <c r="AR2599" s="333"/>
      <c r="AS2599" s="333"/>
      <c r="AT2599" s="333"/>
      <c r="AU2599" s="329"/>
      <c r="AV2599" s="341"/>
      <c r="AW2599" s="269" t="s">
        <v>2583</v>
      </c>
      <c r="AX2599" s="269" t="s">
        <v>2869</v>
      </c>
      <c r="AY2599" s="270" t="s">
        <v>695</v>
      </c>
      <c r="AZ2599" s="173" t="s">
        <v>8288</v>
      </c>
      <c r="BA2599" s="265">
        <v>10.0</v>
      </c>
      <c r="BB2599" s="367"/>
      <c r="BC2599" s="341"/>
      <c r="BD2599" s="308" t="s">
        <v>1844</v>
      </c>
      <c r="BE2599" s="378"/>
      <c r="BF2599" s="274" t="str">
        <f>IFERROR(__xludf.DUMMYFUNCTION("LOWER(Regexreplace(to_text(E2599),""[^A-Za-z0-9]"","""")&amp;""_""&amp;Regexreplace(to_text(F2599),""[^A-Za-z0-9]"",""""))"),"schneider_iem3000")</f>
        <v>schneider_iem3000</v>
      </c>
      <c r="BG2599" s="275" t="str">
        <f>IFERROR(__xludf.DUMMYFUNCTION("upper(Regexreplace(to_text(E2599),""[^A-Za-z0-9]"","""")&amp;""-""&amp;Regexreplace(to_text(F2599),""[^A-Za-z0-9]"",""""))"),"SCHNEIDER-IEM3000")</f>
        <v>SCHNEIDER-IEM3000</v>
      </c>
    </row>
    <row r="2600" ht="30.0" customHeight="1">
      <c r="A2600" s="258"/>
      <c r="B2600" s="328" t="s">
        <v>670</v>
      </c>
      <c r="C2600" s="257" t="s">
        <v>8462</v>
      </c>
      <c r="D2600" s="173" t="s">
        <v>8462</v>
      </c>
      <c r="E2600" s="174" t="s">
        <v>8070</v>
      </c>
      <c r="F2600" s="173" t="s">
        <v>8071</v>
      </c>
      <c r="G2600" s="328" t="s">
        <v>673</v>
      </c>
      <c r="H2600" s="328" t="s">
        <v>2863</v>
      </c>
      <c r="I2600" s="258" t="s">
        <v>8072</v>
      </c>
      <c r="J2600" s="259" t="s">
        <v>1393</v>
      </c>
      <c r="K2600" s="260" t="s">
        <v>8444</v>
      </c>
      <c r="L2600" s="365"/>
      <c r="M2600" s="329"/>
      <c r="N2600" s="173" t="s">
        <v>679</v>
      </c>
      <c r="O2600" s="173" t="s">
        <v>225</v>
      </c>
      <c r="P2600" s="262" t="str">
        <f t="shared" si="1"/>
        <v>IN-BLR-ANANTA-EM-182_10</v>
      </c>
      <c r="Q2600" s="173" t="s">
        <v>8463</v>
      </c>
      <c r="R2600" s="328" t="str">
        <f>IFS(C2600="","",C2600="n/a","N/A",LEN(C2600),Concatenate("{",char(34),"asset",char(34),":{",char(34),"guid",char(34),":",char(34),Q2600,char(34),",",char(34),"site",char(34),":",char(34),LOWER('2-Building'!$B$4),char(34),",",char(34),"name",char(34),":",char(34),LOWER(C2600),char(34),"}}"))</f>
        <v>{"asset":{"guid":"uuid://c1e361a0-1fc4-414e-a00a-0e5481e54312","site":"in-blr-ananta","name":"em-182"}}</v>
      </c>
      <c r="S2600" s="366" t="s">
        <v>8075</v>
      </c>
      <c r="T2600" s="330"/>
      <c r="U2600" s="330"/>
      <c r="V2600" s="331"/>
      <c r="W2600" s="332"/>
      <c r="X2600" s="333"/>
      <c r="Y2600" s="33" t="s">
        <v>8076</v>
      </c>
      <c r="Z2600" s="368"/>
      <c r="AA2600" s="333"/>
      <c r="AB2600" s="258">
        <v>9.0</v>
      </c>
      <c r="AC2600" s="333"/>
      <c r="AD2600" s="329"/>
      <c r="AE2600" s="331"/>
      <c r="AF2600" s="336"/>
      <c r="AG2600" s="337"/>
      <c r="AH2600" s="333"/>
      <c r="AI2600" s="333"/>
      <c r="AJ2600" s="333"/>
      <c r="AK2600" s="333"/>
      <c r="AL2600" s="333"/>
      <c r="AM2600" s="338"/>
      <c r="AN2600" s="333"/>
      <c r="AO2600" s="333"/>
      <c r="AP2600" s="333"/>
      <c r="AQ2600" s="333"/>
      <c r="AR2600" s="333"/>
      <c r="AS2600" s="333"/>
      <c r="AT2600" s="333"/>
      <c r="AU2600" s="329"/>
      <c r="AV2600" s="341"/>
      <c r="AW2600" s="269" t="s">
        <v>2583</v>
      </c>
      <c r="AX2600" s="269" t="s">
        <v>2869</v>
      </c>
      <c r="AY2600" s="270" t="s">
        <v>695</v>
      </c>
      <c r="AZ2600" s="173" t="s">
        <v>8288</v>
      </c>
      <c r="BA2600" s="265">
        <v>10.0</v>
      </c>
      <c r="BB2600" s="367"/>
      <c r="BC2600" s="341"/>
      <c r="BD2600" s="308" t="s">
        <v>1844</v>
      </c>
      <c r="BE2600" s="378"/>
      <c r="BF2600" s="274" t="str">
        <f>IFERROR(__xludf.DUMMYFUNCTION("LOWER(Regexreplace(to_text(E2600),""[^A-Za-z0-9]"","""")&amp;""_""&amp;Regexreplace(to_text(F2600),""[^A-Za-z0-9]"",""""))"),"schneider_pm2200")</f>
        <v>schneider_pm2200</v>
      </c>
      <c r="BG2600" s="275" t="str">
        <f>IFERROR(__xludf.DUMMYFUNCTION("upper(Regexreplace(to_text(E2600),""[^A-Za-z0-9]"","""")&amp;""-""&amp;Regexreplace(to_text(F2600),""[^A-Za-z0-9]"",""""))"),"SCHNEIDER-PM2200")</f>
        <v>SCHNEIDER-PM2200</v>
      </c>
    </row>
    <row r="2601" ht="30.0" customHeight="1">
      <c r="A2601" s="258"/>
      <c r="B2601" s="328" t="s">
        <v>670</v>
      </c>
      <c r="C2601" s="257" t="s">
        <v>8464</v>
      </c>
      <c r="D2601" s="173" t="s">
        <v>8464</v>
      </c>
      <c r="E2601" s="174" t="s">
        <v>8070</v>
      </c>
      <c r="F2601" s="173" t="s">
        <v>8340</v>
      </c>
      <c r="G2601" s="328" t="s">
        <v>673</v>
      </c>
      <c r="H2601" s="328" t="s">
        <v>2863</v>
      </c>
      <c r="I2601" s="258" t="s">
        <v>8072</v>
      </c>
      <c r="J2601" s="259" t="s">
        <v>1453</v>
      </c>
      <c r="K2601" s="260" t="s">
        <v>8465</v>
      </c>
      <c r="L2601" s="365"/>
      <c r="M2601" s="329"/>
      <c r="N2601" s="173" t="s">
        <v>679</v>
      </c>
      <c r="O2601" s="173" t="s">
        <v>225</v>
      </c>
      <c r="P2601" s="262" t="str">
        <f t="shared" si="1"/>
        <v>IN-BLR-ANANTA-EM-183_11</v>
      </c>
      <c r="Q2601" s="173" t="s">
        <v>8466</v>
      </c>
      <c r="R2601" s="328" t="str">
        <f>IFS(C2601="","",C2601="n/a","N/A",LEN(C2601),Concatenate("{",char(34),"asset",char(34),":{",char(34),"guid",char(34),":",char(34),Q2601,char(34),",",char(34),"site",char(34),":",char(34),LOWER('2-Building'!$B$4),char(34),",",char(34),"name",char(34),":",char(34),LOWER(C2601),char(34),"}}"))</f>
        <v>{"asset":{"guid":"uuid://95197071-1dd1-4dcb-a971-89d7cc04167a","site":"in-blr-ananta","name":"em-183"}}</v>
      </c>
      <c r="S2601" s="366" t="s">
        <v>8075</v>
      </c>
      <c r="T2601" s="330"/>
      <c r="U2601" s="330"/>
      <c r="V2601" s="331"/>
      <c r="W2601" s="332"/>
      <c r="X2601" s="333"/>
      <c r="Y2601" s="33" t="s">
        <v>8076</v>
      </c>
      <c r="Z2601" s="368"/>
      <c r="AA2601" s="333"/>
      <c r="AB2601" s="258">
        <v>4.0</v>
      </c>
      <c r="AC2601" s="333"/>
      <c r="AD2601" s="329"/>
      <c r="AE2601" s="331"/>
      <c r="AF2601" s="336"/>
      <c r="AG2601" s="337"/>
      <c r="AH2601" s="333"/>
      <c r="AI2601" s="333"/>
      <c r="AJ2601" s="333"/>
      <c r="AK2601" s="333"/>
      <c r="AL2601" s="333"/>
      <c r="AM2601" s="338"/>
      <c r="AN2601" s="333"/>
      <c r="AO2601" s="333"/>
      <c r="AP2601" s="333"/>
      <c r="AQ2601" s="333"/>
      <c r="AR2601" s="333"/>
      <c r="AS2601" s="333"/>
      <c r="AT2601" s="333"/>
      <c r="AU2601" s="329"/>
      <c r="AV2601" s="341"/>
      <c r="AW2601" s="269" t="s">
        <v>2649</v>
      </c>
      <c r="AX2601" s="269" t="s">
        <v>2869</v>
      </c>
      <c r="AY2601" s="270" t="s">
        <v>695</v>
      </c>
      <c r="AZ2601" s="173" t="s">
        <v>8288</v>
      </c>
      <c r="BA2601" s="265">
        <v>10.0</v>
      </c>
      <c r="BB2601" s="367"/>
      <c r="BC2601" s="341"/>
      <c r="BD2601" s="308" t="s">
        <v>1844</v>
      </c>
      <c r="BE2601" s="378"/>
      <c r="BF2601" s="274" t="str">
        <f>IFERROR(__xludf.DUMMYFUNCTION("LOWER(Regexreplace(to_text(E2601),""[^A-Za-z0-9]"","""")&amp;""_""&amp;Regexreplace(to_text(F2601),""[^A-Za-z0-9]"",""""))"),"schneider_iem3000")</f>
        <v>schneider_iem3000</v>
      </c>
      <c r="BG2601" s="275" t="str">
        <f>IFERROR(__xludf.DUMMYFUNCTION("upper(Regexreplace(to_text(E2601),""[^A-Za-z0-9]"","""")&amp;""-""&amp;Regexreplace(to_text(F2601),""[^A-Za-z0-9]"",""""))"),"SCHNEIDER-IEM3000")</f>
        <v>SCHNEIDER-IEM3000</v>
      </c>
    </row>
    <row r="2602" ht="30.0" customHeight="1">
      <c r="A2602" s="258"/>
      <c r="B2602" s="328" t="s">
        <v>670</v>
      </c>
      <c r="C2602" s="257" t="s">
        <v>8467</v>
      </c>
      <c r="D2602" s="173" t="s">
        <v>8467</v>
      </c>
      <c r="E2602" s="174" t="s">
        <v>8070</v>
      </c>
      <c r="F2602" s="173" t="s">
        <v>8071</v>
      </c>
      <c r="G2602" s="328" t="s">
        <v>673</v>
      </c>
      <c r="H2602" s="328" t="s">
        <v>2863</v>
      </c>
      <c r="I2602" s="258" t="s">
        <v>8072</v>
      </c>
      <c r="J2602" s="259" t="s">
        <v>1453</v>
      </c>
      <c r="K2602" s="260" t="s">
        <v>1772</v>
      </c>
      <c r="L2602" s="365"/>
      <c r="M2602" s="329"/>
      <c r="N2602" s="173" t="s">
        <v>679</v>
      </c>
      <c r="O2602" s="173" t="s">
        <v>225</v>
      </c>
      <c r="P2602" s="262" t="str">
        <f t="shared" si="1"/>
        <v>IN-BLR-ANANTA-EM-184_11</v>
      </c>
      <c r="Q2602" s="173" t="s">
        <v>8468</v>
      </c>
      <c r="R2602" s="328" t="str">
        <f>IFS(C2602="","",C2602="n/a","N/A",LEN(C2602),Concatenate("{",char(34),"asset",char(34),":{",char(34),"guid",char(34),":",char(34),Q2602,char(34),",",char(34),"site",char(34),":",char(34),LOWER('2-Building'!$B$4),char(34),",",char(34),"name",char(34),":",char(34),LOWER(C2602),char(34),"}}"))</f>
        <v>{"asset":{"guid":"uuid://3ad742df-6962-4653-9eae-1124f4103bbf","site":"in-blr-ananta","name":"em-184"}}</v>
      </c>
      <c r="S2602" s="366" t="s">
        <v>8075</v>
      </c>
      <c r="T2602" s="330"/>
      <c r="U2602" s="330"/>
      <c r="V2602" s="331"/>
      <c r="W2602" s="332"/>
      <c r="X2602" s="333"/>
      <c r="Y2602" s="33" t="s">
        <v>8076</v>
      </c>
      <c r="Z2602" s="368"/>
      <c r="AA2602" s="333"/>
      <c r="AB2602" s="258">
        <v>7.0</v>
      </c>
      <c r="AC2602" s="333"/>
      <c r="AD2602" s="329"/>
      <c r="AE2602" s="331"/>
      <c r="AF2602" s="336"/>
      <c r="AG2602" s="337"/>
      <c r="AH2602" s="333"/>
      <c r="AI2602" s="333"/>
      <c r="AJ2602" s="333"/>
      <c r="AK2602" s="333"/>
      <c r="AL2602" s="333"/>
      <c r="AM2602" s="338"/>
      <c r="AN2602" s="333"/>
      <c r="AO2602" s="333"/>
      <c r="AP2602" s="333"/>
      <c r="AQ2602" s="333"/>
      <c r="AR2602" s="333"/>
      <c r="AS2602" s="333"/>
      <c r="AT2602" s="333"/>
      <c r="AU2602" s="329"/>
      <c r="AV2602" s="341"/>
      <c r="AW2602" s="269" t="s">
        <v>2649</v>
      </c>
      <c r="AX2602" s="269" t="s">
        <v>2869</v>
      </c>
      <c r="AY2602" s="270" t="s">
        <v>695</v>
      </c>
      <c r="AZ2602" s="173" t="s">
        <v>8288</v>
      </c>
      <c r="BA2602" s="265">
        <v>10.0</v>
      </c>
      <c r="BB2602" s="367"/>
      <c r="BC2602" s="341"/>
      <c r="BD2602" s="308" t="s">
        <v>1844</v>
      </c>
      <c r="BE2602" s="378"/>
      <c r="BF2602" s="274" t="str">
        <f>IFERROR(__xludf.DUMMYFUNCTION("LOWER(Regexreplace(to_text(E2602),""[^A-Za-z0-9]"","""")&amp;""_""&amp;Regexreplace(to_text(F2602),""[^A-Za-z0-9]"",""""))"),"schneider_pm2200")</f>
        <v>schneider_pm2200</v>
      </c>
      <c r="BG2602" s="275" t="str">
        <f>IFERROR(__xludf.DUMMYFUNCTION("upper(Regexreplace(to_text(E2602),""[^A-Za-z0-9]"","""")&amp;""-""&amp;Regexreplace(to_text(F2602),""[^A-Za-z0-9]"",""""))"),"SCHNEIDER-PM2200")</f>
        <v>SCHNEIDER-PM2200</v>
      </c>
    </row>
    <row r="2603" ht="30.0" customHeight="1">
      <c r="A2603" s="258"/>
      <c r="B2603" s="328" t="s">
        <v>670</v>
      </c>
      <c r="C2603" s="257" t="s">
        <v>8469</v>
      </c>
      <c r="D2603" s="173" t="s">
        <v>8469</v>
      </c>
      <c r="E2603" s="174" t="s">
        <v>8070</v>
      </c>
      <c r="F2603" s="173" t="s">
        <v>8071</v>
      </c>
      <c r="G2603" s="328" t="s">
        <v>673</v>
      </c>
      <c r="H2603" s="328" t="s">
        <v>2863</v>
      </c>
      <c r="I2603" s="258" t="s">
        <v>8072</v>
      </c>
      <c r="J2603" s="259" t="s">
        <v>1453</v>
      </c>
      <c r="K2603" s="260" t="s">
        <v>1465</v>
      </c>
      <c r="L2603" s="365"/>
      <c r="M2603" s="329"/>
      <c r="N2603" s="173" t="s">
        <v>679</v>
      </c>
      <c r="O2603" s="173" t="s">
        <v>225</v>
      </c>
      <c r="P2603" s="262" t="str">
        <f t="shared" si="1"/>
        <v>IN-BLR-ANANTA-EM-185_11</v>
      </c>
      <c r="Q2603" s="173" t="s">
        <v>8470</v>
      </c>
      <c r="R2603" s="328" t="str">
        <f>IFS(C2603="","",C2603="n/a","N/A",LEN(C2603),Concatenate("{",char(34),"asset",char(34),":{",char(34),"guid",char(34),":",char(34),Q2603,char(34),",",char(34),"site",char(34),":",char(34),LOWER('2-Building'!$B$4),char(34),",",char(34),"name",char(34),":",char(34),LOWER(C2603),char(34),"}}"))</f>
        <v>{"asset":{"guid":"uuid://abc59966-fa51-4c58-bb4d-02303a72bf0c","site":"in-blr-ananta","name":"em-185"}}</v>
      </c>
      <c r="S2603" s="366" t="s">
        <v>8075</v>
      </c>
      <c r="T2603" s="330"/>
      <c r="U2603" s="330"/>
      <c r="V2603" s="331"/>
      <c r="W2603" s="332"/>
      <c r="X2603" s="333"/>
      <c r="Y2603" s="33" t="s">
        <v>8076</v>
      </c>
      <c r="Z2603" s="368"/>
      <c r="AA2603" s="333"/>
      <c r="AB2603" s="258">
        <v>10.0</v>
      </c>
      <c r="AC2603" s="333"/>
      <c r="AD2603" s="329"/>
      <c r="AE2603" s="331"/>
      <c r="AF2603" s="336"/>
      <c r="AG2603" s="337"/>
      <c r="AH2603" s="333"/>
      <c r="AI2603" s="333"/>
      <c r="AJ2603" s="333"/>
      <c r="AK2603" s="333"/>
      <c r="AL2603" s="333"/>
      <c r="AM2603" s="338"/>
      <c r="AN2603" s="333"/>
      <c r="AO2603" s="333"/>
      <c r="AP2603" s="333"/>
      <c r="AQ2603" s="333"/>
      <c r="AR2603" s="333"/>
      <c r="AS2603" s="333"/>
      <c r="AT2603" s="333"/>
      <c r="AU2603" s="329"/>
      <c r="AV2603" s="341"/>
      <c r="AW2603" s="269" t="s">
        <v>2649</v>
      </c>
      <c r="AX2603" s="269" t="s">
        <v>2869</v>
      </c>
      <c r="AY2603" s="270" t="s">
        <v>695</v>
      </c>
      <c r="AZ2603" s="173" t="s">
        <v>8288</v>
      </c>
      <c r="BA2603" s="265">
        <v>10.0</v>
      </c>
      <c r="BB2603" s="367"/>
      <c r="BC2603" s="341"/>
      <c r="BD2603" s="308" t="s">
        <v>1844</v>
      </c>
      <c r="BE2603" s="378"/>
      <c r="BF2603" s="274" t="str">
        <f>IFERROR(__xludf.DUMMYFUNCTION("LOWER(Regexreplace(to_text(E2603),""[^A-Za-z0-9]"","""")&amp;""_""&amp;Regexreplace(to_text(F2603),""[^A-Za-z0-9]"",""""))"),"schneider_pm2200")</f>
        <v>schneider_pm2200</v>
      </c>
      <c r="BG2603" s="275" t="str">
        <f>IFERROR(__xludf.DUMMYFUNCTION("upper(Regexreplace(to_text(E2603),""[^A-Za-z0-9]"","""")&amp;""-""&amp;Regexreplace(to_text(F2603),""[^A-Za-z0-9]"",""""))"),"SCHNEIDER-PM2200")</f>
        <v>SCHNEIDER-PM2200</v>
      </c>
    </row>
    <row r="2604" ht="30.0" customHeight="1">
      <c r="A2604" s="258"/>
      <c r="B2604" s="328" t="s">
        <v>670</v>
      </c>
      <c r="C2604" s="257" t="s">
        <v>8471</v>
      </c>
      <c r="D2604" s="173" t="s">
        <v>8471</v>
      </c>
      <c r="E2604" s="174" t="s">
        <v>8070</v>
      </c>
      <c r="F2604" s="173" t="s">
        <v>8071</v>
      </c>
      <c r="G2604" s="328" t="s">
        <v>673</v>
      </c>
      <c r="H2604" s="328" t="s">
        <v>2863</v>
      </c>
      <c r="I2604" s="258" t="s">
        <v>8072</v>
      </c>
      <c r="J2604" s="259" t="s">
        <v>1453</v>
      </c>
      <c r="K2604" s="260" t="s">
        <v>1465</v>
      </c>
      <c r="L2604" s="365"/>
      <c r="M2604" s="329"/>
      <c r="N2604" s="173" t="s">
        <v>679</v>
      </c>
      <c r="O2604" s="173" t="s">
        <v>225</v>
      </c>
      <c r="P2604" s="262" t="str">
        <f t="shared" si="1"/>
        <v>IN-BLR-ANANTA-EM-186_11</v>
      </c>
      <c r="Q2604" s="173" t="s">
        <v>8472</v>
      </c>
      <c r="R2604" s="328" t="str">
        <f>IFS(C2604="","",C2604="n/a","N/A",LEN(C2604),Concatenate("{",char(34),"asset",char(34),":{",char(34),"guid",char(34),":",char(34),Q2604,char(34),",",char(34),"site",char(34),":",char(34),LOWER('2-Building'!$B$4),char(34),",",char(34),"name",char(34),":",char(34),LOWER(C2604),char(34),"}}"))</f>
        <v>{"asset":{"guid":"uuid://6cad9c9c-a5a8-4598-ba40-d58bdb3cf70d","site":"in-blr-ananta","name":"em-186"}}</v>
      </c>
      <c r="S2604" s="366" t="s">
        <v>8075</v>
      </c>
      <c r="T2604" s="330"/>
      <c r="U2604" s="330"/>
      <c r="V2604" s="331"/>
      <c r="W2604" s="332"/>
      <c r="X2604" s="333"/>
      <c r="Y2604" s="33" t="s">
        <v>8076</v>
      </c>
      <c r="Z2604" s="368"/>
      <c r="AA2604" s="333"/>
      <c r="AB2604" s="258">
        <v>11.0</v>
      </c>
      <c r="AC2604" s="333"/>
      <c r="AD2604" s="329"/>
      <c r="AE2604" s="331"/>
      <c r="AF2604" s="336"/>
      <c r="AG2604" s="337"/>
      <c r="AH2604" s="333"/>
      <c r="AI2604" s="333"/>
      <c r="AJ2604" s="333"/>
      <c r="AK2604" s="333"/>
      <c r="AL2604" s="333"/>
      <c r="AM2604" s="338"/>
      <c r="AN2604" s="333"/>
      <c r="AO2604" s="333"/>
      <c r="AP2604" s="333"/>
      <c r="AQ2604" s="333"/>
      <c r="AR2604" s="333"/>
      <c r="AS2604" s="333"/>
      <c r="AT2604" s="333"/>
      <c r="AU2604" s="329"/>
      <c r="AV2604" s="341"/>
      <c r="AW2604" s="269" t="s">
        <v>2649</v>
      </c>
      <c r="AX2604" s="269" t="s">
        <v>2869</v>
      </c>
      <c r="AY2604" s="270" t="s">
        <v>695</v>
      </c>
      <c r="AZ2604" s="173" t="s">
        <v>8288</v>
      </c>
      <c r="BA2604" s="265">
        <v>10.0</v>
      </c>
      <c r="BB2604" s="367"/>
      <c r="BC2604" s="341"/>
      <c r="BD2604" s="308" t="s">
        <v>1844</v>
      </c>
      <c r="BE2604" s="378"/>
      <c r="BF2604" s="274" t="str">
        <f>IFERROR(__xludf.DUMMYFUNCTION("LOWER(Regexreplace(to_text(E2604),""[^A-Za-z0-9]"","""")&amp;""_""&amp;Regexreplace(to_text(F2604),""[^A-Za-z0-9]"",""""))"),"schneider_pm2200")</f>
        <v>schneider_pm2200</v>
      </c>
      <c r="BG2604" s="275" t="str">
        <f>IFERROR(__xludf.DUMMYFUNCTION("upper(Regexreplace(to_text(E2604),""[^A-Za-z0-9]"","""")&amp;""-""&amp;Regexreplace(to_text(F2604),""[^A-Za-z0-9]"",""""))"),"SCHNEIDER-PM2200")</f>
        <v>SCHNEIDER-PM2200</v>
      </c>
    </row>
    <row r="2605" ht="30.0" customHeight="1">
      <c r="A2605" s="258"/>
      <c r="B2605" s="328" t="s">
        <v>670</v>
      </c>
      <c r="C2605" s="257" t="s">
        <v>8473</v>
      </c>
      <c r="D2605" s="173" t="s">
        <v>8473</v>
      </c>
      <c r="E2605" s="174" t="s">
        <v>8070</v>
      </c>
      <c r="F2605" s="173" t="s">
        <v>8071</v>
      </c>
      <c r="G2605" s="328" t="s">
        <v>673</v>
      </c>
      <c r="H2605" s="328" t="s">
        <v>2863</v>
      </c>
      <c r="I2605" s="258" t="s">
        <v>8072</v>
      </c>
      <c r="J2605" s="259" t="s">
        <v>1453</v>
      </c>
      <c r="K2605" s="260" t="s">
        <v>8474</v>
      </c>
      <c r="L2605" s="365"/>
      <c r="M2605" s="329"/>
      <c r="N2605" s="173" t="s">
        <v>679</v>
      </c>
      <c r="O2605" s="173" t="s">
        <v>225</v>
      </c>
      <c r="P2605" s="262" t="str">
        <f t="shared" si="1"/>
        <v>IN-BLR-ANANTA-EM-187_11</v>
      </c>
      <c r="Q2605" s="173" t="s">
        <v>8475</v>
      </c>
      <c r="R2605" s="328" t="str">
        <f>IFS(C2605="","",C2605="n/a","N/A",LEN(C2605),Concatenate("{",char(34),"asset",char(34),":{",char(34),"guid",char(34),":",char(34),Q2605,char(34),",",char(34),"site",char(34),":",char(34),LOWER('2-Building'!$B$4),char(34),",",char(34),"name",char(34),":",char(34),LOWER(C2605),char(34),"}}"))</f>
        <v>{"asset":{"guid":"uuid://9923faf1-edbd-4d58-9481-2f95155f043c","site":"in-blr-ananta","name":"em-187"}}</v>
      </c>
      <c r="S2605" s="366" t="s">
        <v>8075</v>
      </c>
      <c r="T2605" s="330"/>
      <c r="U2605" s="330"/>
      <c r="V2605" s="331"/>
      <c r="W2605" s="332"/>
      <c r="X2605" s="333"/>
      <c r="Y2605" s="33" t="s">
        <v>8076</v>
      </c>
      <c r="Z2605" s="368"/>
      <c r="AA2605" s="333"/>
      <c r="AB2605" s="258">
        <v>3.0</v>
      </c>
      <c r="AC2605" s="333"/>
      <c r="AD2605" s="329"/>
      <c r="AE2605" s="331"/>
      <c r="AF2605" s="336"/>
      <c r="AG2605" s="337"/>
      <c r="AH2605" s="333"/>
      <c r="AI2605" s="333"/>
      <c r="AJ2605" s="333"/>
      <c r="AK2605" s="333"/>
      <c r="AL2605" s="333"/>
      <c r="AM2605" s="338"/>
      <c r="AN2605" s="333"/>
      <c r="AO2605" s="333"/>
      <c r="AP2605" s="333"/>
      <c r="AQ2605" s="333"/>
      <c r="AR2605" s="333"/>
      <c r="AS2605" s="333"/>
      <c r="AT2605" s="333"/>
      <c r="AU2605" s="329"/>
      <c r="AV2605" s="341"/>
      <c r="AW2605" s="269" t="s">
        <v>2649</v>
      </c>
      <c r="AX2605" s="269" t="s">
        <v>2869</v>
      </c>
      <c r="AY2605" s="270" t="s">
        <v>695</v>
      </c>
      <c r="AZ2605" s="173" t="s">
        <v>8288</v>
      </c>
      <c r="BA2605" s="265">
        <v>10.0</v>
      </c>
      <c r="BB2605" s="367"/>
      <c r="BC2605" s="341"/>
      <c r="BD2605" s="308" t="s">
        <v>1844</v>
      </c>
      <c r="BE2605" s="378"/>
      <c r="BF2605" s="274" t="str">
        <f>IFERROR(__xludf.DUMMYFUNCTION("LOWER(Regexreplace(to_text(E2605),""[^A-Za-z0-9]"","""")&amp;""_""&amp;Regexreplace(to_text(F2605),""[^A-Za-z0-9]"",""""))"),"schneider_pm2200")</f>
        <v>schneider_pm2200</v>
      </c>
      <c r="BG2605" s="275" t="str">
        <f>IFERROR(__xludf.DUMMYFUNCTION("upper(Regexreplace(to_text(E2605),""[^A-Za-z0-9]"","""")&amp;""-""&amp;Regexreplace(to_text(F2605),""[^A-Za-z0-9]"",""""))"),"SCHNEIDER-PM2200")</f>
        <v>SCHNEIDER-PM2200</v>
      </c>
    </row>
    <row r="2606" ht="30.0" customHeight="1">
      <c r="A2606" s="258"/>
      <c r="B2606" s="328" t="s">
        <v>670</v>
      </c>
      <c r="C2606" s="257" t="s">
        <v>8476</v>
      </c>
      <c r="D2606" s="173" t="s">
        <v>8476</v>
      </c>
      <c r="E2606" s="174" t="s">
        <v>8070</v>
      </c>
      <c r="F2606" s="173" t="s">
        <v>8340</v>
      </c>
      <c r="G2606" s="328" t="s">
        <v>673</v>
      </c>
      <c r="H2606" s="328" t="s">
        <v>2863</v>
      </c>
      <c r="I2606" s="258" t="s">
        <v>8072</v>
      </c>
      <c r="J2606" s="259" t="s">
        <v>1453</v>
      </c>
      <c r="K2606" s="260" t="s">
        <v>8474</v>
      </c>
      <c r="L2606" s="365"/>
      <c r="M2606" s="329"/>
      <c r="N2606" s="173" t="s">
        <v>679</v>
      </c>
      <c r="O2606" s="173" t="s">
        <v>225</v>
      </c>
      <c r="P2606" s="262" t="str">
        <f t="shared" si="1"/>
        <v>IN-BLR-ANANTA-EM-188_11</v>
      </c>
      <c r="Q2606" s="173" t="s">
        <v>8477</v>
      </c>
      <c r="R2606" s="328" t="str">
        <f>IFS(C2606="","",C2606="n/a","N/A",LEN(C2606),Concatenate("{",char(34),"asset",char(34),":{",char(34),"guid",char(34),":",char(34),Q2606,char(34),",",char(34),"site",char(34),":",char(34),LOWER('2-Building'!$B$4),char(34),",",char(34),"name",char(34),":",char(34),LOWER(C2606),char(34),"}}"))</f>
        <v>{"asset":{"guid":"uuid://cb5d3106-620d-4bf0-a5de-f18a8a5e04af","site":"in-blr-ananta","name":"em-188"}}</v>
      </c>
      <c r="S2606" s="366" t="s">
        <v>8075</v>
      </c>
      <c r="T2606" s="330"/>
      <c r="U2606" s="330"/>
      <c r="V2606" s="331"/>
      <c r="W2606" s="332"/>
      <c r="X2606" s="333"/>
      <c r="Y2606" s="33" t="s">
        <v>8076</v>
      </c>
      <c r="Z2606" s="368"/>
      <c r="AA2606" s="333"/>
      <c r="AB2606" s="258">
        <v>2.0</v>
      </c>
      <c r="AC2606" s="333"/>
      <c r="AD2606" s="329"/>
      <c r="AE2606" s="331"/>
      <c r="AF2606" s="336"/>
      <c r="AG2606" s="337"/>
      <c r="AH2606" s="333"/>
      <c r="AI2606" s="333"/>
      <c r="AJ2606" s="333"/>
      <c r="AK2606" s="333"/>
      <c r="AL2606" s="333"/>
      <c r="AM2606" s="338"/>
      <c r="AN2606" s="333"/>
      <c r="AO2606" s="333"/>
      <c r="AP2606" s="333"/>
      <c r="AQ2606" s="333"/>
      <c r="AR2606" s="333"/>
      <c r="AS2606" s="333"/>
      <c r="AT2606" s="333"/>
      <c r="AU2606" s="329"/>
      <c r="AV2606" s="341"/>
      <c r="AW2606" s="269" t="s">
        <v>2649</v>
      </c>
      <c r="AX2606" s="269" t="s">
        <v>2869</v>
      </c>
      <c r="AY2606" s="270" t="s">
        <v>695</v>
      </c>
      <c r="AZ2606" s="173" t="s">
        <v>8288</v>
      </c>
      <c r="BA2606" s="265">
        <v>10.0</v>
      </c>
      <c r="BB2606" s="367"/>
      <c r="BC2606" s="341"/>
      <c r="BD2606" s="308" t="s">
        <v>1844</v>
      </c>
      <c r="BE2606" s="378"/>
      <c r="BF2606" s="274" t="str">
        <f>IFERROR(__xludf.DUMMYFUNCTION("LOWER(Regexreplace(to_text(E2606),""[^A-Za-z0-9]"","""")&amp;""_""&amp;Regexreplace(to_text(F2606),""[^A-Za-z0-9]"",""""))"),"schneider_iem3000")</f>
        <v>schneider_iem3000</v>
      </c>
      <c r="BG2606" s="275" t="str">
        <f>IFERROR(__xludf.DUMMYFUNCTION("upper(Regexreplace(to_text(E2606),""[^A-Za-z0-9]"","""")&amp;""-""&amp;Regexreplace(to_text(F2606),""[^A-Za-z0-9]"",""""))"),"SCHNEIDER-IEM3000")</f>
        <v>SCHNEIDER-IEM3000</v>
      </c>
    </row>
    <row r="2607" ht="30.0" customHeight="1">
      <c r="A2607" s="258"/>
      <c r="B2607" s="328" t="s">
        <v>670</v>
      </c>
      <c r="C2607" s="257" t="s">
        <v>8478</v>
      </c>
      <c r="D2607" s="173" t="s">
        <v>8478</v>
      </c>
      <c r="E2607" s="174" t="s">
        <v>8070</v>
      </c>
      <c r="F2607" s="173" t="s">
        <v>8340</v>
      </c>
      <c r="G2607" s="328" t="s">
        <v>673</v>
      </c>
      <c r="H2607" s="328" t="s">
        <v>2863</v>
      </c>
      <c r="I2607" s="258" t="s">
        <v>8072</v>
      </c>
      <c r="J2607" s="259" t="s">
        <v>1453</v>
      </c>
      <c r="K2607" s="260" t="s">
        <v>8465</v>
      </c>
      <c r="L2607" s="365"/>
      <c r="M2607" s="329"/>
      <c r="N2607" s="173" t="s">
        <v>679</v>
      </c>
      <c r="O2607" s="173" t="s">
        <v>225</v>
      </c>
      <c r="P2607" s="262" t="str">
        <f t="shared" si="1"/>
        <v>IN-BLR-ANANTA-EM-189_11</v>
      </c>
      <c r="Q2607" s="173" t="s">
        <v>8479</v>
      </c>
      <c r="R2607" s="328" t="str">
        <f>IFS(C2607="","",C2607="n/a","N/A",LEN(C2607),Concatenate("{",char(34),"asset",char(34),":{",char(34),"guid",char(34),":",char(34),Q2607,char(34),",",char(34),"site",char(34),":",char(34),LOWER('2-Building'!$B$4),char(34),",",char(34),"name",char(34),":",char(34),LOWER(C2607),char(34),"}}"))</f>
        <v>{"asset":{"guid":"uuid://f844a50a-58da-4e1e-bfd4-73447342db61","site":"in-blr-ananta","name":"em-189"}}</v>
      </c>
      <c r="S2607" s="366" t="s">
        <v>8075</v>
      </c>
      <c r="T2607" s="330"/>
      <c r="U2607" s="330"/>
      <c r="V2607" s="331"/>
      <c r="W2607" s="332"/>
      <c r="X2607" s="333"/>
      <c r="Y2607" s="33" t="s">
        <v>8076</v>
      </c>
      <c r="Z2607" s="368"/>
      <c r="AA2607" s="333"/>
      <c r="AB2607" s="258">
        <v>5.0</v>
      </c>
      <c r="AC2607" s="333"/>
      <c r="AD2607" s="329"/>
      <c r="AE2607" s="331"/>
      <c r="AF2607" s="336"/>
      <c r="AG2607" s="337"/>
      <c r="AH2607" s="333"/>
      <c r="AI2607" s="333"/>
      <c r="AJ2607" s="333"/>
      <c r="AK2607" s="333"/>
      <c r="AL2607" s="333"/>
      <c r="AM2607" s="338"/>
      <c r="AN2607" s="333"/>
      <c r="AO2607" s="333"/>
      <c r="AP2607" s="333"/>
      <c r="AQ2607" s="333"/>
      <c r="AR2607" s="333"/>
      <c r="AS2607" s="333"/>
      <c r="AT2607" s="333"/>
      <c r="AU2607" s="329"/>
      <c r="AV2607" s="341"/>
      <c r="AW2607" s="269" t="s">
        <v>2649</v>
      </c>
      <c r="AX2607" s="269" t="s">
        <v>2869</v>
      </c>
      <c r="AY2607" s="270" t="s">
        <v>695</v>
      </c>
      <c r="AZ2607" s="173" t="s">
        <v>8288</v>
      </c>
      <c r="BA2607" s="265">
        <v>10.0</v>
      </c>
      <c r="BB2607" s="367"/>
      <c r="BC2607" s="341"/>
      <c r="BD2607" s="308" t="s">
        <v>1844</v>
      </c>
      <c r="BE2607" s="378"/>
      <c r="BF2607" s="274" t="str">
        <f>IFERROR(__xludf.DUMMYFUNCTION("LOWER(Regexreplace(to_text(E2607),""[^A-Za-z0-9]"","""")&amp;""_""&amp;Regexreplace(to_text(F2607),""[^A-Za-z0-9]"",""""))"),"schneider_iem3000")</f>
        <v>schneider_iem3000</v>
      </c>
      <c r="BG2607" s="275" t="str">
        <f>IFERROR(__xludf.DUMMYFUNCTION("upper(Regexreplace(to_text(E2607),""[^A-Za-z0-9]"","""")&amp;""-""&amp;Regexreplace(to_text(F2607),""[^A-Za-z0-9]"",""""))"),"SCHNEIDER-IEM3000")</f>
        <v>SCHNEIDER-IEM3000</v>
      </c>
    </row>
    <row r="2608" ht="30.0" customHeight="1">
      <c r="A2608" s="258"/>
      <c r="B2608" s="328" t="s">
        <v>670</v>
      </c>
      <c r="C2608" s="257" t="s">
        <v>8480</v>
      </c>
      <c r="D2608" s="173" t="s">
        <v>8480</v>
      </c>
      <c r="E2608" s="174" t="s">
        <v>8070</v>
      </c>
      <c r="F2608" s="173" t="s">
        <v>8340</v>
      </c>
      <c r="G2608" s="328" t="s">
        <v>673</v>
      </c>
      <c r="H2608" s="328" t="s">
        <v>2863</v>
      </c>
      <c r="I2608" s="258" t="s">
        <v>8072</v>
      </c>
      <c r="J2608" s="259" t="s">
        <v>1453</v>
      </c>
      <c r="K2608" s="260" t="s">
        <v>8465</v>
      </c>
      <c r="L2608" s="365"/>
      <c r="M2608" s="329"/>
      <c r="N2608" s="173" t="s">
        <v>679</v>
      </c>
      <c r="O2608" s="173" t="s">
        <v>225</v>
      </c>
      <c r="P2608" s="262" t="str">
        <f t="shared" si="1"/>
        <v>IN-BLR-ANANTA-EM-190_11</v>
      </c>
      <c r="Q2608" s="173" t="s">
        <v>8481</v>
      </c>
      <c r="R2608" s="328" t="str">
        <f>IFS(C2608="","",C2608="n/a","N/A",LEN(C2608),Concatenate("{",char(34),"asset",char(34),":{",char(34),"guid",char(34),":",char(34),Q2608,char(34),",",char(34),"site",char(34),":",char(34),LOWER('2-Building'!$B$4),char(34),",",char(34),"name",char(34),":",char(34),LOWER(C2608),char(34),"}}"))</f>
        <v>{"asset":{"guid":"uuid://8c34bf57-d447-4967-85a7-bde152681c53","site":"in-blr-ananta","name":"em-190"}}</v>
      </c>
      <c r="S2608" s="366" t="s">
        <v>8075</v>
      </c>
      <c r="T2608" s="330"/>
      <c r="U2608" s="330"/>
      <c r="V2608" s="331"/>
      <c r="W2608" s="332"/>
      <c r="X2608" s="333"/>
      <c r="Y2608" s="33" t="s">
        <v>8076</v>
      </c>
      <c r="Z2608" s="368"/>
      <c r="AA2608" s="333"/>
      <c r="AB2608" s="258">
        <v>6.0</v>
      </c>
      <c r="AC2608" s="333"/>
      <c r="AD2608" s="329"/>
      <c r="AE2608" s="331"/>
      <c r="AF2608" s="336"/>
      <c r="AG2608" s="337"/>
      <c r="AH2608" s="333"/>
      <c r="AI2608" s="333"/>
      <c r="AJ2608" s="333"/>
      <c r="AK2608" s="333"/>
      <c r="AL2608" s="333"/>
      <c r="AM2608" s="338"/>
      <c r="AN2608" s="333"/>
      <c r="AO2608" s="333"/>
      <c r="AP2608" s="333"/>
      <c r="AQ2608" s="333"/>
      <c r="AR2608" s="333"/>
      <c r="AS2608" s="333"/>
      <c r="AT2608" s="333"/>
      <c r="AU2608" s="329"/>
      <c r="AV2608" s="341"/>
      <c r="AW2608" s="269" t="s">
        <v>2649</v>
      </c>
      <c r="AX2608" s="269" t="s">
        <v>2869</v>
      </c>
      <c r="AY2608" s="270" t="s">
        <v>695</v>
      </c>
      <c r="AZ2608" s="173" t="s">
        <v>8288</v>
      </c>
      <c r="BA2608" s="265">
        <v>10.0</v>
      </c>
      <c r="BB2608" s="367"/>
      <c r="BC2608" s="341"/>
      <c r="BD2608" s="308" t="s">
        <v>1844</v>
      </c>
      <c r="BE2608" s="378"/>
      <c r="BF2608" s="274" t="str">
        <f>IFERROR(__xludf.DUMMYFUNCTION("LOWER(Regexreplace(to_text(E2608),""[^A-Za-z0-9]"","""")&amp;""_""&amp;Regexreplace(to_text(F2608),""[^A-Za-z0-9]"",""""))"),"schneider_iem3000")</f>
        <v>schneider_iem3000</v>
      </c>
      <c r="BG2608" s="275" t="str">
        <f>IFERROR(__xludf.DUMMYFUNCTION("upper(Regexreplace(to_text(E2608),""[^A-Za-z0-9]"","""")&amp;""-""&amp;Regexreplace(to_text(F2608),""[^A-Za-z0-9]"",""""))"),"SCHNEIDER-IEM3000")</f>
        <v>SCHNEIDER-IEM3000</v>
      </c>
    </row>
    <row r="2609" ht="30.0" customHeight="1">
      <c r="A2609" s="258"/>
      <c r="B2609" s="328" t="s">
        <v>670</v>
      </c>
      <c r="C2609" s="257" t="s">
        <v>8482</v>
      </c>
      <c r="D2609" s="173" t="s">
        <v>8482</v>
      </c>
      <c r="E2609" s="174" t="s">
        <v>8070</v>
      </c>
      <c r="F2609" s="173" t="s">
        <v>8340</v>
      </c>
      <c r="G2609" s="328" t="s">
        <v>673</v>
      </c>
      <c r="H2609" s="328" t="s">
        <v>2863</v>
      </c>
      <c r="I2609" s="258" t="s">
        <v>8072</v>
      </c>
      <c r="J2609" s="259" t="s">
        <v>1453</v>
      </c>
      <c r="K2609" s="260" t="s">
        <v>1772</v>
      </c>
      <c r="L2609" s="365"/>
      <c r="M2609" s="329"/>
      <c r="N2609" s="173" t="s">
        <v>679</v>
      </c>
      <c r="O2609" s="173" t="s">
        <v>225</v>
      </c>
      <c r="P2609" s="262" t="str">
        <f t="shared" si="1"/>
        <v>IN-BLR-ANANTA-EM-191_11</v>
      </c>
      <c r="Q2609" s="173" t="s">
        <v>8483</v>
      </c>
      <c r="R2609" s="328" t="str">
        <f>IFS(C2609="","",C2609="n/a","N/A",LEN(C2609),Concatenate("{",char(34),"asset",char(34),":{",char(34),"guid",char(34),":",char(34),Q2609,char(34),",",char(34),"site",char(34),":",char(34),LOWER('2-Building'!$B$4),char(34),",",char(34),"name",char(34),":",char(34),LOWER(C2609),char(34),"}}"))</f>
        <v>{"asset":{"guid":"uuid://4c980298-79b9-41b6-81bd-6fe3d220b92d","site":"in-blr-ananta","name":"em-191"}}</v>
      </c>
      <c r="S2609" s="366" t="s">
        <v>8075</v>
      </c>
      <c r="T2609" s="330"/>
      <c r="U2609" s="330"/>
      <c r="V2609" s="331"/>
      <c r="W2609" s="332"/>
      <c r="X2609" s="333"/>
      <c r="Y2609" s="33" t="s">
        <v>8076</v>
      </c>
      <c r="Z2609" s="368"/>
      <c r="AA2609" s="333"/>
      <c r="AB2609" s="258">
        <v>8.0</v>
      </c>
      <c r="AC2609" s="333"/>
      <c r="AD2609" s="329"/>
      <c r="AE2609" s="331"/>
      <c r="AF2609" s="336"/>
      <c r="AG2609" s="337"/>
      <c r="AH2609" s="333"/>
      <c r="AI2609" s="333"/>
      <c r="AJ2609" s="333"/>
      <c r="AK2609" s="333"/>
      <c r="AL2609" s="333"/>
      <c r="AM2609" s="338"/>
      <c r="AN2609" s="333"/>
      <c r="AO2609" s="333"/>
      <c r="AP2609" s="333"/>
      <c r="AQ2609" s="333"/>
      <c r="AR2609" s="333"/>
      <c r="AS2609" s="333"/>
      <c r="AT2609" s="333"/>
      <c r="AU2609" s="329"/>
      <c r="AV2609" s="341"/>
      <c r="AW2609" s="269" t="s">
        <v>2649</v>
      </c>
      <c r="AX2609" s="269" t="s">
        <v>2869</v>
      </c>
      <c r="AY2609" s="270" t="s">
        <v>695</v>
      </c>
      <c r="AZ2609" s="173" t="s">
        <v>8288</v>
      </c>
      <c r="BA2609" s="265">
        <v>10.0</v>
      </c>
      <c r="BB2609" s="367"/>
      <c r="BC2609" s="341"/>
      <c r="BD2609" s="308" t="s">
        <v>1844</v>
      </c>
      <c r="BE2609" s="378"/>
      <c r="BF2609" s="274" t="str">
        <f>IFERROR(__xludf.DUMMYFUNCTION("LOWER(Regexreplace(to_text(E2609),""[^A-Za-z0-9]"","""")&amp;""_""&amp;Regexreplace(to_text(F2609),""[^A-Za-z0-9]"",""""))"),"schneider_iem3000")</f>
        <v>schneider_iem3000</v>
      </c>
      <c r="BG2609" s="275" t="str">
        <f>IFERROR(__xludf.DUMMYFUNCTION("upper(Regexreplace(to_text(E2609),""[^A-Za-z0-9]"","""")&amp;""-""&amp;Regexreplace(to_text(F2609),""[^A-Za-z0-9]"",""""))"),"SCHNEIDER-IEM3000")</f>
        <v>SCHNEIDER-IEM3000</v>
      </c>
    </row>
    <row r="2610" ht="30.0" customHeight="1">
      <c r="A2610" s="258"/>
      <c r="B2610" s="328" t="s">
        <v>670</v>
      </c>
      <c r="C2610" s="257" t="s">
        <v>8484</v>
      </c>
      <c r="D2610" s="173" t="s">
        <v>8484</v>
      </c>
      <c r="E2610" s="174" t="s">
        <v>8070</v>
      </c>
      <c r="F2610" s="173" t="s">
        <v>8340</v>
      </c>
      <c r="G2610" s="328" t="s">
        <v>673</v>
      </c>
      <c r="H2610" s="328" t="s">
        <v>2863</v>
      </c>
      <c r="I2610" s="258" t="s">
        <v>8072</v>
      </c>
      <c r="J2610" s="259" t="s">
        <v>1453</v>
      </c>
      <c r="K2610" s="260" t="s">
        <v>1772</v>
      </c>
      <c r="L2610" s="365"/>
      <c r="M2610" s="329"/>
      <c r="N2610" s="173" t="s">
        <v>679</v>
      </c>
      <c r="O2610" s="173" t="s">
        <v>225</v>
      </c>
      <c r="P2610" s="262" t="str">
        <f t="shared" si="1"/>
        <v>IN-BLR-ANANTA-EM-192_11</v>
      </c>
      <c r="Q2610" s="173" t="s">
        <v>8485</v>
      </c>
      <c r="R2610" s="328" t="str">
        <f>IFS(C2610="","",C2610="n/a","N/A",LEN(C2610),Concatenate("{",char(34),"asset",char(34),":{",char(34),"guid",char(34),":",char(34),Q2610,char(34),",",char(34),"site",char(34),":",char(34),LOWER('2-Building'!$B$4),char(34),",",char(34),"name",char(34),":",char(34),LOWER(C2610),char(34),"}}"))</f>
        <v>{"asset":{"guid":"uuid://175e4269-6739-4488-a317-783ebe25a9e7","site":"in-blr-ananta","name":"em-192"}}</v>
      </c>
      <c r="S2610" s="366" t="s">
        <v>8075</v>
      </c>
      <c r="T2610" s="330"/>
      <c r="U2610" s="330"/>
      <c r="V2610" s="331"/>
      <c r="W2610" s="332"/>
      <c r="X2610" s="333"/>
      <c r="Y2610" s="33" t="s">
        <v>8076</v>
      </c>
      <c r="Z2610" s="368"/>
      <c r="AA2610" s="333"/>
      <c r="AB2610" s="258">
        <v>9.0</v>
      </c>
      <c r="AC2610" s="333"/>
      <c r="AD2610" s="329"/>
      <c r="AE2610" s="331"/>
      <c r="AF2610" s="336"/>
      <c r="AG2610" s="337"/>
      <c r="AH2610" s="333"/>
      <c r="AI2610" s="333"/>
      <c r="AJ2610" s="333"/>
      <c r="AK2610" s="333"/>
      <c r="AL2610" s="333"/>
      <c r="AM2610" s="338"/>
      <c r="AN2610" s="333"/>
      <c r="AO2610" s="333"/>
      <c r="AP2610" s="333"/>
      <c r="AQ2610" s="333"/>
      <c r="AR2610" s="333"/>
      <c r="AS2610" s="333"/>
      <c r="AT2610" s="333"/>
      <c r="AU2610" s="329"/>
      <c r="AV2610" s="341"/>
      <c r="AW2610" s="269" t="s">
        <v>2649</v>
      </c>
      <c r="AX2610" s="269" t="s">
        <v>2869</v>
      </c>
      <c r="AY2610" s="270" t="s">
        <v>695</v>
      </c>
      <c r="AZ2610" s="173" t="s">
        <v>8288</v>
      </c>
      <c r="BA2610" s="265">
        <v>10.0</v>
      </c>
      <c r="BB2610" s="367"/>
      <c r="BC2610" s="341"/>
      <c r="BD2610" s="308" t="s">
        <v>1844</v>
      </c>
      <c r="BE2610" s="378"/>
      <c r="BF2610" s="274" t="str">
        <f>IFERROR(__xludf.DUMMYFUNCTION("LOWER(Regexreplace(to_text(E2610),""[^A-Za-z0-9]"","""")&amp;""_""&amp;Regexreplace(to_text(F2610),""[^A-Za-z0-9]"",""""))"),"schneider_iem3000")</f>
        <v>schneider_iem3000</v>
      </c>
      <c r="BG2610" s="275" t="str">
        <f>IFERROR(__xludf.DUMMYFUNCTION("upper(Regexreplace(to_text(E2610),""[^A-Za-z0-9]"","""")&amp;""-""&amp;Regexreplace(to_text(F2610),""[^A-Za-z0-9]"",""""))"),"SCHNEIDER-IEM3000")</f>
        <v>SCHNEIDER-IEM3000</v>
      </c>
    </row>
    <row r="2611" ht="30.0" customHeight="1">
      <c r="A2611" s="258"/>
      <c r="B2611" s="328" t="s">
        <v>670</v>
      </c>
      <c r="C2611" s="257" t="s">
        <v>8486</v>
      </c>
      <c r="D2611" s="173" t="s">
        <v>8486</v>
      </c>
      <c r="E2611" s="174" t="s">
        <v>8070</v>
      </c>
      <c r="F2611" s="173" t="s">
        <v>8071</v>
      </c>
      <c r="G2611" s="328" t="s">
        <v>673</v>
      </c>
      <c r="H2611" s="328" t="s">
        <v>2863</v>
      </c>
      <c r="I2611" s="258" t="s">
        <v>8072</v>
      </c>
      <c r="J2611" s="259" t="s">
        <v>1520</v>
      </c>
      <c r="K2611" s="260" t="s">
        <v>1520</v>
      </c>
      <c r="L2611" s="365"/>
      <c r="M2611" s="329"/>
      <c r="N2611" s="173" t="s">
        <v>679</v>
      </c>
      <c r="O2611" s="173" t="s">
        <v>225</v>
      </c>
      <c r="P2611" s="262" t="str">
        <f t="shared" si="1"/>
        <v>IN-BLR-ANANTA-EM-193_Roof</v>
      </c>
      <c r="Q2611" s="173" t="s">
        <v>8487</v>
      </c>
      <c r="R2611" s="328" t="str">
        <f>IFS(C2611="","",C2611="n/a","N/A",LEN(C2611),Concatenate("{",char(34),"asset",char(34),":{",char(34),"guid",char(34),":",char(34),Q2611,char(34),",",char(34),"site",char(34),":",char(34),LOWER('2-Building'!$B$4),char(34),",",char(34),"name",char(34),":",char(34),LOWER(C2611),char(34),"}}"))</f>
        <v>{"asset":{"guid":"uuid://948466eb-b511-4a4d-a642-9d4c6c55d3ff","site":"in-blr-ananta","name":"em-193"}}</v>
      </c>
      <c r="S2611" s="366" t="s">
        <v>8075</v>
      </c>
      <c r="T2611" s="330"/>
      <c r="U2611" s="330"/>
      <c r="V2611" s="331"/>
      <c r="W2611" s="332"/>
      <c r="X2611" s="333"/>
      <c r="Y2611" s="33" t="s">
        <v>8076</v>
      </c>
      <c r="Z2611" s="368"/>
      <c r="AA2611" s="333"/>
      <c r="AB2611" s="258">
        <v>2.0</v>
      </c>
      <c r="AC2611" s="333"/>
      <c r="AD2611" s="329"/>
      <c r="AE2611" s="331"/>
      <c r="AF2611" s="336"/>
      <c r="AG2611" s="337"/>
      <c r="AH2611" s="333"/>
      <c r="AI2611" s="333"/>
      <c r="AJ2611" s="333"/>
      <c r="AK2611" s="333"/>
      <c r="AL2611" s="333"/>
      <c r="AM2611" s="338"/>
      <c r="AN2611" s="333"/>
      <c r="AO2611" s="333"/>
      <c r="AP2611" s="333"/>
      <c r="AQ2611" s="333"/>
      <c r="AR2611" s="333"/>
      <c r="AS2611" s="333"/>
      <c r="AT2611" s="333"/>
      <c r="AU2611" s="329"/>
      <c r="AV2611" s="341"/>
      <c r="AW2611" s="269" t="s">
        <v>2715</v>
      </c>
      <c r="AX2611" s="269" t="s">
        <v>2869</v>
      </c>
      <c r="AY2611" s="270" t="s">
        <v>695</v>
      </c>
      <c r="AZ2611" s="173"/>
      <c r="BA2611" s="265">
        <v>10.0</v>
      </c>
      <c r="BB2611" s="367"/>
      <c r="BC2611" s="341"/>
      <c r="BD2611" s="308" t="s">
        <v>1844</v>
      </c>
      <c r="BE2611" s="378"/>
      <c r="BF2611" s="274" t="str">
        <f>IFERROR(__xludf.DUMMYFUNCTION("LOWER(Regexreplace(to_text(E2611),""[^A-Za-z0-9]"","""")&amp;""_""&amp;Regexreplace(to_text(F2611),""[^A-Za-z0-9]"",""""))"),"schneider_pm2200")</f>
        <v>schneider_pm2200</v>
      </c>
      <c r="BG2611" s="275" t="str">
        <f>IFERROR(__xludf.DUMMYFUNCTION("upper(Regexreplace(to_text(E2611),""[^A-Za-z0-9]"","""")&amp;""-""&amp;Regexreplace(to_text(F2611),""[^A-Za-z0-9]"",""""))"),"SCHNEIDER-PM2200")</f>
        <v>SCHNEIDER-PM2200</v>
      </c>
    </row>
    <row r="2612" ht="30.0" customHeight="1">
      <c r="A2612" s="258"/>
      <c r="B2612" s="328" t="s">
        <v>670</v>
      </c>
      <c r="C2612" s="257" t="s">
        <v>8488</v>
      </c>
      <c r="D2612" s="173" t="s">
        <v>8488</v>
      </c>
      <c r="E2612" s="174" t="s">
        <v>8070</v>
      </c>
      <c r="F2612" s="173" t="s">
        <v>8071</v>
      </c>
      <c r="G2612" s="328" t="s">
        <v>673</v>
      </c>
      <c r="H2612" s="328" t="s">
        <v>2863</v>
      </c>
      <c r="I2612" s="258" t="s">
        <v>8072</v>
      </c>
      <c r="J2612" s="259" t="s">
        <v>1520</v>
      </c>
      <c r="K2612" s="260" t="s">
        <v>1520</v>
      </c>
      <c r="L2612" s="365"/>
      <c r="M2612" s="329"/>
      <c r="N2612" s="173" t="s">
        <v>679</v>
      </c>
      <c r="O2612" s="173" t="s">
        <v>225</v>
      </c>
      <c r="P2612" s="262" t="str">
        <f t="shared" si="1"/>
        <v>IN-BLR-ANANTA-EM-194_Roof</v>
      </c>
      <c r="Q2612" s="173" t="s">
        <v>8489</v>
      </c>
      <c r="R2612" s="328" t="str">
        <f>IFS(C2612="","",C2612="n/a","N/A",LEN(C2612),Concatenate("{",char(34),"asset",char(34),":{",char(34),"guid",char(34),":",char(34),Q2612,char(34),",",char(34),"site",char(34),":",char(34),LOWER('2-Building'!$B$4),char(34),",",char(34),"name",char(34),":",char(34),LOWER(C2612),char(34),"}}"))</f>
        <v>{"asset":{"guid":"uuid://dcb22044-8174-4c4d-bf12-0a88c4e5772b","site":"in-blr-ananta","name":"em-194"}}</v>
      </c>
      <c r="S2612" s="366" t="s">
        <v>8075</v>
      </c>
      <c r="T2612" s="330"/>
      <c r="U2612" s="330"/>
      <c r="V2612" s="331"/>
      <c r="W2612" s="332"/>
      <c r="X2612" s="333"/>
      <c r="Y2612" s="33" t="s">
        <v>8076</v>
      </c>
      <c r="Z2612" s="368"/>
      <c r="AA2612" s="333"/>
      <c r="AB2612" s="258">
        <v>3.0</v>
      </c>
      <c r="AC2612" s="333"/>
      <c r="AD2612" s="329"/>
      <c r="AE2612" s="331"/>
      <c r="AF2612" s="336"/>
      <c r="AG2612" s="337"/>
      <c r="AH2612" s="333"/>
      <c r="AI2612" s="333"/>
      <c r="AJ2612" s="333"/>
      <c r="AK2612" s="333"/>
      <c r="AL2612" s="333"/>
      <c r="AM2612" s="338"/>
      <c r="AN2612" s="333"/>
      <c r="AO2612" s="333"/>
      <c r="AP2612" s="333"/>
      <c r="AQ2612" s="333"/>
      <c r="AR2612" s="333"/>
      <c r="AS2612" s="333"/>
      <c r="AT2612" s="333"/>
      <c r="AU2612" s="329"/>
      <c r="AV2612" s="341"/>
      <c r="AW2612" s="269" t="s">
        <v>2715</v>
      </c>
      <c r="AX2612" s="269" t="s">
        <v>2869</v>
      </c>
      <c r="AY2612" s="270" t="s">
        <v>695</v>
      </c>
      <c r="AZ2612" s="173"/>
      <c r="BA2612" s="265">
        <v>10.0</v>
      </c>
      <c r="BB2612" s="367"/>
      <c r="BC2612" s="341"/>
      <c r="BD2612" s="308" t="s">
        <v>1844</v>
      </c>
      <c r="BE2612" s="378"/>
      <c r="BF2612" s="274" t="str">
        <f>IFERROR(__xludf.DUMMYFUNCTION("LOWER(Regexreplace(to_text(E2612),""[^A-Za-z0-9]"","""")&amp;""_""&amp;Regexreplace(to_text(F2612),""[^A-Za-z0-9]"",""""))"),"schneider_pm2200")</f>
        <v>schneider_pm2200</v>
      </c>
      <c r="BG2612" s="275" t="str">
        <f>IFERROR(__xludf.DUMMYFUNCTION("upper(Regexreplace(to_text(E2612),""[^A-Za-z0-9]"","""")&amp;""-""&amp;Regexreplace(to_text(F2612),""[^A-Za-z0-9]"",""""))"),"SCHNEIDER-PM2200")</f>
        <v>SCHNEIDER-PM2200</v>
      </c>
    </row>
    <row r="2613" ht="30.0" customHeight="1">
      <c r="A2613" s="258"/>
      <c r="B2613" s="328" t="s">
        <v>670</v>
      </c>
      <c r="C2613" s="257" t="s">
        <v>8490</v>
      </c>
      <c r="D2613" s="173" t="s">
        <v>8490</v>
      </c>
      <c r="E2613" s="174" t="s">
        <v>8070</v>
      </c>
      <c r="F2613" s="173" t="s">
        <v>8071</v>
      </c>
      <c r="G2613" s="328" t="s">
        <v>673</v>
      </c>
      <c r="H2613" s="328" t="s">
        <v>2863</v>
      </c>
      <c r="I2613" s="258" t="s">
        <v>8072</v>
      </c>
      <c r="J2613" s="259" t="s">
        <v>1520</v>
      </c>
      <c r="K2613" s="260" t="s">
        <v>1520</v>
      </c>
      <c r="L2613" s="365"/>
      <c r="M2613" s="329"/>
      <c r="N2613" s="173" t="s">
        <v>679</v>
      </c>
      <c r="O2613" s="173" t="s">
        <v>225</v>
      </c>
      <c r="P2613" s="262" t="str">
        <f t="shared" si="1"/>
        <v>IN-BLR-ANANTA-EM-195_Roof</v>
      </c>
      <c r="Q2613" s="173" t="s">
        <v>8491</v>
      </c>
      <c r="R2613" s="328" t="str">
        <f>IFS(C2613="","",C2613="n/a","N/A",LEN(C2613),Concatenate("{",char(34),"asset",char(34),":{",char(34),"guid",char(34),":",char(34),Q2613,char(34),",",char(34),"site",char(34),":",char(34),LOWER('2-Building'!$B$4),char(34),",",char(34),"name",char(34),":",char(34),LOWER(C2613),char(34),"}}"))</f>
        <v>{"asset":{"guid":"uuid://e4376010-bd5d-4da9-a2e4-26a01b158461","site":"in-blr-ananta","name":"em-195"}}</v>
      </c>
      <c r="S2613" s="366" t="s">
        <v>8075</v>
      </c>
      <c r="T2613" s="330"/>
      <c r="U2613" s="330"/>
      <c r="V2613" s="331"/>
      <c r="W2613" s="332"/>
      <c r="X2613" s="333"/>
      <c r="Y2613" s="33" t="s">
        <v>8076</v>
      </c>
      <c r="Z2613" s="368"/>
      <c r="AA2613" s="333"/>
      <c r="AB2613" s="258">
        <v>2.0</v>
      </c>
      <c r="AC2613" s="333"/>
      <c r="AD2613" s="329"/>
      <c r="AE2613" s="331"/>
      <c r="AF2613" s="336"/>
      <c r="AG2613" s="337"/>
      <c r="AH2613" s="333"/>
      <c r="AI2613" s="333"/>
      <c r="AJ2613" s="333"/>
      <c r="AK2613" s="333"/>
      <c r="AL2613" s="333"/>
      <c r="AM2613" s="338"/>
      <c r="AN2613" s="333"/>
      <c r="AO2613" s="333"/>
      <c r="AP2613" s="333"/>
      <c r="AQ2613" s="333"/>
      <c r="AR2613" s="333"/>
      <c r="AS2613" s="333"/>
      <c r="AT2613" s="333"/>
      <c r="AU2613" s="329"/>
      <c r="AV2613" s="341"/>
      <c r="AW2613" s="269" t="s">
        <v>2726</v>
      </c>
      <c r="AX2613" s="269" t="s">
        <v>2869</v>
      </c>
      <c r="AY2613" s="270" t="s">
        <v>695</v>
      </c>
      <c r="AZ2613" s="173"/>
      <c r="BA2613" s="265">
        <v>10.0</v>
      </c>
      <c r="BB2613" s="367"/>
      <c r="BC2613" s="341"/>
      <c r="BD2613" s="308" t="s">
        <v>1844</v>
      </c>
      <c r="BE2613" s="378"/>
      <c r="BF2613" s="274" t="str">
        <f>IFERROR(__xludf.DUMMYFUNCTION("LOWER(Regexreplace(to_text(E2613),""[^A-Za-z0-9]"","""")&amp;""_""&amp;Regexreplace(to_text(F2613),""[^A-Za-z0-9]"",""""))"),"schneider_pm2200")</f>
        <v>schneider_pm2200</v>
      </c>
      <c r="BG2613" s="275" t="str">
        <f>IFERROR(__xludf.DUMMYFUNCTION("upper(Regexreplace(to_text(E2613),""[^A-Za-z0-9]"","""")&amp;""-""&amp;Regexreplace(to_text(F2613),""[^A-Za-z0-9]"",""""))"),"SCHNEIDER-PM2200")</f>
        <v>SCHNEIDER-PM2200</v>
      </c>
    </row>
    <row r="2614" ht="30.0" customHeight="1">
      <c r="A2614" s="258"/>
      <c r="B2614" s="328" t="s">
        <v>670</v>
      </c>
      <c r="C2614" s="257" t="s">
        <v>8492</v>
      </c>
      <c r="D2614" s="173" t="s">
        <v>8492</v>
      </c>
      <c r="E2614" s="174" t="s">
        <v>8070</v>
      </c>
      <c r="F2614" s="173" t="s">
        <v>8071</v>
      </c>
      <c r="G2614" s="328" t="s">
        <v>673</v>
      </c>
      <c r="H2614" s="328" t="s">
        <v>2863</v>
      </c>
      <c r="I2614" s="258" t="s">
        <v>8072</v>
      </c>
      <c r="J2614" s="259" t="s">
        <v>1520</v>
      </c>
      <c r="K2614" s="260" t="s">
        <v>1520</v>
      </c>
      <c r="L2614" s="365"/>
      <c r="M2614" s="329"/>
      <c r="N2614" s="173" t="s">
        <v>679</v>
      </c>
      <c r="O2614" s="173" t="s">
        <v>225</v>
      </c>
      <c r="P2614" s="262" t="str">
        <f t="shared" si="1"/>
        <v>IN-BLR-ANANTA-EM-196_Roof</v>
      </c>
      <c r="Q2614" s="173" t="s">
        <v>8493</v>
      </c>
      <c r="R2614" s="328" t="str">
        <f>IFS(C2614="","",C2614="n/a","N/A",LEN(C2614),Concatenate("{",char(34),"asset",char(34),":{",char(34),"guid",char(34),":",char(34),Q2614,char(34),",",char(34),"site",char(34),":",char(34),LOWER('2-Building'!$B$4),char(34),",",char(34),"name",char(34),":",char(34),LOWER(C2614),char(34),"}}"))</f>
        <v>{"asset":{"guid":"uuid://956236c3-7d38-4b5b-bd39-bce321945f34","site":"in-blr-ananta","name":"em-196"}}</v>
      </c>
      <c r="S2614" s="366" t="s">
        <v>8075</v>
      </c>
      <c r="T2614" s="330"/>
      <c r="U2614" s="330"/>
      <c r="V2614" s="331"/>
      <c r="W2614" s="332"/>
      <c r="X2614" s="333"/>
      <c r="Y2614" s="33" t="s">
        <v>8076</v>
      </c>
      <c r="Z2614" s="368"/>
      <c r="AA2614" s="333"/>
      <c r="AB2614" s="258">
        <v>3.0</v>
      </c>
      <c r="AC2614" s="333"/>
      <c r="AD2614" s="329"/>
      <c r="AE2614" s="331"/>
      <c r="AF2614" s="336"/>
      <c r="AG2614" s="337"/>
      <c r="AH2614" s="333"/>
      <c r="AI2614" s="333"/>
      <c r="AJ2614" s="333"/>
      <c r="AK2614" s="333"/>
      <c r="AL2614" s="333"/>
      <c r="AM2614" s="338"/>
      <c r="AN2614" s="333"/>
      <c r="AO2614" s="333"/>
      <c r="AP2614" s="333"/>
      <c r="AQ2614" s="333"/>
      <c r="AR2614" s="333"/>
      <c r="AS2614" s="333"/>
      <c r="AT2614" s="333"/>
      <c r="AU2614" s="329"/>
      <c r="AV2614" s="341"/>
      <c r="AW2614" s="269" t="s">
        <v>2726</v>
      </c>
      <c r="AX2614" s="269" t="s">
        <v>2869</v>
      </c>
      <c r="AY2614" s="270" t="s">
        <v>695</v>
      </c>
      <c r="AZ2614" s="173"/>
      <c r="BA2614" s="265">
        <v>10.0</v>
      </c>
      <c r="BB2614" s="367"/>
      <c r="BC2614" s="341"/>
      <c r="BD2614" s="308" t="s">
        <v>1844</v>
      </c>
      <c r="BE2614" s="378"/>
      <c r="BF2614" s="274" t="str">
        <f>IFERROR(__xludf.DUMMYFUNCTION("LOWER(Regexreplace(to_text(E2614),""[^A-Za-z0-9]"","""")&amp;""_""&amp;Regexreplace(to_text(F2614),""[^A-Za-z0-9]"",""""))"),"schneider_pm2200")</f>
        <v>schneider_pm2200</v>
      </c>
      <c r="BG2614" s="275" t="str">
        <f>IFERROR(__xludf.DUMMYFUNCTION("upper(Regexreplace(to_text(E2614),""[^A-Za-z0-9]"","""")&amp;""-""&amp;Regexreplace(to_text(F2614),""[^A-Za-z0-9]"",""""))"),"SCHNEIDER-PM2200")</f>
        <v>SCHNEIDER-PM2200</v>
      </c>
    </row>
    <row r="2615" ht="30.0" customHeight="1">
      <c r="A2615" s="258"/>
      <c r="B2615" s="328" t="s">
        <v>670</v>
      </c>
      <c r="C2615" s="257" t="s">
        <v>8494</v>
      </c>
      <c r="D2615" s="173" t="s">
        <v>8494</v>
      </c>
      <c r="E2615" s="174" t="s">
        <v>8070</v>
      </c>
      <c r="F2615" s="173" t="s">
        <v>8071</v>
      </c>
      <c r="G2615" s="328" t="s">
        <v>673</v>
      </c>
      <c r="H2615" s="328" t="s">
        <v>2863</v>
      </c>
      <c r="I2615" s="258" t="s">
        <v>8072</v>
      </c>
      <c r="J2615" s="259" t="s">
        <v>1520</v>
      </c>
      <c r="K2615" s="260" t="s">
        <v>1520</v>
      </c>
      <c r="L2615" s="365"/>
      <c r="M2615" s="329"/>
      <c r="N2615" s="173" t="s">
        <v>679</v>
      </c>
      <c r="O2615" s="173" t="s">
        <v>225</v>
      </c>
      <c r="P2615" s="262" t="str">
        <f t="shared" si="1"/>
        <v>IN-BLR-ANANTA-EM-197_Roof</v>
      </c>
      <c r="Q2615" s="173" t="s">
        <v>8495</v>
      </c>
      <c r="R2615" s="328" t="str">
        <f>IFS(C2615="","",C2615="n/a","N/A",LEN(C2615),Concatenate("{",char(34),"asset",char(34),":{",char(34),"guid",char(34),":",char(34),Q2615,char(34),",",char(34),"site",char(34),":",char(34),LOWER('2-Building'!$B$4),char(34),",",char(34),"name",char(34),":",char(34),LOWER(C2615),char(34),"}}"))</f>
        <v>{"asset":{"guid":"uuid://3126faad-901c-4436-9cbe-03e470530b9a","site":"in-blr-ananta","name":"em-197"}}</v>
      </c>
      <c r="S2615" s="366" t="s">
        <v>8075</v>
      </c>
      <c r="T2615" s="330"/>
      <c r="U2615" s="330"/>
      <c r="V2615" s="331"/>
      <c r="W2615" s="332"/>
      <c r="X2615" s="333"/>
      <c r="Y2615" s="33" t="s">
        <v>8076</v>
      </c>
      <c r="Z2615" s="368"/>
      <c r="AA2615" s="333"/>
      <c r="AB2615" s="258">
        <v>3.0</v>
      </c>
      <c r="AC2615" s="333"/>
      <c r="AD2615" s="329"/>
      <c r="AE2615" s="331"/>
      <c r="AF2615" s="336"/>
      <c r="AG2615" s="337"/>
      <c r="AH2615" s="333"/>
      <c r="AI2615" s="333"/>
      <c r="AJ2615" s="333"/>
      <c r="AK2615" s="333"/>
      <c r="AL2615" s="333"/>
      <c r="AM2615" s="338"/>
      <c r="AN2615" s="333"/>
      <c r="AO2615" s="333"/>
      <c r="AP2615" s="333"/>
      <c r="AQ2615" s="333"/>
      <c r="AR2615" s="333"/>
      <c r="AS2615" s="333"/>
      <c r="AT2615" s="333"/>
      <c r="AU2615" s="329"/>
      <c r="AV2615" s="341"/>
      <c r="AW2615" s="269" t="s">
        <v>1525</v>
      </c>
      <c r="AX2615" s="269" t="s">
        <v>2869</v>
      </c>
      <c r="AY2615" s="270" t="s">
        <v>695</v>
      </c>
      <c r="AZ2615" s="173"/>
      <c r="BA2615" s="265">
        <v>10.0</v>
      </c>
      <c r="BB2615" s="367"/>
      <c r="BC2615" s="341"/>
      <c r="BD2615" s="308" t="s">
        <v>1844</v>
      </c>
      <c r="BE2615" s="378"/>
      <c r="BF2615" s="274" t="str">
        <f>IFERROR(__xludf.DUMMYFUNCTION("LOWER(Regexreplace(to_text(E2615),""[^A-Za-z0-9]"","""")&amp;""_""&amp;Regexreplace(to_text(F2615),""[^A-Za-z0-9]"",""""))"),"schneider_pm2200")</f>
        <v>schneider_pm2200</v>
      </c>
      <c r="BG2615" s="275" t="str">
        <f>IFERROR(__xludf.DUMMYFUNCTION("upper(Regexreplace(to_text(E2615),""[^A-Za-z0-9]"","""")&amp;""-""&amp;Regexreplace(to_text(F2615),""[^A-Za-z0-9]"",""""))"),"SCHNEIDER-PM2200")</f>
        <v>SCHNEIDER-PM2200</v>
      </c>
    </row>
    <row r="2616" ht="30.0" customHeight="1">
      <c r="A2616" s="258"/>
      <c r="B2616" s="328" t="s">
        <v>670</v>
      </c>
      <c r="C2616" s="257" t="s">
        <v>8496</v>
      </c>
      <c r="D2616" s="173" t="s">
        <v>8496</v>
      </c>
      <c r="E2616" s="174" t="s">
        <v>8070</v>
      </c>
      <c r="F2616" s="173" t="s">
        <v>8071</v>
      </c>
      <c r="G2616" s="328" t="s">
        <v>673</v>
      </c>
      <c r="H2616" s="328" t="s">
        <v>2863</v>
      </c>
      <c r="I2616" s="258" t="s">
        <v>8072</v>
      </c>
      <c r="J2616" s="259" t="s">
        <v>1520</v>
      </c>
      <c r="K2616" s="260" t="s">
        <v>1520</v>
      </c>
      <c r="L2616" s="365"/>
      <c r="M2616" s="329"/>
      <c r="N2616" s="173" t="s">
        <v>679</v>
      </c>
      <c r="O2616" s="173" t="s">
        <v>225</v>
      </c>
      <c r="P2616" s="262" t="str">
        <f t="shared" si="1"/>
        <v>IN-BLR-ANANTA-EM-198_Roof</v>
      </c>
      <c r="Q2616" s="173" t="s">
        <v>8497</v>
      </c>
      <c r="R2616" s="328" t="str">
        <f>IFS(C2616="","",C2616="n/a","N/A",LEN(C2616),Concatenate("{",char(34),"asset",char(34),":{",char(34),"guid",char(34),":",char(34),Q2616,char(34),",",char(34),"site",char(34),":",char(34),LOWER('2-Building'!$B$4),char(34),",",char(34),"name",char(34),":",char(34),LOWER(C2616),char(34),"}}"))</f>
        <v>{"asset":{"guid":"uuid://8d34c939-40c8-4087-aa65-0fe066b15a27","site":"in-blr-ananta","name":"em-198"}}</v>
      </c>
      <c r="S2616" s="366" t="s">
        <v>8075</v>
      </c>
      <c r="T2616" s="330"/>
      <c r="U2616" s="330"/>
      <c r="V2616" s="331"/>
      <c r="W2616" s="332"/>
      <c r="X2616" s="333"/>
      <c r="Y2616" s="33" t="s">
        <v>8076</v>
      </c>
      <c r="Z2616" s="368"/>
      <c r="AA2616" s="333"/>
      <c r="AB2616" s="258">
        <v>4.0</v>
      </c>
      <c r="AC2616" s="333"/>
      <c r="AD2616" s="329"/>
      <c r="AE2616" s="331"/>
      <c r="AF2616" s="336"/>
      <c r="AG2616" s="337"/>
      <c r="AH2616" s="333"/>
      <c r="AI2616" s="333"/>
      <c r="AJ2616" s="333"/>
      <c r="AK2616" s="333"/>
      <c r="AL2616" s="333"/>
      <c r="AM2616" s="338"/>
      <c r="AN2616" s="333"/>
      <c r="AO2616" s="333"/>
      <c r="AP2616" s="333"/>
      <c r="AQ2616" s="333"/>
      <c r="AR2616" s="333"/>
      <c r="AS2616" s="333"/>
      <c r="AT2616" s="333"/>
      <c r="AU2616" s="329"/>
      <c r="AV2616" s="341"/>
      <c r="AW2616" s="269" t="s">
        <v>1525</v>
      </c>
      <c r="AX2616" s="269" t="s">
        <v>2869</v>
      </c>
      <c r="AY2616" s="270" t="s">
        <v>695</v>
      </c>
      <c r="AZ2616" s="173"/>
      <c r="BA2616" s="265">
        <v>10.0</v>
      </c>
      <c r="BB2616" s="367"/>
      <c r="BC2616" s="341"/>
      <c r="BD2616" s="308" t="s">
        <v>1844</v>
      </c>
      <c r="BE2616" s="378"/>
      <c r="BF2616" s="274" t="str">
        <f>IFERROR(__xludf.DUMMYFUNCTION("LOWER(Regexreplace(to_text(E2616),""[^A-Za-z0-9]"","""")&amp;""_""&amp;Regexreplace(to_text(F2616),""[^A-Za-z0-9]"",""""))"),"schneider_pm2200")</f>
        <v>schneider_pm2200</v>
      </c>
      <c r="BG2616" s="275" t="str">
        <f>IFERROR(__xludf.DUMMYFUNCTION("upper(Regexreplace(to_text(E2616),""[^A-Za-z0-9]"","""")&amp;""-""&amp;Regexreplace(to_text(F2616),""[^A-Za-z0-9]"",""""))"),"SCHNEIDER-PM2200")</f>
        <v>SCHNEIDER-PM2200</v>
      </c>
    </row>
    <row r="2617" ht="30.0" customHeight="1">
      <c r="A2617" s="258"/>
      <c r="B2617" s="328" t="s">
        <v>670</v>
      </c>
      <c r="C2617" s="257" t="s">
        <v>8498</v>
      </c>
      <c r="D2617" s="173" t="s">
        <v>8498</v>
      </c>
      <c r="E2617" s="174" t="s">
        <v>8070</v>
      </c>
      <c r="F2617" s="173" t="s">
        <v>8078</v>
      </c>
      <c r="G2617" s="328" t="s">
        <v>673</v>
      </c>
      <c r="H2617" s="328" t="s">
        <v>2863</v>
      </c>
      <c r="I2617" s="258" t="s">
        <v>8072</v>
      </c>
      <c r="J2617" s="259" t="s">
        <v>727</v>
      </c>
      <c r="K2617" s="260" t="s">
        <v>8073</v>
      </c>
      <c r="L2617" s="365"/>
      <c r="M2617" s="329"/>
      <c r="N2617" s="173" t="s">
        <v>679</v>
      </c>
      <c r="O2617" s="173" t="s">
        <v>225</v>
      </c>
      <c r="P2617" s="262" t="str">
        <f t="shared" si="1"/>
        <v>IN-BLR-ANANTA-EM-199_B1</v>
      </c>
      <c r="Q2617" s="173" t="s">
        <v>8499</v>
      </c>
      <c r="R2617" s="328" t="str">
        <f>IFS(C2617="","",C2617="n/a","N/A",LEN(C2617),Concatenate("{",char(34),"asset",char(34),":{",char(34),"guid",char(34),":",char(34),Q2617,char(34),",",char(34),"site",char(34),":",char(34),LOWER('2-Building'!$B$4),char(34),",",char(34),"name",char(34),":",char(34),LOWER(C2617),char(34),"}}"))</f>
        <v>{"asset":{"guid":"uuid://208ab1d6-2650-45d1-a4f3-e288b92c1eea","site":"in-blr-ananta","name":"em-199"}}</v>
      </c>
      <c r="S2617" s="366" t="s">
        <v>8075</v>
      </c>
      <c r="T2617" s="330"/>
      <c r="U2617" s="330"/>
      <c r="V2617" s="331"/>
      <c r="W2617" s="332"/>
      <c r="X2617" s="333"/>
      <c r="Y2617" s="33" t="s">
        <v>8076</v>
      </c>
      <c r="Z2617" s="368"/>
      <c r="AA2617" s="333"/>
      <c r="AB2617" s="258">
        <v>8.0</v>
      </c>
      <c r="AC2617" s="333"/>
      <c r="AD2617" s="329"/>
      <c r="AE2617" s="331"/>
      <c r="AF2617" s="336"/>
      <c r="AG2617" s="337"/>
      <c r="AH2617" s="333"/>
      <c r="AI2617" s="333"/>
      <c r="AJ2617" s="333"/>
      <c r="AK2617" s="333"/>
      <c r="AL2617" s="333"/>
      <c r="AM2617" s="338"/>
      <c r="AN2617" s="333"/>
      <c r="AO2617" s="333"/>
      <c r="AP2617" s="333"/>
      <c r="AQ2617" s="333"/>
      <c r="AR2617" s="333"/>
      <c r="AS2617" s="333"/>
      <c r="AT2617" s="333"/>
      <c r="AU2617" s="329"/>
      <c r="AV2617" s="341"/>
      <c r="AW2617" s="269" t="s">
        <v>1890</v>
      </c>
      <c r="AX2617" s="269" t="s">
        <v>2869</v>
      </c>
      <c r="AY2617" s="270" t="s">
        <v>695</v>
      </c>
      <c r="AZ2617" s="173"/>
      <c r="BA2617" s="265">
        <v>10.0</v>
      </c>
      <c r="BB2617" s="367"/>
      <c r="BC2617" s="341"/>
      <c r="BD2617" s="308" t="s">
        <v>1844</v>
      </c>
      <c r="BE2617" s="378"/>
      <c r="BF2617" s="274" t="str">
        <f>IFERROR(__xludf.DUMMYFUNCTION("LOWER(Regexreplace(to_text(E2617),""[^A-Za-z0-9]"","""")&amp;""_""&amp;Regexreplace(to_text(F2617),""[^A-Za-z0-9]"",""""))"),"schneider_easylogicem6436hrs")</f>
        <v>schneider_easylogicem6436hrs</v>
      </c>
      <c r="BG2617" s="275" t="str">
        <f>IFERROR(__xludf.DUMMYFUNCTION("upper(Regexreplace(to_text(E2617),""[^A-Za-z0-9]"","""")&amp;""-""&amp;Regexreplace(to_text(F2617),""[^A-Za-z0-9]"",""""))"),"SCHNEIDER-EASYLOGICEM6436HRS")</f>
        <v>SCHNEIDER-EASYLOGICEM6436HRS</v>
      </c>
    </row>
    <row r="2618" ht="30.0" customHeight="1">
      <c r="A2618" s="258"/>
      <c r="B2618" s="328" t="s">
        <v>670</v>
      </c>
      <c r="C2618" s="257" t="s">
        <v>8500</v>
      </c>
      <c r="D2618" s="173" t="s">
        <v>8500</v>
      </c>
      <c r="E2618" s="174" t="s">
        <v>8070</v>
      </c>
      <c r="F2618" s="173" t="s">
        <v>8078</v>
      </c>
      <c r="G2618" s="328" t="s">
        <v>673</v>
      </c>
      <c r="H2618" s="328" t="s">
        <v>2863</v>
      </c>
      <c r="I2618" s="258" t="s">
        <v>8072</v>
      </c>
      <c r="J2618" s="259" t="s">
        <v>727</v>
      </c>
      <c r="K2618" s="260" t="s">
        <v>8073</v>
      </c>
      <c r="L2618" s="365"/>
      <c r="M2618" s="329"/>
      <c r="N2618" s="173" t="s">
        <v>679</v>
      </c>
      <c r="O2618" s="173" t="s">
        <v>225</v>
      </c>
      <c r="P2618" s="262" t="str">
        <f t="shared" si="1"/>
        <v>IN-BLR-ANANTA-EM-200_B1</v>
      </c>
      <c r="Q2618" s="173" t="s">
        <v>8501</v>
      </c>
      <c r="R2618" s="328" t="str">
        <f>IFS(C2618="","",C2618="n/a","N/A",LEN(C2618),Concatenate("{",char(34),"asset",char(34),":{",char(34),"guid",char(34),":",char(34),Q2618,char(34),",",char(34),"site",char(34),":",char(34),LOWER('2-Building'!$B$4),char(34),",",char(34),"name",char(34),":",char(34),LOWER(C2618),char(34),"}}"))</f>
        <v>{"asset":{"guid":"uuid://b5243576-477b-4e9e-a124-2afd916be4d6","site":"in-blr-ananta","name":"em-200"}}</v>
      </c>
      <c r="S2618" s="366" t="s">
        <v>8075</v>
      </c>
      <c r="T2618" s="330"/>
      <c r="U2618" s="330"/>
      <c r="V2618" s="331"/>
      <c r="W2618" s="332"/>
      <c r="X2618" s="333"/>
      <c r="Y2618" s="33" t="s">
        <v>8076</v>
      </c>
      <c r="Z2618" s="368"/>
      <c r="AA2618" s="333"/>
      <c r="AB2618" s="258">
        <v>9.0</v>
      </c>
      <c r="AC2618" s="333"/>
      <c r="AD2618" s="329"/>
      <c r="AE2618" s="331"/>
      <c r="AF2618" s="336"/>
      <c r="AG2618" s="337"/>
      <c r="AH2618" s="333"/>
      <c r="AI2618" s="333"/>
      <c r="AJ2618" s="333"/>
      <c r="AK2618" s="333"/>
      <c r="AL2618" s="333"/>
      <c r="AM2618" s="338"/>
      <c r="AN2618" s="333"/>
      <c r="AO2618" s="333"/>
      <c r="AP2618" s="333"/>
      <c r="AQ2618" s="333"/>
      <c r="AR2618" s="333"/>
      <c r="AS2618" s="333"/>
      <c r="AT2618" s="333"/>
      <c r="AU2618" s="329"/>
      <c r="AV2618" s="341"/>
      <c r="AW2618" s="269" t="s">
        <v>1890</v>
      </c>
      <c r="AX2618" s="269" t="s">
        <v>2869</v>
      </c>
      <c r="AY2618" s="270" t="s">
        <v>695</v>
      </c>
      <c r="AZ2618" s="173"/>
      <c r="BA2618" s="265">
        <v>10.0</v>
      </c>
      <c r="BB2618" s="367"/>
      <c r="BC2618" s="341"/>
      <c r="BD2618" s="308" t="s">
        <v>1844</v>
      </c>
      <c r="BE2618" s="378"/>
      <c r="BF2618" s="274" t="str">
        <f>IFERROR(__xludf.DUMMYFUNCTION("LOWER(Regexreplace(to_text(E2618),""[^A-Za-z0-9]"","""")&amp;""_""&amp;Regexreplace(to_text(F2618),""[^A-Za-z0-9]"",""""))"),"schneider_easylogicem6436hrs")</f>
        <v>schneider_easylogicem6436hrs</v>
      </c>
      <c r="BG2618" s="275" t="str">
        <f>IFERROR(__xludf.DUMMYFUNCTION("upper(Regexreplace(to_text(E2618),""[^A-Za-z0-9]"","""")&amp;""-""&amp;Regexreplace(to_text(F2618),""[^A-Za-z0-9]"",""""))"),"SCHNEIDER-EASYLOGICEM6436HRS")</f>
        <v>SCHNEIDER-EASYLOGICEM6436HRS</v>
      </c>
    </row>
    <row r="2619" ht="30.0" customHeight="1">
      <c r="A2619" s="258"/>
      <c r="B2619" s="328" t="s">
        <v>670</v>
      </c>
      <c r="C2619" s="257" t="s">
        <v>8502</v>
      </c>
      <c r="D2619" s="173" t="s">
        <v>8502</v>
      </c>
      <c r="E2619" s="174" t="s">
        <v>8070</v>
      </c>
      <c r="F2619" s="173" t="s">
        <v>8071</v>
      </c>
      <c r="G2619" s="328" t="s">
        <v>673</v>
      </c>
      <c r="H2619" s="328" t="s">
        <v>2863</v>
      </c>
      <c r="I2619" s="258" t="s">
        <v>8072</v>
      </c>
      <c r="J2619" s="259" t="s">
        <v>727</v>
      </c>
      <c r="K2619" s="260" t="s">
        <v>8503</v>
      </c>
      <c r="L2619" s="365"/>
      <c r="M2619" s="329"/>
      <c r="N2619" s="173" t="s">
        <v>679</v>
      </c>
      <c r="O2619" s="173" t="s">
        <v>225</v>
      </c>
      <c r="P2619" s="262" t="str">
        <f t="shared" si="1"/>
        <v>IN-BLR-ANANTA-EM-501_B1</v>
      </c>
      <c r="Q2619" s="173" t="s">
        <v>8504</v>
      </c>
      <c r="R2619" s="328" t="str">
        <f>IFS(C2619="","",C2619="n/a","N/A",LEN(C2619),Concatenate("{",char(34),"asset",char(34),":{",char(34),"guid",char(34),":",char(34),Q2619,char(34),",",char(34),"site",char(34),":",char(34),LOWER('2-Building'!$B$4),char(34),",",char(34),"name",char(34),":",char(34),LOWER(C2619),char(34),"}}"))</f>
        <v>{"asset":{"guid":"uuid://5702b245-6655-49b1-b69a-8d2629aeb7ca","site":"in-blr-ananta","name":"em-501"}}</v>
      </c>
      <c r="S2619" s="366" t="s">
        <v>8075</v>
      </c>
      <c r="T2619" s="330"/>
      <c r="U2619" s="330"/>
      <c r="V2619" s="331"/>
      <c r="W2619" s="332"/>
      <c r="X2619" s="333"/>
      <c r="Y2619" s="33" t="s">
        <v>8076</v>
      </c>
      <c r="Z2619" s="368"/>
      <c r="AA2619" s="333"/>
      <c r="AB2619" s="258">
        <v>15.0</v>
      </c>
      <c r="AC2619" s="333"/>
      <c r="AD2619" s="329"/>
      <c r="AE2619" s="331"/>
      <c r="AF2619" s="336"/>
      <c r="AG2619" s="337"/>
      <c r="AH2619" s="333"/>
      <c r="AI2619" s="333"/>
      <c r="AJ2619" s="333"/>
      <c r="AK2619" s="333"/>
      <c r="AL2619" s="333"/>
      <c r="AM2619" s="338"/>
      <c r="AN2619" s="333"/>
      <c r="AO2619" s="333"/>
      <c r="AP2619" s="333"/>
      <c r="AQ2619" s="333"/>
      <c r="AR2619" s="333"/>
      <c r="AS2619" s="333"/>
      <c r="AT2619" s="333"/>
      <c r="AU2619" s="329"/>
      <c r="AV2619" s="341"/>
      <c r="AW2619" s="269" t="s">
        <v>1890</v>
      </c>
      <c r="AX2619" s="269" t="s">
        <v>2869</v>
      </c>
      <c r="AY2619" s="270" t="s">
        <v>695</v>
      </c>
      <c r="AZ2619" s="173"/>
      <c r="BA2619" s="265">
        <v>10.0</v>
      </c>
      <c r="BB2619" s="367"/>
      <c r="BC2619" s="341"/>
      <c r="BD2619" s="308" t="s">
        <v>1844</v>
      </c>
      <c r="BE2619" s="378"/>
      <c r="BF2619" s="274" t="str">
        <f>IFERROR(__xludf.DUMMYFUNCTION("LOWER(Regexreplace(to_text(E2619),""[^A-Za-z0-9]"","""")&amp;""_""&amp;Regexreplace(to_text(F2619),""[^A-Za-z0-9]"",""""))"),"schneider_pm2200")</f>
        <v>schneider_pm2200</v>
      </c>
      <c r="BG2619" s="275" t="str">
        <f>IFERROR(__xludf.DUMMYFUNCTION("upper(Regexreplace(to_text(E2619),""[^A-Za-z0-9]"","""")&amp;""-""&amp;Regexreplace(to_text(F2619),""[^A-Za-z0-9]"",""""))"),"SCHNEIDER-PM2200")</f>
        <v>SCHNEIDER-PM2200</v>
      </c>
    </row>
    <row r="2620" ht="30.0" customHeight="1">
      <c r="A2620" s="258"/>
      <c r="B2620" s="328" t="s">
        <v>670</v>
      </c>
      <c r="C2620" s="257" t="s">
        <v>8505</v>
      </c>
      <c r="D2620" s="173" t="s">
        <v>8505</v>
      </c>
      <c r="E2620" s="174" t="s">
        <v>8070</v>
      </c>
      <c r="F2620" s="173" t="s">
        <v>8078</v>
      </c>
      <c r="G2620" s="328" t="s">
        <v>673</v>
      </c>
      <c r="H2620" s="328" t="s">
        <v>2863</v>
      </c>
      <c r="I2620" s="258" t="s">
        <v>8072</v>
      </c>
      <c r="J2620" s="259" t="s">
        <v>727</v>
      </c>
      <c r="K2620" s="260" t="s">
        <v>8503</v>
      </c>
      <c r="L2620" s="365"/>
      <c r="M2620" s="329"/>
      <c r="N2620" s="173" t="s">
        <v>679</v>
      </c>
      <c r="O2620" s="173" t="s">
        <v>225</v>
      </c>
      <c r="P2620" s="262" t="str">
        <f t="shared" si="1"/>
        <v>IN-BLR-ANANTA-EM-502_B1</v>
      </c>
      <c r="Q2620" s="173" t="s">
        <v>8506</v>
      </c>
      <c r="R2620" s="328" t="str">
        <f>IFS(C2620="","",C2620="n/a","N/A",LEN(C2620),Concatenate("{",char(34),"asset",char(34),":{",char(34),"guid",char(34),":",char(34),Q2620,char(34),",",char(34),"site",char(34),":",char(34),LOWER('2-Building'!$B$4),char(34),",",char(34),"name",char(34),":",char(34),LOWER(C2620),char(34),"}}"))</f>
        <v>{"asset":{"guid":"uuid://4d95e3f9-d06a-4006-b46c-3c3635087034","site":"in-blr-ananta","name":"em-502"}}</v>
      </c>
      <c r="S2620" s="366" t="s">
        <v>8075</v>
      </c>
      <c r="T2620" s="330"/>
      <c r="U2620" s="330"/>
      <c r="V2620" s="331"/>
      <c r="W2620" s="332"/>
      <c r="X2620" s="333"/>
      <c r="Y2620" s="33" t="s">
        <v>8076</v>
      </c>
      <c r="Z2620" s="368"/>
      <c r="AA2620" s="333"/>
      <c r="AB2620" s="258">
        <v>16.0</v>
      </c>
      <c r="AC2620" s="333"/>
      <c r="AD2620" s="329"/>
      <c r="AE2620" s="331"/>
      <c r="AF2620" s="336"/>
      <c r="AG2620" s="337"/>
      <c r="AH2620" s="333"/>
      <c r="AI2620" s="333"/>
      <c r="AJ2620" s="333"/>
      <c r="AK2620" s="333"/>
      <c r="AL2620" s="333"/>
      <c r="AM2620" s="338"/>
      <c r="AN2620" s="333"/>
      <c r="AO2620" s="333"/>
      <c r="AP2620" s="333"/>
      <c r="AQ2620" s="333"/>
      <c r="AR2620" s="333"/>
      <c r="AS2620" s="333"/>
      <c r="AT2620" s="333"/>
      <c r="AU2620" s="329"/>
      <c r="AV2620" s="341"/>
      <c r="AW2620" s="269" t="s">
        <v>1890</v>
      </c>
      <c r="AX2620" s="269" t="s">
        <v>2869</v>
      </c>
      <c r="AY2620" s="270" t="s">
        <v>695</v>
      </c>
      <c r="AZ2620" s="173"/>
      <c r="BA2620" s="265">
        <v>10.0</v>
      </c>
      <c r="BB2620" s="367"/>
      <c r="BC2620" s="341"/>
      <c r="BD2620" s="308" t="s">
        <v>1844</v>
      </c>
      <c r="BE2620" s="378"/>
      <c r="BF2620" s="274" t="str">
        <f>IFERROR(__xludf.DUMMYFUNCTION("LOWER(Regexreplace(to_text(E2620),""[^A-Za-z0-9]"","""")&amp;""_""&amp;Regexreplace(to_text(F2620),""[^A-Za-z0-9]"",""""))"),"schneider_easylogicem6436hrs")</f>
        <v>schneider_easylogicem6436hrs</v>
      </c>
      <c r="BG2620" s="275" t="str">
        <f>IFERROR(__xludf.DUMMYFUNCTION("upper(Regexreplace(to_text(E2620),""[^A-Za-z0-9]"","""")&amp;""-""&amp;Regexreplace(to_text(F2620),""[^A-Za-z0-9]"",""""))"),"SCHNEIDER-EASYLOGICEM6436HRS")</f>
        <v>SCHNEIDER-EASYLOGICEM6436HRS</v>
      </c>
    </row>
    <row r="2621" ht="30.0" customHeight="1">
      <c r="A2621" s="258"/>
      <c r="B2621" s="328" t="s">
        <v>670</v>
      </c>
      <c r="C2621" s="257" t="s">
        <v>8507</v>
      </c>
      <c r="D2621" s="173" t="s">
        <v>8507</v>
      </c>
      <c r="E2621" s="174" t="s">
        <v>8070</v>
      </c>
      <c r="F2621" s="173" t="s">
        <v>8078</v>
      </c>
      <c r="G2621" s="328" t="s">
        <v>673</v>
      </c>
      <c r="H2621" s="328" t="s">
        <v>2863</v>
      </c>
      <c r="I2621" s="258" t="s">
        <v>8072</v>
      </c>
      <c r="J2621" s="259" t="s">
        <v>727</v>
      </c>
      <c r="K2621" s="260" t="s">
        <v>8503</v>
      </c>
      <c r="L2621" s="365"/>
      <c r="M2621" s="329"/>
      <c r="N2621" s="173" t="s">
        <v>679</v>
      </c>
      <c r="O2621" s="173" t="s">
        <v>225</v>
      </c>
      <c r="P2621" s="262" t="str">
        <f t="shared" si="1"/>
        <v>IN-BLR-ANANTA-EM-503_B1</v>
      </c>
      <c r="Q2621" s="173" t="s">
        <v>8508</v>
      </c>
      <c r="R2621" s="328" t="str">
        <f>IFS(C2621="","",C2621="n/a","N/A",LEN(C2621),Concatenate("{",char(34),"asset",char(34),":{",char(34),"guid",char(34),":",char(34),Q2621,char(34),",",char(34),"site",char(34),":",char(34),LOWER('2-Building'!$B$4),char(34),",",char(34),"name",char(34),":",char(34),LOWER(C2621),char(34),"}}"))</f>
        <v>{"asset":{"guid":"uuid://4bf23dd3-8b3b-4be7-b572-3c988bed8270","site":"in-blr-ananta","name":"em-503"}}</v>
      </c>
      <c r="S2621" s="366" t="s">
        <v>8075</v>
      </c>
      <c r="T2621" s="330"/>
      <c r="U2621" s="330"/>
      <c r="V2621" s="331"/>
      <c r="W2621" s="332"/>
      <c r="X2621" s="333"/>
      <c r="Y2621" s="33" t="s">
        <v>8076</v>
      </c>
      <c r="Z2621" s="368"/>
      <c r="AA2621" s="333"/>
      <c r="AB2621" s="258">
        <v>17.0</v>
      </c>
      <c r="AC2621" s="333"/>
      <c r="AD2621" s="329"/>
      <c r="AE2621" s="331"/>
      <c r="AF2621" s="336"/>
      <c r="AG2621" s="337"/>
      <c r="AH2621" s="333"/>
      <c r="AI2621" s="333"/>
      <c r="AJ2621" s="333"/>
      <c r="AK2621" s="333"/>
      <c r="AL2621" s="333"/>
      <c r="AM2621" s="338"/>
      <c r="AN2621" s="333"/>
      <c r="AO2621" s="333"/>
      <c r="AP2621" s="333"/>
      <c r="AQ2621" s="333"/>
      <c r="AR2621" s="333"/>
      <c r="AS2621" s="333"/>
      <c r="AT2621" s="333"/>
      <c r="AU2621" s="329"/>
      <c r="AV2621" s="341"/>
      <c r="AW2621" s="269" t="s">
        <v>1890</v>
      </c>
      <c r="AX2621" s="269" t="s">
        <v>2869</v>
      </c>
      <c r="AY2621" s="270" t="s">
        <v>695</v>
      </c>
      <c r="AZ2621" s="173"/>
      <c r="BA2621" s="265">
        <v>10.0</v>
      </c>
      <c r="BB2621" s="367"/>
      <c r="BC2621" s="341"/>
      <c r="BD2621" s="308" t="s">
        <v>1844</v>
      </c>
      <c r="BE2621" s="378"/>
      <c r="BF2621" s="274" t="str">
        <f>IFERROR(__xludf.DUMMYFUNCTION("LOWER(Regexreplace(to_text(E2621),""[^A-Za-z0-9]"","""")&amp;""_""&amp;Regexreplace(to_text(F2621),""[^A-Za-z0-9]"",""""))"),"schneider_easylogicem6436hrs")</f>
        <v>schneider_easylogicem6436hrs</v>
      </c>
      <c r="BG2621" s="275" t="str">
        <f>IFERROR(__xludf.DUMMYFUNCTION("upper(Regexreplace(to_text(E2621),""[^A-Za-z0-9]"","""")&amp;""-""&amp;Regexreplace(to_text(F2621),""[^A-Za-z0-9]"",""""))"),"SCHNEIDER-EASYLOGICEM6436HRS")</f>
        <v>SCHNEIDER-EASYLOGICEM6436HRS</v>
      </c>
    </row>
    <row r="2622" ht="30.0" customHeight="1">
      <c r="A2622" s="258"/>
      <c r="B2622" s="328" t="s">
        <v>670</v>
      </c>
      <c r="C2622" s="257" t="s">
        <v>8509</v>
      </c>
      <c r="D2622" s="173" t="s">
        <v>8509</v>
      </c>
      <c r="E2622" s="174" t="s">
        <v>8070</v>
      </c>
      <c r="F2622" s="173" t="s">
        <v>8078</v>
      </c>
      <c r="G2622" s="328" t="s">
        <v>673</v>
      </c>
      <c r="H2622" s="328" t="s">
        <v>2863</v>
      </c>
      <c r="I2622" s="258" t="s">
        <v>8072</v>
      </c>
      <c r="J2622" s="259" t="s">
        <v>727</v>
      </c>
      <c r="K2622" s="260" t="s">
        <v>8503</v>
      </c>
      <c r="L2622" s="365"/>
      <c r="M2622" s="329"/>
      <c r="N2622" s="173" t="s">
        <v>679</v>
      </c>
      <c r="O2622" s="173" t="s">
        <v>225</v>
      </c>
      <c r="P2622" s="262" t="str">
        <f t="shared" si="1"/>
        <v>IN-BLR-ANANTA-EM-504_B1</v>
      </c>
      <c r="Q2622" s="173" t="s">
        <v>8510</v>
      </c>
      <c r="R2622" s="328" t="str">
        <f>IFS(C2622="","",C2622="n/a","N/A",LEN(C2622),Concatenate("{",char(34),"asset",char(34),":{",char(34),"guid",char(34),":",char(34),Q2622,char(34),",",char(34),"site",char(34),":",char(34),LOWER('2-Building'!$B$4),char(34),",",char(34),"name",char(34),":",char(34),LOWER(C2622),char(34),"}}"))</f>
        <v>{"asset":{"guid":"uuid://b89dbd0b-9926-47ab-84ae-23cbc315d259","site":"in-blr-ananta","name":"em-504"}}</v>
      </c>
      <c r="S2622" s="366" t="s">
        <v>8075</v>
      </c>
      <c r="T2622" s="330"/>
      <c r="U2622" s="330"/>
      <c r="V2622" s="331"/>
      <c r="W2622" s="332"/>
      <c r="X2622" s="333"/>
      <c r="Y2622" s="33" t="s">
        <v>8076</v>
      </c>
      <c r="Z2622" s="368"/>
      <c r="AA2622" s="333"/>
      <c r="AB2622" s="258">
        <v>18.0</v>
      </c>
      <c r="AC2622" s="333"/>
      <c r="AD2622" s="329"/>
      <c r="AE2622" s="331"/>
      <c r="AF2622" s="336"/>
      <c r="AG2622" s="337"/>
      <c r="AH2622" s="333"/>
      <c r="AI2622" s="333"/>
      <c r="AJ2622" s="333"/>
      <c r="AK2622" s="333"/>
      <c r="AL2622" s="333"/>
      <c r="AM2622" s="338"/>
      <c r="AN2622" s="333"/>
      <c r="AO2622" s="333"/>
      <c r="AP2622" s="333"/>
      <c r="AQ2622" s="333"/>
      <c r="AR2622" s="333"/>
      <c r="AS2622" s="333"/>
      <c r="AT2622" s="333"/>
      <c r="AU2622" s="329"/>
      <c r="AV2622" s="341"/>
      <c r="AW2622" s="269" t="s">
        <v>1890</v>
      </c>
      <c r="AX2622" s="269" t="s">
        <v>2869</v>
      </c>
      <c r="AY2622" s="270" t="s">
        <v>695</v>
      </c>
      <c r="AZ2622" s="173"/>
      <c r="BA2622" s="265">
        <v>10.0</v>
      </c>
      <c r="BB2622" s="367"/>
      <c r="BC2622" s="341"/>
      <c r="BD2622" s="308" t="s">
        <v>1844</v>
      </c>
      <c r="BE2622" s="378"/>
      <c r="BF2622" s="274" t="str">
        <f>IFERROR(__xludf.DUMMYFUNCTION("LOWER(Regexreplace(to_text(E2622),""[^A-Za-z0-9]"","""")&amp;""_""&amp;Regexreplace(to_text(F2622),""[^A-Za-z0-9]"",""""))"),"schneider_easylogicem6436hrs")</f>
        <v>schneider_easylogicem6436hrs</v>
      </c>
      <c r="BG2622" s="275" t="str">
        <f>IFERROR(__xludf.DUMMYFUNCTION("upper(Regexreplace(to_text(E2622),""[^A-Za-z0-9]"","""")&amp;""-""&amp;Regexreplace(to_text(F2622),""[^A-Za-z0-9]"",""""))"),"SCHNEIDER-EASYLOGICEM6436HRS")</f>
        <v>SCHNEIDER-EASYLOGICEM6436HRS</v>
      </c>
    </row>
    <row r="2623" ht="30.0" customHeight="1">
      <c r="A2623" s="258"/>
      <c r="B2623" s="328" t="s">
        <v>670</v>
      </c>
      <c r="C2623" s="257" t="s">
        <v>8511</v>
      </c>
      <c r="D2623" s="173" t="s">
        <v>8511</v>
      </c>
      <c r="E2623" s="174" t="s">
        <v>8070</v>
      </c>
      <c r="F2623" s="173" t="s">
        <v>8078</v>
      </c>
      <c r="G2623" s="328" t="s">
        <v>673</v>
      </c>
      <c r="H2623" s="328" t="s">
        <v>2863</v>
      </c>
      <c r="I2623" s="258" t="s">
        <v>8072</v>
      </c>
      <c r="J2623" s="259" t="s">
        <v>727</v>
      </c>
      <c r="K2623" s="260" t="s">
        <v>8503</v>
      </c>
      <c r="L2623" s="365"/>
      <c r="M2623" s="329"/>
      <c r="N2623" s="173" t="s">
        <v>679</v>
      </c>
      <c r="O2623" s="173" t="s">
        <v>225</v>
      </c>
      <c r="P2623" s="262" t="str">
        <f t="shared" si="1"/>
        <v>IN-BLR-ANANTA-EM-505_B1</v>
      </c>
      <c r="Q2623" s="173" t="s">
        <v>8512</v>
      </c>
      <c r="R2623" s="328" t="str">
        <f>IFS(C2623="","",C2623="n/a","N/A",LEN(C2623),Concatenate("{",char(34),"asset",char(34),":{",char(34),"guid",char(34),":",char(34),Q2623,char(34),",",char(34),"site",char(34),":",char(34),LOWER('2-Building'!$B$4),char(34),",",char(34),"name",char(34),":",char(34),LOWER(C2623),char(34),"}}"))</f>
        <v>{"asset":{"guid":"uuid://955b3047-d0d2-4e45-b38e-7578a4d56344","site":"in-blr-ananta","name":"em-505"}}</v>
      </c>
      <c r="S2623" s="366" t="s">
        <v>8075</v>
      </c>
      <c r="T2623" s="330"/>
      <c r="U2623" s="330"/>
      <c r="V2623" s="331"/>
      <c r="W2623" s="332"/>
      <c r="X2623" s="333"/>
      <c r="Y2623" s="33" t="s">
        <v>8076</v>
      </c>
      <c r="Z2623" s="368"/>
      <c r="AA2623" s="333"/>
      <c r="AB2623" s="258">
        <v>19.0</v>
      </c>
      <c r="AC2623" s="333"/>
      <c r="AD2623" s="329"/>
      <c r="AE2623" s="331"/>
      <c r="AF2623" s="336"/>
      <c r="AG2623" s="337"/>
      <c r="AH2623" s="333"/>
      <c r="AI2623" s="333"/>
      <c r="AJ2623" s="333"/>
      <c r="AK2623" s="333"/>
      <c r="AL2623" s="333"/>
      <c r="AM2623" s="338"/>
      <c r="AN2623" s="333"/>
      <c r="AO2623" s="333"/>
      <c r="AP2623" s="333"/>
      <c r="AQ2623" s="333"/>
      <c r="AR2623" s="333"/>
      <c r="AS2623" s="333"/>
      <c r="AT2623" s="333"/>
      <c r="AU2623" s="329"/>
      <c r="AV2623" s="341"/>
      <c r="AW2623" s="269" t="s">
        <v>1890</v>
      </c>
      <c r="AX2623" s="269" t="s">
        <v>2869</v>
      </c>
      <c r="AY2623" s="270" t="s">
        <v>695</v>
      </c>
      <c r="AZ2623" s="173"/>
      <c r="BA2623" s="265">
        <v>10.0</v>
      </c>
      <c r="BB2623" s="367"/>
      <c r="BC2623" s="341"/>
      <c r="BD2623" s="308" t="s">
        <v>1844</v>
      </c>
      <c r="BE2623" s="378"/>
      <c r="BF2623" s="274" t="str">
        <f>IFERROR(__xludf.DUMMYFUNCTION("LOWER(Regexreplace(to_text(E2623),""[^A-Za-z0-9]"","""")&amp;""_""&amp;Regexreplace(to_text(F2623),""[^A-Za-z0-9]"",""""))"),"schneider_easylogicem6436hrs")</f>
        <v>schneider_easylogicem6436hrs</v>
      </c>
      <c r="BG2623" s="275" t="str">
        <f>IFERROR(__xludf.DUMMYFUNCTION("upper(Regexreplace(to_text(E2623),""[^A-Za-z0-9]"","""")&amp;""-""&amp;Regexreplace(to_text(F2623),""[^A-Za-z0-9]"",""""))"),"SCHNEIDER-EASYLOGICEM6436HRS")</f>
        <v>SCHNEIDER-EASYLOGICEM6436HRS</v>
      </c>
    </row>
    <row r="2624" ht="30.0" customHeight="1">
      <c r="A2624" s="258"/>
      <c r="B2624" s="328" t="s">
        <v>670</v>
      </c>
      <c r="C2624" s="257" t="s">
        <v>8513</v>
      </c>
      <c r="D2624" s="173" t="s">
        <v>8513</v>
      </c>
      <c r="E2624" s="174" t="s">
        <v>8070</v>
      </c>
      <c r="F2624" s="173" t="s">
        <v>8078</v>
      </c>
      <c r="G2624" s="328" t="s">
        <v>673</v>
      </c>
      <c r="H2624" s="328" t="s">
        <v>2863</v>
      </c>
      <c r="I2624" s="258" t="s">
        <v>8072</v>
      </c>
      <c r="J2624" s="259" t="s">
        <v>727</v>
      </c>
      <c r="K2624" s="260" t="s">
        <v>8503</v>
      </c>
      <c r="L2624" s="365"/>
      <c r="M2624" s="329"/>
      <c r="N2624" s="173" t="s">
        <v>679</v>
      </c>
      <c r="O2624" s="173" t="s">
        <v>225</v>
      </c>
      <c r="P2624" s="262" t="str">
        <f t="shared" si="1"/>
        <v>IN-BLR-ANANTA-EM-506_B1</v>
      </c>
      <c r="Q2624" s="173" t="s">
        <v>8514</v>
      </c>
      <c r="R2624" s="328" t="str">
        <f>IFS(C2624="","",C2624="n/a","N/A",LEN(C2624),Concatenate("{",char(34),"asset",char(34),":{",char(34),"guid",char(34),":",char(34),Q2624,char(34),",",char(34),"site",char(34),":",char(34),LOWER('2-Building'!$B$4),char(34),",",char(34),"name",char(34),":",char(34),LOWER(C2624),char(34),"}}"))</f>
        <v>{"asset":{"guid":"uuid://9019c5e0-60f1-4d31-9b27-d7eb6d05c842","site":"in-blr-ananta","name":"em-506"}}</v>
      </c>
      <c r="S2624" s="366" t="s">
        <v>8075</v>
      </c>
      <c r="T2624" s="330"/>
      <c r="U2624" s="330"/>
      <c r="V2624" s="331"/>
      <c r="W2624" s="332"/>
      <c r="X2624" s="333"/>
      <c r="Y2624" s="33" t="s">
        <v>8076</v>
      </c>
      <c r="Z2624" s="368"/>
      <c r="AA2624" s="333"/>
      <c r="AB2624" s="258">
        <v>20.0</v>
      </c>
      <c r="AC2624" s="333"/>
      <c r="AD2624" s="329"/>
      <c r="AE2624" s="331"/>
      <c r="AF2624" s="336"/>
      <c r="AG2624" s="337"/>
      <c r="AH2624" s="333"/>
      <c r="AI2624" s="333"/>
      <c r="AJ2624" s="333"/>
      <c r="AK2624" s="333"/>
      <c r="AL2624" s="333"/>
      <c r="AM2624" s="338"/>
      <c r="AN2624" s="333"/>
      <c r="AO2624" s="333"/>
      <c r="AP2624" s="333"/>
      <c r="AQ2624" s="333"/>
      <c r="AR2624" s="333"/>
      <c r="AS2624" s="333"/>
      <c r="AT2624" s="333"/>
      <c r="AU2624" s="329"/>
      <c r="AV2624" s="341"/>
      <c r="AW2624" s="269" t="s">
        <v>1890</v>
      </c>
      <c r="AX2624" s="269" t="s">
        <v>2869</v>
      </c>
      <c r="AY2624" s="270" t="s">
        <v>695</v>
      </c>
      <c r="AZ2624" s="173"/>
      <c r="BA2624" s="265">
        <v>10.0</v>
      </c>
      <c r="BB2624" s="367"/>
      <c r="BC2624" s="341"/>
      <c r="BD2624" s="308" t="s">
        <v>1844</v>
      </c>
      <c r="BE2624" s="378"/>
      <c r="BF2624" s="274" t="str">
        <f>IFERROR(__xludf.DUMMYFUNCTION("LOWER(Regexreplace(to_text(E2624),""[^A-Za-z0-9]"","""")&amp;""_""&amp;Regexreplace(to_text(F2624),""[^A-Za-z0-9]"",""""))"),"schneider_easylogicem6436hrs")</f>
        <v>schneider_easylogicem6436hrs</v>
      </c>
      <c r="BG2624" s="275" t="str">
        <f>IFERROR(__xludf.DUMMYFUNCTION("upper(Regexreplace(to_text(E2624),""[^A-Za-z0-9]"","""")&amp;""-""&amp;Regexreplace(to_text(F2624),""[^A-Za-z0-9]"",""""))"),"SCHNEIDER-EASYLOGICEM6436HRS")</f>
        <v>SCHNEIDER-EASYLOGICEM6436HRS</v>
      </c>
    </row>
    <row r="2625" ht="30.0" customHeight="1">
      <c r="A2625" s="258"/>
      <c r="B2625" s="328" t="s">
        <v>670</v>
      </c>
      <c r="C2625" s="257" t="s">
        <v>8515</v>
      </c>
      <c r="D2625" s="173" t="s">
        <v>8515</v>
      </c>
      <c r="E2625" s="174" t="s">
        <v>8070</v>
      </c>
      <c r="F2625" s="173" t="s">
        <v>8078</v>
      </c>
      <c r="G2625" s="328" t="s">
        <v>673</v>
      </c>
      <c r="H2625" s="328" t="s">
        <v>2863</v>
      </c>
      <c r="I2625" s="258" t="s">
        <v>8072</v>
      </c>
      <c r="J2625" s="259" t="s">
        <v>727</v>
      </c>
      <c r="K2625" s="260" t="s">
        <v>8503</v>
      </c>
      <c r="L2625" s="365"/>
      <c r="M2625" s="329"/>
      <c r="N2625" s="173" t="s">
        <v>679</v>
      </c>
      <c r="O2625" s="173" t="s">
        <v>225</v>
      </c>
      <c r="P2625" s="262" t="str">
        <f t="shared" si="1"/>
        <v>IN-BLR-ANANTA-EM-507_B1</v>
      </c>
      <c r="Q2625" s="173" t="s">
        <v>8516</v>
      </c>
      <c r="R2625" s="328" t="str">
        <f>IFS(C2625="","",C2625="n/a","N/A",LEN(C2625),Concatenate("{",char(34),"asset",char(34),":{",char(34),"guid",char(34),":",char(34),Q2625,char(34),",",char(34),"site",char(34),":",char(34),LOWER('2-Building'!$B$4),char(34),",",char(34),"name",char(34),":",char(34),LOWER(C2625),char(34),"}}"))</f>
        <v>{"asset":{"guid":"uuid://8897c894-5cc2-4bfb-9bc3-072cc6d52468","site":"in-blr-ananta","name":"em-507"}}</v>
      </c>
      <c r="S2625" s="366" t="s">
        <v>8075</v>
      </c>
      <c r="T2625" s="330"/>
      <c r="U2625" s="330"/>
      <c r="V2625" s="331"/>
      <c r="W2625" s="332"/>
      <c r="X2625" s="333"/>
      <c r="Y2625" s="33" t="s">
        <v>8076</v>
      </c>
      <c r="Z2625" s="368"/>
      <c r="AA2625" s="333"/>
      <c r="AB2625" s="258">
        <v>21.0</v>
      </c>
      <c r="AC2625" s="333"/>
      <c r="AD2625" s="329"/>
      <c r="AE2625" s="331"/>
      <c r="AF2625" s="336"/>
      <c r="AG2625" s="337"/>
      <c r="AH2625" s="333"/>
      <c r="AI2625" s="333"/>
      <c r="AJ2625" s="333"/>
      <c r="AK2625" s="333"/>
      <c r="AL2625" s="333"/>
      <c r="AM2625" s="338"/>
      <c r="AN2625" s="333"/>
      <c r="AO2625" s="333"/>
      <c r="AP2625" s="333"/>
      <c r="AQ2625" s="333"/>
      <c r="AR2625" s="333"/>
      <c r="AS2625" s="333"/>
      <c r="AT2625" s="333"/>
      <c r="AU2625" s="329"/>
      <c r="AV2625" s="341"/>
      <c r="AW2625" s="269" t="s">
        <v>1890</v>
      </c>
      <c r="AX2625" s="269" t="s">
        <v>2869</v>
      </c>
      <c r="AY2625" s="270" t="s">
        <v>695</v>
      </c>
      <c r="AZ2625" s="173"/>
      <c r="BA2625" s="265">
        <v>10.0</v>
      </c>
      <c r="BB2625" s="367"/>
      <c r="BC2625" s="341"/>
      <c r="BD2625" s="308" t="s">
        <v>1844</v>
      </c>
      <c r="BE2625" s="378"/>
      <c r="BF2625" s="274" t="str">
        <f>IFERROR(__xludf.DUMMYFUNCTION("LOWER(Regexreplace(to_text(E2625),""[^A-Za-z0-9]"","""")&amp;""_""&amp;Regexreplace(to_text(F2625),""[^A-Za-z0-9]"",""""))"),"schneider_easylogicem6436hrs")</f>
        <v>schneider_easylogicem6436hrs</v>
      </c>
      <c r="BG2625" s="275" t="str">
        <f>IFERROR(__xludf.DUMMYFUNCTION("upper(Regexreplace(to_text(E2625),""[^A-Za-z0-9]"","""")&amp;""-""&amp;Regexreplace(to_text(F2625),""[^A-Za-z0-9]"",""""))"),"SCHNEIDER-EASYLOGICEM6436HRS")</f>
        <v>SCHNEIDER-EASYLOGICEM6436HRS</v>
      </c>
    </row>
    <row r="2626" ht="30.0" customHeight="1">
      <c r="A2626" s="258"/>
      <c r="B2626" s="328" t="s">
        <v>670</v>
      </c>
      <c r="C2626" s="257" t="s">
        <v>8517</v>
      </c>
      <c r="D2626" s="173" t="s">
        <v>8517</v>
      </c>
      <c r="E2626" s="174" t="s">
        <v>8070</v>
      </c>
      <c r="F2626" s="173" t="s">
        <v>8071</v>
      </c>
      <c r="G2626" s="328" t="s">
        <v>673</v>
      </c>
      <c r="H2626" s="328" t="s">
        <v>2863</v>
      </c>
      <c r="I2626" s="258" t="s">
        <v>8072</v>
      </c>
      <c r="J2626" s="259" t="s">
        <v>727</v>
      </c>
      <c r="K2626" s="260" t="s">
        <v>8518</v>
      </c>
      <c r="L2626" s="365"/>
      <c r="M2626" s="329"/>
      <c r="N2626" s="173" t="s">
        <v>679</v>
      </c>
      <c r="O2626" s="173" t="s">
        <v>225</v>
      </c>
      <c r="P2626" s="262" t="str">
        <f t="shared" si="1"/>
        <v>IN-BLR-ANANTA-EM-508_B1</v>
      </c>
      <c r="Q2626" s="173" t="s">
        <v>8519</v>
      </c>
      <c r="R2626" s="328" t="str">
        <f>IFS(C2626="","",C2626="n/a","N/A",LEN(C2626),Concatenate("{",char(34),"asset",char(34),":{",char(34),"guid",char(34),":",char(34),Q2626,char(34),",",char(34),"site",char(34),":",char(34),LOWER('2-Building'!$B$4),char(34),",",char(34),"name",char(34),":",char(34),LOWER(C2626),char(34),"}}"))</f>
        <v>{"asset":{"guid":"uuid://c722b17d-e103-4639-85ee-5921a7388826","site":"in-blr-ananta","name":"em-508"}}</v>
      </c>
      <c r="S2626" s="366" t="s">
        <v>8075</v>
      </c>
      <c r="T2626" s="330"/>
      <c r="U2626" s="330"/>
      <c r="V2626" s="331"/>
      <c r="W2626" s="332"/>
      <c r="X2626" s="333"/>
      <c r="Y2626" s="33" t="s">
        <v>8076</v>
      </c>
      <c r="Z2626" s="368"/>
      <c r="AA2626" s="333"/>
      <c r="AB2626" s="258">
        <v>22.0</v>
      </c>
      <c r="AC2626" s="333"/>
      <c r="AD2626" s="329"/>
      <c r="AE2626" s="331"/>
      <c r="AF2626" s="336"/>
      <c r="AG2626" s="337"/>
      <c r="AH2626" s="333"/>
      <c r="AI2626" s="333"/>
      <c r="AJ2626" s="333"/>
      <c r="AK2626" s="333"/>
      <c r="AL2626" s="333"/>
      <c r="AM2626" s="338"/>
      <c r="AN2626" s="333"/>
      <c r="AO2626" s="333"/>
      <c r="AP2626" s="333"/>
      <c r="AQ2626" s="333"/>
      <c r="AR2626" s="333"/>
      <c r="AS2626" s="333"/>
      <c r="AT2626" s="333"/>
      <c r="AU2626" s="329"/>
      <c r="AV2626" s="341"/>
      <c r="AW2626" s="269" t="s">
        <v>1890</v>
      </c>
      <c r="AX2626" s="269" t="s">
        <v>2869</v>
      </c>
      <c r="AY2626" s="270" t="s">
        <v>695</v>
      </c>
      <c r="AZ2626" s="173"/>
      <c r="BA2626" s="265">
        <v>10.0</v>
      </c>
      <c r="BB2626" s="367"/>
      <c r="BC2626" s="341"/>
      <c r="BD2626" s="308" t="s">
        <v>1844</v>
      </c>
      <c r="BE2626" s="378"/>
      <c r="BF2626" s="274" t="str">
        <f>IFERROR(__xludf.DUMMYFUNCTION("LOWER(Regexreplace(to_text(E2626),""[^A-Za-z0-9]"","""")&amp;""_""&amp;Regexreplace(to_text(F2626),""[^A-Za-z0-9]"",""""))"),"schneider_pm2200")</f>
        <v>schneider_pm2200</v>
      </c>
      <c r="BG2626" s="275" t="str">
        <f>IFERROR(__xludf.DUMMYFUNCTION("upper(Regexreplace(to_text(E2626),""[^A-Za-z0-9]"","""")&amp;""-""&amp;Regexreplace(to_text(F2626),""[^A-Za-z0-9]"",""""))"),"SCHNEIDER-PM2200")</f>
        <v>SCHNEIDER-PM2200</v>
      </c>
    </row>
    <row r="2627" ht="30.0" customHeight="1">
      <c r="A2627" s="258"/>
      <c r="B2627" s="328" t="s">
        <v>670</v>
      </c>
      <c r="C2627" s="257" t="s">
        <v>8520</v>
      </c>
      <c r="D2627" s="173" t="s">
        <v>8520</v>
      </c>
      <c r="E2627" s="174" t="s">
        <v>8070</v>
      </c>
      <c r="F2627" s="173" t="s">
        <v>8078</v>
      </c>
      <c r="G2627" s="328" t="s">
        <v>673</v>
      </c>
      <c r="H2627" s="328" t="s">
        <v>2863</v>
      </c>
      <c r="I2627" s="258" t="s">
        <v>8072</v>
      </c>
      <c r="J2627" s="259" t="s">
        <v>727</v>
      </c>
      <c r="K2627" s="260" t="s">
        <v>8518</v>
      </c>
      <c r="L2627" s="365"/>
      <c r="M2627" s="329"/>
      <c r="N2627" s="173" t="s">
        <v>679</v>
      </c>
      <c r="O2627" s="173" t="s">
        <v>225</v>
      </c>
      <c r="P2627" s="262" t="str">
        <f t="shared" si="1"/>
        <v>IN-BLR-ANANTA-EM-509_B1</v>
      </c>
      <c r="Q2627" s="173" t="s">
        <v>8521</v>
      </c>
      <c r="R2627" s="328" t="str">
        <f>IFS(C2627="","",C2627="n/a","N/A",LEN(C2627),Concatenate("{",char(34),"asset",char(34),":{",char(34),"guid",char(34),":",char(34),Q2627,char(34),",",char(34),"site",char(34),":",char(34),LOWER('2-Building'!$B$4),char(34),",",char(34),"name",char(34),":",char(34),LOWER(C2627),char(34),"}}"))</f>
        <v>{"asset":{"guid":"uuid://da693ced-3257-422e-9fb2-3563674076ea","site":"in-blr-ananta","name":"em-509"}}</v>
      </c>
      <c r="S2627" s="366" t="s">
        <v>8075</v>
      </c>
      <c r="T2627" s="330"/>
      <c r="U2627" s="330"/>
      <c r="V2627" s="331"/>
      <c r="W2627" s="332"/>
      <c r="X2627" s="333"/>
      <c r="Y2627" s="33" t="s">
        <v>8076</v>
      </c>
      <c r="Z2627" s="368"/>
      <c r="AA2627" s="333"/>
      <c r="AB2627" s="258">
        <v>23.0</v>
      </c>
      <c r="AC2627" s="333"/>
      <c r="AD2627" s="329"/>
      <c r="AE2627" s="331"/>
      <c r="AF2627" s="336"/>
      <c r="AG2627" s="337"/>
      <c r="AH2627" s="333"/>
      <c r="AI2627" s="333"/>
      <c r="AJ2627" s="333"/>
      <c r="AK2627" s="333"/>
      <c r="AL2627" s="333"/>
      <c r="AM2627" s="338"/>
      <c r="AN2627" s="333"/>
      <c r="AO2627" s="333"/>
      <c r="AP2627" s="333"/>
      <c r="AQ2627" s="333"/>
      <c r="AR2627" s="333"/>
      <c r="AS2627" s="333"/>
      <c r="AT2627" s="333"/>
      <c r="AU2627" s="329"/>
      <c r="AV2627" s="341"/>
      <c r="AW2627" s="269" t="s">
        <v>1890</v>
      </c>
      <c r="AX2627" s="269" t="s">
        <v>2869</v>
      </c>
      <c r="AY2627" s="270" t="s">
        <v>695</v>
      </c>
      <c r="AZ2627" s="173"/>
      <c r="BA2627" s="265">
        <v>10.0</v>
      </c>
      <c r="BB2627" s="367"/>
      <c r="BC2627" s="341"/>
      <c r="BD2627" s="308" t="s">
        <v>1844</v>
      </c>
      <c r="BE2627" s="378"/>
      <c r="BF2627" s="274" t="str">
        <f>IFERROR(__xludf.DUMMYFUNCTION("LOWER(Regexreplace(to_text(E2627),""[^A-Za-z0-9]"","""")&amp;""_""&amp;Regexreplace(to_text(F2627),""[^A-Za-z0-9]"",""""))"),"schneider_easylogicem6436hrs")</f>
        <v>schneider_easylogicem6436hrs</v>
      </c>
      <c r="BG2627" s="275" t="str">
        <f>IFERROR(__xludf.DUMMYFUNCTION("upper(Regexreplace(to_text(E2627),""[^A-Za-z0-9]"","""")&amp;""-""&amp;Regexreplace(to_text(F2627),""[^A-Za-z0-9]"",""""))"),"SCHNEIDER-EASYLOGICEM6436HRS")</f>
        <v>SCHNEIDER-EASYLOGICEM6436HRS</v>
      </c>
    </row>
    <row r="2628" ht="30.0" customHeight="1">
      <c r="A2628" s="258"/>
      <c r="B2628" s="328" t="s">
        <v>670</v>
      </c>
      <c r="C2628" s="257" t="s">
        <v>8522</v>
      </c>
      <c r="D2628" s="173" t="s">
        <v>8522</v>
      </c>
      <c r="E2628" s="174" t="s">
        <v>8070</v>
      </c>
      <c r="F2628" s="173" t="s">
        <v>8078</v>
      </c>
      <c r="G2628" s="328" t="s">
        <v>673</v>
      </c>
      <c r="H2628" s="328" t="s">
        <v>2863</v>
      </c>
      <c r="I2628" s="258" t="s">
        <v>8072</v>
      </c>
      <c r="J2628" s="259" t="s">
        <v>727</v>
      </c>
      <c r="K2628" s="260" t="s">
        <v>8518</v>
      </c>
      <c r="L2628" s="365"/>
      <c r="M2628" s="329"/>
      <c r="N2628" s="173" t="s">
        <v>679</v>
      </c>
      <c r="O2628" s="173" t="s">
        <v>225</v>
      </c>
      <c r="P2628" s="262" t="str">
        <f t="shared" si="1"/>
        <v>IN-BLR-ANANTA-EM-510_B1</v>
      </c>
      <c r="Q2628" s="173" t="s">
        <v>8523</v>
      </c>
      <c r="R2628" s="328" t="str">
        <f>IFS(C2628="","",C2628="n/a","N/A",LEN(C2628),Concatenate("{",char(34),"asset",char(34),":{",char(34),"guid",char(34),":",char(34),Q2628,char(34),",",char(34),"site",char(34),":",char(34),LOWER('2-Building'!$B$4),char(34),",",char(34),"name",char(34),":",char(34),LOWER(C2628),char(34),"}}"))</f>
        <v>{"asset":{"guid":"uuid://a3bfdd2c-024a-482c-acaa-c729d1bf801b","site":"in-blr-ananta","name":"em-510"}}</v>
      </c>
      <c r="S2628" s="366" t="s">
        <v>8075</v>
      </c>
      <c r="T2628" s="330"/>
      <c r="U2628" s="330"/>
      <c r="V2628" s="331"/>
      <c r="W2628" s="332"/>
      <c r="X2628" s="333"/>
      <c r="Y2628" s="33" t="s">
        <v>8076</v>
      </c>
      <c r="Z2628" s="368"/>
      <c r="AA2628" s="333"/>
      <c r="AB2628" s="258">
        <v>24.0</v>
      </c>
      <c r="AC2628" s="333"/>
      <c r="AD2628" s="329"/>
      <c r="AE2628" s="331"/>
      <c r="AF2628" s="336"/>
      <c r="AG2628" s="337"/>
      <c r="AH2628" s="333"/>
      <c r="AI2628" s="333"/>
      <c r="AJ2628" s="333"/>
      <c r="AK2628" s="333"/>
      <c r="AL2628" s="333"/>
      <c r="AM2628" s="338"/>
      <c r="AN2628" s="333"/>
      <c r="AO2628" s="333"/>
      <c r="AP2628" s="333"/>
      <c r="AQ2628" s="333"/>
      <c r="AR2628" s="333"/>
      <c r="AS2628" s="333"/>
      <c r="AT2628" s="333"/>
      <c r="AU2628" s="329"/>
      <c r="AV2628" s="341"/>
      <c r="AW2628" s="269" t="s">
        <v>1890</v>
      </c>
      <c r="AX2628" s="269" t="s">
        <v>2869</v>
      </c>
      <c r="AY2628" s="270" t="s">
        <v>695</v>
      </c>
      <c r="AZ2628" s="173"/>
      <c r="BA2628" s="265">
        <v>10.0</v>
      </c>
      <c r="BB2628" s="367"/>
      <c r="BC2628" s="341"/>
      <c r="BD2628" s="308" t="s">
        <v>1844</v>
      </c>
      <c r="BE2628" s="378"/>
      <c r="BF2628" s="274" t="str">
        <f>IFERROR(__xludf.DUMMYFUNCTION("LOWER(Regexreplace(to_text(E2628),""[^A-Za-z0-9]"","""")&amp;""_""&amp;Regexreplace(to_text(F2628),""[^A-Za-z0-9]"",""""))"),"schneider_easylogicem6436hrs")</f>
        <v>schneider_easylogicem6436hrs</v>
      </c>
      <c r="BG2628" s="275" t="str">
        <f>IFERROR(__xludf.DUMMYFUNCTION("upper(Regexreplace(to_text(E2628),""[^A-Za-z0-9]"","""")&amp;""-""&amp;Regexreplace(to_text(F2628),""[^A-Za-z0-9]"",""""))"),"SCHNEIDER-EASYLOGICEM6436HRS")</f>
        <v>SCHNEIDER-EASYLOGICEM6436HRS</v>
      </c>
    </row>
    <row r="2629" ht="30.0" customHeight="1">
      <c r="A2629" s="258"/>
      <c r="B2629" s="328" t="s">
        <v>670</v>
      </c>
      <c r="C2629" s="257" t="s">
        <v>8524</v>
      </c>
      <c r="D2629" s="173" t="s">
        <v>8524</v>
      </c>
      <c r="E2629" s="174" t="s">
        <v>8070</v>
      </c>
      <c r="F2629" s="173" t="s">
        <v>8078</v>
      </c>
      <c r="G2629" s="328" t="s">
        <v>673</v>
      </c>
      <c r="H2629" s="328" t="s">
        <v>2863</v>
      </c>
      <c r="I2629" s="258" t="s">
        <v>8072</v>
      </c>
      <c r="J2629" s="259" t="s">
        <v>727</v>
      </c>
      <c r="K2629" s="260" t="s">
        <v>8518</v>
      </c>
      <c r="L2629" s="365"/>
      <c r="M2629" s="329"/>
      <c r="N2629" s="173" t="s">
        <v>679</v>
      </c>
      <c r="O2629" s="173" t="s">
        <v>225</v>
      </c>
      <c r="P2629" s="262" t="str">
        <f t="shared" si="1"/>
        <v>IN-BLR-ANANTA-EM-511_B1</v>
      </c>
      <c r="Q2629" s="173" t="s">
        <v>8525</v>
      </c>
      <c r="R2629" s="328" t="str">
        <f>IFS(C2629="","",C2629="n/a","N/A",LEN(C2629),Concatenate("{",char(34),"asset",char(34),":{",char(34),"guid",char(34),":",char(34),Q2629,char(34),",",char(34),"site",char(34),":",char(34),LOWER('2-Building'!$B$4),char(34),",",char(34),"name",char(34),":",char(34),LOWER(C2629),char(34),"}}"))</f>
        <v>{"asset":{"guid":"uuid://0eecf617-0821-4a94-a7f3-e2bb148c4c22","site":"in-blr-ananta","name":"em-511"}}</v>
      </c>
      <c r="S2629" s="366" t="s">
        <v>8075</v>
      </c>
      <c r="T2629" s="330"/>
      <c r="U2629" s="330"/>
      <c r="V2629" s="331"/>
      <c r="W2629" s="332"/>
      <c r="X2629" s="333"/>
      <c r="Y2629" s="33" t="s">
        <v>8076</v>
      </c>
      <c r="Z2629" s="368"/>
      <c r="AA2629" s="333"/>
      <c r="AB2629" s="258">
        <v>25.0</v>
      </c>
      <c r="AC2629" s="333"/>
      <c r="AD2629" s="329"/>
      <c r="AE2629" s="331"/>
      <c r="AF2629" s="336"/>
      <c r="AG2629" s="337"/>
      <c r="AH2629" s="333"/>
      <c r="AI2629" s="333"/>
      <c r="AJ2629" s="333"/>
      <c r="AK2629" s="333"/>
      <c r="AL2629" s="333"/>
      <c r="AM2629" s="338"/>
      <c r="AN2629" s="333"/>
      <c r="AO2629" s="333"/>
      <c r="AP2629" s="333"/>
      <c r="AQ2629" s="333"/>
      <c r="AR2629" s="333"/>
      <c r="AS2629" s="333"/>
      <c r="AT2629" s="333"/>
      <c r="AU2629" s="329"/>
      <c r="AV2629" s="341"/>
      <c r="AW2629" s="269" t="s">
        <v>1890</v>
      </c>
      <c r="AX2629" s="269" t="s">
        <v>2869</v>
      </c>
      <c r="AY2629" s="270" t="s">
        <v>695</v>
      </c>
      <c r="AZ2629" s="173"/>
      <c r="BA2629" s="265">
        <v>10.0</v>
      </c>
      <c r="BB2629" s="367"/>
      <c r="BC2629" s="341"/>
      <c r="BD2629" s="308" t="s">
        <v>1844</v>
      </c>
      <c r="BE2629" s="378"/>
      <c r="BF2629" s="274" t="str">
        <f>IFERROR(__xludf.DUMMYFUNCTION("LOWER(Regexreplace(to_text(E2629),""[^A-Za-z0-9]"","""")&amp;""_""&amp;Regexreplace(to_text(F2629),""[^A-Za-z0-9]"",""""))"),"schneider_easylogicem6436hrs")</f>
        <v>schneider_easylogicem6436hrs</v>
      </c>
      <c r="BG2629" s="275" t="str">
        <f>IFERROR(__xludf.DUMMYFUNCTION("upper(Regexreplace(to_text(E2629),""[^A-Za-z0-9]"","""")&amp;""-""&amp;Regexreplace(to_text(F2629),""[^A-Za-z0-9]"",""""))"),"SCHNEIDER-EASYLOGICEM6436HRS")</f>
        <v>SCHNEIDER-EASYLOGICEM6436HRS</v>
      </c>
    </row>
    <row r="2630" ht="30.0" customHeight="1">
      <c r="A2630" s="258"/>
      <c r="B2630" s="328" t="s">
        <v>670</v>
      </c>
      <c r="C2630" s="257" t="s">
        <v>8526</v>
      </c>
      <c r="D2630" s="173" t="s">
        <v>8526</v>
      </c>
      <c r="E2630" s="174" t="s">
        <v>8070</v>
      </c>
      <c r="F2630" s="173" t="s">
        <v>8078</v>
      </c>
      <c r="G2630" s="328" t="s">
        <v>673</v>
      </c>
      <c r="H2630" s="328" t="s">
        <v>2863</v>
      </c>
      <c r="I2630" s="258" t="s">
        <v>8072</v>
      </c>
      <c r="J2630" s="259" t="s">
        <v>727</v>
      </c>
      <c r="K2630" s="260" t="s">
        <v>8518</v>
      </c>
      <c r="L2630" s="365"/>
      <c r="M2630" s="329"/>
      <c r="N2630" s="173" t="s">
        <v>679</v>
      </c>
      <c r="O2630" s="173" t="s">
        <v>225</v>
      </c>
      <c r="P2630" s="262" t="str">
        <f t="shared" si="1"/>
        <v>IN-BLR-ANANTA-EM-512_B1</v>
      </c>
      <c r="Q2630" s="173" t="s">
        <v>8527</v>
      </c>
      <c r="R2630" s="328" t="str">
        <f>IFS(C2630="","",C2630="n/a","N/A",LEN(C2630),Concatenate("{",char(34),"asset",char(34),":{",char(34),"guid",char(34),":",char(34),Q2630,char(34),",",char(34),"site",char(34),":",char(34),LOWER('2-Building'!$B$4),char(34),",",char(34),"name",char(34),":",char(34),LOWER(C2630),char(34),"}}"))</f>
        <v>{"asset":{"guid":"uuid://68d107eb-3cd1-476b-80ac-b6d6a979f1b3","site":"in-blr-ananta","name":"em-512"}}</v>
      </c>
      <c r="S2630" s="366" t="s">
        <v>8075</v>
      </c>
      <c r="T2630" s="330"/>
      <c r="U2630" s="330"/>
      <c r="V2630" s="331"/>
      <c r="W2630" s="332"/>
      <c r="X2630" s="333"/>
      <c r="Y2630" s="33" t="s">
        <v>8076</v>
      </c>
      <c r="Z2630" s="368"/>
      <c r="AA2630" s="333"/>
      <c r="AB2630" s="258">
        <v>26.0</v>
      </c>
      <c r="AC2630" s="333"/>
      <c r="AD2630" s="329"/>
      <c r="AE2630" s="331"/>
      <c r="AF2630" s="336"/>
      <c r="AG2630" s="337"/>
      <c r="AH2630" s="333"/>
      <c r="AI2630" s="333"/>
      <c r="AJ2630" s="333"/>
      <c r="AK2630" s="333"/>
      <c r="AL2630" s="333"/>
      <c r="AM2630" s="338"/>
      <c r="AN2630" s="333"/>
      <c r="AO2630" s="333"/>
      <c r="AP2630" s="333"/>
      <c r="AQ2630" s="333"/>
      <c r="AR2630" s="333"/>
      <c r="AS2630" s="333"/>
      <c r="AT2630" s="333"/>
      <c r="AU2630" s="329"/>
      <c r="AV2630" s="341"/>
      <c r="AW2630" s="269" t="s">
        <v>1890</v>
      </c>
      <c r="AX2630" s="269" t="s">
        <v>2869</v>
      </c>
      <c r="AY2630" s="270" t="s">
        <v>695</v>
      </c>
      <c r="AZ2630" s="173"/>
      <c r="BA2630" s="265">
        <v>10.0</v>
      </c>
      <c r="BB2630" s="367"/>
      <c r="BC2630" s="341"/>
      <c r="BD2630" s="308" t="s">
        <v>1844</v>
      </c>
      <c r="BE2630" s="378"/>
      <c r="BF2630" s="274" t="str">
        <f>IFERROR(__xludf.DUMMYFUNCTION("LOWER(Regexreplace(to_text(E2630),""[^A-Za-z0-9]"","""")&amp;""_""&amp;Regexreplace(to_text(F2630),""[^A-Za-z0-9]"",""""))"),"schneider_easylogicem6436hrs")</f>
        <v>schneider_easylogicem6436hrs</v>
      </c>
      <c r="BG2630" s="275" t="str">
        <f>IFERROR(__xludf.DUMMYFUNCTION("upper(Regexreplace(to_text(E2630),""[^A-Za-z0-9]"","""")&amp;""-""&amp;Regexreplace(to_text(F2630),""[^A-Za-z0-9]"",""""))"),"SCHNEIDER-EASYLOGICEM6436HRS")</f>
        <v>SCHNEIDER-EASYLOGICEM6436HRS</v>
      </c>
    </row>
    <row r="2631" ht="30.0" customHeight="1">
      <c r="A2631" s="258"/>
      <c r="B2631" s="328" t="s">
        <v>670</v>
      </c>
      <c r="C2631" s="257" t="s">
        <v>8528</v>
      </c>
      <c r="D2631" s="173" t="s">
        <v>8528</v>
      </c>
      <c r="E2631" s="174" t="s">
        <v>8070</v>
      </c>
      <c r="F2631" s="173" t="s">
        <v>8071</v>
      </c>
      <c r="G2631" s="328" t="s">
        <v>673</v>
      </c>
      <c r="H2631" s="328" t="s">
        <v>2863</v>
      </c>
      <c r="I2631" s="258" t="s">
        <v>8072</v>
      </c>
      <c r="J2631" s="259" t="s">
        <v>727</v>
      </c>
      <c r="K2631" s="260" t="s">
        <v>8529</v>
      </c>
      <c r="L2631" s="365"/>
      <c r="M2631" s="329"/>
      <c r="N2631" s="173" t="s">
        <v>679</v>
      </c>
      <c r="O2631" s="173" t="s">
        <v>225</v>
      </c>
      <c r="P2631" s="262" t="str">
        <f t="shared" si="1"/>
        <v>IN-BLR-ANANTA-EM-513_B1</v>
      </c>
      <c r="Q2631" s="173" t="s">
        <v>8530</v>
      </c>
      <c r="R2631" s="328" t="str">
        <f>IFS(C2631="","",C2631="n/a","N/A",LEN(C2631),Concatenate("{",char(34),"asset",char(34),":{",char(34),"guid",char(34),":",char(34),Q2631,char(34),",",char(34),"site",char(34),":",char(34),LOWER('2-Building'!$B$4),char(34),",",char(34),"name",char(34),":",char(34),LOWER(C2631),char(34),"}}"))</f>
        <v>{"asset":{"guid":"uuid://dd7e09f1-2bdc-484e-b788-1805a1b7c73c","site":"in-blr-ananta","name":"em-513"}}</v>
      </c>
      <c r="S2631" s="366" t="s">
        <v>8075</v>
      </c>
      <c r="T2631" s="330"/>
      <c r="U2631" s="330"/>
      <c r="V2631" s="331"/>
      <c r="W2631" s="332"/>
      <c r="X2631" s="333"/>
      <c r="Y2631" s="33" t="s">
        <v>8076</v>
      </c>
      <c r="Z2631" s="368"/>
      <c r="AA2631" s="333"/>
      <c r="AB2631" s="258">
        <v>10.0</v>
      </c>
      <c r="AC2631" s="333"/>
      <c r="AD2631" s="329"/>
      <c r="AE2631" s="331"/>
      <c r="AF2631" s="336"/>
      <c r="AG2631" s="337"/>
      <c r="AH2631" s="333"/>
      <c r="AI2631" s="333"/>
      <c r="AJ2631" s="333"/>
      <c r="AK2631" s="333"/>
      <c r="AL2631" s="333"/>
      <c r="AM2631" s="338"/>
      <c r="AN2631" s="333"/>
      <c r="AO2631" s="333"/>
      <c r="AP2631" s="333"/>
      <c r="AQ2631" s="333"/>
      <c r="AR2631" s="333"/>
      <c r="AS2631" s="333"/>
      <c r="AT2631" s="333"/>
      <c r="AU2631" s="329"/>
      <c r="AV2631" s="341"/>
      <c r="AW2631" s="269" t="s">
        <v>1890</v>
      </c>
      <c r="AX2631" s="269" t="s">
        <v>2869</v>
      </c>
      <c r="AY2631" s="270" t="s">
        <v>695</v>
      </c>
      <c r="AZ2631" s="173"/>
      <c r="BA2631" s="265">
        <v>10.0</v>
      </c>
      <c r="BB2631" s="367"/>
      <c r="BC2631" s="341"/>
      <c r="BD2631" s="308" t="s">
        <v>1844</v>
      </c>
      <c r="BE2631" s="378"/>
      <c r="BF2631" s="274" t="str">
        <f>IFERROR(__xludf.DUMMYFUNCTION("LOWER(Regexreplace(to_text(E2631),""[^A-Za-z0-9]"","""")&amp;""_""&amp;Regexreplace(to_text(F2631),""[^A-Za-z0-9]"",""""))"),"schneider_pm2200")</f>
        <v>schneider_pm2200</v>
      </c>
      <c r="BG2631" s="275" t="str">
        <f>IFERROR(__xludf.DUMMYFUNCTION("upper(Regexreplace(to_text(E2631),""[^A-Za-z0-9]"","""")&amp;""-""&amp;Regexreplace(to_text(F2631),""[^A-Za-z0-9]"",""""))"),"SCHNEIDER-PM2200")</f>
        <v>SCHNEIDER-PM2200</v>
      </c>
    </row>
    <row r="2632" ht="30.0" customHeight="1">
      <c r="A2632" s="258"/>
      <c r="B2632" s="328" t="s">
        <v>670</v>
      </c>
      <c r="C2632" s="257" t="s">
        <v>8531</v>
      </c>
      <c r="D2632" s="173" t="s">
        <v>8531</v>
      </c>
      <c r="E2632" s="174" t="s">
        <v>8070</v>
      </c>
      <c r="F2632" s="173" t="s">
        <v>8078</v>
      </c>
      <c r="G2632" s="328" t="s">
        <v>673</v>
      </c>
      <c r="H2632" s="328" t="s">
        <v>2863</v>
      </c>
      <c r="I2632" s="258" t="s">
        <v>8072</v>
      </c>
      <c r="J2632" s="259" t="s">
        <v>727</v>
      </c>
      <c r="K2632" s="260" t="s">
        <v>8529</v>
      </c>
      <c r="L2632" s="365"/>
      <c r="M2632" s="329"/>
      <c r="N2632" s="173" t="s">
        <v>679</v>
      </c>
      <c r="O2632" s="173" t="s">
        <v>225</v>
      </c>
      <c r="P2632" s="262" t="str">
        <f t="shared" si="1"/>
        <v>IN-BLR-ANANTA-EM-514_B1</v>
      </c>
      <c r="Q2632" s="173" t="s">
        <v>8532</v>
      </c>
      <c r="R2632" s="328" t="str">
        <f>IFS(C2632="","",C2632="n/a","N/A",LEN(C2632),Concatenate("{",char(34),"asset",char(34),":{",char(34),"guid",char(34),":",char(34),Q2632,char(34),",",char(34),"site",char(34),":",char(34),LOWER('2-Building'!$B$4),char(34),",",char(34),"name",char(34),":",char(34),LOWER(C2632),char(34),"}}"))</f>
        <v>{"asset":{"guid":"uuid://8b774f2c-0348-44fe-910e-5af4b4f076a9","site":"in-blr-ananta","name":"em-514"}}</v>
      </c>
      <c r="S2632" s="366" t="s">
        <v>8075</v>
      </c>
      <c r="T2632" s="330"/>
      <c r="U2632" s="330"/>
      <c r="V2632" s="331"/>
      <c r="W2632" s="332"/>
      <c r="X2632" s="333"/>
      <c r="Y2632" s="33" t="s">
        <v>8076</v>
      </c>
      <c r="Z2632" s="368"/>
      <c r="AA2632" s="333"/>
      <c r="AB2632" s="258">
        <v>11.0</v>
      </c>
      <c r="AC2632" s="333"/>
      <c r="AD2632" s="329"/>
      <c r="AE2632" s="331"/>
      <c r="AF2632" s="336"/>
      <c r="AG2632" s="337"/>
      <c r="AH2632" s="333"/>
      <c r="AI2632" s="333"/>
      <c r="AJ2632" s="333"/>
      <c r="AK2632" s="333"/>
      <c r="AL2632" s="333"/>
      <c r="AM2632" s="338"/>
      <c r="AN2632" s="333"/>
      <c r="AO2632" s="333"/>
      <c r="AP2632" s="333"/>
      <c r="AQ2632" s="333"/>
      <c r="AR2632" s="333"/>
      <c r="AS2632" s="333"/>
      <c r="AT2632" s="333"/>
      <c r="AU2632" s="329"/>
      <c r="AV2632" s="341"/>
      <c r="AW2632" s="269" t="s">
        <v>1890</v>
      </c>
      <c r="AX2632" s="269" t="s">
        <v>2869</v>
      </c>
      <c r="AY2632" s="270" t="s">
        <v>695</v>
      </c>
      <c r="AZ2632" s="173"/>
      <c r="BA2632" s="265">
        <v>10.0</v>
      </c>
      <c r="BB2632" s="367"/>
      <c r="BC2632" s="341"/>
      <c r="BD2632" s="308" t="s">
        <v>1844</v>
      </c>
      <c r="BE2632" s="378"/>
      <c r="BF2632" s="274" t="str">
        <f>IFERROR(__xludf.DUMMYFUNCTION("LOWER(Regexreplace(to_text(E2632),""[^A-Za-z0-9]"","""")&amp;""_""&amp;Regexreplace(to_text(F2632),""[^A-Za-z0-9]"",""""))"),"schneider_easylogicem6436hrs")</f>
        <v>schneider_easylogicem6436hrs</v>
      </c>
      <c r="BG2632" s="275" t="str">
        <f>IFERROR(__xludf.DUMMYFUNCTION("upper(Regexreplace(to_text(E2632),""[^A-Za-z0-9]"","""")&amp;""-""&amp;Regexreplace(to_text(F2632),""[^A-Za-z0-9]"",""""))"),"SCHNEIDER-EASYLOGICEM6436HRS")</f>
        <v>SCHNEIDER-EASYLOGICEM6436HRS</v>
      </c>
    </row>
    <row r="2633" ht="30.0" customHeight="1">
      <c r="A2633" s="258"/>
      <c r="B2633" s="328" t="s">
        <v>670</v>
      </c>
      <c r="C2633" s="257" t="s">
        <v>8533</v>
      </c>
      <c r="D2633" s="173" t="s">
        <v>8533</v>
      </c>
      <c r="E2633" s="174" t="s">
        <v>8070</v>
      </c>
      <c r="F2633" s="173" t="s">
        <v>8078</v>
      </c>
      <c r="G2633" s="328" t="s">
        <v>673</v>
      </c>
      <c r="H2633" s="328" t="s">
        <v>2863</v>
      </c>
      <c r="I2633" s="258" t="s">
        <v>8072</v>
      </c>
      <c r="J2633" s="259" t="s">
        <v>727</v>
      </c>
      <c r="K2633" s="260" t="s">
        <v>8529</v>
      </c>
      <c r="L2633" s="365"/>
      <c r="M2633" s="329"/>
      <c r="N2633" s="173" t="s">
        <v>679</v>
      </c>
      <c r="O2633" s="173" t="s">
        <v>225</v>
      </c>
      <c r="P2633" s="262" t="str">
        <f t="shared" si="1"/>
        <v>IN-BLR-ANANTA-EM-515_B1</v>
      </c>
      <c r="Q2633" s="173" t="s">
        <v>8534</v>
      </c>
      <c r="R2633" s="328" t="str">
        <f>IFS(C2633="","",C2633="n/a","N/A",LEN(C2633),Concatenate("{",char(34),"asset",char(34),":{",char(34),"guid",char(34),":",char(34),Q2633,char(34),",",char(34),"site",char(34),":",char(34),LOWER('2-Building'!$B$4),char(34),",",char(34),"name",char(34),":",char(34),LOWER(C2633),char(34),"}}"))</f>
        <v>{"asset":{"guid":"uuid://2f9165f2-4748-44e8-87f6-c369db40af22","site":"in-blr-ananta","name":"em-515"}}</v>
      </c>
      <c r="S2633" s="366" t="s">
        <v>8075</v>
      </c>
      <c r="T2633" s="330"/>
      <c r="U2633" s="330"/>
      <c r="V2633" s="331"/>
      <c r="W2633" s="332"/>
      <c r="X2633" s="333"/>
      <c r="Y2633" s="33" t="s">
        <v>8076</v>
      </c>
      <c r="Z2633" s="368"/>
      <c r="AA2633" s="333"/>
      <c r="AB2633" s="258">
        <v>12.0</v>
      </c>
      <c r="AC2633" s="333"/>
      <c r="AD2633" s="329"/>
      <c r="AE2633" s="331"/>
      <c r="AF2633" s="336"/>
      <c r="AG2633" s="337"/>
      <c r="AH2633" s="333"/>
      <c r="AI2633" s="333"/>
      <c r="AJ2633" s="333"/>
      <c r="AK2633" s="333"/>
      <c r="AL2633" s="333"/>
      <c r="AM2633" s="338"/>
      <c r="AN2633" s="333"/>
      <c r="AO2633" s="333"/>
      <c r="AP2633" s="333"/>
      <c r="AQ2633" s="333"/>
      <c r="AR2633" s="333"/>
      <c r="AS2633" s="333"/>
      <c r="AT2633" s="333"/>
      <c r="AU2633" s="329"/>
      <c r="AV2633" s="341"/>
      <c r="AW2633" s="269" t="s">
        <v>1890</v>
      </c>
      <c r="AX2633" s="269" t="s">
        <v>2869</v>
      </c>
      <c r="AY2633" s="270" t="s">
        <v>695</v>
      </c>
      <c r="AZ2633" s="173"/>
      <c r="BA2633" s="265">
        <v>10.0</v>
      </c>
      <c r="BB2633" s="367"/>
      <c r="BC2633" s="341"/>
      <c r="BD2633" s="308" t="s">
        <v>1844</v>
      </c>
      <c r="BE2633" s="378"/>
      <c r="BF2633" s="274" t="str">
        <f>IFERROR(__xludf.DUMMYFUNCTION("LOWER(Regexreplace(to_text(E2633),""[^A-Za-z0-9]"","""")&amp;""_""&amp;Regexreplace(to_text(F2633),""[^A-Za-z0-9]"",""""))"),"schneider_easylogicem6436hrs")</f>
        <v>schneider_easylogicem6436hrs</v>
      </c>
      <c r="BG2633" s="275" t="str">
        <f>IFERROR(__xludf.DUMMYFUNCTION("upper(Regexreplace(to_text(E2633),""[^A-Za-z0-9]"","""")&amp;""-""&amp;Regexreplace(to_text(F2633),""[^A-Za-z0-9]"",""""))"),"SCHNEIDER-EASYLOGICEM6436HRS")</f>
        <v>SCHNEIDER-EASYLOGICEM6436HRS</v>
      </c>
    </row>
    <row r="2634" ht="30.0" customHeight="1">
      <c r="A2634" s="258"/>
      <c r="B2634" s="328" t="s">
        <v>670</v>
      </c>
      <c r="C2634" s="257" t="s">
        <v>8535</v>
      </c>
      <c r="D2634" s="173" t="s">
        <v>8535</v>
      </c>
      <c r="E2634" s="174" t="s">
        <v>8070</v>
      </c>
      <c r="F2634" s="173" t="s">
        <v>8078</v>
      </c>
      <c r="G2634" s="328" t="s">
        <v>673</v>
      </c>
      <c r="H2634" s="328" t="s">
        <v>2863</v>
      </c>
      <c r="I2634" s="258" t="s">
        <v>8072</v>
      </c>
      <c r="J2634" s="259" t="s">
        <v>727</v>
      </c>
      <c r="K2634" s="260" t="s">
        <v>8529</v>
      </c>
      <c r="L2634" s="365"/>
      <c r="M2634" s="329"/>
      <c r="N2634" s="173" t="s">
        <v>679</v>
      </c>
      <c r="O2634" s="173" t="s">
        <v>225</v>
      </c>
      <c r="P2634" s="262" t="str">
        <f t="shared" si="1"/>
        <v>IN-BLR-ANANTA-EM-516_B1</v>
      </c>
      <c r="Q2634" s="173" t="s">
        <v>8536</v>
      </c>
      <c r="R2634" s="328" t="str">
        <f>IFS(C2634="","",C2634="n/a","N/A",LEN(C2634),Concatenate("{",char(34),"asset",char(34),":{",char(34),"guid",char(34),":",char(34),Q2634,char(34),",",char(34),"site",char(34),":",char(34),LOWER('2-Building'!$B$4),char(34),",",char(34),"name",char(34),":",char(34),LOWER(C2634),char(34),"}}"))</f>
        <v>{"asset":{"guid":"uuid://0e28eb8e-29fb-49e7-8ad8-79817ca7792c","site":"in-blr-ananta","name":"em-516"}}</v>
      </c>
      <c r="S2634" s="366" t="s">
        <v>8075</v>
      </c>
      <c r="T2634" s="330"/>
      <c r="U2634" s="330"/>
      <c r="V2634" s="331"/>
      <c r="W2634" s="332"/>
      <c r="X2634" s="333"/>
      <c r="Y2634" s="33" t="s">
        <v>8076</v>
      </c>
      <c r="Z2634" s="368"/>
      <c r="AA2634" s="333"/>
      <c r="AB2634" s="258">
        <v>13.0</v>
      </c>
      <c r="AC2634" s="333"/>
      <c r="AD2634" s="329"/>
      <c r="AE2634" s="331"/>
      <c r="AF2634" s="336"/>
      <c r="AG2634" s="337"/>
      <c r="AH2634" s="333"/>
      <c r="AI2634" s="333"/>
      <c r="AJ2634" s="333"/>
      <c r="AK2634" s="333"/>
      <c r="AL2634" s="333"/>
      <c r="AM2634" s="338"/>
      <c r="AN2634" s="333"/>
      <c r="AO2634" s="333"/>
      <c r="AP2634" s="333"/>
      <c r="AQ2634" s="333"/>
      <c r="AR2634" s="333"/>
      <c r="AS2634" s="333"/>
      <c r="AT2634" s="333"/>
      <c r="AU2634" s="329"/>
      <c r="AV2634" s="341"/>
      <c r="AW2634" s="269" t="s">
        <v>1890</v>
      </c>
      <c r="AX2634" s="269" t="s">
        <v>2869</v>
      </c>
      <c r="AY2634" s="270" t="s">
        <v>695</v>
      </c>
      <c r="AZ2634" s="173"/>
      <c r="BA2634" s="265">
        <v>10.0</v>
      </c>
      <c r="BB2634" s="367"/>
      <c r="BC2634" s="341"/>
      <c r="BD2634" s="308" t="s">
        <v>1844</v>
      </c>
      <c r="BE2634" s="378"/>
      <c r="BF2634" s="274" t="str">
        <f>IFERROR(__xludf.DUMMYFUNCTION("LOWER(Regexreplace(to_text(E2634),""[^A-Za-z0-9]"","""")&amp;""_""&amp;Regexreplace(to_text(F2634),""[^A-Za-z0-9]"",""""))"),"schneider_easylogicem6436hrs")</f>
        <v>schneider_easylogicem6436hrs</v>
      </c>
      <c r="BG2634" s="275" t="str">
        <f>IFERROR(__xludf.DUMMYFUNCTION("upper(Regexreplace(to_text(E2634),""[^A-Za-z0-9]"","""")&amp;""-""&amp;Regexreplace(to_text(F2634),""[^A-Za-z0-9]"",""""))"),"SCHNEIDER-EASYLOGICEM6436HRS")</f>
        <v>SCHNEIDER-EASYLOGICEM6436HRS</v>
      </c>
    </row>
    <row r="2635" ht="30.0" customHeight="1">
      <c r="A2635" s="258"/>
      <c r="B2635" s="328" t="s">
        <v>670</v>
      </c>
      <c r="C2635" s="257" t="s">
        <v>8537</v>
      </c>
      <c r="D2635" s="173" t="s">
        <v>8537</v>
      </c>
      <c r="E2635" s="174" t="s">
        <v>8070</v>
      </c>
      <c r="F2635" s="173" t="s">
        <v>8078</v>
      </c>
      <c r="G2635" s="328" t="s">
        <v>673</v>
      </c>
      <c r="H2635" s="328" t="s">
        <v>2863</v>
      </c>
      <c r="I2635" s="258" t="s">
        <v>8072</v>
      </c>
      <c r="J2635" s="259" t="s">
        <v>727</v>
      </c>
      <c r="K2635" s="260" t="s">
        <v>8529</v>
      </c>
      <c r="L2635" s="365"/>
      <c r="M2635" s="329"/>
      <c r="N2635" s="173" t="s">
        <v>679</v>
      </c>
      <c r="O2635" s="173" t="s">
        <v>225</v>
      </c>
      <c r="P2635" s="262" t="str">
        <f t="shared" si="1"/>
        <v>IN-BLR-ANANTA-EM-517_B1</v>
      </c>
      <c r="Q2635" s="173" t="s">
        <v>8538</v>
      </c>
      <c r="R2635" s="328" t="str">
        <f>IFS(C2635="","",C2635="n/a","N/A",LEN(C2635),Concatenate("{",char(34),"asset",char(34),":{",char(34),"guid",char(34),":",char(34),Q2635,char(34),",",char(34),"site",char(34),":",char(34),LOWER('2-Building'!$B$4),char(34),",",char(34),"name",char(34),":",char(34),LOWER(C2635),char(34),"}}"))</f>
        <v>{"asset":{"guid":"uuid://51fef764-39ae-4cfa-921d-fdee6282e0c3","site":"in-blr-ananta","name":"em-517"}}</v>
      </c>
      <c r="S2635" s="366" t="s">
        <v>8075</v>
      </c>
      <c r="T2635" s="330"/>
      <c r="U2635" s="330"/>
      <c r="V2635" s="331"/>
      <c r="W2635" s="332"/>
      <c r="X2635" s="333"/>
      <c r="Y2635" s="33" t="s">
        <v>8076</v>
      </c>
      <c r="Z2635" s="368"/>
      <c r="AA2635" s="333"/>
      <c r="AB2635" s="258">
        <v>14.0</v>
      </c>
      <c r="AC2635" s="333"/>
      <c r="AD2635" s="329"/>
      <c r="AE2635" s="331"/>
      <c r="AF2635" s="336"/>
      <c r="AG2635" s="337"/>
      <c r="AH2635" s="333"/>
      <c r="AI2635" s="333"/>
      <c r="AJ2635" s="333"/>
      <c r="AK2635" s="333"/>
      <c r="AL2635" s="333"/>
      <c r="AM2635" s="338"/>
      <c r="AN2635" s="333"/>
      <c r="AO2635" s="333"/>
      <c r="AP2635" s="333"/>
      <c r="AQ2635" s="333"/>
      <c r="AR2635" s="333"/>
      <c r="AS2635" s="333"/>
      <c r="AT2635" s="333"/>
      <c r="AU2635" s="329"/>
      <c r="AV2635" s="341"/>
      <c r="AW2635" s="269" t="s">
        <v>1890</v>
      </c>
      <c r="AX2635" s="269" t="s">
        <v>2869</v>
      </c>
      <c r="AY2635" s="270" t="s">
        <v>695</v>
      </c>
      <c r="AZ2635" s="173"/>
      <c r="BA2635" s="265">
        <v>10.0</v>
      </c>
      <c r="BB2635" s="367"/>
      <c r="BC2635" s="341"/>
      <c r="BD2635" s="308" t="s">
        <v>1844</v>
      </c>
      <c r="BE2635" s="378"/>
      <c r="BF2635" s="274" t="str">
        <f>IFERROR(__xludf.DUMMYFUNCTION("LOWER(Regexreplace(to_text(E2635),""[^A-Za-z0-9]"","""")&amp;""_""&amp;Regexreplace(to_text(F2635),""[^A-Za-z0-9]"",""""))"),"schneider_easylogicem6436hrs")</f>
        <v>schneider_easylogicem6436hrs</v>
      </c>
      <c r="BG2635" s="275" t="str">
        <f>IFERROR(__xludf.DUMMYFUNCTION("upper(Regexreplace(to_text(E2635),""[^A-Za-z0-9]"","""")&amp;""-""&amp;Regexreplace(to_text(F2635),""[^A-Za-z0-9]"",""""))"),"SCHNEIDER-EASYLOGICEM6436HRS")</f>
        <v>SCHNEIDER-EASYLOGICEM6436HRS</v>
      </c>
    </row>
    <row r="2636" ht="30.0" customHeight="1">
      <c r="A2636" s="258"/>
      <c r="B2636" s="328" t="s">
        <v>670</v>
      </c>
      <c r="C2636" s="257" t="s">
        <v>8539</v>
      </c>
      <c r="D2636" s="173" t="s">
        <v>8539</v>
      </c>
      <c r="E2636" s="174" t="s">
        <v>8070</v>
      </c>
      <c r="F2636" s="173" t="s">
        <v>8340</v>
      </c>
      <c r="G2636" s="328" t="s">
        <v>673</v>
      </c>
      <c r="H2636" s="328" t="s">
        <v>2863</v>
      </c>
      <c r="I2636" s="258" t="s">
        <v>8072</v>
      </c>
      <c r="J2636" s="259" t="s">
        <v>727</v>
      </c>
      <c r="K2636" s="260" t="s">
        <v>8540</v>
      </c>
      <c r="L2636" s="365"/>
      <c r="M2636" s="329"/>
      <c r="N2636" s="173" t="s">
        <v>679</v>
      </c>
      <c r="O2636" s="173" t="s">
        <v>225</v>
      </c>
      <c r="P2636" s="262" t="str">
        <f t="shared" si="1"/>
        <v>IN-BLR-ANANTA-EM-518_B1</v>
      </c>
      <c r="Q2636" s="173" t="s">
        <v>8541</v>
      </c>
      <c r="R2636" s="328" t="str">
        <f>IFS(C2636="","",C2636="n/a","N/A",LEN(C2636),Concatenate("{",char(34),"asset",char(34),":{",char(34),"guid",char(34),":",char(34),Q2636,char(34),",",char(34),"site",char(34),":",char(34),LOWER('2-Building'!$B$4),char(34),",",char(34),"name",char(34),":",char(34),LOWER(C2636),char(34),"}}"))</f>
        <v>{"asset":{"guid":"uuid://7d0a9182-28d2-4a16-ba5a-436e921df012","site":"in-blr-ananta","name":"em-518"}}</v>
      </c>
      <c r="S2636" s="366" t="s">
        <v>8075</v>
      </c>
      <c r="T2636" s="330"/>
      <c r="U2636" s="330"/>
      <c r="V2636" s="331"/>
      <c r="W2636" s="332"/>
      <c r="X2636" s="333"/>
      <c r="Y2636" s="33" t="s">
        <v>8076</v>
      </c>
      <c r="Z2636" s="368"/>
      <c r="AA2636" s="333"/>
      <c r="AB2636" s="258">
        <v>2.0</v>
      </c>
      <c r="AC2636" s="333"/>
      <c r="AD2636" s="329"/>
      <c r="AE2636" s="331"/>
      <c r="AF2636" s="336"/>
      <c r="AG2636" s="337"/>
      <c r="AH2636" s="333"/>
      <c r="AI2636" s="333"/>
      <c r="AJ2636" s="333"/>
      <c r="AK2636" s="333"/>
      <c r="AL2636" s="333"/>
      <c r="AM2636" s="338"/>
      <c r="AN2636" s="333"/>
      <c r="AO2636" s="333"/>
      <c r="AP2636" s="333"/>
      <c r="AQ2636" s="333"/>
      <c r="AR2636" s="333"/>
      <c r="AS2636" s="333"/>
      <c r="AT2636" s="333"/>
      <c r="AU2636" s="329"/>
      <c r="AV2636" s="341"/>
      <c r="AW2636" s="269" t="s">
        <v>1821</v>
      </c>
      <c r="AX2636" s="269" t="s">
        <v>2869</v>
      </c>
      <c r="AY2636" s="270" t="s">
        <v>695</v>
      </c>
      <c r="AZ2636" s="173"/>
      <c r="BA2636" s="265">
        <v>10.0</v>
      </c>
      <c r="BB2636" s="367"/>
      <c r="BC2636" s="341"/>
      <c r="BD2636" s="308" t="s">
        <v>1844</v>
      </c>
      <c r="BE2636" s="378"/>
      <c r="BF2636" s="274" t="str">
        <f>IFERROR(__xludf.DUMMYFUNCTION("LOWER(Regexreplace(to_text(E2636),""[^A-Za-z0-9]"","""")&amp;""_""&amp;Regexreplace(to_text(F2636),""[^A-Za-z0-9]"",""""))"),"schneider_iem3000")</f>
        <v>schneider_iem3000</v>
      </c>
      <c r="BG2636" s="275" t="str">
        <f>IFERROR(__xludf.DUMMYFUNCTION("upper(Regexreplace(to_text(E2636),""[^A-Za-z0-9]"","""")&amp;""-""&amp;Regexreplace(to_text(F2636),""[^A-Za-z0-9]"",""""))"),"SCHNEIDER-IEM3000")</f>
        <v>SCHNEIDER-IEM3000</v>
      </c>
    </row>
    <row r="2637" ht="30.0" customHeight="1">
      <c r="A2637" s="258"/>
      <c r="B2637" s="328" t="s">
        <v>670</v>
      </c>
      <c r="C2637" s="257" t="s">
        <v>8542</v>
      </c>
      <c r="D2637" s="173" t="s">
        <v>8542</v>
      </c>
      <c r="E2637" s="174" t="s">
        <v>8070</v>
      </c>
      <c r="F2637" s="173" t="s">
        <v>8340</v>
      </c>
      <c r="G2637" s="328" t="s">
        <v>673</v>
      </c>
      <c r="H2637" s="328" t="s">
        <v>2863</v>
      </c>
      <c r="I2637" s="258" t="s">
        <v>8072</v>
      </c>
      <c r="J2637" s="259" t="s">
        <v>727</v>
      </c>
      <c r="K2637" s="260" t="s">
        <v>8540</v>
      </c>
      <c r="L2637" s="365"/>
      <c r="M2637" s="329"/>
      <c r="N2637" s="173" t="s">
        <v>679</v>
      </c>
      <c r="O2637" s="173" t="s">
        <v>225</v>
      </c>
      <c r="P2637" s="262" t="str">
        <f t="shared" si="1"/>
        <v>IN-BLR-ANANTA-EM-519_B1</v>
      </c>
      <c r="Q2637" s="173" t="s">
        <v>8543</v>
      </c>
      <c r="R2637" s="328" t="str">
        <f>IFS(C2637="","",C2637="n/a","N/A",LEN(C2637),Concatenate("{",char(34),"asset",char(34),":{",char(34),"guid",char(34),":",char(34),Q2637,char(34),",",char(34),"site",char(34),":",char(34),LOWER('2-Building'!$B$4),char(34),",",char(34),"name",char(34),":",char(34),LOWER(C2637),char(34),"}}"))</f>
        <v>{"asset":{"guid":"uuid://cd76f09f-eca7-4030-a718-933b1764d706","site":"in-blr-ananta","name":"em-519"}}</v>
      </c>
      <c r="S2637" s="366" t="s">
        <v>8075</v>
      </c>
      <c r="T2637" s="330"/>
      <c r="U2637" s="330"/>
      <c r="V2637" s="331"/>
      <c r="W2637" s="332"/>
      <c r="X2637" s="333"/>
      <c r="Y2637" s="33" t="s">
        <v>8076</v>
      </c>
      <c r="Z2637" s="368"/>
      <c r="AA2637" s="333"/>
      <c r="AB2637" s="258">
        <v>3.0</v>
      </c>
      <c r="AC2637" s="333"/>
      <c r="AD2637" s="329"/>
      <c r="AE2637" s="331"/>
      <c r="AF2637" s="336"/>
      <c r="AG2637" s="337"/>
      <c r="AH2637" s="333"/>
      <c r="AI2637" s="333"/>
      <c r="AJ2637" s="333"/>
      <c r="AK2637" s="333"/>
      <c r="AL2637" s="333"/>
      <c r="AM2637" s="338"/>
      <c r="AN2637" s="333"/>
      <c r="AO2637" s="333"/>
      <c r="AP2637" s="333"/>
      <c r="AQ2637" s="333"/>
      <c r="AR2637" s="333"/>
      <c r="AS2637" s="333"/>
      <c r="AT2637" s="333"/>
      <c r="AU2637" s="329"/>
      <c r="AV2637" s="341"/>
      <c r="AW2637" s="269" t="s">
        <v>1821</v>
      </c>
      <c r="AX2637" s="269" t="s">
        <v>2869</v>
      </c>
      <c r="AY2637" s="270" t="s">
        <v>695</v>
      </c>
      <c r="AZ2637" s="173"/>
      <c r="BA2637" s="265">
        <v>10.0</v>
      </c>
      <c r="BB2637" s="367"/>
      <c r="BC2637" s="341"/>
      <c r="BD2637" s="308" t="s">
        <v>1844</v>
      </c>
      <c r="BE2637" s="378"/>
      <c r="BF2637" s="274" t="str">
        <f>IFERROR(__xludf.DUMMYFUNCTION("LOWER(Regexreplace(to_text(E2637),""[^A-Za-z0-9]"","""")&amp;""_""&amp;Regexreplace(to_text(F2637),""[^A-Za-z0-9]"",""""))"),"schneider_iem3000")</f>
        <v>schneider_iem3000</v>
      </c>
      <c r="BG2637" s="275" t="str">
        <f>IFERROR(__xludf.DUMMYFUNCTION("upper(Regexreplace(to_text(E2637),""[^A-Za-z0-9]"","""")&amp;""-""&amp;Regexreplace(to_text(F2637),""[^A-Za-z0-9]"",""""))"),"SCHNEIDER-IEM3000")</f>
        <v>SCHNEIDER-IEM3000</v>
      </c>
    </row>
    <row r="2638" ht="30.0" customHeight="1">
      <c r="A2638" s="258"/>
      <c r="B2638" s="328" t="s">
        <v>670</v>
      </c>
      <c r="C2638" s="257" t="s">
        <v>8544</v>
      </c>
      <c r="D2638" s="173" t="s">
        <v>8544</v>
      </c>
      <c r="E2638" s="174" t="s">
        <v>8070</v>
      </c>
      <c r="F2638" s="173" t="s">
        <v>8340</v>
      </c>
      <c r="G2638" s="328" t="s">
        <v>673</v>
      </c>
      <c r="H2638" s="328" t="s">
        <v>2863</v>
      </c>
      <c r="I2638" s="258" t="s">
        <v>8072</v>
      </c>
      <c r="J2638" s="259" t="s">
        <v>727</v>
      </c>
      <c r="K2638" s="260" t="s">
        <v>8540</v>
      </c>
      <c r="L2638" s="365"/>
      <c r="M2638" s="329"/>
      <c r="N2638" s="173" t="s">
        <v>679</v>
      </c>
      <c r="O2638" s="173" t="s">
        <v>225</v>
      </c>
      <c r="P2638" s="262" t="str">
        <f t="shared" si="1"/>
        <v>IN-BLR-ANANTA-EM-520_B1</v>
      </c>
      <c r="Q2638" s="173" t="s">
        <v>8545</v>
      </c>
      <c r="R2638" s="328" t="str">
        <f>IFS(C2638="","",C2638="n/a","N/A",LEN(C2638),Concatenate("{",char(34),"asset",char(34),":{",char(34),"guid",char(34),":",char(34),Q2638,char(34),",",char(34),"site",char(34),":",char(34),LOWER('2-Building'!$B$4),char(34),",",char(34),"name",char(34),":",char(34),LOWER(C2638),char(34),"}}"))</f>
        <v>{"asset":{"guid":"uuid://58fe58eb-a629-4236-a399-a5d9c8bb922b","site":"in-blr-ananta","name":"em-520"}}</v>
      </c>
      <c r="S2638" s="366" t="s">
        <v>8075</v>
      </c>
      <c r="T2638" s="330"/>
      <c r="U2638" s="330"/>
      <c r="V2638" s="331"/>
      <c r="W2638" s="332"/>
      <c r="X2638" s="333"/>
      <c r="Y2638" s="33" t="s">
        <v>8076</v>
      </c>
      <c r="Z2638" s="368"/>
      <c r="AA2638" s="333"/>
      <c r="AB2638" s="258">
        <v>4.0</v>
      </c>
      <c r="AC2638" s="333"/>
      <c r="AD2638" s="329"/>
      <c r="AE2638" s="331"/>
      <c r="AF2638" s="336"/>
      <c r="AG2638" s="337"/>
      <c r="AH2638" s="333"/>
      <c r="AI2638" s="333"/>
      <c r="AJ2638" s="333"/>
      <c r="AK2638" s="333"/>
      <c r="AL2638" s="333"/>
      <c r="AM2638" s="338"/>
      <c r="AN2638" s="333"/>
      <c r="AO2638" s="333"/>
      <c r="AP2638" s="333"/>
      <c r="AQ2638" s="333"/>
      <c r="AR2638" s="333"/>
      <c r="AS2638" s="333"/>
      <c r="AT2638" s="333"/>
      <c r="AU2638" s="329"/>
      <c r="AV2638" s="341"/>
      <c r="AW2638" s="269" t="s">
        <v>1821</v>
      </c>
      <c r="AX2638" s="269" t="s">
        <v>2869</v>
      </c>
      <c r="AY2638" s="270" t="s">
        <v>695</v>
      </c>
      <c r="AZ2638" s="173"/>
      <c r="BA2638" s="265">
        <v>10.0</v>
      </c>
      <c r="BB2638" s="367"/>
      <c r="BC2638" s="341"/>
      <c r="BD2638" s="308" t="s">
        <v>1844</v>
      </c>
      <c r="BE2638" s="378"/>
      <c r="BF2638" s="274" t="str">
        <f>IFERROR(__xludf.DUMMYFUNCTION("LOWER(Regexreplace(to_text(E2638),""[^A-Za-z0-9]"","""")&amp;""_""&amp;Regexreplace(to_text(F2638),""[^A-Za-z0-9]"",""""))"),"schneider_iem3000")</f>
        <v>schneider_iem3000</v>
      </c>
      <c r="BG2638" s="275" t="str">
        <f>IFERROR(__xludf.DUMMYFUNCTION("upper(Regexreplace(to_text(E2638),""[^A-Za-z0-9]"","""")&amp;""-""&amp;Regexreplace(to_text(F2638),""[^A-Za-z0-9]"",""""))"),"SCHNEIDER-IEM3000")</f>
        <v>SCHNEIDER-IEM3000</v>
      </c>
    </row>
    <row r="2639" ht="30.0" customHeight="1">
      <c r="A2639" s="258"/>
      <c r="B2639" s="328" t="s">
        <v>670</v>
      </c>
      <c r="C2639" s="257" t="s">
        <v>8546</v>
      </c>
      <c r="D2639" s="173" t="s">
        <v>8546</v>
      </c>
      <c r="E2639" s="174" t="s">
        <v>8070</v>
      </c>
      <c r="F2639" s="173" t="s">
        <v>8340</v>
      </c>
      <c r="G2639" s="328" t="s">
        <v>673</v>
      </c>
      <c r="H2639" s="328" t="s">
        <v>2863</v>
      </c>
      <c r="I2639" s="258" t="s">
        <v>8072</v>
      </c>
      <c r="J2639" s="259" t="s">
        <v>727</v>
      </c>
      <c r="K2639" s="260" t="s">
        <v>8540</v>
      </c>
      <c r="L2639" s="365"/>
      <c r="M2639" s="329"/>
      <c r="N2639" s="173" t="s">
        <v>679</v>
      </c>
      <c r="O2639" s="173" t="s">
        <v>225</v>
      </c>
      <c r="P2639" s="262" t="str">
        <f t="shared" si="1"/>
        <v>IN-BLR-ANANTA-EM-521_B1</v>
      </c>
      <c r="Q2639" s="173" t="s">
        <v>8547</v>
      </c>
      <c r="R2639" s="328" t="str">
        <f>IFS(C2639="","",C2639="n/a","N/A",LEN(C2639),Concatenate("{",char(34),"asset",char(34),":{",char(34),"guid",char(34),":",char(34),Q2639,char(34),",",char(34),"site",char(34),":",char(34),LOWER('2-Building'!$B$4),char(34),",",char(34),"name",char(34),":",char(34),LOWER(C2639),char(34),"}}"))</f>
        <v>{"asset":{"guid":"uuid://aef073bc-2193-4b54-b2cb-003d7e3dd7c2","site":"in-blr-ananta","name":"em-521"}}</v>
      </c>
      <c r="S2639" s="366" t="s">
        <v>8075</v>
      </c>
      <c r="T2639" s="330"/>
      <c r="U2639" s="330"/>
      <c r="V2639" s="331"/>
      <c r="W2639" s="332"/>
      <c r="X2639" s="333"/>
      <c r="Y2639" s="33" t="s">
        <v>8076</v>
      </c>
      <c r="Z2639" s="368"/>
      <c r="AA2639" s="333"/>
      <c r="AB2639" s="258">
        <v>5.0</v>
      </c>
      <c r="AC2639" s="333"/>
      <c r="AD2639" s="329"/>
      <c r="AE2639" s="331"/>
      <c r="AF2639" s="336"/>
      <c r="AG2639" s="337"/>
      <c r="AH2639" s="333"/>
      <c r="AI2639" s="333"/>
      <c r="AJ2639" s="333"/>
      <c r="AK2639" s="333"/>
      <c r="AL2639" s="333"/>
      <c r="AM2639" s="338"/>
      <c r="AN2639" s="333"/>
      <c r="AO2639" s="333"/>
      <c r="AP2639" s="333"/>
      <c r="AQ2639" s="333"/>
      <c r="AR2639" s="333"/>
      <c r="AS2639" s="333"/>
      <c r="AT2639" s="333"/>
      <c r="AU2639" s="329"/>
      <c r="AV2639" s="341"/>
      <c r="AW2639" s="269" t="s">
        <v>1821</v>
      </c>
      <c r="AX2639" s="269" t="s">
        <v>2869</v>
      </c>
      <c r="AY2639" s="270" t="s">
        <v>695</v>
      </c>
      <c r="AZ2639" s="173"/>
      <c r="BA2639" s="265">
        <v>10.0</v>
      </c>
      <c r="BB2639" s="367"/>
      <c r="BC2639" s="341"/>
      <c r="BD2639" s="308" t="s">
        <v>1844</v>
      </c>
      <c r="BE2639" s="378"/>
      <c r="BF2639" s="274" t="str">
        <f>IFERROR(__xludf.DUMMYFUNCTION("LOWER(Regexreplace(to_text(E2639),""[^A-Za-z0-9]"","""")&amp;""_""&amp;Regexreplace(to_text(F2639),""[^A-Za-z0-9]"",""""))"),"schneider_iem3000")</f>
        <v>schneider_iem3000</v>
      </c>
      <c r="BG2639" s="275" t="str">
        <f>IFERROR(__xludf.DUMMYFUNCTION("upper(Regexreplace(to_text(E2639),""[^A-Za-z0-9]"","""")&amp;""-""&amp;Regexreplace(to_text(F2639),""[^A-Za-z0-9]"",""""))"),"SCHNEIDER-IEM3000")</f>
        <v>SCHNEIDER-IEM3000</v>
      </c>
    </row>
    <row r="2640" ht="30.0" customHeight="1">
      <c r="A2640" s="258"/>
      <c r="B2640" s="328" t="s">
        <v>670</v>
      </c>
      <c r="C2640" s="257" t="s">
        <v>8548</v>
      </c>
      <c r="D2640" s="173" t="s">
        <v>8548</v>
      </c>
      <c r="E2640" s="174" t="s">
        <v>8070</v>
      </c>
      <c r="F2640" s="173" t="s">
        <v>8340</v>
      </c>
      <c r="G2640" s="328" t="s">
        <v>673</v>
      </c>
      <c r="H2640" s="328" t="s">
        <v>2863</v>
      </c>
      <c r="I2640" s="258" t="s">
        <v>8072</v>
      </c>
      <c r="J2640" s="259" t="s">
        <v>727</v>
      </c>
      <c r="K2640" s="260" t="s">
        <v>8540</v>
      </c>
      <c r="L2640" s="365"/>
      <c r="M2640" s="329"/>
      <c r="N2640" s="173" t="s">
        <v>679</v>
      </c>
      <c r="O2640" s="173" t="s">
        <v>225</v>
      </c>
      <c r="P2640" s="262" t="str">
        <f t="shared" si="1"/>
        <v>IN-BLR-ANANTA-EM-522_B1</v>
      </c>
      <c r="Q2640" s="173" t="s">
        <v>8549</v>
      </c>
      <c r="R2640" s="328" t="str">
        <f>IFS(C2640="","",C2640="n/a","N/A",LEN(C2640),Concatenate("{",char(34),"asset",char(34),":{",char(34),"guid",char(34),":",char(34),Q2640,char(34),",",char(34),"site",char(34),":",char(34),LOWER('2-Building'!$B$4),char(34),",",char(34),"name",char(34),":",char(34),LOWER(C2640),char(34),"}}"))</f>
        <v>{"asset":{"guid":"uuid://1c72f3aa-e075-4734-8626-21ae3e7aa098","site":"in-blr-ananta","name":"em-522"}}</v>
      </c>
      <c r="S2640" s="366" t="s">
        <v>8075</v>
      </c>
      <c r="T2640" s="330"/>
      <c r="U2640" s="330"/>
      <c r="V2640" s="331"/>
      <c r="W2640" s="332"/>
      <c r="X2640" s="333"/>
      <c r="Y2640" s="33" t="s">
        <v>8076</v>
      </c>
      <c r="Z2640" s="368"/>
      <c r="AA2640" s="333"/>
      <c r="AB2640" s="258">
        <v>6.0</v>
      </c>
      <c r="AC2640" s="333"/>
      <c r="AD2640" s="329"/>
      <c r="AE2640" s="331"/>
      <c r="AF2640" s="336"/>
      <c r="AG2640" s="337"/>
      <c r="AH2640" s="333"/>
      <c r="AI2640" s="333"/>
      <c r="AJ2640" s="333"/>
      <c r="AK2640" s="333"/>
      <c r="AL2640" s="333"/>
      <c r="AM2640" s="338"/>
      <c r="AN2640" s="333"/>
      <c r="AO2640" s="333"/>
      <c r="AP2640" s="333"/>
      <c r="AQ2640" s="333"/>
      <c r="AR2640" s="333"/>
      <c r="AS2640" s="333"/>
      <c r="AT2640" s="333"/>
      <c r="AU2640" s="329"/>
      <c r="AV2640" s="341"/>
      <c r="AW2640" s="269" t="s">
        <v>1821</v>
      </c>
      <c r="AX2640" s="269" t="s">
        <v>2869</v>
      </c>
      <c r="AY2640" s="270" t="s">
        <v>695</v>
      </c>
      <c r="AZ2640" s="173"/>
      <c r="BA2640" s="265">
        <v>10.0</v>
      </c>
      <c r="BB2640" s="367"/>
      <c r="BC2640" s="341"/>
      <c r="BD2640" s="308" t="s">
        <v>1844</v>
      </c>
      <c r="BE2640" s="378"/>
      <c r="BF2640" s="274" t="str">
        <f>IFERROR(__xludf.DUMMYFUNCTION("LOWER(Regexreplace(to_text(E2640),""[^A-Za-z0-9]"","""")&amp;""_""&amp;Regexreplace(to_text(F2640),""[^A-Za-z0-9]"",""""))"),"schneider_iem3000")</f>
        <v>schneider_iem3000</v>
      </c>
      <c r="BG2640" s="275" t="str">
        <f>IFERROR(__xludf.DUMMYFUNCTION("upper(Regexreplace(to_text(E2640),""[^A-Za-z0-9]"","""")&amp;""-""&amp;Regexreplace(to_text(F2640),""[^A-Za-z0-9]"",""""))"),"SCHNEIDER-IEM3000")</f>
        <v>SCHNEIDER-IEM3000</v>
      </c>
    </row>
    <row r="2641" ht="30.0" customHeight="1">
      <c r="A2641" s="258"/>
      <c r="B2641" s="328" t="s">
        <v>670</v>
      </c>
      <c r="C2641" s="257" t="s">
        <v>8550</v>
      </c>
      <c r="D2641" s="173" t="s">
        <v>8550</v>
      </c>
      <c r="E2641" s="174" t="s">
        <v>8070</v>
      </c>
      <c r="F2641" s="173" t="s">
        <v>8340</v>
      </c>
      <c r="G2641" s="328" t="s">
        <v>673</v>
      </c>
      <c r="H2641" s="328" t="s">
        <v>2863</v>
      </c>
      <c r="I2641" s="258" t="s">
        <v>8072</v>
      </c>
      <c r="J2641" s="259" t="s">
        <v>727</v>
      </c>
      <c r="K2641" s="260" t="s">
        <v>8540</v>
      </c>
      <c r="L2641" s="365"/>
      <c r="M2641" s="329"/>
      <c r="N2641" s="173" t="s">
        <v>679</v>
      </c>
      <c r="O2641" s="173" t="s">
        <v>225</v>
      </c>
      <c r="P2641" s="262" t="str">
        <f t="shared" si="1"/>
        <v>IN-BLR-ANANTA-EM-523_B1</v>
      </c>
      <c r="Q2641" s="173" t="s">
        <v>8551</v>
      </c>
      <c r="R2641" s="328" t="str">
        <f>IFS(C2641="","",C2641="n/a","N/A",LEN(C2641),Concatenate("{",char(34),"asset",char(34),":{",char(34),"guid",char(34),":",char(34),Q2641,char(34),",",char(34),"site",char(34),":",char(34),LOWER('2-Building'!$B$4),char(34),",",char(34),"name",char(34),":",char(34),LOWER(C2641),char(34),"}}"))</f>
        <v>{"asset":{"guid":"uuid://6aa65fe5-c06a-47cf-aa20-1ca73a8252a1","site":"in-blr-ananta","name":"em-523"}}</v>
      </c>
      <c r="S2641" s="366" t="s">
        <v>8075</v>
      </c>
      <c r="T2641" s="330"/>
      <c r="U2641" s="330"/>
      <c r="V2641" s="331"/>
      <c r="W2641" s="332"/>
      <c r="X2641" s="333"/>
      <c r="Y2641" s="33" t="s">
        <v>8076</v>
      </c>
      <c r="Z2641" s="368"/>
      <c r="AA2641" s="333"/>
      <c r="AB2641" s="258">
        <v>7.0</v>
      </c>
      <c r="AC2641" s="333"/>
      <c r="AD2641" s="329"/>
      <c r="AE2641" s="331"/>
      <c r="AF2641" s="336"/>
      <c r="AG2641" s="337"/>
      <c r="AH2641" s="333"/>
      <c r="AI2641" s="333"/>
      <c r="AJ2641" s="333"/>
      <c r="AK2641" s="333"/>
      <c r="AL2641" s="333"/>
      <c r="AM2641" s="338"/>
      <c r="AN2641" s="333"/>
      <c r="AO2641" s="333"/>
      <c r="AP2641" s="333"/>
      <c r="AQ2641" s="333"/>
      <c r="AR2641" s="333"/>
      <c r="AS2641" s="333"/>
      <c r="AT2641" s="333"/>
      <c r="AU2641" s="329"/>
      <c r="AV2641" s="341"/>
      <c r="AW2641" s="269" t="s">
        <v>1821</v>
      </c>
      <c r="AX2641" s="269" t="s">
        <v>2869</v>
      </c>
      <c r="AY2641" s="270" t="s">
        <v>695</v>
      </c>
      <c r="AZ2641" s="173"/>
      <c r="BA2641" s="265">
        <v>10.0</v>
      </c>
      <c r="BB2641" s="367"/>
      <c r="BC2641" s="341"/>
      <c r="BD2641" s="308" t="s">
        <v>1844</v>
      </c>
      <c r="BE2641" s="378"/>
      <c r="BF2641" s="274" t="str">
        <f>IFERROR(__xludf.DUMMYFUNCTION("LOWER(Regexreplace(to_text(E2641),""[^A-Za-z0-9]"","""")&amp;""_""&amp;Regexreplace(to_text(F2641),""[^A-Za-z0-9]"",""""))"),"schneider_iem3000")</f>
        <v>schneider_iem3000</v>
      </c>
      <c r="BG2641" s="275" t="str">
        <f>IFERROR(__xludf.DUMMYFUNCTION("upper(Regexreplace(to_text(E2641),""[^A-Za-z0-9]"","""")&amp;""-""&amp;Regexreplace(to_text(F2641),""[^A-Za-z0-9]"",""""))"),"SCHNEIDER-IEM3000")</f>
        <v>SCHNEIDER-IEM3000</v>
      </c>
    </row>
    <row r="2642" ht="30.0" customHeight="1">
      <c r="A2642" s="258"/>
      <c r="B2642" s="328" t="s">
        <v>670</v>
      </c>
      <c r="C2642" s="257" t="s">
        <v>8552</v>
      </c>
      <c r="D2642" s="173" t="s">
        <v>8552</v>
      </c>
      <c r="E2642" s="174" t="s">
        <v>8070</v>
      </c>
      <c r="F2642" s="173" t="s">
        <v>8340</v>
      </c>
      <c r="G2642" s="328" t="s">
        <v>673</v>
      </c>
      <c r="H2642" s="328" t="s">
        <v>2863</v>
      </c>
      <c r="I2642" s="258" t="s">
        <v>8072</v>
      </c>
      <c r="J2642" s="259" t="s">
        <v>727</v>
      </c>
      <c r="K2642" s="260" t="s">
        <v>8540</v>
      </c>
      <c r="L2642" s="365"/>
      <c r="M2642" s="329"/>
      <c r="N2642" s="173" t="s">
        <v>679</v>
      </c>
      <c r="O2642" s="173" t="s">
        <v>225</v>
      </c>
      <c r="P2642" s="262" t="str">
        <f t="shared" si="1"/>
        <v>IN-BLR-ANANTA-EM-524_B1</v>
      </c>
      <c r="Q2642" s="173" t="s">
        <v>8553</v>
      </c>
      <c r="R2642" s="328" t="str">
        <f>IFS(C2642="","",C2642="n/a","N/A",LEN(C2642),Concatenate("{",char(34),"asset",char(34),":{",char(34),"guid",char(34),":",char(34),Q2642,char(34),",",char(34),"site",char(34),":",char(34),LOWER('2-Building'!$B$4),char(34),",",char(34),"name",char(34),":",char(34),LOWER(C2642),char(34),"}}"))</f>
        <v>{"asset":{"guid":"uuid://cefbad90-0bf1-4f76-9782-eafa6908c693","site":"in-blr-ananta","name":"em-524"}}</v>
      </c>
      <c r="S2642" s="366" t="s">
        <v>8075</v>
      </c>
      <c r="T2642" s="330"/>
      <c r="U2642" s="330"/>
      <c r="V2642" s="331"/>
      <c r="W2642" s="332"/>
      <c r="X2642" s="333"/>
      <c r="Y2642" s="33" t="s">
        <v>8076</v>
      </c>
      <c r="Z2642" s="368"/>
      <c r="AA2642" s="333"/>
      <c r="AB2642" s="258">
        <v>8.0</v>
      </c>
      <c r="AC2642" s="333"/>
      <c r="AD2642" s="329"/>
      <c r="AE2642" s="331"/>
      <c r="AF2642" s="336"/>
      <c r="AG2642" s="337"/>
      <c r="AH2642" s="333"/>
      <c r="AI2642" s="333"/>
      <c r="AJ2642" s="333"/>
      <c r="AK2642" s="333"/>
      <c r="AL2642" s="333"/>
      <c r="AM2642" s="338"/>
      <c r="AN2642" s="333"/>
      <c r="AO2642" s="333"/>
      <c r="AP2642" s="333"/>
      <c r="AQ2642" s="333"/>
      <c r="AR2642" s="333"/>
      <c r="AS2642" s="333"/>
      <c r="AT2642" s="333"/>
      <c r="AU2642" s="329"/>
      <c r="AV2642" s="341"/>
      <c r="AW2642" s="269" t="s">
        <v>1821</v>
      </c>
      <c r="AX2642" s="269" t="s">
        <v>2869</v>
      </c>
      <c r="AY2642" s="270" t="s">
        <v>695</v>
      </c>
      <c r="AZ2642" s="173"/>
      <c r="BA2642" s="265">
        <v>10.0</v>
      </c>
      <c r="BB2642" s="367"/>
      <c r="BC2642" s="341"/>
      <c r="BD2642" s="308" t="s">
        <v>1844</v>
      </c>
      <c r="BE2642" s="378"/>
      <c r="BF2642" s="274" t="str">
        <f>IFERROR(__xludf.DUMMYFUNCTION("LOWER(Regexreplace(to_text(E2642),""[^A-Za-z0-9]"","""")&amp;""_""&amp;Regexreplace(to_text(F2642),""[^A-Za-z0-9]"",""""))"),"schneider_iem3000")</f>
        <v>schneider_iem3000</v>
      </c>
      <c r="BG2642" s="275" t="str">
        <f>IFERROR(__xludf.DUMMYFUNCTION("upper(Regexreplace(to_text(E2642),""[^A-Za-z0-9]"","""")&amp;""-""&amp;Regexreplace(to_text(F2642),""[^A-Za-z0-9]"",""""))"),"SCHNEIDER-IEM3000")</f>
        <v>SCHNEIDER-IEM3000</v>
      </c>
    </row>
    <row r="2643" ht="30.0" customHeight="1">
      <c r="A2643" s="258"/>
      <c r="B2643" s="328" t="s">
        <v>670</v>
      </c>
      <c r="C2643" s="257" t="s">
        <v>8554</v>
      </c>
      <c r="D2643" s="173" t="s">
        <v>8554</v>
      </c>
      <c r="E2643" s="174" t="s">
        <v>8070</v>
      </c>
      <c r="F2643" s="173" t="s">
        <v>8340</v>
      </c>
      <c r="G2643" s="328" t="s">
        <v>673</v>
      </c>
      <c r="H2643" s="328" t="s">
        <v>2863</v>
      </c>
      <c r="I2643" s="258" t="s">
        <v>8072</v>
      </c>
      <c r="J2643" s="259" t="s">
        <v>727</v>
      </c>
      <c r="K2643" s="260" t="s">
        <v>8540</v>
      </c>
      <c r="L2643" s="365"/>
      <c r="M2643" s="329"/>
      <c r="N2643" s="173" t="s">
        <v>679</v>
      </c>
      <c r="O2643" s="173" t="s">
        <v>225</v>
      </c>
      <c r="P2643" s="262" t="str">
        <f t="shared" si="1"/>
        <v>IN-BLR-ANANTA-EM-525_B1</v>
      </c>
      <c r="Q2643" s="173" t="s">
        <v>8555</v>
      </c>
      <c r="R2643" s="328" t="str">
        <f>IFS(C2643="","",C2643="n/a","N/A",LEN(C2643),Concatenate("{",char(34),"asset",char(34),":{",char(34),"guid",char(34),":",char(34),Q2643,char(34),",",char(34),"site",char(34),":",char(34),LOWER('2-Building'!$B$4),char(34),",",char(34),"name",char(34),":",char(34),LOWER(C2643),char(34),"}}"))</f>
        <v>{"asset":{"guid":"uuid://60913064-1bcb-4822-b574-6530c50e1d2e","site":"in-blr-ananta","name":"em-525"}}</v>
      </c>
      <c r="S2643" s="366" t="s">
        <v>8075</v>
      </c>
      <c r="T2643" s="330"/>
      <c r="U2643" s="330"/>
      <c r="V2643" s="331"/>
      <c r="W2643" s="332"/>
      <c r="X2643" s="333"/>
      <c r="Y2643" s="33" t="s">
        <v>8076</v>
      </c>
      <c r="Z2643" s="368"/>
      <c r="AA2643" s="333"/>
      <c r="AB2643" s="258">
        <v>9.0</v>
      </c>
      <c r="AC2643" s="333"/>
      <c r="AD2643" s="329"/>
      <c r="AE2643" s="331"/>
      <c r="AF2643" s="336"/>
      <c r="AG2643" s="337"/>
      <c r="AH2643" s="333"/>
      <c r="AI2643" s="333"/>
      <c r="AJ2643" s="333"/>
      <c r="AK2643" s="333"/>
      <c r="AL2643" s="333"/>
      <c r="AM2643" s="338"/>
      <c r="AN2643" s="333"/>
      <c r="AO2643" s="333"/>
      <c r="AP2643" s="333"/>
      <c r="AQ2643" s="333"/>
      <c r="AR2643" s="333"/>
      <c r="AS2643" s="333"/>
      <c r="AT2643" s="333"/>
      <c r="AU2643" s="329"/>
      <c r="AV2643" s="341"/>
      <c r="AW2643" s="269" t="s">
        <v>1821</v>
      </c>
      <c r="AX2643" s="269" t="s">
        <v>2869</v>
      </c>
      <c r="AY2643" s="270" t="s">
        <v>695</v>
      </c>
      <c r="AZ2643" s="173"/>
      <c r="BA2643" s="265">
        <v>10.0</v>
      </c>
      <c r="BB2643" s="367"/>
      <c r="BC2643" s="341"/>
      <c r="BD2643" s="308" t="s">
        <v>1844</v>
      </c>
      <c r="BE2643" s="378"/>
      <c r="BF2643" s="274" t="str">
        <f>IFERROR(__xludf.DUMMYFUNCTION("LOWER(Regexreplace(to_text(E2643),""[^A-Za-z0-9]"","""")&amp;""_""&amp;Regexreplace(to_text(F2643),""[^A-Za-z0-9]"",""""))"),"schneider_iem3000")</f>
        <v>schneider_iem3000</v>
      </c>
      <c r="BG2643" s="275" t="str">
        <f>IFERROR(__xludf.DUMMYFUNCTION("upper(Regexreplace(to_text(E2643),""[^A-Za-z0-9]"","""")&amp;""-""&amp;Regexreplace(to_text(F2643),""[^A-Za-z0-9]"",""""))"),"SCHNEIDER-IEM3000")</f>
        <v>SCHNEIDER-IEM3000</v>
      </c>
    </row>
    <row r="2644" ht="30.0" customHeight="1">
      <c r="A2644" s="258"/>
      <c r="B2644" s="328" t="s">
        <v>670</v>
      </c>
      <c r="C2644" s="257" t="s">
        <v>8556</v>
      </c>
      <c r="D2644" s="173" t="s">
        <v>8556</v>
      </c>
      <c r="E2644" s="174" t="s">
        <v>8070</v>
      </c>
      <c r="F2644" s="173" t="s">
        <v>8340</v>
      </c>
      <c r="G2644" s="328" t="s">
        <v>673</v>
      </c>
      <c r="H2644" s="328" t="s">
        <v>2863</v>
      </c>
      <c r="I2644" s="258" t="s">
        <v>8072</v>
      </c>
      <c r="J2644" s="259" t="s">
        <v>727</v>
      </c>
      <c r="K2644" s="260" t="s">
        <v>8540</v>
      </c>
      <c r="L2644" s="365"/>
      <c r="M2644" s="329"/>
      <c r="N2644" s="173" t="s">
        <v>679</v>
      </c>
      <c r="O2644" s="173" t="s">
        <v>225</v>
      </c>
      <c r="P2644" s="262" t="str">
        <f t="shared" si="1"/>
        <v>IN-BLR-ANANTA-EM-526_B1</v>
      </c>
      <c r="Q2644" s="173" t="s">
        <v>8557</v>
      </c>
      <c r="R2644" s="328" t="str">
        <f>IFS(C2644="","",C2644="n/a","N/A",LEN(C2644),Concatenate("{",char(34),"asset",char(34),":{",char(34),"guid",char(34),":",char(34),Q2644,char(34),",",char(34),"site",char(34),":",char(34),LOWER('2-Building'!$B$4),char(34),",",char(34),"name",char(34),":",char(34),LOWER(C2644),char(34),"}}"))</f>
        <v>{"asset":{"guid":"uuid://9fbf9aa4-8cbd-417f-af7f-9c8a3ee0ddce","site":"in-blr-ananta","name":"em-526"}}</v>
      </c>
      <c r="S2644" s="366" t="s">
        <v>8075</v>
      </c>
      <c r="T2644" s="330"/>
      <c r="U2644" s="330"/>
      <c r="V2644" s="331"/>
      <c r="W2644" s="332"/>
      <c r="X2644" s="333"/>
      <c r="Y2644" s="33" t="s">
        <v>8076</v>
      </c>
      <c r="Z2644" s="368"/>
      <c r="AA2644" s="333"/>
      <c r="AB2644" s="258">
        <v>10.0</v>
      </c>
      <c r="AC2644" s="333"/>
      <c r="AD2644" s="329"/>
      <c r="AE2644" s="331"/>
      <c r="AF2644" s="336"/>
      <c r="AG2644" s="337"/>
      <c r="AH2644" s="333"/>
      <c r="AI2644" s="333"/>
      <c r="AJ2644" s="333"/>
      <c r="AK2644" s="333"/>
      <c r="AL2644" s="333"/>
      <c r="AM2644" s="338"/>
      <c r="AN2644" s="333"/>
      <c r="AO2644" s="333"/>
      <c r="AP2644" s="333"/>
      <c r="AQ2644" s="333"/>
      <c r="AR2644" s="333"/>
      <c r="AS2644" s="333"/>
      <c r="AT2644" s="333"/>
      <c r="AU2644" s="329"/>
      <c r="AV2644" s="341"/>
      <c r="AW2644" s="269" t="s">
        <v>1821</v>
      </c>
      <c r="AX2644" s="269" t="s">
        <v>2869</v>
      </c>
      <c r="AY2644" s="270" t="s">
        <v>695</v>
      </c>
      <c r="AZ2644" s="173"/>
      <c r="BA2644" s="265">
        <v>10.0</v>
      </c>
      <c r="BB2644" s="367"/>
      <c r="BC2644" s="341"/>
      <c r="BD2644" s="308" t="s">
        <v>1844</v>
      </c>
      <c r="BE2644" s="378"/>
      <c r="BF2644" s="274" t="str">
        <f>IFERROR(__xludf.DUMMYFUNCTION("LOWER(Regexreplace(to_text(E2644),""[^A-Za-z0-9]"","""")&amp;""_""&amp;Regexreplace(to_text(F2644),""[^A-Za-z0-9]"",""""))"),"schneider_iem3000")</f>
        <v>schneider_iem3000</v>
      </c>
      <c r="BG2644" s="275" t="str">
        <f>IFERROR(__xludf.DUMMYFUNCTION("upper(Regexreplace(to_text(E2644),""[^A-Za-z0-9]"","""")&amp;""-""&amp;Regexreplace(to_text(F2644),""[^A-Za-z0-9]"",""""))"),"SCHNEIDER-IEM3000")</f>
        <v>SCHNEIDER-IEM3000</v>
      </c>
    </row>
    <row r="2645" ht="30.0" customHeight="1">
      <c r="A2645" s="258"/>
      <c r="B2645" s="328" t="s">
        <v>670</v>
      </c>
      <c r="C2645" s="257" t="s">
        <v>8558</v>
      </c>
      <c r="D2645" s="173" t="s">
        <v>8558</v>
      </c>
      <c r="E2645" s="174" t="s">
        <v>8070</v>
      </c>
      <c r="F2645" s="173" t="s">
        <v>8340</v>
      </c>
      <c r="G2645" s="328" t="s">
        <v>673</v>
      </c>
      <c r="H2645" s="328" t="s">
        <v>2863</v>
      </c>
      <c r="I2645" s="258" t="s">
        <v>8072</v>
      </c>
      <c r="J2645" s="259" t="s">
        <v>727</v>
      </c>
      <c r="K2645" s="260" t="s">
        <v>8559</v>
      </c>
      <c r="L2645" s="365"/>
      <c r="M2645" s="329"/>
      <c r="N2645" s="173" t="s">
        <v>679</v>
      </c>
      <c r="O2645" s="173" t="s">
        <v>225</v>
      </c>
      <c r="P2645" s="262" t="str">
        <f t="shared" si="1"/>
        <v>IN-BLR-ANANTA-EM-527_B1</v>
      </c>
      <c r="Q2645" s="173" t="s">
        <v>8560</v>
      </c>
      <c r="R2645" s="328" t="str">
        <f>IFS(C2645="","",C2645="n/a","N/A",LEN(C2645),Concatenate("{",char(34),"asset",char(34),":{",char(34),"guid",char(34),":",char(34),Q2645,char(34),",",char(34),"site",char(34),":",char(34),LOWER('2-Building'!$B$4),char(34),",",char(34),"name",char(34),":",char(34),LOWER(C2645),char(34),"}}"))</f>
        <v>{"asset":{"guid":"uuid://1234aba1-9e02-4a4c-8d9e-a562cca87411","site":"in-blr-ananta","name":"em-527"}}</v>
      </c>
      <c r="S2645" s="366" t="s">
        <v>8075</v>
      </c>
      <c r="T2645" s="330"/>
      <c r="U2645" s="330"/>
      <c r="V2645" s="331"/>
      <c r="W2645" s="332"/>
      <c r="X2645" s="333"/>
      <c r="Y2645" s="33" t="s">
        <v>8076</v>
      </c>
      <c r="Z2645" s="368"/>
      <c r="AA2645" s="333"/>
      <c r="AB2645" s="258">
        <v>11.0</v>
      </c>
      <c r="AC2645" s="333"/>
      <c r="AD2645" s="329"/>
      <c r="AE2645" s="331"/>
      <c r="AF2645" s="336"/>
      <c r="AG2645" s="337"/>
      <c r="AH2645" s="333"/>
      <c r="AI2645" s="333"/>
      <c r="AJ2645" s="333"/>
      <c r="AK2645" s="333"/>
      <c r="AL2645" s="333"/>
      <c r="AM2645" s="338"/>
      <c r="AN2645" s="333"/>
      <c r="AO2645" s="333"/>
      <c r="AP2645" s="333"/>
      <c r="AQ2645" s="333"/>
      <c r="AR2645" s="333"/>
      <c r="AS2645" s="333"/>
      <c r="AT2645" s="333"/>
      <c r="AU2645" s="329"/>
      <c r="AV2645" s="341"/>
      <c r="AW2645" s="269" t="s">
        <v>1821</v>
      </c>
      <c r="AX2645" s="269" t="s">
        <v>2869</v>
      </c>
      <c r="AY2645" s="270" t="s">
        <v>695</v>
      </c>
      <c r="AZ2645" s="173"/>
      <c r="BA2645" s="265">
        <v>10.0</v>
      </c>
      <c r="BB2645" s="367"/>
      <c r="BC2645" s="341"/>
      <c r="BD2645" s="308" t="s">
        <v>1844</v>
      </c>
      <c r="BE2645" s="378"/>
      <c r="BF2645" s="274" t="str">
        <f>IFERROR(__xludf.DUMMYFUNCTION("LOWER(Regexreplace(to_text(E2645),""[^A-Za-z0-9]"","""")&amp;""_""&amp;Regexreplace(to_text(F2645),""[^A-Za-z0-9]"",""""))"),"schneider_iem3000")</f>
        <v>schneider_iem3000</v>
      </c>
      <c r="BG2645" s="275" t="str">
        <f>IFERROR(__xludf.DUMMYFUNCTION("upper(Regexreplace(to_text(E2645),""[^A-Za-z0-9]"","""")&amp;""-""&amp;Regexreplace(to_text(F2645),""[^A-Za-z0-9]"",""""))"),"SCHNEIDER-IEM3000")</f>
        <v>SCHNEIDER-IEM3000</v>
      </c>
    </row>
    <row r="2646" ht="30.0" customHeight="1">
      <c r="A2646" s="258"/>
      <c r="B2646" s="328" t="s">
        <v>670</v>
      </c>
      <c r="C2646" s="257" t="s">
        <v>8561</v>
      </c>
      <c r="D2646" s="173" t="s">
        <v>8561</v>
      </c>
      <c r="E2646" s="174" t="s">
        <v>8070</v>
      </c>
      <c r="F2646" s="173" t="s">
        <v>8340</v>
      </c>
      <c r="G2646" s="328" t="s">
        <v>673</v>
      </c>
      <c r="H2646" s="328" t="s">
        <v>2863</v>
      </c>
      <c r="I2646" s="258" t="s">
        <v>8072</v>
      </c>
      <c r="J2646" s="259" t="s">
        <v>727</v>
      </c>
      <c r="K2646" s="260" t="s">
        <v>8559</v>
      </c>
      <c r="L2646" s="365"/>
      <c r="M2646" s="329"/>
      <c r="N2646" s="173" t="s">
        <v>679</v>
      </c>
      <c r="O2646" s="173" t="s">
        <v>225</v>
      </c>
      <c r="P2646" s="262" t="str">
        <f t="shared" si="1"/>
        <v>IN-BLR-ANANTA-EM-528_B1</v>
      </c>
      <c r="Q2646" s="173" t="s">
        <v>8562</v>
      </c>
      <c r="R2646" s="328" t="str">
        <f>IFS(C2646="","",C2646="n/a","N/A",LEN(C2646),Concatenate("{",char(34),"asset",char(34),":{",char(34),"guid",char(34),":",char(34),Q2646,char(34),",",char(34),"site",char(34),":",char(34),LOWER('2-Building'!$B$4),char(34),",",char(34),"name",char(34),":",char(34),LOWER(C2646),char(34),"}}"))</f>
        <v>{"asset":{"guid":"uuid://0c228fed-c375-4b21-a4d4-3eb9a7f0c524","site":"in-blr-ananta","name":"em-528"}}</v>
      </c>
      <c r="S2646" s="366" t="s">
        <v>8075</v>
      </c>
      <c r="T2646" s="330"/>
      <c r="U2646" s="330"/>
      <c r="V2646" s="331"/>
      <c r="W2646" s="332"/>
      <c r="X2646" s="333"/>
      <c r="Y2646" s="33" t="s">
        <v>8076</v>
      </c>
      <c r="Z2646" s="368"/>
      <c r="AA2646" s="333"/>
      <c r="AB2646" s="258">
        <v>12.0</v>
      </c>
      <c r="AC2646" s="333"/>
      <c r="AD2646" s="329"/>
      <c r="AE2646" s="331"/>
      <c r="AF2646" s="336"/>
      <c r="AG2646" s="337"/>
      <c r="AH2646" s="333"/>
      <c r="AI2646" s="333"/>
      <c r="AJ2646" s="333"/>
      <c r="AK2646" s="333"/>
      <c r="AL2646" s="333"/>
      <c r="AM2646" s="338"/>
      <c r="AN2646" s="333"/>
      <c r="AO2646" s="333"/>
      <c r="AP2646" s="333"/>
      <c r="AQ2646" s="333"/>
      <c r="AR2646" s="333"/>
      <c r="AS2646" s="333"/>
      <c r="AT2646" s="333"/>
      <c r="AU2646" s="329"/>
      <c r="AV2646" s="341"/>
      <c r="AW2646" s="269" t="s">
        <v>1821</v>
      </c>
      <c r="AX2646" s="269" t="s">
        <v>2869</v>
      </c>
      <c r="AY2646" s="270" t="s">
        <v>695</v>
      </c>
      <c r="AZ2646" s="173"/>
      <c r="BA2646" s="265">
        <v>10.0</v>
      </c>
      <c r="BB2646" s="367"/>
      <c r="BC2646" s="341"/>
      <c r="BD2646" s="308" t="s">
        <v>1844</v>
      </c>
      <c r="BE2646" s="378"/>
      <c r="BF2646" s="274" t="str">
        <f>IFERROR(__xludf.DUMMYFUNCTION("LOWER(Regexreplace(to_text(E2646),""[^A-Za-z0-9]"","""")&amp;""_""&amp;Regexreplace(to_text(F2646),""[^A-Za-z0-9]"",""""))"),"schneider_iem3000")</f>
        <v>schneider_iem3000</v>
      </c>
      <c r="BG2646" s="275" t="str">
        <f>IFERROR(__xludf.DUMMYFUNCTION("upper(Regexreplace(to_text(E2646),""[^A-Za-z0-9]"","""")&amp;""-""&amp;Regexreplace(to_text(F2646),""[^A-Za-z0-9]"",""""))"),"SCHNEIDER-IEM3000")</f>
        <v>SCHNEIDER-IEM3000</v>
      </c>
    </row>
    <row r="2647" ht="30.0" customHeight="1">
      <c r="A2647" s="258"/>
      <c r="B2647" s="328" t="s">
        <v>670</v>
      </c>
      <c r="C2647" s="257" t="s">
        <v>8563</v>
      </c>
      <c r="D2647" s="173" t="s">
        <v>8563</v>
      </c>
      <c r="E2647" s="174" t="s">
        <v>8070</v>
      </c>
      <c r="F2647" s="173" t="s">
        <v>8340</v>
      </c>
      <c r="G2647" s="328" t="s">
        <v>673</v>
      </c>
      <c r="H2647" s="328" t="s">
        <v>2863</v>
      </c>
      <c r="I2647" s="258" t="s">
        <v>8072</v>
      </c>
      <c r="J2647" s="259" t="s">
        <v>727</v>
      </c>
      <c r="K2647" s="260" t="s">
        <v>8559</v>
      </c>
      <c r="L2647" s="365"/>
      <c r="M2647" s="329"/>
      <c r="N2647" s="173" t="s">
        <v>679</v>
      </c>
      <c r="O2647" s="173" t="s">
        <v>225</v>
      </c>
      <c r="P2647" s="262" t="str">
        <f t="shared" si="1"/>
        <v>IN-BLR-ANANTA-EM-529_B1</v>
      </c>
      <c r="Q2647" s="173" t="s">
        <v>8564</v>
      </c>
      <c r="R2647" s="328" t="str">
        <f>IFS(C2647="","",C2647="n/a","N/A",LEN(C2647),Concatenate("{",char(34),"asset",char(34),":{",char(34),"guid",char(34),":",char(34),Q2647,char(34),",",char(34),"site",char(34),":",char(34),LOWER('2-Building'!$B$4),char(34),",",char(34),"name",char(34),":",char(34),LOWER(C2647),char(34),"}}"))</f>
        <v>{"asset":{"guid":"uuid://28636cf9-12a1-440a-bda4-df664c4cef32","site":"in-blr-ananta","name":"em-529"}}</v>
      </c>
      <c r="S2647" s="366" t="s">
        <v>8075</v>
      </c>
      <c r="T2647" s="330"/>
      <c r="U2647" s="330"/>
      <c r="V2647" s="331"/>
      <c r="W2647" s="332"/>
      <c r="X2647" s="333"/>
      <c r="Y2647" s="33" t="s">
        <v>8076</v>
      </c>
      <c r="Z2647" s="368"/>
      <c r="AA2647" s="333"/>
      <c r="AB2647" s="258">
        <v>13.0</v>
      </c>
      <c r="AC2647" s="333"/>
      <c r="AD2647" s="329"/>
      <c r="AE2647" s="331"/>
      <c r="AF2647" s="336"/>
      <c r="AG2647" s="337"/>
      <c r="AH2647" s="333"/>
      <c r="AI2647" s="333"/>
      <c r="AJ2647" s="333"/>
      <c r="AK2647" s="333"/>
      <c r="AL2647" s="333"/>
      <c r="AM2647" s="338"/>
      <c r="AN2647" s="333"/>
      <c r="AO2647" s="333"/>
      <c r="AP2647" s="333"/>
      <c r="AQ2647" s="333"/>
      <c r="AR2647" s="333"/>
      <c r="AS2647" s="333"/>
      <c r="AT2647" s="333"/>
      <c r="AU2647" s="329"/>
      <c r="AV2647" s="341"/>
      <c r="AW2647" s="269" t="s">
        <v>1821</v>
      </c>
      <c r="AX2647" s="269" t="s">
        <v>2869</v>
      </c>
      <c r="AY2647" s="270" t="s">
        <v>695</v>
      </c>
      <c r="AZ2647" s="173"/>
      <c r="BA2647" s="265">
        <v>10.0</v>
      </c>
      <c r="BB2647" s="367"/>
      <c r="BC2647" s="341"/>
      <c r="BD2647" s="308" t="s">
        <v>1844</v>
      </c>
      <c r="BE2647" s="378"/>
      <c r="BF2647" s="274" t="str">
        <f>IFERROR(__xludf.DUMMYFUNCTION("LOWER(Regexreplace(to_text(E2647),""[^A-Za-z0-9]"","""")&amp;""_""&amp;Regexreplace(to_text(F2647),""[^A-Za-z0-9]"",""""))"),"schneider_iem3000")</f>
        <v>schneider_iem3000</v>
      </c>
      <c r="BG2647" s="275" t="str">
        <f>IFERROR(__xludf.DUMMYFUNCTION("upper(Regexreplace(to_text(E2647),""[^A-Za-z0-9]"","""")&amp;""-""&amp;Regexreplace(to_text(F2647),""[^A-Za-z0-9]"",""""))"),"SCHNEIDER-IEM3000")</f>
        <v>SCHNEIDER-IEM3000</v>
      </c>
    </row>
    <row r="2648" ht="30.0" customHeight="1">
      <c r="A2648" s="258"/>
      <c r="B2648" s="328" t="s">
        <v>670</v>
      </c>
      <c r="C2648" s="257" t="s">
        <v>8565</v>
      </c>
      <c r="D2648" s="173" t="s">
        <v>8565</v>
      </c>
      <c r="E2648" s="174" t="s">
        <v>8070</v>
      </c>
      <c r="F2648" s="173" t="s">
        <v>8340</v>
      </c>
      <c r="G2648" s="328" t="s">
        <v>673</v>
      </c>
      <c r="H2648" s="328" t="s">
        <v>2863</v>
      </c>
      <c r="I2648" s="258" t="s">
        <v>8072</v>
      </c>
      <c r="J2648" s="259" t="s">
        <v>727</v>
      </c>
      <c r="K2648" s="260" t="s">
        <v>8559</v>
      </c>
      <c r="L2648" s="365"/>
      <c r="M2648" s="329"/>
      <c r="N2648" s="173" t="s">
        <v>679</v>
      </c>
      <c r="O2648" s="173" t="s">
        <v>225</v>
      </c>
      <c r="P2648" s="262" t="str">
        <f t="shared" si="1"/>
        <v>IN-BLR-ANANTA-EM-530_B1</v>
      </c>
      <c r="Q2648" s="173" t="s">
        <v>8566</v>
      </c>
      <c r="R2648" s="328" t="str">
        <f>IFS(C2648="","",C2648="n/a","N/A",LEN(C2648),Concatenate("{",char(34),"asset",char(34),":{",char(34),"guid",char(34),":",char(34),Q2648,char(34),",",char(34),"site",char(34),":",char(34),LOWER('2-Building'!$B$4),char(34),",",char(34),"name",char(34),":",char(34),LOWER(C2648),char(34),"}}"))</f>
        <v>{"asset":{"guid":"uuid://582efcf1-d91d-467f-8a36-496af10e4871","site":"in-blr-ananta","name":"em-530"}}</v>
      </c>
      <c r="S2648" s="366" t="s">
        <v>8075</v>
      </c>
      <c r="T2648" s="330"/>
      <c r="U2648" s="330"/>
      <c r="V2648" s="331"/>
      <c r="W2648" s="332"/>
      <c r="X2648" s="333"/>
      <c r="Y2648" s="33" t="s">
        <v>8076</v>
      </c>
      <c r="Z2648" s="368"/>
      <c r="AA2648" s="333"/>
      <c r="AB2648" s="258">
        <v>14.0</v>
      </c>
      <c r="AC2648" s="333"/>
      <c r="AD2648" s="329"/>
      <c r="AE2648" s="331"/>
      <c r="AF2648" s="336"/>
      <c r="AG2648" s="337"/>
      <c r="AH2648" s="333"/>
      <c r="AI2648" s="333"/>
      <c r="AJ2648" s="333"/>
      <c r="AK2648" s="333"/>
      <c r="AL2648" s="333"/>
      <c r="AM2648" s="338"/>
      <c r="AN2648" s="333"/>
      <c r="AO2648" s="333"/>
      <c r="AP2648" s="333"/>
      <c r="AQ2648" s="333"/>
      <c r="AR2648" s="333"/>
      <c r="AS2648" s="333"/>
      <c r="AT2648" s="333"/>
      <c r="AU2648" s="329"/>
      <c r="AV2648" s="341"/>
      <c r="AW2648" s="269" t="s">
        <v>1821</v>
      </c>
      <c r="AX2648" s="269" t="s">
        <v>2869</v>
      </c>
      <c r="AY2648" s="270" t="s">
        <v>695</v>
      </c>
      <c r="AZ2648" s="173"/>
      <c r="BA2648" s="265">
        <v>10.0</v>
      </c>
      <c r="BB2648" s="367"/>
      <c r="BC2648" s="341"/>
      <c r="BD2648" s="308" t="s">
        <v>1844</v>
      </c>
      <c r="BE2648" s="378"/>
      <c r="BF2648" s="274" t="str">
        <f>IFERROR(__xludf.DUMMYFUNCTION("LOWER(Regexreplace(to_text(E2648),""[^A-Za-z0-9]"","""")&amp;""_""&amp;Regexreplace(to_text(F2648),""[^A-Za-z0-9]"",""""))"),"schneider_iem3000")</f>
        <v>schneider_iem3000</v>
      </c>
      <c r="BG2648" s="275" t="str">
        <f>IFERROR(__xludf.DUMMYFUNCTION("upper(Regexreplace(to_text(E2648),""[^A-Za-z0-9]"","""")&amp;""-""&amp;Regexreplace(to_text(F2648),""[^A-Za-z0-9]"",""""))"),"SCHNEIDER-IEM3000")</f>
        <v>SCHNEIDER-IEM3000</v>
      </c>
    </row>
    <row r="2649" ht="30.0" customHeight="1">
      <c r="A2649" s="258"/>
      <c r="B2649" s="328" t="s">
        <v>670</v>
      </c>
      <c r="C2649" s="257" t="s">
        <v>8567</v>
      </c>
      <c r="D2649" s="173" t="s">
        <v>8567</v>
      </c>
      <c r="E2649" s="174" t="s">
        <v>8070</v>
      </c>
      <c r="F2649" s="173" t="s">
        <v>8340</v>
      </c>
      <c r="G2649" s="328" t="s">
        <v>673</v>
      </c>
      <c r="H2649" s="328" t="s">
        <v>2863</v>
      </c>
      <c r="I2649" s="258" t="s">
        <v>8072</v>
      </c>
      <c r="J2649" s="259" t="s">
        <v>727</v>
      </c>
      <c r="K2649" s="260" t="s">
        <v>8559</v>
      </c>
      <c r="L2649" s="365"/>
      <c r="M2649" s="329"/>
      <c r="N2649" s="173" t="s">
        <v>679</v>
      </c>
      <c r="O2649" s="173" t="s">
        <v>225</v>
      </c>
      <c r="P2649" s="262" t="str">
        <f t="shared" si="1"/>
        <v>IN-BLR-ANANTA-EM-531_B1</v>
      </c>
      <c r="Q2649" s="173" t="s">
        <v>8568</v>
      </c>
      <c r="R2649" s="328" t="str">
        <f>IFS(C2649="","",C2649="n/a","N/A",LEN(C2649),Concatenate("{",char(34),"asset",char(34),":{",char(34),"guid",char(34),":",char(34),Q2649,char(34),",",char(34),"site",char(34),":",char(34),LOWER('2-Building'!$B$4),char(34),",",char(34),"name",char(34),":",char(34),LOWER(C2649),char(34),"}}"))</f>
        <v>{"asset":{"guid":"uuid://cf98b195-fb53-4eac-bb68-fee0d67e602b","site":"in-blr-ananta","name":"em-531"}}</v>
      </c>
      <c r="S2649" s="366" t="s">
        <v>8075</v>
      </c>
      <c r="T2649" s="330"/>
      <c r="U2649" s="330"/>
      <c r="V2649" s="331"/>
      <c r="W2649" s="332"/>
      <c r="X2649" s="333"/>
      <c r="Y2649" s="33" t="s">
        <v>8076</v>
      </c>
      <c r="Z2649" s="368"/>
      <c r="AA2649" s="333"/>
      <c r="AB2649" s="258">
        <v>15.0</v>
      </c>
      <c r="AC2649" s="333"/>
      <c r="AD2649" s="329"/>
      <c r="AE2649" s="331"/>
      <c r="AF2649" s="336"/>
      <c r="AG2649" s="337"/>
      <c r="AH2649" s="333"/>
      <c r="AI2649" s="333"/>
      <c r="AJ2649" s="333"/>
      <c r="AK2649" s="333"/>
      <c r="AL2649" s="333"/>
      <c r="AM2649" s="338"/>
      <c r="AN2649" s="333"/>
      <c r="AO2649" s="333"/>
      <c r="AP2649" s="333"/>
      <c r="AQ2649" s="333"/>
      <c r="AR2649" s="333"/>
      <c r="AS2649" s="333"/>
      <c r="AT2649" s="333"/>
      <c r="AU2649" s="329"/>
      <c r="AV2649" s="341"/>
      <c r="AW2649" s="269" t="s">
        <v>1821</v>
      </c>
      <c r="AX2649" s="269" t="s">
        <v>2869</v>
      </c>
      <c r="AY2649" s="270" t="s">
        <v>695</v>
      </c>
      <c r="AZ2649" s="173"/>
      <c r="BA2649" s="265">
        <v>10.0</v>
      </c>
      <c r="BB2649" s="367"/>
      <c r="BC2649" s="341"/>
      <c r="BD2649" s="308" t="s">
        <v>1844</v>
      </c>
      <c r="BE2649" s="378"/>
      <c r="BF2649" s="274" t="str">
        <f>IFERROR(__xludf.DUMMYFUNCTION("LOWER(Regexreplace(to_text(E2649),""[^A-Za-z0-9]"","""")&amp;""_""&amp;Regexreplace(to_text(F2649),""[^A-Za-z0-9]"",""""))"),"schneider_iem3000")</f>
        <v>schneider_iem3000</v>
      </c>
      <c r="BG2649" s="275" t="str">
        <f>IFERROR(__xludf.DUMMYFUNCTION("upper(Regexreplace(to_text(E2649),""[^A-Za-z0-9]"","""")&amp;""-""&amp;Regexreplace(to_text(F2649),""[^A-Za-z0-9]"",""""))"),"SCHNEIDER-IEM3000")</f>
        <v>SCHNEIDER-IEM3000</v>
      </c>
    </row>
    <row r="2650" ht="30.0" customHeight="1">
      <c r="A2650" s="258"/>
      <c r="B2650" s="328" t="s">
        <v>670</v>
      </c>
      <c r="C2650" s="257" t="s">
        <v>8569</v>
      </c>
      <c r="D2650" s="173" t="s">
        <v>8569</v>
      </c>
      <c r="E2650" s="174" t="s">
        <v>8070</v>
      </c>
      <c r="F2650" s="173" t="s">
        <v>8340</v>
      </c>
      <c r="G2650" s="328" t="s">
        <v>673</v>
      </c>
      <c r="H2650" s="328" t="s">
        <v>2863</v>
      </c>
      <c r="I2650" s="258" t="s">
        <v>8072</v>
      </c>
      <c r="J2650" s="259" t="s">
        <v>727</v>
      </c>
      <c r="K2650" s="260" t="s">
        <v>8559</v>
      </c>
      <c r="L2650" s="365"/>
      <c r="M2650" s="329"/>
      <c r="N2650" s="173" t="s">
        <v>679</v>
      </c>
      <c r="O2650" s="173" t="s">
        <v>225</v>
      </c>
      <c r="P2650" s="262" t="str">
        <f t="shared" si="1"/>
        <v>IN-BLR-ANANTA-EM-532_B1</v>
      </c>
      <c r="Q2650" s="173" t="s">
        <v>8570</v>
      </c>
      <c r="R2650" s="328" t="str">
        <f>IFS(C2650="","",C2650="n/a","N/A",LEN(C2650),Concatenate("{",char(34),"asset",char(34),":{",char(34),"guid",char(34),":",char(34),Q2650,char(34),",",char(34),"site",char(34),":",char(34),LOWER('2-Building'!$B$4),char(34),",",char(34),"name",char(34),":",char(34),LOWER(C2650),char(34),"}}"))</f>
        <v>{"asset":{"guid":"uuid://cb2eefd1-3a62-40ad-b401-7a9f31a6fafa","site":"in-blr-ananta","name":"em-532"}}</v>
      </c>
      <c r="S2650" s="366" t="s">
        <v>8075</v>
      </c>
      <c r="T2650" s="330"/>
      <c r="U2650" s="330"/>
      <c r="V2650" s="331"/>
      <c r="W2650" s="332"/>
      <c r="X2650" s="333"/>
      <c r="Y2650" s="33" t="s">
        <v>8076</v>
      </c>
      <c r="Z2650" s="368"/>
      <c r="AA2650" s="333"/>
      <c r="AB2650" s="258">
        <v>16.0</v>
      </c>
      <c r="AC2650" s="333"/>
      <c r="AD2650" s="329"/>
      <c r="AE2650" s="331"/>
      <c r="AF2650" s="336"/>
      <c r="AG2650" s="337"/>
      <c r="AH2650" s="333"/>
      <c r="AI2650" s="333"/>
      <c r="AJ2650" s="333"/>
      <c r="AK2650" s="333"/>
      <c r="AL2650" s="333"/>
      <c r="AM2650" s="338"/>
      <c r="AN2650" s="333"/>
      <c r="AO2650" s="333"/>
      <c r="AP2650" s="333"/>
      <c r="AQ2650" s="333"/>
      <c r="AR2650" s="333"/>
      <c r="AS2650" s="333"/>
      <c r="AT2650" s="333"/>
      <c r="AU2650" s="329"/>
      <c r="AV2650" s="341"/>
      <c r="AW2650" s="269" t="s">
        <v>1821</v>
      </c>
      <c r="AX2650" s="269" t="s">
        <v>2869</v>
      </c>
      <c r="AY2650" s="270" t="s">
        <v>695</v>
      </c>
      <c r="AZ2650" s="379"/>
      <c r="BA2650" s="265">
        <v>10.0</v>
      </c>
      <c r="BB2650" s="367"/>
      <c r="BC2650" s="341"/>
      <c r="BD2650" s="308" t="s">
        <v>1844</v>
      </c>
      <c r="BE2650" s="378"/>
      <c r="BF2650" s="274" t="str">
        <f>IFERROR(__xludf.DUMMYFUNCTION("LOWER(Regexreplace(to_text(E2650),""[^A-Za-z0-9]"","""")&amp;""_""&amp;Regexreplace(to_text(F2650),""[^A-Za-z0-9]"",""""))"),"schneider_iem3000")</f>
        <v>schneider_iem3000</v>
      </c>
      <c r="BG2650" s="275" t="str">
        <f>IFERROR(__xludf.DUMMYFUNCTION("upper(Regexreplace(to_text(E2650),""[^A-Za-z0-9]"","""")&amp;""-""&amp;Regexreplace(to_text(F2650),""[^A-Za-z0-9]"",""""))"),"SCHNEIDER-IEM3000")</f>
        <v>SCHNEIDER-IEM3000</v>
      </c>
    </row>
    <row r="2651" ht="30.0" customHeight="1">
      <c r="A2651" s="258"/>
      <c r="B2651" s="328" t="s">
        <v>670</v>
      </c>
      <c r="C2651" s="257" t="s">
        <v>8571</v>
      </c>
      <c r="D2651" s="173" t="s">
        <v>8571</v>
      </c>
      <c r="E2651" s="174" t="s">
        <v>8070</v>
      </c>
      <c r="F2651" s="173" t="s">
        <v>8340</v>
      </c>
      <c r="G2651" s="328" t="s">
        <v>673</v>
      </c>
      <c r="H2651" s="328" t="s">
        <v>2863</v>
      </c>
      <c r="I2651" s="258" t="s">
        <v>8072</v>
      </c>
      <c r="J2651" s="259" t="s">
        <v>727</v>
      </c>
      <c r="K2651" s="260" t="s">
        <v>8559</v>
      </c>
      <c r="L2651" s="365"/>
      <c r="M2651" s="329"/>
      <c r="N2651" s="173" t="s">
        <v>679</v>
      </c>
      <c r="O2651" s="173" t="s">
        <v>225</v>
      </c>
      <c r="P2651" s="262" t="str">
        <f t="shared" si="1"/>
        <v>IN-BLR-ANANTA-EM-533_B1</v>
      </c>
      <c r="Q2651" s="173" t="s">
        <v>8572</v>
      </c>
      <c r="R2651" s="328" t="str">
        <f>IFS(C2651="","",C2651="n/a","N/A",LEN(C2651),Concatenate("{",char(34),"asset",char(34),":{",char(34),"guid",char(34),":",char(34),Q2651,char(34),",",char(34),"site",char(34),":",char(34),LOWER('2-Building'!$B$4),char(34),",",char(34),"name",char(34),":",char(34),LOWER(C2651),char(34),"}}"))</f>
        <v>{"asset":{"guid":"uuid://4e4070e9-196d-4bb6-8bc3-e644338026fe","site":"in-blr-ananta","name":"em-533"}}</v>
      </c>
      <c r="S2651" s="366" t="s">
        <v>8075</v>
      </c>
      <c r="T2651" s="330"/>
      <c r="U2651" s="330"/>
      <c r="V2651" s="331"/>
      <c r="W2651" s="332"/>
      <c r="X2651" s="333"/>
      <c r="Y2651" s="33" t="s">
        <v>8076</v>
      </c>
      <c r="Z2651" s="368"/>
      <c r="AA2651" s="333"/>
      <c r="AB2651" s="258">
        <v>17.0</v>
      </c>
      <c r="AC2651" s="339" t="s">
        <v>8573</v>
      </c>
      <c r="AD2651" s="329"/>
      <c r="AE2651" s="331"/>
      <c r="AF2651" s="336"/>
      <c r="AG2651" s="337"/>
      <c r="AH2651" s="333"/>
      <c r="AI2651" s="333"/>
      <c r="AJ2651" s="333"/>
      <c r="AK2651" s="333"/>
      <c r="AL2651" s="333"/>
      <c r="AM2651" s="338"/>
      <c r="AN2651" s="333"/>
      <c r="AO2651" s="333"/>
      <c r="AP2651" s="333"/>
      <c r="AQ2651" s="333"/>
      <c r="AR2651" s="333"/>
      <c r="AS2651" s="333"/>
      <c r="AT2651" s="333"/>
      <c r="AU2651" s="329"/>
      <c r="AV2651" s="341"/>
      <c r="AW2651" s="269" t="s">
        <v>1821</v>
      </c>
      <c r="AX2651" s="269" t="s">
        <v>2869</v>
      </c>
      <c r="AY2651" s="270" t="s">
        <v>695</v>
      </c>
      <c r="AZ2651" s="379"/>
      <c r="BA2651" s="265">
        <v>10.0</v>
      </c>
      <c r="BB2651" s="367"/>
      <c r="BC2651" s="341"/>
      <c r="BD2651" s="308" t="s">
        <v>1844</v>
      </c>
      <c r="BE2651" s="378"/>
      <c r="BF2651" s="274" t="str">
        <f>IFERROR(__xludf.DUMMYFUNCTION("LOWER(Regexreplace(to_text(E2651),""[^A-Za-z0-9]"","""")&amp;""_""&amp;Regexreplace(to_text(F2651),""[^A-Za-z0-9]"",""""))"),"schneider_iem3000")</f>
        <v>schneider_iem3000</v>
      </c>
      <c r="BG2651" s="275" t="str">
        <f>IFERROR(__xludf.DUMMYFUNCTION("upper(Regexreplace(to_text(E2651),""[^A-Za-z0-9]"","""")&amp;""-""&amp;Regexreplace(to_text(F2651),""[^A-Za-z0-9]"",""""))"),"SCHNEIDER-IEM3000")</f>
        <v>SCHNEIDER-IEM3000</v>
      </c>
    </row>
    <row r="2652" ht="30.0" customHeight="1">
      <c r="A2652" s="258"/>
      <c r="B2652" s="328" t="s">
        <v>670</v>
      </c>
      <c r="C2652" s="257" t="s">
        <v>8574</v>
      </c>
      <c r="D2652" s="173" t="s">
        <v>8574</v>
      </c>
      <c r="E2652" s="174" t="s">
        <v>8070</v>
      </c>
      <c r="F2652" s="173" t="s">
        <v>8340</v>
      </c>
      <c r="G2652" s="328" t="s">
        <v>673</v>
      </c>
      <c r="H2652" s="328" t="s">
        <v>2863</v>
      </c>
      <c r="I2652" s="258" t="s">
        <v>8072</v>
      </c>
      <c r="J2652" s="259" t="s">
        <v>727</v>
      </c>
      <c r="K2652" s="260" t="s">
        <v>8559</v>
      </c>
      <c r="L2652" s="365"/>
      <c r="M2652" s="329"/>
      <c r="N2652" s="173" t="s">
        <v>679</v>
      </c>
      <c r="O2652" s="173" t="s">
        <v>225</v>
      </c>
      <c r="P2652" s="262" t="str">
        <f t="shared" si="1"/>
        <v>IN-BLR-ANANTA-EM-534_B1</v>
      </c>
      <c r="Q2652" s="173" t="s">
        <v>8575</v>
      </c>
      <c r="R2652" s="328" t="str">
        <f>IFS(C2652="","",C2652="n/a","N/A",LEN(C2652),Concatenate("{",char(34),"asset",char(34),":{",char(34),"guid",char(34),":",char(34),Q2652,char(34),",",char(34),"site",char(34),":",char(34),LOWER('2-Building'!$B$4),char(34),",",char(34),"name",char(34),":",char(34),LOWER(C2652),char(34),"}}"))</f>
        <v>{"asset":{"guid":"uuid://bfdb166c-4b98-4333-b671-e41fe2429993","site":"in-blr-ananta","name":"em-534"}}</v>
      </c>
      <c r="S2652" s="366" t="s">
        <v>8075</v>
      </c>
      <c r="T2652" s="330"/>
      <c r="U2652" s="330"/>
      <c r="V2652" s="331"/>
      <c r="W2652" s="332"/>
      <c r="X2652" s="333"/>
      <c r="Y2652" s="33" t="s">
        <v>8076</v>
      </c>
      <c r="Z2652" s="368"/>
      <c r="AA2652" s="333"/>
      <c r="AB2652" s="258">
        <v>18.0</v>
      </c>
      <c r="AC2652" s="333"/>
      <c r="AD2652" s="329"/>
      <c r="AE2652" s="331"/>
      <c r="AF2652" s="336"/>
      <c r="AG2652" s="337"/>
      <c r="AH2652" s="333"/>
      <c r="AI2652" s="333"/>
      <c r="AJ2652" s="333"/>
      <c r="AK2652" s="333"/>
      <c r="AL2652" s="333"/>
      <c r="AM2652" s="338"/>
      <c r="AN2652" s="333"/>
      <c r="AO2652" s="333"/>
      <c r="AP2652" s="333"/>
      <c r="AQ2652" s="333"/>
      <c r="AR2652" s="333"/>
      <c r="AS2652" s="333"/>
      <c r="AT2652" s="333"/>
      <c r="AU2652" s="329"/>
      <c r="AV2652" s="341"/>
      <c r="AW2652" s="269" t="s">
        <v>1821</v>
      </c>
      <c r="AX2652" s="269" t="s">
        <v>2869</v>
      </c>
      <c r="AY2652" s="270" t="s">
        <v>695</v>
      </c>
      <c r="AZ2652" s="379"/>
      <c r="BA2652" s="265">
        <v>10.0</v>
      </c>
      <c r="BB2652" s="367"/>
      <c r="BC2652" s="341"/>
      <c r="BD2652" s="308" t="s">
        <v>1844</v>
      </c>
      <c r="BE2652" s="378"/>
      <c r="BF2652" s="274" t="str">
        <f>IFERROR(__xludf.DUMMYFUNCTION("LOWER(Regexreplace(to_text(E2652),""[^A-Za-z0-9]"","""")&amp;""_""&amp;Regexreplace(to_text(F2652),""[^A-Za-z0-9]"",""""))"),"schneider_iem3000")</f>
        <v>schneider_iem3000</v>
      </c>
      <c r="BG2652" s="275" t="str">
        <f>IFERROR(__xludf.DUMMYFUNCTION("upper(Regexreplace(to_text(E2652),""[^A-Za-z0-9]"","""")&amp;""-""&amp;Regexreplace(to_text(F2652),""[^A-Za-z0-9]"",""""))"),"SCHNEIDER-IEM3000")</f>
        <v>SCHNEIDER-IEM3000</v>
      </c>
    </row>
    <row r="2653" ht="30.0" customHeight="1">
      <c r="A2653" s="258"/>
      <c r="B2653" s="328" t="s">
        <v>670</v>
      </c>
      <c r="C2653" s="257" t="s">
        <v>8576</v>
      </c>
      <c r="D2653" s="173" t="s">
        <v>8576</v>
      </c>
      <c r="E2653" s="174" t="s">
        <v>8070</v>
      </c>
      <c r="F2653" s="173" t="s">
        <v>8340</v>
      </c>
      <c r="G2653" s="328" t="s">
        <v>673</v>
      </c>
      <c r="H2653" s="328" t="s">
        <v>2863</v>
      </c>
      <c r="I2653" s="258" t="s">
        <v>8072</v>
      </c>
      <c r="J2653" s="259" t="s">
        <v>727</v>
      </c>
      <c r="K2653" s="260" t="s">
        <v>8559</v>
      </c>
      <c r="L2653" s="365"/>
      <c r="M2653" s="329"/>
      <c r="N2653" s="173" t="s">
        <v>679</v>
      </c>
      <c r="O2653" s="173" t="s">
        <v>225</v>
      </c>
      <c r="P2653" s="262" t="str">
        <f t="shared" si="1"/>
        <v>IN-BLR-ANANTA-EM-535_B1</v>
      </c>
      <c r="Q2653" s="173" t="s">
        <v>8577</v>
      </c>
      <c r="R2653" s="328" t="str">
        <f>IFS(C2653="","",C2653="n/a","N/A",LEN(C2653),Concatenate("{",char(34),"asset",char(34),":{",char(34),"guid",char(34),":",char(34),Q2653,char(34),",",char(34),"site",char(34),":",char(34),LOWER('2-Building'!$B$4),char(34),",",char(34),"name",char(34),":",char(34),LOWER(C2653),char(34),"}}"))</f>
        <v>{"asset":{"guid":"uuid://dcaaa1f6-25b2-4602-848e-4e77ef085c99","site":"in-blr-ananta","name":"em-535"}}</v>
      </c>
      <c r="S2653" s="366" t="s">
        <v>8075</v>
      </c>
      <c r="T2653" s="330"/>
      <c r="U2653" s="330"/>
      <c r="V2653" s="331"/>
      <c r="W2653" s="332"/>
      <c r="X2653" s="333"/>
      <c r="Y2653" s="33" t="s">
        <v>8076</v>
      </c>
      <c r="Z2653" s="368"/>
      <c r="AA2653" s="333"/>
      <c r="AB2653" s="258">
        <v>19.0</v>
      </c>
      <c r="AC2653" s="333"/>
      <c r="AD2653" s="329"/>
      <c r="AE2653" s="331"/>
      <c r="AF2653" s="336"/>
      <c r="AG2653" s="337"/>
      <c r="AH2653" s="333"/>
      <c r="AI2653" s="333"/>
      <c r="AJ2653" s="333"/>
      <c r="AK2653" s="333"/>
      <c r="AL2653" s="333"/>
      <c r="AM2653" s="338"/>
      <c r="AN2653" s="333"/>
      <c r="AO2653" s="333"/>
      <c r="AP2653" s="333"/>
      <c r="AQ2653" s="333"/>
      <c r="AR2653" s="333"/>
      <c r="AS2653" s="333"/>
      <c r="AT2653" s="333"/>
      <c r="AU2653" s="329"/>
      <c r="AV2653" s="341"/>
      <c r="AW2653" s="269" t="s">
        <v>1821</v>
      </c>
      <c r="AX2653" s="269" t="s">
        <v>2869</v>
      </c>
      <c r="AY2653" s="270" t="s">
        <v>695</v>
      </c>
      <c r="AZ2653" s="379"/>
      <c r="BA2653" s="265">
        <v>10.0</v>
      </c>
      <c r="BB2653" s="367"/>
      <c r="BC2653" s="341"/>
      <c r="BD2653" s="308" t="s">
        <v>1844</v>
      </c>
      <c r="BE2653" s="378"/>
      <c r="BF2653" s="274" t="str">
        <f>IFERROR(__xludf.DUMMYFUNCTION("LOWER(Regexreplace(to_text(E2653),""[^A-Za-z0-9]"","""")&amp;""_""&amp;Regexreplace(to_text(F2653),""[^A-Za-z0-9]"",""""))"),"schneider_iem3000")</f>
        <v>schneider_iem3000</v>
      </c>
      <c r="BG2653" s="275" t="str">
        <f>IFERROR(__xludf.DUMMYFUNCTION("upper(Regexreplace(to_text(E2653),""[^A-Za-z0-9]"","""")&amp;""-""&amp;Regexreplace(to_text(F2653),""[^A-Za-z0-9]"",""""))"),"SCHNEIDER-IEM3000")</f>
        <v>SCHNEIDER-IEM3000</v>
      </c>
    </row>
    <row r="2654" ht="30.0" customHeight="1">
      <c r="A2654" s="258"/>
      <c r="B2654" s="328" t="s">
        <v>670</v>
      </c>
      <c r="C2654" s="257" t="s">
        <v>8578</v>
      </c>
      <c r="D2654" s="173" t="s">
        <v>8578</v>
      </c>
      <c r="E2654" s="174" t="s">
        <v>8070</v>
      </c>
      <c r="F2654" s="173" t="s">
        <v>8579</v>
      </c>
      <c r="G2654" s="328" t="s">
        <v>673</v>
      </c>
      <c r="H2654" s="328" t="s">
        <v>2863</v>
      </c>
      <c r="I2654" s="258" t="s">
        <v>8072</v>
      </c>
      <c r="J2654" s="259" t="s">
        <v>739</v>
      </c>
      <c r="K2654" s="260" t="s">
        <v>8087</v>
      </c>
      <c r="L2654" s="365"/>
      <c r="M2654" s="329"/>
      <c r="N2654" s="173" t="s">
        <v>679</v>
      </c>
      <c r="O2654" s="173" t="s">
        <v>225</v>
      </c>
      <c r="P2654" s="262" t="str">
        <f t="shared" si="1"/>
        <v>IN-BLR-ANANTA-EM-201_G</v>
      </c>
      <c r="Q2654" s="173" t="s">
        <v>8580</v>
      </c>
      <c r="R2654" s="328" t="str">
        <f>IFS(C2654="","",C2654="n/a","N/A",LEN(C2654),Concatenate("{",char(34),"asset",char(34),":{",char(34),"guid",char(34),":",char(34),Q2654,char(34),",",char(34),"site",char(34),":",char(34),LOWER('2-Building'!$B$4),char(34),",",char(34),"name",char(34),":",char(34),LOWER(C2654),char(34),"}}"))</f>
        <v>{"asset":{"guid":"uuid://99713d71-8dd7-4685-b3ea-5cba1dfe6fbd","site":"in-blr-ananta","name":"em-201"}}</v>
      </c>
      <c r="S2654" s="366" t="s">
        <v>8581</v>
      </c>
      <c r="T2654" s="330"/>
      <c r="U2654" s="330"/>
      <c r="V2654" s="331"/>
      <c r="W2654" s="332"/>
      <c r="X2654" s="333"/>
      <c r="Y2654" s="33" t="s">
        <v>8076</v>
      </c>
      <c r="Z2654" s="368"/>
      <c r="AA2654" s="333"/>
      <c r="AB2654" s="258">
        <v>1.0</v>
      </c>
      <c r="AC2654" s="333"/>
      <c r="AD2654" s="329"/>
      <c r="AE2654" s="331"/>
      <c r="AF2654" s="336"/>
      <c r="AG2654" s="337"/>
      <c r="AH2654" s="333"/>
      <c r="AI2654" s="333"/>
      <c r="AJ2654" s="333"/>
      <c r="AK2654" s="333"/>
      <c r="AL2654" s="333"/>
      <c r="AM2654" s="338"/>
      <c r="AN2654" s="333"/>
      <c r="AO2654" s="333"/>
      <c r="AP2654" s="333"/>
      <c r="AQ2654" s="333"/>
      <c r="AR2654" s="333"/>
      <c r="AS2654" s="333"/>
      <c r="AT2654" s="333"/>
      <c r="AU2654" s="329"/>
      <c r="AV2654" s="341"/>
      <c r="AW2654" s="269" t="s">
        <v>1626</v>
      </c>
      <c r="AX2654" s="269" t="s">
        <v>2869</v>
      </c>
      <c r="AY2654" s="270" t="s">
        <v>695</v>
      </c>
      <c r="AZ2654" s="379"/>
      <c r="BA2654" s="265">
        <v>10.0</v>
      </c>
      <c r="BB2654" s="367"/>
      <c r="BC2654" s="341"/>
      <c r="BD2654" s="308" t="s">
        <v>1844</v>
      </c>
      <c r="BE2654" s="378"/>
      <c r="BF2654" s="274" t="str">
        <f>IFERROR(__xludf.DUMMYFUNCTION("LOWER(Regexreplace(to_text(E2654),""[^A-Za-z0-9]"","""")&amp;""_""&amp;Regexreplace(to_text(F2654),""[^A-Za-z0-9]"",""""))"),"schneider_pm1130h")</f>
        <v>schneider_pm1130h</v>
      </c>
      <c r="BG2654" s="275" t="str">
        <f>IFERROR(__xludf.DUMMYFUNCTION("upper(Regexreplace(to_text(E2654),""[^A-Za-z0-9]"","""")&amp;""-""&amp;Regexreplace(to_text(F2654),""[^A-Za-z0-9]"",""""))"),"SCHNEIDER-PM1130H")</f>
        <v>SCHNEIDER-PM1130H</v>
      </c>
    </row>
    <row r="2655" ht="30.0" customHeight="1">
      <c r="A2655" s="258"/>
      <c r="B2655" s="328" t="s">
        <v>670</v>
      </c>
      <c r="C2655" s="257" t="s">
        <v>8582</v>
      </c>
      <c r="D2655" s="173" t="s">
        <v>8582</v>
      </c>
      <c r="E2655" s="174" t="s">
        <v>8070</v>
      </c>
      <c r="F2655" s="173" t="s">
        <v>8579</v>
      </c>
      <c r="G2655" s="328" t="s">
        <v>673</v>
      </c>
      <c r="H2655" s="328" t="s">
        <v>2863</v>
      </c>
      <c r="I2655" s="258" t="s">
        <v>8072</v>
      </c>
      <c r="J2655" s="259" t="s">
        <v>739</v>
      </c>
      <c r="K2655" s="260" t="s">
        <v>8087</v>
      </c>
      <c r="L2655" s="365"/>
      <c r="M2655" s="329"/>
      <c r="N2655" s="173" t="s">
        <v>679</v>
      </c>
      <c r="O2655" s="173" t="s">
        <v>225</v>
      </c>
      <c r="P2655" s="262" t="str">
        <f t="shared" si="1"/>
        <v>IN-BLR-ANANTA-EM-202_G</v>
      </c>
      <c r="Q2655" s="173" t="s">
        <v>8583</v>
      </c>
      <c r="R2655" s="328" t="str">
        <f>IFS(C2655="","",C2655="n/a","N/A",LEN(C2655),Concatenate("{",char(34),"asset",char(34),":{",char(34),"guid",char(34),":",char(34),Q2655,char(34),",",char(34),"site",char(34),":",char(34),LOWER('2-Building'!$B$4),char(34),",",char(34),"name",char(34),":",char(34),LOWER(C2655),char(34),"}}"))</f>
        <v>{"asset":{"guid":"uuid://529747ab-c8d8-41c1-91eb-acd1ecf5abd5","site":"in-blr-ananta","name":"em-202"}}</v>
      </c>
      <c r="S2655" s="366" t="s">
        <v>8581</v>
      </c>
      <c r="T2655" s="330"/>
      <c r="U2655" s="330"/>
      <c r="V2655" s="331"/>
      <c r="W2655" s="332"/>
      <c r="X2655" s="333"/>
      <c r="Y2655" s="33" t="s">
        <v>8076</v>
      </c>
      <c r="Z2655" s="368"/>
      <c r="AA2655" s="333"/>
      <c r="AB2655" s="258">
        <v>2.0</v>
      </c>
      <c r="AC2655" s="333"/>
      <c r="AD2655" s="329"/>
      <c r="AE2655" s="331"/>
      <c r="AF2655" s="336"/>
      <c r="AG2655" s="337"/>
      <c r="AH2655" s="333"/>
      <c r="AI2655" s="333"/>
      <c r="AJ2655" s="333"/>
      <c r="AK2655" s="333"/>
      <c r="AL2655" s="333"/>
      <c r="AM2655" s="338"/>
      <c r="AN2655" s="333"/>
      <c r="AO2655" s="333"/>
      <c r="AP2655" s="333"/>
      <c r="AQ2655" s="333"/>
      <c r="AR2655" s="333"/>
      <c r="AS2655" s="333"/>
      <c r="AT2655" s="333"/>
      <c r="AU2655" s="329"/>
      <c r="AV2655" s="341"/>
      <c r="AW2655" s="269" t="s">
        <v>1626</v>
      </c>
      <c r="AX2655" s="269" t="s">
        <v>2869</v>
      </c>
      <c r="AY2655" s="270" t="s">
        <v>695</v>
      </c>
      <c r="AZ2655" s="379"/>
      <c r="BA2655" s="265">
        <v>10.0</v>
      </c>
      <c r="BB2655" s="367"/>
      <c r="BC2655" s="341"/>
      <c r="BD2655" s="308" t="s">
        <v>1844</v>
      </c>
      <c r="BE2655" s="378"/>
      <c r="BF2655" s="274" t="str">
        <f>IFERROR(__xludf.DUMMYFUNCTION("LOWER(Regexreplace(to_text(E2655),""[^A-Za-z0-9]"","""")&amp;""_""&amp;Regexreplace(to_text(F2655),""[^A-Za-z0-9]"",""""))"),"schneider_pm1130h")</f>
        <v>schneider_pm1130h</v>
      </c>
      <c r="BG2655" s="275" t="str">
        <f>IFERROR(__xludf.DUMMYFUNCTION("upper(Regexreplace(to_text(E2655),""[^A-Za-z0-9]"","""")&amp;""-""&amp;Regexreplace(to_text(F2655),""[^A-Za-z0-9]"",""""))"),"SCHNEIDER-PM1130H")</f>
        <v>SCHNEIDER-PM1130H</v>
      </c>
    </row>
    <row r="2656" ht="30.0" customHeight="1">
      <c r="A2656" s="258"/>
      <c r="B2656" s="328" t="s">
        <v>670</v>
      </c>
      <c r="C2656" s="257" t="s">
        <v>8584</v>
      </c>
      <c r="D2656" s="173" t="s">
        <v>8584</v>
      </c>
      <c r="E2656" s="174" t="s">
        <v>8070</v>
      </c>
      <c r="F2656" s="173" t="s">
        <v>8579</v>
      </c>
      <c r="G2656" s="328" t="s">
        <v>673</v>
      </c>
      <c r="H2656" s="328" t="s">
        <v>2863</v>
      </c>
      <c r="I2656" s="258" t="s">
        <v>8072</v>
      </c>
      <c r="J2656" s="259" t="s">
        <v>739</v>
      </c>
      <c r="K2656" s="260" t="s">
        <v>8087</v>
      </c>
      <c r="L2656" s="365"/>
      <c r="M2656" s="329"/>
      <c r="N2656" s="173" t="s">
        <v>679</v>
      </c>
      <c r="O2656" s="173" t="s">
        <v>225</v>
      </c>
      <c r="P2656" s="262" t="str">
        <f t="shared" si="1"/>
        <v>IN-BLR-ANANTA-EM-203_G</v>
      </c>
      <c r="Q2656" s="173" t="s">
        <v>8585</v>
      </c>
      <c r="R2656" s="328" t="str">
        <f>IFS(C2656="","",C2656="n/a","N/A",LEN(C2656),Concatenate("{",char(34),"asset",char(34),":{",char(34),"guid",char(34),":",char(34),Q2656,char(34),",",char(34),"site",char(34),":",char(34),LOWER('2-Building'!$B$4),char(34),",",char(34),"name",char(34),":",char(34),LOWER(C2656),char(34),"}}"))</f>
        <v>{"asset":{"guid":"uuid://3c894332-2a59-455c-a036-ba68cd17997a","site":"in-blr-ananta","name":"em-203"}}</v>
      </c>
      <c r="S2656" s="366" t="s">
        <v>8581</v>
      </c>
      <c r="T2656" s="330"/>
      <c r="U2656" s="330"/>
      <c r="V2656" s="331"/>
      <c r="W2656" s="332"/>
      <c r="X2656" s="333"/>
      <c r="Y2656" s="33" t="s">
        <v>8076</v>
      </c>
      <c r="Z2656" s="368"/>
      <c r="AA2656" s="333"/>
      <c r="AB2656" s="258">
        <v>5.0</v>
      </c>
      <c r="AC2656" s="333"/>
      <c r="AD2656" s="329"/>
      <c r="AE2656" s="331"/>
      <c r="AF2656" s="336"/>
      <c r="AG2656" s="337"/>
      <c r="AH2656" s="333"/>
      <c r="AI2656" s="333"/>
      <c r="AJ2656" s="333"/>
      <c r="AK2656" s="333"/>
      <c r="AL2656" s="333"/>
      <c r="AM2656" s="338"/>
      <c r="AN2656" s="333"/>
      <c r="AO2656" s="333"/>
      <c r="AP2656" s="333"/>
      <c r="AQ2656" s="333"/>
      <c r="AR2656" s="333"/>
      <c r="AS2656" s="333"/>
      <c r="AT2656" s="333"/>
      <c r="AU2656" s="329"/>
      <c r="AV2656" s="341"/>
      <c r="AW2656" s="269" t="s">
        <v>1626</v>
      </c>
      <c r="AX2656" s="269" t="s">
        <v>2869</v>
      </c>
      <c r="AY2656" s="270" t="s">
        <v>695</v>
      </c>
      <c r="AZ2656" s="379"/>
      <c r="BA2656" s="265">
        <v>10.0</v>
      </c>
      <c r="BB2656" s="367"/>
      <c r="BC2656" s="341"/>
      <c r="BD2656" s="308" t="s">
        <v>1844</v>
      </c>
      <c r="BE2656" s="378"/>
      <c r="BF2656" s="274" t="str">
        <f>IFERROR(__xludf.DUMMYFUNCTION("LOWER(Regexreplace(to_text(E2656),""[^A-Za-z0-9]"","""")&amp;""_""&amp;Regexreplace(to_text(F2656),""[^A-Za-z0-9]"",""""))"),"schneider_pm1130h")</f>
        <v>schneider_pm1130h</v>
      </c>
      <c r="BG2656" s="275" t="str">
        <f>IFERROR(__xludf.DUMMYFUNCTION("upper(Regexreplace(to_text(E2656),""[^A-Za-z0-9]"","""")&amp;""-""&amp;Regexreplace(to_text(F2656),""[^A-Za-z0-9]"",""""))"),"SCHNEIDER-PM1130H")</f>
        <v>SCHNEIDER-PM1130H</v>
      </c>
    </row>
    <row r="2657" ht="30.0" customHeight="1">
      <c r="A2657" s="258"/>
      <c r="B2657" s="328" t="s">
        <v>670</v>
      </c>
      <c r="C2657" s="257" t="s">
        <v>8586</v>
      </c>
      <c r="D2657" s="173" t="s">
        <v>8586</v>
      </c>
      <c r="E2657" s="174" t="s">
        <v>8070</v>
      </c>
      <c r="F2657" s="173" t="s">
        <v>8579</v>
      </c>
      <c r="G2657" s="328" t="s">
        <v>673</v>
      </c>
      <c r="H2657" s="328" t="s">
        <v>2863</v>
      </c>
      <c r="I2657" s="258" t="s">
        <v>8072</v>
      </c>
      <c r="J2657" s="259" t="s">
        <v>739</v>
      </c>
      <c r="K2657" s="260" t="s">
        <v>8087</v>
      </c>
      <c r="L2657" s="365"/>
      <c r="M2657" s="329"/>
      <c r="N2657" s="173" t="s">
        <v>679</v>
      </c>
      <c r="O2657" s="173" t="s">
        <v>225</v>
      </c>
      <c r="P2657" s="262" t="str">
        <f t="shared" si="1"/>
        <v>IN-BLR-ANANTA-EM-204_G</v>
      </c>
      <c r="Q2657" s="173" t="s">
        <v>8587</v>
      </c>
      <c r="R2657" s="328" t="str">
        <f>IFS(C2657="","",C2657="n/a","N/A",LEN(C2657),Concatenate("{",char(34),"asset",char(34),":{",char(34),"guid",char(34),":",char(34),Q2657,char(34),",",char(34),"site",char(34),":",char(34),LOWER('2-Building'!$B$4),char(34),",",char(34),"name",char(34),":",char(34),LOWER(C2657),char(34),"}}"))</f>
        <v>{"asset":{"guid":"uuid://09059af9-f625-4b7d-89c5-e34be5563f31","site":"in-blr-ananta","name":"em-204"}}</v>
      </c>
      <c r="S2657" s="366" t="s">
        <v>8581</v>
      </c>
      <c r="T2657" s="330"/>
      <c r="U2657" s="330"/>
      <c r="V2657" s="331"/>
      <c r="W2657" s="332"/>
      <c r="X2657" s="333"/>
      <c r="Y2657" s="33" t="s">
        <v>8076</v>
      </c>
      <c r="Z2657" s="368"/>
      <c r="AA2657" s="333"/>
      <c r="AB2657" s="258">
        <v>6.0</v>
      </c>
      <c r="AC2657" s="333"/>
      <c r="AD2657" s="329"/>
      <c r="AE2657" s="331"/>
      <c r="AF2657" s="336"/>
      <c r="AG2657" s="337"/>
      <c r="AH2657" s="333"/>
      <c r="AI2657" s="333"/>
      <c r="AJ2657" s="333"/>
      <c r="AK2657" s="333"/>
      <c r="AL2657" s="333"/>
      <c r="AM2657" s="338"/>
      <c r="AN2657" s="333"/>
      <c r="AO2657" s="333"/>
      <c r="AP2657" s="333"/>
      <c r="AQ2657" s="333"/>
      <c r="AR2657" s="333"/>
      <c r="AS2657" s="333"/>
      <c r="AT2657" s="333"/>
      <c r="AU2657" s="329"/>
      <c r="AV2657" s="341"/>
      <c r="AW2657" s="269" t="s">
        <v>1626</v>
      </c>
      <c r="AX2657" s="269" t="s">
        <v>2869</v>
      </c>
      <c r="AY2657" s="270" t="s">
        <v>695</v>
      </c>
      <c r="AZ2657" s="379"/>
      <c r="BA2657" s="265">
        <v>10.0</v>
      </c>
      <c r="BB2657" s="367"/>
      <c r="BC2657" s="341"/>
      <c r="BD2657" s="308" t="s">
        <v>1844</v>
      </c>
      <c r="BE2657" s="378"/>
      <c r="BF2657" s="274" t="str">
        <f>IFERROR(__xludf.DUMMYFUNCTION("LOWER(Regexreplace(to_text(E2657),""[^A-Za-z0-9]"","""")&amp;""_""&amp;Regexreplace(to_text(F2657),""[^A-Za-z0-9]"",""""))"),"schneider_pm1130h")</f>
        <v>schneider_pm1130h</v>
      </c>
      <c r="BG2657" s="275" t="str">
        <f>IFERROR(__xludf.DUMMYFUNCTION("upper(Regexreplace(to_text(E2657),""[^A-Za-z0-9]"","""")&amp;""-""&amp;Regexreplace(to_text(F2657),""[^A-Za-z0-9]"",""""))"),"SCHNEIDER-PM1130H")</f>
        <v>SCHNEIDER-PM1130H</v>
      </c>
    </row>
    <row r="2658" ht="30.0" customHeight="1">
      <c r="A2658" s="258"/>
      <c r="B2658" s="328" t="s">
        <v>670</v>
      </c>
      <c r="C2658" s="257" t="s">
        <v>8588</v>
      </c>
      <c r="D2658" s="173" t="s">
        <v>8588</v>
      </c>
      <c r="E2658" s="174" t="s">
        <v>8070</v>
      </c>
      <c r="F2658" s="173" t="s">
        <v>8579</v>
      </c>
      <c r="G2658" s="328" t="s">
        <v>673</v>
      </c>
      <c r="H2658" s="328" t="s">
        <v>2863</v>
      </c>
      <c r="I2658" s="258" t="s">
        <v>8072</v>
      </c>
      <c r="J2658" s="259" t="s">
        <v>739</v>
      </c>
      <c r="K2658" s="260" t="s">
        <v>8087</v>
      </c>
      <c r="L2658" s="365"/>
      <c r="M2658" s="329"/>
      <c r="N2658" s="173" t="s">
        <v>679</v>
      </c>
      <c r="O2658" s="173" t="s">
        <v>225</v>
      </c>
      <c r="P2658" s="262" t="str">
        <f t="shared" si="1"/>
        <v>IN-BLR-ANANTA-EM-205_G</v>
      </c>
      <c r="Q2658" s="173" t="s">
        <v>8589</v>
      </c>
      <c r="R2658" s="328" t="str">
        <f>IFS(C2658="","",C2658="n/a","N/A",LEN(C2658),Concatenate("{",char(34),"asset",char(34),":{",char(34),"guid",char(34),":",char(34),Q2658,char(34),",",char(34),"site",char(34),":",char(34),LOWER('2-Building'!$B$4),char(34),",",char(34),"name",char(34),":",char(34),LOWER(C2658),char(34),"}}"))</f>
        <v>{"asset":{"guid":"uuid://2534484e-061e-4729-bc70-198fa47eb120","site":"in-blr-ananta","name":"em-205"}}</v>
      </c>
      <c r="S2658" s="366" t="s">
        <v>8581</v>
      </c>
      <c r="T2658" s="330"/>
      <c r="U2658" s="330"/>
      <c r="V2658" s="331"/>
      <c r="W2658" s="332"/>
      <c r="X2658" s="333"/>
      <c r="Y2658" s="33" t="s">
        <v>8076</v>
      </c>
      <c r="Z2658" s="368"/>
      <c r="AA2658" s="333"/>
      <c r="AB2658" s="258">
        <v>7.0</v>
      </c>
      <c r="AC2658" s="333"/>
      <c r="AD2658" s="329"/>
      <c r="AE2658" s="331"/>
      <c r="AF2658" s="336"/>
      <c r="AG2658" s="337"/>
      <c r="AH2658" s="333"/>
      <c r="AI2658" s="333"/>
      <c r="AJ2658" s="333"/>
      <c r="AK2658" s="333"/>
      <c r="AL2658" s="333"/>
      <c r="AM2658" s="338"/>
      <c r="AN2658" s="333"/>
      <c r="AO2658" s="333"/>
      <c r="AP2658" s="333"/>
      <c r="AQ2658" s="333"/>
      <c r="AR2658" s="333"/>
      <c r="AS2658" s="333"/>
      <c r="AT2658" s="333"/>
      <c r="AU2658" s="329"/>
      <c r="AV2658" s="341"/>
      <c r="AW2658" s="269" t="s">
        <v>1626</v>
      </c>
      <c r="AX2658" s="269" t="s">
        <v>2869</v>
      </c>
      <c r="AY2658" s="270" t="s">
        <v>695</v>
      </c>
      <c r="AZ2658" s="379"/>
      <c r="BA2658" s="265">
        <v>10.0</v>
      </c>
      <c r="BB2658" s="367"/>
      <c r="BC2658" s="341"/>
      <c r="BD2658" s="308" t="s">
        <v>1844</v>
      </c>
      <c r="BE2658" s="378"/>
      <c r="BF2658" s="274" t="str">
        <f>IFERROR(__xludf.DUMMYFUNCTION("LOWER(Regexreplace(to_text(E2658),""[^A-Za-z0-9]"","""")&amp;""_""&amp;Regexreplace(to_text(F2658),""[^A-Za-z0-9]"",""""))"),"schneider_pm1130h")</f>
        <v>schneider_pm1130h</v>
      </c>
      <c r="BG2658" s="275" t="str">
        <f>IFERROR(__xludf.DUMMYFUNCTION("upper(Regexreplace(to_text(E2658),""[^A-Za-z0-9]"","""")&amp;""-""&amp;Regexreplace(to_text(F2658),""[^A-Za-z0-9]"",""""))"),"SCHNEIDER-PM1130H")</f>
        <v>SCHNEIDER-PM1130H</v>
      </c>
    </row>
    <row r="2659" ht="30.0" customHeight="1">
      <c r="A2659" s="258"/>
      <c r="B2659" s="328" t="s">
        <v>670</v>
      </c>
      <c r="C2659" s="257" t="s">
        <v>8590</v>
      </c>
      <c r="D2659" s="173" t="s">
        <v>8590</v>
      </c>
      <c r="E2659" s="174" t="s">
        <v>8070</v>
      </c>
      <c r="F2659" s="173" t="s">
        <v>8579</v>
      </c>
      <c r="G2659" s="328" t="s">
        <v>673</v>
      </c>
      <c r="H2659" s="328" t="s">
        <v>2863</v>
      </c>
      <c r="I2659" s="258" t="s">
        <v>8072</v>
      </c>
      <c r="J2659" s="259" t="s">
        <v>739</v>
      </c>
      <c r="K2659" s="260" t="s">
        <v>8087</v>
      </c>
      <c r="L2659" s="365"/>
      <c r="M2659" s="329"/>
      <c r="N2659" s="173" t="s">
        <v>679</v>
      </c>
      <c r="O2659" s="173" t="s">
        <v>225</v>
      </c>
      <c r="P2659" s="262" t="str">
        <f t="shared" si="1"/>
        <v>IN-BLR-ANANTA-EM-206_G</v>
      </c>
      <c r="Q2659" s="173" t="s">
        <v>8591</v>
      </c>
      <c r="R2659" s="328" t="str">
        <f>IFS(C2659="","",C2659="n/a","N/A",LEN(C2659),Concatenate("{",char(34),"asset",char(34),":{",char(34),"guid",char(34),":",char(34),Q2659,char(34),",",char(34),"site",char(34),":",char(34),LOWER('2-Building'!$B$4),char(34),",",char(34),"name",char(34),":",char(34),LOWER(C2659),char(34),"}}"))</f>
        <v>{"asset":{"guid":"uuid://5c6d86fd-8ba8-490b-ad66-37e46416538f","site":"in-blr-ananta","name":"em-206"}}</v>
      </c>
      <c r="S2659" s="366" t="s">
        <v>8581</v>
      </c>
      <c r="T2659" s="330"/>
      <c r="U2659" s="330"/>
      <c r="V2659" s="331"/>
      <c r="W2659" s="332"/>
      <c r="X2659" s="333"/>
      <c r="Y2659" s="33" t="s">
        <v>8076</v>
      </c>
      <c r="Z2659" s="368"/>
      <c r="AA2659" s="333"/>
      <c r="AB2659" s="258">
        <v>8.0</v>
      </c>
      <c r="AC2659" s="333"/>
      <c r="AD2659" s="329"/>
      <c r="AE2659" s="331"/>
      <c r="AF2659" s="336"/>
      <c r="AG2659" s="337"/>
      <c r="AH2659" s="333"/>
      <c r="AI2659" s="333"/>
      <c r="AJ2659" s="333"/>
      <c r="AK2659" s="333"/>
      <c r="AL2659" s="333"/>
      <c r="AM2659" s="338"/>
      <c r="AN2659" s="333"/>
      <c r="AO2659" s="333"/>
      <c r="AP2659" s="333"/>
      <c r="AQ2659" s="333"/>
      <c r="AR2659" s="333"/>
      <c r="AS2659" s="333"/>
      <c r="AT2659" s="333"/>
      <c r="AU2659" s="329"/>
      <c r="AV2659" s="341"/>
      <c r="AW2659" s="269" t="s">
        <v>1626</v>
      </c>
      <c r="AX2659" s="269" t="s">
        <v>2869</v>
      </c>
      <c r="AY2659" s="270" t="s">
        <v>695</v>
      </c>
      <c r="AZ2659" s="379"/>
      <c r="BA2659" s="265">
        <v>10.0</v>
      </c>
      <c r="BB2659" s="367"/>
      <c r="BC2659" s="341"/>
      <c r="BD2659" s="308" t="s">
        <v>1844</v>
      </c>
      <c r="BE2659" s="378"/>
      <c r="BF2659" s="274" t="str">
        <f>IFERROR(__xludf.DUMMYFUNCTION("LOWER(Regexreplace(to_text(E2659),""[^A-Za-z0-9]"","""")&amp;""_""&amp;Regexreplace(to_text(F2659),""[^A-Za-z0-9]"",""""))"),"schneider_pm1130h")</f>
        <v>schneider_pm1130h</v>
      </c>
      <c r="BG2659" s="275" t="str">
        <f>IFERROR(__xludf.DUMMYFUNCTION("upper(Regexreplace(to_text(E2659),""[^A-Za-z0-9]"","""")&amp;""-""&amp;Regexreplace(to_text(F2659),""[^A-Za-z0-9]"",""""))"),"SCHNEIDER-PM1130H")</f>
        <v>SCHNEIDER-PM1130H</v>
      </c>
    </row>
    <row r="2660" ht="30.0" customHeight="1">
      <c r="A2660" s="258"/>
      <c r="B2660" s="328" t="s">
        <v>670</v>
      </c>
      <c r="C2660" s="257" t="s">
        <v>8592</v>
      </c>
      <c r="D2660" s="173" t="s">
        <v>8592</v>
      </c>
      <c r="E2660" s="174" t="s">
        <v>8070</v>
      </c>
      <c r="F2660" s="173" t="s">
        <v>8579</v>
      </c>
      <c r="G2660" s="328" t="s">
        <v>673</v>
      </c>
      <c r="H2660" s="328" t="s">
        <v>2863</v>
      </c>
      <c r="I2660" s="258" t="s">
        <v>8072</v>
      </c>
      <c r="J2660" s="259" t="s">
        <v>739</v>
      </c>
      <c r="K2660" s="260" t="s">
        <v>8087</v>
      </c>
      <c r="L2660" s="365"/>
      <c r="M2660" s="329"/>
      <c r="N2660" s="173" t="s">
        <v>679</v>
      </c>
      <c r="O2660" s="173" t="s">
        <v>225</v>
      </c>
      <c r="P2660" s="262" t="str">
        <f t="shared" si="1"/>
        <v>IN-BLR-ANANTA-EM-207_G</v>
      </c>
      <c r="Q2660" s="173" t="s">
        <v>8593</v>
      </c>
      <c r="R2660" s="328" t="str">
        <f>IFS(C2660="","",C2660="n/a","N/A",LEN(C2660),Concatenate("{",char(34),"asset",char(34),":{",char(34),"guid",char(34),":",char(34),Q2660,char(34),",",char(34),"site",char(34),":",char(34),LOWER('2-Building'!$B$4),char(34),",",char(34),"name",char(34),":",char(34),LOWER(C2660),char(34),"}}"))</f>
        <v>{"asset":{"guid":"uuid://97c8dfac-2b81-4417-a7b6-a550cbad52cb","site":"in-blr-ananta","name":"em-207"}}</v>
      </c>
      <c r="S2660" s="366" t="s">
        <v>8581</v>
      </c>
      <c r="T2660" s="330"/>
      <c r="U2660" s="330"/>
      <c r="V2660" s="331"/>
      <c r="W2660" s="332"/>
      <c r="X2660" s="333"/>
      <c r="Y2660" s="33" t="s">
        <v>8076</v>
      </c>
      <c r="Z2660" s="368"/>
      <c r="AA2660" s="333"/>
      <c r="AB2660" s="258">
        <v>9.0</v>
      </c>
      <c r="AC2660" s="333"/>
      <c r="AD2660" s="329"/>
      <c r="AE2660" s="331"/>
      <c r="AF2660" s="336"/>
      <c r="AG2660" s="337"/>
      <c r="AH2660" s="333"/>
      <c r="AI2660" s="333"/>
      <c r="AJ2660" s="333"/>
      <c r="AK2660" s="333"/>
      <c r="AL2660" s="333"/>
      <c r="AM2660" s="338"/>
      <c r="AN2660" s="333"/>
      <c r="AO2660" s="333"/>
      <c r="AP2660" s="333"/>
      <c r="AQ2660" s="333"/>
      <c r="AR2660" s="333"/>
      <c r="AS2660" s="333"/>
      <c r="AT2660" s="333"/>
      <c r="AU2660" s="329"/>
      <c r="AV2660" s="341"/>
      <c r="AW2660" s="269" t="s">
        <v>1626</v>
      </c>
      <c r="AX2660" s="269" t="s">
        <v>2869</v>
      </c>
      <c r="AY2660" s="270" t="s">
        <v>695</v>
      </c>
      <c r="AZ2660" s="379"/>
      <c r="BA2660" s="265">
        <v>10.0</v>
      </c>
      <c r="BB2660" s="367"/>
      <c r="BC2660" s="341"/>
      <c r="BD2660" s="308" t="s">
        <v>1844</v>
      </c>
      <c r="BE2660" s="378"/>
      <c r="BF2660" s="274" t="str">
        <f>IFERROR(__xludf.DUMMYFUNCTION("LOWER(Regexreplace(to_text(E2660),""[^A-Za-z0-9]"","""")&amp;""_""&amp;Regexreplace(to_text(F2660),""[^A-Za-z0-9]"",""""))"),"schneider_pm1130h")</f>
        <v>schneider_pm1130h</v>
      </c>
      <c r="BG2660" s="275" t="str">
        <f>IFERROR(__xludf.DUMMYFUNCTION("upper(Regexreplace(to_text(E2660),""[^A-Za-z0-9]"","""")&amp;""-""&amp;Regexreplace(to_text(F2660),""[^A-Za-z0-9]"",""""))"),"SCHNEIDER-PM1130H")</f>
        <v>SCHNEIDER-PM1130H</v>
      </c>
    </row>
    <row r="2661" ht="30.0" customHeight="1">
      <c r="A2661" s="258"/>
      <c r="B2661" s="328" t="s">
        <v>670</v>
      </c>
      <c r="C2661" s="257" t="s">
        <v>8594</v>
      </c>
      <c r="D2661" s="173" t="s">
        <v>8594</v>
      </c>
      <c r="E2661" s="174" t="s">
        <v>8070</v>
      </c>
      <c r="F2661" s="173" t="s">
        <v>8579</v>
      </c>
      <c r="G2661" s="328" t="s">
        <v>673</v>
      </c>
      <c r="H2661" s="328" t="s">
        <v>2863</v>
      </c>
      <c r="I2661" s="258" t="s">
        <v>8072</v>
      </c>
      <c r="J2661" s="259" t="s">
        <v>739</v>
      </c>
      <c r="K2661" s="260" t="s">
        <v>8087</v>
      </c>
      <c r="L2661" s="365"/>
      <c r="M2661" s="329"/>
      <c r="N2661" s="173" t="s">
        <v>679</v>
      </c>
      <c r="O2661" s="173" t="s">
        <v>225</v>
      </c>
      <c r="P2661" s="262" t="str">
        <f t="shared" si="1"/>
        <v>IN-BLR-ANANTA-EM-208_G</v>
      </c>
      <c r="Q2661" s="173" t="s">
        <v>8595</v>
      </c>
      <c r="R2661" s="328" t="str">
        <f>IFS(C2661="","",C2661="n/a","N/A",LEN(C2661),Concatenate("{",char(34),"asset",char(34),":{",char(34),"guid",char(34),":",char(34),Q2661,char(34),",",char(34),"site",char(34),":",char(34),LOWER('2-Building'!$B$4),char(34),",",char(34),"name",char(34),":",char(34),LOWER(C2661),char(34),"}}"))</f>
        <v>{"asset":{"guid":"uuid://449faeea-e7f8-450e-ba5e-892acb53021d","site":"in-blr-ananta","name":"em-208"}}</v>
      </c>
      <c r="S2661" s="366" t="s">
        <v>8581</v>
      </c>
      <c r="T2661" s="330"/>
      <c r="U2661" s="330"/>
      <c r="V2661" s="331"/>
      <c r="W2661" s="332"/>
      <c r="X2661" s="333"/>
      <c r="Y2661" s="33" t="s">
        <v>8076</v>
      </c>
      <c r="Z2661" s="368"/>
      <c r="AA2661" s="333"/>
      <c r="AB2661" s="258">
        <v>10.0</v>
      </c>
      <c r="AC2661" s="333"/>
      <c r="AD2661" s="329"/>
      <c r="AE2661" s="331"/>
      <c r="AF2661" s="336"/>
      <c r="AG2661" s="337"/>
      <c r="AH2661" s="333"/>
      <c r="AI2661" s="333"/>
      <c r="AJ2661" s="333"/>
      <c r="AK2661" s="333"/>
      <c r="AL2661" s="333"/>
      <c r="AM2661" s="338"/>
      <c r="AN2661" s="333"/>
      <c r="AO2661" s="333"/>
      <c r="AP2661" s="333"/>
      <c r="AQ2661" s="333"/>
      <c r="AR2661" s="333"/>
      <c r="AS2661" s="333"/>
      <c r="AT2661" s="333"/>
      <c r="AU2661" s="329"/>
      <c r="AV2661" s="341"/>
      <c r="AW2661" s="269" t="s">
        <v>1626</v>
      </c>
      <c r="AX2661" s="269" t="s">
        <v>2869</v>
      </c>
      <c r="AY2661" s="270" t="s">
        <v>695</v>
      </c>
      <c r="AZ2661" s="379"/>
      <c r="BA2661" s="265">
        <v>10.0</v>
      </c>
      <c r="BB2661" s="367"/>
      <c r="BC2661" s="341"/>
      <c r="BD2661" s="308" t="s">
        <v>1844</v>
      </c>
      <c r="BE2661" s="378"/>
      <c r="BF2661" s="274" t="str">
        <f>IFERROR(__xludf.DUMMYFUNCTION("LOWER(Regexreplace(to_text(E2661),""[^A-Za-z0-9]"","""")&amp;""_""&amp;Regexreplace(to_text(F2661),""[^A-Za-z0-9]"",""""))"),"schneider_pm1130h")</f>
        <v>schneider_pm1130h</v>
      </c>
      <c r="BG2661" s="275" t="str">
        <f>IFERROR(__xludf.DUMMYFUNCTION("upper(Regexreplace(to_text(E2661),""[^A-Za-z0-9]"","""")&amp;""-""&amp;Regexreplace(to_text(F2661),""[^A-Za-z0-9]"",""""))"),"SCHNEIDER-PM1130H")</f>
        <v>SCHNEIDER-PM1130H</v>
      </c>
    </row>
    <row r="2662" ht="30.0" customHeight="1">
      <c r="A2662" s="258"/>
      <c r="B2662" s="328" t="s">
        <v>670</v>
      </c>
      <c r="C2662" s="257" t="s">
        <v>8596</v>
      </c>
      <c r="D2662" s="173" t="s">
        <v>8596</v>
      </c>
      <c r="E2662" s="174" t="s">
        <v>8070</v>
      </c>
      <c r="F2662" s="173" t="s">
        <v>8579</v>
      </c>
      <c r="G2662" s="328" t="s">
        <v>673</v>
      </c>
      <c r="H2662" s="328" t="s">
        <v>2863</v>
      </c>
      <c r="I2662" s="258" t="s">
        <v>8072</v>
      </c>
      <c r="J2662" s="259" t="s">
        <v>739</v>
      </c>
      <c r="K2662" s="260" t="s">
        <v>8087</v>
      </c>
      <c r="L2662" s="365"/>
      <c r="M2662" s="329"/>
      <c r="N2662" s="173" t="s">
        <v>679</v>
      </c>
      <c r="O2662" s="173" t="s">
        <v>225</v>
      </c>
      <c r="P2662" s="262" t="str">
        <f t="shared" si="1"/>
        <v>IN-BLR-ANANTA-EM-209_G</v>
      </c>
      <c r="Q2662" s="173" t="s">
        <v>8597</v>
      </c>
      <c r="R2662" s="328" t="str">
        <f>IFS(C2662="","",C2662="n/a","N/A",LEN(C2662),Concatenate("{",char(34),"asset",char(34),":{",char(34),"guid",char(34),":",char(34),Q2662,char(34),",",char(34),"site",char(34),":",char(34),LOWER('2-Building'!$B$4),char(34),",",char(34),"name",char(34),":",char(34),LOWER(C2662),char(34),"}}"))</f>
        <v>{"asset":{"guid":"uuid://858ec68d-9265-4952-9a32-42e547d0fb3f","site":"in-blr-ananta","name":"em-209"}}</v>
      </c>
      <c r="S2662" s="366" t="s">
        <v>8581</v>
      </c>
      <c r="T2662" s="330"/>
      <c r="U2662" s="330"/>
      <c r="V2662" s="331"/>
      <c r="W2662" s="332"/>
      <c r="X2662" s="333"/>
      <c r="Y2662" s="33" t="s">
        <v>8076</v>
      </c>
      <c r="Z2662" s="368"/>
      <c r="AA2662" s="333"/>
      <c r="AB2662" s="258">
        <v>11.0</v>
      </c>
      <c r="AC2662" s="333"/>
      <c r="AD2662" s="329"/>
      <c r="AE2662" s="331"/>
      <c r="AF2662" s="336"/>
      <c r="AG2662" s="337"/>
      <c r="AH2662" s="333"/>
      <c r="AI2662" s="333"/>
      <c r="AJ2662" s="333"/>
      <c r="AK2662" s="333"/>
      <c r="AL2662" s="333"/>
      <c r="AM2662" s="338"/>
      <c r="AN2662" s="333"/>
      <c r="AO2662" s="333"/>
      <c r="AP2662" s="333"/>
      <c r="AQ2662" s="333"/>
      <c r="AR2662" s="333"/>
      <c r="AS2662" s="333"/>
      <c r="AT2662" s="333"/>
      <c r="AU2662" s="329"/>
      <c r="AV2662" s="341"/>
      <c r="AW2662" s="269" t="s">
        <v>1626</v>
      </c>
      <c r="AX2662" s="269" t="s">
        <v>2869</v>
      </c>
      <c r="AY2662" s="270" t="s">
        <v>695</v>
      </c>
      <c r="AZ2662" s="379"/>
      <c r="BA2662" s="265">
        <v>10.0</v>
      </c>
      <c r="BB2662" s="367"/>
      <c r="BC2662" s="341"/>
      <c r="BD2662" s="308" t="s">
        <v>1844</v>
      </c>
      <c r="BE2662" s="378"/>
      <c r="BF2662" s="274" t="str">
        <f>IFERROR(__xludf.DUMMYFUNCTION("LOWER(Regexreplace(to_text(E2662),""[^A-Za-z0-9]"","""")&amp;""_""&amp;Regexreplace(to_text(F2662),""[^A-Za-z0-9]"",""""))"),"schneider_pm1130h")</f>
        <v>schneider_pm1130h</v>
      </c>
      <c r="BG2662" s="275" t="str">
        <f>IFERROR(__xludf.DUMMYFUNCTION("upper(Regexreplace(to_text(E2662),""[^A-Za-z0-9]"","""")&amp;""-""&amp;Regexreplace(to_text(F2662),""[^A-Za-z0-9]"",""""))"),"SCHNEIDER-PM1130H")</f>
        <v>SCHNEIDER-PM1130H</v>
      </c>
    </row>
    <row r="2663" ht="30.0" customHeight="1">
      <c r="A2663" s="258"/>
      <c r="B2663" s="328" t="s">
        <v>670</v>
      </c>
      <c r="C2663" s="257" t="s">
        <v>8598</v>
      </c>
      <c r="D2663" s="173" t="s">
        <v>8598</v>
      </c>
      <c r="E2663" s="174" t="s">
        <v>8070</v>
      </c>
      <c r="F2663" s="173" t="s">
        <v>8579</v>
      </c>
      <c r="G2663" s="328" t="s">
        <v>673</v>
      </c>
      <c r="H2663" s="328" t="s">
        <v>2863</v>
      </c>
      <c r="I2663" s="258" t="s">
        <v>8072</v>
      </c>
      <c r="J2663" s="259" t="s">
        <v>739</v>
      </c>
      <c r="K2663" s="260" t="s">
        <v>8087</v>
      </c>
      <c r="L2663" s="365"/>
      <c r="M2663" s="329"/>
      <c r="N2663" s="173" t="s">
        <v>679</v>
      </c>
      <c r="O2663" s="173" t="s">
        <v>225</v>
      </c>
      <c r="P2663" s="262" t="str">
        <f t="shared" si="1"/>
        <v>IN-BLR-ANANTA-EM-210_G</v>
      </c>
      <c r="Q2663" s="173" t="s">
        <v>8599</v>
      </c>
      <c r="R2663" s="328" t="str">
        <f>IFS(C2663="","",C2663="n/a","N/A",LEN(C2663),Concatenate("{",char(34),"asset",char(34),":{",char(34),"guid",char(34),":",char(34),Q2663,char(34),",",char(34),"site",char(34),":",char(34),LOWER('2-Building'!$B$4),char(34),",",char(34),"name",char(34),":",char(34),LOWER(C2663),char(34),"}}"))</f>
        <v>{"asset":{"guid":"uuid://d14b21d2-830c-4a8d-839e-d90a36d98836","site":"in-blr-ananta","name":"em-210"}}</v>
      </c>
      <c r="S2663" s="366" t="s">
        <v>8581</v>
      </c>
      <c r="T2663" s="330"/>
      <c r="U2663" s="330"/>
      <c r="V2663" s="331"/>
      <c r="W2663" s="332"/>
      <c r="X2663" s="333"/>
      <c r="Y2663" s="33" t="s">
        <v>8076</v>
      </c>
      <c r="Z2663" s="368"/>
      <c r="AA2663" s="333"/>
      <c r="AB2663" s="258">
        <v>12.0</v>
      </c>
      <c r="AC2663" s="333"/>
      <c r="AD2663" s="329"/>
      <c r="AE2663" s="331"/>
      <c r="AF2663" s="336"/>
      <c r="AG2663" s="337"/>
      <c r="AH2663" s="333"/>
      <c r="AI2663" s="333"/>
      <c r="AJ2663" s="333"/>
      <c r="AK2663" s="333"/>
      <c r="AL2663" s="333"/>
      <c r="AM2663" s="338"/>
      <c r="AN2663" s="333"/>
      <c r="AO2663" s="333"/>
      <c r="AP2663" s="333"/>
      <c r="AQ2663" s="333"/>
      <c r="AR2663" s="333"/>
      <c r="AS2663" s="333"/>
      <c r="AT2663" s="333"/>
      <c r="AU2663" s="329"/>
      <c r="AV2663" s="341"/>
      <c r="AW2663" s="269" t="s">
        <v>1626</v>
      </c>
      <c r="AX2663" s="269" t="s">
        <v>2869</v>
      </c>
      <c r="AY2663" s="270" t="s">
        <v>695</v>
      </c>
      <c r="AZ2663" s="379"/>
      <c r="BA2663" s="265">
        <v>10.0</v>
      </c>
      <c r="BB2663" s="367"/>
      <c r="BC2663" s="341"/>
      <c r="BD2663" s="308" t="s">
        <v>1844</v>
      </c>
      <c r="BE2663" s="378"/>
      <c r="BF2663" s="274" t="str">
        <f>IFERROR(__xludf.DUMMYFUNCTION("LOWER(Regexreplace(to_text(E2663),""[^A-Za-z0-9]"","""")&amp;""_""&amp;Regexreplace(to_text(F2663),""[^A-Za-z0-9]"",""""))"),"schneider_pm1130h")</f>
        <v>schneider_pm1130h</v>
      </c>
      <c r="BG2663" s="275" t="str">
        <f>IFERROR(__xludf.DUMMYFUNCTION("upper(Regexreplace(to_text(E2663),""[^A-Za-z0-9]"","""")&amp;""-""&amp;Regexreplace(to_text(F2663),""[^A-Za-z0-9]"",""""))"),"SCHNEIDER-PM1130H")</f>
        <v>SCHNEIDER-PM1130H</v>
      </c>
    </row>
    <row r="2664" ht="30.0" customHeight="1">
      <c r="A2664" s="258"/>
      <c r="B2664" s="328" t="s">
        <v>670</v>
      </c>
      <c r="C2664" s="257" t="s">
        <v>8600</v>
      </c>
      <c r="D2664" s="173" t="s">
        <v>8600</v>
      </c>
      <c r="E2664" s="174" t="s">
        <v>8070</v>
      </c>
      <c r="F2664" s="173" t="s">
        <v>8579</v>
      </c>
      <c r="G2664" s="328" t="s">
        <v>673</v>
      </c>
      <c r="H2664" s="328" t="s">
        <v>2863</v>
      </c>
      <c r="I2664" s="258" t="s">
        <v>8072</v>
      </c>
      <c r="J2664" s="259" t="s">
        <v>739</v>
      </c>
      <c r="K2664" s="260" t="s">
        <v>8087</v>
      </c>
      <c r="L2664" s="365"/>
      <c r="M2664" s="329"/>
      <c r="N2664" s="173" t="s">
        <v>679</v>
      </c>
      <c r="O2664" s="173" t="s">
        <v>225</v>
      </c>
      <c r="P2664" s="262" t="str">
        <f t="shared" si="1"/>
        <v>IN-BLR-ANANTA-EM-211_G</v>
      </c>
      <c r="Q2664" s="173" t="s">
        <v>8601</v>
      </c>
      <c r="R2664" s="328" t="str">
        <f>IFS(C2664="","",C2664="n/a","N/A",LEN(C2664),Concatenate("{",char(34),"asset",char(34),":{",char(34),"guid",char(34),":",char(34),Q2664,char(34),",",char(34),"site",char(34),":",char(34),LOWER('2-Building'!$B$4),char(34),",",char(34),"name",char(34),":",char(34),LOWER(C2664),char(34),"}}"))</f>
        <v>{"asset":{"guid":"uuid://eb024ac2-c85c-41f1-afbf-d10f0468d7f0","site":"in-blr-ananta","name":"em-211"}}</v>
      </c>
      <c r="S2664" s="366" t="s">
        <v>8581</v>
      </c>
      <c r="T2664" s="330"/>
      <c r="U2664" s="330"/>
      <c r="V2664" s="331"/>
      <c r="W2664" s="332"/>
      <c r="X2664" s="333"/>
      <c r="Y2664" s="33" t="s">
        <v>8076</v>
      </c>
      <c r="Z2664" s="368"/>
      <c r="AA2664" s="333"/>
      <c r="AB2664" s="258">
        <v>13.0</v>
      </c>
      <c r="AC2664" s="333"/>
      <c r="AD2664" s="329"/>
      <c r="AE2664" s="331"/>
      <c r="AF2664" s="336"/>
      <c r="AG2664" s="337"/>
      <c r="AH2664" s="333"/>
      <c r="AI2664" s="333"/>
      <c r="AJ2664" s="333"/>
      <c r="AK2664" s="333"/>
      <c r="AL2664" s="333"/>
      <c r="AM2664" s="338"/>
      <c r="AN2664" s="333"/>
      <c r="AO2664" s="333"/>
      <c r="AP2664" s="333"/>
      <c r="AQ2664" s="333"/>
      <c r="AR2664" s="333"/>
      <c r="AS2664" s="333"/>
      <c r="AT2664" s="333"/>
      <c r="AU2664" s="329"/>
      <c r="AV2664" s="341"/>
      <c r="AW2664" s="269" t="s">
        <v>1626</v>
      </c>
      <c r="AX2664" s="269" t="s">
        <v>2869</v>
      </c>
      <c r="AY2664" s="270" t="s">
        <v>695</v>
      </c>
      <c r="AZ2664" s="379"/>
      <c r="BA2664" s="265">
        <v>10.0</v>
      </c>
      <c r="BB2664" s="367"/>
      <c r="BC2664" s="341"/>
      <c r="BD2664" s="308" t="s">
        <v>1844</v>
      </c>
      <c r="BE2664" s="378"/>
      <c r="BF2664" s="274" t="str">
        <f>IFERROR(__xludf.DUMMYFUNCTION("LOWER(Regexreplace(to_text(E2664),""[^A-Za-z0-9]"","""")&amp;""_""&amp;Regexreplace(to_text(F2664),""[^A-Za-z0-9]"",""""))"),"schneider_pm1130h")</f>
        <v>schneider_pm1130h</v>
      </c>
      <c r="BG2664" s="275" t="str">
        <f>IFERROR(__xludf.DUMMYFUNCTION("upper(Regexreplace(to_text(E2664),""[^A-Za-z0-9]"","""")&amp;""-""&amp;Regexreplace(to_text(F2664),""[^A-Za-z0-9]"",""""))"),"SCHNEIDER-PM1130H")</f>
        <v>SCHNEIDER-PM1130H</v>
      </c>
    </row>
    <row r="2665" ht="30.0" customHeight="1">
      <c r="A2665" s="258"/>
      <c r="B2665" s="328" t="s">
        <v>670</v>
      </c>
      <c r="C2665" s="257" t="s">
        <v>8602</v>
      </c>
      <c r="D2665" s="173" t="s">
        <v>8602</v>
      </c>
      <c r="E2665" s="174" t="s">
        <v>8070</v>
      </c>
      <c r="F2665" s="173" t="s">
        <v>8579</v>
      </c>
      <c r="G2665" s="328" t="s">
        <v>673</v>
      </c>
      <c r="H2665" s="328" t="s">
        <v>2863</v>
      </c>
      <c r="I2665" s="258" t="s">
        <v>8072</v>
      </c>
      <c r="J2665" s="259" t="s">
        <v>739</v>
      </c>
      <c r="K2665" s="260" t="s">
        <v>8087</v>
      </c>
      <c r="L2665" s="365"/>
      <c r="M2665" s="329"/>
      <c r="N2665" s="173" t="s">
        <v>679</v>
      </c>
      <c r="O2665" s="173" t="s">
        <v>225</v>
      </c>
      <c r="P2665" s="262" t="str">
        <f t="shared" si="1"/>
        <v>IN-BLR-ANANTA-EM-212_G</v>
      </c>
      <c r="Q2665" s="173" t="s">
        <v>8603</v>
      </c>
      <c r="R2665" s="328" t="str">
        <f>IFS(C2665="","",C2665="n/a","N/A",LEN(C2665),Concatenate("{",char(34),"asset",char(34),":{",char(34),"guid",char(34),":",char(34),Q2665,char(34),",",char(34),"site",char(34),":",char(34),LOWER('2-Building'!$B$4),char(34),",",char(34),"name",char(34),":",char(34),LOWER(C2665),char(34),"}}"))</f>
        <v>{"asset":{"guid":"uuid://ac86eaa0-c5df-49f8-86a3-2d9390c4f6bf","site":"in-blr-ananta","name":"em-212"}}</v>
      </c>
      <c r="S2665" s="366" t="s">
        <v>8581</v>
      </c>
      <c r="T2665" s="330"/>
      <c r="U2665" s="330"/>
      <c r="V2665" s="331"/>
      <c r="W2665" s="332"/>
      <c r="X2665" s="333"/>
      <c r="Y2665" s="33" t="s">
        <v>8076</v>
      </c>
      <c r="Z2665" s="368"/>
      <c r="AA2665" s="333"/>
      <c r="AB2665" s="258">
        <v>14.0</v>
      </c>
      <c r="AC2665" s="333"/>
      <c r="AD2665" s="329"/>
      <c r="AE2665" s="331"/>
      <c r="AF2665" s="336"/>
      <c r="AG2665" s="337"/>
      <c r="AH2665" s="333"/>
      <c r="AI2665" s="333"/>
      <c r="AJ2665" s="333"/>
      <c r="AK2665" s="333"/>
      <c r="AL2665" s="333"/>
      <c r="AM2665" s="338"/>
      <c r="AN2665" s="333"/>
      <c r="AO2665" s="333"/>
      <c r="AP2665" s="333"/>
      <c r="AQ2665" s="333"/>
      <c r="AR2665" s="333"/>
      <c r="AS2665" s="333"/>
      <c r="AT2665" s="333"/>
      <c r="AU2665" s="329"/>
      <c r="AV2665" s="341"/>
      <c r="AW2665" s="269" t="s">
        <v>1626</v>
      </c>
      <c r="AX2665" s="269" t="s">
        <v>2869</v>
      </c>
      <c r="AY2665" s="270" t="s">
        <v>695</v>
      </c>
      <c r="AZ2665" s="379"/>
      <c r="BA2665" s="265">
        <v>10.0</v>
      </c>
      <c r="BB2665" s="367"/>
      <c r="BC2665" s="341"/>
      <c r="BD2665" s="308" t="s">
        <v>1844</v>
      </c>
      <c r="BE2665" s="378"/>
      <c r="BF2665" s="274" t="str">
        <f>IFERROR(__xludf.DUMMYFUNCTION("LOWER(Regexreplace(to_text(E2665),""[^A-Za-z0-9]"","""")&amp;""_""&amp;Regexreplace(to_text(F2665),""[^A-Za-z0-9]"",""""))"),"schneider_pm1130h")</f>
        <v>schneider_pm1130h</v>
      </c>
      <c r="BG2665" s="275" t="str">
        <f>IFERROR(__xludf.DUMMYFUNCTION("upper(Regexreplace(to_text(E2665),""[^A-Za-z0-9]"","""")&amp;""-""&amp;Regexreplace(to_text(F2665),""[^A-Za-z0-9]"",""""))"),"SCHNEIDER-PM1130H")</f>
        <v>SCHNEIDER-PM1130H</v>
      </c>
    </row>
    <row r="2666" ht="30.0" customHeight="1">
      <c r="A2666" s="258"/>
      <c r="B2666" s="328" t="s">
        <v>670</v>
      </c>
      <c r="C2666" s="257" t="s">
        <v>8604</v>
      </c>
      <c r="D2666" s="173" t="s">
        <v>8604</v>
      </c>
      <c r="E2666" s="174" t="s">
        <v>8070</v>
      </c>
      <c r="F2666" s="173" t="s">
        <v>8579</v>
      </c>
      <c r="G2666" s="328" t="s">
        <v>673</v>
      </c>
      <c r="H2666" s="328" t="s">
        <v>2863</v>
      </c>
      <c r="I2666" s="258" t="s">
        <v>8072</v>
      </c>
      <c r="J2666" s="259" t="s">
        <v>739</v>
      </c>
      <c r="K2666" s="260" t="s">
        <v>8087</v>
      </c>
      <c r="L2666" s="365"/>
      <c r="M2666" s="329"/>
      <c r="N2666" s="173" t="s">
        <v>679</v>
      </c>
      <c r="O2666" s="173" t="s">
        <v>225</v>
      </c>
      <c r="P2666" s="262" t="str">
        <f t="shared" si="1"/>
        <v>IN-BLR-ANANTA-EM-213_G</v>
      </c>
      <c r="Q2666" s="173" t="s">
        <v>8605</v>
      </c>
      <c r="R2666" s="328" t="str">
        <f>IFS(C2666="","",C2666="n/a","N/A",LEN(C2666),Concatenate("{",char(34),"asset",char(34),":{",char(34),"guid",char(34),":",char(34),Q2666,char(34),",",char(34),"site",char(34),":",char(34),LOWER('2-Building'!$B$4),char(34),",",char(34),"name",char(34),":",char(34),LOWER(C2666),char(34),"}}"))</f>
        <v>{"asset":{"guid":"uuid://7d5241e5-7d35-4c84-a58b-93e3501f4009","site":"in-blr-ananta","name":"em-213"}}</v>
      </c>
      <c r="S2666" s="366" t="s">
        <v>8581</v>
      </c>
      <c r="T2666" s="330"/>
      <c r="U2666" s="330"/>
      <c r="V2666" s="331"/>
      <c r="W2666" s="332"/>
      <c r="X2666" s="333"/>
      <c r="Y2666" s="33" t="s">
        <v>8076</v>
      </c>
      <c r="Z2666" s="368"/>
      <c r="AA2666" s="333"/>
      <c r="AB2666" s="258">
        <v>15.0</v>
      </c>
      <c r="AC2666" s="333"/>
      <c r="AD2666" s="329"/>
      <c r="AE2666" s="331"/>
      <c r="AF2666" s="336"/>
      <c r="AG2666" s="337"/>
      <c r="AH2666" s="333"/>
      <c r="AI2666" s="333"/>
      <c r="AJ2666" s="333"/>
      <c r="AK2666" s="333"/>
      <c r="AL2666" s="333"/>
      <c r="AM2666" s="338"/>
      <c r="AN2666" s="333"/>
      <c r="AO2666" s="333"/>
      <c r="AP2666" s="333"/>
      <c r="AQ2666" s="333"/>
      <c r="AR2666" s="333"/>
      <c r="AS2666" s="333"/>
      <c r="AT2666" s="333"/>
      <c r="AU2666" s="329"/>
      <c r="AV2666" s="341"/>
      <c r="AW2666" s="269" t="s">
        <v>1626</v>
      </c>
      <c r="AX2666" s="269" t="s">
        <v>2869</v>
      </c>
      <c r="AY2666" s="270" t="s">
        <v>695</v>
      </c>
      <c r="AZ2666" s="379"/>
      <c r="BA2666" s="265">
        <v>10.0</v>
      </c>
      <c r="BB2666" s="367"/>
      <c r="BC2666" s="341"/>
      <c r="BD2666" s="308" t="s">
        <v>1844</v>
      </c>
      <c r="BE2666" s="378"/>
      <c r="BF2666" s="274" t="str">
        <f>IFERROR(__xludf.DUMMYFUNCTION("LOWER(Regexreplace(to_text(E2666),""[^A-Za-z0-9]"","""")&amp;""_""&amp;Regexreplace(to_text(F2666),""[^A-Za-z0-9]"",""""))"),"schneider_pm1130h")</f>
        <v>schneider_pm1130h</v>
      </c>
      <c r="BG2666" s="275" t="str">
        <f>IFERROR(__xludf.DUMMYFUNCTION("upper(Regexreplace(to_text(E2666),""[^A-Za-z0-9]"","""")&amp;""-""&amp;Regexreplace(to_text(F2666),""[^A-Za-z0-9]"",""""))"),"SCHNEIDER-PM1130H")</f>
        <v>SCHNEIDER-PM1130H</v>
      </c>
    </row>
    <row r="2667" ht="30.0" customHeight="1">
      <c r="A2667" s="258"/>
      <c r="B2667" s="328" t="s">
        <v>670</v>
      </c>
      <c r="C2667" s="257" t="s">
        <v>8606</v>
      </c>
      <c r="D2667" s="173" t="s">
        <v>8606</v>
      </c>
      <c r="E2667" s="174" t="s">
        <v>8070</v>
      </c>
      <c r="F2667" s="173" t="s">
        <v>8579</v>
      </c>
      <c r="G2667" s="328" t="s">
        <v>673</v>
      </c>
      <c r="H2667" s="328" t="s">
        <v>2863</v>
      </c>
      <c r="I2667" s="258" t="s">
        <v>8072</v>
      </c>
      <c r="J2667" s="259" t="s">
        <v>739</v>
      </c>
      <c r="K2667" s="260" t="s">
        <v>8087</v>
      </c>
      <c r="L2667" s="365"/>
      <c r="M2667" s="329"/>
      <c r="N2667" s="173" t="s">
        <v>679</v>
      </c>
      <c r="O2667" s="173" t="s">
        <v>225</v>
      </c>
      <c r="P2667" s="262" t="str">
        <f t="shared" si="1"/>
        <v>IN-BLR-ANANTA-EM-214_G</v>
      </c>
      <c r="Q2667" s="173" t="s">
        <v>8607</v>
      </c>
      <c r="R2667" s="328" t="str">
        <f>IFS(C2667="","",C2667="n/a","N/A",LEN(C2667),Concatenate("{",char(34),"asset",char(34),":{",char(34),"guid",char(34),":",char(34),Q2667,char(34),",",char(34),"site",char(34),":",char(34),LOWER('2-Building'!$B$4),char(34),",",char(34),"name",char(34),":",char(34),LOWER(C2667),char(34),"}}"))</f>
        <v>{"asset":{"guid":"uuid://b2d6f81a-20c2-4049-8200-d4371fae18c2","site":"in-blr-ananta","name":"em-214"}}</v>
      </c>
      <c r="S2667" s="366" t="s">
        <v>8581</v>
      </c>
      <c r="T2667" s="330"/>
      <c r="U2667" s="330"/>
      <c r="V2667" s="331"/>
      <c r="W2667" s="332"/>
      <c r="X2667" s="333"/>
      <c r="Y2667" s="33" t="s">
        <v>8076</v>
      </c>
      <c r="Z2667" s="368"/>
      <c r="AA2667" s="333"/>
      <c r="AB2667" s="258">
        <v>16.0</v>
      </c>
      <c r="AC2667" s="333"/>
      <c r="AD2667" s="329"/>
      <c r="AE2667" s="331"/>
      <c r="AF2667" s="336"/>
      <c r="AG2667" s="337"/>
      <c r="AH2667" s="333"/>
      <c r="AI2667" s="333"/>
      <c r="AJ2667" s="333"/>
      <c r="AK2667" s="333"/>
      <c r="AL2667" s="333"/>
      <c r="AM2667" s="338"/>
      <c r="AN2667" s="333"/>
      <c r="AO2667" s="333"/>
      <c r="AP2667" s="333"/>
      <c r="AQ2667" s="333"/>
      <c r="AR2667" s="333"/>
      <c r="AS2667" s="333"/>
      <c r="AT2667" s="333"/>
      <c r="AU2667" s="329"/>
      <c r="AV2667" s="341"/>
      <c r="AW2667" s="269" t="s">
        <v>1626</v>
      </c>
      <c r="AX2667" s="269" t="s">
        <v>2869</v>
      </c>
      <c r="AY2667" s="270" t="s">
        <v>695</v>
      </c>
      <c r="AZ2667" s="379"/>
      <c r="BA2667" s="265">
        <v>10.0</v>
      </c>
      <c r="BB2667" s="367"/>
      <c r="BC2667" s="341"/>
      <c r="BD2667" s="308" t="s">
        <v>1844</v>
      </c>
      <c r="BE2667" s="378"/>
      <c r="BF2667" s="274" t="str">
        <f>IFERROR(__xludf.DUMMYFUNCTION("LOWER(Regexreplace(to_text(E2667),""[^A-Za-z0-9]"","""")&amp;""_""&amp;Regexreplace(to_text(F2667),""[^A-Za-z0-9]"",""""))"),"schneider_pm1130h")</f>
        <v>schneider_pm1130h</v>
      </c>
      <c r="BG2667" s="275" t="str">
        <f>IFERROR(__xludf.DUMMYFUNCTION("upper(Regexreplace(to_text(E2667),""[^A-Za-z0-9]"","""")&amp;""-""&amp;Regexreplace(to_text(F2667),""[^A-Za-z0-9]"",""""))"),"SCHNEIDER-PM1130H")</f>
        <v>SCHNEIDER-PM1130H</v>
      </c>
    </row>
    <row r="2668" ht="30.0" customHeight="1">
      <c r="A2668" s="258"/>
      <c r="B2668" s="328" t="s">
        <v>670</v>
      </c>
      <c r="C2668" s="257" t="s">
        <v>8608</v>
      </c>
      <c r="D2668" s="173" t="s">
        <v>8608</v>
      </c>
      <c r="E2668" s="174" t="s">
        <v>8070</v>
      </c>
      <c r="F2668" s="173" t="s">
        <v>8579</v>
      </c>
      <c r="G2668" s="328" t="s">
        <v>673</v>
      </c>
      <c r="H2668" s="328" t="s">
        <v>2863</v>
      </c>
      <c r="I2668" s="258" t="s">
        <v>8072</v>
      </c>
      <c r="J2668" s="259" t="s">
        <v>739</v>
      </c>
      <c r="K2668" s="260" t="s">
        <v>8087</v>
      </c>
      <c r="L2668" s="365"/>
      <c r="M2668" s="329"/>
      <c r="N2668" s="173" t="s">
        <v>679</v>
      </c>
      <c r="O2668" s="173" t="s">
        <v>225</v>
      </c>
      <c r="P2668" s="262" t="str">
        <f t="shared" si="1"/>
        <v>IN-BLR-ANANTA-EM-215_G</v>
      </c>
      <c r="Q2668" s="173" t="s">
        <v>8609</v>
      </c>
      <c r="R2668" s="328" t="str">
        <f>IFS(C2668="","",C2668="n/a","N/A",LEN(C2668),Concatenate("{",char(34),"asset",char(34),":{",char(34),"guid",char(34),":",char(34),Q2668,char(34),",",char(34),"site",char(34),":",char(34),LOWER('2-Building'!$B$4),char(34),",",char(34),"name",char(34),":",char(34),LOWER(C2668),char(34),"}}"))</f>
        <v>{"asset":{"guid":"uuid://72b23a2c-fc0d-45f2-ad0a-b7884d2f0f29","site":"in-blr-ananta","name":"em-215"}}</v>
      </c>
      <c r="S2668" s="366" t="s">
        <v>8581</v>
      </c>
      <c r="T2668" s="330"/>
      <c r="U2668" s="330"/>
      <c r="V2668" s="331"/>
      <c r="W2668" s="332"/>
      <c r="X2668" s="333"/>
      <c r="Y2668" s="33" t="s">
        <v>8076</v>
      </c>
      <c r="Z2668" s="368"/>
      <c r="AA2668" s="333"/>
      <c r="AB2668" s="258">
        <v>17.0</v>
      </c>
      <c r="AC2668" s="333"/>
      <c r="AD2668" s="329"/>
      <c r="AE2668" s="331"/>
      <c r="AF2668" s="336"/>
      <c r="AG2668" s="337"/>
      <c r="AH2668" s="333"/>
      <c r="AI2668" s="333"/>
      <c r="AJ2668" s="333"/>
      <c r="AK2668" s="333"/>
      <c r="AL2668" s="333"/>
      <c r="AM2668" s="338"/>
      <c r="AN2668" s="333"/>
      <c r="AO2668" s="333"/>
      <c r="AP2668" s="333"/>
      <c r="AQ2668" s="333"/>
      <c r="AR2668" s="333"/>
      <c r="AS2668" s="333"/>
      <c r="AT2668" s="333"/>
      <c r="AU2668" s="329"/>
      <c r="AV2668" s="341"/>
      <c r="AW2668" s="269" t="s">
        <v>1626</v>
      </c>
      <c r="AX2668" s="269" t="s">
        <v>2869</v>
      </c>
      <c r="AY2668" s="270" t="s">
        <v>695</v>
      </c>
      <c r="AZ2668" s="379"/>
      <c r="BA2668" s="265">
        <v>10.0</v>
      </c>
      <c r="BB2668" s="367"/>
      <c r="BC2668" s="341"/>
      <c r="BD2668" s="308" t="s">
        <v>1844</v>
      </c>
      <c r="BE2668" s="378"/>
      <c r="BF2668" s="274" t="str">
        <f>IFERROR(__xludf.DUMMYFUNCTION("LOWER(Regexreplace(to_text(E2668),""[^A-Za-z0-9]"","""")&amp;""_""&amp;Regexreplace(to_text(F2668),""[^A-Za-z0-9]"",""""))"),"schneider_pm1130h")</f>
        <v>schneider_pm1130h</v>
      </c>
      <c r="BG2668" s="275" t="str">
        <f>IFERROR(__xludf.DUMMYFUNCTION("upper(Regexreplace(to_text(E2668),""[^A-Za-z0-9]"","""")&amp;""-""&amp;Regexreplace(to_text(F2668),""[^A-Za-z0-9]"",""""))"),"SCHNEIDER-PM1130H")</f>
        <v>SCHNEIDER-PM1130H</v>
      </c>
    </row>
    <row r="2669" ht="30.0" customHeight="1">
      <c r="A2669" s="258"/>
      <c r="B2669" s="328" t="s">
        <v>670</v>
      </c>
      <c r="C2669" s="257" t="s">
        <v>8610</v>
      </c>
      <c r="D2669" s="173" t="s">
        <v>8610</v>
      </c>
      <c r="E2669" s="174" t="s">
        <v>8070</v>
      </c>
      <c r="F2669" s="173" t="s">
        <v>8579</v>
      </c>
      <c r="G2669" s="328" t="s">
        <v>673</v>
      </c>
      <c r="H2669" s="328" t="s">
        <v>2863</v>
      </c>
      <c r="I2669" s="258" t="s">
        <v>8072</v>
      </c>
      <c r="J2669" s="259" t="s">
        <v>739</v>
      </c>
      <c r="K2669" s="260" t="s">
        <v>8087</v>
      </c>
      <c r="L2669" s="365"/>
      <c r="M2669" s="329"/>
      <c r="N2669" s="173" t="s">
        <v>679</v>
      </c>
      <c r="O2669" s="173" t="s">
        <v>225</v>
      </c>
      <c r="P2669" s="262" t="str">
        <f t="shared" si="1"/>
        <v>IN-BLR-ANANTA-EM-216_G</v>
      </c>
      <c r="Q2669" s="173" t="s">
        <v>8611</v>
      </c>
      <c r="R2669" s="328" t="str">
        <f>IFS(C2669="","",C2669="n/a","N/A",LEN(C2669),Concatenate("{",char(34),"asset",char(34),":{",char(34),"guid",char(34),":",char(34),Q2669,char(34),",",char(34),"site",char(34),":",char(34),LOWER('2-Building'!$B$4),char(34),",",char(34),"name",char(34),":",char(34),LOWER(C2669),char(34),"}}"))</f>
        <v>{"asset":{"guid":"uuid://f2bddb61-a85f-4d69-9a4b-d0fcc2dedd6b","site":"in-blr-ananta","name":"em-216"}}</v>
      </c>
      <c r="S2669" s="366" t="s">
        <v>8581</v>
      </c>
      <c r="T2669" s="330"/>
      <c r="U2669" s="330"/>
      <c r="V2669" s="331"/>
      <c r="W2669" s="332"/>
      <c r="X2669" s="333"/>
      <c r="Y2669" s="33" t="s">
        <v>8076</v>
      </c>
      <c r="Z2669" s="368"/>
      <c r="AA2669" s="333"/>
      <c r="AB2669" s="258">
        <v>18.0</v>
      </c>
      <c r="AC2669" s="333"/>
      <c r="AD2669" s="329"/>
      <c r="AE2669" s="331"/>
      <c r="AF2669" s="336"/>
      <c r="AG2669" s="337"/>
      <c r="AH2669" s="333"/>
      <c r="AI2669" s="333"/>
      <c r="AJ2669" s="333"/>
      <c r="AK2669" s="333"/>
      <c r="AL2669" s="333"/>
      <c r="AM2669" s="338"/>
      <c r="AN2669" s="333"/>
      <c r="AO2669" s="333"/>
      <c r="AP2669" s="333"/>
      <c r="AQ2669" s="333"/>
      <c r="AR2669" s="333"/>
      <c r="AS2669" s="333"/>
      <c r="AT2669" s="333"/>
      <c r="AU2669" s="329"/>
      <c r="AV2669" s="341"/>
      <c r="AW2669" s="269" t="s">
        <v>1626</v>
      </c>
      <c r="AX2669" s="269" t="s">
        <v>2869</v>
      </c>
      <c r="AY2669" s="270" t="s">
        <v>695</v>
      </c>
      <c r="AZ2669" s="379"/>
      <c r="BA2669" s="265">
        <v>10.0</v>
      </c>
      <c r="BB2669" s="367"/>
      <c r="BC2669" s="341"/>
      <c r="BD2669" s="308" t="s">
        <v>1844</v>
      </c>
      <c r="BE2669" s="378"/>
      <c r="BF2669" s="274" t="str">
        <f>IFERROR(__xludf.DUMMYFUNCTION("LOWER(Regexreplace(to_text(E2669),""[^A-Za-z0-9]"","""")&amp;""_""&amp;Regexreplace(to_text(F2669),""[^A-Za-z0-9]"",""""))"),"schneider_pm1130h")</f>
        <v>schneider_pm1130h</v>
      </c>
      <c r="BG2669" s="275" t="str">
        <f>IFERROR(__xludf.DUMMYFUNCTION("upper(Regexreplace(to_text(E2669),""[^A-Za-z0-9]"","""")&amp;""-""&amp;Regexreplace(to_text(F2669),""[^A-Za-z0-9]"",""""))"),"SCHNEIDER-PM1130H")</f>
        <v>SCHNEIDER-PM1130H</v>
      </c>
    </row>
    <row r="2670" ht="30.0" customHeight="1">
      <c r="A2670" s="258"/>
      <c r="B2670" s="328" t="s">
        <v>670</v>
      </c>
      <c r="C2670" s="257" t="s">
        <v>8612</v>
      </c>
      <c r="D2670" s="173" t="s">
        <v>8612</v>
      </c>
      <c r="E2670" s="174" t="s">
        <v>8070</v>
      </c>
      <c r="F2670" s="173" t="s">
        <v>8579</v>
      </c>
      <c r="G2670" s="328" t="s">
        <v>673</v>
      </c>
      <c r="H2670" s="328" t="s">
        <v>2863</v>
      </c>
      <c r="I2670" s="258" t="s">
        <v>8072</v>
      </c>
      <c r="J2670" s="259" t="s">
        <v>739</v>
      </c>
      <c r="K2670" s="260" t="s">
        <v>8087</v>
      </c>
      <c r="L2670" s="365"/>
      <c r="M2670" s="329"/>
      <c r="N2670" s="173" t="s">
        <v>679</v>
      </c>
      <c r="O2670" s="173" t="s">
        <v>225</v>
      </c>
      <c r="P2670" s="262" t="str">
        <f t="shared" si="1"/>
        <v>IN-BLR-ANANTA-EM-217_G</v>
      </c>
      <c r="Q2670" s="173" t="s">
        <v>8613</v>
      </c>
      <c r="R2670" s="328" t="str">
        <f>IFS(C2670="","",C2670="n/a","N/A",LEN(C2670),Concatenate("{",char(34),"asset",char(34),":{",char(34),"guid",char(34),":",char(34),Q2670,char(34),",",char(34),"site",char(34),":",char(34),LOWER('2-Building'!$B$4),char(34),",",char(34),"name",char(34),":",char(34),LOWER(C2670),char(34),"}}"))</f>
        <v>{"asset":{"guid":"uuid://9329c398-b020-47e7-ad68-627290ec4267","site":"in-blr-ananta","name":"em-217"}}</v>
      </c>
      <c r="S2670" s="366" t="s">
        <v>8581</v>
      </c>
      <c r="T2670" s="330"/>
      <c r="U2670" s="330"/>
      <c r="V2670" s="331"/>
      <c r="W2670" s="332"/>
      <c r="X2670" s="333"/>
      <c r="Y2670" s="33" t="s">
        <v>8076</v>
      </c>
      <c r="Z2670" s="368"/>
      <c r="AA2670" s="333"/>
      <c r="AB2670" s="258">
        <v>19.0</v>
      </c>
      <c r="AC2670" s="333"/>
      <c r="AD2670" s="329"/>
      <c r="AE2670" s="331"/>
      <c r="AF2670" s="336"/>
      <c r="AG2670" s="337"/>
      <c r="AH2670" s="333"/>
      <c r="AI2670" s="333"/>
      <c r="AJ2670" s="333"/>
      <c r="AK2670" s="333"/>
      <c r="AL2670" s="333"/>
      <c r="AM2670" s="338"/>
      <c r="AN2670" s="333"/>
      <c r="AO2670" s="333"/>
      <c r="AP2670" s="333"/>
      <c r="AQ2670" s="333"/>
      <c r="AR2670" s="333"/>
      <c r="AS2670" s="333"/>
      <c r="AT2670" s="333"/>
      <c r="AU2670" s="329"/>
      <c r="AV2670" s="341"/>
      <c r="AW2670" s="269" t="s">
        <v>1626</v>
      </c>
      <c r="AX2670" s="269" t="s">
        <v>2869</v>
      </c>
      <c r="AY2670" s="270" t="s">
        <v>695</v>
      </c>
      <c r="AZ2670" s="379"/>
      <c r="BA2670" s="265">
        <v>10.0</v>
      </c>
      <c r="BB2670" s="367"/>
      <c r="BC2670" s="341"/>
      <c r="BD2670" s="308" t="s">
        <v>1844</v>
      </c>
      <c r="BE2670" s="378"/>
      <c r="BF2670" s="274" t="str">
        <f>IFERROR(__xludf.DUMMYFUNCTION("LOWER(Regexreplace(to_text(E2670),""[^A-Za-z0-9]"","""")&amp;""_""&amp;Regexreplace(to_text(F2670),""[^A-Za-z0-9]"",""""))"),"schneider_pm1130h")</f>
        <v>schneider_pm1130h</v>
      </c>
      <c r="BG2670" s="275" t="str">
        <f>IFERROR(__xludf.DUMMYFUNCTION("upper(Regexreplace(to_text(E2670),""[^A-Za-z0-9]"","""")&amp;""-""&amp;Regexreplace(to_text(F2670),""[^A-Za-z0-9]"",""""))"),"SCHNEIDER-PM1130H")</f>
        <v>SCHNEIDER-PM1130H</v>
      </c>
    </row>
    <row r="2671" ht="30.0" customHeight="1">
      <c r="A2671" s="258"/>
      <c r="B2671" s="328" t="s">
        <v>670</v>
      </c>
      <c r="C2671" s="257" t="s">
        <v>8614</v>
      </c>
      <c r="D2671" s="173" t="s">
        <v>8614</v>
      </c>
      <c r="E2671" s="174" t="s">
        <v>8070</v>
      </c>
      <c r="F2671" s="173" t="s">
        <v>8579</v>
      </c>
      <c r="G2671" s="328" t="s">
        <v>673</v>
      </c>
      <c r="H2671" s="328" t="s">
        <v>2863</v>
      </c>
      <c r="I2671" s="258" t="s">
        <v>8072</v>
      </c>
      <c r="J2671" s="259" t="s">
        <v>739</v>
      </c>
      <c r="K2671" s="260" t="s">
        <v>8087</v>
      </c>
      <c r="L2671" s="365"/>
      <c r="M2671" s="329"/>
      <c r="N2671" s="173" t="s">
        <v>679</v>
      </c>
      <c r="O2671" s="173" t="s">
        <v>225</v>
      </c>
      <c r="P2671" s="262" t="str">
        <f t="shared" si="1"/>
        <v>IN-BLR-ANANTA-EM-218_G</v>
      </c>
      <c r="Q2671" s="173" t="s">
        <v>8615</v>
      </c>
      <c r="R2671" s="328" t="str">
        <f>IFS(C2671="","",C2671="n/a","N/A",LEN(C2671),Concatenate("{",char(34),"asset",char(34),":{",char(34),"guid",char(34),":",char(34),Q2671,char(34),",",char(34),"site",char(34),":",char(34),LOWER('2-Building'!$B$4),char(34),",",char(34),"name",char(34),":",char(34),LOWER(C2671),char(34),"}}"))</f>
        <v>{"asset":{"guid":"uuid://7ef17ca5-248b-4b0f-be64-189923cb90ca","site":"in-blr-ananta","name":"em-218"}}</v>
      </c>
      <c r="S2671" s="366" t="s">
        <v>8581</v>
      </c>
      <c r="T2671" s="330"/>
      <c r="U2671" s="330"/>
      <c r="V2671" s="331"/>
      <c r="W2671" s="332"/>
      <c r="X2671" s="333"/>
      <c r="Y2671" s="33" t="s">
        <v>8076</v>
      </c>
      <c r="Z2671" s="368"/>
      <c r="AA2671" s="333"/>
      <c r="AB2671" s="258">
        <v>3.0</v>
      </c>
      <c r="AC2671" s="333"/>
      <c r="AD2671" s="329"/>
      <c r="AE2671" s="331"/>
      <c r="AF2671" s="336"/>
      <c r="AG2671" s="337"/>
      <c r="AH2671" s="333"/>
      <c r="AI2671" s="333"/>
      <c r="AJ2671" s="333"/>
      <c r="AK2671" s="333"/>
      <c r="AL2671" s="333"/>
      <c r="AM2671" s="338"/>
      <c r="AN2671" s="333"/>
      <c r="AO2671" s="333"/>
      <c r="AP2671" s="333"/>
      <c r="AQ2671" s="333"/>
      <c r="AR2671" s="333"/>
      <c r="AS2671" s="333"/>
      <c r="AT2671" s="333"/>
      <c r="AU2671" s="329"/>
      <c r="AV2671" s="341"/>
      <c r="AW2671" s="269" t="s">
        <v>1626</v>
      </c>
      <c r="AX2671" s="269" t="s">
        <v>2869</v>
      </c>
      <c r="AY2671" s="270" t="s">
        <v>695</v>
      </c>
      <c r="AZ2671" s="379"/>
      <c r="BA2671" s="265">
        <v>10.0</v>
      </c>
      <c r="BB2671" s="367"/>
      <c r="BC2671" s="341"/>
      <c r="BD2671" s="308" t="s">
        <v>1844</v>
      </c>
      <c r="BE2671" s="378"/>
      <c r="BF2671" s="274" t="str">
        <f>IFERROR(__xludf.DUMMYFUNCTION("LOWER(Regexreplace(to_text(E2671),""[^A-Za-z0-9]"","""")&amp;""_""&amp;Regexreplace(to_text(F2671),""[^A-Za-z0-9]"",""""))"),"schneider_pm1130h")</f>
        <v>schneider_pm1130h</v>
      </c>
      <c r="BG2671" s="275" t="str">
        <f>IFERROR(__xludf.DUMMYFUNCTION("upper(Regexreplace(to_text(E2671),""[^A-Za-z0-9]"","""")&amp;""-""&amp;Regexreplace(to_text(F2671),""[^A-Za-z0-9]"",""""))"),"SCHNEIDER-PM1130H")</f>
        <v>SCHNEIDER-PM1130H</v>
      </c>
    </row>
    <row r="2672" ht="30.0" customHeight="1">
      <c r="A2672" s="258"/>
      <c r="B2672" s="328" t="s">
        <v>670</v>
      </c>
      <c r="C2672" s="257" t="s">
        <v>8616</v>
      </c>
      <c r="D2672" s="173" t="s">
        <v>8616</v>
      </c>
      <c r="E2672" s="174" t="s">
        <v>8070</v>
      </c>
      <c r="F2672" s="173" t="s">
        <v>8579</v>
      </c>
      <c r="G2672" s="328" t="s">
        <v>673</v>
      </c>
      <c r="H2672" s="328" t="s">
        <v>2863</v>
      </c>
      <c r="I2672" s="258" t="s">
        <v>8072</v>
      </c>
      <c r="J2672" s="259" t="s">
        <v>739</v>
      </c>
      <c r="K2672" s="260" t="s">
        <v>8087</v>
      </c>
      <c r="L2672" s="365"/>
      <c r="M2672" s="329"/>
      <c r="N2672" s="173" t="s">
        <v>679</v>
      </c>
      <c r="O2672" s="173" t="s">
        <v>225</v>
      </c>
      <c r="P2672" s="262" t="str">
        <f t="shared" si="1"/>
        <v>IN-BLR-ANANTA-EM-219_G</v>
      </c>
      <c r="Q2672" s="173" t="s">
        <v>8617</v>
      </c>
      <c r="R2672" s="328" t="str">
        <f>IFS(C2672="","",C2672="n/a","N/A",LEN(C2672),Concatenate("{",char(34),"asset",char(34),":{",char(34),"guid",char(34),":",char(34),Q2672,char(34),",",char(34),"site",char(34),":",char(34),LOWER('2-Building'!$B$4),char(34),",",char(34),"name",char(34),":",char(34),LOWER(C2672),char(34),"}}"))</f>
        <v>{"asset":{"guid":"uuid://a0a11442-483f-4553-90c2-97eea249b2db","site":"in-blr-ananta","name":"em-219"}}</v>
      </c>
      <c r="S2672" s="366" t="s">
        <v>8581</v>
      </c>
      <c r="T2672" s="330"/>
      <c r="U2672" s="330"/>
      <c r="V2672" s="331"/>
      <c r="W2672" s="332"/>
      <c r="X2672" s="333"/>
      <c r="Y2672" s="33" t="s">
        <v>8076</v>
      </c>
      <c r="Z2672" s="368"/>
      <c r="AA2672" s="333"/>
      <c r="AB2672" s="258">
        <v>4.0</v>
      </c>
      <c r="AC2672" s="333"/>
      <c r="AD2672" s="329"/>
      <c r="AE2672" s="331"/>
      <c r="AF2672" s="336"/>
      <c r="AG2672" s="337"/>
      <c r="AH2672" s="333"/>
      <c r="AI2672" s="333"/>
      <c r="AJ2672" s="333"/>
      <c r="AK2672" s="333"/>
      <c r="AL2672" s="333"/>
      <c r="AM2672" s="338"/>
      <c r="AN2672" s="333"/>
      <c r="AO2672" s="333"/>
      <c r="AP2672" s="333"/>
      <c r="AQ2672" s="333"/>
      <c r="AR2672" s="333"/>
      <c r="AS2672" s="333"/>
      <c r="AT2672" s="333"/>
      <c r="AU2672" s="329"/>
      <c r="AV2672" s="341"/>
      <c r="AW2672" s="269" t="s">
        <v>1626</v>
      </c>
      <c r="AX2672" s="269" t="s">
        <v>2869</v>
      </c>
      <c r="AY2672" s="270" t="s">
        <v>695</v>
      </c>
      <c r="AZ2672" s="379"/>
      <c r="BA2672" s="265">
        <v>10.0</v>
      </c>
      <c r="BB2672" s="367"/>
      <c r="BC2672" s="341"/>
      <c r="BD2672" s="308" t="s">
        <v>1844</v>
      </c>
      <c r="BE2672" s="378"/>
      <c r="BF2672" s="274" t="str">
        <f>IFERROR(__xludf.DUMMYFUNCTION("LOWER(Regexreplace(to_text(E2672),""[^A-Za-z0-9]"","""")&amp;""_""&amp;Regexreplace(to_text(F2672),""[^A-Za-z0-9]"",""""))"),"schneider_pm1130h")</f>
        <v>schneider_pm1130h</v>
      </c>
      <c r="BG2672" s="275" t="str">
        <f>IFERROR(__xludf.DUMMYFUNCTION("upper(Regexreplace(to_text(E2672),""[^A-Za-z0-9]"","""")&amp;""-""&amp;Regexreplace(to_text(F2672),""[^A-Za-z0-9]"",""""))"),"SCHNEIDER-PM1130H")</f>
        <v>SCHNEIDER-PM1130H</v>
      </c>
    </row>
    <row r="2673" ht="30.0" customHeight="1">
      <c r="A2673" s="258"/>
      <c r="B2673" s="328" t="s">
        <v>670</v>
      </c>
      <c r="C2673" s="257" t="s">
        <v>8618</v>
      </c>
      <c r="D2673" s="173" t="s">
        <v>8618</v>
      </c>
      <c r="E2673" s="174" t="s">
        <v>8070</v>
      </c>
      <c r="F2673" s="173" t="s">
        <v>8579</v>
      </c>
      <c r="G2673" s="328" t="s">
        <v>673</v>
      </c>
      <c r="H2673" s="328" t="s">
        <v>2863</v>
      </c>
      <c r="I2673" s="258" t="s">
        <v>8072</v>
      </c>
      <c r="J2673" s="259" t="s">
        <v>739</v>
      </c>
      <c r="K2673" s="260" t="s">
        <v>8087</v>
      </c>
      <c r="L2673" s="365"/>
      <c r="M2673" s="329"/>
      <c r="N2673" s="173" t="s">
        <v>679</v>
      </c>
      <c r="O2673" s="173" t="s">
        <v>225</v>
      </c>
      <c r="P2673" s="262" t="str">
        <f t="shared" si="1"/>
        <v>IN-BLR-ANANTA-EM-220_G</v>
      </c>
      <c r="Q2673" s="173" t="s">
        <v>8619</v>
      </c>
      <c r="R2673" s="328" t="str">
        <f>IFS(C2673="","",C2673="n/a","N/A",LEN(C2673),Concatenate("{",char(34),"asset",char(34),":{",char(34),"guid",char(34),":",char(34),Q2673,char(34),",",char(34),"site",char(34),":",char(34),LOWER('2-Building'!$B$4),char(34),",",char(34),"name",char(34),":",char(34),LOWER(C2673),char(34),"}}"))</f>
        <v>{"asset":{"guid":"uuid://f03939ca-8b82-49ef-bdf3-0d610d1b41d7","site":"in-blr-ananta","name":"em-220"}}</v>
      </c>
      <c r="S2673" s="366" t="s">
        <v>8581</v>
      </c>
      <c r="T2673" s="330"/>
      <c r="U2673" s="330"/>
      <c r="V2673" s="331"/>
      <c r="W2673" s="332"/>
      <c r="X2673" s="333"/>
      <c r="Y2673" s="33" t="s">
        <v>8076</v>
      </c>
      <c r="Z2673" s="368"/>
      <c r="AA2673" s="333"/>
      <c r="AB2673" s="258">
        <v>20.0</v>
      </c>
      <c r="AC2673" s="333"/>
      <c r="AD2673" s="329"/>
      <c r="AE2673" s="331"/>
      <c r="AF2673" s="336"/>
      <c r="AG2673" s="337"/>
      <c r="AH2673" s="333"/>
      <c r="AI2673" s="333"/>
      <c r="AJ2673" s="333"/>
      <c r="AK2673" s="333"/>
      <c r="AL2673" s="333"/>
      <c r="AM2673" s="338"/>
      <c r="AN2673" s="333"/>
      <c r="AO2673" s="333"/>
      <c r="AP2673" s="333"/>
      <c r="AQ2673" s="333"/>
      <c r="AR2673" s="333"/>
      <c r="AS2673" s="333"/>
      <c r="AT2673" s="333"/>
      <c r="AU2673" s="329"/>
      <c r="AV2673" s="341"/>
      <c r="AW2673" s="269" t="s">
        <v>1626</v>
      </c>
      <c r="AX2673" s="269" t="s">
        <v>2869</v>
      </c>
      <c r="AY2673" s="270" t="s">
        <v>695</v>
      </c>
      <c r="AZ2673" s="379"/>
      <c r="BA2673" s="265">
        <v>10.0</v>
      </c>
      <c r="BB2673" s="367"/>
      <c r="BC2673" s="341"/>
      <c r="BD2673" s="308" t="s">
        <v>1844</v>
      </c>
      <c r="BE2673" s="378"/>
      <c r="BF2673" s="274" t="str">
        <f>IFERROR(__xludf.DUMMYFUNCTION("LOWER(Regexreplace(to_text(E2673),""[^A-Za-z0-9]"","""")&amp;""_""&amp;Regexreplace(to_text(F2673),""[^A-Za-z0-9]"",""""))"),"schneider_pm1130h")</f>
        <v>schneider_pm1130h</v>
      </c>
      <c r="BG2673" s="275" t="str">
        <f>IFERROR(__xludf.DUMMYFUNCTION("upper(Regexreplace(to_text(E2673),""[^A-Za-z0-9]"","""")&amp;""-""&amp;Regexreplace(to_text(F2673),""[^A-Za-z0-9]"",""""))"),"SCHNEIDER-PM1130H")</f>
        <v>SCHNEIDER-PM1130H</v>
      </c>
    </row>
    <row r="2674" ht="30.0" customHeight="1">
      <c r="A2674" s="258"/>
      <c r="B2674" s="328" t="s">
        <v>670</v>
      </c>
      <c r="C2674" s="257" t="s">
        <v>8620</v>
      </c>
      <c r="D2674" s="173" t="s">
        <v>8620</v>
      </c>
      <c r="E2674" s="174" t="s">
        <v>8070</v>
      </c>
      <c r="F2674" s="173" t="s">
        <v>8579</v>
      </c>
      <c r="G2674" s="328" t="s">
        <v>673</v>
      </c>
      <c r="H2674" s="328" t="s">
        <v>2863</v>
      </c>
      <c r="I2674" s="258" t="s">
        <v>8072</v>
      </c>
      <c r="J2674" s="259" t="s">
        <v>739</v>
      </c>
      <c r="K2674" s="260" t="s">
        <v>8087</v>
      </c>
      <c r="L2674" s="365"/>
      <c r="M2674" s="329"/>
      <c r="N2674" s="173" t="s">
        <v>679</v>
      </c>
      <c r="O2674" s="173" t="s">
        <v>225</v>
      </c>
      <c r="P2674" s="262" t="str">
        <f t="shared" si="1"/>
        <v>IN-BLR-ANANTA-EM-221_G</v>
      </c>
      <c r="Q2674" s="173" t="s">
        <v>8621</v>
      </c>
      <c r="R2674" s="328" t="str">
        <f>IFS(C2674="","",C2674="n/a","N/A",LEN(C2674),Concatenate("{",char(34),"asset",char(34),":{",char(34),"guid",char(34),":",char(34),Q2674,char(34),",",char(34),"site",char(34),":",char(34),LOWER('2-Building'!$B$4),char(34),",",char(34),"name",char(34),":",char(34),LOWER(C2674),char(34),"}}"))</f>
        <v>{"asset":{"guid":"uuid://23d7c5b3-adae-4dea-8553-ff4e07dd4d52","site":"in-blr-ananta","name":"em-221"}}</v>
      </c>
      <c r="S2674" s="366" t="s">
        <v>8581</v>
      </c>
      <c r="T2674" s="330"/>
      <c r="U2674" s="330"/>
      <c r="V2674" s="331"/>
      <c r="W2674" s="332"/>
      <c r="X2674" s="333"/>
      <c r="Y2674" s="33" t="s">
        <v>8076</v>
      </c>
      <c r="Z2674" s="368"/>
      <c r="AA2674" s="333"/>
      <c r="AB2674" s="258">
        <v>21.0</v>
      </c>
      <c r="AC2674" s="333"/>
      <c r="AD2674" s="329"/>
      <c r="AE2674" s="331"/>
      <c r="AF2674" s="336"/>
      <c r="AG2674" s="337"/>
      <c r="AH2674" s="333"/>
      <c r="AI2674" s="333"/>
      <c r="AJ2674" s="333"/>
      <c r="AK2674" s="333"/>
      <c r="AL2674" s="333"/>
      <c r="AM2674" s="338"/>
      <c r="AN2674" s="333"/>
      <c r="AO2674" s="333"/>
      <c r="AP2674" s="333"/>
      <c r="AQ2674" s="333"/>
      <c r="AR2674" s="333"/>
      <c r="AS2674" s="333"/>
      <c r="AT2674" s="333"/>
      <c r="AU2674" s="329"/>
      <c r="AV2674" s="341"/>
      <c r="AW2674" s="269" t="s">
        <v>1626</v>
      </c>
      <c r="AX2674" s="269" t="s">
        <v>2869</v>
      </c>
      <c r="AY2674" s="270" t="s">
        <v>695</v>
      </c>
      <c r="AZ2674" s="379"/>
      <c r="BA2674" s="265">
        <v>10.0</v>
      </c>
      <c r="BB2674" s="367"/>
      <c r="BC2674" s="341"/>
      <c r="BD2674" s="308" t="s">
        <v>1844</v>
      </c>
      <c r="BE2674" s="378"/>
      <c r="BF2674" s="274" t="str">
        <f>IFERROR(__xludf.DUMMYFUNCTION("LOWER(Regexreplace(to_text(E2674),""[^A-Za-z0-9]"","""")&amp;""_""&amp;Regexreplace(to_text(F2674),""[^A-Za-z0-9]"",""""))"),"schneider_pm1130h")</f>
        <v>schneider_pm1130h</v>
      </c>
      <c r="BG2674" s="275" t="str">
        <f>IFERROR(__xludf.DUMMYFUNCTION("upper(Regexreplace(to_text(E2674),""[^A-Za-z0-9]"","""")&amp;""-""&amp;Regexreplace(to_text(F2674),""[^A-Za-z0-9]"",""""))"),"SCHNEIDER-PM1130H")</f>
        <v>SCHNEIDER-PM1130H</v>
      </c>
    </row>
    <row r="2675" ht="30.0" customHeight="1">
      <c r="A2675" s="258"/>
      <c r="B2675" s="328" t="s">
        <v>670</v>
      </c>
      <c r="C2675" s="257" t="s">
        <v>8622</v>
      </c>
      <c r="D2675" s="173" t="s">
        <v>8622</v>
      </c>
      <c r="E2675" s="174" t="s">
        <v>8070</v>
      </c>
      <c r="F2675" s="173" t="s">
        <v>8579</v>
      </c>
      <c r="G2675" s="328" t="s">
        <v>673</v>
      </c>
      <c r="H2675" s="328" t="s">
        <v>2863</v>
      </c>
      <c r="I2675" s="258" t="s">
        <v>8072</v>
      </c>
      <c r="J2675" s="259" t="s">
        <v>739</v>
      </c>
      <c r="K2675" s="260" t="s">
        <v>8087</v>
      </c>
      <c r="L2675" s="365"/>
      <c r="M2675" s="329"/>
      <c r="N2675" s="173" t="s">
        <v>679</v>
      </c>
      <c r="O2675" s="173" t="s">
        <v>225</v>
      </c>
      <c r="P2675" s="262" t="str">
        <f t="shared" si="1"/>
        <v>IN-BLR-ANANTA-EM-222_G</v>
      </c>
      <c r="Q2675" s="173" t="s">
        <v>8623</v>
      </c>
      <c r="R2675" s="328" t="str">
        <f>IFS(C2675="","",C2675="n/a","N/A",LEN(C2675),Concatenate("{",char(34),"asset",char(34),":{",char(34),"guid",char(34),":",char(34),Q2675,char(34),",",char(34),"site",char(34),":",char(34),LOWER('2-Building'!$B$4),char(34),",",char(34),"name",char(34),":",char(34),LOWER(C2675),char(34),"}}"))</f>
        <v>{"asset":{"guid":"uuid://bb03ab1c-3472-4db7-8452-780f44ba6420","site":"in-blr-ananta","name":"em-222"}}</v>
      </c>
      <c r="S2675" s="366" t="s">
        <v>8581</v>
      </c>
      <c r="T2675" s="330"/>
      <c r="U2675" s="330"/>
      <c r="V2675" s="331"/>
      <c r="W2675" s="332"/>
      <c r="X2675" s="333"/>
      <c r="Y2675" s="33" t="s">
        <v>8076</v>
      </c>
      <c r="Z2675" s="368"/>
      <c r="AA2675" s="333"/>
      <c r="AB2675" s="258">
        <v>22.0</v>
      </c>
      <c r="AC2675" s="333"/>
      <c r="AD2675" s="329"/>
      <c r="AE2675" s="331"/>
      <c r="AF2675" s="336"/>
      <c r="AG2675" s="337"/>
      <c r="AH2675" s="333"/>
      <c r="AI2675" s="333"/>
      <c r="AJ2675" s="333"/>
      <c r="AK2675" s="333"/>
      <c r="AL2675" s="333"/>
      <c r="AM2675" s="338"/>
      <c r="AN2675" s="333"/>
      <c r="AO2675" s="333"/>
      <c r="AP2675" s="333"/>
      <c r="AQ2675" s="333"/>
      <c r="AR2675" s="333"/>
      <c r="AS2675" s="333"/>
      <c r="AT2675" s="333"/>
      <c r="AU2675" s="329"/>
      <c r="AV2675" s="341"/>
      <c r="AW2675" s="269" t="s">
        <v>1626</v>
      </c>
      <c r="AX2675" s="269" t="s">
        <v>2869</v>
      </c>
      <c r="AY2675" s="270" t="s">
        <v>695</v>
      </c>
      <c r="AZ2675" s="379"/>
      <c r="BA2675" s="265">
        <v>10.0</v>
      </c>
      <c r="BB2675" s="367"/>
      <c r="BC2675" s="341"/>
      <c r="BD2675" s="308" t="s">
        <v>1844</v>
      </c>
      <c r="BE2675" s="378"/>
      <c r="BF2675" s="274" t="str">
        <f>IFERROR(__xludf.DUMMYFUNCTION("LOWER(Regexreplace(to_text(E2675),""[^A-Za-z0-9]"","""")&amp;""_""&amp;Regexreplace(to_text(F2675),""[^A-Za-z0-9]"",""""))"),"schneider_pm1130h")</f>
        <v>schneider_pm1130h</v>
      </c>
      <c r="BG2675" s="275" t="str">
        <f>IFERROR(__xludf.DUMMYFUNCTION("upper(Regexreplace(to_text(E2675),""[^A-Za-z0-9]"","""")&amp;""-""&amp;Regexreplace(to_text(F2675),""[^A-Za-z0-9]"",""""))"),"SCHNEIDER-PM1130H")</f>
        <v>SCHNEIDER-PM1130H</v>
      </c>
    </row>
    <row r="2676" ht="30.0" customHeight="1">
      <c r="A2676" s="258"/>
      <c r="B2676" s="328" t="s">
        <v>670</v>
      </c>
      <c r="C2676" s="257" t="s">
        <v>8624</v>
      </c>
      <c r="D2676" s="173" t="s">
        <v>8624</v>
      </c>
      <c r="E2676" s="174" t="s">
        <v>8070</v>
      </c>
      <c r="F2676" s="173" t="s">
        <v>8579</v>
      </c>
      <c r="G2676" s="328" t="s">
        <v>673</v>
      </c>
      <c r="H2676" s="328" t="s">
        <v>2863</v>
      </c>
      <c r="I2676" s="258" t="s">
        <v>8072</v>
      </c>
      <c r="J2676" s="259" t="s">
        <v>739</v>
      </c>
      <c r="K2676" s="260" t="s">
        <v>8087</v>
      </c>
      <c r="L2676" s="365"/>
      <c r="M2676" s="329"/>
      <c r="N2676" s="173" t="s">
        <v>679</v>
      </c>
      <c r="O2676" s="173" t="s">
        <v>225</v>
      </c>
      <c r="P2676" s="262" t="str">
        <f t="shared" si="1"/>
        <v>IN-BLR-ANANTA-EM-223_G</v>
      </c>
      <c r="Q2676" s="173" t="s">
        <v>8625</v>
      </c>
      <c r="R2676" s="328" t="str">
        <f>IFS(C2676="","",C2676="n/a","N/A",LEN(C2676),Concatenate("{",char(34),"asset",char(34),":{",char(34),"guid",char(34),":",char(34),Q2676,char(34),",",char(34),"site",char(34),":",char(34),LOWER('2-Building'!$B$4),char(34),",",char(34),"name",char(34),":",char(34),LOWER(C2676),char(34),"}}"))</f>
        <v>{"asset":{"guid":"uuid://31930388-10cb-409a-bd51-1c6b7a67ae17","site":"in-blr-ananta","name":"em-223"}}</v>
      </c>
      <c r="S2676" s="366" t="s">
        <v>8581</v>
      </c>
      <c r="T2676" s="330"/>
      <c r="U2676" s="330"/>
      <c r="V2676" s="331"/>
      <c r="W2676" s="332"/>
      <c r="X2676" s="333"/>
      <c r="Y2676" s="33" t="s">
        <v>8076</v>
      </c>
      <c r="Z2676" s="368"/>
      <c r="AA2676" s="333"/>
      <c r="AB2676" s="258">
        <v>23.0</v>
      </c>
      <c r="AC2676" s="333"/>
      <c r="AD2676" s="329"/>
      <c r="AE2676" s="331"/>
      <c r="AF2676" s="336"/>
      <c r="AG2676" s="337"/>
      <c r="AH2676" s="333"/>
      <c r="AI2676" s="333"/>
      <c r="AJ2676" s="333"/>
      <c r="AK2676" s="333"/>
      <c r="AL2676" s="333"/>
      <c r="AM2676" s="338"/>
      <c r="AN2676" s="333"/>
      <c r="AO2676" s="333"/>
      <c r="AP2676" s="333"/>
      <c r="AQ2676" s="333"/>
      <c r="AR2676" s="333"/>
      <c r="AS2676" s="333"/>
      <c r="AT2676" s="333"/>
      <c r="AU2676" s="329"/>
      <c r="AV2676" s="341"/>
      <c r="AW2676" s="269" t="s">
        <v>1626</v>
      </c>
      <c r="AX2676" s="269" t="s">
        <v>2869</v>
      </c>
      <c r="AY2676" s="270" t="s">
        <v>695</v>
      </c>
      <c r="AZ2676" s="379"/>
      <c r="BA2676" s="265">
        <v>10.0</v>
      </c>
      <c r="BB2676" s="367"/>
      <c r="BC2676" s="341"/>
      <c r="BD2676" s="308" t="s">
        <v>1844</v>
      </c>
      <c r="BE2676" s="378"/>
      <c r="BF2676" s="274" t="str">
        <f>IFERROR(__xludf.DUMMYFUNCTION("LOWER(Regexreplace(to_text(E2676),""[^A-Za-z0-9]"","""")&amp;""_""&amp;Regexreplace(to_text(F2676),""[^A-Za-z0-9]"",""""))"),"schneider_pm1130h")</f>
        <v>schneider_pm1130h</v>
      </c>
      <c r="BG2676" s="275" t="str">
        <f>IFERROR(__xludf.DUMMYFUNCTION("upper(Regexreplace(to_text(E2676),""[^A-Za-z0-9]"","""")&amp;""-""&amp;Regexreplace(to_text(F2676),""[^A-Za-z0-9]"",""""))"),"SCHNEIDER-PM1130H")</f>
        <v>SCHNEIDER-PM1130H</v>
      </c>
    </row>
    <row r="2677" ht="30.0" customHeight="1">
      <c r="A2677" s="258"/>
      <c r="B2677" s="328" t="s">
        <v>670</v>
      </c>
      <c r="C2677" s="257" t="s">
        <v>8626</v>
      </c>
      <c r="D2677" s="173" t="s">
        <v>8626</v>
      </c>
      <c r="E2677" s="174" t="s">
        <v>8070</v>
      </c>
      <c r="F2677" s="173" t="s">
        <v>8579</v>
      </c>
      <c r="G2677" s="328" t="s">
        <v>673</v>
      </c>
      <c r="H2677" s="328" t="s">
        <v>2863</v>
      </c>
      <c r="I2677" s="258" t="s">
        <v>8072</v>
      </c>
      <c r="J2677" s="259" t="s">
        <v>739</v>
      </c>
      <c r="K2677" s="260" t="s">
        <v>8087</v>
      </c>
      <c r="L2677" s="365"/>
      <c r="M2677" s="329"/>
      <c r="N2677" s="173" t="s">
        <v>679</v>
      </c>
      <c r="O2677" s="173" t="s">
        <v>225</v>
      </c>
      <c r="P2677" s="262" t="str">
        <f t="shared" si="1"/>
        <v>IN-BLR-ANANTA-EM-224_G</v>
      </c>
      <c r="Q2677" s="173" t="s">
        <v>8627</v>
      </c>
      <c r="R2677" s="328" t="str">
        <f>IFS(C2677="","",C2677="n/a","N/A",LEN(C2677),Concatenate("{",char(34),"asset",char(34),":{",char(34),"guid",char(34),":",char(34),Q2677,char(34),",",char(34),"site",char(34),":",char(34),LOWER('2-Building'!$B$4),char(34),",",char(34),"name",char(34),":",char(34),LOWER(C2677),char(34),"}}"))</f>
        <v>{"asset":{"guid":"uuid://700dfad5-d975-4f15-bb98-e7943d1e42f8","site":"in-blr-ananta","name":"em-224"}}</v>
      </c>
      <c r="S2677" s="366" t="s">
        <v>8581</v>
      </c>
      <c r="T2677" s="330"/>
      <c r="U2677" s="330"/>
      <c r="V2677" s="331"/>
      <c r="W2677" s="332"/>
      <c r="X2677" s="333"/>
      <c r="Y2677" s="33" t="s">
        <v>8076</v>
      </c>
      <c r="Z2677" s="368"/>
      <c r="AA2677" s="333"/>
      <c r="AB2677" s="258">
        <v>24.0</v>
      </c>
      <c r="AC2677" s="333"/>
      <c r="AD2677" s="329"/>
      <c r="AE2677" s="331"/>
      <c r="AF2677" s="336"/>
      <c r="AG2677" s="337"/>
      <c r="AH2677" s="333"/>
      <c r="AI2677" s="333"/>
      <c r="AJ2677" s="333"/>
      <c r="AK2677" s="333"/>
      <c r="AL2677" s="333"/>
      <c r="AM2677" s="338"/>
      <c r="AN2677" s="333"/>
      <c r="AO2677" s="333"/>
      <c r="AP2677" s="333"/>
      <c r="AQ2677" s="333"/>
      <c r="AR2677" s="333"/>
      <c r="AS2677" s="333"/>
      <c r="AT2677" s="333"/>
      <c r="AU2677" s="329"/>
      <c r="AV2677" s="341"/>
      <c r="AW2677" s="269" t="s">
        <v>1626</v>
      </c>
      <c r="AX2677" s="269" t="s">
        <v>2869</v>
      </c>
      <c r="AY2677" s="270" t="s">
        <v>695</v>
      </c>
      <c r="AZ2677" s="379"/>
      <c r="BA2677" s="265">
        <v>10.0</v>
      </c>
      <c r="BB2677" s="367"/>
      <c r="BC2677" s="341"/>
      <c r="BD2677" s="308" t="s">
        <v>1844</v>
      </c>
      <c r="BE2677" s="378"/>
      <c r="BF2677" s="274" t="str">
        <f>IFERROR(__xludf.DUMMYFUNCTION("LOWER(Regexreplace(to_text(E2677),""[^A-Za-z0-9]"","""")&amp;""_""&amp;Regexreplace(to_text(F2677),""[^A-Za-z0-9]"",""""))"),"schneider_pm1130h")</f>
        <v>schneider_pm1130h</v>
      </c>
      <c r="BG2677" s="275" t="str">
        <f>IFERROR(__xludf.DUMMYFUNCTION("upper(Regexreplace(to_text(E2677),""[^A-Za-z0-9]"","""")&amp;""-""&amp;Regexreplace(to_text(F2677),""[^A-Za-z0-9]"",""""))"),"SCHNEIDER-PM1130H")</f>
        <v>SCHNEIDER-PM1130H</v>
      </c>
    </row>
    <row r="2678" ht="30.0" customHeight="1">
      <c r="A2678" s="258"/>
      <c r="B2678" s="328" t="s">
        <v>670</v>
      </c>
      <c r="C2678" s="257" t="s">
        <v>8628</v>
      </c>
      <c r="D2678" s="173" t="s">
        <v>8628</v>
      </c>
      <c r="E2678" s="174" t="s">
        <v>8070</v>
      </c>
      <c r="F2678" s="173" t="s">
        <v>8579</v>
      </c>
      <c r="G2678" s="328" t="s">
        <v>673</v>
      </c>
      <c r="H2678" s="328" t="s">
        <v>2863</v>
      </c>
      <c r="I2678" s="258" t="s">
        <v>8072</v>
      </c>
      <c r="J2678" s="259" t="s">
        <v>739</v>
      </c>
      <c r="K2678" s="260" t="s">
        <v>8087</v>
      </c>
      <c r="L2678" s="365"/>
      <c r="M2678" s="329"/>
      <c r="N2678" s="173" t="s">
        <v>679</v>
      </c>
      <c r="O2678" s="173" t="s">
        <v>225</v>
      </c>
      <c r="P2678" s="262" t="str">
        <f t="shared" si="1"/>
        <v>IN-BLR-ANANTA-EM-225_G</v>
      </c>
      <c r="Q2678" s="173" t="s">
        <v>8629</v>
      </c>
      <c r="R2678" s="328" t="str">
        <f>IFS(C2678="","",C2678="n/a","N/A",LEN(C2678),Concatenate("{",char(34),"asset",char(34),":{",char(34),"guid",char(34),":",char(34),Q2678,char(34),",",char(34),"site",char(34),":",char(34),LOWER('2-Building'!$B$4),char(34),",",char(34),"name",char(34),":",char(34),LOWER(C2678),char(34),"}}"))</f>
        <v>{"asset":{"guid":"uuid://cc9c4726-f95f-4f0e-8fb9-0cf15247402e","site":"in-blr-ananta","name":"em-225"}}</v>
      </c>
      <c r="S2678" s="366" t="s">
        <v>8581</v>
      </c>
      <c r="T2678" s="330"/>
      <c r="U2678" s="330"/>
      <c r="V2678" s="331"/>
      <c r="W2678" s="332"/>
      <c r="X2678" s="333"/>
      <c r="Y2678" s="33" t="s">
        <v>8076</v>
      </c>
      <c r="Z2678" s="368"/>
      <c r="AA2678" s="333"/>
      <c r="AB2678" s="258">
        <v>25.0</v>
      </c>
      <c r="AC2678" s="333"/>
      <c r="AD2678" s="329"/>
      <c r="AE2678" s="331"/>
      <c r="AF2678" s="336"/>
      <c r="AG2678" s="337"/>
      <c r="AH2678" s="333"/>
      <c r="AI2678" s="333"/>
      <c r="AJ2678" s="333"/>
      <c r="AK2678" s="333"/>
      <c r="AL2678" s="333"/>
      <c r="AM2678" s="338"/>
      <c r="AN2678" s="333"/>
      <c r="AO2678" s="333"/>
      <c r="AP2678" s="333"/>
      <c r="AQ2678" s="333"/>
      <c r="AR2678" s="333"/>
      <c r="AS2678" s="333"/>
      <c r="AT2678" s="333"/>
      <c r="AU2678" s="329"/>
      <c r="AV2678" s="341"/>
      <c r="AW2678" s="269" t="s">
        <v>1626</v>
      </c>
      <c r="AX2678" s="269" t="s">
        <v>2869</v>
      </c>
      <c r="AY2678" s="270" t="s">
        <v>695</v>
      </c>
      <c r="AZ2678" s="379"/>
      <c r="BA2678" s="265">
        <v>10.0</v>
      </c>
      <c r="BB2678" s="367"/>
      <c r="BC2678" s="341"/>
      <c r="BD2678" s="308" t="s">
        <v>1844</v>
      </c>
      <c r="BE2678" s="378"/>
      <c r="BF2678" s="274" t="str">
        <f>IFERROR(__xludf.DUMMYFUNCTION("LOWER(Regexreplace(to_text(E2678),""[^A-Za-z0-9]"","""")&amp;""_""&amp;Regexreplace(to_text(F2678),""[^A-Za-z0-9]"",""""))"),"schneider_pm1130h")</f>
        <v>schneider_pm1130h</v>
      </c>
      <c r="BG2678" s="275" t="str">
        <f>IFERROR(__xludf.DUMMYFUNCTION("upper(Regexreplace(to_text(E2678),""[^A-Za-z0-9]"","""")&amp;""-""&amp;Regexreplace(to_text(F2678),""[^A-Za-z0-9]"",""""))"),"SCHNEIDER-PM1130H")</f>
        <v>SCHNEIDER-PM1130H</v>
      </c>
    </row>
    <row r="2679" ht="30.0" customHeight="1">
      <c r="A2679" s="258"/>
      <c r="B2679" s="328" t="s">
        <v>670</v>
      </c>
      <c r="C2679" s="257" t="s">
        <v>8630</v>
      </c>
      <c r="D2679" s="173" t="s">
        <v>8630</v>
      </c>
      <c r="E2679" s="174" t="s">
        <v>8070</v>
      </c>
      <c r="F2679" s="173" t="s">
        <v>8579</v>
      </c>
      <c r="G2679" s="328" t="s">
        <v>673</v>
      </c>
      <c r="H2679" s="328" t="s">
        <v>2863</v>
      </c>
      <c r="I2679" s="258" t="s">
        <v>8072</v>
      </c>
      <c r="J2679" s="259" t="s">
        <v>739</v>
      </c>
      <c r="K2679" s="260" t="s">
        <v>8087</v>
      </c>
      <c r="L2679" s="365"/>
      <c r="M2679" s="329"/>
      <c r="N2679" s="173" t="s">
        <v>679</v>
      </c>
      <c r="O2679" s="173" t="s">
        <v>225</v>
      </c>
      <c r="P2679" s="262" t="str">
        <f t="shared" si="1"/>
        <v>IN-BLR-ANANTA-EM-226_G</v>
      </c>
      <c r="Q2679" s="173" t="s">
        <v>8631</v>
      </c>
      <c r="R2679" s="328" t="str">
        <f>IFS(C2679="","",C2679="n/a","N/A",LEN(C2679),Concatenate("{",char(34),"asset",char(34),":{",char(34),"guid",char(34),":",char(34),Q2679,char(34),",",char(34),"site",char(34),":",char(34),LOWER('2-Building'!$B$4),char(34),",",char(34),"name",char(34),":",char(34),LOWER(C2679),char(34),"}}"))</f>
        <v>{"asset":{"guid":"uuid://bd3e0d50-aa7d-4d40-8bc6-d1fcca740a94","site":"in-blr-ananta","name":"em-226"}}</v>
      </c>
      <c r="S2679" s="366" t="s">
        <v>8581</v>
      </c>
      <c r="T2679" s="330"/>
      <c r="U2679" s="330"/>
      <c r="V2679" s="331"/>
      <c r="W2679" s="332"/>
      <c r="X2679" s="333"/>
      <c r="Y2679" s="33" t="s">
        <v>8076</v>
      </c>
      <c r="Z2679" s="368"/>
      <c r="AA2679" s="333"/>
      <c r="AB2679" s="258">
        <v>26.0</v>
      </c>
      <c r="AC2679" s="333"/>
      <c r="AD2679" s="329"/>
      <c r="AE2679" s="331"/>
      <c r="AF2679" s="336"/>
      <c r="AG2679" s="337"/>
      <c r="AH2679" s="333"/>
      <c r="AI2679" s="333"/>
      <c r="AJ2679" s="333"/>
      <c r="AK2679" s="333"/>
      <c r="AL2679" s="333"/>
      <c r="AM2679" s="338"/>
      <c r="AN2679" s="333"/>
      <c r="AO2679" s="333"/>
      <c r="AP2679" s="333"/>
      <c r="AQ2679" s="333"/>
      <c r="AR2679" s="333"/>
      <c r="AS2679" s="333"/>
      <c r="AT2679" s="333"/>
      <c r="AU2679" s="329"/>
      <c r="AV2679" s="341"/>
      <c r="AW2679" s="269" t="s">
        <v>1626</v>
      </c>
      <c r="AX2679" s="269" t="s">
        <v>2869</v>
      </c>
      <c r="AY2679" s="270" t="s">
        <v>695</v>
      </c>
      <c r="AZ2679" s="379"/>
      <c r="BA2679" s="265">
        <v>10.0</v>
      </c>
      <c r="BB2679" s="367"/>
      <c r="BC2679" s="341"/>
      <c r="BD2679" s="308" t="s">
        <v>1844</v>
      </c>
      <c r="BE2679" s="378"/>
      <c r="BF2679" s="274" t="str">
        <f>IFERROR(__xludf.DUMMYFUNCTION("LOWER(Regexreplace(to_text(E2679),""[^A-Za-z0-9]"","""")&amp;""_""&amp;Regexreplace(to_text(F2679),""[^A-Za-z0-9]"",""""))"),"schneider_pm1130h")</f>
        <v>schneider_pm1130h</v>
      </c>
      <c r="BG2679" s="275" t="str">
        <f>IFERROR(__xludf.DUMMYFUNCTION("upper(Regexreplace(to_text(E2679),""[^A-Za-z0-9]"","""")&amp;""-""&amp;Regexreplace(to_text(F2679),""[^A-Za-z0-9]"",""""))"),"SCHNEIDER-PM1130H")</f>
        <v>SCHNEIDER-PM1130H</v>
      </c>
    </row>
    <row r="2680" ht="30.0" customHeight="1">
      <c r="A2680" s="258"/>
      <c r="B2680" s="328" t="s">
        <v>670</v>
      </c>
      <c r="C2680" s="257" t="s">
        <v>8632</v>
      </c>
      <c r="D2680" s="173" t="s">
        <v>8632</v>
      </c>
      <c r="E2680" s="174" t="s">
        <v>8070</v>
      </c>
      <c r="F2680" s="173" t="s">
        <v>8579</v>
      </c>
      <c r="G2680" s="328" t="s">
        <v>673</v>
      </c>
      <c r="H2680" s="328" t="s">
        <v>2863</v>
      </c>
      <c r="I2680" s="258" t="s">
        <v>8072</v>
      </c>
      <c r="J2680" s="259" t="s">
        <v>739</v>
      </c>
      <c r="K2680" s="260" t="s">
        <v>8087</v>
      </c>
      <c r="L2680" s="365"/>
      <c r="M2680" s="329"/>
      <c r="N2680" s="173" t="s">
        <v>679</v>
      </c>
      <c r="O2680" s="173" t="s">
        <v>225</v>
      </c>
      <c r="P2680" s="262" t="str">
        <f t="shared" si="1"/>
        <v>IN-BLR-ANANTA-EM-227_G</v>
      </c>
      <c r="Q2680" s="173" t="s">
        <v>8633</v>
      </c>
      <c r="R2680" s="328" t="str">
        <f>IFS(C2680="","",C2680="n/a","N/A",LEN(C2680),Concatenate("{",char(34),"asset",char(34),":{",char(34),"guid",char(34),":",char(34),Q2680,char(34),",",char(34),"site",char(34),":",char(34),LOWER('2-Building'!$B$4),char(34),",",char(34),"name",char(34),":",char(34),LOWER(C2680),char(34),"}}"))</f>
        <v>{"asset":{"guid":"uuid://5c5c72d8-405b-4c7a-865a-717f3a863477","site":"in-blr-ananta","name":"em-227"}}</v>
      </c>
      <c r="S2680" s="366" t="s">
        <v>8581</v>
      </c>
      <c r="T2680" s="330"/>
      <c r="U2680" s="330"/>
      <c r="V2680" s="331"/>
      <c r="W2680" s="332"/>
      <c r="X2680" s="333"/>
      <c r="Y2680" s="33" t="s">
        <v>8076</v>
      </c>
      <c r="Z2680" s="368"/>
      <c r="AA2680" s="333"/>
      <c r="AB2680" s="258">
        <v>27.0</v>
      </c>
      <c r="AC2680" s="333"/>
      <c r="AD2680" s="329"/>
      <c r="AE2680" s="331"/>
      <c r="AF2680" s="336"/>
      <c r="AG2680" s="337"/>
      <c r="AH2680" s="333"/>
      <c r="AI2680" s="333"/>
      <c r="AJ2680" s="333"/>
      <c r="AK2680" s="333"/>
      <c r="AL2680" s="333"/>
      <c r="AM2680" s="338"/>
      <c r="AN2680" s="333"/>
      <c r="AO2680" s="333"/>
      <c r="AP2680" s="333"/>
      <c r="AQ2680" s="333"/>
      <c r="AR2680" s="333"/>
      <c r="AS2680" s="333"/>
      <c r="AT2680" s="333"/>
      <c r="AU2680" s="329"/>
      <c r="AV2680" s="341"/>
      <c r="AW2680" s="269" t="s">
        <v>1626</v>
      </c>
      <c r="AX2680" s="269" t="s">
        <v>2869</v>
      </c>
      <c r="AY2680" s="270" t="s">
        <v>695</v>
      </c>
      <c r="AZ2680" s="379"/>
      <c r="BA2680" s="265">
        <v>10.0</v>
      </c>
      <c r="BB2680" s="367"/>
      <c r="BC2680" s="341"/>
      <c r="BD2680" s="308" t="s">
        <v>1844</v>
      </c>
      <c r="BE2680" s="378"/>
      <c r="BF2680" s="274" t="str">
        <f>IFERROR(__xludf.DUMMYFUNCTION("LOWER(Regexreplace(to_text(E2680),""[^A-Za-z0-9]"","""")&amp;""_""&amp;Regexreplace(to_text(F2680),""[^A-Za-z0-9]"",""""))"),"schneider_pm1130h")</f>
        <v>schneider_pm1130h</v>
      </c>
      <c r="BG2680" s="275" t="str">
        <f>IFERROR(__xludf.DUMMYFUNCTION("upper(Regexreplace(to_text(E2680),""[^A-Za-z0-9]"","""")&amp;""-""&amp;Regexreplace(to_text(F2680),""[^A-Za-z0-9]"",""""))"),"SCHNEIDER-PM1130H")</f>
        <v>SCHNEIDER-PM1130H</v>
      </c>
    </row>
    <row r="2681" ht="30.0" customHeight="1">
      <c r="A2681" s="258"/>
      <c r="B2681" s="328" t="s">
        <v>670</v>
      </c>
      <c r="C2681" s="257" t="s">
        <v>8634</v>
      </c>
      <c r="D2681" s="173" t="s">
        <v>8634</v>
      </c>
      <c r="E2681" s="174" t="s">
        <v>8070</v>
      </c>
      <c r="F2681" s="173" t="s">
        <v>8579</v>
      </c>
      <c r="G2681" s="328" t="s">
        <v>673</v>
      </c>
      <c r="H2681" s="328" t="s">
        <v>2863</v>
      </c>
      <c r="I2681" s="258" t="s">
        <v>8072</v>
      </c>
      <c r="J2681" s="259" t="s">
        <v>739</v>
      </c>
      <c r="K2681" s="260" t="s">
        <v>8087</v>
      </c>
      <c r="L2681" s="365"/>
      <c r="M2681" s="329"/>
      <c r="N2681" s="173" t="s">
        <v>679</v>
      </c>
      <c r="O2681" s="173" t="s">
        <v>225</v>
      </c>
      <c r="P2681" s="262" t="str">
        <f t="shared" si="1"/>
        <v>IN-BLR-ANANTA-EM-228_G</v>
      </c>
      <c r="Q2681" s="173" t="s">
        <v>8635</v>
      </c>
      <c r="R2681" s="328" t="str">
        <f>IFS(C2681="","",C2681="n/a","N/A",LEN(C2681),Concatenate("{",char(34),"asset",char(34),":{",char(34),"guid",char(34),":",char(34),Q2681,char(34),",",char(34),"site",char(34),":",char(34),LOWER('2-Building'!$B$4),char(34),",",char(34),"name",char(34),":",char(34),LOWER(C2681),char(34),"}}"))</f>
        <v>{"asset":{"guid":"uuid://49cf4cf2-5467-499e-95ae-0c85f1dad323","site":"in-blr-ananta","name":"em-228"}}</v>
      </c>
      <c r="S2681" s="366" t="s">
        <v>8581</v>
      </c>
      <c r="T2681" s="330"/>
      <c r="U2681" s="330"/>
      <c r="V2681" s="331"/>
      <c r="W2681" s="332"/>
      <c r="X2681" s="333"/>
      <c r="Y2681" s="33" t="s">
        <v>8076</v>
      </c>
      <c r="Z2681" s="368"/>
      <c r="AA2681" s="333"/>
      <c r="AB2681" s="258">
        <v>28.0</v>
      </c>
      <c r="AC2681" s="333"/>
      <c r="AD2681" s="329"/>
      <c r="AE2681" s="331"/>
      <c r="AF2681" s="336"/>
      <c r="AG2681" s="337"/>
      <c r="AH2681" s="333"/>
      <c r="AI2681" s="333"/>
      <c r="AJ2681" s="333"/>
      <c r="AK2681" s="333"/>
      <c r="AL2681" s="333"/>
      <c r="AM2681" s="338"/>
      <c r="AN2681" s="333"/>
      <c r="AO2681" s="333"/>
      <c r="AP2681" s="333"/>
      <c r="AQ2681" s="333"/>
      <c r="AR2681" s="333"/>
      <c r="AS2681" s="333"/>
      <c r="AT2681" s="333"/>
      <c r="AU2681" s="329"/>
      <c r="AV2681" s="341"/>
      <c r="AW2681" s="269" t="s">
        <v>1626</v>
      </c>
      <c r="AX2681" s="269" t="s">
        <v>2869</v>
      </c>
      <c r="AY2681" s="270" t="s">
        <v>695</v>
      </c>
      <c r="AZ2681" s="379"/>
      <c r="BA2681" s="265">
        <v>10.0</v>
      </c>
      <c r="BB2681" s="367"/>
      <c r="BC2681" s="341"/>
      <c r="BD2681" s="308" t="s">
        <v>1844</v>
      </c>
      <c r="BE2681" s="378"/>
      <c r="BF2681" s="274" t="str">
        <f>IFERROR(__xludf.DUMMYFUNCTION("LOWER(Regexreplace(to_text(E2681),""[^A-Za-z0-9]"","""")&amp;""_""&amp;Regexreplace(to_text(F2681),""[^A-Za-z0-9]"",""""))"),"schneider_pm1130h")</f>
        <v>schneider_pm1130h</v>
      </c>
      <c r="BG2681" s="275" t="str">
        <f>IFERROR(__xludf.DUMMYFUNCTION("upper(Regexreplace(to_text(E2681),""[^A-Za-z0-9]"","""")&amp;""-""&amp;Regexreplace(to_text(F2681),""[^A-Za-z0-9]"",""""))"),"SCHNEIDER-PM1130H")</f>
        <v>SCHNEIDER-PM1130H</v>
      </c>
    </row>
    <row r="2682" ht="30.0" customHeight="1">
      <c r="A2682" s="258"/>
      <c r="B2682" s="328" t="s">
        <v>670</v>
      </c>
      <c r="C2682" s="257" t="s">
        <v>8636</v>
      </c>
      <c r="D2682" s="173" t="s">
        <v>8636</v>
      </c>
      <c r="E2682" s="174" t="s">
        <v>8070</v>
      </c>
      <c r="F2682" s="173" t="s">
        <v>8579</v>
      </c>
      <c r="G2682" s="328" t="s">
        <v>673</v>
      </c>
      <c r="H2682" s="328" t="s">
        <v>2863</v>
      </c>
      <c r="I2682" s="258" t="s">
        <v>8072</v>
      </c>
      <c r="J2682" s="259" t="s">
        <v>739</v>
      </c>
      <c r="K2682" s="260" t="s">
        <v>8087</v>
      </c>
      <c r="L2682" s="365"/>
      <c r="M2682" s="329"/>
      <c r="N2682" s="173" t="s">
        <v>679</v>
      </c>
      <c r="O2682" s="173" t="s">
        <v>225</v>
      </c>
      <c r="P2682" s="262" t="str">
        <f t="shared" si="1"/>
        <v>IN-BLR-ANANTA-EM-229_G</v>
      </c>
      <c r="Q2682" s="173" t="s">
        <v>8637</v>
      </c>
      <c r="R2682" s="328" t="str">
        <f>IFS(C2682="","",C2682="n/a","N/A",LEN(C2682),Concatenate("{",char(34),"asset",char(34),":{",char(34),"guid",char(34),":",char(34),Q2682,char(34),",",char(34),"site",char(34),":",char(34),LOWER('2-Building'!$B$4),char(34),",",char(34),"name",char(34),":",char(34),LOWER(C2682),char(34),"}}"))</f>
        <v>{"asset":{"guid":"uuid://c53238dd-b138-4c9c-9f9b-c1097f7c3dab","site":"in-blr-ananta","name":"em-229"}}</v>
      </c>
      <c r="S2682" s="366" t="s">
        <v>8581</v>
      </c>
      <c r="T2682" s="330"/>
      <c r="U2682" s="330"/>
      <c r="V2682" s="331"/>
      <c r="W2682" s="332"/>
      <c r="X2682" s="333"/>
      <c r="Y2682" s="33" t="s">
        <v>8076</v>
      </c>
      <c r="Z2682" s="368"/>
      <c r="AA2682" s="333"/>
      <c r="AB2682" s="258">
        <v>29.0</v>
      </c>
      <c r="AC2682" s="333"/>
      <c r="AD2682" s="329"/>
      <c r="AE2682" s="331"/>
      <c r="AF2682" s="336"/>
      <c r="AG2682" s="337"/>
      <c r="AH2682" s="333"/>
      <c r="AI2682" s="333"/>
      <c r="AJ2682" s="333"/>
      <c r="AK2682" s="333"/>
      <c r="AL2682" s="333"/>
      <c r="AM2682" s="338"/>
      <c r="AN2682" s="333"/>
      <c r="AO2682" s="333"/>
      <c r="AP2682" s="333"/>
      <c r="AQ2682" s="333"/>
      <c r="AR2682" s="333"/>
      <c r="AS2682" s="333"/>
      <c r="AT2682" s="333"/>
      <c r="AU2682" s="329"/>
      <c r="AV2682" s="341"/>
      <c r="AW2682" s="269" t="s">
        <v>1626</v>
      </c>
      <c r="AX2682" s="269" t="s">
        <v>2869</v>
      </c>
      <c r="AY2682" s="270" t="s">
        <v>695</v>
      </c>
      <c r="AZ2682" s="379"/>
      <c r="BA2682" s="265">
        <v>10.0</v>
      </c>
      <c r="BB2682" s="367"/>
      <c r="BC2682" s="341"/>
      <c r="BD2682" s="308" t="s">
        <v>1844</v>
      </c>
      <c r="BE2682" s="378"/>
      <c r="BF2682" s="274" t="str">
        <f>IFERROR(__xludf.DUMMYFUNCTION("LOWER(Regexreplace(to_text(E2682),""[^A-Za-z0-9]"","""")&amp;""_""&amp;Regexreplace(to_text(F2682),""[^A-Za-z0-9]"",""""))"),"schneider_pm1130h")</f>
        <v>schneider_pm1130h</v>
      </c>
      <c r="BG2682" s="275" t="str">
        <f>IFERROR(__xludf.DUMMYFUNCTION("upper(Regexreplace(to_text(E2682),""[^A-Za-z0-9]"","""")&amp;""-""&amp;Regexreplace(to_text(F2682),""[^A-Za-z0-9]"",""""))"),"SCHNEIDER-PM1130H")</f>
        <v>SCHNEIDER-PM1130H</v>
      </c>
    </row>
    <row r="2683" ht="30.0" customHeight="1">
      <c r="A2683" s="258"/>
      <c r="B2683" s="328" t="s">
        <v>670</v>
      </c>
      <c r="C2683" s="257" t="s">
        <v>8638</v>
      </c>
      <c r="D2683" s="173" t="s">
        <v>8638</v>
      </c>
      <c r="E2683" s="174" t="s">
        <v>8070</v>
      </c>
      <c r="F2683" s="173" t="s">
        <v>8579</v>
      </c>
      <c r="G2683" s="328" t="s">
        <v>673</v>
      </c>
      <c r="H2683" s="328" t="s">
        <v>2863</v>
      </c>
      <c r="I2683" s="258" t="s">
        <v>8072</v>
      </c>
      <c r="J2683" s="259" t="s">
        <v>739</v>
      </c>
      <c r="K2683" s="260" t="s">
        <v>8087</v>
      </c>
      <c r="L2683" s="365"/>
      <c r="M2683" s="329"/>
      <c r="N2683" s="173" t="s">
        <v>679</v>
      </c>
      <c r="O2683" s="173" t="s">
        <v>225</v>
      </c>
      <c r="P2683" s="262" t="str">
        <f t="shared" si="1"/>
        <v>IN-BLR-ANANTA-EM-230_G</v>
      </c>
      <c r="Q2683" s="173" t="s">
        <v>8639</v>
      </c>
      <c r="R2683" s="328" t="str">
        <f>IFS(C2683="","",C2683="n/a","N/A",LEN(C2683),Concatenate("{",char(34),"asset",char(34),":{",char(34),"guid",char(34),":",char(34),Q2683,char(34),",",char(34),"site",char(34),":",char(34),LOWER('2-Building'!$B$4),char(34),",",char(34),"name",char(34),":",char(34),LOWER(C2683),char(34),"}}"))</f>
        <v>{"asset":{"guid":"uuid://a9591666-2cec-46b7-8669-f6e47e2fa033","site":"in-blr-ananta","name":"em-230"}}</v>
      </c>
      <c r="S2683" s="366" t="s">
        <v>8581</v>
      </c>
      <c r="T2683" s="330"/>
      <c r="U2683" s="330"/>
      <c r="V2683" s="331"/>
      <c r="W2683" s="332"/>
      <c r="X2683" s="333"/>
      <c r="Y2683" s="33" t="s">
        <v>8076</v>
      </c>
      <c r="Z2683" s="368"/>
      <c r="AA2683" s="333"/>
      <c r="AB2683" s="258">
        <v>30.0</v>
      </c>
      <c r="AC2683" s="333"/>
      <c r="AD2683" s="329"/>
      <c r="AE2683" s="331"/>
      <c r="AF2683" s="336"/>
      <c r="AG2683" s="337"/>
      <c r="AH2683" s="333"/>
      <c r="AI2683" s="333"/>
      <c r="AJ2683" s="333"/>
      <c r="AK2683" s="333"/>
      <c r="AL2683" s="333"/>
      <c r="AM2683" s="338"/>
      <c r="AN2683" s="333"/>
      <c r="AO2683" s="333"/>
      <c r="AP2683" s="333"/>
      <c r="AQ2683" s="333"/>
      <c r="AR2683" s="333"/>
      <c r="AS2683" s="333"/>
      <c r="AT2683" s="333"/>
      <c r="AU2683" s="329"/>
      <c r="AV2683" s="341"/>
      <c r="AW2683" s="269" t="s">
        <v>1626</v>
      </c>
      <c r="AX2683" s="269" t="s">
        <v>2869</v>
      </c>
      <c r="AY2683" s="270" t="s">
        <v>695</v>
      </c>
      <c r="AZ2683" s="379"/>
      <c r="BA2683" s="265">
        <v>10.0</v>
      </c>
      <c r="BB2683" s="367"/>
      <c r="BC2683" s="341"/>
      <c r="BD2683" s="308" t="s">
        <v>1844</v>
      </c>
      <c r="BE2683" s="378"/>
      <c r="BF2683" s="274" t="str">
        <f>IFERROR(__xludf.DUMMYFUNCTION("LOWER(Regexreplace(to_text(E2683),""[^A-Za-z0-9]"","""")&amp;""_""&amp;Regexreplace(to_text(F2683),""[^A-Za-z0-9]"",""""))"),"schneider_pm1130h")</f>
        <v>schneider_pm1130h</v>
      </c>
      <c r="BG2683" s="275" t="str">
        <f>IFERROR(__xludf.DUMMYFUNCTION("upper(Regexreplace(to_text(E2683),""[^A-Za-z0-9]"","""")&amp;""-""&amp;Regexreplace(to_text(F2683),""[^A-Za-z0-9]"",""""))"),"SCHNEIDER-PM1130H")</f>
        <v>SCHNEIDER-PM1130H</v>
      </c>
    </row>
    <row r="2684" ht="30.0" customHeight="1">
      <c r="A2684" s="258"/>
      <c r="B2684" s="328" t="s">
        <v>670</v>
      </c>
      <c r="C2684" s="257" t="s">
        <v>8640</v>
      </c>
      <c r="D2684" s="173" t="s">
        <v>8640</v>
      </c>
      <c r="E2684" s="174" t="s">
        <v>8070</v>
      </c>
      <c r="F2684" s="173" t="s">
        <v>8579</v>
      </c>
      <c r="G2684" s="328" t="s">
        <v>673</v>
      </c>
      <c r="H2684" s="328" t="s">
        <v>2863</v>
      </c>
      <c r="I2684" s="258" t="s">
        <v>8072</v>
      </c>
      <c r="J2684" s="259" t="s">
        <v>739</v>
      </c>
      <c r="K2684" s="260" t="s">
        <v>8087</v>
      </c>
      <c r="L2684" s="365"/>
      <c r="M2684" s="329"/>
      <c r="N2684" s="173" t="s">
        <v>679</v>
      </c>
      <c r="O2684" s="173" t="s">
        <v>225</v>
      </c>
      <c r="P2684" s="262" t="str">
        <f t="shared" si="1"/>
        <v>IN-BLR-ANANTA-EM-231_G</v>
      </c>
      <c r="Q2684" s="173" t="s">
        <v>8641</v>
      </c>
      <c r="R2684" s="328" t="str">
        <f>IFS(C2684="","",C2684="n/a","N/A",LEN(C2684),Concatenate("{",char(34),"asset",char(34),":{",char(34),"guid",char(34),":",char(34),Q2684,char(34),",",char(34),"site",char(34),":",char(34),LOWER('2-Building'!$B$4),char(34),",",char(34),"name",char(34),":",char(34),LOWER(C2684),char(34),"}}"))</f>
        <v>{"asset":{"guid":"uuid://077001d5-3df5-4541-a7c3-26914669df31","site":"in-blr-ananta","name":"em-231"}}</v>
      </c>
      <c r="S2684" s="366" t="s">
        <v>8581</v>
      </c>
      <c r="T2684" s="330"/>
      <c r="U2684" s="330"/>
      <c r="V2684" s="331"/>
      <c r="W2684" s="332"/>
      <c r="X2684" s="333"/>
      <c r="Y2684" s="33" t="s">
        <v>8076</v>
      </c>
      <c r="Z2684" s="368"/>
      <c r="AA2684" s="333"/>
      <c r="AB2684" s="258">
        <v>31.0</v>
      </c>
      <c r="AC2684" s="333"/>
      <c r="AD2684" s="329"/>
      <c r="AE2684" s="331"/>
      <c r="AF2684" s="336"/>
      <c r="AG2684" s="337"/>
      <c r="AH2684" s="333"/>
      <c r="AI2684" s="333"/>
      <c r="AJ2684" s="333"/>
      <c r="AK2684" s="333"/>
      <c r="AL2684" s="333"/>
      <c r="AM2684" s="338"/>
      <c r="AN2684" s="333"/>
      <c r="AO2684" s="333"/>
      <c r="AP2684" s="333"/>
      <c r="AQ2684" s="333"/>
      <c r="AR2684" s="333"/>
      <c r="AS2684" s="333"/>
      <c r="AT2684" s="333"/>
      <c r="AU2684" s="329"/>
      <c r="AV2684" s="341"/>
      <c r="AW2684" s="269" t="s">
        <v>1626</v>
      </c>
      <c r="AX2684" s="269" t="s">
        <v>2869</v>
      </c>
      <c r="AY2684" s="270" t="s">
        <v>695</v>
      </c>
      <c r="AZ2684" s="379"/>
      <c r="BA2684" s="265">
        <v>10.0</v>
      </c>
      <c r="BB2684" s="367"/>
      <c r="BC2684" s="341"/>
      <c r="BD2684" s="308" t="s">
        <v>1844</v>
      </c>
      <c r="BE2684" s="378"/>
      <c r="BF2684" s="274" t="str">
        <f>IFERROR(__xludf.DUMMYFUNCTION("LOWER(Regexreplace(to_text(E2684),""[^A-Za-z0-9]"","""")&amp;""_""&amp;Regexreplace(to_text(F2684),""[^A-Za-z0-9]"",""""))"),"schneider_pm1130h")</f>
        <v>schneider_pm1130h</v>
      </c>
      <c r="BG2684" s="275" t="str">
        <f>IFERROR(__xludf.DUMMYFUNCTION("upper(Regexreplace(to_text(E2684),""[^A-Za-z0-9]"","""")&amp;""-""&amp;Regexreplace(to_text(F2684),""[^A-Za-z0-9]"",""""))"),"SCHNEIDER-PM1130H")</f>
        <v>SCHNEIDER-PM1130H</v>
      </c>
    </row>
    <row r="2685" ht="30.0" customHeight="1">
      <c r="A2685" s="258"/>
      <c r="B2685" s="328" t="s">
        <v>670</v>
      </c>
      <c r="C2685" s="257" t="s">
        <v>8642</v>
      </c>
      <c r="D2685" s="173" t="s">
        <v>8642</v>
      </c>
      <c r="E2685" s="174" t="s">
        <v>8070</v>
      </c>
      <c r="F2685" s="173" t="s">
        <v>8579</v>
      </c>
      <c r="G2685" s="328" t="s">
        <v>673</v>
      </c>
      <c r="H2685" s="328" t="s">
        <v>2863</v>
      </c>
      <c r="I2685" s="258" t="s">
        <v>8072</v>
      </c>
      <c r="J2685" s="259" t="s">
        <v>739</v>
      </c>
      <c r="K2685" s="260" t="s">
        <v>8087</v>
      </c>
      <c r="L2685" s="365"/>
      <c r="M2685" s="329"/>
      <c r="N2685" s="173" t="s">
        <v>679</v>
      </c>
      <c r="O2685" s="173" t="s">
        <v>225</v>
      </c>
      <c r="P2685" s="262" t="str">
        <f t="shared" si="1"/>
        <v>IN-BLR-ANANTA-EM-232_G</v>
      </c>
      <c r="Q2685" s="173" t="s">
        <v>8643</v>
      </c>
      <c r="R2685" s="328" t="str">
        <f>IFS(C2685="","",C2685="n/a","N/A",LEN(C2685),Concatenate("{",char(34),"asset",char(34),":{",char(34),"guid",char(34),":",char(34),Q2685,char(34),",",char(34),"site",char(34),":",char(34),LOWER('2-Building'!$B$4),char(34),",",char(34),"name",char(34),":",char(34),LOWER(C2685),char(34),"}}"))</f>
        <v>{"asset":{"guid":"uuid://bf886712-28a2-45ee-904b-5dd8503e0fda","site":"in-blr-ananta","name":"em-232"}}</v>
      </c>
      <c r="S2685" s="366" t="s">
        <v>8581</v>
      </c>
      <c r="T2685" s="330"/>
      <c r="U2685" s="330"/>
      <c r="V2685" s="331"/>
      <c r="W2685" s="332"/>
      <c r="X2685" s="333"/>
      <c r="Y2685" s="33" t="s">
        <v>8076</v>
      </c>
      <c r="Z2685" s="368"/>
      <c r="AA2685" s="333"/>
      <c r="AB2685" s="258">
        <v>32.0</v>
      </c>
      <c r="AC2685" s="333"/>
      <c r="AD2685" s="329"/>
      <c r="AE2685" s="331"/>
      <c r="AF2685" s="336"/>
      <c r="AG2685" s="337"/>
      <c r="AH2685" s="333"/>
      <c r="AI2685" s="333"/>
      <c r="AJ2685" s="333"/>
      <c r="AK2685" s="333"/>
      <c r="AL2685" s="333"/>
      <c r="AM2685" s="338"/>
      <c r="AN2685" s="333"/>
      <c r="AO2685" s="333"/>
      <c r="AP2685" s="333"/>
      <c r="AQ2685" s="333"/>
      <c r="AR2685" s="333"/>
      <c r="AS2685" s="333"/>
      <c r="AT2685" s="333"/>
      <c r="AU2685" s="329"/>
      <c r="AV2685" s="341"/>
      <c r="AW2685" s="269" t="s">
        <v>1626</v>
      </c>
      <c r="AX2685" s="269" t="s">
        <v>2869</v>
      </c>
      <c r="AY2685" s="270" t="s">
        <v>695</v>
      </c>
      <c r="AZ2685" s="379"/>
      <c r="BA2685" s="265">
        <v>10.0</v>
      </c>
      <c r="BB2685" s="367"/>
      <c r="BC2685" s="341"/>
      <c r="BD2685" s="308" t="s">
        <v>1844</v>
      </c>
      <c r="BE2685" s="378"/>
      <c r="BF2685" s="274" t="str">
        <f>IFERROR(__xludf.DUMMYFUNCTION("LOWER(Regexreplace(to_text(E2685),""[^A-Za-z0-9]"","""")&amp;""_""&amp;Regexreplace(to_text(F2685),""[^A-Za-z0-9]"",""""))"),"schneider_pm1130h")</f>
        <v>schneider_pm1130h</v>
      </c>
      <c r="BG2685" s="275" t="str">
        <f>IFERROR(__xludf.DUMMYFUNCTION("upper(Regexreplace(to_text(E2685),""[^A-Za-z0-9]"","""")&amp;""-""&amp;Regexreplace(to_text(F2685),""[^A-Za-z0-9]"",""""))"),"SCHNEIDER-PM1130H")</f>
        <v>SCHNEIDER-PM1130H</v>
      </c>
    </row>
    <row r="2686" ht="30.0" customHeight="1">
      <c r="A2686" s="258"/>
      <c r="B2686" s="328" t="s">
        <v>670</v>
      </c>
      <c r="C2686" s="257" t="s">
        <v>8644</v>
      </c>
      <c r="D2686" s="173" t="s">
        <v>8644</v>
      </c>
      <c r="E2686" s="174" t="s">
        <v>8070</v>
      </c>
      <c r="F2686" s="173" t="s">
        <v>8579</v>
      </c>
      <c r="G2686" s="328" t="s">
        <v>673</v>
      </c>
      <c r="H2686" s="328" t="s">
        <v>2863</v>
      </c>
      <c r="I2686" s="258" t="s">
        <v>8072</v>
      </c>
      <c r="J2686" s="259" t="s">
        <v>739</v>
      </c>
      <c r="K2686" s="260" t="s">
        <v>8087</v>
      </c>
      <c r="L2686" s="365"/>
      <c r="M2686" s="329"/>
      <c r="N2686" s="173" t="s">
        <v>679</v>
      </c>
      <c r="O2686" s="173" t="s">
        <v>225</v>
      </c>
      <c r="P2686" s="262" t="str">
        <f t="shared" si="1"/>
        <v>IN-BLR-ANANTA-EM-233_G</v>
      </c>
      <c r="Q2686" s="173" t="s">
        <v>8645</v>
      </c>
      <c r="R2686" s="328" t="str">
        <f>IFS(C2686="","",C2686="n/a","N/A",LEN(C2686),Concatenate("{",char(34),"asset",char(34),":{",char(34),"guid",char(34),":",char(34),Q2686,char(34),",",char(34),"site",char(34),":",char(34),LOWER('2-Building'!$B$4),char(34),",",char(34),"name",char(34),":",char(34),LOWER(C2686),char(34),"}}"))</f>
        <v>{"asset":{"guid":"uuid://234399ed-3b94-4b64-8812-4ecb56bed3c4","site":"in-blr-ananta","name":"em-233"}}</v>
      </c>
      <c r="S2686" s="366" t="s">
        <v>8581</v>
      </c>
      <c r="T2686" s="330"/>
      <c r="U2686" s="330"/>
      <c r="V2686" s="331"/>
      <c r="W2686" s="332"/>
      <c r="X2686" s="333"/>
      <c r="Y2686" s="33" t="s">
        <v>8076</v>
      </c>
      <c r="Z2686" s="368"/>
      <c r="AA2686" s="333"/>
      <c r="AB2686" s="258">
        <v>1.0</v>
      </c>
      <c r="AC2686" s="333"/>
      <c r="AD2686" s="329"/>
      <c r="AE2686" s="331"/>
      <c r="AF2686" s="336"/>
      <c r="AG2686" s="337"/>
      <c r="AH2686" s="333"/>
      <c r="AI2686" s="333"/>
      <c r="AJ2686" s="333"/>
      <c r="AK2686" s="333"/>
      <c r="AL2686" s="333"/>
      <c r="AM2686" s="338"/>
      <c r="AN2686" s="333"/>
      <c r="AO2686" s="333"/>
      <c r="AP2686" s="333"/>
      <c r="AQ2686" s="333"/>
      <c r="AR2686" s="333"/>
      <c r="AS2686" s="333"/>
      <c r="AT2686" s="333"/>
      <c r="AU2686" s="329"/>
      <c r="AV2686" s="341"/>
      <c r="AW2686" s="269" t="s">
        <v>1800</v>
      </c>
      <c r="AX2686" s="269" t="s">
        <v>2869</v>
      </c>
      <c r="AY2686" s="270" t="s">
        <v>695</v>
      </c>
      <c r="AZ2686" s="379"/>
      <c r="BA2686" s="265">
        <v>10.0</v>
      </c>
      <c r="BB2686" s="367"/>
      <c r="BC2686" s="341"/>
      <c r="BD2686" s="308" t="s">
        <v>1844</v>
      </c>
      <c r="BE2686" s="378"/>
      <c r="BF2686" s="274" t="str">
        <f>IFERROR(__xludf.DUMMYFUNCTION("LOWER(Regexreplace(to_text(E2686),""[^A-Za-z0-9]"","""")&amp;""_""&amp;Regexreplace(to_text(F2686),""[^A-Za-z0-9]"",""""))"),"schneider_pm1130h")</f>
        <v>schneider_pm1130h</v>
      </c>
      <c r="BG2686" s="275" t="str">
        <f>IFERROR(__xludf.DUMMYFUNCTION("upper(Regexreplace(to_text(E2686),""[^A-Za-z0-9]"","""")&amp;""-""&amp;Regexreplace(to_text(F2686),""[^A-Za-z0-9]"",""""))"),"SCHNEIDER-PM1130H")</f>
        <v>SCHNEIDER-PM1130H</v>
      </c>
    </row>
    <row r="2687" ht="30.0" customHeight="1">
      <c r="A2687" s="258"/>
      <c r="B2687" s="328" t="s">
        <v>670</v>
      </c>
      <c r="C2687" s="257" t="s">
        <v>8646</v>
      </c>
      <c r="D2687" s="173" t="s">
        <v>8646</v>
      </c>
      <c r="E2687" s="174" t="s">
        <v>8070</v>
      </c>
      <c r="F2687" s="173" t="s">
        <v>8579</v>
      </c>
      <c r="G2687" s="328" t="s">
        <v>673</v>
      </c>
      <c r="H2687" s="328" t="s">
        <v>2863</v>
      </c>
      <c r="I2687" s="258" t="s">
        <v>8072</v>
      </c>
      <c r="J2687" s="259" t="s">
        <v>739</v>
      </c>
      <c r="K2687" s="260" t="s">
        <v>8087</v>
      </c>
      <c r="L2687" s="365"/>
      <c r="M2687" s="329"/>
      <c r="N2687" s="173" t="s">
        <v>679</v>
      </c>
      <c r="O2687" s="173" t="s">
        <v>225</v>
      </c>
      <c r="P2687" s="262" t="str">
        <f t="shared" si="1"/>
        <v>IN-BLR-ANANTA-EM-234_G</v>
      </c>
      <c r="Q2687" s="173" t="s">
        <v>8647</v>
      </c>
      <c r="R2687" s="328" t="str">
        <f>IFS(C2687="","",C2687="n/a","N/A",LEN(C2687),Concatenate("{",char(34),"asset",char(34),":{",char(34),"guid",char(34),":",char(34),Q2687,char(34),",",char(34),"site",char(34),":",char(34),LOWER('2-Building'!$B$4),char(34),",",char(34),"name",char(34),":",char(34),LOWER(C2687),char(34),"}}"))</f>
        <v>{"asset":{"guid":"uuid://1d8c7291-2910-46b7-a302-e811ca2b7db8","site":"in-blr-ananta","name":"em-234"}}</v>
      </c>
      <c r="S2687" s="366" t="s">
        <v>8581</v>
      </c>
      <c r="T2687" s="330"/>
      <c r="U2687" s="330"/>
      <c r="V2687" s="331"/>
      <c r="W2687" s="332"/>
      <c r="X2687" s="333"/>
      <c r="Y2687" s="33" t="s">
        <v>8076</v>
      </c>
      <c r="Z2687" s="368"/>
      <c r="AA2687" s="333"/>
      <c r="AB2687" s="258">
        <v>2.0</v>
      </c>
      <c r="AC2687" s="333"/>
      <c r="AD2687" s="329"/>
      <c r="AE2687" s="331"/>
      <c r="AF2687" s="336"/>
      <c r="AG2687" s="337"/>
      <c r="AH2687" s="333"/>
      <c r="AI2687" s="333"/>
      <c r="AJ2687" s="333"/>
      <c r="AK2687" s="333"/>
      <c r="AL2687" s="333"/>
      <c r="AM2687" s="338"/>
      <c r="AN2687" s="333"/>
      <c r="AO2687" s="333"/>
      <c r="AP2687" s="333"/>
      <c r="AQ2687" s="333"/>
      <c r="AR2687" s="333"/>
      <c r="AS2687" s="333"/>
      <c r="AT2687" s="333"/>
      <c r="AU2687" s="329"/>
      <c r="AV2687" s="341"/>
      <c r="AW2687" s="269" t="s">
        <v>1800</v>
      </c>
      <c r="AX2687" s="269" t="s">
        <v>2869</v>
      </c>
      <c r="AY2687" s="270" t="s">
        <v>695</v>
      </c>
      <c r="AZ2687" s="379"/>
      <c r="BA2687" s="265">
        <v>10.0</v>
      </c>
      <c r="BB2687" s="367"/>
      <c r="BC2687" s="341"/>
      <c r="BD2687" s="308" t="s">
        <v>1844</v>
      </c>
      <c r="BE2687" s="378"/>
      <c r="BF2687" s="274" t="str">
        <f>IFERROR(__xludf.DUMMYFUNCTION("LOWER(Regexreplace(to_text(E2687),""[^A-Za-z0-9]"","""")&amp;""_""&amp;Regexreplace(to_text(F2687),""[^A-Za-z0-9]"",""""))"),"schneider_pm1130h")</f>
        <v>schneider_pm1130h</v>
      </c>
      <c r="BG2687" s="275" t="str">
        <f>IFERROR(__xludf.DUMMYFUNCTION("upper(Regexreplace(to_text(E2687),""[^A-Za-z0-9]"","""")&amp;""-""&amp;Regexreplace(to_text(F2687),""[^A-Za-z0-9]"",""""))"),"SCHNEIDER-PM1130H")</f>
        <v>SCHNEIDER-PM1130H</v>
      </c>
    </row>
    <row r="2688" ht="30.0" customHeight="1">
      <c r="A2688" s="258"/>
      <c r="B2688" s="328" t="s">
        <v>670</v>
      </c>
      <c r="C2688" s="257" t="s">
        <v>8648</v>
      </c>
      <c r="D2688" s="173" t="s">
        <v>8648</v>
      </c>
      <c r="E2688" s="174" t="s">
        <v>8070</v>
      </c>
      <c r="F2688" s="173" t="s">
        <v>8579</v>
      </c>
      <c r="G2688" s="328" t="s">
        <v>673</v>
      </c>
      <c r="H2688" s="328" t="s">
        <v>2863</v>
      </c>
      <c r="I2688" s="258" t="s">
        <v>8072</v>
      </c>
      <c r="J2688" s="259" t="s">
        <v>739</v>
      </c>
      <c r="K2688" s="260" t="s">
        <v>8087</v>
      </c>
      <c r="L2688" s="365"/>
      <c r="M2688" s="329"/>
      <c r="N2688" s="173" t="s">
        <v>679</v>
      </c>
      <c r="O2688" s="173" t="s">
        <v>225</v>
      </c>
      <c r="P2688" s="262" t="str">
        <f t="shared" si="1"/>
        <v>IN-BLR-ANANTA-EM-235_G</v>
      </c>
      <c r="Q2688" s="173" t="s">
        <v>8649</v>
      </c>
      <c r="R2688" s="328" t="str">
        <f>IFS(C2688="","",C2688="n/a","N/A",LEN(C2688),Concatenate("{",char(34),"asset",char(34),":{",char(34),"guid",char(34),":",char(34),Q2688,char(34),",",char(34),"site",char(34),":",char(34),LOWER('2-Building'!$B$4),char(34),",",char(34),"name",char(34),":",char(34),LOWER(C2688),char(34),"}}"))</f>
        <v>{"asset":{"guid":"uuid://754c9be2-dbc3-4a6d-a07b-07eee4e82b6f","site":"in-blr-ananta","name":"em-235"}}</v>
      </c>
      <c r="S2688" s="366" t="s">
        <v>8581</v>
      </c>
      <c r="T2688" s="330"/>
      <c r="U2688" s="330"/>
      <c r="V2688" s="331"/>
      <c r="W2688" s="332"/>
      <c r="X2688" s="333"/>
      <c r="Y2688" s="33" t="s">
        <v>8076</v>
      </c>
      <c r="Z2688" s="368"/>
      <c r="AA2688" s="333"/>
      <c r="AB2688" s="258">
        <v>3.0</v>
      </c>
      <c r="AC2688" s="333"/>
      <c r="AD2688" s="329"/>
      <c r="AE2688" s="331"/>
      <c r="AF2688" s="336"/>
      <c r="AG2688" s="337"/>
      <c r="AH2688" s="333"/>
      <c r="AI2688" s="333"/>
      <c r="AJ2688" s="333"/>
      <c r="AK2688" s="333"/>
      <c r="AL2688" s="333"/>
      <c r="AM2688" s="338"/>
      <c r="AN2688" s="333"/>
      <c r="AO2688" s="333"/>
      <c r="AP2688" s="333"/>
      <c r="AQ2688" s="333"/>
      <c r="AR2688" s="333"/>
      <c r="AS2688" s="333"/>
      <c r="AT2688" s="333"/>
      <c r="AU2688" s="329"/>
      <c r="AV2688" s="341"/>
      <c r="AW2688" s="269" t="s">
        <v>1800</v>
      </c>
      <c r="AX2688" s="269" t="s">
        <v>2869</v>
      </c>
      <c r="AY2688" s="270" t="s">
        <v>695</v>
      </c>
      <c r="AZ2688" s="379"/>
      <c r="BA2688" s="265">
        <v>10.0</v>
      </c>
      <c r="BB2688" s="367"/>
      <c r="BC2688" s="341"/>
      <c r="BD2688" s="308" t="s">
        <v>1844</v>
      </c>
      <c r="BE2688" s="378"/>
      <c r="BF2688" s="274" t="str">
        <f>IFERROR(__xludf.DUMMYFUNCTION("LOWER(Regexreplace(to_text(E2688),""[^A-Za-z0-9]"","""")&amp;""_""&amp;Regexreplace(to_text(F2688),""[^A-Za-z0-9]"",""""))"),"schneider_pm1130h")</f>
        <v>schneider_pm1130h</v>
      </c>
      <c r="BG2688" s="275" t="str">
        <f>IFERROR(__xludf.DUMMYFUNCTION("upper(Regexreplace(to_text(E2688),""[^A-Za-z0-9]"","""")&amp;""-""&amp;Regexreplace(to_text(F2688),""[^A-Za-z0-9]"",""""))"),"SCHNEIDER-PM1130H")</f>
        <v>SCHNEIDER-PM1130H</v>
      </c>
    </row>
    <row r="2689" ht="30.0" customHeight="1">
      <c r="A2689" s="258"/>
      <c r="B2689" s="328" t="s">
        <v>670</v>
      </c>
      <c r="C2689" s="257" t="s">
        <v>8650</v>
      </c>
      <c r="D2689" s="173" t="s">
        <v>8650</v>
      </c>
      <c r="E2689" s="174" t="s">
        <v>8070</v>
      </c>
      <c r="F2689" s="173" t="s">
        <v>8579</v>
      </c>
      <c r="G2689" s="328" t="s">
        <v>673</v>
      </c>
      <c r="H2689" s="328" t="s">
        <v>2863</v>
      </c>
      <c r="I2689" s="258" t="s">
        <v>8072</v>
      </c>
      <c r="J2689" s="259" t="s">
        <v>739</v>
      </c>
      <c r="K2689" s="260" t="s">
        <v>8087</v>
      </c>
      <c r="L2689" s="365"/>
      <c r="M2689" s="329"/>
      <c r="N2689" s="173" t="s">
        <v>679</v>
      </c>
      <c r="O2689" s="173" t="s">
        <v>225</v>
      </c>
      <c r="P2689" s="262" t="str">
        <f t="shared" si="1"/>
        <v>IN-BLR-ANANTA-EM-236_G</v>
      </c>
      <c r="Q2689" s="173" t="s">
        <v>8651</v>
      </c>
      <c r="R2689" s="328" t="str">
        <f>IFS(C2689="","",C2689="n/a","N/A",LEN(C2689),Concatenate("{",char(34),"asset",char(34),":{",char(34),"guid",char(34),":",char(34),Q2689,char(34),",",char(34),"site",char(34),":",char(34),LOWER('2-Building'!$B$4),char(34),",",char(34),"name",char(34),":",char(34),LOWER(C2689),char(34),"}}"))</f>
        <v>{"asset":{"guid":"uuid://1e3a2440-1f16-4427-a985-9ab403ecba01","site":"in-blr-ananta","name":"em-236"}}</v>
      </c>
      <c r="S2689" s="366" t="s">
        <v>8581</v>
      </c>
      <c r="T2689" s="330"/>
      <c r="U2689" s="330"/>
      <c r="V2689" s="331"/>
      <c r="W2689" s="332"/>
      <c r="X2689" s="333"/>
      <c r="Y2689" s="33" t="s">
        <v>8076</v>
      </c>
      <c r="Z2689" s="368"/>
      <c r="AA2689" s="333"/>
      <c r="AB2689" s="258">
        <v>4.0</v>
      </c>
      <c r="AC2689" s="333"/>
      <c r="AD2689" s="329"/>
      <c r="AE2689" s="331"/>
      <c r="AF2689" s="336"/>
      <c r="AG2689" s="337"/>
      <c r="AH2689" s="333"/>
      <c r="AI2689" s="333"/>
      <c r="AJ2689" s="333"/>
      <c r="AK2689" s="333"/>
      <c r="AL2689" s="333"/>
      <c r="AM2689" s="338"/>
      <c r="AN2689" s="333"/>
      <c r="AO2689" s="333"/>
      <c r="AP2689" s="333"/>
      <c r="AQ2689" s="333"/>
      <c r="AR2689" s="333"/>
      <c r="AS2689" s="333"/>
      <c r="AT2689" s="333"/>
      <c r="AU2689" s="329"/>
      <c r="AV2689" s="341"/>
      <c r="AW2689" s="269" t="s">
        <v>1800</v>
      </c>
      <c r="AX2689" s="269" t="s">
        <v>2869</v>
      </c>
      <c r="AY2689" s="270" t="s">
        <v>695</v>
      </c>
      <c r="AZ2689" s="379"/>
      <c r="BA2689" s="265">
        <v>10.0</v>
      </c>
      <c r="BB2689" s="367"/>
      <c r="BC2689" s="341"/>
      <c r="BD2689" s="308" t="s">
        <v>1844</v>
      </c>
      <c r="BE2689" s="378"/>
      <c r="BF2689" s="274" t="str">
        <f>IFERROR(__xludf.DUMMYFUNCTION("LOWER(Regexreplace(to_text(E2689),""[^A-Za-z0-9]"","""")&amp;""_""&amp;Regexreplace(to_text(F2689),""[^A-Za-z0-9]"",""""))"),"schneider_pm1130h")</f>
        <v>schneider_pm1130h</v>
      </c>
      <c r="BG2689" s="275" t="str">
        <f>IFERROR(__xludf.DUMMYFUNCTION("upper(Regexreplace(to_text(E2689),""[^A-Za-z0-9]"","""")&amp;""-""&amp;Regexreplace(to_text(F2689),""[^A-Za-z0-9]"",""""))"),"SCHNEIDER-PM1130H")</f>
        <v>SCHNEIDER-PM1130H</v>
      </c>
    </row>
    <row r="2690" ht="30.0" customHeight="1">
      <c r="A2690" s="258"/>
      <c r="B2690" s="328" t="s">
        <v>670</v>
      </c>
      <c r="C2690" s="257" t="s">
        <v>8652</v>
      </c>
      <c r="D2690" s="173" t="s">
        <v>8652</v>
      </c>
      <c r="E2690" s="174" t="s">
        <v>8070</v>
      </c>
      <c r="F2690" s="173" t="s">
        <v>8579</v>
      </c>
      <c r="G2690" s="328" t="s">
        <v>673</v>
      </c>
      <c r="H2690" s="328" t="s">
        <v>2863</v>
      </c>
      <c r="I2690" s="258" t="s">
        <v>8072</v>
      </c>
      <c r="J2690" s="259" t="s">
        <v>739</v>
      </c>
      <c r="K2690" s="260" t="s">
        <v>8087</v>
      </c>
      <c r="L2690" s="365"/>
      <c r="M2690" s="329"/>
      <c r="N2690" s="173" t="s">
        <v>679</v>
      </c>
      <c r="O2690" s="173" t="s">
        <v>225</v>
      </c>
      <c r="P2690" s="262" t="str">
        <f t="shared" si="1"/>
        <v>IN-BLR-ANANTA-EM-237_G</v>
      </c>
      <c r="Q2690" s="173" t="s">
        <v>8653</v>
      </c>
      <c r="R2690" s="328" t="str">
        <f>IFS(C2690="","",C2690="n/a","N/A",LEN(C2690),Concatenate("{",char(34),"asset",char(34),":{",char(34),"guid",char(34),":",char(34),Q2690,char(34),",",char(34),"site",char(34),":",char(34),LOWER('2-Building'!$B$4),char(34),",",char(34),"name",char(34),":",char(34),LOWER(C2690),char(34),"}}"))</f>
        <v>{"asset":{"guid":"uuid://30fd74d2-df90-4593-80f5-7b7636b83de4","site":"in-blr-ananta","name":"em-237"}}</v>
      </c>
      <c r="S2690" s="366" t="s">
        <v>8581</v>
      </c>
      <c r="T2690" s="330"/>
      <c r="U2690" s="330"/>
      <c r="V2690" s="331"/>
      <c r="W2690" s="332"/>
      <c r="X2690" s="333"/>
      <c r="Y2690" s="33" t="s">
        <v>8076</v>
      </c>
      <c r="Z2690" s="368"/>
      <c r="AA2690" s="333"/>
      <c r="AB2690" s="258">
        <v>5.0</v>
      </c>
      <c r="AC2690" s="333"/>
      <c r="AD2690" s="329"/>
      <c r="AE2690" s="331"/>
      <c r="AF2690" s="336"/>
      <c r="AG2690" s="337"/>
      <c r="AH2690" s="333"/>
      <c r="AI2690" s="333"/>
      <c r="AJ2690" s="333"/>
      <c r="AK2690" s="333"/>
      <c r="AL2690" s="333"/>
      <c r="AM2690" s="338"/>
      <c r="AN2690" s="333"/>
      <c r="AO2690" s="333"/>
      <c r="AP2690" s="333"/>
      <c r="AQ2690" s="333"/>
      <c r="AR2690" s="333"/>
      <c r="AS2690" s="333"/>
      <c r="AT2690" s="333"/>
      <c r="AU2690" s="329"/>
      <c r="AV2690" s="341"/>
      <c r="AW2690" s="269" t="s">
        <v>1800</v>
      </c>
      <c r="AX2690" s="269" t="s">
        <v>2869</v>
      </c>
      <c r="AY2690" s="270" t="s">
        <v>695</v>
      </c>
      <c r="AZ2690" s="379"/>
      <c r="BA2690" s="265">
        <v>10.0</v>
      </c>
      <c r="BB2690" s="367"/>
      <c r="BC2690" s="341"/>
      <c r="BD2690" s="308" t="s">
        <v>1844</v>
      </c>
      <c r="BE2690" s="378"/>
      <c r="BF2690" s="274" t="str">
        <f>IFERROR(__xludf.DUMMYFUNCTION("LOWER(Regexreplace(to_text(E2690),""[^A-Za-z0-9]"","""")&amp;""_""&amp;Regexreplace(to_text(F2690),""[^A-Za-z0-9]"",""""))"),"schneider_pm1130h")</f>
        <v>schneider_pm1130h</v>
      </c>
      <c r="BG2690" s="275" t="str">
        <f>IFERROR(__xludf.DUMMYFUNCTION("upper(Regexreplace(to_text(E2690),""[^A-Za-z0-9]"","""")&amp;""-""&amp;Regexreplace(to_text(F2690),""[^A-Za-z0-9]"",""""))"),"SCHNEIDER-PM1130H")</f>
        <v>SCHNEIDER-PM1130H</v>
      </c>
    </row>
    <row r="2691" ht="30.0" customHeight="1">
      <c r="A2691" s="258"/>
      <c r="B2691" s="328" t="s">
        <v>670</v>
      </c>
      <c r="C2691" s="257" t="s">
        <v>8654</v>
      </c>
      <c r="D2691" s="173" t="s">
        <v>8654</v>
      </c>
      <c r="E2691" s="174" t="s">
        <v>8070</v>
      </c>
      <c r="F2691" s="173" t="s">
        <v>8579</v>
      </c>
      <c r="G2691" s="328" t="s">
        <v>673</v>
      </c>
      <c r="H2691" s="328" t="s">
        <v>2863</v>
      </c>
      <c r="I2691" s="258" t="s">
        <v>8072</v>
      </c>
      <c r="J2691" s="259" t="s">
        <v>739</v>
      </c>
      <c r="K2691" s="260" t="s">
        <v>8087</v>
      </c>
      <c r="L2691" s="365"/>
      <c r="M2691" s="329"/>
      <c r="N2691" s="173" t="s">
        <v>679</v>
      </c>
      <c r="O2691" s="173" t="s">
        <v>225</v>
      </c>
      <c r="P2691" s="262" t="str">
        <f t="shared" si="1"/>
        <v>IN-BLR-ANANTA-EM-238_G</v>
      </c>
      <c r="Q2691" s="173" t="s">
        <v>8655</v>
      </c>
      <c r="R2691" s="328" t="str">
        <f>IFS(C2691="","",C2691="n/a","N/A",LEN(C2691),Concatenate("{",char(34),"asset",char(34),":{",char(34),"guid",char(34),":",char(34),Q2691,char(34),",",char(34),"site",char(34),":",char(34),LOWER('2-Building'!$B$4),char(34),",",char(34),"name",char(34),":",char(34),LOWER(C2691),char(34),"}}"))</f>
        <v>{"asset":{"guid":"uuid://83945c0d-f25a-4c1a-8495-822de19f594c","site":"in-blr-ananta","name":"em-238"}}</v>
      </c>
      <c r="S2691" s="366" t="s">
        <v>8581</v>
      </c>
      <c r="T2691" s="330"/>
      <c r="U2691" s="330"/>
      <c r="V2691" s="331"/>
      <c r="W2691" s="332"/>
      <c r="X2691" s="333"/>
      <c r="Y2691" s="33" t="s">
        <v>8076</v>
      </c>
      <c r="Z2691" s="368"/>
      <c r="AA2691" s="333"/>
      <c r="AB2691" s="258">
        <v>6.0</v>
      </c>
      <c r="AC2691" s="333"/>
      <c r="AD2691" s="329"/>
      <c r="AE2691" s="331"/>
      <c r="AF2691" s="336"/>
      <c r="AG2691" s="337"/>
      <c r="AH2691" s="333"/>
      <c r="AI2691" s="333"/>
      <c r="AJ2691" s="333"/>
      <c r="AK2691" s="333"/>
      <c r="AL2691" s="333"/>
      <c r="AM2691" s="338"/>
      <c r="AN2691" s="333"/>
      <c r="AO2691" s="333"/>
      <c r="AP2691" s="333"/>
      <c r="AQ2691" s="333"/>
      <c r="AR2691" s="333"/>
      <c r="AS2691" s="333"/>
      <c r="AT2691" s="333"/>
      <c r="AU2691" s="329"/>
      <c r="AV2691" s="341"/>
      <c r="AW2691" s="269" t="s">
        <v>1800</v>
      </c>
      <c r="AX2691" s="269" t="s">
        <v>2869</v>
      </c>
      <c r="AY2691" s="270" t="s">
        <v>695</v>
      </c>
      <c r="AZ2691" s="379"/>
      <c r="BA2691" s="265">
        <v>10.0</v>
      </c>
      <c r="BB2691" s="367"/>
      <c r="BC2691" s="341"/>
      <c r="BD2691" s="308" t="s">
        <v>1844</v>
      </c>
      <c r="BE2691" s="378"/>
      <c r="BF2691" s="274" t="str">
        <f>IFERROR(__xludf.DUMMYFUNCTION("LOWER(Regexreplace(to_text(E2691),""[^A-Za-z0-9]"","""")&amp;""_""&amp;Regexreplace(to_text(F2691),""[^A-Za-z0-9]"",""""))"),"schneider_pm1130h")</f>
        <v>schneider_pm1130h</v>
      </c>
      <c r="BG2691" s="275" t="str">
        <f>IFERROR(__xludf.DUMMYFUNCTION("upper(Regexreplace(to_text(E2691),""[^A-Za-z0-9]"","""")&amp;""-""&amp;Regexreplace(to_text(F2691),""[^A-Za-z0-9]"",""""))"),"SCHNEIDER-PM1130H")</f>
        <v>SCHNEIDER-PM1130H</v>
      </c>
    </row>
    <row r="2692" ht="30.0" customHeight="1">
      <c r="A2692" s="258"/>
      <c r="B2692" s="328" t="s">
        <v>670</v>
      </c>
      <c r="C2692" s="257" t="s">
        <v>8656</v>
      </c>
      <c r="D2692" s="173" t="s">
        <v>8656</v>
      </c>
      <c r="E2692" s="174" t="s">
        <v>8070</v>
      </c>
      <c r="F2692" s="173" t="s">
        <v>8579</v>
      </c>
      <c r="G2692" s="328" t="s">
        <v>673</v>
      </c>
      <c r="H2692" s="328" t="s">
        <v>2863</v>
      </c>
      <c r="I2692" s="258" t="s">
        <v>8072</v>
      </c>
      <c r="J2692" s="259" t="s">
        <v>739</v>
      </c>
      <c r="K2692" s="260" t="s">
        <v>8087</v>
      </c>
      <c r="L2692" s="365"/>
      <c r="M2692" s="329"/>
      <c r="N2692" s="173" t="s">
        <v>679</v>
      </c>
      <c r="O2692" s="173" t="s">
        <v>225</v>
      </c>
      <c r="P2692" s="262" t="str">
        <f t="shared" si="1"/>
        <v>IN-BLR-ANANTA-EM-239_G</v>
      </c>
      <c r="Q2692" s="173" t="s">
        <v>8657</v>
      </c>
      <c r="R2692" s="328" t="str">
        <f>IFS(C2692="","",C2692="n/a","N/A",LEN(C2692),Concatenate("{",char(34),"asset",char(34),":{",char(34),"guid",char(34),":",char(34),Q2692,char(34),",",char(34),"site",char(34),":",char(34),LOWER('2-Building'!$B$4),char(34),",",char(34),"name",char(34),":",char(34),LOWER(C2692),char(34),"}}"))</f>
        <v>{"asset":{"guid":"uuid://833eed2c-c97e-453b-b4b6-422776383ffc","site":"in-blr-ananta","name":"em-239"}}</v>
      </c>
      <c r="S2692" s="366" t="s">
        <v>8581</v>
      </c>
      <c r="T2692" s="330"/>
      <c r="U2692" s="330"/>
      <c r="V2692" s="331"/>
      <c r="W2692" s="332"/>
      <c r="X2692" s="333"/>
      <c r="Y2692" s="33" t="s">
        <v>8076</v>
      </c>
      <c r="Z2692" s="368"/>
      <c r="AA2692" s="333"/>
      <c r="AB2692" s="258">
        <v>7.0</v>
      </c>
      <c r="AC2692" s="333"/>
      <c r="AD2692" s="329"/>
      <c r="AE2692" s="331"/>
      <c r="AF2692" s="336"/>
      <c r="AG2692" s="337"/>
      <c r="AH2692" s="333"/>
      <c r="AI2692" s="333"/>
      <c r="AJ2692" s="333"/>
      <c r="AK2692" s="333"/>
      <c r="AL2692" s="333"/>
      <c r="AM2692" s="338"/>
      <c r="AN2692" s="333"/>
      <c r="AO2692" s="333"/>
      <c r="AP2692" s="333"/>
      <c r="AQ2692" s="333"/>
      <c r="AR2692" s="333"/>
      <c r="AS2692" s="333"/>
      <c r="AT2692" s="333"/>
      <c r="AU2692" s="329"/>
      <c r="AV2692" s="341"/>
      <c r="AW2692" s="269" t="s">
        <v>1800</v>
      </c>
      <c r="AX2692" s="269" t="s">
        <v>2869</v>
      </c>
      <c r="AY2692" s="270" t="s">
        <v>695</v>
      </c>
      <c r="AZ2692" s="379"/>
      <c r="BA2692" s="265">
        <v>10.0</v>
      </c>
      <c r="BB2692" s="367"/>
      <c r="BC2692" s="341"/>
      <c r="BD2692" s="308" t="s">
        <v>1844</v>
      </c>
      <c r="BE2692" s="378"/>
      <c r="BF2692" s="274" t="str">
        <f>IFERROR(__xludf.DUMMYFUNCTION("LOWER(Regexreplace(to_text(E2692),""[^A-Za-z0-9]"","""")&amp;""_""&amp;Regexreplace(to_text(F2692),""[^A-Za-z0-9]"",""""))"),"schneider_pm1130h")</f>
        <v>schneider_pm1130h</v>
      </c>
      <c r="BG2692" s="275" t="str">
        <f>IFERROR(__xludf.DUMMYFUNCTION("upper(Regexreplace(to_text(E2692),""[^A-Za-z0-9]"","""")&amp;""-""&amp;Regexreplace(to_text(F2692),""[^A-Za-z0-9]"",""""))"),"SCHNEIDER-PM1130H")</f>
        <v>SCHNEIDER-PM1130H</v>
      </c>
    </row>
    <row r="2693" ht="30.0" customHeight="1">
      <c r="A2693" s="258"/>
      <c r="B2693" s="328" t="s">
        <v>670</v>
      </c>
      <c r="C2693" s="257" t="s">
        <v>8658</v>
      </c>
      <c r="D2693" s="173" t="s">
        <v>8658</v>
      </c>
      <c r="E2693" s="174" t="s">
        <v>8070</v>
      </c>
      <c r="F2693" s="173" t="s">
        <v>8579</v>
      </c>
      <c r="G2693" s="328" t="s">
        <v>673</v>
      </c>
      <c r="H2693" s="328" t="s">
        <v>2863</v>
      </c>
      <c r="I2693" s="258" t="s">
        <v>8072</v>
      </c>
      <c r="J2693" s="259" t="s">
        <v>739</v>
      </c>
      <c r="K2693" s="260" t="s">
        <v>8087</v>
      </c>
      <c r="L2693" s="365"/>
      <c r="M2693" s="329"/>
      <c r="N2693" s="173" t="s">
        <v>679</v>
      </c>
      <c r="O2693" s="173" t="s">
        <v>225</v>
      </c>
      <c r="P2693" s="262" t="str">
        <f t="shared" si="1"/>
        <v>IN-BLR-ANANTA-EM-240_G</v>
      </c>
      <c r="Q2693" s="173" t="s">
        <v>8659</v>
      </c>
      <c r="R2693" s="328" t="str">
        <f>IFS(C2693="","",C2693="n/a","N/A",LEN(C2693),Concatenate("{",char(34),"asset",char(34),":{",char(34),"guid",char(34),":",char(34),Q2693,char(34),",",char(34),"site",char(34),":",char(34),LOWER('2-Building'!$B$4),char(34),",",char(34),"name",char(34),":",char(34),LOWER(C2693),char(34),"}}"))</f>
        <v>{"asset":{"guid":"uuid://b9ec3f82-b948-4447-9fb4-21055e1869e9","site":"in-blr-ananta","name":"em-240"}}</v>
      </c>
      <c r="S2693" s="366" t="s">
        <v>8581</v>
      </c>
      <c r="T2693" s="330"/>
      <c r="U2693" s="330"/>
      <c r="V2693" s="331"/>
      <c r="W2693" s="332"/>
      <c r="X2693" s="333"/>
      <c r="Y2693" s="33" t="s">
        <v>8076</v>
      </c>
      <c r="Z2693" s="368"/>
      <c r="AA2693" s="333"/>
      <c r="AB2693" s="258">
        <v>8.0</v>
      </c>
      <c r="AC2693" s="333"/>
      <c r="AD2693" s="329"/>
      <c r="AE2693" s="331"/>
      <c r="AF2693" s="336"/>
      <c r="AG2693" s="337"/>
      <c r="AH2693" s="333"/>
      <c r="AI2693" s="333"/>
      <c r="AJ2693" s="333"/>
      <c r="AK2693" s="333"/>
      <c r="AL2693" s="333"/>
      <c r="AM2693" s="338"/>
      <c r="AN2693" s="333"/>
      <c r="AO2693" s="333"/>
      <c r="AP2693" s="333"/>
      <c r="AQ2693" s="333"/>
      <c r="AR2693" s="333"/>
      <c r="AS2693" s="333"/>
      <c r="AT2693" s="333"/>
      <c r="AU2693" s="329"/>
      <c r="AV2693" s="341"/>
      <c r="AW2693" s="269" t="s">
        <v>1800</v>
      </c>
      <c r="AX2693" s="269" t="s">
        <v>2869</v>
      </c>
      <c r="AY2693" s="270" t="s">
        <v>695</v>
      </c>
      <c r="AZ2693" s="379"/>
      <c r="BA2693" s="265">
        <v>10.0</v>
      </c>
      <c r="BB2693" s="367"/>
      <c r="BC2693" s="341"/>
      <c r="BD2693" s="308" t="s">
        <v>1844</v>
      </c>
      <c r="BE2693" s="378"/>
      <c r="BF2693" s="274" t="str">
        <f>IFERROR(__xludf.DUMMYFUNCTION("LOWER(Regexreplace(to_text(E2693),""[^A-Za-z0-9]"","""")&amp;""_""&amp;Regexreplace(to_text(F2693),""[^A-Za-z0-9]"",""""))"),"schneider_pm1130h")</f>
        <v>schneider_pm1130h</v>
      </c>
      <c r="BG2693" s="275" t="str">
        <f>IFERROR(__xludf.DUMMYFUNCTION("upper(Regexreplace(to_text(E2693),""[^A-Za-z0-9]"","""")&amp;""-""&amp;Regexreplace(to_text(F2693),""[^A-Za-z0-9]"",""""))"),"SCHNEIDER-PM1130H")</f>
        <v>SCHNEIDER-PM1130H</v>
      </c>
    </row>
    <row r="2694" ht="30.0" customHeight="1">
      <c r="A2694" s="258"/>
      <c r="B2694" s="328" t="s">
        <v>670</v>
      </c>
      <c r="C2694" s="257" t="s">
        <v>8660</v>
      </c>
      <c r="D2694" s="173" t="s">
        <v>8660</v>
      </c>
      <c r="E2694" s="174" t="s">
        <v>8070</v>
      </c>
      <c r="F2694" s="173" t="s">
        <v>8579</v>
      </c>
      <c r="G2694" s="328" t="s">
        <v>673</v>
      </c>
      <c r="H2694" s="328" t="s">
        <v>2863</v>
      </c>
      <c r="I2694" s="258" t="s">
        <v>8072</v>
      </c>
      <c r="J2694" s="259" t="s">
        <v>739</v>
      </c>
      <c r="K2694" s="260" t="s">
        <v>8087</v>
      </c>
      <c r="L2694" s="365"/>
      <c r="M2694" s="329"/>
      <c r="N2694" s="173" t="s">
        <v>679</v>
      </c>
      <c r="O2694" s="173" t="s">
        <v>225</v>
      </c>
      <c r="P2694" s="262" t="str">
        <f t="shared" si="1"/>
        <v>IN-BLR-ANANTA-EM-241_G</v>
      </c>
      <c r="Q2694" s="173" t="s">
        <v>8661</v>
      </c>
      <c r="R2694" s="328" t="str">
        <f>IFS(C2694="","",C2694="n/a","N/A",LEN(C2694),Concatenate("{",char(34),"asset",char(34),":{",char(34),"guid",char(34),":",char(34),Q2694,char(34),",",char(34),"site",char(34),":",char(34),LOWER('2-Building'!$B$4),char(34),",",char(34),"name",char(34),":",char(34),LOWER(C2694),char(34),"}}"))</f>
        <v>{"asset":{"guid":"uuid://c16a5057-d959-40e4-89df-a672aae53759","site":"in-blr-ananta","name":"em-241"}}</v>
      </c>
      <c r="S2694" s="366" t="s">
        <v>8581</v>
      </c>
      <c r="T2694" s="330"/>
      <c r="U2694" s="330"/>
      <c r="V2694" s="331"/>
      <c r="W2694" s="332"/>
      <c r="X2694" s="333"/>
      <c r="Y2694" s="33" t="s">
        <v>8076</v>
      </c>
      <c r="Z2694" s="368"/>
      <c r="AA2694" s="333"/>
      <c r="AB2694" s="258">
        <v>9.0</v>
      </c>
      <c r="AC2694" s="333"/>
      <c r="AD2694" s="329"/>
      <c r="AE2694" s="331"/>
      <c r="AF2694" s="336"/>
      <c r="AG2694" s="337"/>
      <c r="AH2694" s="333"/>
      <c r="AI2694" s="333"/>
      <c r="AJ2694" s="333"/>
      <c r="AK2694" s="333"/>
      <c r="AL2694" s="333"/>
      <c r="AM2694" s="338"/>
      <c r="AN2694" s="333"/>
      <c r="AO2694" s="333"/>
      <c r="AP2694" s="333"/>
      <c r="AQ2694" s="333"/>
      <c r="AR2694" s="333"/>
      <c r="AS2694" s="333"/>
      <c r="AT2694" s="333"/>
      <c r="AU2694" s="329"/>
      <c r="AV2694" s="341"/>
      <c r="AW2694" s="269" t="s">
        <v>1800</v>
      </c>
      <c r="AX2694" s="269" t="s">
        <v>2869</v>
      </c>
      <c r="AY2694" s="270" t="s">
        <v>695</v>
      </c>
      <c r="AZ2694" s="379"/>
      <c r="BA2694" s="265">
        <v>10.0</v>
      </c>
      <c r="BB2694" s="367"/>
      <c r="BC2694" s="341"/>
      <c r="BD2694" s="308" t="s">
        <v>1844</v>
      </c>
      <c r="BE2694" s="378"/>
      <c r="BF2694" s="274" t="str">
        <f>IFERROR(__xludf.DUMMYFUNCTION("LOWER(Regexreplace(to_text(E2694),""[^A-Za-z0-9]"","""")&amp;""_""&amp;Regexreplace(to_text(F2694),""[^A-Za-z0-9]"",""""))"),"schneider_pm1130h")</f>
        <v>schneider_pm1130h</v>
      </c>
      <c r="BG2694" s="275" t="str">
        <f>IFERROR(__xludf.DUMMYFUNCTION("upper(Regexreplace(to_text(E2694),""[^A-Za-z0-9]"","""")&amp;""-""&amp;Regexreplace(to_text(F2694),""[^A-Za-z0-9]"",""""))"),"SCHNEIDER-PM1130H")</f>
        <v>SCHNEIDER-PM1130H</v>
      </c>
    </row>
    <row r="2695" ht="30.0" customHeight="1">
      <c r="A2695" s="258"/>
      <c r="B2695" s="328" t="s">
        <v>670</v>
      </c>
      <c r="C2695" s="257" t="s">
        <v>8662</v>
      </c>
      <c r="D2695" s="173" t="s">
        <v>8662</v>
      </c>
      <c r="E2695" s="174" t="s">
        <v>8070</v>
      </c>
      <c r="F2695" s="173" t="s">
        <v>8579</v>
      </c>
      <c r="G2695" s="328" t="s">
        <v>673</v>
      </c>
      <c r="H2695" s="328" t="s">
        <v>2863</v>
      </c>
      <c r="I2695" s="258" t="s">
        <v>8072</v>
      </c>
      <c r="J2695" s="259" t="s">
        <v>739</v>
      </c>
      <c r="K2695" s="260" t="s">
        <v>8087</v>
      </c>
      <c r="L2695" s="365"/>
      <c r="M2695" s="329"/>
      <c r="N2695" s="173" t="s">
        <v>679</v>
      </c>
      <c r="O2695" s="173" t="s">
        <v>225</v>
      </c>
      <c r="P2695" s="262" t="str">
        <f t="shared" si="1"/>
        <v>IN-BLR-ANANTA-EM-242_G</v>
      </c>
      <c r="Q2695" s="173" t="s">
        <v>8663</v>
      </c>
      <c r="R2695" s="328" t="str">
        <f>IFS(C2695="","",C2695="n/a","N/A",LEN(C2695),Concatenate("{",char(34),"asset",char(34),":{",char(34),"guid",char(34),":",char(34),Q2695,char(34),",",char(34),"site",char(34),":",char(34),LOWER('2-Building'!$B$4),char(34),",",char(34),"name",char(34),":",char(34),LOWER(C2695),char(34),"}}"))</f>
        <v>{"asset":{"guid":"uuid://3796ff94-5248-4fc6-8679-c0b84afd387a","site":"in-blr-ananta","name":"em-242"}}</v>
      </c>
      <c r="S2695" s="366" t="s">
        <v>8581</v>
      </c>
      <c r="T2695" s="330"/>
      <c r="U2695" s="330"/>
      <c r="V2695" s="331"/>
      <c r="W2695" s="332"/>
      <c r="X2695" s="333"/>
      <c r="Y2695" s="33" t="s">
        <v>8076</v>
      </c>
      <c r="Z2695" s="368"/>
      <c r="AA2695" s="333"/>
      <c r="AB2695" s="258">
        <v>10.0</v>
      </c>
      <c r="AC2695" s="333"/>
      <c r="AD2695" s="329"/>
      <c r="AE2695" s="331"/>
      <c r="AF2695" s="336"/>
      <c r="AG2695" s="337"/>
      <c r="AH2695" s="333"/>
      <c r="AI2695" s="333"/>
      <c r="AJ2695" s="333"/>
      <c r="AK2695" s="333"/>
      <c r="AL2695" s="333"/>
      <c r="AM2695" s="338"/>
      <c r="AN2695" s="333"/>
      <c r="AO2695" s="333"/>
      <c r="AP2695" s="333"/>
      <c r="AQ2695" s="333"/>
      <c r="AR2695" s="333"/>
      <c r="AS2695" s="333"/>
      <c r="AT2695" s="333"/>
      <c r="AU2695" s="329"/>
      <c r="AV2695" s="341"/>
      <c r="AW2695" s="269" t="s">
        <v>1800</v>
      </c>
      <c r="AX2695" s="269" t="s">
        <v>2869</v>
      </c>
      <c r="AY2695" s="270" t="s">
        <v>695</v>
      </c>
      <c r="AZ2695" s="379"/>
      <c r="BA2695" s="265">
        <v>10.0</v>
      </c>
      <c r="BB2695" s="367"/>
      <c r="BC2695" s="341"/>
      <c r="BD2695" s="308" t="s">
        <v>1844</v>
      </c>
      <c r="BE2695" s="378"/>
      <c r="BF2695" s="274" t="str">
        <f>IFERROR(__xludf.DUMMYFUNCTION("LOWER(Regexreplace(to_text(E2695),""[^A-Za-z0-9]"","""")&amp;""_""&amp;Regexreplace(to_text(F2695),""[^A-Za-z0-9]"",""""))"),"schneider_pm1130h")</f>
        <v>schneider_pm1130h</v>
      </c>
      <c r="BG2695" s="275" t="str">
        <f>IFERROR(__xludf.DUMMYFUNCTION("upper(Regexreplace(to_text(E2695),""[^A-Za-z0-9]"","""")&amp;""-""&amp;Regexreplace(to_text(F2695),""[^A-Za-z0-9]"",""""))"),"SCHNEIDER-PM1130H")</f>
        <v>SCHNEIDER-PM1130H</v>
      </c>
    </row>
    <row r="2696" ht="30.0" customHeight="1">
      <c r="A2696" s="258"/>
      <c r="B2696" s="328" t="s">
        <v>670</v>
      </c>
      <c r="C2696" s="257" t="s">
        <v>8664</v>
      </c>
      <c r="D2696" s="173" t="s">
        <v>8664</v>
      </c>
      <c r="E2696" s="174" t="s">
        <v>8070</v>
      </c>
      <c r="F2696" s="173" t="s">
        <v>8579</v>
      </c>
      <c r="G2696" s="328" t="s">
        <v>673</v>
      </c>
      <c r="H2696" s="328" t="s">
        <v>2863</v>
      </c>
      <c r="I2696" s="258" t="s">
        <v>8072</v>
      </c>
      <c r="J2696" s="259" t="s">
        <v>739</v>
      </c>
      <c r="K2696" s="260" t="s">
        <v>8087</v>
      </c>
      <c r="L2696" s="365"/>
      <c r="M2696" s="329"/>
      <c r="N2696" s="173" t="s">
        <v>679</v>
      </c>
      <c r="O2696" s="173" t="s">
        <v>225</v>
      </c>
      <c r="P2696" s="262" t="str">
        <f t="shared" si="1"/>
        <v>IN-BLR-ANANTA-EM-243_G</v>
      </c>
      <c r="Q2696" s="173" t="s">
        <v>8665</v>
      </c>
      <c r="R2696" s="328" t="str">
        <f>IFS(C2696="","",C2696="n/a","N/A",LEN(C2696),Concatenate("{",char(34),"asset",char(34),":{",char(34),"guid",char(34),":",char(34),Q2696,char(34),",",char(34),"site",char(34),":",char(34),LOWER('2-Building'!$B$4),char(34),",",char(34),"name",char(34),":",char(34),LOWER(C2696),char(34),"}}"))</f>
        <v>{"asset":{"guid":"uuid://52f4d639-afdf-42a3-84ac-76bf9726b0e4","site":"in-blr-ananta","name":"em-243"}}</v>
      </c>
      <c r="S2696" s="366" t="s">
        <v>8581</v>
      </c>
      <c r="T2696" s="330"/>
      <c r="U2696" s="330"/>
      <c r="V2696" s="331"/>
      <c r="W2696" s="332"/>
      <c r="X2696" s="333"/>
      <c r="Y2696" s="33" t="s">
        <v>8076</v>
      </c>
      <c r="Z2696" s="368"/>
      <c r="AA2696" s="333"/>
      <c r="AB2696" s="258">
        <v>11.0</v>
      </c>
      <c r="AC2696" s="333"/>
      <c r="AD2696" s="329"/>
      <c r="AE2696" s="331"/>
      <c r="AF2696" s="336"/>
      <c r="AG2696" s="337"/>
      <c r="AH2696" s="333"/>
      <c r="AI2696" s="333"/>
      <c r="AJ2696" s="333"/>
      <c r="AK2696" s="333"/>
      <c r="AL2696" s="333"/>
      <c r="AM2696" s="338"/>
      <c r="AN2696" s="333"/>
      <c r="AO2696" s="333"/>
      <c r="AP2696" s="333"/>
      <c r="AQ2696" s="333"/>
      <c r="AR2696" s="333"/>
      <c r="AS2696" s="333"/>
      <c r="AT2696" s="333"/>
      <c r="AU2696" s="329"/>
      <c r="AV2696" s="341"/>
      <c r="AW2696" s="269" t="s">
        <v>1800</v>
      </c>
      <c r="AX2696" s="269" t="s">
        <v>2869</v>
      </c>
      <c r="AY2696" s="270" t="s">
        <v>695</v>
      </c>
      <c r="AZ2696" s="379"/>
      <c r="BA2696" s="265">
        <v>10.0</v>
      </c>
      <c r="BB2696" s="367"/>
      <c r="BC2696" s="341"/>
      <c r="BD2696" s="308" t="s">
        <v>1844</v>
      </c>
      <c r="BE2696" s="378"/>
      <c r="BF2696" s="274" t="str">
        <f>IFERROR(__xludf.DUMMYFUNCTION("LOWER(Regexreplace(to_text(E2696),""[^A-Za-z0-9]"","""")&amp;""_""&amp;Regexreplace(to_text(F2696),""[^A-Za-z0-9]"",""""))"),"schneider_pm1130h")</f>
        <v>schneider_pm1130h</v>
      </c>
      <c r="BG2696" s="275" t="str">
        <f>IFERROR(__xludf.DUMMYFUNCTION("upper(Regexreplace(to_text(E2696),""[^A-Za-z0-9]"","""")&amp;""-""&amp;Regexreplace(to_text(F2696),""[^A-Za-z0-9]"",""""))"),"SCHNEIDER-PM1130H")</f>
        <v>SCHNEIDER-PM1130H</v>
      </c>
    </row>
    <row r="2697" ht="30.0" customHeight="1">
      <c r="A2697" s="258"/>
      <c r="B2697" s="328" t="s">
        <v>670</v>
      </c>
      <c r="C2697" s="257" t="s">
        <v>8666</v>
      </c>
      <c r="D2697" s="173" t="s">
        <v>8666</v>
      </c>
      <c r="E2697" s="174" t="s">
        <v>8070</v>
      </c>
      <c r="F2697" s="173" t="s">
        <v>8579</v>
      </c>
      <c r="G2697" s="328" t="s">
        <v>673</v>
      </c>
      <c r="H2697" s="328" t="s">
        <v>2863</v>
      </c>
      <c r="I2697" s="258" t="s">
        <v>8072</v>
      </c>
      <c r="J2697" s="259" t="s">
        <v>739</v>
      </c>
      <c r="K2697" s="260" t="s">
        <v>8087</v>
      </c>
      <c r="L2697" s="365"/>
      <c r="M2697" s="329"/>
      <c r="N2697" s="173" t="s">
        <v>679</v>
      </c>
      <c r="O2697" s="173" t="s">
        <v>225</v>
      </c>
      <c r="P2697" s="262" t="str">
        <f t="shared" si="1"/>
        <v>IN-BLR-ANANTA-EM-244_G</v>
      </c>
      <c r="Q2697" s="173" t="s">
        <v>8667</v>
      </c>
      <c r="R2697" s="328" t="str">
        <f>IFS(C2697="","",C2697="n/a","N/A",LEN(C2697),Concatenate("{",char(34),"asset",char(34),":{",char(34),"guid",char(34),":",char(34),Q2697,char(34),",",char(34),"site",char(34),":",char(34),LOWER('2-Building'!$B$4),char(34),",",char(34),"name",char(34),":",char(34),LOWER(C2697),char(34),"}}"))</f>
        <v>{"asset":{"guid":"uuid://1f17ce52-89fc-4e5a-bd2b-c1bc36e2d7ac","site":"in-blr-ananta","name":"em-244"}}</v>
      </c>
      <c r="S2697" s="366" t="s">
        <v>8581</v>
      </c>
      <c r="T2697" s="330"/>
      <c r="U2697" s="330"/>
      <c r="V2697" s="331"/>
      <c r="W2697" s="332"/>
      <c r="X2697" s="333"/>
      <c r="Y2697" s="33" t="s">
        <v>8076</v>
      </c>
      <c r="Z2697" s="368"/>
      <c r="AA2697" s="333"/>
      <c r="AB2697" s="258">
        <v>12.0</v>
      </c>
      <c r="AC2697" s="333"/>
      <c r="AD2697" s="329"/>
      <c r="AE2697" s="331"/>
      <c r="AF2697" s="336"/>
      <c r="AG2697" s="337"/>
      <c r="AH2697" s="333"/>
      <c r="AI2697" s="333"/>
      <c r="AJ2697" s="333"/>
      <c r="AK2697" s="333"/>
      <c r="AL2697" s="333"/>
      <c r="AM2697" s="338"/>
      <c r="AN2697" s="333"/>
      <c r="AO2697" s="333"/>
      <c r="AP2697" s="333"/>
      <c r="AQ2697" s="333"/>
      <c r="AR2697" s="333"/>
      <c r="AS2697" s="333"/>
      <c r="AT2697" s="333"/>
      <c r="AU2697" s="329"/>
      <c r="AV2697" s="341"/>
      <c r="AW2697" s="269" t="s">
        <v>1800</v>
      </c>
      <c r="AX2697" s="269" t="s">
        <v>2869</v>
      </c>
      <c r="AY2697" s="270" t="s">
        <v>695</v>
      </c>
      <c r="AZ2697" s="379"/>
      <c r="BA2697" s="265">
        <v>10.0</v>
      </c>
      <c r="BB2697" s="367"/>
      <c r="BC2697" s="341"/>
      <c r="BD2697" s="308" t="s">
        <v>1844</v>
      </c>
      <c r="BE2697" s="378"/>
      <c r="BF2697" s="274" t="str">
        <f>IFERROR(__xludf.DUMMYFUNCTION("LOWER(Regexreplace(to_text(E2697),""[^A-Za-z0-9]"","""")&amp;""_""&amp;Regexreplace(to_text(F2697),""[^A-Za-z0-9]"",""""))"),"schneider_pm1130h")</f>
        <v>schneider_pm1130h</v>
      </c>
      <c r="BG2697" s="275" t="str">
        <f>IFERROR(__xludf.DUMMYFUNCTION("upper(Regexreplace(to_text(E2697),""[^A-Za-z0-9]"","""")&amp;""-""&amp;Regexreplace(to_text(F2697),""[^A-Za-z0-9]"",""""))"),"SCHNEIDER-PM1130H")</f>
        <v>SCHNEIDER-PM1130H</v>
      </c>
    </row>
    <row r="2698" ht="30.0" customHeight="1">
      <c r="A2698" s="258"/>
      <c r="B2698" s="328" t="s">
        <v>670</v>
      </c>
      <c r="C2698" s="257" t="s">
        <v>8668</v>
      </c>
      <c r="D2698" s="173" t="s">
        <v>8668</v>
      </c>
      <c r="E2698" s="174" t="s">
        <v>8070</v>
      </c>
      <c r="F2698" s="173" t="s">
        <v>8579</v>
      </c>
      <c r="G2698" s="328" t="s">
        <v>673</v>
      </c>
      <c r="H2698" s="328" t="s">
        <v>2863</v>
      </c>
      <c r="I2698" s="258" t="s">
        <v>8072</v>
      </c>
      <c r="J2698" s="259" t="s">
        <v>739</v>
      </c>
      <c r="K2698" s="260" t="s">
        <v>1782</v>
      </c>
      <c r="L2698" s="365"/>
      <c r="M2698" s="329"/>
      <c r="N2698" s="173" t="s">
        <v>679</v>
      </c>
      <c r="O2698" s="173" t="s">
        <v>225</v>
      </c>
      <c r="P2698" s="262" t="str">
        <f t="shared" si="1"/>
        <v>IN-BLR-ANANTA-EM-245_G</v>
      </c>
      <c r="Q2698" s="173" t="s">
        <v>8669</v>
      </c>
      <c r="R2698" s="328" t="str">
        <f>IFS(C2698="","",C2698="n/a","N/A",LEN(C2698),Concatenate("{",char(34),"asset",char(34),":{",char(34),"guid",char(34),":",char(34),Q2698,char(34),",",char(34),"site",char(34),":",char(34),LOWER('2-Building'!$B$4),char(34),",",char(34),"name",char(34),":",char(34),LOWER(C2698),char(34),"}}"))</f>
        <v>{"asset":{"guid":"uuid://5f5c2dcd-0ee6-44af-8199-b1a8554c1e3a","site":"in-blr-ananta","name":"em-245"}}</v>
      </c>
      <c r="S2698" s="366" t="s">
        <v>8581</v>
      </c>
      <c r="T2698" s="330"/>
      <c r="U2698" s="330"/>
      <c r="V2698" s="331"/>
      <c r="W2698" s="332"/>
      <c r="X2698" s="333"/>
      <c r="Y2698" s="33" t="s">
        <v>8076</v>
      </c>
      <c r="Z2698" s="368"/>
      <c r="AA2698" s="333"/>
      <c r="AB2698" s="258">
        <v>5.0</v>
      </c>
      <c r="AC2698" s="333"/>
      <c r="AD2698" s="329"/>
      <c r="AE2698" s="331"/>
      <c r="AF2698" s="336"/>
      <c r="AG2698" s="337"/>
      <c r="AH2698" s="333"/>
      <c r="AI2698" s="333"/>
      <c r="AJ2698" s="333"/>
      <c r="AK2698" s="333"/>
      <c r="AL2698" s="333"/>
      <c r="AM2698" s="338"/>
      <c r="AN2698" s="333"/>
      <c r="AO2698" s="333"/>
      <c r="AP2698" s="333"/>
      <c r="AQ2698" s="333"/>
      <c r="AR2698" s="333"/>
      <c r="AS2698" s="333"/>
      <c r="AT2698" s="333"/>
      <c r="AU2698" s="329"/>
      <c r="AV2698" s="341"/>
      <c r="AW2698" s="269" t="s">
        <v>1650</v>
      </c>
      <c r="AX2698" s="269" t="s">
        <v>2869</v>
      </c>
      <c r="AY2698" s="270" t="s">
        <v>695</v>
      </c>
      <c r="AZ2698" s="379"/>
      <c r="BA2698" s="265">
        <v>10.0</v>
      </c>
      <c r="BB2698" s="367"/>
      <c r="BC2698" s="341"/>
      <c r="BD2698" s="308" t="s">
        <v>1844</v>
      </c>
      <c r="BE2698" s="378"/>
      <c r="BF2698" s="274" t="str">
        <f>IFERROR(__xludf.DUMMYFUNCTION("LOWER(Regexreplace(to_text(E2698),""[^A-Za-z0-9]"","""")&amp;""_""&amp;Regexreplace(to_text(F2698),""[^A-Za-z0-9]"",""""))"),"schneider_pm1130h")</f>
        <v>schneider_pm1130h</v>
      </c>
      <c r="BG2698" s="275" t="str">
        <f>IFERROR(__xludf.DUMMYFUNCTION("upper(Regexreplace(to_text(E2698),""[^A-Za-z0-9]"","""")&amp;""-""&amp;Regexreplace(to_text(F2698),""[^A-Za-z0-9]"",""""))"),"SCHNEIDER-PM1130H")</f>
        <v>SCHNEIDER-PM1130H</v>
      </c>
    </row>
    <row r="2699" ht="30.0" customHeight="1">
      <c r="A2699" s="258"/>
      <c r="B2699" s="328" t="s">
        <v>670</v>
      </c>
      <c r="C2699" s="257" t="s">
        <v>8670</v>
      </c>
      <c r="D2699" s="173" t="s">
        <v>8670</v>
      </c>
      <c r="E2699" s="174" t="s">
        <v>8070</v>
      </c>
      <c r="F2699" s="173" t="s">
        <v>8579</v>
      </c>
      <c r="G2699" s="328" t="s">
        <v>673</v>
      </c>
      <c r="H2699" s="328" t="s">
        <v>2863</v>
      </c>
      <c r="I2699" s="258" t="s">
        <v>8072</v>
      </c>
      <c r="J2699" s="259" t="s">
        <v>739</v>
      </c>
      <c r="K2699" s="260" t="s">
        <v>1782</v>
      </c>
      <c r="L2699" s="365"/>
      <c r="M2699" s="329"/>
      <c r="N2699" s="173" t="s">
        <v>679</v>
      </c>
      <c r="O2699" s="173" t="s">
        <v>225</v>
      </c>
      <c r="P2699" s="262" t="str">
        <f t="shared" si="1"/>
        <v>IN-BLR-ANANTA-EM-246_G</v>
      </c>
      <c r="Q2699" s="173" t="s">
        <v>8671</v>
      </c>
      <c r="R2699" s="328" t="str">
        <f>IFS(C2699="","",C2699="n/a","N/A",LEN(C2699),Concatenate("{",char(34),"asset",char(34),":{",char(34),"guid",char(34),":",char(34),Q2699,char(34),",",char(34),"site",char(34),":",char(34),LOWER('2-Building'!$B$4),char(34),",",char(34),"name",char(34),":",char(34),LOWER(C2699),char(34),"}}"))</f>
        <v>{"asset":{"guid":"uuid://a578d36b-6346-4086-b810-e4a0f5ddc016","site":"in-blr-ananta","name":"em-246"}}</v>
      </c>
      <c r="S2699" s="366" t="s">
        <v>8581</v>
      </c>
      <c r="T2699" s="330"/>
      <c r="U2699" s="330"/>
      <c r="V2699" s="331"/>
      <c r="W2699" s="332"/>
      <c r="X2699" s="333"/>
      <c r="Y2699" s="33" t="s">
        <v>8076</v>
      </c>
      <c r="Z2699" s="368"/>
      <c r="AA2699" s="333"/>
      <c r="AB2699" s="258">
        <v>6.0</v>
      </c>
      <c r="AC2699" s="333"/>
      <c r="AD2699" s="329"/>
      <c r="AE2699" s="331"/>
      <c r="AF2699" s="336"/>
      <c r="AG2699" s="337"/>
      <c r="AH2699" s="333"/>
      <c r="AI2699" s="333"/>
      <c r="AJ2699" s="333"/>
      <c r="AK2699" s="333"/>
      <c r="AL2699" s="333"/>
      <c r="AM2699" s="338"/>
      <c r="AN2699" s="333"/>
      <c r="AO2699" s="333"/>
      <c r="AP2699" s="333"/>
      <c r="AQ2699" s="333"/>
      <c r="AR2699" s="333"/>
      <c r="AS2699" s="333"/>
      <c r="AT2699" s="333"/>
      <c r="AU2699" s="329"/>
      <c r="AV2699" s="341"/>
      <c r="AW2699" s="269" t="s">
        <v>1650</v>
      </c>
      <c r="AX2699" s="269" t="s">
        <v>2869</v>
      </c>
      <c r="AY2699" s="270" t="s">
        <v>695</v>
      </c>
      <c r="AZ2699" s="379"/>
      <c r="BA2699" s="265">
        <v>10.0</v>
      </c>
      <c r="BB2699" s="367"/>
      <c r="BC2699" s="341"/>
      <c r="BD2699" s="308" t="s">
        <v>1844</v>
      </c>
      <c r="BE2699" s="378"/>
      <c r="BF2699" s="274" t="str">
        <f>IFERROR(__xludf.DUMMYFUNCTION("LOWER(Regexreplace(to_text(E2699),""[^A-Za-z0-9]"","""")&amp;""_""&amp;Regexreplace(to_text(F2699),""[^A-Za-z0-9]"",""""))"),"schneider_pm1130h")</f>
        <v>schneider_pm1130h</v>
      </c>
      <c r="BG2699" s="275" t="str">
        <f>IFERROR(__xludf.DUMMYFUNCTION("upper(Regexreplace(to_text(E2699),""[^A-Za-z0-9]"","""")&amp;""-""&amp;Regexreplace(to_text(F2699),""[^A-Za-z0-9]"",""""))"),"SCHNEIDER-PM1130H")</f>
        <v>SCHNEIDER-PM1130H</v>
      </c>
    </row>
    <row r="2700" ht="30.0" customHeight="1">
      <c r="A2700" s="258"/>
      <c r="B2700" s="328" t="s">
        <v>670</v>
      </c>
      <c r="C2700" s="257" t="s">
        <v>8672</v>
      </c>
      <c r="D2700" s="173" t="s">
        <v>8672</v>
      </c>
      <c r="E2700" s="174" t="s">
        <v>8070</v>
      </c>
      <c r="F2700" s="173" t="s">
        <v>8579</v>
      </c>
      <c r="G2700" s="328" t="s">
        <v>673</v>
      </c>
      <c r="H2700" s="328" t="s">
        <v>2863</v>
      </c>
      <c r="I2700" s="258" t="s">
        <v>8072</v>
      </c>
      <c r="J2700" s="259" t="s">
        <v>739</v>
      </c>
      <c r="K2700" s="260" t="s">
        <v>1782</v>
      </c>
      <c r="L2700" s="365"/>
      <c r="M2700" s="329"/>
      <c r="N2700" s="173" t="s">
        <v>679</v>
      </c>
      <c r="O2700" s="173" t="s">
        <v>225</v>
      </c>
      <c r="P2700" s="262" t="str">
        <f t="shared" si="1"/>
        <v>IN-BLR-ANANTA-EM-247_G</v>
      </c>
      <c r="Q2700" s="173" t="s">
        <v>8673</v>
      </c>
      <c r="R2700" s="328" t="str">
        <f>IFS(C2700="","",C2700="n/a","N/A",LEN(C2700),Concatenate("{",char(34),"asset",char(34),":{",char(34),"guid",char(34),":",char(34),Q2700,char(34),",",char(34),"site",char(34),":",char(34),LOWER('2-Building'!$B$4),char(34),",",char(34),"name",char(34),":",char(34),LOWER(C2700),char(34),"}}"))</f>
        <v>{"asset":{"guid":"uuid://6b39599f-8d90-42a4-8000-a7700b1c1983","site":"in-blr-ananta","name":"em-247"}}</v>
      </c>
      <c r="S2700" s="366" t="s">
        <v>8581</v>
      </c>
      <c r="T2700" s="330"/>
      <c r="U2700" s="330"/>
      <c r="V2700" s="331"/>
      <c r="W2700" s="332"/>
      <c r="X2700" s="333"/>
      <c r="Y2700" s="33" t="s">
        <v>8076</v>
      </c>
      <c r="Z2700" s="368"/>
      <c r="AA2700" s="333"/>
      <c r="AB2700" s="258">
        <v>7.0</v>
      </c>
      <c r="AC2700" s="333"/>
      <c r="AD2700" s="329"/>
      <c r="AE2700" s="331"/>
      <c r="AF2700" s="336"/>
      <c r="AG2700" s="337"/>
      <c r="AH2700" s="333"/>
      <c r="AI2700" s="333"/>
      <c r="AJ2700" s="333"/>
      <c r="AK2700" s="333"/>
      <c r="AL2700" s="333"/>
      <c r="AM2700" s="338"/>
      <c r="AN2700" s="333"/>
      <c r="AO2700" s="333"/>
      <c r="AP2700" s="333"/>
      <c r="AQ2700" s="333"/>
      <c r="AR2700" s="333"/>
      <c r="AS2700" s="333"/>
      <c r="AT2700" s="333"/>
      <c r="AU2700" s="329"/>
      <c r="AV2700" s="341"/>
      <c r="AW2700" s="269" t="s">
        <v>1650</v>
      </c>
      <c r="AX2700" s="269" t="s">
        <v>2869</v>
      </c>
      <c r="AY2700" s="270" t="s">
        <v>695</v>
      </c>
      <c r="AZ2700" s="379"/>
      <c r="BA2700" s="265">
        <v>10.0</v>
      </c>
      <c r="BB2700" s="367"/>
      <c r="BC2700" s="341"/>
      <c r="BD2700" s="308" t="s">
        <v>1844</v>
      </c>
      <c r="BE2700" s="378"/>
      <c r="BF2700" s="274" t="str">
        <f>IFERROR(__xludf.DUMMYFUNCTION("LOWER(Regexreplace(to_text(E2700),""[^A-Za-z0-9]"","""")&amp;""_""&amp;Regexreplace(to_text(F2700),""[^A-Za-z0-9]"",""""))"),"schneider_pm1130h")</f>
        <v>schneider_pm1130h</v>
      </c>
      <c r="BG2700" s="275" t="str">
        <f>IFERROR(__xludf.DUMMYFUNCTION("upper(Regexreplace(to_text(E2700),""[^A-Za-z0-9]"","""")&amp;""-""&amp;Regexreplace(to_text(F2700),""[^A-Za-z0-9]"",""""))"),"SCHNEIDER-PM1130H")</f>
        <v>SCHNEIDER-PM1130H</v>
      </c>
    </row>
    <row r="2701" ht="30.0" customHeight="1">
      <c r="A2701" s="258"/>
      <c r="B2701" s="328" t="s">
        <v>670</v>
      </c>
      <c r="C2701" s="257" t="s">
        <v>8674</v>
      </c>
      <c r="D2701" s="173" t="s">
        <v>8674</v>
      </c>
      <c r="E2701" s="174" t="s">
        <v>8070</v>
      </c>
      <c r="F2701" s="173" t="s">
        <v>8579</v>
      </c>
      <c r="G2701" s="328" t="s">
        <v>673</v>
      </c>
      <c r="H2701" s="328" t="s">
        <v>2863</v>
      </c>
      <c r="I2701" s="258" t="s">
        <v>8072</v>
      </c>
      <c r="J2701" s="259" t="s">
        <v>739</v>
      </c>
      <c r="K2701" s="260" t="s">
        <v>1782</v>
      </c>
      <c r="L2701" s="365"/>
      <c r="M2701" s="329"/>
      <c r="N2701" s="173" t="s">
        <v>679</v>
      </c>
      <c r="O2701" s="173" t="s">
        <v>225</v>
      </c>
      <c r="P2701" s="262" t="str">
        <f t="shared" si="1"/>
        <v>IN-BLR-ANANTA-EM-248_G</v>
      </c>
      <c r="Q2701" s="173" t="s">
        <v>8675</v>
      </c>
      <c r="R2701" s="328" t="str">
        <f>IFS(C2701="","",C2701="n/a","N/A",LEN(C2701),Concatenate("{",char(34),"asset",char(34),":{",char(34),"guid",char(34),":",char(34),Q2701,char(34),",",char(34),"site",char(34),":",char(34),LOWER('2-Building'!$B$4),char(34),",",char(34),"name",char(34),":",char(34),LOWER(C2701),char(34),"}}"))</f>
        <v>{"asset":{"guid":"uuid://66d2340b-f986-47cd-a1dd-ea03e47a9a2a","site":"in-blr-ananta","name":"em-248"}}</v>
      </c>
      <c r="S2701" s="366" t="s">
        <v>8581</v>
      </c>
      <c r="T2701" s="330"/>
      <c r="U2701" s="330"/>
      <c r="V2701" s="331"/>
      <c r="W2701" s="332"/>
      <c r="X2701" s="333"/>
      <c r="Y2701" s="33" t="s">
        <v>8076</v>
      </c>
      <c r="Z2701" s="368"/>
      <c r="AA2701" s="333"/>
      <c r="AB2701" s="258">
        <v>8.0</v>
      </c>
      <c r="AC2701" s="333"/>
      <c r="AD2701" s="329"/>
      <c r="AE2701" s="331"/>
      <c r="AF2701" s="336"/>
      <c r="AG2701" s="337"/>
      <c r="AH2701" s="333"/>
      <c r="AI2701" s="333"/>
      <c r="AJ2701" s="333"/>
      <c r="AK2701" s="333"/>
      <c r="AL2701" s="333"/>
      <c r="AM2701" s="338"/>
      <c r="AN2701" s="333"/>
      <c r="AO2701" s="333"/>
      <c r="AP2701" s="333"/>
      <c r="AQ2701" s="333"/>
      <c r="AR2701" s="333"/>
      <c r="AS2701" s="333"/>
      <c r="AT2701" s="333"/>
      <c r="AU2701" s="329"/>
      <c r="AV2701" s="341"/>
      <c r="AW2701" s="269" t="s">
        <v>1650</v>
      </c>
      <c r="AX2701" s="269" t="s">
        <v>2869</v>
      </c>
      <c r="AY2701" s="270" t="s">
        <v>695</v>
      </c>
      <c r="AZ2701" s="379"/>
      <c r="BA2701" s="265">
        <v>10.0</v>
      </c>
      <c r="BB2701" s="367"/>
      <c r="BC2701" s="341"/>
      <c r="BD2701" s="308" t="s">
        <v>1844</v>
      </c>
      <c r="BE2701" s="378"/>
      <c r="BF2701" s="274" t="str">
        <f>IFERROR(__xludf.DUMMYFUNCTION("LOWER(Regexreplace(to_text(E2701),""[^A-Za-z0-9]"","""")&amp;""_""&amp;Regexreplace(to_text(F2701),""[^A-Za-z0-9]"",""""))"),"schneider_pm1130h")</f>
        <v>schneider_pm1130h</v>
      </c>
      <c r="BG2701" s="275" t="str">
        <f>IFERROR(__xludf.DUMMYFUNCTION("upper(Regexreplace(to_text(E2701),""[^A-Za-z0-9]"","""")&amp;""-""&amp;Regexreplace(to_text(F2701),""[^A-Za-z0-9]"",""""))"),"SCHNEIDER-PM1130H")</f>
        <v>SCHNEIDER-PM1130H</v>
      </c>
    </row>
    <row r="2702" ht="30.0" customHeight="1">
      <c r="A2702" s="258"/>
      <c r="B2702" s="328" t="s">
        <v>670</v>
      </c>
      <c r="C2702" s="257" t="s">
        <v>8676</v>
      </c>
      <c r="D2702" s="173" t="s">
        <v>8676</v>
      </c>
      <c r="E2702" s="174" t="s">
        <v>8070</v>
      </c>
      <c r="F2702" s="173" t="s">
        <v>8579</v>
      </c>
      <c r="G2702" s="328" t="s">
        <v>673</v>
      </c>
      <c r="H2702" s="328" t="s">
        <v>2863</v>
      </c>
      <c r="I2702" s="258" t="s">
        <v>8072</v>
      </c>
      <c r="J2702" s="259" t="s">
        <v>739</v>
      </c>
      <c r="K2702" s="260" t="s">
        <v>1782</v>
      </c>
      <c r="L2702" s="365"/>
      <c r="M2702" s="329"/>
      <c r="N2702" s="173" t="s">
        <v>679</v>
      </c>
      <c r="O2702" s="173" t="s">
        <v>225</v>
      </c>
      <c r="P2702" s="262" t="str">
        <f t="shared" si="1"/>
        <v>IN-BLR-ANANTA-EM-249_G</v>
      </c>
      <c r="Q2702" s="173" t="s">
        <v>8677</v>
      </c>
      <c r="R2702" s="328" t="str">
        <f>IFS(C2702="","",C2702="n/a","N/A",LEN(C2702),Concatenate("{",char(34),"asset",char(34),":{",char(34),"guid",char(34),":",char(34),Q2702,char(34),",",char(34),"site",char(34),":",char(34),LOWER('2-Building'!$B$4),char(34),",",char(34),"name",char(34),":",char(34),LOWER(C2702),char(34),"}}"))</f>
        <v>{"asset":{"guid":"uuid://d749611c-87fc-41a4-9572-acaa67d8c5ef","site":"in-blr-ananta","name":"em-249"}}</v>
      </c>
      <c r="S2702" s="366" t="s">
        <v>8581</v>
      </c>
      <c r="T2702" s="330"/>
      <c r="U2702" s="330"/>
      <c r="V2702" s="331"/>
      <c r="W2702" s="332"/>
      <c r="X2702" s="333"/>
      <c r="Y2702" s="33" t="s">
        <v>8076</v>
      </c>
      <c r="Z2702" s="368"/>
      <c r="AA2702" s="333"/>
      <c r="AB2702" s="258">
        <v>9.0</v>
      </c>
      <c r="AC2702" s="333"/>
      <c r="AD2702" s="329"/>
      <c r="AE2702" s="331"/>
      <c r="AF2702" s="336"/>
      <c r="AG2702" s="337"/>
      <c r="AH2702" s="333"/>
      <c r="AI2702" s="333"/>
      <c r="AJ2702" s="333"/>
      <c r="AK2702" s="333"/>
      <c r="AL2702" s="333"/>
      <c r="AM2702" s="338"/>
      <c r="AN2702" s="333"/>
      <c r="AO2702" s="333"/>
      <c r="AP2702" s="333"/>
      <c r="AQ2702" s="333"/>
      <c r="AR2702" s="333"/>
      <c r="AS2702" s="333"/>
      <c r="AT2702" s="333"/>
      <c r="AU2702" s="329"/>
      <c r="AV2702" s="341"/>
      <c r="AW2702" s="269" t="s">
        <v>1650</v>
      </c>
      <c r="AX2702" s="269" t="s">
        <v>2869</v>
      </c>
      <c r="AY2702" s="270" t="s">
        <v>695</v>
      </c>
      <c r="AZ2702" s="379"/>
      <c r="BA2702" s="265">
        <v>10.0</v>
      </c>
      <c r="BB2702" s="367"/>
      <c r="BC2702" s="341"/>
      <c r="BD2702" s="308" t="s">
        <v>1844</v>
      </c>
      <c r="BE2702" s="378"/>
      <c r="BF2702" s="274" t="str">
        <f>IFERROR(__xludf.DUMMYFUNCTION("LOWER(Regexreplace(to_text(E2702),""[^A-Za-z0-9]"","""")&amp;""_""&amp;Regexreplace(to_text(F2702),""[^A-Za-z0-9]"",""""))"),"schneider_pm1130h")</f>
        <v>schneider_pm1130h</v>
      </c>
      <c r="BG2702" s="275" t="str">
        <f>IFERROR(__xludf.DUMMYFUNCTION("upper(Regexreplace(to_text(E2702),""[^A-Za-z0-9]"","""")&amp;""-""&amp;Regexreplace(to_text(F2702),""[^A-Za-z0-9]"",""""))"),"SCHNEIDER-PM1130H")</f>
        <v>SCHNEIDER-PM1130H</v>
      </c>
    </row>
    <row r="2703" ht="30.0" customHeight="1">
      <c r="A2703" s="258"/>
      <c r="B2703" s="328" t="s">
        <v>670</v>
      </c>
      <c r="C2703" s="257" t="s">
        <v>8678</v>
      </c>
      <c r="D2703" s="173" t="s">
        <v>8678</v>
      </c>
      <c r="E2703" s="174" t="s">
        <v>8070</v>
      </c>
      <c r="F2703" s="173" t="s">
        <v>8579</v>
      </c>
      <c r="G2703" s="328" t="s">
        <v>673</v>
      </c>
      <c r="H2703" s="328" t="s">
        <v>2863</v>
      </c>
      <c r="I2703" s="258" t="s">
        <v>8072</v>
      </c>
      <c r="J2703" s="259" t="s">
        <v>739</v>
      </c>
      <c r="K2703" s="260" t="s">
        <v>1782</v>
      </c>
      <c r="L2703" s="365"/>
      <c r="M2703" s="329"/>
      <c r="N2703" s="173" t="s">
        <v>679</v>
      </c>
      <c r="O2703" s="173" t="s">
        <v>225</v>
      </c>
      <c r="P2703" s="262" t="str">
        <f t="shared" si="1"/>
        <v>IN-BLR-ANANTA-EM-250_G</v>
      </c>
      <c r="Q2703" s="173" t="s">
        <v>8679</v>
      </c>
      <c r="R2703" s="328" t="str">
        <f>IFS(C2703="","",C2703="n/a","N/A",LEN(C2703),Concatenate("{",char(34),"asset",char(34),":{",char(34),"guid",char(34),":",char(34),Q2703,char(34),",",char(34),"site",char(34),":",char(34),LOWER('2-Building'!$B$4),char(34),",",char(34),"name",char(34),":",char(34),LOWER(C2703),char(34),"}}"))</f>
        <v>{"asset":{"guid":"uuid://06bfa98f-f702-486b-99aa-51c94a0b644f","site":"in-blr-ananta","name":"em-250"}}</v>
      </c>
      <c r="S2703" s="366" t="s">
        <v>8581</v>
      </c>
      <c r="T2703" s="330"/>
      <c r="U2703" s="330"/>
      <c r="V2703" s="331"/>
      <c r="W2703" s="332"/>
      <c r="X2703" s="333"/>
      <c r="Y2703" s="33" t="s">
        <v>8076</v>
      </c>
      <c r="Z2703" s="368"/>
      <c r="AA2703" s="333"/>
      <c r="AB2703" s="258">
        <v>10.0</v>
      </c>
      <c r="AC2703" s="333"/>
      <c r="AD2703" s="329"/>
      <c r="AE2703" s="331"/>
      <c r="AF2703" s="336"/>
      <c r="AG2703" s="337"/>
      <c r="AH2703" s="333"/>
      <c r="AI2703" s="333"/>
      <c r="AJ2703" s="333"/>
      <c r="AK2703" s="333"/>
      <c r="AL2703" s="333"/>
      <c r="AM2703" s="338"/>
      <c r="AN2703" s="333"/>
      <c r="AO2703" s="333"/>
      <c r="AP2703" s="333"/>
      <c r="AQ2703" s="333"/>
      <c r="AR2703" s="333"/>
      <c r="AS2703" s="333"/>
      <c r="AT2703" s="333"/>
      <c r="AU2703" s="329"/>
      <c r="AV2703" s="341"/>
      <c r="AW2703" s="269" t="s">
        <v>1650</v>
      </c>
      <c r="AX2703" s="269" t="s">
        <v>2869</v>
      </c>
      <c r="AY2703" s="270" t="s">
        <v>695</v>
      </c>
      <c r="AZ2703" s="379"/>
      <c r="BA2703" s="265">
        <v>10.0</v>
      </c>
      <c r="BB2703" s="367"/>
      <c r="BC2703" s="341"/>
      <c r="BD2703" s="308" t="s">
        <v>1844</v>
      </c>
      <c r="BE2703" s="378"/>
      <c r="BF2703" s="274" t="str">
        <f>IFERROR(__xludf.DUMMYFUNCTION("LOWER(Regexreplace(to_text(E2703),""[^A-Za-z0-9]"","""")&amp;""_""&amp;Regexreplace(to_text(F2703),""[^A-Za-z0-9]"",""""))"),"schneider_pm1130h")</f>
        <v>schneider_pm1130h</v>
      </c>
      <c r="BG2703" s="275" t="str">
        <f>IFERROR(__xludf.DUMMYFUNCTION("upper(Regexreplace(to_text(E2703),""[^A-Za-z0-9]"","""")&amp;""-""&amp;Regexreplace(to_text(F2703),""[^A-Za-z0-9]"",""""))"),"SCHNEIDER-PM1130H")</f>
        <v>SCHNEIDER-PM1130H</v>
      </c>
    </row>
    <row r="2704" ht="30.0" customHeight="1">
      <c r="A2704" s="258"/>
      <c r="B2704" s="328" t="s">
        <v>670</v>
      </c>
      <c r="C2704" s="257" t="s">
        <v>8680</v>
      </c>
      <c r="D2704" s="173" t="s">
        <v>8680</v>
      </c>
      <c r="E2704" s="174" t="s">
        <v>8070</v>
      </c>
      <c r="F2704" s="173" t="s">
        <v>8579</v>
      </c>
      <c r="G2704" s="328" t="s">
        <v>673</v>
      </c>
      <c r="H2704" s="328" t="s">
        <v>2863</v>
      </c>
      <c r="I2704" s="258" t="s">
        <v>8072</v>
      </c>
      <c r="J2704" s="259" t="s">
        <v>739</v>
      </c>
      <c r="K2704" s="260" t="s">
        <v>1782</v>
      </c>
      <c r="L2704" s="365"/>
      <c r="M2704" s="329"/>
      <c r="N2704" s="173" t="s">
        <v>679</v>
      </c>
      <c r="O2704" s="173" t="s">
        <v>225</v>
      </c>
      <c r="P2704" s="262" t="str">
        <f t="shared" si="1"/>
        <v>IN-BLR-ANANTA-EM-251_G</v>
      </c>
      <c r="Q2704" s="173" t="s">
        <v>8681</v>
      </c>
      <c r="R2704" s="328" t="str">
        <f>IFS(C2704="","",C2704="n/a","N/A",LEN(C2704),Concatenate("{",char(34),"asset",char(34),":{",char(34),"guid",char(34),":",char(34),Q2704,char(34),",",char(34),"site",char(34),":",char(34),LOWER('2-Building'!$B$4),char(34),",",char(34),"name",char(34),":",char(34),LOWER(C2704),char(34),"}}"))</f>
        <v>{"asset":{"guid":"uuid://671e8f5f-11bd-4406-bd81-eca7d3079c2d","site":"in-blr-ananta","name":"em-251"}}</v>
      </c>
      <c r="S2704" s="366" t="s">
        <v>8581</v>
      </c>
      <c r="T2704" s="330"/>
      <c r="U2704" s="330"/>
      <c r="V2704" s="331"/>
      <c r="W2704" s="332"/>
      <c r="X2704" s="333"/>
      <c r="Y2704" s="33" t="s">
        <v>8076</v>
      </c>
      <c r="Z2704" s="368"/>
      <c r="AA2704" s="333"/>
      <c r="AB2704" s="258">
        <v>11.0</v>
      </c>
      <c r="AC2704" s="333"/>
      <c r="AD2704" s="329"/>
      <c r="AE2704" s="331"/>
      <c r="AF2704" s="336"/>
      <c r="AG2704" s="337"/>
      <c r="AH2704" s="333"/>
      <c r="AI2704" s="333"/>
      <c r="AJ2704" s="333"/>
      <c r="AK2704" s="333"/>
      <c r="AL2704" s="333"/>
      <c r="AM2704" s="338"/>
      <c r="AN2704" s="333"/>
      <c r="AO2704" s="333"/>
      <c r="AP2704" s="333"/>
      <c r="AQ2704" s="333"/>
      <c r="AR2704" s="333"/>
      <c r="AS2704" s="333"/>
      <c r="AT2704" s="333"/>
      <c r="AU2704" s="329"/>
      <c r="AV2704" s="341"/>
      <c r="AW2704" s="269" t="s">
        <v>1650</v>
      </c>
      <c r="AX2704" s="269" t="s">
        <v>2869</v>
      </c>
      <c r="AY2704" s="270" t="s">
        <v>695</v>
      </c>
      <c r="AZ2704" s="379"/>
      <c r="BA2704" s="265">
        <v>10.0</v>
      </c>
      <c r="BB2704" s="367"/>
      <c r="BC2704" s="341"/>
      <c r="BD2704" s="308" t="s">
        <v>1844</v>
      </c>
      <c r="BE2704" s="378"/>
      <c r="BF2704" s="274" t="str">
        <f>IFERROR(__xludf.DUMMYFUNCTION("LOWER(Regexreplace(to_text(E2704),""[^A-Za-z0-9]"","""")&amp;""_""&amp;Regexreplace(to_text(F2704),""[^A-Za-z0-9]"",""""))"),"schneider_pm1130h")</f>
        <v>schneider_pm1130h</v>
      </c>
      <c r="BG2704" s="275" t="str">
        <f>IFERROR(__xludf.DUMMYFUNCTION("upper(Regexreplace(to_text(E2704),""[^A-Za-z0-9]"","""")&amp;""-""&amp;Regexreplace(to_text(F2704),""[^A-Za-z0-9]"",""""))"),"SCHNEIDER-PM1130H")</f>
        <v>SCHNEIDER-PM1130H</v>
      </c>
    </row>
    <row r="2705" ht="30.0" customHeight="1">
      <c r="A2705" s="258"/>
      <c r="B2705" s="328" t="s">
        <v>670</v>
      </c>
      <c r="C2705" s="257" t="s">
        <v>8682</v>
      </c>
      <c r="D2705" s="173" t="s">
        <v>8682</v>
      </c>
      <c r="E2705" s="174" t="s">
        <v>8070</v>
      </c>
      <c r="F2705" s="173" t="s">
        <v>8579</v>
      </c>
      <c r="G2705" s="328" t="s">
        <v>673</v>
      </c>
      <c r="H2705" s="328" t="s">
        <v>2863</v>
      </c>
      <c r="I2705" s="258" t="s">
        <v>8072</v>
      </c>
      <c r="J2705" s="259" t="s">
        <v>739</v>
      </c>
      <c r="K2705" s="260" t="s">
        <v>1782</v>
      </c>
      <c r="L2705" s="365"/>
      <c r="M2705" s="329"/>
      <c r="N2705" s="173" t="s">
        <v>679</v>
      </c>
      <c r="O2705" s="173" t="s">
        <v>225</v>
      </c>
      <c r="P2705" s="262" t="str">
        <f t="shared" si="1"/>
        <v>IN-BLR-ANANTA-EM-252_G</v>
      </c>
      <c r="Q2705" s="173" t="s">
        <v>8683</v>
      </c>
      <c r="R2705" s="328" t="str">
        <f>IFS(C2705="","",C2705="n/a","N/A",LEN(C2705),Concatenate("{",char(34),"asset",char(34),":{",char(34),"guid",char(34),":",char(34),Q2705,char(34),",",char(34),"site",char(34),":",char(34),LOWER('2-Building'!$B$4),char(34),",",char(34),"name",char(34),":",char(34),LOWER(C2705),char(34),"}}"))</f>
        <v>{"asset":{"guid":"uuid://aaad358a-fe08-4e01-9c56-cd05c51f567a","site":"in-blr-ananta","name":"em-252"}}</v>
      </c>
      <c r="S2705" s="366" t="s">
        <v>8581</v>
      </c>
      <c r="T2705" s="330"/>
      <c r="U2705" s="330"/>
      <c r="V2705" s="331"/>
      <c r="W2705" s="332"/>
      <c r="X2705" s="333"/>
      <c r="Y2705" s="33" t="s">
        <v>8076</v>
      </c>
      <c r="Z2705" s="368"/>
      <c r="AA2705" s="333"/>
      <c r="AB2705" s="258">
        <v>12.0</v>
      </c>
      <c r="AC2705" s="333"/>
      <c r="AD2705" s="329"/>
      <c r="AE2705" s="331"/>
      <c r="AF2705" s="336"/>
      <c r="AG2705" s="337"/>
      <c r="AH2705" s="333"/>
      <c r="AI2705" s="333"/>
      <c r="AJ2705" s="333"/>
      <c r="AK2705" s="333"/>
      <c r="AL2705" s="333"/>
      <c r="AM2705" s="338"/>
      <c r="AN2705" s="333"/>
      <c r="AO2705" s="333"/>
      <c r="AP2705" s="333"/>
      <c r="AQ2705" s="333"/>
      <c r="AR2705" s="333"/>
      <c r="AS2705" s="333"/>
      <c r="AT2705" s="333"/>
      <c r="AU2705" s="329"/>
      <c r="AV2705" s="341"/>
      <c r="AW2705" s="269" t="s">
        <v>1650</v>
      </c>
      <c r="AX2705" s="269" t="s">
        <v>2869</v>
      </c>
      <c r="AY2705" s="270" t="s">
        <v>695</v>
      </c>
      <c r="AZ2705" s="379"/>
      <c r="BA2705" s="265">
        <v>10.0</v>
      </c>
      <c r="BB2705" s="367"/>
      <c r="BC2705" s="341"/>
      <c r="BD2705" s="308" t="s">
        <v>1844</v>
      </c>
      <c r="BE2705" s="378"/>
      <c r="BF2705" s="274" t="str">
        <f>IFERROR(__xludf.DUMMYFUNCTION("LOWER(Regexreplace(to_text(E2705),""[^A-Za-z0-9]"","""")&amp;""_""&amp;Regexreplace(to_text(F2705),""[^A-Za-z0-9]"",""""))"),"schneider_pm1130h")</f>
        <v>schneider_pm1130h</v>
      </c>
      <c r="BG2705" s="275" t="str">
        <f>IFERROR(__xludf.DUMMYFUNCTION("upper(Regexreplace(to_text(E2705),""[^A-Za-z0-9]"","""")&amp;""-""&amp;Regexreplace(to_text(F2705),""[^A-Za-z0-9]"",""""))"),"SCHNEIDER-PM1130H")</f>
        <v>SCHNEIDER-PM1130H</v>
      </c>
    </row>
    <row r="2706" ht="30.0" customHeight="1">
      <c r="A2706" s="258"/>
      <c r="B2706" s="328" t="s">
        <v>670</v>
      </c>
      <c r="C2706" s="257" t="s">
        <v>8684</v>
      </c>
      <c r="D2706" s="173" t="s">
        <v>8684</v>
      </c>
      <c r="E2706" s="174" t="s">
        <v>8070</v>
      </c>
      <c r="F2706" s="173" t="s">
        <v>8579</v>
      </c>
      <c r="G2706" s="328" t="s">
        <v>673</v>
      </c>
      <c r="H2706" s="328" t="s">
        <v>2863</v>
      </c>
      <c r="I2706" s="258" t="s">
        <v>8072</v>
      </c>
      <c r="J2706" s="259" t="s">
        <v>739</v>
      </c>
      <c r="K2706" s="260" t="s">
        <v>1782</v>
      </c>
      <c r="L2706" s="365"/>
      <c r="M2706" s="329"/>
      <c r="N2706" s="173" t="s">
        <v>679</v>
      </c>
      <c r="O2706" s="173" t="s">
        <v>225</v>
      </c>
      <c r="P2706" s="262" t="str">
        <f t="shared" si="1"/>
        <v>IN-BLR-ANANTA-EM-253_G</v>
      </c>
      <c r="Q2706" s="173" t="s">
        <v>8685</v>
      </c>
      <c r="R2706" s="328" t="str">
        <f>IFS(C2706="","",C2706="n/a","N/A",LEN(C2706),Concatenate("{",char(34),"asset",char(34),":{",char(34),"guid",char(34),":",char(34),Q2706,char(34),",",char(34),"site",char(34),":",char(34),LOWER('2-Building'!$B$4),char(34),",",char(34),"name",char(34),":",char(34),LOWER(C2706),char(34),"}}"))</f>
        <v>{"asset":{"guid":"uuid://8d0e8f8b-55cc-41c9-a311-3276ea66d826","site":"in-blr-ananta","name":"em-253"}}</v>
      </c>
      <c r="S2706" s="366" t="s">
        <v>8581</v>
      </c>
      <c r="T2706" s="330"/>
      <c r="U2706" s="330"/>
      <c r="V2706" s="331"/>
      <c r="W2706" s="332"/>
      <c r="X2706" s="333"/>
      <c r="Y2706" s="33" t="s">
        <v>8076</v>
      </c>
      <c r="Z2706" s="368"/>
      <c r="AA2706" s="333"/>
      <c r="AB2706" s="258">
        <v>13.0</v>
      </c>
      <c r="AC2706" s="333"/>
      <c r="AD2706" s="329"/>
      <c r="AE2706" s="331"/>
      <c r="AF2706" s="336"/>
      <c r="AG2706" s="337"/>
      <c r="AH2706" s="333"/>
      <c r="AI2706" s="333"/>
      <c r="AJ2706" s="333"/>
      <c r="AK2706" s="333"/>
      <c r="AL2706" s="333"/>
      <c r="AM2706" s="338"/>
      <c r="AN2706" s="333"/>
      <c r="AO2706" s="333"/>
      <c r="AP2706" s="333"/>
      <c r="AQ2706" s="333"/>
      <c r="AR2706" s="333"/>
      <c r="AS2706" s="333"/>
      <c r="AT2706" s="333"/>
      <c r="AU2706" s="329"/>
      <c r="AV2706" s="341"/>
      <c r="AW2706" s="269" t="s">
        <v>1650</v>
      </c>
      <c r="AX2706" s="269" t="s">
        <v>2869</v>
      </c>
      <c r="AY2706" s="270" t="s">
        <v>695</v>
      </c>
      <c r="AZ2706" s="379"/>
      <c r="BA2706" s="265">
        <v>10.0</v>
      </c>
      <c r="BB2706" s="367"/>
      <c r="BC2706" s="341"/>
      <c r="BD2706" s="308" t="s">
        <v>1844</v>
      </c>
      <c r="BE2706" s="378"/>
      <c r="BF2706" s="274" t="str">
        <f>IFERROR(__xludf.DUMMYFUNCTION("LOWER(Regexreplace(to_text(E2706),""[^A-Za-z0-9]"","""")&amp;""_""&amp;Regexreplace(to_text(F2706),""[^A-Za-z0-9]"",""""))"),"schneider_pm1130h")</f>
        <v>schneider_pm1130h</v>
      </c>
      <c r="BG2706" s="275" t="str">
        <f>IFERROR(__xludf.DUMMYFUNCTION("upper(Regexreplace(to_text(E2706),""[^A-Za-z0-9]"","""")&amp;""-""&amp;Regexreplace(to_text(F2706),""[^A-Za-z0-9]"",""""))"),"SCHNEIDER-PM1130H")</f>
        <v>SCHNEIDER-PM1130H</v>
      </c>
    </row>
    <row r="2707" ht="30.0" customHeight="1">
      <c r="A2707" s="258"/>
      <c r="B2707" s="328" t="s">
        <v>670</v>
      </c>
      <c r="C2707" s="257" t="s">
        <v>8686</v>
      </c>
      <c r="D2707" s="173" t="s">
        <v>8686</v>
      </c>
      <c r="E2707" s="174" t="s">
        <v>8070</v>
      </c>
      <c r="F2707" s="173" t="s">
        <v>8579</v>
      </c>
      <c r="G2707" s="328" t="s">
        <v>673</v>
      </c>
      <c r="H2707" s="328" t="s">
        <v>2863</v>
      </c>
      <c r="I2707" s="258" t="s">
        <v>8072</v>
      </c>
      <c r="J2707" s="259" t="s">
        <v>739</v>
      </c>
      <c r="K2707" s="260" t="s">
        <v>1782</v>
      </c>
      <c r="L2707" s="365"/>
      <c r="M2707" s="329"/>
      <c r="N2707" s="173" t="s">
        <v>679</v>
      </c>
      <c r="O2707" s="173" t="s">
        <v>225</v>
      </c>
      <c r="P2707" s="262" t="str">
        <f t="shared" si="1"/>
        <v>IN-BLR-ANANTA-EM-254_G</v>
      </c>
      <c r="Q2707" s="173" t="s">
        <v>8687</v>
      </c>
      <c r="R2707" s="328" t="str">
        <f>IFS(C2707="","",C2707="n/a","N/A",LEN(C2707),Concatenate("{",char(34),"asset",char(34),":{",char(34),"guid",char(34),":",char(34),Q2707,char(34),",",char(34),"site",char(34),":",char(34),LOWER('2-Building'!$B$4),char(34),",",char(34),"name",char(34),":",char(34),LOWER(C2707),char(34),"}}"))</f>
        <v>{"asset":{"guid":"uuid://faec4715-3b27-4e1b-8a05-cf73ce540703","site":"in-blr-ananta","name":"em-254"}}</v>
      </c>
      <c r="S2707" s="366" t="s">
        <v>8581</v>
      </c>
      <c r="T2707" s="330"/>
      <c r="U2707" s="330"/>
      <c r="V2707" s="331"/>
      <c r="W2707" s="332"/>
      <c r="X2707" s="333"/>
      <c r="Y2707" s="33" t="s">
        <v>8076</v>
      </c>
      <c r="Z2707" s="368"/>
      <c r="AA2707" s="333"/>
      <c r="AB2707" s="258">
        <v>14.0</v>
      </c>
      <c r="AC2707" s="333"/>
      <c r="AD2707" s="329"/>
      <c r="AE2707" s="331"/>
      <c r="AF2707" s="336"/>
      <c r="AG2707" s="337"/>
      <c r="AH2707" s="333"/>
      <c r="AI2707" s="333"/>
      <c r="AJ2707" s="333"/>
      <c r="AK2707" s="333"/>
      <c r="AL2707" s="333"/>
      <c r="AM2707" s="338"/>
      <c r="AN2707" s="333"/>
      <c r="AO2707" s="333"/>
      <c r="AP2707" s="333"/>
      <c r="AQ2707" s="333"/>
      <c r="AR2707" s="333"/>
      <c r="AS2707" s="333"/>
      <c r="AT2707" s="333"/>
      <c r="AU2707" s="329"/>
      <c r="AV2707" s="341"/>
      <c r="AW2707" s="269" t="s">
        <v>1650</v>
      </c>
      <c r="AX2707" s="269" t="s">
        <v>2869</v>
      </c>
      <c r="AY2707" s="270" t="s">
        <v>695</v>
      </c>
      <c r="AZ2707" s="379"/>
      <c r="BA2707" s="265">
        <v>10.0</v>
      </c>
      <c r="BB2707" s="367"/>
      <c r="BC2707" s="341"/>
      <c r="BD2707" s="308" t="s">
        <v>1844</v>
      </c>
      <c r="BE2707" s="378"/>
      <c r="BF2707" s="274" t="str">
        <f>IFERROR(__xludf.DUMMYFUNCTION("LOWER(Regexreplace(to_text(E2707),""[^A-Za-z0-9]"","""")&amp;""_""&amp;Regexreplace(to_text(F2707),""[^A-Za-z0-9]"",""""))"),"schneider_pm1130h")</f>
        <v>schneider_pm1130h</v>
      </c>
      <c r="BG2707" s="275" t="str">
        <f>IFERROR(__xludf.DUMMYFUNCTION("upper(Regexreplace(to_text(E2707),""[^A-Za-z0-9]"","""")&amp;""-""&amp;Regexreplace(to_text(F2707),""[^A-Za-z0-9]"",""""))"),"SCHNEIDER-PM1130H")</f>
        <v>SCHNEIDER-PM1130H</v>
      </c>
    </row>
    <row r="2708" ht="30.0" customHeight="1">
      <c r="A2708" s="258"/>
      <c r="B2708" s="328" t="s">
        <v>670</v>
      </c>
      <c r="C2708" s="257" t="s">
        <v>8688</v>
      </c>
      <c r="D2708" s="173" t="s">
        <v>8688</v>
      </c>
      <c r="E2708" s="174" t="s">
        <v>8070</v>
      </c>
      <c r="F2708" s="173" t="s">
        <v>8579</v>
      </c>
      <c r="G2708" s="328" t="s">
        <v>673</v>
      </c>
      <c r="H2708" s="328" t="s">
        <v>2863</v>
      </c>
      <c r="I2708" s="258" t="s">
        <v>8072</v>
      </c>
      <c r="J2708" s="259" t="s">
        <v>739</v>
      </c>
      <c r="K2708" s="260" t="s">
        <v>1782</v>
      </c>
      <c r="L2708" s="365"/>
      <c r="M2708" s="329"/>
      <c r="N2708" s="173" t="s">
        <v>679</v>
      </c>
      <c r="O2708" s="173" t="s">
        <v>225</v>
      </c>
      <c r="P2708" s="262" t="str">
        <f t="shared" si="1"/>
        <v>IN-BLR-ANANTA-EM-255_G</v>
      </c>
      <c r="Q2708" s="173" t="s">
        <v>8689</v>
      </c>
      <c r="R2708" s="328" t="str">
        <f>IFS(C2708="","",C2708="n/a","N/A",LEN(C2708),Concatenate("{",char(34),"asset",char(34),":{",char(34),"guid",char(34),":",char(34),Q2708,char(34),",",char(34),"site",char(34),":",char(34),LOWER('2-Building'!$B$4),char(34),",",char(34),"name",char(34),":",char(34),LOWER(C2708),char(34),"}}"))</f>
        <v>{"asset":{"guid":"uuid://d9c7fc57-2c85-44c1-b85d-429d6e1041ac","site":"in-blr-ananta","name":"em-255"}}</v>
      </c>
      <c r="S2708" s="366" t="s">
        <v>8581</v>
      </c>
      <c r="T2708" s="330"/>
      <c r="U2708" s="330"/>
      <c r="V2708" s="331"/>
      <c r="W2708" s="332"/>
      <c r="X2708" s="333"/>
      <c r="Y2708" s="33" t="s">
        <v>8076</v>
      </c>
      <c r="Z2708" s="368"/>
      <c r="AA2708" s="333"/>
      <c r="AB2708" s="258">
        <v>1.0</v>
      </c>
      <c r="AC2708" s="333"/>
      <c r="AD2708" s="329"/>
      <c r="AE2708" s="331"/>
      <c r="AF2708" s="336"/>
      <c r="AG2708" s="337"/>
      <c r="AH2708" s="333"/>
      <c r="AI2708" s="333"/>
      <c r="AJ2708" s="333"/>
      <c r="AK2708" s="333"/>
      <c r="AL2708" s="333"/>
      <c r="AM2708" s="338"/>
      <c r="AN2708" s="333"/>
      <c r="AO2708" s="333"/>
      <c r="AP2708" s="333"/>
      <c r="AQ2708" s="333"/>
      <c r="AR2708" s="333"/>
      <c r="AS2708" s="333"/>
      <c r="AT2708" s="333"/>
      <c r="AU2708" s="329"/>
      <c r="AV2708" s="341"/>
      <c r="AW2708" s="269" t="s">
        <v>1650</v>
      </c>
      <c r="AX2708" s="269" t="s">
        <v>2869</v>
      </c>
      <c r="AY2708" s="270" t="s">
        <v>695</v>
      </c>
      <c r="AZ2708" s="379"/>
      <c r="BA2708" s="265">
        <v>10.0</v>
      </c>
      <c r="BB2708" s="367"/>
      <c r="BC2708" s="341"/>
      <c r="BD2708" s="308" t="s">
        <v>1844</v>
      </c>
      <c r="BE2708" s="378"/>
      <c r="BF2708" s="274" t="str">
        <f>IFERROR(__xludf.DUMMYFUNCTION("LOWER(Regexreplace(to_text(E2708),""[^A-Za-z0-9]"","""")&amp;""_""&amp;Regexreplace(to_text(F2708),""[^A-Za-z0-9]"",""""))"),"schneider_pm1130h")</f>
        <v>schneider_pm1130h</v>
      </c>
      <c r="BG2708" s="275" t="str">
        <f>IFERROR(__xludf.DUMMYFUNCTION("upper(Regexreplace(to_text(E2708),""[^A-Za-z0-9]"","""")&amp;""-""&amp;Regexreplace(to_text(F2708),""[^A-Za-z0-9]"",""""))"),"SCHNEIDER-PM1130H")</f>
        <v>SCHNEIDER-PM1130H</v>
      </c>
    </row>
    <row r="2709" ht="30.0" customHeight="1">
      <c r="A2709" s="258"/>
      <c r="B2709" s="328" t="s">
        <v>670</v>
      </c>
      <c r="C2709" s="257" t="s">
        <v>8690</v>
      </c>
      <c r="D2709" s="173" t="s">
        <v>8690</v>
      </c>
      <c r="E2709" s="174" t="s">
        <v>8070</v>
      </c>
      <c r="F2709" s="173" t="s">
        <v>8579</v>
      </c>
      <c r="G2709" s="328" t="s">
        <v>673</v>
      </c>
      <c r="H2709" s="328" t="s">
        <v>2863</v>
      </c>
      <c r="I2709" s="258" t="s">
        <v>8072</v>
      </c>
      <c r="J2709" s="259" t="s">
        <v>739</v>
      </c>
      <c r="K2709" s="260" t="s">
        <v>1782</v>
      </c>
      <c r="L2709" s="365"/>
      <c r="M2709" s="329"/>
      <c r="N2709" s="173" t="s">
        <v>679</v>
      </c>
      <c r="O2709" s="173" t="s">
        <v>225</v>
      </c>
      <c r="P2709" s="262" t="str">
        <f t="shared" si="1"/>
        <v>IN-BLR-ANANTA-EM-256_G</v>
      </c>
      <c r="Q2709" s="173" t="s">
        <v>8691</v>
      </c>
      <c r="R2709" s="328" t="str">
        <f>IFS(C2709="","",C2709="n/a","N/A",LEN(C2709),Concatenate("{",char(34),"asset",char(34),":{",char(34),"guid",char(34),":",char(34),Q2709,char(34),",",char(34),"site",char(34),":",char(34),LOWER('2-Building'!$B$4),char(34),",",char(34),"name",char(34),":",char(34),LOWER(C2709),char(34),"}}"))</f>
        <v>{"asset":{"guid":"uuid://046435b7-3953-41cc-8b04-adfbd6998dac","site":"in-blr-ananta","name":"em-256"}}</v>
      </c>
      <c r="S2709" s="366" t="s">
        <v>8581</v>
      </c>
      <c r="T2709" s="330"/>
      <c r="U2709" s="330"/>
      <c r="V2709" s="331"/>
      <c r="W2709" s="332"/>
      <c r="X2709" s="333"/>
      <c r="Y2709" s="33" t="s">
        <v>8076</v>
      </c>
      <c r="Z2709" s="368"/>
      <c r="AA2709" s="333"/>
      <c r="AB2709" s="258">
        <v>2.0</v>
      </c>
      <c r="AC2709" s="333"/>
      <c r="AD2709" s="329"/>
      <c r="AE2709" s="331"/>
      <c r="AF2709" s="336"/>
      <c r="AG2709" s="337"/>
      <c r="AH2709" s="333"/>
      <c r="AI2709" s="333"/>
      <c r="AJ2709" s="333"/>
      <c r="AK2709" s="333"/>
      <c r="AL2709" s="333"/>
      <c r="AM2709" s="338"/>
      <c r="AN2709" s="333"/>
      <c r="AO2709" s="333"/>
      <c r="AP2709" s="333"/>
      <c r="AQ2709" s="333"/>
      <c r="AR2709" s="333"/>
      <c r="AS2709" s="333"/>
      <c r="AT2709" s="333"/>
      <c r="AU2709" s="329"/>
      <c r="AV2709" s="341"/>
      <c r="AW2709" s="269" t="s">
        <v>1650</v>
      </c>
      <c r="AX2709" s="269" t="s">
        <v>2869</v>
      </c>
      <c r="AY2709" s="270" t="s">
        <v>695</v>
      </c>
      <c r="AZ2709" s="379"/>
      <c r="BA2709" s="265">
        <v>10.0</v>
      </c>
      <c r="BB2709" s="367"/>
      <c r="BC2709" s="341"/>
      <c r="BD2709" s="308" t="s">
        <v>1844</v>
      </c>
      <c r="BE2709" s="378"/>
      <c r="BF2709" s="274" t="str">
        <f>IFERROR(__xludf.DUMMYFUNCTION("LOWER(Regexreplace(to_text(E2709),""[^A-Za-z0-9]"","""")&amp;""_""&amp;Regexreplace(to_text(F2709),""[^A-Za-z0-9]"",""""))"),"schneider_pm1130h")</f>
        <v>schneider_pm1130h</v>
      </c>
      <c r="BG2709" s="275" t="str">
        <f>IFERROR(__xludf.DUMMYFUNCTION("upper(Regexreplace(to_text(E2709),""[^A-Za-z0-9]"","""")&amp;""-""&amp;Regexreplace(to_text(F2709),""[^A-Za-z0-9]"",""""))"),"SCHNEIDER-PM1130H")</f>
        <v>SCHNEIDER-PM1130H</v>
      </c>
    </row>
    <row r="2710" ht="30.0" customHeight="1">
      <c r="A2710" s="258"/>
      <c r="B2710" s="328" t="s">
        <v>670</v>
      </c>
      <c r="C2710" s="257" t="s">
        <v>8692</v>
      </c>
      <c r="D2710" s="173" t="s">
        <v>8692</v>
      </c>
      <c r="E2710" s="174" t="s">
        <v>8070</v>
      </c>
      <c r="F2710" s="173" t="s">
        <v>8579</v>
      </c>
      <c r="G2710" s="328" t="s">
        <v>673</v>
      </c>
      <c r="H2710" s="328" t="s">
        <v>2863</v>
      </c>
      <c r="I2710" s="258" t="s">
        <v>8072</v>
      </c>
      <c r="J2710" s="259" t="s">
        <v>739</v>
      </c>
      <c r="K2710" s="260" t="s">
        <v>1782</v>
      </c>
      <c r="L2710" s="365"/>
      <c r="M2710" s="329"/>
      <c r="N2710" s="173" t="s">
        <v>679</v>
      </c>
      <c r="O2710" s="173" t="s">
        <v>225</v>
      </c>
      <c r="P2710" s="262" t="str">
        <f t="shared" si="1"/>
        <v>IN-BLR-ANANTA-EM-257_G</v>
      </c>
      <c r="Q2710" s="173" t="s">
        <v>8693</v>
      </c>
      <c r="R2710" s="328" t="str">
        <f>IFS(C2710="","",C2710="n/a","N/A",LEN(C2710),Concatenate("{",char(34),"asset",char(34),":{",char(34),"guid",char(34),":",char(34),Q2710,char(34),",",char(34),"site",char(34),":",char(34),LOWER('2-Building'!$B$4),char(34),",",char(34),"name",char(34),":",char(34),LOWER(C2710),char(34),"}}"))</f>
        <v>{"asset":{"guid":"uuid://180a829f-2d00-480e-8d5a-a1e8fb4cb1ff","site":"in-blr-ananta","name":"em-257"}}</v>
      </c>
      <c r="S2710" s="366" t="s">
        <v>8581</v>
      </c>
      <c r="T2710" s="330"/>
      <c r="U2710" s="330"/>
      <c r="V2710" s="331"/>
      <c r="W2710" s="332"/>
      <c r="X2710" s="333"/>
      <c r="Y2710" s="33" t="s">
        <v>8076</v>
      </c>
      <c r="Z2710" s="368"/>
      <c r="AA2710" s="333"/>
      <c r="AB2710" s="258">
        <v>3.0</v>
      </c>
      <c r="AC2710" s="333"/>
      <c r="AD2710" s="329"/>
      <c r="AE2710" s="331"/>
      <c r="AF2710" s="336"/>
      <c r="AG2710" s="337"/>
      <c r="AH2710" s="333"/>
      <c r="AI2710" s="333"/>
      <c r="AJ2710" s="333"/>
      <c r="AK2710" s="333"/>
      <c r="AL2710" s="333"/>
      <c r="AM2710" s="338"/>
      <c r="AN2710" s="333"/>
      <c r="AO2710" s="333"/>
      <c r="AP2710" s="333"/>
      <c r="AQ2710" s="333"/>
      <c r="AR2710" s="333"/>
      <c r="AS2710" s="333"/>
      <c r="AT2710" s="333"/>
      <c r="AU2710" s="329"/>
      <c r="AV2710" s="341"/>
      <c r="AW2710" s="269" t="s">
        <v>1650</v>
      </c>
      <c r="AX2710" s="269" t="s">
        <v>2869</v>
      </c>
      <c r="AY2710" s="270" t="s">
        <v>695</v>
      </c>
      <c r="AZ2710" s="379"/>
      <c r="BA2710" s="265">
        <v>10.0</v>
      </c>
      <c r="BB2710" s="367"/>
      <c r="BC2710" s="341"/>
      <c r="BD2710" s="308" t="s">
        <v>1844</v>
      </c>
      <c r="BE2710" s="378"/>
      <c r="BF2710" s="274" t="str">
        <f>IFERROR(__xludf.DUMMYFUNCTION("LOWER(Regexreplace(to_text(E2710),""[^A-Za-z0-9]"","""")&amp;""_""&amp;Regexreplace(to_text(F2710),""[^A-Za-z0-9]"",""""))"),"schneider_pm1130h")</f>
        <v>schneider_pm1130h</v>
      </c>
      <c r="BG2710" s="275" t="str">
        <f>IFERROR(__xludf.DUMMYFUNCTION("upper(Regexreplace(to_text(E2710),""[^A-Za-z0-9]"","""")&amp;""-""&amp;Regexreplace(to_text(F2710),""[^A-Za-z0-9]"",""""))"),"SCHNEIDER-PM1130H")</f>
        <v>SCHNEIDER-PM1130H</v>
      </c>
    </row>
    <row r="2711" ht="30.0" customHeight="1">
      <c r="A2711" s="258"/>
      <c r="B2711" s="328" t="s">
        <v>670</v>
      </c>
      <c r="C2711" s="257" t="s">
        <v>8694</v>
      </c>
      <c r="D2711" s="173" t="s">
        <v>8694</v>
      </c>
      <c r="E2711" s="174" t="s">
        <v>8070</v>
      </c>
      <c r="F2711" s="173" t="s">
        <v>8579</v>
      </c>
      <c r="G2711" s="328" t="s">
        <v>673</v>
      </c>
      <c r="H2711" s="328" t="s">
        <v>2863</v>
      </c>
      <c r="I2711" s="258" t="s">
        <v>8072</v>
      </c>
      <c r="J2711" s="259" t="s">
        <v>739</v>
      </c>
      <c r="K2711" s="260" t="s">
        <v>1782</v>
      </c>
      <c r="L2711" s="365"/>
      <c r="M2711" s="329"/>
      <c r="N2711" s="173" t="s">
        <v>679</v>
      </c>
      <c r="O2711" s="173" t="s">
        <v>225</v>
      </c>
      <c r="P2711" s="262" t="str">
        <f t="shared" si="1"/>
        <v>IN-BLR-ANANTA-EM-258_G</v>
      </c>
      <c r="Q2711" s="173" t="s">
        <v>8695</v>
      </c>
      <c r="R2711" s="328" t="str">
        <f>IFS(C2711="","",C2711="n/a","N/A",LEN(C2711),Concatenate("{",char(34),"asset",char(34),":{",char(34),"guid",char(34),":",char(34),Q2711,char(34),",",char(34),"site",char(34),":",char(34),LOWER('2-Building'!$B$4),char(34),",",char(34),"name",char(34),":",char(34),LOWER(C2711),char(34),"}}"))</f>
        <v>{"asset":{"guid":"uuid://56dca120-4980-4c99-81df-e65fb7cfec07","site":"in-blr-ananta","name":"em-258"}}</v>
      </c>
      <c r="S2711" s="366" t="s">
        <v>8581</v>
      </c>
      <c r="T2711" s="330"/>
      <c r="U2711" s="330"/>
      <c r="V2711" s="331"/>
      <c r="W2711" s="332"/>
      <c r="X2711" s="333"/>
      <c r="Y2711" s="33" t="s">
        <v>8076</v>
      </c>
      <c r="Z2711" s="368"/>
      <c r="AA2711" s="333"/>
      <c r="AB2711" s="258">
        <v>4.0</v>
      </c>
      <c r="AC2711" s="333"/>
      <c r="AD2711" s="329"/>
      <c r="AE2711" s="331"/>
      <c r="AF2711" s="336"/>
      <c r="AG2711" s="337"/>
      <c r="AH2711" s="333"/>
      <c r="AI2711" s="333"/>
      <c r="AJ2711" s="333"/>
      <c r="AK2711" s="333"/>
      <c r="AL2711" s="333"/>
      <c r="AM2711" s="338"/>
      <c r="AN2711" s="333"/>
      <c r="AO2711" s="333"/>
      <c r="AP2711" s="333"/>
      <c r="AQ2711" s="333"/>
      <c r="AR2711" s="333"/>
      <c r="AS2711" s="333"/>
      <c r="AT2711" s="333"/>
      <c r="AU2711" s="329"/>
      <c r="AV2711" s="341"/>
      <c r="AW2711" s="269" t="s">
        <v>1650</v>
      </c>
      <c r="AX2711" s="269" t="s">
        <v>2869</v>
      </c>
      <c r="AY2711" s="270" t="s">
        <v>695</v>
      </c>
      <c r="AZ2711" s="379"/>
      <c r="BA2711" s="265">
        <v>10.0</v>
      </c>
      <c r="BB2711" s="367"/>
      <c r="BC2711" s="341"/>
      <c r="BD2711" s="308" t="s">
        <v>1844</v>
      </c>
      <c r="BE2711" s="378"/>
      <c r="BF2711" s="274" t="str">
        <f>IFERROR(__xludf.DUMMYFUNCTION("LOWER(Regexreplace(to_text(E2711),""[^A-Za-z0-9]"","""")&amp;""_""&amp;Regexreplace(to_text(F2711),""[^A-Za-z0-9]"",""""))"),"schneider_pm1130h")</f>
        <v>schneider_pm1130h</v>
      </c>
      <c r="BG2711" s="275" t="str">
        <f>IFERROR(__xludf.DUMMYFUNCTION("upper(Regexreplace(to_text(E2711),""[^A-Za-z0-9]"","""")&amp;""-""&amp;Regexreplace(to_text(F2711),""[^A-Za-z0-9]"",""""))"),"SCHNEIDER-PM1130H")</f>
        <v>SCHNEIDER-PM1130H</v>
      </c>
    </row>
    <row r="2712" ht="30.0" customHeight="1">
      <c r="A2712" s="258"/>
      <c r="B2712" s="328" t="s">
        <v>670</v>
      </c>
      <c r="C2712" s="257" t="s">
        <v>8696</v>
      </c>
      <c r="D2712" s="173" t="s">
        <v>8696</v>
      </c>
      <c r="E2712" s="174" t="s">
        <v>8070</v>
      </c>
      <c r="F2712" s="173" t="s">
        <v>8579</v>
      </c>
      <c r="G2712" s="328" t="s">
        <v>673</v>
      </c>
      <c r="H2712" s="328" t="s">
        <v>2863</v>
      </c>
      <c r="I2712" s="258" t="s">
        <v>8072</v>
      </c>
      <c r="J2712" s="259" t="s">
        <v>739</v>
      </c>
      <c r="K2712" s="260" t="s">
        <v>1782</v>
      </c>
      <c r="L2712" s="365"/>
      <c r="M2712" s="329"/>
      <c r="N2712" s="173" t="s">
        <v>679</v>
      </c>
      <c r="O2712" s="173" t="s">
        <v>225</v>
      </c>
      <c r="P2712" s="262" t="str">
        <f t="shared" si="1"/>
        <v>IN-BLR-ANANTA-EM-259_G</v>
      </c>
      <c r="Q2712" s="173" t="s">
        <v>8697</v>
      </c>
      <c r="R2712" s="328" t="str">
        <f>IFS(C2712="","",C2712="n/a","N/A",LEN(C2712),Concatenate("{",char(34),"asset",char(34),":{",char(34),"guid",char(34),":",char(34),Q2712,char(34),",",char(34),"site",char(34),":",char(34),LOWER('2-Building'!$B$4),char(34),",",char(34),"name",char(34),":",char(34),LOWER(C2712),char(34),"}}"))</f>
        <v>{"asset":{"guid":"uuid://2838e48f-1935-479d-a9e3-93ab9a9bc99b","site":"in-blr-ananta","name":"em-259"}}</v>
      </c>
      <c r="S2712" s="366" t="s">
        <v>8581</v>
      </c>
      <c r="T2712" s="330"/>
      <c r="U2712" s="330"/>
      <c r="V2712" s="331"/>
      <c r="W2712" s="332"/>
      <c r="X2712" s="333"/>
      <c r="Y2712" s="33" t="s">
        <v>8076</v>
      </c>
      <c r="Z2712" s="368"/>
      <c r="AA2712" s="333"/>
      <c r="AB2712" s="258">
        <v>15.0</v>
      </c>
      <c r="AC2712" s="333"/>
      <c r="AD2712" s="329"/>
      <c r="AE2712" s="331"/>
      <c r="AF2712" s="336"/>
      <c r="AG2712" s="337"/>
      <c r="AH2712" s="333"/>
      <c r="AI2712" s="333"/>
      <c r="AJ2712" s="333"/>
      <c r="AK2712" s="333"/>
      <c r="AL2712" s="333"/>
      <c r="AM2712" s="338"/>
      <c r="AN2712" s="333"/>
      <c r="AO2712" s="333"/>
      <c r="AP2712" s="333"/>
      <c r="AQ2712" s="333"/>
      <c r="AR2712" s="333"/>
      <c r="AS2712" s="333"/>
      <c r="AT2712" s="333"/>
      <c r="AU2712" s="329"/>
      <c r="AV2712" s="341"/>
      <c r="AW2712" s="269" t="s">
        <v>1650</v>
      </c>
      <c r="AX2712" s="269" t="s">
        <v>2869</v>
      </c>
      <c r="AY2712" s="270" t="s">
        <v>695</v>
      </c>
      <c r="AZ2712" s="379"/>
      <c r="BA2712" s="265">
        <v>10.0</v>
      </c>
      <c r="BB2712" s="367"/>
      <c r="BC2712" s="341"/>
      <c r="BD2712" s="308" t="s">
        <v>1844</v>
      </c>
      <c r="BE2712" s="378"/>
      <c r="BF2712" s="274" t="str">
        <f>IFERROR(__xludf.DUMMYFUNCTION("LOWER(Regexreplace(to_text(E2712),""[^A-Za-z0-9]"","""")&amp;""_""&amp;Regexreplace(to_text(F2712),""[^A-Za-z0-9]"",""""))"),"schneider_pm1130h")</f>
        <v>schneider_pm1130h</v>
      </c>
      <c r="BG2712" s="275" t="str">
        <f>IFERROR(__xludf.DUMMYFUNCTION("upper(Regexreplace(to_text(E2712),""[^A-Za-z0-9]"","""")&amp;""-""&amp;Regexreplace(to_text(F2712),""[^A-Za-z0-9]"",""""))"),"SCHNEIDER-PM1130H")</f>
        <v>SCHNEIDER-PM1130H</v>
      </c>
    </row>
    <row r="2713" ht="30.0" customHeight="1">
      <c r="A2713" s="258"/>
      <c r="B2713" s="328" t="s">
        <v>670</v>
      </c>
      <c r="C2713" s="257" t="s">
        <v>8698</v>
      </c>
      <c r="D2713" s="173" t="s">
        <v>8698</v>
      </c>
      <c r="E2713" s="174" t="s">
        <v>8070</v>
      </c>
      <c r="F2713" s="173" t="s">
        <v>8579</v>
      </c>
      <c r="G2713" s="328" t="s">
        <v>673</v>
      </c>
      <c r="H2713" s="328" t="s">
        <v>2863</v>
      </c>
      <c r="I2713" s="258" t="s">
        <v>8072</v>
      </c>
      <c r="J2713" s="259" t="s">
        <v>739</v>
      </c>
      <c r="K2713" s="260" t="s">
        <v>1782</v>
      </c>
      <c r="L2713" s="365"/>
      <c r="M2713" s="329"/>
      <c r="N2713" s="173" t="s">
        <v>679</v>
      </c>
      <c r="O2713" s="173" t="s">
        <v>225</v>
      </c>
      <c r="P2713" s="262" t="str">
        <f t="shared" si="1"/>
        <v>IN-BLR-ANANTA-EM-260_G</v>
      </c>
      <c r="Q2713" s="173" t="s">
        <v>8699</v>
      </c>
      <c r="R2713" s="328" t="str">
        <f>IFS(C2713="","",C2713="n/a","N/A",LEN(C2713),Concatenate("{",char(34),"asset",char(34),":{",char(34),"guid",char(34),":",char(34),Q2713,char(34),",",char(34),"site",char(34),":",char(34),LOWER('2-Building'!$B$4),char(34),",",char(34),"name",char(34),":",char(34),LOWER(C2713),char(34),"}}"))</f>
        <v>{"asset":{"guid":"uuid://348450b5-ee31-47ee-beda-fa9904b011a3","site":"in-blr-ananta","name":"em-260"}}</v>
      </c>
      <c r="S2713" s="366" t="s">
        <v>8581</v>
      </c>
      <c r="T2713" s="330"/>
      <c r="U2713" s="330"/>
      <c r="V2713" s="331"/>
      <c r="W2713" s="332"/>
      <c r="X2713" s="333"/>
      <c r="Y2713" s="33" t="s">
        <v>8076</v>
      </c>
      <c r="Z2713" s="368"/>
      <c r="AA2713" s="333"/>
      <c r="AB2713" s="258">
        <v>16.0</v>
      </c>
      <c r="AC2713" s="333"/>
      <c r="AD2713" s="329"/>
      <c r="AE2713" s="331"/>
      <c r="AF2713" s="336"/>
      <c r="AG2713" s="337"/>
      <c r="AH2713" s="333"/>
      <c r="AI2713" s="333"/>
      <c r="AJ2713" s="333"/>
      <c r="AK2713" s="333"/>
      <c r="AL2713" s="333"/>
      <c r="AM2713" s="338"/>
      <c r="AN2713" s="333"/>
      <c r="AO2713" s="333"/>
      <c r="AP2713" s="333"/>
      <c r="AQ2713" s="333"/>
      <c r="AR2713" s="333"/>
      <c r="AS2713" s="333"/>
      <c r="AT2713" s="333"/>
      <c r="AU2713" s="329"/>
      <c r="AV2713" s="341"/>
      <c r="AW2713" s="269" t="s">
        <v>1650</v>
      </c>
      <c r="AX2713" s="269" t="s">
        <v>2869</v>
      </c>
      <c r="AY2713" s="270" t="s">
        <v>695</v>
      </c>
      <c r="AZ2713" s="379"/>
      <c r="BA2713" s="265">
        <v>10.0</v>
      </c>
      <c r="BB2713" s="367"/>
      <c r="BC2713" s="341"/>
      <c r="BD2713" s="308" t="s">
        <v>1844</v>
      </c>
      <c r="BE2713" s="378"/>
      <c r="BF2713" s="274" t="str">
        <f>IFERROR(__xludf.DUMMYFUNCTION("LOWER(Regexreplace(to_text(E2713),""[^A-Za-z0-9]"","""")&amp;""_""&amp;Regexreplace(to_text(F2713),""[^A-Za-z0-9]"",""""))"),"schneider_pm1130h")</f>
        <v>schneider_pm1130h</v>
      </c>
      <c r="BG2713" s="275" t="str">
        <f>IFERROR(__xludf.DUMMYFUNCTION("upper(Regexreplace(to_text(E2713),""[^A-Za-z0-9]"","""")&amp;""-""&amp;Regexreplace(to_text(F2713),""[^A-Za-z0-9]"",""""))"),"SCHNEIDER-PM1130H")</f>
        <v>SCHNEIDER-PM1130H</v>
      </c>
    </row>
    <row r="2714" ht="30.0" customHeight="1">
      <c r="A2714" s="258"/>
      <c r="B2714" s="328" t="s">
        <v>670</v>
      </c>
      <c r="C2714" s="257" t="s">
        <v>8700</v>
      </c>
      <c r="D2714" s="173" t="s">
        <v>8700</v>
      </c>
      <c r="E2714" s="174" t="s">
        <v>8070</v>
      </c>
      <c r="F2714" s="173" t="s">
        <v>8579</v>
      </c>
      <c r="G2714" s="328" t="s">
        <v>673</v>
      </c>
      <c r="H2714" s="328" t="s">
        <v>2863</v>
      </c>
      <c r="I2714" s="258" t="s">
        <v>8072</v>
      </c>
      <c r="J2714" s="259" t="s">
        <v>739</v>
      </c>
      <c r="K2714" s="260" t="s">
        <v>1782</v>
      </c>
      <c r="L2714" s="365"/>
      <c r="M2714" s="329"/>
      <c r="N2714" s="173" t="s">
        <v>679</v>
      </c>
      <c r="O2714" s="173" t="s">
        <v>225</v>
      </c>
      <c r="P2714" s="262" t="str">
        <f t="shared" si="1"/>
        <v>IN-BLR-ANANTA-EM-261_G</v>
      </c>
      <c r="Q2714" s="173" t="s">
        <v>8701</v>
      </c>
      <c r="R2714" s="328" t="str">
        <f>IFS(C2714="","",C2714="n/a","N/A",LEN(C2714),Concatenate("{",char(34),"asset",char(34),":{",char(34),"guid",char(34),":",char(34),Q2714,char(34),",",char(34),"site",char(34),":",char(34),LOWER('2-Building'!$B$4),char(34),",",char(34),"name",char(34),":",char(34),LOWER(C2714),char(34),"}}"))</f>
        <v>{"asset":{"guid":"uuid://73aab994-5f6f-4511-864a-2caeee643cda","site":"in-blr-ananta","name":"em-261"}}</v>
      </c>
      <c r="S2714" s="366" t="s">
        <v>8581</v>
      </c>
      <c r="T2714" s="330"/>
      <c r="U2714" s="330"/>
      <c r="V2714" s="331"/>
      <c r="W2714" s="332"/>
      <c r="X2714" s="333"/>
      <c r="Y2714" s="33" t="s">
        <v>8076</v>
      </c>
      <c r="Z2714" s="368"/>
      <c r="AA2714" s="333"/>
      <c r="AB2714" s="258">
        <v>17.0</v>
      </c>
      <c r="AC2714" s="333"/>
      <c r="AD2714" s="329"/>
      <c r="AE2714" s="331"/>
      <c r="AF2714" s="336"/>
      <c r="AG2714" s="337"/>
      <c r="AH2714" s="333"/>
      <c r="AI2714" s="333"/>
      <c r="AJ2714" s="333"/>
      <c r="AK2714" s="333"/>
      <c r="AL2714" s="333"/>
      <c r="AM2714" s="338"/>
      <c r="AN2714" s="333"/>
      <c r="AO2714" s="333"/>
      <c r="AP2714" s="333"/>
      <c r="AQ2714" s="333"/>
      <c r="AR2714" s="333"/>
      <c r="AS2714" s="333"/>
      <c r="AT2714" s="333"/>
      <c r="AU2714" s="329"/>
      <c r="AV2714" s="341"/>
      <c r="AW2714" s="269" t="s">
        <v>1650</v>
      </c>
      <c r="AX2714" s="269" t="s">
        <v>2869</v>
      </c>
      <c r="AY2714" s="270" t="s">
        <v>695</v>
      </c>
      <c r="AZ2714" s="379"/>
      <c r="BA2714" s="265">
        <v>10.0</v>
      </c>
      <c r="BB2714" s="367"/>
      <c r="BC2714" s="341"/>
      <c r="BD2714" s="308" t="s">
        <v>1844</v>
      </c>
      <c r="BE2714" s="378"/>
      <c r="BF2714" s="274" t="str">
        <f>IFERROR(__xludf.DUMMYFUNCTION("LOWER(Regexreplace(to_text(E2714),""[^A-Za-z0-9]"","""")&amp;""_""&amp;Regexreplace(to_text(F2714),""[^A-Za-z0-9]"",""""))"),"schneider_pm1130h")</f>
        <v>schneider_pm1130h</v>
      </c>
      <c r="BG2714" s="275" t="str">
        <f>IFERROR(__xludf.DUMMYFUNCTION("upper(Regexreplace(to_text(E2714),""[^A-Za-z0-9]"","""")&amp;""-""&amp;Regexreplace(to_text(F2714),""[^A-Za-z0-9]"",""""))"),"SCHNEIDER-PM1130H")</f>
        <v>SCHNEIDER-PM1130H</v>
      </c>
    </row>
    <row r="2715" ht="30.0" customHeight="1">
      <c r="A2715" s="258"/>
      <c r="B2715" s="328" t="s">
        <v>670</v>
      </c>
      <c r="C2715" s="257" t="s">
        <v>8702</v>
      </c>
      <c r="D2715" s="173" t="s">
        <v>8702</v>
      </c>
      <c r="E2715" s="174" t="s">
        <v>8070</v>
      </c>
      <c r="F2715" s="173" t="s">
        <v>8579</v>
      </c>
      <c r="G2715" s="328" t="s">
        <v>673</v>
      </c>
      <c r="H2715" s="328" t="s">
        <v>2863</v>
      </c>
      <c r="I2715" s="258" t="s">
        <v>8072</v>
      </c>
      <c r="J2715" s="259" t="s">
        <v>739</v>
      </c>
      <c r="K2715" s="260" t="s">
        <v>1782</v>
      </c>
      <c r="L2715" s="365"/>
      <c r="M2715" s="329"/>
      <c r="N2715" s="173" t="s">
        <v>679</v>
      </c>
      <c r="O2715" s="173" t="s">
        <v>225</v>
      </c>
      <c r="P2715" s="262" t="str">
        <f t="shared" si="1"/>
        <v>IN-BLR-ANANTA-EM-262_G</v>
      </c>
      <c r="Q2715" s="173" t="s">
        <v>8703</v>
      </c>
      <c r="R2715" s="328" t="str">
        <f>IFS(C2715="","",C2715="n/a","N/A",LEN(C2715),Concatenate("{",char(34),"asset",char(34),":{",char(34),"guid",char(34),":",char(34),Q2715,char(34),",",char(34),"site",char(34),":",char(34),LOWER('2-Building'!$B$4),char(34),",",char(34),"name",char(34),":",char(34),LOWER(C2715),char(34),"}}"))</f>
        <v>{"asset":{"guid":"uuid://0fa7670f-5517-43a8-85a1-d2327dd0f7ef","site":"in-blr-ananta","name":"em-262"}}</v>
      </c>
      <c r="S2715" s="366" t="s">
        <v>8581</v>
      </c>
      <c r="T2715" s="330"/>
      <c r="U2715" s="330"/>
      <c r="V2715" s="331"/>
      <c r="W2715" s="332"/>
      <c r="X2715" s="333"/>
      <c r="Y2715" s="33" t="s">
        <v>8076</v>
      </c>
      <c r="Z2715" s="368"/>
      <c r="AA2715" s="333"/>
      <c r="AB2715" s="258">
        <v>18.0</v>
      </c>
      <c r="AC2715" s="333"/>
      <c r="AD2715" s="329"/>
      <c r="AE2715" s="331"/>
      <c r="AF2715" s="336"/>
      <c r="AG2715" s="337"/>
      <c r="AH2715" s="333"/>
      <c r="AI2715" s="333"/>
      <c r="AJ2715" s="333"/>
      <c r="AK2715" s="333"/>
      <c r="AL2715" s="333"/>
      <c r="AM2715" s="338"/>
      <c r="AN2715" s="333"/>
      <c r="AO2715" s="333"/>
      <c r="AP2715" s="333"/>
      <c r="AQ2715" s="333"/>
      <c r="AR2715" s="333"/>
      <c r="AS2715" s="333"/>
      <c r="AT2715" s="333"/>
      <c r="AU2715" s="329"/>
      <c r="AV2715" s="341"/>
      <c r="AW2715" s="269" t="s">
        <v>1650</v>
      </c>
      <c r="AX2715" s="269" t="s">
        <v>2869</v>
      </c>
      <c r="AY2715" s="270" t="s">
        <v>695</v>
      </c>
      <c r="AZ2715" s="379"/>
      <c r="BA2715" s="265">
        <v>10.0</v>
      </c>
      <c r="BB2715" s="367"/>
      <c r="BC2715" s="341"/>
      <c r="BD2715" s="308" t="s">
        <v>1844</v>
      </c>
      <c r="BE2715" s="378"/>
      <c r="BF2715" s="274" t="str">
        <f>IFERROR(__xludf.DUMMYFUNCTION("LOWER(Regexreplace(to_text(E2715),""[^A-Za-z0-9]"","""")&amp;""_""&amp;Regexreplace(to_text(F2715),""[^A-Za-z0-9]"",""""))"),"schneider_pm1130h")</f>
        <v>schneider_pm1130h</v>
      </c>
      <c r="BG2715" s="275" t="str">
        <f>IFERROR(__xludf.DUMMYFUNCTION("upper(Regexreplace(to_text(E2715),""[^A-Za-z0-9]"","""")&amp;""-""&amp;Regexreplace(to_text(F2715),""[^A-Za-z0-9]"",""""))"),"SCHNEIDER-PM1130H")</f>
        <v>SCHNEIDER-PM1130H</v>
      </c>
    </row>
    <row r="2716" ht="30.0" customHeight="1">
      <c r="A2716" s="258"/>
      <c r="B2716" s="328" t="s">
        <v>670</v>
      </c>
      <c r="C2716" s="257" t="s">
        <v>8704</v>
      </c>
      <c r="D2716" s="173" t="s">
        <v>8704</v>
      </c>
      <c r="E2716" s="174" t="s">
        <v>8070</v>
      </c>
      <c r="F2716" s="173" t="s">
        <v>8579</v>
      </c>
      <c r="G2716" s="328" t="s">
        <v>673</v>
      </c>
      <c r="H2716" s="328" t="s">
        <v>2863</v>
      </c>
      <c r="I2716" s="258" t="s">
        <v>8072</v>
      </c>
      <c r="J2716" s="259" t="s">
        <v>739</v>
      </c>
      <c r="K2716" s="260" t="s">
        <v>1782</v>
      </c>
      <c r="L2716" s="365"/>
      <c r="M2716" s="329"/>
      <c r="N2716" s="173" t="s">
        <v>679</v>
      </c>
      <c r="O2716" s="173" t="s">
        <v>225</v>
      </c>
      <c r="P2716" s="262" t="str">
        <f t="shared" si="1"/>
        <v>IN-BLR-ANANTA-EM-263_G</v>
      </c>
      <c r="Q2716" s="173" t="s">
        <v>8705</v>
      </c>
      <c r="R2716" s="328" t="str">
        <f>IFS(C2716="","",C2716="n/a","N/A",LEN(C2716),Concatenate("{",char(34),"asset",char(34),":{",char(34),"guid",char(34),":",char(34),Q2716,char(34),",",char(34),"site",char(34),":",char(34),LOWER('2-Building'!$B$4),char(34),",",char(34),"name",char(34),":",char(34),LOWER(C2716),char(34),"}}"))</f>
        <v>{"asset":{"guid":"uuid://1b9cd512-805e-47df-bf43-79462278b00d","site":"in-blr-ananta","name":"em-263"}}</v>
      </c>
      <c r="S2716" s="366" t="s">
        <v>8581</v>
      </c>
      <c r="T2716" s="330"/>
      <c r="U2716" s="330"/>
      <c r="V2716" s="331"/>
      <c r="W2716" s="332"/>
      <c r="X2716" s="333"/>
      <c r="Y2716" s="33" t="s">
        <v>8076</v>
      </c>
      <c r="Z2716" s="368"/>
      <c r="AA2716" s="333"/>
      <c r="AB2716" s="258">
        <v>19.0</v>
      </c>
      <c r="AC2716" s="333"/>
      <c r="AD2716" s="329"/>
      <c r="AE2716" s="331"/>
      <c r="AF2716" s="336"/>
      <c r="AG2716" s="337"/>
      <c r="AH2716" s="333"/>
      <c r="AI2716" s="333"/>
      <c r="AJ2716" s="333"/>
      <c r="AK2716" s="333"/>
      <c r="AL2716" s="333"/>
      <c r="AM2716" s="338"/>
      <c r="AN2716" s="333"/>
      <c r="AO2716" s="333"/>
      <c r="AP2716" s="333"/>
      <c r="AQ2716" s="333"/>
      <c r="AR2716" s="333"/>
      <c r="AS2716" s="333"/>
      <c r="AT2716" s="333"/>
      <c r="AU2716" s="329"/>
      <c r="AV2716" s="341"/>
      <c r="AW2716" s="269" t="s">
        <v>1650</v>
      </c>
      <c r="AX2716" s="269" t="s">
        <v>2869</v>
      </c>
      <c r="AY2716" s="270" t="s">
        <v>695</v>
      </c>
      <c r="AZ2716" s="379"/>
      <c r="BA2716" s="265">
        <v>10.0</v>
      </c>
      <c r="BB2716" s="367"/>
      <c r="BC2716" s="341"/>
      <c r="BD2716" s="308" t="s">
        <v>1844</v>
      </c>
      <c r="BE2716" s="378"/>
      <c r="BF2716" s="274" t="str">
        <f>IFERROR(__xludf.DUMMYFUNCTION("LOWER(Regexreplace(to_text(E2716),""[^A-Za-z0-9]"","""")&amp;""_""&amp;Regexreplace(to_text(F2716),""[^A-Za-z0-9]"",""""))"),"schneider_pm1130h")</f>
        <v>schneider_pm1130h</v>
      </c>
      <c r="BG2716" s="275" t="str">
        <f>IFERROR(__xludf.DUMMYFUNCTION("upper(Regexreplace(to_text(E2716),""[^A-Za-z0-9]"","""")&amp;""-""&amp;Regexreplace(to_text(F2716),""[^A-Za-z0-9]"",""""))"),"SCHNEIDER-PM1130H")</f>
        <v>SCHNEIDER-PM1130H</v>
      </c>
    </row>
    <row r="2717" ht="30.0" customHeight="1">
      <c r="A2717" s="258"/>
      <c r="B2717" s="328" t="s">
        <v>670</v>
      </c>
      <c r="C2717" s="257" t="s">
        <v>8706</v>
      </c>
      <c r="D2717" s="173" t="s">
        <v>8706</v>
      </c>
      <c r="E2717" s="174" t="s">
        <v>8070</v>
      </c>
      <c r="F2717" s="173" t="s">
        <v>8579</v>
      </c>
      <c r="G2717" s="328" t="s">
        <v>673</v>
      </c>
      <c r="H2717" s="328" t="s">
        <v>2863</v>
      </c>
      <c r="I2717" s="258" t="s">
        <v>8072</v>
      </c>
      <c r="J2717" s="259" t="s">
        <v>739</v>
      </c>
      <c r="K2717" s="260" t="s">
        <v>1782</v>
      </c>
      <c r="L2717" s="365"/>
      <c r="M2717" s="329"/>
      <c r="N2717" s="173" t="s">
        <v>679</v>
      </c>
      <c r="O2717" s="173" t="s">
        <v>225</v>
      </c>
      <c r="P2717" s="262" t="str">
        <f t="shared" si="1"/>
        <v>IN-BLR-ANANTA-EM-264_G</v>
      </c>
      <c r="Q2717" s="173" t="s">
        <v>8707</v>
      </c>
      <c r="R2717" s="328" t="str">
        <f>IFS(C2717="","",C2717="n/a","N/A",LEN(C2717),Concatenate("{",char(34),"asset",char(34),":{",char(34),"guid",char(34),":",char(34),Q2717,char(34),",",char(34),"site",char(34),":",char(34),LOWER('2-Building'!$B$4),char(34),",",char(34),"name",char(34),":",char(34),LOWER(C2717),char(34),"}}"))</f>
        <v>{"asset":{"guid":"uuid://7f6d29d3-e81d-4f90-b013-afbe19f836a7","site":"in-blr-ananta","name":"em-264"}}</v>
      </c>
      <c r="S2717" s="366" t="s">
        <v>8581</v>
      </c>
      <c r="T2717" s="330"/>
      <c r="U2717" s="330"/>
      <c r="V2717" s="331"/>
      <c r="W2717" s="332"/>
      <c r="X2717" s="333"/>
      <c r="Y2717" s="33" t="s">
        <v>8076</v>
      </c>
      <c r="Z2717" s="368"/>
      <c r="AA2717" s="333"/>
      <c r="AB2717" s="258">
        <v>20.0</v>
      </c>
      <c r="AC2717" s="333"/>
      <c r="AD2717" s="329"/>
      <c r="AE2717" s="331"/>
      <c r="AF2717" s="336"/>
      <c r="AG2717" s="337"/>
      <c r="AH2717" s="333"/>
      <c r="AI2717" s="333"/>
      <c r="AJ2717" s="333"/>
      <c r="AK2717" s="333"/>
      <c r="AL2717" s="333"/>
      <c r="AM2717" s="338"/>
      <c r="AN2717" s="333"/>
      <c r="AO2717" s="333"/>
      <c r="AP2717" s="333"/>
      <c r="AQ2717" s="333"/>
      <c r="AR2717" s="333"/>
      <c r="AS2717" s="333"/>
      <c r="AT2717" s="333"/>
      <c r="AU2717" s="329"/>
      <c r="AV2717" s="341"/>
      <c r="AW2717" s="269" t="s">
        <v>1650</v>
      </c>
      <c r="AX2717" s="269" t="s">
        <v>2869</v>
      </c>
      <c r="AY2717" s="270" t="s">
        <v>695</v>
      </c>
      <c r="AZ2717" s="379"/>
      <c r="BA2717" s="265">
        <v>10.0</v>
      </c>
      <c r="BB2717" s="367"/>
      <c r="BC2717" s="341"/>
      <c r="BD2717" s="308" t="s">
        <v>1844</v>
      </c>
      <c r="BE2717" s="378"/>
      <c r="BF2717" s="274" t="str">
        <f>IFERROR(__xludf.DUMMYFUNCTION("LOWER(Regexreplace(to_text(E2717),""[^A-Za-z0-9]"","""")&amp;""_""&amp;Regexreplace(to_text(F2717),""[^A-Za-z0-9]"",""""))"),"schneider_pm1130h")</f>
        <v>schneider_pm1130h</v>
      </c>
      <c r="BG2717" s="275" t="str">
        <f>IFERROR(__xludf.DUMMYFUNCTION("upper(Regexreplace(to_text(E2717),""[^A-Za-z0-9]"","""")&amp;""-""&amp;Regexreplace(to_text(F2717),""[^A-Za-z0-9]"",""""))"),"SCHNEIDER-PM1130H")</f>
        <v>SCHNEIDER-PM1130H</v>
      </c>
    </row>
    <row r="2718" ht="30.0" customHeight="1">
      <c r="A2718" s="258"/>
      <c r="B2718" s="328" t="s">
        <v>670</v>
      </c>
      <c r="C2718" s="257" t="s">
        <v>8708</v>
      </c>
      <c r="D2718" s="173" t="s">
        <v>8708</v>
      </c>
      <c r="E2718" s="174" t="s">
        <v>8070</v>
      </c>
      <c r="F2718" s="173" t="s">
        <v>8579</v>
      </c>
      <c r="G2718" s="328" t="s">
        <v>673</v>
      </c>
      <c r="H2718" s="328" t="s">
        <v>2863</v>
      </c>
      <c r="I2718" s="258" t="s">
        <v>8072</v>
      </c>
      <c r="J2718" s="259" t="s">
        <v>739</v>
      </c>
      <c r="K2718" s="260" t="s">
        <v>1782</v>
      </c>
      <c r="L2718" s="365"/>
      <c r="M2718" s="329"/>
      <c r="N2718" s="173" t="s">
        <v>679</v>
      </c>
      <c r="O2718" s="173" t="s">
        <v>225</v>
      </c>
      <c r="P2718" s="262" t="str">
        <f t="shared" si="1"/>
        <v>IN-BLR-ANANTA-EM-265_G</v>
      </c>
      <c r="Q2718" s="173" t="s">
        <v>8709</v>
      </c>
      <c r="R2718" s="328" t="str">
        <f>IFS(C2718="","",C2718="n/a","N/A",LEN(C2718),Concatenate("{",char(34),"asset",char(34),":{",char(34),"guid",char(34),":",char(34),Q2718,char(34),",",char(34),"site",char(34),":",char(34),LOWER('2-Building'!$B$4),char(34),",",char(34),"name",char(34),":",char(34),LOWER(C2718),char(34),"}}"))</f>
        <v>{"asset":{"guid":"uuid://1a5927fb-1759-4693-aba0-1009c0b88748","site":"in-blr-ananta","name":"em-265"}}</v>
      </c>
      <c r="S2718" s="366" t="s">
        <v>8581</v>
      </c>
      <c r="T2718" s="330"/>
      <c r="U2718" s="330"/>
      <c r="V2718" s="331"/>
      <c r="W2718" s="332"/>
      <c r="X2718" s="333"/>
      <c r="Y2718" s="33" t="s">
        <v>8076</v>
      </c>
      <c r="Z2718" s="368"/>
      <c r="AA2718" s="333"/>
      <c r="AB2718" s="258">
        <v>21.0</v>
      </c>
      <c r="AC2718" s="333"/>
      <c r="AD2718" s="329"/>
      <c r="AE2718" s="331"/>
      <c r="AF2718" s="336"/>
      <c r="AG2718" s="337"/>
      <c r="AH2718" s="333"/>
      <c r="AI2718" s="333"/>
      <c r="AJ2718" s="333"/>
      <c r="AK2718" s="333"/>
      <c r="AL2718" s="333"/>
      <c r="AM2718" s="338"/>
      <c r="AN2718" s="333"/>
      <c r="AO2718" s="333"/>
      <c r="AP2718" s="333"/>
      <c r="AQ2718" s="333"/>
      <c r="AR2718" s="333"/>
      <c r="AS2718" s="333"/>
      <c r="AT2718" s="333"/>
      <c r="AU2718" s="329"/>
      <c r="AV2718" s="341"/>
      <c r="AW2718" s="269" t="s">
        <v>1650</v>
      </c>
      <c r="AX2718" s="269" t="s">
        <v>2869</v>
      </c>
      <c r="AY2718" s="270" t="s">
        <v>695</v>
      </c>
      <c r="AZ2718" s="379"/>
      <c r="BA2718" s="265">
        <v>10.0</v>
      </c>
      <c r="BB2718" s="367"/>
      <c r="BC2718" s="341"/>
      <c r="BD2718" s="308" t="s">
        <v>1844</v>
      </c>
      <c r="BE2718" s="378"/>
      <c r="BF2718" s="274" t="str">
        <f>IFERROR(__xludf.DUMMYFUNCTION("LOWER(Regexreplace(to_text(E2718),""[^A-Za-z0-9]"","""")&amp;""_""&amp;Regexreplace(to_text(F2718),""[^A-Za-z0-9]"",""""))"),"schneider_pm1130h")</f>
        <v>schneider_pm1130h</v>
      </c>
      <c r="BG2718" s="275" t="str">
        <f>IFERROR(__xludf.DUMMYFUNCTION("upper(Regexreplace(to_text(E2718),""[^A-Za-z0-9]"","""")&amp;""-""&amp;Regexreplace(to_text(F2718),""[^A-Za-z0-9]"",""""))"),"SCHNEIDER-PM1130H")</f>
        <v>SCHNEIDER-PM1130H</v>
      </c>
    </row>
    <row r="2719" ht="30.0" customHeight="1">
      <c r="A2719" s="258"/>
      <c r="B2719" s="328" t="s">
        <v>670</v>
      </c>
      <c r="C2719" s="257" t="s">
        <v>8710</v>
      </c>
      <c r="D2719" s="173" t="s">
        <v>8710</v>
      </c>
      <c r="E2719" s="174" t="s">
        <v>8070</v>
      </c>
      <c r="F2719" s="173" t="s">
        <v>8579</v>
      </c>
      <c r="G2719" s="328" t="s">
        <v>673</v>
      </c>
      <c r="H2719" s="328" t="s">
        <v>2863</v>
      </c>
      <c r="I2719" s="258" t="s">
        <v>8072</v>
      </c>
      <c r="J2719" s="259" t="s">
        <v>739</v>
      </c>
      <c r="K2719" s="260" t="s">
        <v>1782</v>
      </c>
      <c r="L2719" s="365"/>
      <c r="M2719" s="329"/>
      <c r="N2719" s="173" t="s">
        <v>679</v>
      </c>
      <c r="O2719" s="173" t="s">
        <v>225</v>
      </c>
      <c r="P2719" s="262" t="str">
        <f t="shared" si="1"/>
        <v>IN-BLR-ANANTA-EM-266_G</v>
      </c>
      <c r="Q2719" s="173" t="s">
        <v>8711</v>
      </c>
      <c r="R2719" s="328" t="str">
        <f>IFS(C2719="","",C2719="n/a","N/A",LEN(C2719),Concatenate("{",char(34),"asset",char(34),":{",char(34),"guid",char(34),":",char(34),Q2719,char(34),",",char(34),"site",char(34),":",char(34),LOWER('2-Building'!$B$4),char(34),",",char(34),"name",char(34),":",char(34),LOWER(C2719),char(34),"}}"))</f>
        <v>{"asset":{"guid":"uuid://48f572af-b067-4bf2-ad48-93a2fe1fb34a","site":"in-blr-ananta","name":"em-266"}}</v>
      </c>
      <c r="S2719" s="366" t="s">
        <v>8581</v>
      </c>
      <c r="T2719" s="330"/>
      <c r="U2719" s="330"/>
      <c r="V2719" s="331"/>
      <c r="W2719" s="332"/>
      <c r="X2719" s="333"/>
      <c r="Y2719" s="33" t="s">
        <v>8076</v>
      </c>
      <c r="Z2719" s="368"/>
      <c r="AA2719" s="333"/>
      <c r="AB2719" s="258">
        <v>22.0</v>
      </c>
      <c r="AC2719" s="333"/>
      <c r="AD2719" s="329"/>
      <c r="AE2719" s="331"/>
      <c r="AF2719" s="336"/>
      <c r="AG2719" s="337"/>
      <c r="AH2719" s="333"/>
      <c r="AI2719" s="333"/>
      <c r="AJ2719" s="333"/>
      <c r="AK2719" s="333"/>
      <c r="AL2719" s="333"/>
      <c r="AM2719" s="338"/>
      <c r="AN2719" s="333"/>
      <c r="AO2719" s="333"/>
      <c r="AP2719" s="333"/>
      <c r="AQ2719" s="333"/>
      <c r="AR2719" s="333"/>
      <c r="AS2719" s="333"/>
      <c r="AT2719" s="333"/>
      <c r="AU2719" s="329"/>
      <c r="AV2719" s="341"/>
      <c r="AW2719" s="269" t="s">
        <v>1650</v>
      </c>
      <c r="AX2719" s="269" t="s">
        <v>2869</v>
      </c>
      <c r="AY2719" s="270" t="s">
        <v>695</v>
      </c>
      <c r="AZ2719" s="379"/>
      <c r="BA2719" s="265">
        <v>10.0</v>
      </c>
      <c r="BB2719" s="367"/>
      <c r="BC2719" s="341"/>
      <c r="BD2719" s="308" t="s">
        <v>1844</v>
      </c>
      <c r="BE2719" s="378"/>
      <c r="BF2719" s="274" t="str">
        <f>IFERROR(__xludf.DUMMYFUNCTION("LOWER(Regexreplace(to_text(E2719),""[^A-Za-z0-9]"","""")&amp;""_""&amp;Regexreplace(to_text(F2719),""[^A-Za-z0-9]"",""""))"),"schneider_pm1130h")</f>
        <v>schneider_pm1130h</v>
      </c>
      <c r="BG2719" s="275" t="str">
        <f>IFERROR(__xludf.DUMMYFUNCTION("upper(Regexreplace(to_text(E2719),""[^A-Za-z0-9]"","""")&amp;""-""&amp;Regexreplace(to_text(F2719),""[^A-Za-z0-9]"",""""))"),"SCHNEIDER-PM1130H")</f>
        <v>SCHNEIDER-PM1130H</v>
      </c>
    </row>
    <row r="2720" ht="30.0" customHeight="1">
      <c r="A2720" s="258"/>
      <c r="B2720" s="328" t="s">
        <v>670</v>
      </c>
      <c r="C2720" s="257" t="s">
        <v>8712</v>
      </c>
      <c r="D2720" s="173" t="s">
        <v>8712</v>
      </c>
      <c r="E2720" s="174" t="s">
        <v>8070</v>
      </c>
      <c r="F2720" s="173" t="s">
        <v>8579</v>
      </c>
      <c r="G2720" s="328" t="s">
        <v>673</v>
      </c>
      <c r="H2720" s="328" t="s">
        <v>2863</v>
      </c>
      <c r="I2720" s="258" t="s">
        <v>8072</v>
      </c>
      <c r="J2720" s="259" t="s">
        <v>739</v>
      </c>
      <c r="K2720" s="260" t="s">
        <v>1782</v>
      </c>
      <c r="L2720" s="365"/>
      <c r="M2720" s="329"/>
      <c r="N2720" s="173" t="s">
        <v>679</v>
      </c>
      <c r="O2720" s="173" t="s">
        <v>225</v>
      </c>
      <c r="P2720" s="262" t="str">
        <f t="shared" si="1"/>
        <v>IN-BLR-ANANTA-EM-267_G</v>
      </c>
      <c r="Q2720" s="173" t="s">
        <v>8713</v>
      </c>
      <c r="R2720" s="328" t="str">
        <f>IFS(C2720="","",C2720="n/a","N/A",LEN(C2720),Concatenate("{",char(34),"asset",char(34),":{",char(34),"guid",char(34),":",char(34),Q2720,char(34),",",char(34),"site",char(34),":",char(34),LOWER('2-Building'!$B$4),char(34),",",char(34),"name",char(34),":",char(34),LOWER(C2720),char(34),"}}"))</f>
        <v>{"asset":{"guid":"uuid://b000a0c9-ab02-4448-938e-944ffb6225f8","site":"in-blr-ananta","name":"em-267"}}</v>
      </c>
      <c r="S2720" s="366" t="s">
        <v>8581</v>
      </c>
      <c r="T2720" s="330"/>
      <c r="U2720" s="330"/>
      <c r="V2720" s="331"/>
      <c r="W2720" s="332"/>
      <c r="X2720" s="333"/>
      <c r="Y2720" s="33" t="s">
        <v>8076</v>
      </c>
      <c r="Z2720" s="368"/>
      <c r="AA2720" s="333"/>
      <c r="AB2720" s="258">
        <v>23.0</v>
      </c>
      <c r="AC2720" s="333"/>
      <c r="AD2720" s="329"/>
      <c r="AE2720" s="331"/>
      <c r="AF2720" s="336"/>
      <c r="AG2720" s="337"/>
      <c r="AH2720" s="333"/>
      <c r="AI2720" s="333"/>
      <c r="AJ2720" s="333"/>
      <c r="AK2720" s="333"/>
      <c r="AL2720" s="333"/>
      <c r="AM2720" s="338"/>
      <c r="AN2720" s="333"/>
      <c r="AO2720" s="333"/>
      <c r="AP2720" s="333"/>
      <c r="AQ2720" s="333"/>
      <c r="AR2720" s="333"/>
      <c r="AS2720" s="333"/>
      <c r="AT2720" s="333"/>
      <c r="AU2720" s="329"/>
      <c r="AV2720" s="341"/>
      <c r="AW2720" s="269" t="s">
        <v>1650</v>
      </c>
      <c r="AX2720" s="269" t="s">
        <v>2869</v>
      </c>
      <c r="AY2720" s="270" t="s">
        <v>695</v>
      </c>
      <c r="AZ2720" s="379"/>
      <c r="BA2720" s="265">
        <v>10.0</v>
      </c>
      <c r="BB2720" s="367"/>
      <c r="BC2720" s="341"/>
      <c r="BD2720" s="308" t="s">
        <v>1844</v>
      </c>
      <c r="BE2720" s="378"/>
      <c r="BF2720" s="274" t="str">
        <f>IFERROR(__xludf.DUMMYFUNCTION("LOWER(Regexreplace(to_text(E2720),""[^A-Za-z0-9]"","""")&amp;""_""&amp;Regexreplace(to_text(F2720),""[^A-Za-z0-9]"",""""))"),"schneider_pm1130h")</f>
        <v>schneider_pm1130h</v>
      </c>
      <c r="BG2720" s="275" t="str">
        <f>IFERROR(__xludf.DUMMYFUNCTION("upper(Regexreplace(to_text(E2720),""[^A-Za-z0-9]"","""")&amp;""-""&amp;Regexreplace(to_text(F2720),""[^A-Za-z0-9]"",""""))"),"SCHNEIDER-PM1130H")</f>
        <v>SCHNEIDER-PM1130H</v>
      </c>
    </row>
    <row r="2721" ht="30.0" customHeight="1">
      <c r="A2721" s="258"/>
      <c r="B2721" s="328" t="s">
        <v>670</v>
      </c>
      <c r="C2721" s="257" t="s">
        <v>8714</v>
      </c>
      <c r="D2721" s="173" t="s">
        <v>8714</v>
      </c>
      <c r="E2721" s="174" t="s">
        <v>8070</v>
      </c>
      <c r="F2721" s="173" t="s">
        <v>8579</v>
      </c>
      <c r="G2721" s="328" t="s">
        <v>673</v>
      </c>
      <c r="H2721" s="328" t="s">
        <v>2863</v>
      </c>
      <c r="I2721" s="258" t="s">
        <v>8072</v>
      </c>
      <c r="J2721" s="259" t="s">
        <v>739</v>
      </c>
      <c r="K2721" s="260" t="s">
        <v>1782</v>
      </c>
      <c r="L2721" s="365"/>
      <c r="M2721" s="329"/>
      <c r="N2721" s="173" t="s">
        <v>679</v>
      </c>
      <c r="O2721" s="173" t="s">
        <v>225</v>
      </c>
      <c r="P2721" s="262" t="str">
        <f t="shared" si="1"/>
        <v>IN-BLR-ANANTA-EM-268_G</v>
      </c>
      <c r="Q2721" s="173" t="s">
        <v>8715</v>
      </c>
      <c r="R2721" s="328" t="str">
        <f>IFS(C2721="","",C2721="n/a","N/A",LEN(C2721),Concatenate("{",char(34),"asset",char(34),":{",char(34),"guid",char(34),":",char(34),Q2721,char(34),",",char(34),"site",char(34),":",char(34),LOWER('2-Building'!$B$4),char(34),",",char(34),"name",char(34),":",char(34),LOWER(C2721),char(34),"}}"))</f>
        <v>{"asset":{"guid":"uuid://9b2cf6b2-ca48-41b0-8723-fbb253cd074d","site":"in-blr-ananta","name":"em-268"}}</v>
      </c>
      <c r="S2721" s="366" t="s">
        <v>8581</v>
      </c>
      <c r="T2721" s="330"/>
      <c r="U2721" s="330"/>
      <c r="V2721" s="331"/>
      <c r="W2721" s="332"/>
      <c r="X2721" s="333"/>
      <c r="Y2721" s="33" t="s">
        <v>8076</v>
      </c>
      <c r="Z2721" s="368"/>
      <c r="AA2721" s="333"/>
      <c r="AB2721" s="258">
        <v>24.0</v>
      </c>
      <c r="AC2721" s="333"/>
      <c r="AD2721" s="329"/>
      <c r="AE2721" s="331"/>
      <c r="AF2721" s="336"/>
      <c r="AG2721" s="337"/>
      <c r="AH2721" s="333"/>
      <c r="AI2721" s="333"/>
      <c r="AJ2721" s="333"/>
      <c r="AK2721" s="333"/>
      <c r="AL2721" s="333"/>
      <c r="AM2721" s="338"/>
      <c r="AN2721" s="333"/>
      <c r="AO2721" s="333"/>
      <c r="AP2721" s="333"/>
      <c r="AQ2721" s="333"/>
      <c r="AR2721" s="333"/>
      <c r="AS2721" s="333"/>
      <c r="AT2721" s="333"/>
      <c r="AU2721" s="329"/>
      <c r="AV2721" s="341"/>
      <c r="AW2721" s="269" t="s">
        <v>1650</v>
      </c>
      <c r="AX2721" s="269" t="s">
        <v>2869</v>
      </c>
      <c r="AY2721" s="270" t="s">
        <v>695</v>
      </c>
      <c r="AZ2721" s="379"/>
      <c r="BA2721" s="265">
        <v>10.0</v>
      </c>
      <c r="BB2721" s="367"/>
      <c r="BC2721" s="341"/>
      <c r="BD2721" s="308" t="s">
        <v>1844</v>
      </c>
      <c r="BE2721" s="378"/>
      <c r="BF2721" s="274" t="str">
        <f>IFERROR(__xludf.DUMMYFUNCTION("LOWER(Regexreplace(to_text(E2721),""[^A-Za-z0-9]"","""")&amp;""_""&amp;Regexreplace(to_text(F2721),""[^A-Za-z0-9]"",""""))"),"schneider_pm1130h")</f>
        <v>schneider_pm1130h</v>
      </c>
      <c r="BG2721" s="275" t="str">
        <f>IFERROR(__xludf.DUMMYFUNCTION("upper(Regexreplace(to_text(E2721),""[^A-Za-z0-9]"","""")&amp;""-""&amp;Regexreplace(to_text(F2721),""[^A-Za-z0-9]"",""""))"),"SCHNEIDER-PM1130H")</f>
        <v>SCHNEIDER-PM1130H</v>
      </c>
    </row>
    <row r="2722" ht="30.0" customHeight="1">
      <c r="A2722" s="258"/>
      <c r="B2722" s="328" t="s">
        <v>670</v>
      </c>
      <c r="C2722" s="257" t="s">
        <v>8716</v>
      </c>
      <c r="D2722" s="173" t="s">
        <v>8716</v>
      </c>
      <c r="E2722" s="174" t="s">
        <v>8070</v>
      </c>
      <c r="F2722" s="173" t="s">
        <v>8579</v>
      </c>
      <c r="G2722" s="328" t="s">
        <v>673</v>
      </c>
      <c r="H2722" s="328" t="s">
        <v>2863</v>
      </c>
      <c r="I2722" s="258" t="s">
        <v>8072</v>
      </c>
      <c r="J2722" s="259" t="s">
        <v>739</v>
      </c>
      <c r="K2722" s="260" t="s">
        <v>1782</v>
      </c>
      <c r="L2722" s="365"/>
      <c r="M2722" s="329"/>
      <c r="N2722" s="173" t="s">
        <v>679</v>
      </c>
      <c r="O2722" s="173" t="s">
        <v>225</v>
      </c>
      <c r="P2722" s="262" t="str">
        <f t="shared" si="1"/>
        <v>IN-BLR-ANANTA-EM-269_G</v>
      </c>
      <c r="Q2722" s="173" t="s">
        <v>8717</v>
      </c>
      <c r="R2722" s="328" t="str">
        <f>IFS(C2722="","",C2722="n/a","N/A",LEN(C2722),Concatenate("{",char(34),"asset",char(34),":{",char(34),"guid",char(34),":",char(34),Q2722,char(34),",",char(34),"site",char(34),":",char(34),LOWER('2-Building'!$B$4),char(34),",",char(34),"name",char(34),":",char(34),LOWER(C2722),char(34),"}}"))</f>
        <v>{"asset":{"guid":"uuid://fb80fd25-60c3-4ad7-b916-60112383407a","site":"in-blr-ananta","name":"em-269"}}</v>
      </c>
      <c r="S2722" s="366" t="s">
        <v>8581</v>
      </c>
      <c r="T2722" s="330"/>
      <c r="U2722" s="330"/>
      <c r="V2722" s="331"/>
      <c r="W2722" s="332"/>
      <c r="X2722" s="333"/>
      <c r="Y2722" s="33" t="s">
        <v>8076</v>
      </c>
      <c r="Z2722" s="368"/>
      <c r="AA2722" s="333"/>
      <c r="AB2722" s="258">
        <v>25.0</v>
      </c>
      <c r="AC2722" s="333"/>
      <c r="AD2722" s="329"/>
      <c r="AE2722" s="331"/>
      <c r="AF2722" s="336"/>
      <c r="AG2722" s="337"/>
      <c r="AH2722" s="333"/>
      <c r="AI2722" s="333"/>
      <c r="AJ2722" s="333"/>
      <c r="AK2722" s="333"/>
      <c r="AL2722" s="333"/>
      <c r="AM2722" s="338"/>
      <c r="AN2722" s="333"/>
      <c r="AO2722" s="333"/>
      <c r="AP2722" s="333"/>
      <c r="AQ2722" s="333"/>
      <c r="AR2722" s="333"/>
      <c r="AS2722" s="333"/>
      <c r="AT2722" s="333"/>
      <c r="AU2722" s="329"/>
      <c r="AV2722" s="341"/>
      <c r="AW2722" s="269" t="s">
        <v>1650</v>
      </c>
      <c r="AX2722" s="269" t="s">
        <v>2869</v>
      </c>
      <c r="AY2722" s="270" t="s">
        <v>695</v>
      </c>
      <c r="AZ2722" s="379"/>
      <c r="BA2722" s="265">
        <v>10.0</v>
      </c>
      <c r="BB2722" s="367"/>
      <c r="BC2722" s="341"/>
      <c r="BD2722" s="308" t="s">
        <v>1844</v>
      </c>
      <c r="BE2722" s="378"/>
      <c r="BF2722" s="274" t="str">
        <f>IFERROR(__xludf.DUMMYFUNCTION("LOWER(Regexreplace(to_text(E2722),""[^A-Za-z0-9]"","""")&amp;""_""&amp;Regexreplace(to_text(F2722),""[^A-Za-z0-9]"",""""))"),"schneider_pm1130h")</f>
        <v>schneider_pm1130h</v>
      </c>
      <c r="BG2722" s="275" t="str">
        <f>IFERROR(__xludf.DUMMYFUNCTION("upper(Regexreplace(to_text(E2722),""[^A-Za-z0-9]"","""")&amp;""-""&amp;Regexreplace(to_text(F2722),""[^A-Za-z0-9]"",""""))"),"SCHNEIDER-PM1130H")</f>
        <v>SCHNEIDER-PM1130H</v>
      </c>
    </row>
    <row r="2723" ht="30.0" customHeight="1">
      <c r="A2723" s="258"/>
      <c r="B2723" s="328" t="s">
        <v>670</v>
      </c>
      <c r="C2723" s="257" t="s">
        <v>8718</v>
      </c>
      <c r="D2723" s="173" t="s">
        <v>8718</v>
      </c>
      <c r="E2723" s="174" t="s">
        <v>8070</v>
      </c>
      <c r="F2723" s="173" t="s">
        <v>8579</v>
      </c>
      <c r="G2723" s="328" t="s">
        <v>673</v>
      </c>
      <c r="H2723" s="328" t="s">
        <v>2863</v>
      </c>
      <c r="I2723" s="258" t="s">
        <v>8072</v>
      </c>
      <c r="J2723" s="259" t="s">
        <v>739</v>
      </c>
      <c r="K2723" s="260" t="s">
        <v>1782</v>
      </c>
      <c r="L2723" s="365"/>
      <c r="M2723" s="329"/>
      <c r="N2723" s="173" t="s">
        <v>679</v>
      </c>
      <c r="O2723" s="173" t="s">
        <v>225</v>
      </c>
      <c r="P2723" s="262" t="str">
        <f t="shared" si="1"/>
        <v>IN-BLR-ANANTA-EM-270_G</v>
      </c>
      <c r="Q2723" s="173" t="s">
        <v>8719</v>
      </c>
      <c r="R2723" s="328" t="str">
        <f>IFS(C2723="","",C2723="n/a","N/A",LEN(C2723),Concatenate("{",char(34),"asset",char(34),":{",char(34),"guid",char(34),":",char(34),Q2723,char(34),",",char(34),"site",char(34),":",char(34),LOWER('2-Building'!$B$4),char(34),",",char(34),"name",char(34),":",char(34),LOWER(C2723),char(34),"}}"))</f>
        <v>{"asset":{"guid":"uuid://ce4140e6-40fd-4226-b1d7-d351a81304a7","site":"in-blr-ananta","name":"em-270"}}</v>
      </c>
      <c r="S2723" s="366" t="s">
        <v>8581</v>
      </c>
      <c r="T2723" s="330"/>
      <c r="U2723" s="330"/>
      <c r="V2723" s="331"/>
      <c r="W2723" s="332"/>
      <c r="X2723" s="333"/>
      <c r="Y2723" s="33" t="s">
        <v>8076</v>
      </c>
      <c r="Z2723" s="368"/>
      <c r="AA2723" s="333"/>
      <c r="AB2723" s="258">
        <v>26.0</v>
      </c>
      <c r="AC2723" s="333"/>
      <c r="AD2723" s="329"/>
      <c r="AE2723" s="331"/>
      <c r="AF2723" s="336"/>
      <c r="AG2723" s="337"/>
      <c r="AH2723" s="333"/>
      <c r="AI2723" s="333"/>
      <c r="AJ2723" s="333"/>
      <c r="AK2723" s="333"/>
      <c r="AL2723" s="333"/>
      <c r="AM2723" s="338"/>
      <c r="AN2723" s="333"/>
      <c r="AO2723" s="333"/>
      <c r="AP2723" s="333"/>
      <c r="AQ2723" s="333"/>
      <c r="AR2723" s="333"/>
      <c r="AS2723" s="333"/>
      <c r="AT2723" s="333"/>
      <c r="AU2723" s="329"/>
      <c r="AV2723" s="341"/>
      <c r="AW2723" s="269" t="s">
        <v>1650</v>
      </c>
      <c r="AX2723" s="269" t="s">
        <v>2869</v>
      </c>
      <c r="AY2723" s="270" t="s">
        <v>695</v>
      </c>
      <c r="AZ2723" s="379"/>
      <c r="BA2723" s="265">
        <v>10.0</v>
      </c>
      <c r="BB2723" s="367"/>
      <c r="BC2723" s="341"/>
      <c r="BD2723" s="308" t="s">
        <v>1844</v>
      </c>
      <c r="BE2723" s="378"/>
      <c r="BF2723" s="274" t="str">
        <f>IFERROR(__xludf.DUMMYFUNCTION("LOWER(Regexreplace(to_text(E2723),""[^A-Za-z0-9]"","""")&amp;""_""&amp;Regexreplace(to_text(F2723),""[^A-Za-z0-9]"",""""))"),"schneider_pm1130h")</f>
        <v>schneider_pm1130h</v>
      </c>
      <c r="BG2723" s="275" t="str">
        <f>IFERROR(__xludf.DUMMYFUNCTION("upper(Regexreplace(to_text(E2723),""[^A-Za-z0-9]"","""")&amp;""-""&amp;Regexreplace(to_text(F2723),""[^A-Za-z0-9]"",""""))"),"SCHNEIDER-PM1130H")</f>
        <v>SCHNEIDER-PM1130H</v>
      </c>
    </row>
    <row r="2724" ht="30.0" customHeight="1">
      <c r="A2724" s="258"/>
      <c r="B2724" s="328" t="s">
        <v>670</v>
      </c>
      <c r="C2724" s="257" t="s">
        <v>8720</v>
      </c>
      <c r="D2724" s="173" t="s">
        <v>8720</v>
      </c>
      <c r="E2724" s="174" t="s">
        <v>8070</v>
      </c>
      <c r="F2724" s="173" t="s">
        <v>8579</v>
      </c>
      <c r="G2724" s="328" t="s">
        <v>673</v>
      </c>
      <c r="H2724" s="328" t="s">
        <v>2863</v>
      </c>
      <c r="I2724" s="258" t="s">
        <v>8072</v>
      </c>
      <c r="J2724" s="259" t="s">
        <v>739</v>
      </c>
      <c r="K2724" s="260" t="s">
        <v>1782</v>
      </c>
      <c r="L2724" s="365"/>
      <c r="M2724" s="329"/>
      <c r="N2724" s="173" t="s">
        <v>679</v>
      </c>
      <c r="O2724" s="173" t="s">
        <v>225</v>
      </c>
      <c r="P2724" s="262" t="str">
        <f t="shared" si="1"/>
        <v>IN-BLR-ANANTA-EM-271_G</v>
      </c>
      <c r="Q2724" s="173" t="s">
        <v>8721</v>
      </c>
      <c r="R2724" s="328" t="str">
        <f>IFS(C2724="","",C2724="n/a","N/A",LEN(C2724),Concatenate("{",char(34),"asset",char(34),":{",char(34),"guid",char(34),":",char(34),Q2724,char(34),",",char(34),"site",char(34),":",char(34),LOWER('2-Building'!$B$4),char(34),",",char(34),"name",char(34),":",char(34),LOWER(C2724),char(34),"}}"))</f>
        <v>{"asset":{"guid":"uuid://a81cefd1-17a2-4a32-91d8-bac62982a761","site":"in-blr-ananta","name":"em-271"}}</v>
      </c>
      <c r="S2724" s="366" t="s">
        <v>8581</v>
      </c>
      <c r="T2724" s="330"/>
      <c r="U2724" s="330"/>
      <c r="V2724" s="331"/>
      <c r="W2724" s="332"/>
      <c r="X2724" s="333"/>
      <c r="Y2724" s="33" t="s">
        <v>8076</v>
      </c>
      <c r="Z2724" s="368"/>
      <c r="AA2724" s="333"/>
      <c r="AB2724" s="258">
        <v>27.0</v>
      </c>
      <c r="AC2724" s="333"/>
      <c r="AD2724" s="329"/>
      <c r="AE2724" s="331"/>
      <c r="AF2724" s="336"/>
      <c r="AG2724" s="337"/>
      <c r="AH2724" s="333"/>
      <c r="AI2724" s="333"/>
      <c r="AJ2724" s="333"/>
      <c r="AK2724" s="333"/>
      <c r="AL2724" s="333"/>
      <c r="AM2724" s="338"/>
      <c r="AN2724" s="333"/>
      <c r="AO2724" s="333"/>
      <c r="AP2724" s="333"/>
      <c r="AQ2724" s="333"/>
      <c r="AR2724" s="333"/>
      <c r="AS2724" s="333"/>
      <c r="AT2724" s="333"/>
      <c r="AU2724" s="329"/>
      <c r="AV2724" s="341"/>
      <c r="AW2724" s="269" t="s">
        <v>1650</v>
      </c>
      <c r="AX2724" s="269" t="s">
        <v>2869</v>
      </c>
      <c r="AY2724" s="270" t="s">
        <v>695</v>
      </c>
      <c r="AZ2724" s="379"/>
      <c r="BA2724" s="265">
        <v>10.0</v>
      </c>
      <c r="BB2724" s="367"/>
      <c r="BC2724" s="341"/>
      <c r="BD2724" s="308" t="s">
        <v>1844</v>
      </c>
      <c r="BE2724" s="378"/>
      <c r="BF2724" s="274" t="str">
        <f>IFERROR(__xludf.DUMMYFUNCTION("LOWER(Regexreplace(to_text(E2724),""[^A-Za-z0-9]"","""")&amp;""_""&amp;Regexreplace(to_text(F2724),""[^A-Za-z0-9]"",""""))"),"schneider_pm1130h")</f>
        <v>schneider_pm1130h</v>
      </c>
      <c r="BG2724" s="275" t="str">
        <f>IFERROR(__xludf.DUMMYFUNCTION("upper(Regexreplace(to_text(E2724),""[^A-Za-z0-9]"","""")&amp;""-""&amp;Regexreplace(to_text(F2724),""[^A-Za-z0-9]"",""""))"),"SCHNEIDER-PM1130H")</f>
        <v>SCHNEIDER-PM1130H</v>
      </c>
    </row>
    <row r="2725" ht="30.0" customHeight="1">
      <c r="A2725" s="258"/>
      <c r="B2725" s="328" t="s">
        <v>670</v>
      </c>
      <c r="C2725" s="257" t="s">
        <v>8722</v>
      </c>
      <c r="D2725" s="173" t="s">
        <v>8722</v>
      </c>
      <c r="E2725" s="174" t="s">
        <v>8070</v>
      </c>
      <c r="F2725" s="173" t="s">
        <v>8579</v>
      </c>
      <c r="G2725" s="328" t="s">
        <v>673</v>
      </c>
      <c r="H2725" s="328" t="s">
        <v>2863</v>
      </c>
      <c r="I2725" s="258" t="s">
        <v>8072</v>
      </c>
      <c r="J2725" s="259" t="s">
        <v>739</v>
      </c>
      <c r="K2725" s="260" t="s">
        <v>1782</v>
      </c>
      <c r="L2725" s="365"/>
      <c r="M2725" s="329"/>
      <c r="N2725" s="173" t="s">
        <v>679</v>
      </c>
      <c r="O2725" s="173" t="s">
        <v>225</v>
      </c>
      <c r="P2725" s="262" t="str">
        <f t="shared" si="1"/>
        <v>IN-BLR-ANANTA-EM-272_G</v>
      </c>
      <c r="Q2725" s="173" t="s">
        <v>8723</v>
      </c>
      <c r="R2725" s="328" t="str">
        <f>IFS(C2725="","",C2725="n/a","N/A",LEN(C2725),Concatenate("{",char(34),"asset",char(34),":{",char(34),"guid",char(34),":",char(34),Q2725,char(34),",",char(34),"site",char(34),":",char(34),LOWER('2-Building'!$B$4),char(34),",",char(34),"name",char(34),":",char(34),LOWER(C2725),char(34),"}}"))</f>
        <v>{"asset":{"guid":"uuid://ca5641b4-f566-4249-a608-c7737db6d29c","site":"in-blr-ananta","name":"em-272"}}</v>
      </c>
      <c r="S2725" s="366" t="s">
        <v>8581</v>
      </c>
      <c r="T2725" s="330"/>
      <c r="U2725" s="330"/>
      <c r="V2725" s="331"/>
      <c r="W2725" s="332"/>
      <c r="X2725" s="333"/>
      <c r="Y2725" s="33" t="s">
        <v>8076</v>
      </c>
      <c r="Z2725" s="368"/>
      <c r="AA2725" s="333"/>
      <c r="AB2725" s="258">
        <v>28.0</v>
      </c>
      <c r="AC2725" s="333"/>
      <c r="AD2725" s="329"/>
      <c r="AE2725" s="331"/>
      <c r="AF2725" s="336"/>
      <c r="AG2725" s="337"/>
      <c r="AH2725" s="333"/>
      <c r="AI2725" s="333"/>
      <c r="AJ2725" s="333"/>
      <c r="AK2725" s="333"/>
      <c r="AL2725" s="333"/>
      <c r="AM2725" s="338"/>
      <c r="AN2725" s="333"/>
      <c r="AO2725" s="333"/>
      <c r="AP2725" s="333"/>
      <c r="AQ2725" s="333"/>
      <c r="AR2725" s="333"/>
      <c r="AS2725" s="333"/>
      <c r="AT2725" s="333"/>
      <c r="AU2725" s="329"/>
      <c r="AV2725" s="341"/>
      <c r="AW2725" s="269" t="s">
        <v>1650</v>
      </c>
      <c r="AX2725" s="269" t="s">
        <v>2869</v>
      </c>
      <c r="AY2725" s="270" t="s">
        <v>695</v>
      </c>
      <c r="AZ2725" s="379"/>
      <c r="BA2725" s="265">
        <v>10.0</v>
      </c>
      <c r="BB2725" s="367"/>
      <c r="BC2725" s="341"/>
      <c r="BD2725" s="308" t="s">
        <v>1844</v>
      </c>
      <c r="BE2725" s="378"/>
      <c r="BF2725" s="274" t="str">
        <f>IFERROR(__xludf.DUMMYFUNCTION("LOWER(Regexreplace(to_text(E2725),""[^A-Za-z0-9]"","""")&amp;""_""&amp;Regexreplace(to_text(F2725),""[^A-Za-z0-9]"",""""))"),"schneider_pm1130h")</f>
        <v>schneider_pm1130h</v>
      </c>
      <c r="BG2725" s="275" t="str">
        <f>IFERROR(__xludf.DUMMYFUNCTION("upper(Regexreplace(to_text(E2725),""[^A-Za-z0-9]"","""")&amp;""-""&amp;Regexreplace(to_text(F2725),""[^A-Za-z0-9]"",""""))"),"SCHNEIDER-PM1130H")</f>
        <v>SCHNEIDER-PM1130H</v>
      </c>
    </row>
    <row r="2726" ht="30.0" customHeight="1">
      <c r="A2726" s="258"/>
      <c r="B2726" s="328" t="s">
        <v>670</v>
      </c>
      <c r="C2726" s="257" t="s">
        <v>8724</v>
      </c>
      <c r="D2726" s="173" t="s">
        <v>8724</v>
      </c>
      <c r="E2726" s="174" t="s">
        <v>8070</v>
      </c>
      <c r="F2726" s="173" t="s">
        <v>8579</v>
      </c>
      <c r="G2726" s="328" t="s">
        <v>673</v>
      </c>
      <c r="H2726" s="328" t="s">
        <v>2863</v>
      </c>
      <c r="I2726" s="258" t="s">
        <v>8072</v>
      </c>
      <c r="J2726" s="259" t="s">
        <v>739</v>
      </c>
      <c r="K2726" s="260" t="s">
        <v>1782</v>
      </c>
      <c r="L2726" s="365"/>
      <c r="M2726" s="329"/>
      <c r="N2726" s="173" t="s">
        <v>679</v>
      </c>
      <c r="O2726" s="173" t="s">
        <v>225</v>
      </c>
      <c r="P2726" s="262" t="str">
        <f t="shared" si="1"/>
        <v>IN-BLR-ANANTA-EM-273_G</v>
      </c>
      <c r="Q2726" s="173" t="s">
        <v>8725</v>
      </c>
      <c r="R2726" s="328" t="str">
        <f>IFS(C2726="","",C2726="n/a","N/A",LEN(C2726),Concatenate("{",char(34),"asset",char(34),":{",char(34),"guid",char(34),":",char(34),Q2726,char(34),",",char(34),"site",char(34),":",char(34),LOWER('2-Building'!$B$4),char(34),",",char(34),"name",char(34),":",char(34),LOWER(C2726),char(34),"}}"))</f>
        <v>{"asset":{"guid":"uuid://0fcab712-e5d2-4331-845d-621666d3e49d","site":"in-blr-ananta","name":"em-273"}}</v>
      </c>
      <c r="S2726" s="366" t="s">
        <v>8581</v>
      </c>
      <c r="T2726" s="330"/>
      <c r="U2726" s="330"/>
      <c r="V2726" s="331"/>
      <c r="W2726" s="332"/>
      <c r="X2726" s="333"/>
      <c r="Y2726" s="33" t="s">
        <v>8076</v>
      </c>
      <c r="Z2726" s="368"/>
      <c r="AA2726" s="333"/>
      <c r="AB2726" s="258">
        <v>1.0</v>
      </c>
      <c r="AC2726" s="333"/>
      <c r="AD2726" s="329"/>
      <c r="AE2726" s="331"/>
      <c r="AF2726" s="336"/>
      <c r="AG2726" s="337"/>
      <c r="AH2726" s="333"/>
      <c r="AI2726" s="333"/>
      <c r="AJ2726" s="333"/>
      <c r="AK2726" s="333"/>
      <c r="AL2726" s="333"/>
      <c r="AM2726" s="338"/>
      <c r="AN2726" s="333"/>
      <c r="AO2726" s="333"/>
      <c r="AP2726" s="333"/>
      <c r="AQ2726" s="333"/>
      <c r="AR2726" s="333"/>
      <c r="AS2726" s="333"/>
      <c r="AT2726" s="333"/>
      <c r="AU2726" s="329"/>
      <c r="AV2726" s="341"/>
      <c r="AW2726" s="269" t="s">
        <v>1781</v>
      </c>
      <c r="AX2726" s="269" t="s">
        <v>2869</v>
      </c>
      <c r="AY2726" s="270" t="s">
        <v>695</v>
      </c>
      <c r="AZ2726" s="379"/>
      <c r="BA2726" s="265">
        <v>10.0</v>
      </c>
      <c r="BB2726" s="367"/>
      <c r="BC2726" s="341"/>
      <c r="BD2726" s="308" t="s">
        <v>1844</v>
      </c>
      <c r="BE2726" s="378"/>
      <c r="BF2726" s="274" t="str">
        <f>IFERROR(__xludf.DUMMYFUNCTION("LOWER(Regexreplace(to_text(E2726),""[^A-Za-z0-9]"","""")&amp;""_""&amp;Regexreplace(to_text(F2726),""[^A-Za-z0-9]"",""""))"),"schneider_pm1130h")</f>
        <v>schneider_pm1130h</v>
      </c>
      <c r="BG2726" s="275" t="str">
        <f>IFERROR(__xludf.DUMMYFUNCTION("upper(Regexreplace(to_text(E2726),""[^A-Za-z0-9]"","""")&amp;""-""&amp;Regexreplace(to_text(F2726),""[^A-Za-z0-9]"",""""))"),"SCHNEIDER-PM1130H")</f>
        <v>SCHNEIDER-PM1130H</v>
      </c>
    </row>
    <row r="2727" ht="30.0" customHeight="1">
      <c r="A2727" s="258"/>
      <c r="B2727" s="328" t="s">
        <v>670</v>
      </c>
      <c r="C2727" s="257" t="s">
        <v>8726</v>
      </c>
      <c r="D2727" s="173" t="s">
        <v>8726</v>
      </c>
      <c r="E2727" s="174" t="s">
        <v>8070</v>
      </c>
      <c r="F2727" s="173" t="s">
        <v>8579</v>
      </c>
      <c r="G2727" s="328" t="s">
        <v>673</v>
      </c>
      <c r="H2727" s="328" t="s">
        <v>2863</v>
      </c>
      <c r="I2727" s="258" t="s">
        <v>8072</v>
      </c>
      <c r="J2727" s="259" t="s">
        <v>739</v>
      </c>
      <c r="K2727" s="260" t="s">
        <v>1782</v>
      </c>
      <c r="L2727" s="365"/>
      <c r="M2727" s="329"/>
      <c r="N2727" s="173" t="s">
        <v>679</v>
      </c>
      <c r="O2727" s="173" t="s">
        <v>225</v>
      </c>
      <c r="P2727" s="262" t="str">
        <f t="shared" si="1"/>
        <v>IN-BLR-ANANTA-EM-274_G</v>
      </c>
      <c r="Q2727" s="173" t="s">
        <v>8727</v>
      </c>
      <c r="R2727" s="328" t="str">
        <f>IFS(C2727="","",C2727="n/a","N/A",LEN(C2727),Concatenate("{",char(34),"asset",char(34),":{",char(34),"guid",char(34),":",char(34),Q2727,char(34),",",char(34),"site",char(34),":",char(34),LOWER('2-Building'!$B$4),char(34),",",char(34),"name",char(34),":",char(34),LOWER(C2727),char(34),"}}"))</f>
        <v>{"asset":{"guid":"uuid://f35c50b3-9a4e-4c89-85cf-1536dfac5b88","site":"in-blr-ananta","name":"em-274"}}</v>
      </c>
      <c r="S2727" s="366" t="s">
        <v>8581</v>
      </c>
      <c r="T2727" s="330"/>
      <c r="U2727" s="330"/>
      <c r="V2727" s="331"/>
      <c r="W2727" s="332"/>
      <c r="X2727" s="333"/>
      <c r="Y2727" s="33" t="s">
        <v>8076</v>
      </c>
      <c r="Z2727" s="368"/>
      <c r="AA2727" s="333"/>
      <c r="AB2727" s="258">
        <v>2.0</v>
      </c>
      <c r="AC2727" s="333"/>
      <c r="AD2727" s="329"/>
      <c r="AE2727" s="331"/>
      <c r="AF2727" s="336"/>
      <c r="AG2727" s="337"/>
      <c r="AH2727" s="333"/>
      <c r="AI2727" s="333"/>
      <c r="AJ2727" s="333"/>
      <c r="AK2727" s="333"/>
      <c r="AL2727" s="333"/>
      <c r="AM2727" s="338"/>
      <c r="AN2727" s="333"/>
      <c r="AO2727" s="333"/>
      <c r="AP2727" s="333"/>
      <c r="AQ2727" s="333"/>
      <c r="AR2727" s="333"/>
      <c r="AS2727" s="333"/>
      <c r="AT2727" s="333"/>
      <c r="AU2727" s="329"/>
      <c r="AV2727" s="341"/>
      <c r="AW2727" s="269" t="s">
        <v>1781</v>
      </c>
      <c r="AX2727" s="269" t="s">
        <v>2869</v>
      </c>
      <c r="AY2727" s="270" t="s">
        <v>695</v>
      </c>
      <c r="AZ2727" s="379"/>
      <c r="BA2727" s="265">
        <v>10.0</v>
      </c>
      <c r="BB2727" s="367"/>
      <c r="BC2727" s="341"/>
      <c r="BD2727" s="308" t="s">
        <v>1844</v>
      </c>
      <c r="BE2727" s="378"/>
      <c r="BF2727" s="274" t="str">
        <f>IFERROR(__xludf.DUMMYFUNCTION("LOWER(Regexreplace(to_text(E2727),""[^A-Za-z0-9]"","""")&amp;""_""&amp;Regexreplace(to_text(F2727),""[^A-Za-z0-9]"",""""))"),"schneider_pm1130h")</f>
        <v>schneider_pm1130h</v>
      </c>
      <c r="BG2727" s="275" t="str">
        <f>IFERROR(__xludf.DUMMYFUNCTION("upper(Regexreplace(to_text(E2727),""[^A-Za-z0-9]"","""")&amp;""-""&amp;Regexreplace(to_text(F2727),""[^A-Za-z0-9]"",""""))"),"SCHNEIDER-PM1130H")</f>
        <v>SCHNEIDER-PM1130H</v>
      </c>
    </row>
    <row r="2728" ht="30.0" customHeight="1">
      <c r="A2728" s="258"/>
      <c r="B2728" s="328" t="s">
        <v>670</v>
      </c>
      <c r="C2728" s="257" t="s">
        <v>8728</v>
      </c>
      <c r="D2728" s="173" t="s">
        <v>8728</v>
      </c>
      <c r="E2728" s="174" t="s">
        <v>8070</v>
      </c>
      <c r="F2728" s="173" t="s">
        <v>8579</v>
      </c>
      <c r="G2728" s="328" t="s">
        <v>673</v>
      </c>
      <c r="H2728" s="328" t="s">
        <v>2863</v>
      </c>
      <c r="I2728" s="258" t="s">
        <v>8072</v>
      </c>
      <c r="J2728" s="259" t="s">
        <v>739</v>
      </c>
      <c r="K2728" s="260" t="s">
        <v>1782</v>
      </c>
      <c r="L2728" s="365"/>
      <c r="M2728" s="329"/>
      <c r="N2728" s="173" t="s">
        <v>679</v>
      </c>
      <c r="O2728" s="173" t="s">
        <v>225</v>
      </c>
      <c r="P2728" s="262" t="str">
        <f t="shared" si="1"/>
        <v>IN-BLR-ANANTA-EM-275_G</v>
      </c>
      <c r="Q2728" s="173" t="s">
        <v>8729</v>
      </c>
      <c r="R2728" s="328" t="str">
        <f>IFS(C2728="","",C2728="n/a","N/A",LEN(C2728),Concatenate("{",char(34),"asset",char(34),":{",char(34),"guid",char(34),":",char(34),Q2728,char(34),",",char(34),"site",char(34),":",char(34),LOWER('2-Building'!$B$4),char(34),",",char(34),"name",char(34),":",char(34),LOWER(C2728),char(34),"}}"))</f>
        <v>{"asset":{"guid":"uuid://4f212177-6b56-4871-8fd3-491f525c9095","site":"in-blr-ananta","name":"em-275"}}</v>
      </c>
      <c r="S2728" s="366" t="s">
        <v>8581</v>
      </c>
      <c r="T2728" s="330"/>
      <c r="U2728" s="330"/>
      <c r="V2728" s="331"/>
      <c r="W2728" s="332"/>
      <c r="X2728" s="333"/>
      <c r="Y2728" s="33" t="s">
        <v>8076</v>
      </c>
      <c r="Z2728" s="368"/>
      <c r="AA2728" s="333"/>
      <c r="AB2728" s="258">
        <v>3.0</v>
      </c>
      <c r="AC2728" s="333"/>
      <c r="AD2728" s="329"/>
      <c r="AE2728" s="331"/>
      <c r="AF2728" s="336"/>
      <c r="AG2728" s="337"/>
      <c r="AH2728" s="333"/>
      <c r="AI2728" s="333"/>
      <c r="AJ2728" s="333"/>
      <c r="AK2728" s="333"/>
      <c r="AL2728" s="333"/>
      <c r="AM2728" s="338"/>
      <c r="AN2728" s="333"/>
      <c r="AO2728" s="333"/>
      <c r="AP2728" s="333"/>
      <c r="AQ2728" s="333"/>
      <c r="AR2728" s="333"/>
      <c r="AS2728" s="333"/>
      <c r="AT2728" s="333"/>
      <c r="AU2728" s="329"/>
      <c r="AV2728" s="341"/>
      <c r="AW2728" s="269" t="s">
        <v>1781</v>
      </c>
      <c r="AX2728" s="269" t="s">
        <v>2869</v>
      </c>
      <c r="AY2728" s="270" t="s">
        <v>695</v>
      </c>
      <c r="AZ2728" s="379"/>
      <c r="BA2728" s="265">
        <v>10.0</v>
      </c>
      <c r="BB2728" s="367"/>
      <c r="BC2728" s="341"/>
      <c r="BD2728" s="308" t="s">
        <v>1844</v>
      </c>
      <c r="BE2728" s="378"/>
      <c r="BF2728" s="274" t="str">
        <f>IFERROR(__xludf.DUMMYFUNCTION("LOWER(Regexreplace(to_text(E2728),""[^A-Za-z0-9]"","""")&amp;""_""&amp;Regexreplace(to_text(F2728),""[^A-Za-z0-9]"",""""))"),"schneider_pm1130h")</f>
        <v>schneider_pm1130h</v>
      </c>
      <c r="BG2728" s="275" t="str">
        <f>IFERROR(__xludf.DUMMYFUNCTION("upper(Regexreplace(to_text(E2728),""[^A-Za-z0-9]"","""")&amp;""-""&amp;Regexreplace(to_text(F2728),""[^A-Za-z0-9]"",""""))"),"SCHNEIDER-PM1130H")</f>
        <v>SCHNEIDER-PM1130H</v>
      </c>
    </row>
    <row r="2729" ht="30.0" customHeight="1">
      <c r="A2729" s="258"/>
      <c r="B2729" s="328" t="s">
        <v>670</v>
      </c>
      <c r="C2729" s="257" t="s">
        <v>8730</v>
      </c>
      <c r="D2729" s="173" t="s">
        <v>8730</v>
      </c>
      <c r="E2729" s="174" t="s">
        <v>8070</v>
      </c>
      <c r="F2729" s="173" t="s">
        <v>8579</v>
      </c>
      <c r="G2729" s="328" t="s">
        <v>673</v>
      </c>
      <c r="H2729" s="328" t="s">
        <v>2863</v>
      </c>
      <c r="I2729" s="258" t="s">
        <v>8072</v>
      </c>
      <c r="J2729" s="259" t="s">
        <v>739</v>
      </c>
      <c r="K2729" s="260" t="s">
        <v>1782</v>
      </c>
      <c r="L2729" s="365"/>
      <c r="M2729" s="329"/>
      <c r="N2729" s="173" t="s">
        <v>679</v>
      </c>
      <c r="O2729" s="173" t="s">
        <v>225</v>
      </c>
      <c r="P2729" s="262" t="str">
        <f t="shared" si="1"/>
        <v>IN-BLR-ANANTA-EM-276_G</v>
      </c>
      <c r="Q2729" s="173" t="s">
        <v>8731</v>
      </c>
      <c r="R2729" s="328" t="str">
        <f>IFS(C2729="","",C2729="n/a","N/A",LEN(C2729),Concatenate("{",char(34),"asset",char(34),":{",char(34),"guid",char(34),":",char(34),Q2729,char(34),",",char(34),"site",char(34),":",char(34),LOWER('2-Building'!$B$4),char(34),",",char(34),"name",char(34),":",char(34),LOWER(C2729),char(34),"}}"))</f>
        <v>{"asset":{"guid":"uuid://c6838a96-17dc-4e22-8bc0-0c30a96a8fb6","site":"in-blr-ananta","name":"em-276"}}</v>
      </c>
      <c r="S2729" s="366" t="s">
        <v>8581</v>
      </c>
      <c r="T2729" s="330"/>
      <c r="U2729" s="330"/>
      <c r="V2729" s="331"/>
      <c r="W2729" s="332"/>
      <c r="X2729" s="333"/>
      <c r="Y2729" s="33" t="s">
        <v>8076</v>
      </c>
      <c r="Z2729" s="368"/>
      <c r="AA2729" s="333"/>
      <c r="AB2729" s="258">
        <v>4.0</v>
      </c>
      <c r="AC2729" s="333"/>
      <c r="AD2729" s="329"/>
      <c r="AE2729" s="331"/>
      <c r="AF2729" s="336"/>
      <c r="AG2729" s="337"/>
      <c r="AH2729" s="333"/>
      <c r="AI2729" s="333"/>
      <c r="AJ2729" s="333"/>
      <c r="AK2729" s="333"/>
      <c r="AL2729" s="333"/>
      <c r="AM2729" s="338"/>
      <c r="AN2729" s="333"/>
      <c r="AO2729" s="333"/>
      <c r="AP2729" s="333"/>
      <c r="AQ2729" s="333"/>
      <c r="AR2729" s="333"/>
      <c r="AS2729" s="333"/>
      <c r="AT2729" s="333"/>
      <c r="AU2729" s="329"/>
      <c r="AV2729" s="341"/>
      <c r="AW2729" s="269" t="s">
        <v>1781</v>
      </c>
      <c r="AX2729" s="269" t="s">
        <v>2869</v>
      </c>
      <c r="AY2729" s="270" t="s">
        <v>695</v>
      </c>
      <c r="AZ2729" s="379"/>
      <c r="BA2729" s="265">
        <v>10.0</v>
      </c>
      <c r="BB2729" s="367"/>
      <c r="BC2729" s="341"/>
      <c r="BD2729" s="308" t="s">
        <v>1844</v>
      </c>
      <c r="BE2729" s="378"/>
      <c r="BF2729" s="274" t="str">
        <f>IFERROR(__xludf.DUMMYFUNCTION("LOWER(Regexreplace(to_text(E2729),""[^A-Za-z0-9]"","""")&amp;""_""&amp;Regexreplace(to_text(F2729),""[^A-Za-z0-9]"",""""))"),"schneider_pm1130h")</f>
        <v>schneider_pm1130h</v>
      </c>
      <c r="BG2729" s="275" t="str">
        <f>IFERROR(__xludf.DUMMYFUNCTION("upper(Regexreplace(to_text(E2729),""[^A-Za-z0-9]"","""")&amp;""-""&amp;Regexreplace(to_text(F2729),""[^A-Za-z0-9]"",""""))"),"SCHNEIDER-PM1130H")</f>
        <v>SCHNEIDER-PM1130H</v>
      </c>
    </row>
    <row r="2730" ht="30.0" customHeight="1">
      <c r="A2730" s="258"/>
      <c r="B2730" s="328" t="s">
        <v>670</v>
      </c>
      <c r="C2730" s="257" t="s">
        <v>8732</v>
      </c>
      <c r="D2730" s="173" t="s">
        <v>8732</v>
      </c>
      <c r="E2730" s="174" t="s">
        <v>8070</v>
      </c>
      <c r="F2730" s="173" t="s">
        <v>8579</v>
      </c>
      <c r="G2730" s="328" t="s">
        <v>673</v>
      </c>
      <c r="H2730" s="328" t="s">
        <v>2863</v>
      </c>
      <c r="I2730" s="258" t="s">
        <v>8072</v>
      </c>
      <c r="J2730" s="259" t="s">
        <v>739</v>
      </c>
      <c r="K2730" s="260" t="s">
        <v>1782</v>
      </c>
      <c r="L2730" s="365"/>
      <c r="M2730" s="329"/>
      <c r="N2730" s="173" t="s">
        <v>679</v>
      </c>
      <c r="O2730" s="173" t="s">
        <v>225</v>
      </c>
      <c r="P2730" s="262" t="str">
        <f t="shared" si="1"/>
        <v>IN-BLR-ANANTA-EM-277_G</v>
      </c>
      <c r="Q2730" s="173" t="s">
        <v>8733</v>
      </c>
      <c r="R2730" s="328" t="str">
        <f>IFS(C2730="","",C2730="n/a","N/A",LEN(C2730),Concatenate("{",char(34),"asset",char(34),":{",char(34),"guid",char(34),":",char(34),Q2730,char(34),",",char(34),"site",char(34),":",char(34),LOWER('2-Building'!$B$4),char(34),",",char(34),"name",char(34),":",char(34),LOWER(C2730),char(34),"}}"))</f>
        <v>{"asset":{"guid":"uuid://024527e6-6318-4703-a897-1ad510b0ec2b","site":"in-blr-ananta","name":"em-277"}}</v>
      </c>
      <c r="S2730" s="366" t="s">
        <v>8581</v>
      </c>
      <c r="T2730" s="330"/>
      <c r="U2730" s="330"/>
      <c r="V2730" s="331"/>
      <c r="W2730" s="332"/>
      <c r="X2730" s="333"/>
      <c r="Y2730" s="33" t="s">
        <v>8076</v>
      </c>
      <c r="Z2730" s="368"/>
      <c r="AA2730" s="333"/>
      <c r="AB2730" s="258">
        <v>5.0</v>
      </c>
      <c r="AC2730" s="333"/>
      <c r="AD2730" s="329"/>
      <c r="AE2730" s="331"/>
      <c r="AF2730" s="336"/>
      <c r="AG2730" s="337"/>
      <c r="AH2730" s="333"/>
      <c r="AI2730" s="333"/>
      <c r="AJ2730" s="333"/>
      <c r="AK2730" s="333"/>
      <c r="AL2730" s="333"/>
      <c r="AM2730" s="338"/>
      <c r="AN2730" s="333"/>
      <c r="AO2730" s="333"/>
      <c r="AP2730" s="333"/>
      <c r="AQ2730" s="333"/>
      <c r="AR2730" s="333"/>
      <c r="AS2730" s="333"/>
      <c r="AT2730" s="333"/>
      <c r="AU2730" s="329"/>
      <c r="AV2730" s="341"/>
      <c r="AW2730" s="269" t="s">
        <v>1781</v>
      </c>
      <c r="AX2730" s="269" t="s">
        <v>2869</v>
      </c>
      <c r="AY2730" s="270" t="s">
        <v>695</v>
      </c>
      <c r="AZ2730" s="379"/>
      <c r="BA2730" s="265">
        <v>10.0</v>
      </c>
      <c r="BB2730" s="367"/>
      <c r="BC2730" s="341"/>
      <c r="BD2730" s="308" t="s">
        <v>1844</v>
      </c>
      <c r="BE2730" s="378"/>
      <c r="BF2730" s="274" t="str">
        <f>IFERROR(__xludf.DUMMYFUNCTION("LOWER(Regexreplace(to_text(E2730),""[^A-Za-z0-9]"","""")&amp;""_""&amp;Regexreplace(to_text(F2730),""[^A-Za-z0-9]"",""""))"),"schneider_pm1130h")</f>
        <v>schneider_pm1130h</v>
      </c>
      <c r="BG2730" s="275" t="str">
        <f>IFERROR(__xludf.DUMMYFUNCTION("upper(Regexreplace(to_text(E2730),""[^A-Za-z0-9]"","""")&amp;""-""&amp;Regexreplace(to_text(F2730),""[^A-Za-z0-9]"",""""))"),"SCHNEIDER-PM1130H")</f>
        <v>SCHNEIDER-PM1130H</v>
      </c>
    </row>
    <row r="2731" ht="30.0" customHeight="1">
      <c r="A2731" s="278"/>
      <c r="B2731" s="296" t="s">
        <v>670</v>
      </c>
      <c r="C2731" s="257" t="s">
        <v>8734</v>
      </c>
      <c r="D2731" s="173" t="s">
        <v>8734</v>
      </c>
      <c r="E2731" s="174" t="s">
        <v>8070</v>
      </c>
      <c r="F2731" s="173" t="s">
        <v>8579</v>
      </c>
      <c r="G2731" s="296" t="s">
        <v>673</v>
      </c>
      <c r="H2731" s="296" t="s">
        <v>2863</v>
      </c>
      <c r="I2731" s="258" t="s">
        <v>8072</v>
      </c>
      <c r="J2731" s="259" t="s">
        <v>676</v>
      </c>
      <c r="K2731" s="260" t="s">
        <v>677</v>
      </c>
      <c r="L2731" s="380"/>
      <c r="M2731" s="370"/>
      <c r="N2731" s="173" t="s">
        <v>679</v>
      </c>
      <c r="O2731" s="173" t="s">
        <v>225</v>
      </c>
      <c r="P2731" s="262" t="str">
        <f t="shared" si="1"/>
        <v>IN-BLR-ANANTA-EM-278_B3</v>
      </c>
      <c r="Q2731" s="173" t="s">
        <v>8735</v>
      </c>
      <c r="R2731" s="328" t="str">
        <f>IFS(C2731="","",C2731="n/a","N/A",LEN(C2731),Concatenate("{",char(34),"asset",char(34),":{",char(34),"guid",char(34),":",char(34),Q2731,char(34),",",char(34),"site",char(34),":",char(34),LOWER('2-Building'!$B$4),char(34),",",char(34),"name",char(34),":",char(34),LOWER(C2731),char(34),"}}"))</f>
        <v>{"asset":{"guid":"uuid://7c215020-0e0b-44bc-ae61-d3ac0c5ff0c2","site":"in-blr-ananta","name":"em-278"}}</v>
      </c>
      <c r="S2731" s="366" t="s">
        <v>8581</v>
      </c>
      <c r="T2731" s="371"/>
      <c r="U2731" s="371"/>
      <c r="V2731" s="372"/>
      <c r="W2731" s="373"/>
      <c r="X2731" s="374"/>
      <c r="Y2731" s="33" t="s">
        <v>8076</v>
      </c>
      <c r="Z2731" s="305"/>
      <c r="AA2731" s="374"/>
      <c r="AB2731" s="258"/>
      <c r="AC2731" s="374"/>
      <c r="AD2731" s="370"/>
      <c r="AE2731" s="372"/>
      <c r="AF2731" s="375"/>
      <c r="AG2731" s="374"/>
      <c r="AH2731" s="374"/>
      <c r="AI2731" s="374"/>
      <c r="AJ2731" s="374"/>
      <c r="AK2731" s="374"/>
      <c r="AL2731" s="374"/>
      <c r="AM2731" s="374"/>
      <c r="AN2731" s="374"/>
      <c r="AO2731" s="374"/>
      <c r="AP2731" s="374"/>
      <c r="AQ2731" s="374"/>
      <c r="AR2731" s="374"/>
      <c r="AS2731" s="374"/>
      <c r="AT2731" s="374"/>
      <c r="AU2731" s="370"/>
      <c r="AV2731" s="376"/>
      <c r="AW2731" s="269" t="s">
        <v>1613</v>
      </c>
      <c r="AX2731" s="269" t="s">
        <v>2869</v>
      </c>
      <c r="AY2731" s="270" t="s">
        <v>695</v>
      </c>
      <c r="AZ2731" s="381"/>
      <c r="BA2731" s="265">
        <v>10.0</v>
      </c>
      <c r="BB2731" s="382"/>
      <c r="BC2731" s="376"/>
      <c r="BD2731" s="308" t="s">
        <v>1844</v>
      </c>
      <c r="BE2731" s="383"/>
      <c r="BF2731" s="274" t="str">
        <f>IFERROR(__xludf.DUMMYFUNCTION("LOWER(Regexreplace(to_text(E2731),""[^A-Za-z0-9]"","""")&amp;""_""&amp;Regexreplace(to_text(F2731),""[^A-Za-z0-9]"",""""))"),"schneider_pm1130h")</f>
        <v>schneider_pm1130h</v>
      </c>
      <c r="BG2731" s="275" t="str">
        <f>IFERROR(__xludf.DUMMYFUNCTION("upper(Regexreplace(to_text(E2731),""[^A-Za-z0-9]"","""")&amp;""-""&amp;Regexreplace(to_text(F2731),""[^A-Za-z0-9]"",""""))"),"SCHNEIDER-PM1130H")</f>
        <v>SCHNEIDER-PM1130H</v>
      </c>
    </row>
    <row r="2732" ht="30.0" customHeight="1">
      <c r="A2732" s="278"/>
      <c r="B2732" s="296" t="s">
        <v>670</v>
      </c>
      <c r="C2732" s="257" t="s">
        <v>8736</v>
      </c>
      <c r="D2732" s="173" t="s">
        <v>8736</v>
      </c>
      <c r="E2732" s="174" t="s">
        <v>8070</v>
      </c>
      <c r="F2732" s="173" t="s">
        <v>8579</v>
      </c>
      <c r="G2732" s="296" t="s">
        <v>673</v>
      </c>
      <c r="H2732" s="296" t="s">
        <v>2863</v>
      </c>
      <c r="I2732" s="258" t="s">
        <v>8072</v>
      </c>
      <c r="J2732" s="259" t="s">
        <v>676</v>
      </c>
      <c r="K2732" s="260" t="s">
        <v>677</v>
      </c>
      <c r="L2732" s="380"/>
      <c r="M2732" s="370"/>
      <c r="N2732" s="173" t="s">
        <v>679</v>
      </c>
      <c r="O2732" s="173" t="s">
        <v>225</v>
      </c>
      <c r="P2732" s="262" t="str">
        <f t="shared" si="1"/>
        <v>IN-BLR-ANANTA-EM-279_B3</v>
      </c>
      <c r="Q2732" s="173" t="s">
        <v>8737</v>
      </c>
      <c r="R2732" s="328" t="str">
        <f>IFS(C2732="","",C2732="n/a","N/A",LEN(C2732),Concatenate("{",char(34),"asset",char(34),":{",char(34),"guid",char(34),":",char(34),Q2732,char(34),",",char(34),"site",char(34),":",char(34),LOWER('2-Building'!$B$4),char(34),",",char(34),"name",char(34),":",char(34),LOWER(C2732),char(34),"}}"))</f>
        <v>{"asset":{"guid":"uuid://52aa7633-661b-483f-960f-298836d1cacf","site":"in-blr-ananta","name":"em-279"}}</v>
      </c>
      <c r="S2732" s="366" t="s">
        <v>8581</v>
      </c>
      <c r="T2732" s="371"/>
      <c r="U2732" s="371"/>
      <c r="V2732" s="372"/>
      <c r="W2732" s="373"/>
      <c r="X2732" s="374"/>
      <c r="Y2732" s="33" t="s">
        <v>8076</v>
      </c>
      <c r="Z2732" s="305"/>
      <c r="AA2732" s="374"/>
      <c r="AB2732" s="258"/>
      <c r="AC2732" s="374"/>
      <c r="AD2732" s="370"/>
      <c r="AE2732" s="372"/>
      <c r="AF2732" s="375"/>
      <c r="AG2732" s="374"/>
      <c r="AH2732" s="374"/>
      <c r="AI2732" s="374"/>
      <c r="AJ2732" s="374"/>
      <c r="AK2732" s="374"/>
      <c r="AL2732" s="374"/>
      <c r="AM2732" s="374"/>
      <c r="AN2732" s="374"/>
      <c r="AO2732" s="374"/>
      <c r="AP2732" s="374"/>
      <c r="AQ2732" s="374"/>
      <c r="AR2732" s="374"/>
      <c r="AS2732" s="374"/>
      <c r="AT2732" s="374"/>
      <c r="AU2732" s="370"/>
      <c r="AV2732" s="376"/>
      <c r="AW2732" s="269" t="s">
        <v>1613</v>
      </c>
      <c r="AX2732" s="269" t="s">
        <v>2869</v>
      </c>
      <c r="AY2732" s="270" t="s">
        <v>695</v>
      </c>
      <c r="AZ2732" s="381"/>
      <c r="BA2732" s="265">
        <v>10.0</v>
      </c>
      <c r="BB2732" s="382"/>
      <c r="BC2732" s="376"/>
      <c r="BD2732" s="308" t="s">
        <v>1844</v>
      </c>
      <c r="BE2732" s="383"/>
      <c r="BF2732" s="274" t="str">
        <f>IFERROR(__xludf.DUMMYFUNCTION("LOWER(Regexreplace(to_text(E2732),""[^A-Za-z0-9]"","""")&amp;""_""&amp;Regexreplace(to_text(F2732),""[^A-Za-z0-9]"",""""))"),"schneider_pm1130h")</f>
        <v>schneider_pm1130h</v>
      </c>
      <c r="BG2732" s="275" t="str">
        <f>IFERROR(__xludf.DUMMYFUNCTION("upper(Regexreplace(to_text(E2732),""[^A-Za-z0-9]"","""")&amp;""-""&amp;Regexreplace(to_text(F2732),""[^A-Za-z0-9]"",""""))"),"SCHNEIDER-PM1130H")</f>
        <v>SCHNEIDER-PM1130H</v>
      </c>
    </row>
    <row r="2733" ht="30.0" customHeight="1">
      <c r="A2733" s="278"/>
      <c r="B2733" s="296" t="s">
        <v>670</v>
      </c>
      <c r="C2733" s="257" t="s">
        <v>8738</v>
      </c>
      <c r="D2733" s="173" t="s">
        <v>8738</v>
      </c>
      <c r="E2733" s="174" t="s">
        <v>8070</v>
      </c>
      <c r="F2733" s="173" t="s">
        <v>8579</v>
      </c>
      <c r="G2733" s="296" t="s">
        <v>673</v>
      </c>
      <c r="H2733" s="296" t="s">
        <v>2863</v>
      </c>
      <c r="I2733" s="258" t="s">
        <v>8072</v>
      </c>
      <c r="J2733" s="259" t="s">
        <v>676</v>
      </c>
      <c r="K2733" s="260" t="s">
        <v>677</v>
      </c>
      <c r="L2733" s="380"/>
      <c r="M2733" s="370"/>
      <c r="N2733" s="173" t="s">
        <v>679</v>
      </c>
      <c r="O2733" s="173" t="s">
        <v>225</v>
      </c>
      <c r="P2733" s="262" t="str">
        <f t="shared" si="1"/>
        <v>IN-BLR-ANANTA-EM-280_B3</v>
      </c>
      <c r="Q2733" s="173" t="s">
        <v>8739</v>
      </c>
      <c r="R2733" s="328" t="str">
        <f>IFS(C2733="","",C2733="n/a","N/A",LEN(C2733),Concatenate("{",char(34),"asset",char(34),":{",char(34),"guid",char(34),":",char(34),Q2733,char(34),",",char(34),"site",char(34),":",char(34),LOWER('2-Building'!$B$4),char(34),",",char(34),"name",char(34),":",char(34),LOWER(C2733),char(34),"}}"))</f>
        <v>{"asset":{"guid":"uuid://3f8ec0d7-aa5d-4baa-b37b-52e3e8da10af","site":"in-blr-ananta","name":"em-280"}}</v>
      </c>
      <c r="S2733" s="366" t="s">
        <v>8581</v>
      </c>
      <c r="T2733" s="371"/>
      <c r="U2733" s="371"/>
      <c r="V2733" s="372"/>
      <c r="W2733" s="373"/>
      <c r="X2733" s="374"/>
      <c r="Y2733" s="33" t="s">
        <v>8076</v>
      </c>
      <c r="Z2733" s="305"/>
      <c r="AA2733" s="374"/>
      <c r="AB2733" s="258"/>
      <c r="AC2733" s="374"/>
      <c r="AD2733" s="370"/>
      <c r="AE2733" s="372"/>
      <c r="AF2733" s="375"/>
      <c r="AG2733" s="374"/>
      <c r="AH2733" s="374"/>
      <c r="AI2733" s="374"/>
      <c r="AJ2733" s="374"/>
      <c r="AK2733" s="374"/>
      <c r="AL2733" s="374"/>
      <c r="AM2733" s="374"/>
      <c r="AN2733" s="374"/>
      <c r="AO2733" s="374"/>
      <c r="AP2733" s="374"/>
      <c r="AQ2733" s="374"/>
      <c r="AR2733" s="374"/>
      <c r="AS2733" s="374"/>
      <c r="AT2733" s="374"/>
      <c r="AU2733" s="370"/>
      <c r="AV2733" s="376"/>
      <c r="AW2733" s="269" t="s">
        <v>1613</v>
      </c>
      <c r="AX2733" s="269" t="s">
        <v>2869</v>
      </c>
      <c r="AY2733" s="270" t="s">
        <v>695</v>
      </c>
      <c r="AZ2733" s="381"/>
      <c r="BA2733" s="265">
        <v>10.0</v>
      </c>
      <c r="BB2733" s="382"/>
      <c r="BC2733" s="376"/>
      <c r="BD2733" s="308" t="s">
        <v>1844</v>
      </c>
      <c r="BE2733" s="383"/>
      <c r="BF2733" s="274" t="str">
        <f>IFERROR(__xludf.DUMMYFUNCTION("LOWER(Regexreplace(to_text(E2733),""[^A-Za-z0-9]"","""")&amp;""_""&amp;Regexreplace(to_text(F2733),""[^A-Za-z0-9]"",""""))"),"schneider_pm1130h")</f>
        <v>schneider_pm1130h</v>
      </c>
      <c r="BG2733" s="275" t="str">
        <f>IFERROR(__xludf.DUMMYFUNCTION("upper(Regexreplace(to_text(E2733),""[^A-Za-z0-9]"","""")&amp;""-""&amp;Regexreplace(to_text(F2733),""[^A-Za-z0-9]"",""""))"),"SCHNEIDER-PM1130H")</f>
        <v>SCHNEIDER-PM1130H</v>
      </c>
    </row>
    <row r="2734" ht="30.0" customHeight="1">
      <c r="A2734" s="278"/>
      <c r="B2734" s="296" t="s">
        <v>670</v>
      </c>
      <c r="C2734" s="257" t="s">
        <v>8740</v>
      </c>
      <c r="D2734" s="173" t="s">
        <v>8740</v>
      </c>
      <c r="E2734" s="174" t="s">
        <v>8070</v>
      </c>
      <c r="F2734" s="173" t="s">
        <v>8579</v>
      </c>
      <c r="G2734" s="296" t="s">
        <v>673</v>
      </c>
      <c r="H2734" s="296" t="s">
        <v>2863</v>
      </c>
      <c r="I2734" s="258" t="s">
        <v>8072</v>
      </c>
      <c r="J2734" s="259" t="s">
        <v>676</v>
      </c>
      <c r="K2734" s="260" t="s">
        <v>677</v>
      </c>
      <c r="L2734" s="380"/>
      <c r="M2734" s="370"/>
      <c r="N2734" s="173" t="s">
        <v>679</v>
      </c>
      <c r="O2734" s="173" t="s">
        <v>225</v>
      </c>
      <c r="P2734" s="262" t="str">
        <f t="shared" si="1"/>
        <v>IN-BLR-ANANTA-EM-281_B3</v>
      </c>
      <c r="Q2734" s="173" t="s">
        <v>8741</v>
      </c>
      <c r="R2734" s="328" t="str">
        <f>IFS(C2734="","",C2734="n/a","N/A",LEN(C2734),Concatenate("{",char(34),"asset",char(34),":{",char(34),"guid",char(34),":",char(34),Q2734,char(34),",",char(34),"site",char(34),":",char(34),LOWER('2-Building'!$B$4),char(34),",",char(34),"name",char(34),":",char(34),LOWER(C2734),char(34),"}}"))</f>
        <v>{"asset":{"guid":"uuid://06e71a5c-2bed-4a15-8929-cf8d8ff68890","site":"in-blr-ananta","name":"em-281"}}</v>
      </c>
      <c r="S2734" s="366" t="s">
        <v>8581</v>
      </c>
      <c r="T2734" s="371"/>
      <c r="U2734" s="371"/>
      <c r="V2734" s="372"/>
      <c r="W2734" s="373"/>
      <c r="X2734" s="374"/>
      <c r="Y2734" s="33" t="s">
        <v>8076</v>
      </c>
      <c r="Z2734" s="305"/>
      <c r="AA2734" s="374"/>
      <c r="AB2734" s="258"/>
      <c r="AC2734" s="374"/>
      <c r="AD2734" s="370"/>
      <c r="AE2734" s="372"/>
      <c r="AF2734" s="375"/>
      <c r="AG2734" s="374"/>
      <c r="AH2734" s="374"/>
      <c r="AI2734" s="374"/>
      <c r="AJ2734" s="374"/>
      <c r="AK2734" s="374"/>
      <c r="AL2734" s="374"/>
      <c r="AM2734" s="374"/>
      <c r="AN2734" s="374"/>
      <c r="AO2734" s="374"/>
      <c r="AP2734" s="374"/>
      <c r="AQ2734" s="374"/>
      <c r="AR2734" s="374"/>
      <c r="AS2734" s="374"/>
      <c r="AT2734" s="374"/>
      <c r="AU2734" s="370"/>
      <c r="AV2734" s="376"/>
      <c r="AW2734" s="269" t="s">
        <v>1613</v>
      </c>
      <c r="AX2734" s="269" t="s">
        <v>2869</v>
      </c>
      <c r="AY2734" s="270" t="s">
        <v>695</v>
      </c>
      <c r="AZ2734" s="381"/>
      <c r="BA2734" s="265">
        <v>10.0</v>
      </c>
      <c r="BB2734" s="382"/>
      <c r="BC2734" s="376"/>
      <c r="BD2734" s="308" t="s">
        <v>1844</v>
      </c>
      <c r="BE2734" s="383"/>
      <c r="BF2734" s="274" t="str">
        <f>IFERROR(__xludf.DUMMYFUNCTION("LOWER(Regexreplace(to_text(E2734),""[^A-Za-z0-9]"","""")&amp;""_""&amp;Regexreplace(to_text(F2734),""[^A-Za-z0-9]"",""""))"),"schneider_pm1130h")</f>
        <v>schneider_pm1130h</v>
      </c>
      <c r="BG2734" s="275" t="str">
        <f>IFERROR(__xludf.DUMMYFUNCTION("upper(Regexreplace(to_text(E2734),""[^A-Za-z0-9]"","""")&amp;""-""&amp;Regexreplace(to_text(F2734),""[^A-Za-z0-9]"",""""))"),"SCHNEIDER-PM1130H")</f>
        <v>SCHNEIDER-PM1130H</v>
      </c>
    </row>
    <row r="2735" ht="30.0" customHeight="1">
      <c r="A2735" s="384"/>
      <c r="B2735" s="385" t="s">
        <v>670</v>
      </c>
      <c r="C2735" s="257" t="s">
        <v>8742</v>
      </c>
      <c r="D2735" s="173" t="s">
        <v>8742</v>
      </c>
      <c r="E2735" s="174" t="s">
        <v>8070</v>
      </c>
      <c r="F2735" s="173" t="s">
        <v>8743</v>
      </c>
      <c r="G2735" s="385" t="s">
        <v>673</v>
      </c>
      <c r="H2735" s="385" t="s">
        <v>2863</v>
      </c>
      <c r="I2735" s="258" t="s">
        <v>8072</v>
      </c>
      <c r="J2735" s="259" t="s">
        <v>739</v>
      </c>
      <c r="K2735" s="260" t="s">
        <v>8744</v>
      </c>
      <c r="L2735" s="386"/>
      <c r="M2735" s="387"/>
      <c r="N2735" s="173" t="s">
        <v>679</v>
      </c>
      <c r="O2735" s="173" t="s">
        <v>225</v>
      </c>
      <c r="P2735" s="262" t="str">
        <f t="shared" si="1"/>
        <v>IN-BLR-ANANTA-EM-282_G</v>
      </c>
      <c r="Q2735" s="173" t="s">
        <v>8745</v>
      </c>
      <c r="R2735" s="328" t="str">
        <f>IFS(C2735="","",C2735="n/a","N/A",LEN(C2735),Concatenate("{",char(34),"asset",char(34),":{",char(34),"guid",char(34),":",char(34),Q2735,char(34),",",char(34),"site",char(34),":",char(34),LOWER('2-Building'!$B$4),char(34),",",char(34),"name",char(34),":",char(34),LOWER(C2735),char(34),"}}"))</f>
        <v>{"asset":{"guid":"uuid://f00f7588-838c-4130-a8e3-d461596719ae","site":"in-blr-ananta","name":"em-282"}}</v>
      </c>
      <c r="S2735" s="366" t="s">
        <v>8581</v>
      </c>
      <c r="T2735" s="388"/>
      <c r="U2735" s="388"/>
      <c r="V2735" s="389"/>
      <c r="W2735" s="390"/>
      <c r="X2735" s="391"/>
      <c r="Y2735" s="33" t="s">
        <v>8076</v>
      </c>
      <c r="Z2735" s="392"/>
      <c r="AA2735" s="391"/>
      <c r="AB2735" s="258"/>
      <c r="AC2735" s="391"/>
      <c r="AD2735" s="387"/>
      <c r="AE2735" s="389"/>
      <c r="AF2735" s="393"/>
      <c r="AG2735" s="391"/>
      <c r="AH2735" s="391"/>
      <c r="AI2735" s="391"/>
      <c r="AJ2735" s="391"/>
      <c r="AK2735" s="391"/>
      <c r="AL2735" s="391"/>
      <c r="AM2735" s="391"/>
      <c r="AN2735" s="391"/>
      <c r="AO2735" s="391"/>
      <c r="AP2735" s="391"/>
      <c r="AQ2735" s="391"/>
      <c r="AR2735" s="391"/>
      <c r="AS2735" s="391"/>
      <c r="AT2735" s="391"/>
      <c r="AU2735" s="387"/>
      <c r="AV2735" s="394"/>
      <c r="AW2735" s="269" t="s">
        <v>1613</v>
      </c>
      <c r="AX2735" s="269" t="s">
        <v>2869</v>
      </c>
      <c r="AY2735" s="270" t="s">
        <v>695</v>
      </c>
      <c r="AZ2735" s="395"/>
      <c r="BA2735" s="265">
        <v>10.0</v>
      </c>
      <c r="BB2735" s="396"/>
      <c r="BC2735" s="394"/>
      <c r="BD2735" s="308" t="s">
        <v>1844</v>
      </c>
      <c r="BE2735" s="397"/>
      <c r="BF2735" s="274" t="str">
        <f>IFERROR(__xludf.DUMMYFUNCTION("LOWER(Regexreplace(to_text(E2735),""[^A-Za-z0-9]"","""")&amp;""_""&amp;Regexreplace(to_text(F2735),""[^A-Za-z0-9]"",""""))"),"schneider_em6400ng")</f>
        <v>schneider_em6400ng</v>
      </c>
      <c r="BG2735" s="275" t="str">
        <f>IFERROR(__xludf.DUMMYFUNCTION("upper(Regexreplace(to_text(E2735),""[^A-Za-z0-9]"","""")&amp;""-""&amp;Regexreplace(to_text(F2735),""[^A-Za-z0-9]"",""""))"),"SCHNEIDER-EM6400NG")</f>
        <v>SCHNEIDER-EM6400NG</v>
      </c>
    </row>
    <row r="2736" ht="30.0" customHeight="1">
      <c r="A2736" s="384"/>
      <c r="B2736" s="385" t="s">
        <v>670</v>
      </c>
      <c r="C2736" s="257" t="s">
        <v>8746</v>
      </c>
      <c r="D2736" s="173" t="s">
        <v>8746</v>
      </c>
      <c r="E2736" s="174" t="s">
        <v>8070</v>
      </c>
      <c r="F2736" s="173" t="s">
        <v>8743</v>
      </c>
      <c r="G2736" s="385" t="s">
        <v>673</v>
      </c>
      <c r="H2736" s="385" t="s">
        <v>2863</v>
      </c>
      <c r="I2736" s="258" t="s">
        <v>8072</v>
      </c>
      <c r="J2736" s="259" t="s">
        <v>739</v>
      </c>
      <c r="K2736" s="260" t="s">
        <v>8744</v>
      </c>
      <c r="L2736" s="386"/>
      <c r="M2736" s="387"/>
      <c r="N2736" s="173" t="s">
        <v>679</v>
      </c>
      <c r="O2736" s="173" t="s">
        <v>225</v>
      </c>
      <c r="P2736" s="262" t="str">
        <f t="shared" si="1"/>
        <v>IN-BLR-ANANTA-EM-283_G</v>
      </c>
      <c r="Q2736" s="173" t="s">
        <v>8747</v>
      </c>
      <c r="R2736" s="328" t="str">
        <f>IFS(C2736="","",C2736="n/a","N/A",LEN(C2736),Concatenate("{",char(34),"asset",char(34),":{",char(34),"guid",char(34),":",char(34),Q2736,char(34),",",char(34),"site",char(34),":",char(34),LOWER('2-Building'!$B$4),char(34),",",char(34),"name",char(34),":",char(34),LOWER(C2736),char(34),"}}"))</f>
        <v>{"asset":{"guid":"uuid://a4f251c2-2d6b-4997-b9a8-7a8892491d11","site":"in-blr-ananta","name":"em-283"}}</v>
      </c>
      <c r="S2736" s="366" t="s">
        <v>8581</v>
      </c>
      <c r="T2736" s="388"/>
      <c r="U2736" s="388"/>
      <c r="V2736" s="389"/>
      <c r="W2736" s="390"/>
      <c r="X2736" s="391"/>
      <c r="Y2736" s="33" t="s">
        <v>8076</v>
      </c>
      <c r="Z2736" s="392"/>
      <c r="AA2736" s="391"/>
      <c r="AB2736" s="258"/>
      <c r="AC2736" s="391"/>
      <c r="AD2736" s="387"/>
      <c r="AE2736" s="389"/>
      <c r="AF2736" s="393"/>
      <c r="AG2736" s="391"/>
      <c r="AH2736" s="391"/>
      <c r="AI2736" s="391"/>
      <c r="AJ2736" s="391"/>
      <c r="AK2736" s="391"/>
      <c r="AL2736" s="391"/>
      <c r="AM2736" s="391"/>
      <c r="AN2736" s="391"/>
      <c r="AO2736" s="391"/>
      <c r="AP2736" s="391"/>
      <c r="AQ2736" s="391"/>
      <c r="AR2736" s="391"/>
      <c r="AS2736" s="391"/>
      <c r="AT2736" s="391"/>
      <c r="AU2736" s="387"/>
      <c r="AV2736" s="394"/>
      <c r="AW2736" s="269" t="s">
        <v>1613</v>
      </c>
      <c r="AX2736" s="269" t="s">
        <v>2869</v>
      </c>
      <c r="AY2736" s="270" t="s">
        <v>695</v>
      </c>
      <c r="AZ2736" s="395"/>
      <c r="BA2736" s="265">
        <v>10.0</v>
      </c>
      <c r="BB2736" s="396"/>
      <c r="BC2736" s="394"/>
      <c r="BD2736" s="308" t="s">
        <v>1844</v>
      </c>
      <c r="BE2736" s="397"/>
      <c r="BF2736" s="274" t="str">
        <f>IFERROR(__xludf.DUMMYFUNCTION("LOWER(Regexreplace(to_text(E2736),""[^A-Za-z0-9]"","""")&amp;""_""&amp;Regexreplace(to_text(F2736),""[^A-Za-z0-9]"",""""))"),"schneider_em6400ng")</f>
        <v>schneider_em6400ng</v>
      </c>
      <c r="BG2736" s="275" t="str">
        <f>IFERROR(__xludf.DUMMYFUNCTION("upper(Regexreplace(to_text(E2736),""[^A-Za-z0-9]"","""")&amp;""-""&amp;Regexreplace(to_text(F2736),""[^A-Za-z0-9]"",""""))"),"SCHNEIDER-EM6400NG")</f>
        <v>SCHNEIDER-EM6400NG</v>
      </c>
    </row>
    <row r="2737" ht="30.0" customHeight="1">
      <c r="A2737" s="384"/>
      <c r="B2737" s="385" t="s">
        <v>670</v>
      </c>
      <c r="C2737" s="257" t="s">
        <v>8748</v>
      </c>
      <c r="D2737" s="173" t="s">
        <v>8748</v>
      </c>
      <c r="E2737" s="174" t="s">
        <v>8070</v>
      </c>
      <c r="F2737" s="173" t="s">
        <v>8743</v>
      </c>
      <c r="G2737" s="385" t="s">
        <v>673</v>
      </c>
      <c r="H2737" s="385" t="s">
        <v>2863</v>
      </c>
      <c r="I2737" s="258" t="s">
        <v>8072</v>
      </c>
      <c r="J2737" s="259" t="s">
        <v>739</v>
      </c>
      <c r="K2737" s="260" t="s">
        <v>8744</v>
      </c>
      <c r="L2737" s="386"/>
      <c r="M2737" s="387"/>
      <c r="N2737" s="173" t="s">
        <v>679</v>
      </c>
      <c r="O2737" s="173" t="s">
        <v>225</v>
      </c>
      <c r="P2737" s="262" t="str">
        <f t="shared" si="1"/>
        <v>IN-BLR-ANANTA-EM-284_G</v>
      </c>
      <c r="Q2737" s="173" t="s">
        <v>8749</v>
      </c>
      <c r="R2737" s="328" t="str">
        <f>IFS(C2737="","",C2737="n/a","N/A",LEN(C2737),Concatenate("{",char(34),"asset",char(34),":{",char(34),"guid",char(34),":",char(34),Q2737,char(34),",",char(34),"site",char(34),":",char(34),LOWER('2-Building'!$B$4),char(34),",",char(34),"name",char(34),":",char(34),LOWER(C2737),char(34),"}}"))</f>
        <v>{"asset":{"guid":"uuid://aae545d4-5e8f-4fe3-bf02-a2c8325f8d1b","site":"in-blr-ananta","name":"em-284"}}</v>
      </c>
      <c r="S2737" s="366" t="s">
        <v>8581</v>
      </c>
      <c r="T2737" s="388"/>
      <c r="U2737" s="388"/>
      <c r="V2737" s="389"/>
      <c r="W2737" s="390"/>
      <c r="X2737" s="391"/>
      <c r="Y2737" s="33" t="s">
        <v>8076</v>
      </c>
      <c r="Z2737" s="392"/>
      <c r="AA2737" s="391"/>
      <c r="AB2737" s="258"/>
      <c r="AC2737" s="391"/>
      <c r="AD2737" s="387"/>
      <c r="AE2737" s="389"/>
      <c r="AF2737" s="393"/>
      <c r="AG2737" s="391"/>
      <c r="AH2737" s="391"/>
      <c r="AI2737" s="391"/>
      <c r="AJ2737" s="391"/>
      <c r="AK2737" s="391"/>
      <c r="AL2737" s="391"/>
      <c r="AM2737" s="391"/>
      <c r="AN2737" s="391"/>
      <c r="AO2737" s="391"/>
      <c r="AP2737" s="391"/>
      <c r="AQ2737" s="391"/>
      <c r="AR2737" s="391"/>
      <c r="AS2737" s="391"/>
      <c r="AT2737" s="391"/>
      <c r="AU2737" s="387"/>
      <c r="AV2737" s="394"/>
      <c r="AW2737" s="269" t="s">
        <v>1613</v>
      </c>
      <c r="AX2737" s="269" t="s">
        <v>2869</v>
      </c>
      <c r="AY2737" s="270" t="s">
        <v>695</v>
      </c>
      <c r="AZ2737" s="395"/>
      <c r="BA2737" s="265">
        <v>10.0</v>
      </c>
      <c r="BB2737" s="396"/>
      <c r="BC2737" s="394"/>
      <c r="BD2737" s="308" t="s">
        <v>1844</v>
      </c>
      <c r="BE2737" s="397"/>
      <c r="BF2737" s="274" t="str">
        <f>IFERROR(__xludf.DUMMYFUNCTION("LOWER(Regexreplace(to_text(E2737),""[^A-Za-z0-9]"","""")&amp;""_""&amp;Regexreplace(to_text(F2737),""[^A-Za-z0-9]"",""""))"),"schneider_em6400ng")</f>
        <v>schneider_em6400ng</v>
      </c>
      <c r="BG2737" s="275" t="str">
        <f>IFERROR(__xludf.DUMMYFUNCTION("upper(Regexreplace(to_text(E2737),""[^A-Za-z0-9]"","""")&amp;""-""&amp;Regexreplace(to_text(F2737),""[^A-Za-z0-9]"",""""))"),"SCHNEIDER-EM6400NG")</f>
        <v>SCHNEIDER-EM6400NG</v>
      </c>
    </row>
    <row r="2738" ht="30.0" customHeight="1">
      <c r="A2738" s="398"/>
      <c r="B2738" s="399" t="s">
        <v>670</v>
      </c>
      <c r="C2738" s="400" t="s">
        <v>8750</v>
      </c>
      <c r="D2738" s="401" t="s">
        <v>8750</v>
      </c>
      <c r="E2738" s="402" t="s">
        <v>8070</v>
      </c>
      <c r="F2738" s="401" t="s">
        <v>8579</v>
      </c>
      <c r="G2738" s="399" t="s">
        <v>673</v>
      </c>
      <c r="H2738" s="399" t="s">
        <v>2863</v>
      </c>
      <c r="I2738" s="398" t="s">
        <v>8072</v>
      </c>
      <c r="J2738" s="403"/>
      <c r="K2738" s="404"/>
      <c r="L2738" s="405"/>
      <c r="M2738" s="406"/>
      <c r="N2738" s="401" t="s">
        <v>679</v>
      </c>
      <c r="O2738" s="401" t="s">
        <v>225</v>
      </c>
      <c r="P2738" s="407" t="str">
        <f t="shared" si="1"/>
        <v>IN-BLR-ANANTA-EM-285_</v>
      </c>
      <c r="Q2738" s="401" t="s">
        <v>8751</v>
      </c>
      <c r="R2738" s="399" t="str">
        <f>IFS(C2738="","",C2738="n/a","N/A",LEN(C2738),Concatenate("{",char(34),"asset",char(34),":{",char(34),"guid",char(34),":",char(34),Q2738,char(34),",",char(34),"site",char(34),":",char(34),LOWER('2-Building'!$B$4),char(34),",",char(34),"name",char(34),":",char(34),LOWER(C2738),char(34),"}}"))</f>
        <v>{"asset":{"guid":"uuid://c9fb2b1b-352e-4d79-9508-7734b4c75399","site":"in-blr-ananta","name":"em-285"}}</v>
      </c>
      <c r="S2738" s="408" t="s">
        <v>8581</v>
      </c>
      <c r="T2738" s="409"/>
      <c r="U2738" s="409"/>
      <c r="V2738" s="410"/>
      <c r="W2738" s="411"/>
      <c r="X2738" s="412"/>
      <c r="Y2738" s="33" t="s">
        <v>8076</v>
      </c>
      <c r="Z2738" s="413"/>
      <c r="AA2738" s="412"/>
      <c r="AB2738" s="258"/>
      <c r="AC2738" s="412"/>
      <c r="AD2738" s="406"/>
      <c r="AE2738" s="410"/>
      <c r="AF2738" s="414"/>
      <c r="AG2738" s="412"/>
      <c r="AH2738" s="412"/>
      <c r="AI2738" s="412"/>
      <c r="AJ2738" s="412"/>
      <c r="AK2738" s="412"/>
      <c r="AL2738" s="412"/>
      <c r="AM2738" s="412"/>
      <c r="AN2738" s="412"/>
      <c r="AO2738" s="412"/>
      <c r="AP2738" s="412"/>
      <c r="AQ2738" s="412"/>
      <c r="AR2738" s="412"/>
      <c r="AS2738" s="412"/>
      <c r="AT2738" s="412"/>
      <c r="AU2738" s="406"/>
      <c r="AV2738" s="415"/>
      <c r="AW2738" s="416"/>
      <c r="AX2738" s="416" t="s">
        <v>2869</v>
      </c>
      <c r="AY2738" s="417" t="s">
        <v>695</v>
      </c>
      <c r="AZ2738" s="418"/>
      <c r="BA2738" s="419">
        <v>10.0</v>
      </c>
      <c r="BB2738" s="420"/>
      <c r="BC2738" s="415"/>
      <c r="BD2738" s="421" t="s">
        <v>1844</v>
      </c>
      <c r="BE2738" s="422" t="s">
        <v>3209</v>
      </c>
      <c r="BF2738" s="423" t="str">
        <f>IFERROR(__xludf.DUMMYFUNCTION("LOWER(Regexreplace(to_text(E2738),""[^A-Za-z0-9]"","""")&amp;""_""&amp;Regexreplace(to_text(F2738),""[^A-Za-z0-9]"",""""))"),"schneider_pm1130h")</f>
        <v>schneider_pm1130h</v>
      </c>
      <c r="BG2738" s="424" t="str">
        <f>IFERROR(__xludf.DUMMYFUNCTION("upper(Regexreplace(to_text(E2738),""[^A-Za-z0-9]"","""")&amp;""-""&amp;Regexreplace(to_text(F2738),""[^A-Za-z0-9]"",""""))"),"SCHNEIDER-PM1130H")</f>
        <v>SCHNEIDER-PM1130H</v>
      </c>
    </row>
    <row r="2739" ht="30.0" customHeight="1">
      <c r="A2739" s="398"/>
      <c r="B2739" s="399" t="s">
        <v>670</v>
      </c>
      <c r="C2739" s="400" t="s">
        <v>8752</v>
      </c>
      <c r="D2739" s="401" t="s">
        <v>8752</v>
      </c>
      <c r="E2739" s="402" t="s">
        <v>8070</v>
      </c>
      <c r="F2739" s="401" t="s">
        <v>8579</v>
      </c>
      <c r="G2739" s="399" t="s">
        <v>673</v>
      </c>
      <c r="H2739" s="399" t="s">
        <v>2863</v>
      </c>
      <c r="I2739" s="398" t="s">
        <v>8072</v>
      </c>
      <c r="J2739" s="403"/>
      <c r="K2739" s="404"/>
      <c r="L2739" s="405"/>
      <c r="M2739" s="406"/>
      <c r="N2739" s="401" t="s">
        <v>679</v>
      </c>
      <c r="O2739" s="401" t="s">
        <v>225</v>
      </c>
      <c r="P2739" s="407" t="str">
        <f t="shared" si="1"/>
        <v>IN-BLR-ANANTA-EM-286_</v>
      </c>
      <c r="Q2739" s="401" t="s">
        <v>8753</v>
      </c>
      <c r="R2739" s="399" t="str">
        <f>IFS(C2739="","",C2739="n/a","N/A",LEN(C2739),Concatenate("{",char(34),"asset",char(34),":{",char(34),"guid",char(34),":",char(34),Q2739,char(34),",",char(34),"site",char(34),":",char(34),LOWER('2-Building'!$B$4),char(34),",",char(34),"name",char(34),":",char(34),LOWER(C2739),char(34),"}}"))</f>
        <v>{"asset":{"guid":"uuid://dec4ffbb-e943-4a81-aa1c-945147f0765a","site":"in-blr-ananta","name":"em-286"}}</v>
      </c>
      <c r="S2739" s="408" t="s">
        <v>8581</v>
      </c>
      <c r="T2739" s="409"/>
      <c r="U2739" s="409"/>
      <c r="V2739" s="410"/>
      <c r="W2739" s="411"/>
      <c r="X2739" s="412"/>
      <c r="Y2739" s="33" t="s">
        <v>8076</v>
      </c>
      <c r="Z2739" s="413"/>
      <c r="AA2739" s="412"/>
      <c r="AB2739" s="258"/>
      <c r="AC2739" s="412"/>
      <c r="AD2739" s="406"/>
      <c r="AE2739" s="410"/>
      <c r="AF2739" s="414"/>
      <c r="AG2739" s="412"/>
      <c r="AH2739" s="412"/>
      <c r="AI2739" s="412"/>
      <c r="AJ2739" s="412"/>
      <c r="AK2739" s="412"/>
      <c r="AL2739" s="412"/>
      <c r="AM2739" s="412"/>
      <c r="AN2739" s="412"/>
      <c r="AO2739" s="412"/>
      <c r="AP2739" s="412"/>
      <c r="AQ2739" s="412"/>
      <c r="AR2739" s="412"/>
      <c r="AS2739" s="412"/>
      <c r="AT2739" s="412"/>
      <c r="AU2739" s="406"/>
      <c r="AV2739" s="415"/>
      <c r="AW2739" s="416"/>
      <c r="AX2739" s="416" t="s">
        <v>2869</v>
      </c>
      <c r="AY2739" s="417" t="s">
        <v>695</v>
      </c>
      <c r="AZ2739" s="418"/>
      <c r="BA2739" s="419">
        <v>10.0</v>
      </c>
      <c r="BB2739" s="420"/>
      <c r="BC2739" s="415"/>
      <c r="BD2739" s="421" t="s">
        <v>1844</v>
      </c>
      <c r="BE2739" s="422" t="s">
        <v>3209</v>
      </c>
      <c r="BF2739" s="423" t="str">
        <f>IFERROR(__xludf.DUMMYFUNCTION("LOWER(Regexreplace(to_text(E2739),""[^A-Za-z0-9]"","""")&amp;""_""&amp;Regexreplace(to_text(F2739),""[^A-Za-z0-9]"",""""))"),"schneider_pm1130h")</f>
        <v>schneider_pm1130h</v>
      </c>
      <c r="BG2739" s="424" t="str">
        <f>IFERROR(__xludf.DUMMYFUNCTION("upper(Regexreplace(to_text(E2739),""[^A-Za-z0-9]"","""")&amp;""-""&amp;Regexreplace(to_text(F2739),""[^A-Za-z0-9]"",""""))"),"SCHNEIDER-PM1130H")</f>
        <v>SCHNEIDER-PM1130H</v>
      </c>
    </row>
    <row r="2740" ht="30.0" customHeight="1">
      <c r="A2740" s="278"/>
      <c r="B2740" s="296" t="s">
        <v>670</v>
      </c>
      <c r="C2740" s="257" t="s">
        <v>8754</v>
      </c>
      <c r="D2740" s="173" t="s">
        <v>8754</v>
      </c>
      <c r="E2740" s="174" t="s">
        <v>8070</v>
      </c>
      <c r="F2740" s="173" t="s">
        <v>8579</v>
      </c>
      <c r="G2740" s="296" t="s">
        <v>673</v>
      </c>
      <c r="H2740" s="296" t="s">
        <v>2863</v>
      </c>
      <c r="I2740" s="258" t="s">
        <v>8072</v>
      </c>
      <c r="J2740" s="259" t="s">
        <v>2839</v>
      </c>
      <c r="K2740" s="260" t="s">
        <v>8755</v>
      </c>
      <c r="L2740" s="380"/>
      <c r="M2740" s="370"/>
      <c r="N2740" s="173" t="s">
        <v>679</v>
      </c>
      <c r="O2740" s="173" t="s">
        <v>225</v>
      </c>
      <c r="P2740" s="262" t="str">
        <f t="shared" si="1"/>
        <v>IN-BLR-ANANTA-EM-287_M</v>
      </c>
      <c r="Q2740" s="173" t="s">
        <v>8756</v>
      </c>
      <c r="R2740" s="328" t="str">
        <f>IFS(C2740="","",C2740="n/a","N/A",LEN(C2740),Concatenate("{",char(34),"asset",char(34),":{",char(34),"guid",char(34),":",char(34),Q2740,char(34),",",char(34),"site",char(34),":",char(34),LOWER('2-Building'!$B$4),char(34),",",char(34),"name",char(34),":",char(34),LOWER(C2740),char(34),"}}"))</f>
        <v>{"asset":{"guid":"uuid://13ded2f3-f46d-4e26-a917-d0c7f72a673c","site":"in-blr-ananta","name":"em-287"}}</v>
      </c>
      <c r="S2740" s="366" t="s">
        <v>8581</v>
      </c>
      <c r="T2740" s="371"/>
      <c r="U2740" s="371"/>
      <c r="V2740" s="372"/>
      <c r="W2740" s="373"/>
      <c r="X2740" s="374"/>
      <c r="Y2740" s="33" t="s">
        <v>8076</v>
      </c>
      <c r="Z2740" s="305"/>
      <c r="AA2740" s="374"/>
      <c r="AB2740" s="258">
        <v>1.0</v>
      </c>
      <c r="AC2740" s="374"/>
      <c r="AD2740" s="370"/>
      <c r="AE2740" s="372"/>
      <c r="AF2740" s="375"/>
      <c r="AG2740" s="374"/>
      <c r="AH2740" s="374"/>
      <c r="AI2740" s="374"/>
      <c r="AJ2740" s="374"/>
      <c r="AK2740" s="374"/>
      <c r="AL2740" s="374"/>
      <c r="AM2740" s="374"/>
      <c r="AN2740" s="374"/>
      <c r="AO2740" s="374"/>
      <c r="AP2740" s="374"/>
      <c r="AQ2740" s="374"/>
      <c r="AR2740" s="374"/>
      <c r="AS2740" s="374"/>
      <c r="AT2740" s="374"/>
      <c r="AU2740" s="370"/>
      <c r="AV2740" s="376"/>
      <c r="AW2740" s="269"/>
      <c r="AX2740" s="269" t="s">
        <v>2869</v>
      </c>
      <c r="AY2740" s="270" t="s">
        <v>695</v>
      </c>
      <c r="AZ2740" s="381"/>
      <c r="BA2740" s="265">
        <v>10.0</v>
      </c>
      <c r="BB2740" s="382"/>
      <c r="BC2740" s="376"/>
      <c r="BD2740" s="308" t="s">
        <v>1844</v>
      </c>
      <c r="BE2740" s="383"/>
      <c r="BF2740" s="274" t="str">
        <f>IFERROR(__xludf.DUMMYFUNCTION("LOWER(Regexreplace(to_text(E2740),""[^A-Za-z0-9]"","""")&amp;""_""&amp;Regexreplace(to_text(F2740),""[^A-Za-z0-9]"",""""))"),"schneider_pm1130h")</f>
        <v>schneider_pm1130h</v>
      </c>
      <c r="BG2740" s="275" t="str">
        <f>IFERROR(__xludf.DUMMYFUNCTION("upper(Regexreplace(to_text(E2740),""[^A-Za-z0-9]"","""")&amp;""-""&amp;Regexreplace(to_text(F2740),""[^A-Za-z0-9]"",""""))"),"SCHNEIDER-PM1130H")</f>
        <v>SCHNEIDER-PM1130H</v>
      </c>
    </row>
    <row r="2741" ht="30.0" customHeight="1">
      <c r="A2741" s="258"/>
      <c r="B2741" s="328" t="s">
        <v>670</v>
      </c>
      <c r="C2741" s="257" t="s">
        <v>8757</v>
      </c>
      <c r="D2741" s="173" t="s">
        <v>8757</v>
      </c>
      <c r="E2741" s="174" t="s">
        <v>8070</v>
      </c>
      <c r="F2741" s="173" t="s">
        <v>8579</v>
      </c>
      <c r="G2741" s="328" t="s">
        <v>673</v>
      </c>
      <c r="H2741" s="328" t="s">
        <v>2863</v>
      </c>
      <c r="I2741" s="258" t="s">
        <v>8072</v>
      </c>
      <c r="J2741" s="259" t="s">
        <v>2839</v>
      </c>
      <c r="K2741" s="260" t="s">
        <v>8755</v>
      </c>
      <c r="L2741" s="365"/>
      <c r="M2741" s="329"/>
      <c r="N2741" s="173" t="s">
        <v>679</v>
      </c>
      <c r="O2741" s="173" t="s">
        <v>225</v>
      </c>
      <c r="P2741" s="262" t="str">
        <f t="shared" si="1"/>
        <v>IN-BLR-ANANTA-EM-288_M</v>
      </c>
      <c r="Q2741" s="173" t="s">
        <v>8758</v>
      </c>
      <c r="R2741" s="328" t="str">
        <f>IFS(C2741="","",C2741="n/a","N/A",LEN(C2741),Concatenate("{",char(34),"asset",char(34),":{",char(34),"guid",char(34),":",char(34),Q2741,char(34),",",char(34),"site",char(34),":",char(34),LOWER('2-Building'!$B$4),char(34),",",char(34),"name",char(34),":",char(34),LOWER(C2741),char(34),"}}"))</f>
        <v>{"asset":{"guid":"uuid://74aba57c-e9d3-48b7-ab14-77df86469fdb","site":"in-blr-ananta","name":"em-288"}}</v>
      </c>
      <c r="S2741" s="366" t="s">
        <v>8581</v>
      </c>
      <c r="T2741" s="330"/>
      <c r="U2741" s="330"/>
      <c r="V2741" s="331"/>
      <c r="W2741" s="332"/>
      <c r="X2741" s="333"/>
      <c r="Y2741" s="33" t="s">
        <v>8076</v>
      </c>
      <c r="Z2741" s="368"/>
      <c r="AA2741" s="333"/>
      <c r="AB2741" s="258">
        <v>2.0</v>
      </c>
      <c r="AC2741" s="333"/>
      <c r="AD2741" s="329"/>
      <c r="AE2741" s="331"/>
      <c r="AF2741" s="336"/>
      <c r="AG2741" s="337"/>
      <c r="AH2741" s="333"/>
      <c r="AI2741" s="333"/>
      <c r="AJ2741" s="333"/>
      <c r="AK2741" s="333"/>
      <c r="AL2741" s="333"/>
      <c r="AM2741" s="338"/>
      <c r="AN2741" s="333"/>
      <c r="AO2741" s="333"/>
      <c r="AP2741" s="333"/>
      <c r="AQ2741" s="333"/>
      <c r="AR2741" s="333"/>
      <c r="AS2741" s="333"/>
      <c r="AT2741" s="333"/>
      <c r="AU2741" s="329"/>
      <c r="AV2741" s="341"/>
      <c r="AW2741" s="269"/>
      <c r="AX2741" s="269" t="s">
        <v>2869</v>
      </c>
      <c r="AY2741" s="270" t="s">
        <v>695</v>
      </c>
      <c r="AZ2741" s="379"/>
      <c r="BA2741" s="265">
        <v>10.0</v>
      </c>
      <c r="BB2741" s="367"/>
      <c r="BC2741" s="341"/>
      <c r="BD2741" s="308" t="s">
        <v>1844</v>
      </c>
      <c r="BE2741" s="378"/>
      <c r="BF2741" s="274" t="str">
        <f>IFERROR(__xludf.DUMMYFUNCTION("LOWER(Regexreplace(to_text(E2741),""[^A-Za-z0-9]"","""")&amp;""_""&amp;Regexreplace(to_text(F2741),""[^A-Za-z0-9]"",""""))"),"schneider_pm1130h")</f>
        <v>schneider_pm1130h</v>
      </c>
      <c r="BG2741" s="275" t="str">
        <f>IFERROR(__xludf.DUMMYFUNCTION("upper(Regexreplace(to_text(E2741),""[^A-Za-z0-9]"","""")&amp;""-""&amp;Regexreplace(to_text(F2741),""[^A-Za-z0-9]"",""""))"),"SCHNEIDER-PM1130H")</f>
        <v>SCHNEIDER-PM1130H</v>
      </c>
    </row>
    <row r="2742" ht="30.0" customHeight="1">
      <c r="A2742" s="258"/>
      <c r="B2742" s="328" t="s">
        <v>670</v>
      </c>
      <c r="C2742" s="257" t="s">
        <v>8759</v>
      </c>
      <c r="D2742" s="173" t="s">
        <v>8759</v>
      </c>
      <c r="E2742" s="174" t="s">
        <v>8070</v>
      </c>
      <c r="F2742" s="173" t="s">
        <v>8579</v>
      </c>
      <c r="G2742" s="328" t="s">
        <v>673</v>
      </c>
      <c r="H2742" s="328" t="s">
        <v>2863</v>
      </c>
      <c r="I2742" s="258" t="s">
        <v>8072</v>
      </c>
      <c r="J2742" s="259" t="s">
        <v>2839</v>
      </c>
      <c r="K2742" s="260" t="s">
        <v>8755</v>
      </c>
      <c r="L2742" s="365"/>
      <c r="M2742" s="329"/>
      <c r="N2742" s="173" t="s">
        <v>679</v>
      </c>
      <c r="O2742" s="173" t="s">
        <v>225</v>
      </c>
      <c r="P2742" s="262" t="str">
        <f t="shared" si="1"/>
        <v>IN-BLR-ANANTA-EM-289_M</v>
      </c>
      <c r="Q2742" s="173" t="s">
        <v>8760</v>
      </c>
      <c r="R2742" s="328" t="str">
        <f>IFS(C2742="","",C2742="n/a","N/A",LEN(C2742),Concatenate("{",char(34),"asset",char(34),":{",char(34),"guid",char(34),":",char(34),Q2742,char(34),",",char(34),"site",char(34),":",char(34),LOWER('2-Building'!$B$4),char(34),",",char(34),"name",char(34),":",char(34),LOWER(C2742),char(34),"}}"))</f>
        <v>{"asset":{"guid":"uuid://4d3f67ac-b8ab-473c-ab20-28e55fa0f0ab","site":"in-blr-ananta","name":"em-289"}}</v>
      </c>
      <c r="S2742" s="366" t="s">
        <v>8581</v>
      </c>
      <c r="T2742" s="330"/>
      <c r="U2742" s="330"/>
      <c r="V2742" s="331"/>
      <c r="W2742" s="332"/>
      <c r="X2742" s="333"/>
      <c r="Y2742" s="33" t="s">
        <v>8076</v>
      </c>
      <c r="Z2742" s="368"/>
      <c r="AA2742" s="333"/>
      <c r="AB2742" s="258">
        <v>3.0</v>
      </c>
      <c r="AC2742" s="333"/>
      <c r="AD2742" s="329"/>
      <c r="AE2742" s="331"/>
      <c r="AF2742" s="336"/>
      <c r="AG2742" s="337"/>
      <c r="AH2742" s="333"/>
      <c r="AI2742" s="333"/>
      <c r="AJ2742" s="333"/>
      <c r="AK2742" s="333"/>
      <c r="AL2742" s="333"/>
      <c r="AM2742" s="338"/>
      <c r="AN2742" s="333"/>
      <c r="AO2742" s="333"/>
      <c r="AP2742" s="333"/>
      <c r="AQ2742" s="333"/>
      <c r="AR2742" s="333"/>
      <c r="AS2742" s="333"/>
      <c r="AT2742" s="333"/>
      <c r="AU2742" s="329"/>
      <c r="AV2742" s="341"/>
      <c r="AW2742" s="269"/>
      <c r="AX2742" s="269" t="s">
        <v>2869</v>
      </c>
      <c r="AY2742" s="270" t="s">
        <v>695</v>
      </c>
      <c r="AZ2742" s="379"/>
      <c r="BA2742" s="265">
        <v>10.0</v>
      </c>
      <c r="BB2742" s="367"/>
      <c r="BC2742" s="341"/>
      <c r="BD2742" s="308" t="s">
        <v>1844</v>
      </c>
      <c r="BE2742" s="378"/>
      <c r="BF2742" s="274" t="str">
        <f>IFERROR(__xludf.DUMMYFUNCTION("LOWER(Regexreplace(to_text(E2742),""[^A-Za-z0-9]"","""")&amp;""_""&amp;Regexreplace(to_text(F2742),""[^A-Za-z0-9]"",""""))"),"schneider_pm1130h")</f>
        <v>schneider_pm1130h</v>
      </c>
      <c r="BG2742" s="275" t="str">
        <f>IFERROR(__xludf.DUMMYFUNCTION("upper(Regexreplace(to_text(E2742),""[^A-Za-z0-9]"","""")&amp;""-""&amp;Regexreplace(to_text(F2742),""[^A-Za-z0-9]"",""""))"),"SCHNEIDER-PM1130H")</f>
        <v>SCHNEIDER-PM1130H</v>
      </c>
    </row>
    <row r="2743" ht="30.0" customHeight="1">
      <c r="A2743" s="258"/>
      <c r="B2743" s="328" t="s">
        <v>670</v>
      </c>
      <c r="C2743" s="257" t="s">
        <v>8761</v>
      </c>
      <c r="D2743" s="173" t="s">
        <v>8761</v>
      </c>
      <c r="E2743" s="174" t="s">
        <v>8070</v>
      </c>
      <c r="F2743" s="173" t="s">
        <v>8579</v>
      </c>
      <c r="G2743" s="328" t="s">
        <v>673</v>
      </c>
      <c r="H2743" s="328" t="s">
        <v>2863</v>
      </c>
      <c r="I2743" s="258" t="s">
        <v>8072</v>
      </c>
      <c r="J2743" s="259" t="s">
        <v>2839</v>
      </c>
      <c r="K2743" s="260" t="s">
        <v>8755</v>
      </c>
      <c r="L2743" s="365"/>
      <c r="M2743" s="329"/>
      <c r="N2743" s="173" t="s">
        <v>679</v>
      </c>
      <c r="O2743" s="173" t="s">
        <v>225</v>
      </c>
      <c r="P2743" s="262" t="str">
        <f t="shared" si="1"/>
        <v>IN-BLR-ANANTA-EM-290_M</v>
      </c>
      <c r="Q2743" s="173" t="s">
        <v>8762</v>
      </c>
      <c r="R2743" s="328" t="str">
        <f>IFS(C2743="","",C2743="n/a","N/A",LEN(C2743),Concatenate("{",char(34),"asset",char(34),":{",char(34),"guid",char(34),":",char(34),Q2743,char(34),",",char(34),"site",char(34),":",char(34),LOWER('2-Building'!$B$4),char(34),",",char(34),"name",char(34),":",char(34),LOWER(C2743),char(34),"}}"))</f>
        <v>{"asset":{"guid":"uuid://27ff6eca-c7e7-4b46-8121-f268c84f5a21","site":"in-blr-ananta","name":"em-290"}}</v>
      </c>
      <c r="S2743" s="366" t="s">
        <v>8581</v>
      </c>
      <c r="T2743" s="330"/>
      <c r="U2743" s="330"/>
      <c r="V2743" s="331"/>
      <c r="W2743" s="332"/>
      <c r="X2743" s="333"/>
      <c r="Y2743" s="33" t="s">
        <v>8076</v>
      </c>
      <c r="Z2743" s="368"/>
      <c r="AA2743" s="333"/>
      <c r="AB2743" s="258">
        <v>4.0</v>
      </c>
      <c r="AC2743" s="333"/>
      <c r="AD2743" s="329"/>
      <c r="AE2743" s="331"/>
      <c r="AF2743" s="336"/>
      <c r="AG2743" s="337"/>
      <c r="AH2743" s="333"/>
      <c r="AI2743" s="333"/>
      <c r="AJ2743" s="333"/>
      <c r="AK2743" s="333"/>
      <c r="AL2743" s="333"/>
      <c r="AM2743" s="338"/>
      <c r="AN2743" s="333"/>
      <c r="AO2743" s="333"/>
      <c r="AP2743" s="333"/>
      <c r="AQ2743" s="333"/>
      <c r="AR2743" s="333"/>
      <c r="AS2743" s="333"/>
      <c r="AT2743" s="333"/>
      <c r="AU2743" s="329"/>
      <c r="AV2743" s="341"/>
      <c r="AW2743" s="269"/>
      <c r="AX2743" s="269" t="s">
        <v>2869</v>
      </c>
      <c r="AY2743" s="270" t="s">
        <v>695</v>
      </c>
      <c r="AZ2743" s="379"/>
      <c r="BA2743" s="265">
        <v>10.0</v>
      </c>
      <c r="BB2743" s="367"/>
      <c r="BC2743" s="341"/>
      <c r="BD2743" s="308" t="s">
        <v>1844</v>
      </c>
      <c r="BE2743" s="378"/>
      <c r="BF2743" s="274" t="str">
        <f>IFERROR(__xludf.DUMMYFUNCTION("LOWER(Regexreplace(to_text(E2743),""[^A-Za-z0-9]"","""")&amp;""_""&amp;Regexreplace(to_text(F2743),""[^A-Za-z0-9]"",""""))"),"schneider_pm1130h")</f>
        <v>schneider_pm1130h</v>
      </c>
      <c r="BG2743" s="275" t="str">
        <f>IFERROR(__xludf.DUMMYFUNCTION("upper(Regexreplace(to_text(E2743),""[^A-Za-z0-9]"","""")&amp;""-""&amp;Regexreplace(to_text(F2743),""[^A-Za-z0-9]"",""""))"),"SCHNEIDER-PM1130H")</f>
        <v>SCHNEIDER-PM1130H</v>
      </c>
    </row>
    <row r="2744" ht="30.0" customHeight="1">
      <c r="A2744" s="258"/>
      <c r="B2744" s="328" t="s">
        <v>670</v>
      </c>
      <c r="C2744" s="257" t="s">
        <v>8763</v>
      </c>
      <c r="D2744" s="173" t="s">
        <v>8763</v>
      </c>
      <c r="E2744" s="174" t="s">
        <v>8070</v>
      </c>
      <c r="F2744" s="173" t="s">
        <v>8579</v>
      </c>
      <c r="G2744" s="328" t="s">
        <v>673</v>
      </c>
      <c r="H2744" s="328" t="s">
        <v>2863</v>
      </c>
      <c r="I2744" s="258" t="s">
        <v>8072</v>
      </c>
      <c r="J2744" s="259" t="s">
        <v>2839</v>
      </c>
      <c r="K2744" s="260" t="s">
        <v>8755</v>
      </c>
      <c r="L2744" s="365"/>
      <c r="M2744" s="329"/>
      <c r="N2744" s="173" t="s">
        <v>679</v>
      </c>
      <c r="O2744" s="173" t="s">
        <v>225</v>
      </c>
      <c r="P2744" s="262" t="str">
        <f t="shared" si="1"/>
        <v>IN-BLR-ANANTA-EM-291_M</v>
      </c>
      <c r="Q2744" s="173" t="s">
        <v>8764</v>
      </c>
      <c r="R2744" s="328" t="str">
        <f>IFS(C2744="","",C2744="n/a","N/A",LEN(C2744),Concatenate("{",char(34),"asset",char(34),":{",char(34),"guid",char(34),":",char(34),Q2744,char(34),",",char(34),"site",char(34),":",char(34),LOWER('2-Building'!$B$4),char(34),",",char(34),"name",char(34),":",char(34),LOWER(C2744),char(34),"}}"))</f>
        <v>{"asset":{"guid":"uuid://1d35a788-3dda-47fe-a452-8802f6e946d9","site":"in-blr-ananta","name":"em-291"}}</v>
      </c>
      <c r="S2744" s="366" t="s">
        <v>8581</v>
      </c>
      <c r="T2744" s="330"/>
      <c r="U2744" s="330"/>
      <c r="V2744" s="331"/>
      <c r="W2744" s="332"/>
      <c r="X2744" s="333"/>
      <c r="Y2744" s="33" t="s">
        <v>8076</v>
      </c>
      <c r="Z2744" s="368"/>
      <c r="AA2744" s="333"/>
      <c r="AB2744" s="258">
        <v>5.0</v>
      </c>
      <c r="AC2744" s="333"/>
      <c r="AD2744" s="329"/>
      <c r="AE2744" s="331"/>
      <c r="AF2744" s="336"/>
      <c r="AG2744" s="337"/>
      <c r="AH2744" s="333"/>
      <c r="AI2744" s="333"/>
      <c r="AJ2744" s="333"/>
      <c r="AK2744" s="333"/>
      <c r="AL2744" s="333"/>
      <c r="AM2744" s="338"/>
      <c r="AN2744" s="333"/>
      <c r="AO2744" s="333"/>
      <c r="AP2744" s="333"/>
      <c r="AQ2744" s="333"/>
      <c r="AR2744" s="333"/>
      <c r="AS2744" s="333"/>
      <c r="AT2744" s="333"/>
      <c r="AU2744" s="329"/>
      <c r="AV2744" s="341"/>
      <c r="AW2744" s="269"/>
      <c r="AX2744" s="269" t="s">
        <v>2869</v>
      </c>
      <c r="AY2744" s="270" t="s">
        <v>695</v>
      </c>
      <c r="AZ2744" s="379"/>
      <c r="BA2744" s="265">
        <v>10.0</v>
      </c>
      <c r="BB2744" s="367"/>
      <c r="BC2744" s="341"/>
      <c r="BD2744" s="308" t="s">
        <v>1844</v>
      </c>
      <c r="BE2744" s="378"/>
      <c r="BF2744" s="274" t="str">
        <f>IFERROR(__xludf.DUMMYFUNCTION("LOWER(Regexreplace(to_text(E2744),""[^A-Za-z0-9]"","""")&amp;""_""&amp;Regexreplace(to_text(F2744),""[^A-Za-z0-9]"",""""))"),"schneider_pm1130h")</f>
        <v>schneider_pm1130h</v>
      </c>
      <c r="BG2744" s="275" t="str">
        <f>IFERROR(__xludf.DUMMYFUNCTION("upper(Regexreplace(to_text(E2744),""[^A-Za-z0-9]"","""")&amp;""-""&amp;Regexreplace(to_text(F2744),""[^A-Za-z0-9]"",""""))"),"SCHNEIDER-PM1130H")</f>
        <v>SCHNEIDER-PM1130H</v>
      </c>
    </row>
    <row r="2745" ht="30.0" customHeight="1">
      <c r="A2745" s="258"/>
      <c r="B2745" s="328" t="s">
        <v>670</v>
      </c>
      <c r="C2745" s="257" t="s">
        <v>8765</v>
      </c>
      <c r="D2745" s="173" t="s">
        <v>8765</v>
      </c>
      <c r="E2745" s="174" t="s">
        <v>8070</v>
      </c>
      <c r="F2745" s="173" t="s">
        <v>8579</v>
      </c>
      <c r="G2745" s="328" t="s">
        <v>673</v>
      </c>
      <c r="H2745" s="328" t="s">
        <v>2863</v>
      </c>
      <c r="I2745" s="258" t="s">
        <v>8072</v>
      </c>
      <c r="J2745" s="259" t="s">
        <v>2839</v>
      </c>
      <c r="K2745" s="260" t="s">
        <v>8755</v>
      </c>
      <c r="L2745" s="365"/>
      <c r="M2745" s="329"/>
      <c r="N2745" s="173" t="s">
        <v>679</v>
      </c>
      <c r="O2745" s="173" t="s">
        <v>225</v>
      </c>
      <c r="P2745" s="262" t="str">
        <f t="shared" si="1"/>
        <v>IN-BLR-ANANTA-EM-292_M</v>
      </c>
      <c r="Q2745" s="173" t="s">
        <v>8766</v>
      </c>
      <c r="R2745" s="328" t="str">
        <f>IFS(C2745="","",C2745="n/a","N/A",LEN(C2745),Concatenate("{",char(34),"asset",char(34),":{",char(34),"guid",char(34),":",char(34),Q2745,char(34),",",char(34),"site",char(34),":",char(34),LOWER('2-Building'!$B$4),char(34),",",char(34),"name",char(34),":",char(34),LOWER(C2745),char(34),"}}"))</f>
        <v>{"asset":{"guid":"uuid://8a0d3256-98e9-45ab-9abe-6c9a7be1b39e","site":"in-blr-ananta","name":"em-292"}}</v>
      </c>
      <c r="S2745" s="366" t="s">
        <v>8581</v>
      </c>
      <c r="T2745" s="330"/>
      <c r="U2745" s="330"/>
      <c r="V2745" s="331"/>
      <c r="W2745" s="332"/>
      <c r="X2745" s="333"/>
      <c r="Y2745" s="33" t="s">
        <v>8076</v>
      </c>
      <c r="Z2745" s="368"/>
      <c r="AA2745" s="333"/>
      <c r="AB2745" s="258">
        <v>6.0</v>
      </c>
      <c r="AC2745" s="333"/>
      <c r="AD2745" s="329"/>
      <c r="AE2745" s="331"/>
      <c r="AF2745" s="336"/>
      <c r="AG2745" s="337"/>
      <c r="AH2745" s="333"/>
      <c r="AI2745" s="333"/>
      <c r="AJ2745" s="333"/>
      <c r="AK2745" s="333"/>
      <c r="AL2745" s="333"/>
      <c r="AM2745" s="338"/>
      <c r="AN2745" s="333"/>
      <c r="AO2745" s="333"/>
      <c r="AP2745" s="333"/>
      <c r="AQ2745" s="333"/>
      <c r="AR2745" s="333"/>
      <c r="AS2745" s="333"/>
      <c r="AT2745" s="333"/>
      <c r="AU2745" s="329"/>
      <c r="AV2745" s="341"/>
      <c r="AW2745" s="269"/>
      <c r="AX2745" s="269" t="s">
        <v>2869</v>
      </c>
      <c r="AY2745" s="270" t="s">
        <v>695</v>
      </c>
      <c r="AZ2745" s="379"/>
      <c r="BA2745" s="265">
        <v>10.0</v>
      </c>
      <c r="BB2745" s="367"/>
      <c r="BC2745" s="341"/>
      <c r="BD2745" s="308" t="s">
        <v>1844</v>
      </c>
      <c r="BE2745" s="378"/>
      <c r="BF2745" s="274" t="str">
        <f>IFERROR(__xludf.DUMMYFUNCTION("LOWER(Regexreplace(to_text(E2745),""[^A-Za-z0-9]"","""")&amp;""_""&amp;Regexreplace(to_text(F2745),""[^A-Za-z0-9]"",""""))"),"schneider_pm1130h")</f>
        <v>schneider_pm1130h</v>
      </c>
      <c r="BG2745" s="275" t="str">
        <f>IFERROR(__xludf.DUMMYFUNCTION("upper(Regexreplace(to_text(E2745),""[^A-Za-z0-9]"","""")&amp;""-""&amp;Regexreplace(to_text(F2745),""[^A-Za-z0-9]"",""""))"),"SCHNEIDER-PM1130H")</f>
        <v>SCHNEIDER-PM1130H</v>
      </c>
    </row>
    <row r="2746" ht="30.0" customHeight="1">
      <c r="A2746" s="258"/>
      <c r="B2746" s="328" t="s">
        <v>670</v>
      </c>
      <c r="C2746" s="257" t="s">
        <v>8767</v>
      </c>
      <c r="D2746" s="173" t="s">
        <v>8767</v>
      </c>
      <c r="E2746" s="174" t="s">
        <v>8070</v>
      </c>
      <c r="F2746" s="173" t="s">
        <v>8579</v>
      </c>
      <c r="G2746" s="328" t="s">
        <v>673</v>
      </c>
      <c r="H2746" s="328" t="s">
        <v>2863</v>
      </c>
      <c r="I2746" s="258" t="s">
        <v>8072</v>
      </c>
      <c r="J2746" s="259" t="s">
        <v>2839</v>
      </c>
      <c r="K2746" s="260" t="s">
        <v>8755</v>
      </c>
      <c r="L2746" s="365"/>
      <c r="M2746" s="329"/>
      <c r="N2746" s="173" t="s">
        <v>679</v>
      </c>
      <c r="O2746" s="173" t="s">
        <v>225</v>
      </c>
      <c r="P2746" s="262" t="str">
        <f t="shared" si="1"/>
        <v>IN-BLR-ANANTA-EM-293_M</v>
      </c>
      <c r="Q2746" s="173" t="s">
        <v>8768</v>
      </c>
      <c r="R2746" s="328" t="str">
        <f>IFS(C2746="","",C2746="n/a","N/A",LEN(C2746),Concatenate("{",char(34),"asset",char(34),":{",char(34),"guid",char(34),":",char(34),Q2746,char(34),",",char(34),"site",char(34),":",char(34),LOWER('2-Building'!$B$4),char(34),",",char(34),"name",char(34),":",char(34),LOWER(C2746),char(34),"}}"))</f>
        <v>{"asset":{"guid":"uuid://4698f876-cbb5-4775-813e-a8e9eb342288","site":"in-blr-ananta","name":"em-293"}}</v>
      </c>
      <c r="S2746" s="366" t="s">
        <v>8581</v>
      </c>
      <c r="T2746" s="330"/>
      <c r="U2746" s="330"/>
      <c r="V2746" s="331"/>
      <c r="W2746" s="332"/>
      <c r="X2746" s="333"/>
      <c r="Y2746" s="33" t="s">
        <v>8076</v>
      </c>
      <c r="Z2746" s="368"/>
      <c r="AA2746" s="333"/>
      <c r="AB2746" s="258">
        <v>7.0</v>
      </c>
      <c r="AC2746" s="333"/>
      <c r="AD2746" s="329"/>
      <c r="AE2746" s="331"/>
      <c r="AF2746" s="336"/>
      <c r="AG2746" s="337"/>
      <c r="AH2746" s="333"/>
      <c r="AI2746" s="333"/>
      <c r="AJ2746" s="333"/>
      <c r="AK2746" s="333"/>
      <c r="AL2746" s="333"/>
      <c r="AM2746" s="338"/>
      <c r="AN2746" s="333"/>
      <c r="AO2746" s="333"/>
      <c r="AP2746" s="333"/>
      <c r="AQ2746" s="333"/>
      <c r="AR2746" s="333"/>
      <c r="AS2746" s="333"/>
      <c r="AT2746" s="333"/>
      <c r="AU2746" s="329"/>
      <c r="AV2746" s="341"/>
      <c r="AW2746" s="269"/>
      <c r="AX2746" s="269" t="s">
        <v>2869</v>
      </c>
      <c r="AY2746" s="270" t="s">
        <v>695</v>
      </c>
      <c r="AZ2746" s="379"/>
      <c r="BA2746" s="265">
        <v>10.0</v>
      </c>
      <c r="BB2746" s="367"/>
      <c r="BC2746" s="341"/>
      <c r="BD2746" s="308" t="s">
        <v>1844</v>
      </c>
      <c r="BE2746" s="378"/>
      <c r="BF2746" s="274" t="str">
        <f>IFERROR(__xludf.DUMMYFUNCTION("LOWER(Regexreplace(to_text(E2746),""[^A-Za-z0-9]"","""")&amp;""_""&amp;Regexreplace(to_text(F2746),""[^A-Za-z0-9]"",""""))"),"schneider_pm1130h")</f>
        <v>schneider_pm1130h</v>
      </c>
      <c r="BG2746" s="275" t="str">
        <f>IFERROR(__xludf.DUMMYFUNCTION("upper(Regexreplace(to_text(E2746),""[^A-Za-z0-9]"","""")&amp;""-""&amp;Regexreplace(to_text(F2746),""[^A-Za-z0-9]"",""""))"),"SCHNEIDER-PM1130H")</f>
        <v>SCHNEIDER-PM1130H</v>
      </c>
    </row>
    <row r="2747" ht="30.0" customHeight="1">
      <c r="A2747" s="258"/>
      <c r="B2747" s="328" t="s">
        <v>670</v>
      </c>
      <c r="C2747" s="257" t="s">
        <v>8769</v>
      </c>
      <c r="D2747" s="173" t="s">
        <v>8769</v>
      </c>
      <c r="E2747" s="174" t="s">
        <v>8070</v>
      </c>
      <c r="F2747" s="173" t="s">
        <v>8579</v>
      </c>
      <c r="G2747" s="328" t="s">
        <v>673</v>
      </c>
      <c r="H2747" s="328" t="s">
        <v>2863</v>
      </c>
      <c r="I2747" s="258" t="s">
        <v>8072</v>
      </c>
      <c r="J2747" s="259" t="s">
        <v>2839</v>
      </c>
      <c r="K2747" s="260" t="s">
        <v>8755</v>
      </c>
      <c r="L2747" s="365"/>
      <c r="M2747" s="329"/>
      <c r="N2747" s="173" t="s">
        <v>679</v>
      </c>
      <c r="O2747" s="173" t="s">
        <v>225</v>
      </c>
      <c r="P2747" s="262" t="str">
        <f t="shared" si="1"/>
        <v>IN-BLR-ANANTA-EM-294_M</v>
      </c>
      <c r="Q2747" s="173" t="s">
        <v>8770</v>
      </c>
      <c r="R2747" s="328" t="str">
        <f>IFS(C2747="","",C2747="n/a","N/A",LEN(C2747),Concatenate("{",char(34),"asset",char(34),":{",char(34),"guid",char(34),":",char(34),Q2747,char(34),",",char(34),"site",char(34),":",char(34),LOWER('2-Building'!$B$4),char(34),",",char(34),"name",char(34),":",char(34),LOWER(C2747),char(34),"}}"))</f>
        <v>{"asset":{"guid":"uuid://060deadf-f101-43c8-9e87-7d8dc9b33637","site":"in-blr-ananta","name":"em-294"}}</v>
      </c>
      <c r="S2747" s="366" t="s">
        <v>8581</v>
      </c>
      <c r="T2747" s="330"/>
      <c r="U2747" s="330"/>
      <c r="V2747" s="331"/>
      <c r="W2747" s="332"/>
      <c r="X2747" s="333"/>
      <c r="Y2747" s="33" t="s">
        <v>8076</v>
      </c>
      <c r="Z2747" s="368"/>
      <c r="AA2747" s="333"/>
      <c r="AB2747" s="258">
        <v>8.0</v>
      </c>
      <c r="AC2747" s="333"/>
      <c r="AD2747" s="329"/>
      <c r="AE2747" s="331"/>
      <c r="AF2747" s="336"/>
      <c r="AG2747" s="337"/>
      <c r="AH2747" s="333"/>
      <c r="AI2747" s="333"/>
      <c r="AJ2747" s="333"/>
      <c r="AK2747" s="333"/>
      <c r="AL2747" s="333"/>
      <c r="AM2747" s="338"/>
      <c r="AN2747" s="333"/>
      <c r="AO2747" s="333"/>
      <c r="AP2747" s="333"/>
      <c r="AQ2747" s="333"/>
      <c r="AR2747" s="333"/>
      <c r="AS2747" s="333"/>
      <c r="AT2747" s="333"/>
      <c r="AU2747" s="329"/>
      <c r="AV2747" s="341"/>
      <c r="AW2747" s="269"/>
      <c r="AX2747" s="269" t="s">
        <v>2869</v>
      </c>
      <c r="AY2747" s="270" t="s">
        <v>695</v>
      </c>
      <c r="AZ2747" s="379"/>
      <c r="BA2747" s="265">
        <v>10.0</v>
      </c>
      <c r="BB2747" s="367"/>
      <c r="BC2747" s="341"/>
      <c r="BD2747" s="308" t="s">
        <v>1844</v>
      </c>
      <c r="BE2747" s="378"/>
      <c r="BF2747" s="274" t="str">
        <f>IFERROR(__xludf.DUMMYFUNCTION("LOWER(Regexreplace(to_text(E2747),""[^A-Za-z0-9]"","""")&amp;""_""&amp;Regexreplace(to_text(F2747),""[^A-Za-z0-9]"",""""))"),"schneider_pm1130h")</f>
        <v>schneider_pm1130h</v>
      </c>
      <c r="BG2747" s="275" t="str">
        <f>IFERROR(__xludf.DUMMYFUNCTION("upper(Regexreplace(to_text(E2747),""[^A-Za-z0-9]"","""")&amp;""-""&amp;Regexreplace(to_text(F2747),""[^A-Za-z0-9]"",""""))"),"SCHNEIDER-PM1130H")</f>
        <v>SCHNEIDER-PM1130H</v>
      </c>
    </row>
    <row r="2748" ht="30.0" customHeight="1">
      <c r="A2748" s="258"/>
      <c r="B2748" s="328" t="s">
        <v>670</v>
      </c>
      <c r="C2748" s="257" t="s">
        <v>8771</v>
      </c>
      <c r="D2748" s="173" t="s">
        <v>8771</v>
      </c>
      <c r="E2748" s="174" t="s">
        <v>8070</v>
      </c>
      <c r="F2748" s="173" t="s">
        <v>8579</v>
      </c>
      <c r="G2748" s="328" t="s">
        <v>673</v>
      </c>
      <c r="H2748" s="328" t="s">
        <v>2863</v>
      </c>
      <c r="I2748" s="258" t="s">
        <v>8072</v>
      </c>
      <c r="J2748" s="259" t="s">
        <v>2839</v>
      </c>
      <c r="K2748" s="260" t="s">
        <v>8755</v>
      </c>
      <c r="L2748" s="365"/>
      <c r="M2748" s="329"/>
      <c r="N2748" s="173" t="s">
        <v>679</v>
      </c>
      <c r="O2748" s="173" t="s">
        <v>225</v>
      </c>
      <c r="P2748" s="262" t="str">
        <f t="shared" si="1"/>
        <v>IN-BLR-ANANTA-EM-295_M</v>
      </c>
      <c r="Q2748" s="173" t="s">
        <v>8772</v>
      </c>
      <c r="R2748" s="328" t="str">
        <f>IFS(C2748="","",C2748="n/a","N/A",LEN(C2748),Concatenate("{",char(34),"asset",char(34),":{",char(34),"guid",char(34),":",char(34),Q2748,char(34),",",char(34),"site",char(34),":",char(34),LOWER('2-Building'!$B$4),char(34),",",char(34),"name",char(34),":",char(34),LOWER(C2748),char(34),"}}"))</f>
        <v>{"asset":{"guid":"uuid://ebccdf98-7364-4829-9b94-e6a908a8937c","site":"in-blr-ananta","name":"em-295"}}</v>
      </c>
      <c r="S2748" s="366" t="s">
        <v>8581</v>
      </c>
      <c r="T2748" s="330"/>
      <c r="U2748" s="330"/>
      <c r="V2748" s="331"/>
      <c r="W2748" s="332"/>
      <c r="X2748" s="333"/>
      <c r="Y2748" s="33" t="s">
        <v>8076</v>
      </c>
      <c r="Z2748" s="368"/>
      <c r="AA2748" s="333"/>
      <c r="AB2748" s="258">
        <v>9.0</v>
      </c>
      <c r="AC2748" s="333"/>
      <c r="AD2748" s="329"/>
      <c r="AE2748" s="331"/>
      <c r="AF2748" s="336"/>
      <c r="AG2748" s="337"/>
      <c r="AH2748" s="333"/>
      <c r="AI2748" s="333"/>
      <c r="AJ2748" s="333"/>
      <c r="AK2748" s="333"/>
      <c r="AL2748" s="333"/>
      <c r="AM2748" s="338"/>
      <c r="AN2748" s="333"/>
      <c r="AO2748" s="333"/>
      <c r="AP2748" s="333"/>
      <c r="AQ2748" s="333"/>
      <c r="AR2748" s="333"/>
      <c r="AS2748" s="333"/>
      <c r="AT2748" s="333"/>
      <c r="AU2748" s="329"/>
      <c r="AV2748" s="341"/>
      <c r="AW2748" s="269"/>
      <c r="AX2748" s="269" t="s">
        <v>2869</v>
      </c>
      <c r="AY2748" s="270" t="s">
        <v>695</v>
      </c>
      <c r="AZ2748" s="379"/>
      <c r="BA2748" s="265">
        <v>10.0</v>
      </c>
      <c r="BB2748" s="367"/>
      <c r="BC2748" s="341"/>
      <c r="BD2748" s="308" t="s">
        <v>1844</v>
      </c>
      <c r="BE2748" s="378"/>
      <c r="BF2748" s="274" t="str">
        <f>IFERROR(__xludf.DUMMYFUNCTION("LOWER(Regexreplace(to_text(E2748),""[^A-Za-z0-9]"","""")&amp;""_""&amp;Regexreplace(to_text(F2748),""[^A-Za-z0-9]"",""""))"),"schneider_pm1130h")</f>
        <v>schneider_pm1130h</v>
      </c>
      <c r="BG2748" s="275" t="str">
        <f>IFERROR(__xludf.DUMMYFUNCTION("upper(Regexreplace(to_text(E2748),""[^A-Za-z0-9]"","""")&amp;""-""&amp;Regexreplace(to_text(F2748),""[^A-Za-z0-9]"",""""))"),"SCHNEIDER-PM1130H")</f>
        <v>SCHNEIDER-PM1130H</v>
      </c>
    </row>
    <row r="2749" ht="30.0" customHeight="1">
      <c r="A2749" s="258"/>
      <c r="B2749" s="328" t="s">
        <v>670</v>
      </c>
      <c r="C2749" s="257" t="s">
        <v>8773</v>
      </c>
      <c r="D2749" s="173" t="s">
        <v>8773</v>
      </c>
      <c r="E2749" s="174" t="s">
        <v>8070</v>
      </c>
      <c r="F2749" s="173" t="s">
        <v>8579</v>
      </c>
      <c r="G2749" s="328" t="s">
        <v>673</v>
      </c>
      <c r="H2749" s="328" t="s">
        <v>2863</v>
      </c>
      <c r="I2749" s="258" t="s">
        <v>8072</v>
      </c>
      <c r="J2749" s="259" t="s">
        <v>2839</v>
      </c>
      <c r="K2749" s="260" t="s">
        <v>8755</v>
      </c>
      <c r="L2749" s="365"/>
      <c r="M2749" s="329"/>
      <c r="N2749" s="173" t="s">
        <v>679</v>
      </c>
      <c r="O2749" s="173" t="s">
        <v>225</v>
      </c>
      <c r="P2749" s="262" t="str">
        <f t="shared" si="1"/>
        <v>IN-BLR-ANANTA-EM-296_M</v>
      </c>
      <c r="Q2749" s="173" t="s">
        <v>8774</v>
      </c>
      <c r="R2749" s="328" t="str">
        <f>IFS(C2749="","",C2749="n/a","N/A",LEN(C2749),Concatenate("{",char(34),"asset",char(34),":{",char(34),"guid",char(34),":",char(34),Q2749,char(34),",",char(34),"site",char(34),":",char(34),LOWER('2-Building'!$B$4),char(34),",",char(34),"name",char(34),":",char(34),LOWER(C2749),char(34),"}}"))</f>
        <v>{"asset":{"guid":"uuid://c4fb6f22-a0fb-45db-8683-07cc4d2d8b05","site":"in-blr-ananta","name":"em-296"}}</v>
      </c>
      <c r="S2749" s="366" t="s">
        <v>8581</v>
      </c>
      <c r="T2749" s="330"/>
      <c r="U2749" s="330"/>
      <c r="V2749" s="331"/>
      <c r="W2749" s="332"/>
      <c r="X2749" s="333"/>
      <c r="Y2749" s="33" t="s">
        <v>8076</v>
      </c>
      <c r="Z2749" s="368"/>
      <c r="AA2749" s="333"/>
      <c r="AB2749" s="258">
        <v>10.0</v>
      </c>
      <c r="AC2749" s="333"/>
      <c r="AD2749" s="329"/>
      <c r="AE2749" s="331"/>
      <c r="AF2749" s="336"/>
      <c r="AG2749" s="337"/>
      <c r="AH2749" s="333"/>
      <c r="AI2749" s="333"/>
      <c r="AJ2749" s="333"/>
      <c r="AK2749" s="333"/>
      <c r="AL2749" s="333"/>
      <c r="AM2749" s="338"/>
      <c r="AN2749" s="333"/>
      <c r="AO2749" s="333"/>
      <c r="AP2749" s="333"/>
      <c r="AQ2749" s="333"/>
      <c r="AR2749" s="333"/>
      <c r="AS2749" s="333"/>
      <c r="AT2749" s="333"/>
      <c r="AU2749" s="329"/>
      <c r="AV2749" s="341"/>
      <c r="AW2749" s="269"/>
      <c r="AX2749" s="269" t="s">
        <v>2869</v>
      </c>
      <c r="AY2749" s="270" t="s">
        <v>695</v>
      </c>
      <c r="AZ2749" s="379"/>
      <c r="BA2749" s="265">
        <v>10.0</v>
      </c>
      <c r="BB2749" s="367"/>
      <c r="BC2749" s="341"/>
      <c r="BD2749" s="308" t="s">
        <v>1844</v>
      </c>
      <c r="BE2749" s="378"/>
      <c r="BF2749" s="274" t="str">
        <f>IFERROR(__xludf.DUMMYFUNCTION("LOWER(Regexreplace(to_text(E2749),""[^A-Za-z0-9]"","""")&amp;""_""&amp;Regexreplace(to_text(F2749),""[^A-Za-z0-9]"",""""))"),"schneider_pm1130h")</f>
        <v>schneider_pm1130h</v>
      </c>
      <c r="BG2749" s="275" t="str">
        <f>IFERROR(__xludf.DUMMYFUNCTION("upper(Regexreplace(to_text(E2749),""[^A-Za-z0-9]"","""")&amp;""-""&amp;Regexreplace(to_text(F2749),""[^A-Za-z0-9]"",""""))"),"SCHNEIDER-PM1130H")</f>
        <v>SCHNEIDER-PM1130H</v>
      </c>
    </row>
    <row r="2750" ht="30.0" customHeight="1">
      <c r="A2750" s="258"/>
      <c r="B2750" s="328" t="s">
        <v>670</v>
      </c>
      <c r="C2750" s="257" t="s">
        <v>8775</v>
      </c>
      <c r="D2750" s="173" t="s">
        <v>8775</v>
      </c>
      <c r="E2750" s="174" t="s">
        <v>8070</v>
      </c>
      <c r="F2750" s="173" t="s">
        <v>8579</v>
      </c>
      <c r="G2750" s="328" t="s">
        <v>673</v>
      </c>
      <c r="H2750" s="328" t="s">
        <v>2863</v>
      </c>
      <c r="I2750" s="258" t="s">
        <v>8072</v>
      </c>
      <c r="J2750" s="259" t="s">
        <v>2839</v>
      </c>
      <c r="K2750" s="260" t="s">
        <v>8755</v>
      </c>
      <c r="L2750" s="365"/>
      <c r="M2750" s="329"/>
      <c r="N2750" s="173" t="s">
        <v>679</v>
      </c>
      <c r="O2750" s="173" t="s">
        <v>225</v>
      </c>
      <c r="P2750" s="262" t="str">
        <f t="shared" si="1"/>
        <v>IN-BLR-ANANTA-EM-297_M</v>
      </c>
      <c r="Q2750" s="173" t="s">
        <v>8776</v>
      </c>
      <c r="R2750" s="328" t="str">
        <f>IFS(C2750="","",C2750="n/a","N/A",LEN(C2750),Concatenate("{",char(34),"asset",char(34),":{",char(34),"guid",char(34),":",char(34),Q2750,char(34),",",char(34),"site",char(34),":",char(34),LOWER('2-Building'!$B$4),char(34),",",char(34),"name",char(34),":",char(34),LOWER(C2750),char(34),"}}"))</f>
        <v>{"asset":{"guid":"uuid://b58c1149-2e80-4b24-be4f-503c1bfaaef1","site":"in-blr-ananta","name":"em-297"}}</v>
      </c>
      <c r="S2750" s="366" t="s">
        <v>8581</v>
      </c>
      <c r="T2750" s="330"/>
      <c r="U2750" s="330"/>
      <c r="V2750" s="331"/>
      <c r="W2750" s="332"/>
      <c r="X2750" s="333"/>
      <c r="Y2750" s="33" t="s">
        <v>8076</v>
      </c>
      <c r="Z2750" s="368"/>
      <c r="AA2750" s="333"/>
      <c r="AB2750" s="258">
        <v>11.0</v>
      </c>
      <c r="AC2750" s="333"/>
      <c r="AD2750" s="329"/>
      <c r="AE2750" s="331"/>
      <c r="AF2750" s="336"/>
      <c r="AG2750" s="337"/>
      <c r="AH2750" s="333"/>
      <c r="AI2750" s="333"/>
      <c r="AJ2750" s="333"/>
      <c r="AK2750" s="333"/>
      <c r="AL2750" s="333"/>
      <c r="AM2750" s="338"/>
      <c r="AN2750" s="333"/>
      <c r="AO2750" s="333"/>
      <c r="AP2750" s="333"/>
      <c r="AQ2750" s="333"/>
      <c r="AR2750" s="333"/>
      <c r="AS2750" s="333"/>
      <c r="AT2750" s="333"/>
      <c r="AU2750" s="329"/>
      <c r="AV2750" s="341"/>
      <c r="AW2750" s="269"/>
      <c r="AX2750" s="269" t="s">
        <v>2869</v>
      </c>
      <c r="AY2750" s="270" t="s">
        <v>695</v>
      </c>
      <c r="AZ2750" s="379"/>
      <c r="BA2750" s="265">
        <v>10.0</v>
      </c>
      <c r="BB2750" s="367"/>
      <c r="BC2750" s="341"/>
      <c r="BD2750" s="308" t="s">
        <v>1844</v>
      </c>
      <c r="BE2750" s="378"/>
      <c r="BF2750" s="274" t="str">
        <f>IFERROR(__xludf.DUMMYFUNCTION("LOWER(Regexreplace(to_text(E2750),""[^A-Za-z0-9]"","""")&amp;""_""&amp;Regexreplace(to_text(F2750),""[^A-Za-z0-9]"",""""))"),"schneider_pm1130h")</f>
        <v>schneider_pm1130h</v>
      </c>
      <c r="BG2750" s="275" t="str">
        <f>IFERROR(__xludf.DUMMYFUNCTION("upper(Regexreplace(to_text(E2750),""[^A-Za-z0-9]"","""")&amp;""-""&amp;Regexreplace(to_text(F2750),""[^A-Za-z0-9]"",""""))"),"SCHNEIDER-PM1130H")</f>
        <v>SCHNEIDER-PM1130H</v>
      </c>
    </row>
    <row r="2751" ht="30.0" customHeight="1">
      <c r="A2751" s="258"/>
      <c r="B2751" s="328" t="s">
        <v>670</v>
      </c>
      <c r="C2751" s="257" t="s">
        <v>8777</v>
      </c>
      <c r="D2751" s="173" t="s">
        <v>8777</v>
      </c>
      <c r="E2751" s="174" t="s">
        <v>8070</v>
      </c>
      <c r="F2751" s="173" t="s">
        <v>8579</v>
      </c>
      <c r="G2751" s="328" t="s">
        <v>673</v>
      </c>
      <c r="H2751" s="328" t="s">
        <v>2863</v>
      </c>
      <c r="I2751" s="258" t="s">
        <v>8072</v>
      </c>
      <c r="J2751" s="259" t="s">
        <v>2839</v>
      </c>
      <c r="K2751" s="260" t="s">
        <v>8755</v>
      </c>
      <c r="L2751" s="365"/>
      <c r="M2751" s="329"/>
      <c r="N2751" s="173" t="s">
        <v>679</v>
      </c>
      <c r="O2751" s="173" t="s">
        <v>225</v>
      </c>
      <c r="P2751" s="262" t="str">
        <f t="shared" si="1"/>
        <v>IN-BLR-ANANTA-EM-298_M</v>
      </c>
      <c r="Q2751" s="173" t="s">
        <v>8778</v>
      </c>
      <c r="R2751" s="328" t="str">
        <f>IFS(C2751="","",C2751="n/a","N/A",LEN(C2751),Concatenate("{",char(34),"asset",char(34),":{",char(34),"guid",char(34),":",char(34),Q2751,char(34),",",char(34),"site",char(34),":",char(34),LOWER('2-Building'!$B$4),char(34),",",char(34),"name",char(34),":",char(34),LOWER(C2751),char(34),"}}"))</f>
        <v>{"asset":{"guid":"uuid://bb7cf367-f499-4dfb-95b3-73ba4a07f805","site":"in-blr-ananta","name":"em-298"}}</v>
      </c>
      <c r="S2751" s="366" t="s">
        <v>8581</v>
      </c>
      <c r="T2751" s="330"/>
      <c r="U2751" s="330"/>
      <c r="V2751" s="331"/>
      <c r="W2751" s="332"/>
      <c r="X2751" s="333"/>
      <c r="Y2751" s="33" t="s">
        <v>8076</v>
      </c>
      <c r="Z2751" s="368"/>
      <c r="AA2751" s="333"/>
      <c r="AB2751" s="258">
        <v>12.0</v>
      </c>
      <c r="AC2751" s="333"/>
      <c r="AD2751" s="329"/>
      <c r="AE2751" s="331"/>
      <c r="AF2751" s="336"/>
      <c r="AG2751" s="337"/>
      <c r="AH2751" s="333"/>
      <c r="AI2751" s="333"/>
      <c r="AJ2751" s="333"/>
      <c r="AK2751" s="333"/>
      <c r="AL2751" s="333"/>
      <c r="AM2751" s="338"/>
      <c r="AN2751" s="333"/>
      <c r="AO2751" s="333"/>
      <c r="AP2751" s="333"/>
      <c r="AQ2751" s="333"/>
      <c r="AR2751" s="333"/>
      <c r="AS2751" s="333"/>
      <c r="AT2751" s="333"/>
      <c r="AU2751" s="329"/>
      <c r="AV2751" s="341"/>
      <c r="AW2751" s="269"/>
      <c r="AX2751" s="269" t="s">
        <v>2869</v>
      </c>
      <c r="AY2751" s="270" t="s">
        <v>695</v>
      </c>
      <c r="AZ2751" s="379"/>
      <c r="BA2751" s="265">
        <v>10.0</v>
      </c>
      <c r="BB2751" s="367"/>
      <c r="BC2751" s="341"/>
      <c r="BD2751" s="308" t="s">
        <v>1844</v>
      </c>
      <c r="BE2751" s="378"/>
      <c r="BF2751" s="274" t="str">
        <f>IFERROR(__xludf.DUMMYFUNCTION("LOWER(Regexreplace(to_text(E2751),""[^A-Za-z0-9]"","""")&amp;""_""&amp;Regexreplace(to_text(F2751),""[^A-Za-z0-9]"",""""))"),"schneider_pm1130h")</f>
        <v>schneider_pm1130h</v>
      </c>
      <c r="BG2751" s="275" t="str">
        <f>IFERROR(__xludf.DUMMYFUNCTION("upper(Regexreplace(to_text(E2751),""[^A-Za-z0-9]"","""")&amp;""-""&amp;Regexreplace(to_text(F2751),""[^A-Za-z0-9]"",""""))"),"SCHNEIDER-PM1130H")</f>
        <v>SCHNEIDER-PM1130H</v>
      </c>
    </row>
    <row r="2752" ht="30.0" customHeight="1">
      <c r="A2752" s="258"/>
      <c r="B2752" s="328" t="s">
        <v>670</v>
      </c>
      <c r="C2752" s="257" t="s">
        <v>8779</v>
      </c>
      <c r="D2752" s="173" t="s">
        <v>8779</v>
      </c>
      <c r="E2752" s="174" t="s">
        <v>8070</v>
      </c>
      <c r="F2752" s="173" t="s">
        <v>8579</v>
      </c>
      <c r="G2752" s="328" t="s">
        <v>673</v>
      </c>
      <c r="H2752" s="328" t="s">
        <v>2863</v>
      </c>
      <c r="I2752" s="258" t="s">
        <v>8072</v>
      </c>
      <c r="J2752" s="259" t="s">
        <v>2839</v>
      </c>
      <c r="K2752" s="260" t="s">
        <v>8755</v>
      </c>
      <c r="L2752" s="365"/>
      <c r="M2752" s="329"/>
      <c r="N2752" s="173" t="s">
        <v>679</v>
      </c>
      <c r="O2752" s="173" t="s">
        <v>225</v>
      </c>
      <c r="P2752" s="262" t="str">
        <f t="shared" si="1"/>
        <v>IN-BLR-ANANTA-EM-299_M</v>
      </c>
      <c r="Q2752" s="173" t="s">
        <v>8780</v>
      </c>
      <c r="R2752" s="328" t="str">
        <f>IFS(C2752="","",C2752="n/a","N/A",LEN(C2752),Concatenate("{",char(34),"asset",char(34),":{",char(34),"guid",char(34),":",char(34),Q2752,char(34),",",char(34),"site",char(34),":",char(34),LOWER('2-Building'!$B$4),char(34),",",char(34),"name",char(34),":",char(34),LOWER(C2752),char(34),"}}"))</f>
        <v>{"asset":{"guid":"uuid://98ae492e-3656-4a81-a9c5-ec9ae803c788","site":"in-blr-ananta","name":"em-299"}}</v>
      </c>
      <c r="S2752" s="366" t="s">
        <v>8581</v>
      </c>
      <c r="T2752" s="330"/>
      <c r="U2752" s="330"/>
      <c r="V2752" s="331"/>
      <c r="W2752" s="332"/>
      <c r="X2752" s="333"/>
      <c r="Y2752" s="33" t="s">
        <v>8076</v>
      </c>
      <c r="Z2752" s="368"/>
      <c r="AA2752" s="333"/>
      <c r="AB2752" s="258">
        <v>13.0</v>
      </c>
      <c r="AC2752" s="333"/>
      <c r="AD2752" s="329"/>
      <c r="AE2752" s="331"/>
      <c r="AF2752" s="336"/>
      <c r="AG2752" s="337"/>
      <c r="AH2752" s="333"/>
      <c r="AI2752" s="333"/>
      <c r="AJ2752" s="333"/>
      <c r="AK2752" s="333"/>
      <c r="AL2752" s="333"/>
      <c r="AM2752" s="338"/>
      <c r="AN2752" s="333"/>
      <c r="AO2752" s="333"/>
      <c r="AP2752" s="333"/>
      <c r="AQ2752" s="333"/>
      <c r="AR2752" s="333"/>
      <c r="AS2752" s="333"/>
      <c r="AT2752" s="333"/>
      <c r="AU2752" s="329"/>
      <c r="AV2752" s="341"/>
      <c r="AW2752" s="269"/>
      <c r="AX2752" s="269" t="s">
        <v>2869</v>
      </c>
      <c r="AY2752" s="270" t="s">
        <v>695</v>
      </c>
      <c r="AZ2752" s="379"/>
      <c r="BA2752" s="265">
        <v>10.0</v>
      </c>
      <c r="BB2752" s="367"/>
      <c r="BC2752" s="341"/>
      <c r="BD2752" s="308" t="s">
        <v>1844</v>
      </c>
      <c r="BE2752" s="378"/>
      <c r="BF2752" s="274" t="str">
        <f>IFERROR(__xludf.DUMMYFUNCTION("LOWER(Regexreplace(to_text(E2752),""[^A-Za-z0-9]"","""")&amp;""_""&amp;Regexreplace(to_text(F2752),""[^A-Za-z0-9]"",""""))"),"schneider_pm1130h")</f>
        <v>schneider_pm1130h</v>
      </c>
      <c r="BG2752" s="275" t="str">
        <f>IFERROR(__xludf.DUMMYFUNCTION("upper(Regexreplace(to_text(E2752),""[^A-Za-z0-9]"","""")&amp;""-""&amp;Regexreplace(to_text(F2752),""[^A-Za-z0-9]"",""""))"),"SCHNEIDER-PM1130H")</f>
        <v>SCHNEIDER-PM1130H</v>
      </c>
    </row>
    <row r="2753" ht="30.0" customHeight="1">
      <c r="A2753" s="258"/>
      <c r="B2753" s="328" t="s">
        <v>670</v>
      </c>
      <c r="C2753" s="257" t="s">
        <v>8781</v>
      </c>
      <c r="D2753" s="173" t="s">
        <v>8781</v>
      </c>
      <c r="E2753" s="174" t="s">
        <v>8070</v>
      </c>
      <c r="F2753" s="173" t="s">
        <v>8579</v>
      </c>
      <c r="G2753" s="328" t="s">
        <v>673</v>
      </c>
      <c r="H2753" s="328" t="s">
        <v>2863</v>
      </c>
      <c r="I2753" s="258" t="s">
        <v>8072</v>
      </c>
      <c r="J2753" s="259" t="s">
        <v>2839</v>
      </c>
      <c r="K2753" s="260" t="s">
        <v>8755</v>
      </c>
      <c r="L2753" s="365"/>
      <c r="M2753" s="329"/>
      <c r="N2753" s="173" t="s">
        <v>679</v>
      </c>
      <c r="O2753" s="173" t="s">
        <v>225</v>
      </c>
      <c r="P2753" s="262" t="str">
        <f t="shared" si="1"/>
        <v>IN-BLR-ANANTA-EM-300_M</v>
      </c>
      <c r="Q2753" s="173" t="s">
        <v>8782</v>
      </c>
      <c r="R2753" s="328" t="str">
        <f>IFS(C2753="","",C2753="n/a","N/A",LEN(C2753),Concatenate("{",char(34),"asset",char(34),":{",char(34),"guid",char(34),":",char(34),Q2753,char(34),",",char(34),"site",char(34),":",char(34),LOWER('2-Building'!$B$4),char(34),",",char(34),"name",char(34),":",char(34),LOWER(C2753),char(34),"}}"))</f>
        <v>{"asset":{"guid":"uuid://2d7b3433-286b-4467-9490-cf11478338b2","site":"in-blr-ananta","name":"em-300"}}</v>
      </c>
      <c r="S2753" s="366" t="s">
        <v>8581</v>
      </c>
      <c r="T2753" s="330"/>
      <c r="U2753" s="330"/>
      <c r="V2753" s="331"/>
      <c r="W2753" s="332"/>
      <c r="X2753" s="333"/>
      <c r="Y2753" s="33" t="s">
        <v>8076</v>
      </c>
      <c r="Z2753" s="368"/>
      <c r="AA2753" s="333"/>
      <c r="AB2753" s="258">
        <v>14.0</v>
      </c>
      <c r="AC2753" s="333"/>
      <c r="AD2753" s="329"/>
      <c r="AE2753" s="331"/>
      <c r="AF2753" s="336"/>
      <c r="AG2753" s="337"/>
      <c r="AH2753" s="333"/>
      <c r="AI2753" s="333"/>
      <c r="AJ2753" s="333"/>
      <c r="AK2753" s="333"/>
      <c r="AL2753" s="333"/>
      <c r="AM2753" s="338"/>
      <c r="AN2753" s="333"/>
      <c r="AO2753" s="333"/>
      <c r="AP2753" s="333"/>
      <c r="AQ2753" s="333"/>
      <c r="AR2753" s="333"/>
      <c r="AS2753" s="333"/>
      <c r="AT2753" s="333"/>
      <c r="AU2753" s="329"/>
      <c r="AV2753" s="341"/>
      <c r="AW2753" s="269"/>
      <c r="AX2753" s="269" t="s">
        <v>2869</v>
      </c>
      <c r="AY2753" s="270" t="s">
        <v>695</v>
      </c>
      <c r="AZ2753" s="379"/>
      <c r="BA2753" s="265">
        <v>10.0</v>
      </c>
      <c r="BB2753" s="367"/>
      <c r="BC2753" s="341"/>
      <c r="BD2753" s="308" t="s">
        <v>1844</v>
      </c>
      <c r="BE2753" s="378"/>
      <c r="BF2753" s="274" t="str">
        <f>IFERROR(__xludf.DUMMYFUNCTION("LOWER(Regexreplace(to_text(E2753),""[^A-Za-z0-9]"","""")&amp;""_""&amp;Regexreplace(to_text(F2753),""[^A-Za-z0-9]"",""""))"),"schneider_pm1130h")</f>
        <v>schneider_pm1130h</v>
      </c>
      <c r="BG2753" s="275" t="str">
        <f>IFERROR(__xludf.DUMMYFUNCTION("upper(Regexreplace(to_text(E2753),""[^A-Za-z0-9]"","""")&amp;""-""&amp;Regexreplace(to_text(F2753),""[^A-Za-z0-9]"",""""))"),"SCHNEIDER-PM1130H")</f>
        <v>SCHNEIDER-PM1130H</v>
      </c>
    </row>
    <row r="2754" ht="30.0" customHeight="1">
      <c r="A2754" s="258"/>
      <c r="B2754" s="328" t="s">
        <v>670</v>
      </c>
      <c r="C2754" s="257" t="s">
        <v>8783</v>
      </c>
      <c r="D2754" s="173" t="s">
        <v>8783</v>
      </c>
      <c r="E2754" s="174" t="s">
        <v>8070</v>
      </c>
      <c r="F2754" s="173" t="s">
        <v>8579</v>
      </c>
      <c r="G2754" s="328" t="s">
        <v>673</v>
      </c>
      <c r="H2754" s="328" t="s">
        <v>2863</v>
      </c>
      <c r="I2754" s="258" t="s">
        <v>8072</v>
      </c>
      <c r="J2754" s="259" t="s">
        <v>2839</v>
      </c>
      <c r="K2754" s="260" t="s">
        <v>8755</v>
      </c>
      <c r="L2754" s="365"/>
      <c r="M2754" s="329"/>
      <c r="N2754" s="173" t="s">
        <v>679</v>
      </c>
      <c r="O2754" s="173" t="s">
        <v>225</v>
      </c>
      <c r="P2754" s="262" t="str">
        <f t="shared" si="1"/>
        <v>IN-BLR-ANANTA-EM-301_M</v>
      </c>
      <c r="Q2754" s="173" t="s">
        <v>8784</v>
      </c>
      <c r="R2754" s="328" t="str">
        <f>IFS(C2754="","",C2754="n/a","N/A",LEN(C2754),Concatenate("{",char(34),"asset",char(34),":{",char(34),"guid",char(34),":",char(34),Q2754,char(34),",",char(34),"site",char(34),":",char(34),LOWER('2-Building'!$B$4),char(34),",",char(34),"name",char(34),":",char(34),LOWER(C2754),char(34),"}}"))</f>
        <v>{"asset":{"guid":"uuid://72ffc26c-8f5f-4d35-9dda-f3035e4f1d8f","site":"in-blr-ananta","name":"em-301"}}</v>
      </c>
      <c r="S2754" s="366" t="s">
        <v>8581</v>
      </c>
      <c r="T2754" s="330"/>
      <c r="U2754" s="330"/>
      <c r="V2754" s="331"/>
      <c r="W2754" s="332"/>
      <c r="X2754" s="333"/>
      <c r="Y2754" s="33" t="s">
        <v>8076</v>
      </c>
      <c r="Z2754" s="368"/>
      <c r="AA2754" s="333"/>
      <c r="AB2754" s="258">
        <v>15.0</v>
      </c>
      <c r="AC2754" s="333"/>
      <c r="AD2754" s="329"/>
      <c r="AE2754" s="331"/>
      <c r="AF2754" s="336"/>
      <c r="AG2754" s="337"/>
      <c r="AH2754" s="333"/>
      <c r="AI2754" s="333"/>
      <c r="AJ2754" s="333"/>
      <c r="AK2754" s="333"/>
      <c r="AL2754" s="333"/>
      <c r="AM2754" s="338"/>
      <c r="AN2754" s="333"/>
      <c r="AO2754" s="333"/>
      <c r="AP2754" s="333"/>
      <c r="AQ2754" s="333"/>
      <c r="AR2754" s="333"/>
      <c r="AS2754" s="333"/>
      <c r="AT2754" s="333"/>
      <c r="AU2754" s="329"/>
      <c r="AV2754" s="341"/>
      <c r="AW2754" s="269"/>
      <c r="AX2754" s="269" t="s">
        <v>2869</v>
      </c>
      <c r="AY2754" s="270" t="s">
        <v>695</v>
      </c>
      <c r="AZ2754" s="379"/>
      <c r="BA2754" s="265">
        <v>10.0</v>
      </c>
      <c r="BB2754" s="367"/>
      <c r="BC2754" s="341"/>
      <c r="BD2754" s="308" t="s">
        <v>1844</v>
      </c>
      <c r="BE2754" s="378"/>
      <c r="BF2754" s="274" t="str">
        <f>IFERROR(__xludf.DUMMYFUNCTION("LOWER(Regexreplace(to_text(E2754),""[^A-Za-z0-9]"","""")&amp;""_""&amp;Regexreplace(to_text(F2754),""[^A-Za-z0-9]"",""""))"),"schneider_pm1130h")</f>
        <v>schneider_pm1130h</v>
      </c>
      <c r="BG2754" s="275" t="str">
        <f>IFERROR(__xludf.DUMMYFUNCTION("upper(Regexreplace(to_text(E2754),""[^A-Za-z0-9]"","""")&amp;""-""&amp;Regexreplace(to_text(F2754),""[^A-Za-z0-9]"",""""))"),"SCHNEIDER-PM1130H")</f>
        <v>SCHNEIDER-PM1130H</v>
      </c>
    </row>
    <row r="2755" ht="30.0" customHeight="1">
      <c r="A2755" s="258"/>
      <c r="B2755" s="328" t="s">
        <v>670</v>
      </c>
      <c r="C2755" s="257" t="s">
        <v>8785</v>
      </c>
      <c r="D2755" s="173" t="s">
        <v>8785</v>
      </c>
      <c r="E2755" s="174" t="s">
        <v>8070</v>
      </c>
      <c r="F2755" s="173" t="s">
        <v>8579</v>
      </c>
      <c r="G2755" s="328" t="s">
        <v>673</v>
      </c>
      <c r="H2755" s="328" t="s">
        <v>2863</v>
      </c>
      <c r="I2755" s="258" t="s">
        <v>8072</v>
      </c>
      <c r="J2755" s="259" t="s">
        <v>2839</v>
      </c>
      <c r="K2755" s="260" t="s">
        <v>8755</v>
      </c>
      <c r="L2755" s="365"/>
      <c r="M2755" s="329"/>
      <c r="N2755" s="173" t="s">
        <v>679</v>
      </c>
      <c r="O2755" s="173" t="s">
        <v>225</v>
      </c>
      <c r="P2755" s="262" t="str">
        <f t="shared" si="1"/>
        <v>IN-BLR-ANANTA-EM-302_M</v>
      </c>
      <c r="Q2755" s="173" t="s">
        <v>8786</v>
      </c>
      <c r="R2755" s="328" t="str">
        <f>IFS(C2755="","",C2755="n/a","N/A",LEN(C2755),Concatenate("{",char(34),"asset",char(34),":{",char(34),"guid",char(34),":",char(34),Q2755,char(34),",",char(34),"site",char(34),":",char(34),LOWER('2-Building'!$B$4),char(34),",",char(34),"name",char(34),":",char(34),LOWER(C2755),char(34),"}}"))</f>
        <v>{"asset":{"guid":"uuid://fe133827-df9a-4e47-aa07-07e1492fd3e6","site":"in-blr-ananta","name":"em-302"}}</v>
      </c>
      <c r="S2755" s="366" t="s">
        <v>8581</v>
      </c>
      <c r="T2755" s="330"/>
      <c r="U2755" s="330"/>
      <c r="V2755" s="331"/>
      <c r="W2755" s="332"/>
      <c r="X2755" s="333"/>
      <c r="Y2755" s="33" t="s">
        <v>8076</v>
      </c>
      <c r="Z2755" s="368"/>
      <c r="AA2755" s="333"/>
      <c r="AB2755" s="258">
        <v>16.0</v>
      </c>
      <c r="AC2755" s="333"/>
      <c r="AD2755" s="329"/>
      <c r="AE2755" s="331"/>
      <c r="AF2755" s="336"/>
      <c r="AG2755" s="337"/>
      <c r="AH2755" s="333"/>
      <c r="AI2755" s="333"/>
      <c r="AJ2755" s="333"/>
      <c r="AK2755" s="333"/>
      <c r="AL2755" s="333"/>
      <c r="AM2755" s="338"/>
      <c r="AN2755" s="333"/>
      <c r="AO2755" s="333"/>
      <c r="AP2755" s="333"/>
      <c r="AQ2755" s="333"/>
      <c r="AR2755" s="333"/>
      <c r="AS2755" s="333"/>
      <c r="AT2755" s="333"/>
      <c r="AU2755" s="329"/>
      <c r="AV2755" s="341"/>
      <c r="AW2755" s="269"/>
      <c r="AX2755" s="269" t="s">
        <v>2869</v>
      </c>
      <c r="AY2755" s="270" t="s">
        <v>695</v>
      </c>
      <c r="AZ2755" s="379"/>
      <c r="BA2755" s="265">
        <v>10.0</v>
      </c>
      <c r="BB2755" s="367"/>
      <c r="BC2755" s="341"/>
      <c r="BD2755" s="308" t="s">
        <v>1844</v>
      </c>
      <c r="BE2755" s="378"/>
      <c r="BF2755" s="274" t="str">
        <f>IFERROR(__xludf.DUMMYFUNCTION("LOWER(Regexreplace(to_text(E2755),""[^A-Za-z0-9]"","""")&amp;""_""&amp;Regexreplace(to_text(F2755),""[^A-Za-z0-9]"",""""))"),"schneider_pm1130h")</f>
        <v>schneider_pm1130h</v>
      </c>
      <c r="BG2755" s="275" t="str">
        <f>IFERROR(__xludf.DUMMYFUNCTION("upper(Regexreplace(to_text(E2755),""[^A-Za-z0-9]"","""")&amp;""-""&amp;Regexreplace(to_text(F2755),""[^A-Za-z0-9]"",""""))"),"SCHNEIDER-PM1130H")</f>
        <v>SCHNEIDER-PM1130H</v>
      </c>
    </row>
    <row r="2756" ht="30.0" customHeight="1">
      <c r="A2756" s="258"/>
      <c r="B2756" s="328" t="s">
        <v>670</v>
      </c>
      <c r="C2756" s="257" t="s">
        <v>8787</v>
      </c>
      <c r="D2756" s="173" t="s">
        <v>8787</v>
      </c>
      <c r="E2756" s="174" t="s">
        <v>8070</v>
      </c>
      <c r="F2756" s="173" t="s">
        <v>8579</v>
      </c>
      <c r="G2756" s="328" t="s">
        <v>673</v>
      </c>
      <c r="H2756" s="328" t="s">
        <v>2863</v>
      </c>
      <c r="I2756" s="258" t="s">
        <v>8072</v>
      </c>
      <c r="J2756" s="259" t="s">
        <v>2839</v>
      </c>
      <c r="K2756" s="260" t="s">
        <v>8755</v>
      </c>
      <c r="L2756" s="365"/>
      <c r="M2756" s="329"/>
      <c r="N2756" s="173" t="s">
        <v>679</v>
      </c>
      <c r="O2756" s="173" t="s">
        <v>225</v>
      </c>
      <c r="P2756" s="262" t="str">
        <f t="shared" si="1"/>
        <v>IN-BLR-ANANTA-EM-303_M</v>
      </c>
      <c r="Q2756" s="173" t="s">
        <v>8788</v>
      </c>
      <c r="R2756" s="328" t="str">
        <f>IFS(C2756="","",C2756="n/a","N/A",LEN(C2756),Concatenate("{",char(34),"asset",char(34),":{",char(34),"guid",char(34),":",char(34),Q2756,char(34),",",char(34),"site",char(34),":",char(34),LOWER('2-Building'!$B$4),char(34),",",char(34),"name",char(34),":",char(34),LOWER(C2756),char(34),"}}"))</f>
        <v>{"asset":{"guid":"uuid://1d7127d6-11fb-48c6-a682-cfd7ae55bcf2","site":"in-blr-ananta","name":"em-303"}}</v>
      </c>
      <c r="S2756" s="366" t="s">
        <v>8581</v>
      </c>
      <c r="T2756" s="330"/>
      <c r="U2756" s="330"/>
      <c r="V2756" s="331"/>
      <c r="W2756" s="332"/>
      <c r="X2756" s="333"/>
      <c r="Y2756" s="33" t="s">
        <v>8076</v>
      </c>
      <c r="Z2756" s="368"/>
      <c r="AA2756" s="333"/>
      <c r="AB2756" s="258">
        <v>17.0</v>
      </c>
      <c r="AC2756" s="333"/>
      <c r="AD2756" s="329"/>
      <c r="AE2756" s="331"/>
      <c r="AF2756" s="336"/>
      <c r="AG2756" s="337"/>
      <c r="AH2756" s="333"/>
      <c r="AI2756" s="333"/>
      <c r="AJ2756" s="333"/>
      <c r="AK2756" s="333"/>
      <c r="AL2756" s="333"/>
      <c r="AM2756" s="338"/>
      <c r="AN2756" s="333"/>
      <c r="AO2756" s="333"/>
      <c r="AP2756" s="333"/>
      <c r="AQ2756" s="333"/>
      <c r="AR2756" s="333"/>
      <c r="AS2756" s="333"/>
      <c r="AT2756" s="333"/>
      <c r="AU2756" s="329"/>
      <c r="AV2756" s="341"/>
      <c r="AW2756" s="269"/>
      <c r="AX2756" s="269" t="s">
        <v>2869</v>
      </c>
      <c r="AY2756" s="270" t="s">
        <v>695</v>
      </c>
      <c r="AZ2756" s="379"/>
      <c r="BA2756" s="265">
        <v>10.0</v>
      </c>
      <c r="BB2756" s="367"/>
      <c r="BC2756" s="341"/>
      <c r="BD2756" s="308" t="s">
        <v>1844</v>
      </c>
      <c r="BE2756" s="378"/>
      <c r="BF2756" s="274" t="str">
        <f>IFERROR(__xludf.DUMMYFUNCTION("LOWER(Regexreplace(to_text(E2756),""[^A-Za-z0-9]"","""")&amp;""_""&amp;Regexreplace(to_text(F2756),""[^A-Za-z0-9]"",""""))"),"schneider_pm1130h")</f>
        <v>schneider_pm1130h</v>
      </c>
      <c r="BG2756" s="275" t="str">
        <f>IFERROR(__xludf.DUMMYFUNCTION("upper(Regexreplace(to_text(E2756),""[^A-Za-z0-9]"","""")&amp;""-""&amp;Regexreplace(to_text(F2756),""[^A-Za-z0-9]"",""""))"),"SCHNEIDER-PM1130H")</f>
        <v>SCHNEIDER-PM1130H</v>
      </c>
    </row>
    <row r="2757" ht="30.0" customHeight="1">
      <c r="A2757" s="258"/>
      <c r="B2757" s="328" t="s">
        <v>670</v>
      </c>
      <c r="C2757" s="257" t="s">
        <v>8789</v>
      </c>
      <c r="D2757" s="173" t="s">
        <v>8789</v>
      </c>
      <c r="E2757" s="174" t="s">
        <v>8070</v>
      </c>
      <c r="F2757" s="173" t="s">
        <v>8579</v>
      </c>
      <c r="G2757" s="328" t="s">
        <v>673</v>
      </c>
      <c r="H2757" s="328" t="s">
        <v>2863</v>
      </c>
      <c r="I2757" s="258" t="s">
        <v>8072</v>
      </c>
      <c r="J2757" s="259" t="s">
        <v>2839</v>
      </c>
      <c r="K2757" s="260" t="s">
        <v>8755</v>
      </c>
      <c r="L2757" s="365"/>
      <c r="M2757" s="329"/>
      <c r="N2757" s="173" t="s">
        <v>679</v>
      </c>
      <c r="O2757" s="173" t="s">
        <v>225</v>
      </c>
      <c r="P2757" s="262" t="str">
        <f t="shared" si="1"/>
        <v>IN-BLR-ANANTA-EM-304_M</v>
      </c>
      <c r="Q2757" s="173" t="s">
        <v>8790</v>
      </c>
      <c r="R2757" s="328" t="str">
        <f>IFS(C2757="","",C2757="n/a","N/A",LEN(C2757),Concatenate("{",char(34),"asset",char(34),":{",char(34),"guid",char(34),":",char(34),Q2757,char(34),",",char(34),"site",char(34),":",char(34),LOWER('2-Building'!$B$4),char(34),",",char(34),"name",char(34),":",char(34),LOWER(C2757),char(34),"}}"))</f>
        <v>{"asset":{"guid":"uuid://8743fcb0-1a0b-4ef4-a302-f3c480a2605a","site":"in-blr-ananta","name":"em-304"}}</v>
      </c>
      <c r="S2757" s="366" t="s">
        <v>8581</v>
      </c>
      <c r="T2757" s="330"/>
      <c r="U2757" s="330"/>
      <c r="V2757" s="331"/>
      <c r="W2757" s="332"/>
      <c r="X2757" s="333"/>
      <c r="Y2757" s="33" t="s">
        <v>8076</v>
      </c>
      <c r="Z2757" s="368"/>
      <c r="AA2757" s="333"/>
      <c r="AB2757" s="258">
        <v>18.0</v>
      </c>
      <c r="AC2757" s="333"/>
      <c r="AD2757" s="329"/>
      <c r="AE2757" s="331"/>
      <c r="AF2757" s="336"/>
      <c r="AG2757" s="337"/>
      <c r="AH2757" s="333"/>
      <c r="AI2757" s="333"/>
      <c r="AJ2757" s="333"/>
      <c r="AK2757" s="333"/>
      <c r="AL2757" s="333"/>
      <c r="AM2757" s="338"/>
      <c r="AN2757" s="333"/>
      <c r="AO2757" s="333"/>
      <c r="AP2757" s="333"/>
      <c r="AQ2757" s="333"/>
      <c r="AR2757" s="333"/>
      <c r="AS2757" s="333"/>
      <c r="AT2757" s="333"/>
      <c r="AU2757" s="329"/>
      <c r="AV2757" s="341"/>
      <c r="AW2757" s="269"/>
      <c r="AX2757" s="269" t="s">
        <v>2869</v>
      </c>
      <c r="AY2757" s="270" t="s">
        <v>695</v>
      </c>
      <c r="AZ2757" s="379"/>
      <c r="BA2757" s="265">
        <v>10.0</v>
      </c>
      <c r="BB2757" s="367"/>
      <c r="BC2757" s="341"/>
      <c r="BD2757" s="308" t="s">
        <v>1844</v>
      </c>
      <c r="BE2757" s="378"/>
      <c r="BF2757" s="274" t="str">
        <f>IFERROR(__xludf.DUMMYFUNCTION("LOWER(Regexreplace(to_text(E2757),""[^A-Za-z0-9]"","""")&amp;""_""&amp;Regexreplace(to_text(F2757),""[^A-Za-z0-9]"",""""))"),"schneider_pm1130h")</f>
        <v>schneider_pm1130h</v>
      </c>
      <c r="BG2757" s="275" t="str">
        <f>IFERROR(__xludf.DUMMYFUNCTION("upper(Regexreplace(to_text(E2757),""[^A-Za-z0-9]"","""")&amp;""-""&amp;Regexreplace(to_text(F2757),""[^A-Za-z0-9]"",""""))"),"SCHNEIDER-PM1130H")</f>
        <v>SCHNEIDER-PM1130H</v>
      </c>
    </row>
    <row r="2758" ht="30.0" customHeight="1">
      <c r="A2758" s="258"/>
      <c r="B2758" s="328" t="s">
        <v>670</v>
      </c>
      <c r="C2758" s="257" t="s">
        <v>8791</v>
      </c>
      <c r="D2758" s="173" t="s">
        <v>8791</v>
      </c>
      <c r="E2758" s="174" t="s">
        <v>8070</v>
      </c>
      <c r="F2758" s="173" t="s">
        <v>8078</v>
      </c>
      <c r="G2758" s="328" t="s">
        <v>673</v>
      </c>
      <c r="H2758" s="328" t="s">
        <v>2863</v>
      </c>
      <c r="I2758" s="258" t="s">
        <v>8072</v>
      </c>
      <c r="J2758" s="259" t="s">
        <v>739</v>
      </c>
      <c r="K2758" s="260" t="s">
        <v>8356</v>
      </c>
      <c r="L2758" s="365"/>
      <c r="M2758" s="329"/>
      <c r="N2758" s="173" t="s">
        <v>679</v>
      </c>
      <c r="O2758" s="173" t="s">
        <v>225</v>
      </c>
      <c r="P2758" s="262" t="str">
        <f t="shared" si="1"/>
        <v>IN-BLR-ANANTA-EM-305_G</v>
      </c>
      <c r="Q2758" s="173" t="s">
        <v>8792</v>
      </c>
      <c r="R2758" s="328" t="str">
        <f>IFS(C2758="","",C2758="n/a","N/A",LEN(C2758),Concatenate("{",char(34),"asset",char(34),":{",char(34),"guid",char(34),":",char(34),Q2758,char(34),",",char(34),"site",char(34),":",char(34),LOWER('2-Building'!$B$4),char(34),",",char(34),"name",char(34),":",char(34),LOWER(C2758),char(34),"}}"))</f>
        <v>{"asset":{"guid":"uuid://7c80559d-1cc8-458b-9f1e-18990314bcfc","site":"in-blr-ananta","name":"em-305"}}</v>
      </c>
      <c r="S2758" s="366" t="s">
        <v>8581</v>
      </c>
      <c r="T2758" s="330"/>
      <c r="U2758" s="330"/>
      <c r="V2758" s="331"/>
      <c r="W2758" s="332"/>
      <c r="X2758" s="333"/>
      <c r="Y2758" s="33" t="s">
        <v>8076</v>
      </c>
      <c r="Z2758" s="368"/>
      <c r="AA2758" s="333"/>
      <c r="AB2758" s="258">
        <v>2.0</v>
      </c>
      <c r="AC2758" s="333"/>
      <c r="AD2758" s="329"/>
      <c r="AE2758" s="331"/>
      <c r="AF2758" s="336"/>
      <c r="AG2758" s="337"/>
      <c r="AH2758" s="333"/>
      <c r="AI2758" s="333"/>
      <c r="AJ2758" s="333"/>
      <c r="AK2758" s="333"/>
      <c r="AL2758" s="333"/>
      <c r="AM2758" s="338"/>
      <c r="AN2758" s="333"/>
      <c r="AO2758" s="333"/>
      <c r="AP2758" s="333"/>
      <c r="AQ2758" s="333"/>
      <c r="AR2758" s="333"/>
      <c r="AS2758" s="333"/>
      <c r="AT2758" s="333"/>
      <c r="AU2758" s="329"/>
      <c r="AV2758" s="341"/>
      <c r="AW2758" s="269"/>
      <c r="AX2758" s="269" t="s">
        <v>2869</v>
      </c>
      <c r="AY2758" s="270" t="s">
        <v>695</v>
      </c>
      <c r="AZ2758" s="379"/>
      <c r="BA2758" s="265">
        <v>10.0</v>
      </c>
      <c r="BB2758" s="367"/>
      <c r="BC2758" s="341"/>
      <c r="BD2758" s="308" t="s">
        <v>1844</v>
      </c>
      <c r="BE2758" s="378"/>
      <c r="BF2758" s="274" t="str">
        <f>IFERROR(__xludf.DUMMYFUNCTION("LOWER(Regexreplace(to_text(E2758),""[^A-Za-z0-9]"","""")&amp;""_""&amp;Regexreplace(to_text(F2758),""[^A-Za-z0-9]"",""""))"),"schneider_easylogicem6436hrs")</f>
        <v>schneider_easylogicem6436hrs</v>
      </c>
      <c r="BG2758" s="275" t="str">
        <f>IFERROR(__xludf.DUMMYFUNCTION("upper(Regexreplace(to_text(E2758),""[^A-Za-z0-9]"","""")&amp;""-""&amp;Regexreplace(to_text(F2758),""[^A-Za-z0-9]"",""""))"),"SCHNEIDER-EASYLOGICEM6436HRS")</f>
        <v>SCHNEIDER-EASYLOGICEM6436HRS</v>
      </c>
    </row>
    <row r="2759" ht="30.0" customHeight="1">
      <c r="A2759" s="258"/>
      <c r="B2759" s="328" t="s">
        <v>670</v>
      </c>
      <c r="C2759" s="257" t="s">
        <v>8793</v>
      </c>
      <c r="D2759" s="173" t="s">
        <v>8793</v>
      </c>
      <c r="E2759" s="174" t="s">
        <v>8070</v>
      </c>
      <c r="F2759" s="173" t="s">
        <v>8078</v>
      </c>
      <c r="G2759" s="328" t="s">
        <v>673</v>
      </c>
      <c r="H2759" s="328" t="s">
        <v>2863</v>
      </c>
      <c r="I2759" s="258" t="s">
        <v>8072</v>
      </c>
      <c r="J2759" s="259" t="s">
        <v>846</v>
      </c>
      <c r="K2759" s="260">
        <v>105.0</v>
      </c>
      <c r="L2759" s="365"/>
      <c r="M2759" s="329"/>
      <c r="N2759" s="173" t="s">
        <v>679</v>
      </c>
      <c r="O2759" s="173" t="s">
        <v>225</v>
      </c>
      <c r="P2759" s="262" t="str">
        <f t="shared" si="1"/>
        <v>IN-BLR-ANANTA-EM-306_1</v>
      </c>
      <c r="Q2759" s="173" t="s">
        <v>8794</v>
      </c>
      <c r="R2759" s="328" t="str">
        <f>IFS(C2759="","",C2759="n/a","N/A",LEN(C2759),Concatenate("{",char(34),"asset",char(34),":{",char(34),"guid",char(34),":",char(34),Q2759,char(34),",",char(34),"site",char(34),":",char(34),LOWER('2-Building'!$B$4),char(34),",",char(34),"name",char(34),":",char(34),LOWER(C2759),char(34),"}}"))</f>
        <v>{"asset":{"guid":"uuid://35a201a2-f451-4659-b56b-313fe3679a3b","site":"in-blr-ananta","name":"em-306"}}</v>
      </c>
      <c r="S2759" s="366" t="s">
        <v>8581</v>
      </c>
      <c r="T2759" s="330"/>
      <c r="U2759" s="330"/>
      <c r="V2759" s="331"/>
      <c r="W2759" s="332"/>
      <c r="X2759" s="333"/>
      <c r="Y2759" s="33" t="s">
        <v>8076</v>
      </c>
      <c r="Z2759" s="368"/>
      <c r="AA2759" s="333"/>
      <c r="AB2759" s="258">
        <v>3.0</v>
      </c>
      <c r="AC2759" s="333"/>
      <c r="AD2759" s="329"/>
      <c r="AE2759" s="331"/>
      <c r="AF2759" s="336"/>
      <c r="AG2759" s="337"/>
      <c r="AH2759" s="333"/>
      <c r="AI2759" s="333"/>
      <c r="AJ2759" s="333"/>
      <c r="AK2759" s="333"/>
      <c r="AL2759" s="333"/>
      <c r="AM2759" s="338"/>
      <c r="AN2759" s="333"/>
      <c r="AO2759" s="333"/>
      <c r="AP2759" s="333"/>
      <c r="AQ2759" s="333"/>
      <c r="AR2759" s="333"/>
      <c r="AS2759" s="333"/>
      <c r="AT2759" s="333"/>
      <c r="AU2759" s="329"/>
      <c r="AV2759" s="341"/>
      <c r="AW2759" s="269"/>
      <c r="AX2759" s="269" t="s">
        <v>2869</v>
      </c>
      <c r="AY2759" s="270" t="s">
        <v>695</v>
      </c>
      <c r="AZ2759" s="379"/>
      <c r="BA2759" s="265">
        <v>10.0</v>
      </c>
      <c r="BB2759" s="367"/>
      <c r="BC2759" s="341"/>
      <c r="BD2759" s="308" t="s">
        <v>1844</v>
      </c>
      <c r="BE2759" s="378"/>
      <c r="BF2759" s="274" t="str">
        <f>IFERROR(__xludf.DUMMYFUNCTION("LOWER(Regexreplace(to_text(E2759),""[^A-Za-z0-9]"","""")&amp;""_""&amp;Regexreplace(to_text(F2759),""[^A-Za-z0-9]"",""""))"),"schneider_easylogicem6436hrs")</f>
        <v>schneider_easylogicem6436hrs</v>
      </c>
      <c r="BG2759" s="275" t="str">
        <f>IFERROR(__xludf.DUMMYFUNCTION("upper(Regexreplace(to_text(E2759),""[^A-Za-z0-9]"","""")&amp;""-""&amp;Regexreplace(to_text(F2759),""[^A-Za-z0-9]"",""""))"),"SCHNEIDER-EASYLOGICEM6436HRS")</f>
        <v>SCHNEIDER-EASYLOGICEM6436HRS</v>
      </c>
    </row>
    <row r="2760" ht="30.0" customHeight="1">
      <c r="A2760" s="398"/>
      <c r="B2760" s="399" t="s">
        <v>670</v>
      </c>
      <c r="C2760" s="257" t="s">
        <v>8795</v>
      </c>
      <c r="D2760" s="173" t="s">
        <v>8795</v>
      </c>
      <c r="E2760" s="174" t="s">
        <v>8070</v>
      </c>
      <c r="F2760" s="173" t="s">
        <v>8078</v>
      </c>
      <c r="G2760" s="399" t="s">
        <v>673</v>
      </c>
      <c r="H2760" s="399" t="s">
        <v>2863</v>
      </c>
      <c r="I2760" s="258" t="s">
        <v>8072</v>
      </c>
      <c r="J2760" s="259" t="s">
        <v>846</v>
      </c>
      <c r="K2760" s="260">
        <v>105.0</v>
      </c>
      <c r="L2760" s="405"/>
      <c r="M2760" s="406"/>
      <c r="N2760" s="173" t="s">
        <v>679</v>
      </c>
      <c r="O2760" s="173" t="s">
        <v>225</v>
      </c>
      <c r="P2760" s="407" t="str">
        <f t="shared" si="1"/>
        <v>IN-BLR-ANANTA-EM-307_1</v>
      </c>
      <c r="Q2760" s="173" t="s">
        <v>8796</v>
      </c>
      <c r="R2760" s="399" t="str">
        <f>IFS(C2760="","",C2760="n/a","N/A",LEN(C2760),Concatenate("{",char(34),"asset",char(34),":{",char(34),"guid",char(34),":",char(34),Q2760,char(34),",",char(34),"site",char(34),":",char(34),LOWER('2-Building'!$B$4),char(34),",",char(34),"name",char(34),":",char(34),LOWER(C2760),char(34),"}}"))</f>
        <v>{"asset":{"guid":"uuid://b90af705-e292-4822-8c89-2283abd01936","site":"in-blr-ananta","name":"em-307"}}</v>
      </c>
      <c r="S2760" s="408" t="s">
        <v>8581</v>
      </c>
      <c r="T2760" s="409"/>
      <c r="U2760" s="409"/>
      <c r="V2760" s="410"/>
      <c r="W2760" s="411"/>
      <c r="X2760" s="412"/>
      <c r="Y2760" s="33" t="s">
        <v>8076</v>
      </c>
      <c r="Z2760" s="413"/>
      <c r="AA2760" s="412"/>
      <c r="AB2760" s="258">
        <v>4.0</v>
      </c>
      <c r="AC2760" s="412"/>
      <c r="AD2760" s="406"/>
      <c r="AE2760" s="410"/>
      <c r="AF2760" s="414"/>
      <c r="AG2760" s="412"/>
      <c r="AH2760" s="412"/>
      <c r="AI2760" s="412"/>
      <c r="AJ2760" s="412"/>
      <c r="AK2760" s="412"/>
      <c r="AL2760" s="412"/>
      <c r="AM2760" s="412"/>
      <c r="AN2760" s="412"/>
      <c r="AO2760" s="412"/>
      <c r="AP2760" s="412"/>
      <c r="AQ2760" s="412"/>
      <c r="AR2760" s="412"/>
      <c r="AS2760" s="412"/>
      <c r="AT2760" s="412"/>
      <c r="AU2760" s="406"/>
      <c r="AV2760" s="415"/>
      <c r="AW2760" s="269"/>
      <c r="AX2760" s="269" t="s">
        <v>2869</v>
      </c>
      <c r="AY2760" s="270" t="s">
        <v>695</v>
      </c>
      <c r="AZ2760" s="418"/>
      <c r="BA2760" s="265">
        <v>10.0</v>
      </c>
      <c r="BB2760" s="420"/>
      <c r="BC2760" s="415"/>
      <c r="BD2760" s="308" t="s">
        <v>1844</v>
      </c>
      <c r="BE2760" s="422" t="s">
        <v>3209</v>
      </c>
      <c r="BF2760" s="274" t="str">
        <f>IFERROR(__xludf.DUMMYFUNCTION("LOWER(Regexreplace(to_text(E2760),""[^A-Za-z0-9]"","""")&amp;""_""&amp;Regexreplace(to_text(F2760),""[^A-Za-z0-9]"",""""))"),"schneider_easylogicem6436hrs")</f>
        <v>schneider_easylogicem6436hrs</v>
      </c>
      <c r="BG2760" s="275" t="str">
        <f>IFERROR(__xludf.DUMMYFUNCTION("upper(Regexreplace(to_text(E2760),""[^A-Za-z0-9]"","""")&amp;""-""&amp;Regexreplace(to_text(F2760),""[^A-Za-z0-9]"",""""))"),"SCHNEIDER-EASYLOGICEM6436HRS")</f>
        <v>SCHNEIDER-EASYLOGICEM6436HRS</v>
      </c>
    </row>
    <row r="2761" ht="30.0" customHeight="1">
      <c r="A2761" s="258"/>
      <c r="B2761" s="328" t="s">
        <v>670</v>
      </c>
      <c r="C2761" s="257" t="s">
        <v>8797</v>
      </c>
      <c r="D2761" s="173" t="s">
        <v>8797</v>
      </c>
      <c r="E2761" s="174" t="s">
        <v>8070</v>
      </c>
      <c r="F2761" s="173" t="s">
        <v>8078</v>
      </c>
      <c r="G2761" s="328" t="s">
        <v>673</v>
      </c>
      <c r="H2761" s="328" t="s">
        <v>2863</v>
      </c>
      <c r="I2761" s="258" t="s">
        <v>8072</v>
      </c>
      <c r="J2761" s="259" t="s">
        <v>902</v>
      </c>
      <c r="K2761" s="260">
        <v>205.0</v>
      </c>
      <c r="L2761" s="365"/>
      <c r="M2761" s="329"/>
      <c r="N2761" s="173" t="s">
        <v>679</v>
      </c>
      <c r="O2761" s="173" t="s">
        <v>225</v>
      </c>
      <c r="P2761" s="262" t="str">
        <f t="shared" si="1"/>
        <v>IN-BLR-ANANTA-EM-308_2</v>
      </c>
      <c r="Q2761" s="173" t="s">
        <v>8798</v>
      </c>
      <c r="R2761" s="328" t="str">
        <f>IFS(C2761="","",C2761="n/a","N/A",LEN(C2761),Concatenate("{",char(34),"asset",char(34),":{",char(34),"guid",char(34),":",char(34),Q2761,char(34),",",char(34),"site",char(34),":",char(34),LOWER('2-Building'!$B$4),char(34),",",char(34),"name",char(34),":",char(34),LOWER(C2761),char(34),"}}"))</f>
        <v>{"asset":{"guid":"uuid://bf60f683-3521-4a55-b3cd-8b411b450dd3","site":"in-blr-ananta","name":"em-308"}}</v>
      </c>
      <c r="S2761" s="366" t="s">
        <v>8581</v>
      </c>
      <c r="T2761" s="330"/>
      <c r="U2761" s="330"/>
      <c r="V2761" s="331"/>
      <c r="W2761" s="332"/>
      <c r="X2761" s="333"/>
      <c r="Y2761" s="33" t="s">
        <v>8076</v>
      </c>
      <c r="Z2761" s="368"/>
      <c r="AA2761" s="333"/>
      <c r="AB2761" s="258">
        <v>5.0</v>
      </c>
      <c r="AC2761" s="333"/>
      <c r="AD2761" s="329"/>
      <c r="AE2761" s="331"/>
      <c r="AF2761" s="336"/>
      <c r="AG2761" s="337"/>
      <c r="AH2761" s="333"/>
      <c r="AI2761" s="333"/>
      <c r="AJ2761" s="333"/>
      <c r="AK2761" s="333"/>
      <c r="AL2761" s="333"/>
      <c r="AM2761" s="338"/>
      <c r="AN2761" s="333"/>
      <c r="AO2761" s="333"/>
      <c r="AP2761" s="333"/>
      <c r="AQ2761" s="333"/>
      <c r="AR2761" s="333"/>
      <c r="AS2761" s="333"/>
      <c r="AT2761" s="333"/>
      <c r="AU2761" s="329"/>
      <c r="AV2761" s="341"/>
      <c r="AW2761" s="269"/>
      <c r="AX2761" s="269" t="s">
        <v>2869</v>
      </c>
      <c r="AY2761" s="270" t="s">
        <v>695</v>
      </c>
      <c r="AZ2761" s="379"/>
      <c r="BA2761" s="265">
        <v>10.0</v>
      </c>
      <c r="BB2761" s="367"/>
      <c r="BC2761" s="341"/>
      <c r="BD2761" s="308" t="s">
        <v>1844</v>
      </c>
      <c r="BE2761" s="378"/>
      <c r="BF2761" s="274" t="str">
        <f>IFERROR(__xludf.DUMMYFUNCTION("LOWER(Regexreplace(to_text(E2761),""[^A-Za-z0-9]"","""")&amp;""_""&amp;Regexreplace(to_text(F2761),""[^A-Za-z0-9]"",""""))"),"schneider_easylogicem6436hrs")</f>
        <v>schneider_easylogicem6436hrs</v>
      </c>
      <c r="BG2761" s="275" t="str">
        <f>IFERROR(__xludf.DUMMYFUNCTION("upper(Regexreplace(to_text(E2761),""[^A-Za-z0-9]"","""")&amp;""-""&amp;Regexreplace(to_text(F2761),""[^A-Za-z0-9]"",""""))"),"SCHNEIDER-EASYLOGICEM6436HRS")</f>
        <v>SCHNEIDER-EASYLOGICEM6436HRS</v>
      </c>
    </row>
    <row r="2762" ht="30.0" customHeight="1">
      <c r="A2762" s="258"/>
      <c r="B2762" s="328" t="s">
        <v>670</v>
      </c>
      <c r="C2762" s="257" t="s">
        <v>8799</v>
      </c>
      <c r="D2762" s="173" t="s">
        <v>8799</v>
      </c>
      <c r="E2762" s="174" t="s">
        <v>8070</v>
      </c>
      <c r="F2762" s="173" t="s">
        <v>8078</v>
      </c>
      <c r="G2762" s="328" t="s">
        <v>673</v>
      </c>
      <c r="H2762" s="328" t="s">
        <v>2863</v>
      </c>
      <c r="I2762" s="258" t="s">
        <v>8072</v>
      </c>
      <c r="J2762" s="259" t="s">
        <v>965</v>
      </c>
      <c r="K2762" s="260">
        <v>305.0</v>
      </c>
      <c r="L2762" s="365"/>
      <c r="M2762" s="329"/>
      <c r="N2762" s="173" t="s">
        <v>679</v>
      </c>
      <c r="O2762" s="173" t="s">
        <v>225</v>
      </c>
      <c r="P2762" s="262" t="str">
        <f t="shared" si="1"/>
        <v>IN-BLR-ANANTA-EM-309_3</v>
      </c>
      <c r="Q2762" s="173" t="s">
        <v>8800</v>
      </c>
      <c r="R2762" s="328" t="str">
        <f>IFS(C2762="","",C2762="n/a","N/A",LEN(C2762),Concatenate("{",char(34),"asset",char(34),":{",char(34),"guid",char(34),":",char(34),Q2762,char(34),",",char(34),"site",char(34),":",char(34),LOWER('2-Building'!$B$4),char(34),",",char(34),"name",char(34),":",char(34),LOWER(C2762),char(34),"}}"))</f>
        <v>{"asset":{"guid":"uuid://efeeed9b-d529-4466-b332-72bacb6357f6","site":"in-blr-ananta","name":"em-309"}}</v>
      </c>
      <c r="S2762" s="366" t="s">
        <v>8581</v>
      </c>
      <c r="T2762" s="330"/>
      <c r="U2762" s="330"/>
      <c r="V2762" s="331"/>
      <c r="W2762" s="332"/>
      <c r="X2762" s="333"/>
      <c r="Y2762" s="33" t="s">
        <v>8076</v>
      </c>
      <c r="Z2762" s="368"/>
      <c r="AA2762" s="333"/>
      <c r="AB2762" s="258">
        <v>6.0</v>
      </c>
      <c r="AC2762" s="333"/>
      <c r="AD2762" s="329"/>
      <c r="AE2762" s="331"/>
      <c r="AF2762" s="336"/>
      <c r="AG2762" s="337"/>
      <c r="AH2762" s="333"/>
      <c r="AI2762" s="333"/>
      <c r="AJ2762" s="333"/>
      <c r="AK2762" s="333"/>
      <c r="AL2762" s="333"/>
      <c r="AM2762" s="338"/>
      <c r="AN2762" s="333"/>
      <c r="AO2762" s="333"/>
      <c r="AP2762" s="333"/>
      <c r="AQ2762" s="333"/>
      <c r="AR2762" s="333"/>
      <c r="AS2762" s="333"/>
      <c r="AT2762" s="333"/>
      <c r="AU2762" s="329"/>
      <c r="AV2762" s="341"/>
      <c r="AW2762" s="269"/>
      <c r="AX2762" s="269" t="s">
        <v>2869</v>
      </c>
      <c r="AY2762" s="270" t="s">
        <v>695</v>
      </c>
      <c r="AZ2762" s="379"/>
      <c r="BA2762" s="265">
        <v>10.0</v>
      </c>
      <c r="BB2762" s="367"/>
      <c r="BC2762" s="341"/>
      <c r="BD2762" s="308" t="s">
        <v>1844</v>
      </c>
      <c r="BE2762" s="378"/>
      <c r="BF2762" s="274" t="str">
        <f>IFERROR(__xludf.DUMMYFUNCTION("LOWER(Regexreplace(to_text(E2762),""[^A-Za-z0-9]"","""")&amp;""_""&amp;Regexreplace(to_text(F2762),""[^A-Za-z0-9]"",""""))"),"schneider_easylogicem6436hrs")</f>
        <v>schneider_easylogicem6436hrs</v>
      </c>
      <c r="BG2762" s="275" t="str">
        <f>IFERROR(__xludf.DUMMYFUNCTION("upper(Regexreplace(to_text(E2762),""[^A-Za-z0-9]"","""")&amp;""-""&amp;Regexreplace(to_text(F2762),""[^A-Za-z0-9]"",""""))"),"SCHNEIDER-EASYLOGICEM6436HRS")</f>
        <v>SCHNEIDER-EASYLOGICEM6436HRS</v>
      </c>
    </row>
    <row r="2763" ht="30.0" customHeight="1">
      <c r="A2763" s="258"/>
      <c r="B2763" s="328" t="s">
        <v>670</v>
      </c>
      <c r="C2763" s="257" t="s">
        <v>8801</v>
      </c>
      <c r="D2763" s="173" t="s">
        <v>8801</v>
      </c>
      <c r="E2763" s="174" t="s">
        <v>8070</v>
      </c>
      <c r="F2763" s="173" t="s">
        <v>8078</v>
      </c>
      <c r="G2763" s="328" t="s">
        <v>673</v>
      </c>
      <c r="H2763" s="328" t="s">
        <v>2863</v>
      </c>
      <c r="I2763" s="258" t="s">
        <v>8072</v>
      </c>
      <c r="J2763" s="259" t="s">
        <v>1026</v>
      </c>
      <c r="K2763" s="260">
        <v>405.0</v>
      </c>
      <c r="L2763" s="365"/>
      <c r="M2763" s="329"/>
      <c r="N2763" s="173" t="s">
        <v>679</v>
      </c>
      <c r="O2763" s="173" t="s">
        <v>225</v>
      </c>
      <c r="P2763" s="262" t="str">
        <f t="shared" si="1"/>
        <v>IN-BLR-ANANTA-EM-310_4</v>
      </c>
      <c r="Q2763" s="173" t="s">
        <v>8802</v>
      </c>
      <c r="R2763" s="328" t="str">
        <f>IFS(C2763="","",C2763="n/a","N/A",LEN(C2763),Concatenate("{",char(34),"asset",char(34),":{",char(34),"guid",char(34),":",char(34),Q2763,char(34),",",char(34),"site",char(34),":",char(34),LOWER('2-Building'!$B$4),char(34),",",char(34),"name",char(34),":",char(34),LOWER(C2763),char(34),"}}"))</f>
        <v>{"asset":{"guid":"uuid://b70c8e19-f574-4512-85fb-42b9d0bef591","site":"in-blr-ananta","name":"em-310"}}</v>
      </c>
      <c r="S2763" s="366" t="s">
        <v>8581</v>
      </c>
      <c r="T2763" s="330"/>
      <c r="U2763" s="330"/>
      <c r="V2763" s="331"/>
      <c r="W2763" s="332"/>
      <c r="X2763" s="333"/>
      <c r="Y2763" s="33" t="s">
        <v>8076</v>
      </c>
      <c r="Z2763" s="368"/>
      <c r="AA2763" s="333"/>
      <c r="AB2763" s="258">
        <v>7.0</v>
      </c>
      <c r="AC2763" s="333"/>
      <c r="AD2763" s="329"/>
      <c r="AE2763" s="331"/>
      <c r="AF2763" s="336"/>
      <c r="AG2763" s="337"/>
      <c r="AH2763" s="333"/>
      <c r="AI2763" s="333"/>
      <c r="AJ2763" s="333"/>
      <c r="AK2763" s="333"/>
      <c r="AL2763" s="333"/>
      <c r="AM2763" s="338"/>
      <c r="AN2763" s="333"/>
      <c r="AO2763" s="333"/>
      <c r="AP2763" s="333"/>
      <c r="AQ2763" s="333"/>
      <c r="AR2763" s="333"/>
      <c r="AS2763" s="333"/>
      <c r="AT2763" s="333"/>
      <c r="AU2763" s="329"/>
      <c r="AV2763" s="341"/>
      <c r="AW2763" s="269"/>
      <c r="AX2763" s="269" t="s">
        <v>2869</v>
      </c>
      <c r="AY2763" s="270" t="s">
        <v>695</v>
      </c>
      <c r="AZ2763" s="379"/>
      <c r="BA2763" s="265">
        <v>10.0</v>
      </c>
      <c r="BB2763" s="367"/>
      <c r="BC2763" s="341"/>
      <c r="BD2763" s="308" t="s">
        <v>1844</v>
      </c>
      <c r="BE2763" s="378"/>
      <c r="BF2763" s="274" t="str">
        <f>IFERROR(__xludf.DUMMYFUNCTION("LOWER(Regexreplace(to_text(E2763),""[^A-Za-z0-9]"","""")&amp;""_""&amp;Regexreplace(to_text(F2763),""[^A-Za-z0-9]"",""""))"),"schneider_easylogicem6436hrs")</f>
        <v>schneider_easylogicem6436hrs</v>
      </c>
      <c r="BG2763" s="275" t="str">
        <f>IFERROR(__xludf.DUMMYFUNCTION("upper(Regexreplace(to_text(E2763),""[^A-Za-z0-9]"","""")&amp;""-""&amp;Regexreplace(to_text(F2763),""[^A-Za-z0-9]"",""""))"),"SCHNEIDER-EASYLOGICEM6436HRS")</f>
        <v>SCHNEIDER-EASYLOGICEM6436HRS</v>
      </c>
    </row>
    <row r="2764" ht="30.0" customHeight="1">
      <c r="A2764" s="258"/>
      <c r="B2764" s="328" t="s">
        <v>670</v>
      </c>
      <c r="C2764" s="257" t="s">
        <v>8803</v>
      </c>
      <c r="D2764" s="173" t="s">
        <v>8803</v>
      </c>
      <c r="E2764" s="174" t="s">
        <v>8070</v>
      </c>
      <c r="F2764" s="173" t="s">
        <v>8078</v>
      </c>
      <c r="G2764" s="328" t="s">
        <v>673</v>
      </c>
      <c r="H2764" s="328" t="s">
        <v>2863</v>
      </c>
      <c r="I2764" s="258" t="s">
        <v>8072</v>
      </c>
      <c r="J2764" s="259" t="s">
        <v>1088</v>
      </c>
      <c r="K2764" s="260">
        <v>505.0</v>
      </c>
      <c r="L2764" s="365"/>
      <c r="M2764" s="329"/>
      <c r="N2764" s="173" t="s">
        <v>679</v>
      </c>
      <c r="O2764" s="173" t="s">
        <v>225</v>
      </c>
      <c r="P2764" s="262" t="str">
        <f t="shared" si="1"/>
        <v>IN-BLR-ANANTA-EM-311_5</v>
      </c>
      <c r="Q2764" s="173" t="s">
        <v>8804</v>
      </c>
      <c r="R2764" s="328" t="str">
        <f>IFS(C2764="","",C2764="n/a","N/A",LEN(C2764),Concatenate("{",char(34),"asset",char(34),":{",char(34),"guid",char(34),":",char(34),Q2764,char(34),",",char(34),"site",char(34),":",char(34),LOWER('2-Building'!$B$4),char(34),",",char(34),"name",char(34),":",char(34),LOWER(C2764),char(34),"}}"))</f>
        <v>{"asset":{"guid":"uuid://fe177b26-3f02-4c97-a88d-d592e76e5a96","site":"in-blr-ananta","name":"em-311"}}</v>
      </c>
      <c r="S2764" s="366" t="s">
        <v>8581</v>
      </c>
      <c r="T2764" s="330"/>
      <c r="U2764" s="330"/>
      <c r="V2764" s="331"/>
      <c r="W2764" s="332"/>
      <c r="X2764" s="333"/>
      <c r="Y2764" s="33" t="s">
        <v>8076</v>
      </c>
      <c r="Z2764" s="368"/>
      <c r="AA2764" s="333"/>
      <c r="AB2764" s="258">
        <v>8.0</v>
      </c>
      <c r="AC2764" s="333"/>
      <c r="AD2764" s="329"/>
      <c r="AE2764" s="331"/>
      <c r="AF2764" s="336"/>
      <c r="AG2764" s="337"/>
      <c r="AH2764" s="333"/>
      <c r="AI2764" s="333"/>
      <c r="AJ2764" s="333"/>
      <c r="AK2764" s="333"/>
      <c r="AL2764" s="333"/>
      <c r="AM2764" s="338"/>
      <c r="AN2764" s="333"/>
      <c r="AO2764" s="333"/>
      <c r="AP2764" s="333"/>
      <c r="AQ2764" s="333"/>
      <c r="AR2764" s="333"/>
      <c r="AS2764" s="333"/>
      <c r="AT2764" s="333"/>
      <c r="AU2764" s="329"/>
      <c r="AV2764" s="341"/>
      <c r="AW2764" s="269"/>
      <c r="AX2764" s="269" t="s">
        <v>2869</v>
      </c>
      <c r="AY2764" s="270" t="s">
        <v>695</v>
      </c>
      <c r="AZ2764" s="379"/>
      <c r="BA2764" s="265">
        <v>10.0</v>
      </c>
      <c r="BB2764" s="367"/>
      <c r="BC2764" s="341"/>
      <c r="BD2764" s="308" t="s">
        <v>1844</v>
      </c>
      <c r="BE2764" s="378"/>
      <c r="BF2764" s="274" t="str">
        <f>IFERROR(__xludf.DUMMYFUNCTION("LOWER(Regexreplace(to_text(E2764),""[^A-Za-z0-9]"","""")&amp;""_""&amp;Regexreplace(to_text(F2764),""[^A-Za-z0-9]"",""""))"),"schneider_easylogicem6436hrs")</f>
        <v>schneider_easylogicem6436hrs</v>
      </c>
      <c r="BG2764" s="275" t="str">
        <f>IFERROR(__xludf.DUMMYFUNCTION("upper(Regexreplace(to_text(E2764),""[^A-Za-z0-9]"","""")&amp;""-""&amp;Regexreplace(to_text(F2764),""[^A-Za-z0-9]"",""""))"),"SCHNEIDER-EASYLOGICEM6436HRS")</f>
        <v>SCHNEIDER-EASYLOGICEM6436HRS</v>
      </c>
    </row>
    <row r="2765" ht="30.0" customHeight="1">
      <c r="A2765" s="258"/>
      <c r="B2765" s="328" t="s">
        <v>670</v>
      </c>
      <c r="C2765" s="257" t="s">
        <v>8805</v>
      </c>
      <c r="D2765" s="173" t="s">
        <v>8805</v>
      </c>
      <c r="E2765" s="174" t="s">
        <v>8070</v>
      </c>
      <c r="F2765" s="173" t="s">
        <v>8078</v>
      </c>
      <c r="G2765" s="328" t="s">
        <v>673</v>
      </c>
      <c r="H2765" s="328" t="s">
        <v>2863</v>
      </c>
      <c r="I2765" s="258" t="s">
        <v>8072</v>
      </c>
      <c r="J2765" s="259" t="s">
        <v>1149</v>
      </c>
      <c r="K2765" s="260">
        <v>605.0</v>
      </c>
      <c r="L2765" s="365"/>
      <c r="M2765" s="329"/>
      <c r="N2765" s="173" t="s">
        <v>679</v>
      </c>
      <c r="O2765" s="173" t="s">
        <v>225</v>
      </c>
      <c r="P2765" s="262" t="str">
        <f t="shared" si="1"/>
        <v>IN-BLR-ANANTA-EM-312_6</v>
      </c>
      <c r="Q2765" s="173" t="s">
        <v>8806</v>
      </c>
      <c r="R2765" s="328" t="str">
        <f>IFS(C2765="","",C2765="n/a","N/A",LEN(C2765),Concatenate("{",char(34),"asset",char(34),":{",char(34),"guid",char(34),":",char(34),Q2765,char(34),",",char(34),"site",char(34),":",char(34),LOWER('2-Building'!$B$4),char(34),",",char(34),"name",char(34),":",char(34),LOWER(C2765),char(34),"}}"))</f>
        <v>{"asset":{"guid":"uuid://06080176-0540-4cd7-b185-b2ac911365d6","site":"in-blr-ananta","name":"em-312"}}</v>
      </c>
      <c r="S2765" s="366" t="s">
        <v>8581</v>
      </c>
      <c r="T2765" s="330"/>
      <c r="U2765" s="330"/>
      <c r="V2765" s="331"/>
      <c r="W2765" s="332"/>
      <c r="X2765" s="333"/>
      <c r="Y2765" s="33" t="s">
        <v>8076</v>
      </c>
      <c r="Z2765" s="368"/>
      <c r="AA2765" s="333"/>
      <c r="AB2765" s="258">
        <v>9.0</v>
      </c>
      <c r="AC2765" s="333"/>
      <c r="AD2765" s="329"/>
      <c r="AE2765" s="331"/>
      <c r="AF2765" s="336"/>
      <c r="AG2765" s="337"/>
      <c r="AH2765" s="333"/>
      <c r="AI2765" s="333"/>
      <c r="AJ2765" s="333"/>
      <c r="AK2765" s="333"/>
      <c r="AL2765" s="333"/>
      <c r="AM2765" s="338"/>
      <c r="AN2765" s="333"/>
      <c r="AO2765" s="333"/>
      <c r="AP2765" s="333"/>
      <c r="AQ2765" s="333"/>
      <c r="AR2765" s="333"/>
      <c r="AS2765" s="333"/>
      <c r="AT2765" s="333"/>
      <c r="AU2765" s="329"/>
      <c r="AV2765" s="341"/>
      <c r="AW2765" s="269"/>
      <c r="AX2765" s="269" t="s">
        <v>2869</v>
      </c>
      <c r="AY2765" s="270" t="s">
        <v>695</v>
      </c>
      <c r="AZ2765" s="379"/>
      <c r="BA2765" s="265">
        <v>10.0</v>
      </c>
      <c r="BB2765" s="367"/>
      <c r="BC2765" s="341"/>
      <c r="BD2765" s="308" t="s">
        <v>1844</v>
      </c>
      <c r="BE2765" s="378"/>
      <c r="BF2765" s="274" t="str">
        <f>IFERROR(__xludf.DUMMYFUNCTION("LOWER(Regexreplace(to_text(E2765),""[^A-Za-z0-9]"","""")&amp;""_""&amp;Regexreplace(to_text(F2765),""[^A-Za-z0-9]"",""""))"),"schneider_easylogicem6436hrs")</f>
        <v>schneider_easylogicem6436hrs</v>
      </c>
      <c r="BG2765" s="275" t="str">
        <f>IFERROR(__xludf.DUMMYFUNCTION("upper(Regexreplace(to_text(E2765),""[^A-Za-z0-9]"","""")&amp;""-""&amp;Regexreplace(to_text(F2765),""[^A-Za-z0-9]"",""""))"),"SCHNEIDER-EASYLOGICEM6436HRS")</f>
        <v>SCHNEIDER-EASYLOGICEM6436HRS</v>
      </c>
    </row>
    <row r="2766" ht="30.0" customHeight="1">
      <c r="A2766" s="258"/>
      <c r="B2766" s="328" t="s">
        <v>670</v>
      </c>
      <c r="C2766" s="257" t="s">
        <v>8807</v>
      </c>
      <c r="D2766" s="173" t="s">
        <v>8807</v>
      </c>
      <c r="E2766" s="174" t="s">
        <v>8070</v>
      </c>
      <c r="F2766" s="173" t="s">
        <v>8078</v>
      </c>
      <c r="G2766" s="328" t="s">
        <v>673</v>
      </c>
      <c r="H2766" s="328" t="s">
        <v>2863</v>
      </c>
      <c r="I2766" s="258" t="s">
        <v>8072</v>
      </c>
      <c r="J2766" s="259" t="s">
        <v>1211</v>
      </c>
      <c r="K2766" s="260">
        <v>705.0</v>
      </c>
      <c r="L2766" s="365"/>
      <c r="M2766" s="329"/>
      <c r="N2766" s="173" t="s">
        <v>679</v>
      </c>
      <c r="O2766" s="173" t="s">
        <v>225</v>
      </c>
      <c r="P2766" s="262" t="str">
        <f t="shared" si="1"/>
        <v>IN-BLR-ANANTA-EM-313_7</v>
      </c>
      <c r="Q2766" s="173" t="s">
        <v>8808</v>
      </c>
      <c r="R2766" s="328" t="str">
        <f>IFS(C2766="","",C2766="n/a","N/A",LEN(C2766),Concatenate("{",char(34),"asset",char(34),":{",char(34),"guid",char(34),":",char(34),Q2766,char(34),",",char(34),"site",char(34),":",char(34),LOWER('2-Building'!$B$4),char(34),",",char(34),"name",char(34),":",char(34),LOWER(C2766),char(34),"}}"))</f>
        <v>{"asset":{"guid":"uuid://820f4436-d084-4ead-8583-07810235a885","site":"in-blr-ananta","name":"em-313"}}</v>
      </c>
      <c r="S2766" s="366" t="s">
        <v>8581</v>
      </c>
      <c r="T2766" s="330"/>
      <c r="U2766" s="330"/>
      <c r="V2766" s="331"/>
      <c r="W2766" s="332"/>
      <c r="X2766" s="333"/>
      <c r="Y2766" s="33" t="s">
        <v>8076</v>
      </c>
      <c r="Z2766" s="368"/>
      <c r="AA2766" s="333"/>
      <c r="AB2766" s="258">
        <v>10.0</v>
      </c>
      <c r="AC2766" s="333"/>
      <c r="AD2766" s="329"/>
      <c r="AE2766" s="331"/>
      <c r="AF2766" s="336"/>
      <c r="AG2766" s="337"/>
      <c r="AH2766" s="333"/>
      <c r="AI2766" s="333"/>
      <c r="AJ2766" s="333"/>
      <c r="AK2766" s="333"/>
      <c r="AL2766" s="333"/>
      <c r="AM2766" s="338"/>
      <c r="AN2766" s="333"/>
      <c r="AO2766" s="333"/>
      <c r="AP2766" s="333"/>
      <c r="AQ2766" s="333"/>
      <c r="AR2766" s="333"/>
      <c r="AS2766" s="333"/>
      <c r="AT2766" s="333"/>
      <c r="AU2766" s="329"/>
      <c r="AV2766" s="341"/>
      <c r="AW2766" s="269"/>
      <c r="AX2766" s="269" t="s">
        <v>2869</v>
      </c>
      <c r="AY2766" s="270" t="s">
        <v>695</v>
      </c>
      <c r="AZ2766" s="379"/>
      <c r="BA2766" s="265">
        <v>10.0</v>
      </c>
      <c r="BB2766" s="367"/>
      <c r="BC2766" s="341"/>
      <c r="BD2766" s="308" t="s">
        <v>1844</v>
      </c>
      <c r="BE2766" s="378"/>
      <c r="BF2766" s="274" t="str">
        <f>IFERROR(__xludf.DUMMYFUNCTION("LOWER(Regexreplace(to_text(E2766),""[^A-Za-z0-9]"","""")&amp;""_""&amp;Regexreplace(to_text(F2766),""[^A-Za-z0-9]"",""""))"),"schneider_easylogicem6436hrs")</f>
        <v>schneider_easylogicem6436hrs</v>
      </c>
      <c r="BG2766" s="275" t="str">
        <f>IFERROR(__xludf.DUMMYFUNCTION("upper(Regexreplace(to_text(E2766),""[^A-Za-z0-9]"","""")&amp;""-""&amp;Regexreplace(to_text(F2766),""[^A-Za-z0-9]"",""""))"),"SCHNEIDER-EASYLOGICEM6436HRS")</f>
        <v>SCHNEIDER-EASYLOGICEM6436HRS</v>
      </c>
    </row>
    <row r="2767" ht="30.0" customHeight="1">
      <c r="A2767" s="258"/>
      <c r="B2767" s="328" t="s">
        <v>670</v>
      </c>
      <c r="C2767" s="257" t="s">
        <v>8809</v>
      </c>
      <c r="D2767" s="173" t="s">
        <v>8809</v>
      </c>
      <c r="E2767" s="174" t="s">
        <v>8070</v>
      </c>
      <c r="F2767" s="173" t="s">
        <v>8078</v>
      </c>
      <c r="G2767" s="328" t="s">
        <v>673</v>
      </c>
      <c r="H2767" s="328" t="s">
        <v>2863</v>
      </c>
      <c r="I2767" s="258" t="s">
        <v>8072</v>
      </c>
      <c r="J2767" s="259" t="s">
        <v>1272</v>
      </c>
      <c r="K2767" s="260">
        <v>805.0</v>
      </c>
      <c r="L2767" s="365"/>
      <c r="M2767" s="329"/>
      <c r="N2767" s="173" t="s">
        <v>679</v>
      </c>
      <c r="O2767" s="173" t="s">
        <v>225</v>
      </c>
      <c r="P2767" s="262" t="str">
        <f t="shared" si="1"/>
        <v>IN-BLR-ANANTA-EM-314_8</v>
      </c>
      <c r="Q2767" s="173" t="s">
        <v>8810</v>
      </c>
      <c r="R2767" s="328" t="str">
        <f>IFS(C2767="","",C2767="n/a","N/A",LEN(C2767),Concatenate("{",char(34),"asset",char(34),":{",char(34),"guid",char(34),":",char(34),Q2767,char(34),",",char(34),"site",char(34),":",char(34),LOWER('2-Building'!$B$4),char(34),",",char(34),"name",char(34),":",char(34),LOWER(C2767),char(34),"}}"))</f>
        <v>{"asset":{"guid":"uuid://e7f490ba-f452-4d9f-b844-bef030c9cff7","site":"in-blr-ananta","name":"em-314"}}</v>
      </c>
      <c r="S2767" s="366" t="s">
        <v>8581</v>
      </c>
      <c r="T2767" s="330"/>
      <c r="U2767" s="330"/>
      <c r="V2767" s="331"/>
      <c r="W2767" s="332"/>
      <c r="X2767" s="333"/>
      <c r="Y2767" s="33" t="s">
        <v>8076</v>
      </c>
      <c r="Z2767" s="368"/>
      <c r="AA2767" s="333"/>
      <c r="AB2767" s="258">
        <v>11.0</v>
      </c>
      <c r="AC2767" s="333"/>
      <c r="AD2767" s="329"/>
      <c r="AE2767" s="331"/>
      <c r="AF2767" s="336"/>
      <c r="AG2767" s="337"/>
      <c r="AH2767" s="333"/>
      <c r="AI2767" s="333"/>
      <c r="AJ2767" s="333"/>
      <c r="AK2767" s="333"/>
      <c r="AL2767" s="333"/>
      <c r="AM2767" s="338"/>
      <c r="AN2767" s="333"/>
      <c r="AO2767" s="333"/>
      <c r="AP2767" s="333"/>
      <c r="AQ2767" s="333"/>
      <c r="AR2767" s="333"/>
      <c r="AS2767" s="333"/>
      <c r="AT2767" s="333"/>
      <c r="AU2767" s="329"/>
      <c r="AV2767" s="341"/>
      <c r="AW2767" s="269"/>
      <c r="AX2767" s="269" t="s">
        <v>2869</v>
      </c>
      <c r="AY2767" s="270" t="s">
        <v>695</v>
      </c>
      <c r="AZ2767" s="379"/>
      <c r="BA2767" s="265">
        <v>10.0</v>
      </c>
      <c r="BB2767" s="367"/>
      <c r="BC2767" s="341"/>
      <c r="BD2767" s="308" t="s">
        <v>1844</v>
      </c>
      <c r="BE2767" s="378"/>
      <c r="BF2767" s="274" t="str">
        <f>IFERROR(__xludf.DUMMYFUNCTION("LOWER(Regexreplace(to_text(E2767),""[^A-Za-z0-9]"","""")&amp;""_""&amp;Regexreplace(to_text(F2767),""[^A-Za-z0-9]"",""""))"),"schneider_easylogicem6436hrs")</f>
        <v>schneider_easylogicem6436hrs</v>
      </c>
      <c r="BG2767" s="275" t="str">
        <f>IFERROR(__xludf.DUMMYFUNCTION("upper(Regexreplace(to_text(E2767),""[^A-Za-z0-9]"","""")&amp;""-""&amp;Regexreplace(to_text(F2767),""[^A-Za-z0-9]"",""""))"),"SCHNEIDER-EASYLOGICEM6436HRS")</f>
        <v>SCHNEIDER-EASYLOGICEM6436HRS</v>
      </c>
    </row>
    <row r="2768" ht="30.0" customHeight="1">
      <c r="A2768" s="258"/>
      <c r="B2768" s="328" t="s">
        <v>670</v>
      </c>
      <c r="C2768" s="257" t="s">
        <v>8811</v>
      </c>
      <c r="D2768" s="173" t="s">
        <v>8811</v>
      </c>
      <c r="E2768" s="174" t="s">
        <v>8070</v>
      </c>
      <c r="F2768" s="173" t="s">
        <v>8078</v>
      </c>
      <c r="G2768" s="328" t="s">
        <v>673</v>
      </c>
      <c r="H2768" s="328" t="s">
        <v>2863</v>
      </c>
      <c r="I2768" s="258" t="s">
        <v>8072</v>
      </c>
      <c r="J2768" s="259" t="s">
        <v>1333</v>
      </c>
      <c r="K2768" s="260">
        <v>905.0</v>
      </c>
      <c r="L2768" s="365"/>
      <c r="M2768" s="329"/>
      <c r="N2768" s="173" t="s">
        <v>679</v>
      </c>
      <c r="O2768" s="173" t="s">
        <v>225</v>
      </c>
      <c r="P2768" s="262" t="str">
        <f t="shared" si="1"/>
        <v>IN-BLR-ANANTA-EM-315_9</v>
      </c>
      <c r="Q2768" s="173" t="s">
        <v>8812</v>
      </c>
      <c r="R2768" s="328" t="str">
        <f>IFS(C2768="","",C2768="n/a","N/A",LEN(C2768),Concatenate("{",char(34),"asset",char(34),":{",char(34),"guid",char(34),":",char(34),Q2768,char(34),",",char(34),"site",char(34),":",char(34),LOWER('2-Building'!$B$4),char(34),",",char(34),"name",char(34),":",char(34),LOWER(C2768),char(34),"}}"))</f>
        <v>{"asset":{"guid":"uuid://3b6ab617-3f03-44b2-9d5e-94cade381dd2","site":"in-blr-ananta","name":"em-315"}}</v>
      </c>
      <c r="S2768" s="366" t="s">
        <v>8581</v>
      </c>
      <c r="T2768" s="330"/>
      <c r="U2768" s="330"/>
      <c r="V2768" s="331"/>
      <c r="W2768" s="332"/>
      <c r="X2768" s="333"/>
      <c r="Y2768" s="33" t="s">
        <v>8076</v>
      </c>
      <c r="Z2768" s="368"/>
      <c r="AA2768" s="333"/>
      <c r="AB2768" s="258">
        <v>12.0</v>
      </c>
      <c r="AC2768" s="333"/>
      <c r="AD2768" s="329"/>
      <c r="AE2768" s="331"/>
      <c r="AF2768" s="336"/>
      <c r="AG2768" s="337"/>
      <c r="AH2768" s="333"/>
      <c r="AI2768" s="333"/>
      <c r="AJ2768" s="333"/>
      <c r="AK2768" s="333"/>
      <c r="AL2768" s="333"/>
      <c r="AM2768" s="338"/>
      <c r="AN2768" s="333"/>
      <c r="AO2768" s="333"/>
      <c r="AP2768" s="333"/>
      <c r="AQ2768" s="333"/>
      <c r="AR2768" s="333"/>
      <c r="AS2768" s="333"/>
      <c r="AT2768" s="333"/>
      <c r="AU2768" s="329"/>
      <c r="AV2768" s="341"/>
      <c r="AW2768" s="269"/>
      <c r="AX2768" s="269" t="s">
        <v>2869</v>
      </c>
      <c r="AY2768" s="270" t="s">
        <v>695</v>
      </c>
      <c r="AZ2768" s="379"/>
      <c r="BA2768" s="265">
        <v>10.0</v>
      </c>
      <c r="BB2768" s="367"/>
      <c r="BC2768" s="341"/>
      <c r="BD2768" s="308" t="s">
        <v>1844</v>
      </c>
      <c r="BE2768" s="378"/>
      <c r="BF2768" s="274" t="str">
        <f>IFERROR(__xludf.DUMMYFUNCTION("LOWER(Regexreplace(to_text(E2768),""[^A-Za-z0-9]"","""")&amp;""_""&amp;Regexreplace(to_text(F2768),""[^A-Za-z0-9]"",""""))"),"schneider_easylogicem6436hrs")</f>
        <v>schneider_easylogicem6436hrs</v>
      </c>
      <c r="BG2768" s="275" t="str">
        <f>IFERROR(__xludf.DUMMYFUNCTION("upper(Regexreplace(to_text(E2768),""[^A-Za-z0-9]"","""")&amp;""-""&amp;Regexreplace(to_text(F2768),""[^A-Za-z0-9]"",""""))"),"SCHNEIDER-EASYLOGICEM6436HRS")</f>
        <v>SCHNEIDER-EASYLOGICEM6436HRS</v>
      </c>
    </row>
    <row r="2769" ht="30.0" customHeight="1">
      <c r="A2769" s="258"/>
      <c r="B2769" s="328" t="s">
        <v>670</v>
      </c>
      <c r="C2769" s="257" t="s">
        <v>8813</v>
      </c>
      <c r="D2769" s="173" t="s">
        <v>8813</v>
      </c>
      <c r="E2769" s="174" t="s">
        <v>8070</v>
      </c>
      <c r="F2769" s="173" t="s">
        <v>8078</v>
      </c>
      <c r="G2769" s="328" t="s">
        <v>673</v>
      </c>
      <c r="H2769" s="328" t="s">
        <v>2863</v>
      </c>
      <c r="I2769" s="258" t="s">
        <v>8072</v>
      </c>
      <c r="J2769" s="259" t="s">
        <v>1393</v>
      </c>
      <c r="K2769" s="260">
        <v>1005.0</v>
      </c>
      <c r="L2769" s="365"/>
      <c r="M2769" s="329"/>
      <c r="N2769" s="173" t="s">
        <v>679</v>
      </c>
      <c r="O2769" s="173" t="s">
        <v>225</v>
      </c>
      <c r="P2769" s="262" t="str">
        <f t="shared" si="1"/>
        <v>IN-BLR-ANANTA-EM-316_10</v>
      </c>
      <c r="Q2769" s="173" t="s">
        <v>8814</v>
      </c>
      <c r="R2769" s="328" t="str">
        <f>IFS(C2769="","",C2769="n/a","N/A",LEN(C2769),Concatenate("{",char(34),"asset",char(34),":{",char(34),"guid",char(34),":",char(34),Q2769,char(34),",",char(34),"site",char(34),":",char(34),LOWER('2-Building'!$B$4),char(34),",",char(34),"name",char(34),":",char(34),LOWER(C2769),char(34),"}}"))</f>
        <v>{"asset":{"guid":"uuid://41cfc894-64ad-4f5e-bee5-628651fe90c3","site":"in-blr-ananta","name":"em-316"}}</v>
      </c>
      <c r="S2769" s="366" t="s">
        <v>8581</v>
      </c>
      <c r="T2769" s="330"/>
      <c r="U2769" s="330"/>
      <c r="V2769" s="331"/>
      <c r="W2769" s="332"/>
      <c r="X2769" s="333"/>
      <c r="Y2769" s="33" t="s">
        <v>8076</v>
      </c>
      <c r="Z2769" s="368"/>
      <c r="AA2769" s="333"/>
      <c r="AB2769" s="258">
        <v>13.0</v>
      </c>
      <c r="AC2769" s="333"/>
      <c r="AD2769" s="329"/>
      <c r="AE2769" s="331"/>
      <c r="AF2769" s="336"/>
      <c r="AG2769" s="337"/>
      <c r="AH2769" s="333"/>
      <c r="AI2769" s="333"/>
      <c r="AJ2769" s="333"/>
      <c r="AK2769" s="333"/>
      <c r="AL2769" s="333"/>
      <c r="AM2769" s="338"/>
      <c r="AN2769" s="333"/>
      <c r="AO2769" s="333"/>
      <c r="AP2769" s="333"/>
      <c r="AQ2769" s="333"/>
      <c r="AR2769" s="333"/>
      <c r="AS2769" s="333"/>
      <c r="AT2769" s="333"/>
      <c r="AU2769" s="329"/>
      <c r="AV2769" s="341"/>
      <c r="AW2769" s="269"/>
      <c r="AX2769" s="269" t="s">
        <v>2869</v>
      </c>
      <c r="AY2769" s="270" t="s">
        <v>695</v>
      </c>
      <c r="AZ2769" s="379"/>
      <c r="BA2769" s="265">
        <v>10.0</v>
      </c>
      <c r="BB2769" s="367"/>
      <c r="BC2769" s="341"/>
      <c r="BD2769" s="308" t="s">
        <v>1844</v>
      </c>
      <c r="BE2769" s="378"/>
      <c r="BF2769" s="274" t="str">
        <f>IFERROR(__xludf.DUMMYFUNCTION("LOWER(Regexreplace(to_text(E2769),""[^A-Za-z0-9]"","""")&amp;""_""&amp;Regexreplace(to_text(F2769),""[^A-Za-z0-9]"",""""))"),"schneider_easylogicem6436hrs")</f>
        <v>schneider_easylogicem6436hrs</v>
      </c>
      <c r="BG2769" s="275" t="str">
        <f>IFERROR(__xludf.DUMMYFUNCTION("upper(Regexreplace(to_text(E2769),""[^A-Za-z0-9]"","""")&amp;""-""&amp;Regexreplace(to_text(F2769),""[^A-Za-z0-9]"",""""))"),"SCHNEIDER-EASYLOGICEM6436HRS")</f>
        <v>SCHNEIDER-EASYLOGICEM6436HRS</v>
      </c>
    </row>
    <row r="2770" ht="30.0" customHeight="1">
      <c r="A2770" s="258"/>
      <c r="B2770" s="328" t="s">
        <v>670</v>
      </c>
      <c r="C2770" s="257" t="s">
        <v>8815</v>
      </c>
      <c r="D2770" s="173" t="s">
        <v>8815</v>
      </c>
      <c r="E2770" s="174" t="s">
        <v>8070</v>
      </c>
      <c r="F2770" s="173" t="s">
        <v>8078</v>
      </c>
      <c r="G2770" s="328" t="s">
        <v>673</v>
      </c>
      <c r="H2770" s="328" t="s">
        <v>2863</v>
      </c>
      <c r="I2770" s="258" t="s">
        <v>8072</v>
      </c>
      <c r="J2770" s="259" t="s">
        <v>1453</v>
      </c>
      <c r="K2770" s="260">
        <v>1105.0</v>
      </c>
      <c r="L2770" s="365"/>
      <c r="M2770" s="329"/>
      <c r="N2770" s="173" t="s">
        <v>679</v>
      </c>
      <c r="O2770" s="173" t="s">
        <v>225</v>
      </c>
      <c r="P2770" s="262" t="str">
        <f t="shared" si="1"/>
        <v>IN-BLR-ANANTA-EM-317_11</v>
      </c>
      <c r="Q2770" s="173" t="s">
        <v>8816</v>
      </c>
      <c r="R2770" s="328" t="str">
        <f>IFS(C2770="","",C2770="n/a","N/A",LEN(C2770),Concatenate("{",char(34),"asset",char(34),":{",char(34),"guid",char(34),":",char(34),Q2770,char(34),",",char(34),"site",char(34),":",char(34),LOWER('2-Building'!$B$4),char(34),",",char(34),"name",char(34),":",char(34),LOWER(C2770),char(34),"}}"))</f>
        <v>{"asset":{"guid":"uuid://4b115484-740a-4bdc-aef5-d0bfdd555665","site":"in-blr-ananta","name":"em-317"}}</v>
      </c>
      <c r="S2770" s="366" t="s">
        <v>8581</v>
      </c>
      <c r="T2770" s="330"/>
      <c r="U2770" s="330"/>
      <c r="V2770" s="331"/>
      <c r="W2770" s="332"/>
      <c r="X2770" s="333"/>
      <c r="Y2770" s="33" t="s">
        <v>8076</v>
      </c>
      <c r="Z2770" s="368"/>
      <c r="AA2770" s="333"/>
      <c r="AB2770" s="258">
        <v>14.0</v>
      </c>
      <c r="AC2770" s="333"/>
      <c r="AD2770" s="329"/>
      <c r="AE2770" s="331"/>
      <c r="AF2770" s="336"/>
      <c r="AG2770" s="337"/>
      <c r="AH2770" s="333"/>
      <c r="AI2770" s="333"/>
      <c r="AJ2770" s="333"/>
      <c r="AK2770" s="333"/>
      <c r="AL2770" s="333"/>
      <c r="AM2770" s="338"/>
      <c r="AN2770" s="333"/>
      <c r="AO2770" s="333"/>
      <c r="AP2770" s="333"/>
      <c r="AQ2770" s="333"/>
      <c r="AR2770" s="333"/>
      <c r="AS2770" s="333"/>
      <c r="AT2770" s="333"/>
      <c r="AU2770" s="329"/>
      <c r="AV2770" s="341"/>
      <c r="AW2770" s="269"/>
      <c r="AX2770" s="269" t="s">
        <v>2869</v>
      </c>
      <c r="AY2770" s="270" t="s">
        <v>695</v>
      </c>
      <c r="AZ2770" s="379"/>
      <c r="BA2770" s="265">
        <v>10.0</v>
      </c>
      <c r="BB2770" s="367"/>
      <c r="BC2770" s="341"/>
      <c r="BD2770" s="308" t="s">
        <v>1844</v>
      </c>
      <c r="BE2770" s="378"/>
      <c r="BF2770" s="274" t="str">
        <f>IFERROR(__xludf.DUMMYFUNCTION("LOWER(Regexreplace(to_text(E2770),""[^A-Za-z0-9]"","""")&amp;""_""&amp;Regexreplace(to_text(F2770),""[^A-Za-z0-9]"",""""))"),"schneider_easylogicem6436hrs")</f>
        <v>schneider_easylogicem6436hrs</v>
      </c>
      <c r="BG2770" s="275" t="str">
        <f>IFERROR(__xludf.DUMMYFUNCTION("upper(Regexreplace(to_text(E2770),""[^A-Za-z0-9]"","""")&amp;""-""&amp;Regexreplace(to_text(F2770),""[^A-Za-z0-9]"",""""))"),"SCHNEIDER-EASYLOGICEM6436HRS")</f>
        <v>SCHNEIDER-EASYLOGICEM6436HRS</v>
      </c>
    </row>
    <row r="2771" ht="30.0" customHeight="1">
      <c r="A2771" s="258"/>
      <c r="B2771" s="328" t="s">
        <v>670</v>
      </c>
      <c r="C2771" s="257" t="s">
        <v>8817</v>
      </c>
      <c r="D2771" s="173" t="s">
        <v>8817</v>
      </c>
      <c r="E2771" s="174" t="s">
        <v>8070</v>
      </c>
      <c r="F2771" s="173" t="s">
        <v>8078</v>
      </c>
      <c r="G2771" s="328" t="s">
        <v>673</v>
      </c>
      <c r="H2771" s="328" t="s">
        <v>2863</v>
      </c>
      <c r="I2771" s="258" t="s">
        <v>8072</v>
      </c>
      <c r="J2771" s="259" t="s">
        <v>739</v>
      </c>
      <c r="K2771" s="260" t="s">
        <v>8351</v>
      </c>
      <c r="L2771" s="365"/>
      <c r="M2771" s="329"/>
      <c r="N2771" s="173" t="s">
        <v>679</v>
      </c>
      <c r="O2771" s="173" t="s">
        <v>225</v>
      </c>
      <c r="P2771" s="262" t="str">
        <f t="shared" si="1"/>
        <v>IN-BLR-ANANTA-EM-318_G</v>
      </c>
      <c r="Q2771" s="173" t="s">
        <v>8818</v>
      </c>
      <c r="R2771" s="328" t="str">
        <f>IFS(C2771="","",C2771="n/a","N/A",LEN(C2771),Concatenate("{",char(34),"asset",char(34),":{",char(34),"guid",char(34),":",char(34),Q2771,char(34),",",char(34),"site",char(34),":",char(34),LOWER('2-Building'!$B$4),char(34),",",char(34),"name",char(34),":",char(34),LOWER(C2771),char(34),"}}"))</f>
        <v>{"asset":{"guid":"uuid://9a025f7d-19da-476a-a5c6-238765aeeb2d","site":"in-blr-ananta","name":"em-318"}}</v>
      </c>
      <c r="S2771" s="366" t="s">
        <v>8581</v>
      </c>
      <c r="T2771" s="330"/>
      <c r="U2771" s="330"/>
      <c r="V2771" s="331"/>
      <c r="W2771" s="332"/>
      <c r="X2771" s="333"/>
      <c r="Y2771" s="33" t="s">
        <v>8076</v>
      </c>
      <c r="Z2771" s="368"/>
      <c r="AA2771" s="333"/>
      <c r="AB2771" s="258">
        <v>1.0</v>
      </c>
      <c r="AC2771" s="333"/>
      <c r="AD2771" s="329"/>
      <c r="AE2771" s="331"/>
      <c r="AF2771" s="336"/>
      <c r="AG2771" s="337"/>
      <c r="AH2771" s="333"/>
      <c r="AI2771" s="333"/>
      <c r="AJ2771" s="333"/>
      <c r="AK2771" s="333"/>
      <c r="AL2771" s="333"/>
      <c r="AM2771" s="338"/>
      <c r="AN2771" s="333"/>
      <c r="AO2771" s="333"/>
      <c r="AP2771" s="333"/>
      <c r="AQ2771" s="333"/>
      <c r="AR2771" s="333"/>
      <c r="AS2771" s="333"/>
      <c r="AT2771" s="333"/>
      <c r="AU2771" s="329"/>
      <c r="AV2771" s="341"/>
      <c r="AW2771" s="269"/>
      <c r="AX2771" s="269" t="s">
        <v>2869</v>
      </c>
      <c r="AY2771" s="270" t="s">
        <v>695</v>
      </c>
      <c r="AZ2771" s="379"/>
      <c r="BA2771" s="265">
        <v>10.0</v>
      </c>
      <c r="BB2771" s="367"/>
      <c r="BC2771" s="341"/>
      <c r="BD2771" s="308" t="s">
        <v>1844</v>
      </c>
      <c r="BE2771" s="378"/>
      <c r="BF2771" s="274" t="str">
        <f>IFERROR(__xludf.DUMMYFUNCTION("LOWER(Regexreplace(to_text(E2771),""[^A-Za-z0-9]"","""")&amp;""_""&amp;Regexreplace(to_text(F2771),""[^A-Za-z0-9]"",""""))"),"schneider_easylogicem6436hrs")</f>
        <v>schneider_easylogicem6436hrs</v>
      </c>
      <c r="BG2771" s="275" t="str">
        <f>IFERROR(__xludf.DUMMYFUNCTION("upper(Regexreplace(to_text(E2771),""[^A-Za-z0-9]"","""")&amp;""-""&amp;Regexreplace(to_text(F2771),""[^A-Za-z0-9]"",""""))"),"SCHNEIDER-EASYLOGICEM6436HRS")</f>
        <v>SCHNEIDER-EASYLOGICEM6436HRS</v>
      </c>
    </row>
    <row r="2772" ht="30.0" customHeight="1">
      <c r="A2772" s="258"/>
      <c r="B2772" s="328" t="s">
        <v>670</v>
      </c>
      <c r="C2772" s="257" t="s">
        <v>8819</v>
      </c>
      <c r="D2772" s="173" t="s">
        <v>8819</v>
      </c>
      <c r="E2772" s="174" t="s">
        <v>8070</v>
      </c>
      <c r="F2772" s="173" t="s">
        <v>8078</v>
      </c>
      <c r="G2772" s="328" t="s">
        <v>673</v>
      </c>
      <c r="H2772" s="328" t="s">
        <v>2863</v>
      </c>
      <c r="I2772" s="258" t="s">
        <v>8072</v>
      </c>
      <c r="J2772" s="259" t="s">
        <v>846</v>
      </c>
      <c r="K2772" s="260">
        <v>156.0</v>
      </c>
      <c r="L2772" s="365"/>
      <c r="M2772" s="329"/>
      <c r="N2772" s="173" t="s">
        <v>679</v>
      </c>
      <c r="O2772" s="173" t="s">
        <v>225</v>
      </c>
      <c r="P2772" s="262" t="str">
        <f t="shared" si="1"/>
        <v>IN-BLR-ANANTA-EM-319_1</v>
      </c>
      <c r="Q2772" s="173" t="s">
        <v>8820</v>
      </c>
      <c r="R2772" s="328" t="str">
        <f>IFS(C2772="","",C2772="n/a","N/A",LEN(C2772),Concatenate("{",char(34),"asset",char(34),":{",char(34),"guid",char(34),":",char(34),Q2772,char(34),",",char(34),"site",char(34),":",char(34),LOWER('2-Building'!$B$4),char(34),",",char(34),"name",char(34),":",char(34),LOWER(C2772),char(34),"}}"))</f>
        <v>{"asset":{"guid":"uuid://256b0232-a973-4c23-8446-7f5e0815a168","site":"in-blr-ananta","name":"em-319"}}</v>
      </c>
      <c r="S2772" s="366" t="s">
        <v>8581</v>
      </c>
      <c r="T2772" s="330"/>
      <c r="U2772" s="330"/>
      <c r="V2772" s="331"/>
      <c r="W2772" s="332"/>
      <c r="X2772" s="333"/>
      <c r="Y2772" s="33" t="s">
        <v>8076</v>
      </c>
      <c r="Z2772" s="368"/>
      <c r="AA2772" s="333"/>
      <c r="AB2772" s="258">
        <v>2.0</v>
      </c>
      <c r="AC2772" s="333"/>
      <c r="AD2772" s="329"/>
      <c r="AE2772" s="331"/>
      <c r="AF2772" s="336"/>
      <c r="AG2772" s="337"/>
      <c r="AH2772" s="333"/>
      <c r="AI2772" s="333"/>
      <c r="AJ2772" s="333"/>
      <c r="AK2772" s="333"/>
      <c r="AL2772" s="333"/>
      <c r="AM2772" s="338"/>
      <c r="AN2772" s="333"/>
      <c r="AO2772" s="333"/>
      <c r="AP2772" s="333"/>
      <c r="AQ2772" s="333"/>
      <c r="AR2772" s="333"/>
      <c r="AS2772" s="333"/>
      <c r="AT2772" s="333"/>
      <c r="AU2772" s="329"/>
      <c r="AV2772" s="341"/>
      <c r="AW2772" s="269"/>
      <c r="AX2772" s="269" t="s">
        <v>2869</v>
      </c>
      <c r="AY2772" s="270" t="s">
        <v>695</v>
      </c>
      <c r="AZ2772" s="379"/>
      <c r="BA2772" s="265">
        <v>10.0</v>
      </c>
      <c r="BB2772" s="367"/>
      <c r="BC2772" s="341"/>
      <c r="BD2772" s="308" t="s">
        <v>1844</v>
      </c>
      <c r="BE2772" s="378"/>
      <c r="BF2772" s="274" t="str">
        <f>IFERROR(__xludf.DUMMYFUNCTION("LOWER(Regexreplace(to_text(E2772),""[^A-Za-z0-9]"","""")&amp;""_""&amp;Regexreplace(to_text(F2772),""[^A-Za-z0-9]"",""""))"),"schneider_easylogicem6436hrs")</f>
        <v>schneider_easylogicem6436hrs</v>
      </c>
      <c r="BG2772" s="275" t="str">
        <f>IFERROR(__xludf.DUMMYFUNCTION("upper(Regexreplace(to_text(E2772),""[^A-Za-z0-9]"","""")&amp;""-""&amp;Regexreplace(to_text(F2772),""[^A-Za-z0-9]"",""""))"),"SCHNEIDER-EASYLOGICEM6436HRS")</f>
        <v>SCHNEIDER-EASYLOGICEM6436HRS</v>
      </c>
    </row>
    <row r="2773" ht="30.0" customHeight="1">
      <c r="A2773" s="258"/>
      <c r="B2773" s="328" t="s">
        <v>670</v>
      </c>
      <c r="C2773" s="257" t="s">
        <v>8821</v>
      </c>
      <c r="D2773" s="173" t="s">
        <v>8821</v>
      </c>
      <c r="E2773" s="174" t="s">
        <v>8070</v>
      </c>
      <c r="F2773" s="173" t="s">
        <v>8078</v>
      </c>
      <c r="G2773" s="328" t="s">
        <v>673</v>
      </c>
      <c r="H2773" s="328" t="s">
        <v>2863</v>
      </c>
      <c r="I2773" s="258" t="s">
        <v>8072</v>
      </c>
      <c r="J2773" s="259" t="s">
        <v>902</v>
      </c>
      <c r="K2773" s="260">
        <v>256.0</v>
      </c>
      <c r="L2773" s="365"/>
      <c r="M2773" s="329"/>
      <c r="N2773" s="173" t="s">
        <v>679</v>
      </c>
      <c r="O2773" s="173" t="s">
        <v>225</v>
      </c>
      <c r="P2773" s="262" t="str">
        <f t="shared" si="1"/>
        <v>IN-BLR-ANANTA-EM-320_2</v>
      </c>
      <c r="Q2773" s="173" t="s">
        <v>8822</v>
      </c>
      <c r="R2773" s="328" t="str">
        <f>IFS(C2773="","",C2773="n/a","N/A",LEN(C2773),Concatenate("{",char(34),"asset",char(34),":{",char(34),"guid",char(34),":",char(34),Q2773,char(34),",",char(34),"site",char(34),":",char(34),LOWER('2-Building'!$B$4),char(34),",",char(34),"name",char(34),":",char(34),LOWER(C2773),char(34),"}}"))</f>
        <v>{"asset":{"guid":"uuid://6a22211b-d2f1-426b-8cf9-658e16cdf671","site":"in-blr-ananta","name":"em-320"}}</v>
      </c>
      <c r="S2773" s="366" t="s">
        <v>8581</v>
      </c>
      <c r="T2773" s="330"/>
      <c r="U2773" s="330"/>
      <c r="V2773" s="331"/>
      <c r="W2773" s="332"/>
      <c r="X2773" s="333"/>
      <c r="Y2773" s="33" t="s">
        <v>8076</v>
      </c>
      <c r="Z2773" s="368"/>
      <c r="AA2773" s="333"/>
      <c r="AB2773" s="258">
        <v>3.0</v>
      </c>
      <c r="AC2773" s="333"/>
      <c r="AD2773" s="329"/>
      <c r="AE2773" s="331"/>
      <c r="AF2773" s="336"/>
      <c r="AG2773" s="337"/>
      <c r="AH2773" s="333"/>
      <c r="AI2773" s="333"/>
      <c r="AJ2773" s="333"/>
      <c r="AK2773" s="333"/>
      <c r="AL2773" s="333"/>
      <c r="AM2773" s="338"/>
      <c r="AN2773" s="333"/>
      <c r="AO2773" s="333"/>
      <c r="AP2773" s="333"/>
      <c r="AQ2773" s="333"/>
      <c r="AR2773" s="333"/>
      <c r="AS2773" s="333"/>
      <c r="AT2773" s="333"/>
      <c r="AU2773" s="329"/>
      <c r="AV2773" s="341"/>
      <c r="AW2773" s="269"/>
      <c r="AX2773" s="269" t="s">
        <v>2869</v>
      </c>
      <c r="AY2773" s="270" t="s">
        <v>695</v>
      </c>
      <c r="AZ2773" s="379"/>
      <c r="BA2773" s="265">
        <v>10.0</v>
      </c>
      <c r="BB2773" s="367"/>
      <c r="BC2773" s="341"/>
      <c r="BD2773" s="308" t="s">
        <v>1844</v>
      </c>
      <c r="BE2773" s="378"/>
      <c r="BF2773" s="274" t="str">
        <f>IFERROR(__xludf.DUMMYFUNCTION("LOWER(Regexreplace(to_text(E2773),""[^A-Za-z0-9]"","""")&amp;""_""&amp;Regexreplace(to_text(F2773),""[^A-Za-z0-9]"",""""))"),"schneider_easylogicem6436hrs")</f>
        <v>schneider_easylogicem6436hrs</v>
      </c>
      <c r="BG2773" s="275" t="str">
        <f>IFERROR(__xludf.DUMMYFUNCTION("upper(Regexreplace(to_text(E2773),""[^A-Za-z0-9]"","""")&amp;""-""&amp;Regexreplace(to_text(F2773),""[^A-Za-z0-9]"",""""))"),"SCHNEIDER-EASYLOGICEM6436HRS")</f>
        <v>SCHNEIDER-EASYLOGICEM6436HRS</v>
      </c>
    </row>
    <row r="2774" ht="30.0" customHeight="1">
      <c r="A2774" s="258"/>
      <c r="B2774" s="328" t="s">
        <v>670</v>
      </c>
      <c r="C2774" s="257" t="s">
        <v>8823</v>
      </c>
      <c r="D2774" s="173" t="s">
        <v>8823</v>
      </c>
      <c r="E2774" s="174" t="s">
        <v>8070</v>
      </c>
      <c r="F2774" s="173" t="s">
        <v>8078</v>
      </c>
      <c r="G2774" s="328" t="s">
        <v>673</v>
      </c>
      <c r="H2774" s="328" t="s">
        <v>2863</v>
      </c>
      <c r="I2774" s="258" t="s">
        <v>8072</v>
      </c>
      <c r="J2774" s="259" t="s">
        <v>965</v>
      </c>
      <c r="K2774" s="260">
        <v>356.0</v>
      </c>
      <c r="L2774" s="365"/>
      <c r="M2774" s="329"/>
      <c r="N2774" s="173" t="s">
        <v>679</v>
      </c>
      <c r="O2774" s="173" t="s">
        <v>225</v>
      </c>
      <c r="P2774" s="262" t="str">
        <f t="shared" si="1"/>
        <v>IN-BLR-ANANTA-EM-321_3</v>
      </c>
      <c r="Q2774" s="173" t="s">
        <v>8824</v>
      </c>
      <c r="R2774" s="328" t="str">
        <f>IFS(C2774="","",C2774="n/a","N/A",LEN(C2774),Concatenate("{",char(34),"asset",char(34),":{",char(34),"guid",char(34),":",char(34),Q2774,char(34),",",char(34),"site",char(34),":",char(34),LOWER('2-Building'!$B$4),char(34),",",char(34),"name",char(34),":",char(34),LOWER(C2774),char(34),"}}"))</f>
        <v>{"asset":{"guid":"uuid://e9ee0090-4d08-4b46-8fa7-a10889e4dead","site":"in-blr-ananta","name":"em-321"}}</v>
      </c>
      <c r="S2774" s="366" t="s">
        <v>8581</v>
      </c>
      <c r="T2774" s="330"/>
      <c r="U2774" s="330"/>
      <c r="V2774" s="331"/>
      <c r="W2774" s="332"/>
      <c r="X2774" s="333"/>
      <c r="Y2774" s="33" t="s">
        <v>8076</v>
      </c>
      <c r="Z2774" s="368"/>
      <c r="AA2774" s="333"/>
      <c r="AB2774" s="258">
        <v>4.0</v>
      </c>
      <c r="AC2774" s="333"/>
      <c r="AD2774" s="329"/>
      <c r="AE2774" s="331"/>
      <c r="AF2774" s="336"/>
      <c r="AG2774" s="337"/>
      <c r="AH2774" s="333"/>
      <c r="AI2774" s="333"/>
      <c r="AJ2774" s="333"/>
      <c r="AK2774" s="333"/>
      <c r="AL2774" s="333"/>
      <c r="AM2774" s="338"/>
      <c r="AN2774" s="333"/>
      <c r="AO2774" s="333"/>
      <c r="AP2774" s="333"/>
      <c r="AQ2774" s="333"/>
      <c r="AR2774" s="333"/>
      <c r="AS2774" s="333"/>
      <c r="AT2774" s="333"/>
      <c r="AU2774" s="329"/>
      <c r="AV2774" s="341"/>
      <c r="AW2774" s="269"/>
      <c r="AX2774" s="269" t="s">
        <v>2869</v>
      </c>
      <c r="AY2774" s="270" t="s">
        <v>695</v>
      </c>
      <c r="AZ2774" s="379"/>
      <c r="BA2774" s="265">
        <v>10.0</v>
      </c>
      <c r="BB2774" s="367"/>
      <c r="BC2774" s="341"/>
      <c r="BD2774" s="308" t="s">
        <v>1844</v>
      </c>
      <c r="BE2774" s="378"/>
      <c r="BF2774" s="274" t="str">
        <f>IFERROR(__xludf.DUMMYFUNCTION("LOWER(Regexreplace(to_text(E2774),""[^A-Za-z0-9]"","""")&amp;""_""&amp;Regexreplace(to_text(F2774),""[^A-Za-z0-9]"",""""))"),"schneider_easylogicem6436hrs")</f>
        <v>schneider_easylogicem6436hrs</v>
      </c>
      <c r="BG2774" s="275" t="str">
        <f>IFERROR(__xludf.DUMMYFUNCTION("upper(Regexreplace(to_text(E2774),""[^A-Za-z0-9]"","""")&amp;""-""&amp;Regexreplace(to_text(F2774),""[^A-Za-z0-9]"",""""))"),"SCHNEIDER-EASYLOGICEM6436HRS")</f>
        <v>SCHNEIDER-EASYLOGICEM6436HRS</v>
      </c>
    </row>
    <row r="2775" ht="30.0" customHeight="1">
      <c r="A2775" s="258"/>
      <c r="B2775" s="328" t="s">
        <v>670</v>
      </c>
      <c r="C2775" s="257" t="s">
        <v>8825</v>
      </c>
      <c r="D2775" s="173" t="s">
        <v>8825</v>
      </c>
      <c r="E2775" s="174" t="s">
        <v>8070</v>
      </c>
      <c r="F2775" s="173" t="s">
        <v>8078</v>
      </c>
      <c r="G2775" s="328" t="s">
        <v>673</v>
      </c>
      <c r="H2775" s="328" t="s">
        <v>2863</v>
      </c>
      <c r="I2775" s="258" t="s">
        <v>8072</v>
      </c>
      <c r="J2775" s="259" t="s">
        <v>1026</v>
      </c>
      <c r="K2775" s="260">
        <v>456.0</v>
      </c>
      <c r="L2775" s="365"/>
      <c r="M2775" s="329"/>
      <c r="N2775" s="173" t="s">
        <v>679</v>
      </c>
      <c r="O2775" s="173" t="s">
        <v>225</v>
      </c>
      <c r="P2775" s="262" t="str">
        <f t="shared" si="1"/>
        <v>IN-BLR-ANANTA-EM-322_4</v>
      </c>
      <c r="Q2775" s="173" t="s">
        <v>8826</v>
      </c>
      <c r="R2775" s="328" t="str">
        <f>IFS(C2775="","",C2775="n/a","N/A",LEN(C2775),Concatenate("{",char(34),"asset",char(34),":{",char(34),"guid",char(34),":",char(34),Q2775,char(34),",",char(34),"site",char(34),":",char(34),LOWER('2-Building'!$B$4),char(34),",",char(34),"name",char(34),":",char(34),LOWER(C2775),char(34),"}}"))</f>
        <v>{"asset":{"guid":"uuid://236d8d46-e456-480e-90c0-093c67419e60","site":"in-blr-ananta","name":"em-322"}}</v>
      </c>
      <c r="S2775" s="366" t="s">
        <v>8581</v>
      </c>
      <c r="T2775" s="330"/>
      <c r="U2775" s="330"/>
      <c r="V2775" s="331"/>
      <c r="W2775" s="332"/>
      <c r="X2775" s="333"/>
      <c r="Y2775" s="33" t="s">
        <v>8076</v>
      </c>
      <c r="Z2775" s="368"/>
      <c r="AA2775" s="333"/>
      <c r="AB2775" s="258">
        <v>5.0</v>
      </c>
      <c r="AC2775" s="333"/>
      <c r="AD2775" s="329"/>
      <c r="AE2775" s="331"/>
      <c r="AF2775" s="336"/>
      <c r="AG2775" s="337"/>
      <c r="AH2775" s="333"/>
      <c r="AI2775" s="333"/>
      <c r="AJ2775" s="333"/>
      <c r="AK2775" s="333"/>
      <c r="AL2775" s="333"/>
      <c r="AM2775" s="338"/>
      <c r="AN2775" s="333"/>
      <c r="AO2775" s="333"/>
      <c r="AP2775" s="333"/>
      <c r="AQ2775" s="333"/>
      <c r="AR2775" s="333"/>
      <c r="AS2775" s="333"/>
      <c r="AT2775" s="333"/>
      <c r="AU2775" s="329"/>
      <c r="AV2775" s="341"/>
      <c r="AW2775" s="269"/>
      <c r="AX2775" s="269" t="s">
        <v>2869</v>
      </c>
      <c r="AY2775" s="270" t="s">
        <v>695</v>
      </c>
      <c r="AZ2775" s="379"/>
      <c r="BA2775" s="265">
        <v>10.0</v>
      </c>
      <c r="BB2775" s="367"/>
      <c r="BC2775" s="341"/>
      <c r="BD2775" s="308" t="s">
        <v>1844</v>
      </c>
      <c r="BE2775" s="378"/>
      <c r="BF2775" s="274" t="str">
        <f>IFERROR(__xludf.DUMMYFUNCTION("LOWER(Regexreplace(to_text(E2775),""[^A-Za-z0-9]"","""")&amp;""_""&amp;Regexreplace(to_text(F2775),""[^A-Za-z0-9]"",""""))"),"schneider_easylogicem6436hrs")</f>
        <v>schneider_easylogicem6436hrs</v>
      </c>
      <c r="BG2775" s="275" t="str">
        <f>IFERROR(__xludf.DUMMYFUNCTION("upper(Regexreplace(to_text(E2775),""[^A-Za-z0-9]"","""")&amp;""-""&amp;Regexreplace(to_text(F2775),""[^A-Za-z0-9]"",""""))"),"SCHNEIDER-EASYLOGICEM6436HRS")</f>
        <v>SCHNEIDER-EASYLOGICEM6436HRS</v>
      </c>
    </row>
    <row r="2776" ht="30.0" customHeight="1">
      <c r="A2776" s="258"/>
      <c r="B2776" s="328" t="s">
        <v>670</v>
      </c>
      <c r="C2776" s="257" t="s">
        <v>8827</v>
      </c>
      <c r="D2776" s="173" t="s">
        <v>8827</v>
      </c>
      <c r="E2776" s="174" t="s">
        <v>8070</v>
      </c>
      <c r="F2776" s="173" t="s">
        <v>8078</v>
      </c>
      <c r="G2776" s="328" t="s">
        <v>673</v>
      </c>
      <c r="H2776" s="328" t="s">
        <v>2863</v>
      </c>
      <c r="I2776" s="258" t="s">
        <v>8072</v>
      </c>
      <c r="J2776" s="259" t="s">
        <v>1088</v>
      </c>
      <c r="K2776" s="260">
        <v>556.0</v>
      </c>
      <c r="L2776" s="365"/>
      <c r="M2776" s="329"/>
      <c r="N2776" s="173" t="s">
        <v>679</v>
      </c>
      <c r="O2776" s="173" t="s">
        <v>225</v>
      </c>
      <c r="P2776" s="262" t="str">
        <f t="shared" si="1"/>
        <v>IN-BLR-ANANTA-EM-323_5</v>
      </c>
      <c r="Q2776" s="173" t="s">
        <v>8828</v>
      </c>
      <c r="R2776" s="328" t="str">
        <f>IFS(C2776="","",C2776="n/a","N/A",LEN(C2776),Concatenate("{",char(34),"asset",char(34),":{",char(34),"guid",char(34),":",char(34),Q2776,char(34),",",char(34),"site",char(34),":",char(34),LOWER('2-Building'!$B$4),char(34),",",char(34),"name",char(34),":",char(34),LOWER(C2776),char(34),"}}"))</f>
        <v>{"asset":{"guid":"uuid://1dde354c-51a0-407d-8e72-91428cae0ba6","site":"in-blr-ananta","name":"em-323"}}</v>
      </c>
      <c r="S2776" s="366" t="s">
        <v>8581</v>
      </c>
      <c r="T2776" s="330"/>
      <c r="U2776" s="330"/>
      <c r="V2776" s="331"/>
      <c r="W2776" s="332"/>
      <c r="X2776" s="333"/>
      <c r="Y2776" s="33" t="s">
        <v>8076</v>
      </c>
      <c r="Z2776" s="368"/>
      <c r="AA2776" s="333"/>
      <c r="AB2776" s="258">
        <v>6.0</v>
      </c>
      <c r="AC2776" s="333"/>
      <c r="AD2776" s="329"/>
      <c r="AE2776" s="331"/>
      <c r="AF2776" s="336"/>
      <c r="AG2776" s="337"/>
      <c r="AH2776" s="333"/>
      <c r="AI2776" s="333"/>
      <c r="AJ2776" s="333"/>
      <c r="AK2776" s="333"/>
      <c r="AL2776" s="333"/>
      <c r="AM2776" s="338"/>
      <c r="AN2776" s="333"/>
      <c r="AO2776" s="333"/>
      <c r="AP2776" s="333"/>
      <c r="AQ2776" s="333"/>
      <c r="AR2776" s="333"/>
      <c r="AS2776" s="333"/>
      <c r="AT2776" s="333"/>
      <c r="AU2776" s="329"/>
      <c r="AV2776" s="341"/>
      <c r="AW2776" s="269"/>
      <c r="AX2776" s="269" t="s">
        <v>2869</v>
      </c>
      <c r="AY2776" s="270" t="s">
        <v>695</v>
      </c>
      <c r="AZ2776" s="379"/>
      <c r="BA2776" s="265">
        <v>10.0</v>
      </c>
      <c r="BB2776" s="367"/>
      <c r="BC2776" s="341"/>
      <c r="BD2776" s="308" t="s">
        <v>1844</v>
      </c>
      <c r="BE2776" s="378"/>
      <c r="BF2776" s="274" t="str">
        <f>IFERROR(__xludf.DUMMYFUNCTION("LOWER(Regexreplace(to_text(E2776),""[^A-Za-z0-9]"","""")&amp;""_""&amp;Regexreplace(to_text(F2776),""[^A-Za-z0-9]"",""""))"),"schneider_easylogicem6436hrs")</f>
        <v>schneider_easylogicem6436hrs</v>
      </c>
      <c r="BG2776" s="275" t="str">
        <f>IFERROR(__xludf.DUMMYFUNCTION("upper(Regexreplace(to_text(E2776),""[^A-Za-z0-9]"","""")&amp;""-""&amp;Regexreplace(to_text(F2776),""[^A-Za-z0-9]"",""""))"),"SCHNEIDER-EASYLOGICEM6436HRS")</f>
        <v>SCHNEIDER-EASYLOGICEM6436HRS</v>
      </c>
    </row>
    <row r="2777" ht="30.0" customHeight="1">
      <c r="A2777" s="258"/>
      <c r="B2777" s="328" t="s">
        <v>670</v>
      </c>
      <c r="C2777" s="257" t="s">
        <v>8829</v>
      </c>
      <c r="D2777" s="173" t="s">
        <v>8829</v>
      </c>
      <c r="E2777" s="174" t="s">
        <v>8070</v>
      </c>
      <c r="F2777" s="173" t="s">
        <v>8078</v>
      </c>
      <c r="G2777" s="328" t="s">
        <v>673</v>
      </c>
      <c r="H2777" s="328" t="s">
        <v>2863</v>
      </c>
      <c r="I2777" s="258" t="s">
        <v>8072</v>
      </c>
      <c r="J2777" s="259" t="s">
        <v>1149</v>
      </c>
      <c r="K2777" s="260">
        <v>656.0</v>
      </c>
      <c r="L2777" s="365"/>
      <c r="M2777" s="329"/>
      <c r="N2777" s="173" t="s">
        <v>679</v>
      </c>
      <c r="O2777" s="173" t="s">
        <v>225</v>
      </c>
      <c r="P2777" s="262" t="str">
        <f t="shared" si="1"/>
        <v>IN-BLR-ANANTA-EM-324_6</v>
      </c>
      <c r="Q2777" s="173" t="s">
        <v>8830</v>
      </c>
      <c r="R2777" s="328" t="str">
        <f>IFS(C2777="","",C2777="n/a","N/A",LEN(C2777),Concatenate("{",char(34),"asset",char(34),":{",char(34),"guid",char(34),":",char(34),Q2777,char(34),",",char(34),"site",char(34),":",char(34),LOWER('2-Building'!$B$4),char(34),",",char(34),"name",char(34),":",char(34),LOWER(C2777),char(34),"}}"))</f>
        <v>{"asset":{"guid":"uuid://f562d4e4-89fd-4cb1-9fe9-0432a3414889","site":"in-blr-ananta","name":"em-324"}}</v>
      </c>
      <c r="S2777" s="366" t="s">
        <v>8581</v>
      </c>
      <c r="T2777" s="330"/>
      <c r="U2777" s="330"/>
      <c r="V2777" s="331"/>
      <c r="W2777" s="332"/>
      <c r="X2777" s="333"/>
      <c r="Y2777" s="33" t="s">
        <v>8076</v>
      </c>
      <c r="Z2777" s="368"/>
      <c r="AA2777" s="333"/>
      <c r="AB2777" s="258">
        <v>7.0</v>
      </c>
      <c r="AC2777" s="333"/>
      <c r="AD2777" s="329"/>
      <c r="AE2777" s="331"/>
      <c r="AF2777" s="336"/>
      <c r="AG2777" s="337"/>
      <c r="AH2777" s="333"/>
      <c r="AI2777" s="333"/>
      <c r="AJ2777" s="333"/>
      <c r="AK2777" s="333"/>
      <c r="AL2777" s="333"/>
      <c r="AM2777" s="338"/>
      <c r="AN2777" s="333"/>
      <c r="AO2777" s="333"/>
      <c r="AP2777" s="333"/>
      <c r="AQ2777" s="333"/>
      <c r="AR2777" s="333"/>
      <c r="AS2777" s="333"/>
      <c r="AT2777" s="333"/>
      <c r="AU2777" s="329"/>
      <c r="AV2777" s="341"/>
      <c r="AW2777" s="269"/>
      <c r="AX2777" s="269" t="s">
        <v>2869</v>
      </c>
      <c r="AY2777" s="270" t="s">
        <v>695</v>
      </c>
      <c r="AZ2777" s="379"/>
      <c r="BA2777" s="265">
        <v>10.0</v>
      </c>
      <c r="BB2777" s="367"/>
      <c r="BC2777" s="341"/>
      <c r="BD2777" s="308" t="s">
        <v>1844</v>
      </c>
      <c r="BE2777" s="378"/>
      <c r="BF2777" s="274" t="str">
        <f>IFERROR(__xludf.DUMMYFUNCTION("LOWER(Regexreplace(to_text(E2777),""[^A-Za-z0-9]"","""")&amp;""_""&amp;Regexreplace(to_text(F2777),""[^A-Za-z0-9]"",""""))"),"schneider_easylogicem6436hrs")</f>
        <v>schneider_easylogicem6436hrs</v>
      </c>
      <c r="BG2777" s="275" t="str">
        <f>IFERROR(__xludf.DUMMYFUNCTION("upper(Regexreplace(to_text(E2777),""[^A-Za-z0-9]"","""")&amp;""-""&amp;Regexreplace(to_text(F2777),""[^A-Za-z0-9]"",""""))"),"SCHNEIDER-EASYLOGICEM6436HRS")</f>
        <v>SCHNEIDER-EASYLOGICEM6436HRS</v>
      </c>
    </row>
    <row r="2778" ht="30.0" customHeight="1">
      <c r="A2778" s="258"/>
      <c r="B2778" s="328" t="s">
        <v>670</v>
      </c>
      <c r="C2778" s="257" t="s">
        <v>8831</v>
      </c>
      <c r="D2778" s="173" t="s">
        <v>8831</v>
      </c>
      <c r="E2778" s="174" t="s">
        <v>8070</v>
      </c>
      <c r="F2778" s="173" t="s">
        <v>8078</v>
      </c>
      <c r="G2778" s="328" t="s">
        <v>673</v>
      </c>
      <c r="H2778" s="328" t="s">
        <v>2863</v>
      </c>
      <c r="I2778" s="258" t="s">
        <v>8072</v>
      </c>
      <c r="J2778" s="259" t="s">
        <v>1211</v>
      </c>
      <c r="K2778" s="260">
        <v>756.0</v>
      </c>
      <c r="L2778" s="365"/>
      <c r="M2778" s="329"/>
      <c r="N2778" s="173" t="s">
        <v>679</v>
      </c>
      <c r="O2778" s="173" t="s">
        <v>225</v>
      </c>
      <c r="P2778" s="262" t="str">
        <f t="shared" si="1"/>
        <v>IN-BLR-ANANTA-EM-325_7</v>
      </c>
      <c r="Q2778" s="173" t="s">
        <v>8832</v>
      </c>
      <c r="R2778" s="328" t="str">
        <f>IFS(C2778="","",C2778="n/a","N/A",LEN(C2778),Concatenate("{",char(34),"asset",char(34),":{",char(34),"guid",char(34),":",char(34),Q2778,char(34),",",char(34),"site",char(34),":",char(34),LOWER('2-Building'!$B$4),char(34),",",char(34),"name",char(34),":",char(34),LOWER(C2778),char(34),"}}"))</f>
        <v>{"asset":{"guid":"uuid://378de1a6-7613-47e3-9302-71f697446ecf","site":"in-blr-ananta","name":"em-325"}}</v>
      </c>
      <c r="S2778" s="366" t="s">
        <v>8581</v>
      </c>
      <c r="T2778" s="330"/>
      <c r="U2778" s="330"/>
      <c r="V2778" s="331"/>
      <c r="W2778" s="332"/>
      <c r="X2778" s="333"/>
      <c r="Y2778" s="33" t="s">
        <v>8076</v>
      </c>
      <c r="Z2778" s="368"/>
      <c r="AA2778" s="333"/>
      <c r="AB2778" s="258">
        <v>8.0</v>
      </c>
      <c r="AC2778" s="333"/>
      <c r="AD2778" s="329"/>
      <c r="AE2778" s="331"/>
      <c r="AF2778" s="336"/>
      <c r="AG2778" s="337"/>
      <c r="AH2778" s="333"/>
      <c r="AI2778" s="333"/>
      <c r="AJ2778" s="333"/>
      <c r="AK2778" s="333"/>
      <c r="AL2778" s="333"/>
      <c r="AM2778" s="338"/>
      <c r="AN2778" s="333"/>
      <c r="AO2778" s="333"/>
      <c r="AP2778" s="333"/>
      <c r="AQ2778" s="333"/>
      <c r="AR2778" s="333"/>
      <c r="AS2778" s="333"/>
      <c r="AT2778" s="333"/>
      <c r="AU2778" s="329"/>
      <c r="AV2778" s="341"/>
      <c r="AW2778" s="269"/>
      <c r="AX2778" s="269" t="s">
        <v>2869</v>
      </c>
      <c r="AY2778" s="270" t="s">
        <v>695</v>
      </c>
      <c r="AZ2778" s="379"/>
      <c r="BA2778" s="265">
        <v>10.0</v>
      </c>
      <c r="BB2778" s="367"/>
      <c r="BC2778" s="341"/>
      <c r="BD2778" s="308" t="s">
        <v>1844</v>
      </c>
      <c r="BE2778" s="378"/>
      <c r="BF2778" s="274" t="str">
        <f>IFERROR(__xludf.DUMMYFUNCTION("LOWER(Regexreplace(to_text(E2778),""[^A-Za-z0-9]"","""")&amp;""_""&amp;Regexreplace(to_text(F2778),""[^A-Za-z0-9]"",""""))"),"schneider_easylogicem6436hrs")</f>
        <v>schneider_easylogicem6436hrs</v>
      </c>
      <c r="BG2778" s="275" t="str">
        <f>IFERROR(__xludf.DUMMYFUNCTION("upper(Regexreplace(to_text(E2778),""[^A-Za-z0-9]"","""")&amp;""-""&amp;Regexreplace(to_text(F2778),""[^A-Za-z0-9]"",""""))"),"SCHNEIDER-EASYLOGICEM6436HRS")</f>
        <v>SCHNEIDER-EASYLOGICEM6436HRS</v>
      </c>
    </row>
    <row r="2779" ht="30.0" customHeight="1">
      <c r="A2779" s="258"/>
      <c r="B2779" s="328" t="s">
        <v>670</v>
      </c>
      <c r="C2779" s="257" t="s">
        <v>8833</v>
      </c>
      <c r="D2779" s="173" t="s">
        <v>8833</v>
      </c>
      <c r="E2779" s="174" t="s">
        <v>8070</v>
      </c>
      <c r="F2779" s="173" t="s">
        <v>8078</v>
      </c>
      <c r="G2779" s="328" t="s">
        <v>673</v>
      </c>
      <c r="H2779" s="328" t="s">
        <v>2863</v>
      </c>
      <c r="I2779" s="258" t="s">
        <v>8072</v>
      </c>
      <c r="J2779" s="259" t="s">
        <v>1272</v>
      </c>
      <c r="K2779" s="260">
        <v>856.0</v>
      </c>
      <c r="L2779" s="365"/>
      <c r="M2779" s="329"/>
      <c r="N2779" s="173" t="s">
        <v>679</v>
      </c>
      <c r="O2779" s="173" t="s">
        <v>225</v>
      </c>
      <c r="P2779" s="262" t="str">
        <f t="shared" si="1"/>
        <v>IN-BLR-ANANTA-EM-326_8</v>
      </c>
      <c r="Q2779" s="173" t="s">
        <v>8834</v>
      </c>
      <c r="R2779" s="328" t="str">
        <f>IFS(C2779="","",C2779="n/a","N/A",LEN(C2779),Concatenate("{",char(34),"asset",char(34),":{",char(34),"guid",char(34),":",char(34),Q2779,char(34),",",char(34),"site",char(34),":",char(34),LOWER('2-Building'!$B$4),char(34),",",char(34),"name",char(34),":",char(34),LOWER(C2779),char(34),"}}"))</f>
        <v>{"asset":{"guid":"uuid://8c3fef3d-597e-4ca7-9a16-6c4849d04b55","site":"in-blr-ananta","name":"em-326"}}</v>
      </c>
      <c r="S2779" s="366" t="s">
        <v>8581</v>
      </c>
      <c r="T2779" s="330"/>
      <c r="U2779" s="330"/>
      <c r="V2779" s="331"/>
      <c r="W2779" s="332"/>
      <c r="X2779" s="333"/>
      <c r="Y2779" s="33" t="s">
        <v>8076</v>
      </c>
      <c r="Z2779" s="368"/>
      <c r="AA2779" s="333"/>
      <c r="AB2779" s="258">
        <v>9.0</v>
      </c>
      <c r="AC2779" s="333"/>
      <c r="AD2779" s="329"/>
      <c r="AE2779" s="331"/>
      <c r="AF2779" s="336"/>
      <c r="AG2779" s="337"/>
      <c r="AH2779" s="333"/>
      <c r="AI2779" s="333"/>
      <c r="AJ2779" s="333"/>
      <c r="AK2779" s="333"/>
      <c r="AL2779" s="333"/>
      <c r="AM2779" s="338"/>
      <c r="AN2779" s="333"/>
      <c r="AO2779" s="333"/>
      <c r="AP2779" s="333"/>
      <c r="AQ2779" s="333"/>
      <c r="AR2779" s="333"/>
      <c r="AS2779" s="333"/>
      <c r="AT2779" s="333"/>
      <c r="AU2779" s="329"/>
      <c r="AV2779" s="341"/>
      <c r="AW2779" s="269"/>
      <c r="AX2779" s="269" t="s">
        <v>2869</v>
      </c>
      <c r="AY2779" s="270" t="s">
        <v>695</v>
      </c>
      <c r="AZ2779" s="379"/>
      <c r="BA2779" s="265">
        <v>10.0</v>
      </c>
      <c r="BB2779" s="367"/>
      <c r="BC2779" s="341"/>
      <c r="BD2779" s="308" t="s">
        <v>1844</v>
      </c>
      <c r="BE2779" s="378"/>
      <c r="BF2779" s="274" t="str">
        <f>IFERROR(__xludf.DUMMYFUNCTION("LOWER(Regexreplace(to_text(E2779),""[^A-Za-z0-9]"","""")&amp;""_""&amp;Regexreplace(to_text(F2779),""[^A-Za-z0-9]"",""""))"),"schneider_easylogicem6436hrs")</f>
        <v>schneider_easylogicem6436hrs</v>
      </c>
      <c r="BG2779" s="275" t="str">
        <f>IFERROR(__xludf.DUMMYFUNCTION("upper(Regexreplace(to_text(E2779),""[^A-Za-z0-9]"","""")&amp;""-""&amp;Regexreplace(to_text(F2779),""[^A-Za-z0-9]"",""""))"),"SCHNEIDER-EASYLOGICEM6436HRS")</f>
        <v>SCHNEIDER-EASYLOGICEM6436HRS</v>
      </c>
    </row>
    <row r="2780" ht="30.0" customHeight="1">
      <c r="A2780" s="258"/>
      <c r="B2780" s="328" t="s">
        <v>670</v>
      </c>
      <c r="C2780" s="257" t="s">
        <v>8835</v>
      </c>
      <c r="D2780" s="173" t="s">
        <v>8835</v>
      </c>
      <c r="E2780" s="174" t="s">
        <v>8070</v>
      </c>
      <c r="F2780" s="173" t="s">
        <v>8078</v>
      </c>
      <c r="G2780" s="328" t="s">
        <v>673</v>
      </c>
      <c r="H2780" s="328" t="s">
        <v>2863</v>
      </c>
      <c r="I2780" s="258" t="s">
        <v>8072</v>
      </c>
      <c r="J2780" s="259" t="s">
        <v>1333</v>
      </c>
      <c r="K2780" s="260">
        <v>956.0</v>
      </c>
      <c r="L2780" s="365"/>
      <c r="M2780" s="329"/>
      <c r="N2780" s="173" t="s">
        <v>679</v>
      </c>
      <c r="O2780" s="173" t="s">
        <v>225</v>
      </c>
      <c r="P2780" s="262" t="str">
        <f t="shared" si="1"/>
        <v>IN-BLR-ANANTA-EM-327_9</v>
      </c>
      <c r="Q2780" s="173" t="s">
        <v>8836</v>
      </c>
      <c r="R2780" s="328" t="str">
        <f>IFS(C2780="","",C2780="n/a","N/A",LEN(C2780),Concatenate("{",char(34),"asset",char(34),":{",char(34),"guid",char(34),":",char(34),Q2780,char(34),",",char(34),"site",char(34),":",char(34),LOWER('2-Building'!$B$4),char(34),",",char(34),"name",char(34),":",char(34),LOWER(C2780),char(34),"}}"))</f>
        <v>{"asset":{"guid":"uuid://199900dd-24a5-469f-bf0f-3dac4fac2a0d","site":"in-blr-ananta","name":"em-327"}}</v>
      </c>
      <c r="S2780" s="366" t="s">
        <v>8581</v>
      </c>
      <c r="T2780" s="330"/>
      <c r="U2780" s="330"/>
      <c r="V2780" s="331"/>
      <c r="W2780" s="332"/>
      <c r="X2780" s="333"/>
      <c r="Y2780" s="33" t="s">
        <v>8076</v>
      </c>
      <c r="Z2780" s="368"/>
      <c r="AA2780" s="333"/>
      <c r="AB2780" s="258">
        <v>10.0</v>
      </c>
      <c r="AC2780" s="333"/>
      <c r="AD2780" s="329"/>
      <c r="AE2780" s="331"/>
      <c r="AF2780" s="336"/>
      <c r="AG2780" s="337"/>
      <c r="AH2780" s="333"/>
      <c r="AI2780" s="333"/>
      <c r="AJ2780" s="333"/>
      <c r="AK2780" s="333"/>
      <c r="AL2780" s="333"/>
      <c r="AM2780" s="338"/>
      <c r="AN2780" s="333"/>
      <c r="AO2780" s="333"/>
      <c r="AP2780" s="333"/>
      <c r="AQ2780" s="333"/>
      <c r="AR2780" s="333"/>
      <c r="AS2780" s="333"/>
      <c r="AT2780" s="333"/>
      <c r="AU2780" s="329"/>
      <c r="AV2780" s="341"/>
      <c r="AW2780" s="269"/>
      <c r="AX2780" s="269" t="s">
        <v>2869</v>
      </c>
      <c r="AY2780" s="270" t="s">
        <v>695</v>
      </c>
      <c r="AZ2780" s="379"/>
      <c r="BA2780" s="265">
        <v>10.0</v>
      </c>
      <c r="BB2780" s="367"/>
      <c r="BC2780" s="341"/>
      <c r="BD2780" s="308" t="s">
        <v>1844</v>
      </c>
      <c r="BE2780" s="378"/>
      <c r="BF2780" s="274" t="str">
        <f>IFERROR(__xludf.DUMMYFUNCTION("LOWER(Regexreplace(to_text(E2780),""[^A-Za-z0-9]"","""")&amp;""_""&amp;Regexreplace(to_text(F2780),""[^A-Za-z0-9]"",""""))"),"schneider_easylogicem6436hrs")</f>
        <v>schneider_easylogicem6436hrs</v>
      </c>
      <c r="BG2780" s="275" t="str">
        <f>IFERROR(__xludf.DUMMYFUNCTION("upper(Regexreplace(to_text(E2780),""[^A-Za-z0-9]"","""")&amp;""-""&amp;Regexreplace(to_text(F2780),""[^A-Za-z0-9]"",""""))"),"SCHNEIDER-EASYLOGICEM6436HRS")</f>
        <v>SCHNEIDER-EASYLOGICEM6436HRS</v>
      </c>
    </row>
    <row r="2781" ht="30.0" customHeight="1">
      <c r="A2781" s="258"/>
      <c r="B2781" s="328" t="s">
        <v>670</v>
      </c>
      <c r="C2781" s="257" t="s">
        <v>8837</v>
      </c>
      <c r="D2781" s="173" t="s">
        <v>8837</v>
      </c>
      <c r="E2781" s="174" t="s">
        <v>8070</v>
      </c>
      <c r="F2781" s="173" t="s">
        <v>8078</v>
      </c>
      <c r="G2781" s="328" t="s">
        <v>673</v>
      </c>
      <c r="H2781" s="328" t="s">
        <v>2863</v>
      </c>
      <c r="I2781" s="258" t="s">
        <v>8072</v>
      </c>
      <c r="J2781" s="259" t="s">
        <v>1393</v>
      </c>
      <c r="K2781" s="260">
        <v>1056.0</v>
      </c>
      <c r="L2781" s="365"/>
      <c r="M2781" s="329"/>
      <c r="N2781" s="173" t="s">
        <v>679</v>
      </c>
      <c r="O2781" s="173" t="s">
        <v>225</v>
      </c>
      <c r="P2781" s="262" t="str">
        <f t="shared" si="1"/>
        <v>IN-BLR-ANANTA-EM-328_10</v>
      </c>
      <c r="Q2781" s="173" t="s">
        <v>8838</v>
      </c>
      <c r="R2781" s="328" t="str">
        <f>IFS(C2781="","",C2781="n/a","N/A",LEN(C2781),Concatenate("{",char(34),"asset",char(34),":{",char(34),"guid",char(34),":",char(34),Q2781,char(34),",",char(34),"site",char(34),":",char(34),LOWER('2-Building'!$B$4),char(34),",",char(34),"name",char(34),":",char(34),LOWER(C2781),char(34),"}}"))</f>
        <v>{"asset":{"guid":"uuid://9c20d835-7f2c-46e5-9eb3-8bf6cb67651b","site":"in-blr-ananta","name":"em-328"}}</v>
      </c>
      <c r="S2781" s="366" t="s">
        <v>8581</v>
      </c>
      <c r="T2781" s="330"/>
      <c r="U2781" s="330"/>
      <c r="V2781" s="331"/>
      <c r="W2781" s="332"/>
      <c r="X2781" s="333"/>
      <c r="Y2781" s="33" t="s">
        <v>8076</v>
      </c>
      <c r="Z2781" s="368"/>
      <c r="AA2781" s="333"/>
      <c r="AB2781" s="258">
        <v>11.0</v>
      </c>
      <c r="AC2781" s="333"/>
      <c r="AD2781" s="329"/>
      <c r="AE2781" s="331"/>
      <c r="AF2781" s="336"/>
      <c r="AG2781" s="337"/>
      <c r="AH2781" s="333"/>
      <c r="AI2781" s="333"/>
      <c r="AJ2781" s="333"/>
      <c r="AK2781" s="333"/>
      <c r="AL2781" s="333"/>
      <c r="AM2781" s="338"/>
      <c r="AN2781" s="333"/>
      <c r="AO2781" s="333"/>
      <c r="AP2781" s="333"/>
      <c r="AQ2781" s="333"/>
      <c r="AR2781" s="333"/>
      <c r="AS2781" s="333"/>
      <c r="AT2781" s="333"/>
      <c r="AU2781" s="329"/>
      <c r="AV2781" s="341"/>
      <c r="AW2781" s="269"/>
      <c r="AX2781" s="269" t="s">
        <v>2869</v>
      </c>
      <c r="AY2781" s="270" t="s">
        <v>695</v>
      </c>
      <c r="AZ2781" s="379"/>
      <c r="BA2781" s="265">
        <v>10.0</v>
      </c>
      <c r="BB2781" s="367"/>
      <c r="BC2781" s="341"/>
      <c r="BD2781" s="308" t="s">
        <v>1844</v>
      </c>
      <c r="BE2781" s="378"/>
      <c r="BF2781" s="274" t="str">
        <f>IFERROR(__xludf.DUMMYFUNCTION("LOWER(Regexreplace(to_text(E2781),""[^A-Za-z0-9]"","""")&amp;""_""&amp;Regexreplace(to_text(F2781),""[^A-Za-z0-9]"",""""))"),"schneider_easylogicem6436hrs")</f>
        <v>schneider_easylogicem6436hrs</v>
      </c>
      <c r="BG2781" s="275" t="str">
        <f>IFERROR(__xludf.DUMMYFUNCTION("upper(Regexreplace(to_text(E2781),""[^A-Za-z0-9]"","""")&amp;""-""&amp;Regexreplace(to_text(F2781),""[^A-Za-z0-9]"",""""))"),"SCHNEIDER-EASYLOGICEM6436HRS")</f>
        <v>SCHNEIDER-EASYLOGICEM6436HRS</v>
      </c>
    </row>
    <row r="2782" ht="30.0" customHeight="1">
      <c r="A2782" s="258"/>
      <c r="B2782" s="328" t="s">
        <v>670</v>
      </c>
      <c r="C2782" s="257" t="s">
        <v>8839</v>
      </c>
      <c r="D2782" s="173" t="s">
        <v>8839</v>
      </c>
      <c r="E2782" s="174" t="s">
        <v>8070</v>
      </c>
      <c r="F2782" s="173" t="s">
        <v>8078</v>
      </c>
      <c r="G2782" s="328" t="s">
        <v>673</v>
      </c>
      <c r="H2782" s="328" t="s">
        <v>2863</v>
      </c>
      <c r="I2782" s="258" t="s">
        <v>8072</v>
      </c>
      <c r="J2782" s="259" t="s">
        <v>1453</v>
      </c>
      <c r="K2782" s="260">
        <v>1156.0</v>
      </c>
      <c r="L2782" s="365"/>
      <c r="M2782" s="329"/>
      <c r="N2782" s="173" t="s">
        <v>679</v>
      </c>
      <c r="O2782" s="173" t="s">
        <v>225</v>
      </c>
      <c r="P2782" s="262" t="str">
        <f t="shared" si="1"/>
        <v>IN-BLR-ANANTA-EM-329_11</v>
      </c>
      <c r="Q2782" s="173" t="s">
        <v>8840</v>
      </c>
      <c r="R2782" s="328" t="str">
        <f>IFS(C2782="","",C2782="n/a","N/A",LEN(C2782),Concatenate("{",char(34),"asset",char(34),":{",char(34),"guid",char(34),":",char(34),Q2782,char(34),",",char(34),"site",char(34),":",char(34),LOWER('2-Building'!$B$4),char(34),",",char(34),"name",char(34),":",char(34),LOWER(C2782),char(34),"}}"))</f>
        <v>{"asset":{"guid":"uuid://ef40aa13-5bf1-4ede-a8d7-24e4e8003c1d","site":"in-blr-ananta","name":"em-329"}}</v>
      </c>
      <c r="S2782" s="366" t="s">
        <v>8581</v>
      </c>
      <c r="T2782" s="330"/>
      <c r="U2782" s="330"/>
      <c r="V2782" s="331"/>
      <c r="W2782" s="332"/>
      <c r="X2782" s="333"/>
      <c r="Y2782" s="33" t="s">
        <v>8076</v>
      </c>
      <c r="Z2782" s="368"/>
      <c r="AA2782" s="333"/>
      <c r="AB2782" s="258">
        <v>12.0</v>
      </c>
      <c r="AC2782" s="333"/>
      <c r="AD2782" s="329"/>
      <c r="AE2782" s="331"/>
      <c r="AF2782" s="336"/>
      <c r="AG2782" s="337"/>
      <c r="AH2782" s="333"/>
      <c r="AI2782" s="333"/>
      <c r="AJ2782" s="333"/>
      <c r="AK2782" s="333"/>
      <c r="AL2782" s="333"/>
      <c r="AM2782" s="338"/>
      <c r="AN2782" s="333"/>
      <c r="AO2782" s="333"/>
      <c r="AP2782" s="333"/>
      <c r="AQ2782" s="333"/>
      <c r="AR2782" s="333"/>
      <c r="AS2782" s="333"/>
      <c r="AT2782" s="333"/>
      <c r="AU2782" s="329"/>
      <c r="AV2782" s="341"/>
      <c r="AW2782" s="269"/>
      <c r="AX2782" s="269" t="s">
        <v>2869</v>
      </c>
      <c r="AY2782" s="270" t="s">
        <v>695</v>
      </c>
      <c r="AZ2782" s="379"/>
      <c r="BA2782" s="265">
        <v>10.0</v>
      </c>
      <c r="BB2782" s="367"/>
      <c r="BC2782" s="341"/>
      <c r="BD2782" s="308" t="s">
        <v>1844</v>
      </c>
      <c r="BE2782" s="378"/>
      <c r="BF2782" s="274" t="str">
        <f>IFERROR(__xludf.DUMMYFUNCTION("LOWER(Regexreplace(to_text(E2782),""[^A-Za-z0-9]"","""")&amp;""_""&amp;Regexreplace(to_text(F2782),""[^A-Za-z0-9]"",""""))"),"schneider_easylogicem6436hrs")</f>
        <v>schneider_easylogicem6436hrs</v>
      </c>
      <c r="BG2782" s="275" t="str">
        <f>IFERROR(__xludf.DUMMYFUNCTION("upper(Regexreplace(to_text(E2782),""[^A-Za-z0-9]"","""")&amp;""-""&amp;Regexreplace(to_text(F2782),""[^A-Za-z0-9]"",""""))"),"SCHNEIDER-EASYLOGICEM6436HRS")</f>
        <v>SCHNEIDER-EASYLOGICEM6436HRS</v>
      </c>
    </row>
    <row r="2783" ht="30.0" customHeight="1">
      <c r="A2783" s="258"/>
      <c r="B2783" s="328" t="s">
        <v>670</v>
      </c>
      <c r="C2783" s="257" t="s">
        <v>8841</v>
      </c>
      <c r="D2783" s="173" t="s">
        <v>8841</v>
      </c>
      <c r="E2783" s="174" t="s">
        <v>8070</v>
      </c>
      <c r="F2783" s="173" t="s">
        <v>8078</v>
      </c>
      <c r="G2783" s="328" t="s">
        <v>673</v>
      </c>
      <c r="H2783" s="328" t="s">
        <v>2863</v>
      </c>
      <c r="I2783" s="258" t="s">
        <v>8072</v>
      </c>
      <c r="J2783" s="259" t="s">
        <v>739</v>
      </c>
      <c r="K2783" s="260" t="s">
        <v>8087</v>
      </c>
      <c r="L2783" s="365"/>
      <c r="M2783" s="329"/>
      <c r="N2783" s="173" t="s">
        <v>679</v>
      </c>
      <c r="O2783" s="173" t="s">
        <v>225</v>
      </c>
      <c r="P2783" s="262" t="str">
        <f t="shared" si="1"/>
        <v>IN-BLR-ANANTA-EM-330_G</v>
      </c>
      <c r="Q2783" s="173" t="s">
        <v>8842</v>
      </c>
      <c r="R2783" s="328" t="str">
        <f>IFS(C2783="","",C2783="n/a","N/A",LEN(C2783),Concatenate("{",char(34),"asset",char(34),":{",char(34),"guid",char(34),":",char(34),Q2783,char(34),",",char(34),"site",char(34),":",char(34),LOWER('2-Building'!$B$4),char(34),",",char(34),"name",char(34),":",char(34),LOWER(C2783),char(34),"}}"))</f>
        <v>{"asset":{"guid":"uuid://e7d778b2-e03c-4941-853b-8dab2984bf58","site":"in-blr-ananta","name":"em-330"}}</v>
      </c>
      <c r="S2783" s="366" t="s">
        <v>8581</v>
      </c>
      <c r="T2783" s="330"/>
      <c r="U2783" s="330"/>
      <c r="V2783" s="331"/>
      <c r="W2783" s="332"/>
      <c r="X2783" s="333"/>
      <c r="Y2783" s="33" t="s">
        <v>8076</v>
      </c>
      <c r="Z2783" s="368"/>
      <c r="AA2783" s="333"/>
      <c r="AB2783" s="258">
        <v>1.0</v>
      </c>
      <c r="AC2783" s="333"/>
      <c r="AD2783" s="329"/>
      <c r="AE2783" s="331"/>
      <c r="AF2783" s="336"/>
      <c r="AG2783" s="337"/>
      <c r="AH2783" s="333"/>
      <c r="AI2783" s="333"/>
      <c r="AJ2783" s="333"/>
      <c r="AK2783" s="333"/>
      <c r="AL2783" s="333"/>
      <c r="AM2783" s="338"/>
      <c r="AN2783" s="333"/>
      <c r="AO2783" s="333"/>
      <c r="AP2783" s="333"/>
      <c r="AQ2783" s="333"/>
      <c r="AR2783" s="333"/>
      <c r="AS2783" s="333"/>
      <c r="AT2783" s="333"/>
      <c r="AU2783" s="329"/>
      <c r="AV2783" s="341"/>
      <c r="AW2783" s="269"/>
      <c r="AX2783" s="269" t="s">
        <v>2869</v>
      </c>
      <c r="AY2783" s="270" t="s">
        <v>695</v>
      </c>
      <c r="AZ2783" s="379"/>
      <c r="BA2783" s="265">
        <v>10.0</v>
      </c>
      <c r="BB2783" s="367"/>
      <c r="BC2783" s="341"/>
      <c r="BD2783" s="308" t="s">
        <v>1844</v>
      </c>
      <c r="BE2783" s="378"/>
      <c r="BF2783" s="274" t="str">
        <f>IFERROR(__xludf.DUMMYFUNCTION("LOWER(Regexreplace(to_text(E2783),""[^A-Za-z0-9]"","""")&amp;""_""&amp;Regexreplace(to_text(F2783),""[^A-Za-z0-9]"",""""))"),"schneider_easylogicem6436hrs")</f>
        <v>schneider_easylogicem6436hrs</v>
      </c>
      <c r="BG2783" s="275" t="str">
        <f>IFERROR(__xludf.DUMMYFUNCTION("upper(Regexreplace(to_text(E2783),""[^A-Za-z0-9]"","""")&amp;""-""&amp;Regexreplace(to_text(F2783),""[^A-Za-z0-9]"",""""))"),"SCHNEIDER-EASYLOGICEM6436HRS")</f>
        <v>SCHNEIDER-EASYLOGICEM6436HRS</v>
      </c>
    </row>
    <row r="2784" ht="30.0" customHeight="1">
      <c r="A2784" s="258"/>
      <c r="B2784" s="328" t="s">
        <v>670</v>
      </c>
      <c r="C2784" s="257" t="s">
        <v>8843</v>
      </c>
      <c r="D2784" s="173" t="s">
        <v>8843</v>
      </c>
      <c r="E2784" s="174" t="s">
        <v>8070</v>
      </c>
      <c r="F2784" s="173" t="s">
        <v>8078</v>
      </c>
      <c r="G2784" s="328" t="s">
        <v>673</v>
      </c>
      <c r="H2784" s="328" t="s">
        <v>2863</v>
      </c>
      <c r="I2784" s="258" t="s">
        <v>8072</v>
      </c>
      <c r="J2784" s="259" t="s">
        <v>846</v>
      </c>
      <c r="K2784" s="260">
        <v>170.0</v>
      </c>
      <c r="L2784" s="365"/>
      <c r="M2784" s="329"/>
      <c r="N2784" s="173" t="s">
        <v>679</v>
      </c>
      <c r="O2784" s="173" t="s">
        <v>225</v>
      </c>
      <c r="P2784" s="262" t="str">
        <f t="shared" si="1"/>
        <v>IN-BLR-ANANTA-EM-331_1</v>
      </c>
      <c r="Q2784" s="173" t="s">
        <v>8844</v>
      </c>
      <c r="R2784" s="328" t="str">
        <f>IFS(C2784="","",C2784="n/a","N/A",LEN(C2784),Concatenate("{",char(34),"asset",char(34),":{",char(34),"guid",char(34),":",char(34),Q2784,char(34),",",char(34),"site",char(34),":",char(34),LOWER('2-Building'!$B$4),char(34),",",char(34),"name",char(34),":",char(34),LOWER(C2784),char(34),"}}"))</f>
        <v>{"asset":{"guid":"uuid://b9a72bb1-d08d-46f2-babe-45d98f364b24","site":"in-blr-ananta","name":"em-331"}}</v>
      </c>
      <c r="S2784" s="366" t="s">
        <v>8581</v>
      </c>
      <c r="T2784" s="330"/>
      <c r="U2784" s="330"/>
      <c r="V2784" s="331"/>
      <c r="W2784" s="332"/>
      <c r="X2784" s="333"/>
      <c r="Y2784" s="33" t="s">
        <v>8076</v>
      </c>
      <c r="Z2784" s="368"/>
      <c r="AA2784" s="333"/>
      <c r="AB2784" s="258">
        <v>2.0</v>
      </c>
      <c r="AC2784" s="333"/>
      <c r="AD2784" s="329"/>
      <c r="AE2784" s="331"/>
      <c r="AF2784" s="336"/>
      <c r="AG2784" s="337"/>
      <c r="AH2784" s="333"/>
      <c r="AI2784" s="333"/>
      <c r="AJ2784" s="333"/>
      <c r="AK2784" s="333"/>
      <c r="AL2784" s="333"/>
      <c r="AM2784" s="338"/>
      <c r="AN2784" s="333"/>
      <c r="AO2784" s="333"/>
      <c r="AP2784" s="333"/>
      <c r="AQ2784" s="333"/>
      <c r="AR2784" s="333"/>
      <c r="AS2784" s="333"/>
      <c r="AT2784" s="333"/>
      <c r="AU2784" s="329"/>
      <c r="AV2784" s="341"/>
      <c r="AW2784" s="269"/>
      <c r="AX2784" s="269" t="s">
        <v>2869</v>
      </c>
      <c r="AY2784" s="270" t="s">
        <v>695</v>
      </c>
      <c r="AZ2784" s="379"/>
      <c r="BA2784" s="265">
        <v>10.0</v>
      </c>
      <c r="BB2784" s="367"/>
      <c r="BC2784" s="341"/>
      <c r="BD2784" s="308" t="s">
        <v>1844</v>
      </c>
      <c r="BE2784" s="378"/>
      <c r="BF2784" s="274" t="str">
        <f>IFERROR(__xludf.DUMMYFUNCTION("LOWER(Regexreplace(to_text(E2784),""[^A-Za-z0-9]"","""")&amp;""_""&amp;Regexreplace(to_text(F2784),""[^A-Za-z0-9]"",""""))"),"schneider_easylogicem6436hrs")</f>
        <v>schneider_easylogicem6436hrs</v>
      </c>
      <c r="BG2784" s="275" t="str">
        <f>IFERROR(__xludf.DUMMYFUNCTION("upper(Regexreplace(to_text(E2784),""[^A-Za-z0-9]"","""")&amp;""-""&amp;Regexreplace(to_text(F2784),""[^A-Za-z0-9]"",""""))"),"SCHNEIDER-EASYLOGICEM6436HRS")</f>
        <v>SCHNEIDER-EASYLOGICEM6436HRS</v>
      </c>
    </row>
    <row r="2785" ht="30.0" customHeight="1">
      <c r="A2785" s="258"/>
      <c r="B2785" s="328" t="s">
        <v>670</v>
      </c>
      <c r="C2785" s="257" t="s">
        <v>8845</v>
      </c>
      <c r="D2785" s="173" t="s">
        <v>8845</v>
      </c>
      <c r="E2785" s="174" t="s">
        <v>8070</v>
      </c>
      <c r="F2785" s="173" t="s">
        <v>8078</v>
      </c>
      <c r="G2785" s="328" t="s">
        <v>673</v>
      </c>
      <c r="H2785" s="328" t="s">
        <v>2863</v>
      </c>
      <c r="I2785" s="258" t="s">
        <v>8072</v>
      </c>
      <c r="J2785" s="259" t="s">
        <v>846</v>
      </c>
      <c r="K2785" s="260">
        <v>170.0</v>
      </c>
      <c r="L2785" s="365"/>
      <c r="M2785" s="329"/>
      <c r="N2785" s="173" t="s">
        <v>679</v>
      </c>
      <c r="O2785" s="173" t="s">
        <v>225</v>
      </c>
      <c r="P2785" s="262" t="str">
        <f t="shared" si="1"/>
        <v>IN-BLR-ANANTA-EM-332_1</v>
      </c>
      <c r="Q2785" s="173" t="s">
        <v>8846</v>
      </c>
      <c r="R2785" s="328" t="str">
        <f>IFS(C2785="","",C2785="n/a","N/A",LEN(C2785),Concatenate("{",char(34),"asset",char(34),":{",char(34),"guid",char(34),":",char(34),Q2785,char(34),",",char(34),"site",char(34),":",char(34),LOWER('2-Building'!$B$4),char(34),",",char(34),"name",char(34),":",char(34),LOWER(C2785),char(34),"}}"))</f>
        <v>{"asset":{"guid":"uuid://ddd12cb5-f9b4-4cf3-8566-986af64d4bbb","site":"in-blr-ananta","name":"em-332"}}</v>
      </c>
      <c r="S2785" s="366" t="s">
        <v>8581</v>
      </c>
      <c r="T2785" s="330"/>
      <c r="U2785" s="330"/>
      <c r="V2785" s="331"/>
      <c r="W2785" s="332"/>
      <c r="X2785" s="333"/>
      <c r="Y2785" s="33" t="s">
        <v>8076</v>
      </c>
      <c r="Z2785" s="368"/>
      <c r="AA2785" s="333"/>
      <c r="AB2785" s="258">
        <v>3.0</v>
      </c>
      <c r="AC2785" s="333"/>
      <c r="AD2785" s="329"/>
      <c r="AE2785" s="331"/>
      <c r="AF2785" s="336"/>
      <c r="AG2785" s="337"/>
      <c r="AH2785" s="333"/>
      <c r="AI2785" s="333"/>
      <c r="AJ2785" s="333"/>
      <c r="AK2785" s="333"/>
      <c r="AL2785" s="333"/>
      <c r="AM2785" s="338"/>
      <c r="AN2785" s="333"/>
      <c r="AO2785" s="333"/>
      <c r="AP2785" s="333"/>
      <c r="AQ2785" s="333"/>
      <c r="AR2785" s="333"/>
      <c r="AS2785" s="333"/>
      <c r="AT2785" s="333"/>
      <c r="AU2785" s="329"/>
      <c r="AV2785" s="341"/>
      <c r="AW2785" s="269"/>
      <c r="AX2785" s="269" t="s">
        <v>2869</v>
      </c>
      <c r="AY2785" s="270" t="s">
        <v>695</v>
      </c>
      <c r="AZ2785" s="379"/>
      <c r="BA2785" s="265">
        <v>10.0</v>
      </c>
      <c r="BB2785" s="367"/>
      <c r="BC2785" s="341"/>
      <c r="BD2785" s="308" t="s">
        <v>1844</v>
      </c>
      <c r="BE2785" s="378"/>
      <c r="BF2785" s="274" t="str">
        <f>IFERROR(__xludf.DUMMYFUNCTION("LOWER(Regexreplace(to_text(E2785),""[^A-Za-z0-9]"","""")&amp;""_""&amp;Regexreplace(to_text(F2785),""[^A-Za-z0-9]"",""""))"),"schneider_easylogicem6436hrs")</f>
        <v>schneider_easylogicem6436hrs</v>
      </c>
      <c r="BG2785" s="275" t="str">
        <f>IFERROR(__xludf.DUMMYFUNCTION("upper(Regexreplace(to_text(E2785),""[^A-Za-z0-9]"","""")&amp;""-""&amp;Regexreplace(to_text(F2785),""[^A-Za-z0-9]"",""""))"),"SCHNEIDER-EASYLOGICEM6436HRS")</f>
        <v>SCHNEIDER-EASYLOGICEM6436HRS</v>
      </c>
    </row>
    <row r="2786" ht="30.0" customHeight="1">
      <c r="A2786" s="258"/>
      <c r="B2786" s="328" t="s">
        <v>670</v>
      </c>
      <c r="C2786" s="257" t="s">
        <v>8847</v>
      </c>
      <c r="D2786" s="173" t="s">
        <v>8847</v>
      </c>
      <c r="E2786" s="174" t="s">
        <v>8070</v>
      </c>
      <c r="F2786" s="173" t="s">
        <v>8078</v>
      </c>
      <c r="G2786" s="328" t="s">
        <v>673</v>
      </c>
      <c r="H2786" s="328" t="s">
        <v>2863</v>
      </c>
      <c r="I2786" s="258" t="s">
        <v>8072</v>
      </c>
      <c r="J2786" s="259" t="s">
        <v>902</v>
      </c>
      <c r="K2786" s="260">
        <v>270.0</v>
      </c>
      <c r="L2786" s="365"/>
      <c r="M2786" s="329"/>
      <c r="N2786" s="173" t="s">
        <v>679</v>
      </c>
      <c r="O2786" s="173" t="s">
        <v>225</v>
      </c>
      <c r="P2786" s="262" t="str">
        <f t="shared" si="1"/>
        <v>IN-BLR-ANANTA-EM-333_2</v>
      </c>
      <c r="Q2786" s="173" t="s">
        <v>8848</v>
      </c>
      <c r="R2786" s="328" t="str">
        <f>IFS(C2786="","",C2786="n/a","N/A",LEN(C2786),Concatenate("{",char(34),"asset",char(34),":{",char(34),"guid",char(34),":",char(34),Q2786,char(34),",",char(34),"site",char(34),":",char(34),LOWER('2-Building'!$B$4),char(34),",",char(34),"name",char(34),":",char(34),LOWER(C2786),char(34),"}}"))</f>
        <v>{"asset":{"guid":"uuid://a4b06254-dadc-4dc4-a2e1-707d4270fa43","site":"in-blr-ananta","name":"em-333"}}</v>
      </c>
      <c r="S2786" s="366" t="s">
        <v>8581</v>
      </c>
      <c r="T2786" s="330"/>
      <c r="U2786" s="330"/>
      <c r="V2786" s="331"/>
      <c r="W2786" s="332"/>
      <c r="X2786" s="333"/>
      <c r="Y2786" s="33" t="s">
        <v>8076</v>
      </c>
      <c r="Z2786" s="368"/>
      <c r="AA2786" s="333"/>
      <c r="AB2786" s="258">
        <v>4.0</v>
      </c>
      <c r="AC2786" s="333"/>
      <c r="AD2786" s="329"/>
      <c r="AE2786" s="331"/>
      <c r="AF2786" s="336"/>
      <c r="AG2786" s="337"/>
      <c r="AH2786" s="333"/>
      <c r="AI2786" s="333"/>
      <c r="AJ2786" s="333"/>
      <c r="AK2786" s="333"/>
      <c r="AL2786" s="333"/>
      <c r="AM2786" s="338"/>
      <c r="AN2786" s="333"/>
      <c r="AO2786" s="333"/>
      <c r="AP2786" s="333"/>
      <c r="AQ2786" s="333"/>
      <c r="AR2786" s="333"/>
      <c r="AS2786" s="333"/>
      <c r="AT2786" s="333"/>
      <c r="AU2786" s="329"/>
      <c r="AV2786" s="341"/>
      <c r="AW2786" s="269"/>
      <c r="AX2786" s="269" t="s">
        <v>2869</v>
      </c>
      <c r="AY2786" s="270" t="s">
        <v>695</v>
      </c>
      <c r="AZ2786" s="379"/>
      <c r="BA2786" s="265">
        <v>10.0</v>
      </c>
      <c r="BB2786" s="367"/>
      <c r="BC2786" s="341"/>
      <c r="BD2786" s="308" t="s">
        <v>1844</v>
      </c>
      <c r="BE2786" s="378"/>
      <c r="BF2786" s="274" t="str">
        <f>IFERROR(__xludf.DUMMYFUNCTION("LOWER(Regexreplace(to_text(E2786),""[^A-Za-z0-9]"","""")&amp;""_""&amp;Regexreplace(to_text(F2786),""[^A-Za-z0-9]"",""""))"),"schneider_easylogicem6436hrs")</f>
        <v>schneider_easylogicem6436hrs</v>
      </c>
      <c r="BG2786" s="275" t="str">
        <f>IFERROR(__xludf.DUMMYFUNCTION("upper(Regexreplace(to_text(E2786),""[^A-Za-z0-9]"","""")&amp;""-""&amp;Regexreplace(to_text(F2786),""[^A-Za-z0-9]"",""""))"),"SCHNEIDER-EASYLOGICEM6436HRS")</f>
        <v>SCHNEIDER-EASYLOGICEM6436HRS</v>
      </c>
    </row>
    <row r="2787" ht="30.0" customHeight="1">
      <c r="A2787" s="258"/>
      <c r="B2787" s="328" t="s">
        <v>670</v>
      </c>
      <c r="C2787" s="257" t="s">
        <v>8849</v>
      </c>
      <c r="D2787" s="173" t="s">
        <v>8849</v>
      </c>
      <c r="E2787" s="174" t="s">
        <v>8070</v>
      </c>
      <c r="F2787" s="173" t="s">
        <v>8078</v>
      </c>
      <c r="G2787" s="328" t="s">
        <v>673</v>
      </c>
      <c r="H2787" s="328" t="s">
        <v>2863</v>
      </c>
      <c r="I2787" s="258" t="s">
        <v>8072</v>
      </c>
      <c r="J2787" s="259" t="s">
        <v>902</v>
      </c>
      <c r="K2787" s="260">
        <v>270.0</v>
      </c>
      <c r="L2787" s="365"/>
      <c r="M2787" s="329"/>
      <c r="N2787" s="173" t="s">
        <v>679</v>
      </c>
      <c r="O2787" s="173" t="s">
        <v>225</v>
      </c>
      <c r="P2787" s="262" t="str">
        <f t="shared" si="1"/>
        <v>IN-BLR-ANANTA-EM-334_2</v>
      </c>
      <c r="Q2787" s="173" t="s">
        <v>8850</v>
      </c>
      <c r="R2787" s="328" t="str">
        <f>IFS(C2787="","",C2787="n/a","N/A",LEN(C2787),Concatenate("{",char(34),"asset",char(34),":{",char(34),"guid",char(34),":",char(34),Q2787,char(34),",",char(34),"site",char(34),":",char(34),LOWER('2-Building'!$B$4),char(34),",",char(34),"name",char(34),":",char(34),LOWER(C2787),char(34),"}}"))</f>
        <v>{"asset":{"guid":"uuid://989bb3b9-fa36-4adb-827a-7bc1c87be84b","site":"in-blr-ananta","name":"em-334"}}</v>
      </c>
      <c r="S2787" s="366" t="s">
        <v>8581</v>
      </c>
      <c r="T2787" s="330"/>
      <c r="U2787" s="330"/>
      <c r="V2787" s="331"/>
      <c r="W2787" s="332"/>
      <c r="X2787" s="333"/>
      <c r="Y2787" s="33" t="s">
        <v>8076</v>
      </c>
      <c r="Z2787" s="368"/>
      <c r="AA2787" s="333"/>
      <c r="AB2787" s="258">
        <v>5.0</v>
      </c>
      <c r="AC2787" s="333"/>
      <c r="AD2787" s="329"/>
      <c r="AE2787" s="331"/>
      <c r="AF2787" s="336"/>
      <c r="AG2787" s="337"/>
      <c r="AH2787" s="333"/>
      <c r="AI2787" s="333"/>
      <c r="AJ2787" s="333"/>
      <c r="AK2787" s="333"/>
      <c r="AL2787" s="333"/>
      <c r="AM2787" s="338"/>
      <c r="AN2787" s="333"/>
      <c r="AO2787" s="333"/>
      <c r="AP2787" s="333"/>
      <c r="AQ2787" s="333"/>
      <c r="AR2787" s="333"/>
      <c r="AS2787" s="333"/>
      <c r="AT2787" s="333"/>
      <c r="AU2787" s="329"/>
      <c r="AV2787" s="341"/>
      <c r="AW2787" s="269"/>
      <c r="AX2787" s="269" t="s">
        <v>2869</v>
      </c>
      <c r="AY2787" s="270" t="s">
        <v>695</v>
      </c>
      <c r="AZ2787" s="379"/>
      <c r="BA2787" s="265">
        <v>10.0</v>
      </c>
      <c r="BB2787" s="367"/>
      <c r="BC2787" s="341"/>
      <c r="BD2787" s="308" t="s">
        <v>1844</v>
      </c>
      <c r="BE2787" s="378"/>
      <c r="BF2787" s="274" t="str">
        <f>IFERROR(__xludf.DUMMYFUNCTION("LOWER(Regexreplace(to_text(E2787),""[^A-Za-z0-9]"","""")&amp;""_""&amp;Regexreplace(to_text(F2787),""[^A-Za-z0-9]"",""""))"),"schneider_easylogicem6436hrs")</f>
        <v>schneider_easylogicem6436hrs</v>
      </c>
      <c r="BG2787" s="275" t="str">
        <f>IFERROR(__xludf.DUMMYFUNCTION("upper(Regexreplace(to_text(E2787),""[^A-Za-z0-9]"","""")&amp;""-""&amp;Regexreplace(to_text(F2787),""[^A-Za-z0-9]"",""""))"),"SCHNEIDER-EASYLOGICEM6436HRS")</f>
        <v>SCHNEIDER-EASYLOGICEM6436HRS</v>
      </c>
    </row>
    <row r="2788" ht="30.0" customHeight="1">
      <c r="A2788" s="258"/>
      <c r="B2788" s="328" t="s">
        <v>670</v>
      </c>
      <c r="C2788" s="257" t="s">
        <v>8851</v>
      </c>
      <c r="D2788" s="173" t="s">
        <v>8851</v>
      </c>
      <c r="E2788" s="174" t="s">
        <v>8070</v>
      </c>
      <c r="F2788" s="173" t="s">
        <v>8078</v>
      </c>
      <c r="G2788" s="328" t="s">
        <v>673</v>
      </c>
      <c r="H2788" s="328" t="s">
        <v>2863</v>
      </c>
      <c r="I2788" s="258" t="s">
        <v>8072</v>
      </c>
      <c r="J2788" s="259" t="s">
        <v>965</v>
      </c>
      <c r="K2788" s="260">
        <v>370.0</v>
      </c>
      <c r="L2788" s="365"/>
      <c r="M2788" s="329"/>
      <c r="N2788" s="173" t="s">
        <v>679</v>
      </c>
      <c r="O2788" s="173" t="s">
        <v>225</v>
      </c>
      <c r="P2788" s="262" t="str">
        <f t="shared" si="1"/>
        <v>IN-BLR-ANANTA-EM-335_3</v>
      </c>
      <c r="Q2788" s="173" t="s">
        <v>8852</v>
      </c>
      <c r="R2788" s="328" t="str">
        <f>IFS(C2788="","",C2788="n/a","N/A",LEN(C2788),Concatenate("{",char(34),"asset",char(34),":{",char(34),"guid",char(34),":",char(34),Q2788,char(34),",",char(34),"site",char(34),":",char(34),LOWER('2-Building'!$B$4),char(34),",",char(34),"name",char(34),":",char(34),LOWER(C2788),char(34),"}}"))</f>
        <v>{"asset":{"guid":"uuid://c5e8bbd9-b7df-4df5-a3ab-f0945dd49344","site":"in-blr-ananta","name":"em-335"}}</v>
      </c>
      <c r="S2788" s="366" t="s">
        <v>8581</v>
      </c>
      <c r="T2788" s="330"/>
      <c r="U2788" s="330"/>
      <c r="V2788" s="331"/>
      <c r="W2788" s="332"/>
      <c r="X2788" s="333"/>
      <c r="Y2788" s="33" t="s">
        <v>8076</v>
      </c>
      <c r="Z2788" s="368"/>
      <c r="AA2788" s="333"/>
      <c r="AB2788" s="258">
        <v>6.0</v>
      </c>
      <c r="AC2788" s="333"/>
      <c r="AD2788" s="329"/>
      <c r="AE2788" s="331"/>
      <c r="AF2788" s="336"/>
      <c r="AG2788" s="337"/>
      <c r="AH2788" s="333"/>
      <c r="AI2788" s="333"/>
      <c r="AJ2788" s="333"/>
      <c r="AK2788" s="333"/>
      <c r="AL2788" s="333"/>
      <c r="AM2788" s="338"/>
      <c r="AN2788" s="333"/>
      <c r="AO2788" s="333"/>
      <c r="AP2788" s="333"/>
      <c r="AQ2788" s="333"/>
      <c r="AR2788" s="333"/>
      <c r="AS2788" s="333"/>
      <c r="AT2788" s="333"/>
      <c r="AU2788" s="329"/>
      <c r="AV2788" s="341"/>
      <c r="AW2788" s="269"/>
      <c r="AX2788" s="269" t="s">
        <v>2869</v>
      </c>
      <c r="AY2788" s="270" t="s">
        <v>695</v>
      </c>
      <c r="AZ2788" s="379"/>
      <c r="BA2788" s="265">
        <v>10.0</v>
      </c>
      <c r="BB2788" s="367"/>
      <c r="BC2788" s="341"/>
      <c r="BD2788" s="308" t="s">
        <v>1844</v>
      </c>
      <c r="BE2788" s="378"/>
      <c r="BF2788" s="274" t="str">
        <f>IFERROR(__xludf.DUMMYFUNCTION("LOWER(Regexreplace(to_text(E2788),""[^A-Za-z0-9]"","""")&amp;""_""&amp;Regexreplace(to_text(F2788),""[^A-Za-z0-9]"",""""))"),"schneider_easylogicem6436hrs")</f>
        <v>schneider_easylogicem6436hrs</v>
      </c>
      <c r="BG2788" s="275" t="str">
        <f>IFERROR(__xludf.DUMMYFUNCTION("upper(Regexreplace(to_text(E2788),""[^A-Za-z0-9]"","""")&amp;""-""&amp;Regexreplace(to_text(F2788),""[^A-Za-z0-9]"",""""))"),"SCHNEIDER-EASYLOGICEM6436HRS")</f>
        <v>SCHNEIDER-EASYLOGICEM6436HRS</v>
      </c>
    </row>
    <row r="2789" ht="30.0" customHeight="1">
      <c r="A2789" s="258"/>
      <c r="B2789" s="328" t="s">
        <v>670</v>
      </c>
      <c r="C2789" s="257" t="s">
        <v>8853</v>
      </c>
      <c r="D2789" s="173" t="s">
        <v>8853</v>
      </c>
      <c r="E2789" s="174" t="s">
        <v>8070</v>
      </c>
      <c r="F2789" s="173" t="s">
        <v>8078</v>
      </c>
      <c r="G2789" s="328" t="s">
        <v>673</v>
      </c>
      <c r="H2789" s="328" t="s">
        <v>2863</v>
      </c>
      <c r="I2789" s="258" t="s">
        <v>8072</v>
      </c>
      <c r="J2789" s="259" t="s">
        <v>965</v>
      </c>
      <c r="K2789" s="260">
        <v>370.0</v>
      </c>
      <c r="L2789" s="365"/>
      <c r="M2789" s="329"/>
      <c r="N2789" s="173" t="s">
        <v>679</v>
      </c>
      <c r="O2789" s="173" t="s">
        <v>225</v>
      </c>
      <c r="P2789" s="262" t="str">
        <f t="shared" si="1"/>
        <v>IN-BLR-ANANTA-EM-336_3</v>
      </c>
      <c r="Q2789" s="173" t="s">
        <v>8854</v>
      </c>
      <c r="R2789" s="328" t="str">
        <f>IFS(C2789="","",C2789="n/a","N/A",LEN(C2789),Concatenate("{",char(34),"asset",char(34),":{",char(34),"guid",char(34),":",char(34),Q2789,char(34),",",char(34),"site",char(34),":",char(34),LOWER('2-Building'!$B$4),char(34),",",char(34),"name",char(34),":",char(34),LOWER(C2789),char(34),"}}"))</f>
        <v>{"asset":{"guid":"uuid://2cb3984d-4bb5-40fc-80b3-ac8f17615bc3","site":"in-blr-ananta","name":"em-336"}}</v>
      </c>
      <c r="S2789" s="366" t="s">
        <v>8581</v>
      </c>
      <c r="T2789" s="330"/>
      <c r="U2789" s="330"/>
      <c r="V2789" s="331"/>
      <c r="W2789" s="332"/>
      <c r="X2789" s="333"/>
      <c r="Y2789" s="33" t="s">
        <v>8076</v>
      </c>
      <c r="Z2789" s="368"/>
      <c r="AA2789" s="333"/>
      <c r="AB2789" s="258">
        <v>7.0</v>
      </c>
      <c r="AC2789" s="333"/>
      <c r="AD2789" s="329"/>
      <c r="AE2789" s="331"/>
      <c r="AF2789" s="336"/>
      <c r="AG2789" s="337"/>
      <c r="AH2789" s="333"/>
      <c r="AI2789" s="333"/>
      <c r="AJ2789" s="333"/>
      <c r="AK2789" s="333"/>
      <c r="AL2789" s="333"/>
      <c r="AM2789" s="338"/>
      <c r="AN2789" s="333"/>
      <c r="AO2789" s="333"/>
      <c r="AP2789" s="333"/>
      <c r="AQ2789" s="333"/>
      <c r="AR2789" s="333"/>
      <c r="AS2789" s="333"/>
      <c r="AT2789" s="333"/>
      <c r="AU2789" s="329"/>
      <c r="AV2789" s="341"/>
      <c r="AW2789" s="269"/>
      <c r="AX2789" s="269" t="s">
        <v>2869</v>
      </c>
      <c r="AY2789" s="270" t="s">
        <v>695</v>
      </c>
      <c r="AZ2789" s="379"/>
      <c r="BA2789" s="265">
        <v>10.0</v>
      </c>
      <c r="BB2789" s="367"/>
      <c r="BC2789" s="341"/>
      <c r="BD2789" s="308" t="s">
        <v>1844</v>
      </c>
      <c r="BE2789" s="378"/>
      <c r="BF2789" s="274" t="str">
        <f>IFERROR(__xludf.DUMMYFUNCTION("LOWER(Regexreplace(to_text(E2789),""[^A-Za-z0-9]"","""")&amp;""_""&amp;Regexreplace(to_text(F2789),""[^A-Za-z0-9]"",""""))"),"schneider_easylogicem6436hrs")</f>
        <v>schneider_easylogicem6436hrs</v>
      </c>
      <c r="BG2789" s="275" t="str">
        <f>IFERROR(__xludf.DUMMYFUNCTION("upper(Regexreplace(to_text(E2789),""[^A-Za-z0-9]"","""")&amp;""-""&amp;Regexreplace(to_text(F2789),""[^A-Za-z0-9]"",""""))"),"SCHNEIDER-EASYLOGICEM6436HRS")</f>
        <v>SCHNEIDER-EASYLOGICEM6436HRS</v>
      </c>
    </row>
    <row r="2790" ht="30.0" customHeight="1">
      <c r="A2790" s="258"/>
      <c r="B2790" s="328" t="s">
        <v>670</v>
      </c>
      <c r="C2790" s="257" t="s">
        <v>8855</v>
      </c>
      <c r="D2790" s="173" t="s">
        <v>8855</v>
      </c>
      <c r="E2790" s="174" t="s">
        <v>8070</v>
      </c>
      <c r="F2790" s="173" t="s">
        <v>8078</v>
      </c>
      <c r="G2790" s="328" t="s">
        <v>673</v>
      </c>
      <c r="H2790" s="328" t="s">
        <v>2863</v>
      </c>
      <c r="I2790" s="258" t="s">
        <v>8072</v>
      </c>
      <c r="J2790" s="259" t="s">
        <v>1026</v>
      </c>
      <c r="K2790" s="260">
        <v>470.0</v>
      </c>
      <c r="L2790" s="365"/>
      <c r="M2790" s="329"/>
      <c r="N2790" s="173" t="s">
        <v>679</v>
      </c>
      <c r="O2790" s="173" t="s">
        <v>225</v>
      </c>
      <c r="P2790" s="262" t="str">
        <f t="shared" si="1"/>
        <v>IN-BLR-ANANTA-EM-337_4</v>
      </c>
      <c r="Q2790" s="173" t="s">
        <v>8856</v>
      </c>
      <c r="R2790" s="328" t="str">
        <f>IFS(C2790="","",C2790="n/a","N/A",LEN(C2790),Concatenate("{",char(34),"asset",char(34),":{",char(34),"guid",char(34),":",char(34),Q2790,char(34),",",char(34),"site",char(34),":",char(34),LOWER('2-Building'!$B$4),char(34),",",char(34),"name",char(34),":",char(34),LOWER(C2790),char(34),"}}"))</f>
        <v>{"asset":{"guid":"uuid://ed55688a-253c-473a-87e7-d4bca3447214","site":"in-blr-ananta","name":"em-337"}}</v>
      </c>
      <c r="S2790" s="366" t="s">
        <v>8581</v>
      </c>
      <c r="T2790" s="330"/>
      <c r="U2790" s="330"/>
      <c r="V2790" s="331"/>
      <c r="W2790" s="332"/>
      <c r="X2790" s="333"/>
      <c r="Y2790" s="33" t="s">
        <v>8076</v>
      </c>
      <c r="Z2790" s="368"/>
      <c r="AA2790" s="333"/>
      <c r="AB2790" s="258">
        <v>8.0</v>
      </c>
      <c r="AC2790" s="333"/>
      <c r="AD2790" s="329"/>
      <c r="AE2790" s="331"/>
      <c r="AF2790" s="336"/>
      <c r="AG2790" s="337"/>
      <c r="AH2790" s="333"/>
      <c r="AI2790" s="333"/>
      <c r="AJ2790" s="333"/>
      <c r="AK2790" s="333"/>
      <c r="AL2790" s="333"/>
      <c r="AM2790" s="338"/>
      <c r="AN2790" s="333"/>
      <c r="AO2790" s="333"/>
      <c r="AP2790" s="333"/>
      <c r="AQ2790" s="333"/>
      <c r="AR2790" s="333"/>
      <c r="AS2790" s="333"/>
      <c r="AT2790" s="333"/>
      <c r="AU2790" s="329"/>
      <c r="AV2790" s="341"/>
      <c r="AW2790" s="269"/>
      <c r="AX2790" s="269" t="s">
        <v>2869</v>
      </c>
      <c r="AY2790" s="270" t="s">
        <v>695</v>
      </c>
      <c r="AZ2790" s="379"/>
      <c r="BA2790" s="265">
        <v>10.0</v>
      </c>
      <c r="BB2790" s="367"/>
      <c r="BC2790" s="341"/>
      <c r="BD2790" s="308" t="s">
        <v>1844</v>
      </c>
      <c r="BE2790" s="378"/>
      <c r="BF2790" s="274" t="str">
        <f>IFERROR(__xludf.DUMMYFUNCTION("LOWER(Regexreplace(to_text(E2790),""[^A-Za-z0-9]"","""")&amp;""_""&amp;Regexreplace(to_text(F2790),""[^A-Za-z0-9]"",""""))"),"schneider_easylogicem6436hrs")</f>
        <v>schneider_easylogicem6436hrs</v>
      </c>
      <c r="BG2790" s="275" t="str">
        <f>IFERROR(__xludf.DUMMYFUNCTION("upper(Regexreplace(to_text(E2790),""[^A-Za-z0-9]"","""")&amp;""-""&amp;Regexreplace(to_text(F2790),""[^A-Za-z0-9]"",""""))"),"SCHNEIDER-EASYLOGICEM6436HRS")</f>
        <v>SCHNEIDER-EASYLOGICEM6436HRS</v>
      </c>
    </row>
    <row r="2791" ht="30.0" customHeight="1">
      <c r="A2791" s="258"/>
      <c r="B2791" s="328" t="s">
        <v>670</v>
      </c>
      <c r="C2791" s="257" t="s">
        <v>8857</v>
      </c>
      <c r="D2791" s="173" t="s">
        <v>8857</v>
      </c>
      <c r="E2791" s="174" t="s">
        <v>8070</v>
      </c>
      <c r="F2791" s="173" t="s">
        <v>8078</v>
      </c>
      <c r="G2791" s="328" t="s">
        <v>673</v>
      </c>
      <c r="H2791" s="328" t="s">
        <v>2863</v>
      </c>
      <c r="I2791" s="258" t="s">
        <v>8072</v>
      </c>
      <c r="J2791" s="259" t="s">
        <v>1026</v>
      </c>
      <c r="K2791" s="260">
        <v>470.0</v>
      </c>
      <c r="L2791" s="365"/>
      <c r="M2791" s="329"/>
      <c r="N2791" s="173" t="s">
        <v>679</v>
      </c>
      <c r="O2791" s="173" t="s">
        <v>225</v>
      </c>
      <c r="P2791" s="262" t="str">
        <f t="shared" si="1"/>
        <v>IN-BLR-ANANTA-EM-338_4</v>
      </c>
      <c r="Q2791" s="173" t="s">
        <v>8858</v>
      </c>
      <c r="R2791" s="328" t="str">
        <f>IFS(C2791="","",C2791="n/a","N/A",LEN(C2791),Concatenate("{",char(34),"asset",char(34),":{",char(34),"guid",char(34),":",char(34),Q2791,char(34),",",char(34),"site",char(34),":",char(34),LOWER('2-Building'!$B$4),char(34),",",char(34),"name",char(34),":",char(34),LOWER(C2791),char(34),"}}"))</f>
        <v>{"asset":{"guid":"uuid://a9685567-4930-4e2b-8d48-5bac36de092f","site":"in-blr-ananta","name":"em-338"}}</v>
      </c>
      <c r="S2791" s="366" t="s">
        <v>8581</v>
      </c>
      <c r="T2791" s="330"/>
      <c r="U2791" s="330"/>
      <c r="V2791" s="331"/>
      <c r="W2791" s="332"/>
      <c r="X2791" s="333"/>
      <c r="Y2791" s="33" t="s">
        <v>8076</v>
      </c>
      <c r="Z2791" s="368"/>
      <c r="AA2791" s="333"/>
      <c r="AB2791" s="258">
        <v>9.0</v>
      </c>
      <c r="AC2791" s="333"/>
      <c r="AD2791" s="329"/>
      <c r="AE2791" s="331"/>
      <c r="AF2791" s="336"/>
      <c r="AG2791" s="337"/>
      <c r="AH2791" s="333"/>
      <c r="AI2791" s="333"/>
      <c r="AJ2791" s="333"/>
      <c r="AK2791" s="333"/>
      <c r="AL2791" s="333"/>
      <c r="AM2791" s="338"/>
      <c r="AN2791" s="333"/>
      <c r="AO2791" s="333"/>
      <c r="AP2791" s="333"/>
      <c r="AQ2791" s="333"/>
      <c r="AR2791" s="333"/>
      <c r="AS2791" s="333"/>
      <c r="AT2791" s="333"/>
      <c r="AU2791" s="329"/>
      <c r="AV2791" s="341"/>
      <c r="AW2791" s="269"/>
      <c r="AX2791" s="269" t="s">
        <v>2869</v>
      </c>
      <c r="AY2791" s="270" t="s">
        <v>695</v>
      </c>
      <c r="AZ2791" s="379"/>
      <c r="BA2791" s="265">
        <v>10.0</v>
      </c>
      <c r="BB2791" s="367"/>
      <c r="BC2791" s="341"/>
      <c r="BD2791" s="308" t="s">
        <v>1844</v>
      </c>
      <c r="BE2791" s="378"/>
      <c r="BF2791" s="274" t="str">
        <f>IFERROR(__xludf.DUMMYFUNCTION("LOWER(Regexreplace(to_text(E2791),""[^A-Za-z0-9]"","""")&amp;""_""&amp;Regexreplace(to_text(F2791),""[^A-Za-z0-9]"",""""))"),"schneider_easylogicem6436hrs")</f>
        <v>schneider_easylogicem6436hrs</v>
      </c>
      <c r="BG2791" s="275" t="str">
        <f>IFERROR(__xludf.DUMMYFUNCTION("upper(Regexreplace(to_text(E2791),""[^A-Za-z0-9]"","""")&amp;""-""&amp;Regexreplace(to_text(F2791),""[^A-Za-z0-9]"",""""))"),"SCHNEIDER-EASYLOGICEM6436HRS")</f>
        <v>SCHNEIDER-EASYLOGICEM6436HRS</v>
      </c>
    </row>
    <row r="2792" ht="30.0" customHeight="1">
      <c r="A2792" s="258"/>
      <c r="B2792" s="328" t="s">
        <v>670</v>
      </c>
      <c r="C2792" s="257" t="s">
        <v>8859</v>
      </c>
      <c r="D2792" s="173" t="s">
        <v>8859</v>
      </c>
      <c r="E2792" s="174" t="s">
        <v>8070</v>
      </c>
      <c r="F2792" s="173" t="s">
        <v>8078</v>
      </c>
      <c r="G2792" s="328" t="s">
        <v>673</v>
      </c>
      <c r="H2792" s="328" t="s">
        <v>2863</v>
      </c>
      <c r="I2792" s="258" t="s">
        <v>8072</v>
      </c>
      <c r="J2792" s="259" t="s">
        <v>1088</v>
      </c>
      <c r="K2792" s="260">
        <v>570.0</v>
      </c>
      <c r="L2792" s="365"/>
      <c r="M2792" s="329"/>
      <c r="N2792" s="173" t="s">
        <v>679</v>
      </c>
      <c r="O2792" s="173" t="s">
        <v>225</v>
      </c>
      <c r="P2792" s="262" t="str">
        <f t="shared" si="1"/>
        <v>IN-BLR-ANANTA-EM-339_5</v>
      </c>
      <c r="Q2792" s="173" t="s">
        <v>8860</v>
      </c>
      <c r="R2792" s="328" t="str">
        <f>IFS(C2792="","",C2792="n/a","N/A",LEN(C2792),Concatenate("{",char(34),"asset",char(34),":{",char(34),"guid",char(34),":",char(34),Q2792,char(34),",",char(34),"site",char(34),":",char(34),LOWER('2-Building'!$B$4),char(34),",",char(34),"name",char(34),":",char(34),LOWER(C2792),char(34),"}}"))</f>
        <v>{"asset":{"guid":"uuid://b1984b57-0ab4-4ca9-9c25-439149d87bce","site":"in-blr-ananta","name":"em-339"}}</v>
      </c>
      <c r="S2792" s="366" t="s">
        <v>8581</v>
      </c>
      <c r="T2792" s="330"/>
      <c r="U2792" s="330"/>
      <c r="V2792" s="331"/>
      <c r="W2792" s="332"/>
      <c r="X2792" s="333"/>
      <c r="Y2792" s="33" t="s">
        <v>8076</v>
      </c>
      <c r="Z2792" s="368"/>
      <c r="AA2792" s="333"/>
      <c r="AB2792" s="258">
        <v>10.0</v>
      </c>
      <c r="AC2792" s="333"/>
      <c r="AD2792" s="329"/>
      <c r="AE2792" s="331"/>
      <c r="AF2792" s="336"/>
      <c r="AG2792" s="337"/>
      <c r="AH2792" s="333"/>
      <c r="AI2792" s="333"/>
      <c r="AJ2792" s="333"/>
      <c r="AK2792" s="333"/>
      <c r="AL2792" s="333"/>
      <c r="AM2792" s="338"/>
      <c r="AN2792" s="333"/>
      <c r="AO2792" s="333"/>
      <c r="AP2792" s="333"/>
      <c r="AQ2792" s="333"/>
      <c r="AR2792" s="333"/>
      <c r="AS2792" s="333"/>
      <c r="AT2792" s="333"/>
      <c r="AU2792" s="329"/>
      <c r="AV2792" s="341"/>
      <c r="AW2792" s="269"/>
      <c r="AX2792" s="269" t="s">
        <v>2869</v>
      </c>
      <c r="AY2792" s="270" t="s">
        <v>695</v>
      </c>
      <c r="AZ2792" s="379"/>
      <c r="BA2792" s="265">
        <v>10.0</v>
      </c>
      <c r="BB2792" s="367"/>
      <c r="BC2792" s="341"/>
      <c r="BD2792" s="308" t="s">
        <v>1844</v>
      </c>
      <c r="BE2792" s="378"/>
      <c r="BF2792" s="274" t="str">
        <f>IFERROR(__xludf.DUMMYFUNCTION("LOWER(Regexreplace(to_text(E2792),""[^A-Za-z0-9]"","""")&amp;""_""&amp;Regexreplace(to_text(F2792),""[^A-Za-z0-9]"",""""))"),"schneider_easylogicem6436hrs")</f>
        <v>schneider_easylogicem6436hrs</v>
      </c>
      <c r="BG2792" s="275" t="str">
        <f>IFERROR(__xludf.DUMMYFUNCTION("upper(Regexreplace(to_text(E2792),""[^A-Za-z0-9]"","""")&amp;""-""&amp;Regexreplace(to_text(F2792),""[^A-Za-z0-9]"",""""))"),"SCHNEIDER-EASYLOGICEM6436HRS")</f>
        <v>SCHNEIDER-EASYLOGICEM6436HRS</v>
      </c>
    </row>
    <row r="2793" ht="30.0" customHeight="1">
      <c r="A2793" s="258"/>
      <c r="B2793" s="328" t="s">
        <v>670</v>
      </c>
      <c r="C2793" s="257" t="s">
        <v>8861</v>
      </c>
      <c r="D2793" s="173" t="s">
        <v>8861</v>
      </c>
      <c r="E2793" s="174" t="s">
        <v>8070</v>
      </c>
      <c r="F2793" s="173" t="s">
        <v>8078</v>
      </c>
      <c r="G2793" s="328" t="s">
        <v>673</v>
      </c>
      <c r="H2793" s="328" t="s">
        <v>2863</v>
      </c>
      <c r="I2793" s="258" t="s">
        <v>8072</v>
      </c>
      <c r="J2793" s="259" t="s">
        <v>1088</v>
      </c>
      <c r="K2793" s="260">
        <v>570.0</v>
      </c>
      <c r="L2793" s="365"/>
      <c r="M2793" s="329"/>
      <c r="N2793" s="173" t="s">
        <v>679</v>
      </c>
      <c r="O2793" s="173" t="s">
        <v>225</v>
      </c>
      <c r="P2793" s="262" t="str">
        <f t="shared" si="1"/>
        <v>IN-BLR-ANANTA-EM-340_5</v>
      </c>
      <c r="Q2793" s="173" t="s">
        <v>8862</v>
      </c>
      <c r="R2793" s="328" t="str">
        <f>IFS(C2793="","",C2793="n/a","N/A",LEN(C2793),Concatenate("{",char(34),"asset",char(34),":{",char(34),"guid",char(34),":",char(34),Q2793,char(34),",",char(34),"site",char(34),":",char(34),LOWER('2-Building'!$B$4),char(34),",",char(34),"name",char(34),":",char(34),LOWER(C2793),char(34),"}}"))</f>
        <v>{"asset":{"guid":"uuid://8b7b5ca8-2977-4faa-9128-7d485087f3e4","site":"in-blr-ananta","name":"em-340"}}</v>
      </c>
      <c r="S2793" s="366" t="s">
        <v>8581</v>
      </c>
      <c r="T2793" s="330"/>
      <c r="U2793" s="330"/>
      <c r="V2793" s="331"/>
      <c r="W2793" s="332"/>
      <c r="X2793" s="333"/>
      <c r="Y2793" s="33" t="s">
        <v>8076</v>
      </c>
      <c r="Z2793" s="368"/>
      <c r="AA2793" s="333"/>
      <c r="AB2793" s="258">
        <v>11.0</v>
      </c>
      <c r="AC2793" s="333"/>
      <c r="AD2793" s="329"/>
      <c r="AE2793" s="331"/>
      <c r="AF2793" s="336"/>
      <c r="AG2793" s="337"/>
      <c r="AH2793" s="333"/>
      <c r="AI2793" s="333"/>
      <c r="AJ2793" s="333"/>
      <c r="AK2793" s="333"/>
      <c r="AL2793" s="333"/>
      <c r="AM2793" s="338"/>
      <c r="AN2793" s="333"/>
      <c r="AO2793" s="333"/>
      <c r="AP2793" s="333"/>
      <c r="AQ2793" s="333"/>
      <c r="AR2793" s="333"/>
      <c r="AS2793" s="333"/>
      <c r="AT2793" s="333"/>
      <c r="AU2793" s="329"/>
      <c r="AV2793" s="341"/>
      <c r="AW2793" s="269"/>
      <c r="AX2793" s="269" t="s">
        <v>2869</v>
      </c>
      <c r="AY2793" s="270" t="s">
        <v>695</v>
      </c>
      <c r="AZ2793" s="379"/>
      <c r="BA2793" s="265">
        <v>10.0</v>
      </c>
      <c r="BB2793" s="367"/>
      <c r="BC2793" s="341"/>
      <c r="BD2793" s="308" t="s">
        <v>1844</v>
      </c>
      <c r="BE2793" s="378"/>
      <c r="BF2793" s="274" t="str">
        <f>IFERROR(__xludf.DUMMYFUNCTION("LOWER(Regexreplace(to_text(E2793),""[^A-Za-z0-9]"","""")&amp;""_""&amp;Regexreplace(to_text(F2793),""[^A-Za-z0-9]"",""""))"),"schneider_easylogicem6436hrs")</f>
        <v>schneider_easylogicem6436hrs</v>
      </c>
      <c r="BG2793" s="275" t="str">
        <f>IFERROR(__xludf.DUMMYFUNCTION("upper(Regexreplace(to_text(E2793),""[^A-Za-z0-9]"","""")&amp;""-""&amp;Regexreplace(to_text(F2793),""[^A-Za-z0-9]"",""""))"),"SCHNEIDER-EASYLOGICEM6436HRS")</f>
        <v>SCHNEIDER-EASYLOGICEM6436HRS</v>
      </c>
    </row>
    <row r="2794" ht="30.0" customHeight="1">
      <c r="A2794" s="258"/>
      <c r="B2794" s="328" t="s">
        <v>670</v>
      </c>
      <c r="C2794" s="257" t="s">
        <v>8863</v>
      </c>
      <c r="D2794" s="173" t="s">
        <v>8863</v>
      </c>
      <c r="E2794" s="174" t="s">
        <v>8070</v>
      </c>
      <c r="F2794" s="173" t="s">
        <v>8078</v>
      </c>
      <c r="G2794" s="328" t="s">
        <v>673</v>
      </c>
      <c r="H2794" s="328" t="s">
        <v>2863</v>
      </c>
      <c r="I2794" s="258" t="s">
        <v>8072</v>
      </c>
      <c r="J2794" s="259" t="s">
        <v>1149</v>
      </c>
      <c r="K2794" s="260">
        <v>670.0</v>
      </c>
      <c r="L2794" s="365"/>
      <c r="M2794" s="329"/>
      <c r="N2794" s="173" t="s">
        <v>679</v>
      </c>
      <c r="O2794" s="173" t="s">
        <v>225</v>
      </c>
      <c r="P2794" s="262" t="str">
        <f t="shared" si="1"/>
        <v>IN-BLR-ANANTA-EM-341_6</v>
      </c>
      <c r="Q2794" s="173" t="s">
        <v>8864</v>
      </c>
      <c r="R2794" s="328" t="str">
        <f>IFS(C2794="","",C2794="n/a","N/A",LEN(C2794),Concatenate("{",char(34),"asset",char(34),":{",char(34),"guid",char(34),":",char(34),Q2794,char(34),",",char(34),"site",char(34),":",char(34),LOWER('2-Building'!$B$4),char(34),",",char(34),"name",char(34),":",char(34),LOWER(C2794),char(34),"}}"))</f>
        <v>{"asset":{"guid":"uuid://528eff34-9b1c-4904-96de-3079bdc2c424","site":"in-blr-ananta","name":"em-341"}}</v>
      </c>
      <c r="S2794" s="366" t="s">
        <v>8581</v>
      </c>
      <c r="T2794" s="330"/>
      <c r="U2794" s="330"/>
      <c r="V2794" s="331"/>
      <c r="W2794" s="332"/>
      <c r="X2794" s="333"/>
      <c r="Y2794" s="33" t="s">
        <v>8076</v>
      </c>
      <c r="Z2794" s="368"/>
      <c r="AA2794" s="333"/>
      <c r="AB2794" s="258">
        <v>12.0</v>
      </c>
      <c r="AC2794" s="333"/>
      <c r="AD2794" s="329"/>
      <c r="AE2794" s="331"/>
      <c r="AF2794" s="336"/>
      <c r="AG2794" s="337"/>
      <c r="AH2794" s="333"/>
      <c r="AI2794" s="333"/>
      <c r="AJ2794" s="333"/>
      <c r="AK2794" s="333"/>
      <c r="AL2794" s="333"/>
      <c r="AM2794" s="338"/>
      <c r="AN2794" s="333"/>
      <c r="AO2794" s="333"/>
      <c r="AP2794" s="333"/>
      <c r="AQ2794" s="333"/>
      <c r="AR2794" s="333"/>
      <c r="AS2794" s="333"/>
      <c r="AT2794" s="333"/>
      <c r="AU2794" s="329"/>
      <c r="AV2794" s="341"/>
      <c r="AW2794" s="269"/>
      <c r="AX2794" s="269" t="s">
        <v>2869</v>
      </c>
      <c r="AY2794" s="270" t="s">
        <v>695</v>
      </c>
      <c r="AZ2794" s="379"/>
      <c r="BA2794" s="265">
        <v>10.0</v>
      </c>
      <c r="BB2794" s="367"/>
      <c r="BC2794" s="341"/>
      <c r="BD2794" s="308" t="s">
        <v>1844</v>
      </c>
      <c r="BE2794" s="378"/>
      <c r="BF2794" s="274" t="str">
        <f>IFERROR(__xludf.DUMMYFUNCTION("LOWER(Regexreplace(to_text(E2794),""[^A-Za-z0-9]"","""")&amp;""_""&amp;Regexreplace(to_text(F2794),""[^A-Za-z0-9]"",""""))"),"schneider_easylogicem6436hrs")</f>
        <v>schneider_easylogicem6436hrs</v>
      </c>
      <c r="BG2794" s="275" t="str">
        <f>IFERROR(__xludf.DUMMYFUNCTION("upper(Regexreplace(to_text(E2794),""[^A-Za-z0-9]"","""")&amp;""-""&amp;Regexreplace(to_text(F2794),""[^A-Za-z0-9]"",""""))"),"SCHNEIDER-EASYLOGICEM6436HRS")</f>
        <v>SCHNEIDER-EASYLOGICEM6436HRS</v>
      </c>
    </row>
    <row r="2795" ht="30.0" customHeight="1">
      <c r="A2795" s="258"/>
      <c r="B2795" s="328" t="s">
        <v>670</v>
      </c>
      <c r="C2795" s="257" t="s">
        <v>8865</v>
      </c>
      <c r="D2795" s="173" t="s">
        <v>8865</v>
      </c>
      <c r="E2795" s="174" t="s">
        <v>8070</v>
      </c>
      <c r="F2795" s="173" t="s">
        <v>8078</v>
      </c>
      <c r="G2795" s="328" t="s">
        <v>673</v>
      </c>
      <c r="H2795" s="328" t="s">
        <v>2863</v>
      </c>
      <c r="I2795" s="258" t="s">
        <v>8072</v>
      </c>
      <c r="J2795" s="259" t="s">
        <v>1149</v>
      </c>
      <c r="K2795" s="260">
        <v>670.0</v>
      </c>
      <c r="L2795" s="365"/>
      <c r="M2795" s="329"/>
      <c r="N2795" s="173" t="s">
        <v>679</v>
      </c>
      <c r="O2795" s="173" t="s">
        <v>225</v>
      </c>
      <c r="P2795" s="262" t="str">
        <f t="shared" si="1"/>
        <v>IN-BLR-ANANTA-EM-342_6</v>
      </c>
      <c r="Q2795" s="173" t="s">
        <v>8866</v>
      </c>
      <c r="R2795" s="328" t="str">
        <f>IFS(C2795="","",C2795="n/a","N/A",LEN(C2795),Concatenate("{",char(34),"asset",char(34),":{",char(34),"guid",char(34),":",char(34),Q2795,char(34),",",char(34),"site",char(34),":",char(34),LOWER('2-Building'!$B$4),char(34),",",char(34),"name",char(34),":",char(34),LOWER(C2795),char(34),"}}"))</f>
        <v>{"asset":{"guid":"uuid://eed7aeb2-a0d9-44bd-b6f9-cc83ef53460a","site":"in-blr-ananta","name":"em-342"}}</v>
      </c>
      <c r="S2795" s="366" t="s">
        <v>8581</v>
      </c>
      <c r="T2795" s="330"/>
      <c r="U2795" s="330"/>
      <c r="V2795" s="331"/>
      <c r="W2795" s="332"/>
      <c r="X2795" s="333"/>
      <c r="Y2795" s="33" t="s">
        <v>8076</v>
      </c>
      <c r="Z2795" s="368"/>
      <c r="AA2795" s="333"/>
      <c r="AB2795" s="258">
        <v>13.0</v>
      </c>
      <c r="AC2795" s="333"/>
      <c r="AD2795" s="329"/>
      <c r="AE2795" s="331"/>
      <c r="AF2795" s="336"/>
      <c r="AG2795" s="337"/>
      <c r="AH2795" s="333"/>
      <c r="AI2795" s="333"/>
      <c r="AJ2795" s="333"/>
      <c r="AK2795" s="333"/>
      <c r="AL2795" s="333"/>
      <c r="AM2795" s="338"/>
      <c r="AN2795" s="333"/>
      <c r="AO2795" s="333"/>
      <c r="AP2795" s="333"/>
      <c r="AQ2795" s="333"/>
      <c r="AR2795" s="333"/>
      <c r="AS2795" s="333"/>
      <c r="AT2795" s="333"/>
      <c r="AU2795" s="329"/>
      <c r="AV2795" s="341"/>
      <c r="AW2795" s="269"/>
      <c r="AX2795" s="269" t="s">
        <v>2869</v>
      </c>
      <c r="AY2795" s="270" t="s">
        <v>695</v>
      </c>
      <c r="AZ2795" s="379"/>
      <c r="BA2795" s="265">
        <v>10.0</v>
      </c>
      <c r="BB2795" s="367"/>
      <c r="BC2795" s="341"/>
      <c r="BD2795" s="308" t="s">
        <v>1844</v>
      </c>
      <c r="BE2795" s="378"/>
      <c r="BF2795" s="274" t="str">
        <f>IFERROR(__xludf.DUMMYFUNCTION("LOWER(Regexreplace(to_text(E2795),""[^A-Za-z0-9]"","""")&amp;""_""&amp;Regexreplace(to_text(F2795),""[^A-Za-z0-9]"",""""))"),"schneider_easylogicem6436hrs")</f>
        <v>schneider_easylogicem6436hrs</v>
      </c>
      <c r="BG2795" s="275" t="str">
        <f>IFERROR(__xludf.DUMMYFUNCTION("upper(Regexreplace(to_text(E2795),""[^A-Za-z0-9]"","""")&amp;""-""&amp;Regexreplace(to_text(F2795),""[^A-Za-z0-9]"",""""))"),"SCHNEIDER-EASYLOGICEM6436HRS")</f>
        <v>SCHNEIDER-EASYLOGICEM6436HRS</v>
      </c>
    </row>
    <row r="2796" ht="30.0" customHeight="1">
      <c r="A2796" s="258"/>
      <c r="B2796" s="328" t="s">
        <v>670</v>
      </c>
      <c r="C2796" s="257" t="s">
        <v>8867</v>
      </c>
      <c r="D2796" s="173" t="s">
        <v>8867</v>
      </c>
      <c r="E2796" s="174" t="s">
        <v>8070</v>
      </c>
      <c r="F2796" s="173" t="s">
        <v>8078</v>
      </c>
      <c r="G2796" s="328" t="s">
        <v>673</v>
      </c>
      <c r="H2796" s="328" t="s">
        <v>2863</v>
      </c>
      <c r="I2796" s="258" t="s">
        <v>8072</v>
      </c>
      <c r="J2796" s="259" t="s">
        <v>1211</v>
      </c>
      <c r="K2796" s="260">
        <v>770.0</v>
      </c>
      <c r="L2796" s="365"/>
      <c r="M2796" s="329"/>
      <c r="N2796" s="173" t="s">
        <v>679</v>
      </c>
      <c r="O2796" s="173" t="s">
        <v>225</v>
      </c>
      <c r="P2796" s="262" t="str">
        <f t="shared" si="1"/>
        <v>IN-BLR-ANANTA-EM-343_7</v>
      </c>
      <c r="Q2796" s="173" t="s">
        <v>8868</v>
      </c>
      <c r="R2796" s="328" t="str">
        <f>IFS(C2796="","",C2796="n/a","N/A",LEN(C2796),Concatenate("{",char(34),"asset",char(34),":{",char(34),"guid",char(34),":",char(34),Q2796,char(34),",",char(34),"site",char(34),":",char(34),LOWER('2-Building'!$B$4),char(34),",",char(34),"name",char(34),":",char(34),LOWER(C2796),char(34),"}}"))</f>
        <v>{"asset":{"guid":"uuid://51ef76d6-5cea-428f-a2ec-4165189423f8","site":"in-blr-ananta","name":"em-343"}}</v>
      </c>
      <c r="S2796" s="366" t="s">
        <v>8581</v>
      </c>
      <c r="T2796" s="330"/>
      <c r="U2796" s="330"/>
      <c r="V2796" s="331"/>
      <c r="W2796" s="332"/>
      <c r="X2796" s="333"/>
      <c r="Y2796" s="33" t="s">
        <v>8076</v>
      </c>
      <c r="Z2796" s="368"/>
      <c r="AA2796" s="333"/>
      <c r="AB2796" s="258">
        <v>14.0</v>
      </c>
      <c r="AC2796" s="333"/>
      <c r="AD2796" s="329"/>
      <c r="AE2796" s="331"/>
      <c r="AF2796" s="336"/>
      <c r="AG2796" s="337"/>
      <c r="AH2796" s="333"/>
      <c r="AI2796" s="333"/>
      <c r="AJ2796" s="333"/>
      <c r="AK2796" s="333"/>
      <c r="AL2796" s="333"/>
      <c r="AM2796" s="338"/>
      <c r="AN2796" s="333"/>
      <c r="AO2796" s="333"/>
      <c r="AP2796" s="333"/>
      <c r="AQ2796" s="333"/>
      <c r="AR2796" s="333"/>
      <c r="AS2796" s="333"/>
      <c r="AT2796" s="333"/>
      <c r="AU2796" s="329"/>
      <c r="AV2796" s="341"/>
      <c r="AW2796" s="269"/>
      <c r="AX2796" s="269" t="s">
        <v>2869</v>
      </c>
      <c r="AY2796" s="270" t="s">
        <v>695</v>
      </c>
      <c r="AZ2796" s="379"/>
      <c r="BA2796" s="265">
        <v>10.0</v>
      </c>
      <c r="BB2796" s="367"/>
      <c r="BC2796" s="341"/>
      <c r="BD2796" s="308" t="s">
        <v>1844</v>
      </c>
      <c r="BE2796" s="378"/>
      <c r="BF2796" s="274" t="str">
        <f>IFERROR(__xludf.DUMMYFUNCTION("LOWER(Regexreplace(to_text(E2796),""[^A-Za-z0-9]"","""")&amp;""_""&amp;Regexreplace(to_text(F2796),""[^A-Za-z0-9]"",""""))"),"schneider_easylogicem6436hrs")</f>
        <v>schneider_easylogicem6436hrs</v>
      </c>
      <c r="BG2796" s="275" t="str">
        <f>IFERROR(__xludf.DUMMYFUNCTION("upper(Regexreplace(to_text(E2796),""[^A-Za-z0-9]"","""")&amp;""-""&amp;Regexreplace(to_text(F2796),""[^A-Za-z0-9]"",""""))"),"SCHNEIDER-EASYLOGICEM6436HRS")</f>
        <v>SCHNEIDER-EASYLOGICEM6436HRS</v>
      </c>
    </row>
    <row r="2797" ht="30.0" customHeight="1">
      <c r="A2797" s="258"/>
      <c r="B2797" s="328" t="s">
        <v>670</v>
      </c>
      <c r="C2797" s="257" t="s">
        <v>8869</v>
      </c>
      <c r="D2797" s="173" t="s">
        <v>8869</v>
      </c>
      <c r="E2797" s="174" t="s">
        <v>8070</v>
      </c>
      <c r="F2797" s="173" t="s">
        <v>8078</v>
      </c>
      <c r="G2797" s="328" t="s">
        <v>673</v>
      </c>
      <c r="H2797" s="328" t="s">
        <v>2863</v>
      </c>
      <c r="I2797" s="258" t="s">
        <v>8072</v>
      </c>
      <c r="J2797" s="259" t="s">
        <v>1211</v>
      </c>
      <c r="K2797" s="260">
        <v>770.0</v>
      </c>
      <c r="L2797" s="365"/>
      <c r="M2797" s="329"/>
      <c r="N2797" s="173" t="s">
        <v>679</v>
      </c>
      <c r="O2797" s="173" t="s">
        <v>225</v>
      </c>
      <c r="P2797" s="262" t="str">
        <f t="shared" si="1"/>
        <v>IN-BLR-ANANTA-EM-344_7</v>
      </c>
      <c r="Q2797" s="173" t="s">
        <v>8870</v>
      </c>
      <c r="R2797" s="328" t="str">
        <f>IFS(C2797="","",C2797="n/a","N/A",LEN(C2797),Concatenate("{",char(34),"asset",char(34),":{",char(34),"guid",char(34),":",char(34),Q2797,char(34),",",char(34),"site",char(34),":",char(34),LOWER('2-Building'!$B$4),char(34),",",char(34),"name",char(34),":",char(34),LOWER(C2797),char(34),"}}"))</f>
        <v>{"asset":{"guid":"uuid://78bf19ad-8af5-4b10-9d3e-61764b963c92","site":"in-blr-ananta","name":"em-344"}}</v>
      </c>
      <c r="S2797" s="366" t="s">
        <v>8581</v>
      </c>
      <c r="T2797" s="330"/>
      <c r="U2797" s="330"/>
      <c r="V2797" s="331"/>
      <c r="W2797" s="332"/>
      <c r="X2797" s="333"/>
      <c r="Y2797" s="33" t="s">
        <v>8076</v>
      </c>
      <c r="Z2797" s="368"/>
      <c r="AA2797" s="333"/>
      <c r="AB2797" s="258">
        <v>15.0</v>
      </c>
      <c r="AC2797" s="333"/>
      <c r="AD2797" s="329"/>
      <c r="AE2797" s="331"/>
      <c r="AF2797" s="336"/>
      <c r="AG2797" s="337"/>
      <c r="AH2797" s="333"/>
      <c r="AI2797" s="333"/>
      <c r="AJ2797" s="333"/>
      <c r="AK2797" s="333"/>
      <c r="AL2797" s="333"/>
      <c r="AM2797" s="338"/>
      <c r="AN2797" s="333"/>
      <c r="AO2797" s="333"/>
      <c r="AP2797" s="333"/>
      <c r="AQ2797" s="333"/>
      <c r="AR2797" s="333"/>
      <c r="AS2797" s="333"/>
      <c r="AT2797" s="333"/>
      <c r="AU2797" s="329"/>
      <c r="AV2797" s="341"/>
      <c r="AW2797" s="269"/>
      <c r="AX2797" s="269" t="s">
        <v>2869</v>
      </c>
      <c r="AY2797" s="270" t="s">
        <v>695</v>
      </c>
      <c r="AZ2797" s="379"/>
      <c r="BA2797" s="265">
        <v>10.0</v>
      </c>
      <c r="BB2797" s="367"/>
      <c r="BC2797" s="341"/>
      <c r="BD2797" s="308" t="s">
        <v>1844</v>
      </c>
      <c r="BE2797" s="378"/>
      <c r="BF2797" s="274" t="str">
        <f>IFERROR(__xludf.DUMMYFUNCTION("LOWER(Regexreplace(to_text(E2797),""[^A-Za-z0-9]"","""")&amp;""_""&amp;Regexreplace(to_text(F2797),""[^A-Za-z0-9]"",""""))"),"schneider_easylogicem6436hrs")</f>
        <v>schneider_easylogicem6436hrs</v>
      </c>
      <c r="BG2797" s="275" t="str">
        <f>IFERROR(__xludf.DUMMYFUNCTION("upper(Regexreplace(to_text(E2797),""[^A-Za-z0-9]"","""")&amp;""-""&amp;Regexreplace(to_text(F2797),""[^A-Za-z0-9]"",""""))"),"SCHNEIDER-EASYLOGICEM6436HRS")</f>
        <v>SCHNEIDER-EASYLOGICEM6436HRS</v>
      </c>
    </row>
    <row r="2798" ht="30.0" customHeight="1">
      <c r="A2798" s="258"/>
      <c r="B2798" s="328" t="s">
        <v>670</v>
      </c>
      <c r="C2798" s="257" t="s">
        <v>8871</v>
      </c>
      <c r="D2798" s="173" t="s">
        <v>8871</v>
      </c>
      <c r="E2798" s="174" t="s">
        <v>8070</v>
      </c>
      <c r="F2798" s="173" t="s">
        <v>8078</v>
      </c>
      <c r="G2798" s="328" t="s">
        <v>673</v>
      </c>
      <c r="H2798" s="328" t="s">
        <v>2863</v>
      </c>
      <c r="I2798" s="258" t="s">
        <v>8072</v>
      </c>
      <c r="J2798" s="259" t="s">
        <v>1272</v>
      </c>
      <c r="K2798" s="260">
        <v>870.0</v>
      </c>
      <c r="L2798" s="365"/>
      <c r="M2798" s="329"/>
      <c r="N2798" s="173" t="s">
        <v>679</v>
      </c>
      <c r="O2798" s="173" t="s">
        <v>225</v>
      </c>
      <c r="P2798" s="262" t="str">
        <f t="shared" si="1"/>
        <v>IN-BLR-ANANTA-EM-345_8</v>
      </c>
      <c r="Q2798" s="173" t="s">
        <v>8872</v>
      </c>
      <c r="R2798" s="328" t="str">
        <f>IFS(C2798="","",C2798="n/a","N/A",LEN(C2798),Concatenate("{",char(34),"asset",char(34),":{",char(34),"guid",char(34),":",char(34),Q2798,char(34),",",char(34),"site",char(34),":",char(34),LOWER('2-Building'!$B$4),char(34),",",char(34),"name",char(34),":",char(34),LOWER(C2798),char(34),"}}"))</f>
        <v>{"asset":{"guid":"uuid://c062a3a3-f255-40ea-be85-232bb85de1d9","site":"in-blr-ananta","name":"em-345"}}</v>
      </c>
      <c r="S2798" s="366" t="s">
        <v>8581</v>
      </c>
      <c r="T2798" s="330"/>
      <c r="U2798" s="330"/>
      <c r="V2798" s="331"/>
      <c r="W2798" s="332"/>
      <c r="X2798" s="333"/>
      <c r="Y2798" s="33" t="s">
        <v>8076</v>
      </c>
      <c r="Z2798" s="368"/>
      <c r="AA2798" s="333"/>
      <c r="AB2798" s="258">
        <v>16.0</v>
      </c>
      <c r="AC2798" s="333"/>
      <c r="AD2798" s="329"/>
      <c r="AE2798" s="331"/>
      <c r="AF2798" s="336"/>
      <c r="AG2798" s="337"/>
      <c r="AH2798" s="333"/>
      <c r="AI2798" s="333"/>
      <c r="AJ2798" s="333"/>
      <c r="AK2798" s="333"/>
      <c r="AL2798" s="333"/>
      <c r="AM2798" s="338"/>
      <c r="AN2798" s="333"/>
      <c r="AO2798" s="333"/>
      <c r="AP2798" s="333"/>
      <c r="AQ2798" s="333"/>
      <c r="AR2798" s="333"/>
      <c r="AS2798" s="333"/>
      <c r="AT2798" s="333"/>
      <c r="AU2798" s="329"/>
      <c r="AV2798" s="341"/>
      <c r="AW2798" s="269"/>
      <c r="AX2798" s="269" t="s">
        <v>2869</v>
      </c>
      <c r="AY2798" s="270" t="s">
        <v>695</v>
      </c>
      <c r="AZ2798" s="379"/>
      <c r="BA2798" s="265">
        <v>10.0</v>
      </c>
      <c r="BB2798" s="367"/>
      <c r="BC2798" s="341"/>
      <c r="BD2798" s="308" t="s">
        <v>1844</v>
      </c>
      <c r="BE2798" s="378"/>
      <c r="BF2798" s="274" t="str">
        <f>IFERROR(__xludf.DUMMYFUNCTION("LOWER(Regexreplace(to_text(E2798),""[^A-Za-z0-9]"","""")&amp;""_""&amp;Regexreplace(to_text(F2798),""[^A-Za-z0-9]"",""""))"),"schneider_easylogicem6436hrs")</f>
        <v>schneider_easylogicem6436hrs</v>
      </c>
      <c r="BG2798" s="275" t="str">
        <f>IFERROR(__xludf.DUMMYFUNCTION("upper(Regexreplace(to_text(E2798),""[^A-Za-z0-9]"","""")&amp;""-""&amp;Regexreplace(to_text(F2798),""[^A-Za-z0-9]"",""""))"),"SCHNEIDER-EASYLOGICEM6436HRS")</f>
        <v>SCHNEIDER-EASYLOGICEM6436HRS</v>
      </c>
    </row>
    <row r="2799" ht="30.0" customHeight="1">
      <c r="A2799" s="258"/>
      <c r="B2799" s="328" t="s">
        <v>670</v>
      </c>
      <c r="C2799" s="257" t="s">
        <v>8873</v>
      </c>
      <c r="D2799" s="173" t="s">
        <v>8873</v>
      </c>
      <c r="E2799" s="174" t="s">
        <v>8070</v>
      </c>
      <c r="F2799" s="173" t="s">
        <v>8078</v>
      </c>
      <c r="G2799" s="328" t="s">
        <v>673</v>
      </c>
      <c r="H2799" s="328" t="s">
        <v>2863</v>
      </c>
      <c r="I2799" s="258" t="s">
        <v>8072</v>
      </c>
      <c r="J2799" s="259" t="s">
        <v>1272</v>
      </c>
      <c r="K2799" s="260">
        <v>870.0</v>
      </c>
      <c r="L2799" s="365"/>
      <c r="M2799" s="329"/>
      <c r="N2799" s="173" t="s">
        <v>679</v>
      </c>
      <c r="O2799" s="173" t="s">
        <v>225</v>
      </c>
      <c r="P2799" s="262" t="str">
        <f t="shared" si="1"/>
        <v>IN-BLR-ANANTA-EM-346_8</v>
      </c>
      <c r="Q2799" s="173" t="s">
        <v>8874</v>
      </c>
      <c r="R2799" s="328" t="str">
        <f>IFS(C2799="","",C2799="n/a","N/A",LEN(C2799),Concatenate("{",char(34),"asset",char(34),":{",char(34),"guid",char(34),":",char(34),Q2799,char(34),",",char(34),"site",char(34),":",char(34),LOWER('2-Building'!$B$4),char(34),",",char(34),"name",char(34),":",char(34),LOWER(C2799),char(34),"}}"))</f>
        <v>{"asset":{"guid":"uuid://2501004e-9e18-4c45-b7ca-0f6356df1406","site":"in-blr-ananta","name":"em-346"}}</v>
      </c>
      <c r="S2799" s="366" t="s">
        <v>8581</v>
      </c>
      <c r="T2799" s="330"/>
      <c r="U2799" s="330"/>
      <c r="V2799" s="331"/>
      <c r="W2799" s="332"/>
      <c r="X2799" s="333"/>
      <c r="Y2799" s="33" t="s">
        <v>8076</v>
      </c>
      <c r="Z2799" s="368"/>
      <c r="AA2799" s="333"/>
      <c r="AB2799" s="258">
        <v>17.0</v>
      </c>
      <c r="AC2799" s="333"/>
      <c r="AD2799" s="329"/>
      <c r="AE2799" s="331"/>
      <c r="AF2799" s="336"/>
      <c r="AG2799" s="337"/>
      <c r="AH2799" s="333"/>
      <c r="AI2799" s="333"/>
      <c r="AJ2799" s="333"/>
      <c r="AK2799" s="333"/>
      <c r="AL2799" s="333"/>
      <c r="AM2799" s="338"/>
      <c r="AN2799" s="333"/>
      <c r="AO2799" s="333"/>
      <c r="AP2799" s="333"/>
      <c r="AQ2799" s="333"/>
      <c r="AR2799" s="333"/>
      <c r="AS2799" s="333"/>
      <c r="AT2799" s="333"/>
      <c r="AU2799" s="329"/>
      <c r="AV2799" s="341"/>
      <c r="AW2799" s="269"/>
      <c r="AX2799" s="269" t="s">
        <v>2869</v>
      </c>
      <c r="AY2799" s="270" t="s">
        <v>695</v>
      </c>
      <c r="AZ2799" s="379"/>
      <c r="BA2799" s="265">
        <v>10.0</v>
      </c>
      <c r="BB2799" s="367"/>
      <c r="BC2799" s="341"/>
      <c r="BD2799" s="308" t="s">
        <v>1844</v>
      </c>
      <c r="BE2799" s="378"/>
      <c r="BF2799" s="274" t="str">
        <f>IFERROR(__xludf.DUMMYFUNCTION("LOWER(Regexreplace(to_text(E2799),""[^A-Za-z0-9]"","""")&amp;""_""&amp;Regexreplace(to_text(F2799),""[^A-Za-z0-9]"",""""))"),"schneider_easylogicem6436hrs")</f>
        <v>schneider_easylogicem6436hrs</v>
      </c>
      <c r="BG2799" s="275" t="str">
        <f>IFERROR(__xludf.DUMMYFUNCTION("upper(Regexreplace(to_text(E2799),""[^A-Za-z0-9]"","""")&amp;""-""&amp;Regexreplace(to_text(F2799),""[^A-Za-z0-9]"",""""))"),"SCHNEIDER-EASYLOGICEM6436HRS")</f>
        <v>SCHNEIDER-EASYLOGICEM6436HRS</v>
      </c>
    </row>
    <row r="2800" ht="30.0" customHeight="1">
      <c r="A2800" s="258"/>
      <c r="B2800" s="328" t="s">
        <v>670</v>
      </c>
      <c r="C2800" s="257" t="s">
        <v>8875</v>
      </c>
      <c r="D2800" s="173" t="s">
        <v>8875</v>
      </c>
      <c r="E2800" s="174" t="s">
        <v>8070</v>
      </c>
      <c r="F2800" s="173" t="s">
        <v>8078</v>
      </c>
      <c r="G2800" s="328" t="s">
        <v>673</v>
      </c>
      <c r="H2800" s="328" t="s">
        <v>2863</v>
      </c>
      <c r="I2800" s="258" t="s">
        <v>8072</v>
      </c>
      <c r="J2800" s="259" t="s">
        <v>1333</v>
      </c>
      <c r="K2800" s="260">
        <v>970.0</v>
      </c>
      <c r="L2800" s="365"/>
      <c r="M2800" s="329"/>
      <c r="N2800" s="173" t="s">
        <v>679</v>
      </c>
      <c r="O2800" s="173" t="s">
        <v>225</v>
      </c>
      <c r="P2800" s="262" t="str">
        <f t="shared" si="1"/>
        <v>IN-BLR-ANANTA-EM-347_9</v>
      </c>
      <c r="Q2800" s="173" t="s">
        <v>8876</v>
      </c>
      <c r="R2800" s="328" t="str">
        <f>IFS(C2800="","",C2800="n/a","N/A",LEN(C2800),Concatenate("{",char(34),"asset",char(34),":{",char(34),"guid",char(34),":",char(34),Q2800,char(34),",",char(34),"site",char(34),":",char(34),LOWER('2-Building'!$B$4),char(34),",",char(34),"name",char(34),":",char(34),LOWER(C2800),char(34),"}}"))</f>
        <v>{"asset":{"guid":"uuid://533f0a40-b21b-4a61-a278-8e62c922f16a","site":"in-blr-ananta","name":"em-347"}}</v>
      </c>
      <c r="S2800" s="366" t="s">
        <v>8581</v>
      </c>
      <c r="T2800" s="330"/>
      <c r="U2800" s="330"/>
      <c r="V2800" s="331"/>
      <c r="W2800" s="332"/>
      <c r="X2800" s="333"/>
      <c r="Y2800" s="33" t="s">
        <v>8076</v>
      </c>
      <c r="Z2800" s="368"/>
      <c r="AA2800" s="333"/>
      <c r="AB2800" s="258">
        <v>18.0</v>
      </c>
      <c r="AC2800" s="333"/>
      <c r="AD2800" s="329"/>
      <c r="AE2800" s="331"/>
      <c r="AF2800" s="336"/>
      <c r="AG2800" s="337"/>
      <c r="AH2800" s="333"/>
      <c r="AI2800" s="333"/>
      <c r="AJ2800" s="333"/>
      <c r="AK2800" s="333"/>
      <c r="AL2800" s="333"/>
      <c r="AM2800" s="338"/>
      <c r="AN2800" s="333"/>
      <c r="AO2800" s="333"/>
      <c r="AP2800" s="333"/>
      <c r="AQ2800" s="333"/>
      <c r="AR2800" s="333"/>
      <c r="AS2800" s="333"/>
      <c r="AT2800" s="333"/>
      <c r="AU2800" s="329"/>
      <c r="AV2800" s="341"/>
      <c r="AW2800" s="269"/>
      <c r="AX2800" s="269" t="s">
        <v>2869</v>
      </c>
      <c r="AY2800" s="270" t="s">
        <v>695</v>
      </c>
      <c r="AZ2800" s="379"/>
      <c r="BA2800" s="265">
        <v>10.0</v>
      </c>
      <c r="BB2800" s="367"/>
      <c r="BC2800" s="341"/>
      <c r="BD2800" s="308" t="s">
        <v>1844</v>
      </c>
      <c r="BE2800" s="378"/>
      <c r="BF2800" s="274" t="str">
        <f>IFERROR(__xludf.DUMMYFUNCTION("LOWER(Regexreplace(to_text(E2800),""[^A-Za-z0-9]"","""")&amp;""_""&amp;Regexreplace(to_text(F2800),""[^A-Za-z0-9]"",""""))"),"schneider_easylogicem6436hrs")</f>
        <v>schneider_easylogicem6436hrs</v>
      </c>
      <c r="BG2800" s="275" t="str">
        <f>IFERROR(__xludf.DUMMYFUNCTION("upper(Regexreplace(to_text(E2800),""[^A-Za-z0-9]"","""")&amp;""-""&amp;Regexreplace(to_text(F2800),""[^A-Za-z0-9]"",""""))"),"SCHNEIDER-EASYLOGICEM6436HRS")</f>
        <v>SCHNEIDER-EASYLOGICEM6436HRS</v>
      </c>
    </row>
    <row r="2801" ht="30.0" customHeight="1">
      <c r="A2801" s="258"/>
      <c r="B2801" s="328" t="s">
        <v>670</v>
      </c>
      <c r="C2801" s="257" t="s">
        <v>8877</v>
      </c>
      <c r="D2801" s="173" t="s">
        <v>8877</v>
      </c>
      <c r="E2801" s="174" t="s">
        <v>8070</v>
      </c>
      <c r="F2801" s="173" t="s">
        <v>8078</v>
      </c>
      <c r="G2801" s="328" t="s">
        <v>673</v>
      </c>
      <c r="H2801" s="328" t="s">
        <v>2863</v>
      </c>
      <c r="I2801" s="258" t="s">
        <v>8072</v>
      </c>
      <c r="J2801" s="259" t="s">
        <v>1333</v>
      </c>
      <c r="K2801" s="260">
        <v>970.0</v>
      </c>
      <c r="L2801" s="365"/>
      <c r="M2801" s="329"/>
      <c r="N2801" s="173" t="s">
        <v>679</v>
      </c>
      <c r="O2801" s="173" t="s">
        <v>225</v>
      </c>
      <c r="P2801" s="262" t="str">
        <f t="shared" si="1"/>
        <v>IN-BLR-ANANTA-EM-348_9</v>
      </c>
      <c r="Q2801" s="173" t="s">
        <v>8878</v>
      </c>
      <c r="R2801" s="328" t="str">
        <f>IFS(C2801="","",C2801="n/a","N/A",LEN(C2801),Concatenate("{",char(34),"asset",char(34),":{",char(34),"guid",char(34),":",char(34),Q2801,char(34),",",char(34),"site",char(34),":",char(34),LOWER('2-Building'!$B$4),char(34),",",char(34),"name",char(34),":",char(34),LOWER(C2801),char(34),"}}"))</f>
        <v>{"asset":{"guid":"uuid://27cec207-3c95-4398-9734-f3a8e9c19005","site":"in-blr-ananta","name":"em-348"}}</v>
      </c>
      <c r="S2801" s="366" t="s">
        <v>8581</v>
      </c>
      <c r="T2801" s="330"/>
      <c r="U2801" s="330"/>
      <c r="V2801" s="331"/>
      <c r="W2801" s="332"/>
      <c r="X2801" s="333"/>
      <c r="Y2801" s="33" t="s">
        <v>8076</v>
      </c>
      <c r="Z2801" s="368"/>
      <c r="AA2801" s="333"/>
      <c r="AB2801" s="258">
        <v>19.0</v>
      </c>
      <c r="AC2801" s="333"/>
      <c r="AD2801" s="329"/>
      <c r="AE2801" s="331"/>
      <c r="AF2801" s="336"/>
      <c r="AG2801" s="337"/>
      <c r="AH2801" s="333"/>
      <c r="AI2801" s="333"/>
      <c r="AJ2801" s="333"/>
      <c r="AK2801" s="333"/>
      <c r="AL2801" s="333"/>
      <c r="AM2801" s="338"/>
      <c r="AN2801" s="333"/>
      <c r="AO2801" s="333"/>
      <c r="AP2801" s="333"/>
      <c r="AQ2801" s="333"/>
      <c r="AR2801" s="333"/>
      <c r="AS2801" s="333"/>
      <c r="AT2801" s="333"/>
      <c r="AU2801" s="329"/>
      <c r="AV2801" s="341"/>
      <c r="AW2801" s="269"/>
      <c r="AX2801" s="269" t="s">
        <v>2869</v>
      </c>
      <c r="AY2801" s="270" t="s">
        <v>695</v>
      </c>
      <c r="AZ2801" s="379"/>
      <c r="BA2801" s="265">
        <v>10.0</v>
      </c>
      <c r="BB2801" s="367"/>
      <c r="BC2801" s="341"/>
      <c r="BD2801" s="308" t="s">
        <v>1844</v>
      </c>
      <c r="BE2801" s="378"/>
      <c r="BF2801" s="274" t="str">
        <f>IFERROR(__xludf.DUMMYFUNCTION("LOWER(Regexreplace(to_text(E2801),""[^A-Za-z0-9]"","""")&amp;""_""&amp;Regexreplace(to_text(F2801),""[^A-Za-z0-9]"",""""))"),"schneider_easylogicem6436hrs")</f>
        <v>schneider_easylogicem6436hrs</v>
      </c>
      <c r="BG2801" s="275" t="str">
        <f>IFERROR(__xludf.DUMMYFUNCTION("upper(Regexreplace(to_text(E2801),""[^A-Za-z0-9]"","""")&amp;""-""&amp;Regexreplace(to_text(F2801),""[^A-Za-z0-9]"",""""))"),"SCHNEIDER-EASYLOGICEM6436HRS")</f>
        <v>SCHNEIDER-EASYLOGICEM6436HRS</v>
      </c>
    </row>
    <row r="2802" ht="30.0" customHeight="1">
      <c r="A2802" s="258"/>
      <c r="B2802" s="328" t="s">
        <v>670</v>
      </c>
      <c r="C2802" s="257" t="s">
        <v>8879</v>
      </c>
      <c r="D2802" s="173" t="s">
        <v>8879</v>
      </c>
      <c r="E2802" s="174" t="s">
        <v>8070</v>
      </c>
      <c r="F2802" s="173" t="s">
        <v>8078</v>
      </c>
      <c r="G2802" s="328" t="s">
        <v>673</v>
      </c>
      <c r="H2802" s="328" t="s">
        <v>2863</v>
      </c>
      <c r="I2802" s="258" t="s">
        <v>8072</v>
      </c>
      <c r="J2802" s="259" t="s">
        <v>1393</v>
      </c>
      <c r="K2802" s="260">
        <v>1070.0</v>
      </c>
      <c r="L2802" s="365"/>
      <c r="M2802" s="329"/>
      <c r="N2802" s="173" t="s">
        <v>679</v>
      </c>
      <c r="O2802" s="173" t="s">
        <v>225</v>
      </c>
      <c r="P2802" s="262" t="str">
        <f t="shared" si="1"/>
        <v>IN-BLR-ANANTA-EM-349_10</v>
      </c>
      <c r="Q2802" s="173" t="s">
        <v>8880</v>
      </c>
      <c r="R2802" s="328" t="str">
        <f>IFS(C2802="","",C2802="n/a","N/A",LEN(C2802),Concatenate("{",char(34),"asset",char(34),":{",char(34),"guid",char(34),":",char(34),Q2802,char(34),",",char(34),"site",char(34),":",char(34),LOWER('2-Building'!$B$4),char(34),",",char(34),"name",char(34),":",char(34),LOWER(C2802),char(34),"}}"))</f>
        <v>{"asset":{"guid":"uuid://426d2396-9444-40d8-8a6f-df9839a8033d","site":"in-blr-ananta","name":"em-349"}}</v>
      </c>
      <c r="S2802" s="366" t="s">
        <v>8581</v>
      </c>
      <c r="T2802" s="330"/>
      <c r="U2802" s="330"/>
      <c r="V2802" s="331"/>
      <c r="W2802" s="332"/>
      <c r="X2802" s="333"/>
      <c r="Y2802" s="33" t="s">
        <v>8076</v>
      </c>
      <c r="Z2802" s="368"/>
      <c r="AA2802" s="333"/>
      <c r="AB2802" s="258">
        <v>20.0</v>
      </c>
      <c r="AC2802" s="333"/>
      <c r="AD2802" s="329"/>
      <c r="AE2802" s="331"/>
      <c r="AF2802" s="336"/>
      <c r="AG2802" s="337"/>
      <c r="AH2802" s="333"/>
      <c r="AI2802" s="333"/>
      <c r="AJ2802" s="333"/>
      <c r="AK2802" s="333"/>
      <c r="AL2802" s="333"/>
      <c r="AM2802" s="338"/>
      <c r="AN2802" s="333"/>
      <c r="AO2802" s="333"/>
      <c r="AP2802" s="333"/>
      <c r="AQ2802" s="333"/>
      <c r="AR2802" s="333"/>
      <c r="AS2802" s="333"/>
      <c r="AT2802" s="333"/>
      <c r="AU2802" s="329"/>
      <c r="AV2802" s="341"/>
      <c r="AW2802" s="269"/>
      <c r="AX2802" s="269" t="s">
        <v>2869</v>
      </c>
      <c r="AY2802" s="270" t="s">
        <v>695</v>
      </c>
      <c r="AZ2802" s="379"/>
      <c r="BA2802" s="265">
        <v>10.0</v>
      </c>
      <c r="BB2802" s="367"/>
      <c r="BC2802" s="341"/>
      <c r="BD2802" s="308" t="s">
        <v>1844</v>
      </c>
      <c r="BE2802" s="378"/>
      <c r="BF2802" s="274" t="str">
        <f>IFERROR(__xludf.DUMMYFUNCTION("LOWER(Regexreplace(to_text(E2802),""[^A-Za-z0-9]"","""")&amp;""_""&amp;Regexreplace(to_text(F2802),""[^A-Za-z0-9]"",""""))"),"schneider_easylogicem6436hrs")</f>
        <v>schneider_easylogicem6436hrs</v>
      </c>
      <c r="BG2802" s="275" t="str">
        <f>IFERROR(__xludf.DUMMYFUNCTION("upper(Regexreplace(to_text(E2802),""[^A-Za-z0-9]"","""")&amp;""-""&amp;Regexreplace(to_text(F2802),""[^A-Za-z0-9]"",""""))"),"SCHNEIDER-EASYLOGICEM6436HRS")</f>
        <v>SCHNEIDER-EASYLOGICEM6436HRS</v>
      </c>
    </row>
    <row r="2803" ht="30.0" customHeight="1">
      <c r="A2803" s="258"/>
      <c r="B2803" s="328" t="s">
        <v>670</v>
      </c>
      <c r="C2803" s="257" t="s">
        <v>8881</v>
      </c>
      <c r="D2803" s="173" t="s">
        <v>8881</v>
      </c>
      <c r="E2803" s="174" t="s">
        <v>8070</v>
      </c>
      <c r="F2803" s="173" t="s">
        <v>8078</v>
      </c>
      <c r="G2803" s="328" t="s">
        <v>673</v>
      </c>
      <c r="H2803" s="328" t="s">
        <v>2863</v>
      </c>
      <c r="I2803" s="258" t="s">
        <v>8072</v>
      </c>
      <c r="J2803" s="259" t="s">
        <v>1453</v>
      </c>
      <c r="K2803" s="260">
        <v>1170.0</v>
      </c>
      <c r="L2803" s="365"/>
      <c r="M2803" s="329"/>
      <c r="N2803" s="173" t="s">
        <v>679</v>
      </c>
      <c r="O2803" s="173" t="s">
        <v>225</v>
      </c>
      <c r="P2803" s="262" t="str">
        <f t="shared" si="1"/>
        <v>IN-BLR-ANANTA-EM-350_11</v>
      </c>
      <c r="Q2803" s="173" t="s">
        <v>8882</v>
      </c>
      <c r="R2803" s="328" t="str">
        <f>IFS(C2803="","",C2803="n/a","N/A",LEN(C2803),Concatenate("{",char(34),"asset",char(34),":{",char(34),"guid",char(34),":",char(34),Q2803,char(34),",",char(34),"site",char(34),":",char(34),LOWER('2-Building'!$B$4),char(34),",",char(34),"name",char(34),":",char(34),LOWER(C2803),char(34),"}}"))</f>
        <v>{"asset":{"guid":"uuid://463680bb-aeac-4836-bcee-d7a6551b114f","site":"in-blr-ananta","name":"em-350"}}</v>
      </c>
      <c r="S2803" s="366" t="s">
        <v>8581</v>
      </c>
      <c r="T2803" s="330"/>
      <c r="U2803" s="330"/>
      <c r="V2803" s="331"/>
      <c r="W2803" s="332"/>
      <c r="X2803" s="333"/>
      <c r="Y2803" s="33" t="s">
        <v>8076</v>
      </c>
      <c r="Z2803" s="368"/>
      <c r="AA2803" s="333"/>
      <c r="AB2803" s="258">
        <v>22.0</v>
      </c>
      <c r="AC2803" s="333"/>
      <c r="AD2803" s="329"/>
      <c r="AE2803" s="331"/>
      <c r="AF2803" s="336"/>
      <c r="AG2803" s="337"/>
      <c r="AH2803" s="333"/>
      <c r="AI2803" s="333"/>
      <c r="AJ2803" s="333"/>
      <c r="AK2803" s="333"/>
      <c r="AL2803" s="333"/>
      <c r="AM2803" s="338"/>
      <c r="AN2803" s="333"/>
      <c r="AO2803" s="333"/>
      <c r="AP2803" s="333"/>
      <c r="AQ2803" s="333"/>
      <c r="AR2803" s="333"/>
      <c r="AS2803" s="333"/>
      <c r="AT2803" s="333"/>
      <c r="AU2803" s="329"/>
      <c r="AV2803" s="341"/>
      <c r="AW2803" s="269"/>
      <c r="AX2803" s="269" t="s">
        <v>2869</v>
      </c>
      <c r="AY2803" s="270" t="s">
        <v>695</v>
      </c>
      <c r="AZ2803" s="379"/>
      <c r="BA2803" s="173">
        <v>10.0</v>
      </c>
      <c r="BB2803" s="367"/>
      <c r="BC2803" s="341"/>
      <c r="BD2803" s="308" t="s">
        <v>1844</v>
      </c>
      <c r="BE2803" s="378"/>
      <c r="BF2803" s="274" t="str">
        <f>IFERROR(__xludf.DUMMYFUNCTION("LOWER(Regexreplace(to_text(E2803),""[^A-Za-z0-9]"","""")&amp;""_""&amp;Regexreplace(to_text(F2803),""[^A-Za-z0-9]"",""""))"),"schneider_easylogicem6436hrs")</f>
        <v>schneider_easylogicem6436hrs</v>
      </c>
      <c r="BG2803" s="275" t="str">
        <f>IFERROR(__xludf.DUMMYFUNCTION("upper(Regexreplace(to_text(E2803),""[^A-Za-z0-9]"","""")&amp;""-""&amp;Regexreplace(to_text(F2803),""[^A-Za-z0-9]"",""""))"),"SCHNEIDER-EASYLOGICEM6436HRS")</f>
        <v>SCHNEIDER-EASYLOGICEM6436HRS</v>
      </c>
    </row>
    <row r="2804" ht="30.0" customHeight="1">
      <c r="A2804" s="258"/>
      <c r="B2804" s="328" t="s">
        <v>670</v>
      </c>
      <c r="C2804" s="257" t="s">
        <v>8883</v>
      </c>
      <c r="D2804" s="173" t="s">
        <v>8883</v>
      </c>
      <c r="E2804" s="174" t="s">
        <v>8070</v>
      </c>
      <c r="F2804" s="173" t="s">
        <v>8078</v>
      </c>
      <c r="G2804" s="328" t="s">
        <v>673</v>
      </c>
      <c r="H2804" s="328" t="s">
        <v>2863</v>
      </c>
      <c r="I2804" s="258" t="s">
        <v>8072</v>
      </c>
      <c r="J2804" s="259" t="s">
        <v>1453</v>
      </c>
      <c r="K2804" s="260">
        <v>1170.0</v>
      </c>
      <c r="L2804" s="365"/>
      <c r="M2804" s="329"/>
      <c r="N2804" s="173" t="s">
        <v>679</v>
      </c>
      <c r="O2804" s="173" t="s">
        <v>225</v>
      </c>
      <c r="P2804" s="262" t="str">
        <f t="shared" si="1"/>
        <v>IN-BLR-ANANTA-EM-351_11</v>
      </c>
      <c r="Q2804" s="173" t="s">
        <v>8884</v>
      </c>
      <c r="R2804" s="328" t="str">
        <f>IFS(C2804="","",C2804="n/a","N/A",LEN(C2804),Concatenate("{",char(34),"asset",char(34),":{",char(34),"guid",char(34),":",char(34),Q2804,char(34),",",char(34),"site",char(34),":",char(34),LOWER('2-Building'!$B$4),char(34),",",char(34),"name",char(34),":",char(34),LOWER(C2804),char(34),"}}"))</f>
        <v>{"asset":{"guid":"uuid://059cccf3-7ac1-4213-9e68-89a227e26516","site":"in-blr-ananta","name":"em-351"}}</v>
      </c>
      <c r="S2804" s="366" t="s">
        <v>8581</v>
      </c>
      <c r="T2804" s="330"/>
      <c r="U2804" s="330"/>
      <c r="V2804" s="331"/>
      <c r="W2804" s="332"/>
      <c r="X2804" s="333"/>
      <c r="Y2804" s="33" t="s">
        <v>8076</v>
      </c>
      <c r="Z2804" s="368"/>
      <c r="AA2804" s="333"/>
      <c r="AB2804" s="258">
        <v>23.0</v>
      </c>
      <c r="AC2804" s="333"/>
      <c r="AD2804" s="329"/>
      <c r="AE2804" s="331"/>
      <c r="AF2804" s="336"/>
      <c r="AG2804" s="337"/>
      <c r="AH2804" s="333"/>
      <c r="AI2804" s="333"/>
      <c r="AJ2804" s="333"/>
      <c r="AK2804" s="333"/>
      <c r="AL2804" s="333"/>
      <c r="AM2804" s="338"/>
      <c r="AN2804" s="333"/>
      <c r="AO2804" s="333"/>
      <c r="AP2804" s="333"/>
      <c r="AQ2804" s="333"/>
      <c r="AR2804" s="333"/>
      <c r="AS2804" s="333"/>
      <c r="AT2804" s="333"/>
      <c r="AU2804" s="329"/>
      <c r="AV2804" s="341"/>
      <c r="AW2804" s="269"/>
      <c r="AX2804" s="269" t="s">
        <v>2869</v>
      </c>
      <c r="AY2804" s="270" t="s">
        <v>695</v>
      </c>
      <c r="AZ2804" s="379"/>
      <c r="BA2804" s="173">
        <v>10.0</v>
      </c>
      <c r="BB2804" s="367"/>
      <c r="BC2804" s="341"/>
      <c r="BD2804" s="308" t="s">
        <v>1844</v>
      </c>
      <c r="BE2804" s="378"/>
      <c r="BF2804" s="274" t="str">
        <f>IFERROR(__xludf.DUMMYFUNCTION("LOWER(Regexreplace(to_text(E2804),""[^A-Za-z0-9]"","""")&amp;""_""&amp;Regexreplace(to_text(F2804),""[^A-Za-z0-9]"",""""))"),"schneider_easylogicem6436hrs")</f>
        <v>schneider_easylogicem6436hrs</v>
      </c>
      <c r="BG2804" s="275" t="str">
        <f>IFERROR(__xludf.DUMMYFUNCTION("upper(Regexreplace(to_text(E2804),""[^A-Za-z0-9]"","""")&amp;""-""&amp;Regexreplace(to_text(F2804),""[^A-Za-z0-9]"",""""))"),"SCHNEIDER-EASYLOGICEM6436HRS")</f>
        <v>SCHNEIDER-EASYLOGICEM6436HRS</v>
      </c>
    </row>
    <row r="2805" ht="30.0" customHeight="1">
      <c r="A2805" s="258"/>
      <c r="B2805" s="328" t="s">
        <v>670</v>
      </c>
      <c r="C2805" s="257" t="s">
        <v>8885</v>
      </c>
      <c r="D2805" s="173" t="s">
        <v>8885</v>
      </c>
      <c r="E2805" s="174" t="s">
        <v>8070</v>
      </c>
      <c r="F2805" s="173" t="s">
        <v>8078</v>
      </c>
      <c r="G2805" s="328" t="s">
        <v>673</v>
      </c>
      <c r="H2805" s="328" t="s">
        <v>2863</v>
      </c>
      <c r="I2805" s="258" t="s">
        <v>8072</v>
      </c>
      <c r="J2805" s="259" t="s">
        <v>1453</v>
      </c>
      <c r="K2805" s="260">
        <v>1170.0</v>
      </c>
      <c r="L2805" s="365"/>
      <c r="M2805" s="329"/>
      <c r="N2805" s="173" t="s">
        <v>679</v>
      </c>
      <c r="O2805" s="173" t="s">
        <v>225</v>
      </c>
      <c r="P2805" s="262" t="str">
        <f t="shared" si="1"/>
        <v>IN-BLR-ANANTA-EM-352_11</v>
      </c>
      <c r="Q2805" s="173" t="s">
        <v>8886</v>
      </c>
      <c r="R2805" s="328" t="str">
        <f>IFS(C2805="","",C2805="n/a","N/A",LEN(C2805),Concatenate("{",char(34),"asset",char(34),":{",char(34),"guid",char(34),":",char(34),Q2805,char(34),",",char(34),"site",char(34),":",char(34),LOWER('2-Building'!$B$4),char(34),",",char(34),"name",char(34),":",char(34),LOWER(C2805),char(34),"}}"))</f>
        <v>{"asset":{"guid":"uuid://bf99c2d9-6999-4f62-920e-fb4dd70c10a4","site":"in-blr-ananta","name":"em-352"}}</v>
      </c>
      <c r="S2805" s="366" t="s">
        <v>8581</v>
      </c>
      <c r="T2805" s="330"/>
      <c r="U2805" s="330"/>
      <c r="V2805" s="331"/>
      <c r="W2805" s="332"/>
      <c r="X2805" s="333"/>
      <c r="Y2805" s="33" t="s">
        <v>8076</v>
      </c>
      <c r="Z2805" s="368"/>
      <c r="AA2805" s="333"/>
      <c r="AB2805" s="258">
        <v>24.0</v>
      </c>
      <c r="AC2805" s="333"/>
      <c r="AD2805" s="329"/>
      <c r="AE2805" s="331"/>
      <c r="AF2805" s="336"/>
      <c r="AG2805" s="337"/>
      <c r="AH2805" s="333"/>
      <c r="AI2805" s="333"/>
      <c r="AJ2805" s="333"/>
      <c r="AK2805" s="333"/>
      <c r="AL2805" s="333"/>
      <c r="AM2805" s="338"/>
      <c r="AN2805" s="333"/>
      <c r="AO2805" s="333"/>
      <c r="AP2805" s="333"/>
      <c r="AQ2805" s="333"/>
      <c r="AR2805" s="333"/>
      <c r="AS2805" s="333"/>
      <c r="AT2805" s="333"/>
      <c r="AU2805" s="329"/>
      <c r="AV2805" s="341"/>
      <c r="AW2805" s="269"/>
      <c r="AX2805" s="269" t="s">
        <v>2869</v>
      </c>
      <c r="AY2805" s="270" t="s">
        <v>695</v>
      </c>
      <c r="AZ2805" s="379"/>
      <c r="BA2805" s="173">
        <v>10.0</v>
      </c>
      <c r="BB2805" s="367"/>
      <c r="BC2805" s="341"/>
      <c r="BD2805" s="308" t="s">
        <v>1844</v>
      </c>
      <c r="BE2805" s="378"/>
      <c r="BF2805" s="274" t="str">
        <f>IFERROR(__xludf.DUMMYFUNCTION("LOWER(Regexreplace(to_text(E2805),""[^A-Za-z0-9]"","""")&amp;""_""&amp;Regexreplace(to_text(F2805),""[^A-Za-z0-9]"",""""))"),"schneider_easylogicem6436hrs")</f>
        <v>schneider_easylogicem6436hrs</v>
      </c>
      <c r="BG2805" s="275" t="str">
        <f>IFERROR(__xludf.DUMMYFUNCTION("upper(Regexreplace(to_text(E2805),""[^A-Za-z0-9]"","""")&amp;""-""&amp;Regexreplace(to_text(F2805),""[^A-Za-z0-9]"",""""))"),"SCHNEIDER-EASYLOGICEM6436HRS")</f>
        <v>SCHNEIDER-EASYLOGICEM6436HRS</v>
      </c>
    </row>
    <row r="2806" ht="30.0" customHeight="1">
      <c r="A2806" s="258"/>
      <c r="B2806" s="328" t="s">
        <v>670</v>
      </c>
      <c r="C2806" s="257" t="s">
        <v>8887</v>
      </c>
      <c r="D2806" s="173" t="s">
        <v>8887</v>
      </c>
      <c r="E2806" s="174" t="s">
        <v>8070</v>
      </c>
      <c r="F2806" s="173" t="s">
        <v>8078</v>
      </c>
      <c r="G2806" s="328" t="s">
        <v>673</v>
      </c>
      <c r="H2806" s="328" t="s">
        <v>2863</v>
      </c>
      <c r="I2806" s="258" t="s">
        <v>8072</v>
      </c>
      <c r="J2806" s="259" t="s">
        <v>1453</v>
      </c>
      <c r="K2806" s="260">
        <v>1170.0</v>
      </c>
      <c r="L2806" s="365"/>
      <c r="M2806" s="329"/>
      <c r="N2806" s="173" t="s">
        <v>679</v>
      </c>
      <c r="O2806" s="173" t="s">
        <v>225</v>
      </c>
      <c r="P2806" s="262" t="str">
        <f t="shared" si="1"/>
        <v>IN-BLR-ANANTA-EM-353_11</v>
      </c>
      <c r="Q2806" s="173" t="s">
        <v>8888</v>
      </c>
      <c r="R2806" s="328" t="str">
        <f>IFS(C2806="","",C2806="n/a","N/A",LEN(C2806),Concatenate("{",char(34),"asset",char(34),":{",char(34),"guid",char(34),":",char(34),Q2806,char(34),",",char(34),"site",char(34),":",char(34),LOWER('2-Building'!$B$4),char(34),",",char(34),"name",char(34),":",char(34),LOWER(C2806),char(34),"}}"))</f>
        <v>{"asset":{"guid":"uuid://242d3887-479c-4cdb-aa94-2e4ef8c2be13","site":"in-blr-ananta","name":"em-353"}}</v>
      </c>
      <c r="S2806" s="366" t="s">
        <v>8581</v>
      </c>
      <c r="T2806" s="330"/>
      <c r="U2806" s="330"/>
      <c r="V2806" s="331"/>
      <c r="W2806" s="332"/>
      <c r="X2806" s="333"/>
      <c r="Y2806" s="33" t="s">
        <v>8076</v>
      </c>
      <c r="Z2806" s="368"/>
      <c r="AA2806" s="333"/>
      <c r="AB2806" s="258">
        <v>25.0</v>
      </c>
      <c r="AC2806" s="333"/>
      <c r="AD2806" s="329"/>
      <c r="AE2806" s="331"/>
      <c r="AF2806" s="336"/>
      <c r="AG2806" s="337"/>
      <c r="AH2806" s="333"/>
      <c r="AI2806" s="333"/>
      <c r="AJ2806" s="333"/>
      <c r="AK2806" s="333"/>
      <c r="AL2806" s="333"/>
      <c r="AM2806" s="338"/>
      <c r="AN2806" s="333"/>
      <c r="AO2806" s="333"/>
      <c r="AP2806" s="333"/>
      <c r="AQ2806" s="333"/>
      <c r="AR2806" s="333"/>
      <c r="AS2806" s="333"/>
      <c r="AT2806" s="333"/>
      <c r="AU2806" s="329"/>
      <c r="AV2806" s="341"/>
      <c r="AW2806" s="269"/>
      <c r="AX2806" s="269" t="s">
        <v>2869</v>
      </c>
      <c r="AY2806" s="270" t="s">
        <v>695</v>
      </c>
      <c r="AZ2806" s="379"/>
      <c r="BA2806" s="173">
        <v>10.0</v>
      </c>
      <c r="BB2806" s="367"/>
      <c r="BC2806" s="341"/>
      <c r="BD2806" s="308" t="s">
        <v>1844</v>
      </c>
      <c r="BE2806" s="378"/>
      <c r="BF2806" s="274" t="str">
        <f>IFERROR(__xludf.DUMMYFUNCTION("LOWER(Regexreplace(to_text(E2806),""[^A-Za-z0-9]"","""")&amp;""_""&amp;Regexreplace(to_text(F2806),""[^A-Za-z0-9]"",""""))"),"schneider_easylogicem6436hrs")</f>
        <v>schneider_easylogicem6436hrs</v>
      </c>
      <c r="BG2806" s="275" t="str">
        <f>IFERROR(__xludf.DUMMYFUNCTION("upper(Regexreplace(to_text(E2806),""[^A-Za-z0-9]"","""")&amp;""-""&amp;Regexreplace(to_text(F2806),""[^A-Za-z0-9]"",""""))"),"SCHNEIDER-EASYLOGICEM6436HRS")</f>
        <v>SCHNEIDER-EASYLOGICEM6436HRS</v>
      </c>
    </row>
    <row r="2807" ht="30.0" customHeight="1">
      <c r="A2807" s="258"/>
      <c r="B2807" s="328" t="s">
        <v>670</v>
      </c>
      <c r="C2807" s="257" t="s">
        <v>8889</v>
      </c>
      <c r="D2807" s="173" t="s">
        <v>8889</v>
      </c>
      <c r="E2807" s="174" t="s">
        <v>8070</v>
      </c>
      <c r="F2807" s="173" t="s">
        <v>8078</v>
      </c>
      <c r="G2807" s="328" t="s">
        <v>673</v>
      </c>
      <c r="H2807" s="328" t="s">
        <v>2863</v>
      </c>
      <c r="I2807" s="258" t="s">
        <v>8072</v>
      </c>
      <c r="J2807" s="259" t="s">
        <v>846</v>
      </c>
      <c r="K2807" s="260">
        <v>182.0</v>
      </c>
      <c r="L2807" s="365"/>
      <c r="M2807" s="329"/>
      <c r="N2807" s="173" t="s">
        <v>679</v>
      </c>
      <c r="O2807" s="173" t="s">
        <v>225</v>
      </c>
      <c r="P2807" s="262" t="str">
        <f t="shared" si="1"/>
        <v>IN-BLR-ANANTA-EM-354_1</v>
      </c>
      <c r="Q2807" s="173" t="s">
        <v>8890</v>
      </c>
      <c r="R2807" s="328" t="str">
        <f>IFS(C2807="","",C2807="n/a","N/A",LEN(C2807),Concatenate("{",char(34),"asset",char(34),":{",char(34),"guid",char(34),":",char(34),Q2807,char(34),",",char(34),"site",char(34),":",char(34),LOWER('2-Building'!$B$4),char(34),",",char(34),"name",char(34),":",char(34),LOWER(C2807),char(34),"}}"))</f>
        <v>{"asset":{"guid":"uuid://a01d54ce-6ade-46c2-a29f-ee86bf82045c","site":"in-blr-ananta","name":"em-354"}}</v>
      </c>
      <c r="S2807" s="366" t="s">
        <v>8581</v>
      </c>
      <c r="T2807" s="330"/>
      <c r="U2807" s="330"/>
      <c r="V2807" s="331"/>
      <c r="W2807" s="332"/>
      <c r="X2807" s="333"/>
      <c r="Y2807" s="33" t="s">
        <v>8076</v>
      </c>
      <c r="Z2807" s="368"/>
      <c r="AA2807" s="333"/>
      <c r="AB2807" s="258">
        <v>1.0</v>
      </c>
      <c r="AC2807" s="333"/>
      <c r="AD2807" s="329"/>
      <c r="AE2807" s="331"/>
      <c r="AF2807" s="336"/>
      <c r="AG2807" s="337"/>
      <c r="AH2807" s="333"/>
      <c r="AI2807" s="333"/>
      <c r="AJ2807" s="333"/>
      <c r="AK2807" s="333"/>
      <c r="AL2807" s="333"/>
      <c r="AM2807" s="338"/>
      <c r="AN2807" s="333"/>
      <c r="AO2807" s="333"/>
      <c r="AP2807" s="333"/>
      <c r="AQ2807" s="333"/>
      <c r="AR2807" s="333"/>
      <c r="AS2807" s="333"/>
      <c r="AT2807" s="333"/>
      <c r="AU2807" s="329"/>
      <c r="AV2807" s="341"/>
      <c r="AW2807" s="269"/>
      <c r="AX2807" s="269" t="s">
        <v>2869</v>
      </c>
      <c r="AY2807" s="270" t="s">
        <v>695</v>
      </c>
      <c r="AZ2807" s="379"/>
      <c r="BA2807" s="173">
        <v>10.0</v>
      </c>
      <c r="BB2807" s="367"/>
      <c r="BC2807" s="341"/>
      <c r="BD2807" s="308" t="s">
        <v>1844</v>
      </c>
      <c r="BE2807" s="378"/>
      <c r="BF2807" s="274" t="str">
        <f>IFERROR(__xludf.DUMMYFUNCTION("LOWER(Regexreplace(to_text(E2807),""[^A-Za-z0-9]"","""")&amp;""_""&amp;Regexreplace(to_text(F2807),""[^A-Za-z0-9]"",""""))"),"schneider_easylogicem6436hrs")</f>
        <v>schneider_easylogicem6436hrs</v>
      </c>
      <c r="BG2807" s="275" t="str">
        <f>IFERROR(__xludf.DUMMYFUNCTION("upper(Regexreplace(to_text(E2807),""[^A-Za-z0-9]"","""")&amp;""-""&amp;Regexreplace(to_text(F2807),""[^A-Za-z0-9]"",""""))"),"SCHNEIDER-EASYLOGICEM6436HRS")</f>
        <v>SCHNEIDER-EASYLOGICEM6436HRS</v>
      </c>
    </row>
    <row r="2808" ht="30.0" customHeight="1">
      <c r="A2808" s="258"/>
      <c r="B2808" s="328" t="s">
        <v>670</v>
      </c>
      <c r="C2808" s="257" t="s">
        <v>8891</v>
      </c>
      <c r="D2808" s="173" t="s">
        <v>8891</v>
      </c>
      <c r="E2808" s="174" t="s">
        <v>8070</v>
      </c>
      <c r="F2808" s="173" t="s">
        <v>8078</v>
      </c>
      <c r="G2808" s="328" t="s">
        <v>673</v>
      </c>
      <c r="H2808" s="328" t="s">
        <v>2863</v>
      </c>
      <c r="I2808" s="258" t="s">
        <v>8072</v>
      </c>
      <c r="J2808" s="259" t="s">
        <v>846</v>
      </c>
      <c r="K2808" s="260">
        <v>182.0</v>
      </c>
      <c r="L2808" s="365"/>
      <c r="M2808" s="329"/>
      <c r="N2808" s="173" t="s">
        <v>679</v>
      </c>
      <c r="O2808" s="173" t="s">
        <v>225</v>
      </c>
      <c r="P2808" s="262" t="str">
        <f t="shared" si="1"/>
        <v>IN-BLR-ANANTA-EM-355_1</v>
      </c>
      <c r="Q2808" s="173" t="s">
        <v>8892</v>
      </c>
      <c r="R2808" s="328" t="str">
        <f>IFS(C2808="","",C2808="n/a","N/A",LEN(C2808),Concatenate("{",char(34),"asset",char(34),":{",char(34),"guid",char(34),":",char(34),Q2808,char(34),",",char(34),"site",char(34),":",char(34),LOWER('2-Building'!$B$4),char(34),",",char(34),"name",char(34),":",char(34),LOWER(C2808),char(34),"}}"))</f>
        <v>{"asset":{"guid":"uuid://fd77c328-9a5e-4703-9481-3ff9894ad319","site":"in-blr-ananta","name":"em-355"}}</v>
      </c>
      <c r="S2808" s="366" t="s">
        <v>8581</v>
      </c>
      <c r="T2808" s="330"/>
      <c r="U2808" s="330"/>
      <c r="V2808" s="331"/>
      <c r="W2808" s="332"/>
      <c r="X2808" s="333"/>
      <c r="Y2808" s="33" t="s">
        <v>8076</v>
      </c>
      <c r="Z2808" s="368"/>
      <c r="AA2808" s="333"/>
      <c r="AB2808" s="258">
        <v>2.0</v>
      </c>
      <c r="AC2808" s="333"/>
      <c r="AD2808" s="329"/>
      <c r="AE2808" s="331"/>
      <c r="AF2808" s="336"/>
      <c r="AG2808" s="337"/>
      <c r="AH2808" s="333"/>
      <c r="AI2808" s="333"/>
      <c r="AJ2808" s="333"/>
      <c r="AK2808" s="333"/>
      <c r="AL2808" s="333"/>
      <c r="AM2808" s="338"/>
      <c r="AN2808" s="333"/>
      <c r="AO2808" s="333"/>
      <c r="AP2808" s="333"/>
      <c r="AQ2808" s="333"/>
      <c r="AR2808" s="333"/>
      <c r="AS2808" s="333"/>
      <c r="AT2808" s="333"/>
      <c r="AU2808" s="329"/>
      <c r="AV2808" s="341"/>
      <c r="AW2808" s="269"/>
      <c r="AX2808" s="269" t="s">
        <v>2869</v>
      </c>
      <c r="AY2808" s="270" t="s">
        <v>695</v>
      </c>
      <c r="AZ2808" s="379"/>
      <c r="BA2808" s="173">
        <v>10.0</v>
      </c>
      <c r="BB2808" s="367"/>
      <c r="BC2808" s="341"/>
      <c r="BD2808" s="308" t="s">
        <v>1844</v>
      </c>
      <c r="BE2808" s="378"/>
      <c r="BF2808" s="274" t="str">
        <f>IFERROR(__xludf.DUMMYFUNCTION("LOWER(Regexreplace(to_text(E2808),""[^A-Za-z0-9]"","""")&amp;""_""&amp;Regexreplace(to_text(F2808),""[^A-Za-z0-9]"",""""))"),"schneider_easylogicem6436hrs")</f>
        <v>schneider_easylogicem6436hrs</v>
      </c>
      <c r="BG2808" s="275" t="str">
        <f>IFERROR(__xludf.DUMMYFUNCTION("upper(Regexreplace(to_text(E2808),""[^A-Za-z0-9]"","""")&amp;""-""&amp;Regexreplace(to_text(F2808),""[^A-Za-z0-9]"",""""))"),"SCHNEIDER-EASYLOGICEM6436HRS")</f>
        <v>SCHNEIDER-EASYLOGICEM6436HRS</v>
      </c>
    </row>
    <row r="2809" ht="30.0" customHeight="1">
      <c r="A2809" s="258"/>
      <c r="B2809" s="328" t="s">
        <v>670</v>
      </c>
      <c r="C2809" s="257" t="s">
        <v>8893</v>
      </c>
      <c r="D2809" s="173" t="s">
        <v>8893</v>
      </c>
      <c r="E2809" s="174" t="s">
        <v>8070</v>
      </c>
      <c r="F2809" s="173" t="s">
        <v>8078</v>
      </c>
      <c r="G2809" s="328" t="s">
        <v>673</v>
      </c>
      <c r="H2809" s="328" t="s">
        <v>2863</v>
      </c>
      <c r="I2809" s="258" t="s">
        <v>8072</v>
      </c>
      <c r="J2809" s="259" t="s">
        <v>846</v>
      </c>
      <c r="K2809" s="260">
        <v>182.0</v>
      </c>
      <c r="L2809" s="365"/>
      <c r="M2809" s="329"/>
      <c r="N2809" s="173" t="s">
        <v>679</v>
      </c>
      <c r="O2809" s="173" t="s">
        <v>225</v>
      </c>
      <c r="P2809" s="262" t="str">
        <f t="shared" si="1"/>
        <v>IN-BLR-ANANTA-EM-356_1</v>
      </c>
      <c r="Q2809" s="173" t="s">
        <v>8894</v>
      </c>
      <c r="R2809" s="328" t="str">
        <f>IFS(C2809="","",C2809="n/a","N/A",LEN(C2809),Concatenate("{",char(34),"asset",char(34),":{",char(34),"guid",char(34),":",char(34),Q2809,char(34),",",char(34),"site",char(34),":",char(34),LOWER('2-Building'!$B$4),char(34),",",char(34),"name",char(34),":",char(34),LOWER(C2809),char(34),"}}"))</f>
        <v>{"asset":{"guid":"uuid://6b42f6a1-f902-4a45-a0e9-bd50481e900a","site":"in-blr-ananta","name":"em-356"}}</v>
      </c>
      <c r="S2809" s="366" t="s">
        <v>8581</v>
      </c>
      <c r="T2809" s="330"/>
      <c r="U2809" s="330"/>
      <c r="V2809" s="331"/>
      <c r="W2809" s="332"/>
      <c r="X2809" s="333"/>
      <c r="Y2809" s="33" t="s">
        <v>8076</v>
      </c>
      <c r="Z2809" s="368"/>
      <c r="AA2809" s="333"/>
      <c r="AB2809" s="258">
        <v>3.0</v>
      </c>
      <c r="AC2809" s="333"/>
      <c r="AD2809" s="329"/>
      <c r="AE2809" s="331"/>
      <c r="AF2809" s="336"/>
      <c r="AG2809" s="337"/>
      <c r="AH2809" s="333"/>
      <c r="AI2809" s="333"/>
      <c r="AJ2809" s="333"/>
      <c r="AK2809" s="333"/>
      <c r="AL2809" s="333"/>
      <c r="AM2809" s="338"/>
      <c r="AN2809" s="333"/>
      <c r="AO2809" s="333"/>
      <c r="AP2809" s="333"/>
      <c r="AQ2809" s="333"/>
      <c r="AR2809" s="333"/>
      <c r="AS2809" s="333"/>
      <c r="AT2809" s="333"/>
      <c r="AU2809" s="329"/>
      <c r="AV2809" s="341"/>
      <c r="AW2809" s="269"/>
      <c r="AX2809" s="269" t="s">
        <v>2869</v>
      </c>
      <c r="AY2809" s="270" t="s">
        <v>695</v>
      </c>
      <c r="AZ2809" s="379"/>
      <c r="BA2809" s="173">
        <v>10.0</v>
      </c>
      <c r="BB2809" s="367"/>
      <c r="BC2809" s="341"/>
      <c r="BD2809" s="308" t="s">
        <v>1844</v>
      </c>
      <c r="BE2809" s="378"/>
      <c r="BF2809" s="274" t="str">
        <f>IFERROR(__xludf.DUMMYFUNCTION("LOWER(Regexreplace(to_text(E2809),""[^A-Za-z0-9]"","""")&amp;""_""&amp;Regexreplace(to_text(F2809),""[^A-Za-z0-9]"",""""))"),"schneider_easylogicem6436hrs")</f>
        <v>schneider_easylogicem6436hrs</v>
      </c>
      <c r="BG2809" s="275" t="str">
        <f>IFERROR(__xludf.DUMMYFUNCTION("upper(Regexreplace(to_text(E2809),""[^A-Za-z0-9]"","""")&amp;""-""&amp;Regexreplace(to_text(F2809),""[^A-Za-z0-9]"",""""))"),"SCHNEIDER-EASYLOGICEM6436HRS")</f>
        <v>SCHNEIDER-EASYLOGICEM6436HRS</v>
      </c>
    </row>
    <row r="2810" ht="30.0" customHeight="1">
      <c r="A2810" s="258"/>
      <c r="B2810" s="328" t="s">
        <v>670</v>
      </c>
      <c r="C2810" s="257" t="s">
        <v>8895</v>
      </c>
      <c r="D2810" s="173" t="s">
        <v>8895</v>
      </c>
      <c r="E2810" s="174" t="s">
        <v>8070</v>
      </c>
      <c r="F2810" s="173" t="s">
        <v>8078</v>
      </c>
      <c r="G2810" s="328" t="s">
        <v>673</v>
      </c>
      <c r="H2810" s="328" t="s">
        <v>2863</v>
      </c>
      <c r="I2810" s="258" t="s">
        <v>8072</v>
      </c>
      <c r="J2810" s="259" t="s">
        <v>902</v>
      </c>
      <c r="K2810" s="260">
        <v>282.0</v>
      </c>
      <c r="L2810" s="365"/>
      <c r="M2810" s="329"/>
      <c r="N2810" s="173" t="s">
        <v>679</v>
      </c>
      <c r="O2810" s="173" t="s">
        <v>225</v>
      </c>
      <c r="P2810" s="262" t="str">
        <f t="shared" si="1"/>
        <v>IN-BLR-ANANTA-EM-357_2</v>
      </c>
      <c r="Q2810" s="173" t="s">
        <v>8896</v>
      </c>
      <c r="R2810" s="328" t="str">
        <f>IFS(C2810="","",C2810="n/a","N/A",LEN(C2810),Concatenate("{",char(34),"asset",char(34),":{",char(34),"guid",char(34),":",char(34),Q2810,char(34),",",char(34),"site",char(34),":",char(34),LOWER('2-Building'!$B$4),char(34),",",char(34),"name",char(34),":",char(34),LOWER(C2810),char(34),"}}"))</f>
        <v>{"asset":{"guid":"uuid://48172a45-17d4-473d-9bf2-f888684bde74","site":"in-blr-ananta","name":"em-357"}}</v>
      </c>
      <c r="S2810" s="366" t="s">
        <v>8581</v>
      </c>
      <c r="T2810" s="330"/>
      <c r="U2810" s="330"/>
      <c r="V2810" s="331"/>
      <c r="W2810" s="332"/>
      <c r="X2810" s="333"/>
      <c r="Y2810" s="33" t="s">
        <v>8076</v>
      </c>
      <c r="Z2810" s="368"/>
      <c r="AA2810" s="333"/>
      <c r="AB2810" s="258">
        <v>4.0</v>
      </c>
      <c r="AC2810" s="333"/>
      <c r="AD2810" s="329"/>
      <c r="AE2810" s="331"/>
      <c r="AF2810" s="336"/>
      <c r="AG2810" s="337"/>
      <c r="AH2810" s="333"/>
      <c r="AI2810" s="333"/>
      <c r="AJ2810" s="333"/>
      <c r="AK2810" s="333"/>
      <c r="AL2810" s="333"/>
      <c r="AM2810" s="338"/>
      <c r="AN2810" s="333"/>
      <c r="AO2810" s="333"/>
      <c r="AP2810" s="333"/>
      <c r="AQ2810" s="333"/>
      <c r="AR2810" s="333"/>
      <c r="AS2810" s="333"/>
      <c r="AT2810" s="333"/>
      <c r="AU2810" s="329"/>
      <c r="AV2810" s="341"/>
      <c r="AW2810" s="269"/>
      <c r="AX2810" s="269" t="s">
        <v>2869</v>
      </c>
      <c r="AY2810" s="270" t="s">
        <v>695</v>
      </c>
      <c r="AZ2810" s="379"/>
      <c r="BA2810" s="173">
        <v>10.0</v>
      </c>
      <c r="BB2810" s="367"/>
      <c r="BC2810" s="341"/>
      <c r="BD2810" s="308" t="s">
        <v>1844</v>
      </c>
      <c r="BE2810" s="378"/>
      <c r="BF2810" s="274" t="str">
        <f>IFERROR(__xludf.DUMMYFUNCTION("LOWER(Regexreplace(to_text(E2810),""[^A-Za-z0-9]"","""")&amp;""_""&amp;Regexreplace(to_text(F2810),""[^A-Za-z0-9]"",""""))"),"schneider_easylogicem6436hrs")</f>
        <v>schneider_easylogicem6436hrs</v>
      </c>
      <c r="BG2810" s="275" t="str">
        <f>IFERROR(__xludf.DUMMYFUNCTION("upper(Regexreplace(to_text(E2810),""[^A-Za-z0-9]"","""")&amp;""-""&amp;Regexreplace(to_text(F2810),""[^A-Za-z0-9]"",""""))"),"SCHNEIDER-EASYLOGICEM6436HRS")</f>
        <v>SCHNEIDER-EASYLOGICEM6436HRS</v>
      </c>
    </row>
    <row r="2811" ht="30.0" customHeight="1">
      <c r="A2811" s="258"/>
      <c r="B2811" s="328" t="s">
        <v>670</v>
      </c>
      <c r="C2811" s="257" t="s">
        <v>8897</v>
      </c>
      <c r="D2811" s="173" t="s">
        <v>8897</v>
      </c>
      <c r="E2811" s="174" t="s">
        <v>8070</v>
      </c>
      <c r="F2811" s="173" t="s">
        <v>8078</v>
      </c>
      <c r="G2811" s="328" t="s">
        <v>673</v>
      </c>
      <c r="H2811" s="328" t="s">
        <v>2863</v>
      </c>
      <c r="I2811" s="258" t="s">
        <v>8072</v>
      </c>
      <c r="J2811" s="259" t="s">
        <v>902</v>
      </c>
      <c r="K2811" s="260">
        <v>282.0</v>
      </c>
      <c r="L2811" s="365"/>
      <c r="M2811" s="329"/>
      <c r="N2811" s="173" t="s">
        <v>679</v>
      </c>
      <c r="O2811" s="173" t="s">
        <v>225</v>
      </c>
      <c r="P2811" s="262" t="str">
        <f t="shared" si="1"/>
        <v>IN-BLR-ANANTA-EM-358_2</v>
      </c>
      <c r="Q2811" s="173" t="s">
        <v>8898</v>
      </c>
      <c r="R2811" s="328" t="str">
        <f>IFS(C2811="","",C2811="n/a","N/A",LEN(C2811),Concatenate("{",char(34),"asset",char(34),":{",char(34),"guid",char(34),":",char(34),Q2811,char(34),",",char(34),"site",char(34),":",char(34),LOWER('2-Building'!$B$4),char(34),",",char(34),"name",char(34),":",char(34),LOWER(C2811),char(34),"}}"))</f>
        <v>{"asset":{"guid":"uuid://4a315da7-d4e5-4afe-95ac-dca319d4b8e4","site":"in-blr-ananta","name":"em-358"}}</v>
      </c>
      <c r="S2811" s="366" t="s">
        <v>8581</v>
      </c>
      <c r="T2811" s="330"/>
      <c r="U2811" s="330"/>
      <c r="V2811" s="331"/>
      <c r="W2811" s="332"/>
      <c r="X2811" s="333"/>
      <c r="Y2811" s="33" t="s">
        <v>8076</v>
      </c>
      <c r="Z2811" s="368"/>
      <c r="AA2811" s="333"/>
      <c r="AB2811" s="258">
        <v>5.0</v>
      </c>
      <c r="AC2811" s="333"/>
      <c r="AD2811" s="329"/>
      <c r="AE2811" s="331"/>
      <c r="AF2811" s="336"/>
      <c r="AG2811" s="337"/>
      <c r="AH2811" s="333"/>
      <c r="AI2811" s="333"/>
      <c r="AJ2811" s="333"/>
      <c r="AK2811" s="333"/>
      <c r="AL2811" s="333"/>
      <c r="AM2811" s="338"/>
      <c r="AN2811" s="333"/>
      <c r="AO2811" s="333"/>
      <c r="AP2811" s="333"/>
      <c r="AQ2811" s="333"/>
      <c r="AR2811" s="333"/>
      <c r="AS2811" s="333"/>
      <c r="AT2811" s="333"/>
      <c r="AU2811" s="329"/>
      <c r="AV2811" s="341"/>
      <c r="AW2811" s="269"/>
      <c r="AX2811" s="269" t="s">
        <v>2869</v>
      </c>
      <c r="AY2811" s="270" t="s">
        <v>695</v>
      </c>
      <c r="AZ2811" s="379"/>
      <c r="BA2811" s="173">
        <v>10.0</v>
      </c>
      <c r="BB2811" s="367"/>
      <c r="BC2811" s="341"/>
      <c r="BD2811" s="308" t="s">
        <v>1844</v>
      </c>
      <c r="BE2811" s="378"/>
      <c r="BF2811" s="274" t="str">
        <f>IFERROR(__xludf.DUMMYFUNCTION("LOWER(Regexreplace(to_text(E2811),""[^A-Za-z0-9]"","""")&amp;""_""&amp;Regexreplace(to_text(F2811),""[^A-Za-z0-9]"",""""))"),"schneider_easylogicem6436hrs")</f>
        <v>schneider_easylogicem6436hrs</v>
      </c>
      <c r="BG2811" s="275" t="str">
        <f>IFERROR(__xludf.DUMMYFUNCTION("upper(Regexreplace(to_text(E2811),""[^A-Za-z0-9]"","""")&amp;""-""&amp;Regexreplace(to_text(F2811),""[^A-Za-z0-9]"",""""))"),"SCHNEIDER-EASYLOGICEM6436HRS")</f>
        <v>SCHNEIDER-EASYLOGICEM6436HRS</v>
      </c>
    </row>
    <row r="2812" ht="30.0" customHeight="1">
      <c r="A2812" s="258"/>
      <c r="B2812" s="328" t="s">
        <v>670</v>
      </c>
      <c r="C2812" s="257" t="s">
        <v>8899</v>
      </c>
      <c r="D2812" s="173" t="s">
        <v>8899</v>
      </c>
      <c r="E2812" s="174" t="s">
        <v>8070</v>
      </c>
      <c r="F2812" s="173" t="s">
        <v>8078</v>
      </c>
      <c r="G2812" s="328" t="s">
        <v>673</v>
      </c>
      <c r="H2812" s="328" t="s">
        <v>2863</v>
      </c>
      <c r="I2812" s="258" t="s">
        <v>8072</v>
      </c>
      <c r="J2812" s="259" t="s">
        <v>965</v>
      </c>
      <c r="K2812" s="260">
        <v>382.0</v>
      </c>
      <c r="L2812" s="365"/>
      <c r="M2812" s="329"/>
      <c r="N2812" s="173" t="s">
        <v>679</v>
      </c>
      <c r="O2812" s="173" t="s">
        <v>225</v>
      </c>
      <c r="P2812" s="262" t="str">
        <f t="shared" si="1"/>
        <v>IN-BLR-ANANTA-EM-359_3</v>
      </c>
      <c r="Q2812" s="173" t="s">
        <v>8900</v>
      </c>
      <c r="R2812" s="328" t="str">
        <f>IFS(C2812="","",C2812="n/a","N/A",LEN(C2812),Concatenate("{",char(34),"asset",char(34),":{",char(34),"guid",char(34),":",char(34),Q2812,char(34),",",char(34),"site",char(34),":",char(34),LOWER('2-Building'!$B$4),char(34),",",char(34),"name",char(34),":",char(34),LOWER(C2812),char(34),"}}"))</f>
        <v>{"asset":{"guid":"uuid://b5039cab-c17a-4ad4-8541-a1f9b9575240","site":"in-blr-ananta","name":"em-359"}}</v>
      </c>
      <c r="S2812" s="366" t="s">
        <v>8581</v>
      </c>
      <c r="T2812" s="330"/>
      <c r="U2812" s="330"/>
      <c r="V2812" s="331"/>
      <c r="W2812" s="332"/>
      <c r="X2812" s="333"/>
      <c r="Y2812" s="33" t="s">
        <v>8076</v>
      </c>
      <c r="Z2812" s="368"/>
      <c r="AA2812" s="333"/>
      <c r="AB2812" s="258">
        <v>6.0</v>
      </c>
      <c r="AC2812" s="333"/>
      <c r="AD2812" s="329"/>
      <c r="AE2812" s="331"/>
      <c r="AF2812" s="336"/>
      <c r="AG2812" s="337"/>
      <c r="AH2812" s="333"/>
      <c r="AI2812" s="333"/>
      <c r="AJ2812" s="333"/>
      <c r="AK2812" s="333"/>
      <c r="AL2812" s="333"/>
      <c r="AM2812" s="338"/>
      <c r="AN2812" s="333"/>
      <c r="AO2812" s="333"/>
      <c r="AP2812" s="333"/>
      <c r="AQ2812" s="333"/>
      <c r="AR2812" s="333"/>
      <c r="AS2812" s="333"/>
      <c r="AT2812" s="333"/>
      <c r="AU2812" s="329"/>
      <c r="AV2812" s="341"/>
      <c r="AW2812" s="269"/>
      <c r="AX2812" s="269" t="s">
        <v>2869</v>
      </c>
      <c r="AY2812" s="270" t="s">
        <v>695</v>
      </c>
      <c r="AZ2812" s="379"/>
      <c r="BA2812" s="173">
        <v>10.0</v>
      </c>
      <c r="BB2812" s="367"/>
      <c r="BC2812" s="341"/>
      <c r="BD2812" s="308" t="s">
        <v>1844</v>
      </c>
      <c r="BE2812" s="378"/>
      <c r="BF2812" s="274" t="str">
        <f>IFERROR(__xludf.DUMMYFUNCTION("LOWER(Regexreplace(to_text(E2812),""[^A-Za-z0-9]"","""")&amp;""_""&amp;Regexreplace(to_text(F2812),""[^A-Za-z0-9]"",""""))"),"schneider_easylogicem6436hrs")</f>
        <v>schneider_easylogicem6436hrs</v>
      </c>
      <c r="BG2812" s="275" t="str">
        <f>IFERROR(__xludf.DUMMYFUNCTION("upper(Regexreplace(to_text(E2812),""[^A-Za-z0-9]"","""")&amp;""-""&amp;Regexreplace(to_text(F2812),""[^A-Za-z0-9]"",""""))"),"SCHNEIDER-EASYLOGICEM6436HRS")</f>
        <v>SCHNEIDER-EASYLOGICEM6436HRS</v>
      </c>
    </row>
    <row r="2813" ht="30.0" customHeight="1">
      <c r="A2813" s="258"/>
      <c r="B2813" s="328" t="s">
        <v>670</v>
      </c>
      <c r="C2813" s="257" t="s">
        <v>8901</v>
      </c>
      <c r="D2813" s="173" t="s">
        <v>8901</v>
      </c>
      <c r="E2813" s="174" t="s">
        <v>8070</v>
      </c>
      <c r="F2813" s="173" t="s">
        <v>8078</v>
      </c>
      <c r="G2813" s="328" t="s">
        <v>673</v>
      </c>
      <c r="H2813" s="328" t="s">
        <v>2863</v>
      </c>
      <c r="I2813" s="258" t="s">
        <v>8072</v>
      </c>
      <c r="J2813" s="259" t="s">
        <v>965</v>
      </c>
      <c r="K2813" s="260">
        <v>382.0</v>
      </c>
      <c r="L2813" s="365"/>
      <c r="M2813" s="329"/>
      <c r="N2813" s="173" t="s">
        <v>679</v>
      </c>
      <c r="O2813" s="173" t="s">
        <v>225</v>
      </c>
      <c r="P2813" s="262" t="str">
        <f t="shared" si="1"/>
        <v>IN-BLR-ANANTA-EM-360_3</v>
      </c>
      <c r="Q2813" s="173" t="s">
        <v>8902</v>
      </c>
      <c r="R2813" s="328" t="str">
        <f>IFS(C2813="","",C2813="n/a","N/A",LEN(C2813),Concatenate("{",char(34),"asset",char(34),":{",char(34),"guid",char(34),":",char(34),Q2813,char(34),",",char(34),"site",char(34),":",char(34),LOWER('2-Building'!$B$4),char(34),",",char(34),"name",char(34),":",char(34),LOWER(C2813),char(34),"}}"))</f>
        <v>{"asset":{"guid":"uuid://94d4bcd1-68f4-4465-af33-7ceebfc10ca0","site":"in-blr-ananta","name":"em-360"}}</v>
      </c>
      <c r="S2813" s="366" t="s">
        <v>8581</v>
      </c>
      <c r="T2813" s="330"/>
      <c r="U2813" s="330"/>
      <c r="V2813" s="331"/>
      <c r="W2813" s="332"/>
      <c r="X2813" s="333"/>
      <c r="Y2813" s="33" t="s">
        <v>8076</v>
      </c>
      <c r="Z2813" s="368"/>
      <c r="AA2813" s="333"/>
      <c r="AB2813" s="258">
        <v>7.0</v>
      </c>
      <c r="AC2813" s="333"/>
      <c r="AD2813" s="329"/>
      <c r="AE2813" s="331"/>
      <c r="AF2813" s="336"/>
      <c r="AG2813" s="337"/>
      <c r="AH2813" s="333"/>
      <c r="AI2813" s="333"/>
      <c r="AJ2813" s="333"/>
      <c r="AK2813" s="333"/>
      <c r="AL2813" s="333"/>
      <c r="AM2813" s="338"/>
      <c r="AN2813" s="333"/>
      <c r="AO2813" s="333"/>
      <c r="AP2813" s="333"/>
      <c r="AQ2813" s="333"/>
      <c r="AR2813" s="333"/>
      <c r="AS2813" s="333"/>
      <c r="AT2813" s="333"/>
      <c r="AU2813" s="329"/>
      <c r="AV2813" s="341"/>
      <c r="AW2813" s="269"/>
      <c r="AX2813" s="269" t="s">
        <v>2869</v>
      </c>
      <c r="AY2813" s="270" t="s">
        <v>695</v>
      </c>
      <c r="AZ2813" s="379"/>
      <c r="BA2813" s="173">
        <v>10.0</v>
      </c>
      <c r="BB2813" s="367"/>
      <c r="BC2813" s="341"/>
      <c r="BD2813" s="308" t="s">
        <v>1844</v>
      </c>
      <c r="BE2813" s="378"/>
      <c r="BF2813" s="274" t="str">
        <f>IFERROR(__xludf.DUMMYFUNCTION("LOWER(Regexreplace(to_text(E2813),""[^A-Za-z0-9]"","""")&amp;""_""&amp;Regexreplace(to_text(F2813),""[^A-Za-z0-9]"",""""))"),"schneider_easylogicem6436hrs")</f>
        <v>schneider_easylogicem6436hrs</v>
      </c>
      <c r="BG2813" s="275" t="str">
        <f>IFERROR(__xludf.DUMMYFUNCTION("upper(Regexreplace(to_text(E2813),""[^A-Za-z0-9]"","""")&amp;""-""&amp;Regexreplace(to_text(F2813),""[^A-Za-z0-9]"",""""))"),"SCHNEIDER-EASYLOGICEM6436HRS")</f>
        <v>SCHNEIDER-EASYLOGICEM6436HRS</v>
      </c>
    </row>
    <row r="2814" ht="30.0" customHeight="1">
      <c r="A2814" s="258"/>
      <c r="B2814" s="328" t="s">
        <v>670</v>
      </c>
      <c r="C2814" s="257" t="s">
        <v>8903</v>
      </c>
      <c r="D2814" s="173" t="s">
        <v>8903</v>
      </c>
      <c r="E2814" s="174" t="s">
        <v>8070</v>
      </c>
      <c r="F2814" s="173" t="s">
        <v>8078</v>
      </c>
      <c r="G2814" s="328" t="s">
        <v>673</v>
      </c>
      <c r="H2814" s="328" t="s">
        <v>2863</v>
      </c>
      <c r="I2814" s="258" t="s">
        <v>8072</v>
      </c>
      <c r="J2814" s="259" t="s">
        <v>1026</v>
      </c>
      <c r="K2814" s="260">
        <v>482.0</v>
      </c>
      <c r="L2814" s="365"/>
      <c r="M2814" s="329"/>
      <c r="N2814" s="173" t="s">
        <v>679</v>
      </c>
      <c r="O2814" s="173" t="s">
        <v>225</v>
      </c>
      <c r="P2814" s="262" t="str">
        <f t="shared" si="1"/>
        <v>IN-BLR-ANANTA-EM-361_4</v>
      </c>
      <c r="Q2814" s="173" t="s">
        <v>8904</v>
      </c>
      <c r="R2814" s="328" t="str">
        <f>IFS(C2814="","",C2814="n/a","N/A",LEN(C2814),Concatenate("{",char(34),"asset",char(34),":{",char(34),"guid",char(34),":",char(34),Q2814,char(34),",",char(34),"site",char(34),":",char(34),LOWER('2-Building'!$B$4),char(34),",",char(34),"name",char(34),":",char(34),LOWER(C2814),char(34),"}}"))</f>
        <v>{"asset":{"guid":"uuid://bcde0ddc-67e6-4ecc-9868-7a7bce18ab9f","site":"in-blr-ananta","name":"em-361"}}</v>
      </c>
      <c r="S2814" s="366" t="s">
        <v>8581</v>
      </c>
      <c r="T2814" s="330"/>
      <c r="U2814" s="330"/>
      <c r="V2814" s="331"/>
      <c r="W2814" s="332"/>
      <c r="X2814" s="333"/>
      <c r="Y2814" s="33" t="s">
        <v>8076</v>
      </c>
      <c r="Z2814" s="368"/>
      <c r="AA2814" s="333"/>
      <c r="AB2814" s="258">
        <v>8.0</v>
      </c>
      <c r="AC2814" s="333"/>
      <c r="AD2814" s="329"/>
      <c r="AE2814" s="331"/>
      <c r="AF2814" s="336"/>
      <c r="AG2814" s="337"/>
      <c r="AH2814" s="333"/>
      <c r="AI2814" s="333"/>
      <c r="AJ2814" s="333"/>
      <c r="AK2814" s="333"/>
      <c r="AL2814" s="333"/>
      <c r="AM2814" s="338"/>
      <c r="AN2814" s="333"/>
      <c r="AO2814" s="333"/>
      <c r="AP2814" s="333"/>
      <c r="AQ2814" s="333"/>
      <c r="AR2814" s="333"/>
      <c r="AS2814" s="333"/>
      <c r="AT2814" s="333"/>
      <c r="AU2814" s="329"/>
      <c r="AV2814" s="341"/>
      <c r="AW2814" s="269"/>
      <c r="AX2814" s="269" t="s">
        <v>2869</v>
      </c>
      <c r="AY2814" s="270" t="s">
        <v>695</v>
      </c>
      <c r="AZ2814" s="379"/>
      <c r="BA2814" s="173">
        <v>10.0</v>
      </c>
      <c r="BB2814" s="367"/>
      <c r="BC2814" s="341"/>
      <c r="BD2814" s="308" t="s">
        <v>1844</v>
      </c>
      <c r="BE2814" s="378"/>
      <c r="BF2814" s="274" t="str">
        <f>IFERROR(__xludf.DUMMYFUNCTION("LOWER(Regexreplace(to_text(E2814),""[^A-Za-z0-9]"","""")&amp;""_""&amp;Regexreplace(to_text(F2814),""[^A-Za-z0-9]"",""""))"),"schneider_easylogicem6436hrs")</f>
        <v>schneider_easylogicem6436hrs</v>
      </c>
      <c r="BG2814" s="275" t="str">
        <f>IFERROR(__xludf.DUMMYFUNCTION("upper(Regexreplace(to_text(E2814),""[^A-Za-z0-9]"","""")&amp;""-""&amp;Regexreplace(to_text(F2814),""[^A-Za-z0-9]"",""""))"),"SCHNEIDER-EASYLOGICEM6436HRS")</f>
        <v>SCHNEIDER-EASYLOGICEM6436HRS</v>
      </c>
    </row>
    <row r="2815" ht="30.0" customHeight="1">
      <c r="A2815" s="258"/>
      <c r="B2815" s="328" t="s">
        <v>670</v>
      </c>
      <c r="C2815" s="257" t="s">
        <v>8905</v>
      </c>
      <c r="D2815" s="173" t="s">
        <v>8905</v>
      </c>
      <c r="E2815" s="174" t="s">
        <v>8070</v>
      </c>
      <c r="F2815" s="173" t="s">
        <v>8078</v>
      </c>
      <c r="G2815" s="328" t="s">
        <v>673</v>
      </c>
      <c r="H2815" s="328" t="s">
        <v>2863</v>
      </c>
      <c r="I2815" s="258" t="s">
        <v>8072</v>
      </c>
      <c r="J2815" s="259" t="s">
        <v>1026</v>
      </c>
      <c r="K2815" s="260">
        <v>482.0</v>
      </c>
      <c r="L2815" s="365"/>
      <c r="M2815" s="329"/>
      <c r="N2815" s="173" t="s">
        <v>679</v>
      </c>
      <c r="O2815" s="173" t="s">
        <v>225</v>
      </c>
      <c r="P2815" s="262" t="str">
        <f t="shared" si="1"/>
        <v>IN-BLR-ANANTA-EM-362_4</v>
      </c>
      <c r="Q2815" s="173" t="s">
        <v>8906</v>
      </c>
      <c r="R2815" s="328" t="str">
        <f>IFS(C2815="","",C2815="n/a","N/A",LEN(C2815),Concatenate("{",char(34),"asset",char(34),":{",char(34),"guid",char(34),":",char(34),Q2815,char(34),",",char(34),"site",char(34),":",char(34),LOWER('2-Building'!$B$4),char(34),",",char(34),"name",char(34),":",char(34),LOWER(C2815),char(34),"}}"))</f>
        <v>{"asset":{"guid":"uuid://34ce869f-0ace-45a9-9c86-116281fad169","site":"in-blr-ananta","name":"em-362"}}</v>
      </c>
      <c r="S2815" s="366" t="s">
        <v>8581</v>
      </c>
      <c r="T2815" s="330"/>
      <c r="U2815" s="330"/>
      <c r="V2815" s="331"/>
      <c r="W2815" s="332"/>
      <c r="X2815" s="333"/>
      <c r="Y2815" s="33" t="s">
        <v>8076</v>
      </c>
      <c r="Z2815" s="368"/>
      <c r="AA2815" s="333"/>
      <c r="AB2815" s="258">
        <v>9.0</v>
      </c>
      <c r="AC2815" s="333"/>
      <c r="AD2815" s="329"/>
      <c r="AE2815" s="331"/>
      <c r="AF2815" s="336"/>
      <c r="AG2815" s="337"/>
      <c r="AH2815" s="333"/>
      <c r="AI2815" s="333"/>
      <c r="AJ2815" s="333"/>
      <c r="AK2815" s="333"/>
      <c r="AL2815" s="333"/>
      <c r="AM2815" s="338"/>
      <c r="AN2815" s="333"/>
      <c r="AO2815" s="333"/>
      <c r="AP2815" s="333"/>
      <c r="AQ2815" s="333"/>
      <c r="AR2815" s="333"/>
      <c r="AS2815" s="333"/>
      <c r="AT2815" s="333"/>
      <c r="AU2815" s="329"/>
      <c r="AV2815" s="341"/>
      <c r="AW2815" s="269"/>
      <c r="AX2815" s="269" t="s">
        <v>2869</v>
      </c>
      <c r="AY2815" s="270" t="s">
        <v>695</v>
      </c>
      <c r="AZ2815" s="379"/>
      <c r="BA2815" s="173">
        <v>10.0</v>
      </c>
      <c r="BB2815" s="367"/>
      <c r="BC2815" s="341"/>
      <c r="BD2815" s="308" t="s">
        <v>1844</v>
      </c>
      <c r="BE2815" s="378"/>
      <c r="BF2815" s="274" t="str">
        <f>IFERROR(__xludf.DUMMYFUNCTION("LOWER(Regexreplace(to_text(E2815),""[^A-Za-z0-9]"","""")&amp;""_""&amp;Regexreplace(to_text(F2815),""[^A-Za-z0-9]"",""""))"),"schneider_easylogicem6436hrs")</f>
        <v>schneider_easylogicem6436hrs</v>
      </c>
      <c r="BG2815" s="275" t="str">
        <f>IFERROR(__xludf.DUMMYFUNCTION("upper(Regexreplace(to_text(E2815),""[^A-Za-z0-9]"","""")&amp;""-""&amp;Regexreplace(to_text(F2815),""[^A-Za-z0-9]"",""""))"),"SCHNEIDER-EASYLOGICEM6436HRS")</f>
        <v>SCHNEIDER-EASYLOGICEM6436HRS</v>
      </c>
    </row>
    <row r="2816" ht="30.0" customHeight="1">
      <c r="A2816" s="258"/>
      <c r="B2816" s="328" t="s">
        <v>670</v>
      </c>
      <c r="C2816" s="257" t="s">
        <v>8907</v>
      </c>
      <c r="D2816" s="173" t="s">
        <v>8907</v>
      </c>
      <c r="E2816" s="174" t="s">
        <v>8070</v>
      </c>
      <c r="F2816" s="173" t="s">
        <v>8078</v>
      </c>
      <c r="G2816" s="328" t="s">
        <v>673</v>
      </c>
      <c r="H2816" s="328" t="s">
        <v>2863</v>
      </c>
      <c r="I2816" s="258" t="s">
        <v>8072</v>
      </c>
      <c r="J2816" s="259" t="s">
        <v>1088</v>
      </c>
      <c r="K2816" s="260">
        <v>582.0</v>
      </c>
      <c r="L2816" s="365"/>
      <c r="M2816" s="329"/>
      <c r="N2816" s="173" t="s">
        <v>679</v>
      </c>
      <c r="O2816" s="173" t="s">
        <v>225</v>
      </c>
      <c r="P2816" s="262" t="str">
        <f t="shared" si="1"/>
        <v>IN-BLR-ANANTA-EM-363_5</v>
      </c>
      <c r="Q2816" s="173" t="s">
        <v>8908</v>
      </c>
      <c r="R2816" s="328" t="str">
        <f>IFS(C2816="","",C2816="n/a","N/A",LEN(C2816),Concatenate("{",char(34),"asset",char(34),":{",char(34),"guid",char(34),":",char(34),Q2816,char(34),",",char(34),"site",char(34),":",char(34),LOWER('2-Building'!$B$4),char(34),",",char(34),"name",char(34),":",char(34),LOWER(C2816),char(34),"}}"))</f>
        <v>{"asset":{"guid":"uuid://16f1f3cb-6aad-462c-b9b8-237405d3cd6c","site":"in-blr-ananta","name":"em-363"}}</v>
      </c>
      <c r="S2816" s="366" t="s">
        <v>8581</v>
      </c>
      <c r="T2816" s="330"/>
      <c r="U2816" s="330"/>
      <c r="V2816" s="331"/>
      <c r="W2816" s="332"/>
      <c r="X2816" s="333"/>
      <c r="Y2816" s="33" t="s">
        <v>8076</v>
      </c>
      <c r="Z2816" s="368"/>
      <c r="AA2816" s="333"/>
      <c r="AB2816" s="258">
        <v>10.0</v>
      </c>
      <c r="AC2816" s="333"/>
      <c r="AD2816" s="329"/>
      <c r="AE2816" s="331"/>
      <c r="AF2816" s="336"/>
      <c r="AG2816" s="337"/>
      <c r="AH2816" s="333"/>
      <c r="AI2816" s="333"/>
      <c r="AJ2816" s="333"/>
      <c r="AK2816" s="333"/>
      <c r="AL2816" s="333"/>
      <c r="AM2816" s="338"/>
      <c r="AN2816" s="333"/>
      <c r="AO2816" s="333"/>
      <c r="AP2816" s="333"/>
      <c r="AQ2816" s="333"/>
      <c r="AR2816" s="333"/>
      <c r="AS2816" s="333"/>
      <c r="AT2816" s="333"/>
      <c r="AU2816" s="329"/>
      <c r="AV2816" s="341"/>
      <c r="AW2816" s="269"/>
      <c r="AX2816" s="269" t="s">
        <v>2869</v>
      </c>
      <c r="AY2816" s="270" t="s">
        <v>695</v>
      </c>
      <c r="AZ2816" s="379"/>
      <c r="BA2816" s="173">
        <v>10.0</v>
      </c>
      <c r="BB2816" s="367"/>
      <c r="BC2816" s="341"/>
      <c r="BD2816" s="308" t="s">
        <v>1844</v>
      </c>
      <c r="BE2816" s="378"/>
      <c r="BF2816" s="274" t="str">
        <f>IFERROR(__xludf.DUMMYFUNCTION("LOWER(Regexreplace(to_text(E2816),""[^A-Za-z0-9]"","""")&amp;""_""&amp;Regexreplace(to_text(F2816),""[^A-Za-z0-9]"",""""))"),"schneider_easylogicem6436hrs")</f>
        <v>schneider_easylogicem6436hrs</v>
      </c>
      <c r="BG2816" s="275" t="str">
        <f>IFERROR(__xludf.DUMMYFUNCTION("upper(Regexreplace(to_text(E2816),""[^A-Za-z0-9]"","""")&amp;""-""&amp;Regexreplace(to_text(F2816),""[^A-Za-z0-9]"",""""))"),"SCHNEIDER-EASYLOGICEM6436HRS")</f>
        <v>SCHNEIDER-EASYLOGICEM6436HRS</v>
      </c>
    </row>
    <row r="2817" ht="30.0" customHeight="1">
      <c r="A2817" s="258"/>
      <c r="B2817" s="328" t="s">
        <v>670</v>
      </c>
      <c r="C2817" s="257" t="s">
        <v>8909</v>
      </c>
      <c r="D2817" s="173" t="s">
        <v>8909</v>
      </c>
      <c r="E2817" s="174" t="s">
        <v>8070</v>
      </c>
      <c r="F2817" s="173" t="s">
        <v>8078</v>
      </c>
      <c r="G2817" s="328" t="s">
        <v>673</v>
      </c>
      <c r="H2817" s="328" t="s">
        <v>2863</v>
      </c>
      <c r="I2817" s="258" t="s">
        <v>8072</v>
      </c>
      <c r="J2817" s="259" t="s">
        <v>1088</v>
      </c>
      <c r="K2817" s="260">
        <v>582.0</v>
      </c>
      <c r="L2817" s="365"/>
      <c r="M2817" s="329"/>
      <c r="N2817" s="173" t="s">
        <v>679</v>
      </c>
      <c r="O2817" s="173" t="s">
        <v>225</v>
      </c>
      <c r="P2817" s="262" t="str">
        <f t="shared" si="1"/>
        <v>IN-BLR-ANANTA-EM-364_5</v>
      </c>
      <c r="Q2817" s="173" t="s">
        <v>8910</v>
      </c>
      <c r="R2817" s="328" t="str">
        <f>IFS(C2817="","",C2817="n/a","N/A",LEN(C2817),Concatenate("{",char(34),"asset",char(34),":{",char(34),"guid",char(34),":",char(34),Q2817,char(34),",",char(34),"site",char(34),":",char(34),LOWER('2-Building'!$B$4),char(34),",",char(34),"name",char(34),":",char(34),LOWER(C2817),char(34),"}}"))</f>
        <v>{"asset":{"guid":"uuid://83d93b31-7066-413e-b272-409a099731e2","site":"in-blr-ananta","name":"em-364"}}</v>
      </c>
      <c r="S2817" s="366" t="s">
        <v>8581</v>
      </c>
      <c r="T2817" s="330"/>
      <c r="U2817" s="330"/>
      <c r="V2817" s="331"/>
      <c r="W2817" s="332"/>
      <c r="X2817" s="333"/>
      <c r="Y2817" s="33" t="s">
        <v>8076</v>
      </c>
      <c r="Z2817" s="368"/>
      <c r="AA2817" s="333"/>
      <c r="AB2817" s="258">
        <v>11.0</v>
      </c>
      <c r="AC2817" s="333"/>
      <c r="AD2817" s="329"/>
      <c r="AE2817" s="331"/>
      <c r="AF2817" s="336"/>
      <c r="AG2817" s="337"/>
      <c r="AH2817" s="333"/>
      <c r="AI2817" s="333"/>
      <c r="AJ2817" s="333"/>
      <c r="AK2817" s="333"/>
      <c r="AL2817" s="333"/>
      <c r="AM2817" s="338"/>
      <c r="AN2817" s="333"/>
      <c r="AO2817" s="333"/>
      <c r="AP2817" s="333"/>
      <c r="AQ2817" s="333"/>
      <c r="AR2817" s="333"/>
      <c r="AS2817" s="333"/>
      <c r="AT2817" s="333"/>
      <c r="AU2817" s="329"/>
      <c r="AV2817" s="341"/>
      <c r="AW2817" s="269"/>
      <c r="AX2817" s="269" t="s">
        <v>2869</v>
      </c>
      <c r="AY2817" s="270" t="s">
        <v>695</v>
      </c>
      <c r="AZ2817" s="379"/>
      <c r="BA2817" s="173">
        <v>10.0</v>
      </c>
      <c r="BB2817" s="367"/>
      <c r="BC2817" s="341"/>
      <c r="BD2817" s="308" t="s">
        <v>1844</v>
      </c>
      <c r="BE2817" s="378"/>
      <c r="BF2817" s="274" t="str">
        <f>IFERROR(__xludf.DUMMYFUNCTION("LOWER(Regexreplace(to_text(E2817),""[^A-Za-z0-9]"","""")&amp;""_""&amp;Regexreplace(to_text(F2817),""[^A-Za-z0-9]"",""""))"),"schneider_easylogicem6436hrs")</f>
        <v>schneider_easylogicem6436hrs</v>
      </c>
      <c r="BG2817" s="275" t="str">
        <f>IFERROR(__xludf.DUMMYFUNCTION("upper(Regexreplace(to_text(E2817),""[^A-Za-z0-9]"","""")&amp;""-""&amp;Regexreplace(to_text(F2817),""[^A-Za-z0-9]"",""""))"),"SCHNEIDER-EASYLOGICEM6436HRS")</f>
        <v>SCHNEIDER-EASYLOGICEM6436HRS</v>
      </c>
    </row>
    <row r="2818" ht="30.0" customHeight="1">
      <c r="A2818" s="258"/>
      <c r="B2818" s="328" t="s">
        <v>670</v>
      </c>
      <c r="C2818" s="257" t="s">
        <v>8911</v>
      </c>
      <c r="D2818" s="173" t="s">
        <v>8911</v>
      </c>
      <c r="E2818" s="174" t="s">
        <v>8070</v>
      </c>
      <c r="F2818" s="173" t="s">
        <v>8078</v>
      </c>
      <c r="G2818" s="328" t="s">
        <v>673</v>
      </c>
      <c r="H2818" s="328" t="s">
        <v>2863</v>
      </c>
      <c r="I2818" s="258" t="s">
        <v>8072</v>
      </c>
      <c r="J2818" s="259" t="s">
        <v>1149</v>
      </c>
      <c r="K2818" s="260">
        <v>682.0</v>
      </c>
      <c r="L2818" s="365"/>
      <c r="M2818" s="329"/>
      <c r="N2818" s="173" t="s">
        <v>679</v>
      </c>
      <c r="O2818" s="173" t="s">
        <v>225</v>
      </c>
      <c r="P2818" s="262" t="str">
        <f t="shared" si="1"/>
        <v>IN-BLR-ANANTA-EM-365_6</v>
      </c>
      <c r="Q2818" s="173" t="s">
        <v>8912</v>
      </c>
      <c r="R2818" s="328" t="str">
        <f>IFS(C2818="","",C2818="n/a","N/A",LEN(C2818),Concatenate("{",char(34),"asset",char(34),":{",char(34),"guid",char(34),":",char(34),Q2818,char(34),",",char(34),"site",char(34),":",char(34),LOWER('2-Building'!$B$4),char(34),",",char(34),"name",char(34),":",char(34),LOWER(C2818),char(34),"}}"))</f>
        <v>{"asset":{"guid":"uuid://fc64c413-1f6a-4457-bf9d-1e4942a94d57","site":"in-blr-ananta","name":"em-365"}}</v>
      </c>
      <c r="S2818" s="366" t="s">
        <v>8581</v>
      </c>
      <c r="T2818" s="330"/>
      <c r="U2818" s="330"/>
      <c r="V2818" s="331"/>
      <c r="W2818" s="332"/>
      <c r="X2818" s="333"/>
      <c r="Y2818" s="33" t="s">
        <v>8076</v>
      </c>
      <c r="Z2818" s="368"/>
      <c r="AA2818" s="333"/>
      <c r="AB2818" s="258">
        <v>12.0</v>
      </c>
      <c r="AC2818" s="333"/>
      <c r="AD2818" s="329"/>
      <c r="AE2818" s="331"/>
      <c r="AF2818" s="336"/>
      <c r="AG2818" s="337"/>
      <c r="AH2818" s="333"/>
      <c r="AI2818" s="333"/>
      <c r="AJ2818" s="333"/>
      <c r="AK2818" s="333"/>
      <c r="AL2818" s="333"/>
      <c r="AM2818" s="338"/>
      <c r="AN2818" s="333"/>
      <c r="AO2818" s="333"/>
      <c r="AP2818" s="333"/>
      <c r="AQ2818" s="333"/>
      <c r="AR2818" s="333"/>
      <c r="AS2818" s="333"/>
      <c r="AT2818" s="333"/>
      <c r="AU2818" s="329"/>
      <c r="AV2818" s="341"/>
      <c r="AW2818" s="269"/>
      <c r="AX2818" s="269" t="s">
        <v>2869</v>
      </c>
      <c r="AY2818" s="270" t="s">
        <v>695</v>
      </c>
      <c r="AZ2818" s="379"/>
      <c r="BA2818" s="173">
        <v>10.0</v>
      </c>
      <c r="BB2818" s="367"/>
      <c r="BC2818" s="341"/>
      <c r="BD2818" s="308" t="s">
        <v>1844</v>
      </c>
      <c r="BE2818" s="378"/>
      <c r="BF2818" s="274" t="str">
        <f>IFERROR(__xludf.DUMMYFUNCTION("LOWER(Regexreplace(to_text(E2818),""[^A-Za-z0-9]"","""")&amp;""_""&amp;Regexreplace(to_text(F2818),""[^A-Za-z0-9]"",""""))"),"schneider_easylogicem6436hrs")</f>
        <v>schneider_easylogicem6436hrs</v>
      </c>
      <c r="BG2818" s="275" t="str">
        <f>IFERROR(__xludf.DUMMYFUNCTION("upper(Regexreplace(to_text(E2818),""[^A-Za-z0-9]"","""")&amp;""-""&amp;Regexreplace(to_text(F2818),""[^A-Za-z0-9]"",""""))"),"SCHNEIDER-EASYLOGICEM6436HRS")</f>
        <v>SCHNEIDER-EASYLOGICEM6436HRS</v>
      </c>
    </row>
    <row r="2819" ht="30.0" customHeight="1">
      <c r="A2819" s="258"/>
      <c r="B2819" s="328" t="s">
        <v>670</v>
      </c>
      <c r="C2819" s="257" t="s">
        <v>8913</v>
      </c>
      <c r="D2819" s="173" t="s">
        <v>8913</v>
      </c>
      <c r="E2819" s="174" t="s">
        <v>8070</v>
      </c>
      <c r="F2819" s="173" t="s">
        <v>8078</v>
      </c>
      <c r="G2819" s="328" t="s">
        <v>673</v>
      </c>
      <c r="H2819" s="328" t="s">
        <v>2863</v>
      </c>
      <c r="I2819" s="258" t="s">
        <v>8072</v>
      </c>
      <c r="J2819" s="259" t="s">
        <v>1149</v>
      </c>
      <c r="K2819" s="260">
        <v>682.0</v>
      </c>
      <c r="L2819" s="365"/>
      <c r="M2819" s="329"/>
      <c r="N2819" s="173" t="s">
        <v>679</v>
      </c>
      <c r="O2819" s="173" t="s">
        <v>225</v>
      </c>
      <c r="P2819" s="262" t="str">
        <f t="shared" si="1"/>
        <v>IN-BLR-ANANTA-EM-366_6</v>
      </c>
      <c r="Q2819" s="173" t="s">
        <v>8914</v>
      </c>
      <c r="R2819" s="328" t="str">
        <f>IFS(C2819="","",C2819="n/a","N/A",LEN(C2819),Concatenate("{",char(34),"asset",char(34),":{",char(34),"guid",char(34),":",char(34),Q2819,char(34),",",char(34),"site",char(34),":",char(34),LOWER('2-Building'!$B$4),char(34),",",char(34),"name",char(34),":",char(34),LOWER(C2819),char(34),"}}"))</f>
        <v>{"asset":{"guid":"uuid://238e0e04-960d-4f28-8b76-98df1efe0f30","site":"in-blr-ananta","name":"em-366"}}</v>
      </c>
      <c r="S2819" s="366" t="s">
        <v>8581</v>
      </c>
      <c r="T2819" s="330"/>
      <c r="U2819" s="330"/>
      <c r="V2819" s="331"/>
      <c r="W2819" s="332"/>
      <c r="X2819" s="333"/>
      <c r="Y2819" s="33" t="s">
        <v>8076</v>
      </c>
      <c r="Z2819" s="368"/>
      <c r="AA2819" s="333"/>
      <c r="AB2819" s="258">
        <v>13.0</v>
      </c>
      <c r="AC2819" s="333"/>
      <c r="AD2819" s="329"/>
      <c r="AE2819" s="331"/>
      <c r="AF2819" s="336"/>
      <c r="AG2819" s="337"/>
      <c r="AH2819" s="333"/>
      <c r="AI2819" s="333"/>
      <c r="AJ2819" s="333"/>
      <c r="AK2819" s="333"/>
      <c r="AL2819" s="333"/>
      <c r="AM2819" s="338"/>
      <c r="AN2819" s="333"/>
      <c r="AO2819" s="333"/>
      <c r="AP2819" s="333"/>
      <c r="AQ2819" s="333"/>
      <c r="AR2819" s="333"/>
      <c r="AS2819" s="333"/>
      <c r="AT2819" s="333"/>
      <c r="AU2819" s="329"/>
      <c r="AV2819" s="341"/>
      <c r="AW2819" s="269"/>
      <c r="AX2819" s="269" t="s">
        <v>2869</v>
      </c>
      <c r="AY2819" s="270" t="s">
        <v>695</v>
      </c>
      <c r="AZ2819" s="379"/>
      <c r="BA2819" s="173">
        <v>10.0</v>
      </c>
      <c r="BB2819" s="367"/>
      <c r="BC2819" s="341"/>
      <c r="BD2819" s="308" t="s">
        <v>1844</v>
      </c>
      <c r="BE2819" s="378"/>
      <c r="BF2819" s="274" t="str">
        <f>IFERROR(__xludf.DUMMYFUNCTION("LOWER(Regexreplace(to_text(E2819),""[^A-Za-z0-9]"","""")&amp;""_""&amp;Regexreplace(to_text(F2819),""[^A-Za-z0-9]"",""""))"),"schneider_easylogicem6436hrs")</f>
        <v>schneider_easylogicem6436hrs</v>
      </c>
      <c r="BG2819" s="275" t="str">
        <f>IFERROR(__xludf.DUMMYFUNCTION("upper(Regexreplace(to_text(E2819),""[^A-Za-z0-9]"","""")&amp;""-""&amp;Regexreplace(to_text(F2819),""[^A-Za-z0-9]"",""""))"),"SCHNEIDER-EASYLOGICEM6436HRS")</f>
        <v>SCHNEIDER-EASYLOGICEM6436HRS</v>
      </c>
    </row>
    <row r="2820" ht="30.0" customHeight="1">
      <c r="A2820" s="258"/>
      <c r="B2820" s="328" t="s">
        <v>670</v>
      </c>
      <c r="C2820" s="257" t="s">
        <v>8915</v>
      </c>
      <c r="D2820" s="173" t="s">
        <v>8915</v>
      </c>
      <c r="E2820" s="174" t="s">
        <v>8070</v>
      </c>
      <c r="F2820" s="173" t="s">
        <v>8078</v>
      </c>
      <c r="G2820" s="328" t="s">
        <v>673</v>
      </c>
      <c r="H2820" s="328" t="s">
        <v>2863</v>
      </c>
      <c r="I2820" s="258" t="s">
        <v>8072</v>
      </c>
      <c r="J2820" s="259" t="s">
        <v>1211</v>
      </c>
      <c r="K2820" s="260">
        <v>782.0</v>
      </c>
      <c r="L2820" s="365"/>
      <c r="M2820" s="329"/>
      <c r="N2820" s="173" t="s">
        <v>679</v>
      </c>
      <c r="O2820" s="173" t="s">
        <v>225</v>
      </c>
      <c r="P2820" s="262" t="str">
        <f t="shared" si="1"/>
        <v>IN-BLR-ANANTA-EM-367_7</v>
      </c>
      <c r="Q2820" s="173" t="s">
        <v>8916</v>
      </c>
      <c r="R2820" s="328" t="str">
        <f>IFS(C2820="","",C2820="n/a","N/A",LEN(C2820),Concatenate("{",char(34),"asset",char(34),":{",char(34),"guid",char(34),":",char(34),Q2820,char(34),",",char(34),"site",char(34),":",char(34),LOWER('2-Building'!$B$4),char(34),",",char(34),"name",char(34),":",char(34),LOWER(C2820),char(34),"}}"))</f>
        <v>{"asset":{"guid":"uuid://9d4ffb56-d800-4a39-bb70-145b601513c0","site":"in-blr-ananta","name":"em-367"}}</v>
      </c>
      <c r="S2820" s="366" t="s">
        <v>8581</v>
      </c>
      <c r="T2820" s="330"/>
      <c r="U2820" s="330"/>
      <c r="V2820" s="331"/>
      <c r="W2820" s="332"/>
      <c r="X2820" s="333"/>
      <c r="Y2820" s="33" t="s">
        <v>8076</v>
      </c>
      <c r="Z2820" s="368"/>
      <c r="AA2820" s="333"/>
      <c r="AB2820" s="258">
        <v>14.0</v>
      </c>
      <c r="AC2820" s="333"/>
      <c r="AD2820" s="329"/>
      <c r="AE2820" s="331"/>
      <c r="AF2820" s="336"/>
      <c r="AG2820" s="337"/>
      <c r="AH2820" s="333"/>
      <c r="AI2820" s="333"/>
      <c r="AJ2820" s="333"/>
      <c r="AK2820" s="333"/>
      <c r="AL2820" s="333"/>
      <c r="AM2820" s="338"/>
      <c r="AN2820" s="333"/>
      <c r="AO2820" s="333"/>
      <c r="AP2820" s="333"/>
      <c r="AQ2820" s="333"/>
      <c r="AR2820" s="333"/>
      <c r="AS2820" s="333"/>
      <c r="AT2820" s="333"/>
      <c r="AU2820" s="329"/>
      <c r="AV2820" s="341"/>
      <c r="AW2820" s="269"/>
      <c r="AX2820" s="269" t="s">
        <v>2869</v>
      </c>
      <c r="AY2820" s="270" t="s">
        <v>695</v>
      </c>
      <c r="AZ2820" s="379"/>
      <c r="BA2820" s="173">
        <v>10.0</v>
      </c>
      <c r="BB2820" s="367"/>
      <c r="BC2820" s="341"/>
      <c r="BD2820" s="308" t="s">
        <v>1844</v>
      </c>
      <c r="BE2820" s="378"/>
      <c r="BF2820" s="274" t="str">
        <f>IFERROR(__xludf.DUMMYFUNCTION("LOWER(Regexreplace(to_text(E2820),""[^A-Za-z0-9]"","""")&amp;""_""&amp;Regexreplace(to_text(F2820),""[^A-Za-z0-9]"",""""))"),"schneider_easylogicem6436hrs")</f>
        <v>schneider_easylogicem6436hrs</v>
      </c>
      <c r="BG2820" s="275" t="str">
        <f>IFERROR(__xludf.DUMMYFUNCTION("upper(Regexreplace(to_text(E2820),""[^A-Za-z0-9]"","""")&amp;""-""&amp;Regexreplace(to_text(F2820),""[^A-Za-z0-9]"",""""))"),"SCHNEIDER-EASYLOGICEM6436HRS")</f>
        <v>SCHNEIDER-EASYLOGICEM6436HRS</v>
      </c>
    </row>
    <row r="2821" ht="30.0" customHeight="1">
      <c r="A2821" s="258"/>
      <c r="B2821" s="328" t="s">
        <v>670</v>
      </c>
      <c r="C2821" s="257" t="s">
        <v>8917</v>
      </c>
      <c r="D2821" s="173" t="s">
        <v>8917</v>
      </c>
      <c r="E2821" s="174" t="s">
        <v>8070</v>
      </c>
      <c r="F2821" s="173" t="s">
        <v>8078</v>
      </c>
      <c r="G2821" s="328" t="s">
        <v>673</v>
      </c>
      <c r="H2821" s="328" t="s">
        <v>2863</v>
      </c>
      <c r="I2821" s="258" t="s">
        <v>8072</v>
      </c>
      <c r="J2821" s="259" t="s">
        <v>1211</v>
      </c>
      <c r="K2821" s="260">
        <v>782.0</v>
      </c>
      <c r="L2821" s="365"/>
      <c r="M2821" s="329"/>
      <c r="N2821" s="173" t="s">
        <v>679</v>
      </c>
      <c r="O2821" s="173" t="s">
        <v>225</v>
      </c>
      <c r="P2821" s="262" t="str">
        <f t="shared" si="1"/>
        <v>IN-BLR-ANANTA-EM-368_7</v>
      </c>
      <c r="Q2821" s="173" t="s">
        <v>8918</v>
      </c>
      <c r="R2821" s="328" t="str">
        <f>IFS(C2821="","",C2821="n/a","N/A",LEN(C2821),Concatenate("{",char(34),"asset",char(34),":{",char(34),"guid",char(34),":",char(34),Q2821,char(34),",",char(34),"site",char(34),":",char(34),LOWER('2-Building'!$B$4),char(34),",",char(34),"name",char(34),":",char(34),LOWER(C2821),char(34),"}}"))</f>
        <v>{"asset":{"guid":"uuid://46c0391e-1096-4cf2-8302-d25a65b97543","site":"in-blr-ananta","name":"em-368"}}</v>
      </c>
      <c r="S2821" s="366" t="s">
        <v>8581</v>
      </c>
      <c r="T2821" s="330"/>
      <c r="U2821" s="330"/>
      <c r="V2821" s="331"/>
      <c r="W2821" s="332"/>
      <c r="X2821" s="333"/>
      <c r="Y2821" s="33" t="s">
        <v>8076</v>
      </c>
      <c r="Z2821" s="368"/>
      <c r="AA2821" s="333"/>
      <c r="AB2821" s="258">
        <v>15.0</v>
      </c>
      <c r="AC2821" s="333"/>
      <c r="AD2821" s="329"/>
      <c r="AE2821" s="331"/>
      <c r="AF2821" s="336"/>
      <c r="AG2821" s="337"/>
      <c r="AH2821" s="333"/>
      <c r="AI2821" s="333"/>
      <c r="AJ2821" s="333"/>
      <c r="AK2821" s="333"/>
      <c r="AL2821" s="333"/>
      <c r="AM2821" s="338"/>
      <c r="AN2821" s="333"/>
      <c r="AO2821" s="333"/>
      <c r="AP2821" s="333"/>
      <c r="AQ2821" s="333"/>
      <c r="AR2821" s="333"/>
      <c r="AS2821" s="333"/>
      <c r="AT2821" s="333"/>
      <c r="AU2821" s="329"/>
      <c r="AV2821" s="341"/>
      <c r="AW2821" s="269"/>
      <c r="AX2821" s="269" t="s">
        <v>2869</v>
      </c>
      <c r="AY2821" s="270" t="s">
        <v>695</v>
      </c>
      <c r="AZ2821" s="379"/>
      <c r="BA2821" s="173">
        <v>10.0</v>
      </c>
      <c r="BB2821" s="367"/>
      <c r="BC2821" s="341"/>
      <c r="BD2821" s="308" t="s">
        <v>1844</v>
      </c>
      <c r="BE2821" s="378"/>
      <c r="BF2821" s="274" t="str">
        <f>IFERROR(__xludf.DUMMYFUNCTION("LOWER(Regexreplace(to_text(E2821),""[^A-Za-z0-9]"","""")&amp;""_""&amp;Regexreplace(to_text(F2821),""[^A-Za-z0-9]"",""""))"),"schneider_easylogicem6436hrs")</f>
        <v>schneider_easylogicem6436hrs</v>
      </c>
      <c r="BG2821" s="275" t="str">
        <f>IFERROR(__xludf.DUMMYFUNCTION("upper(Regexreplace(to_text(E2821),""[^A-Za-z0-9]"","""")&amp;""-""&amp;Regexreplace(to_text(F2821),""[^A-Za-z0-9]"",""""))"),"SCHNEIDER-EASYLOGICEM6436HRS")</f>
        <v>SCHNEIDER-EASYLOGICEM6436HRS</v>
      </c>
    </row>
    <row r="2822" ht="30.0" customHeight="1">
      <c r="A2822" s="258"/>
      <c r="B2822" s="328" t="s">
        <v>670</v>
      </c>
      <c r="C2822" s="257" t="s">
        <v>8919</v>
      </c>
      <c r="D2822" s="173" t="s">
        <v>8919</v>
      </c>
      <c r="E2822" s="174" t="s">
        <v>8070</v>
      </c>
      <c r="F2822" s="173" t="s">
        <v>8078</v>
      </c>
      <c r="G2822" s="328" t="s">
        <v>673</v>
      </c>
      <c r="H2822" s="328" t="s">
        <v>2863</v>
      </c>
      <c r="I2822" s="258" t="s">
        <v>8072</v>
      </c>
      <c r="J2822" s="259" t="s">
        <v>1272</v>
      </c>
      <c r="K2822" s="260">
        <v>872.0</v>
      </c>
      <c r="L2822" s="365"/>
      <c r="M2822" s="329"/>
      <c r="N2822" s="173" t="s">
        <v>679</v>
      </c>
      <c r="O2822" s="173" t="s">
        <v>225</v>
      </c>
      <c r="P2822" s="262" t="str">
        <f t="shared" si="1"/>
        <v>IN-BLR-ANANTA-EM-369_8</v>
      </c>
      <c r="Q2822" s="173" t="s">
        <v>8920</v>
      </c>
      <c r="R2822" s="328" t="str">
        <f>IFS(C2822="","",C2822="n/a","N/A",LEN(C2822),Concatenate("{",char(34),"asset",char(34),":{",char(34),"guid",char(34),":",char(34),Q2822,char(34),",",char(34),"site",char(34),":",char(34),LOWER('2-Building'!$B$4),char(34),",",char(34),"name",char(34),":",char(34),LOWER(C2822),char(34),"}}"))</f>
        <v>{"asset":{"guid":"uuid://144b8b32-286d-4510-9ec2-0ed252b2a0f2","site":"in-blr-ananta","name":"em-369"}}</v>
      </c>
      <c r="S2822" s="366" t="s">
        <v>8581</v>
      </c>
      <c r="T2822" s="330"/>
      <c r="U2822" s="330"/>
      <c r="V2822" s="331"/>
      <c r="W2822" s="332"/>
      <c r="X2822" s="333"/>
      <c r="Y2822" s="33" t="s">
        <v>8076</v>
      </c>
      <c r="Z2822" s="368"/>
      <c r="AA2822" s="333"/>
      <c r="AB2822" s="258">
        <v>16.0</v>
      </c>
      <c r="AC2822" s="333"/>
      <c r="AD2822" s="329"/>
      <c r="AE2822" s="331"/>
      <c r="AF2822" s="336"/>
      <c r="AG2822" s="337"/>
      <c r="AH2822" s="333"/>
      <c r="AI2822" s="333"/>
      <c r="AJ2822" s="333"/>
      <c r="AK2822" s="333"/>
      <c r="AL2822" s="333"/>
      <c r="AM2822" s="338"/>
      <c r="AN2822" s="333"/>
      <c r="AO2822" s="333"/>
      <c r="AP2822" s="333"/>
      <c r="AQ2822" s="333"/>
      <c r="AR2822" s="333"/>
      <c r="AS2822" s="333"/>
      <c r="AT2822" s="333"/>
      <c r="AU2822" s="329"/>
      <c r="AV2822" s="341"/>
      <c r="AW2822" s="269"/>
      <c r="AX2822" s="269" t="s">
        <v>2869</v>
      </c>
      <c r="AY2822" s="270" t="s">
        <v>695</v>
      </c>
      <c r="AZ2822" s="379"/>
      <c r="BA2822" s="173">
        <v>10.0</v>
      </c>
      <c r="BB2822" s="367"/>
      <c r="BC2822" s="341"/>
      <c r="BD2822" s="308" t="s">
        <v>1844</v>
      </c>
      <c r="BE2822" s="378"/>
      <c r="BF2822" s="274" t="str">
        <f>IFERROR(__xludf.DUMMYFUNCTION("LOWER(Regexreplace(to_text(E2822),""[^A-Za-z0-9]"","""")&amp;""_""&amp;Regexreplace(to_text(F2822),""[^A-Za-z0-9]"",""""))"),"schneider_easylogicem6436hrs")</f>
        <v>schneider_easylogicem6436hrs</v>
      </c>
      <c r="BG2822" s="275" t="str">
        <f>IFERROR(__xludf.DUMMYFUNCTION("upper(Regexreplace(to_text(E2822),""[^A-Za-z0-9]"","""")&amp;""-""&amp;Regexreplace(to_text(F2822),""[^A-Za-z0-9]"",""""))"),"SCHNEIDER-EASYLOGICEM6436HRS")</f>
        <v>SCHNEIDER-EASYLOGICEM6436HRS</v>
      </c>
    </row>
    <row r="2823" ht="30.0" customHeight="1">
      <c r="A2823" s="258"/>
      <c r="B2823" s="328" t="s">
        <v>670</v>
      </c>
      <c r="C2823" s="257" t="s">
        <v>8921</v>
      </c>
      <c r="D2823" s="173" t="s">
        <v>8921</v>
      </c>
      <c r="E2823" s="174" t="s">
        <v>8070</v>
      </c>
      <c r="F2823" s="173" t="s">
        <v>8078</v>
      </c>
      <c r="G2823" s="328" t="s">
        <v>673</v>
      </c>
      <c r="H2823" s="328" t="s">
        <v>2863</v>
      </c>
      <c r="I2823" s="258" t="s">
        <v>8072</v>
      </c>
      <c r="J2823" s="259" t="s">
        <v>1272</v>
      </c>
      <c r="K2823" s="260">
        <v>872.0</v>
      </c>
      <c r="L2823" s="365"/>
      <c r="M2823" s="329"/>
      <c r="N2823" s="173" t="s">
        <v>679</v>
      </c>
      <c r="O2823" s="173" t="s">
        <v>225</v>
      </c>
      <c r="P2823" s="262" t="str">
        <f t="shared" si="1"/>
        <v>IN-BLR-ANANTA-EM-370_8</v>
      </c>
      <c r="Q2823" s="173" t="s">
        <v>8922</v>
      </c>
      <c r="R2823" s="328" t="str">
        <f>IFS(C2823="","",C2823="n/a","N/A",LEN(C2823),Concatenate("{",char(34),"asset",char(34),":{",char(34),"guid",char(34),":",char(34),Q2823,char(34),",",char(34),"site",char(34),":",char(34),LOWER('2-Building'!$B$4),char(34),",",char(34),"name",char(34),":",char(34),LOWER(C2823),char(34),"}}"))</f>
        <v>{"asset":{"guid":"uuid://3f3b1d3f-4724-4358-bf4e-58d715d4e048","site":"in-blr-ananta","name":"em-370"}}</v>
      </c>
      <c r="S2823" s="366" t="s">
        <v>8581</v>
      </c>
      <c r="T2823" s="330"/>
      <c r="U2823" s="330"/>
      <c r="V2823" s="331"/>
      <c r="W2823" s="332"/>
      <c r="X2823" s="333"/>
      <c r="Y2823" s="33" t="s">
        <v>8076</v>
      </c>
      <c r="Z2823" s="368"/>
      <c r="AA2823" s="333"/>
      <c r="AB2823" s="258">
        <v>17.0</v>
      </c>
      <c r="AC2823" s="333"/>
      <c r="AD2823" s="329"/>
      <c r="AE2823" s="331"/>
      <c r="AF2823" s="336"/>
      <c r="AG2823" s="337"/>
      <c r="AH2823" s="333"/>
      <c r="AI2823" s="333"/>
      <c r="AJ2823" s="333"/>
      <c r="AK2823" s="333"/>
      <c r="AL2823" s="333"/>
      <c r="AM2823" s="338"/>
      <c r="AN2823" s="333"/>
      <c r="AO2823" s="333"/>
      <c r="AP2823" s="333"/>
      <c r="AQ2823" s="333"/>
      <c r="AR2823" s="333"/>
      <c r="AS2823" s="333"/>
      <c r="AT2823" s="333"/>
      <c r="AU2823" s="329"/>
      <c r="AV2823" s="341"/>
      <c r="AW2823" s="269"/>
      <c r="AX2823" s="269" t="s">
        <v>2869</v>
      </c>
      <c r="AY2823" s="270" t="s">
        <v>695</v>
      </c>
      <c r="AZ2823" s="379"/>
      <c r="BA2823" s="173">
        <v>10.0</v>
      </c>
      <c r="BB2823" s="367"/>
      <c r="BC2823" s="341"/>
      <c r="BD2823" s="308" t="s">
        <v>1844</v>
      </c>
      <c r="BE2823" s="378"/>
      <c r="BF2823" s="274" t="str">
        <f>IFERROR(__xludf.DUMMYFUNCTION("LOWER(Regexreplace(to_text(E2823),""[^A-Za-z0-9]"","""")&amp;""_""&amp;Regexreplace(to_text(F2823),""[^A-Za-z0-9]"",""""))"),"schneider_easylogicem6436hrs")</f>
        <v>schneider_easylogicem6436hrs</v>
      </c>
      <c r="BG2823" s="275" t="str">
        <f>IFERROR(__xludf.DUMMYFUNCTION("upper(Regexreplace(to_text(E2823),""[^A-Za-z0-9]"","""")&amp;""-""&amp;Regexreplace(to_text(F2823),""[^A-Za-z0-9]"",""""))"),"SCHNEIDER-EASYLOGICEM6436HRS")</f>
        <v>SCHNEIDER-EASYLOGICEM6436HRS</v>
      </c>
    </row>
    <row r="2824" ht="30.0" customHeight="1">
      <c r="A2824" s="258"/>
      <c r="B2824" s="328" t="s">
        <v>670</v>
      </c>
      <c r="C2824" s="257" t="s">
        <v>8923</v>
      </c>
      <c r="D2824" s="173" t="s">
        <v>8923</v>
      </c>
      <c r="E2824" s="174" t="s">
        <v>8070</v>
      </c>
      <c r="F2824" s="173" t="s">
        <v>8078</v>
      </c>
      <c r="G2824" s="328" t="s">
        <v>673</v>
      </c>
      <c r="H2824" s="328" t="s">
        <v>2863</v>
      </c>
      <c r="I2824" s="258" t="s">
        <v>8072</v>
      </c>
      <c r="J2824" s="259" t="s">
        <v>1333</v>
      </c>
      <c r="K2824" s="260">
        <v>972.0</v>
      </c>
      <c r="L2824" s="365"/>
      <c r="M2824" s="329"/>
      <c r="N2824" s="173" t="s">
        <v>679</v>
      </c>
      <c r="O2824" s="173" t="s">
        <v>225</v>
      </c>
      <c r="P2824" s="262" t="str">
        <f t="shared" si="1"/>
        <v>IN-BLR-ANANTA-EM-371_9</v>
      </c>
      <c r="Q2824" s="173" t="s">
        <v>8924</v>
      </c>
      <c r="R2824" s="328" t="str">
        <f>IFS(C2824="","",C2824="n/a","N/A",LEN(C2824),Concatenate("{",char(34),"asset",char(34),":{",char(34),"guid",char(34),":",char(34),Q2824,char(34),",",char(34),"site",char(34),":",char(34),LOWER('2-Building'!$B$4),char(34),",",char(34),"name",char(34),":",char(34),LOWER(C2824),char(34),"}}"))</f>
        <v>{"asset":{"guid":"uuid://011902a5-ae0f-4951-a96c-560a7d5f5a9c","site":"in-blr-ananta","name":"em-371"}}</v>
      </c>
      <c r="S2824" s="366" t="s">
        <v>8581</v>
      </c>
      <c r="T2824" s="330"/>
      <c r="U2824" s="330"/>
      <c r="V2824" s="331"/>
      <c r="W2824" s="332"/>
      <c r="X2824" s="333"/>
      <c r="Y2824" s="33" t="s">
        <v>8076</v>
      </c>
      <c r="Z2824" s="368"/>
      <c r="AA2824" s="333"/>
      <c r="AB2824" s="258">
        <v>18.0</v>
      </c>
      <c r="AC2824" s="333"/>
      <c r="AD2824" s="329"/>
      <c r="AE2824" s="331"/>
      <c r="AF2824" s="336"/>
      <c r="AG2824" s="337"/>
      <c r="AH2824" s="333"/>
      <c r="AI2824" s="333"/>
      <c r="AJ2824" s="333"/>
      <c r="AK2824" s="333"/>
      <c r="AL2824" s="333"/>
      <c r="AM2824" s="338"/>
      <c r="AN2824" s="333"/>
      <c r="AO2824" s="333"/>
      <c r="AP2824" s="333"/>
      <c r="AQ2824" s="333"/>
      <c r="AR2824" s="333"/>
      <c r="AS2824" s="333"/>
      <c r="AT2824" s="333"/>
      <c r="AU2824" s="329"/>
      <c r="AV2824" s="341"/>
      <c r="AW2824" s="269"/>
      <c r="AX2824" s="269" t="s">
        <v>2869</v>
      </c>
      <c r="AY2824" s="270" t="s">
        <v>695</v>
      </c>
      <c r="AZ2824" s="379"/>
      <c r="BA2824" s="173">
        <v>10.0</v>
      </c>
      <c r="BB2824" s="367"/>
      <c r="BC2824" s="341"/>
      <c r="BD2824" s="308" t="s">
        <v>1844</v>
      </c>
      <c r="BE2824" s="378"/>
      <c r="BF2824" s="274" t="str">
        <f>IFERROR(__xludf.DUMMYFUNCTION("LOWER(Regexreplace(to_text(E2824),""[^A-Za-z0-9]"","""")&amp;""_""&amp;Regexreplace(to_text(F2824),""[^A-Za-z0-9]"",""""))"),"schneider_easylogicem6436hrs")</f>
        <v>schneider_easylogicem6436hrs</v>
      </c>
      <c r="BG2824" s="275" t="str">
        <f>IFERROR(__xludf.DUMMYFUNCTION("upper(Regexreplace(to_text(E2824),""[^A-Za-z0-9]"","""")&amp;""-""&amp;Regexreplace(to_text(F2824),""[^A-Za-z0-9]"",""""))"),"SCHNEIDER-EASYLOGICEM6436HRS")</f>
        <v>SCHNEIDER-EASYLOGICEM6436HRS</v>
      </c>
    </row>
    <row r="2825" ht="30.0" customHeight="1">
      <c r="A2825" s="258"/>
      <c r="B2825" s="328" t="s">
        <v>670</v>
      </c>
      <c r="C2825" s="257" t="s">
        <v>8925</v>
      </c>
      <c r="D2825" s="173" t="s">
        <v>8925</v>
      </c>
      <c r="E2825" s="174" t="s">
        <v>8070</v>
      </c>
      <c r="F2825" s="173" t="s">
        <v>8078</v>
      </c>
      <c r="G2825" s="328" t="s">
        <v>673</v>
      </c>
      <c r="H2825" s="328" t="s">
        <v>2863</v>
      </c>
      <c r="I2825" s="258" t="s">
        <v>8072</v>
      </c>
      <c r="J2825" s="259" t="s">
        <v>1333</v>
      </c>
      <c r="K2825" s="260">
        <v>972.0</v>
      </c>
      <c r="L2825" s="365"/>
      <c r="M2825" s="329"/>
      <c r="N2825" s="173" t="s">
        <v>679</v>
      </c>
      <c r="O2825" s="173" t="s">
        <v>225</v>
      </c>
      <c r="P2825" s="262" t="str">
        <f t="shared" si="1"/>
        <v>IN-BLR-ANANTA-EM-372_9</v>
      </c>
      <c r="Q2825" s="173" t="s">
        <v>8926</v>
      </c>
      <c r="R2825" s="328" t="str">
        <f>IFS(C2825="","",C2825="n/a","N/A",LEN(C2825),Concatenate("{",char(34),"asset",char(34),":{",char(34),"guid",char(34),":",char(34),Q2825,char(34),",",char(34),"site",char(34),":",char(34),LOWER('2-Building'!$B$4),char(34),",",char(34),"name",char(34),":",char(34),LOWER(C2825),char(34),"}}"))</f>
        <v>{"asset":{"guid":"uuid://f40a2340-067c-4066-b117-72c2d19c69bd","site":"in-blr-ananta","name":"em-372"}}</v>
      </c>
      <c r="S2825" s="366" t="s">
        <v>8581</v>
      </c>
      <c r="T2825" s="330"/>
      <c r="U2825" s="330"/>
      <c r="V2825" s="331"/>
      <c r="W2825" s="332"/>
      <c r="X2825" s="333"/>
      <c r="Y2825" s="33" t="s">
        <v>8076</v>
      </c>
      <c r="Z2825" s="368"/>
      <c r="AA2825" s="333"/>
      <c r="AB2825" s="258">
        <v>19.0</v>
      </c>
      <c r="AC2825" s="333"/>
      <c r="AD2825" s="329"/>
      <c r="AE2825" s="331"/>
      <c r="AF2825" s="336"/>
      <c r="AG2825" s="337"/>
      <c r="AH2825" s="333"/>
      <c r="AI2825" s="333"/>
      <c r="AJ2825" s="333"/>
      <c r="AK2825" s="333"/>
      <c r="AL2825" s="333"/>
      <c r="AM2825" s="338"/>
      <c r="AN2825" s="333"/>
      <c r="AO2825" s="333"/>
      <c r="AP2825" s="333"/>
      <c r="AQ2825" s="333"/>
      <c r="AR2825" s="333"/>
      <c r="AS2825" s="333"/>
      <c r="AT2825" s="333"/>
      <c r="AU2825" s="329"/>
      <c r="AV2825" s="341"/>
      <c r="AW2825" s="269"/>
      <c r="AX2825" s="269" t="s">
        <v>2869</v>
      </c>
      <c r="AY2825" s="270" t="s">
        <v>695</v>
      </c>
      <c r="AZ2825" s="379"/>
      <c r="BA2825" s="173">
        <v>10.0</v>
      </c>
      <c r="BB2825" s="367"/>
      <c r="BC2825" s="341"/>
      <c r="BD2825" s="308" t="s">
        <v>1844</v>
      </c>
      <c r="BE2825" s="378"/>
      <c r="BF2825" s="274" t="str">
        <f>IFERROR(__xludf.DUMMYFUNCTION("LOWER(Regexreplace(to_text(E2825),""[^A-Za-z0-9]"","""")&amp;""_""&amp;Regexreplace(to_text(F2825),""[^A-Za-z0-9]"",""""))"),"schneider_easylogicem6436hrs")</f>
        <v>schneider_easylogicem6436hrs</v>
      </c>
      <c r="BG2825" s="275" t="str">
        <f>IFERROR(__xludf.DUMMYFUNCTION("upper(Regexreplace(to_text(E2825),""[^A-Za-z0-9]"","""")&amp;""-""&amp;Regexreplace(to_text(F2825),""[^A-Za-z0-9]"",""""))"),"SCHNEIDER-EASYLOGICEM6436HRS")</f>
        <v>SCHNEIDER-EASYLOGICEM6436HRS</v>
      </c>
    </row>
    <row r="2826" ht="30.0" customHeight="1">
      <c r="A2826" s="258"/>
      <c r="B2826" s="328" t="s">
        <v>670</v>
      </c>
      <c r="C2826" s="257" t="s">
        <v>8927</v>
      </c>
      <c r="D2826" s="173" t="s">
        <v>8927</v>
      </c>
      <c r="E2826" s="174" t="s">
        <v>8070</v>
      </c>
      <c r="F2826" s="173" t="s">
        <v>8078</v>
      </c>
      <c r="G2826" s="328" t="s">
        <v>673</v>
      </c>
      <c r="H2826" s="328" t="s">
        <v>2863</v>
      </c>
      <c r="I2826" s="258" t="s">
        <v>8072</v>
      </c>
      <c r="J2826" s="259" t="s">
        <v>1393</v>
      </c>
      <c r="K2826" s="260">
        <v>1072.0</v>
      </c>
      <c r="L2826" s="365"/>
      <c r="M2826" s="329"/>
      <c r="N2826" s="173" t="s">
        <v>679</v>
      </c>
      <c r="O2826" s="173" t="s">
        <v>225</v>
      </c>
      <c r="P2826" s="262" t="str">
        <f t="shared" si="1"/>
        <v>IN-BLR-ANANTA-EM-373_10</v>
      </c>
      <c r="Q2826" s="173" t="s">
        <v>8928</v>
      </c>
      <c r="R2826" s="328" t="str">
        <f>IFS(C2826="","",C2826="n/a","N/A",LEN(C2826),Concatenate("{",char(34),"asset",char(34),":{",char(34),"guid",char(34),":",char(34),Q2826,char(34),",",char(34),"site",char(34),":",char(34),LOWER('2-Building'!$B$4),char(34),",",char(34),"name",char(34),":",char(34),LOWER(C2826),char(34),"}}"))</f>
        <v>{"asset":{"guid":"uuid://c6d189fa-4078-4495-b35e-a19e21dd3279","site":"in-blr-ananta","name":"em-373"}}</v>
      </c>
      <c r="S2826" s="366" t="s">
        <v>8581</v>
      </c>
      <c r="T2826" s="330"/>
      <c r="U2826" s="330"/>
      <c r="V2826" s="331"/>
      <c r="W2826" s="332"/>
      <c r="X2826" s="333"/>
      <c r="Y2826" s="33" t="s">
        <v>8076</v>
      </c>
      <c r="Z2826" s="368"/>
      <c r="AA2826" s="333"/>
      <c r="AB2826" s="258">
        <v>20.0</v>
      </c>
      <c r="AC2826" s="333"/>
      <c r="AD2826" s="329"/>
      <c r="AE2826" s="331"/>
      <c r="AF2826" s="336"/>
      <c r="AG2826" s="337"/>
      <c r="AH2826" s="333"/>
      <c r="AI2826" s="333"/>
      <c r="AJ2826" s="333"/>
      <c r="AK2826" s="333"/>
      <c r="AL2826" s="333"/>
      <c r="AM2826" s="338"/>
      <c r="AN2826" s="333"/>
      <c r="AO2826" s="333"/>
      <c r="AP2826" s="333"/>
      <c r="AQ2826" s="333"/>
      <c r="AR2826" s="333"/>
      <c r="AS2826" s="333"/>
      <c r="AT2826" s="333"/>
      <c r="AU2826" s="329"/>
      <c r="AV2826" s="341"/>
      <c r="AW2826" s="269"/>
      <c r="AX2826" s="269" t="s">
        <v>2869</v>
      </c>
      <c r="AY2826" s="270" t="s">
        <v>695</v>
      </c>
      <c r="AZ2826" s="379"/>
      <c r="BA2826" s="173">
        <v>10.0</v>
      </c>
      <c r="BB2826" s="367"/>
      <c r="BC2826" s="341"/>
      <c r="BD2826" s="308" t="s">
        <v>1844</v>
      </c>
      <c r="BE2826" s="378"/>
      <c r="BF2826" s="274" t="str">
        <f>IFERROR(__xludf.DUMMYFUNCTION("LOWER(Regexreplace(to_text(E2826),""[^A-Za-z0-9]"","""")&amp;""_""&amp;Regexreplace(to_text(F2826),""[^A-Za-z0-9]"",""""))"),"schneider_easylogicem6436hrs")</f>
        <v>schneider_easylogicem6436hrs</v>
      </c>
      <c r="BG2826" s="275" t="str">
        <f>IFERROR(__xludf.DUMMYFUNCTION("upper(Regexreplace(to_text(E2826),""[^A-Za-z0-9]"","""")&amp;""-""&amp;Regexreplace(to_text(F2826),""[^A-Za-z0-9]"",""""))"),"SCHNEIDER-EASYLOGICEM6436HRS")</f>
        <v>SCHNEIDER-EASYLOGICEM6436HRS</v>
      </c>
    </row>
    <row r="2827" ht="30.0" customHeight="1">
      <c r="A2827" s="258"/>
      <c r="B2827" s="328" t="s">
        <v>670</v>
      </c>
      <c r="C2827" s="257" t="s">
        <v>8929</v>
      </c>
      <c r="D2827" s="173" t="s">
        <v>8929</v>
      </c>
      <c r="E2827" s="174" t="s">
        <v>8070</v>
      </c>
      <c r="F2827" s="173" t="s">
        <v>8078</v>
      </c>
      <c r="G2827" s="328" t="s">
        <v>673</v>
      </c>
      <c r="H2827" s="328" t="s">
        <v>2863</v>
      </c>
      <c r="I2827" s="258" t="s">
        <v>8072</v>
      </c>
      <c r="J2827" s="259" t="s">
        <v>1393</v>
      </c>
      <c r="K2827" s="260">
        <v>1072.0</v>
      </c>
      <c r="L2827" s="365"/>
      <c r="M2827" s="329"/>
      <c r="N2827" s="173" t="s">
        <v>679</v>
      </c>
      <c r="O2827" s="173" t="s">
        <v>225</v>
      </c>
      <c r="P2827" s="262" t="str">
        <f t="shared" si="1"/>
        <v>IN-BLR-ANANTA-EM-374_10</v>
      </c>
      <c r="Q2827" s="173" t="s">
        <v>8930</v>
      </c>
      <c r="R2827" s="328" t="str">
        <f>IFS(C2827="","",C2827="n/a","N/A",LEN(C2827),Concatenate("{",char(34),"asset",char(34),":{",char(34),"guid",char(34),":",char(34),Q2827,char(34),",",char(34),"site",char(34),":",char(34),LOWER('2-Building'!$B$4),char(34),",",char(34),"name",char(34),":",char(34),LOWER(C2827),char(34),"}}"))</f>
        <v>{"asset":{"guid":"uuid://bd25ba93-3457-41d8-825e-987946f2a733","site":"in-blr-ananta","name":"em-374"}}</v>
      </c>
      <c r="S2827" s="366" t="s">
        <v>8581</v>
      </c>
      <c r="T2827" s="330"/>
      <c r="U2827" s="330"/>
      <c r="V2827" s="331"/>
      <c r="W2827" s="332"/>
      <c r="X2827" s="333"/>
      <c r="Y2827" s="33" t="s">
        <v>8076</v>
      </c>
      <c r="Z2827" s="368"/>
      <c r="AA2827" s="333"/>
      <c r="AB2827" s="258">
        <v>21.0</v>
      </c>
      <c r="AC2827" s="333"/>
      <c r="AD2827" s="329"/>
      <c r="AE2827" s="331"/>
      <c r="AF2827" s="336"/>
      <c r="AG2827" s="337"/>
      <c r="AH2827" s="333"/>
      <c r="AI2827" s="333"/>
      <c r="AJ2827" s="333"/>
      <c r="AK2827" s="333"/>
      <c r="AL2827" s="333"/>
      <c r="AM2827" s="338"/>
      <c r="AN2827" s="333"/>
      <c r="AO2827" s="333"/>
      <c r="AP2827" s="333"/>
      <c r="AQ2827" s="333"/>
      <c r="AR2827" s="333"/>
      <c r="AS2827" s="333"/>
      <c r="AT2827" s="333"/>
      <c r="AU2827" s="329"/>
      <c r="AV2827" s="341"/>
      <c r="AW2827" s="269"/>
      <c r="AX2827" s="269" t="s">
        <v>2869</v>
      </c>
      <c r="AY2827" s="270" t="s">
        <v>695</v>
      </c>
      <c r="AZ2827" s="379"/>
      <c r="BA2827" s="173">
        <v>10.0</v>
      </c>
      <c r="BB2827" s="367"/>
      <c r="BC2827" s="341"/>
      <c r="BD2827" s="308" t="s">
        <v>1844</v>
      </c>
      <c r="BE2827" s="378"/>
      <c r="BF2827" s="274" t="str">
        <f>IFERROR(__xludf.DUMMYFUNCTION("LOWER(Regexreplace(to_text(E2827),""[^A-Za-z0-9]"","""")&amp;""_""&amp;Regexreplace(to_text(F2827),""[^A-Za-z0-9]"",""""))"),"schneider_easylogicem6436hrs")</f>
        <v>schneider_easylogicem6436hrs</v>
      </c>
      <c r="BG2827" s="275" t="str">
        <f>IFERROR(__xludf.DUMMYFUNCTION("upper(Regexreplace(to_text(E2827),""[^A-Za-z0-9]"","""")&amp;""-""&amp;Regexreplace(to_text(F2827),""[^A-Za-z0-9]"",""""))"),"SCHNEIDER-EASYLOGICEM6436HRS")</f>
        <v>SCHNEIDER-EASYLOGICEM6436HRS</v>
      </c>
    </row>
    <row r="2828" ht="30.0" customHeight="1">
      <c r="A2828" s="258"/>
      <c r="B2828" s="328" t="s">
        <v>670</v>
      </c>
      <c r="C2828" s="257" t="s">
        <v>8931</v>
      </c>
      <c r="D2828" s="173" t="s">
        <v>8931</v>
      </c>
      <c r="E2828" s="174" t="s">
        <v>8070</v>
      </c>
      <c r="F2828" s="173" t="s">
        <v>8078</v>
      </c>
      <c r="G2828" s="328" t="s">
        <v>673</v>
      </c>
      <c r="H2828" s="328" t="s">
        <v>2863</v>
      </c>
      <c r="I2828" s="258" t="s">
        <v>8072</v>
      </c>
      <c r="J2828" s="259" t="s">
        <v>1453</v>
      </c>
      <c r="K2828" s="260">
        <v>1172.0</v>
      </c>
      <c r="L2828" s="365"/>
      <c r="M2828" s="329"/>
      <c r="N2828" s="173" t="s">
        <v>679</v>
      </c>
      <c r="O2828" s="173" t="s">
        <v>225</v>
      </c>
      <c r="P2828" s="262" t="str">
        <f t="shared" si="1"/>
        <v>IN-BLR-ANANTA-EM-375_11</v>
      </c>
      <c r="Q2828" s="173" t="s">
        <v>8932</v>
      </c>
      <c r="R2828" s="328" t="str">
        <f>IFS(C2828="","",C2828="n/a","N/A",LEN(C2828),Concatenate("{",char(34),"asset",char(34),":{",char(34),"guid",char(34),":",char(34),Q2828,char(34),",",char(34),"site",char(34),":",char(34),LOWER('2-Building'!$B$4),char(34),",",char(34),"name",char(34),":",char(34),LOWER(C2828),char(34),"}}"))</f>
        <v>{"asset":{"guid":"uuid://727646e7-8224-4f2c-80b0-b31e7abb4b4e","site":"in-blr-ananta","name":"em-375"}}</v>
      </c>
      <c r="S2828" s="366" t="s">
        <v>8581</v>
      </c>
      <c r="T2828" s="330"/>
      <c r="U2828" s="330"/>
      <c r="V2828" s="331"/>
      <c r="W2828" s="332"/>
      <c r="X2828" s="333"/>
      <c r="Y2828" s="33" t="s">
        <v>8076</v>
      </c>
      <c r="Z2828" s="368"/>
      <c r="AA2828" s="333"/>
      <c r="AB2828" s="258">
        <v>22.0</v>
      </c>
      <c r="AC2828" s="333"/>
      <c r="AD2828" s="329"/>
      <c r="AE2828" s="331"/>
      <c r="AF2828" s="336"/>
      <c r="AG2828" s="337"/>
      <c r="AH2828" s="333"/>
      <c r="AI2828" s="333"/>
      <c r="AJ2828" s="333"/>
      <c r="AK2828" s="333"/>
      <c r="AL2828" s="333"/>
      <c r="AM2828" s="338"/>
      <c r="AN2828" s="333"/>
      <c r="AO2828" s="333"/>
      <c r="AP2828" s="333"/>
      <c r="AQ2828" s="333"/>
      <c r="AR2828" s="333"/>
      <c r="AS2828" s="333"/>
      <c r="AT2828" s="333"/>
      <c r="AU2828" s="329"/>
      <c r="AV2828" s="341"/>
      <c r="AW2828" s="269"/>
      <c r="AX2828" s="269" t="s">
        <v>2869</v>
      </c>
      <c r="AY2828" s="270" t="s">
        <v>695</v>
      </c>
      <c r="AZ2828" s="379"/>
      <c r="BA2828" s="173">
        <v>10.0</v>
      </c>
      <c r="BB2828" s="367"/>
      <c r="BC2828" s="341"/>
      <c r="BD2828" s="308" t="s">
        <v>1844</v>
      </c>
      <c r="BE2828" s="378"/>
      <c r="BF2828" s="274" t="str">
        <f>IFERROR(__xludf.DUMMYFUNCTION("LOWER(Regexreplace(to_text(E2828),""[^A-Za-z0-9]"","""")&amp;""_""&amp;Regexreplace(to_text(F2828),""[^A-Za-z0-9]"",""""))"),"schneider_easylogicem6436hrs")</f>
        <v>schneider_easylogicem6436hrs</v>
      </c>
      <c r="BG2828" s="275" t="str">
        <f>IFERROR(__xludf.DUMMYFUNCTION("upper(Regexreplace(to_text(E2828),""[^A-Za-z0-9]"","""")&amp;""-""&amp;Regexreplace(to_text(F2828),""[^A-Za-z0-9]"",""""))"),"SCHNEIDER-EASYLOGICEM6436HRS")</f>
        <v>SCHNEIDER-EASYLOGICEM6436HRS</v>
      </c>
    </row>
    <row r="2829" ht="30.0" customHeight="1">
      <c r="A2829" s="258"/>
      <c r="B2829" s="328" t="s">
        <v>670</v>
      </c>
      <c r="C2829" s="257" t="s">
        <v>8933</v>
      </c>
      <c r="D2829" s="173" t="s">
        <v>8933</v>
      </c>
      <c r="E2829" s="174" t="s">
        <v>8070</v>
      </c>
      <c r="F2829" s="173" t="s">
        <v>8078</v>
      </c>
      <c r="G2829" s="328" t="s">
        <v>673</v>
      </c>
      <c r="H2829" s="328" t="s">
        <v>2863</v>
      </c>
      <c r="I2829" s="258" t="s">
        <v>8072</v>
      </c>
      <c r="J2829" s="259" t="s">
        <v>1453</v>
      </c>
      <c r="K2829" s="260">
        <v>1172.0</v>
      </c>
      <c r="L2829" s="365"/>
      <c r="M2829" s="329"/>
      <c r="N2829" s="173" t="s">
        <v>679</v>
      </c>
      <c r="O2829" s="173" t="s">
        <v>225</v>
      </c>
      <c r="P2829" s="262" t="str">
        <f t="shared" si="1"/>
        <v>IN-BLR-ANANTA-EM-376_11</v>
      </c>
      <c r="Q2829" s="173" t="s">
        <v>8934</v>
      </c>
      <c r="R2829" s="328" t="str">
        <f>IFS(C2829="","",C2829="n/a","N/A",LEN(C2829),Concatenate("{",char(34),"asset",char(34),":{",char(34),"guid",char(34),":",char(34),Q2829,char(34),",",char(34),"site",char(34),":",char(34),LOWER('2-Building'!$B$4),char(34),",",char(34),"name",char(34),":",char(34),LOWER(C2829),char(34),"}}"))</f>
        <v>{"asset":{"guid":"uuid://6474ed1d-f062-4e6a-a4b0-7e3375f64bed","site":"in-blr-ananta","name":"em-376"}}</v>
      </c>
      <c r="S2829" s="366" t="s">
        <v>8581</v>
      </c>
      <c r="T2829" s="330"/>
      <c r="U2829" s="330"/>
      <c r="V2829" s="331"/>
      <c r="W2829" s="332"/>
      <c r="X2829" s="333"/>
      <c r="Y2829" s="33" t="s">
        <v>8076</v>
      </c>
      <c r="Z2829" s="368"/>
      <c r="AA2829" s="333"/>
      <c r="AB2829" s="258">
        <v>23.0</v>
      </c>
      <c r="AC2829" s="333"/>
      <c r="AD2829" s="329"/>
      <c r="AE2829" s="331"/>
      <c r="AF2829" s="336"/>
      <c r="AG2829" s="337"/>
      <c r="AH2829" s="333"/>
      <c r="AI2829" s="333"/>
      <c r="AJ2829" s="333"/>
      <c r="AK2829" s="333"/>
      <c r="AL2829" s="333"/>
      <c r="AM2829" s="338"/>
      <c r="AN2829" s="333"/>
      <c r="AO2829" s="333"/>
      <c r="AP2829" s="333"/>
      <c r="AQ2829" s="333"/>
      <c r="AR2829" s="333"/>
      <c r="AS2829" s="333"/>
      <c r="AT2829" s="333"/>
      <c r="AU2829" s="329"/>
      <c r="AV2829" s="341"/>
      <c r="AW2829" s="269"/>
      <c r="AX2829" s="269" t="s">
        <v>2869</v>
      </c>
      <c r="AY2829" s="270" t="s">
        <v>695</v>
      </c>
      <c r="AZ2829" s="379"/>
      <c r="BA2829" s="173">
        <v>10.0</v>
      </c>
      <c r="BB2829" s="367"/>
      <c r="BC2829" s="341"/>
      <c r="BD2829" s="308" t="s">
        <v>1844</v>
      </c>
      <c r="BE2829" s="378"/>
      <c r="BF2829" s="274" t="str">
        <f>IFERROR(__xludf.DUMMYFUNCTION("LOWER(Regexreplace(to_text(E2829),""[^A-Za-z0-9]"","""")&amp;""_""&amp;Regexreplace(to_text(F2829),""[^A-Za-z0-9]"",""""))"),"schneider_easylogicem6436hrs")</f>
        <v>schneider_easylogicem6436hrs</v>
      </c>
      <c r="BG2829" s="275" t="str">
        <f>IFERROR(__xludf.DUMMYFUNCTION("upper(Regexreplace(to_text(E2829),""[^A-Za-z0-9]"","""")&amp;""-""&amp;Regexreplace(to_text(F2829),""[^A-Za-z0-9]"",""""))"),"SCHNEIDER-EASYLOGICEM6436HRS")</f>
        <v>SCHNEIDER-EASYLOGICEM6436HRS</v>
      </c>
    </row>
    <row r="2830" ht="30.0" customHeight="1">
      <c r="A2830" s="258"/>
      <c r="B2830" s="328" t="s">
        <v>670</v>
      </c>
      <c r="C2830" s="257" t="s">
        <v>8935</v>
      </c>
      <c r="D2830" s="173" t="s">
        <v>8935</v>
      </c>
      <c r="E2830" s="174" t="s">
        <v>8070</v>
      </c>
      <c r="F2830" s="173" t="s">
        <v>8078</v>
      </c>
      <c r="G2830" s="328" t="s">
        <v>673</v>
      </c>
      <c r="H2830" s="328" t="s">
        <v>2863</v>
      </c>
      <c r="I2830" s="258" t="s">
        <v>8072</v>
      </c>
      <c r="J2830" s="259" t="s">
        <v>739</v>
      </c>
      <c r="K2830" s="260" t="s">
        <v>8087</v>
      </c>
      <c r="L2830" s="365"/>
      <c r="M2830" s="329"/>
      <c r="N2830" s="173" t="s">
        <v>679</v>
      </c>
      <c r="O2830" s="173" t="s">
        <v>225</v>
      </c>
      <c r="P2830" s="262" t="str">
        <f t="shared" si="1"/>
        <v>IN-BLR-ANANTA-EM-377_G</v>
      </c>
      <c r="Q2830" s="173" t="s">
        <v>8936</v>
      </c>
      <c r="R2830" s="328" t="str">
        <f>IFS(C2830="","",C2830="n/a","N/A",LEN(C2830),Concatenate("{",char(34),"asset",char(34),":{",char(34),"guid",char(34),":",char(34),Q2830,char(34),",",char(34),"site",char(34),":",char(34),LOWER('2-Building'!$B$4),char(34),",",char(34),"name",char(34),":",char(34),LOWER(C2830),char(34),"}}"))</f>
        <v>{"asset":{"guid":"uuid://9dd11a69-3ba4-441c-b683-1c30f96de9a9","site":"in-blr-ananta","name":"em-377"}}</v>
      </c>
      <c r="S2830" s="366" t="s">
        <v>8581</v>
      </c>
      <c r="T2830" s="330"/>
      <c r="U2830" s="330"/>
      <c r="V2830" s="331"/>
      <c r="W2830" s="332"/>
      <c r="X2830" s="333"/>
      <c r="Y2830" s="33" t="s">
        <v>8076</v>
      </c>
      <c r="Z2830" s="368"/>
      <c r="AA2830" s="333"/>
      <c r="AB2830" s="258">
        <v>33.0</v>
      </c>
      <c r="AC2830" s="333"/>
      <c r="AD2830" s="329"/>
      <c r="AE2830" s="331"/>
      <c r="AF2830" s="336"/>
      <c r="AG2830" s="337"/>
      <c r="AH2830" s="333"/>
      <c r="AI2830" s="333"/>
      <c r="AJ2830" s="333"/>
      <c r="AK2830" s="333"/>
      <c r="AL2830" s="333"/>
      <c r="AM2830" s="338"/>
      <c r="AN2830" s="333"/>
      <c r="AO2830" s="333"/>
      <c r="AP2830" s="333"/>
      <c r="AQ2830" s="333"/>
      <c r="AR2830" s="333"/>
      <c r="AS2830" s="333"/>
      <c r="AT2830" s="333"/>
      <c r="AU2830" s="329"/>
      <c r="AV2830" s="341"/>
      <c r="AW2830" s="269"/>
      <c r="AX2830" s="269" t="s">
        <v>2869</v>
      </c>
      <c r="AY2830" s="270" t="s">
        <v>695</v>
      </c>
      <c r="AZ2830" s="379"/>
      <c r="BA2830" s="173">
        <v>10.0</v>
      </c>
      <c r="BB2830" s="367"/>
      <c r="BC2830" s="341"/>
      <c r="BD2830" s="308" t="s">
        <v>1844</v>
      </c>
      <c r="BE2830" s="378"/>
      <c r="BF2830" s="274" t="str">
        <f>IFERROR(__xludf.DUMMYFUNCTION("LOWER(Regexreplace(to_text(E2830),""[^A-Za-z0-9]"","""")&amp;""_""&amp;Regexreplace(to_text(F2830),""[^A-Za-z0-9]"",""""))"),"schneider_easylogicem6436hrs")</f>
        <v>schneider_easylogicem6436hrs</v>
      </c>
      <c r="BG2830" s="275" t="str">
        <f>IFERROR(__xludf.DUMMYFUNCTION("upper(Regexreplace(to_text(E2830),""[^A-Za-z0-9]"","""")&amp;""-""&amp;Regexreplace(to_text(F2830),""[^A-Za-z0-9]"",""""))"),"SCHNEIDER-EASYLOGICEM6436HRS")</f>
        <v>SCHNEIDER-EASYLOGICEM6436HRS</v>
      </c>
    </row>
    <row r="2831" ht="30.0" customHeight="1">
      <c r="A2831" s="258"/>
      <c r="B2831" s="328" t="s">
        <v>670</v>
      </c>
      <c r="C2831" s="257" t="s">
        <v>8937</v>
      </c>
      <c r="D2831" s="173" t="s">
        <v>8937</v>
      </c>
      <c r="E2831" s="174" t="s">
        <v>8070</v>
      </c>
      <c r="F2831" s="173" t="s">
        <v>8078</v>
      </c>
      <c r="G2831" s="328" t="s">
        <v>673</v>
      </c>
      <c r="H2831" s="328" t="s">
        <v>2863</v>
      </c>
      <c r="I2831" s="258" t="s">
        <v>8072</v>
      </c>
      <c r="J2831" s="259" t="s">
        <v>739</v>
      </c>
      <c r="K2831" s="260" t="s">
        <v>8087</v>
      </c>
      <c r="L2831" s="365"/>
      <c r="M2831" s="329"/>
      <c r="N2831" s="173" t="s">
        <v>679</v>
      </c>
      <c r="O2831" s="173" t="s">
        <v>225</v>
      </c>
      <c r="P2831" s="262" t="str">
        <f t="shared" si="1"/>
        <v>IN-BLR-ANANTA-EM-378_G</v>
      </c>
      <c r="Q2831" s="173" t="s">
        <v>8938</v>
      </c>
      <c r="R2831" s="328" t="str">
        <f>IFS(C2831="","",C2831="n/a","N/A",LEN(C2831),Concatenate("{",char(34),"asset",char(34),":{",char(34),"guid",char(34),":",char(34),Q2831,char(34),",",char(34),"site",char(34),":",char(34),LOWER('2-Building'!$B$4),char(34),",",char(34),"name",char(34),":",char(34),LOWER(C2831),char(34),"}}"))</f>
        <v>{"asset":{"guid":"uuid://16d75ea5-dc21-4255-8242-95f6cbadccd5","site":"in-blr-ananta","name":"em-378"}}</v>
      </c>
      <c r="S2831" s="366" t="s">
        <v>8581</v>
      </c>
      <c r="T2831" s="330"/>
      <c r="U2831" s="330"/>
      <c r="V2831" s="331"/>
      <c r="W2831" s="332"/>
      <c r="X2831" s="333"/>
      <c r="Y2831" s="33" t="s">
        <v>8076</v>
      </c>
      <c r="Z2831" s="368"/>
      <c r="AA2831" s="333"/>
      <c r="AB2831" s="258">
        <v>34.0</v>
      </c>
      <c r="AC2831" s="333"/>
      <c r="AD2831" s="329"/>
      <c r="AE2831" s="331"/>
      <c r="AF2831" s="336"/>
      <c r="AG2831" s="337"/>
      <c r="AH2831" s="333"/>
      <c r="AI2831" s="333"/>
      <c r="AJ2831" s="333"/>
      <c r="AK2831" s="333"/>
      <c r="AL2831" s="333"/>
      <c r="AM2831" s="338"/>
      <c r="AN2831" s="333"/>
      <c r="AO2831" s="333"/>
      <c r="AP2831" s="333"/>
      <c r="AQ2831" s="333"/>
      <c r="AR2831" s="333"/>
      <c r="AS2831" s="333"/>
      <c r="AT2831" s="333"/>
      <c r="AU2831" s="329"/>
      <c r="AV2831" s="341"/>
      <c r="AW2831" s="269"/>
      <c r="AX2831" s="269" t="s">
        <v>2869</v>
      </c>
      <c r="AY2831" s="270" t="s">
        <v>695</v>
      </c>
      <c r="AZ2831" s="379"/>
      <c r="BA2831" s="173">
        <v>10.0</v>
      </c>
      <c r="BB2831" s="367"/>
      <c r="BC2831" s="341"/>
      <c r="BD2831" s="308" t="s">
        <v>1844</v>
      </c>
      <c r="BE2831" s="378"/>
      <c r="BF2831" s="274" t="str">
        <f>IFERROR(__xludf.DUMMYFUNCTION("LOWER(Regexreplace(to_text(E2831),""[^A-Za-z0-9]"","""")&amp;""_""&amp;Regexreplace(to_text(F2831),""[^A-Za-z0-9]"",""""))"),"schneider_easylogicem6436hrs")</f>
        <v>schneider_easylogicem6436hrs</v>
      </c>
      <c r="BG2831" s="275" t="str">
        <f>IFERROR(__xludf.DUMMYFUNCTION("upper(Regexreplace(to_text(E2831),""[^A-Za-z0-9]"","""")&amp;""-""&amp;Regexreplace(to_text(F2831),""[^A-Za-z0-9]"",""""))"),"SCHNEIDER-EASYLOGICEM6436HRS")</f>
        <v>SCHNEIDER-EASYLOGICEM6436HRS</v>
      </c>
    </row>
    <row r="2832" ht="30.0" customHeight="1">
      <c r="A2832" s="258"/>
      <c r="B2832" s="328" t="s">
        <v>670</v>
      </c>
      <c r="C2832" s="257" t="s">
        <v>8939</v>
      </c>
      <c r="D2832" s="173" t="s">
        <v>8939</v>
      </c>
      <c r="E2832" s="174" t="s">
        <v>8070</v>
      </c>
      <c r="F2832" s="173" t="s">
        <v>8078</v>
      </c>
      <c r="G2832" s="328" t="s">
        <v>673</v>
      </c>
      <c r="H2832" s="328" t="s">
        <v>2863</v>
      </c>
      <c r="I2832" s="258" t="s">
        <v>8072</v>
      </c>
      <c r="J2832" s="259" t="s">
        <v>739</v>
      </c>
      <c r="K2832" s="260" t="s">
        <v>8087</v>
      </c>
      <c r="L2832" s="365"/>
      <c r="M2832" s="329"/>
      <c r="N2832" s="173" t="s">
        <v>679</v>
      </c>
      <c r="O2832" s="173" t="s">
        <v>225</v>
      </c>
      <c r="P2832" s="262" t="str">
        <f t="shared" si="1"/>
        <v>IN-BLR-ANANTA-EM-379_G</v>
      </c>
      <c r="Q2832" s="173" t="s">
        <v>8940</v>
      </c>
      <c r="R2832" s="328" t="str">
        <f>IFS(C2832="","",C2832="n/a","N/A",LEN(C2832),Concatenate("{",char(34),"asset",char(34),":{",char(34),"guid",char(34),":",char(34),Q2832,char(34),",",char(34),"site",char(34),":",char(34),LOWER('2-Building'!$B$4),char(34),",",char(34),"name",char(34),":",char(34),LOWER(C2832),char(34),"}}"))</f>
        <v>{"asset":{"guid":"uuid://a97a7f23-c387-42ec-bb51-f871e8490613","site":"in-blr-ananta","name":"em-379"}}</v>
      </c>
      <c r="S2832" s="366" t="s">
        <v>8581</v>
      </c>
      <c r="T2832" s="330"/>
      <c r="U2832" s="330"/>
      <c r="V2832" s="331"/>
      <c r="W2832" s="332"/>
      <c r="X2832" s="333"/>
      <c r="Y2832" s="33" t="s">
        <v>8076</v>
      </c>
      <c r="Z2832" s="368"/>
      <c r="AA2832" s="333"/>
      <c r="AB2832" s="258">
        <v>35.0</v>
      </c>
      <c r="AC2832" s="333"/>
      <c r="AD2832" s="329"/>
      <c r="AE2832" s="331"/>
      <c r="AF2832" s="336"/>
      <c r="AG2832" s="337"/>
      <c r="AH2832" s="333"/>
      <c r="AI2832" s="333"/>
      <c r="AJ2832" s="333"/>
      <c r="AK2832" s="333"/>
      <c r="AL2832" s="333"/>
      <c r="AM2832" s="338"/>
      <c r="AN2832" s="333"/>
      <c r="AO2832" s="333"/>
      <c r="AP2832" s="333"/>
      <c r="AQ2832" s="333"/>
      <c r="AR2832" s="333"/>
      <c r="AS2832" s="333"/>
      <c r="AT2832" s="333"/>
      <c r="AU2832" s="329"/>
      <c r="AV2832" s="341"/>
      <c r="AW2832" s="269"/>
      <c r="AX2832" s="269" t="s">
        <v>2869</v>
      </c>
      <c r="AY2832" s="270" t="s">
        <v>695</v>
      </c>
      <c r="AZ2832" s="379"/>
      <c r="BA2832" s="173">
        <v>10.0</v>
      </c>
      <c r="BB2832" s="367"/>
      <c r="BC2832" s="341"/>
      <c r="BD2832" s="308" t="s">
        <v>1844</v>
      </c>
      <c r="BE2832" s="378"/>
      <c r="BF2832" s="274" t="str">
        <f>IFERROR(__xludf.DUMMYFUNCTION("LOWER(Regexreplace(to_text(E2832),""[^A-Za-z0-9]"","""")&amp;""_""&amp;Regexreplace(to_text(F2832),""[^A-Za-z0-9]"",""""))"),"schneider_easylogicem6436hrs")</f>
        <v>schneider_easylogicem6436hrs</v>
      </c>
      <c r="BG2832" s="275" t="str">
        <f>IFERROR(__xludf.DUMMYFUNCTION("upper(Regexreplace(to_text(E2832),""[^A-Za-z0-9]"","""")&amp;""-""&amp;Regexreplace(to_text(F2832),""[^A-Za-z0-9]"",""""))"),"SCHNEIDER-EASYLOGICEM6436HRS")</f>
        <v>SCHNEIDER-EASYLOGICEM6436HRS</v>
      </c>
    </row>
    <row r="2833" ht="30.0" customHeight="1">
      <c r="A2833" s="258"/>
      <c r="B2833" s="328" t="s">
        <v>670</v>
      </c>
      <c r="C2833" s="257" t="s">
        <v>8941</v>
      </c>
      <c r="D2833" s="173" t="s">
        <v>8941</v>
      </c>
      <c r="E2833" s="174" t="s">
        <v>8070</v>
      </c>
      <c r="F2833" s="173" t="s">
        <v>8078</v>
      </c>
      <c r="G2833" s="328" t="s">
        <v>673</v>
      </c>
      <c r="H2833" s="328" t="s">
        <v>2863</v>
      </c>
      <c r="I2833" s="258" t="s">
        <v>8072</v>
      </c>
      <c r="J2833" s="259" t="s">
        <v>739</v>
      </c>
      <c r="K2833" s="260" t="s">
        <v>8087</v>
      </c>
      <c r="L2833" s="365"/>
      <c r="M2833" s="329"/>
      <c r="N2833" s="173" t="s">
        <v>679</v>
      </c>
      <c r="O2833" s="173" t="s">
        <v>225</v>
      </c>
      <c r="P2833" s="262" t="str">
        <f t="shared" si="1"/>
        <v>IN-BLR-ANANTA-EM-380_G</v>
      </c>
      <c r="Q2833" s="173" t="s">
        <v>8942</v>
      </c>
      <c r="R2833" s="328" t="str">
        <f>IFS(C2833="","",C2833="n/a","N/A",LEN(C2833),Concatenate("{",char(34),"asset",char(34),":{",char(34),"guid",char(34),":",char(34),Q2833,char(34),",",char(34),"site",char(34),":",char(34),LOWER('2-Building'!$B$4),char(34),",",char(34),"name",char(34),":",char(34),LOWER(C2833),char(34),"}}"))</f>
        <v>{"asset":{"guid":"uuid://4b1fb9ac-f1cb-47c0-9844-1bae57c95bb4","site":"in-blr-ananta","name":"em-380"}}</v>
      </c>
      <c r="S2833" s="366" t="s">
        <v>8581</v>
      </c>
      <c r="T2833" s="330"/>
      <c r="U2833" s="330"/>
      <c r="V2833" s="331"/>
      <c r="W2833" s="332"/>
      <c r="X2833" s="333"/>
      <c r="Y2833" s="33" t="s">
        <v>8076</v>
      </c>
      <c r="Z2833" s="368"/>
      <c r="AA2833" s="333"/>
      <c r="AB2833" s="258">
        <v>36.0</v>
      </c>
      <c r="AC2833" s="333"/>
      <c r="AD2833" s="329"/>
      <c r="AE2833" s="331"/>
      <c r="AF2833" s="336"/>
      <c r="AG2833" s="337"/>
      <c r="AH2833" s="333"/>
      <c r="AI2833" s="333"/>
      <c r="AJ2833" s="333"/>
      <c r="AK2833" s="333"/>
      <c r="AL2833" s="333"/>
      <c r="AM2833" s="338"/>
      <c r="AN2833" s="333"/>
      <c r="AO2833" s="333"/>
      <c r="AP2833" s="333"/>
      <c r="AQ2833" s="333"/>
      <c r="AR2833" s="333"/>
      <c r="AS2833" s="333"/>
      <c r="AT2833" s="333"/>
      <c r="AU2833" s="329"/>
      <c r="AV2833" s="341"/>
      <c r="AW2833" s="269"/>
      <c r="AX2833" s="269" t="s">
        <v>2869</v>
      </c>
      <c r="AY2833" s="270" t="s">
        <v>695</v>
      </c>
      <c r="AZ2833" s="379"/>
      <c r="BA2833" s="173">
        <v>10.0</v>
      </c>
      <c r="BB2833" s="367"/>
      <c r="BC2833" s="341"/>
      <c r="BD2833" s="308" t="s">
        <v>1844</v>
      </c>
      <c r="BE2833" s="378"/>
      <c r="BF2833" s="274" t="str">
        <f>IFERROR(__xludf.DUMMYFUNCTION("LOWER(Regexreplace(to_text(E2833),""[^A-Za-z0-9]"","""")&amp;""_""&amp;Regexreplace(to_text(F2833),""[^A-Za-z0-9]"",""""))"),"schneider_easylogicem6436hrs")</f>
        <v>schneider_easylogicem6436hrs</v>
      </c>
      <c r="BG2833" s="275" t="str">
        <f>IFERROR(__xludf.DUMMYFUNCTION("upper(Regexreplace(to_text(E2833),""[^A-Za-z0-9]"","""")&amp;""-""&amp;Regexreplace(to_text(F2833),""[^A-Za-z0-9]"",""""))"),"SCHNEIDER-EASYLOGICEM6436HRS")</f>
        <v>SCHNEIDER-EASYLOGICEM6436HRS</v>
      </c>
    </row>
    <row r="2834" ht="30.0" customHeight="1">
      <c r="A2834" s="258"/>
      <c r="B2834" s="328" t="s">
        <v>670</v>
      </c>
      <c r="C2834" s="257" t="s">
        <v>8943</v>
      </c>
      <c r="D2834" s="173" t="s">
        <v>8943</v>
      </c>
      <c r="E2834" s="174" t="s">
        <v>8070</v>
      </c>
      <c r="F2834" s="173" t="s">
        <v>8078</v>
      </c>
      <c r="G2834" s="328" t="s">
        <v>673</v>
      </c>
      <c r="H2834" s="328" t="s">
        <v>2863</v>
      </c>
      <c r="I2834" s="258" t="s">
        <v>8072</v>
      </c>
      <c r="J2834" s="259" t="s">
        <v>739</v>
      </c>
      <c r="K2834" s="260" t="s">
        <v>8087</v>
      </c>
      <c r="L2834" s="365"/>
      <c r="M2834" s="329"/>
      <c r="N2834" s="173" t="s">
        <v>679</v>
      </c>
      <c r="O2834" s="173" t="s">
        <v>225</v>
      </c>
      <c r="P2834" s="262" t="str">
        <f t="shared" si="1"/>
        <v>IN-BLR-ANANTA-EM-381_G</v>
      </c>
      <c r="Q2834" s="173" t="s">
        <v>8944</v>
      </c>
      <c r="R2834" s="328" t="str">
        <f>IFS(C2834="","",C2834="n/a","N/A",LEN(C2834),Concatenate("{",char(34),"asset",char(34),":{",char(34),"guid",char(34),":",char(34),Q2834,char(34),",",char(34),"site",char(34),":",char(34),LOWER('2-Building'!$B$4),char(34),",",char(34),"name",char(34),":",char(34),LOWER(C2834),char(34),"}}"))</f>
        <v>{"asset":{"guid":"uuid://792a56c1-718b-49a6-9a28-c837417349c6","site":"in-blr-ananta","name":"em-381"}}</v>
      </c>
      <c r="S2834" s="366" t="s">
        <v>8581</v>
      </c>
      <c r="T2834" s="330"/>
      <c r="U2834" s="330"/>
      <c r="V2834" s="331"/>
      <c r="W2834" s="332"/>
      <c r="X2834" s="333"/>
      <c r="Y2834" s="33" t="s">
        <v>8076</v>
      </c>
      <c r="Z2834" s="368"/>
      <c r="AA2834" s="333"/>
      <c r="AB2834" s="258">
        <v>29.0</v>
      </c>
      <c r="AC2834" s="333"/>
      <c r="AD2834" s="329"/>
      <c r="AE2834" s="331"/>
      <c r="AF2834" s="336"/>
      <c r="AG2834" s="337"/>
      <c r="AH2834" s="333"/>
      <c r="AI2834" s="333"/>
      <c r="AJ2834" s="333"/>
      <c r="AK2834" s="333"/>
      <c r="AL2834" s="333"/>
      <c r="AM2834" s="338"/>
      <c r="AN2834" s="333"/>
      <c r="AO2834" s="333"/>
      <c r="AP2834" s="333"/>
      <c r="AQ2834" s="333"/>
      <c r="AR2834" s="333"/>
      <c r="AS2834" s="333"/>
      <c r="AT2834" s="333"/>
      <c r="AU2834" s="329"/>
      <c r="AV2834" s="341"/>
      <c r="AW2834" s="269"/>
      <c r="AX2834" s="269" t="s">
        <v>2869</v>
      </c>
      <c r="AY2834" s="270" t="s">
        <v>695</v>
      </c>
      <c r="AZ2834" s="379"/>
      <c r="BA2834" s="173">
        <v>10.0</v>
      </c>
      <c r="BB2834" s="367"/>
      <c r="BC2834" s="341"/>
      <c r="BD2834" s="308" t="s">
        <v>1844</v>
      </c>
      <c r="BE2834" s="378"/>
      <c r="BF2834" s="274" t="str">
        <f>IFERROR(__xludf.DUMMYFUNCTION("LOWER(Regexreplace(to_text(E2834),""[^A-Za-z0-9]"","""")&amp;""_""&amp;Regexreplace(to_text(F2834),""[^A-Za-z0-9]"",""""))"),"schneider_easylogicem6436hrs")</f>
        <v>schneider_easylogicem6436hrs</v>
      </c>
      <c r="BG2834" s="275" t="str">
        <f>IFERROR(__xludf.DUMMYFUNCTION("upper(Regexreplace(to_text(E2834),""[^A-Za-z0-9]"","""")&amp;""-""&amp;Regexreplace(to_text(F2834),""[^A-Za-z0-9]"",""""))"),"SCHNEIDER-EASYLOGICEM6436HRS")</f>
        <v>SCHNEIDER-EASYLOGICEM6436HRS</v>
      </c>
    </row>
    <row r="2835" ht="30.0" customHeight="1">
      <c r="A2835" s="258"/>
      <c r="B2835" s="328" t="s">
        <v>670</v>
      </c>
      <c r="C2835" s="257" t="s">
        <v>8945</v>
      </c>
      <c r="D2835" s="173" t="s">
        <v>8945</v>
      </c>
      <c r="E2835" s="174" t="s">
        <v>8070</v>
      </c>
      <c r="F2835" s="173" t="s">
        <v>8078</v>
      </c>
      <c r="G2835" s="328" t="s">
        <v>673</v>
      </c>
      <c r="H2835" s="328" t="s">
        <v>2863</v>
      </c>
      <c r="I2835" s="258" t="s">
        <v>8072</v>
      </c>
      <c r="J2835" s="259" t="s">
        <v>739</v>
      </c>
      <c r="K2835" s="260" t="s">
        <v>8087</v>
      </c>
      <c r="L2835" s="365"/>
      <c r="M2835" s="329"/>
      <c r="N2835" s="173" t="s">
        <v>679</v>
      </c>
      <c r="O2835" s="173" t="s">
        <v>225</v>
      </c>
      <c r="P2835" s="262" t="str">
        <f t="shared" si="1"/>
        <v>IN-BLR-ANANTA-EM-382_G</v>
      </c>
      <c r="Q2835" s="173" t="s">
        <v>8946</v>
      </c>
      <c r="R2835" s="328" t="str">
        <f>IFS(C2835="","",C2835="n/a","N/A",LEN(C2835),Concatenate("{",char(34),"asset",char(34),":{",char(34),"guid",char(34),":",char(34),Q2835,char(34),",",char(34),"site",char(34),":",char(34),LOWER('2-Building'!$B$4),char(34),",",char(34),"name",char(34),":",char(34),LOWER(C2835),char(34),"}}"))</f>
        <v>{"asset":{"guid":"uuid://217576b4-fa2a-4198-8dcc-8892b1a8867c","site":"in-blr-ananta","name":"em-382"}}</v>
      </c>
      <c r="S2835" s="366" t="s">
        <v>8581</v>
      </c>
      <c r="T2835" s="330"/>
      <c r="U2835" s="330"/>
      <c r="V2835" s="331"/>
      <c r="W2835" s="332"/>
      <c r="X2835" s="333"/>
      <c r="Y2835" s="33" t="s">
        <v>8076</v>
      </c>
      <c r="Z2835" s="368"/>
      <c r="AA2835" s="333"/>
      <c r="AB2835" s="258">
        <v>30.0</v>
      </c>
      <c r="AC2835" s="333"/>
      <c r="AD2835" s="329"/>
      <c r="AE2835" s="331"/>
      <c r="AF2835" s="336"/>
      <c r="AG2835" s="337"/>
      <c r="AH2835" s="333"/>
      <c r="AI2835" s="333"/>
      <c r="AJ2835" s="333"/>
      <c r="AK2835" s="333"/>
      <c r="AL2835" s="333"/>
      <c r="AM2835" s="338"/>
      <c r="AN2835" s="333"/>
      <c r="AO2835" s="333"/>
      <c r="AP2835" s="333"/>
      <c r="AQ2835" s="333"/>
      <c r="AR2835" s="333"/>
      <c r="AS2835" s="333"/>
      <c r="AT2835" s="333"/>
      <c r="AU2835" s="329"/>
      <c r="AV2835" s="341"/>
      <c r="AW2835" s="269"/>
      <c r="AX2835" s="269" t="s">
        <v>2869</v>
      </c>
      <c r="AY2835" s="270" t="s">
        <v>695</v>
      </c>
      <c r="AZ2835" s="379"/>
      <c r="BA2835" s="173">
        <v>10.0</v>
      </c>
      <c r="BB2835" s="367"/>
      <c r="BC2835" s="341"/>
      <c r="BD2835" s="308" t="s">
        <v>1844</v>
      </c>
      <c r="BE2835" s="378"/>
      <c r="BF2835" s="274" t="str">
        <f>IFERROR(__xludf.DUMMYFUNCTION("LOWER(Regexreplace(to_text(E2835),""[^A-Za-z0-9]"","""")&amp;""_""&amp;Regexreplace(to_text(F2835),""[^A-Za-z0-9]"",""""))"),"schneider_easylogicem6436hrs")</f>
        <v>schneider_easylogicem6436hrs</v>
      </c>
      <c r="BG2835" s="275" t="str">
        <f>IFERROR(__xludf.DUMMYFUNCTION("upper(Regexreplace(to_text(E2835),""[^A-Za-z0-9]"","""")&amp;""-""&amp;Regexreplace(to_text(F2835),""[^A-Za-z0-9]"",""""))"),"SCHNEIDER-EASYLOGICEM6436HRS")</f>
        <v>SCHNEIDER-EASYLOGICEM6436HRS</v>
      </c>
    </row>
    <row r="2836" ht="30.0" customHeight="1">
      <c r="A2836" s="258"/>
      <c r="B2836" s="328" t="s">
        <v>670</v>
      </c>
      <c r="C2836" s="257" t="s">
        <v>8947</v>
      </c>
      <c r="D2836" s="173" t="s">
        <v>8947</v>
      </c>
      <c r="E2836" s="174" t="s">
        <v>8070</v>
      </c>
      <c r="F2836" s="173" t="s">
        <v>8078</v>
      </c>
      <c r="G2836" s="328" t="s">
        <v>673</v>
      </c>
      <c r="H2836" s="328" t="s">
        <v>2863</v>
      </c>
      <c r="I2836" s="258" t="s">
        <v>8072</v>
      </c>
      <c r="J2836" s="259" t="s">
        <v>2839</v>
      </c>
      <c r="K2836" s="260" t="s">
        <v>8755</v>
      </c>
      <c r="L2836" s="365"/>
      <c r="M2836" s="329"/>
      <c r="N2836" s="173" t="s">
        <v>679</v>
      </c>
      <c r="O2836" s="173" t="s">
        <v>225</v>
      </c>
      <c r="P2836" s="262" t="str">
        <f t="shared" si="1"/>
        <v>IN-BLR-ANANTA-EM-383_M</v>
      </c>
      <c r="Q2836" s="173" t="s">
        <v>8948</v>
      </c>
      <c r="R2836" s="328" t="str">
        <f>IFS(C2836="","",C2836="n/a","N/A",LEN(C2836),Concatenate("{",char(34),"asset",char(34),":{",char(34),"guid",char(34),":",char(34),Q2836,char(34),",",char(34),"site",char(34),":",char(34),LOWER('2-Building'!$B$4),char(34),",",char(34),"name",char(34),":",char(34),LOWER(C2836),char(34),"}}"))</f>
        <v>{"asset":{"guid":"uuid://4b61c472-322b-480a-8642-feb0cc3e6ed4","site":"in-blr-ananta","name":"em-383"}}</v>
      </c>
      <c r="S2836" s="366" t="s">
        <v>8581</v>
      </c>
      <c r="T2836" s="330"/>
      <c r="U2836" s="330"/>
      <c r="V2836" s="331"/>
      <c r="W2836" s="332"/>
      <c r="X2836" s="333"/>
      <c r="Y2836" s="33" t="s">
        <v>8076</v>
      </c>
      <c r="Z2836" s="368"/>
      <c r="AA2836" s="333"/>
      <c r="AB2836" s="258">
        <v>19.0</v>
      </c>
      <c r="AC2836" s="333"/>
      <c r="AD2836" s="329"/>
      <c r="AE2836" s="331"/>
      <c r="AF2836" s="336"/>
      <c r="AG2836" s="337"/>
      <c r="AH2836" s="333"/>
      <c r="AI2836" s="333"/>
      <c r="AJ2836" s="333"/>
      <c r="AK2836" s="333"/>
      <c r="AL2836" s="333"/>
      <c r="AM2836" s="338"/>
      <c r="AN2836" s="333"/>
      <c r="AO2836" s="333"/>
      <c r="AP2836" s="333"/>
      <c r="AQ2836" s="333"/>
      <c r="AR2836" s="333"/>
      <c r="AS2836" s="333"/>
      <c r="AT2836" s="333"/>
      <c r="AU2836" s="329"/>
      <c r="AV2836" s="341"/>
      <c r="AW2836" s="269"/>
      <c r="AX2836" s="269" t="s">
        <v>2869</v>
      </c>
      <c r="AY2836" s="270" t="s">
        <v>695</v>
      </c>
      <c r="AZ2836" s="379"/>
      <c r="BA2836" s="173">
        <v>10.0</v>
      </c>
      <c r="BB2836" s="367"/>
      <c r="BC2836" s="341"/>
      <c r="BD2836" s="308" t="s">
        <v>1844</v>
      </c>
      <c r="BE2836" s="378"/>
      <c r="BF2836" s="274" t="str">
        <f>IFERROR(__xludf.DUMMYFUNCTION("LOWER(Regexreplace(to_text(E2836),""[^A-Za-z0-9]"","""")&amp;""_""&amp;Regexreplace(to_text(F2836),""[^A-Za-z0-9]"",""""))"),"schneider_easylogicem6436hrs")</f>
        <v>schneider_easylogicem6436hrs</v>
      </c>
      <c r="BG2836" s="275" t="str">
        <f>IFERROR(__xludf.DUMMYFUNCTION("upper(Regexreplace(to_text(E2836),""[^A-Za-z0-9]"","""")&amp;""-""&amp;Regexreplace(to_text(F2836),""[^A-Za-z0-9]"",""""))"),"SCHNEIDER-EASYLOGICEM6436HRS")</f>
        <v>SCHNEIDER-EASYLOGICEM6436HRS</v>
      </c>
    </row>
    <row r="2837" ht="30.0" customHeight="1">
      <c r="A2837" s="258"/>
      <c r="B2837" s="328" t="s">
        <v>670</v>
      </c>
      <c r="C2837" s="257" t="s">
        <v>8949</v>
      </c>
      <c r="D2837" s="173" t="s">
        <v>8949</v>
      </c>
      <c r="E2837" s="174" t="s">
        <v>8070</v>
      </c>
      <c r="F2837" s="173" t="s">
        <v>8078</v>
      </c>
      <c r="G2837" s="328" t="s">
        <v>673</v>
      </c>
      <c r="H2837" s="328" t="s">
        <v>2863</v>
      </c>
      <c r="I2837" s="258" t="s">
        <v>8072</v>
      </c>
      <c r="J2837" s="259" t="s">
        <v>2839</v>
      </c>
      <c r="K2837" s="260" t="s">
        <v>8755</v>
      </c>
      <c r="L2837" s="365"/>
      <c r="M2837" s="329"/>
      <c r="N2837" s="173" t="s">
        <v>679</v>
      </c>
      <c r="O2837" s="173" t="s">
        <v>225</v>
      </c>
      <c r="P2837" s="262" t="str">
        <f t="shared" si="1"/>
        <v>IN-BLR-ANANTA-EM-384_M</v>
      </c>
      <c r="Q2837" s="173" t="s">
        <v>8950</v>
      </c>
      <c r="R2837" s="328" t="str">
        <f>IFS(C2837="","",C2837="n/a","N/A",LEN(C2837),Concatenate("{",char(34),"asset",char(34),":{",char(34),"guid",char(34),":",char(34),Q2837,char(34),",",char(34),"site",char(34),":",char(34),LOWER('2-Building'!$B$4),char(34),",",char(34),"name",char(34),":",char(34),LOWER(C2837),char(34),"}}"))</f>
        <v>{"asset":{"guid":"uuid://226dda7b-6e08-427b-8b65-e71bc8408f9e","site":"in-blr-ananta","name":"em-384"}}</v>
      </c>
      <c r="S2837" s="366" t="s">
        <v>8581</v>
      </c>
      <c r="T2837" s="330"/>
      <c r="U2837" s="330"/>
      <c r="V2837" s="331"/>
      <c r="W2837" s="332"/>
      <c r="X2837" s="333"/>
      <c r="Y2837" s="33" t="s">
        <v>8076</v>
      </c>
      <c r="Z2837" s="368"/>
      <c r="AA2837" s="333"/>
      <c r="AB2837" s="258">
        <v>20.0</v>
      </c>
      <c r="AC2837" s="333"/>
      <c r="AD2837" s="329"/>
      <c r="AE2837" s="331"/>
      <c r="AF2837" s="336"/>
      <c r="AG2837" s="337"/>
      <c r="AH2837" s="333"/>
      <c r="AI2837" s="333"/>
      <c r="AJ2837" s="333"/>
      <c r="AK2837" s="333"/>
      <c r="AL2837" s="333"/>
      <c r="AM2837" s="338"/>
      <c r="AN2837" s="333"/>
      <c r="AO2837" s="333"/>
      <c r="AP2837" s="333"/>
      <c r="AQ2837" s="333"/>
      <c r="AR2837" s="333"/>
      <c r="AS2837" s="333"/>
      <c r="AT2837" s="333"/>
      <c r="AU2837" s="329"/>
      <c r="AV2837" s="341"/>
      <c r="AW2837" s="269"/>
      <c r="AX2837" s="269" t="s">
        <v>2869</v>
      </c>
      <c r="AY2837" s="270" t="s">
        <v>695</v>
      </c>
      <c r="AZ2837" s="379"/>
      <c r="BA2837" s="173">
        <v>10.0</v>
      </c>
      <c r="BB2837" s="367"/>
      <c r="BC2837" s="341"/>
      <c r="BD2837" s="308" t="s">
        <v>1844</v>
      </c>
      <c r="BE2837" s="378"/>
      <c r="BF2837" s="274" t="str">
        <f>IFERROR(__xludf.DUMMYFUNCTION("LOWER(Regexreplace(to_text(E2837),""[^A-Za-z0-9]"","""")&amp;""_""&amp;Regexreplace(to_text(F2837),""[^A-Za-z0-9]"",""""))"),"schneider_easylogicem6436hrs")</f>
        <v>schneider_easylogicem6436hrs</v>
      </c>
      <c r="BG2837" s="275" t="str">
        <f>IFERROR(__xludf.DUMMYFUNCTION("upper(Regexreplace(to_text(E2837),""[^A-Za-z0-9]"","""")&amp;""-""&amp;Regexreplace(to_text(F2837),""[^A-Za-z0-9]"",""""))"),"SCHNEIDER-EASYLOGICEM6436HRS")</f>
        <v>SCHNEIDER-EASYLOGICEM6436HRS</v>
      </c>
    </row>
    <row r="2838" ht="30.0" customHeight="1">
      <c r="A2838" s="258"/>
      <c r="B2838" s="328" t="s">
        <v>670</v>
      </c>
      <c r="C2838" s="257" t="s">
        <v>8951</v>
      </c>
      <c r="D2838" s="173" t="s">
        <v>8951</v>
      </c>
      <c r="E2838" s="174" t="s">
        <v>8070</v>
      </c>
      <c r="F2838" s="173" t="s">
        <v>8078</v>
      </c>
      <c r="G2838" s="328" t="s">
        <v>673</v>
      </c>
      <c r="H2838" s="328" t="s">
        <v>2863</v>
      </c>
      <c r="I2838" s="258" t="s">
        <v>8072</v>
      </c>
      <c r="J2838" s="259" t="s">
        <v>2839</v>
      </c>
      <c r="K2838" s="260" t="s">
        <v>8755</v>
      </c>
      <c r="L2838" s="365"/>
      <c r="M2838" s="329"/>
      <c r="N2838" s="173" t="s">
        <v>679</v>
      </c>
      <c r="O2838" s="173" t="s">
        <v>225</v>
      </c>
      <c r="P2838" s="262" t="str">
        <f t="shared" si="1"/>
        <v>IN-BLR-ANANTA-EM-385_M</v>
      </c>
      <c r="Q2838" s="173" t="s">
        <v>8952</v>
      </c>
      <c r="R2838" s="328" t="str">
        <f>IFS(C2838="","",C2838="n/a","N/A",LEN(C2838),Concatenate("{",char(34),"asset",char(34),":{",char(34),"guid",char(34),":",char(34),Q2838,char(34),",",char(34),"site",char(34),":",char(34),LOWER('2-Building'!$B$4),char(34),",",char(34),"name",char(34),":",char(34),LOWER(C2838),char(34),"}}"))</f>
        <v>{"asset":{"guid":"uuid://0df196e5-1ba6-48b6-8e45-699624f725ae","site":"in-blr-ananta","name":"em-385"}}</v>
      </c>
      <c r="S2838" s="366" t="s">
        <v>8581</v>
      </c>
      <c r="T2838" s="330"/>
      <c r="U2838" s="330"/>
      <c r="V2838" s="331"/>
      <c r="W2838" s="332"/>
      <c r="X2838" s="333"/>
      <c r="Y2838" s="33" t="s">
        <v>8076</v>
      </c>
      <c r="Z2838" s="368"/>
      <c r="AA2838" s="333"/>
      <c r="AB2838" s="258">
        <v>21.0</v>
      </c>
      <c r="AC2838" s="333"/>
      <c r="AD2838" s="329"/>
      <c r="AE2838" s="331"/>
      <c r="AF2838" s="336"/>
      <c r="AG2838" s="337"/>
      <c r="AH2838" s="333"/>
      <c r="AI2838" s="333"/>
      <c r="AJ2838" s="333"/>
      <c r="AK2838" s="333"/>
      <c r="AL2838" s="333"/>
      <c r="AM2838" s="338"/>
      <c r="AN2838" s="333"/>
      <c r="AO2838" s="333"/>
      <c r="AP2838" s="333"/>
      <c r="AQ2838" s="333"/>
      <c r="AR2838" s="333"/>
      <c r="AS2838" s="333"/>
      <c r="AT2838" s="333"/>
      <c r="AU2838" s="329"/>
      <c r="AV2838" s="341"/>
      <c r="AW2838" s="269"/>
      <c r="AX2838" s="269" t="s">
        <v>2869</v>
      </c>
      <c r="AY2838" s="270" t="s">
        <v>695</v>
      </c>
      <c r="AZ2838" s="379"/>
      <c r="BA2838" s="173">
        <v>10.0</v>
      </c>
      <c r="BB2838" s="367"/>
      <c r="BC2838" s="341"/>
      <c r="BD2838" s="308" t="s">
        <v>1844</v>
      </c>
      <c r="BE2838" s="378"/>
      <c r="BF2838" s="274" t="str">
        <f>IFERROR(__xludf.DUMMYFUNCTION("LOWER(Regexreplace(to_text(E2838),""[^A-Za-z0-9]"","""")&amp;""_""&amp;Regexreplace(to_text(F2838),""[^A-Za-z0-9]"",""""))"),"schneider_easylogicem6436hrs")</f>
        <v>schneider_easylogicem6436hrs</v>
      </c>
      <c r="BG2838" s="275" t="str">
        <f>IFERROR(__xludf.DUMMYFUNCTION("upper(Regexreplace(to_text(E2838),""[^A-Za-z0-9]"","""")&amp;""-""&amp;Regexreplace(to_text(F2838),""[^A-Za-z0-9]"",""""))"),"SCHNEIDER-EASYLOGICEM6436HRS")</f>
        <v>SCHNEIDER-EASYLOGICEM6436HRS</v>
      </c>
    </row>
    <row r="2839" ht="30.0" customHeight="1">
      <c r="A2839" s="258"/>
      <c r="B2839" s="328" t="s">
        <v>670</v>
      </c>
      <c r="C2839" s="257" t="s">
        <v>8953</v>
      </c>
      <c r="D2839" s="173" t="s">
        <v>8953</v>
      </c>
      <c r="E2839" s="174" t="s">
        <v>8954</v>
      </c>
      <c r="F2839" s="173" t="s">
        <v>8955</v>
      </c>
      <c r="G2839" s="328" t="s">
        <v>673</v>
      </c>
      <c r="H2839" s="328" t="s">
        <v>2863</v>
      </c>
      <c r="I2839" s="258" t="s">
        <v>8956</v>
      </c>
      <c r="J2839" s="259" t="s">
        <v>2839</v>
      </c>
      <c r="K2839" s="260" t="s">
        <v>8755</v>
      </c>
      <c r="L2839" s="365"/>
      <c r="M2839" s="329"/>
      <c r="N2839" s="173" t="s">
        <v>679</v>
      </c>
      <c r="O2839" s="173" t="s">
        <v>225</v>
      </c>
      <c r="P2839" s="262" t="str">
        <f t="shared" si="1"/>
        <v>IN-BLR-ANANTA-GEN-1_M</v>
      </c>
      <c r="Q2839" s="173" t="s">
        <v>8957</v>
      </c>
      <c r="R2839" s="328" t="str">
        <f>IFS(C2839="","",C2839="n/a","N/A",LEN(C2839),Concatenate("{",char(34),"asset",char(34),":{",char(34),"guid",char(34),":",char(34),Q2839,char(34),",",char(34),"site",char(34),":",char(34),LOWER('2-Building'!$B$4),char(34),",",char(34),"name",char(34),":",char(34),LOWER(C2839),char(34),"}}"))</f>
        <v>{"asset":{"guid":"uuid://1335fbce-a924-4db3-bfc4-1cf09ce2fc65","site":"in-blr-ananta","name":"gen-1"}}</v>
      </c>
      <c r="S2839" s="366" t="s">
        <v>8581</v>
      </c>
      <c r="T2839" s="330"/>
      <c r="U2839" s="330"/>
      <c r="V2839" s="331"/>
      <c r="W2839" s="332"/>
      <c r="X2839" s="333"/>
      <c r="Y2839" s="33" t="s">
        <v>8076</v>
      </c>
      <c r="Z2839" s="368"/>
      <c r="AA2839" s="333"/>
      <c r="AB2839" s="258">
        <v>1.0</v>
      </c>
      <c r="AC2839" s="333"/>
      <c r="AD2839" s="329"/>
      <c r="AE2839" s="331"/>
      <c r="AF2839" s="336"/>
      <c r="AG2839" s="337"/>
      <c r="AH2839" s="333"/>
      <c r="AI2839" s="333"/>
      <c r="AJ2839" s="333"/>
      <c r="AK2839" s="333"/>
      <c r="AL2839" s="333"/>
      <c r="AM2839" s="338"/>
      <c r="AN2839" s="333"/>
      <c r="AO2839" s="333"/>
      <c r="AP2839" s="333"/>
      <c r="AQ2839" s="333"/>
      <c r="AR2839" s="333"/>
      <c r="AS2839" s="333"/>
      <c r="AT2839" s="333"/>
      <c r="AU2839" s="329"/>
      <c r="AV2839" s="341"/>
      <c r="AW2839" s="269" t="s">
        <v>1804</v>
      </c>
      <c r="AX2839" s="269" t="s">
        <v>2869</v>
      </c>
      <c r="AY2839" s="270" t="s">
        <v>695</v>
      </c>
      <c r="AZ2839" s="379"/>
      <c r="BA2839" s="173">
        <v>10.0</v>
      </c>
      <c r="BB2839" s="367"/>
      <c r="BC2839" s="341"/>
      <c r="BD2839" s="308"/>
      <c r="BE2839" s="378"/>
      <c r="BF2839" s="274" t="str">
        <f>IFERROR(__xludf.DUMMYFUNCTION("LOWER(Regexreplace(to_text(E2839),""[^A-Za-z0-9]"","""")&amp;""_""&amp;Regexreplace(to_text(F2839),""[^A-Za-z0-9]"",""""))"),"cummins_commandcontroller")</f>
        <v>cummins_commandcontroller</v>
      </c>
      <c r="BG2839" s="275" t="str">
        <f>IFERROR(__xludf.DUMMYFUNCTION("upper(Regexreplace(to_text(E2839),""[^A-Za-z0-9]"","""")&amp;""-""&amp;Regexreplace(to_text(F2839),""[^A-Za-z0-9]"",""""))"),"CUMMINS-COMMANDCONTROLLER")</f>
        <v>CUMMINS-COMMANDCONTROLLER</v>
      </c>
    </row>
    <row r="2840" ht="30.0" customHeight="1">
      <c r="A2840" s="258"/>
      <c r="B2840" s="328" t="s">
        <v>670</v>
      </c>
      <c r="C2840" s="257" t="s">
        <v>8958</v>
      </c>
      <c r="D2840" s="173" t="s">
        <v>8958</v>
      </c>
      <c r="E2840" s="174" t="s">
        <v>8954</v>
      </c>
      <c r="F2840" s="173" t="s">
        <v>8955</v>
      </c>
      <c r="G2840" s="328" t="s">
        <v>673</v>
      </c>
      <c r="H2840" s="328" t="s">
        <v>2863</v>
      </c>
      <c r="I2840" s="258" t="s">
        <v>8956</v>
      </c>
      <c r="J2840" s="259" t="s">
        <v>2839</v>
      </c>
      <c r="K2840" s="260" t="s">
        <v>8755</v>
      </c>
      <c r="L2840" s="365"/>
      <c r="M2840" s="329"/>
      <c r="N2840" s="173" t="s">
        <v>679</v>
      </c>
      <c r="O2840" s="173" t="s">
        <v>225</v>
      </c>
      <c r="P2840" s="262" t="str">
        <f t="shared" si="1"/>
        <v>IN-BLR-ANANTA-GEN-2_M</v>
      </c>
      <c r="Q2840" s="173" t="s">
        <v>8959</v>
      </c>
      <c r="R2840" s="328" t="str">
        <f>IFS(C2840="","",C2840="n/a","N/A",LEN(C2840),Concatenate("{",char(34),"asset",char(34),":{",char(34),"guid",char(34),":",char(34),Q2840,char(34),",",char(34),"site",char(34),":",char(34),LOWER('2-Building'!$B$4),char(34),",",char(34),"name",char(34),":",char(34),LOWER(C2840),char(34),"}}"))</f>
        <v>{"asset":{"guid":"uuid://8b70ae0b-0731-477c-b7d1-38a37a1e775c","site":"in-blr-ananta","name":"gen-2"}}</v>
      </c>
      <c r="S2840" s="366" t="s">
        <v>8581</v>
      </c>
      <c r="T2840" s="330"/>
      <c r="U2840" s="330"/>
      <c r="V2840" s="331"/>
      <c r="W2840" s="332"/>
      <c r="X2840" s="333"/>
      <c r="Y2840" s="33" t="s">
        <v>8076</v>
      </c>
      <c r="Z2840" s="368"/>
      <c r="AA2840" s="333"/>
      <c r="AB2840" s="258">
        <v>2.0</v>
      </c>
      <c r="AC2840" s="333"/>
      <c r="AD2840" s="329"/>
      <c r="AE2840" s="331"/>
      <c r="AF2840" s="336"/>
      <c r="AG2840" s="337"/>
      <c r="AH2840" s="333"/>
      <c r="AI2840" s="333"/>
      <c r="AJ2840" s="333"/>
      <c r="AK2840" s="333"/>
      <c r="AL2840" s="333"/>
      <c r="AM2840" s="338"/>
      <c r="AN2840" s="333"/>
      <c r="AO2840" s="333"/>
      <c r="AP2840" s="333"/>
      <c r="AQ2840" s="333"/>
      <c r="AR2840" s="333"/>
      <c r="AS2840" s="333"/>
      <c r="AT2840" s="333"/>
      <c r="AU2840" s="329"/>
      <c r="AV2840" s="341"/>
      <c r="AW2840" s="269" t="s">
        <v>1804</v>
      </c>
      <c r="AX2840" s="269" t="s">
        <v>2869</v>
      </c>
      <c r="AY2840" s="270" t="s">
        <v>695</v>
      </c>
      <c r="AZ2840" s="379"/>
      <c r="BA2840" s="173">
        <v>10.0</v>
      </c>
      <c r="BB2840" s="367"/>
      <c r="BC2840" s="341"/>
      <c r="BD2840" s="308"/>
      <c r="BE2840" s="378"/>
      <c r="BF2840" s="274" t="str">
        <f>IFERROR(__xludf.DUMMYFUNCTION("LOWER(Regexreplace(to_text(E2840),""[^A-Za-z0-9]"","""")&amp;""_""&amp;Regexreplace(to_text(F2840),""[^A-Za-z0-9]"",""""))"),"cummins_commandcontroller")</f>
        <v>cummins_commandcontroller</v>
      </c>
      <c r="BG2840" s="275" t="str">
        <f>IFERROR(__xludf.DUMMYFUNCTION("upper(Regexreplace(to_text(E2840),""[^A-Za-z0-9]"","""")&amp;""-""&amp;Regexreplace(to_text(F2840),""[^A-Za-z0-9]"",""""))"),"CUMMINS-COMMANDCONTROLLER")</f>
        <v>CUMMINS-COMMANDCONTROLLER</v>
      </c>
    </row>
    <row r="2841" ht="30.0" customHeight="1">
      <c r="A2841" s="258"/>
      <c r="B2841" s="328" t="s">
        <v>670</v>
      </c>
      <c r="C2841" s="257" t="s">
        <v>8960</v>
      </c>
      <c r="D2841" s="173" t="s">
        <v>8960</v>
      </c>
      <c r="E2841" s="174" t="s">
        <v>8954</v>
      </c>
      <c r="F2841" s="173" t="s">
        <v>8955</v>
      </c>
      <c r="G2841" s="328" t="s">
        <v>673</v>
      </c>
      <c r="H2841" s="328" t="s">
        <v>2863</v>
      </c>
      <c r="I2841" s="258" t="s">
        <v>8956</v>
      </c>
      <c r="J2841" s="259" t="s">
        <v>2839</v>
      </c>
      <c r="K2841" s="260" t="s">
        <v>8755</v>
      </c>
      <c r="L2841" s="365"/>
      <c r="M2841" s="329"/>
      <c r="N2841" s="173" t="s">
        <v>679</v>
      </c>
      <c r="O2841" s="173" t="s">
        <v>225</v>
      </c>
      <c r="P2841" s="262" t="str">
        <f t="shared" si="1"/>
        <v>IN-BLR-ANANTA-GEN-3_M</v>
      </c>
      <c r="Q2841" s="173" t="s">
        <v>8961</v>
      </c>
      <c r="R2841" s="328" t="str">
        <f>IFS(C2841="","",C2841="n/a","N/A",LEN(C2841),Concatenate("{",char(34),"asset",char(34),":{",char(34),"guid",char(34),":",char(34),Q2841,char(34),",",char(34),"site",char(34),":",char(34),LOWER('2-Building'!$B$4),char(34),",",char(34),"name",char(34),":",char(34),LOWER(C2841),char(34),"}}"))</f>
        <v>{"asset":{"guid":"uuid://3aeff09e-d98a-467f-bab1-e9318f19a048","site":"in-blr-ananta","name":"gen-3"}}</v>
      </c>
      <c r="S2841" s="366" t="s">
        <v>8581</v>
      </c>
      <c r="T2841" s="330"/>
      <c r="U2841" s="330"/>
      <c r="V2841" s="331"/>
      <c r="W2841" s="332"/>
      <c r="X2841" s="333"/>
      <c r="Y2841" s="33" t="s">
        <v>8076</v>
      </c>
      <c r="Z2841" s="368"/>
      <c r="AA2841" s="333"/>
      <c r="AB2841" s="258">
        <v>3.0</v>
      </c>
      <c r="AC2841" s="333"/>
      <c r="AD2841" s="329"/>
      <c r="AE2841" s="331"/>
      <c r="AF2841" s="336"/>
      <c r="AG2841" s="337"/>
      <c r="AH2841" s="333"/>
      <c r="AI2841" s="333"/>
      <c r="AJ2841" s="333"/>
      <c r="AK2841" s="333"/>
      <c r="AL2841" s="333"/>
      <c r="AM2841" s="338"/>
      <c r="AN2841" s="333"/>
      <c r="AO2841" s="333"/>
      <c r="AP2841" s="333"/>
      <c r="AQ2841" s="333"/>
      <c r="AR2841" s="333"/>
      <c r="AS2841" s="333"/>
      <c r="AT2841" s="333"/>
      <c r="AU2841" s="329"/>
      <c r="AV2841" s="341"/>
      <c r="AW2841" s="269" t="s">
        <v>1804</v>
      </c>
      <c r="AX2841" s="269" t="s">
        <v>2869</v>
      </c>
      <c r="AY2841" s="270" t="s">
        <v>695</v>
      </c>
      <c r="AZ2841" s="379"/>
      <c r="BA2841" s="173">
        <v>10.0</v>
      </c>
      <c r="BB2841" s="367"/>
      <c r="BC2841" s="341"/>
      <c r="BD2841" s="308"/>
      <c r="BE2841" s="378"/>
      <c r="BF2841" s="274" t="str">
        <f>IFERROR(__xludf.DUMMYFUNCTION("LOWER(Regexreplace(to_text(E2841),""[^A-Za-z0-9]"","""")&amp;""_""&amp;Regexreplace(to_text(F2841),""[^A-Za-z0-9]"",""""))"),"cummins_commandcontroller")</f>
        <v>cummins_commandcontroller</v>
      </c>
      <c r="BG2841" s="275" t="str">
        <f>IFERROR(__xludf.DUMMYFUNCTION("upper(Regexreplace(to_text(E2841),""[^A-Za-z0-9]"","""")&amp;""-""&amp;Regexreplace(to_text(F2841),""[^A-Za-z0-9]"",""""))"),"CUMMINS-COMMANDCONTROLLER")</f>
        <v>CUMMINS-COMMANDCONTROLLER</v>
      </c>
    </row>
    <row r="2842" ht="30.0" customHeight="1">
      <c r="A2842" s="258"/>
      <c r="B2842" s="328" t="s">
        <v>670</v>
      </c>
      <c r="C2842" s="257" t="s">
        <v>8962</v>
      </c>
      <c r="D2842" s="173" t="s">
        <v>8962</v>
      </c>
      <c r="E2842" s="174" t="s">
        <v>8954</v>
      </c>
      <c r="F2842" s="173" t="s">
        <v>8955</v>
      </c>
      <c r="G2842" s="328" t="s">
        <v>673</v>
      </c>
      <c r="H2842" s="328" t="s">
        <v>2863</v>
      </c>
      <c r="I2842" s="258" t="s">
        <v>8956</v>
      </c>
      <c r="J2842" s="259" t="s">
        <v>2839</v>
      </c>
      <c r="K2842" s="260" t="s">
        <v>8755</v>
      </c>
      <c r="L2842" s="365"/>
      <c r="M2842" s="329"/>
      <c r="N2842" s="173" t="s">
        <v>679</v>
      </c>
      <c r="O2842" s="173" t="s">
        <v>225</v>
      </c>
      <c r="P2842" s="262" t="str">
        <f t="shared" si="1"/>
        <v>IN-BLR-ANANTA-GEN-4_M</v>
      </c>
      <c r="Q2842" s="173" t="s">
        <v>8963</v>
      </c>
      <c r="R2842" s="328" t="str">
        <f>IFS(C2842="","",C2842="n/a","N/A",LEN(C2842),Concatenate("{",char(34),"asset",char(34),":{",char(34),"guid",char(34),":",char(34),Q2842,char(34),",",char(34),"site",char(34),":",char(34),LOWER('2-Building'!$B$4),char(34),",",char(34),"name",char(34),":",char(34),LOWER(C2842),char(34),"}}"))</f>
        <v>{"asset":{"guid":"uuid://1006e230-6be1-43de-b40f-23b29a4b5ae6","site":"in-blr-ananta","name":"gen-4"}}</v>
      </c>
      <c r="S2842" s="366" t="s">
        <v>8581</v>
      </c>
      <c r="T2842" s="330"/>
      <c r="U2842" s="330"/>
      <c r="V2842" s="331"/>
      <c r="W2842" s="332"/>
      <c r="X2842" s="333"/>
      <c r="Y2842" s="33" t="s">
        <v>8076</v>
      </c>
      <c r="Z2842" s="368"/>
      <c r="AA2842" s="333"/>
      <c r="AB2842" s="258">
        <v>4.0</v>
      </c>
      <c r="AC2842" s="333"/>
      <c r="AD2842" s="329"/>
      <c r="AE2842" s="331"/>
      <c r="AF2842" s="336"/>
      <c r="AG2842" s="337"/>
      <c r="AH2842" s="333"/>
      <c r="AI2842" s="333"/>
      <c r="AJ2842" s="333"/>
      <c r="AK2842" s="333"/>
      <c r="AL2842" s="333"/>
      <c r="AM2842" s="338"/>
      <c r="AN2842" s="333"/>
      <c r="AO2842" s="333"/>
      <c r="AP2842" s="333"/>
      <c r="AQ2842" s="333"/>
      <c r="AR2842" s="333"/>
      <c r="AS2842" s="333"/>
      <c r="AT2842" s="333"/>
      <c r="AU2842" s="329"/>
      <c r="AV2842" s="341"/>
      <c r="AW2842" s="269" t="s">
        <v>1804</v>
      </c>
      <c r="AX2842" s="269" t="s">
        <v>2869</v>
      </c>
      <c r="AY2842" s="270" t="s">
        <v>695</v>
      </c>
      <c r="AZ2842" s="379"/>
      <c r="BA2842" s="173">
        <v>10.0</v>
      </c>
      <c r="BB2842" s="367"/>
      <c r="BC2842" s="341"/>
      <c r="BD2842" s="308"/>
      <c r="BE2842" s="378"/>
      <c r="BF2842" s="274" t="str">
        <f>IFERROR(__xludf.DUMMYFUNCTION("LOWER(Regexreplace(to_text(E2842),""[^A-Za-z0-9]"","""")&amp;""_""&amp;Regexreplace(to_text(F2842),""[^A-Za-z0-9]"",""""))"),"cummins_commandcontroller")</f>
        <v>cummins_commandcontroller</v>
      </c>
      <c r="BG2842" s="275" t="str">
        <f>IFERROR(__xludf.DUMMYFUNCTION("upper(Regexreplace(to_text(E2842),""[^A-Za-z0-9]"","""")&amp;""-""&amp;Regexreplace(to_text(F2842),""[^A-Za-z0-9]"",""""))"),"CUMMINS-COMMANDCONTROLLER")</f>
        <v>CUMMINS-COMMANDCONTROLLER</v>
      </c>
    </row>
    <row r="2843" ht="30.0" customHeight="1">
      <c r="A2843" s="258"/>
      <c r="B2843" s="328" t="s">
        <v>670</v>
      </c>
      <c r="C2843" s="257" t="s">
        <v>8964</v>
      </c>
      <c r="D2843" s="173" t="s">
        <v>8964</v>
      </c>
      <c r="E2843" s="174" t="s">
        <v>8954</v>
      </c>
      <c r="F2843" s="173" t="s">
        <v>8955</v>
      </c>
      <c r="G2843" s="328" t="s">
        <v>673</v>
      </c>
      <c r="H2843" s="328" t="s">
        <v>2863</v>
      </c>
      <c r="I2843" s="258" t="s">
        <v>8956</v>
      </c>
      <c r="J2843" s="259" t="s">
        <v>2839</v>
      </c>
      <c r="K2843" s="260" t="s">
        <v>8755</v>
      </c>
      <c r="L2843" s="365"/>
      <c r="M2843" s="329"/>
      <c r="N2843" s="173" t="s">
        <v>679</v>
      </c>
      <c r="O2843" s="173" t="s">
        <v>225</v>
      </c>
      <c r="P2843" s="262" t="str">
        <f t="shared" si="1"/>
        <v>IN-BLR-ANANTA-GEN-5_M</v>
      </c>
      <c r="Q2843" s="173" t="s">
        <v>8965</v>
      </c>
      <c r="R2843" s="328" t="str">
        <f>IFS(C2843="","",C2843="n/a","N/A",LEN(C2843),Concatenate("{",char(34),"asset",char(34),":{",char(34),"guid",char(34),":",char(34),Q2843,char(34),",",char(34),"site",char(34),":",char(34),LOWER('2-Building'!$B$4),char(34),",",char(34),"name",char(34),":",char(34),LOWER(C2843),char(34),"}}"))</f>
        <v>{"asset":{"guid":"uuid://3423f0fd-06d9-4e92-8bb1-4ad9d74ffc90","site":"in-blr-ananta","name":"gen-5"}}</v>
      </c>
      <c r="S2843" s="366" t="s">
        <v>8581</v>
      </c>
      <c r="T2843" s="330"/>
      <c r="U2843" s="330"/>
      <c r="V2843" s="331"/>
      <c r="W2843" s="332"/>
      <c r="X2843" s="333"/>
      <c r="Y2843" s="33" t="s">
        <v>8076</v>
      </c>
      <c r="Z2843" s="368"/>
      <c r="AA2843" s="333"/>
      <c r="AB2843" s="258">
        <v>5.0</v>
      </c>
      <c r="AC2843" s="333"/>
      <c r="AD2843" s="329"/>
      <c r="AE2843" s="331"/>
      <c r="AF2843" s="336"/>
      <c r="AG2843" s="337"/>
      <c r="AH2843" s="333"/>
      <c r="AI2843" s="333"/>
      <c r="AJ2843" s="333"/>
      <c r="AK2843" s="333"/>
      <c r="AL2843" s="333"/>
      <c r="AM2843" s="338"/>
      <c r="AN2843" s="333"/>
      <c r="AO2843" s="333"/>
      <c r="AP2843" s="333"/>
      <c r="AQ2843" s="333"/>
      <c r="AR2843" s="333"/>
      <c r="AS2843" s="333"/>
      <c r="AT2843" s="333"/>
      <c r="AU2843" s="329"/>
      <c r="AV2843" s="341"/>
      <c r="AW2843" s="269" t="s">
        <v>1804</v>
      </c>
      <c r="AX2843" s="269" t="s">
        <v>2869</v>
      </c>
      <c r="AY2843" s="270" t="s">
        <v>695</v>
      </c>
      <c r="AZ2843" s="379"/>
      <c r="BA2843" s="173">
        <v>10.0</v>
      </c>
      <c r="BB2843" s="367"/>
      <c r="BC2843" s="341"/>
      <c r="BD2843" s="308"/>
      <c r="BE2843" s="378"/>
      <c r="BF2843" s="274" t="str">
        <f>IFERROR(__xludf.DUMMYFUNCTION("LOWER(Regexreplace(to_text(E2843),""[^A-Za-z0-9]"","""")&amp;""_""&amp;Regexreplace(to_text(F2843),""[^A-Za-z0-9]"",""""))"),"cummins_commandcontroller")</f>
        <v>cummins_commandcontroller</v>
      </c>
      <c r="BG2843" s="275" t="str">
        <f>IFERROR(__xludf.DUMMYFUNCTION("upper(Regexreplace(to_text(E2843),""[^A-Za-z0-9]"","""")&amp;""-""&amp;Regexreplace(to_text(F2843),""[^A-Za-z0-9]"",""""))"),"CUMMINS-COMMANDCONTROLLER")</f>
        <v>CUMMINS-COMMANDCONTROLLER</v>
      </c>
    </row>
    <row r="2844" ht="30.0" customHeight="1">
      <c r="A2844" s="258"/>
      <c r="B2844" s="328" t="s">
        <v>670</v>
      </c>
      <c r="C2844" s="257" t="s">
        <v>8966</v>
      </c>
      <c r="D2844" s="173" t="s">
        <v>8966</v>
      </c>
      <c r="E2844" s="174" t="s">
        <v>8954</v>
      </c>
      <c r="F2844" s="173" t="s">
        <v>8955</v>
      </c>
      <c r="G2844" s="328" t="s">
        <v>673</v>
      </c>
      <c r="H2844" s="328" t="s">
        <v>2863</v>
      </c>
      <c r="I2844" s="258" t="s">
        <v>8956</v>
      </c>
      <c r="J2844" s="259" t="s">
        <v>2839</v>
      </c>
      <c r="K2844" s="260" t="s">
        <v>8755</v>
      </c>
      <c r="L2844" s="365"/>
      <c r="M2844" s="329"/>
      <c r="N2844" s="173" t="s">
        <v>679</v>
      </c>
      <c r="O2844" s="173" t="s">
        <v>225</v>
      </c>
      <c r="P2844" s="262" t="str">
        <f t="shared" si="1"/>
        <v>IN-BLR-ANANTA-GEN-6_M</v>
      </c>
      <c r="Q2844" s="173" t="s">
        <v>8967</v>
      </c>
      <c r="R2844" s="328" t="str">
        <f>IFS(C2844="","",C2844="n/a","N/A",LEN(C2844),Concatenate("{",char(34),"asset",char(34),":{",char(34),"guid",char(34),":",char(34),Q2844,char(34),",",char(34),"site",char(34),":",char(34),LOWER('2-Building'!$B$4),char(34),",",char(34),"name",char(34),":",char(34),LOWER(C2844),char(34),"}}"))</f>
        <v>{"asset":{"guid":"uuid://12719ad4-4082-41be-8fcf-f0b4c23711ea","site":"in-blr-ananta","name":"gen-6"}}</v>
      </c>
      <c r="S2844" s="366" t="s">
        <v>8581</v>
      </c>
      <c r="T2844" s="330"/>
      <c r="U2844" s="330"/>
      <c r="V2844" s="331"/>
      <c r="W2844" s="332"/>
      <c r="X2844" s="333"/>
      <c r="Y2844" s="33" t="s">
        <v>8076</v>
      </c>
      <c r="Z2844" s="368"/>
      <c r="AA2844" s="333"/>
      <c r="AB2844" s="258">
        <v>6.0</v>
      </c>
      <c r="AC2844" s="333"/>
      <c r="AD2844" s="329"/>
      <c r="AE2844" s="331"/>
      <c r="AF2844" s="336"/>
      <c r="AG2844" s="337"/>
      <c r="AH2844" s="333"/>
      <c r="AI2844" s="333"/>
      <c r="AJ2844" s="333"/>
      <c r="AK2844" s="333"/>
      <c r="AL2844" s="333"/>
      <c r="AM2844" s="338"/>
      <c r="AN2844" s="333"/>
      <c r="AO2844" s="333"/>
      <c r="AP2844" s="333"/>
      <c r="AQ2844" s="333"/>
      <c r="AR2844" s="333"/>
      <c r="AS2844" s="333"/>
      <c r="AT2844" s="333"/>
      <c r="AU2844" s="329"/>
      <c r="AV2844" s="341"/>
      <c r="AW2844" s="269" t="s">
        <v>1804</v>
      </c>
      <c r="AX2844" s="269" t="s">
        <v>2869</v>
      </c>
      <c r="AY2844" s="270" t="s">
        <v>695</v>
      </c>
      <c r="AZ2844" s="379"/>
      <c r="BA2844" s="173">
        <v>10.0</v>
      </c>
      <c r="BB2844" s="367"/>
      <c r="BC2844" s="341"/>
      <c r="BD2844" s="308"/>
      <c r="BE2844" s="378"/>
      <c r="BF2844" s="274" t="str">
        <f>IFERROR(__xludf.DUMMYFUNCTION("LOWER(Regexreplace(to_text(E2844),""[^A-Za-z0-9]"","""")&amp;""_""&amp;Regexreplace(to_text(F2844),""[^A-Za-z0-9]"",""""))"),"cummins_commandcontroller")</f>
        <v>cummins_commandcontroller</v>
      </c>
      <c r="BG2844" s="275" t="str">
        <f>IFERROR(__xludf.DUMMYFUNCTION("upper(Regexreplace(to_text(E2844),""[^A-Za-z0-9]"","""")&amp;""-""&amp;Regexreplace(to_text(F2844),""[^A-Za-z0-9]"",""""))"),"CUMMINS-COMMANDCONTROLLER")</f>
        <v>CUMMINS-COMMANDCONTROLLER</v>
      </c>
    </row>
    <row r="2845" ht="30.0" customHeight="1">
      <c r="A2845" s="258"/>
      <c r="B2845" s="328" t="s">
        <v>670</v>
      </c>
      <c r="C2845" s="257" t="s">
        <v>8968</v>
      </c>
      <c r="D2845" s="173" t="s">
        <v>8968</v>
      </c>
      <c r="E2845" s="174" t="s">
        <v>8954</v>
      </c>
      <c r="F2845" s="173" t="s">
        <v>8955</v>
      </c>
      <c r="G2845" s="328" t="s">
        <v>673</v>
      </c>
      <c r="H2845" s="328" t="s">
        <v>2863</v>
      </c>
      <c r="I2845" s="258" t="s">
        <v>8956</v>
      </c>
      <c r="J2845" s="259" t="s">
        <v>2839</v>
      </c>
      <c r="K2845" s="260" t="s">
        <v>8755</v>
      </c>
      <c r="L2845" s="365"/>
      <c r="M2845" s="329"/>
      <c r="N2845" s="173" t="s">
        <v>679</v>
      </c>
      <c r="O2845" s="173" t="s">
        <v>225</v>
      </c>
      <c r="P2845" s="262" t="str">
        <f t="shared" si="1"/>
        <v>IN-BLR-ANANTA-GEN-7_M</v>
      </c>
      <c r="Q2845" s="173" t="s">
        <v>8969</v>
      </c>
      <c r="R2845" s="328" t="str">
        <f>IFS(C2845="","",C2845="n/a","N/A",LEN(C2845),Concatenate("{",char(34),"asset",char(34),":{",char(34),"guid",char(34),":",char(34),Q2845,char(34),",",char(34),"site",char(34),":",char(34),LOWER('2-Building'!$B$4),char(34),",",char(34),"name",char(34),":",char(34),LOWER(C2845),char(34),"}}"))</f>
        <v>{"asset":{"guid":"uuid://39c9406e-152b-459c-9cba-10615869a610","site":"in-blr-ananta","name":"gen-7"}}</v>
      </c>
      <c r="S2845" s="366" t="s">
        <v>8581</v>
      </c>
      <c r="T2845" s="330"/>
      <c r="U2845" s="330"/>
      <c r="V2845" s="331"/>
      <c r="W2845" s="332"/>
      <c r="X2845" s="333"/>
      <c r="Y2845" s="33" t="s">
        <v>8076</v>
      </c>
      <c r="Z2845" s="368"/>
      <c r="AA2845" s="333"/>
      <c r="AB2845" s="258">
        <v>7.0</v>
      </c>
      <c r="AC2845" s="333"/>
      <c r="AD2845" s="329"/>
      <c r="AE2845" s="331"/>
      <c r="AF2845" s="336"/>
      <c r="AG2845" s="337"/>
      <c r="AH2845" s="333"/>
      <c r="AI2845" s="333"/>
      <c r="AJ2845" s="333"/>
      <c r="AK2845" s="333"/>
      <c r="AL2845" s="333"/>
      <c r="AM2845" s="338"/>
      <c r="AN2845" s="333"/>
      <c r="AO2845" s="333"/>
      <c r="AP2845" s="333"/>
      <c r="AQ2845" s="333"/>
      <c r="AR2845" s="333"/>
      <c r="AS2845" s="333"/>
      <c r="AT2845" s="333"/>
      <c r="AU2845" s="329"/>
      <c r="AV2845" s="341"/>
      <c r="AW2845" s="269" t="s">
        <v>1804</v>
      </c>
      <c r="AX2845" s="269" t="s">
        <v>2869</v>
      </c>
      <c r="AY2845" s="270" t="s">
        <v>695</v>
      </c>
      <c r="AZ2845" s="379"/>
      <c r="BA2845" s="173">
        <v>10.0</v>
      </c>
      <c r="BB2845" s="367"/>
      <c r="BC2845" s="341"/>
      <c r="BD2845" s="308"/>
      <c r="BE2845" s="378"/>
      <c r="BF2845" s="274" t="str">
        <f>IFERROR(__xludf.DUMMYFUNCTION("LOWER(Regexreplace(to_text(E2845),""[^A-Za-z0-9]"","""")&amp;""_""&amp;Regexreplace(to_text(F2845),""[^A-Za-z0-9]"",""""))"),"cummins_commandcontroller")</f>
        <v>cummins_commandcontroller</v>
      </c>
      <c r="BG2845" s="275" t="str">
        <f>IFERROR(__xludf.DUMMYFUNCTION("upper(Regexreplace(to_text(E2845),""[^A-Za-z0-9]"","""")&amp;""-""&amp;Regexreplace(to_text(F2845),""[^A-Za-z0-9]"",""""))"),"CUMMINS-COMMANDCONTROLLER")</f>
        <v>CUMMINS-COMMANDCONTROLLER</v>
      </c>
    </row>
    <row r="2846" ht="30.0" customHeight="1">
      <c r="A2846" s="258"/>
      <c r="B2846" s="328" t="s">
        <v>670</v>
      </c>
      <c r="C2846" s="257" t="s">
        <v>8970</v>
      </c>
      <c r="D2846" s="173" t="s">
        <v>8970</v>
      </c>
      <c r="E2846" s="174" t="s">
        <v>8954</v>
      </c>
      <c r="F2846" s="173" t="s">
        <v>8955</v>
      </c>
      <c r="G2846" s="328" t="s">
        <v>673</v>
      </c>
      <c r="H2846" s="328" t="s">
        <v>2863</v>
      </c>
      <c r="I2846" s="258" t="s">
        <v>8956</v>
      </c>
      <c r="J2846" s="259" t="s">
        <v>2839</v>
      </c>
      <c r="K2846" s="260" t="s">
        <v>8755</v>
      </c>
      <c r="L2846" s="365"/>
      <c r="M2846" s="329"/>
      <c r="N2846" s="173" t="s">
        <v>679</v>
      </c>
      <c r="O2846" s="173" t="s">
        <v>225</v>
      </c>
      <c r="P2846" s="262" t="str">
        <f t="shared" si="1"/>
        <v>IN-BLR-ANANTA-GEN-8_M</v>
      </c>
      <c r="Q2846" s="173" t="s">
        <v>8971</v>
      </c>
      <c r="R2846" s="328" t="str">
        <f>IFS(C2846="","",C2846="n/a","N/A",LEN(C2846),Concatenate("{",char(34),"asset",char(34),":{",char(34),"guid",char(34),":",char(34),Q2846,char(34),",",char(34),"site",char(34),":",char(34),LOWER('2-Building'!$B$4),char(34),",",char(34),"name",char(34),":",char(34),LOWER(C2846),char(34),"}}"))</f>
        <v>{"asset":{"guid":"uuid://1a2c5f5e-207f-426a-965e-92b6c411336c","site":"in-blr-ananta","name":"gen-8"}}</v>
      </c>
      <c r="S2846" s="366" t="s">
        <v>8581</v>
      </c>
      <c r="T2846" s="330"/>
      <c r="U2846" s="330"/>
      <c r="V2846" s="331"/>
      <c r="W2846" s="332"/>
      <c r="X2846" s="333"/>
      <c r="Y2846" s="33" t="s">
        <v>8076</v>
      </c>
      <c r="Z2846" s="368"/>
      <c r="AA2846" s="333"/>
      <c r="AB2846" s="258">
        <v>8.0</v>
      </c>
      <c r="AC2846" s="333"/>
      <c r="AD2846" s="329"/>
      <c r="AE2846" s="331"/>
      <c r="AF2846" s="336"/>
      <c r="AG2846" s="337"/>
      <c r="AH2846" s="333"/>
      <c r="AI2846" s="333"/>
      <c r="AJ2846" s="333"/>
      <c r="AK2846" s="333"/>
      <c r="AL2846" s="333"/>
      <c r="AM2846" s="338"/>
      <c r="AN2846" s="333"/>
      <c r="AO2846" s="333"/>
      <c r="AP2846" s="333"/>
      <c r="AQ2846" s="333"/>
      <c r="AR2846" s="333"/>
      <c r="AS2846" s="333"/>
      <c r="AT2846" s="333"/>
      <c r="AU2846" s="329"/>
      <c r="AV2846" s="341"/>
      <c r="AW2846" s="269" t="s">
        <v>1804</v>
      </c>
      <c r="AX2846" s="269" t="s">
        <v>2869</v>
      </c>
      <c r="AY2846" s="270" t="s">
        <v>695</v>
      </c>
      <c r="AZ2846" s="379"/>
      <c r="BA2846" s="173">
        <v>10.0</v>
      </c>
      <c r="BB2846" s="367"/>
      <c r="BC2846" s="341"/>
      <c r="BD2846" s="308"/>
      <c r="BE2846" s="378"/>
      <c r="BF2846" s="274" t="str">
        <f>IFERROR(__xludf.DUMMYFUNCTION("LOWER(Regexreplace(to_text(E2846),""[^A-Za-z0-9]"","""")&amp;""_""&amp;Regexreplace(to_text(F2846),""[^A-Za-z0-9]"",""""))"),"cummins_commandcontroller")</f>
        <v>cummins_commandcontroller</v>
      </c>
      <c r="BG2846" s="275" t="str">
        <f>IFERROR(__xludf.DUMMYFUNCTION("upper(Regexreplace(to_text(E2846),""[^A-Za-z0-9]"","""")&amp;""-""&amp;Regexreplace(to_text(F2846),""[^A-Za-z0-9]"",""""))"),"CUMMINS-COMMANDCONTROLLER")</f>
        <v>CUMMINS-COMMANDCONTROLLER</v>
      </c>
    </row>
    <row r="2847" ht="30.0" customHeight="1">
      <c r="A2847" s="258"/>
      <c r="B2847" s="328" t="s">
        <v>670</v>
      </c>
      <c r="C2847" s="257" t="s">
        <v>8972</v>
      </c>
      <c r="D2847" s="173" t="s">
        <v>8972</v>
      </c>
      <c r="E2847" s="174" t="s">
        <v>8954</v>
      </c>
      <c r="F2847" s="173" t="s">
        <v>8955</v>
      </c>
      <c r="G2847" s="328" t="s">
        <v>673</v>
      </c>
      <c r="H2847" s="328" t="s">
        <v>2863</v>
      </c>
      <c r="I2847" s="258" t="s">
        <v>8956</v>
      </c>
      <c r="J2847" s="259" t="s">
        <v>2839</v>
      </c>
      <c r="K2847" s="260" t="s">
        <v>8755</v>
      </c>
      <c r="L2847" s="365"/>
      <c r="M2847" s="329"/>
      <c r="N2847" s="173" t="s">
        <v>679</v>
      </c>
      <c r="O2847" s="173" t="s">
        <v>225</v>
      </c>
      <c r="P2847" s="262" t="str">
        <f t="shared" si="1"/>
        <v>IN-BLR-ANANTA-GEN-9_M</v>
      </c>
      <c r="Q2847" s="173" t="s">
        <v>8973</v>
      </c>
      <c r="R2847" s="328" t="str">
        <f>IFS(C2847="","",C2847="n/a","N/A",LEN(C2847),Concatenate("{",char(34),"asset",char(34),":{",char(34),"guid",char(34),":",char(34),Q2847,char(34),",",char(34),"site",char(34),":",char(34),LOWER('2-Building'!$B$4),char(34),",",char(34),"name",char(34),":",char(34),LOWER(C2847),char(34),"}}"))</f>
        <v>{"asset":{"guid":"uuid://ad249d54-1190-4c00-ad65-fe772e30e24f","site":"in-blr-ananta","name":"gen-9"}}</v>
      </c>
      <c r="S2847" s="366" t="s">
        <v>8581</v>
      </c>
      <c r="T2847" s="330"/>
      <c r="U2847" s="330"/>
      <c r="V2847" s="331"/>
      <c r="W2847" s="332"/>
      <c r="X2847" s="333"/>
      <c r="Y2847" s="33" t="s">
        <v>8076</v>
      </c>
      <c r="Z2847" s="368"/>
      <c r="AA2847" s="333"/>
      <c r="AB2847" s="258">
        <v>9.0</v>
      </c>
      <c r="AC2847" s="333"/>
      <c r="AD2847" s="329"/>
      <c r="AE2847" s="331"/>
      <c r="AF2847" s="336"/>
      <c r="AG2847" s="337"/>
      <c r="AH2847" s="333"/>
      <c r="AI2847" s="333"/>
      <c r="AJ2847" s="333"/>
      <c r="AK2847" s="333"/>
      <c r="AL2847" s="333"/>
      <c r="AM2847" s="338"/>
      <c r="AN2847" s="333"/>
      <c r="AO2847" s="333"/>
      <c r="AP2847" s="333"/>
      <c r="AQ2847" s="333"/>
      <c r="AR2847" s="333"/>
      <c r="AS2847" s="333"/>
      <c r="AT2847" s="333"/>
      <c r="AU2847" s="329"/>
      <c r="AV2847" s="341"/>
      <c r="AW2847" s="269" t="s">
        <v>1804</v>
      </c>
      <c r="AX2847" s="269" t="s">
        <v>2869</v>
      </c>
      <c r="AY2847" s="270" t="s">
        <v>695</v>
      </c>
      <c r="AZ2847" s="379"/>
      <c r="BA2847" s="173">
        <v>10.0</v>
      </c>
      <c r="BB2847" s="367"/>
      <c r="BC2847" s="341"/>
      <c r="BD2847" s="308"/>
      <c r="BE2847" s="378"/>
      <c r="BF2847" s="274" t="str">
        <f>IFERROR(__xludf.DUMMYFUNCTION("LOWER(Regexreplace(to_text(E2847),""[^A-Za-z0-9]"","""")&amp;""_""&amp;Regexreplace(to_text(F2847),""[^A-Za-z0-9]"",""""))"),"cummins_commandcontroller")</f>
        <v>cummins_commandcontroller</v>
      </c>
      <c r="BG2847" s="275" t="str">
        <f>IFERROR(__xludf.DUMMYFUNCTION("upper(Regexreplace(to_text(E2847),""[^A-Za-z0-9]"","""")&amp;""-""&amp;Regexreplace(to_text(F2847),""[^A-Za-z0-9]"",""""))"),"CUMMINS-COMMANDCONTROLLER")</f>
        <v>CUMMINS-COMMANDCONTROLLER</v>
      </c>
    </row>
    <row r="2848" ht="30.0" customHeight="1">
      <c r="A2848" s="258"/>
      <c r="B2848" s="328" t="s">
        <v>670</v>
      </c>
      <c r="C2848" s="257" t="s">
        <v>8974</v>
      </c>
      <c r="D2848" s="173" t="s">
        <v>8974</v>
      </c>
      <c r="E2848" s="174"/>
      <c r="F2848" s="173"/>
      <c r="G2848" s="328" t="s">
        <v>673</v>
      </c>
      <c r="H2848" s="328" t="s">
        <v>2863</v>
      </c>
      <c r="I2848" s="258" t="s">
        <v>8975</v>
      </c>
      <c r="J2848" s="259" t="s">
        <v>2839</v>
      </c>
      <c r="K2848" s="260" t="s">
        <v>8755</v>
      </c>
      <c r="L2848" s="365"/>
      <c r="M2848" s="329"/>
      <c r="N2848" s="173" t="s">
        <v>679</v>
      </c>
      <c r="O2848" s="173" t="s">
        <v>225</v>
      </c>
      <c r="P2848" s="262" t="str">
        <f t="shared" si="1"/>
        <v>IN-BLR-ANANTA-TXMR-1_M</v>
      </c>
      <c r="Q2848" s="173" t="s">
        <v>8976</v>
      </c>
      <c r="R2848" s="328" t="str">
        <f>IFS(C2848="","",C2848="n/a","N/A",LEN(C2848),Concatenate("{",char(34),"asset",char(34),":{",char(34),"guid",char(34),":",char(34),Q2848,char(34),",",char(34),"site",char(34),":",char(34),LOWER('2-Building'!$B$4),char(34),",",char(34),"name",char(34),":",char(34),LOWER(C2848),char(34),"}}"))</f>
        <v>{"asset":{"guid":"uuid://35e2f67f-6e2c-4049-9264-90ccee52da05","site":"in-blr-ananta","name":"txmr-1"}}</v>
      </c>
      <c r="S2848" s="366" t="s">
        <v>8581</v>
      </c>
      <c r="T2848" s="330"/>
      <c r="U2848" s="330"/>
      <c r="V2848" s="331"/>
      <c r="W2848" s="332"/>
      <c r="X2848" s="333"/>
      <c r="Y2848" s="33" t="s">
        <v>8076</v>
      </c>
      <c r="Z2848" s="368"/>
      <c r="AA2848" s="333"/>
      <c r="AB2848" s="258">
        <v>1.0</v>
      </c>
      <c r="AC2848" s="333"/>
      <c r="AD2848" s="329"/>
      <c r="AE2848" s="331"/>
      <c r="AF2848" s="336"/>
      <c r="AG2848" s="337"/>
      <c r="AH2848" s="333"/>
      <c r="AI2848" s="333"/>
      <c r="AJ2848" s="333"/>
      <c r="AK2848" s="333"/>
      <c r="AL2848" s="333"/>
      <c r="AM2848" s="338"/>
      <c r="AN2848" s="333"/>
      <c r="AO2848" s="333"/>
      <c r="AP2848" s="333"/>
      <c r="AQ2848" s="333"/>
      <c r="AR2848" s="333"/>
      <c r="AS2848" s="333"/>
      <c r="AT2848" s="333"/>
      <c r="AU2848" s="329"/>
      <c r="AV2848" s="341"/>
      <c r="AW2848" s="269" t="s">
        <v>1781</v>
      </c>
      <c r="AX2848" s="269" t="s">
        <v>2869</v>
      </c>
      <c r="AY2848" s="270" t="s">
        <v>695</v>
      </c>
      <c r="AZ2848" s="379"/>
      <c r="BA2848" s="173">
        <v>10.0</v>
      </c>
      <c r="BB2848" s="367"/>
      <c r="BC2848" s="341"/>
      <c r="BD2848" s="308" t="s">
        <v>1844</v>
      </c>
      <c r="BE2848" s="378" t="s">
        <v>8977</v>
      </c>
      <c r="BF2848" s="274" t="str">
        <f>IFERROR(__xludf.DUMMYFUNCTION("LOWER(Regexreplace(to_text(E2848),""[^A-Za-z0-9]"","""")&amp;""_""&amp;Regexreplace(to_text(F2848),""[^A-Za-z0-9]"",""""))"),"_")</f>
        <v>_</v>
      </c>
      <c r="BG2848" s="275" t="str">
        <f>IFERROR(__xludf.DUMMYFUNCTION("upper(Regexreplace(to_text(E2848),""[^A-Za-z0-9]"","""")&amp;""-""&amp;Regexreplace(to_text(F2848),""[^A-Za-z0-9]"",""""))"),"-")</f>
        <v>-</v>
      </c>
    </row>
    <row r="2849" ht="30.0" customHeight="1">
      <c r="A2849" s="258"/>
      <c r="B2849" s="328" t="s">
        <v>670</v>
      </c>
      <c r="C2849" s="257" t="s">
        <v>8978</v>
      </c>
      <c r="D2849" s="173" t="s">
        <v>8978</v>
      </c>
      <c r="E2849" s="174"/>
      <c r="F2849" s="173"/>
      <c r="G2849" s="328" t="s">
        <v>673</v>
      </c>
      <c r="H2849" s="328" t="s">
        <v>2863</v>
      </c>
      <c r="I2849" s="258" t="s">
        <v>8975</v>
      </c>
      <c r="J2849" s="259" t="s">
        <v>2839</v>
      </c>
      <c r="K2849" s="260" t="s">
        <v>8755</v>
      </c>
      <c r="L2849" s="365"/>
      <c r="M2849" s="329"/>
      <c r="N2849" s="173" t="s">
        <v>679</v>
      </c>
      <c r="O2849" s="173" t="s">
        <v>225</v>
      </c>
      <c r="P2849" s="262" t="str">
        <f t="shared" si="1"/>
        <v>IN-BLR-ANANTA-TXMR-2_M</v>
      </c>
      <c r="Q2849" s="173" t="s">
        <v>8979</v>
      </c>
      <c r="R2849" s="328" t="str">
        <f>IFS(C2849="","",C2849="n/a","N/A",LEN(C2849),Concatenate("{",char(34),"asset",char(34),":{",char(34),"guid",char(34),":",char(34),Q2849,char(34),",",char(34),"site",char(34),":",char(34),LOWER('2-Building'!$B$4),char(34),",",char(34),"name",char(34),":",char(34),LOWER(C2849),char(34),"}}"))</f>
        <v>{"asset":{"guid":"uuid://43ded273-c6ad-45f5-8300-d0378f88f12a","site":"in-blr-ananta","name":"txmr-2"}}</v>
      </c>
      <c r="S2849" s="366" t="s">
        <v>8581</v>
      </c>
      <c r="T2849" s="330"/>
      <c r="U2849" s="330"/>
      <c r="V2849" s="331"/>
      <c r="W2849" s="332"/>
      <c r="X2849" s="333"/>
      <c r="Y2849" s="33" t="s">
        <v>8076</v>
      </c>
      <c r="Z2849" s="368"/>
      <c r="AA2849" s="333"/>
      <c r="AB2849" s="258">
        <v>2.0</v>
      </c>
      <c r="AC2849" s="333"/>
      <c r="AD2849" s="329"/>
      <c r="AE2849" s="331"/>
      <c r="AF2849" s="336"/>
      <c r="AG2849" s="337"/>
      <c r="AH2849" s="333"/>
      <c r="AI2849" s="333"/>
      <c r="AJ2849" s="333"/>
      <c r="AK2849" s="333"/>
      <c r="AL2849" s="333"/>
      <c r="AM2849" s="338"/>
      <c r="AN2849" s="333"/>
      <c r="AO2849" s="333"/>
      <c r="AP2849" s="333"/>
      <c r="AQ2849" s="333"/>
      <c r="AR2849" s="333"/>
      <c r="AS2849" s="333"/>
      <c r="AT2849" s="333"/>
      <c r="AU2849" s="329"/>
      <c r="AV2849" s="341"/>
      <c r="AW2849" s="269" t="s">
        <v>1781</v>
      </c>
      <c r="AX2849" s="269" t="s">
        <v>2869</v>
      </c>
      <c r="AY2849" s="270" t="s">
        <v>695</v>
      </c>
      <c r="AZ2849" s="379"/>
      <c r="BA2849" s="173">
        <v>10.0</v>
      </c>
      <c r="BB2849" s="367"/>
      <c r="BC2849" s="341"/>
      <c r="BD2849" s="308" t="s">
        <v>1844</v>
      </c>
      <c r="BE2849" s="378" t="s">
        <v>8977</v>
      </c>
      <c r="BF2849" s="274" t="str">
        <f>IFERROR(__xludf.DUMMYFUNCTION("LOWER(Regexreplace(to_text(E2849),""[^A-Za-z0-9]"","""")&amp;""_""&amp;Regexreplace(to_text(F2849),""[^A-Za-z0-9]"",""""))"),"_")</f>
        <v>_</v>
      </c>
      <c r="BG2849" s="275" t="str">
        <f>IFERROR(__xludf.DUMMYFUNCTION("upper(Regexreplace(to_text(E2849),""[^A-Za-z0-9]"","""")&amp;""-""&amp;Regexreplace(to_text(F2849),""[^A-Za-z0-9]"",""""))"),"-")</f>
        <v>-</v>
      </c>
    </row>
    <row r="2850" ht="30.0" customHeight="1">
      <c r="A2850" s="258"/>
      <c r="B2850" s="328" t="s">
        <v>670</v>
      </c>
      <c r="C2850" s="257" t="s">
        <v>8980</v>
      </c>
      <c r="D2850" s="173" t="s">
        <v>8980</v>
      </c>
      <c r="E2850" s="174"/>
      <c r="F2850" s="173"/>
      <c r="G2850" s="328" t="s">
        <v>673</v>
      </c>
      <c r="H2850" s="328" t="s">
        <v>2863</v>
      </c>
      <c r="I2850" s="258" t="s">
        <v>8975</v>
      </c>
      <c r="J2850" s="259" t="s">
        <v>739</v>
      </c>
      <c r="K2850" s="260" t="s">
        <v>8087</v>
      </c>
      <c r="L2850" s="365"/>
      <c r="M2850" s="329"/>
      <c r="N2850" s="173" t="s">
        <v>679</v>
      </c>
      <c r="O2850" s="173" t="s">
        <v>225</v>
      </c>
      <c r="P2850" s="262" t="str">
        <f t="shared" si="1"/>
        <v>IN-BLR-ANANTA-TXMR-3_G</v>
      </c>
      <c r="Q2850" s="173" t="s">
        <v>8981</v>
      </c>
      <c r="R2850" s="328" t="str">
        <f>IFS(C2850="","",C2850="n/a","N/A",LEN(C2850),Concatenate("{",char(34),"asset",char(34),":{",char(34),"guid",char(34),":",char(34),Q2850,char(34),",",char(34),"site",char(34),":",char(34),LOWER('2-Building'!$B$4),char(34),",",char(34),"name",char(34),":",char(34),LOWER(C2850),char(34),"}}"))</f>
        <v>{"asset":{"guid":"uuid://edb588ff-a915-4af6-a6f8-df4d2f7e545a","site":"in-blr-ananta","name":"txmr-3"}}</v>
      </c>
      <c r="S2850" s="366" t="s">
        <v>8581</v>
      </c>
      <c r="T2850" s="330"/>
      <c r="U2850" s="330"/>
      <c r="V2850" s="331"/>
      <c r="W2850" s="332"/>
      <c r="X2850" s="333"/>
      <c r="Y2850" s="33" t="s">
        <v>8076</v>
      </c>
      <c r="Z2850" s="368"/>
      <c r="AA2850" s="333"/>
      <c r="AB2850" s="258">
        <v>3.0</v>
      </c>
      <c r="AC2850" s="333"/>
      <c r="AD2850" s="329"/>
      <c r="AE2850" s="331"/>
      <c r="AF2850" s="336"/>
      <c r="AG2850" s="337"/>
      <c r="AH2850" s="333"/>
      <c r="AI2850" s="333"/>
      <c r="AJ2850" s="333"/>
      <c r="AK2850" s="333"/>
      <c r="AL2850" s="333"/>
      <c r="AM2850" s="338"/>
      <c r="AN2850" s="333"/>
      <c r="AO2850" s="333"/>
      <c r="AP2850" s="333"/>
      <c r="AQ2850" s="333"/>
      <c r="AR2850" s="333"/>
      <c r="AS2850" s="333"/>
      <c r="AT2850" s="333"/>
      <c r="AU2850" s="329"/>
      <c r="AV2850" s="341"/>
      <c r="AW2850" s="269" t="s">
        <v>1781</v>
      </c>
      <c r="AX2850" s="269" t="s">
        <v>2869</v>
      </c>
      <c r="AY2850" s="270" t="s">
        <v>695</v>
      </c>
      <c r="AZ2850" s="379"/>
      <c r="BA2850" s="173">
        <v>10.0</v>
      </c>
      <c r="BB2850" s="367"/>
      <c r="BC2850" s="341"/>
      <c r="BD2850" s="308" t="s">
        <v>1844</v>
      </c>
      <c r="BE2850" s="378" t="s">
        <v>8977</v>
      </c>
      <c r="BF2850" s="274" t="str">
        <f>IFERROR(__xludf.DUMMYFUNCTION("LOWER(Regexreplace(to_text(E2850),""[^A-Za-z0-9]"","""")&amp;""_""&amp;Regexreplace(to_text(F2850),""[^A-Za-z0-9]"",""""))"),"_")</f>
        <v>_</v>
      </c>
      <c r="BG2850" s="275" t="str">
        <f>IFERROR(__xludf.DUMMYFUNCTION("upper(Regexreplace(to_text(E2850),""[^A-Za-z0-9]"","""")&amp;""-""&amp;Regexreplace(to_text(F2850),""[^A-Za-z0-9]"",""""))"),"-")</f>
        <v>-</v>
      </c>
    </row>
    <row r="2851" ht="30.0" customHeight="1">
      <c r="A2851" s="258"/>
      <c r="B2851" s="328" t="s">
        <v>670</v>
      </c>
      <c r="C2851" s="257" t="s">
        <v>8982</v>
      </c>
      <c r="D2851" s="173" t="s">
        <v>8982</v>
      </c>
      <c r="E2851" s="174"/>
      <c r="F2851" s="173"/>
      <c r="G2851" s="328" t="s">
        <v>673</v>
      </c>
      <c r="H2851" s="328" t="s">
        <v>2863</v>
      </c>
      <c r="I2851" s="258" t="s">
        <v>8975</v>
      </c>
      <c r="J2851" s="259" t="s">
        <v>739</v>
      </c>
      <c r="K2851" s="260" t="s">
        <v>8087</v>
      </c>
      <c r="L2851" s="365"/>
      <c r="M2851" s="329"/>
      <c r="N2851" s="173" t="s">
        <v>679</v>
      </c>
      <c r="O2851" s="173" t="s">
        <v>225</v>
      </c>
      <c r="P2851" s="262" t="str">
        <f t="shared" si="1"/>
        <v>IN-BLR-ANANTA-TXMR-4_G</v>
      </c>
      <c r="Q2851" s="173" t="s">
        <v>8983</v>
      </c>
      <c r="R2851" s="328" t="str">
        <f>IFS(C2851="","",C2851="n/a","N/A",LEN(C2851),Concatenate("{",char(34),"asset",char(34),":{",char(34),"guid",char(34),":",char(34),Q2851,char(34),",",char(34),"site",char(34),":",char(34),LOWER('2-Building'!$B$4),char(34),",",char(34),"name",char(34),":",char(34),LOWER(C2851),char(34),"}}"))</f>
        <v>{"asset":{"guid":"uuid://563b6610-5a45-45a0-a6c6-988a59430d40","site":"in-blr-ananta","name":"txmr-4"}}</v>
      </c>
      <c r="S2851" s="366" t="s">
        <v>8581</v>
      </c>
      <c r="T2851" s="330"/>
      <c r="U2851" s="330"/>
      <c r="V2851" s="331"/>
      <c r="W2851" s="332"/>
      <c r="X2851" s="333"/>
      <c r="Y2851" s="33" t="s">
        <v>8076</v>
      </c>
      <c r="Z2851" s="368"/>
      <c r="AA2851" s="333"/>
      <c r="AB2851" s="258">
        <v>4.0</v>
      </c>
      <c r="AC2851" s="333"/>
      <c r="AD2851" s="329"/>
      <c r="AE2851" s="331"/>
      <c r="AF2851" s="336"/>
      <c r="AG2851" s="337"/>
      <c r="AH2851" s="333"/>
      <c r="AI2851" s="333"/>
      <c r="AJ2851" s="333"/>
      <c r="AK2851" s="333"/>
      <c r="AL2851" s="333"/>
      <c r="AM2851" s="338"/>
      <c r="AN2851" s="333"/>
      <c r="AO2851" s="333"/>
      <c r="AP2851" s="333"/>
      <c r="AQ2851" s="333"/>
      <c r="AR2851" s="333"/>
      <c r="AS2851" s="333"/>
      <c r="AT2851" s="333"/>
      <c r="AU2851" s="329"/>
      <c r="AV2851" s="341"/>
      <c r="AW2851" s="269" t="s">
        <v>1781</v>
      </c>
      <c r="AX2851" s="269" t="s">
        <v>2869</v>
      </c>
      <c r="AY2851" s="270" t="s">
        <v>695</v>
      </c>
      <c r="AZ2851" s="379"/>
      <c r="BA2851" s="173">
        <v>10.0</v>
      </c>
      <c r="BB2851" s="367"/>
      <c r="BC2851" s="341"/>
      <c r="BD2851" s="308" t="s">
        <v>1844</v>
      </c>
      <c r="BE2851" s="378" t="s">
        <v>8977</v>
      </c>
      <c r="BF2851" s="274" t="str">
        <f>IFERROR(__xludf.DUMMYFUNCTION("LOWER(Regexreplace(to_text(E2851),""[^A-Za-z0-9]"","""")&amp;""_""&amp;Regexreplace(to_text(F2851),""[^A-Za-z0-9]"",""""))"),"_")</f>
        <v>_</v>
      </c>
      <c r="BG2851" s="275" t="str">
        <f>IFERROR(__xludf.DUMMYFUNCTION("upper(Regexreplace(to_text(E2851),""[^A-Za-z0-9]"","""")&amp;""-""&amp;Regexreplace(to_text(F2851),""[^A-Za-z0-9]"",""""))"),"-")</f>
        <v>-</v>
      </c>
    </row>
    <row r="2852" ht="30.0" customHeight="1">
      <c r="A2852" s="258"/>
      <c r="B2852" s="328" t="s">
        <v>670</v>
      </c>
      <c r="C2852" s="257" t="s">
        <v>8984</v>
      </c>
      <c r="D2852" s="173" t="s">
        <v>8984</v>
      </c>
      <c r="E2852" s="174"/>
      <c r="F2852" s="173"/>
      <c r="G2852" s="328" t="s">
        <v>673</v>
      </c>
      <c r="H2852" s="328" t="s">
        <v>2863</v>
      </c>
      <c r="I2852" s="258" t="s">
        <v>8975</v>
      </c>
      <c r="J2852" s="259" t="s">
        <v>739</v>
      </c>
      <c r="K2852" s="260" t="s">
        <v>2894</v>
      </c>
      <c r="L2852" s="365"/>
      <c r="M2852" s="329"/>
      <c r="N2852" s="173" t="s">
        <v>679</v>
      </c>
      <c r="O2852" s="173" t="s">
        <v>225</v>
      </c>
      <c r="P2852" s="262" t="str">
        <f t="shared" si="1"/>
        <v>IN-BLR-ANANTA-TXMR-5_G</v>
      </c>
      <c r="Q2852" s="173" t="s">
        <v>8985</v>
      </c>
      <c r="R2852" s="328" t="str">
        <f>IFS(C2852="","",C2852="n/a","N/A",LEN(C2852),Concatenate("{",char(34),"asset",char(34),":{",char(34),"guid",char(34),":",char(34),Q2852,char(34),",",char(34),"site",char(34),":",char(34),LOWER('2-Building'!$B$4),char(34),",",char(34),"name",char(34),":",char(34),LOWER(C2852),char(34),"}}"))</f>
        <v>{"asset":{"guid":"uuid://0acf2ddf-072a-4add-97ef-7cd11451732f","site":"in-blr-ananta","name":"txmr-5"}}</v>
      </c>
      <c r="S2852" s="366" t="s">
        <v>8581</v>
      </c>
      <c r="T2852" s="330"/>
      <c r="U2852" s="330"/>
      <c r="V2852" s="331"/>
      <c r="W2852" s="332"/>
      <c r="X2852" s="333"/>
      <c r="Y2852" s="33" t="s">
        <v>8076</v>
      </c>
      <c r="Z2852" s="368"/>
      <c r="AA2852" s="333"/>
      <c r="AB2852" s="258">
        <v>5.0</v>
      </c>
      <c r="AC2852" s="333"/>
      <c r="AD2852" s="329"/>
      <c r="AE2852" s="331"/>
      <c r="AF2852" s="336"/>
      <c r="AG2852" s="337"/>
      <c r="AH2852" s="333"/>
      <c r="AI2852" s="333"/>
      <c r="AJ2852" s="333"/>
      <c r="AK2852" s="333"/>
      <c r="AL2852" s="333"/>
      <c r="AM2852" s="338"/>
      <c r="AN2852" s="333"/>
      <c r="AO2852" s="333"/>
      <c r="AP2852" s="333"/>
      <c r="AQ2852" s="333"/>
      <c r="AR2852" s="333"/>
      <c r="AS2852" s="333"/>
      <c r="AT2852" s="333"/>
      <c r="AU2852" s="329"/>
      <c r="AV2852" s="341"/>
      <c r="AW2852" s="269" t="s">
        <v>1781</v>
      </c>
      <c r="AX2852" s="269" t="s">
        <v>2869</v>
      </c>
      <c r="AY2852" s="270" t="s">
        <v>695</v>
      </c>
      <c r="AZ2852" s="379"/>
      <c r="BA2852" s="173">
        <v>10.0</v>
      </c>
      <c r="BB2852" s="367"/>
      <c r="BC2852" s="341"/>
      <c r="BD2852" s="308" t="s">
        <v>1844</v>
      </c>
      <c r="BE2852" s="378" t="s">
        <v>8977</v>
      </c>
      <c r="BF2852" s="274" t="str">
        <f>IFERROR(__xludf.DUMMYFUNCTION("LOWER(Regexreplace(to_text(E2852),""[^A-Za-z0-9]"","""")&amp;""_""&amp;Regexreplace(to_text(F2852),""[^A-Za-z0-9]"",""""))"),"_")</f>
        <v>_</v>
      </c>
      <c r="BG2852" s="275" t="str">
        <f>IFERROR(__xludf.DUMMYFUNCTION("upper(Regexreplace(to_text(E2852),""[^A-Za-z0-9]"","""")&amp;""-""&amp;Regexreplace(to_text(F2852),""[^A-Za-z0-9]"",""""))"),"-")</f>
        <v>-</v>
      </c>
    </row>
    <row r="2853" ht="30.0" customHeight="1">
      <c r="A2853" s="258"/>
      <c r="B2853" s="328" t="s">
        <v>670</v>
      </c>
      <c r="C2853" s="257" t="s">
        <v>8986</v>
      </c>
      <c r="D2853" s="173" t="s">
        <v>8986</v>
      </c>
      <c r="E2853" s="174"/>
      <c r="F2853" s="173"/>
      <c r="G2853" s="328" t="s">
        <v>673</v>
      </c>
      <c r="H2853" s="328" t="s">
        <v>2863</v>
      </c>
      <c r="I2853" s="258" t="s">
        <v>8975</v>
      </c>
      <c r="J2853" s="259" t="s">
        <v>739</v>
      </c>
      <c r="K2853" s="260" t="s">
        <v>2894</v>
      </c>
      <c r="L2853" s="365"/>
      <c r="M2853" s="329"/>
      <c r="N2853" s="173" t="s">
        <v>679</v>
      </c>
      <c r="O2853" s="173" t="s">
        <v>225</v>
      </c>
      <c r="P2853" s="262" t="str">
        <f t="shared" si="1"/>
        <v>IN-BLR-ANANTA-TXMR-6_G</v>
      </c>
      <c r="Q2853" s="173" t="s">
        <v>8987</v>
      </c>
      <c r="R2853" s="328" t="str">
        <f>IFS(C2853="","",C2853="n/a","N/A",LEN(C2853),Concatenate("{",char(34),"asset",char(34),":{",char(34),"guid",char(34),":",char(34),Q2853,char(34),",",char(34),"site",char(34),":",char(34),LOWER('2-Building'!$B$4),char(34),",",char(34),"name",char(34),":",char(34),LOWER(C2853),char(34),"}}"))</f>
        <v>{"asset":{"guid":"uuid://69009cf8-a07c-4bed-975e-d433e951737e","site":"in-blr-ananta","name":"txmr-6"}}</v>
      </c>
      <c r="S2853" s="366" t="s">
        <v>8581</v>
      </c>
      <c r="T2853" s="330"/>
      <c r="U2853" s="330"/>
      <c r="V2853" s="331"/>
      <c r="W2853" s="332"/>
      <c r="X2853" s="333"/>
      <c r="Y2853" s="33" t="s">
        <v>8076</v>
      </c>
      <c r="Z2853" s="368"/>
      <c r="AA2853" s="333"/>
      <c r="AB2853" s="258">
        <v>6.0</v>
      </c>
      <c r="AC2853" s="333"/>
      <c r="AD2853" s="329"/>
      <c r="AE2853" s="331"/>
      <c r="AF2853" s="336"/>
      <c r="AG2853" s="337"/>
      <c r="AH2853" s="333"/>
      <c r="AI2853" s="333"/>
      <c r="AJ2853" s="333"/>
      <c r="AK2853" s="333"/>
      <c r="AL2853" s="333"/>
      <c r="AM2853" s="338"/>
      <c r="AN2853" s="333"/>
      <c r="AO2853" s="333"/>
      <c r="AP2853" s="333"/>
      <c r="AQ2853" s="333"/>
      <c r="AR2853" s="333"/>
      <c r="AS2853" s="333"/>
      <c r="AT2853" s="333"/>
      <c r="AU2853" s="329"/>
      <c r="AV2853" s="341"/>
      <c r="AW2853" s="269" t="s">
        <v>1781</v>
      </c>
      <c r="AX2853" s="269" t="s">
        <v>2869</v>
      </c>
      <c r="AY2853" s="270" t="s">
        <v>695</v>
      </c>
      <c r="AZ2853" s="379"/>
      <c r="BA2853" s="173">
        <v>10.0</v>
      </c>
      <c r="BB2853" s="367"/>
      <c r="BC2853" s="341"/>
      <c r="BD2853" s="308" t="s">
        <v>1844</v>
      </c>
      <c r="BE2853" s="378" t="s">
        <v>8977</v>
      </c>
      <c r="BF2853" s="274" t="str">
        <f>IFERROR(__xludf.DUMMYFUNCTION("LOWER(Regexreplace(to_text(E2853),""[^A-Za-z0-9]"","""")&amp;""_""&amp;Regexreplace(to_text(F2853),""[^A-Za-z0-9]"",""""))"),"_")</f>
        <v>_</v>
      </c>
      <c r="BG2853" s="275" t="str">
        <f>IFERROR(__xludf.DUMMYFUNCTION("upper(Regexreplace(to_text(E2853),""[^A-Za-z0-9]"","""")&amp;""-""&amp;Regexreplace(to_text(F2853),""[^A-Za-z0-9]"",""""))"),"-")</f>
        <v>-</v>
      </c>
    </row>
    <row r="2854" ht="30.0" customHeight="1">
      <c r="A2854" s="258"/>
      <c r="B2854" s="328" t="s">
        <v>670</v>
      </c>
      <c r="C2854" s="257" t="s">
        <v>8988</v>
      </c>
      <c r="D2854" s="173" t="s">
        <v>8988</v>
      </c>
      <c r="E2854" s="174" t="s">
        <v>8989</v>
      </c>
      <c r="F2854" s="173" t="s">
        <v>8990</v>
      </c>
      <c r="G2854" s="328" t="s">
        <v>673</v>
      </c>
      <c r="H2854" s="328" t="s">
        <v>2863</v>
      </c>
      <c r="I2854" s="258" t="s">
        <v>8991</v>
      </c>
      <c r="J2854" s="259" t="s">
        <v>1520</v>
      </c>
      <c r="K2854" s="260" t="s">
        <v>1520</v>
      </c>
      <c r="L2854" s="365"/>
      <c r="M2854" s="329"/>
      <c r="N2854" s="173" t="s">
        <v>679</v>
      </c>
      <c r="O2854" s="173" t="s">
        <v>225</v>
      </c>
      <c r="P2854" s="262" t="str">
        <f t="shared" si="1"/>
        <v>IN-BLR-ANANTA-VFD-1_Roof</v>
      </c>
      <c r="Q2854" s="173" t="s">
        <v>8992</v>
      </c>
      <c r="R2854" s="328" t="str">
        <f>IFS(C2854="","",C2854="n/a","N/A",LEN(C2854),Concatenate("{",char(34),"asset",char(34),":{",char(34),"guid",char(34),":",char(34),Q2854,char(34),",",char(34),"site",char(34),":",char(34),LOWER('2-Building'!$B$4),char(34),",",char(34),"name",char(34),":",char(34),LOWER(C2854),char(34),"}}"))</f>
        <v>{"asset":{"guid":"uuid://30953b29-4558-4b6d-972e-5f9305bfd57b","site":"in-blr-ananta","name":"vfd-1"}}</v>
      </c>
      <c r="S2854" s="366" t="s">
        <v>5516</v>
      </c>
      <c r="T2854" s="330"/>
      <c r="U2854" s="330"/>
      <c r="V2854" s="331"/>
      <c r="W2854" s="332"/>
      <c r="X2854" s="333"/>
      <c r="Y2854" s="33" t="s">
        <v>8076</v>
      </c>
      <c r="Z2854" s="368"/>
      <c r="AA2854" s="333"/>
      <c r="AB2854" s="258">
        <v>1.0</v>
      </c>
      <c r="AC2854" s="333"/>
      <c r="AD2854" s="329"/>
      <c r="AE2854" s="331"/>
      <c r="AF2854" s="336"/>
      <c r="AG2854" s="337"/>
      <c r="AH2854" s="333"/>
      <c r="AI2854" s="333"/>
      <c r="AJ2854" s="333"/>
      <c r="AK2854" s="333"/>
      <c r="AL2854" s="333"/>
      <c r="AM2854" s="338"/>
      <c r="AN2854" s="333"/>
      <c r="AO2854" s="333"/>
      <c r="AP2854" s="333"/>
      <c r="AQ2854" s="333"/>
      <c r="AR2854" s="333"/>
      <c r="AS2854" s="333"/>
      <c r="AT2854" s="333"/>
      <c r="AU2854" s="329"/>
      <c r="AV2854" s="341"/>
      <c r="AW2854" s="269" t="s">
        <v>2710</v>
      </c>
      <c r="AX2854" s="269" t="s">
        <v>2869</v>
      </c>
      <c r="AY2854" s="270" t="s">
        <v>695</v>
      </c>
      <c r="AZ2854" s="379"/>
      <c r="BA2854" s="173">
        <v>10.0</v>
      </c>
      <c r="BB2854" s="367"/>
      <c r="BC2854" s="341"/>
      <c r="BD2854" s="308" t="s">
        <v>1844</v>
      </c>
      <c r="BE2854" s="378"/>
      <c r="BF2854" s="274" t="str">
        <f>IFERROR(__xludf.DUMMYFUNCTION("LOWER(Regexreplace(to_text(E2854),""[^A-Za-z0-9]"","""")&amp;""_""&amp;Regexreplace(to_text(F2854),""[^A-Za-z0-9]"",""""))"),"abb_acs310drive")</f>
        <v>abb_acs310drive</v>
      </c>
      <c r="BG2854" s="275" t="str">
        <f>IFERROR(__xludf.DUMMYFUNCTION("upper(Regexreplace(to_text(E2854),""[^A-Za-z0-9]"","""")&amp;""-""&amp;Regexreplace(to_text(F2854),""[^A-Za-z0-9]"",""""))"),"ABB-ACS310DRIVE")</f>
        <v>ABB-ACS310DRIVE</v>
      </c>
    </row>
    <row r="2855" ht="30.0" customHeight="1">
      <c r="A2855" s="258"/>
      <c r="B2855" s="328" t="s">
        <v>670</v>
      </c>
      <c r="C2855" s="257" t="s">
        <v>8993</v>
      </c>
      <c r="D2855" s="173" t="s">
        <v>8993</v>
      </c>
      <c r="E2855" s="174" t="s">
        <v>8989</v>
      </c>
      <c r="F2855" s="173" t="s">
        <v>8990</v>
      </c>
      <c r="G2855" s="328" t="s">
        <v>673</v>
      </c>
      <c r="H2855" s="328" t="s">
        <v>2863</v>
      </c>
      <c r="I2855" s="258" t="s">
        <v>8991</v>
      </c>
      <c r="J2855" s="259" t="s">
        <v>1520</v>
      </c>
      <c r="K2855" s="260" t="s">
        <v>1520</v>
      </c>
      <c r="L2855" s="365"/>
      <c r="M2855" s="329"/>
      <c r="N2855" s="173" t="s">
        <v>679</v>
      </c>
      <c r="O2855" s="173" t="s">
        <v>225</v>
      </c>
      <c r="P2855" s="262" t="str">
        <f t="shared" si="1"/>
        <v>IN-BLR-ANANTA-VFD-2_Roof</v>
      </c>
      <c r="Q2855" s="173" t="s">
        <v>8994</v>
      </c>
      <c r="R2855" s="328" t="str">
        <f>IFS(C2855="","",C2855="n/a","N/A",LEN(C2855),Concatenate("{",char(34),"asset",char(34),":{",char(34),"guid",char(34),":",char(34),Q2855,char(34),",",char(34),"site",char(34),":",char(34),LOWER('2-Building'!$B$4),char(34),",",char(34),"name",char(34),":",char(34),LOWER(C2855),char(34),"}}"))</f>
        <v>{"asset":{"guid":"uuid://50c7fc16-753b-4c53-8923-d85e92af94a9","site":"in-blr-ananta","name":"vfd-2"}}</v>
      </c>
      <c r="S2855" s="366" t="s">
        <v>5516</v>
      </c>
      <c r="T2855" s="330"/>
      <c r="U2855" s="330"/>
      <c r="V2855" s="331"/>
      <c r="W2855" s="332"/>
      <c r="X2855" s="333"/>
      <c r="Y2855" s="33" t="s">
        <v>8076</v>
      </c>
      <c r="Z2855" s="368"/>
      <c r="AA2855" s="333"/>
      <c r="AB2855" s="258">
        <v>2.0</v>
      </c>
      <c r="AC2855" s="333"/>
      <c r="AD2855" s="329"/>
      <c r="AE2855" s="331"/>
      <c r="AF2855" s="336"/>
      <c r="AG2855" s="337"/>
      <c r="AH2855" s="333"/>
      <c r="AI2855" s="333"/>
      <c r="AJ2855" s="333"/>
      <c r="AK2855" s="333"/>
      <c r="AL2855" s="333"/>
      <c r="AM2855" s="338"/>
      <c r="AN2855" s="333"/>
      <c r="AO2855" s="333"/>
      <c r="AP2855" s="333"/>
      <c r="AQ2855" s="333"/>
      <c r="AR2855" s="333"/>
      <c r="AS2855" s="333"/>
      <c r="AT2855" s="333"/>
      <c r="AU2855" s="329"/>
      <c r="AV2855" s="341"/>
      <c r="AW2855" s="269" t="s">
        <v>2710</v>
      </c>
      <c r="AX2855" s="269" t="s">
        <v>2869</v>
      </c>
      <c r="AY2855" s="270" t="s">
        <v>695</v>
      </c>
      <c r="AZ2855" s="379"/>
      <c r="BA2855" s="173">
        <v>10.0</v>
      </c>
      <c r="BB2855" s="367"/>
      <c r="BC2855" s="341"/>
      <c r="BD2855" s="308" t="s">
        <v>1844</v>
      </c>
      <c r="BE2855" s="378"/>
      <c r="BF2855" s="274" t="str">
        <f>IFERROR(__xludf.DUMMYFUNCTION("LOWER(Regexreplace(to_text(E2855),""[^A-Za-z0-9]"","""")&amp;""_""&amp;Regexreplace(to_text(F2855),""[^A-Za-z0-9]"",""""))"),"abb_acs310drive")</f>
        <v>abb_acs310drive</v>
      </c>
      <c r="BG2855" s="275" t="str">
        <f>IFERROR(__xludf.DUMMYFUNCTION("upper(Regexreplace(to_text(E2855),""[^A-Za-z0-9]"","""")&amp;""-""&amp;Regexreplace(to_text(F2855),""[^A-Za-z0-9]"",""""))"),"ABB-ACS310DRIVE")</f>
        <v>ABB-ACS310DRIVE</v>
      </c>
    </row>
    <row r="2856" ht="30.0" customHeight="1">
      <c r="A2856" s="258"/>
      <c r="B2856" s="328" t="s">
        <v>670</v>
      </c>
      <c r="C2856" s="257" t="s">
        <v>8995</v>
      </c>
      <c r="D2856" s="173" t="s">
        <v>8995</v>
      </c>
      <c r="E2856" s="174" t="s">
        <v>8989</v>
      </c>
      <c r="F2856" s="173" t="s">
        <v>8990</v>
      </c>
      <c r="G2856" s="328" t="s">
        <v>673</v>
      </c>
      <c r="H2856" s="328" t="s">
        <v>2863</v>
      </c>
      <c r="I2856" s="258" t="s">
        <v>8991</v>
      </c>
      <c r="J2856" s="259" t="s">
        <v>1520</v>
      </c>
      <c r="K2856" s="260" t="s">
        <v>1520</v>
      </c>
      <c r="L2856" s="365"/>
      <c r="M2856" s="329"/>
      <c r="N2856" s="173" t="s">
        <v>679</v>
      </c>
      <c r="O2856" s="173" t="s">
        <v>225</v>
      </c>
      <c r="P2856" s="262" t="str">
        <f t="shared" si="1"/>
        <v>IN-BLR-ANANTA-VFD-3_Roof</v>
      </c>
      <c r="Q2856" s="173" t="s">
        <v>8996</v>
      </c>
      <c r="R2856" s="328" t="str">
        <f>IFS(C2856="","",C2856="n/a","N/A",LEN(C2856),Concatenate("{",char(34),"asset",char(34),":{",char(34),"guid",char(34),":",char(34),Q2856,char(34),",",char(34),"site",char(34),":",char(34),LOWER('2-Building'!$B$4),char(34),",",char(34),"name",char(34),":",char(34),LOWER(C2856),char(34),"}}"))</f>
        <v>{"asset":{"guid":"uuid://c942b371-efce-4ef9-8ae4-7420f590bef0","site":"in-blr-ananta","name":"vfd-3"}}</v>
      </c>
      <c r="S2856" s="366" t="s">
        <v>5516</v>
      </c>
      <c r="T2856" s="330"/>
      <c r="U2856" s="330"/>
      <c r="V2856" s="331"/>
      <c r="W2856" s="332"/>
      <c r="X2856" s="333"/>
      <c r="Y2856" s="33" t="s">
        <v>8076</v>
      </c>
      <c r="Z2856" s="368"/>
      <c r="AA2856" s="333"/>
      <c r="AB2856" s="258">
        <v>3.0</v>
      </c>
      <c r="AC2856" s="333"/>
      <c r="AD2856" s="329"/>
      <c r="AE2856" s="331"/>
      <c r="AF2856" s="336"/>
      <c r="AG2856" s="337"/>
      <c r="AH2856" s="333"/>
      <c r="AI2856" s="333"/>
      <c r="AJ2856" s="333"/>
      <c r="AK2856" s="333"/>
      <c r="AL2856" s="333"/>
      <c r="AM2856" s="338"/>
      <c r="AN2856" s="333"/>
      <c r="AO2856" s="333"/>
      <c r="AP2856" s="333"/>
      <c r="AQ2856" s="333"/>
      <c r="AR2856" s="333"/>
      <c r="AS2856" s="333"/>
      <c r="AT2856" s="333"/>
      <c r="AU2856" s="329"/>
      <c r="AV2856" s="341"/>
      <c r="AW2856" s="269" t="s">
        <v>2710</v>
      </c>
      <c r="AX2856" s="269" t="s">
        <v>2869</v>
      </c>
      <c r="AY2856" s="270" t="s">
        <v>695</v>
      </c>
      <c r="AZ2856" s="379"/>
      <c r="BA2856" s="173">
        <v>10.0</v>
      </c>
      <c r="BB2856" s="367"/>
      <c r="BC2856" s="341"/>
      <c r="BD2856" s="308" t="s">
        <v>1844</v>
      </c>
      <c r="BE2856" s="378"/>
      <c r="BF2856" s="274" t="str">
        <f>IFERROR(__xludf.DUMMYFUNCTION("LOWER(Regexreplace(to_text(E2856),""[^A-Za-z0-9]"","""")&amp;""_""&amp;Regexreplace(to_text(F2856),""[^A-Za-z0-9]"",""""))"),"abb_acs310drive")</f>
        <v>abb_acs310drive</v>
      </c>
      <c r="BG2856" s="275" t="str">
        <f>IFERROR(__xludf.DUMMYFUNCTION("upper(Regexreplace(to_text(E2856),""[^A-Za-z0-9]"","""")&amp;""-""&amp;Regexreplace(to_text(F2856),""[^A-Za-z0-9]"",""""))"),"ABB-ACS310DRIVE")</f>
        <v>ABB-ACS310DRIVE</v>
      </c>
    </row>
    <row r="2857" ht="30.0" customHeight="1">
      <c r="A2857" s="258"/>
      <c r="B2857" s="328" t="s">
        <v>670</v>
      </c>
      <c r="C2857" s="257" t="s">
        <v>8997</v>
      </c>
      <c r="D2857" s="173" t="s">
        <v>8997</v>
      </c>
      <c r="E2857" s="174" t="s">
        <v>8989</v>
      </c>
      <c r="F2857" s="173" t="s">
        <v>8990</v>
      </c>
      <c r="G2857" s="328" t="s">
        <v>673</v>
      </c>
      <c r="H2857" s="328" t="s">
        <v>2863</v>
      </c>
      <c r="I2857" s="258" t="s">
        <v>8991</v>
      </c>
      <c r="J2857" s="259" t="s">
        <v>1520</v>
      </c>
      <c r="K2857" s="260" t="s">
        <v>1520</v>
      </c>
      <c r="L2857" s="365"/>
      <c r="M2857" s="329"/>
      <c r="N2857" s="173" t="s">
        <v>679</v>
      </c>
      <c r="O2857" s="173" t="s">
        <v>225</v>
      </c>
      <c r="P2857" s="262" t="str">
        <f t="shared" si="1"/>
        <v>IN-BLR-ANANTA-VFD-4_Roof</v>
      </c>
      <c r="Q2857" s="173" t="s">
        <v>8998</v>
      </c>
      <c r="R2857" s="328" t="str">
        <f>IFS(C2857="","",C2857="n/a","N/A",LEN(C2857),Concatenate("{",char(34),"asset",char(34),":{",char(34),"guid",char(34),":",char(34),Q2857,char(34),",",char(34),"site",char(34),":",char(34),LOWER('2-Building'!$B$4),char(34),",",char(34),"name",char(34),":",char(34),LOWER(C2857),char(34),"}}"))</f>
        <v>{"asset":{"guid":"uuid://54456cab-5536-44eb-bfc4-99b442110558","site":"in-blr-ananta","name":"vfd-4"}}</v>
      </c>
      <c r="S2857" s="366" t="s">
        <v>5516</v>
      </c>
      <c r="T2857" s="330"/>
      <c r="U2857" s="330"/>
      <c r="V2857" s="331"/>
      <c r="W2857" s="332"/>
      <c r="X2857" s="333"/>
      <c r="Y2857" s="33" t="s">
        <v>8076</v>
      </c>
      <c r="Z2857" s="368"/>
      <c r="AA2857" s="333"/>
      <c r="AB2857" s="258">
        <v>4.0</v>
      </c>
      <c r="AC2857" s="333"/>
      <c r="AD2857" s="329"/>
      <c r="AE2857" s="331"/>
      <c r="AF2857" s="336"/>
      <c r="AG2857" s="337"/>
      <c r="AH2857" s="333"/>
      <c r="AI2857" s="333"/>
      <c r="AJ2857" s="333"/>
      <c r="AK2857" s="333"/>
      <c r="AL2857" s="333"/>
      <c r="AM2857" s="338"/>
      <c r="AN2857" s="333"/>
      <c r="AO2857" s="333"/>
      <c r="AP2857" s="333"/>
      <c r="AQ2857" s="333"/>
      <c r="AR2857" s="333"/>
      <c r="AS2857" s="333"/>
      <c r="AT2857" s="333"/>
      <c r="AU2857" s="329"/>
      <c r="AV2857" s="341"/>
      <c r="AW2857" s="269" t="s">
        <v>2710</v>
      </c>
      <c r="AX2857" s="269" t="s">
        <v>2869</v>
      </c>
      <c r="AY2857" s="270" t="s">
        <v>695</v>
      </c>
      <c r="AZ2857" s="379"/>
      <c r="BA2857" s="173">
        <v>10.0</v>
      </c>
      <c r="BB2857" s="367"/>
      <c r="BC2857" s="341"/>
      <c r="BD2857" s="308" t="s">
        <v>1844</v>
      </c>
      <c r="BE2857" s="378"/>
      <c r="BF2857" s="274" t="str">
        <f>IFERROR(__xludf.DUMMYFUNCTION("LOWER(Regexreplace(to_text(E2857),""[^A-Za-z0-9]"","""")&amp;""_""&amp;Regexreplace(to_text(F2857),""[^A-Za-z0-9]"",""""))"),"abb_acs310drive")</f>
        <v>abb_acs310drive</v>
      </c>
      <c r="BG2857" s="275" t="str">
        <f>IFERROR(__xludf.DUMMYFUNCTION("upper(Regexreplace(to_text(E2857),""[^A-Za-z0-9]"","""")&amp;""-""&amp;Regexreplace(to_text(F2857),""[^A-Za-z0-9]"",""""))"),"ABB-ACS310DRIVE")</f>
        <v>ABB-ACS310DRIVE</v>
      </c>
    </row>
    <row r="2858" ht="30.0" customHeight="1">
      <c r="A2858" s="258"/>
      <c r="B2858" s="328" t="s">
        <v>670</v>
      </c>
      <c r="C2858" s="257" t="s">
        <v>8999</v>
      </c>
      <c r="D2858" s="173" t="s">
        <v>8999</v>
      </c>
      <c r="E2858" s="174" t="s">
        <v>8989</v>
      </c>
      <c r="F2858" s="173" t="s">
        <v>8990</v>
      </c>
      <c r="G2858" s="328" t="s">
        <v>673</v>
      </c>
      <c r="H2858" s="328" t="s">
        <v>2863</v>
      </c>
      <c r="I2858" s="258" t="s">
        <v>8991</v>
      </c>
      <c r="J2858" s="259" t="s">
        <v>1520</v>
      </c>
      <c r="K2858" s="260" t="s">
        <v>1520</v>
      </c>
      <c r="L2858" s="365"/>
      <c r="M2858" s="329"/>
      <c r="N2858" s="173" t="s">
        <v>679</v>
      </c>
      <c r="O2858" s="173" t="s">
        <v>225</v>
      </c>
      <c r="P2858" s="262" t="str">
        <f t="shared" si="1"/>
        <v>IN-BLR-ANANTA-VFD-5_Roof</v>
      </c>
      <c r="Q2858" s="173" t="s">
        <v>9000</v>
      </c>
      <c r="R2858" s="328" t="str">
        <f>IFS(C2858="","",C2858="n/a","N/A",LEN(C2858),Concatenate("{",char(34),"asset",char(34),":{",char(34),"guid",char(34),":",char(34),Q2858,char(34),",",char(34),"site",char(34),":",char(34),LOWER('2-Building'!$B$4),char(34),",",char(34),"name",char(34),":",char(34),LOWER(C2858),char(34),"}}"))</f>
        <v>{"asset":{"guid":"uuid://53330b77-a7ca-4631-920a-ff1a37d26ac3","site":"in-blr-ananta","name":"vfd-5"}}</v>
      </c>
      <c r="S2858" s="366" t="s">
        <v>5516</v>
      </c>
      <c r="T2858" s="330"/>
      <c r="U2858" s="330"/>
      <c r="V2858" s="331"/>
      <c r="W2858" s="332"/>
      <c r="X2858" s="333"/>
      <c r="Y2858" s="33" t="s">
        <v>8076</v>
      </c>
      <c r="Z2858" s="368"/>
      <c r="AA2858" s="333"/>
      <c r="AB2858" s="258">
        <v>5.0</v>
      </c>
      <c r="AC2858" s="333"/>
      <c r="AD2858" s="329"/>
      <c r="AE2858" s="331"/>
      <c r="AF2858" s="336"/>
      <c r="AG2858" s="337"/>
      <c r="AH2858" s="333"/>
      <c r="AI2858" s="333"/>
      <c r="AJ2858" s="333"/>
      <c r="AK2858" s="333"/>
      <c r="AL2858" s="333"/>
      <c r="AM2858" s="338"/>
      <c r="AN2858" s="333"/>
      <c r="AO2858" s="333"/>
      <c r="AP2858" s="333"/>
      <c r="AQ2858" s="333"/>
      <c r="AR2858" s="333"/>
      <c r="AS2858" s="333"/>
      <c r="AT2858" s="333"/>
      <c r="AU2858" s="329"/>
      <c r="AV2858" s="341"/>
      <c r="AW2858" s="269" t="s">
        <v>2710</v>
      </c>
      <c r="AX2858" s="269" t="s">
        <v>2869</v>
      </c>
      <c r="AY2858" s="270" t="s">
        <v>695</v>
      </c>
      <c r="AZ2858" s="379"/>
      <c r="BA2858" s="173">
        <v>10.0</v>
      </c>
      <c r="BB2858" s="367"/>
      <c r="BC2858" s="341"/>
      <c r="BD2858" s="308" t="s">
        <v>1844</v>
      </c>
      <c r="BE2858" s="378"/>
      <c r="BF2858" s="274" t="str">
        <f>IFERROR(__xludf.DUMMYFUNCTION("LOWER(Regexreplace(to_text(E2858),""[^A-Za-z0-9]"","""")&amp;""_""&amp;Regexreplace(to_text(F2858),""[^A-Za-z0-9]"",""""))"),"abb_acs310drive")</f>
        <v>abb_acs310drive</v>
      </c>
      <c r="BG2858" s="275" t="str">
        <f>IFERROR(__xludf.DUMMYFUNCTION("upper(Regexreplace(to_text(E2858),""[^A-Za-z0-9]"","""")&amp;""-""&amp;Regexreplace(to_text(F2858),""[^A-Za-z0-9]"",""""))"),"ABB-ACS310DRIVE")</f>
        <v>ABB-ACS310DRIVE</v>
      </c>
    </row>
    <row r="2859" ht="30.0" customHeight="1">
      <c r="A2859" s="258"/>
      <c r="B2859" s="328" t="s">
        <v>670</v>
      </c>
      <c r="C2859" s="257" t="s">
        <v>9001</v>
      </c>
      <c r="D2859" s="173" t="s">
        <v>9001</v>
      </c>
      <c r="E2859" s="174" t="s">
        <v>8989</v>
      </c>
      <c r="F2859" s="173" t="s">
        <v>8990</v>
      </c>
      <c r="G2859" s="328" t="s">
        <v>673</v>
      </c>
      <c r="H2859" s="328" t="s">
        <v>2863</v>
      </c>
      <c r="I2859" s="258" t="s">
        <v>8991</v>
      </c>
      <c r="J2859" s="259" t="s">
        <v>1520</v>
      </c>
      <c r="K2859" s="260" t="s">
        <v>1520</v>
      </c>
      <c r="L2859" s="365"/>
      <c r="M2859" s="329"/>
      <c r="N2859" s="173" t="s">
        <v>679</v>
      </c>
      <c r="O2859" s="173" t="s">
        <v>225</v>
      </c>
      <c r="P2859" s="262" t="str">
        <f t="shared" si="1"/>
        <v>IN-BLR-ANANTA-VFD-6_Roof</v>
      </c>
      <c r="Q2859" s="173" t="s">
        <v>9002</v>
      </c>
      <c r="R2859" s="328" t="str">
        <f>IFS(C2859="","",C2859="n/a","N/A",LEN(C2859),Concatenate("{",char(34),"asset",char(34),":{",char(34),"guid",char(34),":",char(34),Q2859,char(34),",",char(34),"site",char(34),":",char(34),LOWER('2-Building'!$B$4),char(34),",",char(34),"name",char(34),":",char(34),LOWER(C2859),char(34),"}}"))</f>
        <v>{"asset":{"guid":"uuid://7ffc860c-dd20-418f-9dc5-dcd1690fa127","site":"in-blr-ananta","name":"vfd-6"}}</v>
      </c>
      <c r="S2859" s="366" t="s">
        <v>5516</v>
      </c>
      <c r="T2859" s="330"/>
      <c r="U2859" s="330"/>
      <c r="V2859" s="331"/>
      <c r="W2859" s="332"/>
      <c r="X2859" s="333"/>
      <c r="Y2859" s="33" t="s">
        <v>8076</v>
      </c>
      <c r="Z2859" s="368"/>
      <c r="AA2859" s="333"/>
      <c r="AB2859" s="258">
        <v>6.0</v>
      </c>
      <c r="AC2859" s="333"/>
      <c r="AD2859" s="329"/>
      <c r="AE2859" s="331"/>
      <c r="AF2859" s="336"/>
      <c r="AG2859" s="337"/>
      <c r="AH2859" s="333"/>
      <c r="AI2859" s="333"/>
      <c r="AJ2859" s="333"/>
      <c r="AK2859" s="333"/>
      <c r="AL2859" s="333"/>
      <c r="AM2859" s="338"/>
      <c r="AN2859" s="333"/>
      <c r="AO2859" s="333"/>
      <c r="AP2859" s="333"/>
      <c r="AQ2859" s="333"/>
      <c r="AR2859" s="333"/>
      <c r="AS2859" s="333"/>
      <c r="AT2859" s="333"/>
      <c r="AU2859" s="329"/>
      <c r="AV2859" s="341"/>
      <c r="AW2859" s="269" t="s">
        <v>2710</v>
      </c>
      <c r="AX2859" s="269" t="s">
        <v>2869</v>
      </c>
      <c r="AY2859" s="270" t="s">
        <v>695</v>
      </c>
      <c r="AZ2859" s="379"/>
      <c r="BA2859" s="173">
        <v>10.0</v>
      </c>
      <c r="BB2859" s="367"/>
      <c r="BC2859" s="341"/>
      <c r="BD2859" s="308" t="s">
        <v>1844</v>
      </c>
      <c r="BE2859" s="378"/>
      <c r="BF2859" s="274" t="str">
        <f>IFERROR(__xludf.DUMMYFUNCTION("LOWER(Regexreplace(to_text(E2859),""[^A-Za-z0-9]"","""")&amp;""_""&amp;Regexreplace(to_text(F2859),""[^A-Za-z0-9]"",""""))"),"abb_acs310drive")</f>
        <v>abb_acs310drive</v>
      </c>
      <c r="BG2859" s="275" t="str">
        <f>IFERROR(__xludf.DUMMYFUNCTION("upper(Regexreplace(to_text(E2859),""[^A-Za-z0-9]"","""")&amp;""-""&amp;Regexreplace(to_text(F2859),""[^A-Za-z0-9]"",""""))"),"ABB-ACS310DRIVE")</f>
        <v>ABB-ACS310DRIVE</v>
      </c>
    </row>
    <row r="2860" ht="30.0" customHeight="1">
      <c r="A2860" s="258"/>
      <c r="B2860" s="328" t="s">
        <v>670</v>
      </c>
      <c r="C2860" s="257" t="s">
        <v>9003</v>
      </c>
      <c r="D2860" s="173" t="s">
        <v>9003</v>
      </c>
      <c r="E2860" s="174" t="s">
        <v>8989</v>
      </c>
      <c r="F2860" s="173" t="s">
        <v>8990</v>
      </c>
      <c r="G2860" s="328" t="s">
        <v>673</v>
      </c>
      <c r="H2860" s="328" t="s">
        <v>2863</v>
      </c>
      <c r="I2860" s="258" t="s">
        <v>8991</v>
      </c>
      <c r="J2860" s="259" t="s">
        <v>1520</v>
      </c>
      <c r="K2860" s="260" t="s">
        <v>1520</v>
      </c>
      <c r="L2860" s="365"/>
      <c r="M2860" s="329"/>
      <c r="N2860" s="173" t="s">
        <v>679</v>
      </c>
      <c r="O2860" s="173" t="s">
        <v>225</v>
      </c>
      <c r="P2860" s="262" t="str">
        <f t="shared" si="1"/>
        <v>IN-BLR-ANANTA-VFD-7_Roof</v>
      </c>
      <c r="Q2860" s="173" t="s">
        <v>9004</v>
      </c>
      <c r="R2860" s="328" t="str">
        <f>IFS(C2860="","",C2860="n/a","N/A",LEN(C2860),Concatenate("{",char(34),"asset",char(34),":{",char(34),"guid",char(34),":",char(34),Q2860,char(34),",",char(34),"site",char(34),":",char(34),LOWER('2-Building'!$B$4),char(34),",",char(34),"name",char(34),":",char(34),LOWER(C2860),char(34),"}}"))</f>
        <v>{"asset":{"guid":"uuid://7680b2b4-fa6d-4468-ae78-27931ffb2c64","site":"in-blr-ananta","name":"vfd-7"}}</v>
      </c>
      <c r="S2860" s="366" t="s">
        <v>5516</v>
      </c>
      <c r="T2860" s="330"/>
      <c r="U2860" s="330"/>
      <c r="V2860" s="331"/>
      <c r="W2860" s="332"/>
      <c r="X2860" s="333"/>
      <c r="Y2860" s="33" t="s">
        <v>8076</v>
      </c>
      <c r="Z2860" s="368"/>
      <c r="AA2860" s="333"/>
      <c r="AB2860" s="258">
        <v>7.0</v>
      </c>
      <c r="AC2860" s="333"/>
      <c r="AD2860" s="329"/>
      <c r="AE2860" s="331"/>
      <c r="AF2860" s="336"/>
      <c r="AG2860" s="337"/>
      <c r="AH2860" s="333"/>
      <c r="AI2860" s="333"/>
      <c r="AJ2860" s="333"/>
      <c r="AK2860" s="333"/>
      <c r="AL2860" s="333"/>
      <c r="AM2860" s="338"/>
      <c r="AN2860" s="333"/>
      <c r="AO2860" s="333"/>
      <c r="AP2860" s="333"/>
      <c r="AQ2860" s="333"/>
      <c r="AR2860" s="333"/>
      <c r="AS2860" s="333"/>
      <c r="AT2860" s="333"/>
      <c r="AU2860" s="329"/>
      <c r="AV2860" s="341"/>
      <c r="AW2860" s="269" t="s">
        <v>2710</v>
      </c>
      <c r="AX2860" s="269" t="s">
        <v>2869</v>
      </c>
      <c r="AY2860" s="270" t="s">
        <v>695</v>
      </c>
      <c r="AZ2860" s="379"/>
      <c r="BA2860" s="173">
        <v>10.0</v>
      </c>
      <c r="BB2860" s="367"/>
      <c r="BC2860" s="341"/>
      <c r="BD2860" s="308" t="s">
        <v>1844</v>
      </c>
      <c r="BE2860" s="378"/>
      <c r="BF2860" s="274" t="str">
        <f>IFERROR(__xludf.DUMMYFUNCTION("LOWER(Regexreplace(to_text(E2860),""[^A-Za-z0-9]"","""")&amp;""_""&amp;Regexreplace(to_text(F2860),""[^A-Za-z0-9]"",""""))"),"abb_acs310drive")</f>
        <v>abb_acs310drive</v>
      </c>
      <c r="BG2860" s="275" t="str">
        <f>IFERROR(__xludf.DUMMYFUNCTION("upper(Regexreplace(to_text(E2860),""[^A-Za-z0-9]"","""")&amp;""-""&amp;Regexreplace(to_text(F2860),""[^A-Za-z0-9]"",""""))"),"ABB-ACS310DRIVE")</f>
        <v>ABB-ACS310DRIVE</v>
      </c>
    </row>
    <row r="2861" ht="30.0" customHeight="1">
      <c r="A2861" s="258"/>
      <c r="B2861" s="328" t="s">
        <v>670</v>
      </c>
      <c r="C2861" s="257" t="s">
        <v>9005</v>
      </c>
      <c r="D2861" s="173" t="s">
        <v>9005</v>
      </c>
      <c r="E2861" s="174" t="s">
        <v>8989</v>
      </c>
      <c r="F2861" s="173" t="s">
        <v>8990</v>
      </c>
      <c r="G2861" s="328" t="s">
        <v>673</v>
      </c>
      <c r="H2861" s="328" t="s">
        <v>2863</v>
      </c>
      <c r="I2861" s="258" t="s">
        <v>8991</v>
      </c>
      <c r="J2861" s="259" t="s">
        <v>1520</v>
      </c>
      <c r="K2861" s="260" t="s">
        <v>1520</v>
      </c>
      <c r="L2861" s="365"/>
      <c r="M2861" s="329"/>
      <c r="N2861" s="173" t="s">
        <v>679</v>
      </c>
      <c r="O2861" s="173" t="s">
        <v>225</v>
      </c>
      <c r="P2861" s="262" t="str">
        <f t="shared" si="1"/>
        <v>IN-BLR-ANANTA-VFD-8_Roof</v>
      </c>
      <c r="Q2861" s="173" t="s">
        <v>9006</v>
      </c>
      <c r="R2861" s="328" t="str">
        <f>IFS(C2861="","",C2861="n/a","N/A",LEN(C2861),Concatenate("{",char(34),"asset",char(34),":{",char(34),"guid",char(34),":",char(34),Q2861,char(34),",",char(34),"site",char(34),":",char(34),LOWER('2-Building'!$B$4),char(34),",",char(34),"name",char(34),":",char(34),LOWER(C2861),char(34),"}}"))</f>
        <v>{"asset":{"guid":"uuid://95ee7522-db56-4b3e-b7d2-21bfe0edc394","site":"in-blr-ananta","name":"vfd-8"}}</v>
      </c>
      <c r="S2861" s="366" t="s">
        <v>5516</v>
      </c>
      <c r="T2861" s="330"/>
      <c r="U2861" s="330"/>
      <c r="V2861" s="331"/>
      <c r="W2861" s="332"/>
      <c r="X2861" s="333"/>
      <c r="Y2861" s="33" t="s">
        <v>8076</v>
      </c>
      <c r="Z2861" s="368"/>
      <c r="AA2861" s="333"/>
      <c r="AB2861" s="258">
        <v>8.0</v>
      </c>
      <c r="AC2861" s="333"/>
      <c r="AD2861" s="329"/>
      <c r="AE2861" s="331"/>
      <c r="AF2861" s="336"/>
      <c r="AG2861" s="337"/>
      <c r="AH2861" s="333"/>
      <c r="AI2861" s="333"/>
      <c r="AJ2861" s="333"/>
      <c r="AK2861" s="333"/>
      <c r="AL2861" s="333"/>
      <c r="AM2861" s="338"/>
      <c r="AN2861" s="333"/>
      <c r="AO2861" s="333"/>
      <c r="AP2861" s="333"/>
      <c r="AQ2861" s="333"/>
      <c r="AR2861" s="333"/>
      <c r="AS2861" s="333"/>
      <c r="AT2861" s="333"/>
      <c r="AU2861" s="329"/>
      <c r="AV2861" s="341"/>
      <c r="AW2861" s="269" t="s">
        <v>2710</v>
      </c>
      <c r="AX2861" s="269" t="s">
        <v>2869</v>
      </c>
      <c r="AY2861" s="270" t="s">
        <v>695</v>
      </c>
      <c r="AZ2861" s="379"/>
      <c r="BA2861" s="173">
        <v>10.0</v>
      </c>
      <c r="BB2861" s="367"/>
      <c r="BC2861" s="341"/>
      <c r="BD2861" s="308" t="s">
        <v>1844</v>
      </c>
      <c r="BE2861" s="378"/>
      <c r="BF2861" s="274" t="str">
        <f>IFERROR(__xludf.DUMMYFUNCTION("LOWER(Regexreplace(to_text(E2861),""[^A-Za-z0-9]"","""")&amp;""_""&amp;Regexreplace(to_text(F2861),""[^A-Za-z0-9]"",""""))"),"abb_acs310drive")</f>
        <v>abb_acs310drive</v>
      </c>
      <c r="BG2861" s="275" t="str">
        <f>IFERROR(__xludf.DUMMYFUNCTION("upper(Regexreplace(to_text(E2861),""[^A-Za-z0-9]"","""")&amp;""-""&amp;Regexreplace(to_text(F2861),""[^A-Za-z0-9]"",""""))"),"ABB-ACS310DRIVE")</f>
        <v>ABB-ACS310DRIVE</v>
      </c>
    </row>
    <row r="2862" ht="30.0" customHeight="1">
      <c r="A2862" s="258"/>
      <c r="B2862" s="328" t="s">
        <v>670</v>
      </c>
      <c r="C2862" s="257" t="s">
        <v>9007</v>
      </c>
      <c r="D2862" s="173" t="s">
        <v>9007</v>
      </c>
      <c r="E2862" s="174" t="s">
        <v>8989</v>
      </c>
      <c r="F2862" s="173" t="s">
        <v>8990</v>
      </c>
      <c r="G2862" s="328" t="s">
        <v>673</v>
      </c>
      <c r="H2862" s="328" t="s">
        <v>2863</v>
      </c>
      <c r="I2862" s="258" t="s">
        <v>8991</v>
      </c>
      <c r="J2862" s="259" t="s">
        <v>1520</v>
      </c>
      <c r="K2862" s="260" t="s">
        <v>1520</v>
      </c>
      <c r="L2862" s="365"/>
      <c r="M2862" s="329"/>
      <c r="N2862" s="173" t="s">
        <v>679</v>
      </c>
      <c r="O2862" s="173" t="s">
        <v>225</v>
      </c>
      <c r="P2862" s="262" t="str">
        <f t="shared" si="1"/>
        <v>IN-BLR-ANANTA-VFD-9_Roof</v>
      </c>
      <c r="Q2862" s="173" t="s">
        <v>9008</v>
      </c>
      <c r="R2862" s="328" t="str">
        <f>IFS(C2862="","",C2862="n/a","N/A",LEN(C2862),Concatenate("{",char(34),"asset",char(34),":{",char(34),"guid",char(34),":",char(34),Q2862,char(34),",",char(34),"site",char(34),":",char(34),LOWER('2-Building'!$B$4),char(34),",",char(34),"name",char(34),":",char(34),LOWER(C2862),char(34),"}}"))</f>
        <v>{"asset":{"guid":"uuid://07208532-17d9-45ea-b647-ef239da680d5","site":"in-blr-ananta","name":"vfd-9"}}</v>
      </c>
      <c r="S2862" s="366" t="s">
        <v>5516</v>
      </c>
      <c r="T2862" s="330"/>
      <c r="U2862" s="330"/>
      <c r="V2862" s="331"/>
      <c r="W2862" s="332"/>
      <c r="X2862" s="333"/>
      <c r="Y2862" s="33" t="s">
        <v>8076</v>
      </c>
      <c r="Z2862" s="368"/>
      <c r="AA2862" s="333"/>
      <c r="AB2862" s="258">
        <v>9.0</v>
      </c>
      <c r="AC2862" s="333"/>
      <c r="AD2862" s="329"/>
      <c r="AE2862" s="331"/>
      <c r="AF2862" s="336"/>
      <c r="AG2862" s="337"/>
      <c r="AH2862" s="333"/>
      <c r="AI2862" s="333"/>
      <c r="AJ2862" s="333"/>
      <c r="AK2862" s="333"/>
      <c r="AL2862" s="333"/>
      <c r="AM2862" s="338"/>
      <c r="AN2862" s="333"/>
      <c r="AO2862" s="333"/>
      <c r="AP2862" s="333"/>
      <c r="AQ2862" s="333"/>
      <c r="AR2862" s="333"/>
      <c r="AS2862" s="333"/>
      <c r="AT2862" s="333"/>
      <c r="AU2862" s="329"/>
      <c r="AV2862" s="341"/>
      <c r="AW2862" s="269" t="s">
        <v>2710</v>
      </c>
      <c r="AX2862" s="269" t="s">
        <v>2869</v>
      </c>
      <c r="AY2862" s="270" t="s">
        <v>695</v>
      </c>
      <c r="AZ2862" s="379"/>
      <c r="BA2862" s="173">
        <v>10.0</v>
      </c>
      <c r="BB2862" s="367"/>
      <c r="BC2862" s="341"/>
      <c r="BD2862" s="308" t="s">
        <v>1844</v>
      </c>
      <c r="BE2862" s="378"/>
      <c r="BF2862" s="274" t="str">
        <f>IFERROR(__xludf.DUMMYFUNCTION("LOWER(Regexreplace(to_text(E2862),""[^A-Za-z0-9]"","""")&amp;""_""&amp;Regexreplace(to_text(F2862),""[^A-Za-z0-9]"",""""))"),"abb_acs310drive")</f>
        <v>abb_acs310drive</v>
      </c>
      <c r="BG2862" s="275" t="str">
        <f>IFERROR(__xludf.DUMMYFUNCTION("upper(Regexreplace(to_text(E2862),""[^A-Za-z0-9]"","""")&amp;""-""&amp;Regexreplace(to_text(F2862),""[^A-Za-z0-9]"",""""))"),"ABB-ACS310DRIVE")</f>
        <v>ABB-ACS310DRIVE</v>
      </c>
    </row>
    <row r="2863" ht="30.0" customHeight="1">
      <c r="A2863" s="258"/>
      <c r="B2863" s="328" t="s">
        <v>670</v>
      </c>
      <c r="C2863" s="257" t="s">
        <v>9009</v>
      </c>
      <c r="D2863" s="173" t="s">
        <v>9009</v>
      </c>
      <c r="E2863" s="174" t="s">
        <v>8989</v>
      </c>
      <c r="F2863" s="173" t="s">
        <v>8990</v>
      </c>
      <c r="G2863" s="328" t="s">
        <v>673</v>
      </c>
      <c r="H2863" s="328" t="s">
        <v>2863</v>
      </c>
      <c r="I2863" s="258" t="s">
        <v>8991</v>
      </c>
      <c r="J2863" s="259" t="s">
        <v>1520</v>
      </c>
      <c r="K2863" s="260" t="s">
        <v>1520</v>
      </c>
      <c r="L2863" s="365"/>
      <c r="M2863" s="329"/>
      <c r="N2863" s="173" t="s">
        <v>679</v>
      </c>
      <c r="O2863" s="173" t="s">
        <v>225</v>
      </c>
      <c r="P2863" s="262" t="str">
        <f t="shared" si="1"/>
        <v>IN-BLR-ANANTA-VFD-10_Roof</v>
      </c>
      <c r="Q2863" s="173" t="s">
        <v>9010</v>
      </c>
      <c r="R2863" s="328" t="str">
        <f>IFS(C2863="","",C2863="n/a","N/A",LEN(C2863),Concatenate("{",char(34),"asset",char(34),":{",char(34),"guid",char(34),":",char(34),Q2863,char(34),",",char(34),"site",char(34),":",char(34),LOWER('2-Building'!$B$4),char(34),",",char(34),"name",char(34),":",char(34),LOWER(C2863),char(34),"}}"))</f>
        <v>{"asset":{"guid":"uuid://7f9654a7-ae6d-4f4b-9f39-563fc8c8cdf1","site":"in-blr-ananta","name":"vfd-10"}}</v>
      </c>
      <c r="S2863" s="366" t="s">
        <v>5516</v>
      </c>
      <c r="T2863" s="330"/>
      <c r="U2863" s="330"/>
      <c r="V2863" s="331"/>
      <c r="W2863" s="332"/>
      <c r="X2863" s="333"/>
      <c r="Y2863" s="33" t="s">
        <v>8076</v>
      </c>
      <c r="Z2863" s="368"/>
      <c r="AA2863" s="333"/>
      <c r="AB2863" s="258">
        <v>10.0</v>
      </c>
      <c r="AC2863" s="333"/>
      <c r="AD2863" s="329"/>
      <c r="AE2863" s="331"/>
      <c r="AF2863" s="336"/>
      <c r="AG2863" s="337"/>
      <c r="AH2863" s="333"/>
      <c r="AI2863" s="333"/>
      <c r="AJ2863" s="333"/>
      <c r="AK2863" s="333"/>
      <c r="AL2863" s="333"/>
      <c r="AM2863" s="338"/>
      <c r="AN2863" s="333"/>
      <c r="AO2863" s="333"/>
      <c r="AP2863" s="333"/>
      <c r="AQ2863" s="333"/>
      <c r="AR2863" s="333"/>
      <c r="AS2863" s="333"/>
      <c r="AT2863" s="333"/>
      <c r="AU2863" s="329"/>
      <c r="AV2863" s="341"/>
      <c r="AW2863" s="269" t="s">
        <v>2710</v>
      </c>
      <c r="AX2863" s="269" t="s">
        <v>2869</v>
      </c>
      <c r="AY2863" s="270" t="s">
        <v>695</v>
      </c>
      <c r="AZ2863" s="379"/>
      <c r="BA2863" s="173">
        <v>10.0</v>
      </c>
      <c r="BB2863" s="367"/>
      <c r="BC2863" s="341"/>
      <c r="BD2863" s="308" t="s">
        <v>1844</v>
      </c>
      <c r="BE2863" s="378"/>
      <c r="BF2863" s="274" t="str">
        <f>IFERROR(__xludf.DUMMYFUNCTION("LOWER(Regexreplace(to_text(E2863),""[^A-Za-z0-9]"","""")&amp;""_""&amp;Regexreplace(to_text(F2863),""[^A-Za-z0-9]"",""""))"),"abb_acs310drive")</f>
        <v>abb_acs310drive</v>
      </c>
      <c r="BG2863" s="275" t="str">
        <f>IFERROR(__xludf.DUMMYFUNCTION("upper(Regexreplace(to_text(E2863),""[^A-Za-z0-9]"","""")&amp;""-""&amp;Regexreplace(to_text(F2863),""[^A-Za-z0-9]"",""""))"),"ABB-ACS310DRIVE")</f>
        <v>ABB-ACS310DRIVE</v>
      </c>
    </row>
    <row r="2864" ht="30.0" customHeight="1">
      <c r="A2864" s="258"/>
      <c r="B2864" s="328" t="s">
        <v>670</v>
      </c>
      <c r="C2864" s="257" t="s">
        <v>9011</v>
      </c>
      <c r="D2864" s="173" t="s">
        <v>9011</v>
      </c>
      <c r="E2864" s="174" t="s">
        <v>8989</v>
      </c>
      <c r="F2864" s="173" t="s">
        <v>8990</v>
      </c>
      <c r="G2864" s="328" t="s">
        <v>673</v>
      </c>
      <c r="H2864" s="328" t="s">
        <v>2863</v>
      </c>
      <c r="I2864" s="258" t="s">
        <v>8991</v>
      </c>
      <c r="J2864" s="259" t="s">
        <v>1520</v>
      </c>
      <c r="K2864" s="260" t="s">
        <v>1520</v>
      </c>
      <c r="L2864" s="365"/>
      <c r="M2864" s="329"/>
      <c r="N2864" s="173" t="s">
        <v>679</v>
      </c>
      <c r="O2864" s="173" t="s">
        <v>225</v>
      </c>
      <c r="P2864" s="262" t="str">
        <f t="shared" si="1"/>
        <v>IN-BLR-ANANTA-VFD-11_Roof</v>
      </c>
      <c r="Q2864" s="173" t="s">
        <v>9012</v>
      </c>
      <c r="R2864" s="328" t="str">
        <f>IFS(C2864="","",C2864="n/a","N/A",LEN(C2864),Concatenate("{",char(34),"asset",char(34),":{",char(34),"guid",char(34),":",char(34),Q2864,char(34),",",char(34),"site",char(34),":",char(34),LOWER('2-Building'!$B$4),char(34),",",char(34),"name",char(34),":",char(34),LOWER(C2864),char(34),"}}"))</f>
        <v>{"asset":{"guid":"uuid://c2fa9dea-f165-4985-9df9-1b1faede3c56","site":"in-blr-ananta","name":"vfd-11"}}</v>
      </c>
      <c r="S2864" s="366" t="s">
        <v>5516</v>
      </c>
      <c r="T2864" s="330"/>
      <c r="U2864" s="330"/>
      <c r="V2864" s="331"/>
      <c r="W2864" s="332"/>
      <c r="X2864" s="333"/>
      <c r="Y2864" s="33" t="s">
        <v>8076</v>
      </c>
      <c r="Z2864" s="368"/>
      <c r="AA2864" s="333"/>
      <c r="AB2864" s="258">
        <v>11.0</v>
      </c>
      <c r="AC2864" s="333"/>
      <c r="AD2864" s="329"/>
      <c r="AE2864" s="331"/>
      <c r="AF2864" s="336"/>
      <c r="AG2864" s="337"/>
      <c r="AH2864" s="333"/>
      <c r="AI2864" s="333"/>
      <c r="AJ2864" s="333"/>
      <c r="AK2864" s="333"/>
      <c r="AL2864" s="333"/>
      <c r="AM2864" s="338"/>
      <c r="AN2864" s="333"/>
      <c r="AO2864" s="333"/>
      <c r="AP2864" s="333"/>
      <c r="AQ2864" s="333"/>
      <c r="AR2864" s="333"/>
      <c r="AS2864" s="333"/>
      <c r="AT2864" s="333"/>
      <c r="AU2864" s="329"/>
      <c r="AV2864" s="341"/>
      <c r="AW2864" s="269" t="s">
        <v>2710</v>
      </c>
      <c r="AX2864" s="269" t="s">
        <v>2869</v>
      </c>
      <c r="AY2864" s="270" t="s">
        <v>695</v>
      </c>
      <c r="AZ2864" s="379"/>
      <c r="BA2864" s="173">
        <v>10.0</v>
      </c>
      <c r="BB2864" s="367"/>
      <c r="BC2864" s="341"/>
      <c r="BD2864" s="308" t="s">
        <v>1844</v>
      </c>
      <c r="BE2864" s="378"/>
      <c r="BF2864" s="274" t="str">
        <f>IFERROR(__xludf.DUMMYFUNCTION("LOWER(Regexreplace(to_text(E2864),""[^A-Za-z0-9]"","""")&amp;""_""&amp;Regexreplace(to_text(F2864),""[^A-Za-z0-9]"",""""))"),"abb_acs310drive")</f>
        <v>abb_acs310drive</v>
      </c>
      <c r="BG2864" s="275" t="str">
        <f>IFERROR(__xludf.DUMMYFUNCTION("upper(Regexreplace(to_text(E2864),""[^A-Za-z0-9]"","""")&amp;""-""&amp;Regexreplace(to_text(F2864),""[^A-Za-z0-9]"",""""))"),"ABB-ACS310DRIVE")</f>
        <v>ABB-ACS310DRIVE</v>
      </c>
    </row>
    <row r="2865" ht="30.0" customHeight="1">
      <c r="A2865" s="258"/>
      <c r="B2865" s="328" t="s">
        <v>670</v>
      </c>
      <c r="C2865" s="257" t="s">
        <v>9013</v>
      </c>
      <c r="D2865" s="173" t="s">
        <v>9013</v>
      </c>
      <c r="E2865" s="174" t="s">
        <v>8989</v>
      </c>
      <c r="F2865" s="173" t="s">
        <v>8990</v>
      </c>
      <c r="G2865" s="328" t="s">
        <v>673</v>
      </c>
      <c r="H2865" s="328" t="s">
        <v>2863</v>
      </c>
      <c r="I2865" s="258" t="s">
        <v>8991</v>
      </c>
      <c r="J2865" s="259" t="s">
        <v>1520</v>
      </c>
      <c r="K2865" s="260" t="s">
        <v>1520</v>
      </c>
      <c r="L2865" s="365"/>
      <c r="M2865" s="329"/>
      <c r="N2865" s="173" t="s">
        <v>679</v>
      </c>
      <c r="O2865" s="173" t="s">
        <v>225</v>
      </c>
      <c r="P2865" s="262" t="str">
        <f t="shared" si="1"/>
        <v>IN-BLR-ANANTA-VFD-12_Roof</v>
      </c>
      <c r="Q2865" s="173" t="s">
        <v>9014</v>
      </c>
      <c r="R2865" s="328" t="str">
        <f>IFS(C2865="","",C2865="n/a","N/A",LEN(C2865),Concatenate("{",char(34),"asset",char(34),":{",char(34),"guid",char(34),":",char(34),Q2865,char(34),",",char(34),"site",char(34),":",char(34),LOWER('2-Building'!$B$4),char(34),",",char(34),"name",char(34),":",char(34),LOWER(C2865),char(34),"}}"))</f>
        <v>{"asset":{"guid":"uuid://d19e8cb3-ede9-4b44-90d8-df36969a3a38","site":"in-blr-ananta","name":"vfd-12"}}</v>
      </c>
      <c r="S2865" s="366" t="s">
        <v>5516</v>
      </c>
      <c r="T2865" s="330"/>
      <c r="U2865" s="330"/>
      <c r="V2865" s="331"/>
      <c r="W2865" s="332"/>
      <c r="X2865" s="333"/>
      <c r="Y2865" s="33" t="s">
        <v>8076</v>
      </c>
      <c r="Z2865" s="368"/>
      <c r="AA2865" s="333"/>
      <c r="AB2865" s="258">
        <v>12.0</v>
      </c>
      <c r="AC2865" s="333"/>
      <c r="AD2865" s="329"/>
      <c r="AE2865" s="331"/>
      <c r="AF2865" s="336"/>
      <c r="AG2865" s="337"/>
      <c r="AH2865" s="333"/>
      <c r="AI2865" s="333"/>
      <c r="AJ2865" s="333"/>
      <c r="AK2865" s="333"/>
      <c r="AL2865" s="333"/>
      <c r="AM2865" s="338"/>
      <c r="AN2865" s="333"/>
      <c r="AO2865" s="333"/>
      <c r="AP2865" s="333"/>
      <c r="AQ2865" s="333"/>
      <c r="AR2865" s="333"/>
      <c r="AS2865" s="333"/>
      <c r="AT2865" s="333"/>
      <c r="AU2865" s="329"/>
      <c r="AV2865" s="341"/>
      <c r="AW2865" s="269" t="s">
        <v>2710</v>
      </c>
      <c r="AX2865" s="269" t="s">
        <v>2869</v>
      </c>
      <c r="AY2865" s="270" t="s">
        <v>695</v>
      </c>
      <c r="AZ2865" s="379"/>
      <c r="BA2865" s="173">
        <v>10.0</v>
      </c>
      <c r="BB2865" s="367"/>
      <c r="BC2865" s="341"/>
      <c r="BD2865" s="308" t="s">
        <v>1844</v>
      </c>
      <c r="BE2865" s="378"/>
      <c r="BF2865" s="274" t="str">
        <f>IFERROR(__xludf.DUMMYFUNCTION("LOWER(Regexreplace(to_text(E2865),""[^A-Za-z0-9]"","""")&amp;""_""&amp;Regexreplace(to_text(F2865),""[^A-Za-z0-9]"",""""))"),"abb_acs310drive")</f>
        <v>abb_acs310drive</v>
      </c>
      <c r="BG2865" s="275" t="str">
        <f>IFERROR(__xludf.DUMMYFUNCTION("upper(Regexreplace(to_text(E2865),""[^A-Za-z0-9]"","""")&amp;""-""&amp;Regexreplace(to_text(F2865),""[^A-Za-z0-9]"",""""))"),"ABB-ACS310DRIVE")</f>
        <v>ABB-ACS310DRIVE</v>
      </c>
    </row>
    <row r="2866" ht="30.0" customHeight="1">
      <c r="A2866" s="258"/>
      <c r="B2866" s="328" t="s">
        <v>670</v>
      </c>
      <c r="C2866" s="257" t="s">
        <v>9015</v>
      </c>
      <c r="D2866" s="173" t="s">
        <v>9015</v>
      </c>
      <c r="E2866" s="174" t="s">
        <v>8989</v>
      </c>
      <c r="F2866" s="173" t="s">
        <v>8990</v>
      </c>
      <c r="G2866" s="328" t="s">
        <v>673</v>
      </c>
      <c r="H2866" s="328" t="s">
        <v>2863</v>
      </c>
      <c r="I2866" s="258" t="s">
        <v>8991</v>
      </c>
      <c r="J2866" s="259" t="s">
        <v>1520</v>
      </c>
      <c r="K2866" s="260" t="s">
        <v>1520</v>
      </c>
      <c r="L2866" s="365"/>
      <c r="M2866" s="329"/>
      <c r="N2866" s="173" t="s">
        <v>679</v>
      </c>
      <c r="O2866" s="173" t="s">
        <v>225</v>
      </c>
      <c r="P2866" s="262" t="str">
        <f t="shared" si="1"/>
        <v>IN-BLR-ANANTA-VFD-13_Roof</v>
      </c>
      <c r="Q2866" s="173" t="s">
        <v>9016</v>
      </c>
      <c r="R2866" s="328" t="str">
        <f>IFS(C2866="","",C2866="n/a","N/A",LEN(C2866),Concatenate("{",char(34),"asset",char(34),":{",char(34),"guid",char(34),":",char(34),Q2866,char(34),",",char(34),"site",char(34),":",char(34),LOWER('2-Building'!$B$4),char(34),",",char(34),"name",char(34),":",char(34),LOWER(C2866),char(34),"}}"))</f>
        <v>{"asset":{"guid":"uuid://9743eeb4-73d4-47b0-bcb9-19d75f2a0fbd","site":"in-blr-ananta","name":"vfd-13"}}</v>
      </c>
      <c r="S2866" s="366" t="s">
        <v>5516</v>
      </c>
      <c r="T2866" s="330"/>
      <c r="U2866" s="330"/>
      <c r="V2866" s="331"/>
      <c r="W2866" s="332"/>
      <c r="X2866" s="333"/>
      <c r="Y2866" s="33" t="s">
        <v>8076</v>
      </c>
      <c r="Z2866" s="368"/>
      <c r="AA2866" s="333"/>
      <c r="AB2866" s="258">
        <v>13.0</v>
      </c>
      <c r="AC2866" s="333"/>
      <c r="AD2866" s="329"/>
      <c r="AE2866" s="331"/>
      <c r="AF2866" s="336"/>
      <c r="AG2866" s="337"/>
      <c r="AH2866" s="333"/>
      <c r="AI2866" s="333"/>
      <c r="AJ2866" s="333"/>
      <c r="AK2866" s="333"/>
      <c r="AL2866" s="333"/>
      <c r="AM2866" s="338"/>
      <c r="AN2866" s="333"/>
      <c r="AO2866" s="333"/>
      <c r="AP2866" s="333"/>
      <c r="AQ2866" s="333"/>
      <c r="AR2866" s="333"/>
      <c r="AS2866" s="333"/>
      <c r="AT2866" s="333"/>
      <c r="AU2866" s="329"/>
      <c r="AV2866" s="341"/>
      <c r="AW2866" s="269" t="s">
        <v>2710</v>
      </c>
      <c r="AX2866" s="269" t="s">
        <v>2869</v>
      </c>
      <c r="AY2866" s="270" t="s">
        <v>695</v>
      </c>
      <c r="AZ2866" s="379"/>
      <c r="BA2866" s="173">
        <v>10.0</v>
      </c>
      <c r="BB2866" s="367"/>
      <c r="BC2866" s="341"/>
      <c r="BD2866" s="308" t="s">
        <v>1844</v>
      </c>
      <c r="BE2866" s="378"/>
      <c r="BF2866" s="274" t="str">
        <f>IFERROR(__xludf.DUMMYFUNCTION("LOWER(Regexreplace(to_text(E2866),""[^A-Za-z0-9]"","""")&amp;""_""&amp;Regexreplace(to_text(F2866),""[^A-Za-z0-9]"",""""))"),"abb_acs310drive")</f>
        <v>abb_acs310drive</v>
      </c>
      <c r="BG2866" s="275" t="str">
        <f>IFERROR(__xludf.DUMMYFUNCTION("upper(Regexreplace(to_text(E2866),""[^A-Za-z0-9]"","""")&amp;""-""&amp;Regexreplace(to_text(F2866),""[^A-Za-z0-9]"",""""))"),"ABB-ACS310DRIVE")</f>
        <v>ABB-ACS310DRIVE</v>
      </c>
    </row>
    <row r="2867" ht="30.0" customHeight="1">
      <c r="A2867" s="258"/>
      <c r="B2867" s="328" t="s">
        <v>670</v>
      </c>
      <c r="C2867" s="257" t="s">
        <v>9017</v>
      </c>
      <c r="D2867" s="173" t="s">
        <v>9017</v>
      </c>
      <c r="E2867" s="174" t="s">
        <v>8989</v>
      </c>
      <c r="F2867" s="173" t="s">
        <v>8990</v>
      </c>
      <c r="G2867" s="328" t="s">
        <v>673</v>
      </c>
      <c r="H2867" s="328" t="s">
        <v>2863</v>
      </c>
      <c r="I2867" s="258" t="s">
        <v>8991</v>
      </c>
      <c r="J2867" s="259" t="s">
        <v>1520</v>
      </c>
      <c r="K2867" s="260" t="s">
        <v>1520</v>
      </c>
      <c r="L2867" s="365"/>
      <c r="M2867" s="329"/>
      <c r="N2867" s="173" t="s">
        <v>679</v>
      </c>
      <c r="O2867" s="173" t="s">
        <v>225</v>
      </c>
      <c r="P2867" s="262" t="str">
        <f t="shared" si="1"/>
        <v>IN-BLR-ANANTA-VFD-14_Roof</v>
      </c>
      <c r="Q2867" s="173" t="s">
        <v>9018</v>
      </c>
      <c r="R2867" s="328" t="str">
        <f>IFS(C2867="","",C2867="n/a","N/A",LEN(C2867),Concatenate("{",char(34),"asset",char(34),":{",char(34),"guid",char(34),":",char(34),Q2867,char(34),",",char(34),"site",char(34),":",char(34),LOWER('2-Building'!$B$4),char(34),",",char(34),"name",char(34),":",char(34),LOWER(C2867),char(34),"}}"))</f>
        <v>{"asset":{"guid":"uuid://f63502a5-43e5-4a5a-89db-0ae678ae45fe","site":"in-blr-ananta","name":"vfd-14"}}</v>
      </c>
      <c r="S2867" s="366" t="s">
        <v>5516</v>
      </c>
      <c r="T2867" s="330"/>
      <c r="U2867" s="330"/>
      <c r="V2867" s="331"/>
      <c r="W2867" s="332"/>
      <c r="X2867" s="333"/>
      <c r="Y2867" s="33" t="s">
        <v>8076</v>
      </c>
      <c r="Z2867" s="368"/>
      <c r="AA2867" s="333"/>
      <c r="AB2867" s="258">
        <v>14.0</v>
      </c>
      <c r="AC2867" s="333"/>
      <c r="AD2867" s="329"/>
      <c r="AE2867" s="331"/>
      <c r="AF2867" s="336"/>
      <c r="AG2867" s="337"/>
      <c r="AH2867" s="333"/>
      <c r="AI2867" s="333"/>
      <c r="AJ2867" s="333"/>
      <c r="AK2867" s="333"/>
      <c r="AL2867" s="333"/>
      <c r="AM2867" s="338"/>
      <c r="AN2867" s="333"/>
      <c r="AO2867" s="333"/>
      <c r="AP2867" s="333"/>
      <c r="AQ2867" s="333"/>
      <c r="AR2867" s="333"/>
      <c r="AS2867" s="333"/>
      <c r="AT2867" s="333"/>
      <c r="AU2867" s="329"/>
      <c r="AV2867" s="341"/>
      <c r="AW2867" s="269" t="s">
        <v>2710</v>
      </c>
      <c r="AX2867" s="269" t="s">
        <v>2869</v>
      </c>
      <c r="AY2867" s="270" t="s">
        <v>695</v>
      </c>
      <c r="AZ2867" s="379"/>
      <c r="BA2867" s="173">
        <v>10.0</v>
      </c>
      <c r="BB2867" s="367"/>
      <c r="BC2867" s="341"/>
      <c r="BD2867" s="308" t="s">
        <v>1844</v>
      </c>
      <c r="BE2867" s="378"/>
      <c r="BF2867" s="274" t="str">
        <f>IFERROR(__xludf.DUMMYFUNCTION("LOWER(Regexreplace(to_text(E2867),""[^A-Za-z0-9]"","""")&amp;""_""&amp;Regexreplace(to_text(F2867),""[^A-Za-z0-9]"",""""))"),"abb_acs310drive")</f>
        <v>abb_acs310drive</v>
      </c>
      <c r="BG2867" s="275" t="str">
        <f>IFERROR(__xludf.DUMMYFUNCTION("upper(Regexreplace(to_text(E2867),""[^A-Za-z0-9]"","""")&amp;""-""&amp;Regexreplace(to_text(F2867),""[^A-Za-z0-9]"",""""))"),"ABB-ACS310DRIVE")</f>
        <v>ABB-ACS310DRIVE</v>
      </c>
    </row>
    <row r="2868" ht="30.0" customHeight="1">
      <c r="A2868" s="258"/>
      <c r="B2868" s="328" t="s">
        <v>670</v>
      </c>
      <c r="C2868" s="257" t="s">
        <v>9019</v>
      </c>
      <c r="D2868" s="173" t="s">
        <v>9019</v>
      </c>
      <c r="E2868" s="174" t="s">
        <v>9020</v>
      </c>
      <c r="F2868" s="173" t="s">
        <v>9021</v>
      </c>
      <c r="G2868" s="328" t="s">
        <v>673</v>
      </c>
      <c r="H2868" s="328" t="s">
        <v>2863</v>
      </c>
      <c r="I2868" s="258" t="s">
        <v>8991</v>
      </c>
      <c r="J2868" s="259" t="s">
        <v>2839</v>
      </c>
      <c r="K2868" s="260" t="s">
        <v>1680</v>
      </c>
      <c r="L2868" s="365"/>
      <c r="M2868" s="329"/>
      <c r="N2868" s="173" t="s">
        <v>679</v>
      </c>
      <c r="O2868" s="173" t="s">
        <v>225</v>
      </c>
      <c r="P2868" s="262" t="str">
        <f t="shared" si="1"/>
        <v>IN-BLR-ANANTA-VFD-15_M</v>
      </c>
      <c r="Q2868" s="173" t="s">
        <v>9022</v>
      </c>
      <c r="R2868" s="328" t="str">
        <f>IFS(C2868="","",C2868="n/a","N/A",LEN(C2868),Concatenate("{",char(34),"asset",char(34),":{",char(34),"guid",char(34),":",char(34),Q2868,char(34),",",char(34),"site",char(34),":",char(34),LOWER('2-Building'!$B$4),char(34),",",char(34),"name",char(34),":",char(34),LOWER(C2868),char(34),"}}"))</f>
        <v>{"asset":{"guid":"uuid://d0d7b474-eeb0-4ef2-80da-f6dee8d29e16","site":"in-blr-ananta","name":"vfd-15"}}</v>
      </c>
      <c r="S2868" s="366" t="s">
        <v>5516</v>
      </c>
      <c r="T2868" s="330"/>
      <c r="U2868" s="330"/>
      <c r="V2868" s="331"/>
      <c r="W2868" s="332"/>
      <c r="X2868" s="333"/>
      <c r="Y2868" s="33" t="s">
        <v>8076</v>
      </c>
      <c r="Z2868" s="368"/>
      <c r="AA2868" s="333"/>
      <c r="AB2868" s="258">
        <v>3.0</v>
      </c>
      <c r="AC2868" s="333"/>
      <c r="AD2868" s="329"/>
      <c r="AE2868" s="331"/>
      <c r="AF2868" s="336"/>
      <c r="AG2868" s="337"/>
      <c r="AH2868" s="333"/>
      <c r="AI2868" s="333"/>
      <c r="AJ2868" s="333"/>
      <c r="AK2868" s="333"/>
      <c r="AL2868" s="333"/>
      <c r="AM2868" s="338"/>
      <c r="AN2868" s="333"/>
      <c r="AO2868" s="333"/>
      <c r="AP2868" s="333"/>
      <c r="AQ2868" s="333"/>
      <c r="AR2868" s="333"/>
      <c r="AS2868" s="333"/>
      <c r="AT2868" s="333"/>
      <c r="AU2868" s="329"/>
      <c r="AV2868" s="341"/>
      <c r="AW2868" s="269" t="s">
        <v>2746</v>
      </c>
      <c r="AX2868" s="269" t="s">
        <v>2869</v>
      </c>
      <c r="AY2868" s="270" t="s">
        <v>695</v>
      </c>
      <c r="AZ2868" s="379"/>
      <c r="BA2868" s="173">
        <v>10.0</v>
      </c>
      <c r="BB2868" s="367"/>
      <c r="BC2868" s="341"/>
      <c r="BD2868" s="308" t="s">
        <v>1844</v>
      </c>
      <c r="BE2868" s="378"/>
      <c r="BF2868" s="274" t="str">
        <f>IFERROR(__xludf.DUMMYFUNCTION("LOWER(Regexreplace(to_text(E2868),""[^A-Za-z0-9]"","""")&amp;""_""&amp;Regexreplace(to_text(F2868),""[^A-Za-z0-9]"",""""))"),"nidec_unidrivem200")</f>
        <v>nidec_unidrivem200</v>
      </c>
      <c r="BG2868" s="275" t="str">
        <f>IFERROR(__xludf.DUMMYFUNCTION("upper(Regexreplace(to_text(E2868),""[^A-Za-z0-9]"","""")&amp;""-""&amp;Regexreplace(to_text(F2868),""[^A-Za-z0-9]"",""""))"),"NIDEC-UNIDRIVEM200")</f>
        <v>NIDEC-UNIDRIVEM200</v>
      </c>
    </row>
    <row r="2869" ht="30.0" customHeight="1">
      <c r="A2869" s="258"/>
      <c r="B2869" s="328" t="s">
        <v>670</v>
      </c>
      <c r="C2869" s="257" t="s">
        <v>9023</v>
      </c>
      <c r="D2869" s="173" t="s">
        <v>9023</v>
      </c>
      <c r="E2869" s="174" t="s">
        <v>9020</v>
      </c>
      <c r="F2869" s="173" t="s">
        <v>9021</v>
      </c>
      <c r="G2869" s="328" t="s">
        <v>673</v>
      </c>
      <c r="H2869" s="328" t="s">
        <v>2863</v>
      </c>
      <c r="I2869" s="258" t="s">
        <v>8991</v>
      </c>
      <c r="J2869" s="259" t="s">
        <v>1149</v>
      </c>
      <c r="K2869" s="260" t="s">
        <v>5969</v>
      </c>
      <c r="L2869" s="365"/>
      <c r="M2869" s="329"/>
      <c r="N2869" s="173" t="s">
        <v>679</v>
      </c>
      <c r="O2869" s="173" t="s">
        <v>225</v>
      </c>
      <c r="P2869" s="262" t="str">
        <f t="shared" si="1"/>
        <v>IN-BLR-ANANTA-VFD-16_6</v>
      </c>
      <c r="Q2869" s="173" t="s">
        <v>9024</v>
      </c>
      <c r="R2869" s="328" t="str">
        <f>IFS(C2869="","",C2869="n/a","N/A",LEN(C2869),Concatenate("{",char(34),"asset",char(34),":{",char(34),"guid",char(34),":",char(34),Q2869,char(34),",",char(34),"site",char(34),":",char(34),LOWER('2-Building'!$B$4),char(34),",",char(34),"name",char(34),":",char(34),LOWER(C2869),char(34),"}}"))</f>
        <v>{"asset":{"guid":"uuid://38f84806-8536-4bbb-ac40-0f9f1a9a513b","site":"in-blr-ananta","name":"vfd-16"}}</v>
      </c>
      <c r="S2869" s="366" t="s">
        <v>5516</v>
      </c>
      <c r="T2869" s="330"/>
      <c r="U2869" s="330"/>
      <c r="V2869" s="331"/>
      <c r="W2869" s="332"/>
      <c r="X2869" s="333"/>
      <c r="Y2869" s="33" t="s">
        <v>8076</v>
      </c>
      <c r="Z2869" s="368"/>
      <c r="AA2869" s="333"/>
      <c r="AB2869" s="258">
        <v>4.0</v>
      </c>
      <c r="AC2869" s="333"/>
      <c r="AD2869" s="329"/>
      <c r="AE2869" s="331"/>
      <c r="AF2869" s="336"/>
      <c r="AG2869" s="337"/>
      <c r="AH2869" s="333"/>
      <c r="AI2869" s="333"/>
      <c r="AJ2869" s="333"/>
      <c r="AK2869" s="333"/>
      <c r="AL2869" s="333"/>
      <c r="AM2869" s="338"/>
      <c r="AN2869" s="333"/>
      <c r="AO2869" s="333"/>
      <c r="AP2869" s="333"/>
      <c r="AQ2869" s="333"/>
      <c r="AR2869" s="333"/>
      <c r="AS2869" s="333"/>
      <c r="AT2869" s="333"/>
      <c r="AU2869" s="329"/>
      <c r="AV2869" s="341"/>
      <c r="AW2869" s="269" t="s">
        <v>1155</v>
      </c>
      <c r="AX2869" s="269" t="s">
        <v>2869</v>
      </c>
      <c r="AY2869" s="270" t="s">
        <v>695</v>
      </c>
      <c r="AZ2869" s="379"/>
      <c r="BA2869" s="173">
        <v>10.0</v>
      </c>
      <c r="BB2869" s="367"/>
      <c r="BC2869" s="341"/>
      <c r="BD2869" s="308" t="s">
        <v>1844</v>
      </c>
      <c r="BE2869" s="378"/>
      <c r="BF2869" s="274" t="str">
        <f>IFERROR(__xludf.DUMMYFUNCTION("LOWER(Regexreplace(to_text(E2869),""[^A-Za-z0-9]"","""")&amp;""_""&amp;Regexreplace(to_text(F2869),""[^A-Za-z0-9]"",""""))"),"nidec_unidrivem200")</f>
        <v>nidec_unidrivem200</v>
      </c>
      <c r="BG2869" s="275" t="str">
        <f>IFERROR(__xludf.DUMMYFUNCTION("upper(Regexreplace(to_text(E2869),""[^A-Za-z0-9]"","""")&amp;""-""&amp;Regexreplace(to_text(F2869),""[^A-Za-z0-9]"",""""))"),"NIDEC-UNIDRIVEM200")</f>
        <v>NIDEC-UNIDRIVEM200</v>
      </c>
    </row>
    <row r="2870" ht="30.0" customHeight="1">
      <c r="A2870" s="258"/>
      <c r="B2870" s="328" t="s">
        <v>670</v>
      </c>
      <c r="C2870" s="257" t="s">
        <v>9025</v>
      </c>
      <c r="D2870" s="173" t="s">
        <v>9025</v>
      </c>
      <c r="E2870" s="174" t="s">
        <v>9026</v>
      </c>
      <c r="F2870" s="173" t="s">
        <v>9027</v>
      </c>
      <c r="G2870" s="328" t="s">
        <v>673</v>
      </c>
      <c r="H2870" s="328" t="s">
        <v>2863</v>
      </c>
      <c r="I2870" s="258" t="s">
        <v>9028</v>
      </c>
      <c r="J2870" s="259" t="s">
        <v>1520</v>
      </c>
      <c r="K2870" s="260"/>
      <c r="L2870" s="365"/>
      <c r="M2870" s="329"/>
      <c r="N2870" s="173" t="s">
        <v>679</v>
      </c>
      <c r="O2870" s="173" t="s">
        <v>225</v>
      </c>
      <c r="P2870" s="262" t="str">
        <f t="shared" si="1"/>
        <v>IN-BLR-ANANTA-WST-1_Roof</v>
      </c>
      <c r="Q2870" s="173" t="s">
        <v>9029</v>
      </c>
      <c r="R2870" s="328" t="str">
        <f>IFS(C2870="","",C2870="n/a","N/A",LEN(C2870),Concatenate("{",char(34),"asset",char(34),":{",char(34),"guid",char(34),":",char(34),Q2870,char(34),",",char(34),"site",char(34),":",char(34),LOWER('2-Building'!$B$4),char(34),",",char(34),"name",char(34),":",char(34),LOWER(C2870),char(34),"}}"))</f>
        <v>{"asset":{"guid":"uuid://77886c41-690b-4b3d-9b02-c8b2f546d3fd","site":"in-blr-ananta","name":"wst-1"}}</v>
      </c>
      <c r="S2870" s="366" t="s">
        <v>8581</v>
      </c>
      <c r="T2870" s="330"/>
      <c r="U2870" s="330"/>
      <c r="V2870" s="331"/>
      <c r="W2870" s="332"/>
      <c r="X2870" s="333"/>
      <c r="Y2870" s="33" t="s">
        <v>8076</v>
      </c>
      <c r="Z2870" s="368"/>
      <c r="AA2870" s="333"/>
      <c r="AB2870" s="258">
        <v>1.0</v>
      </c>
      <c r="AC2870" s="333"/>
      <c r="AD2870" s="329"/>
      <c r="AE2870" s="331"/>
      <c r="AF2870" s="336"/>
      <c r="AG2870" s="337"/>
      <c r="AH2870" s="333"/>
      <c r="AI2870" s="333"/>
      <c r="AJ2870" s="333"/>
      <c r="AK2870" s="333"/>
      <c r="AL2870" s="333"/>
      <c r="AM2870" s="338"/>
      <c r="AN2870" s="333"/>
      <c r="AO2870" s="333"/>
      <c r="AP2870" s="333"/>
      <c r="AQ2870" s="333"/>
      <c r="AR2870" s="333"/>
      <c r="AS2870" s="333"/>
      <c r="AT2870" s="333"/>
      <c r="AU2870" s="329"/>
      <c r="AV2870" s="341"/>
      <c r="AW2870" s="269" t="s">
        <v>1791</v>
      </c>
      <c r="AX2870" s="269" t="s">
        <v>2869</v>
      </c>
      <c r="AY2870" s="270" t="s">
        <v>695</v>
      </c>
      <c r="AZ2870" s="379"/>
      <c r="BA2870" s="173">
        <v>10.0</v>
      </c>
      <c r="BB2870" s="367"/>
      <c r="BC2870" s="341"/>
      <c r="BD2870" s="308"/>
      <c r="BE2870" s="378"/>
      <c r="BF2870" s="274" t="str">
        <f>IFERROR(__xludf.DUMMYFUNCTION("LOWER(Regexreplace(to_text(E2870),""[^A-Za-z0-9]"","""")&amp;""_""&amp;Regexreplace(to_text(F2870),""[^A-Za-z0-9]"",""""))"),"vaisala_custom")</f>
        <v>vaisala_custom</v>
      </c>
      <c r="BG2870" s="275" t="str">
        <f>IFERROR(__xludf.DUMMYFUNCTION("upper(Regexreplace(to_text(E2870),""[^A-Za-z0-9]"","""")&amp;""-""&amp;Regexreplace(to_text(F2870),""[^A-Za-z0-9]"",""""))"),"VAISALA-CUSTOM")</f>
        <v>VAISALA-CUSTOM</v>
      </c>
    </row>
    <row r="2871" ht="30.0" customHeight="1">
      <c r="A2871" s="258"/>
      <c r="B2871" s="328" t="s">
        <v>670</v>
      </c>
      <c r="C2871" s="257" t="s">
        <v>9030</v>
      </c>
      <c r="D2871" s="173" t="s">
        <v>9030</v>
      </c>
      <c r="E2871" s="174" t="s">
        <v>9031</v>
      </c>
      <c r="F2871" s="173"/>
      <c r="G2871" s="328" t="s">
        <v>673</v>
      </c>
      <c r="H2871" s="328" t="s">
        <v>2863</v>
      </c>
      <c r="I2871" s="258" t="s">
        <v>9032</v>
      </c>
      <c r="J2871" s="259" t="s">
        <v>739</v>
      </c>
      <c r="K2871" s="260" t="s">
        <v>8087</v>
      </c>
      <c r="L2871" s="365"/>
      <c r="M2871" s="329"/>
      <c r="N2871" s="173" t="s">
        <v>679</v>
      </c>
      <c r="O2871" s="173" t="s">
        <v>225</v>
      </c>
      <c r="P2871" s="262" t="str">
        <f t="shared" si="1"/>
        <v>IN-BLR-ANANTA-UPS-201_G</v>
      </c>
      <c r="Q2871" s="173" t="s">
        <v>9033</v>
      </c>
      <c r="R2871" s="328" t="str">
        <f>IFS(C2871="","",C2871="n/a","N/A",LEN(C2871),Concatenate("{",char(34),"asset",char(34),":{",char(34),"guid",char(34),":",char(34),Q2871,char(34),",",char(34),"site",char(34),":",char(34),LOWER('2-Building'!$B$4),char(34),",",char(34),"name",char(34),":",char(34),LOWER(C2871),char(34),"}}"))</f>
        <v>{"asset":{"guid":"uuid://be27b51c-e2cf-4ad5-91e0-05ccc6b8c404","site":"in-blr-ananta","name":"ups-201"}}</v>
      </c>
      <c r="S2871" s="366" t="s">
        <v>8581</v>
      </c>
      <c r="T2871" s="330"/>
      <c r="U2871" s="330"/>
      <c r="V2871" s="331"/>
      <c r="W2871" s="332"/>
      <c r="X2871" s="333"/>
      <c r="Y2871" s="33" t="s">
        <v>8076</v>
      </c>
      <c r="Z2871" s="368"/>
      <c r="AA2871" s="333"/>
      <c r="AB2871" s="258">
        <v>5.0</v>
      </c>
      <c r="AC2871" s="333"/>
      <c r="AD2871" s="329"/>
      <c r="AE2871" s="331"/>
      <c r="AF2871" s="336"/>
      <c r="AG2871" s="337"/>
      <c r="AH2871" s="333"/>
      <c r="AI2871" s="333"/>
      <c r="AJ2871" s="333"/>
      <c r="AK2871" s="333"/>
      <c r="AL2871" s="333"/>
      <c r="AM2871" s="338"/>
      <c r="AN2871" s="333"/>
      <c r="AO2871" s="333"/>
      <c r="AP2871" s="333"/>
      <c r="AQ2871" s="333"/>
      <c r="AR2871" s="333"/>
      <c r="AS2871" s="333"/>
      <c r="AT2871" s="333"/>
      <c r="AU2871" s="329"/>
      <c r="AV2871" s="341"/>
      <c r="AW2871" s="269" t="s">
        <v>1809</v>
      </c>
      <c r="AX2871" s="269" t="s">
        <v>2869</v>
      </c>
      <c r="AY2871" s="270" t="s">
        <v>695</v>
      </c>
      <c r="AZ2871" s="379"/>
      <c r="BA2871" s="173">
        <v>10.0</v>
      </c>
      <c r="BB2871" s="367"/>
      <c r="BC2871" s="341"/>
      <c r="BD2871" s="308" t="s">
        <v>1844</v>
      </c>
      <c r="BE2871" s="378"/>
      <c r="BF2871" s="274" t="str">
        <f>IFERROR(__xludf.DUMMYFUNCTION("LOWER(Regexreplace(to_text(E2871),""[^A-Za-z0-9]"","""")&amp;""_""&amp;Regexreplace(to_text(F2871),""[^A-Za-z0-9]"",""""))"),"socomec_")</f>
        <v>socomec_</v>
      </c>
      <c r="BG2871" s="275" t="str">
        <f>IFERROR(__xludf.DUMMYFUNCTION("upper(Regexreplace(to_text(E2871),""[^A-Za-z0-9]"","""")&amp;""-""&amp;Regexreplace(to_text(F2871),""[^A-Za-z0-9]"",""""))"),"SOCOMEC-")</f>
        <v>SOCOMEC-</v>
      </c>
    </row>
    <row r="2872" ht="30.0" customHeight="1">
      <c r="A2872" s="258"/>
      <c r="B2872" s="328" t="s">
        <v>670</v>
      </c>
      <c r="C2872" s="257" t="s">
        <v>9034</v>
      </c>
      <c r="D2872" s="173" t="s">
        <v>9034</v>
      </c>
      <c r="E2872" s="174" t="s">
        <v>9031</v>
      </c>
      <c r="F2872" s="173"/>
      <c r="G2872" s="328" t="s">
        <v>673</v>
      </c>
      <c r="H2872" s="328" t="s">
        <v>2863</v>
      </c>
      <c r="I2872" s="258" t="s">
        <v>9032</v>
      </c>
      <c r="J2872" s="259" t="s">
        <v>739</v>
      </c>
      <c r="K2872" s="260" t="s">
        <v>8087</v>
      </c>
      <c r="L2872" s="365"/>
      <c r="M2872" s="329"/>
      <c r="N2872" s="173" t="s">
        <v>679</v>
      </c>
      <c r="O2872" s="173" t="s">
        <v>225</v>
      </c>
      <c r="P2872" s="262" t="str">
        <f t="shared" si="1"/>
        <v>IN-BLR-ANANTA-UPS-202_G</v>
      </c>
      <c r="Q2872" s="173" t="s">
        <v>9035</v>
      </c>
      <c r="R2872" s="328" t="str">
        <f>IFS(C2872="","",C2872="n/a","N/A",LEN(C2872),Concatenate("{",char(34),"asset",char(34),":{",char(34),"guid",char(34),":",char(34),Q2872,char(34),",",char(34),"site",char(34),":",char(34),LOWER('2-Building'!$B$4),char(34),",",char(34),"name",char(34),":",char(34),LOWER(C2872),char(34),"}}"))</f>
        <v>{"asset":{"guid":"uuid://bbc52a6d-c017-488a-94ed-5c22b5a6acc2","site":"in-blr-ananta","name":"ups-202"}}</v>
      </c>
      <c r="S2872" s="366" t="s">
        <v>8581</v>
      </c>
      <c r="T2872" s="330"/>
      <c r="U2872" s="330"/>
      <c r="V2872" s="331"/>
      <c r="W2872" s="332"/>
      <c r="X2872" s="333"/>
      <c r="Y2872" s="33" t="s">
        <v>8076</v>
      </c>
      <c r="Z2872" s="368"/>
      <c r="AA2872" s="333"/>
      <c r="AB2872" s="258">
        <v>5.0</v>
      </c>
      <c r="AC2872" s="333"/>
      <c r="AD2872" s="329"/>
      <c r="AE2872" s="331"/>
      <c r="AF2872" s="336"/>
      <c r="AG2872" s="337"/>
      <c r="AH2872" s="333"/>
      <c r="AI2872" s="333"/>
      <c r="AJ2872" s="333"/>
      <c r="AK2872" s="333"/>
      <c r="AL2872" s="333"/>
      <c r="AM2872" s="338"/>
      <c r="AN2872" s="333"/>
      <c r="AO2872" s="333"/>
      <c r="AP2872" s="333"/>
      <c r="AQ2872" s="333"/>
      <c r="AR2872" s="333"/>
      <c r="AS2872" s="333"/>
      <c r="AT2872" s="333"/>
      <c r="AU2872" s="329"/>
      <c r="AV2872" s="341"/>
      <c r="AW2872" s="269" t="s">
        <v>1809</v>
      </c>
      <c r="AX2872" s="269" t="s">
        <v>2869</v>
      </c>
      <c r="AY2872" s="270" t="s">
        <v>695</v>
      </c>
      <c r="AZ2872" s="379"/>
      <c r="BA2872" s="173">
        <v>10.0</v>
      </c>
      <c r="BB2872" s="367"/>
      <c r="BC2872" s="341"/>
      <c r="BD2872" s="308" t="s">
        <v>1844</v>
      </c>
      <c r="BE2872" s="378"/>
      <c r="BF2872" s="274" t="str">
        <f>IFERROR(__xludf.DUMMYFUNCTION("LOWER(Regexreplace(to_text(E2872),""[^A-Za-z0-9]"","""")&amp;""_""&amp;Regexreplace(to_text(F2872),""[^A-Za-z0-9]"",""""))"),"socomec_")</f>
        <v>socomec_</v>
      </c>
      <c r="BG2872" s="275" t="str">
        <f>IFERROR(__xludf.DUMMYFUNCTION("upper(Regexreplace(to_text(E2872),""[^A-Za-z0-9]"","""")&amp;""-""&amp;Regexreplace(to_text(F2872),""[^A-Za-z0-9]"",""""))"),"SOCOMEC-")</f>
        <v>SOCOMEC-</v>
      </c>
    </row>
    <row r="2873" ht="30.0" customHeight="1">
      <c r="A2873" s="258"/>
      <c r="B2873" s="328" t="s">
        <v>670</v>
      </c>
      <c r="C2873" s="257" t="s">
        <v>9036</v>
      </c>
      <c r="D2873" s="173" t="s">
        <v>9036</v>
      </c>
      <c r="E2873" s="174" t="s">
        <v>9031</v>
      </c>
      <c r="F2873" s="173"/>
      <c r="G2873" s="328" t="s">
        <v>673</v>
      </c>
      <c r="H2873" s="328" t="s">
        <v>2863</v>
      </c>
      <c r="I2873" s="258" t="s">
        <v>9032</v>
      </c>
      <c r="J2873" s="259" t="s">
        <v>739</v>
      </c>
      <c r="K2873" s="260" t="s">
        <v>8087</v>
      </c>
      <c r="L2873" s="365"/>
      <c r="M2873" s="329"/>
      <c r="N2873" s="173" t="s">
        <v>679</v>
      </c>
      <c r="O2873" s="173" t="s">
        <v>225</v>
      </c>
      <c r="P2873" s="262" t="str">
        <f t="shared" si="1"/>
        <v>IN-BLR-ANANTA-UPS-203_G</v>
      </c>
      <c r="Q2873" s="173" t="s">
        <v>9037</v>
      </c>
      <c r="R2873" s="328" t="str">
        <f>IFS(C2873="","",C2873="n/a","N/A",LEN(C2873),Concatenate("{",char(34),"asset",char(34),":{",char(34),"guid",char(34),":",char(34),Q2873,char(34),",",char(34),"site",char(34),":",char(34),LOWER('2-Building'!$B$4),char(34),",",char(34),"name",char(34),":",char(34),LOWER(C2873),char(34),"}}"))</f>
        <v>{"asset":{"guid":"uuid://e89425b4-88f2-4e61-b009-aff6a635c300","site":"in-blr-ananta","name":"ups-203"}}</v>
      </c>
      <c r="S2873" s="366" t="s">
        <v>8581</v>
      </c>
      <c r="T2873" s="330"/>
      <c r="U2873" s="330"/>
      <c r="V2873" s="331"/>
      <c r="W2873" s="332"/>
      <c r="X2873" s="333"/>
      <c r="Y2873" s="33" t="s">
        <v>8076</v>
      </c>
      <c r="Z2873" s="368"/>
      <c r="AA2873" s="333"/>
      <c r="AB2873" s="258">
        <v>5.0</v>
      </c>
      <c r="AC2873" s="333"/>
      <c r="AD2873" s="329"/>
      <c r="AE2873" s="331"/>
      <c r="AF2873" s="336"/>
      <c r="AG2873" s="337"/>
      <c r="AH2873" s="333"/>
      <c r="AI2873" s="333"/>
      <c r="AJ2873" s="333"/>
      <c r="AK2873" s="333"/>
      <c r="AL2873" s="333"/>
      <c r="AM2873" s="338"/>
      <c r="AN2873" s="333"/>
      <c r="AO2873" s="333"/>
      <c r="AP2873" s="333"/>
      <c r="AQ2873" s="333"/>
      <c r="AR2873" s="333"/>
      <c r="AS2873" s="333"/>
      <c r="AT2873" s="333"/>
      <c r="AU2873" s="329"/>
      <c r="AV2873" s="341"/>
      <c r="AW2873" s="269" t="s">
        <v>1809</v>
      </c>
      <c r="AX2873" s="269" t="s">
        <v>2869</v>
      </c>
      <c r="AY2873" s="270" t="s">
        <v>695</v>
      </c>
      <c r="AZ2873" s="379"/>
      <c r="BA2873" s="173">
        <v>10.0</v>
      </c>
      <c r="BB2873" s="367"/>
      <c r="BC2873" s="341"/>
      <c r="BD2873" s="308" t="s">
        <v>1844</v>
      </c>
      <c r="BE2873" s="378"/>
      <c r="BF2873" s="274" t="str">
        <f>IFERROR(__xludf.DUMMYFUNCTION("LOWER(Regexreplace(to_text(E2873),""[^A-Za-z0-9]"","""")&amp;""_""&amp;Regexreplace(to_text(F2873),""[^A-Za-z0-9]"",""""))"),"socomec_")</f>
        <v>socomec_</v>
      </c>
      <c r="BG2873" s="275" t="str">
        <f>IFERROR(__xludf.DUMMYFUNCTION("upper(Regexreplace(to_text(E2873),""[^A-Za-z0-9]"","""")&amp;""-""&amp;Regexreplace(to_text(F2873),""[^A-Za-z0-9]"",""""))"),"SOCOMEC-")</f>
        <v>SOCOMEC-</v>
      </c>
    </row>
    <row r="2874" ht="30.0" customHeight="1">
      <c r="A2874" s="258"/>
      <c r="B2874" s="328" t="s">
        <v>670</v>
      </c>
      <c r="C2874" s="257" t="s">
        <v>9038</v>
      </c>
      <c r="D2874" s="173" t="s">
        <v>9038</v>
      </c>
      <c r="E2874" s="174" t="s">
        <v>9031</v>
      </c>
      <c r="F2874" s="173"/>
      <c r="G2874" s="328" t="s">
        <v>673</v>
      </c>
      <c r="H2874" s="328" t="s">
        <v>2863</v>
      </c>
      <c r="I2874" s="258" t="s">
        <v>9032</v>
      </c>
      <c r="J2874" s="259" t="s">
        <v>739</v>
      </c>
      <c r="K2874" s="260" t="s">
        <v>8087</v>
      </c>
      <c r="L2874" s="365"/>
      <c r="M2874" s="329"/>
      <c r="N2874" s="173" t="s">
        <v>679</v>
      </c>
      <c r="O2874" s="173" t="s">
        <v>225</v>
      </c>
      <c r="P2874" s="262" t="str">
        <f t="shared" si="1"/>
        <v>IN-BLR-ANANTA-UPS-204_G</v>
      </c>
      <c r="Q2874" s="173" t="s">
        <v>9039</v>
      </c>
      <c r="R2874" s="328" t="str">
        <f>IFS(C2874="","",C2874="n/a","N/A",LEN(C2874),Concatenate("{",char(34),"asset",char(34),":{",char(34),"guid",char(34),":",char(34),Q2874,char(34),",",char(34),"site",char(34),":",char(34),LOWER('2-Building'!$B$4),char(34),",",char(34),"name",char(34),":",char(34),LOWER(C2874),char(34),"}}"))</f>
        <v>{"asset":{"guid":"uuid://cde10480-fca6-4a15-84d2-be0818a7c04d","site":"in-blr-ananta","name":"ups-204"}}</v>
      </c>
      <c r="S2874" s="366" t="s">
        <v>8581</v>
      </c>
      <c r="T2874" s="330"/>
      <c r="U2874" s="330"/>
      <c r="V2874" s="331"/>
      <c r="W2874" s="332"/>
      <c r="X2874" s="333"/>
      <c r="Y2874" s="33" t="s">
        <v>8076</v>
      </c>
      <c r="Z2874" s="368"/>
      <c r="AA2874" s="333"/>
      <c r="AB2874" s="258">
        <v>2.0</v>
      </c>
      <c r="AC2874" s="333"/>
      <c r="AD2874" s="329"/>
      <c r="AE2874" s="331"/>
      <c r="AF2874" s="336"/>
      <c r="AG2874" s="337"/>
      <c r="AH2874" s="333"/>
      <c r="AI2874" s="333"/>
      <c r="AJ2874" s="333"/>
      <c r="AK2874" s="333"/>
      <c r="AL2874" s="333"/>
      <c r="AM2874" s="338"/>
      <c r="AN2874" s="333"/>
      <c r="AO2874" s="333"/>
      <c r="AP2874" s="333"/>
      <c r="AQ2874" s="333"/>
      <c r="AR2874" s="333"/>
      <c r="AS2874" s="333"/>
      <c r="AT2874" s="333"/>
      <c r="AU2874" s="329"/>
      <c r="AV2874" s="341"/>
      <c r="AW2874" s="269" t="s">
        <v>1809</v>
      </c>
      <c r="AX2874" s="269" t="s">
        <v>2869</v>
      </c>
      <c r="AY2874" s="270" t="s">
        <v>695</v>
      </c>
      <c r="AZ2874" s="379"/>
      <c r="BA2874" s="173">
        <v>10.0</v>
      </c>
      <c r="BB2874" s="367"/>
      <c r="BC2874" s="341"/>
      <c r="BD2874" s="308" t="s">
        <v>1844</v>
      </c>
      <c r="BE2874" s="378"/>
      <c r="BF2874" s="274" t="str">
        <f>IFERROR(__xludf.DUMMYFUNCTION("LOWER(Regexreplace(to_text(E2874),""[^A-Za-z0-9]"","""")&amp;""_""&amp;Regexreplace(to_text(F2874),""[^A-Za-z0-9]"",""""))"),"socomec_")</f>
        <v>socomec_</v>
      </c>
      <c r="BG2874" s="275" t="str">
        <f>IFERROR(__xludf.DUMMYFUNCTION("upper(Regexreplace(to_text(E2874),""[^A-Za-z0-9]"","""")&amp;""-""&amp;Regexreplace(to_text(F2874),""[^A-Za-z0-9]"",""""))"),"SOCOMEC-")</f>
        <v>SOCOMEC-</v>
      </c>
    </row>
    <row r="2875" ht="30.0" customHeight="1">
      <c r="A2875" s="258"/>
      <c r="B2875" s="328" t="s">
        <v>670</v>
      </c>
      <c r="C2875" s="257" t="s">
        <v>9040</v>
      </c>
      <c r="D2875" s="173" t="s">
        <v>9040</v>
      </c>
      <c r="E2875" s="174" t="s">
        <v>9031</v>
      </c>
      <c r="F2875" s="173"/>
      <c r="G2875" s="328" t="s">
        <v>673</v>
      </c>
      <c r="H2875" s="328" t="s">
        <v>2863</v>
      </c>
      <c r="I2875" s="258" t="s">
        <v>9032</v>
      </c>
      <c r="J2875" s="259" t="s">
        <v>739</v>
      </c>
      <c r="K2875" s="260" t="s">
        <v>8087</v>
      </c>
      <c r="L2875" s="365"/>
      <c r="M2875" s="329"/>
      <c r="N2875" s="173" t="s">
        <v>679</v>
      </c>
      <c r="O2875" s="173" t="s">
        <v>225</v>
      </c>
      <c r="P2875" s="262" t="str">
        <f t="shared" si="1"/>
        <v>IN-BLR-ANANTA-UPS-205_G</v>
      </c>
      <c r="Q2875" s="173" t="s">
        <v>9041</v>
      </c>
      <c r="R2875" s="328" t="str">
        <f>IFS(C2875="","",C2875="n/a","N/A",LEN(C2875),Concatenate("{",char(34),"asset",char(34),":{",char(34),"guid",char(34),":",char(34),Q2875,char(34),",",char(34),"site",char(34),":",char(34),LOWER('2-Building'!$B$4),char(34),",",char(34),"name",char(34),":",char(34),LOWER(C2875),char(34),"}}"))</f>
        <v>{"asset":{"guid":"uuid://b2465a41-18e1-4ef8-94cc-d0a0bf471d02","site":"in-blr-ananta","name":"ups-205"}}</v>
      </c>
      <c r="S2875" s="366" t="s">
        <v>8581</v>
      </c>
      <c r="T2875" s="330"/>
      <c r="U2875" s="330"/>
      <c r="V2875" s="331"/>
      <c r="W2875" s="332"/>
      <c r="X2875" s="333"/>
      <c r="Y2875" s="33" t="s">
        <v>8076</v>
      </c>
      <c r="Z2875" s="368"/>
      <c r="AA2875" s="333"/>
      <c r="AB2875" s="258">
        <v>3.0</v>
      </c>
      <c r="AC2875" s="333"/>
      <c r="AD2875" s="329"/>
      <c r="AE2875" s="331"/>
      <c r="AF2875" s="336"/>
      <c r="AG2875" s="337"/>
      <c r="AH2875" s="333"/>
      <c r="AI2875" s="333"/>
      <c r="AJ2875" s="333"/>
      <c r="AK2875" s="333"/>
      <c r="AL2875" s="333"/>
      <c r="AM2875" s="338"/>
      <c r="AN2875" s="333"/>
      <c r="AO2875" s="333"/>
      <c r="AP2875" s="333"/>
      <c r="AQ2875" s="333"/>
      <c r="AR2875" s="333"/>
      <c r="AS2875" s="333"/>
      <c r="AT2875" s="333"/>
      <c r="AU2875" s="329"/>
      <c r="AV2875" s="341"/>
      <c r="AW2875" s="269" t="s">
        <v>1809</v>
      </c>
      <c r="AX2875" s="269" t="s">
        <v>2869</v>
      </c>
      <c r="AY2875" s="270" t="s">
        <v>695</v>
      </c>
      <c r="AZ2875" s="379"/>
      <c r="BA2875" s="173">
        <v>10.0</v>
      </c>
      <c r="BB2875" s="367"/>
      <c r="BC2875" s="341"/>
      <c r="BD2875" s="308" t="s">
        <v>1844</v>
      </c>
      <c r="BE2875" s="378"/>
      <c r="BF2875" s="274" t="str">
        <f>IFERROR(__xludf.DUMMYFUNCTION("LOWER(Regexreplace(to_text(E2875),""[^A-Za-z0-9]"","""")&amp;""_""&amp;Regexreplace(to_text(F2875),""[^A-Za-z0-9]"",""""))"),"socomec_")</f>
        <v>socomec_</v>
      </c>
      <c r="BG2875" s="275" t="str">
        <f>IFERROR(__xludf.DUMMYFUNCTION("upper(Regexreplace(to_text(E2875),""[^A-Za-z0-9]"","""")&amp;""-""&amp;Regexreplace(to_text(F2875),""[^A-Za-z0-9]"",""""))"),"SOCOMEC-")</f>
        <v>SOCOMEC-</v>
      </c>
    </row>
    <row r="2876" ht="30.0" customHeight="1">
      <c r="A2876" s="258"/>
      <c r="B2876" s="328" t="s">
        <v>670</v>
      </c>
      <c r="C2876" s="257" t="s">
        <v>9042</v>
      </c>
      <c r="D2876" s="173" t="s">
        <v>9042</v>
      </c>
      <c r="E2876" s="174" t="s">
        <v>9031</v>
      </c>
      <c r="F2876" s="173"/>
      <c r="G2876" s="328" t="s">
        <v>673</v>
      </c>
      <c r="H2876" s="328" t="s">
        <v>2863</v>
      </c>
      <c r="I2876" s="258" t="s">
        <v>9032</v>
      </c>
      <c r="J2876" s="259" t="s">
        <v>739</v>
      </c>
      <c r="K2876" s="260" t="s">
        <v>1782</v>
      </c>
      <c r="L2876" s="365"/>
      <c r="M2876" s="329"/>
      <c r="N2876" s="173" t="s">
        <v>679</v>
      </c>
      <c r="O2876" s="173" t="s">
        <v>225</v>
      </c>
      <c r="P2876" s="262" t="str">
        <f t="shared" si="1"/>
        <v>IN-BLR-ANANTA-UPS-206_G</v>
      </c>
      <c r="Q2876" s="173" t="s">
        <v>9043</v>
      </c>
      <c r="R2876" s="328" t="str">
        <f>IFS(C2876="","",C2876="n/a","N/A",LEN(C2876),Concatenate("{",char(34),"asset",char(34),":{",char(34),"guid",char(34),":",char(34),Q2876,char(34),",",char(34),"site",char(34),":",char(34),LOWER('2-Building'!$B$4),char(34),",",char(34),"name",char(34),":",char(34),LOWER(C2876),char(34),"}}"))</f>
        <v>{"asset":{"guid":"uuid://10c5c710-1f02-42ca-9a40-1b975795e4c6","site":"in-blr-ananta","name":"ups-206"}}</v>
      </c>
      <c r="S2876" s="366" t="s">
        <v>8581</v>
      </c>
      <c r="T2876" s="330"/>
      <c r="U2876" s="330"/>
      <c r="V2876" s="331"/>
      <c r="W2876" s="332"/>
      <c r="X2876" s="333"/>
      <c r="Y2876" s="33" t="s">
        <v>8076</v>
      </c>
      <c r="Z2876" s="368"/>
      <c r="AA2876" s="333"/>
      <c r="AB2876" s="258">
        <v>4.0</v>
      </c>
      <c r="AC2876" s="333"/>
      <c r="AD2876" s="329"/>
      <c r="AE2876" s="331"/>
      <c r="AF2876" s="336"/>
      <c r="AG2876" s="337"/>
      <c r="AH2876" s="333"/>
      <c r="AI2876" s="333"/>
      <c r="AJ2876" s="333"/>
      <c r="AK2876" s="333"/>
      <c r="AL2876" s="333"/>
      <c r="AM2876" s="338"/>
      <c r="AN2876" s="333"/>
      <c r="AO2876" s="333"/>
      <c r="AP2876" s="333"/>
      <c r="AQ2876" s="333"/>
      <c r="AR2876" s="333"/>
      <c r="AS2876" s="333"/>
      <c r="AT2876" s="333"/>
      <c r="AU2876" s="329"/>
      <c r="AV2876" s="341"/>
      <c r="AW2876" s="269" t="s">
        <v>1809</v>
      </c>
      <c r="AX2876" s="269" t="s">
        <v>2869</v>
      </c>
      <c r="AY2876" s="270" t="s">
        <v>695</v>
      </c>
      <c r="AZ2876" s="379"/>
      <c r="BA2876" s="173">
        <v>10.0</v>
      </c>
      <c r="BB2876" s="367"/>
      <c r="BC2876" s="341"/>
      <c r="BD2876" s="308" t="s">
        <v>1844</v>
      </c>
      <c r="BE2876" s="378"/>
      <c r="BF2876" s="274" t="str">
        <f>IFERROR(__xludf.DUMMYFUNCTION("LOWER(Regexreplace(to_text(E2876),""[^A-Za-z0-9]"","""")&amp;""_""&amp;Regexreplace(to_text(F2876),""[^A-Za-z0-9]"",""""))"),"socomec_")</f>
        <v>socomec_</v>
      </c>
      <c r="BG2876" s="275" t="str">
        <f>IFERROR(__xludf.DUMMYFUNCTION("upper(Regexreplace(to_text(E2876),""[^A-Za-z0-9]"","""")&amp;""-""&amp;Regexreplace(to_text(F2876),""[^A-Za-z0-9]"",""""))"),"SOCOMEC-")</f>
        <v>SOCOMEC-</v>
      </c>
    </row>
    <row r="2877" ht="30.0" customHeight="1">
      <c r="A2877" s="258"/>
      <c r="B2877" s="328" t="s">
        <v>670</v>
      </c>
      <c r="C2877" s="257" t="s">
        <v>9044</v>
      </c>
      <c r="D2877" s="173" t="s">
        <v>9044</v>
      </c>
      <c r="E2877" s="174" t="s">
        <v>9031</v>
      </c>
      <c r="F2877" s="173"/>
      <c r="G2877" s="328" t="s">
        <v>673</v>
      </c>
      <c r="H2877" s="328" t="s">
        <v>2863</v>
      </c>
      <c r="I2877" s="258" t="s">
        <v>9032</v>
      </c>
      <c r="J2877" s="259" t="s">
        <v>2839</v>
      </c>
      <c r="K2877" s="260" t="s">
        <v>1575</v>
      </c>
      <c r="L2877" s="365"/>
      <c r="M2877" s="329"/>
      <c r="N2877" s="173" t="s">
        <v>679</v>
      </c>
      <c r="O2877" s="173" t="s">
        <v>225</v>
      </c>
      <c r="P2877" s="262" t="str">
        <f t="shared" si="1"/>
        <v>IN-BLR-ANANTA-UPS-207_M</v>
      </c>
      <c r="Q2877" s="173" t="s">
        <v>9045</v>
      </c>
      <c r="R2877" s="328" t="str">
        <f>IFS(C2877="","",C2877="n/a","N/A",LEN(C2877),Concatenate("{",char(34),"asset",char(34),":{",char(34),"guid",char(34),":",char(34),Q2877,char(34),",",char(34),"site",char(34),":",char(34),LOWER('2-Building'!$B$4),char(34),",",char(34),"name",char(34),":",char(34),LOWER(C2877),char(34),"}}"))</f>
        <v>{"asset":{"guid":"uuid://647b77c7-8ba6-4511-9862-597cf78a2ee1","site":"in-blr-ananta","name":"ups-207"}}</v>
      </c>
      <c r="S2877" s="366" t="s">
        <v>8581</v>
      </c>
      <c r="T2877" s="330"/>
      <c r="U2877" s="330"/>
      <c r="V2877" s="331"/>
      <c r="W2877" s="332"/>
      <c r="X2877" s="333"/>
      <c r="Y2877" s="33" t="s">
        <v>8076</v>
      </c>
      <c r="Z2877" s="368"/>
      <c r="AA2877" s="333"/>
      <c r="AB2877" s="258">
        <v>1.0</v>
      </c>
      <c r="AC2877" s="333"/>
      <c r="AD2877" s="329"/>
      <c r="AE2877" s="331"/>
      <c r="AF2877" s="336"/>
      <c r="AG2877" s="337"/>
      <c r="AH2877" s="333"/>
      <c r="AI2877" s="333"/>
      <c r="AJ2877" s="333"/>
      <c r="AK2877" s="333"/>
      <c r="AL2877" s="333"/>
      <c r="AM2877" s="338"/>
      <c r="AN2877" s="333"/>
      <c r="AO2877" s="333"/>
      <c r="AP2877" s="333"/>
      <c r="AQ2877" s="333"/>
      <c r="AR2877" s="333"/>
      <c r="AS2877" s="333"/>
      <c r="AT2877" s="333"/>
      <c r="AU2877" s="329"/>
      <c r="AV2877" s="341"/>
      <c r="AW2877" s="269" t="s">
        <v>1809</v>
      </c>
      <c r="AX2877" s="269" t="s">
        <v>2869</v>
      </c>
      <c r="AY2877" s="270" t="s">
        <v>695</v>
      </c>
      <c r="AZ2877" s="379"/>
      <c r="BA2877" s="173">
        <v>10.0</v>
      </c>
      <c r="BB2877" s="367"/>
      <c r="BC2877" s="341"/>
      <c r="BD2877" s="308" t="s">
        <v>1844</v>
      </c>
      <c r="BE2877" s="378"/>
      <c r="BF2877" s="274" t="str">
        <f>IFERROR(__xludf.DUMMYFUNCTION("LOWER(Regexreplace(to_text(E2877),""[^A-Za-z0-9]"","""")&amp;""_""&amp;Regexreplace(to_text(F2877),""[^A-Za-z0-9]"",""""))"),"socomec_")</f>
        <v>socomec_</v>
      </c>
      <c r="BG2877" s="275" t="str">
        <f>IFERROR(__xludf.DUMMYFUNCTION("upper(Regexreplace(to_text(E2877),""[^A-Za-z0-9]"","""")&amp;""-""&amp;Regexreplace(to_text(F2877),""[^A-Za-z0-9]"",""""))"),"SOCOMEC-")</f>
        <v>SOCOMEC-</v>
      </c>
    </row>
    <row r="2878" ht="30.0" customHeight="1">
      <c r="A2878" s="258">
        <v>2690.0</v>
      </c>
      <c r="B2878" s="328" t="s">
        <v>670</v>
      </c>
      <c r="C2878" s="257" t="s">
        <v>9046</v>
      </c>
      <c r="D2878" s="173" t="s">
        <v>9046</v>
      </c>
      <c r="E2878" s="174" t="s">
        <v>9047</v>
      </c>
      <c r="F2878" s="173" t="s">
        <v>9048</v>
      </c>
      <c r="G2878" s="328" t="s">
        <v>673</v>
      </c>
      <c r="H2878" s="328" t="s">
        <v>2863</v>
      </c>
      <c r="I2878" s="258" t="s">
        <v>9049</v>
      </c>
      <c r="J2878" s="259" t="s">
        <v>1088</v>
      </c>
      <c r="K2878" s="260" t="s">
        <v>9050</v>
      </c>
      <c r="L2878" s="142"/>
      <c r="M2878" s="329"/>
      <c r="N2878" s="173" t="s">
        <v>679</v>
      </c>
      <c r="O2878" s="173" t="s">
        <v>225</v>
      </c>
      <c r="P2878" s="262" t="str">
        <f t="shared" si="1"/>
        <v>IN-BLR-ANANTA-CRAC-1_5</v>
      </c>
      <c r="Q2878" s="173" t="s">
        <v>9051</v>
      </c>
      <c r="R2878" s="328" t="str">
        <f>IFS(C2878="","",C2878="n/a","N/A",LEN(C2878),Concatenate("{",char(34),"asset",char(34),":{",char(34),"guid",char(34),":",char(34),Q2878,char(34),",",char(34),"site",char(34),":",char(34),LOWER('2-Building'!$B$4),char(34),",",char(34),"name",char(34),":",char(34),LOWER(C2878),char(34),"}}"))</f>
        <v>{"asset":{"guid":"uuid://b6b978c1-d6b2-46a0-941f-c72f4aa5e90c","site":"in-blr-ananta","name":"crac-1"}}</v>
      </c>
      <c r="S2878" s="369" t="s">
        <v>2866</v>
      </c>
      <c r="T2878" s="330"/>
      <c r="U2878" s="330"/>
      <c r="V2878" s="331"/>
      <c r="W2878" s="332"/>
      <c r="X2878" s="333"/>
      <c r="Y2878" s="33" t="s">
        <v>8076</v>
      </c>
      <c r="Z2878" s="368"/>
      <c r="AA2878" s="333"/>
      <c r="AB2878" s="258">
        <v>2.0</v>
      </c>
      <c r="AC2878" s="333"/>
      <c r="AD2878" s="329"/>
      <c r="AE2878" s="331"/>
      <c r="AF2878" s="336"/>
      <c r="AG2878" s="337" t="str">
        <f>IFS(LEN(AF2878)=17,LOWER('2-Building'!$B$4 &amp; "-" &amp; C2878), AF2878="N/A", "N/A", LEN(AF2878)=0,"")</f>
        <v/>
      </c>
      <c r="AH2878" s="333"/>
      <c r="AI2878" s="333"/>
      <c r="AJ2878" s="333"/>
      <c r="AK2878" s="333"/>
      <c r="AL2878" s="333"/>
      <c r="AM2878" s="338"/>
      <c r="AN2878" s="333"/>
      <c r="AO2878" s="333"/>
      <c r="AP2878" s="333"/>
      <c r="AQ2878" s="333"/>
      <c r="AR2878" s="333"/>
      <c r="AS2878" s="333"/>
      <c r="AT2878" s="333"/>
      <c r="AU2878" s="329"/>
      <c r="AV2878" s="341"/>
      <c r="AW2878" s="269" t="s">
        <v>2227</v>
      </c>
      <c r="AX2878" s="269" t="s">
        <v>2869</v>
      </c>
      <c r="AY2878" s="270" t="s">
        <v>695</v>
      </c>
      <c r="AZ2878" s="379"/>
      <c r="BA2878" s="173">
        <v>10.0</v>
      </c>
      <c r="BB2878" s="367"/>
      <c r="BC2878" s="341"/>
      <c r="BD2878" s="308" t="s">
        <v>1844</v>
      </c>
      <c r="BE2878" s="378" t="s">
        <v>9052</v>
      </c>
      <c r="BF2878" s="274" t="str">
        <f>IFERROR(__xludf.DUMMYFUNCTION("LOWER(Regexreplace(to_text(E2878),""[^A-Za-z0-9]"","""")&amp;""_""&amp;Regexreplace(to_text(F2878),""[^A-Za-z0-9]"",""""))"),"seleccontrols_flexysrail")</f>
        <v>seleccontrols_flexysrail</v>
      </c>
      <c r="BG2878" s="275" t="str">
        <f>IFERROR(__xludf.DUMMYFUNCTION("upper(Regexreplace(to_text(E2878),""[^A-Za-z0-9]"","""")&amp;""-""&amp;Regexreplace(to_text(F2878),""[^A-Za-z0-9]"",""""))"),"SELECCONTROLS-FLEXYSRAIL")</f>
        <v>SELECCONTROLS-FLEXYSRAIL</v>
      </c>
    </row>
    <row r="2879" ht="30.0" customHeight="1">
      <c r="A2879" s="258">
        <v>2690.0</v>
      </c>
      <c r="B2879" s="328" t="s">
        <v>670</v>
      </c>
      <c r="C2879" s="257" t="s">
        <v>9053</v>
      </c>
      <c r="D2879" s="173" t="s">
        <v>9053</v>
      </c>
      <c r="E2879" s="174" t="s">
        <v>9047</v>
      </c>
      <c r="F2879" s="173" t="s">
        <v>9048</v>
      </c>
      <c r="G2879" s="328" t="s">
        <v>673</v>
      </c>
      <c r="H2879" s="328" t="s">
        <v>2863</v>
      </c>
      <c r="I2879" s="258" t="s">
        <v>9049</v>
      </c>
      <c r="J2879" s="259" t="s">
        <v>1088</v>
      </c>
      <c r="K2879" s="260" t="s">
        <v>9050</v>
      </c>
      <c r="L2879" s="142"/>
      <c r="M2879" s="329"/>
      <c r="N2879" s="173" t="s">
        <v>679</v>
      </c>
      <c r="O2879" s="173" t="s">
        <v>225</v>
      </c>
      <c r="P2879" s="262" t="str">
        <f t="shared" si="1"/>
        <v>IN-BLR-ANANTA-CRAC-2_5</v>
      </c>
      <c r="Q2879" s="173" t="s">
        <v>9054</v>
      </c>
      <c r="R2879" s="328" t="str">
        <f>IFS(C2879="","",C2879="n/a","N/A",LEN(C2879),Concatenate("{",char(34),"asset",char(34),":{",char(34),"guid",char(34),":",char(34),Q2879,char(34),",",char(34),"site",char(34),":",char(34),LOWER('2-Building'!$B$4),char(34),",",char(34),"name",char(34),":",char(34),LOWER(C2879),char(34),"}}"))</f>
        <v>{"asset":{"guid":"uuid://5fdc9d6e-3c60-471a-93f4-99626a8f3563","site":"in-blr-ananta","name":"crac-2"}}</v>
      </c>
      <c r="S2879" s="369" t="s">
        <v>2866</v>
      </c>
      <c r="T2879" s="330"/>
      <c r="U2879" s="330"/>
      <c r="V2879" s="331"/>
      <c r="W2879" s="332"/>
      <c r="X2879" s="333"/>
      <c r="Y2879" s="33" t="s">
        <v>8076</v>
      </c>
      <c r="Z2879" s="368"/>
      <c r="AA2879" s="333"/>
      <c r="AB2879" s="258">
        <v>3.0</v>
      </c>
      <c r="AC2879" s="333"/>
      <c r="AD2879" s="329"/>
      <c r="AE2879" s="331"/>
      <c r="AF2879" s="336"/>
      <c r="AG2879" s="337" t="str">
        <f>IFS(LEN(AF2879)=17,LOWER('2-Building'!$B$4 &amp; "-" &amp; C2879), AF2879="N/A", "N/A", LEN(AF2879)=0,"")</f>
        <v/>
      </c>
      <c r="AH2879" s="333"/>
      <c r="AI2879" s="333"/>
      <c r="AJ2879" s="333"/>
      <c r="AK2879" s="333"/>
      <c r="AL2879" s="333"/>
      <c r="AM2879" s="338"/>
      <c r="AN2879" s="333"/>
      <c r="AO2879" s="333"/>
      <c r="AP2879" s="333"/>
      <c r="AQ2879" s="333"/>
      <c r="AR2879" s="333"/>
      <c r="AS2879" s="333"/>
      <c r="AT2879" s="333"/>
      <c r="AU2879" s="329"/>
      <c r="AV2879" s="341"/>
      <c r="AW2879" s="269" t="s">
        <v>2227</v>
      </c>
      <c r="AX2879" s="269" t="s">
        <v>2869</v>
      </c>
      <c r="AY2879" s="270" t="s">
        <v>695</v>
      </c>
      <c r="AZ2879" s="379"/>
      <c r="BA2879" s="173">
        <v>10.0</v>
      </c>
      <c r="BB2879" s="367"/>
      <c r="BC2879" s="341"/>
      <c r="BD2879" s="308" t="s">
        <v>1844</v>
      </c>
      <c r="BE2879" s="378" t="s">
        <v>9052</v>
      </c>
      <c r="BF2879" s="274" t="str">
        <f>IFERROR(__xludf.DUMMYFUNCTION("LOWER(Regexreplace(to_text(E2879),""[^A-Za-z0-9]"","""")&amp;""_""&amp;Regexreplace(to_text(F2879),""[^A-Za-z0-9]"",""""))"),"seleccontrols_flexysrail")</f>
        <v>seleccontrols_flexysrail</v>
      </c>
      <c r="BG2879" s="275" t="str">
        <f>IFERROR(__xludf.DUMMYFUNCTION("upper(Regexreplace(to_text(E2879),""[^A-Za-z0-9]"","""")&amp;""-""&amp;Regexreplace(to_text(F2879),""[^A-Za-z0-9]"",""""))"),"SELECCONTROLS-FLEXYSRAIL")</f>
        <v>SELECCONTROLS-FLEXYSRAIL</v>
      </c>
    </row>
    <row r="2880" ht="30.0" customHeight="1">
      <c r="A2880" s="258">
        <v>2690.0</v>
      </c>
      <c r="B2880" s="328" t="s">
        <v>670</v>
      </c>
      <c r="C2880" s="257" t="s">
        <v>9055</v>
      </c>
      <c r="D2880" s="173" t="s">
        <v>9055</v>
      </c>
      <c r="E2880" s="174" t="s">
        <v>9056</v>
      </c>
      <c r="F2880" s="173" t="s">
        <v>9057</v>
      </c>
      <c r="G2880" s="328" t="s">
        <v>673</v>
      </c>
      <c r="H2880" s="328" t="s">
        <v>2863</v>
      </c>
      <c r="I2880" s="258" t="s">
        <v>9032</v>
      </c>
      <c r="J2880" s="259" t="s">
        <v>1088</v>
      </c>
      <c r="K2880" s="260" t="s">
        <v>9058</v>
      </c>
      <c r="L2880" s="142"/>
      <c r="M2880" s="329"/>
      <c r="N2880" s="173" t="s">
        <v>679</v>
      </c>
      <c r="O2880" s="173" t="s">
        <v>225</v>
      </c>
      <c r="P2880" s="262" t="str">
        <f t="shared" si="1"/>
        <v>IN-BLR-ANANTA-UPS-1_5</v>
      </c>
      <c r="Q2880" s="173" t="s">
        <v>9059</v>
      </c>
      <c r="R2880" s="328" t="str">
        <f>IFS(C2880="","",C2880="n/a","N/A",LEN(C2880),Concatenate("{",char(34),"asset",char(34),":{",char(34),"guid",char(34),":",char(34),Q2880,char(34),",",char(34),"site",char(34),":",char(34),LOWER('2-Building'!$B$4),char(34),",",char(34),"name",char(34),":",char(34),LOWER(C2880),char(34),"}}"))</f>
        <v>{"asset":{"guid":"uuid://b4b9bae3-5aec-43c9-8190-c44a5c857e39","site":"in-blr-ananta","name":"ups-1"}}</v>
      </c>
      <c r="S2880" s="366" t="s">
        <v>9056</v>
      </c>
      <c r="T2880" s="330"/>
      <c r="U2880" s="330"/>
      <c r="V2880" s="331"/>
      <c r="W2880" s="332"/>
      <c r="X2880" s="333"/>
      <c r="Y2880" s="33" t="s">
        <v>8076</v>
      </c>
      <c r="Z2880" s="368"/>
      <c r="AA2880" s="333"/>
      <c r="AB2880" s="258">
        <v>1.0</v>
      </c>
      <c r="AC2880" s="333"/>
      <c r="AD2880" s="329"/>
      <c r="AE2880" s="331"/>
      <c r="AF2880" s="336"/>
      <c r="AG2880" s="337" t="str">
        <f>IFS(LEN(AF2880)=17,LOWER('2-Building'!$B$4 &amp; "-" &amp; C2880), AF2880="N/A", "N/A", LEN(AF2880)=0,"")</f>
        <v/>
      </c>
      <c r="AH2880" s="333"/>
      <c r="AI2880" s="333"/>
      <c r="AJ2880" s="333"/>
      <c r="AK2880" s="333"/>
      <c r="AL2880" s="333"/>
      <c r="AM2880" s="338"/>
      <c r="AN2880" s="333"/>
      <c r="AO2880" s="333"/>
      <c r="AP2880" s="333"/>
      <c r="AQ2880" s="333"/>
      <c r="AR2880" s="333"/>
      <c r="AS2880" s="333"/>
      <c r="AT2880" s="333"/>
      <c r="AU2880" s="329"/>
      <c r="AV2880" s="341"/>
      <c r="AW2880" s="269" t="s">
        <v>2289</v>
      </c>
      <c r="AX2880" s="269" t="s">
        <v>2869</v>
      </c>
      <c r="AY2880" s="270" t="s">
        <v>695</v>
      </c>
      <c r="AZ2880" s="379"/>
      <c r="BA2880" s="173">
        <v>10.0</v>
      </c>
      <c r="BB2880" s="367"/>
      <c r="BC2880" s="341"/>
      <c r="BD2880" s="308" t="s">
        <v>1844</v>
      </c>
      <c r="BE2880" s="364"/>
      <c r="BF2880" s="274" t="str">
        <f>IFERROR(__xludf.DUMMYFUNCTION("LOWER(Regexreplace(to_text(E2880),""[^A-Za-z0-9]"","""")&amp;""_""&amp;Regexreplace(to_text(F2880),""[^A-Za-z0-9]"",""""))"),"eaton_93pr")</f>
        <v>eaton_93pr</v>
      </c>
      <c r="BG2880" s="275" t="str">
        <f>IFERROR(__xludf.DUMMYFUNCTION("upper(Regexreplace(to_text(E2880),""[^A-Za-z0-9]"","""")&amp;""-""&amp;Regexreplace(to_text(F2880),""[^A-Za-z0-9]"",""""))"),"EATON-93PR")</f>
        <v>EATON-93PR</v>
      </c>
    </row>
    <row r="2881" ht="30.0" customHeight="1">
      <c r="A2881" s="328">
        <v>2690.0</v>
      </c>
      <c r="B2881" s="425" t="s">
        <v>670</v>
      </c>
      <c r="C2881" s="257" t="s">
        <v>9060</v>
      </c>
      <c r="D2881" s="173" t="s">
        <v>9060</v>
      </c>
      <c r="E2881" s="174" t="s">
        <v>9056</v>
      </c>
      <c r="F2881" s="173" t="s">
        <v>9057</v>
      </c>
      <c r="G2881" s="425" t="s">
        <v>673</v>
      </c>
      <c r="H2881" s="425" t="s">
        <v>2863</v>
      </c>
      <c r="I2881" s="258" t="s">
        <v>9032</v>
      </c>
      <c r="J2881" s="259" t="s">
        <v>1088</v>
      </c>
      <c r="K2881" s="260" t="s">
        <v>9058</v>
      </c>
      <c r="L2881" s="142"/>
      <c r="M2881" s="426"/>
      <c r="N2881" s="173" t="s">
        <v>679</v>
      </c>
      <c r="O2881" s="173" t="s">
        <v>225</v>
      </c>
      <c r="P2881" s="262" t="str">
        <f t="shared" si="1"/>
        <v>IN-BLR-ANANTA-UPS-2_5</v>
      </c>
      <c r="Q2881" s="173" t="s">
        <v>9061</v>
      </c>
      <c r="R2881" s="328" t="str">
        <f>IFS(C2881="","",C2881="n/a","N/A",LEN(C2881),Concatenate("{",char(34),"asset",char(34),":{",char(34),"guid",char(34),":",char(34),Q2881,char(34),",",char(34),"site",char(34),":",char(34),LOWER('2-Building'!$B$4),char(34),",",char(34),"name",char(34),":",char(34),LOWER(C2881),char(34),"}}"))</f>
        <v>{"asset":{"guid":"uuid://46e52777-534b-4baf-8bcb-e3fe7d98a222","site":"in-blr-ananta","name":"ups-2"}}</v>
      </c>
      <c r="S2881" s="366" t="s">
        <v>9056</v>
      </c>
      <c r="T2881" s="427"/>
      <c r="U2881" s="427"/>
      <c r="V2881" s="428"/>
      <c r="W2881" s="429"/>
      <c r="X2881" s="430"/>
      <c r="Y2881" s="33" t="s">
        <v>8076</v>
      </c>
      <c r="Z2881" s="430"/>
      <c r="AA2881" s="430"/>
      <c r="AB2881" s="258">
        <v>2.0</v>
      </c>
      <c r="AC2881" s="430"/>
      <c r="AD2881" s="426"/>
      <c r="AE2881" s="428"/>
      <c r="AF2881" s="431"/>
      <c r="AG2881" s="432" t="str">
        <f>IFS(LEN(AF2881)=17,LOWER('2-Building'!$B$4 &amp; "-" &amp; C2881), AF2881="N/A", "N/A", LEN(AF2881)=0,"")</f>
        <v/>
      </c>
      <c r="AH2881" s="430"/>
      <c r="AI2881" s="430"/>
      <c r="AJ2881" s="430"/>
      <c r="AK2881" s="430"/>
      <c r="AL2881" s="430"/>
      <c r="AM2881" s="433"/>
      <c r="AN2881" s="430"/>
      <c r="AO2881" s="430"/>
      <c r="AP2881" s="430"/>
      <c r="AQ2881" s="430"/>
      <c r="AR2881" s="430"/>
      <c r="AS2881" s="430"/>
      <c r="AT2881" s="430"/>
      <c r="AU2881" s="426"/>
      <c r="AV2881" s="434"/>
      <c r="AW2881" s="269" t="s">
        <v>2289</v>
      </c>
      <c r="AX2881" s="269" t="s">
        <v>2869</v>
      </c>
      <c r="AY2881" s="270" t="s">
        <v>695</v>
      </c>
      <c r="AZ2881" s="435"/>
      <c r="BA2881" s="173">
        <v>10.0</v>
      </c>
      <c r="BB2881" s="367"/>
      <c r="BC2881" s="434"/>
      <c r="BD2881" s="308" t="s">
        <v>1844</v>
      </c>
      <c r="BE2881" s="436"/>
      <c r="BF2881" s="274" t="str">
        <f>IFERROR(__xludf.DUMMYFUNCTION("LOWER(Regexreplace(to_text(E2881),""[^A-Za-z0-9]"","""")&amp;""_""&amp;Regexreplace(to_text(F2881),""[^A-Za-z0-9]"",""""))"),"eaton_93pr")</f>
        <v>eaton_93pr</v>
      </c>
      <c r="BG2881" s="275" t="str">
        <f>IFERROR(__xludf.DUMMYFUNCTION("upper(Regexreplace(to_text(E2881),""[^A-Za-z0-9]"","""")&amp;""-""&amp;Regexreplace(to_text(F2881),""[^A-Za-z0-9]"",""""))"),"EATON-93PR")</f>
        <v>EATON-93PR</v>
      </c>
    </row>
    <row r="2882" ht="30.0" customHeight="1">
      <c r="A2882" s="328">
        <v>2690.0</v>
      </c>
      <c r="B2882" s="425" t="s">
        <v>670</v>
      </c>
      <c r="C2882" s="257" t="s">
        <v>9062</v>
      </c>
      <c r="D2882" s="173" t="s">
        <v>9062</v>
      </c>
      <c r="E2882" s="174" t="s">
        <v>9056</v>
      </c>
      <c r="F2882" s="173" t="s">
        <v>9057</v>
      </c>
      <c r="G2882" s="425" t="s">
        <v>673</v>
      </c>
      <c r="H2882" s="425" t="s">
        <v>2863</v>
      </c>
      <c r="I2882" s="258" t="s">
        <v>9032</v>
      </c>
      <c r="J2882" s="259" t="s">
        <v>1088</v>
      </c>
      <c r="K2882" s="260" t="s">
        <v>8155</v>
      </c>
      <c r="L2882" s="142"/>
      <c r="M2882" s="426"/>
      <c r="N2882" s="173" t="s">
        <v>679</v>
      </c>
      <c r="O2882" s="173" t="s">
        <v>225</v>
      </c>
      <c r="P2882" s="262" t="str">
        <f t="shared" si="1"/>
        <v>IN-BLR-ANANTA-UPS-3_5</v>
      </c>
      <c r="Q2882" s="173" t="s">
        <v>9063</v>
      </c>
      <c r="R2882" s="425" t="str">
        <f>IFS(C2882="","",C2882="n/a","N/A",LEN(C2882),Concatenate("{",char(34),"asset",char(34),":{",char(34),"guid",char(34),":",char(34),Q2882,char(34),",",char(34),"site",char(34),":",char(34),LOWER('2-Building'!$B$4),char(34),",",char(34),"name",char(34),":",char(34),LOWER(C2882),char(34),"}}"))</f>
        <v>{"asset":{"guid":"uuid://1e5f0f80-6add-4e48-9905-d98ea6af3499","site":"in-blr-ananta","name":"ups-3"}}</v>
      </c>
      <c r="S2882" s="366" t="s">
        <v>9056</v>
      </c>
      <c r="T2882" s="427"/>
      <c r="U2882" s="427"/>
      <c r="V2882" s="428"/>
      <c r="W2882" s="429"/>
      <c r="X2882" s="430"/>
      <c r="Y2882" s="33" t="s">
        <v>8076</v>
      </c>
      <c r="Z2882" s="430"/>
      <c r="AA2882" s="430"/>
      <c r="AB2882" s="258">
        <v>3.0</v>
      </c>
      <c r="AC2882" s="430"/>
      <c r="AD2882" s="426"/>
      <c r="AE2882" s="428"/>
      <c r="AF2882" s="431"/>
      <c r="AG2882" s="432" t="str">
        <f>IFS(LEN(AF2882)=17,LOWER('2-Building'!$B$4 &amp; "-" &amp; C2882), AF2882="N/A", "N/A", LEN(AF2882)=0,"")</f>
        <v/>
      </c>
      <c r="AH2882" s="430"/>
      <c r="AI2882" s="430"/>
      <c r="AJ2882" s="430"/>
      <c r="AK2882" s="430"/>
      <c r="AL2882" s="430"/>
      <c r="AM2882" s="433"/>
      <c r="AN2882" s="430"/>
      <c r="AO2882" s="430"/>
      <c r="AP2882" s="430"/>
      <c r="AQ2882" s="430"/>
      <c r="AR2882" s="430"/>
      <c r="AS2882" s="430"/>
      <c r="AT2882" s="430"/>
      <c r="AU2882" s="426"/>
      <c r="AV2882" s="434"/>
      <c r="AW2882" s="269" t="s">
        <v>2289</v>
      </c>
      <c r="AX2882" s="269" t="s">
        <v>2869</v>
      </c>
      <c r="AY2882" s="270" t="s">
        <v>695</v>
      </c>
      <c r="AZ2882" s="435"/>
      <c r="BA2882" s="173">
        <v>10.0</v>
      </c>
      <c r="BB2882" s="367"/>
      <c r="BC2882" s="434"/>
      <c r="BD2882" s="308" t="s">
        <v>1844</v>
      </c>
      <c r="BE2882" s="436"/>
      <c r="BF2882" s="274" t="str">
        <f>IFERROR(__xludf.DUMMYFUNCTION("LOWER(Regexreplace(to_text(E2882),""[^A-Za-z0-9]"","""")&amp;""_""&amp;Regexreplace(to_text(F2882),""[^A-Za-z0-9]"",""""))"),"eaton_93pr")</f>
        <v>eaton_93pr</v>
      </c>
      <c r="BG2882" s="275" t="str">
        <f>IFERROR(__xludf.DUMMYFUNCTION("upper(Regexreplace(to_text(E2882),""[^A-Za-z0-9]"","""")&amp;""-""&amp;Regexreplace(to_text(F2882),""[^A-Za-z0-9]"",""""))"),"EATON-93PR")</f>
        <v>EATON-93PR</v>
      </c>
    </row>
    <row r="2883" ht="30.0" customHeight="1">
      <c r="A2883" s="425">
        <v>2690.0</v>
      </c>
      <c r="B2883" s="425" t="s">
        <v>670</v>
      </c>
      <c r="C2883" s="257" t="s">
        <v>9064</v>
      </c>
      <c r="D2883" s="173" t="s">
        <v>9064</v>
      </c>
      <c r="E2883" s="174" t="s">
        <v>9056</v>
      </c>
      <c r="F2883" s="173" t="s">
        <v>9057</v>
      </c>
      <c r="G2883" s="425" t="s">
        <v>673</v>
      </c>
      <c r="H2883" s="425" t="s">
        <v>2863</v>
      </c>
      <c r="I2883" s="258" t="s">
        <v>9032</v>
      </c>
      <c r="J2883" s="259" t="s">
        <v>1088</v>
      </c>
      <c r="K2883" s="260" t="s">
        <v>8155</v>
      </c>
      <c r="L2883" s="142"/>
      <c r="M2883" s="426"/>
      <c r="N2883" s="173" t="s">
        <v>679</v>
      </c>
      <c r="O2883" s="173" t="s">
        <v>225</v>
      </c>
      <c r="P2883" s="262" t="str">
        <f t="shared" si="1"/>
        <v>IN-BLR-ANANTA-UPS-4_5</v>
      </c>
      <c r="Q2883" s="173" t="s">
        <v>9065</v>
      </c>
      <c r="R2883" s="425" t="str">
        <f>IFS(C2883="","",C2883="n/a","N/A",LEN(C2883),Concatenate("{",char(34),"asset",char(34),":{",char(34),"guid",char(34),":",char(34),Q2883,char(34),",",char(34),"site",char(34),":",char(34),LOWER('2-Building'!$B$4),char(34),",",char(34),"name",char(34),":",char(34),LOWER(C2883),char(34),"}}"))</f>
        <v>{"asset":{"guid":"uuid://d50ff9e1-fc04-4897-acd2-59b09888a10f","site":"in-blr-ananta","name":"ups-4"}}</v>
      </c>
      <c r="S2883" s="366" t="s">
        <v>9056</v>
      </c>
      <c r="T2883" s="427"/>
      <c r="U2883" s="427"/>
      <c r="V2883" s="428"/>
      <c r="W2883" s="429"/>
      <c r="X2883" s="430"/>
      <c r="Y2883" s="33" t="s">
        <v>8076</v>
      </c>
      <c r="Z2883" s="430"/>
      <c r="AA2883" s="430"/>
      <c r="AB2883" s="258">
        <v>4.0</v>
      </c>
      <c r="AC2883" s="430"/>
      <c r="AD2883" s="426"/>
      <c r="AE2883" s="428"/>
      <c r="AF2883" s="431"/>
      <c r="AG2883" s="432" t="str">
        <f>IFS(LEN(AF2883)=17,LOWER('2-Building'!$B$4 &amp; "-" &amp; C2883), AF2883="N/A", "N/A", LEN(AF2883)=0,"")</f>
        <v/>
      </c>
      <c r="AH2883" s="430"/>
      <c r="AI2883" s="430"/>
      <c r="AJ2883" s="430"/>
      <c r="AK2883" s="430"/>
      <c r="AL2883" s="430"/>
      <c r="AM2883" s="433"/>
      <c r="AN2883" s="430"/>
      <c r="AO2883" s="430"/>
      <c r="AP2883" s="430"/>
      <c r="AQ2883" s="430"/>
      <c r="AR2883" s="430"/>
      <c r="AS2883" s="430"/>
      <c r="AT2883" s="430"/>
      <c r="AU2883" s="426"/>
      <c r="AV2883" s="434"/>
      <c r="AW2883" s="269" t="s">
        <v>2289</v>
      </c>
      <c r="AX2883" s="269" t="s">
        <v>2869</v>
      </c>
      <c r="AY2883" s="270" t="s">
        <v>695</v>
      </c>
      <c r="AZ2883" s="435"/>
      <c r="BA2883" s="173">
        <v>10.0</v>
      </c>
      <c r="BB2883" s="367"/>
      <c r="BC2883" s="434"/>
      <c r="BD2883" s="308" t="s">
        <v>1844</v>
      </c>
      <c r="BE2883" s="436"/>
      <c r="BF2883" s="274" t="str">
        <f>IFERROR(__xludf.DUMMYFUNCTION("LOWER(Regexreplace(to_text(E2883),""[^A-Za-z0-9]"","""")&amp;""_""&amp;Regexreplace(to_text(F2883),""[^A-Za-z0-9]"",""""))"),"eaton_93pr")</f>
        <v>eaton_93pr</v>
      </c>
      <c r="BG2883" s="275" t="str">
        <f>IFERROR(__xludf.DUMMYFUNCTION("upper(Regexreplace(to_text(E2883),""[^A-Za-z0-9]"","""")&amp;""-""&amp;Regexreplace(to_text(F2883),""[^A-Za-z0-9]"",""""))"),"EATON-93PR")</f>
        <v>EATON-93PR</v>
      </c>
    </row>
    <row r="2884" ht="30.0" customHeight="1">
      <c r="A2884" s="328">
        <v>2690.0</v>
      </c>
      <c r="B2884" s="425" t="s">
        <v>670</v>
      </c>
      <c r="C2884" s="257" t="s">
        <v>9066</v>
      </c>
      <c r="D2884" s="173" t="s">
        <v>9066</v>
      </c>
      <c r="E2884" s="174" t="s">
        <v>9056</v>
      </c>
      <c r="F2884" s="173" t="s">
        <v>9057</v>
      </c>
      <c r="G2884" s="425" t="s">
        <v>673</v>
      </c>
      <c r="H2884" s="425" t="s">
        <v>2863</v>
      </c>
      <c r="I2884" s="258" t="s">
        <v>9032</v>
      </c>
      <c r="J2884" s="259" t="s">
        <v>1088</v>
      </c>
      <c r="K2884" s="260" t="s">
        <v>8155</v>
      </c>
      <c r="L2884" s="142"/>
      <c r="M2884" s="426"/>
      <c r="N2884" s="173" t="s">
        <v>679</v>
      </c>
      <c r="O2884" s="173" t="s">
        <v>225</v>
      </c>
      <c r="P2884" s="262" t="str">
        <f t="shared" si="1"/>
        <v>IN-BLR-ANANTA-UPS-5_5</v>
      </c>
      <c r="Q2884" s="173" t="s">
        <v>9067</v>
      </c>
      <c r="R2884" s="425" t="str">
        <f>IFS(C2884="","",C2884="n/a","N/A",LEN(C2884),Concatenate("{",char(34),"asset",char(34),":{",char(34),"guid",char(34),":",char(34),Q2884,char(34),",",char(34),"site",char(34),":",char(34),LOWER('2-Building'!$B$4),char(34),",",char(34),"name",char(34),":",char(34),LOWER(C2884),char(34),"}}"))</f>
        <v>{"asset":{"guid":"uuid://fae6b488-1d49-493e-a1db-2f0ced7e785a","site":"in-blr-ananta","name":"ups-5"}}</v>
      </c>
      <c r="S2884" s="366" t="s">
        <v>9056</v>
      </c>
      <c r="T2884" s="427"/>
      <c r="U2884" s="427"/>
      <c r="V2884" s="428"/>
      <c r="W2884" s="429"/>
      <c r="X2884" s="430"/>
      <c r="Y2884" s="33" t="s">
        <v>8076</v>
      </c>
      <c r="Z2884" s="430"/>
      <c r="AA2884" s="430"/>
      <c r="AB2884" s="258">
        <v>5.0</v>
      </c>
      <c r="AC2884" s="430"/>
      <c r="AD2884" s="426"/>
      <c r="AE2884" s="428"/>
      <c r="AF2884" s="431"/>
      <c r="AG2884" s="432" t="str">
        <f>IFS(LEN(AF2884)=17,LOWER('2-Building'!$B$4 &amp; "-" &amp; C2884), AF2884="N/A", "N/A", LEN(AF2884)=0,"")</f>
        <v/>
      </c>
      <c r="AH2884" s="430"/>
      <c r="AI2884" s="430"/>
      <c r="AJ2884" s="430"/>
      <c r="AK2884" s="430"/>
      <c r="AL2884" s="430"/>
      <c r="AM2884" s="433"/>
      <c r="AN2884" s="430"/>
      <c r="AO2884" s="430"/>
      <c r="AP2884" s="430"/>
      <c r="AQ2884" s="430"/>
      <c r="AR2884" s="430"/>
      <c r="AS2884" s="430"/>
      <c r="AT2884" s="430"/>
      <c r="AU2884" s="426"/>
      <c r="AV2884" s="434"/>
      <c r="AW2884" s="269" t="s">
        <v>2289</v>
      </c>
      <c r="AX2884" s="269" t="s">
        <v>2869</v>
      </c>
      <c r="AY2884" s="270" t="s">
        <v>695</v>
      </c>
      <c r="AZ2884" s="435"/>
      <c r="BA2884" s="173">
        <v>10.0</v>
      </c>
      <c r="BB2884" s="367"/>
      <c r="BC2884" s="434"/>
      <c r="BD2884" s="308" t="s">
        <v>1844</v>
      </c>
      <c r="BE2884" s="436"/>
      <c r="BF2884" s="274" t="str">
        <f>IFERROR(__xludf.DUMMYFUNCTION("LOWER(Regexreplace(to_text(E2884),""[^A-Za-z0-9]"","""")&amp;""_""&amp;Regexreplace(to_text(F2884),""[^A-Za-z0-9]"",""""))"),"eaton_93pr")</f>
        <v>eaton_93pr</v>
      </c>
      <c r="BG2884" s="275" t="str">
        <f>IFERROR(__xludf.DUMMYFUNCTION("upper(Regexreplace(to_text(E2884),""[^A-Za-z0-9]"","""")&amp;""-""&amp;Regexreplace(to_text(F2884),""[^A-Za-z0-9]"",""""))"),"EATON-93PR")</f>
        <v>EATON-93PR</v>
      </c>
    </row>
    <row r="2885" ht="30.0" customHeight="1">
      <c r="A2885" s="258"/>
      <c r="B2885" s="425" t="s">
        <v>670</v>
      </c>
      <c r="C2885" s="257" t="s">
        <v>9068</v>
      </c>
      <c r="D2885" s="173" t="s">
        <v>9068</v>
      </c>
      <c r="E2885" s="174" t="s">
        <v>9056</v>
      </c>
      <c r="F2885" s="173" t="s">
        <v>9057</v>
      </c>
      <c r="G2885" s="425" t="s">
        <v>673</v>
      </c>
      <c r="H2885" s="425" t="s">
        <v>2863</v>
      </c>
      <c r="I2885" s="258" t="s">
        <v>9032</v>
      </c>
      <c r="J2885" s="259" t="s">
        <v>1088</v>
      </c>
      <c r="K2885" s="260" t="s">
        <v>8155</v>
      </c>
      <c r="L2885" s="142"/>
      <c r="M2885" s="426"/>
      <c r="N2885" s="173" t="s">
        <v>679</v>
      </c>
      <c r="O2885" s="173" t="s">
        <v>225</v>
      </c>
      <c r="P2885" s="262" t="str">
        <f t="shared" si="1"/>
        <v>IN-BLR-ANANTA-UPS-6_5</v>
      </c>
      <c r="Q2885" s="173" t="s">
        <v>9069</v>
      </c>
      <c r="R2885" s="425" t="str">
        <f>IFS(C2885="","",C2885="n/a","N/A",LEN(C2885),Concatenate("{",char(34),"asset",char(34),":{",char(34),"guid",char(34),":",char(34),Q2885,char(34),",",char(34),"site",char(34),":",char(34),LOWER('2-Building'!$B$4),char(34),",",char(34),"name",char(34),":",char(34),LOWER(C2885),char(34),"}}"))</f>
        <v>{"asset":{"guid":"uuid://dcbf44e1-eb9a-457e-9588-816949b57c5c","site":"in-blr-ananta","name":"ups-6"}}</v>
      </c>
      <c r="S2885" s="366" t="s">
        <v>9056</v>
      </c>
      <c r="T2885" s="330"/>
      <c r="U2885" s="330"/>
      <c r="V2885" s="331"/>
      <c r="W2885" s="332"/>
      <c r="X2885" s="333"/>
      <c r="Y2885" s="33" t="s">
        <v>8076</v>
      </c>
      <c r="Z2885" s="368"/>
      <c r="AA2885" s="333"/>
      <c r="AB2885" s="258">
        <v>6.0</v>
      </c>
      <c r="AC2885" s="333"/>
      <c r="AD2885" s="329"/>
      <c r="AE2885" s="331"/>
      <c r="AF2885" s="336"/>
      <c r="AG2885" s="337"/>
      <c r="AH2885" s="333"/>
      <c r="AI2885" s="333"/>
      <c r="AJ2885" s="333"/>
      <c r="AK2885" s="333"/>
      <c r="AL2885" s="333"/>
      <c r="AM2885" s="338"/>
      <c r="AN2885" s="333"/>
      <c r="AO2885" s="333"/>
      <c r="AP2885" s="333"/>
      <c r="AQ2885" s="333"/>
      <c r="AR2885" s="333"/>
      <c r="AS2885" s="333"/>
      <c r="AT2885" s="333"/>
      <c r="AU2885" s="329"/>
      <c r="AV2885" s="341"/>
      <c r="AW2885" s="269" t="s">
        <v>2289</v>
      </c>
      <c r="AX2885" s="269" t="s">
        <v>2869</v>
      </c>
      <c r="AY2885" s="270" t="s">
        <v>695</v>
      </c>
      <c r="AZ2885" s="379"/>
      <c r="BA2885" s="173">
        <v>10.0</v>
      </c>
      <c r="BB2885" s="341"/>
      <c r="BC2885" s="341"/>
      <c r="BD2885" s="308" t="s">
        <v>1844</v>
      </c>
      <c r="BE2885" s="364"/>
      <c r="BF2885" s="274" t="str">
        <f>IFERROR(__xludf.DUMMYFUNCTION("LOWER(Regexreplace(to_text(E2885),""[^A-Za-z0-9]"","""")&amp;""_""&amp;Regexreplace(to_text(F2885),""[^A-Za-z0-9]"",""""))"),"eaton_93pr")</f>
        <v>eaton_93pr</v>
      </c>
      <c r="BG2885" s="275" t="str">
        <f>IFERROR(__xludf.DUMMYFUNCTION("upper(Regexreplace(to_text(E2885),""[^A-Za-z0-9]"","""")&amp;""-""&amp;Regexreplace(to_text(F2885),""[^A-Za-z0-9]"",""""))"),"EATON-93PR")</f>
        <v>EATON-93PR</v>
      </c>
    </row>
    <row r="2886" ht="30.0" customHeight="1">
      <c r="A2886" s="278"/>
      <c r="B2886" s="437" t="s">
        <v>670</v>
      </c>
      <c r="C2886" s="257" t="s">
        <v>9070</v>
      </c>
      <c r="D2886" s="173" t="s">
        <v>9070</v>
      </c>
      <c r="E2886" s="174" t="s">
        <v>9071</v>
      </c>
      <c r="F2886" s="173" t="s">
        <v>9072</v>
      </c>
      <c r="G2886" s="301" t="s">
        <v>673</v>
      </c>
      <c r="H2886" s="437" t="s">
        <v>2863</v>
      </c>
      <c r="I2886" s="258" t="s">
        <v>9073</v>
      </c>
      <c r="J2886" s="259" t="s">
        <v>1088</v>
      </c>
      <c r="K2886" s="260" t="s">
        <v>9058</v>
      </c>
      <c r="L2886" s="369"/>
      <c r="M2886" s="370"/>
      <c r="N2886" s="173" t="s">
        <v>679</v>
      </c>
      <c r="O2886" s="173" t="s">
        <v>225</v>
      </c>
      <c r="P2886" s="262" t="str">
        <f t="shared" si="1"/>
        <v>IN-BLR-ANANTA-BATT-1_5</v>
      </c>
      <c r="Q2886" s="173" t="s">
        <v>9074</v>
      </c>
      <c r="R2886" s="425" t="str">
        <f>IFS(C2886="","",C2886="n/a","N/A",LEN(C2886),Concatenate("{",char(34),"asset",char(34),":{",char(34),"guid",char(34),":",char(34),Q2886,char(34),",",char(34),"site",char(34),":",char(34),LOWER('2-Building'!$B$4),char(34),",",char(34),"name",char(34),":",char(34),LOWER(C2886),char(34),"}}"))</f>
        <v>{"asset":{"guid":"uuid://f3d33cc0-4dd6-4dd2-a567-2a9ff9c1535d","site":"in-blr-ananta","name":"batt-1"}}</v>
      </c>
      <c r="S2886" s="369" t="s">
        <v>9056</v>
      </c>
      <c r="T2886" s="371"/>
      <c r="U2886" s="371"/>
      <c r="V2886" s="372"/>
      <c r="W2886" s="373"/>
      <c r="X2886" s="374"/>
      <c r="Y2886" s="33" t="s">
        <v>8076</v>
      </c>
      <c r="Z2886" s="305"/>
      <c r="AA2886" s="374"/>
      <c r="AB2886" s="258">
        <v>1.0</v>
      </c>
      <c r="AC2886" s="374"/>
      <c r="AD2886" s="370"/>
      <c r="AE2886" s="372"/>
      <c r="AF2886" s="375"/>
      <c r="AG2886" s="374"/>
      <c r="AH2886" s="374"/>
      <c r="AI2886" s="374"/>
      <c r="AJ2886" s="374"/>
      <c r="AK2886" s="374"/>
      <c r="AL2886" s="374"/>
      <c r="AM2886" s="374"/>
      <c r="AN2886" s="374"/>
      <c r="AO2886" s="374"/>
      <c r="AP2886" s="374"/>
      <c r="AQ2886" s="374"/>
      <c r="AR2886" s="374"/>
      <c r="AS2886" s="374"/>
      <c r="AT2886" s="374"/>
      <c r="AU2886" s="370"/>
      <c r="AV2886" s="376"/>
      <c r="AW2886" s="269" t="s">
        <v>2752</v>
      </c>
      <c r="AX2886" s="269" t="s">
        <v>2869</v>
      </c>
      <c r="AY2886" s="270" t="s">
        <v>695</v>
      </c>
      <c r="AZ2886" s="381"/>
      <c r="BA2886" s="173">
        <v>10.0</v>
      </c>
      <c r="BB2886" s="376"/>
      <c r="BC2886" s="376"/>
      <c r="BD2886" s="308"/>
      <c r="BE2886" s="377"/>
      <c r="BF2886" s="274" t="str">
        <f>IFERROR(__xludf.DUMMYFUNCTION("LOWER(Regexreplace(to_text(E2886),""[^A-Za-z0-9]"","""")&amp;""_""&amp;Regexreplace(to_text(F2886),""[^A-Za-z0-9]"",""""))"),"samsung_phr3462001a")</f>
        <v>samsung_phr3462001a</v>
      </c>
      <c r="BG2886" s="275" t="str">
        <f>IFERROR(__xludf.DUMMYFUNCTION("upper(Regexreplace(to_text(E2886),""[^A-Za-z0-9]"","""")&amp;""-""&amp;Regexreplace(to_text(F2886),""[^A-Za-z0-9]"",""""))"),"SAMSUNG-PHR3462001A")</f>
        <v>SAMSUNG-PHR3462001A</v>
      </c>
    </row>
    <row r="2887" ht="30.0" customHeight="1">
      <c r="A2887" s="278"/>
      <c r="B2887" s="437" t="s">
        <v>670</v>
      </c>
      <c r="C2887" s="257" t="s">
        <v>9075</v>
      </c>
      <c r="D2887" s="173" t="s">
        <v>9075</v>
      </c>
      <c r="E2887" s="174" t="s">
        <v>9071</v>
      </c>
      <c r="F2887" s="173" t="s">
        <v>9072</v>
      </c>
      <c r="G2887" s="301" t="s">
        <v>673</v>
      </c>
      <c r="H2887" s="437" t="s">
        <v>2863</v>
      </c>
      <c r="I2887" s="258" t="s">
        <v>9073</v>
      </c>
      <c r="J2887" s="259" t="s">
        <v>1088</v>
      </c>
      <c r="K2887" s="260" t="s">
        <v>9058</v>
      </c>
      <c r="L2887" s="369"/>
      <c r="M2887" s="370"/>
      <c r="N2887" s="173" t="s">
        <v>679</v>
      </c>
      <c r="O2887" s="173" t="s">
        <v>225</v>
      </c>
      <c r="P2887" s="262" t="str">
        <f t="shared" si="1"/>
        <v>IN-BLR-ANANTA-BATT-2_5</v>
      </c>
      <c r="Q2887" s="173" t="s">
        <v>9076</v>
      </c>
      <c r="R2887" s="425" t="str">
        <f>IFS(C2887="","",C2887="n/a","N/A",LEN(C2887),Concatenate("{",char(34),"asset",char(34),":{",char(34),"guid",char(34),":",char(34),Q2887,char(34),",",char(34),"site",char(34),":",char(34),LOWER('2-Building'!$B$4),char(34),",",char(34),"name",char(34),":",char(34),LOWER(C2887),char(34),"}}"))</f>
        <v>{"asset":{"guid":"uuid://7bc8b3fe-1a8e-4287-b787-b8b10ae44696","site":"in-blr-ananta","name":"batt-2"}}</v>
      </c>
      <c r="S2887" s="369" t="s">
        <v>9056</v>
      </c>
      <c r="T2887" s="371"/>
      <c r="U2887" s="371"/>
      <c r="V2887" s="372"/>
      <c r="W2887" s="373"/>
      <c r="X2887" s="374"/>
      <c r="Y2887" s="33" t="s">
        <v>8076</v>
      </c>
      <c r="Z2887" s="305"/>
      <c r="AA2887" s="374"/>
      <c r="AB2887" s="258">
        <v>1.0</v>
      </c>
      <c r="AC2887" s="374"/>
      <c r="AD2887" s="370"/>
      <c r="AE2887" s="372"/>
      <c r="AF2887" s="375"/>
      <c r="AG2887" s="374"/>
      <c r="AH2887" s="374"/>
      <c r="AI2887" s="374"/>
      <c r="AJ2887" s="374"/>
      <c r="AK2887" s="374"/>
      <c r="AL2887" s="374"/>
      <c r="AM2887" s="374"/>
      <c r="AN2887" s="374"/>
      <c r="AO2887" s="374"/>
      <c r="AP2887" s="374"/>
      <c r="AQ2887" s="374"/>
      <c r="AR2887" s="374"/>
      <c r="AS2887" s="374"/>
      <c r="AT2887" s="374"/>
      <c r="AU2887" s="370"/>
      <c r="AV2887" s="376"/>
      <c r="AW2887" s="269" t="s">
        <v>2758</v>
      </c>
      <c r="AX2887" s="269" t="s">
        <v>2869</v>
      </c>
      <c r="AY2887" s="270" t="s">
        <v>695</v>
      </c>
      <c r="AZ2887" s="381"/>
      <c r="BA2887" s="173">
        <v>10.0</v>
      </c>
      <c r="BB2887" s="376"/>
      <c r="BC2887" s="376"/>
      <c r="BD2887" s="308"/>
      <c r="BE2887" s="377"/>
      <c r="BF2887" s="274" t="str">
        <f>IFERROR(__xludf.DUMMYFUNCTION("LOWER(Regexreplace(to_text(E2887),""[^A-Za-z0-9]"","""")&amp;""_""&amp;Regexreplace(to_text(F2887),""[^A-Za-z0-9]"",""""))"),"samsung_phr3462001a")</f>
        <v>samsung_phr3462001a</v>
      </c>
      <c r="BG2887" s="275" t="str">
        <f>IFERROR(__xludf.DUMMYFUNCTION("upper(Regexreplace(to_text(E2887),""[^A-Za-z0-9]"","""")&amp;""-""&amp;Regexreplace(to_text(F2887),""[^A-Za-z0-9]"",""""))"),"SAMSUNG-PHR3462001A")</f>
        <v>SAMSUNG-PHR3462001A</v>
      </c>
    </row>
    <row r="2888" ht="30.0" customHeight="1">
      <c r="A2888" s="278"/>
      <c r="B2888" s="437" t="s">
        <v>670</v>
      </c>
      <c r="C2888" s="257" t="s">
        <v>9077</v>
      </c>
      <c r="D2888" s="173" t="s">
        <v>9077</v>
      </c>
      <c r="E2888" s="174" t="s">
        <v>9071</v>
      </c>
      <c r="F2888" s="173" t="s">
        <v>9072</v>
      </c>
      <c r="G2888" s="301" t="s">
        <v>673</v>
      </c>
      <c r="H2888" s="437" t="s">
        <v>2863</v>
      </c>
      <c r="I2888" s="258" t="s">
        <v>9073</v>
      </c>
      <c r="J2888" s="259" t="s">
        <v>1088</v>
      </c>
      <c r="K2888" s="260" t="s">
        <v>8155</v>
      </c>
      <c r="L2888" s="369"/>
      <c r="M2888" s="370"/>
      <c r="N2888" s="173" t="s">
        <v>679</v>
      </c>
      <c r="O2888" s="173" t="s">
        <v>225</v>
      </c>
      <c r="P2888" s="262" t="str">
        <f t="shared" si="1"/>
        <v>IN-BLR-ANANTA-BATT-3_5</v>
      </c>
      <c r="Q2888" s="173" t="s">
        <v>9078</v>
      </c>
      <c r="R2888" s="425" t="str">
        <f>IFS(C2888="","",C2888="n/a","N/A",LEN(C2888),Concatenate("{",char(34),"asset",char(34),":{",char(34),"guid",char(34),":",char(34),Q2888,char(34),",",char(34),"site",char(34),":",char(34),LOWER('2-Building'!$B$4),char(34),",",char(34),"name",char(34),":",char(34),LOWER(C2888),char(34),"}}"))</f>
        <v>{"asset":{"guid":"uuid://f70e2a2f-1ef5-4b30-8bb5-3f71e675bef7","site":"in-blr-ananta","name":"batt-3"}}</v>
      </c>
      <c r="S2888" s="369" t="s">
        <v>9056</v>
      </c>
      <c r="T2888" s="371"/>
      <c r="U2888" s="371"/>
      <c r="V2888" s="372"/>
      <c r="W2888" s="373"/>
      <c r="X2888" s="374"/>
      <c r="Y2888" s="33" t="s">
        <v>8076</v>
      </c>
      <c r="Z2888" s="305"/>
      <c r="AA2888" s="374"/>
      <c r="AB2888" s="258">
        <v>1.0</v>
      </c>
      <c r="AC2888" s="374"/>
      <c r="AD2888" s="370"/>
      <c r="AE2888" s="372"/>
      <c r="AF2888" s="375"/>
      <c r="AG2888" s="374"/>
      <c r="AH2888" s="374"/>
      <c r="AI2888" s="374"/>
      <c r="AJ2888" s="374"/>
      <c r="AK2888" s="374"/>
      <c r="AL2888" s="374"/>
      <c r="AM2888" s="374"/>
      <c r="AN2888" s="374"/>
      <c r="AO2888" s="374"/>
      <c r="AP2888" s="374"/>
      <c r="AQ2888" s="374"/>
      <c r="AR2888" s="374"/>
      <c r="AS2888" s="374"/>
      <c r="AT2888" s="374"/>
      <c r="AU2888" s="370"/>
      <c r="AV2888" s="376"/>
      <c r="AW2888" s="269" t="s">
        <v>2763</v>
      </c>
      <c r="AX2888" s="269" t="s">
        <v>2869</v>
      </c>
      <c r="AY2888" s="270" t="s">
        <v>695</v>
      </c>
      <c r="AZ2888" s="381"/>
      <c r="BA2888" s="173">
        <v>10.0</v>
      </c>
      <c r="BB2888" s="376"/>
      <c r="BC2888" s="376"/>
      <c r="BD2888" s="308"/>
      <c r="BE2888" s="377"/>
      <c r="BF2888" s="274" t="str">
        <f>IFERROR(__xludf.DUMMYFUNCTION("LOWER(Regexreplace(to_text(E2888),""[^A-Za-z0-9]"","""")&amp;""_""&amp;Regexreplace(to_text(F2888),""[^A-Za-z0-9]"",""""))"),"samsung_phr3462001a")</f>
        <v>samsung_phr3462001a</v>
      </c>
      <c r="BG2888" s="275" t="str">
        <f>IFERROR(__xludf.DUMMYFUNCTION("upper(Regexreplace(to_text(E2888),""[^A-Za-z0-9]"","""")&amp;""-""&amp;Regexreplace(to_text(F2888),""[^A-Za-z0-9]"",""""))"),"SAMSUNG-PHR3462001A")</f>
        <v>SAMSUNG-PHR3462001A</v>
      </c>
    </row>
    <row r="2889" ht="30.0" customHeight="1">
      <c r="A2889" s="278"/>
      <c r="B2889" s="437" t="s">
        <v>670</v>
      </c>
      <c r="C2889" s="257" t="s">
        <v>9079</v>
      </c>
      <c r="D2889" s="173" t="s">
        <v>9079</v>
      </c>
      <c r="E2889" s="174" t="s">
        <v>9071</v>
      </c>
      <c r="F2889" s="173" t="s">
        <v>9072</v>
      </c>
      <c r="G2889" s="301" t="s">
        <v>673</v>
      </c>
      <c r="H2889" s="437" t="s">
        <v>2863</v>
      </c>
      <c r="I2889" s="258" t="s">
        <v>9073</v>
      </c>
      <c r="J2889" s="259" t="s">
        <v>1088</v>
      </c>
      <c r="K2889" s="260" t="s">
        <v>8155</v>
      </c>
      <c r="L2889" s="369"/>
      <c r="M2889" s="370"/>
      <c r="N2889" s="173" t="s">
        <v>679</v>
      </c>
      <c r="O2889" s="173" t="s">
        <v>225</v>
      </c>
      <c r="P2889" s="262" t="str">
        <f t="shared" si="1"/>
        <v>IN-BLR-ANANTA-BATT-4_5</v>
      </c>
      <c r="Q2889" s="173" t="s">
        <v>9080</v>
      </c>
      <c r="R2889" s="425" t="str">
        <f>IFS(C2889="","",C2889="n/a","N/A",LEN(C2889),Concatenate("{",char(34),"asset",char(34),":{",char(34),"guid",char(34),":",char(34),Q2889,char(34),",",char(34),"site",char(34),":",char(34),LOWER('2-Building'!$B$4),char(34),",",char(34),"name",char(34),":",char(34),LOWER(C2889),char(34),"}}"))</f>
        <v>{"asset":{"guid":"uuid://95a13010-4f66-4541-ab34-e733fcedae83","site":"in-blr-ananta","name":"batt-4"}}</v>
      </c>
      <c r="S2889" s="369" t="s">
        <v>9056</v>
      </c>
      <c r="T2889" s="371"/>
      <c r="U2889" s="371"/>
      <c r="V2889" s="372"/>
      <c r="W2889" s="373"/>
      <c r="X2889" s="374"/>
      <c r="Y2889" s="33" t="s">
        <v>8076</v>
      </c>
      <c r="Z2889" s="305"/>
      <c r="AA2889" s="374"/>
      <c r="AB2889" s="258">
        <v>1.0</v>
      </c>
      <c r="AC2889" s="374"/>
      <c r="AD2889" s="370"/>
      <c r="AE2889" s="372"/>
      <c r="AF2889" s="375"/>
      <c r="AG2889" s="374"/>
      <c r="AH2889" s="374"/>
      <c r="AI2889" s="374"/>
      <c r="AJ2889" s="374"/>
      <c r="AK2889" s="374"/>
      <c r="AL2889" s="374"/>
      <c r="AM2889" s="374"/>
      <c r="AN2889" s="374"/>
      <c r="AO2889" s="374"/>
      <c r="AP2889" s="374"/>
      <c r="AQ2889" s="374"/>
      <c r="AR2889" s="374"/>
      <c r="AS2889" s="374"/>
      <c r="AT2889" s="374"/>
      <c r="AU2889" s="370"/>
      <c r="AV2889" s="376"/>
      <c r="AW2889" s="269" t="s">
        <v>2768</v>
      </c>
      <c r="AX2889" s="269" t="s">
        <v>2869</v>
      </c>
      <c r="AY2889" s="270" t="s">
        <v>695</v>
      </c>
      <c r="AZ2889" s="381"/>
      <c r="BA2889" s="173">
        <v>10.0</v>
      </c>
      <c r="BB2889" s="376"/>
      <c r="BC2889" s="376"/>
      <c r="BD2889" s="308"/>
      <c r="BE2889" s="377"/>
      <c r="BF2889" s="274" t="str">
        <f>IFERROR(__xludf.DUMMYFUNCTION("LOWER(Regexreplace(to_text(E2889),""[^A-Za-z0-9]"","""")&amp;""_""&amp;Regexreplace(to_text(F2889),""[^A-Za-z0-9]"",""""))"),"samsung_phr3462001a")</f>
        <v>samsung_phr3462001a</v>
      </c>
      <c r="BG2889" s="275" t="str">
        <f>IFERROR(__xludf.DUMMYFUNCTION("upper(Regexreplace(to_text(E2889),""[^A-Za-z0-9]"","""")&amp;""-""&amp;Regexreplace(to_text(F2889),""[^A-Za-z0-9]"",""""))"),"SAMSUNG-PHR3462001A")</f>
        <v>SAMSUNG-PHR3462001A</v>
      </c>
    </row>
    <row r="2890" ht="30.0" customHeight="1">
      <c r="A2890" s="278"/>
      <c r="B2890" s="437" t="s">
        <v>670</v>
      </c>
      <c r="C2890" s="257" t="s">
        <v>9081</v>
      </c>
      <c r="D2890" s="173" t="s">
        <v>9081</v>
      </c>
      <c r="E2890" s="174" t="s">
        <v>9071</v>
      </c>
      <c r="F2890" s="173" t="s">
        <v>9072</v>
      </c>
      <c r="G2890" s="301" t="s">
        <v>673</v>
      </c>
      <c r="H2890" s="437" t="s">
        <v>2863</v>
      </c>
      <c r="I2890" s="258" t="s">
        <v>9073</v>
      </c>
      <c r="J2890" s="259" t="s">
        <v>1088</v>
      </c>
      <c r="K2890" s="260" t="s">
        <v>8155</v>
      </c>
      <c r="L2890" s="369"/>
      <c r="M2890" s="370"/>
      <c r="N2890" s="173" t="s">
        <v>679</v>
      </c>
      <c r="O2890" s="173" t="s">
        <v>225</v>
      </c>
      <c r="P2890" s="262" t="str">
        <f t="shared" si="1"/>
        <v>IN-BLR-ANANTA-BATT-5_5</v>
      </c>
      <c r="Q2890" s="173" t="s">
        <v>9082</v>
      </c>
      <c r="R2890" s="425" t="str">
        <f>IFS(C2890="","",C2890="n/a","N/A",LEN(C2890),Concatenate("{",char(34),"asset",char(34),":{",char(34),"guid",char(34),":",char(34),Q2890,char(34),",",char(34),"site",char(34),":",char(34),LOWER('2-Building'!$B$4),char(34),",",char(34),"name",char(34),":",char(34),LOWER(C2890),char(34),"}}"))</f>
        <v>{"asset":{"guid":"uuid://b9f1b910-b796-4096-8171-1b79e90c5ba5","site":"in-blr-ananta","name":"batt-5"}}</v>
      </c>
      <c r="S2890" s="369" t="s">
        <v>9056</v>
      </c>
      <c r="T2890" s="371"/>
      <c r="U2890" s="371"/>
      <c r="V2890" s="372"/>
      <c r="W2890" s="373"/>
      <c r="X2890" s="374"/>
      <c r="Y2890" s="33" t="s">
        <v>8076</v>
      </c>
      <c r="Z2890" s="305"/>
      <c r="AA2890" s="374"/>
      <c r="AB2890" s="258">
        <v>1.0</v>
      </c>
      <c r="AC2890" s="374"/>
      <c r="AD2890" s="370"/>
      <c r="AE2890" s="372"/>
      <c r="AF2890" s="375"/>
      <c r="AG2890" s="374"/>
      <c r="AH2890" s="374"/>
      <c r="AI2890" s="374"/>
      <c r="AJ2890" s="374"/>
      <c r="AK2890" s="374"/>
      <c r="AL2890" s="374"/>
      <c r="AM2890" s="374"/>
      <c r="AN2890" s="374"/>
      <c r="AO2890" s="374"/>
      <c r="AP2890" s="374"/>
      <c r="AQ2890" s="374"/>
      <c r="AR2890" s="374"/>
      <c r="AS2890" s="374"/>
      <c r="AT2890" s="374"/>
      <c r="AU2890" s="370"/>
      <c r="AV2890" s="376"/>
      <c r="AW2890" s="269" t="s">
        <v>2779</v>
      </c>
      <c r="AX2890" s="269" t="s">
        <v>2869</v>
      </c>
      <c r="AY2890" s="270" t="s">
        <v>695</v>
      </c>
      <c r="AZ2890" s="381"/>
      <c r="BA2890" s="173">
        <v>10.0</v>
      </c>
      <c r="BB2890" s="376"/>
      <c r="BC2890" s="376"/>
      <c r="BD2890" s="308"/>
      <c r="BE2890" s="377"/>
      <c r="BF2890" s="274" t="str">
        <f>IFERROR(__xludf.DUMMYFUNCTION("LOWER(Regexreplace(to_text(E2890),""[^A-Za-z0-9]"","""")&amp;""_""&amp;Regexreplace(to_text(F2890),""[^A-Za-z0-9]"",""""))"),"samsung_phr3462001a")</f>
        <v>samsung_phr3462001a</v>
      </c>
      <c r="BG2890" s="275" t="str">
        <f>IFERROR(__xludf.DUMMYFUNCTION("upper(Regexreplace(to_text(E2890),""[^A-Za-z0-9]"","""")&amp;""-""&amp;Regexreplace(to_text(F2890),""[^A-Za-z0-9]"",""""))"),"SAMSUNG-PHR3462001A")</f>
        <v>SAMSUNG-PHR3462001A</v>
      </c>
    </row>
    <row r="2891" ht="30.0" customHeight="1">
      <c r="A2891" s="278"/>
      <c r="B2891" s="437" t="s">
        <v>670</v>
      </c>
      <c r="C2891" s="257" t="s">
        <v>9083</v>
      </c>
      <c r="D2891" s="173" t="s">
        <v>9083</v>
      </c>
      <c r="E2891" s="174" t="s">
        <v>9071</v>
      </c>
      <c r="F2891" s="173" t="s">
        <v>9072</v>
      </c>
      <c r="G2891" s="301" t="s">
        <v>673</v>
      </c>
      <c r="H2891" s="437" t="s">
        <v>2863</v>
      </c>
      <c r="I2891" s="258" t="s">
        <v>9073</v>
      </c>
      <c r="J2891" s="259" t="s">
        <v>1088</v>
      </c>
      <c r="K2891" s="260" t="s">
        <v>8155</v>
      </c>
      <c r="L2891" s="369"/>
      <c r="M2891" s="370"/>
      <c r="N2891" s="173" t="s">
        <v>679</v>
      </c>
      <c r="O2891" s="173" t="s">
        <v>225</v>
      </c>
      <c r="P2891" s="262" t="str">
        <f t="shared" si="1"/>
        <v>IN-BLR-ANANTA-BATT-6_5</v>
      </c>
      <c r="Q2891" s="173" t="s">
        <v>9084</v>
      </c>
      <c r="R2891" s="425" t="str">
        <f>IFS(C2891="","",C2891="n/a","N/A",LEN(C2891),Concatenate("{",char(34),"asset",char(34),":{",char(34),"guid",char(34),":",char(34),Q2891,char(34),",",char(34),"site",char(34),":",char(34),LOWER('2-Building'!$B$4),char(34),",",char(34),"name",char(34),":",char(34),LOWER(C2891),char(34),"}}"))</f>
        <v>{"asset":{"guid":"uuid://f853fea4-eeca-4244-8cce-640413540614","site":"in-blr-ananta","name":"batt-6"}}</v>
      </c>
      <c r="S2891" s="369" t="s">
        <v>9056</v>
      </c>
      <c r="T2891" s="371"/>
      <c r="U2891" s="371"/>
      <c r="V2891" s="372"/>
      <c r="W2891" s="373"/>
      <c r="X2891" s="374"/>
      <c r="Y2891" s="33" t="s">
        <v>8076</v>
      </c>
      <c r="Z2891" s="305"/>
      <c r="AA2891" s="374"/>
      <c r="AB2891" s="258">
        <v>1.0</v>
      </c>
      <c r="AC2891" s="374"/>
      <c r="AD2891" s="370"/>
      <c r="AE2891" s="372"/>
      <c r="AF2891" s="375"/>
      <c r="AG2891" s="374"/>
      <c r="AH2891" s="374"/>
      <c r="AI2891" s="374"/>
      <c r="AJ2891" s="374"/>
      <c r="AK2891" s="374"/>
      <c r="AL2891" s="374"/>
      <c r="AM2891" s="374"/>
      <c r="AN2891" s="374"/>
      <c r="AO2891" s="374"/>
      <c r="AP2891" s="374"/>
      <c r="AQ2891" s="374"/>
      <c r="AR2891" s="374"/>
      <c r="AS2891" s="374"/>
      <c r="AT2891" s="374"/>
      <c r="AU2891" s="370"/>
      <c r="AV2891" s="376"/>
      <c r="AW2891" s="269" t="s">
        <v>2833</v>
      </c>
      <c r="AX2891" s="269" t="s">
        <v>2869</v>
      </c>
      <c r="AY2891" s="270" t="s">
        <v>695</v>
      </c>
      <c r="AZ2891" s="381"/>
      <c r="BA2891" s="173">
        <v>10.0</v>
      </c>
      <c r="BB2891" s="376"/>
      <c r="BC2891" s="376"/>
      <c r="BD2891" s="308"/>
      <c r="BE2891" s="377"/>
      <c r="BF2891" s="274" t="str">
        <f>IFERROR(__xludf.DUMMYFUNCTION("LOWER(Regexreplace(to_text(E2891),""[^A-Za-z0-9]"","""")&amp;""_""&amp;Regexreplace(to_text(F2891),""[^A-Za-z0-9]"",""""))"),"samsung_phr3462001a")</f>
        <v>samsung_phr3462001a</v>
      </c>
      <c r="BG2891" s="275" t="str">
        <f>IFERROR(__xludf.DUMMYFUNCTION("upper(Regexreplace(to_text(E2891),""[^A-Za-z0-9]"","""")&amp;""-""&amp;Regexreplace(to_text(F2891),""[^A-Za-z0-9]"",""""))"),"SAMSUNG-PHR3462001A")</f>
        <v>SAMSUNG-PHR3462001A</v>
      </c>
    </row>
    <row r="2892" ht="30.0" customHeight="1">
      <c r="A2892" s="384"/>
      <c r="B2892" s="438" t="s">
        <v>670</v>
      </c>
      <c r="C2892" s="257" t="s">
        <v>9085</v>
      </c>
      <c r="D2892" s="173" t="s">
        <v>9085</v>
      </c>
      <c r="E2892" s="174" t="s">
        <v>9071</v>
      </c>
      <c r="F2892" s="173" t="s">
        <v>9072</v>
      </c>
      <c r="G2892" s="439" t="s">
        <v>673</v>
      </c>
      <c r="H2892" s="438" t="s">
        <v>2863</v>
      </c>
      <c r="I2892" s="258" t="s">
        <v>9086</v>
      </c>
      <c r="J2892" s="259" t="s">
        <v>1088</v>
      </c>
      <c r="K2892" s="260" t="s">
        <v>9087</v>
      </c>
      <c r="L2892" s="440"/>
      <c r="M2892" s="387"/>
      <c r="N2892" s="173" t="s">
        <v>679</v>
      </c>
      <c r="O2892" s="173" t="s">
        <v>225</v>
      </c>
      <c r="P2892" s="262" t="str">
        <f t="shared" si="1"/>
        <v>IN-BLR-ANANTA-HMS-1_5</v>
      </c>
      <c r="Q2892" s="173"/>
      <c r="R2892" s="385"/>
      <c r="S2892" s="339" t="s">
        <v>2866</v>
      </c>
      <c r="T2892" s="388"/>
      <c r="U2892" s="388"/>
      <c r="V2892" s="389"/>
      <c r="W2892" s="390"/>
      <c r="X2892" s="391"/>
      <c r="Y2892" s="33" t="s">
        <v>8076</v>
      </c>
      <c r="Z2892" s="392"/>
      <c r="AA2892" s="391"/>
      <c r="AB2892" s="258"/>
      <c r="AC2892" s="391"/>
      <c r="AD2892" s="387"/>
      <c r="AE2892" s="389"/>
      <c r="AF2892" s="393"/>
      <c r="AG2892" s="391"/>
      <c r="AH2892" s="391"/>
      <c r="AI2892" s="391"/>
      <c r="AJ2892" s="391"/>
      <c r="AK2892" s="391"/>
      <c r="AL2892" s="391"/>
      <c r="AM2892" s="391"/>
      <c r="AN2892" s="391"/>
      <c r="AO2892" s="391"/>
      <c r="AP2892" s="391"/>
      <c r="AQ2892" s="391"/>
      <c r="AR2892" s="391"/>
      <c r="AS2892" s="391"/>
      <c r="AT2892" s="391"/>
      <c r="AU2892" s="387"/>
      <c r="AV2892" s="394"/>
      <c r="AW2892" s="269"/>
      <c r="AX2892" s="269"/>
      <c r="AY2892" s="270"/>
      <c r="AZ2892" s="395"/>
      <c r="BA2892" s="173"/>
      <c r="BB2892" s="394"/>
      <c r="BC2892" s="394"/>
      <c r="BD2892" s="308"/>
      <c r="BE2892" s="441"/>
      <c r="BF2892" s="274" t="str">
        <f>IFERROR(__xludf.DUMMYFUNCTION("LOWER(Regexreplace(to_text(E2892),""[^A-Za-z0-9]"","""")&amp;""_""&amp;Regexreplace(to_text(F2892),""[^A-Za-z0-9]"",""""))"),"samsung_phr3462001a")</f>
        <v>samsung_phr3462001a</v>
      </c>
      <c r="BG2892" s="275" t="str">
        <f>IFERROR(__xludf.DUMMYFUNCTION("upper(Regexreplace(to_text(E2892),""[^A-Za-z0-9]"","""")&amp;""-""&amp;Regexreplace(to_text(F2892),""[^A-Za-z0-9]"",""""))"),"SAMSUNG-PHR3462001A")</f>
        <v>SAMSUNG-PHR3462001A</v>
      </c>
    </row>
    <row r="2893" ht="30.0" customHeight="1">
      <c r="A2893" s="384"/>
      <c r="B2893" s="438" t="s">
        <v>670</v>
      </c>
      <c r="C2893" s="257" t="s">
        <v>9088</v>
      </c>
      <c r="D2893" s="173" t="s">
        <v>9088</v>
      </c>
      <c r="E2893" s="174" t="s">
        <v>9071</v>
      </c>
      <c r="F2893" s="173" t="s">
        <v>9072</v>
      </c>
      <c r="G2893" s="439" t="s">
        <v>673</v>
      </c>
      <c r="H2893" s="438" t="s">
        <v>2863</v>
      </c>
      <c r="I2893" s="258" t="s">
        <v>9086</v>
      </c>
      <c r="J2893" s="259" t="s">
        <v>1088</v>
      </c>
      <c r="K2893" s="260" t="s">
        <v>9087</v>
      </c>
      <c r="L2893" s="440"/>
      <c r="M2893" s="387"/>
      <c r="N2893" s="173" t="s">
        <v>679</v>
      </c>
      <c r="O2893" s="173" t="s">
        <v>225</v>
      </c>
      <c r="P2893" s="262" t="str">
        <f t="shared" si="1"/>
        <v>IN-BLR-ANANTA-HMS-2_5</v>
      </c>
      <c r="Q2893" s="173"/>
      <c r="R2893" s="385"/>
      <c r="S2893" s="339" t="s">
        <v>2866</v>
      </c>
      <c r="T2893" s="388"/>
      <c r="U2893" s="388"/>
      <c r="V2893" s="389"/>
      <c r="W2893" s="390"/>
      <c r="X2893" s="391"/>
      <c r="Y2893" s="33" t="s">
        <v>8076</v>
      </c>
      <c r="Z2893" s="392"/>
      <c r="AA2893" s="391"/>
      <c r="AB2893" s="258"/>
      <c r="AC2893" s="391"/>
      <c r="AD2893" s="387"/>
      <c r="AE2893" s="389"/>
      <c r="AF2893" s="393"/>
      <c r="AG2893" s="391"/>
      <c r="AH2893" s="391"/>
      <c r="AI2893" s="391"/>
      <c r="AJ2893" s="391"/>
      <c r="AK2893" s="391"/>
      <c r="AL2893" s="391"/>
      <c r="AM2893" s="391"/>
      <c r="AN2893" s="391"/>
      <c r="AO2893" s="391"/>
      <c r="AP2893" s="391"/>
      <c r="AQ2893" s="391"/>
      <c r="AR2893" s="391"/>
      <c r="AS2893" s="391"/>
      <c r="AT2893" s="391"/>
      <c r="AU2893" s="387"/>
      <c r="AV2893" s="394"/>
      <c r="AW2893" s="269"/>
      <c r="AX2893" s="269"/>
      <c r="AY2893" s="270"/>
      <c r="AZ2893" s="395"/>
      <c r="BA2893" s="173"/>
      <c r="BB2893" s="394"/>
      <c r="BC2893" s="394"/>
      <c r="BD2893" s="308"/>
      <c r="BE2893" s="441"/>
      <c r="BF2893" s="274" t="str">
        <f>IFERROR(__xludf.DUMMYFUNCTION("LOWER(Regexreplace(to_text(E2893),""[^A-Za-z0-9]"","""")&amp;""_""&amp;Regexreplace(to_text(F2893),""[^A-Za-z0-9]"",""""))"),"samsung_phr3462001a")</f>
        <v>samsung_phr3462001a</v>
      </c>
      <c r="BG2893" s="275" t="str">
        <f>IFERROR(__xludf.DUMMYFUNCTION("upper(Regexreplace(to_text(E2893),""[^A-Za-z0-9]"","""")&amp;""-""&amp;Regexreplace(to_text(F2893),""[^A-Za-z0-9]"",""""))"),"SAMSUNG-PHR3462001A")</f>
        <v>SAMSUNG-PHR3462001A</v>
      </c>
    </row>
    <row r="2894" ht="30.0" customHeight="1">
      <c r="A2894" s="384"/>
      <c r="B2894" s="438" t="s">
        <v>670</v>
      </c>
      <c r="C2894" s="257" t="s">
        <v>9089</v>
      </c>
      <c r="D2894" s="173" t="s">
        <v>9089</v>
      </c>
      <c r="E2894" s="174"/>
      <c r="F2894" s="173"/>
      <c r="G2894" s="438" t="s">
        <v>673</v>
      </c>
      <c r="H2894" s="438" t="s">
        <v>2863</v>
      </c>
      <c r="I2894" s="258" t="s">
        <v>558</v>
      </c>
      <c r="J2894" s="259" t="s">
        <v>2839</v>
      </c>
      <c r="K2894" s="260"/>
      <c r="L2894" s="440"/>
      <c r="M2894" s="387"/>
      <c r="N2894" s="173" t="s">
        <v>679</v>
      </c>
      <c r="O2894" s="173" t="s">
        <v>225</v>
      </c>
      <c r="P2894" s="262" t="str">
        <f t="shared" si="1"/>
        <v>IN-BLR-ANANTA-FM-1_M</v>
      </c>
      <c r="Q2894" s="173" t="s">
        <v>9090</v>
      </c>
      <c r="R2894" s="425" t="str">
        <f>IFS(C2894="","",C2894="n/a","N/A",LEN(C2894),Concatenate("{",char(34),"asset",char(34),":{",char(34),"guid",char(34),":",char(34),Q2894,char(34),",",char(34),"site",char(34),":",char(34),LOWER('2-Building'!$B$4),char(34),",",char(34),"name",char(34),":",char(34),LOWER(C2894),char(34),"}}"))</f>
        <v>{"asset":{"guid":"uuid://472ad009-48d0-48b1-a215-6db690fcbbdd","site":"in-blr-ananta","name":"fm-1"}}</v>
      </c>
      <c r="S2894" s="339" t="s">
        <v>9091</v>
      </c>
      <c r="T2894" s="388"/>
      <c r="U2894" s="388"/>
      <c r="V2894" s="389"/>
      <c r="W2894" s="390"/>
      <c r="X2894" s="391"/>
      <c r="Y2894" s="33" t="s">
        <v>8076</v>
      </c>
      <c r="Z2894" s="392"/>
      <c r="AA2894" s="391"/>
      <c r="AB2894" s="258">
        <v>2.0</v>
      </c>
      <c r="AC2894" s="391"/>
      <c r="AD2894" s="387"/>
      <c r="AE2894" s="389"/>
      <c r="AF2894" s="393"/>
      <c r="AG2894" s="391"/>
      <c r="AH2894" s="391"/>
      <c r="AI2894" s="391"/>
      <c r="AJ2894" s="391"/>
      <c r="AK2894" s="391"/>
      <c r="AL2894" s="391"/>
      <c r="AM2894" s="391"/>
      <c r="AN2894" s="391"/>
      <c r="AO2894" s="391"/>
      <c r="AP2894" s="391"/>
      <c r="AQ2894" s="391"/>
      <c r="AR2894" s="391"/>
      <c r="AS2894" s="391"/>
      <c r="AT2894" s="391"/>
      <c r="AU2894" s="387"/>
      <c r="AV2894" s="394"/>
      <c r="AW2894" s="269"/>
      <c r="AX2894" s="269"/>
      <c r="AY2894" s="270"/>
      <c r="AZ2894" s="395"/>
      <c r="BA2894" s="173"/>
      <c r="BB2894" s="394"/>
      <c r="BC2894" s="394"/>
      <c r="BD2894" s="308"/>
      <c r="BE2894" s="441"/>
      <c r="BF2894" s="274" t="str">
        <f>IFERROR(__xludf.DUMMYFUNCTION("LOWER(Regexreplace(to_text(E2894),""[^A-Za-z0-9]"","""")&amp;""_""&amp;Regexreplace(to_text(F2894),""[^A-Za-z0-9]"",""""))"),"_")</f>
        <v>_</v>
      </c>
      <c r="BG2894" s="275" t="str">
        <f>IFERROR(__xludf.DUMMYFUNCTION("upper(Regexreplace(to_text(E2894),""[^A-Za-z0-9]"","""")&amp;""-""&amp;Regexreplace(to_text(F2894),""[^A-Za-z0-9]"",""""))"),"-")</f>
        <v>-</v>
      </c>
    </row>
    <row r="2895" ht="30.0" customHeight="1">
      <c r="A2895" s="384"/>
      <c r="B2895" s="438" t="s">
        <v>670</v>
      </c>
      <c r="C2895" s="257" t="s">
        <v>9092</v>
      </c>
      <c r="D2895" s="173" t="s">
        <v>9092</v>
      </c>
      <c r="E2895" s="174"/>
      <c r="F2895" s="173"/>
      <c r="G2895" s="438" t="s">
        <v>673</v>
      </c>
      <c r="H2895" s="438" t="s">
        <v>2863</v>
      </c>
      <c r="I2895" s="258" t="s">
        <v>558</v>
      </c>
      <c r="J2895" s="259" t="s">
        <v>2839</v>
      </c>
      <c r="K2895" s="260"/>
      <c r="L2895" s="440"/>
      <c r="M2895" s="387"/>
      <c r="N2895" s="173" t="s">
        <v>679</v>
      </c>
      <c r="O2895" s="173" t="s">
        <v>225</v>
      </c>
      <c r="P2895" s="262" t="str">
        <f t="shared" si="1"/>
        <v>IN-BLR-ANANTA-FM-2_M</v>
      </c>
      <c r="Q2895" s="173" t="s">
        <v>9093</v>
      </c>
      <c r="R2895" s="425" t="str">
        <f>IFS(C2895="","",C2895="n/a","N/A",LEN(C2895),Concatenate("{",char(34),"asset",char(34),":{",char(34),"guid",char(34),":",char(34),Q2895,char(34),",",char(34),"site",char(34),":",char(34),LOWER('2-Building'!$B$4),char(34),",",char(34),"name",char(34),":",char(34),LOWER(C2895),char(34),"}}"))</f>
        <v>{"asset":{"guid":"uuid://f521ffe7-d374-4044-b9a7-e1741a34f964","site":"in-blr-ananta","name":"fm-2"}}</v>
      </c>
      <c r="S2895" s="339" t="s">
        <v>9091</v>
      </c>
      <c r="T2895" s="388"/>
      <c r="U2895" s="388"/>
      <c r="V2895" s="389"/>
      <c r="W2895" s="390"/>
      <c r="X2895" s="391"/>
      <c r="Y2895" s="33" t="s">
        <v>8076</v>
      </c>
      <c r="Z2895" s="392"/>
      <c r="AA2895" s="391"/>
      <c r="AB2895" s="258">
        <v>3.0</v>
      </c>
      <c r="AC2895" s="391"/>
      <c r="AD2895" s="387"/>
      <c r="AE2895" s="389"/>
      <c r="AF2895" s="393"/>
      <c r="AG2895" s="391"/>
      <c r="AH2895" s="391"/>
      <c r="AI2895" s="391"/>
      <c r="AJ2895" s="391"/>
      <c r="AK2895" s="391"/>
      <c r="AL2895" s="391"/>
      <c r="AM2895" s="391"/>
      <c r="AN2895" s="391"/>
      <c r="AO2895" s="391"/>
      <c r="AP2895" s="391"/>
      <c r="AQ2895" s="391"/>
      <c r="AR2895" s="391"/>
      <c r="AS2895" s="391"/>
      <c r="AT2895" s="391"/>
      <c r="AU2895" s="387"/>
      <c r="AV2895" s="394"/>
      <c r="AW2895" s="269"/>
      <c r="AX2895" s="269"/>
      <c r="AY2895" s="270"/>
      <c r="AZ2895" s="395"/>
      <c r="BA2895" s="173"/>
      <c r="BB2895" s="394"/>
      <c r="BC2895" s="394"/>
      <c r="BD2895" s="308"/>
      <c r="BE2895" s="441"/>
      <c r="BF2895" s="274" t="str">
        <f>IFERROR(__xludf.DUMMYFUNCTION("LOWER(Regexreplace(to_text(E2895),""[^A-Za-z0-9]"","""")&amp;""_""&amp;Regexreplace(to_text(F2895),""[^A-Za-z0-9]"",""""))"),"_")</f>
        <v>_</v>
      </c>
      <c r="BG2895" s="275" t="str">
        <f>IFERROR(__xludf.DUMMYFUNCTION("upper(Regexreplace(to_text(E2895),""[^A-Za-z0-9]"","""")&amp;""-""&amp;Regexreplace(to_text(F2895),""[^A-Za-z0-9]"",""""))"),"-")</f>
        <v>-</v>
      </c>
    </row>
    <row r="2896" ht="30.0" customHeight="1">
      <c r="A2896" s="384"/>
      <c r="B2896" s="438" t="s">
        <v>670</v>
      </c>
      <c r="C2896" s="257" t="s">
        <v>9094</v>
      </c>
      <c r="D2896" s="173" t="s">
        <v>9094</v>
      </c>
      <c r="E2896" s="174"/>
      <c r="F2896" s="173"/>
      <c r="G2896" s="438" t="s">
        <v>673</v>
      </c>
      <c r="H2896" s="438" t="s">
        <v>2863</v>
      </c>
      <c r="I2896" s="258" t="s">
        <v>558</v>
      </c>
      <c r="J2896" s="259" t="s">
        <v>2839</v>
      </c>
      <c r="K2896" s="260"/>
      <c r="L2896" s="440"/>
      <c r="M2896" s="387"/>
      <c r="N2896" s="173" t="s">
        <v>679</v>
      </c>
      <c r="O2896" s="173" t="s">
        <v>225</v>
      </c>
      <c r="P2896" s="262" t="str">
        <f t="shared" si="1"/>
        <v>IN-BLR-ANANTA-FM-3_M</v>
      </c>
      <c r="Q2896" s="173" t="s">
        <v>9095</v>
      </c>
      <c r="R2896" s="425" t="str">
        <f>IFS(C2896="","",C2896="n/a","N/A",LEN(C2896),Concatenate("{",char(34),"asset",char(34),":{",char(34),"guid",char(34),":",char(34),Q2896,char(34),",",char(34),"site",char(34),":",char(34),LOWER('2-Building'!$B$4),char(34),",",char(34),"name",char(34),":",char(34),LOWER(C2896),char(34),"}}"))</f>
        <v>{"asset":{"guid":"uuid://8b1c0019-8588-4ed2-b8e9-c178e8bae79b","site":"in-blr-ananta","name":"fm-3"}}</v>
      </c>
      <c r="S2896" s="339" t="s">
        <v>9091</v>
      </c>
      <c r="T2896" s="388"/>
      <c r="U2896" s="388"/>
      <c r="V2896" s="389"/>
      <c r="W2896" s="390"/>
      <c r="X2896" s="391"/>
      <c r="Y2896" s="33" t="s">
        <v>8076</v>
      </c>
      <c r="Z2896" s="392"/>
      <c r="AA2896" s="391"/>
      <c r="AB2896" s="258">
        <v>4.0</v>
      </c>
      <c r="AC2896" s="391"/>
      <c r="AD2896" s="387"/>
      <c r="AE2896" s="389"/>
      <c r="AF2896" s="393"/>
      <c r="AG2896" s="391"/>
      <c r="AH2896" s="391"/>
      <c r="AI2896" s="391"/>
      <c r="AJ2896" s="391"/>
      <c r="AK2896" s="391"/>
      <c r="AL2896" s="391"/>
      <c r="AM2896" s="391"/>
      <c r="AN2896" s="391"/>
      <c r="AO2896" s="391"/>
      <c r="AP2896" s="391"/>
      <c r="AQ2896" s="391"/>
      <c r="AR2896" s="391"/>
      <c r="AS2896" s="391"/>
      <c r="AT2896" s="391"/>
      <c r="AU2896" s="387"/>
      <c r="AV2896" s="394"/>
      <c r="AW2896" s="269"/>
      <c r="AX2896" s="269"/>
      <c r="AY2896" s="270"/>
      <c r="AZ2896" s="395"/>
      <c r="BA2896" s="173"/>
      <c r="BB2896" s="394"/>
      <c r="BC2896" s="394"/>
      <c r="BD2896" s="308"/>
      <c r="BE2896" s="441"/>
      <c r="BF2896" s="274" t="str">
        <f>IFERROR(__xludf.DUMMYFUNCTION("LOWER(Regexreplace(to_text(E2896),""[^A-Za-z0-9]"","""")&amp;""_""&amp;Regexreplace(to_text(F2896),""[^A-Za-z0-9]"",""""))"),"_")</f>
        <v>_</v>
      </c>
      <c r="BG2896" s="275" t="str">
        <f>IFERROR(__xludf.DUMMYFUNCTION("upper(Regexreplace(to_text(E2896),""[^A-Za-z0-9]"","""")&amp;""-""&amp;Regexreplace(to_text(F2896),""[^A-Za-z0-9]"",""""))"),"-")</f>
        <v>-</v>
      </c>
    </row>
    <row r="2897" ht="30.0" customHeight="1">
      <c r="A2897" s="173">
        <v>2683.0</v>
      </c>
      <c r="B2897" s="328" t="s">
        <v>670</v>
      </c>
      <c r="C2897" s="257" t="s">
        <v>9096</v>
      </c>
      <c r="D2897" s="173" t="s">
        <v>9096</v>
      </c>
      <c r="E2897" s="174" t="s">
        <v>9097</v>
      </c>
      <c r="F2897" s="173" t="s">
        <v>9098</v>
      </c>
      <c r="G2897" s="328" t="s">
        <v>673</v>
      </c>
      <c r="H2897" s="328" t="s">
        <v>2863</v>
      </c>
      <c r="I2897" s="258" t="s">
        <v>9099</v>
      </c>
      <c r="J2897" s="259" t="s">
        <v>727</v>
      </c>
      <c r="K2897" s="260" t="s">
        <v>9100</v>
      </c>
      <c r="L2897" s="366"/>
      <c r="M2897" s="329"/>
      <c r="N2897" s="173" t="s">
        <v>679</v>
      </c>
      <c r="O2897" s="173" t="s">
        <v>225</v>
      </c>
      <c r="P2897" s="262" t="str">
        <f t="shared" si="1"/>
        <v>IN-BLR-ANANTA-WM-1_B1</v>
      </c>
      <c r="Q2897" s="173" t="s">
        <v>9101</v>
      </c>
      <c r="R2897" s="328" t="str">
        <f>IFS(C2897="","",C2897="n/a","N/A",LEN(C2897),Concatenate("{",char(34),"asset",char(34),":{",char(34),"guid",char(34),":",char(34),Q2897,char(34),",",char(34),"site",char(34),":",char(34),LOWER('2-Building'!$B$4),char(34),",",char(34),"name",char(34),":",char(34),LOWER(C2897),char(34),"}}"))</f>
        <v>{"asset":{"guid":"uuid://2e634df7-09f2-404d-90ca-25ac80499491","site":"in-blr-ananta","name":"wm-1"}}</v>
      </c>
      <c r="S2897" s="366" t="s">
        <v>9102</v>
      </c>
      <c r="T2897" s="330"/>
      <c r="U2897" s="330"/>
      <c r="V2897" s="331"/>
      <c r="W2897" s="332"/>
      <c r="X2897" s="333"/>
      <c r="Y2897" s="33" t="s">
        <v>8076</v>
      </c>
      <c r="Z2897" s="368"/>
      <c r="AA2897" s="333"/>
      <c r="AB2897" s="258">
        <v>2.0</v>
      </c>
      <c r="AC2897" s="333"/>
      <c r="AD2897" s="329"/>
      <c r="AE2897" s="331"/>
      <c r="AF2897" s="336"/>
      <c r="AG2897" s="337" t="str">
        <f>IFS(LEN(AF2897)=17,LOWER('2-Building'!$B$4 &amp; "-" &amp; C2897), AF2897="N/A", "N/A", LEN(AF2897)=0,"")</f>
        <v/>
      </c>
      <c r="AH2897" s="333"/>
      <c r="AI2897" s="333"/>
      <c r="AJ2897" s="333"/>
      <c r="AK2897" s="333"/>
      <c r="AL2897" s="333"/>
      <c r="AM2897" s="338"/>
      <c r="AN2897" s="333"/>
      <c r="AO2897" s="333"/>
      <c r="AP2897" s="333"/>
      <c r="AQ2897" s="333"/>
      <c r="AR2897" s="333"/>
      <c r="AS2897" s="333"/>
      <c r="AT2897" s="333"/>
      <c r="AU2897" s="329"/>
      <c r="AV2897" s="341"/>
      <c r="AW2897" s="269" t="s">
        <v>1879</v>
      </c>
      <c r="AX2897" s="269" t="s">
        <v>2869</v>
      </c>
      <c r="AY2897" s="270" t="s">
        <v>695</v>
      </c>
      <c r="AZ2897" s="379"/>
      <c r="BA2897" s="173">
        <v>10.0</v>
      </c>
      <c r="BB2897" s="341"/>
      <c r="BC2897" s="341"/>
      <c r="BD2897" s="308" t="s">
        <v>1844</v>
      </c>
      <c r="BE2897" s="364"/>
      <c r="BF2897" s="274" t="str">
        <f>IFERROR(__xludf.DUMMYFUNCTION("LOWER(Regexreplace(to_text(E2897),""[^A-Za-z0-9]"","""")&amp;""_""&amp;Regexreplace(to_text(F2897),""[^A-Za-z0-9]"",""""))"),"aquagen_uwm220dn50dn500")</f>
        <v>aquagen_uwm220dn50dn500</v>
      </c>
      <c r="BG2897" s="275" t="str">
        <f>IFERROR(__xludf.DUMMYFUNCTION("upper(Regexreplace(to_text(E2897),""[^A-Za-z0-9]"","""")&amp;""-""&amp;Regexreplace(to_text(F2897),""[^A-Za-z0-9]"",""""))"),"AQUAGEN-UWM220DN50DN500")</f>
        <v>AQUAGEN-UWM220DN50DN500</v>
      </c>
    </row>
    <row r="2898" ht="30.0" customHeight="1">
      <c r="A2898" s="258">
        <v>2684.0</v>
      </c>
      <c r="B2898" s="328" t="s">
        <v>670</v>
      </c>
      <c r="C2898" s="257" t="s">
        <v>9103</v>
      </c>
      <c r="D2898" s="173" t="s">
        <v>9103</v>
      </c>
      <c r="E2898" s="174" t="s">
        <v>9097</v>
      </c>
      <c r="F2898" s="173" t="s">
        <v>9098</v>
      </c>
      <c r="G2898" s="328" t="s">
        <v>673</v>
      </c>
      <c r="H2898" s="328" t="s">
        <v>2863</v>
      </c>
      <c r="I2898" s="258" t="s">
        <v>9099</v>
      </c>
      <c r="J2898" s="259" t="s">
        <v>727</v>
      </c>
      <c r="K2898" s="260" t="s">
        <v>9100</v>
      </c>
      <c r="L2898" s="366"/>
      <c r="M2898" s="329"/>
      <c r="N2898" s="173" t="s">
        <v>679</v>
      </c>
      <c r="O2898" s="173" t="s">
        <v>225</v>
      </c>
      <c r="P2898" s="262" t="str">
        <f t="shared" si="1"/>
        <v>IN-BLR-ANANTA-WM-2_B1</v>
      </c>
      <c r="Q2898" s="173" t="s">
        <v>9104</v>
      </c>
      <c r="R2898" s="328" t="str">
        <f>IFS(C2898="","",C2898="n/a","N/A",LEN(C2898),Concatenate("{",char(34),"asset",char(34),":{",char(34),"guid",char(34),":",char(34),Q2898,char(34),",",char(34),"site",char(34),":",char(34),LOWER('2-Building'!$B$4),char(34),",",char(34),"name",char(34),":",char(34),LOWER(C2898),char(34),"}}"))</f>
        <v>{"asset":{"guid":"uuid://55708803-9d55-44c5-901b-0e9802671788","site":"in-blr-ananta","name":"wm-2"}}</v>
      </c>
      <c r="S2898" s="366" t="s">
        <v>9102</v>
      </c>
      <c r="T2898" s="330"/>
      <c r="U2898" s="330"/>
      <c r="V2898" s="331"/>
      <c r="W2898" s="332"/>
      <c r="X2898" s="333"/>
      <c r="Y2898" s="33" t="s">
        <v>8076</v>
      </c>
      <c r="Z2898" s="368"/>
      <c r="AA2898" s="333"/>
      <c r="AB2898" s="258">
        <v>3.0</v>
      </c>
      <c r="AC2898" s="333"/>
      <c r="AD2898" s="329"/>
      <c r="AE2898" s="331"/>
      <c r="AF2898" s="336"/>
      <c r="AG2898" s="337" t="str">
        <f>IFS(LEN(AF2898)=17,LOWER('2-Building'!$B$4 &amp; "-" &amp; C2898), AF2898="N/A", "N/A", LEN(AF2898)=0,"")</f>
        <v/>
      </c>
      <c r="AH2898" s="333"/>
      <c r="AI2898" s="333"/>
      <c r="AJ2898" s="333"/>
      <c r="AK2898" s="333"/>
      <c r="AL2898" s="333"/>
      <c r="AM2898" s="338"/>
      <c r="AN2898" s="333"/>
      <c r="AO2898" s="333"/>
      <c r="AP2898" s="333"/>
      <c r="AQ2898" s="333"/>
      <c r="AR2898" s="333"/>
      <c r="AS2898" s="333"/>
      <c r="AT2898" s="333"/>
      <c r="AU2898" s="329"/>
      <c r="AV2898" s="341"/>
      <c r="AW2898" s="269" t="s">
        <v>1879</v>
      </c>
      <c r="AX2898" s="269" t="s">
        <v>2869</v>
      </c>
      <c r="AY2898" s="270" t="s">
        <v>695</v>
      </c>
      <c r="AZ2898" s="379"/>
      <c r="BA2898" s="173">
        <v>10.0</v>
      </c>
      <c r="BB2898" s="341"/>
      <c r="BC2898" s="341"/>
      <c r="BD2898" s="308" t="s">
        <v>1844</v>
      </c>
      <c r="BE2898" s="364"/>
      <c r="BF2898" s="274" t="str">
        <f>IFERROR(__xludf.DUMMYFUNCTION("LOWER(Regexreplace(to_text(E2898),""[^A-Za-z0-9]"","""")&amp;""_""&amp;Regexreplace(to_text(F2898),""[^A-Za-z0-9]"",""""))"),"aquagen_uwm220dn50dn500")</f>
        <v>aquagen_uwm220dn50dn500</v>
      </c>
      <c r="BG2898" s="275" t="str">
        <f>IFERROR(__xludf.DUMMYFUNCTION("upper(Regexreplace(to_text(E2898),""[^A-Za-z0-9]"","""")&amp;""-""&amp;Regexreplace(to_text(F2898),""[^A-Za-z0-9]"",""""))"),"AQUAGEN-UWM220DN50DN500")</f>
        <v>AQUAGEN-UWM220DN50DN500</v>
      </c>
    </row>
    <row r="2899" ht="30.0" customHeight="1">
      <c r="A2899" s="173">
        <v>2685.0</v>
      </c>
      <c r="B2899" s="328" t="s">
        <v>670</v>
      </c>
      <c r="C2899" s="257" t="s">
        <v>9105</v>
      </c>
      <c r="D2899" s="173" t="s">
        <v>9105</v>
      </c>
      <c r="E2899" s="174" t="s">
        <v>9097</v>
      </c>
      <c r="F2899" s="173" t="s">
        <v>9098</v>
      </c>
      <c r="G2899" s="328" t="s">
        <v>673</v>
      </c>
      <c r="H2899" s="328" t="s">
        <v>2863</v>
      </c>
      <c r="I2899" s="258" t="s">
        <v>9099</v>
      </c>
      <c r="J2899" s="259" t="s">
        <v>727</v>
      </c>
      <c r="K2899" s="260" t="s">
        <v>9100</v>
      </c>
      <c r="L2899" s="366"/>
      <c r="M2899" s="329"/>
      <c r="N2899" s="173" t="s">
        <v>679</v>
      </c>
      <c r="O2899" s="173" t="s">
        <v>225</v>
      </c>
      <c r="P2899" s="262" t="str">
        <f t="shared" si="1"/>
        <v>IN-BLR-ANANTA-WM-3_B1</v>
      </c>
      <c r="Q2899" s="173" t="s">
        <v>9106</v>
      </c>
      <c r="R2899" s="328" t="str">
        <f>IFS(C2899="","",C2899="n/a","N/A",LEN(C2899),Concatenate("{",char(34),"asset",char(34),":{",char(34),"guid",char(34),":",char(34),Q2899,char(34),",",char(34),"site",char(34),":",char(34),LOWER('2-Building'!$B$4),char(34),",",char(34),"name",char(34),":",char(34),LOWER(C2899),char(34),"}}"))</f>
        <v>{"asset":{"guid":"uuid://1cf50ce3-b31d-43cd-9f76-13cab17c22af","site":"in-blr-ananta","name":"wm-3"}}</v>
      </c>
      <c r="S2899" s="366" t="s">
        <v>9102</v>
      </c>
      <c r="T2899" s="330"/>
      <c r="U2899" s="330"/>
      <c r="V2899" s="331"/>
      <c r="W2899" s="332"/>
      <c r="X2899" s="333"/>
      <c r="Y2899" s="33" t="s">
        <v>8076</v>
      </c>
      <c r="Z2899" s="368"/>
      <c r="AA2899" s="333"/>
      <c r="AB2899" s="258">
        <v>4.0</v>
      </c>
      <c r="AC2899" s="333"/>
      <c r="AD2899" s="329"/>
      <c r="AE2899" s="331"/>
      <c r="AF2899" s="336"/>
      <c r="AG2899" s="337" t="str">
        <f>IFS(LEN(AF2899)=17,LOWER('2-Building'!$B$4 &amp; "-" &amp; C2899), AF2899="N/A", "N/A", LEN(AF2899)=0,"")</f>
        <v/>
      </c>
      <c r="AH2899" s="333"/>
      <c r="AI2899" s="333"/>
      <c r="AJ2899" s="333"/>
      <c r="AK2899" s="333"/>
      <c r="AL2899" s="333"/>
      <c r="AM2899" s="338"/>
      <c r="AN2899" s="333"/>
      <c r="AO2899" s="333"/>
      <c r="AP2899" s="333"/>
      <c r="AQ2899" s="333"/>
      <c r="AR2899" s="333"/>
      <c r="AS2899" s="333"/>
      <c r="AT2899" s="333"/>
      <c r="AU2899" s="329"/>
      <c r="AV2899" s="341"/>
      <c r="AW2899" s="269" t="s">
        <v>1879</v>
      </c>
      <c r="AX2899" s="269" t="s">
        <v>2869</v>
      </c>
      <c r="AY2899" s="270" t="s">
        <v>695</v>
      </c>
      <c r="AZ2899" s="379"/>
      <c r="BA2899" s="173">
        <v>10.0</v>
      </c>
      <c r="BB2899" s="341"/>
      <c r="BC2899" s="341"/>
      <c r="BD2899" s="308" t="s">
        <v>1844</v>
      </c>
      <c r="BE2899" s="364"/>
      <c r="BF2899" s="274" t="str">
        <f>IFERROR(__xludf.DUMMYFUNCTION("LOWER(Regexreplace(to_text(E2899),""[^A-Za-z0-9]"","""")&amp;""_""&amp;Regexreplace(to_text(F2899),""[^A-Za-z0-9]"",""""))"),"aquagen_uwm220dn50dn500")</f>
        <v>aquagen_uwm220dn50dn500</v>
      </c>
      <c r="BG2899" s="275" t="str">
        <f>IFERROR(__xludf.DUMMYFUNCTION("upper(Regexreplace(to_text(E2899),""[^A-Za-z0-9]"","""")&amp;""-""&amp;Regexreplace(to_text(F2899),""[^A-Za-z0-9]"",""""))"),"AQUAGEN-UWM220DN50DN500")</f>
        <v>AQUAGEN-UWM220DN50DN500</v>
      </c>
    </row>
    <row r="2900" ht="30.0" customHeight="1">
      <c r="A2900" s="258">
        <v>2686.0</v>
      </c>
      <c r="B2900" s="328" t="s">
        <v>670</v>
      </c>
      <c r="C2900" s="257" t="s">
        <v>9107</v>
      </c>
      <c r="D2900" s="173" t="s">
        <v>9107</v>
      </c>
      <c r="E2900" s="174" t="s">
        <v>9097</v>
      </c>
      <c r="F2900" s="173" t="s">
        <v>9098</v>
      </c>
      <c r="G2900" s="328" t="s">
        <v>673</v>
      </c>
      <c r="H2900" s="328" t="s">
        <v>2863</v>
      </c>
      <c r="I2900" s="258" t="s">
        <v>9099</v>
      </c>
      <c r="J2900" s="259" t="s">
        <v>727</v>
      </c>
      <c r="K2900" s="260" t="s">
        <v>9100</v>
      </c>
      <c r="L2900" s="366"/>
      <c r="M2900" s="329"/>
      <c r="N2900" s="173" t="s">
        <v>679</v>
      </c>
      <c r="O2900" s="173" t="s">
        <v>225</v>
      </c>
      <c r="P2900" s="262" t="str">
        <f t="shared" si="1"/>
        <v>IN-BLR-ANANTA-WM-4_B1</v>
      </c>
      <c r="Q2900" s="173" t="s">
        <v>9108</v>
      </c>
      <c r="R2900" s="328" t="str">
        <f>IFS(C2900="","",C2900="n/a","N/A",LEN(C2900),Concatenate("{",char(34),"asset",char(34),":{",char(34),"guid",char(34),":",char(34),Q2900,char(34),",",char(34),"site",char(34),":",char(34),LOWER('2-Building'!$B$4),char(34),",",char(34),"name",char(34),":",char(34),LOWER(C2900),char(34),"}}"))</f>
        <v>{"asset":{"guid":"uuid://32a9b0b9-b861-4450-bb01-76818ce13614","site":"in-blr-ananta","name":"wm-4"}}</v>
      </c>
      <c r="S2900" s="366" t="s">
        <v>9102</v>
      </c>
      <c r="T2900" s="330"/>
      <c r="U2900" s="330"/>
      <c r="V2900" s="331"/>
      <c r="W2900" s="332"/>
      <c r="X2900" s="333"/>
      <c r="Y2900" s="33" t="s">
        <v>8076</v>
      </c>
      <c r="Z2900" s="368"/>
      <c r="AA2900" s="333"/>
      <c r="AB2900" s="258">
        <v>5.0</v>
      </c>
      <c r="AC2900" s="333"/>
      <c r="AD2900" s="329"/>
      <c r="AE2900" s="331"/>
      <c r="AF2900" s="336"/>
      <c r="AG2900" s="337" t="str">
        <f>IFS(LEN(AF2900)=17,LOWER('2-Building'!$B$4 &amp; "-" &amp; C2900), AF2900="N/A", "N/A", LEN(AF2900)=0,"")</f>
        <v/>
      </c>
      <c r="AH2900" s="333"/>
      <c r="AI2900" s="333"/>
      <c r="AJ2900" s="333"/>
      <c r="AK2900" s="333"/>
      <c r="AL2900" s="333"/>
      <c r="AM2900" s="338"/>
      <c r="AN2900" s="333"/>
      <c r="AO2900" s="333"/>
      <c r="AP2900" s="333"/>
      <c r="AQ2900" s="333"/>
      <c r="AR2900" s="333"/>
      <c r="AS2900" s="333"/>
      <c r="AT2900" s="333"/>
      <c r="AU2900" s="329"/>
      <c r="AV2900" s="341"/>
      <c r="AW2900" s="269" t="s">
        <v>1879</v>
      </c>
      <c r="AX2900" s="269" t="s">
        <v>2869</v>
      </c>
      <c r="AY2900" s="270" t="s">
        <v>695</v>
      </c>
      <c r="AZ2900" s="379"/>
      <c r="BA2900" s="173">
        <v>10.0</v>
      </c>
      <c r="BB2900" s="341"/>
      <c r="BC2900" s="341"/>
      <c r="BD2900" s="308" t="s">
        <v>1844</v>
      </c>
      <c r="BE2900" s="364"/>
      <c r="BF2900" s="274" t="str">
        <f>IFERROR(__xludf.DUMMYFUNCTION("LOWER(Regexreplace(to_text(E2900),""[^A-Za-z0-9]"","""")&amp;""_""&amp;Regexreplace(to_text(F2900),""[^A-Za-z0-9]"",""""))"),"aquagen_uwm220dn50dn500")</f>
        <v>aquagen_uwm220dn50dn500</v>
      </c>
      <c r="BG2900" s="275" t="str">
        <f>IFERROR(__xludf.DUMMYFUNCTION("upper(Regexreplace(to_text(E2900),""[^A-Za-z0-9]"","""")&amp;""-""&amp;Regexreplace(to_text(F2900),""[^A-Za-z0-9]"",""""))"),"AQUAGEN-UWM220DN50DN500")</f>
        <v>AQUAGEN-UWM220DN50DN500</v>
      </c>
    </row>
    <row r="2901" ht="30.0" customHeight="1">
      <c r="A2901" s="173">
        <v>2687.0</v>
      </c>
      <c r="B2901" s="328" t="s">
        <v>670</v>
      </c>
      <c r="C2901" s="257" t="s">
        <v>9109</v>
      </c>
      <c r="D2901" s="173" t="s">
        <v>9109</v>
      </c>
      <c r="E2901" s="174" t="s">
        <v>9097</v>
      </c>
      <c r="F2901" s="173" t="s">
        <v>9098</v>
      </c>
      <c r="G2901" s="328" t="s">
        <v>673</v>
      </c>
      <c r="H2901" s="328" t="s">
        <v>2863</v>
      </c>
      <c r="I2901" s="258" t="s">
        <v>9099</v>
      </c>
      <c r="J2901" s="259" t="s">
        <v>727</v>
      </c>
      <c r="K2901" s="260" t="s">
        <v>9100</v>
      </c>
      <c r="L2901" s="366"/>
      <c r="M2901" s="329"/>
      <c r="N2901" s="173" t="s">
        <v>679</v>
      </c>
      <c r="O2901" s="173" t="s">
        <v>225</v>
      </c>
      <c r="P2901" s="262" t="str">
        <f t="shared" si="1"/>
        <v>IN-BLR-ANANTA-WM-5_B1</v>
      </c>
      <c r="Q2901" s="173" t="s">
        <v>9110</v>
      </c>
      <c r="R2901" s="328" t="str">
        <f>IFS(C2901="","",C2901="n/a","N/A",LEN(C2901),Concatenate("{",char(34),"asset",char(34),":{",char(34),"guid",char(34),":",char(34),Q2901,char(34),",",char(34),"site",char(34),":",char(34),LOWER('2-Building'!$B$4),char(34),",",char(34),"name",char(34),":",char(34),LOWER(C2901),char(34),"}}"))</f>
        <v>{"asset":{"guid":"uuid://c02be63c-5cc4-4e2c-8a1e-a5eb94f17bc6","site":"in-blr-ananta","name":"wm-5"}}</v>
      </c>
      <c r="S2901" s="366" t="s">
        <v>9102</v>
      </c>
      <c r="T2901" s="330"/>
      <c r="U2901" s="330"/>
      <c r="V2901" s="331"/>
      <c r="W2901" s="332"/>
      <c r="X2901" s="333"/>
      <c r="Y2901" s="33" t="s">
        <v>8076</v>
      </c>
      <c r="Z2901" s="368"/>
      <c r="AA2901" s="333"/>
      <c r="AB2901" s="258">
        <v>6.0</v>
      </c>
      <c r="AC2901" s="333"/>
      <c r="AD2901" s="329"/>
      <c r="AE2901" s="331"/>
      <c r="AF2901" s="336"/>
      <c r="AG2901" s="337" t="str">
        <f>IFS(LEN(AF2901)=17,LOWER('2-Building'!$B$4 &amp; "-" &amp; C2901), AF2901="N/A", "N/A", LEN(AF2901)=0,"")</f>
        <v/>
      </c>
      <c r="AH2901" s="333"/>
      <c r="AI2901" s="333"/>
      <c r="AJ2901" s="333"/>
      <c r="AK2901" s="333"/>
      <c r="AL2901" s="333"/>
      <c r="AM2901" s="338"/>
      <c r="AN2901" s="333"/>
      <c r="AO2901" s="333"/>
      <c r="AP2901" s="333"/>
      <c r="AQ2901" s="333"/>
      <c r="AR2901" s="333"/>
      <c r="AS2901" s="333"/>
      <c r="AT2901" s="333"/>
      <c r="AU2901" s="329"/>
      <c r="AV2901" s="341"/>
      <c r="AW2901" s="269" t="s">
        <v>1879</v>
      </c>
      <c r="AX2901" s="269" t="s">
        <v>2869</v>
      </c>
      <c r="AY2901" s="270" t="s">
        <v>695</v>
      </c>
      <c r="AZ2901" s="379"/>
      <c r="BA2901" s="173">
        <v>10.0</v>
      </c>
      <c r="BB2901" s="341"/>
      <c r="BC2901" s="341"/>
      <c r="BD2901" s="308" t="s">
        <v>1844</v>
      </c>
      <c r="BE2901" s="364"/>
      <c r="BF2901" s="274" t="str">
        <f>IFERROR(__xludf.DUMMYFUNCTION("LOWER(Regexreplace(to_text(E2901),""[^A-Za-z0-9]"","""")&amp;""_""&amp;Regexreplace(to_text(F2901),""[^A-Za-z0-9]"",""""))"),"aquagen_uwm220dn50dn500")</f>
        <v>aquagen_uwm220dn50dn500</v>
      </c>
      <c r="BG2901" s="275" t="str">
        <f>IFERROR(__xludf.DUMMYFUNCTION("upper(Regexreplace(to_text(E2901),""[^A-Za-z0-9]"","""")&amp;""-""&amp;Regexreplace(to_text(F2901),""[^A-Za-z0-9]"",""""))"),"AQUAGEN-UWM220DN50DN500")</f>
        <v>AQUAGEN-UWM220DN50DN500</v>
      </c>
    </row>
    <row r="2902" ht="30.0" customHeight="1">
      <c r="A2902" s="258">
        <v>2688.0</v>
      </c>
      <c r="B2902" s="328" t="s">
        <v>670</v>
      </c>
      <c r="C2902" s="257" t="s">
        <v>9111</v>
      </c>
      <c r="D2902" s="173" t="s">
        <v>9111</v>
      </c>
      <c r="E2902" s="174" t="s">
        <v>9097</v>
      </c>
      <c r="F2902" s="173" t="s">
        <v>9098</v>
      </c>
      <c r="G2902" s="328" t="s">
        <v>673</v>
      </c>
      <c r="H2902" s="328" t="s">
        <v>2863</v>
      </c>
      <c r="I2902" s="258" t="s">
        <v>9099</v>
      </c>
      <c r="J2902" s="259" t="s">
        <v>965</v>
      </c>
      <c r="K2902" s="260" t="s">
        <v>9112</v>
      </c>
      <c r="L2902" s="366"/>
      <c r="M2902" s="329"/>
      <c r="N2902" s="173" t="s">
        <v>679</v>
      </c>
      <c r="O2902" s="173" t="s">
        <v>225</v>
      </c>
      <c r="P2902" s="262" t="str">
        <f t="shared" si="1"/>
        <v>IN-BLR-ANANTA-WM-6_3</v>
      </c>
      <c r="Q2902" s="173" t="s">
        <v>9113</v>
      </c>
      <c r="R2902" s="328" t="str">
        <f>IFS(C2902="","",C2902="n/a","N/A",LEN(C2902),Concatenate("{",char(34),"asset",char(34),":{",char(34),"guid",char(34),":",char(34),Q2902,char(34),",",char(34),"site",char(34),":",char(34),LOWER('2-Building'!$B$4),char(34),",",char(34),"name",char(34),":",char(34),LOWER(C2902),char(34),"}}"))</f>
        <v>{"asset":{"guid":"uuid://697a2b88-c0b9-4bd1-806f-888d2a9e3021","site":"in-blr-ananta","name":"wm-6"}}</v>
      </c>
      <c r="S2902" s="366" t="s">
        <v>9102</v>
      </c>
      <c r="T2902" s="330"/>
      <c r="U2902" s="330"/>
      <c r="V2902" s="331"/>
      <c r="W2902" s="332"/>
      <c r="X2902" s="333"/>
      <c r="Y2902" s="33" t="s">
        <v>8076</v>
      </c>
      <c r="Z2902" s="368"/>
      <c r="AA2902" s="333"/>
      <c r="AB2902" s="258">
        <v>6.0</v>
      </c>
      <c r="AC2902" s="333"/>
      <c r="AD2902" s="329"/>
      <c r="AE2902" s="331"/>
      <c r="AF2902" s="336"/>
      <c r="AG2902" s="337" t="str">
        <f>IFS(LEN(AF2902)=17,LOWER('2-Building'!$B$4 &amp; "-" &amp; C2902), AF2902="N/A", "N/A", LEN(AF2902)=0,"")</f>
        <v/>
      </c>
      <c r="AH2902" s="333"/>
      <c r="AI2902" s="333"/>
      <c r="AJ2902" s="333"/>
      <c r="AK2902" s="333"/>
      <c r="AL2902" s="333"/>
      <c r="AM2902" s="338"/>
      <c r="AN2902" s="333"/>
      <c r="AO2902" s="333"/>
      <c r="AP2902" s="333"/>
      <c r="AQ2902" s="333"/>
      <c r="AR2902" s="333"/>
      <c r="AS2902" s="333"/>
      <c r="AT2902" s="333"/>
      <c r="AU2902" s="329"/>
      <c r="AV2902" s="341"/>
      <c r="AW2902" s="269" t="s">
        <v>2084</v>
      </c>
      <c r="AX2902" s="269" t="s">
        <v>2869</v>
      </c>
      <c r="AY2902" s="270" t="s">
        <v>695</v>
      </c>
      <c r="AZ2902" s="379"/>
      <c r="BA2902" s="173">
        <v>10.0</v>
      </c>
      <c r="BB2902" s="341"/>
      <c r="BC2902" s="341"/>
      <c r="BD2902" s="308" t="s">
        <v>1844</v>
      </c>
      <c r="BE2902" s="364"/>
      <c r="BF2902" s="274" t="str">
        <f>IFERROR(__xludf.DUMMYFUNCTION("LOWER(Regexreplace(to_text(E2902),""[^A-Za-z0-9]"","""")&amp;""_""&amp;Regexreplace(to_text(F2902),""[^A-Za-z0-9]"",""""))"),"aquagen_uwm220dn50dn500")</f>
        <v>aquagen_uwm220dn50dn500</v>
      </c>
      <c r="BG2902" s="275" t="str">
        <f>IFERROR(__xludf.DUMMYFUNCTION("upper(Regexreplace(to_text(E2902),""[^A-Za-z0-9]"","""")&amp;""-""&amp;Regexreplace(to_text(F2902),""[^A-Za-z0-9]"",""""))"),"AQUAGEN-UWM220DN50DN500")</f>
        <v>AQUAGEN-UWM220DN50DN500</v>
      </c>
    </row>
    <row r="2903" ht="30.0" customHeight="1">
      <c r="A2903" s="173">
        <v>2689.0</v>
      </c>
      <c r="B2903" s="328" t="s">
        <v>670</v>
      </c>
      <c r="C2903" s="257" t="s">
        <v>9114</v>
      </c>
      <c r="D2903" s="173" t="s">
        <v>9114</v>
      </c>
      <c r="E2903" s="174" t="s">
        <v>9097</v>
      </c>
      <c r="F2903" s="173" t="s">
        <v>9098</v>
      </c>
      <c r="G2903" s="328" t="s">
        <v>673</v>
      </c>
      <c r="H2903" s="328" t="s">
        <v>2863</v>
      </c>
      <c r="I2903" s="258" t="s">
        <v>9099</v>
      </c>
      <c r="J2903" s="259" t="s">
        <v>965</v>
      </c>
      <c r="K2903" s="260" t="s">
        <v>9112</v>
      </c>
      <c r="L2903" s="366"/>
      <c r="M2903" s="329"/>
      <c r="N2903" s="173" t="s">
        <v>679</v>
      </c>
      <c r="O2903" s="173" t="s">
        <v>225</v>
      </c>
      <c r="P2903" s="262" t="str">
        <f t="shared" si="1"/>
        <v>IN-BLR-ANANTA-WM-7_3</v>
      </c>
      <c r="Q2903" s="173" t="s">
        <v>9115</v>
      </c>
      <c r="R2903" s="328" t="str">
        <f>IFS(C2903="","",C2903="n/a","N/A",LEN(C2903),Concatenate("{",char(34),"asset",char(34),":{",char(34),"guid",char(34),":",char(34),Q2903,char(34),",",char(34),"site",char(34),":",char(34),LOWER('2-Building'!$B$4),char(34),",",char(34),"name",char(34),":",char(34),LOWER(C2903),char(34),"}}"))</f>
        <v>{"asset":{"guid":"uuid://8f428575-85a3-4add-8001-fc2a479bde46","site":"in-blr-ananta","name":"wm-7"}}</v>
      </c>
      <c r="S2903" s="366" t="s">
        <v>9102</v>
      </c>
      <c r="T2903" s="330"/>
      <c r="U2903" s="330"/>
      <c r="V2903" s="331"/>
      <c r="W2903" s="332"/>
      <c r="X2903" s="333"/>
      <c r="Y2903" s="33" t="s">
        <v>8076</v>
      </c>
      <c r="Z2903" s="368"/>
      <c r="AA2903" s="333"/>
      <c r="AB2903" s="258">
        <v>5.0</v>
      </c>
      <c r="AC2903" s="333"/>
      <c r="AD2903" s="329"/>
      <c r="AE2903" s="331"/>
      <c r="AF2903" s="336"/>
      <c r="AG2903" s="337" t="str">
        <f>IFS(LEN(AF2903)=17,LOWER('2-Building'!$B$4 &amp; "-" &amp; C2903), AF2903="N/A", "N/A", LEN(AF2903)=0,"")</f>
        <v/>
      </c>
      <c r="AH2903" s="333"/>
      <c r="AI2903" s="333"/>
      <c r="AJ2903" s="333"/>
      <c r="AK2903" s="333"/>
      <c r="AL2903" s="333"/>
      <c r="AM2903" s="338"/>
      <c r="AN2903" s="333"/>
      <c r="AO2903" s="333"/>
      <c r="AP2903" s="333"/>
      <c r="AQ2903" s="333"/>
      <c r="AR2903" s="333"/>
      <c r="AS2903" s="333"/>
      <c r="AT2903" s="333"/>
      <c r="AU2903" s="329"/>
      <c r="AV2903" s="341"/>
      <c r="AW2903" s="269" t="s">
        <v>2084</v>
      </c>
      <c r="AX2903" s="269" t="s">
        <v>2869</v>
      </c>
      <c r="AY2903" s="270" t="s">
        <v>695</v>
      </c>
      <c r="AZ2903" s="379"/>
      <c r="BA2903" s="173">
        <v>10.0</v>
      </c>
      <c r="BB2903" s="341"/>
      <c r="BC2903" s="341"/>
      <c r="BD2903" s="308" t="s">
        <v>1844</v>
      </c>
      <c r="BE2903" s="364"/>
      <c r="BF2903" s="274" t="str">
        <f>IFERROR(__xludf.DUMMYFUNCTION("LOWER(Regexreplace(to_text(E2903),""[^A-Za-z0-9]"","""")&amp;""_""&amp;Regexreplace(to_text(F2903),""[^A-Za-z0-9]"",""""))"),"aquagen_uwm220dn50dn500")</f>
        <v>aquagen_uwm220dn50dn500</v>
      </c>
      <c r="BG2903" s="275" t="str">
        <f>IFERROR(__xludf.DUMMYFUNCTION("upper(Regexreplace(to_text(E2903),""[^A-Za-z0-9]"","""")&amp;""-""&amp;Regexreplace(to_text(F2903),""[^A-Za-z0-9]"",""""))"),"AQUAGEN-UWM220DN50DN500")</f>
        <v>AQUAGEN-UWM220DN50DN500</v>
      </c>
    </row>
    <row r="2904" ht="30.0" customHeight="1">
      <c r="A2904" s="173">
        <v>2691.0</v>
      </c>
      <c r="B2904" s="328" t="s">
        <v>670</v>
      </c>
      <c r="C2904" s="257" t="s">
        <v>9116</v>
      </c>
      <c r="D2904" s="173" t="s">
        <v>9116</v>
      </c>
      <c r="E2904" s="174" t="s">
        <v>9097</v>
      </c>
      <c r="F2904" s="173" t="s">
        <v>9098</v>
      </c>
      <c r="G2904" s="328" t="s">
        <v>673</v>
      </c>
      <c r="H2904" s="328" t="s">
        <v>2863</v>
      </c>
      <c r="I2904" s="258" t="s">
        <v>9099</v>
      </c>
      <c r="J2904" s="259" t="s">
        <v>965</v>
      </c>
      <c r="K2904" s="260" t="s">
        <v>9112</v>
      </c>
      <c r="L2904" s="366"/>
      <c r="M2904" s="329"/>
      <c r="N2904" s="173" t="s">
        <v>679</v>
      </c>
      <c r="O2904" s="173" t="s">
        <v>225</v>
      </c>
      <c r="P2904" s="262" t="str">
        <f t="shared" si="1"/>
        <v>IN-BLR-ANANTA-WM-8_3</v>
      </c>
      <c r="Q2904" s="173" t="s">
        <v>9117</v>
      </c>
      <c r="R2904" s="328" t="str">
        <f>IFS(C2904="","",C2904="n/a","N/A",LEN(C2904),Concatenate("{",char(34),"asset",char(34),":{",char(34),"guid",char(34),":",char(34),Q2904,char(34),",",char(34),"site",char(34),":",char(34),LOWER('2-Building'!$B$4),char(34),",",char(34),"name",char(34),":",char(34),LOWER(C2904),char(34),"}}"))</f>
        <v>{"asset":{"guid":"uuid://1dc27706-325d-418e-92d3-aa973cfd7194","site":"in-blr-ananta","name":"wm-8"}}</v>
      </c>
      <c r="S2904" s="366" t="s">
        <v>9102</v>
      </c>
      <c r="T2904" s="330"/>
      <c r="U2904" s="330"/>
      <c r="V2904" s="331"/>
      <c r="W2904" s="332"/>
      <c r="X2904" s="333"/>
      <c r="Y2904" s="33" t="s">
        <v>8076</v>
      </c>
      <c r="Z2904" s="368"/>
      <c r="AA2904" s="333"/>
      <c r="AB2904" s="258">
        <v>3.0</v>
      </c>
      <c r="AC2904" s="333"/>
      <c r="AD2904" s="329"/>
      <c r="AE2904" s="331"/>
      <c r="AF2904" s="336"/>
      <c r="AG2904" s="337" t="str">
        <f>IFS(LEN(AF2904)=17,LOWER('2-Building'!$B$4 &amp; "-" &amp; C2904), AF2904="N/A", "N/A", LEN(AF2904)=0,"")</f>
        <v/>
      </c>
      <c r="AH2904" s="333"/>
      <c r="AI2904" s="333"/>
      <c r="AJ2904" s="333"/>
      <c r="AK2904" s="333"/>
      <c r="AL2904" s="333"/>
      <c r="AM2904" s="338"/>
      <c r="AN2904" s="333"/>
      <c r="AO2904" s="333"/>
      <c r="AP2904" s="333"/>
      <c r="AQ2904" s="333"/>
      <c r="AR2904" s="333"/>
      <c r="AS2904" s="333"/>
      <c r="AT2904" s="333"/>
      <c r="AU2904" s="329"/>
      <c r="AV2904" s="341"/>
      <c r="AW2904" s="269" t="s">
        <v>2084</v>
      </c>
      <c r="AX2904" s="269" t="s">
        <v>2869</v>
      </c>
      <c r="AY2904" s="270" t="s">
        <v>695</v>
      </c>
      <c r="AZ2904" s="379"/>
      <c r="BA2904" s="173">
        <v>10.0</v>
      </c>
      <c r="BB2904" s="341"/>
      <c r="BC2904" s="341"/>
      <c r="BD2904" s="308" t="s">
        <v>1844</v>
      </c>
      <c r="BE2904" s="364"/>
      <c r="BF2904" s="274" t="str">
        <f>IFERROR(__xludf.DUMMYFUNCTION("LOWER(Regexreplace(to_text(E2904),""[^A-Za-z0-9]"","""")&amp;""_""&amp;Regexreplace(to_text(F2904),""[^A-Za-z0-9]"",""""))"),"aquagen_uwm220dn50dn500")</f>
        <v>aquagen_uwm220dn50dn500</v>
      </c>
      <c r="BG2904" s="275" t="str">
        <f>IFERROR(__xludf.DUMMYFUNCTION("upper(Regexreplace(to_text(E2904),""[^A-Za-z0-9]"","""")&amp;""-""&amp;Regexreplace(to_text(F2904),""[^A-Za-z0-9]"",""""))"),"AQUAGEN-UWM220DN50DN500")</f>
        <v>AQUAGEN-UWM220DN50DN500</v>
      </c>
    </row>
    <row r="2905" ht="30.0" customHeight="1">
      <c r="A2905" s="258">
        <v>2690.0</v>
      </c>
      <c r="B2905" s="328" t="s">
        <v>670</v>
      </c>
      <c r="C2905" s="257" t="s">
        <v>9118</v>
      </c>
      <c r="D2905" s="173" t="s">
        <v>9118</v>
      </c>
      <c r="E2905" s="174" t="s">
        <v>9097</v>
      </c>
      <c r="F2905" s="173" t="s">
        <v>9098</v>
      </c>
      <c r="G2905" s="328" t="s">
        <v>673</v>
      </c>
      <c r="H2905" s="328" t="s">
        <v>2863</v>
      </c>
      <c r="I2905" s="258" t="s">
        <v>9099</v>
      </c>
      <c r="J2905" s="259" t="s">
        <v>965</v>
      </c>
      <c r="K2905" s="260" t="s">
        <v>9112</v>
      </c>
      <c r="L2905" s="366"/>
      <c r="M2905" s="329"/>
      <c r="N2905" s="173" t="s">
        <v>679</v>
      </c>
      <c r="O2905" s="173" t="s">
        <v>225</v>
      </c>
      <c r="P2905" s="262" t="str">
        <f t="shared" si="1"/>
        <v>IN-BLR-ANANTA-WM-9_3</v>
      </c>
      <c r="Q2905" s="173" t="s">
        <v>9119</v>
      </c>
      <c r="R2905" s="328" t="str">
        <f>IFS(C2905="","",C2905="n/a","N/A",LEN(C2905),Concatenate("{",char(34),"asset",char(34),":{",char(34),"guid",char(34),":",char(34),Q2905,char(34),",",char(34),"site",char(34),":",char(34),LOWER('2-Building'!$B$4),char(34),",",char(34),"name",char(34),":",char(34),LOWER(C2905),char(34),"}}"))</f>
        <v>{"asset":{"guid":"uuid://73e3b200-c114-4a8f-99cb-5fc4d51b709b","site":"in-blr-ananta","name":"wm-9"}}</v>
      </c>
      <c r="S2905" s="366" t="s">
        <v>9102</v>
      </c>
      <c r="T2905" s="330"/>
      <c r="U2905" s="330"/>
      <c r="V2905" s="331"/>
      <c r="W2905" s="332"/>
      <c r="X2905" s="333"/>
      <c r="Y2905" s="33" t="s">
        <v>8076</v>
      </c>
      <c r="Z2905" s="368"/>
      <c r="AA2905" s="333"/>
      <c r="AB2905" s="258">
        <v>4.0</v>
      </c>
      <c r="AC2905" s="333"/>
      <c r="AD2905" s="329"/>
      <c r="AE2905" s="331"/>
      <c r="AF2905" s="336"/>
      <c r="AG2905" s="337" t="str">
        <f>IFS(LEN(AF2905)=17,LOWER('2-Building'!$B$4 &amp; "-" &amp; C2905), AF2905="N/A", "N/A", LEN(AF2905)=0,"")</f>
        <v/>
      </c>
      <c r="AH2905" s="333"/>
      <c r="AI2905" s="333"/>
      <c r="AJ2905" s="333"/>
      <c r="AK2905" s="333"/>
      <c r="AL2905" s="333"/>
      <c r="AM2905" s="338"/>
      <c r="AN2905" s="333"/>
      <c r="AO2905" s="333"/>
      <c r="AP2905" s="333"/>
      <c r="AQ2905" s="333"/>
      <c r="AR2905" s="333"/>
      <c r="AS2905" s="333"/>
      <c r="AT2905" s="333"/>
      <c r="AU2905" s="329"/>
      <c r="AV2905" s="341"/>
      <c r="AW2905" s="269" t="s">
        <v>2084</v>
      </c>
      <c r="AX2905" s="269" t="s">
        <v>2869</v>
      </c>
      <c r="AY2905" s="270" t="s">
        <v>695</v>
      </c>
      <c r="AZ2905" s="379"/>
      <c r="BA2905" s="173">
        <v>10.0</v>
      </c>
      <c r="BB2905" s="341"/>
      <c r="BC2905" s="341"/>
      <c r="BD2905" s="308" t="s">
        <v>1844</v>
      </c>
      <c r="BE2905" s="364"/>
      <c r="BF2905" s="274" t="str">
        <f>IFERROR(__xludf.DUMMYFUNCTION("LOWER(Regexreplace(to_text(E2905),""[^A-Za-z0-9]"","""")&amp;""_""&amp;Regexreplace(to_text(F2905),""[^A-Za-z0-9]"",""""))"),"aquagen_uwm220dn50dn500")</f>
        <v>aquagen_uwm220dn50dn500</v>
      </c>
      <c r="BG2905" s="275" t="str">
        <f>IFERROR(__xludf.DUMMYFUNCTION("upper(Regexreplace(to_text(E2905),""[^A-Za-z0-9]"","""")&amp;""-""&amp;Regexreplace(to_text(F2905),""[^A-Za-z0-9]"",""""))"),"AQUAGEN-UWM220DN50DN500")</f>
        <v>AQUAGEN-UWM220DN50DN500</v>
      </c>
    </row>
    <row r="2906" ht="30.0" customHeight="1">
      <c r="A2906" s="328">
        <v>2690.0</v>
      </c>
      <c r="B2906" s="425" t="s">
        <v>670</v>
      </c>
      <c r="C2906" s="257" t="s">
        <v>9120</v>
      </c>
      <c r="D2906" s="173" t="s">
        <v>9120</v>
      </c>
      <c r="E2906" s="174" t="s">
        <v>9097</v>
      </c>
      <c r="F2906" s="173" t="s">
        <v>9098</v>
      </c>
      <c r="G2906" s="425" t="s">
        <v>673</v>
      </c>
      <c r="H2906" s="425" t="s">
        <v>2863</v>
      </c>
      <c r="I2906" s="258" t="s">
        <v>9099</v>
      </c>
      <c r="J2906" s="259" t="s">
        <v>965</v>
      </c>
      <c r="K2906" s="260" t="s">
        <v>9112</v>
      </c>
      <c r="L2906" s="442"/>
      <c r="M2906" s="426"/>
      <c r="N2906" s="173" t="s">
        <v>679</v>
      </c>
      <c r="O2906" s="173" t="s">
        <v>225</v>
      </c>
      <c r="P2906" s="262" t="str">
        <f t="shared" si="1"/>
        <v>IN-BLR-ANANTA-WM-10_3</v>
      </c>
      <c r="Q2906" s="173" t="s">
        <v>9121</v>
      </c>
      <c r="R2906" s="328" t="str">
        <f>IFS(C2906="","",C2906="n/a","N/A",LEN(C2906),Concatenate("{",char(34),"asset",char(34),":{",char(34),"guid",char(34),":",char(34),Q2906,char(34),",",char(34),"site",char(34),":",char(34),LOWER('2-Building'!$B$4),char(34),",",char(34),"name",char(34),":",char(34),LOWER(C2906),char(34),"}}"))</f>
        <v>{"asset":{"guid":"uuid://13bef6fe-2ffe-46ee-9bc6-50ffcdfba710","site":"in-blr-ananta","name":"wm-10"}}</v>
      </c>
      <c r="S2906" s="366" t="s">
        <v>9102</v>
      </c>
      <c r="T2906" s="427"/>
      <c r="U2906" s="427"/>
      <c r="V2906" s="428"/>
      <c r="W2906" s="429"/>
      <c r="X2906" s="430"/>
      <c r="Y2906" s="33" t="s">
        <v>8076</v>
      </c>
      <c r="Z2906" s="430"/>
      <c r="AA2906" s="430"/>
      <c r="AB2906" s="258">
        <v>2.0</v>
      </c>
      <c r="AC2906" s="430"/>
      <c r="AD2906" s="426"/>
      <c r="AE2906" s="428"/>
      <c r="AF2906" s="431"/>
      <c r="AG2906" s="432" t="str">
        <f>IFS(LEN(AF2906)=17,LOWER('2-Building'!$B$4 &amp; "-" &amp; C2906), AF2906="N/A", "N/A", LEN(AF2906)=0,"")</f>
        <v/>
      </c>
      <c r="AH2906" s="430"/>
      <c r="AI2906" s="430"/>
      <c r="AJ2906" s="430"/>
      <c r="AK2906" s="430"/>
      <c r="AL2906" s="430"/>
      <c r="AM2906" s="433"/>
      <c r="AN2906" s="430"/>
      <c r="AO2906" s="430"/>
      <c r="AP2906" s="430"/>
      <c r="AQ2906" s="430"/>
      <c r="AR2906" s="430"/>
      <c r="AS2906" s="430"/>
      <c r="AT2906" s="430"/>
      <c r="AU2906" s="426"/>
      <c r="AV2906" s="434"/>
      <c r="AW2906" s="269" t="s">
        <v>2084</v>
      </c>
      <c r="AX2906" s="269" t="s">
        <v>2869</v>
      </c>
      <c r="AY2906" s="270" t="s">
        <v>695</v>
      </c>
      <c r="AZ2906" s="435"/>
      <c r="BA2906" s="173">
        <v>10.0</v>
      </c>
      <c r="BB2906" s="434"/>
      <c r="BC2906" s="434"/>
      <c r="BD2906" s="308" t="s">
        <v>1844</v>
      </c>
      <c r="BE2906" s="436"/>
      <c r="BF2906" s="274" t="str">
        <f>IFERROR(__xludf.DUMMYFUNCTION("LOWER(Regexreplace(to_text(E2906),""[^A-Za-z0-9]"","""")&amp;""_""&amp;Regexreplace(to_text(F2906),""[^A-Za-z0-9]"",""""))"),"aquagen_uwm220dn50dn500")</f>
        <v>aquagen_uwm220dn50dn500</v>
      </c>
      <c r="BG2906" s="275" t="str">
        <f>IFERROR(__xludf.DUMMYFUNCTION("upper(Regexreplace(to_text(E2906),""[^A-Za-z0-9]"","""")&amp;""-""&amp;Regexreplace(to_text(F2906),""[^A-Za-z0-9]"",""""))"),"AQUAGEN-UWM220DN50DN500")</f>
        <v>AQUAGEN-UWM220DN50DN500</v>
      </c>
    </row>
    <row r="2907" ht="30.0" customHeight="1">
      <c r="A2907" s="258">
        <v>2690.0</v>
      </c>
      <c r="B2907" s="328" t="s">
        <v>670</v>
      </c>
      <c r="C2907" s="257" t="s">
        <v>9122</v>
      </c>
      <c r="D2907" s="173" t="s">
        <v>9122</v>
      </c>
      <c r="E2907" s="174" t="s">
        <v>9097</v>
      </c>
      <c r="F2907" s="173" t="s">
        <v>9098</v>
      </c>
      <c r="G2907" s="328" t="s">
        <v>673</v>
      </c>
      <c r="H2907" s="328" t="s">
        <v>2863</v>
      </c>
      <c r="I2907" s="258" t="s">
        <v>9099</v>
      </c>
      <c r="J2907" s="259" t="s">
        <v>965</v>
      </c>
      <c r="K2907" s="260" t="s">
        <v>9123</v>
      </c>
      <c r="L2907" s="366"/>
      <c r="M2907" s="329"/>
      <c r="N2907" s="173" t="s">
        <v>679</v>
      </c>
      <c r="O2907" s="173" t="s">
        <v>225</v>
      </c>
      <c r="P2907" s="262" t="str">
        <f t="shared" si="1"/>
        <v>IN-BLR-ANANTA-WM-11_3</v>
      </c>
      <c r="Q2907" s="173" t="s">
        <v>9124</v>
      </c>
      <c r="R2907" s="328" t="str">
        <f>IFS(C2907="","",C2907="n/a","N/A",LEN(C2907),Concatenate("{",char(34),"asset",char(34),":{",char(34),"guid",char(34),":",char(34),Q2907,char(34),",",char(34),"site",char(34),":",char(34),LOWER('2-Building'!$B$4),char(34),",",char(34),"name",char(34),":",char(34),LOWER(C2907),char(34),"}}"))</f>
        <v>{"asset":{"guid":"uuid://772dafd5-0e8a-4685-93e3-86b3e98d97d0","site":"in-blr-ananta","name":"wm-11"}}</v>
      </c>
      <c r="S2907" s="366" t="s">
        <v>9102</v>
      </c>
      <c r="T2907" s="330"/>
      <c r="U2907" s="330"/>
      <c r="V2907" s="331"/>
      <c r="W2907" s="332"/>
      <c r="X2907" s="333"/>
      <c r="Y2907" s="33" t="s">
        <v>8076</v>
      </c>
      <c r="Z2907" s="368"/>
      <c r="AA2907" s="333"/>
      <c r="AB2907" s="258">
        <v>10.0</v>
      </c>
      <c r="AC2907" s="333"/>
      <c r="AD2907" s="329"/>
      <c r="AE2907" s="331"/>
      <c r="AF2907" s="336"/>
      <c r="AG2907" s="337" t="str">
        <f>IFS(LEN(AF2907)=17,LOWER('2-Building'!$B$4 &amp; "-" &amp; C2907), AF2907="N/A", "N/A", LEN(AF2907)=0,"")</f>
        <v/>
      </c>
      <c r="AH2907" s="333"/>
      <c r="AI2907" s="333"/>
      <c r="AJ2907" s="333"/>
      <c r="AK2907" s="333"/>
      <c r="AL2907" s="333"/>
      <c r="AM2907" s="338"/>
      <c r="AN2907" s="333"/>
      <c r="AO2907" s="333"/>
      <c r="AP2907" s="333"/>
      <c r="AQ2907" s="333"/>
      <c r="AR2907" s="333"/>
      <c r="AS2907" s="333"/>
      <c r="AT2907" s="333"/>
      <c r="AU2907" s="329"/>
      <c r="AV2907" s="341"/>
      <c r="AW2907" s="269" t="s">
        <v>2084</v>
      </c>
      <c r="AX2907" s="269" t="s">
        <v>2869</v>
      </c>
      <c r="AY2907" s="270" t="s">
        <v>695</v>
      </c>
      <c r="AZ2907" s="379"/>
      <c r="BA2907" s="173">
        <v>10.0</v>
      </c>
      <c r="BB2907" s="341"/>
      <c r="BC2907" s="341"/>
      <c r="BD2907" s="308" t="s">
        <v>1844</v>
      </c>
      <c r="BE2907" s="364"/>
      <c r="BF2907" s="274" t="str">
        <f>IFERROR(__xludf.DUMMYFUNCTION("LOWER(Regexreplace(to_text(E2907),""[^A-Za-z0-9]"","""")&amp;""_""&amp;Regexreplace(to_text(F2907),""[^A-Za-z0-9]"",""""))"),"aquagen_uwm220dn50dn500")</f>
        <v>aquagen_uwm220dn50dn500</v>
      </c>
      <c r="BG2907" s="275" t="str">
        <f>IFERROR(__xludf.DUMMYFUNCTION("upper(Regexreplace(to_text(E2907),""[^A-Za-z0-9]"","""")&amp;""-""&amp;Regexreplace(to_text(F2907),""[^A-Za-z0-9]"",""""))"),"AQUAGEN-UWM220DN50DN500")</f>
        <v>AQUAGEN-UWM220DN50DN500</v>
      </c>
    </row>
    <row r="2908" ht="30.0" customHeight="1">
      <c r="A2908" s="328">
        <v>2690.0</v>
      </c>
      <c r="B2908" s="425" t="s">
        <v>670</v>
      </c>
      <c r="C2908" s="257" t="s">
        <v>9125</v>
      </c>
      <c r="D2908" s="173" t="s">
        <v>9125</v>
      </c>
      <c r="E2908" s="174" t="s">
        <v>9097</v>
      </c>
      <c r="F2908" s="173" t="s">
        <v>9098</v>
      </c>
      <c r="G2908" s="425" t="s">
        <v>673</v>
      </c>
      <c r="H2908" s="425" t="s">
        <v>2863</v>
      </c>
      <c r="I2908" s="258" t="s">
        <v>9099</v>
      </c>
      <c r="J2908" s="259" t="s">
        <v>965</v>
      </c>
      <c r="K2908" s="260" t="s">
        <v>9123</v>
      </c>
      <c r="L2908" s="442"/>
      <c r="M2908" s="426"/>
      <c r="N2908" s="173" t="s">
        <v>679</v>
      </c>
      <c r="O2908" s="173" t="s">
        <v>225</v>
      </c>
      <c r="P2908" s="262" t="str">
        <f t="shared" si="1"/>
        <v>IN-BLR-ANANTA-WM-12_3</v>
      </c>
      <c r="Q2908" s="173" t="s">
        <v>9126</v>
      </c>
      <c r="R2908" s="328" t="str">
        <f>IFS(C2908="","",C2908="n/a","N/A",LEN(C2908),Concatenate("{",char(34),"asset",char(34),":{",char(34),"guid",char(34),":",char(34),Q2908,char(34),",",char(34),"site",char(34),":",char(34),LOWER('2-Building'!$B$4),char(34),",",char(34),"name",char(34),":",char(34),LOWER(C2908),char(34),"}}"))</f>
        <v>{"asset":{"guid":"uuid://f4cc6a90-fab6-4166-b779-2b4dccf95778","site":"in-blr-ananta","name":"wm-12"}}</v>
      </c>
      <c r="S2908" s="366" t="s">
        <v>9102</v>
      </c>
      <c r="T2908" s="427"/>
      <c r="U2908" s="427"/>
      <c r="V2908" s="428"/>
      <c r="W2908" s="429"/>
      <c r="X2908" s="430"/>
      <c r="Y2908" s="33" t="s">
        <v>8076</v>
      </c>
      <c r="Z2908" s="430"/>
      <c r="AA2908" s="430"/>
      <c r="AB2908" s="258">
        <v>11.0</v>
      </c>
      <c r="AC2908" s="430"/>
      <c r="AD2908" s="426"/>
      <c r="AE2908" s="428"/>
      <c r="AF2908" s="431"/>
      <c r="AG2908" s="432" t="str">
        <f>IFS(LEN(AF2908)=17,LOWER('2-Building'!$B$4 &amp; "-" &amp; C2908), AF2908="N/A", "N/A", LEN(AF2908)=0,"")</f>
        <v/>
      </c>
      <c r="AH2908" s="430"/>
      <c r="AI2908" s="430"/>
      <c r="AJ2908" s="430"/>
      <c r="AK2908" s="430"/>
      <c r="AL2908" s="430"/>
      <c r="AM2908" s="433"/>
      <c r="AN2908" s="430"/>
      <c r="AO2908" s="430"/>
      <c r="AP2908" s="430"/>
      <c r="AQ2908" s="430"/>
      <c r="AR2908" s="430"/>
      <c r="AS2908" s="430"/>
      <c r="AT2908" s="430"/>
      <c r="AU2908" s="426"/>
      <c r="AV2908" s="434"/>
      <c r="AW2908" s="269" t="s">
        <v>2084</v>
      </c>
      <c r="AX2908" s="269" t="s">
        <v>2869</v>
      </c>
      <c r="AY2908" s="270" t="s">
        <v>695</v>
      </c>
      <c r="AZ2908" s="435"/>
      <c r="BA2908" s="173">
        <v>10.0</v>
      </c>
      <c r="BB2908" s="434"/>
      <c r="BC2908" s="434"/>
      <c r="BD2908" s="308" t="s">
        <v>1844</v>
      </c>
      <c r="BE2908" s="436"/>
      <c r="BF2908" s="274" t="str">
        <f>IFERROR(__xludf.DUMMYFUNCTION("LOWER(Regexreplace(to_text(E2908),""[^A-Za-z0-9]"","""")&amp;""_""&amp;Regexreplace(to_text(F2908),""[^A-Za-z0-9]"",""""))"),"aquagen_uwm220dn50dn500")</f>
        <v>aquagen_uwm220dn50dn500</v>
      </c>
      <c r="BG2908" s="275" t="str">
        <f>IFERROR(__xludf.DUMMYFUNCTION("upper(Regexreplace(to_text(E2908),""[^A-Za-z0-9]"","""")&amp;""-""&amp;Regexreplace(to_text(F2908),""[^A-Za-z0-9]"",""""))"),"AQUAGEN-UWM220DN50DN500")</f>
        <v>AQUAGEN-UWM220DN50DN500</v>
      </c>
    </row>
    <row r="2909" ht="30.0" customHeight="1">
      <c r="A2909" s="328">
        <v>2690.0</v>
      </c>
      <c r="B2909" s="425" t="s">
        <v>670</v>
      </c>
      <c r="C2909" s="257" t="s">
        <v>9127</v>
      </c>
      <c r="D2909" s="173" t="s">
        <v>9127</v>
      </c>
      <c r="E2909" s="174" t="s">
        <v>9097</v>
      </c>
      <c r="F2909" s="173" t="s">
        <v>9098</v>
      </c>
      <c r="G2909" s="425" t="s">
        <v>673</v>
      </c>
      <c r="H2909" s="425" t="s">
        <v>2863</v>
      </c>
      <c r="I2909" s="258" t="s">
        <v>9099</v>
      </c>
      <c r="J2909" s="259" t="s">
        <v>965</v>
      </c>
      <c r="K2909" s="260" t="s">
        <v>9123</v>
      </c>
      <c r="L2909" s="442"/>
      <c r="M2909" s="426"/>
      <c r="N2909" s="173" t="s">
        <v>679</v>
      </c>
      <c r="O2909" s="173" t="s">
        <v>225</v>
      </c>
      <c r="P2909" s="262" t="str">
        <f t="shared" si="1"/>
        <v>IN-BLR-ANANTA-WM-13_3</v>
      </c>
      <c r="Q2909" s="173" t="s">
        <v>9128</v>
      </c>
      <c r="R2909" s="328" t="str">
        <f>IFS(C2909="","",C2909="n/a","N/A",LEN(C2909),Concatenate("{",char(34),"asset",char(34),":{",char(34),"guid",char(34),":",char(34),Q2909,char(34),",",char(34),"site",char(34),":",char(34),LOWER('2-Building'!$B$4),char(34),",",char(34),"name",char(34),":",char(34),LOWER(C2909),char(34),"}}"))</f>
        <v>{"asset":{"guid":"uuid://9533752b-e154-4630-8b1c-d0fa72452b2f","site":"in-blr-ananta","name":"wm-13"}}</v>
      </c>
      <c r="S2909" s="366" t="s">
        <v>9102</v>
      </c>
      <c r="T2909" s="427"/>
      <c r="U2909" s="427"/>
      <c r="V2909" s="428"/>
      <c r="W2909" s="429"/>
      <c r="X2909" s="430"/>
      <c r="Y2909" s="33" t="s">
        <v>8076</v>
      </c>
      <c r="Z2909" s="430"/>
      <c r="AA2909" s="430"/>
      <c r="AB2909" s="258">
        <v>7.0</v>
      </c>
      <c r="AC2909" s="430"/>
      <c r="AD2909" s="426"/>
      <c r="AE2909" s="428"/>
      <c r="AF2909" s="431"/>
      <c r="AG2909" s="432" t="str">
        <f>IFS(LEN(AF2909)=17,LOWER('2-Building'!$B$4 &amp; "-" &amp; C2909), AF2909="N/A", "N/A", LEN(AF2909)=0,"")</f>
        <v/>
      </c>
      <c r="AH2909" s="430"/>
      <c r="AI2909" s="430"/>
      <c r="AJ2909" s="430"/>
      <c r="AK2909" s="430"/>
      <c r="AL2909" s="430"/>
      <c r="AM2909" s="433"/>
      <c r="AN2909" s="430"/>
      <c r="AO2909" s="430"/>
      <c r="AP2909" s="430"/>
      <c r="AQ2909" s="430"/>
      <c r="AR2909" s="430"/>
      <c r="AS2909" s="430"/>
      <c r="AT2909" s="430"/>
      <c r="AU2909" s="426"/>
      <c r="AV2909" s="434"/>
      <c r="AW2909" s="269" t="s">
        <v>2084</v>
      </c>
      <c r="AX2909" s="269" t="s">
        <v>2869</v>
      </c>
      <c r="AY2909" s="270" t="s">
        <v>695</v>
      </c>
      <c r="AZ2909" s="435"/>
      <c r="BA2909" s="173">
        <v>10.0</v>
      </c>
      <c r="BB2909" s="434"/>
      <c r="BC2909" s="434"/>
      <c r="BD2909" s="308" t="s">
        <v>1844</v>
      </c>
      <c r="BE2909" s="436"/>
      <c r="BF2909" s="274" t="str">
        <f>IFERROR(__xludf.DUMMYFUNCTION("LOWER(Regexreplace(to_text(E2909),""[^A-Za-z0-9]"","""")&amp;""_""&amp;Regexreplace(to_text(F2909),""[^A-Za-z0-9]"",""""))"),"aquagen_uwm220dn50dn500")</f>
        <v>aquagen_uwm220dn50dn500</v>
      </c>
      <c r="BG2909" s="275" t="str">
        <f>IFERROR(__xludf.DUMMYFUNCTION("upper(Regexreplace(to_text(E2909),""[^A-Za-z0-9]"","""")&amp;""-""&amp;Regexreplace(to_text(F2909),""[^A-Za-z0-9]"",""""))"),"AQUAGEN-UWM220DN50DN500")</f>
        <v>AQUAGEN-UWM220DN50DN500</v>
      </c>
    </row>
    <row r="2910" ht="30.0" customHeight="1">
      <c r="A2910" s="425">
        <v>2690.0</v>
      </c>
      <c r="B2910" s="425" t="s">
        <v>670</v>
      </c>
      <c r="C2910" s="257" t="s">
        <v>9129</v>
      </c>
      <c r="D2910" s="173" t="s">
        <v>9129</v>
      </c>
      <c r="E2910" s="174" t="s">
        <v>9097</v>
      </c>
      <c r="F2910" s="173" t="s">
        <v>9098</v>
      </c>
      <c r="G2910" s="425" t="s">
        <v>673</v>
      </c>
      <c r="H2910" s="425" t="s">
        <v>2863</v>
      </c>
      <c r="I2910" s="258" t="s">
        <v>9099</v>
      </c>
      <c r="J2910" s="259" t="s">
        <v>965</v>
      </c>
      <c r="K2910" s="260" t="s">
        <v>9123</v>
      </c>
      <c r="L2910" s="442"/>
      <c r="M2910" s="426"/>
      <c r="N2910" s="173" t="s">
        <v>679</v>
      </c>
      <c r="O2910" s="173" t="s">
        <v>225</v>
      </c>
      <c r="P2910" s="262" t="str">
        <f t="shared" si="1"/>
        <v>IN-BLR-ANANTA-WM-14_3</v>
      </c>
      <c r="Q2910" s="173" t="s">
        <v>9130</v>
      </c>
      <c r="R2910" s="328" t="str">
        <f>IFS(C2910="","",C2910="n/a","N/A",LEN(C2910),Concatenate("{",char(34),"asset",char(34),":{",char(34),"guid",char(34),":",char(34),Q2910,char(34),",",char(34),"site",char(34),":",char(34),LOWER('2-Building'!$B$4),char(34),",",char(34),"name",char(34),":",char(34),LOWER(C2910),char(34),"}}"))</f>
        <v>{"asset":{"guid":"uuid://8f40b16b-cf96-49d6-a735-622acde51912","site":"in-blr-ananta","name":"wm-14"}}</v>
      </c>
      <c r="S2910" s="366" t="s">
        <v>9102</v>
      </c>
      <c r="T2910" s="427"/>
      <c r="U2910" s="427"/>
      <c r="V2910" s="428"/>
      <c r="W2910" s="429"/>
      <c r="X2910" s="430"/>
      <c r="Y2910" s="33" t="s">
        <v>8076</v>
      </c>
      <c r="Z2910" s="430"/>
      <c r="AA2910" s="430"/>
      <c r="AB2910" s="258">
        <v>8.0</v>
      </c>
      <c r="AC2910" s="430"/>
      <c r="AD2910" s="426"/>
      <c r="AE2910" s="428"/>
      <c r="AF2910" s="431"/>
      <c r="AG2910" s="432" t="str">
        <f>IFS(LEN(AF2910)=17,LOWER('2-Building'!$B$4 &amp; "-" &amp; C2910), AF2910="N/A", "N/A", LEN(AF2910)=0,"")</f>
        <v/>
      </c>
      <c r="AH2910" s="430"/>
      <c r="AI2910" s="430"/>
      <c r="AJ2910" s="430"/>
      <c r="AK2910" s="430"/>
      <c r="AL2910" s="430"/>
      <c r="AM2910" s="433"/>
      <c r="AN2910" s="430"/>
      <c r="AO2910" s="430"/>
      <c r="AP2910" s="430"/>
      <c r="AQ2910" s="430"/>
      <c r="AR2910" s="430"/>
      <c r="AS2910" s="430"/>
      <c r="AT2910" s="430"/>
      <c r="AU2910" s="426"/>
      <c r="AV2910" s="434"/>
      <c r="AW2910" s="269" t="s">
        <v>2084</v>
      </c>
      <c r="AX2910" s="269" t="s">
        <v>2869</v>
      </c>
      <c r="AY2910" s="270" t="s">
        <v>695</v>
      </c>
      <c r="AZ2910" s="435"/>
      <c r="BA2910" s="173">
        <v>10.0</v>
      </c>
      <c r="BB2910" s="434"/>
      <c r="BC2910" s="434"/>
      <c r="BD2910" s="308" t="s">
        <v>1844</v>
      </c>
      <c r="BE2910" s="436"/>
      <c r="BF2910" s="274" t="str">
        <f>IFERROR(__xludf.DUMMYFUNCTION("LOWER(Regexreplace(to_text(E2910),""[^A-Za-z0-9]"","""")&amp;""_""&amp;Regexreplace(to_text(F2910),""[^A-Za-z0-9]"",""""))"),"aquagen_uwm220dn50dn500")</f>
        <v>aquagen_uwm220dn50dn500</v>
      </c>
      <c r="BG2910" s="275" t="str">
        <f>IFERROR(__xludf.DUMMYFUNCTION("upper(Regexreplace(to_text(E2910),""[^A-Za-z0-9]"","""")&amp;""-""&amp;Regexreplace(to_text(F2910),""[^A-Za-z0-9]"",""""))"),"AQUAGEN-UWM220DN50DN500")</f>
        <v>AQUAGEN-UWM220DN50DN500</v>
      </c>
    </row>
    <row r="2911" ht="30.0" customHeight="1">
      <c r="A2911" s="328">
        <v>2690.0</v>
      </c>
      <c r="B2911" s="425" t="s">
        <v>670</v>
      </c>
      <c r="C2911" s="257" t="s">
        <v>9131</v>
      </c>
      <c r="D2911" s="173" t="s">
        <v>9131</v>
      </c>
      <c r="E2911" s="174" t="s">
        <v>9097</v>
      </c>
      <c r="F2911" s="173" t="s">
        <v>9098</v>
      </c>
      <c r="G2911" s="425" t="s">
        <v>673</v>
      </c>
      <c r="H2911" s="425" t="s">
        <v>2863</v>
      </c>
      <c r="I2911" s="258" t="s">
        <v>9099</v>
      </c>
      <c r="J2911" s="259" t="s">
        <v>965</v>
      </c>
      <c r="K2911" s="260" t="s">
        <v>9123</v>
      </c>
      <c r="L2911" s="442"/>
      <c r="M2911" s="426"/>
      <c r="N2911" s="173" t="s">
        <v>679</v>
      </c>
      <c r="O2911" s="173" t="s">
        <v>225</v>
      </c>
      <c r="P2911" s="262" t="str">
        <f t="shared" si="1"/>
        <v>IN-BLR-ANANTA-WM-15_3</v>
      </c>
      <c r="Q2911" s="173" t="s">
        <v>9132</v>
      </c>
      <c r="R2911" s="328" t="str">
        <f>IFS(C2911="","",C2911="n/a","N/A",LEN(C2911),Concatenate("{",char(34),"asset",char(34),":{",char(34),"guid",char(34),":",char(34),Q2911,char(34),",",char(34),"site",char(34),":",char(34),LOWER('2-Building'!$B$4),char(34),",",char(34),"name",char(34),":",char(34),LOWER(C2911),char(34),"}}"))</f>
        <v>{"asset":{"guid":"uuid://25ec565c-a802-42dd-85f0-33d3356b23b8","site":"in-blr-ananta","name":"wm-15"}}</v>
      </c>
      <c r="S2911" s="366" t="s">
        <v>9102</v>
      </c>
      <c r="T2911" s="427"/>
      <c r="U2911" s="427"/>
      <c r="V2911" s="428"/>
      <c r="W2911" s="429"/>
      <c r="X2911" s="430"/>
      <c r="Y2911" s="33" t="s">
        <v>8076</v>
      </c>
      <c r="Z2911" s="430"/>
      <c r="AA2911" s="430"/>
      <c r="AB2911" s="258">
        <v>9.0</v>
      </c>
      <c r="AC2911" s="430"/>
      <c r="AD2911" s="426"/>
      <c r="AE2911" s="428"/>
      <c r="AF2911" s="431"/>
      <c r="AG2911" s="432" t="str">
        <f>IFS(LEN(AF2911)=17,LOWER('2-Building'!$B$4 &amp; "-" &amp; C2911), AF2911="N/A", "N/A", LEN(AF2911)=0,"")</f>
        <v/>
      </c>
      <c r="AH2911" s="430"/>
      <c r="AI2911" s="430"/>
      <c r="AJ2911" s="430"/>
      <c r="AK2911" s="430"/>
      <c r="AL2911" s="430"/>
      <c r="AM2911" s="433"/>
      <c r="AN2911" s="430"/>
      <c r="AO2911" s="430"/>
      <c r="AP2911" s="430"/>
      <c r="AQ2911" s="430"/>
      <c r="AR2911" s="430"/>
      <c r="AS2911" s="430"/>
      <c r="AT2911" s="430"/>
      <c r="AU2911" s="426"/>
      <c r="AV2911" s="434"/>
      <c r="AW2911" s="269" t="s">
        <v>2084</v>
      </c>
      <c r="AX2911" s="269" t="s">
        <v>2869</v>
      </c>
      <c r="AY2911" s="270" t="s">
        <v>695</v>
      </c>
      <c r="AZ2911" s="435"/>
      <c r="BA2911" s="173">
        <v>10.0</v>
      </c>
      <c r="BB2911" s="434"/>
      <c r="BC2911" s="434"/>
      <c r="BD2911" s="308" t="s">
        <v>1844</v>
      </c>
      <c r="BE2911" s="436"/>
      <c r="BF2911" s="274" t="str">
        <f>IFERROR(__xludf.DUMMYFUNCTION("LOWER(Regexreplace(to_text(E2911),""[^A-Za-z0-9]"","""")&amp;""_""&amp;Regexreplace(to_text(F2911),""[^A-Za-z0-9]"",""""))"),"aquagen_uwm220dn50dn500")</f>
        <v>aquagen_uwm220dn50dn500</v>
      </c>
      <c r="BG2911" s="275" t="str">
        <f>IFERROR(__xludf.DUMMYFUNCTION("upper(Regexreplace(to_text(E2911),""[^A-Za-z0-9]"","""")&amp;""-""&amp;Regexreplace(to_text(F2911),""[^A-Za-z0-9]"",""""))"),"AQUAGEN-UWM220DN50DN500")</f>
        <v>AQUAGEN-UWM220DN50DN500</v>
      </c>
    </row>
    <row r="2912" ht="30.0" customHeight="1">
      <c r="A2912" s="173">
        <v>2689.0</v>
      </c>
      <c r="B2912" s="328" t="s">
        <v>670</v>
      </c>
      <c r="C2912" s="257" t="s">
        <v>9133</v>
      </c>
      <c r="D2912" s="173" t="s">
        <v>9133</v>
      </c>
      <c r="E2912" s="174" t="s">
        <v>9097</v>
      </c>
      <c r="F2912" s="173" t="s">
        <v>9098</v>
      </c>
      <c r="G2912" s="328" t="s">
        <v>673</v>
      </c>
      <c r="H2912" s="328" t="s">
        <v>2863</v>
      </c>
      <c r="I2912" s="258" t="s">
        <v>9099</v>
      </c>
      <c r="J2912" s="259" t="s">
        <v>1026</v>
      </c>
      <c r="K2912" s="260" t="s">
        <v>9112</v>
      </c>
      <c r="L2912" s="366"/>
      <c r="M2912" s="329"/>
      <c r="N2912" s="173" t="s">
        <v>679</v>
      </c>
      <c r="O2912" s="173" t="s">
        <v>225</v>
      </c>
      <c r="P2912" s="262" t="str">
        <f t="shared" si="1"/>
        <v>IN-BLR-ANANTA-WM-16_4</v>
      </c>
      <c r="Q2912" s="173" t="s">
        <v>9134</v>
      </c>
      <c r="R2912" s="328" t="str">
        <f>IFS(C2912="","",C2912="n/a","N/A",LEN(C2912),Concatenate("{",char(34),"asset",char(34),":{",char(34),"guid",char(34),":",char(34),Q2912,char(34),",",char(34),"site",char(34),":",char(34),LOWER('2-Building'!$B$4),char(34),",",char(34),"name",char(34),":",char(34),LOWER(C2912),char(34),"}}"))</f>
        <v>{"asset":{"guid":"uuid://dd65f99b-b1c6-4c38-92e6-46d0933678ee","site":"in-blr-ananta","name":"wm-16"}}</v>
      </c>
      <c r="S2912" s="366" t="s">
        <v>9102</v>
      </c>
      <c r="T2912" s="330"/>
      <c r="U2912" s="330"/>
      <c r="V2912" s="331"/>
      <c r="W2912" s="332"/>
      <c r="X2912" s="333"/>
      <c r="Y2912" s="33" t="s">
        <v>8076</v>
      </c>
      <c r="Z2912" s="368"/>
      <c r="AA2912" s="333"/>
      <c r="AB2912" s="258">
        <v>4.0</v>
      </c>
      <c r="AC2912" s="333"/>
      <c r="AD2912" s="329"/>
      <c r="AE2912" s="331"/>
      <c r="AF2912" s="336"/>
      <c r="AG2912" s="337" t="str">
        <f>IFS(LEN(AF2912)=17,LOWER('2-Building'!$B$4 &amp; "-" &amp; C2912), AF2912="N/A", "N/A", LEN(AF2912)=0,"")</f>
        <v/>
      </c>
      <c r="AH2912" s="333"/>
      <c r="AI2912" s="333"/>
      <c r="AJ2912" s="333"/>
      <c r="AK2912" s="333"/>
      <c r="AL2912" s="333"/>
      <c r="AM2912" s="338"/>
      <c r="AN2912" s="333"/>
      <c r="AO2912" s="333"/>
      <c r="AP2912" s="333"/>
      <c r="AQ2912" s="333"/>
      <c r="AR2912" s="333"/>
      <c r="AS2912" s="333"/>
      <c r="AT2912" s="333"/>
      <c r="AU2912" s="329"/>
      <c r="AV2912" s="341"/>
      <c r="AW2912" s="269" t="s">
        <v>1734</v>
      </c>
      <c r="AX2912" s="269" t="s">
        <v>2869</v>
      </c>
      <c r="AY2912" s="270" t="s">
        <v>695</v>
      </c>
      <c r="AZ2912" s="379"/>
      <c r="BA2912" s="173">
        <v>10.0</v>
      </c>
      <c r="BB2912" s="341"/>
      <c r="BC2912" s="341"/>
      <c r="BD2912" s="308" t="s">
        <v>1844</v>
      </c>
      <c r="BE2912" s="364"/>
      <c r="BF2912" s="274" t="str">
        <f>IFERROR(__xludf.DUMMYFUNCTION("LOWER(Regexreplace(to_text(E2912),""[^A-Za-z0-9]"","""")&amp;""_""&amp;Regexreplace(to_text(F2912),""[^A-Za-z0-9]"",""""))"),"aquagen_uwm220dn50dn500")</f>
        <v>aquagen_uwm220dn50dn500</v>
      </c>
      <c r="BG2912" s="275" t="str">
        <f>IFERROR(__xludf.DUMMYFUNCTION("upper(Regexreplace(to_text(E2912),""[^A-Za-z0-9]"","""")&amp;""-""&amp;Regexreplace(to_text(F2912),""[^A-Za-z0-9]"",""""))"),"AQUAGEN-UWM220DN50DN500")</f>
        <v>AQUAGEN-UWM220DN50DN500</v>
      </c>
    </row>
    <row r="2913" ht="30.0" customHeight="1">
      <c r="A2913" s="173">
        <v>2691.0</v>
      </c>
      <c r="B2913" s="328" t="s">
        <v>670</v>
      </c>
      <c r="C2913" s="257" t="s">
        <v>9135</v>
      </c>
      <c r="D2913" s="173" t="s">
        <v>9135</v>
      </c>
      <c r="E2913" s="174" t="s">
        <v>9097</v>
      </c>
      <c r="F2913" s="173" t="s">
        <v>9098</v>
      </c>
      <c r="G2913" s="328" t="s">
        <v>673</v>
      </c>
      <c r="H2913" s="328" t="s">
        <v>2863</v>
      </c>
      <c r="I2913" s="258" t="s">
        <v>9099</v>
      </c>
      <c r="J2913" s="259" t="s">
        <v>1026</v>
      </c>
      <c r="K2913" s="260" t="s">
        <v>9112</v>
      </c>
      <c r="L2913" s="366"/>
      <c r="M2913" s="329"/>
      <c r="N2913" s="173" t="s">
        <v>679</v>
      </c>
      <c r="O2913" s="173" t="s">
        <v>225</v>
      </c>
      <c r="P2913" s="262" t="str">
        <f t="shared" si="1"/>
        <v>IN-BLR-ANANTA-WM-17_4</v>
      </c>
      <c r="Q2913" s="173" t="s">
        <v>9136</v>
      </c>
      <c r="R2913" s="328" t="str">
        <f>IFS(C2913="","",C2913="n/a","N/A",LEN(C2913),Concatenate("{",char(34),"asset",char(34),":{",char(34),"guid",char(34),":",char(34),Q2913,char(34),",",char(34),"site",char(34),":",char(34),LOWER('2-Building'!$B$4),char(34),",",char(34),"name",char(34),":",char(34),LOWER(C2913),char(34),"}}"))</f>
        <v>{"asset":{"guid":"uuid://30bdc524-0fe2-4a84-8a2f-e971c1b782bf","site":"in-blr-ananta","name":"wm-17"}}</v>
      </c>
      <c r="S2913" s="366" t="s">
        <v>9102</v>
      </c>
      <c r="T2913" s="330"/>
      <c r="U2913" s="330"/>
      <c r="V2913" s="331"/>
      <c r="W2913" s="332"/>
      <c r="X2913" s="333"/>
      <c r="Y2913" s="33" t="s">
        <v>8076</v>
      </c>
      <c r="Z2913" s="368"/>
      <c r="AA2913" s="333"/>
      <c r="AB2913" s="258">
        <v>3.0</v>
      </c>
      <c r="AC2913" s="333"/>
      <c r="AD2913" s="329"/>
      <c r="AE2913" s="331"/>
      <c r="AF2913" s="336"/>
      <c r="AG2913" s="337" t="str">
        <f>IFS(LEN(AF2913)=17,LOWER('2-Building'!$B$4 &amp; "-" &amp; C2913), AF2913="N/A", "N/A", LEN(AF2913)=0,"")</f>
        <v/>
      </c>
      <c r="AH2913" s="333"/>
      <c r="AI2913" s="333"/>
      <c r="AJ2913" s="333"/>
      <c r="AK2913" s="333"/>
      <c r="AL2913" s="333"/>
      <c r="AM2913" s="338"/>
      <c r="AN2913" s="333"/>
      <c r="AO2913" s="333"/>
      <c r="AP2913" s="333"/>
      <c r="AQ2913" s="333"/>
      <c r="AR2913" s="333"/>
      <c r="AS2913" s="333"/>
      <c r="AT2913" s="333"/>
      <c r="AU2913" s="329"/>
      <c r="AV2913" s="341"/>
      <c r="AW2913" s="269" t="s">
        <v>1734</v>
      </c>
      <c r="AX2913" s="269" t="s">
        <v>2869</v>
      </c>
      <c r="AY2913" s="270" t="s">
        <v>695</v>
      </c>
      <c r="AZ2913" s="379"/>
      <c r="BA2913" s="173">
        <v>10.0</v>
      </c>
      <c r="BB2913" s="341"/>
      <c r="BC2913" s="341"/>
      <c r="BD2913" s="308" t="s">
        <v>1844</v>
      </c>
      <c r="BE2913" s="364"/>
      <c r="BF2913" s="274" t="str">
        <f>IFERROR(__xludf.DUMMYFUNCTION("LOWER(Regexreplace(to_text(E2913),""[^A-Za-z0-9]"","""")&amp;""_""&amp;Regexreplace(to_text(F2913),""[^A-Za-z0-9]"",""""))"),"aquagen_uwm220dn50dn500")</f>
        <v>aquagen_uwm220dn50dn500</v>
      </c>
      <c r="BG2913" s="275" t="str">
        <f>IFERROR(__xludf.DUMMYFUNCTION("upper(Regexreplace(to_text(E2913),""[^A-Za-z0-9]"","""")&amp;""-""&amp;Regexreplace(to_text(F2913),""[^A-Za-z0-9]"",""""))"),"AQUAGEN-UWM220DN50DN500")</f>
        <v>AQUAGEN-UWM220DN50DN500</v>
      </c>
    </row>
    <row r="2914" ht="30.0" customHeight="1">
      <c r="A2914" s="258">
        <v>2690.0</v>
      </c>
      <c r="B2914" s="328" t="s">
        <v>670</v>
      </c>
      <c r="C2914" s="257" t="s">
        <v>9137</v>
      </c>
      <c r="D2914" s="173" t="s">
        <v>9137</v>
      </c>
      <c r="E2914" s="174" t="s">
        <v>9097</v>
      </c>
      <c r="F2914" s="173" t="s">
        <v>9098</v>
      </c>
      <c r="G2914" s="328" t="s">
        <v>673</v>
      </c>
      <c r="H2914" s="328" t="s">
        <v>2863</v>
      </c>
      <c r="I2914" s="258" t="s">
        <v>9099</v>
      </c>
      <c r="J2914" s="259" t="s">
        <v>1026</v>
      </c>
      <c r="K2914" s="260" t="s">
        <v>9112</v>
      </c>
      <c r="L2914" s="366"/>
      <c r="M2914" s="329"/>
      <c r="N2914" s="173" t="s">
        <v>679</v>
      </c>
      <c r="O2914" s="173" t="s">
        <v>225</v>
      </c>
      <c r="P2914" s="262" t="str">
        <f t="shared" si="1"/>
        <v>IN-BLR-ANANTA-WM-18_4</v>
      </c>
      <c r="Q2914" s="173" t="s">
        <v>9138</v>
      </c>
      <c r="R2914" s="328" t="str">
        <f>IFS(C2914="","",C2914="n/a","N/A",LEN(C2914),Concatenate("{",char(34),"asset",char(34),":{",char(34),"guid",char(34),":",char(34),Q2914,char(34),",",char(34),"site",char(34),":",char(34),LOWER('2-Building'!$B$4),char(34),",",char(34),"name",char(34),":",char(34),LOWER(C2914),char(34),"}}"))</f>
        <v>{"asset":{"guid":"uuid://9558268a-1a26-4efe-80d2-c6f7dfb61898","site":"in-blr-ananta","name":"wm-18"}}</v>
      </c>
      <c r="S2914" s="366" t="s">
        <v>9102</v>
      </c>
      <c r="T2914" s="330"/>
      <c r="U2914" s="330"/>
      <c r="V2914" s="331"/>
      <c r="W2914" s="332"/>
      <c r="X2914" s="333"/>
      <c r="Y2914" s="33" t="s">
        <v>8076</v>
      </c>
      <c r="Z2914" s="368"/>
      <c r="AA2914" s="333"/>
      <c r="AB2914" s="258">
        <v>2.0</v>
      </c>
      <c r="AC2914" s="333"/>
      <c r="AD2914" s="329"/>
      <c r="AE2914" s="331"/>
      <c r="AF2914" s="336"/>
      <c r="AG2914" s="337" t="str">
        <f>IFS(LEN(AF2914)=17,LOWER('2-Building'!$B$4 &amp; "-" &amp; C2914), AF2914="N/A", "N/A", LEN(AF2914)=0,"")</f>
        <v/>
      </c>
      <c r="AH2914" s="333"/>
      <c r="AI2914" s="333"/>
      <c r="AJ2914" s="333"/>
      <c r="AK2914" s="333"/>
      <c r="AL2914" s="333"/>
      <c r="AM2914" s="338"/>
      <c r="AN2914" s="333"/>
      <c r="AO2914" s="333"/>
      <c r="AP2914" s="333"/>
      <c r="AQ2914" s="333"/>
      <c r="AR2914" s="333"/>
      <c r="AS2914" s="333"/>
      <c r="AT2914" s="333"/>
      <c r="AU2914" s="329"/>
      <c r="AV2914" s="341"/>
      <c r="AW2914" s="269" t="s">
        <v>1734</v>
      </c>
      <c r="AX2914" s="269" t="s">
        <v>2869</v>
      </c>
      <c r="AY2914" s="270" t="s">
        <v>695</v>
      </c>
      <c r="AZ2914" s="379"/>
      <c r="BA2914" s="173">
        <v>10.0</v>
      </c>
      <c r="BB2914" s="341"/>
      <c r="BC2914" s="341"/>
      <c r="BD2914" s="308" t="s">
        <v>1844</v>
      </c>
      <c r="BE2914" s="364"/>
      <c r="BF2914" s="274" t="str">
        <f>IFERROR(__xludf.DUMMYFUNCTION("LOWER(Regexreplace(to_text(E2914),""[^A-Za-z0-9]"","""")&amp;""_""&amp;Regexreplace(to_text(F2914),""[^A-Za-z0-9]"",""""))"),"aquagen_uwm220dn50dn500")</f>
        <v>aquagen_uwm220dn50dn500</v>
      </c>
      <c r="BG2914" s="275" t="str">
        <f>IFERROR(__xludf.DUMMYFUNCTION("upper(Regexreplace(to_text(E2914),""[^A-Za-z0-9]"","""")&amp;""-""&amp;Regexreplace(to_text(F2914),""[^A-Za-z0-9]"",""""))"),"AQUAGEN-UWM220DN50DN500")</f>
        <v>AQUAGEN-UWM220DN50DN500</v>
      </c>
    </row>
    <row r="2915" ht="30.0" customHeight="1">
      <c r="A2915" s="328">
        <v>2690.0</v>
      </c>
      <c r="B2915" s="425" t="s">
        <v>670</v>
      </c>
      <c r="C2915" s="257" t="s">
        <v>9139</v>
      </c>
      <c r="D2915" s="173" t="s">
        <v>9139</v>
      </c>
      <c r="E2915" s="174" t="s">
        <v>9097</v>
      </c>
      <c r="F2915" s="173" t="s">
        <v>9098</v>
      </c>
      <c r="G2915" s="425" t="s">
        <v>673</v>
      </c>
      <c r="H2915" s="425" t="s">
        <v>2863</v>
      </c>
      <c r="I2915" s="258" t="s">
        <v>9099</v>
      </c>
      <c r="J2915" s="259" t="s">
        <v>1149</v>
      </c>
      <c r="K2915" s="260" t="s">
        <v>9140</v>
      </c>
      <c r="L2915" s="442"/>
      <c r="M2915" s="426"/>
      <c r="N2915" s="173" t="s">
        <v>679</v>
      </c>
      <c r="O2915" s="173" t="s">
        <v>225</v>
      </c>
      <c r="P2915" s="262" t="str">
        <f t="shared" si="1"/>
        <v>IN-BLR-ANANTA-WM-19_6</v>
      </c>
      <c r="Q2915" s="173" t="s">
        <v>9141</v>
      </c>
      <c r="R2915" s="328" t="str">
        <f>IFS(C2915="","",C2915="n/a","N/A",LEN(C2915),Concatenate("{",char(34),"asset",char(34),":{",char(34),"guid",char(34),":",char(34),Q2915,char(34),",",char(34),"site",char(34),":",char(34),LOWER('2-Building'!$B$4),char(34),",",char(34),"name",char(34),":",char(34),LOWER(C2915),char(34),"}}"))</f>
        <v>{"asset":{"guid":"uuid://45e1abf9-9d83-49bc-93ae-4d24e259fc2b","site":"in-blr-ananta","name":"wm-19"}}</v>
      </c>
      <c r="S2915" s="366" t="s">
        <v>9102</v>
      </c>
      <c r="T2915" s="427"/>
      <c r="U2915" s="427"/>
      <c r="V2915" s="428"/>
      <c r="W2915" s="429"/>
      <c r="X2915" s="430"/>
      <c r="Y2915" s="33" t="s">
        <v>8076</v>
      </c>
      <c r="Z2915" s="430"/>
      <c r="AA2915" s="430"/>
      <c r="AB2915" s="258">
        <v>2.0</v>
      </c>
      <c r="AC2915" s="430"/>
      <c r="AD2915" s="426"/>
      <c r="AE2915" s="428"/>
      <c r="AF2915" s="431"/>
      <c r="AG2915" s="432" t="str">
        <f>IFS(LEN(AF2915)=17,LOWER('2-Building'!$B$4 &amp; "-" &amp; C2915), AF2915="N/A", "N/A", LEN(AF2915)=0,"")</f>
        <v/>
      </c>
      <c r="AH2915" s="430"/>
      <c r="AI2915" s="430"/>
      <c r="AJ2915" s="430"/>
      <c r="AK2915" s="430"/>
      <c r="AL2915" s="430"/>
      <c r="AM2915" s="433"/>
      <c r="AN2915" s="430"/>
      <c r="AO2915" s="430"/>
      <c r="AP2915" s="430"/>
      <c r="AQ2915" s="430"/>
      <c r="AR2915" s="430"/>
      <c r="AS2915" s="430"/>
      <c r="AT2915" s="430"/>
      <c r="AU2915" s="426"/>
      <c r="AV2915" s="434"/>
      <c r="AW2915" s="269" t="s">
        <v>2322</v>
      </c>
      <c r="AX2915" s="269" t="s">
        <v>2869</v>
      </c>
      <c r="AY2915" s="270" t="s">
        <v>695</v>
      </c>
      <c r="AZ2915" s="435"/>
      <c r="BA2915" s="173">
        <v>10.0</v>
      </c>
      <c r="BB2915" s="434"/>
      <c r="BC2915" s="434"/>
      <c r="BD2915" s="308" t="s">
        <v>1844</v>
      </c>
      <c r="BE2915" s="436"/>
      <c r="BF2915" s="274" t="str">
        <f>IFERROR(__xludf.DUMMYFUNCTION("LOWER(Regexreplace(to_text(E2915),""[^A-Za-z0-9]"","""")&amp;""_""&amp;Regexreplace(to_text(F2915),""[^A-Za-z0-9]"",""""))"),"aquagen_uwm220dn50dn500")</f>
        <v>aquagen_uwm220dn50dn500</v>
      </c>
      <c r="BG2915" s="275" t="str">
        <f>IFERROR(__xludf.DUMMYFUNCTION("upper(Regexreplace(to_text(E2915),""[^A-Za-z0-9]"","""")&amp;""-""&amp;Regexreplace(to_text(F2915),""[^A-Za-z0-9]"",""""))"),"AQUAGEN-UWM220DN50DN500")</f>
        <v>AQUAGEN-UWM220DN50DN500</v>
      </c>
    </row>
    <row r="2916" ht="30.0" customHeight="1">
      <c r="A2916" s="258">
        <v>2690.0</v>
      </c>
      <c r="B2916" s="328" t="s">
        <v>670</v>
      </c>
      <c r="C2916" s="257" t="s">
        <v>9142</v>
      </c>
      <c r="D2916" s="173" t="s">
        <v>9142</v>
      </c>
      <c r="E2916" s="174" t="s">
        <v>9097</v>
      </c>
      <c r="F2916" s="173" t="s">
        <v>9098</v>
      </c>
      <c r="G2916" s="328" t="s">
        <v>673</v>
      </c>
      <c r="H2916" s="328" t="s">
        <v>2863</v>
      </c>
      <c r="I2916" s="258" t="s">
        <v>9099</v>
      </c>
      <c r="J2916" s="259" t="s">
        <v>1149</v>
      </c>
      <c r="K2916" s="260" t="s">
        <v>9140</v>
      </c>
      <c r="L2916" s="366"/>
      <c r="M2916" s="329"/>
      <c r="N2916" s="173" t="s">
        <v>679</v>
      </c>
      <c r="O2916" s="173" t="s">
        <v>225</v>
      </c>
      <c r="P2916" s="262" t="str">
        <f t="shared" si="1"/>
        <v>IN-BLR-ANANTA-WM-20_6</v>
      </c>
      <c r="Q2916" s="173" t="s">
        <v>9143</v>
      </c>
      <c r="R2916" s="328" t="str">
        <f>IFS(C2916="","",C2916="n/a","N/A",LEN(C2916),Concatenate("{",char(34),"asset",char(34),":{",char(34),"guid",char(34),":",char(34),Q2916,char(34),",",char(34),"site",char(34),":",char(34),LOWER('2-Building'!$B$4),char(34),",",char(34),"name",char(34),":",char(34),LOWER(C2916),char(34),"}}"))</f>
        <v>{"asset":{"guid":"uuid://7dd42668-f3aa-4b8a-9497-160683420482","site":"in-blr-ananta","name":"wm-20"}}</v>
      </c>
      <c r="S2916" s="366" t="s">
        <v>9102</v>
      </c>
      <c r="T2916" s="330"/>
      <c r="U2916" s="330"/>
      <c r="V2916" s="331"/>
      <c r="W2916" s="332"/>
      <c r="X2916" s="333"/>
      <c r="Y2916" s="33" t="s">
        <v>8076</v>
      </c>
      <c r="Z2916" s="368"/>
      <c r="AA2916" s="333"/>
      <c r="AB2916" s="258">
        <v>3.0</v>
      </c>
      <c r="AC2916" s="333"/>
      <c r="AD2916" s="329"/>
      <c r="AE2916" s="331"/>
      <c r="AF2916" s="336"/>
      <c r="AG2916" s="337" t="str">
        <f>IFS(LEN(AF2916)=17,LOWER('2-Building'!$B$4 &amp; "-" &amp; C2916), AF2916="N/A", "N/A", LEN(AF2916)=0,"")</f>
        <v/>
      </c>
      <c r="AH2916" s="333"/>
      <c r="AI2916" s="333"/>
      <c r="AJ2916" s="333"/>
      <c r="AK2916" s="333"/>
      <c r="AL2916" s="333"/>
      <c r="AM2916" s="338"/>
      <c r="AN2916" s="333"/>
      <c r="AO2916" s="333"/>
      <c r="AP2916" s="333"/>
      <c r="AQ2916" s="333"/>
      <c r="AR2916" s="333"/>
      <c r="AS2916" s="333"/>
      <c r="AT2916" s="333"/>
      <c r="AU2916" s="329"/>
      <c r="AV2916" s="341"/>
      <c r="AW2916" s="269" t="s">
        <v>2322</v>
      </c>
      <c r="AX2916" s="269" t="s">
        <v>2869</v>
      </c>
      <c r="AY2916" s="270" t="s">
        <v>695</v>
      </c>
      <c r="AZ2916" s="379"/>
      <c r="BA2916" s="173">
        <v>10.0</v>
      </c>
      <c r="BB2916" s="341"/>
      <c r="BC2916" s="341"/>
      <c r="BD2916" s="308" t="s">
        <v>1844</v>
      </c>
      <c r="BE2916" s="364"/>
      <c r="BF2916" s="274" t="str">
        <f>IFERROR(__xludf.DUMMYFUNCTION("LOWER(Regexreplace(to_text(E2916),""[^A-Za-z0-9]"","""")&amp;""_""&amp;Regexreplace(to_text(F2916),""[^A-Za-z0-9]"",""""))"),"aquagen_uwm220dn50dn500")</f>
        <v>aquagen_uwm220dn50dn500</v>
      </c>
      <c r="BG2916" s="275" t="str">
        <f>IFERROR(__xludf.DUMMYFUNCTION("upper(Regexreplace(to_text(E2916),""[^A-Za-z0-9]"","""")&amp;""-""&amp;Regexreplace(to_text(F2916),""[^A-Za-z0-9]"",""""))"),"AQUAGEN-UWM220DN50DN500")</f>
        <v>AQUAGEN-UWM220DN50DN500</v>
      </c>
    </row>
    <row r="2917" ht="30.0" customHeight="1">
      <c r="A2917" s="328">
        <v>2690.0</v>
      </c>
      <c r="B2917" s="425" t="s">
        <v>670</v>
      </c>
      <c r="C2917" s="257" t="s">
        <v>9144</v>
      </c>
      <c r="D2917" s="173" t="s">
        <v>9144</v>
      </c>
      <c r="E2917" s="174" t="s">
        <v>9097</v>
      </c>
      <c r="F2917" s="173" t="s">
        <v>9098</v>
      </c>
      <c r="G2917" s="425" t="s">
        <v>673</v>
      </c>
      <c r="H2917" s="425" t="s">
        <v>2863</v>
      </c>
      <c r="I2917" s="258" t="s">
        <v>9099</v>
      </c>
      <c r="J2917" s="259" t="s">
        <v>1149</v>
      </c>
      <c r="K2917" s="260" t="s">
        <v>9140</v>
      </c>
      <c r="L2917" s="442"/>
      <c r="M2917" s="426"/>
      <c r="N2917" s="173" t="s">
        <v>679</v>
      </c>
      <c r="O2917" s="173" t="s">
        <v>225</v>
      </c>
      <c r="P2917" s="262" t="str">
        <f t="shared" si="1"/>
        <v>IN-BLR-ANANTA-WM-21_6</v>
      </c>
      <c r="Q2917" s="173" t="s">
        <v>9145</v>
      </c>
      <c r="R2917" s="328" t="str">
        <f>IFS(C2917="","",C2917="n/a","N/A",LEN(C2917),Concatenate("{",char(34),"asset",char(34),":{",char(34),"guid",char(34),":",char(34),Q2917,char(34),",",char(34),"site",char(34),":",char(34),LOWER('2-Building'!$B$4),char(34),",",char(34),"name",char(34),":",char(34),LOWER(C2917),char(34),"}}"))</f>
        <v>{"asset":{"guid":"uuid://66c25dfa-1dd1-45c8-a7f6-cef51bd2821e","site":"in-blr-ananta","name":"wm-21"}}</v>
      </c>
      <c r="S2917" s="366" t="s">
        <v>9102</v>
      </c>
      <c r="T2917" s="427"/>
      <c r="U2917" s="427"/>
      <c r="V2917" s="428"/>
      <c r="W2917" s="429"/>
      <c r="X2917" s="430"/>
      <c r="Y2917" s="33" t="s">
        <v>8076</v>
      </c>
      <c r="Z2917" s="430"/>
      <c r="AA2917" s="430"/>
      <c r="AB2917" s="258">
        <v>4.0</v>
      </c>
      <c r="AC2917" s="430"/>
      <c r="AD2917" s="426"/>
      <c r="AE2917" s="428"/>
      <c r="AF2917" s="431"/>
      <c r="AG2917" s="432" t="str">
        <f>IFS(LEN(AF2917)=17,LOWER('2-Building'!$B$4 &amp; "-" &amp; C2917), AF2917="N/A", "N/A", LEN(AF2917)=0,"")</f>
        <v/>
      </c>
      <c r="AH2917" s="430"/>
      <c r="AI2917" s="430"/>
      <c r="AJ2917" s="430"/>
      <c r="AK2917" s="430"/>
      <c r="AL2917" s="430"/>
      <c r="AM2917" s="433"/>
      <c r="AN2917" s="430"/>
      <c r="AO2917" s="430"/>
      <c r="AP2917" s="430"/>
      <c r="AQ2917" s="430"/>
      <c r="AR2917" s="430"/>
      <c r="AS2917" s="430"/>
      <c r="AT2917" s="430"/>
      <c r="AU2917" s="426"/>
      <c r="AV2917" s="434"/>
      <c r="AW2917" s="269" t="s">
        <v>2322</v>
      </c>
      <c r="AX2917" s="269" t="s">
        <v>2869</v>
      </c>
      <c r="AY2917" s="270" t="s">
        <v>695</v>
      </c>
      <c r="AZ2917" s="435"/>
      <c r="BA2917" s="173">
        <v>10.0</v>
      </c>
      <c r="BB2917" s="434"/>
      <c r="BC2917" s="434"/>
      <c r="BD2917" s="308" t="s">
        <v>1844</v>
      </c>
      <c r="BE2917" s="436"/>
      <c r="BF2917" s="274" t="str">
        <f>IFERROR(__xludf.DUMMYFUNCTION("LOWER(Regexreplace(to_text(E2917),""[^A-Za-z0-9]"","""")&amp;""_""&amp;Regexreplace(to_text(F2917),""[^A-Za-z0-9]"",""""))"),"aquagen_uwm220dn50dn500")</f>
        <v>aquagen_uwm220dn50dn500</v>
      </c>
      <c r="BG2917" s="275" t="str">
        <f>IFERROR(__xludf.DUMMYFUNCTION("upper(Regexreplace(to_text(E2917),""[^A-Za-z0-9]"","""")&amp;""-""&amp;Regexreplace(to_text(F2917),""[^A-Za-z0-9]"",""""))"),"AQUAGEN-UWM220DN50DN500")</f>
        <v>AQUAGEN-UWM220DN50DN500</v>
      </c>
    </row>
    <row r="2918" ht="30.0" customHeight="1">
      <c r="A2918" s="328">
        <v>2690.0</v>
      </c>
      <c r="B2918" s="425" t="s">
        <v>670</v>
      </c>
      <c r="C2918" s="257" t="s">
        <v>9146</v>
      </c>
      <c r="D2918" s="173" t="s">
        <v>9146</v>
      </c>
      <c r="E2918" s="174" t="s">
        <v>9097</v>
      </c>
      <c r="F2918" s="173" t="s">
        <v>9098</v>
      </c>
      <c r="G2918" s="425" t="s">
        <v>673</v>
      </c>
      <c r="H2918" s="425" t="s">
        <v>2863</v>
      </c>
      <c r="I2918" s="258" t="s">
        <v>9099</v>
      </c>
      <c r="J2918" s="259" t="s">
        <v>1149</v>
      </c>
      <c r="K2918" s="260" t="s">
        <v>9140</v>
      </c>
      <c r="L2918" s="442"/>
      <c r="M2918" s="426"/>
      <c r="N2918" s="173" t="s">
        <v>679</v>
      </c>
      <c r="O2918" s="173" t="s">
        <v>225</v>
      </c>
      <c r="P2918" s="262" t="str">
        <f t="shared" si="1"/>
        <v>IN-BLR-ANANTA-WM-22_6</v>
      </c>
      <c r="Q2918" s="173" t="s">
        <v>9147</v>
      </c>
      <c r="R2918" s="328" t="str">
        <f>IFS(C2918="","",C2918="n/a","N/A",LEN(C2918),Concatenate("{",char(34),"asset",char(34),":{",char(34),"guid",char(34),":",char(34),Q2918,char(34),",",char(34),"site",char(34),":",char(34),LOWER('2-Building'!$B$4),char(34),",",char(34),"name",char(34),":",char(34),LOWER(C2918),char(34),"}}"))</f>
        <v>{"asset":{"guid":"uuid://25dd3f1c-6932-476d-87af-4063a0b13c00","site":"in-blr-ananta","name":"wm-22"}}</v>
      </c>
      <c r="S2918" s="366" t="s">
        <v>9102</v>
      </c>
      <c r="T2918" s="427"/>
      <c r="U2918" s="427"/>
      <c r="V2918" s="428"/>
      <c r="W2918" s="429"/>
      <c r="X2918" s="430"/>
      <c r="Y2918" s="33" t="s">
        <v>8076</v>
      </c>
      <c r="Z2918" s="430"/>
      <c r="AA2918" s="430"/>
      <c r="AB2918" s="258">
        <v>5.0</v>
      </c>
      <c r="AC2918" s="430"/>
      <c r="AD2918" s="426"/>
      <c r="AE2918" s="428"/>
      <c r="AF2918" s="431"/>
      <c r="AG2918" s="432" t="str">
        <f>IFS(LEN(AF2918)=17,LOWER('2-Building'!$B$4 &amp; "-" &amp; C2918), AF2918="N/A", "N/A", LEN(AF2918)=0,"")</f>
        <v/>
      </c>
      <c r="AH2918" s="430"/>
      <c r="AI2918" s="430"/>
      <c r="AJ2918" s="430"/>
      <c r="AK2918" s="430"/>
      <c r="AL2918" s="430"/>
      <c r="AM2918" s="433"/>
      <c r="AN2918" s="430"/>
      <c r="AO2918" s="430"/>
      <c r="AP2918" s="430"/>
      <c r="AQ2918" s="430"/>
      <c r="AR2918" s="430"/>
      <c r="AS2918" s="430"/>
      <c r="AT2918" s="430"/>
      <c r="AU2918" s="426"/>
      <c r="AV2918" s="434"/>
      <c r="AW2918" s="269" t="s">
        <v>2322</v>
      </c>
      <c r="AX2918" s="269" t="s">
        <v>2869</v>
      </c>
      <c r="AY2918" s="270" t="s">
        <v>695</v>
      </c>
      <c r="AZ2918" s="435"/>
      <c r="BA2918" s="173">
        <v>10.0</v>
      </c>
      <c r="BB2918" s="434"/>
      <c r="BC2918" s="434"/>
      <c r="BD2918" s="308" t="s">
        <v>1844</v>
      </c>
      <c r="BE2918" s="436"/>
      <c r="BF2918" s="274" t="str">
        <f>IFERROR(__xludf.DUMMYFUNCTION("LOWER(Regexreplace(to_text(E2918),""[^A-Za-z0-9]"","""")&amp;""_""&amp;Regexreplace(to_text(F2918),""[^A-Za-z0-9]"",""""))"),"aquagen_uwm220dn50dn500")</f>
        <v>aquagen_uwm220dn50dn500</v>
      </c>
      <c r="BG2918" s="275" t="str">
        <f>IFERROR(__xludf.DUMMYFUNCTION("upper(Regexreplace(to_text(E2918),""[^A-Za-z0-9]"","""")&amp;""-""&amp;Regexreplace(to_text(F2918),""[^A-Za-z0-9]"",""""))"),"AQUAGEN-UWM220DN50DN500")</f>
        <v>AQUAGEN-UWM220DN50DN500</v>
      </c>
    </row>
    <row r="2919" ht="30.0" customHeight="1">
      <c r="A2919" s="425">
        <v>2690.0</v>
      </c>
      <c r="B2919" s="425" t="s">
        <v>670</v>
      </c>
      <c r="C2919" s="257" t="s">
        <v>9148</v>
      </c>
      <c r="D2919" s="173" t="s">
        <v>9148</v>
      </c>
      <c r="E2919" s="174" t="s">
        <v>9097</v>
      </c>
      <c r="F2919" s="173" t="s">
        <v>9098</v>
      </c>
      <c r="G2919" s="425" t="s">
        <v>673</v>
      </c>
      <c r="H2919" s="425" t="s">
        <v>2863</v>
      </c>
      <c r="I2919" s="258" t="s">
        <v>9099</v>
      </c>
      <c r="J2919" s="259" t="s">
        <v>1149</v>
      </c>
      <c r="K2919" s="260" t="s">
        <v>9140</v>
      </c>
      <c r="L2919" s="442"/>
      <c r="M2919" s="426"/>
      <c r="N2919" s="173" t="s">
        <v>679</v>
      </c>
      <c r="O2919" s="173" t="s">
        <v>225</v>
      </c>
      <c r="P2919" s="262" t="str">
        <f t="shared" si="1"/>
        <v>IN-BLR-ANANTA-WM-23_6</v>
      </c>
      <c r="Q2919" s="173" t="s">
        <v>9149</v>
      </c>
      <c r="R2919" s="328" t="str">
        <f>IFS(C2919="","",C2919="n/a","N/A",LEN(C2919),Concatenate("{",char(34),"asset",char(34),":{",char(34),"guid",char(34),":",char(34),Q2919,char(34),",",char(34),"site",char(34),":",char(34),LOWER('2-Building'!$B$4),char(34),",",char(34),"name",char(34),":",char(34),LOWER(C2919),char(34),"}}"))</f>
        <v>{"asset":{"guid":"uuid://492274bf-070d-4f81-a90b-12345d2443db","site":"in-blr-ananta","name":"wm-23"}}</v>
      </c>
      <c r="S2919" s="366" t="s">
        <v>9102</v>
      </c>
      <c r="T2919" s="427"/>
      <c r="U2919" s="427"/>
      <c r="V2919" s="428"/>
      <c r="W2919" s="429"/>
      <c r="X2919" s="430"/>
      <c r="Y2919" s="33" t="s">
        <v>8076</v>
      </c>
      <c r="Z2919" s="430"/>
      <c r="AA2919" s="430"/>
      <c r="AB2919" s="258">
        <v>6.0</v>
      </c>
      <c r="AC2919" s="430"/>
      <c r="AD2919" s="426"/>
      <c r="AE2919" s="428"/>
      <c r="AF2919" s="431"/>
      <c r="AG2919" s="432" t="str">
        <f>IFS(LEN(AF2919)=17,LOWER('2-Building'!$B$4 &amp; "-" &amp; C2919), AF2919="N/A", "N/A", LEN(AF2919)=0,"")</f>
        <v/>
      </c>
      <c r="AH2919" s="430"/>
      <c r="AI2919" s="430"/>
      <c r="AJ2919" s="430"/>
      <c r="AK2919" s="430"/>
      <c r="AL2919" s="430"/>
      <c r="AM2919" s="433"/>
      <c r="AN2919" s="430"/>
      <c r="AO2919" s="430"/>
      <c r="AP2919" s="430"/>
      <c r="AQ2919" s="430"/>
      <c r="AR2919" s="430"/>
      <c r="AS2919" s="430"/>
      <c r="AT2919" s="430"/>
      <c r="AU2919" s="426"/>
      <c r="AV2919" s="434"/>
      <c r="AW2919" s="269" t="s">
        <v>2322</v>
      </c>
      <c r="AX2919" s="269" t="s">
        <v>2869</v>
      </c>
      <c r="AY2919" s="270" t="s">
        <v>695</v>
      </c>
      <c r="AZ2919" s="435"/>
      <c r="BA2919" s="173">
        <v>10.0</v>
      </c>
      <c r="BB2919" s="434"/>
      <c r="BC2919" s="434"/>
      <c r="BD2919" s="308" t="s">
        <v>1844</v>
      </c>
      <c r="BE2919" s="436"/>
      <c r="BF2919" s="274" t="str">
        <f>IFERROR(__xludf.DUMMYFUNCTION("LOWER(Regexreplace(to_text(E2919),""[^A-Za-z0-9]"","""")&amp;""_""&amp;Regexreplace(to_text(F2919),""[^A-Za-z0-9]"",""""))"),"aquagen_uwm220dn50dn500")</f>
        <v>aquagen_uwm220dn50dn500</v>
      </c>
      <c r="BG2919" s="275" t="str">
        <f>IFERROR(__xludf.DUMMYFUNCTION("upper(Regexreplace(to_text(E2919),""[^A-Za-z0-9]"","""")&amp;""-""&amp;Regexreplace(to_text(F2919),""[^A-Za-z0-9]"",""""))"),"AQUAGEN-UWM220DN50DN500")</f>
        <v>AQUAGEN-UWM220DN50DN500</v>
      </c>
    </row>
    <row r="2920" ht="30.0" customHeight="1">
      <c r="A2920" s="328">
        <v>2690.0</v>
      </c>
      <c r="B2920" s="425" t="s">
        <v>670</v>
      </c>
      <c r="C2920" s="257" t="s">
        <v>9150</v>
      </c>
      <c r="D2920" s="173" t="s">
        <v>9150</v>
      </c>
      <c r="E2920" s="174" t="s">
        <v>9097</v>
      </c>
      <c r="F2920" s="173" t="s">
        <v>9098</v>
      </c>
      <c r="G2920" s="425" t="s">
        <v>673</v>
      </c>
      <c r="H2920" s="425" t="s">
        <v>2863</v>
      </c>
      <c r="I2920" s="258" t="s">
        <v>9099</v>
      </c>
      <c r="J2920" s="259" t="s">
        <v>1149</v>
      </c>
      <c r="K2920" s="260" t="s">
        <v>9151</v>
      </c>
      <c r="L2920" s="442"/>
      <c r="M2920" s="426"/>
      <c r="N2920" s="173" t="s">
        <v>679</v>
      </c>
      <c r="O2920" s="173" t="s">
        <v>225</v>
      </c>
      <c r="P2920" s="262" t="str">
        <f t="shared" si="1"/>
        <v>IN-BLR-ANANTA-WM-24_6</v>
      </c>
      <c r="Q2920" s="173" t="s">
        <v>9152</v>
      </c>
      <c r="R2920" s="328" t="str">
        <f>IFS(C2920="","",C2920="n/a","N/A",LEN(C2920),Concatenate("{",char(34),"asset",char(34),":{",char(34),"guid",char(34),":",char(34),Q2920,char(34),",",char(34),"site",char(34),":",char(34),LOWER('2-Building'!$B$4),char(34),",",char(34),"name",char(34),":",char(34),LOWER(C2920),char(34),"}}"))</f>
        <v>{"asset":{"guid":"uuid://c2180422-4421-4db6-82e0-8a44bc9971e1","site":"in-blr-ananta","name":"wm-24"}}</v>
      </c>
      <c r="S2920" s="366" t="s">
        <v>9102</v>
      </c>
      <c r="T2920" s="427"/>
      <c r="U2920" s="427"/>
      <c r="V2920" s="428"/>
      <c r="W2920" s="429"/>
      <c r="X2920" s="430"/>
      <c r="Y2920" s="33" t="s">
        <v>8076</v>
      </c>
      <c r="Z2920" s="430"/>
      <c r="AA2920" s="430"/>
      <c r="AB2920" s="258">
        <v>7.0</v>
      </c>
      <c r="AC2920" s="430"/>
      <c r="AD2920" s="426"/>
      <c r="AE2920" s="428"/>
      <c r="AF2920" s="431"/>
      <c r="AG2920" s="432" t="str">
        <f>IFS(LEN(AF2920)=17,LOWER('2-Building'!$B$4 &amp; "-" &amp; C2920), AF2920="N/A", "N/A", LEN(AF2920)=0,"")</f>
        <v/>
      </c>
      <c r="AH2920" s="430"/>
      <c r="AI2920" s="430"/>
      <c r="AJ2920" s="430"/>
      <c r="AK2920" s="430"/>
      <c r="AL2920" s="430"/>
      <c r="AM2920" s="433"/>
      <c r="AN2920" s="430"/>
      <c r="AO2920" s="430"/>
      <c r="AP2920" s="430"/>
      <c r="AQ2920" s="430"/>
      <c r="AR2920" s="430"/>
      <c r="AS2920" s="430"/>
      <c r="AT2920" s="430"/>
      <c r="AU2920" s="426"/>
      <c r="AV2920" s="434"/>
      <c r="AW2920" s="269" t="s">
        <v>1195</v>
      </c>
      <c r="AX2920" s="269" t="s">
        <v>2869</v>
      </c>
      <c r="AY2920" s="270" t="s">
        <v>695</v>
      </c>
      <c r="AZ2920" s="435"/>
      <c r="BA2920" s="173">
        <v>10.0</v>
      </c>
      <c r="BB2920" s="434"/>
      <c r="BC2920" s="434"/>
      <c r="BD2920" s="308" t="s">
        <v>1844</v>
      </c>
      <c r="BE2920" s="436"/>
      <c r="BF2920" s="274" t="str">
        <f>IFERROR(__xludf.DUMMYFUNCTION("LOWER(Regexreplace(to_text(E2920),""[^A-Za-z0-9]"","""")&amp;""_""&amp;Regexreplace(to_text(F2920),""[^A-Za-z0-9]"",""""))"),"aquagen_uwm220dn50dn500")</f>
        <v>aquagen_uwm220dn50dn500</v>
      </c>
      <c r="BG2920" s="275" t="str">
        <f>IFERROR(__xludf.DUMMYFUNCTION("upper(Regexreplace(to_text(E2920),""[^A-Za-z0-9]"","""")&amp;""-""&amp;Regexreplace(to_text(F2920),""[^A-Za-z0-9]"",""""))"),"AQUAGEN-UWM220DN50DN500")</f>
        <v>AQUAGEN-UWM220DN50DN500</v>
      </c>
    </row>
    <row r="2921" ht="30.0" customHeight="1">
      <c r="A2921" s="328">
        <v>2690.0</v>
      </c>
      <c r="B2921" s="425" t="s">
        <v>670</v>
      </c>
      <c r="C2921" s="257" t="s">
        <v>9153</v>
      </c>
      <c r="D2921" s="173" t="s">
        <v>9153</v>
      </c>
      <c r="E2921" s="174" t="s">
        <v>9097</v>
      </c>
      <c r="F2921" s="173" t="s">
        <v>9098</v>
      </c>
      <c r="G2921" s="425" t="s">
        <v>673</v>
      </c>
      <c r="H2921" s="425" t="s">
        <v>2863</v>
      </c>
      <c r="I2921" s="258" t="s">
        <v>9099</v>
      </c>
      <c r="J2921" s="259" t="s">
        <v>1149</v>
      </c>
      <c r="K2921" s="260" t="s">
        <v>9151</v>
      </c>
      <c r="L2921" s="442"/>
      <c r="M2921" s="426"/>
      <c r="N2921" s="173" t="s">
        <v>679</v>
      </c>
      <c r="O2921" s="173" t="s">
        <v>225</v>
      </c>
      <c r="P2921" s="262" t="str">
        <f t="shared" si="1"/>
        <v>IN-BLR-ANANTA-WM-25_6</v>
      </c>
      <c r="Q2921" s="173" t="s">
        <v>9154</v>
      </c>
      <c r="R2921" s="328" t="str">
        <f>IFS(C2921="","",C2921="n/a","N/A",LEN(C2921),Concatenate("{",char(34),"asset",char(34),":{",char(34),"guid",char(34),":",char(34),Q2921,char(34),",",char(34),"site",char(34),":",char(34),LOWER('2-Building'!$B$4),char(34),",",char(34),"name",char(34),":",char(34),LOWER(C2921),char(34),"}}"))</f>
        <v>{"asset":{"guid":"uuid://6027732b-c682-4655-bf08-76b5c477b2f4","site":"in-blr-ananta","name":"wm-25"}}</v>
      </c>
      <c r="S2921" s="366" t="s">
        <v>9102</v>
      </c>
      <c r="T2921" s="427"/>
      <c r="U2921" s="427"/>
      <c r="V2921" s="428"/>
      <c r="W2921" s="429"/>
      <c r="X2921" s="430"/>
      <c r="Y2921" s="33" t="s">
        <v>8076</v>
      </c>
      <c r="Z2921" s="430"/>
      <c r="AA2921" s="430"/>
      <c r="AB2921" s="258">
        <v>8.0</v>
      </c>
      <c r="AC2921" s="430"/>
      <c r="AD2921" s="426"/>
      <c r="AE2921" s="428"/>
      <c r="AF2921" s="431"/>
      <c r="AG2921" s="432" t="str">
        <f>IFS(LEN(AF2921)=17,LOWER('2-Building'!$B$4 &amp; "-" &amp; C2921), AF2921="N/A", "N/A", LEN(AF2921)=0,"")</f>
        <v/>
      </c>
      <c r="AH2921" s="430"/>
      <c r="AI2921" s="430"/>
      <c r="AJ2921" s="430"/>
      <c r="AK2921" s="430"/>
      <c r="AL2921" s="430"/>
      <c r="AM2921" s="433"/>
      <c r="AN2921" s="430"/>
      <c r="AO2921" s="430"/>
      <c r="AP2921" s="430"/>
      <c r="AQ2921" s="430"/>
      <c r="AR2921" s="430"/>
      <c r="AS2921" s="430"/>
      <c r="AT2921" s="430"/>
      <c r="AU2921" s="426"/>
      <c r="AV2921" s="434"/>
      <c r="AW2921" s="269" t="s">
        <v>1195</v>
      </c>
      <c r="AX2921" s="269" t="s">
        <v>2869</v>
      </c>
      <c r="AY2921" s="270" t="s">
        <v>695</v>
      </c>
      <c r="AZ2921" s="435"/>
      <c r="BA2921" s="173">
        <v>10.0</v>
      </c>
      <c r="BB2921" s="434"/>
      <c r="BC2921" s="434"/>
      <c r="BD2921" s="308" t="s">
        <v>1844</v>
      </c>
      <c r="BE2921" s="436"/>
      <c r="BF2921" s="274" t="str">
        <f>IFERROR(__xludf.DUMMYFUNCTION("LOWER(Regexreplace(to_text(E2921),""[^A-Za-z0-9]"","""")&amp;""_""&amp;Regexreplace(to_text(F2921),""[^A-Za-z0-9]"",""""))"),"aquagen_uwm220dn50dn500")</f>
        <v>aquagen_uwm220dn50dn500</v>
      </c>
      <c r="BG2921" s="275" t="str">
        <f>IFERROR(__xludf.DUMMYFUNCTION("upper(Regexreplace(to_text(E2921),""[^A-Za-z0-9]"","""")&amp;""-""&amp;Regexreplace(to_text(F2921),""[^A-Za-z0-9]"",""""))"),"AQUAGEN-UWM220DN50DN500")</f>
        <v>AQUAGEN-UWM220DN50DN500</v>
      </c>
    </row>
    <row r="2922" ht="30.0" customHeight="1">
      <c r="A2922" s="328">
        <v>2690.0</v>
      </c>
      <c r="B2922" s="425" t="s">
        <v>670</v>
      </c>
      <c r="C2922" s="257" t="s">
        <v>9155</v>
      </c>
      <c r="D2922" s="173" t="s">
        <v>9155</v>
      </c>
      <c r="E2922" s="174" t="s">
        <v>9097</v>
      </c>
      <c r="F2922" s="173" t="s">
        <v>9098</v>
      </c>
      <c r="G2922" s="425" t="s">
        <v>673</v>
      </c>
      <c r="H2922" s="425" t="s">
        <v>2863</v>
      </c>
      <c r="I2922" s="258" t="s">
        <v>9099</v>
      </c>
      <c r="J2922" s="259" t="s">
        <v>1149</v>
      </c>
      <c r="K2922" s="260" t="s">
        <v>9151</v>
      </c>
      <c r="L2922" s="442"/>
      <c r="M2922" s="426"/>
      <c r="N2922" s="173" t="s">
        <v>679</v>
      </c>
      <c r="O2922" s="173" t="s">
        <v>225</v>
      </c>
      <c r="P2922" s="262" t="str">
        <f t="shared" si="1"/>
        <v>IN-BLR-ANANTA-WM-26_6</v>
      </c>
      <c r="Q2922" s="173" t="s">
        <v>9156</v>
      </c>
      <c r="R2922" s="328" t="str">
        <f>IFS(C2922="","",C2922="n/a","N/A",LEN(C2922),Concatenate("{",char(34),"asset",char(34),":{",char(34),"guid",char(34),":",char(34),Q2922,char(34),",",char(34),"site",char(34),":",char(34),LOWER('2-Building'!$B$4),char(34),",",char(34),"name",char(34),":",char(34),LOWER(C2922),char(34),"}}"))</f>
        <v>{"asset":{"guid":"uuid://8dbed196-062a-444a-9d3a-f4e5a271d914","site":"in-blr-ananta","name":"wm-26"}}</v>
      </c>
      <c r="S2922" s="366" t="s">
        <v>9102</v>
      </c>
      <c r="T2922" s="427"/>
      <c r="U2922" s="427"/>
      <c r="V2922" s="428"/>
      <c r="W2922" s="429"/>
      <c r="X2922" s="430"/>
      <c r="Y2922" s="33" t="s">
        <v>8076</v>
      </c>
      <c r="Z2922" s="430"/>
      <c r="AA2922" s="430"/>
      <c r="AB2922" s="258">
        <v>9.0</v>
      </c>
      <c r="AC2922" s="430"/>
      <c r="AD2922" s="426"/>
      <c r="AE2922" s="428"/>
      <c r="AF2922" s="431"/>
      <c r="AG2922" s="432" t="str">
        <f>IFS(LEN(AF2922)=17,LOWER('2-Building'!$B$4 &amp; "-" &amp; C2922), AF2922="N/A", "N/A", LEN(AF2922)=0,"")</f>
        <v/>
      </c>
      <c r="AH2922" s="430"/>
      <c r="AI2922" s="430"/>
      <c r="AJ2922" s="430"/>
      <c r="AK2922" s="430"/>
      <c r="AL2922" s="430"/>
      <c r="AM2922" s="433"/>
      <c r="AN2922" s="430"/>
      <c r="AO2922" s="430"/>
      <c r="AP2922" s="430"/>
      <c r="AQ2922" s="430"/>
      <c r="AR2922" s="430"/>
      <c r="AS2922" s="430"/>
      <c r="AT2922" s="430"/>
      <c r="AU2922" s="426"/>
      <c r="AV2922" s="434"/>
      <c r="AW2922" s="269" t="s">
        <v>1195</v>
      </c>
      <c r="AX2922" s="269" t="s">
        <v>2869</v>
      </c>
      <c r="AY2922" s="270" t="s">
        <v>695</v>
      </c>
      <c r="AZ2922" s="435"/>
      <c r="BA2922" s="173">
        <v>10.0</v>
      </c>
      <c r="BB2922" s="434"/>
      <c r="BC2922" s="434"/>
      <c r="BD2922" s="308" t="s">
        <v>1844</v>
      </c>
      <c r="BE2922" s="436"/>
      <c r="BF2922" s="274" t="str">
        <f>IFERROR(__xludf.DUMMYFUNCTION("LOWER(Regexreplace(to_text(E2922),""[^A-Za-z0-9]"","""")&amp;""_""&amp;Regexreplace(to_text(F2922),""[^A-Za-z0-9]"",""""))"),"aquagen_uwm220dn50dn500")</f>
        <v>aquagen_uwm220dn50dn500</v>
      </c>
      <c r="BG2922" s="275" t="str">
        <f>IFERROR(__xludf.DUMMYFUNCTION("upper(Regexreplace(to_text(E2922),""[^A-Za-z0-9]"","""")&amp;""-""&amp;Regexreplace(to_text(F2922),""[^A-Za-z0-9]"",""""))"),"AQUAGEN-UWM220DN50DN500")</f>
        <v>AQUAGEN-UWM220DN50DN500</v>
      </c>
    </row>
    <row r="2923" ht="30.0" customHeight="1">
      <c r="A2923" s="425">
        <v>2690.0</v>
      </c>
      <c r="B2923" s="425" t="s">
        <v>670</v>
      </c>
      <c r="C2923" s="257" t="s">
        <v>9157</v>
      </c>
      <c r="D2923" s="173" t="s">
        <v>9157</v>
      </c>
      <c r="E2923" s="174" t="s">
        <v>9097</v>
      </c>
      <c r="F2923" s="173" t="s">
        <v>9098</v>
      </c>
      <c r="G2923" s="425" t="s">
        <v>673</v>
      </c>
      <c r="H2923" s="425" t="s">
        <v>2863</v>
      </c>
      <c r="I2923" s="258" t="s">
        <v>9099</v>
      </c>
      <c r="J2923" s="259" t="s">
        <v>1149</v>
      </c>
      <c r="K2923" s="260" t="s">
        <v>9151</v>
      </c>
      <c r="L2923" s="442"/>
      <c r="M2923" s="426"/>
      <c r="N2923" s="173" t="s">
        <v>679</v>
      </c>
      <c r="O2923" s="173" t="s">
        <v>225</v>
      </c>
      <c r="P2923" s="262" t="str">
        <f t="shared" si="1"/>
        <v>IN-BLR-ANANTA-WM-27_6</v>
      </c>
      <c r="Q2923" s="173" t="s">
        <v>9158</v>
      </c>
      <c r="R2923" s="328" t="str">
        <f>IFS(C2923="","",C2923="n/a","N/A",LEN(C2923),Concatenate("{",char(34),"asset",char(34),":{",char(34),"guid",char(34),":",char(34),Q2923,char(34),",",char(34),"site",char(34),":",char(34),LOWER('2-Building'!$B$4),char(34),",",char(34),"name",char(34),":",char(34),LOWER(C2923),char(34),"}}"))</f>
        <v>{"asset":{"guid":"uuid://24d53259-5f63-4e3e-9445-db9c5fd2ec1b","site":"in-blr-ananta","name":"wm-27"}}</v>
      </c>
      <c r="S2923" s="366" t="s">
        <v>9102</v>
      </c>
      <c r="T2923" s="427"/>
      <c r="U2923" s="427"/>
      <c r="V2923" s="428"/>
      <c r="W2923" s="429"/>
      <c r="X2923" s="430"/>
      <c r="Y2923" s="33" t="s">
        <v>8076</v>
      </c>
      <c r="Z2923" s="430"/>
      <c r="AA2923" s="430"/>
      <c r="AB2923" s="258">
        <v>10.0</v>
      </c>
      <c r="AC2923" s="430"/>
      <c r="AD2923" s="426"/>
      <c r="AE2923" s="428"/>
      <c r="AF2923" s="431"/>
      <c r="AG2923" s="432" t="str">
        <f>IFS(LEN(AF2923)=17,LOWER('2-Building'!$B$4 &amp; "-" &amp; C2923), AF2923="N/A", "N/A", LEN(AF2923)=0,"")</f>
        <v/>
      </c>
      <c r="AH2923" s="430"/>
      <c r="AI2923" s="430"/>
      <c r="AJ2923" s="430"/>
      <c r="AK2923" s="430"/>
      <c r="AL2923" s="430"/>
      <c r="AM2923" s="433"/>
      <c r="AN2923" s="430"/>
      <c r="AO2923" s="430"/>
      <c r="AP2923" s="430"/>
      <c r="AQ2923" s="430"/>
      <c r="AR2923" s="430"/>
      <c r="AS2923" s="430"/>
      <c r="AT2923" s="430"/>
      <c r="AU2923" s="426"/>
      <c r="AV2923" s="434"/>
      <c r="AW2923" s="269" t="s">
        <v>1195</v>
      </c>
      <c r="AX2923" s="269" t="s">
        <v>2869</v>
      </c>
      <c r="AY2923" s="270" t="s">
        <v>695</v>
      </c>
      <c r="AZ2923" s="435"/>
      <c r="BA2923" s="173">
        <v>10.0</v>
      </c>
      <c r="BB2923" s="434"/>
      <c r="BC2923" s="434"/>
      <c r="BD2923" s="308" t="s">
        <v>1844</v>
      </c>
      <c r="BE2923" s="436"/>
      <c r="BF2923" s="274" t="str">
        <f>IFERROR(__xludf.DUMMYFUNCTION("LOWER(Regexreplace(to_text(E2923),""[^A-Za-z0-9]"","""")&amp;""_""&amp;Regexreplace(to_text(F2923),""[^A-Za-z0-9]"",""""))"),"aquagen_uwm220dn50dn500")</f>
        <v>aquagen_uwm220dn50dn500</v>
      </c>
      <c r="BG2923" s="275" t="str">
        <f>IFERROR(__xludf.DUMMYFUNCTION("upper(Regexreplace(to_text(E2923),""[^A-Za-z0-9]"","""")&amp;""-""&amp;Regexreplace(to_text(F2923),""[^A-Za-z0-9]"",""""))"),"AQUAGEN-UWM220DN50DN500")</f>
        <v>AQUAGEN-UWM220DN50DN500</v>
      </c>
    </row>
    <row r="2924" ht="30.0" customHeight="1">
      <c r="A2924" s="328">
        <v>2690.0</v>
      </c>
      <c r="B2924" s="425" t="s">
        <v>670</v>
      </c>
      <c r="C2924" s="257" t="s">
        <v>9159</v>
      </c>
      <c r="D2924" s="173" t="s">
        <v>9159</v>
      </c>
      <c r="E2924" s="174" t="s">
        <v>9097</v>
      </c>
      <c r="F2924" s="173" t="s">
        <v>9098</v>
      </c>
      <c r="G2924" s="425" t="s">
        <v>673</v>
      </c>
      <c r="H2924" s="425" t="s">
        <v>2863</v>
      </c>
      <c r="I2924" s="258" t="s">
        <v>9099</v>
      </c>
      <c r="J2924" s="259" t="s">
        <v>1149</v>
      </c>
      <c r="K2924" s="260" t="s">
        <v>9151</v>
      </c>
      <c r="L2924" s="442"/>
      <c r="M2924" s="426"/>
      <c r="N2924" s="173" t="s">
        <v>679</v>
      </c>
      <c r="O2924" s="173" t="s">
        <v>225</v>
      </c>
      <c r="P2924" s="262" t="str">
        <f t="shared" si="1"/>
        <v>IN-BLR-ANANTA-WM-28_6</v>
      </c>
      <c r="Q2924" s="173" t="s">
        <v>9160</v>
      </c>
      <c r="R2924" s="328" t="str">
        <f>IFS(C2924="","",C2924="n/a","N/A",LEN(C2924),Concatenate("{",char(34),"asset",char(34),":{",char(34),"guid",char(34),":",char(34),Q2924,char(34),",",char(34),"site",char(34),":",char(34),LOWER('2-Building'!$B$4),char(34),",",char(34),"name",char(34),":",char(34),LOWER(C2924),char(34),"}}"))</f>
        <v>{"asset":{"guid":"uuid://62f8c676-9b32-479b-a71f-4664ea95762f","site":"in-blr-ananta","name":"wm-28"}}</v>
      </c>
      <c r="S2924" s="366" t="s">
        <v>9102</v>
      </c>
      <c r="T2924" s="427"/>
      <c r="U2924" s="427"/>
      <c r="V2924" s="428"/>
      <c r="W2924" s="429"/>
      <c r="X2924" s="430"/>
      <c r="Y2924" s="33" t="s">
        <v>8076</v>
      </c>
      <c r="Z2924" s="430"/>
      <c r="AA2924" s="430"/>
      <c r="AB2924" s="258">
        <v>11.0</v>
      </c>
      <c r="AC2924" s="430"/>
      <c r="AD2924" s="426"/>
      <c r="AE2924" s="428"/>
      <c r="AF2924" s="431"/>
      <c r="AG2924" s="432" t="str">
        <f>IFS(LEN(AF2924)=17,LOWER('2-Building'!$B$4 &amp; "-" &amp; C2924), AF2924="N/A", "N/A", LEN(AF2924)=0,"")</f>
        <v/>
      </c>
      <c r="AH2924" s="430"/>
      <c r="AI2924" s="430"/>
      <c r="AJ2924" s="430"/>
      <c r="AK2924" s="430"/>
      <c r="AL2924" s="430"/>
      <c r="AM2924" s="433"/>
      <c r="AN2924" s="430"/>
      <c r="AO2924" s="430"/>
      <c r="AP2924" s="430"/>
      <c r="AQ2924" s="430"/>
      <c r="AR2924" s="430"/>
      <c r="AS2924" s="430"/>
      <c r="AT2924" s="430"/>
      <c r="AU2924" s="426"/>
      <c r="AV2924" s="434"/>
      <c r="AW2924" s="269" t="s">
        <v>1195</v>
      </c>
      <c r="AX2924" s="269" t="s">
        <v>2869</v>
      </c>
      <c r="AY2924" s="270" t="s">
        <v>695</v>
      </c>
      <c r="AZ2924" s="435"/>
      <c r="BA2924" s="173">
        <v>10.0</v>
      </c>
      <c r="BB2924" s="434"/>
      <c r="BC2924" s="434"/>
      <c r="BD2924" s="308" t="s">
        <v>1844</v>
      </c>
      <c r="BE2924" s="436"/>
      <c r="BF2924" s="274" t="str">
        <f>IFERROR(__xludf.DUMMYFUNCTION("LOWER(Regexreplace(to_text(E2924),""[^A-Za-z0-9]"","""")&amp;""_""&amp;Regexreplace(to_text(F2924),""[^A-Za-z0-9]"",""""))"),"aquagen_uwm220dn50dn500")</f>
        <v>aquagen_uwm220dn50dn500</v>
      </c>
      <c r="BG2924" s="275" t="str">
        <f>IFERROR(__xludf.DUMMYFUNCTION("upper(Regexreplace(to_text(E2924),""[^A-Za-z0-9]"","""")&amp;""-""&amp;Regexreplace(to_text(F2924),""[^A-Za-z0-9]"",""""))"),"AQUAGEN-UWM220DN50DN500")</f>
        <v>AQUAGEN-UWM220DN50DN500</v>
      </c>
    </row>
    <row r="2925" ht="30.0" customHeight="1">
      <c r="A2925" s="328">
        <v>2690.0</v>
      </c>
      <c r="B2925" s="425" t="s">
        <v>670</v>
      </c>
      <c r="C2925" s="257" t="s">
        <v>9161</v>
      </c>
      <c r="D2925" s="173" t="s">
        <v>9161</v>
      </c>
      <c r="E2925" s="174" t="s">
        <v>9097</v>
      </c>
      <c r="F2925" s="173" t="s">
        <v>9098</v>
      </c>
      <c r="G2925" s="425" t="s">
        <v>673</v>
      </c>
      <c r="H2925" s="425" t="s">
        <v>2863</v>
      </c>
      <c r="I2925" s="258" t="s">
        <v>9099</v>
      </c>
      <c r="J2925" s="259" t="s">
        <v>1393</v>
      </c>
      <c r="K2925" s="260" t="s">
        <v>9162</v>
      </c>
      <c r="L2925" s="258"/>
      <c r="M2925" s="426"/>
      <c r="N2925" s="173" t="s">
        <v>679</v>
      </c>
      <c r="O2925" s="173" t="s">
        <v>225</v>
      </c>
      <c r="P2925" s="262" t="str">
        <f t="shared" si="1"/>
        <v>IN-BLR-ANANTA-WM-29_10</v>
      </c>
      <c r="Q2925" s="173" t="s">
        <v>9163</v>
      </c>
      <c r="R2925" s="328" t="str">
        <f>IFS(C2925="","",C2925="n/a","N/A",LEN(C2925),Concatenate("{",char(34),"asset",char(34),":{",char(34),"guid",char(34),":",char(34),Q2925,char(34),",",char(34),"site",char(34),":",char(34),LOWER('2-Building'!$B$4),char(34),",",char(34),"name",char(34),":",char(34),LOWER(C2925),char(34),"}}"))</f>
        <v>{"asset":{"guid":"uuid://fecbc1fd-4c77-484b-89c2-861f4a43580e","site":"in-blr-ananta","name":"wm-29"}}</v>
      </c>
      <c r="S2925" s="366" t="s">
        <v>9102</v>
      </c>
      <c r="T2925" s="427"/>
      <c r="U2925" s="427"/>
      <c r="V2925" s="428"/>
      <c r="W2925" s="429"/>
      <c r="X2925" s="430"/>
      <c r="Y2925" s="33" t="s">
        <v>8076</v>
      </c>
      <c r="Z2925" s="430"/>
      <c r="AA2925" s="430"/>
      <c r="AB2925" s="258">
        <v>2.0</v>
      </c>
      <c r="AC2925" s="430"/>
      <c r="AD2925" s="426"/>
      <c r="AE2925" s="428"/>
      <c r="AF2925" s="431"/>
      <c r="AG2925" s="432" t="str">
        <f>IFS(LEN(AF2925)=17,LOWER('2-Building'!$B$4 &amp; "-" &amp; C2925), AF2925="N/A", "N/A", LEN(AF2925)=0,"")</f>
        <v/>
      </c>
      <c r="AH2925" s="430"/>
      <c r="AI2925" s="430"/>
      <c r="AJ2925" s="430"/>
      <c r="AK2925" s="430"/>
      <c r="AL2925" s="430"/>
      <c r="AM2925" s="433"/>
      <c r="AN2925" s="430"/>
      <c r="AO2925" s="430"/>
      <c r="AP2925" s="430"/>
      <c r="AQ2925" s="430"/>
      <c r="AR2925" s="430"/>
      <c r="AS2925" s="430"/>
      <c r="AT2925" s="430"/>
      <c r="AU2925" s="426"/>
      <c r="AV2925" s="434"/>
      <c r="AW2925" s="269" t="s">
        <v>2578</v>
      </c>
      <c r="AX2925" s="269" t="s">
        <v>2869</v>
      </c>
      <c r="AY2925" s="270" t="s">
        <v>695</v>
      </c>
      <c r="AZ2925" s="435"/>
      <c r="BA2925" s="173">
        <v>10.0</v>
      </c>
      <c r="BB2925" s="434"/>
      <c r="BC2925" s="434"/>
      <c r="BD2925" s="308" t="s">
        <v>1844</v>
      </c>
      <c r="BE2925" s="436"/>
      <c r="BF2925" s="274" t="str">
        <f>IFERROR(__xludf.DUMMYFUNCTION("LOWER(Regexreplace(to_text(E2925),""[^A-Za-z0-9]"","""")&amp;""_""&amp;Regexreplace(to_text(F2925),""[^A-Za-z0-9]"",""""))"),"aquagen_uwm220dn50dn500")</f>
        <v>aquagen_uwm220dn50dn500</v>
      </c>
      <c r="BG2925" s="275" t="str">
        <f>IFERROR(__xludf.DUMMYFUNCTION("upper(Regexreplace(to_text(E2925),""[^A-Za-z0-9]"","""")&amp;""-""&amp;Regexreplace(to_text(F2925),""[^A-Za-z0-9]"",""""))"),"AQUAGEN-UWM220DN50DN500")</f>
        <v>AQUAGEN-UWM220DN50DN500</v>
      </c>
    </row>
    <row r="2926" ht="30.0" customHeight="1">
      <c r="A2926" s="425">
        <v>2690.0</v>
      </c>
      <c r="B2926" s="425" t="s">
        <v>670</v>
      </c>
      <c r="C2926" s="257" t="s">
        <v>9164</v>
      </c>
      <c r="D2926" s="173" t="s">
        <v>9164</v>
      </c>
      <c r="E2926" s="174" t="s">
        <v>9097</v>
      </c>
      <c r="F2926" s="173" t="s">
        <v>9098</v>
      </c>
      <c r="G2926" s="425" t="s">
        <v>673</v>
      </c>
      <c r="H2926" s="425" t="s">
        <v>2863</v>
      </c>
      <c r="I2926" s="258" t="s">
        <v>9099</v>
      </c>
      <c r="J2926" s="259" t="s">
        <v>1393</v>
      </c>
      <c r="K2926" s="260" t="s">
        <v>9162</v>
      </c>
      <c r="L2926" s="258"/>
      <c r="M2926" s="426"/>
      <c r="N2926" s="173" t="s">
        <v>679</v>
      </c>
      <c r="O2926" s="173" t="s">
        <v>225</v>
      </c>
      <c r="P2926" s="262" t="str">
        <f t="shared" si="1"/>
        <v>IN-BLR-ANANTA-WM-30_10</v>
      </c>
      <c r="Q2926" s="173" t="s">
        <v>9165</v>
      </c>
      <c r="R2926" s="328" t="str">
        <f>IFS(C2926="","",C2926="n/a","N/A",LEN(C2926),Concatenate("{",char(34),"asset",char(34),":{",char(34),"guid",char(34),":",char(34),Q2926,char(34),",",char(34),"site",char(34),":",char(34),LOWER('2-Building'!$B$4),char(34),",",char(34),"name",char(34),":",char(34),LOWER(C2926),char(34),"}}"))</f>
        <v>{"asset":{"guid":"uuid://67c4d856-9309-45a4-8022-4c5a381cb773","site":"in-blr-ananta","name":"wm-30"}}</v>
      </c>
      <c r="S2926" s="366" t="s">
        <v>9102</v>
      </c>
      <c r="T2926" s="427"/>
      <c r="U2926" s="427"/>
      <c r="V2926" s="428"/>
      <c r="W2926" s="429"/>
      <c r="X2926" s="430"/>
      <c r="Y2926" s="33" t="s">
        <v>8076</v>
      </c>
      <c r="Z2926" s="430"/>
      <c r="AA2926" s="430"/>
      <c r="AB2926" s="258">
        <v>3.0</v>
      </c>
      <c r="AC2926" s="430"/>
      <c r="AD2926" s="426"/>
      <c r="AE2926" s="428"/>
      <c r="AF2926" s="431"/>
      <c r="AG2926" s="432" t="str">
        <f>IFS(LEN(AF2926)=17,LOWER('2-Building'!$B$4 &amp; "-" &amp; C2926), AF2926="N/A", "N/A", LEN(AF2926)=0,"")</f>
        <v/>
      </c>
      <c r="AH2926" s="430"/>
      <c r="AI2926" s="430"/>
      <c r="AJ2926" s="430"/>
      <c r="AK2926" s="430"/>
      <c r="AL2926" s="430"/>
      <c r="AM2926" s="433"/>
      <c r="AN2926" s="430"/>
      <c r="AO2926" s="430"/>
      <c r="AP2926" s="430"/>
      <c r="AQ2926" s="430"/>
      <c r="AR2926" s="430"/>
      <c r="AS2926" s="430"/>
      <c r="AT2926" s="430"/>
      <c r="AU2926" s="426"/>
      <c r="AV2926" s="434"/>
      <c r="AW2926" s="269" t="s">
        <v>2578</v>
      </c>
      <c r="AX2926" s="269" t="s">
        <v>2869</v>
      </c>
      <c r="AY2926" s="270" t="s">
        <v>695</v>
      </c>
      <c r="AZ2926" s="435"/>
      <c r="BA2926" s="173">
        <v>10.0</v>
      </c>
      <c r="BB2926" s="434"/>
      <c r="BC2926" s="434"/>
      <c r="BD2926" s="308" t="s">
        <v>1844</v>
      </c>
      <c r="BE2926" s="436"/>
      <c r="BF2926" s="274" t="str">
        <f>IFERROR(__xludf.DUMMYFUNCTION("LOWER(Regexreplace(to_text(E2926),""[^A-Za-z0-9]"","""")&amp;""_""&amp;Regexreplace(to_text(F2926),""[^A-Za-z0-9]"",""""))"),"aquagen_uwm220dn50dn500")</f>
        <v>aquagen_uwm220dn50dn500</v>
      </c>
      <c r="BG2926" s="275" t="str">
        <f>IFERROR(__xludf.DUMMYFUNCTION("upper(Regexreplace(to_text(E2926),""[^A-Za-z0-9]"","""")&amp;""-""&amp;Regexreplace(to_text(F2926),""[^A-Za-z0-9]"",""""))"),"AQUAGEN-UWM220DN50DN500")</f>
        <v>AQUAGEN-UWM220DN50DN500</v>
      </c>
    </row>
    <row r="2927" ht="30.0" customHeight="1">
      <c r="A2927" s="328">
        <v>2690.0</v>
      </c>
      <c r="B2927" s="425" t="s">
        <v>670</v>
      </c>
      <c r="C2927" s="257" t="s">
        <v>9166</v>
      </c>
      <c r="D2927" s="173" t="s">
        <v>9166</v>
      </c>
      <c r="E2927" s="174" t="s">
        <v>9097</v>
      </c>
      <c r="F2927" s="173" t="s">
        <v>9098</v>
      </c>
      <c r="G2927" s="425" t="s">
        <v>673</v>
      </c>
      <c r="H2927" s="425" t="s">
        <v>2863</v>
      </c>
      <c r="I2927" s="258" t="s">
        <v>9099</v>
      </c>
      <c r="J2927" s="259" t="s">
        <v>1393</v>
      </c>
      <c r="K2927" s="260" t="s">
        <v>9162</v>
      </c>
      <c r="L2927" s="258"/>
      <c r="M2927" s="426"/>
      <c r="N2927" s="173" t="s">
        <v>679</v>
      </c>
      <c r="O2927" s="173" t="s">
        <v>225</v>
      </c>
      <c r="P2927" s="262" t="str">
        <f t="shared" si="1"/>
        <v>IN-BLR-ANANTA-WM-31_10</v>
      </c>
      <c r="Q2927" s="173" t="s">
        <v>9167</v>
      </c>
      <c r="R2927" s="328" t="str">
        <f>IFS(C2927="","",C2927="n/a","N/A",LEN(C2927),Concatenate("{",char(34),"asset",char(34),":{",char(34),"guid",char(34),":",char(34),Q2927,char(34),",",char(34),"site",char(34),":",char(34),LOWER('2-Building'!$B$4),char(34),",",char(34),"name",char(34),":",char(34),LOWER(C2927),char(34),"}}"))</f>
        <v>{"asset":{"guid":"uuid://717408c7-1915-4b52-89fd-13483e8aa19a","site":"in-blr-ananta","name":"wm-31"}}</v>
      </c>
      <c r="S2927" s="366" t="s">
        <v>9102</v>
      </c>
      <c r="T2927" s="427"/>
      <c r="U2927" s="427"/>
      <c r="V2927" s="428"/>
      <c r="W2927" s="429"/>
      <c r="X2927" s="430"/>
      <c r="Y2927" s="33" t="s">
        <v>8076</v>
      </c>
      <c r="Z2927" s="430"/>
      <c r="AA2927" s="430"/>
      <c r="AB2927" s="258">
        <v>4.0</v>
      </c>
      <c r="AC2927" s="430"/>
      <c r="AD2927" s="426"/>
      <c r="AE2927" s="428"/>
      <c r="AF2927" s="431"/>
      <c r="AG2927" s="432" t="str">
        <f>IFS(LEN(AF2927)=17,LOWER('2-Building'!$B$4 &amp; "-" &amp; C2927), AF2927="N/A", "N/A", LEN(AF2927)=0,"")</f>
        <v/>
      </c>
      <c r="AH2927" s="430"/>
      <c r="AI2927" s="430"/>
      <c r="AJ2927" s="430"/>
      <c r="AK2927" s="430"/>
      <c r="AL2927" s="430"/>
      <c r="AM2927" s="433"/>
      <c r="AN2927" s="430"/>
      <c r="AO2927" s="430"/>
      <c r="AP2927" s="430"/>
      <c r="AQ2927" s="430"/>
      <c r="AR2927" s="430"/>
      <c r="AS2927" s="430"/>
      <c r="AT2927" s="430"/>
      <c r="AU2927" s="426"/>
      <c r="AV2927" s="434"/>
      <c r="AW2927" s="269" t="s">
        <v>2578</v>
      </c>
      <c r="AX2927" s="269" t="s">
        <v>2869</v>
      </c>
      <c r="AY2927" s="270" t="s">
        <v>695</v>
      </c>
      <c r="AZ2927" s="435"/>
      <c r="BA2927" s="173">
        <v>10.0</v>
      </c>
      <c r="BB2927" s="434"/>
      <c r="BC2927" s="434"/>
      <c r="BD2927" s="308" t="s">
        <v>1844</v>
      </c>
      <c r="BE2927" s="436"/>
      <c r="BF2927" s="274" t="str">
        <f>IFERROR(__xludf.DUMMYFUNCTION("LOWER(Regexreplace(to_text(E2927),""[^A-Za-z0-9]"","""")&amp;""_""&amp;Regexreplace(to_text(F2927),""[^A-Za-z0-9]"",""""))"),"aquagen_uwm220dn50dn500")</f>
        <v>aquagen_uwm220dn50dn500</v>
      </c>
      <c r="BG2927" s="275" t="str">
        <f>IFERROR(__xludf.DUMMYFUNCTION("upper(Regexreplace(to_text(E2927),""[^A-Za-z0-9]"","""")&amp;""-""&amp;Regexreplace(to_text(F2927),""[^A-Za-z0-9]"",""""))"),"AQUAGEN-UWM220DN50DN500")</f>
        <v>AQUAGEN-UWM220DN50DN500</v>
      </c>
    </row>
    <row r="2928" ht="30.0" customHeight="1">
      <c r="A2928" s="173">
        <v>2689.0</v>
      </c>
      <c r="B2928" s="328" t="s">
        <v>670</v>
      </c>
      <c r="C2928" s="257" t="s">
        <v>9168</v>
      </c>
      <c r="D2928" s="173" t="s">
        <v>9168</v>
      </c>
      <c r="E2928" s="174" t="s">
        <v>9097</v>
      </c>
      <c r="F2928" s="173" t="s">
        <v>9098</v>
      </c>
      <c r="G2928" s="328" t="s">
        <v>673</v>
      </c>
      <c r="H2928" s="328" t="s">
        <v>2863</v>
      </c>
      <c r="I2928" s="258" t="s">
        <v>9099</v>
      </c>
      <c r="J2928" s="259" t="s">
        <v>1393</v>
      </c>
      <c r="K2928" s="260" t="s">
        <v>9162</v>
      </c>
      <c r="L2928" s="258"/>
      <c r="M2928" s="329"/>
      <c r="N2928" s="173" t="s">
        <v>679</v>
      </c>
      <c r="O2928" s="173" t="s">
        <v>225</v>
      </c>
      <c r="P2928" s="262" t="str">
        <f t="shared" si="1"/>
        <v>IN-BLR-ANANTA-WM-32_10</v>
      </c>
      <c r="Q2928" s="173" t="s">
        <v>9169</v>
      </c>
      <c r="R2928" s="328" t="str">
        <f>IFS(C2928="","",C2928="n/a","N/A",LEN(C2928),Concatenate("{",char(34),"asset",char(34),":{",char(34),"guid",char(34),":",char(34),Q2928,char(34),",",char(34),"site",char(34),":",char(34),LOWER('2-Building'!$B$4),char(34),",",char(34),"name",char(34),":",char(34),LOWER(C2928),char(34),"}}"))</f>
        <v>{"asset":{"guid":"uuid://ff55f5a3-e3ff-4e27-ac86-b45a65fe3345","site":"in-blr-ananta","name":"wm-32"}}</v>
      </c>
      <c r="S2928" s="366" t="s">
        <v>9102</v>
      </c>
      <c r="T2928" s="330"/>
      <c r="U2928" s="330"/>
      <c r="V2928" s="331"/>
      <c r="W2928" s="332"/>
      <c r="X2928" s="333"/>
      <c r="Y2928" s="33" t="s">
        <v>8076</v>
      </c>
      <c r="Z2928" s="368"/>
      <c r="AA2928" s="333"/>
      <c r="AB2928" s="258">
        <v>5.0</v>
      </c>
      <c r="AC2928" s="333"/>
      <c r="AD2928" s="329"/>
      <c r="AE2928" s="331"/>
      <c r="AF2928" s="336"/>
      <c r="AG2928" s="337" t="str">
        <f>IFS(LEN(AF2928)=17,LOWER('2-Building'!$B$4 &amp; "-" &amp; C2928), AF2928="N/A", "N/A", LEN(AF2928)=0,"")</f>
        <v/>
      </c>
      <c r="AH2928" s="333"/>
      <c r="AI2928" s="333"/>
      <c r="AJ2928" s="333"/>
      <c r="AK2928" s="333"/>
      <c r="AL2928" s="333"/>
      <c r="AM2928" s="338"/>
      <c r="AN2928" s="333"/>
      <c r="AO2928" s="333"/>
      <c r="AP2928" s="333"/>
      <c r="AQ2928" s="333"/>
      <c r="AR2928" s="333"/>
      <c r="AS2928" s="333"/>
      <c r="AT2928" s="333"/>
      <c r="AU2928" s="329"/>
      <c r="AV2928" s="341"/>
      <c r="AW2928" s="269" t="s">
        <v>2578</v>
      </c>
      <c r="AX2928" s="269" t="s">
        <v>2869</v>
      </c>
      <c r="AY2928" s="270" t="s">
        <v>695</v>
      </c>
      <c r="AZ2928" s="379"/>
      <c r="BA2928" s="173">
        <v>10.0</v>
      </c>
      <c r="BB2928" s="341"/>
      <c r="BC2928" s="341"/>
      <c r="BD2928" s="308" t="s">
        <v>1844</v>
      </c>
      <c r="BE2928" s="364"/>
      <c r="BF2928" s="274" t="str">
        <f>IFERROR(__xludf.DUMMYFUNCTION("LOWER(Regexreplace(to_text(E2928),""[^A-Za-z0-9]"","""")&amp;""_""&amp;Regexreplace(to_text(F2928),""[^A-Za-z0-9]"",""""))"),"aquagen_uwm220dn50dn500")</f>
        <v>aquagen_uwm220dn50dn500</v>
      </c>
      <c r="BG2928" s="275" t="str">
        <f>IFERROR(__xludf.DUMMYFUNCTION("upper(Regexreplace(to_text(E2928),""[^A-Za-z0-9]"","""")&amp;""-""&amp;Regexreplace(to_text(F2928),""[^A-Za-z0-9]"",""""))"),"AQUAGEN-UWM220DN50DN500")</f>
        <v>AQUAGEN-UWM220DN50DN500</v>
      </c>
    </row>
    <row r="2929" ht="30.0" customHeight="1">
      <c r="A2929" s="173">
        <v>2691.0</v>
      </c>
      <c r="B2929" s="328" t="s">
        <v>670</v>
      </c>
      <c r="C2929" s="257" t="s">
        <v>9170</v>
      </c>
      <c r="D2929" s="173" t="s">
        <v>9170</v>
      </c>
      <c r="E2929" s="174" t="s">
        <v>9097</v>
      </c>
      <c r="F2929" s="173" t="s">
        <v>9098</v>
      </c>
      <c r="G2929" s="328" t="s">
        <v>673</v>
      </c>
      <c r="H2929" s="328" t="s">
        <v>2863</v>
      </c>
      <c r="I2929" s="258" t="s">
        <v>9099</v>
      </c>
      <c r="J2929" s="259" t="s">
        <v>1393</v>
      </c>
      <c r="K2929" s="260" t="s">
        <v>9162</v>
      </c>
      <c r="L2929" s="258"/>
      <c r="M2929" s="329"/>
      <c r="N2929" s="173" t="s">
        <v>679</v>
      </c>
      <c r="O2929" s="173" t="s">
        <v>225</v>
      </c>
      <c r="P2929" s="262" t="str">
        <f t="shared" si="1"/>
        <v>IN-BLR-ANANTA-WM-33_10</v>
      </c>
      <c r="Q2929" s="173" t="s">
        <v>9171</v>
      </c>
      <c r="R2929" s="328" t="str">
        <f>IFS(C2929="","",C2929="n/a","N/A",LEN(C2929),Concatenate("{",char(34),"asset",char(34),":{",char(34),"guid",char(34),":",char(34),Q2929,char(34),",",char(34),"site",char(34),":",char(34),LOWER('2-Building'!$B$4),char(34),",",char(34),"name",char(34),":",char(34),LOWER(C2929),char(34),"}}"))</f>
        <v>{"asset":{"guid":"uuid://034abc5c-2a94-4b97-8ee9-76d08fe8ce1a","site":"in-blr-ananta","name":"wm-33"}}</v>
      </c>
      <c r="S2929" s="366" t="s">
        <v>9102</v>
      </c>
      <c r="T2929" s="330"/>
      <c r="U2929" s="330"/>
      <c r="V2929" s="331"/>
      <c r="W2929" s="332"/>
      <c r="X2929" s="333"/>
      <c r="Y2929" s="33" t="s">
        <v>8076</v>
      </c>
      <c r="Z2929" s="368"/>
      <c r="AA2929" s="333"/>
      <c r="AB2929" s="258">
        <v>6.0</v>
      </c>
      <c r="AC2929" s="333"/>
      <c r="AD2929" s="329"/>
      <c r="AE2929" s="331"/>
      <c r="AF2929" s="336"/>
      <c r="AG2929" s="337" t="str">
        <f>IFS(LEN(AF2929)=17,LOWER('2-Building'!$B$4 &amp; "-" &amp; C2929), AF2929="N/A", "N/A", LEN(AF2929)=0,"")</f>
        <v/>
      </c>
      <c r="AH2929" s="333"/>
      <c r="AI2929" s="333"/>
      <c r="AJ2929" s="333"/>
      <c r="AK2929" s="333"/>
      <c r="AL2929" s="333"/>
      <c r="AM2929" s="338"/>
      <c r="AN2929" s="333"/>
      <c r="AO2929" s="333"/>
      <c r="AP2929" s="333"/>
      <c r="AQ2929" s="333"/>
      <c r="AR2929" s="333"/>
      <c r="AS2929" s="333"/>
      <c r="AT2929" s="333"/>
      <c r="AU2929" s="329"/>
      <c r="AV2929" s="341"/>
      <c r="AW2929" s="269" t="s">
        <v>2578</v>
      </c>
      <c r="AX2929" s="269" t="s">
        <v>2869</v>
      </c>
      <c r="AY2929" s="270" t="s">
        <v>695</v>
      </c>
      <c r="AZ2929" s="379"/>
      <c r="BA2929" s="173">
        <v>10.0</v>
      </c>
      <c r="BB2929" s="341"/>
      <c r="BC2929" s="341"/>
      <c r="BD2929" s="308" t="s">
        <v>1844</v>
      </c>
      <c r="BE2929" s="364"/>
      <c r="BF2929" s="274" t="str">
        <f>IFERROR(__xludf.DUMMYFUNCTION("LOWER(Regexreplace(to_text(E2929),""[^A-Za-z0-9]"","""")&amp;""_""&amp;Regexreplace(to_text(F2929),""[^A-Za-z0-9]"",""""))"),"aquagen_uwm220dn50dn500")</f>
        <v>aquagen_uwm220dn50dn500</v>
      </c>
      <c r="BG2929" s="275" t="str">
        <f>IFERROR(__xludf.DUMMYFUNCTION("upper(Regexreplace(to_text(E2929),""[^A-Za-z0-9]"","""")&amp;""-""&amp;Regexreplace(to_text(F2929),""[^A-Za-z0-9]"",""""))"),"AQUAGEN-UWM220DN50DN500")</f>
        <v>AQUAGEN-UWM220DN50DN500</v>
      </c>
    </row>
    <row r="2930" ht="30.0" customHeight="1">
      <c r="A2930" s="258">
        <v>2690.0</v>
      </c>
      <c r="B2930" s="328" t="s">
        <v>670</v>
      </c>
      <c r="C2930" s="257" t="s">
        <v>9172</v>
      </c>
      <c r="D2930" s="173" t="s">
        <v>9172</v>
      </c>
      <c r="E2930" s="174" t="s">
        <v>9097</v>
      </c>
      <c r="F2930" s="173" t="s">
        <v>9098</v>
      </c>
      <c r="G2930" s="328" t="s">
        <v>673</v>
      </c>
      <c r="H2930" s="328" t="s">
        <v>2863</v>
      </c>
      <c r="I2930" s="258" t="s">
        <v>9099</v>
      </c>
      <c r="J2930" s="259" t="s">
        <v>1393</v>
      </c>
      <c r="K2930" s="260" t="s">
        <v>9162</v>
      </c>
      <c r="L2930" s="258"/>
      <c r="M2930" s="329"/>
      <c r="N2930" s="173" t="s">
        <v>679</v>
      </c>
      <c r="O2930" s="173" t="s">
        <v>225</v>
      </c>
      <c r="P2930" s="262" t="str">
        <f t="shared" si="1"/>
        <v>IN-BLR-ANANTA-WM-34_10</v>
      </c>
      <c r="Q2930" s="173" t="s">
        <v>9173</v>
      </c>
      <c r="R2930" s="328" t="str">
        <f>IFS(C2930="","",C2930="n/a","N/A",LEN(C2930),Concatenate("{",char(34),"asset",char(34),":{",char(34),"guid",char(34),":",char(34),Q2930,char(34),",",char(34),"site",char(34),":",char(34),LOWER('2-Building'!$B$4),char(34),",",char(34),"name",char(34),":",char(34),LOWER(C2930),char(34),"}}"))</f>
        <v>{"asset":{"guid":"uuid://94052343-5e76-4f6d-aa67-b37e23a8d7af","site":"in-blr-ananta","name":"wm-34"}}</v>
      </c>
      <c r="S2930" s="366" t="s">
        <v>9102</v>
      </c>
      <c r="T2930" s="330"/>
      <c r="U2930" s="330"/>
      <c r="V2930" s="331"/>
      <c r="W2930" s="332"/>
      <c r="X2930" s="333"/>
      <c r="Y2930" s="33" t="s">
        <v>8076</v>
      </c>
      <c r="Z2930" s="368"/>
      <c r="AA2930" s="333"/>
      <c r="AB2930" s="258">
        <v>7.0</v>
      </c>
      <c r="AC2930" s="333"/>
      <c r="AD2930" s="329"/>
      <c r="AE2930" s="331"/>
      <c r="AF2930" s="336"/>
      <c r="AG2930" s="337" t="str">
        <f>IFS(LEN(AF2930)=17,LOWER('2-Building'!$B$4 &amp; "-" &amp; C2930), AF2930="N/A", "N/A", LEN(AF2930)=0,"")</f>
        <v/>
      </c>
      <c r="AH2930" s="333"/>
      <c r="AI2930" s="333"/>
      <c r="AJ2930" s="333"/>
      <c r="AK2930" s="333"/>
      <c r="AL2930" s="333"/>
      <c r="AM2930" s="338"/>
      <c r="AN2930" s="333"/>
      <c r="AO2930" s="333"/>
      <c r="AP2930" s="333"/>
      <c r="AQ2930" s="333"/>
      <c r="AR2930" s="333"/>
      <c r="AS2930" s="333"/>
      <c r="AT2930" s="333"/>
      <c r="AU2930" s="329"/>
      <c r="AV2930" s="341"/>
      <c r="AW2930" s="269" t="s">
        <v>2578</v>
      </c>
      <c r="AX2930" s="269" t="s">
        <v>2869</v>
      </c>
      <c r="AY2930" s="270" t="s">
        <v>695</v>
      </c>
      <c r="AZ2930" s="379"/>
      <c r="BA2930" s="173">
        <v>10.0</v>
      </c>
      <c r="BB2930" s="341"/>
      <c r="BC2930" s="341"/>
      <c r="BD2930" s="308" t="s">
        <v>1844</v>
      </c>
      <c r="BE2930" s="364"/>
      <c r="BF2930" s="274" t="str">
        <f>IFERROR(__xludf.DUMMYFUNCTION("LOWER(Regexreplace(to_text(E2930),""[^A-Za-z0-9]"","""")&amp;""_""&amp;Regexreplace(to_text(F2930),""[^A-Za-z0-9]"",""""))"),"aquagen_uwm220dn50dn500")</f>
        <v>aquagen_uwm220dn50dn500</v>
      </c>
      <c r="BG2930" s="275" t="str">
        <f>IFERROR(__xludf.DUMMYFUNCTION("upper(Regexreplace(to_text(E2930),""[^A-Za-z0-9]"","""")&amp;""-""&amp;Regexreplace(to_text(F2930),""[^A-Za-z0-9]"",""""))"),"AQUAGEN-UWM220DN50DN500")</f>
        <v>AQUAGEN-UWM220DN50DN500</v>
      </c>
    </row>
    <row r="2931" ht="30.0" customHeight="1">
      <c r="A2931" s="328">
        <v>2690.0</v>
      </c>
      <c r="B2931" s="425" t="s">
        <v>670</v>
      </c>
      <c r="C2931" s="257" t="s">
        <v>9174</v>
      </c>
      <c r="D2931" s="173" t="s">
        <v>9174</v>
      </c>
      <c r="E2931" s="174" t="s">
        <v>9097</v>
      </c>
      <c r="F2931" s="173" t="s">
        <v>9098</v>
      </c>
      <c r="G2931" s="425" t="s">
        <v>673</v>
      </c>
      <c r="H2931" s="425" t="s">
        <v>2863</v>
      </c>
      <c r="I2931" s="258" t="s">
        <v>9099</v>
      </c>
      <c r="J2931" s="259" t="s">
        <v>1393</v>
      </c>
      <c r="K2931" s="260" t="s">
        <v>9175</v>
      </c>
      <c r="L2931" s="258"/>
      <c r="M2931" s="426"/>
      <c r="N2931" s="173" t="s">
        <v>679</v>
      </c>
      <c r="O2931" s="173" t="s">
        <v>225</v>
      </c>
      <c r="P2931" s="262" t="str">
        <f t="shared" si="1"/>
        <v>IN-BLR-ANANTA-WM-35_10</v>
      </c>
      <c r="Q2931" s="173" t="s">
        <v>9176</v>
      </c>
      <c r="R2931" s="328" t="str">
        <f>IFS(C2931="","",C2931="n/a","N/A",LEN(C2931),Concatenate("{",char(34),"asset",char(34),":{",char(34),"guid",char(34),":",char(34),Q2931,char(34),",",char(34),"site",char(34),":",char(34),LOWER('2-Building'!$B$4),char(34),",",char(34),"name",char(34),":",char(34),LOWER(C2931),char(34),"}}"))</f>
        <v>{"asset":{"guid":"uuid://f56eb89b-7ac8-4487-b35e-82f9dc683deb","site":"in-blr-ananta","name":"wm-35"}}</v>
      </c>
      <c r="S2931" s="366" t="s">
        <v>9102</v>
      </c>
      <c r="T2931" s="427"/>
      <c r="U2931" s="427"/>
      <c r="V2931" s="428"/>
      <c r="W2931" s="429"/>
      <c r="X2931" s="430"/>
      <c r="Y2931" s="33" t="s">
        <v>8076</v>
      </c>
      <c r="Z2931" s="430"/>
      <c r="AA2931" s="430"/>
      <c r="AB2931" s="258">
        <v>8.0</v>
      </c>
      <c r="AC2931" s="430"/>
      <c r="AD2931" s="426"/>
      <c r="AE2931" s="428"/>
      <c r="AF2931" s="431"/>
      <c r="AG2931" s="432" t="str">
        <f>IFS(LEN(AF2931)=17,LOWER('2-Building'!$B$4 &amp; "-" &amp; C2931), AF2931="N/A", "N/A", LEN(AF2931)=0,"")</f>
        <v/>
      </c>
      <c r="AH2931" s="430"/>
      <c r="AI2931" s="430"/>
      <c r="AJ2931" s="430"/>
      <c r="AK2931" s="430"/>
      <c r="AL2931" s="430"/>
      <c r="AM2931" s="433"/>
      <c r="AN2931" s="430"/>
      <c r="AO2931" s="430"/>
      <c r="AP2931" s="430"/>
      <c r="AQ2931" s="430"/>
      <c r="AR2931" s="430"/>
      <c r="AS2931" s="430"/>
      <c r="AT2931" s="430"/>
      <c r="AU2931" s="426"/>
      <c r="AV2931" s="434"/>
      <c r="AW2931" s="269" t="s">
        <v>2578</v>
      </c>
      <c r="AX2931" s="269" t="s">
        <v>2869</v>
      </c>
      <c r="AY2931" s="270" t="s">
        <v>695</v>
      </c>
      <c r="AZ2931" s="435"/>
      <c r="BA2931" s="173">
        <v>10.0</v>
      </c>
      <c r="BB2931" s="434"/>
      <c r="BC2931" s="434"/>
      <c r="BD2931" s="308" t="s">
        <v>1844</v>
      </c>
      <c r="BE2931" s="436"/>
      <c r="BF2931" s="274" t="str">
        <f>IFERROR(__xludf.DUMMYFUNCTION("LOWER(Regexreplace(to_text(E2931),""[^A-Za-z0-9]"","""")&amp;""_""&amp;Regexreplace(to_text(F2931),""[^A-Za-z0-9]"",""""))"),"aquagen_uwm220dn50dn500")</f>
        <v>aquagen_uwm220dn50dn500</v>
      </c>
      <c r="BG2931" s="275" t="str">
        <f>IFERROR(__xludf.DUMMYFUNCTION("upper(Regexreplace(to_text(E2931),""[^A-Za-z0-9]"","""")&amp;""-""&amp;Regexreplace(to_text(F2931),""[^A-Za-z0-9]"",""""))"),"AQUAGEN-UWM220DN50DN500")</f>
        <v>AQUAGEN-UWM220DN50DN500</v>
      </c>
    </row>
    <row r="2932" ht="30.0" customHeight="1">
      <c r="A2932" s="258">
        <v>2690.0</v>
      </c>
      <c r="B2932" s="328" t="s">
        <v>670</v>
      </c>
      <c r="C2932" s="257" t="s">
        <v>9177</v>
      </c>
      <c r="D2932" s="173" t="s">
        <v>9177</v>
      </c>
      <c r="E2932" s="174" t="s">
        <v>9097</v>
      </c>
      <c r="F2932" s="173" t="s">
        <v>9098</v>
      </c>
      <c r="G2932" s="328" t="s">
        <v>673</v>
      </c>
      <c r="H2932" s="328" t="s">
        <v>2863</v>
      </c>
      <c r="I2932" s="258" t="s">
        <v>9099</v>
      </c>
      <c r="J2932" s="259" t="s">
        <v>1393</v>
      </c>
      <c r="K2932" s="260" t="s">
        <v>9175</v>
      </c>
      <c r="L2932" s="258"/>
      <c r="M2932" s="329"/>
      <c r="N2932" s="173" t="s">
        <v>679</v>
      </c>
      <c r="O2932" s="173" t="s">
        <v>225</v>
      </c>
      <c r="P2932" s="262" t="str">
        <f t="shared" si="1"/>
        <v>IN-BLR-ANANTA-WM-36_10</v>
      </c>
      <c r="Q2932" s="173" t="s">
        <v>9178</v>
      </c>
      <c r="R2932" s="328" t="str">
        <f>IFS(C2932="","",C2932="n/a","N/A",LEN(C2932),Concatenate("{",char(34),"asset",char(34),":{",char(34),"guid",char(34),":",char(34),Q2932,char(34),",",char(34),"site",char(34),":",char(34),LOWER('2-Building'!$B$4),char(34),",",char(34),"name",char(34),":",char(34),LOWER(C2932),char(34),"}}"))</f>
        <v>{"asset":{"guid":"uuid://8a57a40a-6a60-459c-8e47-4a656a628304","site":"in-blr-ananta","name":"wm-36"}}</v>
      </c>
      <c r="S2932" s="366" t="s">
        <v>9102</v>
      </c>
      <c r="T2932" s="330"/>
      <c r="U2932" s="330"/>
      <c r="V2932" s="331"/>
      <c r="W2932" s="332"/>
      <c r="X2932" s="333"/>
      <c r="Y2932" s="33" t="s">
        <v>8076</v>
      </c>
      <c r="Z2932" s="368"/>
      <c r="AA2932" s="333"/>
      <c r="AB2932" s="258">
        <v>9.0</v>
      </c>
      <c r="AC2932" s="333"/>
      <c r="AD2932" s="329"/>
      <c r="AE2932" s="331"/>
      <c r="AF2932" s="336"/>
      <c r="AG2932" s="337" t="str">
        <f>IFS(LEN(AF2932)=17,LOWER('2-Building'!$B$4 &amp; "-" &amp; C2932), AF2932="N/A", "N/A", LEN(AF2932)=0,"")</f>
        <v/>
      </c>
      <c r="AH2932" s="333"/>
      <c r="AI2932" s="333"/>
      <c r="AJ2932" s="333"/>
      <c r="AK2932" s="333"/>
      <c r="AL2932" s="333"/>
      <c r="AM2932" s="338"/>
      <c r="AN2932" s="333"/>
      <c r="AO2932" s="333"/>
      <c r="AP2932" s="333"/>
      <c r="AQ2932" s="333"/>
      <c r="AR2932" s="333"/>
      <c r="AS2932" s="333"/>
      <c r="AT2932" s="333"/>
      <c r="AU2932" s="329"/>
      <c r="AV2932" s="341"/>
      <c r="AW2932" s="269" t="s">
        <v>2578</v>
      </c>
      <c r="AX2932" s="269" t="s">
        <v>2869</v>
      </c>
      <c r="AY2932" s="270" t="s">
        <v>695</v>
      </c>
      <c r="AZ2932" s="379"/>
      <c r="BA2932" s="173">
        <v>10.0</v>
      </c>
      <c r="BB2932" s="341"/>
      <c r="BC2932" s="341"/>
      <c r="BD2932" s="308" t="s">
        <v>1844</v>
      </c>
      <c r="BE2932" s="364"/>
      <c r="BF2932" s="274" t="str">
        <f>IFERROR(__xludf.DUMMYFUNCTION("LOWER(Regexreplace(to_text(E2932),""[^A-Za-z0-9]"","""")&amp;""_""&amp;Regexreplace(to_text(F2932),""[^A-Za-z0-9]"",""""))"),"aquagen_uwm220dn50dn500")</f>
        <v>aquagen_uwm220dn50dn500</v>
      </c>
      <c r="BG2932" s="275" t="str">
        <f>IFERROR(__xludf.DUMMYFUNCTION("upper(Regexreplace(to_text(E2932),""[^A-Za-z0-9]"","""")&amp;""-""&amp;Regexreplace(to_text(F2932),""[^A-Za-z0-9]"",""""))"),"AQUAGEN-UWM220DN50DN500")</f>
        <v>AQUAGEN-UWM220DN50DN500</v>
      </c>
    </row>
    <row r="2933" ht="30.0" customHeight="1">
      <c r="A2933" s="328">
        <v>2690.0</v>
      </c>
      <c r="B2933" s="425" t="s">
        <v>670</v>
      </c>
      <c r="C2933" s="257" t="s">
        <v>9179</v>
      </c>
      <c r="D2933" s="173" t="s">
        <v>9179</v>
      </c>
      <c r="E2933" s="174" t="s">
        <v>9097</v>
      </c>
      <c r="F2933" s="173" t="s">
        <v>9098</v>
      </c>
      <c r="G2933" s="425" t="s">
        <v>673</v>
      </c>
      <c r="H2933" s="425" t="s">
        <v>2863</v>
      </c>
      <c r="I2933" s="258" t="s">
        <v>9099</v>
      </c>
      <c r="J2933" s="259" t="s">
        <v>1393</v>
      </c>
      <c r="K2933" s="260" t="s">
        <v>9175</v>
      </c>
      <c r="L2933" s="258"/>
      <c r="M2933" s="426"/>
      <c r="N2933" s="173" t="s">
        <v>679</v>
      </c>
      <c r="O2933" s="173" t="s">
        <v>225</v>
      </c>
      <c r="P2933" s="262" t="str">
        <f t="shared" si="1"/>
        <v>IN-BLR-ANANTA-WM-37_10</v>
      </c>
      <c r="Q2933" s="173" t="s">
        <v>9180</v>
      </c>
      <c r="R2933" s="328" t="str">
        <f>IFS(C2933="","",C2933="n/a","N/A",LEN(C2933),Concatenate("{",char(34),"asset",char(34),":{",char(34),"guid",char(34),":",char(34),Q2933,char(34),",",char(34),"site",char(34),":",char(34),LOWER('2-Building'!$B$4),char(34),",",char(34),"name",char(34),":",char(34),LOWER(C2933),char(34),"}}"))</f>
        <v>{"asset":{"guid":"uuid://042c28b1-06af-4e2a-b6c5-3b35b1ac3cfd","site":"in-blr-ananta","name":"wm-37"}}</v>
      </c>
      <c r="S2933" s="366" t="s">
        <v>9102</v>
      </c>
      <c r="T2933" s="427"/>
      <c r="U2933" s="427"/>
      <c r="V2933" s="428"/>
      <c r="W2933" s="429"/>
      <c r="X2933" s="430"/>
      <c r="Y2933" s="33" t="s">
        <v>8076</v>
      </c>
      <c r="Z2933" s="430"/>
      <c r="AA2933" s="430"/>
      <c r="AB2933" s="258">
        <v>10.0</v>
      </c>
      <c r="AC2933" s="430"/>
      <c r="AD2933" s="426"/>
      <c r="AE2933" s="428"/>
      <c r="AF2933" s="431"/>
      <c r="AG2933" s="432" t="str">
        <f>IFS(LEN(AF2933)=17,LOWER('2-Building'!$B$4 &amp; "-" &amp; C2933), AF2933="N/A", "N/A", LEN(AF2933)=0,"")</f>
        <v/>
      </c>
      <c r="AH2933" s="430"/>
      <c r="AI2933" s="430"/>
      <c r="AJ2933" s="430"/>
      <c r="AK2933" s="430"/>
      <c r="AL2933" s="430"/>
      <c r="AM2933" s="433"/>
      <c r="AN2933" s="430"/>
      <c r="AO2933" s="430"/>
      <c r="AP2933" s="430"/>
      <c r="AQ2933" s="430"/>
      <c r="AR2933" s="430"/>
      <c r="AS2933" s="430"/>
      <c r="AT2933" s="430"/>
      <c r="AU2933" s="426"/>
      <c r="AV2933" s="434"/>
      <c r="AW2933" s="269" t="s">
        <v>2578</v>
      </c>
      <c r="AX2933" s="269" t="s">
        <v>2869</v>
      </c>
      <c r="AY2933" s="270" t="s">
        <v>695</v>
      </c>
      <c r="AZ2933" s="435"/>
      <c r="BA2933" s="173">
        <v>10.0</v>
      </c>
      <c r="BB2933" s="434"/>
      <c r="BC2933" s="434"/>
      <c r="BD2933" s="308" t="s">
        <v>1844</v>
      </c>
      <c r="BE2933" s="436"/>
      <c r="BF2933" s="274" t="str">
        <f>IFERROR(__xludf.DUMMYFUNCTION("LOWER(Regexreplace(to_text(E2933),""[^A-Za-z0-9]"","""")&amp;""_""&amp;Regexreplace(to_text(F2933),""[^A-Za-z0-9]"",""""))"),"aquagen_uwm220dn50dn500")</f>
        <v>aquagen_uwm220dn50dn500</v>
      </c>
      <c r="BG2933" s="275" t="str">
        <f>IFERROR(__xludf.DUMMYFUNCTION("upper(Regexreplace(to_text(E2933),""[^A-Za-z0-9]"","""")&amp;""-""&amp;Regexreplace(to_text(F2933),""[^A-Za-z0-9]"",""""))"),"AQUAGEN-UWM220DN50DN500")</f>
        <v>AQUAGEN-UWM220DN50DN500</v>
      </c>
    </row>
    <row r="2934" ht="30.0" customHeight="1">
      <c r="A2934" s="328">
        <v>2690.0</v>
      </c>
      <c r="B2934" s="425" t="s">
        <v>670</v>
      </c>
      <c r="C2934" s="257" t="s">
        <v>9181</v>
      </c>
      <c r="D2934" s="173" t="s">
        <v>9181</v>
      </c>
      <c r="E2934" s="174" t="s">
        <v>9097</v>
      </c>
      <c r="F2934" s="173" t="s">
        <v>9098</v>
      </c>
      <c r="G2934" s="425" t="s">
        <v>673</v>
      </c>
      <c r="H2934" s="425" t="s">
        <v>2863</v>
      </c>
      <c r="I2934" s="258" t="s">
        <v>9099</v>
      </c>
      <c r="J2934" s="259" t="s">
        <v>1393</v>
      </c>
      <c r="K2934" s="260" t="s">
        <v>9175</v>
      </c>
      <c r="L2934" s="258"/>
      <c r="M2934" s="426"/>
      <c r="N2934" s="173" t="s">
        <v>679</v>
      </c>
      <c r="O2934" s="173" t="s">
        <v>225</v>
      </c>
      <c r="P2934" s="262" t="str">
        <f t="shared" si="1"/>
        <v>IN-BLR-ANANTA-WM-38_10</v>
      </c>
      <c r="Q2934" s="173" t="s">
        <v>9182</v>
      </c>
      <c r="R2934" s="328" t="str">
        <f>IFS(C2934="","",C2934="n/a","N/A",LEN(C2934),Concatenate("{",char(34),"asset",char(34),":{",char(34),"guid",char(34),":",char(34),Q2934,char(34),",",char(34),"site",char(34),":",char(34),LOWER('2-Building'!$B$4),char(34),",",char(34),"name",char(34),":",char(34),LOWER(C2934),char(34),"}}"))</f>
        <v>{"asset":{"guid":"uuid://0641c82b-de39-4d01-b681-87c6e0a46f93","site":"in-blr-ananta","name":"wm-38"}}</v>
      </c>
      <c r="S2934" s="366" t="s">
        <v>9102</v>
      </c>
      <c r="T2934" s="427"/>
      <c r="U2934" s="427"/>
      <c r="V2934" s="428"/>
      <c r="W2934" s="429"/>
      <c r="X2934" s="430"/>
      <c r="Y2934" s="33" t="s">
        <v>8076</v>
      </c>
      <c r="Z2934" s="430"/>
      <c r="AA2934" s="430"/>
      <c r="AB2934" s="258">
        <v>11.0</v>
      </c>
      <c r="AC2934" s="430"/>
      <c r="AD2934" s="426"/>
      <c r="AE2934" s="428"/>
      <c r="AF2934" s="431"/>
      <c r="AG2934" s="432" t="str">
        <f>IFS(LEN(AF2934)=17,LOWER('2-Building'!$B$4 &amp; "-" &amp; C2934), AF2934="N/A", "N/A", LEN(AF2934)=0,"")</f>
        <v/>
      </c>
      <c r="AH2934" s="430"/>
      <c r="AI2934" s="430"/>
      <c r="AJ2934" s="430"/>
      <c r="AK2934" s="430"/>
      <c r="AL2934" s="430"/>
      <c r="AM2934" s="433"/>
      <c r="AN2934" s="430"/>
      <c r="AO2934" s="430"/>
      <c r="AP2934" s="430"/>
      <c r="AQ2934" s="430"/>
      <c r="AR2934" s="430"/>
      <c r="AS2934" s="430"/>
      <c r="AT2934" s="430"/>
      <c r="AU2934" s="426"/>
      <c r="AV2934" s="434"/>
      <c r="AW2934" s="269" t="s">
        <v>2578</v>
      </c>
      <c r="AX2934" s="269" t="s">
        <v>2869</v>
      </c>
      <c r="AY2934" s="270" t="s">
        <v>695</v>
      </c>
      <c r="AZ2934" s="435"/>
      <c r="BA2934" s="173">
        <v>10.0</v>
      </c>
      <c r="BB2934" s="434"/>
      <c r="BC2934" s="434"/>
      <c r="BD2934" s="308" t="s">
        <v>1844</v>
      </c>
      <c r="BE2934" s="436"/>
      <c r="BF2934" s="274" t="str">
        <f>IFERROR(__xludf.DUMMYFUNCTION("LOWER(Regexreplace(to_text(E2934),""[^A-Za-z0-9]"","""")&amp;""_""&amp;Regexreplace(to_text(F2934),""[^A-Za-z0-9]"",""""))"),"aquagen_uwm220dn50dn500")</f>
        <v>aquagen_uwm220dn50dn500</v>
      </c>
      <c r="BG2934" s="275" t="str">
        <f>IFERROR(__xludf.DUMMYFUNCTION("upper(Regexreplace(to_text(E2934),""[^A-Za-z0-9]"","""")&amp;""-""&amp;Regexreplace(to_text(F2934),""[^A-Za-z0-9]"",""""))"),"AQUAGEN-UWM220DN50DN500")</f>
        <v>AQUAGEN-UWM220DN50DN500</v>
      </c>
    </row>
    <row r="2935" ht="30.0" customHeight="1">
      <c r="A2935" s="425">
        <v>2690.0</v>
      </c>
      <c r="B2935" s="425" t="s">
        <v>670</v>
      </c>
      <c r="C2935" s="257" t="s">
        <v>9183</v>
      </c>
      <c r="D2935" s="173" t="s">
        <v>9183</v>
      </c>
      <c r="E2935" s="174" t="s">
        <v>9097</v>
      </c>
      <c r="F2935" s="173" t="s">
        <v>9098</v>
      </c>
      <c r="G2935" s="425" t="s">
        <v>673</v>
      </c>
      <c r="H2935" s="425" t="s">
        <v>2863</v>
      </c>
      <c r="I2935" s="258" t="s">
        <v>9099</v>
      </c>
      <c r="J2935" s="259" t="s">
        <v>1520</v>
      </c>
      <c r="K2935" s="260"/>
      <c r="L2935" s="442"/>
      <c r="M2935" s="426"/>
      <c r="N2935" s="173" t="s">
        <v>679</v>
      </c>
      <c r="O2935" s="173" t="s">
        <v>225</v>
      </c>
      <c r="P2935" s="262" t="str">
        <f t="shared" si="1"/>
        <v>IN-BLR-ANANTA-WM-39_Roof</v>
      </c>
      <c r="Q2935" s="173" t="s">
        <v>9184</v>
      </c>
      <c r="R2935" s="328" t="str">
        <f>IFS(C2935="","",C2935="n/a","N/A",LEN(C2935),Concatenate("{",char(34),"asset",char(34),":{",char(34),"guid",char(34),":",char(34),Q2935,char(34),",",char(34),"site",char(34),":",char(34),LOWER('2-Building'!$B$4),char(34),",",char(34),"name",char(34),":",char(34),LOWER(C2935),char(34),"}}"))</f>
        <v>{"asset":{"guid":"uuid://654e30ec-fd48-4584-a340-c7b09d4d6463","site":"in-blr-ananta","name":"wm-39"}}</v>
      </c>
      <c r="S2935" s="366" t="s">
        <v>9102</v>
      </c>
      <c r="T2935" s="427"/>
      <c r="U2935" s="427"/>
      <c r="V2935" s="428"/>
      <c r="W2935" s="429"/>
      <c r="X2935" s="430"/>
      <c r="Y2935" s="33" t="s">
        <v>8076</v>
      </c>
      <c r="Z2935" s="430"/>
      <c r="AA2935" s="430"/>
      <c r="AB2935" s="258">
        <v>2.0</v>
      </c>
      <c r="AC2935" s="430"/>
      <c r="AD2935" s="426"/>
      <c r="AE2935" s="428"/>
      <c r="AF2935" s="431"/>
      <c r="AG2935" s="432"/>
      <c r="AH2935" s="430"/>
      <c r="AI2935" s="430"/>
      <c r="AJ2935" s="430"/>
      <c r="AK2935" s="430"/>
      <c r="AL2935" s="430"/>
      <c r="AM2935" s="433"/>
      <c r="AN2935" s="430"/>
      <c r="AO2935" s="430"/>
      <c r="AP2935" s="430"/>
      <c r="AQ2935" s="430"/>
      <c r="AR2935" s="430"/>
      <c r="AS2935" s="430"/>
      <c r="AT2935" s="430"/>
      <c r="AU2935" s="426"/>
      <c r="AV2935" s="434"/>
      <c r="AW2935" s="269" t="s">
        <v>2732</v>
      </c>
      <c r="AX2935" s="269" t="s">
        <v>2869</v>
      </c>
      <c r="AY2935" s="270" t="s">
        <v>695</v>
      </c>
      <c r="AZ2935" s="435"/>
      <c r="BA2935" s="173">
        <v>10.0</v>
      </c>
      <c r="BB2935" s="434"/>
      <c r="BC2935" s="434"/>
      <c r="BD2935" s="308" t="s">
        <v>1844</v>
      </c>
      <c r="BE2935" s="436"/>
      <c r="BF2935" s="274" t="str">
        <f>IFERROR(__xludf.DUMMYFUNCTION("LOWER(Regexreplace(to_text(E2935),""[^A-Za-z0-9]"","""")&amp;""_""&amp;Regexreplace(to_text(F2935),""[^A-Za-z0-9]"",""""))"),"aquagen_uwm220dn50dn500")</f>
        <v>aquagen_uwm220dn50dn500</v>
      </c>
      <c r="BG2935" s="275" t="str">
        <f>IFERROR(__xludf.DUMMYFUNCTION("upper(Regexreplace(to_text(E2935),""[^A-Za-z0-9]"","""")&amp;""-""&amp;Regexreplace(to_text(F2935),""[^A-Za-z0-9]"",""""))"),"AQUAGEN-UWM220DN50DN500")</f>
        <v>AQUAGEN-UWM220DN50DN500</v>
      </c>
    </row>
    <row r="2936" ht="30.0" customHeight="1">
      <c r="A2936" s="328">
        <v>2690.0</v>
      </c>
      <c r="B2936" s="425" t="s">
        <v>670</v>
      </c>
      <c r="C2936" s="257" t="s">
        <v>9185</v>
      </c>
      <c r="D2936" s="173" t="s">
        <v>9185</v>
      </c>
      <c r="E2936" s="174" t="s">
        <v>9097</v>
      </c>
      <c r="F2936" s="173" t="s">
        <v>9098</v>
      </c>
      <c r="G2936" s="425" t="s">
        <v>673</v>
      </c>
      <c r="H2936" s="425" t="s">
        <v>2863</v>
      </c>
      <c r="I2936" s="258" t="s">
        <v>9099</v>
      </c>
      <c r="J2936" s="259" t="s">
        <v>1520</v>
      </c>
      <c r="K2936" s="260"/>
      <c r="L2936" s="442"/>
      <c r="M2936" s="426"/>
      <c r="N2936" s="173" t="s">
        <v>679</v>
      </c>
      <c r="O2936" s="173" t="s">
        <v>225</v>
      </c>
      <c r="P2936" s="262" t="str">
        <f t="shared" si="1"/>
        <v>IN-BLR-ANANTA-WM-40_Roof</v>
      </c>
      <c r="Q2936" s="173" t="s">
        <v>9186</v>
      </c>
      <c r="R2936" s="328" t="str">
        <f>IFS(C2936="","",C2936="n/a","N/A",LEN(C2936),Concatenate("{",char(34),"asset",char(34),":{",char(34),"guid",char(34),":",char(34),Q2936,char(34),",",char(34),"site",char(34),":",char(34),LOWER('2-Building'!$B$4),char(34),",",char(34),"name",char(34),":",char(34),LOWER(C2936),char(34),"}}"))</f>
        <v>{"asset":{"guid":"uuid://df79da67-f267-4002-bf21-5cc012ea9a84","site":"in-blr-ananta","name":"wm-40"}}</v>
      </c>
      <c r="S2936" s="366" t="s">
        <v>9102</v>
      </c>
      <c r="T2936" s="427"/>
      <c r="U2936" s="427"/>
      <c r="V2936" s="428"/>
      <c r="W2936" s="429"/>
      <c r="X2936" s="430"/>
      <c r="Y2936" s="33" t="s">
        <v>8076</v>
      </c>
      <c r="Z2936" s="430"/>
      <c r="AA2936" s="430"/>
      <c r="AB2936" s="258">
        <v>3.0</v>
      </c>
      <c r="AC2936" s="430"/>
      <c r="AD2936" s="426"/>
      <c r="AE2936" s="428"/>
      <c r="AF2936" s="431"/>
      <c r="AG2936" s="432"/>
      <c r="AH2936" s="430"/>
      <c r="AI2936" s="430"/>
      <c r="AJ2936" s="430"/>
      <c r="AK2936" s="430"/>
      <c r="AL2936" s="430"/>
      <c r="AM2936" s="433"/>
      <c r="AN2936" s="430"/>
      <c r="AO2936" s="430"/>
      <c r="AP2936" s="430"/>
      <c r="AQ2936" s="430"/>
      <c r="AR2936" s="430"/>
      <c r="AS2936" s="430"/>
      <c r="AT2936" s="430"/>
      <c r="AU2936" s="426"/>
      <c r="AV2936" s="434"/>
      <c r="AW2936" s="269" t="s">
        <v>2732</v>
      </c>
      <c r="AX2936" s="269" t="s">
        <v>2869</v>
      </c>
      <c r="AY2936" s="270" t="s">
        <v>695</v>
      </c>
      <c r="AZ2936" s="435"/>
      <c r="BA2936" s="173">
        <v>10.0</v>
      </c>
      <c r="BB2936" s="434"/>
      <c r="BC2936" s="434"/>
      <c r="BD2936" s="308" t="s">
        <v>1844</v>
      </c>
      <c r="BE2936" s="436"/>
      <c r="BF2936" s="274" t="str">
        <f>IFERROR(__xludf.DUMMYFUNCTION("LOWER(Regexreplace(to_text(E2936),""[^A-Za-z0-9]"","""")&amp;""_""&amp;Regexreplace(to_text(F2936),""[^A-Za-z0-9]"",""""))"),"aquagen_uwm220dn50dn500")</f>
        <v>aquagen_uwm220dn50dn500</v>
      </c>
      <c r="BG2936" s="275" t="str">
        <f>IFERROR(__xludf.DUMMYFUNCTION("upper(Regexreplace(to_text(E2936),""[^A-Za-z0-9]"","""")&amp;""-""&amp;Regexreplace(to_text(F2936),""[^A-Za-z0-9]"",""""))"),"AQUAGEN-UWM220DN50DN500")</f>
        <v>AQUAGEN-UWM220DN50DN500</v>
      </c>
    </row>
    <row r="2937" ht="30.0" customHeight="1">
      <c r="A2937" s="328">
        <v>2690.0</v>
      </c>
      <c r="B2937" s="425" t="s">
        <v>670</v>
      </c>
      <c r="C2937" s="257" t="s">
        <v>9187</v>
      </c>
      <c r="D2937" s="173" t="s">
        <v>9187</v>
      </c>
      <c r="E2937" s="174" t="s">
        <v>9097</v>
      </c>
      <c r="F2937" s="173" t="s">
        <v>9098</v>
      </c>
      <c r="G2937" s="425" t="s">
        <v>673</v>
      </c>
      <c r="H2937" s="425" t="s">
        <v>2863</v>
      </c>
      <c r="I2937" s="258" t="s">
        <v>9099</v>
      </c>
      <c r="J2937" s="259" t="s">
        <v>1520</v>
      </c>
      <c r="K2937" s="260"/>
      <c r="L2937" s="442"/>
      <c r="M2937" s="426"/>
      <c r="N2937" s="173" t="s">
        <v>679</v>
      </c>
      <c r="O2937" s="173" t="s">
        <v>225</v>
      </c>
      <c r="P2937" s="262" t="str">
        <f t="shared" si="1"/>
        <v>IN-BLR-ANANTA-WM-41_Roof</v>
      </c>
      <c r="Q2937" s="173" t="s">
        <v>9188</v>
      </c>
      <c r="R2937" s="328" t="str">
        <f>IFS(C2937="","",C2937="n/a","N/A",LEN(C2937),Concatenate("{",char(34),"asset",char(34),":{",char(34),"guid",char(34),":",char(34),Q2937,char(34),",",char(34),"site",char(34),":",char(34),LOWER('2-Building'!$B$4),char(34),",",char(34),"name",char(34),":",char(34),LOWER(C2937),char(34),"}}"))</f>
        <v>{"asset":{"guid":"uuid://5f4410de-bd84-4566-81c8-ae2c5491581a","site":"in-blr-ananta","name":"wm-41"}}</v>
      </c>
      <c r="S2937" s="366" t="s">
        <v>9102</v>
      </c>
      <c r="T2937" s="427"/>
      <c r="U2937" s="427"/>
      <c r="V2937" s="428"/>
      <c r="W2937" s="429"/>
      <c r="X2937" s="430"/>
      <c r="Y2937" s="33" t="s">
        <v>8076</v>
      </c>
      <c r="Z2937" s="430"/>
      <c r="AA2937" s="430"/>
      <c r="AB2937" s="258">
        <v>4.0</v>
      </c>
      <c r="AC2937" s="430"/>
      <c r="AD2937" s="426"/>
      <c r="AE2937" s="428"/>
      <c r="AF2937" s="431"/>
      <c r="AG2937" s="432"/>
      <c r="AH2937" s="430"/>
      <c r="AI2937" s="430"/>
      <c r="AJ2937" s="430"/>
      <c r="AK2937" s="430"/>
      <c r="AL2937" s="430"/>
      <c r="AM2937" s="433"/>
      <c r="AN2937" s="430"/>
      <c r="AO2937" s="430"/>
      <c r="AP2937" s="430"/>
      <c r="AQ2937" s="430"/>
      <c r="AR2937" s="430"/>
      <c r="AS2937" s="430"/>
      <c r="AT2937" s="430"/>
      <c r="AU2937" s="426"/>
      <c r="AV2937" s="434"/>
      <c r="AW2937" s="269" t="s">
        <v>2732</v>
      </c>
      <c r="AX2937" s="269" t="s">
        <v>2869</v>
      </c>
      <c r="AY2937" s="270" t="s">
        <v>695</v>
      </c>
      <c r="AZ2937" s="435"/>
      <c r="BA2937" s="173">
        <v>10.0</v>
      </c>
      <c r="BB2937" s="434"/>
      <c r="BC2937" s="434"/>
      <c r="BD2937" s="308" t="s">
        <v>1844</v>
      </c>
      <c r="BE2937" s="436"/>
      <c r="BF2937" s="274" t="str">
        <f>IFERROR(__xludf.DUMMYFUNCTION("LOWER(Regexreplace(to_text(E2937),""[^A-Za-z0-9]"","""")&amp;""_""&amp;Regexreplace(to_text(F2937),""[^A-Za-z0-9]"",""""))"),"aquagen_uwm220dn50dn500")</f>
        <v>aquagen_uwm220dn50dn500</v>
      </c>
      <c r="BG2937" s="275" t="str">
        <f>IFERROR(__xludf.DUMMYFUNCTION("upper(Regexreplace(to_text(E2937),""[^A-Za-z0-9]"","""")&amp;""-""&amp;Regexreplace(to_text(F2937),""[^A-Za-z0-9]"",""""))"),"AQUAGEN-UWM220DN50DN500")</f>
        <v>AQUAGEN-UWM220DN50DN500</v>
      </c>
    </row>
    <row r="2938" ht="30.0" customHeight="1">
      <c r="A2938" s="328">
        <v>2690.0</v>
      </c>
      <c r="B2938" s="425" t="s">
        <v>670</v>
      </c>
      <c r="C2938" s="257" t="s">
        <v>9189</v>
      </c>
      <c r="D2938" s="173" t="s">
        <v>9189</v>
      </c>
      <c r="E2938" s="174" t="s">
        <v>9097</v>
      </c>
      <c r="F2938" s="173" t="s">
        <v>9098</v>
      </c>
      <c r="G2938" s="425" t="s">
        <v>673</v>
      </c>
      <c r="H2938" s="425" t="s">
        <v>2863</v>
      </c>
      <c r="I2938" s="258" t="s">
        <v>9099</v>
      </c>
      <c r="J2938" s="259" t="s">
        <v>1520</v>
      </c>
      <c r="K2938" s="260"/>
      <c r="L2938" s="442"/>
      <c r="M2938" s="426"/>
      <c r="N2938" s="173" t="s">
        <v>679</v>
      </c>
      <c r="O2938" s="173" t="s">
        <v>225</v>
      </c>
      <c r="P2938" s="262" t="str">
        <f t="shared" si="1"/>
        <v>IN-BLR-ANANTA-WM-42_Roof</v>
      </c>
      <c r="Q2938" s="173" t="s">
        <v>9190</v>
      </c>
      <c r="R2938" s="328" t="str">
        <f>IFS(C2938="","",C2938="n/a","N/A",LEN(C2938),Concatenate("{",char(34),"asset",char(34),":{",char(34),"guid",char(34),":",char(34),Q2938,char(34),",",char(34),"site",char(34),":",char(34),LOWER('2-Building'!$B$4),char(34),",",char(34),"name",char(34),":",char(34),LOWER(C2938),char(34),"}}"))</f>
        <v>{"asset":{"guid":"uuid://42c668cd-ce72-426a-b4db-0f406e63f41e","site":"in-blr-ananta","name":"wm-42"}}</v>
      </c>
      <c r="S2938" s="366" t="s">
        <v>9102</v>
      </c>
      <c r="T2938" s="427"/>
      <c r="U2938" s="427"/>
      <c r="V2938" s="428"/>
      <c r="W2938" s="429"/>
      <c r="X2938" s="430"/>
      <c r="Y2938" s="33" t="s">
        <v>8076</v>
      </c>
      <c r="Z2938" s="430"/>
      <c r="AA2938" s="430"/>
      <c r="AB2938" s="258">
        <v>5.0</v>
      </c>
      <c r="AC2938" s="430"/>
      <c r="AD2938" s="426"/>
      <c r="AE2938" s="428"/>
      <c r="AF2938" s="431"/>
      <c r="AG2938" s="432"/>
      <c r="AH2938" s="430"/>
      <c r="AI2938" s="430"/>
      <c r="AJ2938" s="430"/>
      <c r="AK2938" s="430"/>
      <c r="AL2938" s="430"/>
      <c r="AM2938" s="433"/>
      <c r="AN2938" s="430"/>
      <c r="AO2938" s="430"/>
      <c r="AP2938" s="430"/>
      <c r="AQ2938" s="430"/>
      <c r="AR2938" s="430"/>
      <c r="AS2938" s="430"/>
      <c r="AT2938" s="430"/>
      <c r="AU2938" s="426"/>
      <c r="AV2938" s="434"/>
      <c r="AW2938" s="269" t="s">
        <v>2732</v>
      </c>
      <c r="AX2938" s="269" t="s">
        <v>2869</v>
      </c>
      <c r="AY2938" s="270" t="s">
        <v>695</v>
      </c>
      <c r="AZ2938" s="435"/>
      <c r="BA2938" s="173">
        <v>10.0</v>
      </c>
      <c r="BB2938" s="434"/>
      <c r="BC2938" s="434"/>
      <c r="BD2938" s="308" t="s">
        <v>1844</v>
      </c>
      <c r="BE2938" s="436"/>
      <c r="BF2938" s="274" t="str">
        <f>IFERROR(__xludf.DUMMYFUNCTION("LOWER(Regexreplace(to_text(E2938),""[^A-Za-z0-9]"","""")&amp;""_""&amp;Regexreplace(to_text(F2938),""[^A-Za-z0-9]"",""""))"),"aquagen_uwm220dn50dn500")</f>
        <v>aquagen_uwm220dn50dn500</v>
      </c>
      <c r="BG2938" s="275" t="str">
        <f>IFERROR(__xludf.DUMMYFUNCTION("upper(Regexreplace(to_text(E2938),""[^A-Za-z0-9]"","""")&amp;""-""&amp;Regexreplace(to_text(F2938),""[^A-Za-z0-9]"",""""))"),"AQUAGEN-UWM220DN50DN500")</f>
        <v>AQUAGEN-UWM220DN50DN500</v>
      </c>
    </row>
    <row r="2939" ht="30.0" customHeight="1">
      <c r="A2939" s="425">
        <v>2690.0</v>
      </c>
      <c r="B2939" s="425" t="s">
        <v>670</v>
      </c>
      <c r="C2939" s="257" t="s">
        <v>9191</v>
      </c>
      <c r="D2939" s="173" t="s">
        <v>9191</v>
      </c>
      <c r="E2939" s="174" t="s">
        <v>9097</v>
      </c>
      <c r="F2939" s="173" t="s">
        <v>9098</v>
      </c>
      <c r="G2939" s="425" t="s">
        <v>673</v>
      </c>
      <c r="H2939" s="425" t="s">
        <v>2863</v>
      </c>
      <c r="I2939" s="258" t="s">
        <v>9099</v>
      </c>
      <c r="J2939" s="259" t="s">
        <v>1520</v>
      </c>
      <c r="K2939" s="260"/>
      <c r="L2939" s="442"/>
      <c r="M2939" s="426"/>
      <c r="N2939" s="173" t="s">
        <v>679</v>
      </c>
      <c r="O2939" s="173" t="s">
        <v>225</v>
      </c>
      <c r="P2939" s="262" t="str">
        <f t="shared" si="1"/>
        <v>IN-BLR-ANANTA-WM-43_Roof</v>
      </c>
      <c r="Q2939" s="173" t="s">
        <v>9192</v>
      </c>
      <c r="R2939" s="328" t="str">
        <f>IFS(C2939="","",C2939="n/a","N/A",LEN(C2939),Concatenate("{",char(34),"asset",char(34),":{",char(34),"guid",char(34),":",char(34),Q2939,char(34),",",char(34),"site",char(34),":",char(34),LOWER('2-Building'!$B$4),char(34),",",char(34),"name",char(34),":",char(34),LOWER(C2939),char(34),"}}"))</f>
        <v>{"asset":{"guid":"uuid://6113ffd6-1809-47d4-a8a1-7781d6f9a988","site":"in-blr-ananta","name":"wm-43"}}</v>
      </c>
      <c r="S2939" s="366" t="s">
        <v>9102</v>
      </c>
      <c r="T2939" s="427"/>
      <c r="U2939" s="427"/>
      <c r="V2939" s="428"/>
      <c r="W2939" s="429"/>
      <c r="X2939" s="430"/>
      <c r="Y2939" s="33" t="s">
        <v>8076</v>
      </c>
      <c r="Z2939" s="430"/>
      <c r="AA2939" s="430"/>
      <c r="AB2939" s="258">
        <v>6.0</v>
      </c>
      <c r="AC2939" s="430"/>
      <c r="AD2939" s="426"/>
      <c r="AE2939" s="428"/>
      <c r="AF2939" s="431"/>
      <c r="AG2939" s="432"/>
      <c r="AH2939" s="430"/>
      <c r="AI2939" s="430"/>
      <c r="AJ2939" s="430"/>
      <c r="AK2939" s="430"/>
      <c r="AL2939" s="430"/>
      <c r="AM2939" s="433"/>
      <c r="AN2939" s="430"/>
      <c r="AO2939" s="430"/>
      <c r="AP2939" s="430"/>
      <c r="AQ2939" s="430"/>
      <c r="AR2939" s="430"/>
      <c r="AS2939" s="430"/>
      <c r="AT2939" s="430"/>
      <c r="AU2939" s="426"/>
      <c r="AV2939" s="434"/>
      <c r="AW2939" s="269" t="s">
        <v>2732</v>
      </c>
      <c r="AX2939" s="269" t="s">
        <v>2869</v>
      </c>
      <c r="AY2939" s="270" t="s">
        <v>695</v>
      </c>
      <c r="AZ2939" s="435"/>
      <c r="BA2939" s="173">
        <v>10.0</v>
      </c>
      <c r="BB2939" s="434"/>
      <c r="BC2939" s="434"/>
      <c r="BD2939" s="308" t="s">
        <v>1844</v>
      </c>
      <c r="BE2939" s="436"/>
      <c r="BF2939" s="274" t="str">
        <f>IFERROR(__xludf.DUMMYFUNCTION("LOWER(Regexreplace(to_text(E2939),""[^A-Za-z0-9]"","""")&amp;""_""&amp;Regexreplace(to_text(F2939),""[^A-Za-z0-9]"",""""))"),"aquagen_uwm220dn50dn500")</f>
        <v>aquagen_uwm220dn50dn500</v>
      </c>
      <c r="BG2939" s="275" t="str">
        <f>IFERROR(__xludf.DUMMYFUNCTION("upper(Regexreplace(to_text(E2939),""[^A-Za-z0-9]"","""")&amp;""-""&amp;Regexreplace(to_text(F2939),""[^A-Za-z0-9]"",""""))"),"AQUAGEN-UWM220DN50DN500")</f>
        <v>AQUAGEN-UWM220DN50DN500</v>
      </c>
    </row>
    <row r="2940" ht="30.0" customHeight="1">
      <c r="A2940" s="328">
        <v>2690.0</v>
      </c>
      <c r="B2940" s="425" t="s">
        <v>670</v>
      </c>
      <c r="C2940" s="257" t="s">
        <v>9193</v>
      </c>
      <c r="D2940" s="173" t="s">
        <v>9193</v>
      </c>
      <c r="E2940" s="174" t="s">
        <v>9097</v>
      </c>
      <c r="F2940" s="173" t="s">
        <v>9098</v>
      </c>
      <c r="G2940" s="425" t="s">
        <v>673</v>
      </c>
      <c r="H2940" s="425" t="s">
        <v>2863</v>
      </c>
      <c r="I2940" s="258" t="s">
        <v>9099</v>
      </c>
      <c r="J2940" s="259" t="s">
        <v>1520</v>
      </c>
      <c r="K2940" s="260"/>
      <c r="L2940" s="442"/>
      <c r="M2940" s="426"/>
      <c r="N2940" s="173" t="s">
        <v>679</v>
      </c>
      <c r="O2940" s="173" t="s">
        <v>225</v>
      </c>
      <c r="P2940" s="262" t="str">
        <f t="shared" si="1"/>
        <v>IN-BLR-ANANTA-WM-44_Roof</v>
      </c>
      <c r="Q2940" s="173" t="s">
        <v>9194</v>
      </c>
      <c r="R2940" s="328" t="str">
        <f>IFS(C2940="","",C2940="n/a","N/A",LEN(C2940),Concatenate("{",char(34),"asset",char(34),":{",char(34),"guid",char(34),":",char(34),Q2940,char(34),",",char(34),"site",char(34),":",char(34),LOWER('2-Building'!$B$4),char(34),",",char(34),"name",char(34),":",char(34),LOWER(C2940),char(34),"}}"))</f>
        <v>{"asset":{"guid":"uuid://968a0b46-d2c7-4180-a80d-10133eaf401f","site":"in-blr-ananta","name":"wm-44"}}</v>
      </c>
      <c r="S2940" s="366" t="s">
        <v>9102</v>
      </c>
      <c r="T2940" s="427"/>
      <c r="U2940" s="427"/>
      <c r="V2940" s="428"/>
      <c r="W2940" s="429"/>
      <c r="X2940" s="430"/>
      <c r="Y2940" s="33" t="s">
        <v>8076</v>
      </c>
      <c r="Z2940" s="430"/>
      <c r="AA2940" s="430"/>
      <c r="AB2940" s="258">
        <v>7.0</v>
      </c>
      <c r="AC2940" s="430"/>
      <c r="AD2940" s="426"/>
      <c r="AE2940" s="428"/>
      <c r="AF2940" s="431"/>
      <c r="AG2940" s="432"/>
      <c r="AH2940" s="430"/>
      <c r="AI2940" s="430"/>
      <c r="AJ2940" s="430"/>
      <c r="AK2940" s="430"/>
      <c r="AL2940" s="430"/>
      <c r="AM2940" s="433"/>
      <c r="AN2940" s="430"/>
      <c r="AO2940" s="430"/>
      <c r="AP2940" s="430"/>
      <c r="AQ2940" s="430"/>
      <c r="AR2940" s="430"/>
      <c r="AS2940" s="430"/>
      <c r="AT2940" s="430"/>
      <c r="AU2940" s="426"/>
      <c r="AV2940" s="434"/>
      <c r="AW2940" s="269" t="s">
        <v>2732</v>
      </c>
      <c r="AX2940" s="269" t="s">
        <v>2869</v>
      </c>
      <c r="AY2940" s="270" t="s">
        <v>695</v>
      </c>
      <c r="AZ2940" s="435"/>
      <c r="BA2940" s="173">
        <v>10.0</v>
      </c>
      <c r="BB2940" s="434"/>
      <c r="BC2940" s="434"/>
      <c r="BD2940" s="308" t="s">
        <v>1844</v>
      </c>
      <c r="BE2940" s="436"/>
      <c r="BF2940" s="274" t="str">
        <f>IFERROR(__xludf.DUMMYFUNCTION("LOWER(Regexreplace(to_text(E2940),""[^A-Za-z0-9]"","""")&amp;""_""&amp;Regexreplace(to_text(F2940),""[^A-Za-z0-9]"",""""))"),"aquagen_uwm220dn50dn500")</f>
        <v>aquagen_uwm220dn50dn500</v>
      </c>
      <c r="BG2940" s="275" t="str">
        <f>IFERROR(__xludf.DUMMYFUNCTION("upper(Regexreplace(to_text(E2940),""[^A-Za-z0-9]"","""")&amp;""-""&amp;Regexreplace(to_text(F2940),""[^A-Za-z0-9]"",""""))"),"AQUAGEN-UWM220DN50DN500")</f>
        <v>AQUAGEN-UWM220DN50DN500</v>
      </c>
    </row>
    <row r="2941" ht="30.0" customHeight="1">
      <c r="A2941" s="258">
        <v>2690.0</v>
      </c>
      <c r="B2941" s="328" t="s">
        <v>670</v>
      </c>
      <c r="C2941" s="257" t="s">
        <v>9195</v>
      </c>
      <c r="D2941" s="173" t="s">
        <v>9195</v>
      </c>
      <c r="E2941" s="174" t="s">
        <v>9097</v>
      </c>
      <c r="F2941" s="173" t="s">
        <v>9098</v>
      </c>
      <c r="G2941" s="328" t="s">
        <v>673</v>
      </c>
      <c r="H2941" s="328" t="s">
        <v>2863</v>
      </c>
      <c r="I2941" s="258" t="s">
        <v>9099</v>
      </c>
      <c r="J2941" s="259" t="s">
        <v>1520</v>
      </c>
      <c r="K2941" s="260"/>
      <c r="L2941" s="366"/>
      <c r="M2941" s="329"/>
      <c r="N2941" s="173" t="s">
        <v>679</v>
      </c>
      <c r="O2941" s="173" t="s">
        <v>225</v>
      </c>
      <c r="P2941" s="262" t="str">
        <f t="shared" si="1"/>
        <v>IN-BLR-ANANTA-WM-45_Roof</v>
      </c>
      <c r="Q2941" s="173" t="s">
        <v>9196</v>
      </c>
      <c r="R2941" s="328" t="str">
        <f>IFS(C2941="","",C2941="n/a","N/A",LEN(C2941),Concatenate("{",char(34),"asset",char(34),":{",char(34),"guid",char(34),":",char(34),Q2941,char(34),",",char(34),"site",char(34),":",char(34),LOWER('2-Building'!$B$4),char(34),",",char(34),"name",char(34),":",char(34),LOWER(C2941),char(34),"}}"))</f>
        <v>{"asset":{"guid":"uuid://bb3917c3-3655-4c33-ab7a-3899b83c07c4","site":"in-blr-ananta","name":"wm-45"}}</v>
      </c>
      <c r="S2941" s="366" t="s">
        <v>9102</v>
      </c>
      <c r="T2941" s="330"/>
      <c r="U2941" s="330"/>
      <c r="V2941" s="331"/>
      <c r="W2941" s="332"/>
      <c r="X2941" s="333"/>
      <c r="Y2941" s="33" t="s">
        <v>8076</v>
      </c>
      <c r="Z2941" s="368"/>
      <c r="AA2941" s="333"/>
      <c r="AB2941" s="258">
        <v>8.0</v>
      </c>
      <c r="AC2941" s="333"/>
      <c r="AD2941" s="329"/>
      <c r="AE2941" s="331"/>
      <c r="AF2941" s="336"/>
      <c r="AG2941" s="337" t="str">
        <f>IFS(LEN(AF2941)=17,LOWER('2-Building'!$B$4 &amp; "-" &amp; C2941), AF2941="N/A", "N/A", LEN(AF2941)=0,"")</f>
        <v/>
      </c>
      <c r="AH2941" s="333"/>
      <c r="AI2941" s="333"/>
      <c r="AJ2941" s="333"/>
      <c r="AK2941" s="333"/>
      <c r="AL2941" s="333"/>
      <c r="AM2941" s="338"/>
      <c r="AN2941" s="333"/>
      <c r="AO2941" s="333"/>
      <c r="AP2941" s="333"/>
      <c r="AQ2941" s="333"/>
      <c r="AR2941" s="333"/>
      <c r="AS2941" s="333"/>
      <c r="AT2941" s="333"/>
      <c r="AU2941" s="329"/>
      <c r="AV2941" s="341"/>
      <c r="AW2941" s="269" t="s">
        <v>2732</v>
      </c>
      <c r="AX2941" s="269" t="s">
        <v>2869</v>
      </c>
      <c r="AY2941" s="270" t="s">
        <v>695</v>
      </c>
      <c r="AZ2941" s="379"/>
      <c r="BA2941" s="173">
        <v>10.0</v>
      </c>
      <c r="BB2941" s="341"/>
      <c r="BC2941" s="341"/>
      <c r="BD2941" s="308" t="s">
        <v>1844</v>
      </c>
      <c r="BE2941" s="364"/>
      <c r="BF2941" s="274" t="str">
        <f>IFERROR(__xludf.DUMMYFUNCTION("LOWER(Regexreplace(to_text(E2941),""[^A-Za-z0-9]"","""")&amp;""_""&amp;Regexreplace(to_text(F2941),""[^A-Za-z0-9]"",""""))"),"aquagen_uwm220dn50dn500")</f>
        <v>aquagen_uwm220dn50dn500</v>
      </c>
      <c r="BG2941" s="275" t="str">
        <f>IFERROR(__xludf.DUMMYFUNCTION("upper(Regexreplace(to_text(E2941),""[^A-Za-z0-9]"","""")&amp;""-""&amp;Regexreplace(to_text(F2941),""[^A-Za-z0-9]"",""""))"),"AQUAGEN-UWM220DN50DN500")</f>
        <v>AQUAGEN-UWM220DN50DN500</v>
      </c>
    </row>
    <row r="2942" ht="30.0" customHeight="1">
      <c r="A2942" s="328">
        <v>2690.0</v>
      </c>
      <c r="B2942" s="425" t="s">
        <v>670</v>
      </c>
      <c r="C2942" s="257" t="s">
        <v>9197</v>
      </c>
      <c r="D2942" s="173" t="s">
        <v>9197</v>
      </c>
      <c r="E2942" s="174" t="s">
        <v>9097</v>
      </c>
      <c r="F2942" s="173" t="s">
        <v>9098</v>
      </c>
      <c r="G2942" s="425" t="s">
        <v>673</v>
      </c>
      <c r="H2942" s="425" t="s">
        <v>2863</v>
      </c>
      <c r="I2942" s="258" t="s">
        <v>9099</v>
      </c>
      <c r="J2942" s="259" t="s">
        <v>1520</v>
      </c>
      <c r="K2942" s="260"/>
      <c r="L2942" s="442"/>
      <c r="M2942" s="426"/>
      <c r="N2942" s="173" t="s">
        <v>679</v>
      </c>
      <c r="O2942" s="173" t="s">
        <v>225</v>
      </c>
      <c r="P2942" s="262" t="str">
        <f t="shared" si="1"/>
        <v>IN-BLR-ANANTA-WM-46_Roof</v>
      </c>
      <c r="Q2942" s="173" t="s">
        <v>9198</v>
      </c>
      <c r="R2942" s="328" t="str">
        <f>IFS(C2942="","",C2942="n/a","N/A",LEN(C2942),Concatenate("{",char(34),"asset",char(34),":{",char(34),"guid",char(34),":",char(34),Q2942,char(34),",",char(34),"site",char(34),":",char(34),LOWER('2-Building'!$B$4),char(34),",",char(34),"name",char(34),":",char(34),LOWER(C2942),char(34),"}}"))</f>
        <v>{"asset":{"guid":"uuid://1c405918-02e3-4df5-9ab3-a8181eadb560","site":"in-blr-ananta","name":"wm-46"}}</v>
      </c>
      <c r="S2942" s="366" t="s">
        <v>9102</v>
      </c>
      <c r="T2942" s="427"/>
      <c r="U2942" s="427"/>
      <c r="V2942" s="428"/>
      <c r="W2942" s="429"/>
      <c r="X2942" s="430"/>
      <c r="Y2942" s="33" t="s">
        <v>8076</v>
      </c>
      <c r="Z2942" s="430"/>
      <c r="AA2942" s="430"/>
      <c r="AB2942" s="258">
        <v>9.0</v>
      </c>
      <c r="AC2942" s="430"/>
      <c r="AD2942" s="426"/>
      <c r="AE2942" s="428"/>
      <c r="AF2942" s="431"/>
      <c r="AG2942" s="432" t="str">
        <f>IFS(LEN(AF2942)=17,LOWER('2-Building'!$B$4 &amp; "-" &amp; C2942), AF2942="N/A", "N/A", LEN(AF2942)=0,"")</f>
        <v/>
      </c>
      <c r="AH2942" s="430"/>
      <c r="AI2942" s="430"/>
      <c r="AJ2942" s="430"/>
      <c r="AK2942" s="430"/>
      <c r="AL2942" s="430"/>
      <c r="AM2942" s="433"/>
      <c r="AN2942" s="430"/>
      <c r="AO2942" s="430"/>
      <c r="AP2942" s="430"/>
      <c r="AQ2942" s="430"/>
      <c r="AR2942" s="430"/>
      <c r="AS2942" s="430"/>
      <c r="AT2942" s="430"/>
      <c r="AU2942" s="426"/>
      <c r="AV2942" s="434"/>
      <c r="AW2942" s="269" t="s">
        <v>2732</v>
      </c>
      <c r="AX2942" s="269" t="s">
        <v>2869</v>
      </c>
      <c r="AY2942" s="270" t="s">
        <v>695</v>
      </c>
      <c r="AZ2942" s="435"/>
      <c r="BA2942" s="173">
        <v>10.0</v>
      </c>
      <c r="BB2942" s="434"/>
      <c r="BC2942" s="434"/>
      <c r="BD2942" s="308" t="s">
        <v>1844</v>
      </c>
      <c r="BE2942" s="436"/>
      <c r="BF2942" s="274" t="str">
        <f>IFERROR(__xludf.DUMMYFUNCTION("LOWER(Regexreplace(to_text(E2942),""[^A-Za-z0-9]"","""")&amp;""_""&amp;Regexreplace(to_text(F2942),""[^A-Za-z0-9]"",""""))"),"aquagen_uwm220dn50dn500")</f>
        <v>aquagen_uwm220dn50dn500</v>
      </c>
      <c r="BG2942" s="275" t="str">
        <f>IFERROR(__xludf.DUMMYFUNCTION("upper(Regexreplace(to_text(E2942),""[^A-Za-z0-9]"","""")&amp;""-""&amp;Regexreplace(to_text(F2942),""[^A-Za-z0-9]"",""""))"),"AQUAGEN-UWM220DN50DN500")</f>
        <v>AQUAGEN-UWM220DN50DN500</v>
      </c>
    </row>
    <row r="2943" ht="30.0" customHeight="1">
      <c r="A2943" s="328">
        <v>2690.0</v>
      </c>
      <c r="B2943" s="425" t="s">
        <v>670</v>
      </c>
      <c r="C2943" s="257" t="s">
        <v>9199</v>
      </c>
      <c r="D2943" s="173" t="s">
        <v>9199</v>
      </c>
      <c r="E2943" s="174" t="s">
        <v>9097</v>
      </c>
      <c r="F2943" s="173" t="s">
        <v>9098</v>
      </c>
      <c r="G2943" s="425" t="s">
        <v>673</v>
      </c>
      <c r="H2943" s="425" t="s">
        <v>2863</v>
      </c>
      <c r="I2943" s="258" t="s">
        <v>9099</v>
      </c>
      <c r="J2943" s="259" t="s">
        <v>1520</v>
      </c>
      <c r="K2943" s="260"/>
      <c r="L2943" s="442"/>
      <c r="M2943" s="426"/>
      <c r="N2943" s="173" t="s">
        <v>679</v>
      </c>
      <c r="O2943" s="173" t="s">
        <v>225</v>
      </c>
      <c r="P2943" s="262" t="str">
        <f t="shared" si="1"/>
        <v>IN-BLR-ANANTA-WM-47_Roof</v>
      </c>
      <c r="Q2943" s="173" t="s">
        <v>9200</v>
      </c>
      <c r="R2943" s="328" t="str">
        <f>IFS(C2943="","",C2943="n/a","N/A",LEN(C2943),Concatenate("{",char(34),"asset",char(34),":{",char(34),"guid",char(34),":",char(34),Q2943,char(34),",",char(34),"site",char(34),":",char(34),LOWER('2-Building'!$B$4),char(34),",",char(34),"name",char(34),":",char(34),LOWER(C2943),char(34),"}}"))</f>
        <v>{"asset":{"guid":"uuid://f11fb65f-46d1-4eca-a6a4-98a56b525ba4","site":"in-blr-ananta","name":"wm-47"}}</v>
      </c>
      <c r="S2943" s="366" t="s">
        <v>9102</v>
      </c>
      <c r="T2943" s="427"/>
      <c r="U2943" s="427"/>
      <c r="V2943" s="428"/>
      <c r="W2943" s="429"/>
      <c r="X2943" s="430"/>
      <c r="Y2943" s="33" t="s">
        <v>8076</v>
      </c>
      <c r="Z2943" s="430"/>
      <c r="AA2943" s="430"/>
      <c r="AB2943" s="258">
        <v>10.0</v>
      </c>
      <c r="AC2943" s="430"/>
      <c r="AD2943" s="426"/>
      <c r="AE2943" s="428"/>
      <c r="AF2943" s="431"/>
      <c r="AG2943" s="432" t="str">
        <f>IFS(LEN(AF2943)=17,LOWER('2-Building'!$B$4 &amp; "-" &amp; C2943), AF2943="N/A", "N/A", LEN(AF2943)=0,"")</f>
        <v/>
      </c>
      <c r="AH2943" s="430"/>
      <c r="AI2943" s="430"/>
      <c r="AJ2943" s="430"/>
      <c r="AK2943" s="430"/>
      <c r="AL2943" s="430"/>
      <c r="AM2943" s="433"/>
      <c r="AN2943" s="430"/>
      <c r="AO2943" s="430"/>
      <c r="AP2943" s="430"/>
      <c r="AQ2943" s="430"/>
      <c r="AR2943" s="430"/>
      <c r="AS2943" s="430"/>
      <c r="AT2943" s="430"/>
      <c r="AU2943" s="426"/>
      <c r="AV2943" s="434"/>
      <c r="AW2943" s="269" t="s">
        <v>2732</v>
      </c>
      <c r="AX2943" s="269" t="s">
        <v>2869</v>
      </c>
      <c r="AY2943" s="270" t="s">
        <v>695</v>
      </c>
      <c r="AZ2943" s="435"/>
      <c r="BA2943" s="173">
        <v>10.0</v>
      </c>
      <c r="BB2943" s="434"/>
      <c r="BC2943" s="434"/>
      <c r="BD2943" s="308" t="s">
        <v>1844</v>
      </c>
      <c r="BE2943" s="436"/>
      <c r="BF2943" s="274" t="str">
        <f>IFERROR(__xludf.DUMMYFUNCTION("LOWER(Regexreplace(to_text(E2943),""[^A-Za-z0-9]"","""")&amp;""_""&amp;Regexreplace(to_text(F2943),""[^A-Za-z0-9]"",""""))"),"aquagen_uwm220dn50dn500")</f>
        <v>aquagen_uwm220dn50dn500</v>
      </c>
      <c r="BG2943" s="275" t="str">
        <f>IFERROR(__xludf.DUMMYFUNCTION("upper(Regexreplace(to_text(E2943),""[^A-Za-z0-9]"","""")&amp;""-""&amp;Regexreplace(to_text(F2943),""[^A-Za-z0-9]"",""""))"),"AQUAGEN-UWM220DN50DN500")</f>
        <v>AQUAGEN-UWM220DN50DN500</v>
      </c>
    </row>
    <row r="2944" ht="30.0" customHeight="1">
      <c r="A2944" s="425">
        <v>2690.0</v>
      </c>
      <c r="B2944" s="425" t="s">
        <v>670</v>
      </c>
      <c r="C2944" s="257" t="s">
        <v>9201</v>
      </c>
      <c r="D2944" s="173" t="s">
        <v>9201</v>
      </c>
      <c r="E2944" s="174" t="s">
        <v>9097</v>
      </c>
      <c r="F2944" s="173" t="s">
        <v>9098</v>
      </c>
      <c r="G2944" s="425" t="s">
        <v>673</v>
      </c>
      <c r="H2944" s="425" t="s">
        <v>2863</v>
      </c>
      <c r="I2944" s="258" t="s">
        <v>9099</v>
      </c>
      <c r="J2944" s="259" t="s">
        <v>1520</v>
      </c>
      <c r="K2944" s="260"/>
      <c r="L2944" s="442"/>
      <c r="M2944" s="426"/>
      <c r="N2944" s="173" t="s">
        <v>679</v>
      </c>
      <c r="O2944" s="173" t="s">
        <v>225</v>
      </c>
      <c r="P2944" s="262" t="str">
        <f t="shared" si="1"/>
        <v>IN-BLR-ANANTA-WM-48_Roof</v>
      </c>
      <c r="Q2944" s="173" t="s">
        <v>9202</v>
      </c>
      <c r="R2944" s="328" t="str">
        <f>IFS(C2944="","",C2944="n/a","N/A",LEN(C2944),Concatenate("{",char(34),"asset",char(34),":{",char(34),"guid",char(34),":",char(34),Q2944,char(34),",",char(34),"site",char(34),":",char(34),LOWER('2-Building'!$B$4),char(34),",",char(34),"name",char(34),":",char(34),LOWER(C2944),char(34),"}}"))</f>
        <v>{"asset":{"guid":"uuid://c2dcefdb-6584-418a-8750-faf693043611","site":"in-blr-ananta","name":"wm-48"}}</v>
      </c>
      <c r="S2944" s="366" t="s">
        <v>9102</v>
      </c>
      <c r="T2944" s="427"/>
      <c r="U2944" s="427"/>
      <c r="V2944" s="428"/>
      <c r="W2944" s="429"/>
      <c r="X2944" s="430"/>
      <c r="Y2944" s="33" t="s">
        <v>8076</v>
      </c>
      <c r="Z2944" s="430"/>
      <c r="AA2944" s="430"/>
      <c r="AB2944" s="258">
        <v>11.0</v>
      </c>
      <c r="AC2944" s="430"/>
      <c r="AD2944" s="426"/>
      <c r="AE2944" s="428"/>
      <c r="AF2944" s="431"/>
      <c r="AG2944" s="432"/>
      <c r="AH2944" s="430"/>
      <c r="AI2944" s="430"/>
      <c r="AJ2944" s="430"/>
      <c r="AK2944" s="430"/>
      <c r="AL2944" s="430"/>
      <c r="AM2944" s="433"/>
      <c r="AN2944" s="430"/>
      <c r="AO2944" s="430"/>
      <c r="AP2944" s="430"/>
      <c r="AQ2944" s="430"/>
      <c r="AR2944" s="430"/>
      <c r="AS2944" s="430"/>
      <c r="AT2944" s="430"/>
      <c r="AU2944" s="426"/>
      <c r="AV2944" s="434"/>
      <c r="AW2944" s="269" t="s">
        <v>2732</v>
      </c>
      <c r="AX2944" s="269" t="s">
        <v>2869</v>
      </c>
      <c r="AY2944" s="270" t="s">
        <v>695</v>
      </c>
      <c r="AZ2944" s="435"/>
      <c r="BA2944" s="173">
        <v>10.0</v>
      </c>
      <c r="BB2944" s="434"/>
      <c r="BC2944" s="434"/>
      <c r="BD2944" s="308" t="s">
        <v>1844</v>
      </c>
      <c r="BE2944" s="436"/>
      <c r="BF2944" s="274" t="str">
        <f>IFERROR(__xludf.DUMMYFUNCTION("LOWER(Regexreplace(to_text(E2944),""[^A-Za-z0-9]"","""")&amp;""_""&amp;Regexreplace(to_text(F2944),""[^A-Za-z0-9]"",""""))"),"aquagen_uwm220dn50dn500")</f>
        <v>aquagen_uwm220dn50dn500</v>
      </c>
      <c r="BG2944" s="275" t="str">
        <f>IFERROR(__xludf.DUMMYFUNCTION("upper(Regexreplace(to_text(E2944),""[^A-Za-z0-9]"","""")&amp;""-""&amp;Regexreplace(to_text(F2944),""[^A-Za-z0-9]"",""""))"),"AQUAGEN-UWM220DN50DN500")</f>
        <v>AQUAGEN-UWM220DN50DN500</v>
      </c>
    </row>
    <row r="2945" ht="30.0" customHeight="1">
      <c r="A2945" s="328">
        <v>2690.0</v>
      </c>
      <c r="B2945" s="425" t="s">
        <v>670</v>
      </c>
      <c r="C2945" s="257" t="s">
        <v>9203</v>
      </c>
      <c r="D2945" s="173" t="s">
        <v>9203</v>
      </c>
      <c r="E2945" s="174" t="s">
        <v>9097</v>
      </c>
      <c r="F2945" s="173" t="s">
        <v>9098</v>
      </c>
      <c r="G2945" s="425" t="s">
        <v>673</v>
      </c>
      <c r="H2945" s="425" t="s">
        <v>2863</v>
      </c>
      <c r="I2945" s="258" t="s">
        <v>9099</v>
      </c>
      <c r="J2945" s="259" t="s">
        <v>1520</v>
      </c>
      <c r="K2945" s="260"/>
      <c r="L2945" s="442"/>
      <c r="M2945" s="426"/>
      <c r="N2945" s="173" t="s">
        <v>679</v>
      </c>
      <c r="O2945" s="173" t="s">
        <v>225</v>
      </c>
      <c r="P2945" s="262" t="str">
        <f t="shared" si="1"/>
        <v>IN-BLR-ANANTA-WM-49_Roof</v>
      </c>
      <c r="Q2945" s="173" t="s">
        <v>9204</v>
      </c>
      <c r="R2945" s="328" t="str">
        <f>IFS(C2945="","",C2945="n/a","N/A",LEN(C2945),Concatenate("{",char(34),"asset",char(34),":{",char(34),"guid",char(34),":",char(34),Q2945,char(34),",",char(34),"site",char(34),":",char(34),LOWER('2-Building'!$B$4),char(34),",",char(34),"name",char(34),":",char(34),LOWER(C2945),char(34),"}}"))</f>
        <v>{"asset":{"guid":"uuid://e9ee37df-f863-4ef2-891f-69d33236c421","site":"in-blr-ananta","name":"wm-49"}}</v>
      </c>
      <c r="S2945" s="366" t="s">
        <v>9102</v>
      </c>
      <c r="T2945" s="427"/>
      <c r="U2945" s="427"/>
      <c r="V2945" s="428"/>
      <c r="W2945" s="429"/>
      <c r="X2945" s="430"/>
      <c r="Y2945" s="33" t="s">
        <v>8076</v>
      </c>
      <c r="Z2945" s="430"/>
      <c r="AA2945" s="430"/>
      <c r="AB2945" s="258">
        <v>12.0</v>
      </c>
      <c r="AC2945" s="430"/>
      <c r="AD2945" s="426"/>
      <c r="AE2945" s="428"/>
      <c r="AF2945" s="431"/>
      <c r="AG2945" s="432"/>
      <c r="AH2945" s="430"/>
      <c r="AI2945" s="430"/>
      <c r="AJ2945" s="430"/>
      <c r="AK2945" s="430"/>
      <c r="AL2945" s="430"/>
      <c r="AM2945" s="433"/>
      <c r="AN2945" s="430"/>
      <c r="AO2945" s="430"/>
      <c r="AP2945" s="430"/>
      <c r="AQ2945" s="430"/>
      <c r="AR2945" s="430"/>
      <c r="AS2945" s="430"/>
      <c r="AT2945" s="430"/>
      <c r="AU2945" s="426"/>
      <c r="AV2945" s="434"/>
      <c r="AW2945" s="269" t="s">
        <v>2732</v>
      </c>
      <c r="AX2945" s="269" t="s">
        <v>2869</v>
      </c>
      <c r="AY2945" s="270" t="s">
        <v>695</v>
      </c>
      <c r="AZ2945" s="435"/>
      <c r="BA2945" s="173">
        <v>10.0</v>
      </c>
      <c r="BB2945" s="434"/>
      <c r="BC2945" s="434"/>
      <c r="BD2945" s="308" t="s">
        <v>1844</v>
      </c>
      <c r="BE2945" s="436"/>
      <c r="BF2945" s="274" t="str">
        <f>IFERROR(__xludf.DUMMYFUNCTION("LOWER(Regexreplace(to_text(E2945),""[^A-Za-z0-9]"","""")&amp;""_""&amp;Regexreplace(to_text(F2945),""[^A-Za-z0-9]"",""""))"),"aquagen_uwm220dn50dn500")</f>
        <v>aquagen_uwm220dn50dn500</v>
      </c>
      <c r="BG2945" s="275" t="str">
        <f>IFERROR(__xludf.DUMMYFUNCTION("upper(Regexreplace(to_text(E2945),""[^A-Za-z0-9]"","""")&amp;""-""&amp;Regexreplace(to_text(F2945),""[^A-Za-z0-9]"",""""))"),"AQUAGEN-UWM220DN50DN500")</f>
        <v>AQUAGEN-UWM220DN50DN500</v>
      </c>
    </row>
    <row r="2946" ht="30.0" customHeight="1">
      <c r="A2946" s="328">
        <v>2690.0</v>
      </c>
      <c r="B2946" s="425" t="s">
        <v>670</v>
      </c>
      <c r="C2946" s="257" t="s">
        <v>9205</v>
      </c>
      <c r="D2946" s="173" t="s">
        <v>9205</v>
      </c>
      <c r="E2946" s="174" t="s">
        <v>9097</v>
      </c>
      <c r="F2946" s="173" t="s">
        <v>9098</v>
      </c>
      <c r="G2946" s="425" t="s">
        <v>673</v>
      </c>
      <c r="H2946" s="425" t="s">
        <v>2863</v>
      </c>
      <c r="I2946" s="258" t="s">
        <v>9099</v>
      </c>
      <c r="J2946" s="259" t="s">
        <v>1520</v>
      </c>
      <c r="K2946" s="260"/>
      <c r="L2946" s="442"/>
      <c r="M2946" s="426"/>
      <c r="N2946" s="173" t="s">
        <v>679</v>
      </c>
      <c r="O2946" s="173" t="s">
        <v>225</v>
      </c>
      <c r="P2946" s="262" t="str">
        <f t="shared" si="1"/>
        <v>IN-BLR-ANANTA-WM-50_Roof</v>
      </c>
      <c r="Q2946" s="173" t="s">
        <v>9206</v>
      </c>
      <c r="R2946" s="328" t="str">
        <f>IFS(C2946="","",C2946="n/a","N/A",LEN(C2946),Concatenate("{",char(34),"asset",char(34),":{",char(34),"guid",char(34),":",char(34),Q2946,char(34),",",char(34),"site",char(34),":",char(34),LOWER('2-Building'!$B$4),char(34),",",char(34),"name",char(34),":",char(34),LOWER(C2946),char(34),"}}"))</f>
        <v>{"asset":{"guid":"uuid://848737f9-1370-4b9d-bd0f-caf89457aa01","site":"in-blr-ananta","name":"wm-50"}}</v>
      </c>
      <c r="S2946" s="366" t="s">
        <v>9102</v>
      </c>
      <c r="T2946" s="427"/>
      <c r="U2946" s="427"/>
      <c r="V2946" s="428"/>
      <c r="W2946" s="429"/>
      <c r="X2946" s="430"/>
      <c r="Y2946" s="33" t="s">
        <v>8076</v>
      </c>
      <c r="Z2946" s="430"/>
      <c r="AA2946" s="430"/>
      <c r="AB2946" s="258">
        <v>13.0</v>
      </c>
      <c r="AC2946" s="430"/>
      <c r="AD2946" s="426"/>
      <c r="AE2946" s="428"/>
      <c r="AF2946" s="431"/>
      <c r="AG2946" s="432"/>
      <c r="AH2946" s="430"/>
      <c r="AI2946" s="430"/>
      <c r="AJ2946" s="430"/>
      <c r="AK2946" s="430"/>
      <c r="AL2946" s="430"/>
      <c r="AM2946" s="433"/>
      <c r="AN2946" s="430"/>
      <c r="AO2946" s="430"/>
      <c r="AP2946" s="430"/>
      <c r="AQ2946" s="430"/>
      <c r="AR2946" s="430"/>
      <c r="AS2946" s="430"/>
      <c r="AT2946" s="430"/>
      <c r="AU2946" s="426"/>
      <c r="AV2946" s="434"/>
      <c r="AW2946" s="269" t="s">
        <v>2732</v>
      </c>
      <c r="AX2946" s="269" t="s">
        <v>2869</v>
      </c>
      <c r="AY2946" s="270" t="s">
        <v>695</v>
      </c>
      <c r="AZ2946" s="435"/>
      <c r="BA2946" s="173">
        <v>10.0</v>
      </c>
      <c r="BB2946" s="434"/>
      <c r="BC2946" s="434"/>
      <c r="BD2946" s="308" t="s">
        <v>1844</v>
      </c>
      <c r="BE2946" s="436"/>
      <c r="BF2946" s="274" t="str">
        <f>IFERROR(__xludf.DUMMYFUNCTION("LOWER(Regexreplace(to_text(E2946),""[^A-Za-z0-9]"","""")&amp;""_""&amp;Regexreplace(to_text(F2946),""[^A-Za-z0-9]"",""""))"),"aquagen_uwm220dn50dn500")</f>
        <v>aquagen_uwm220dn50dn500</v>
      </c>
      <c r="BG2946" s="275" t="str">
        <f>IFERROR(__xludf.DUMMYFUNCTION("upper(Regexreplace(to_text(E2946),""[^A-Za-z0-9]"","""")&amp;""-""&amp;Regexreplace(to_text(F2946),""[^A-Za-z0-9]"",""""))"),"AQUAGEN-UWM220DN50DN500")</f>
        <v>AQUAGEN-UWM220DN50DN500</v>
      </c>
    </row>
    <row r="2947" ht="30.0" customHeight="1">
      <c r="A2947" s="328">
        <v>2690.0</v>
      </c>
      <c r="B2947" s="425" t="s">
        <v>670</v>
      </c>
      <c r="C2947" s="257" t="s">
        <v>9207</v>
      </c>
      <c r="D2947" s="173" t="s">
        <v>9207</v>
      </c>
      <c r="E2947" s="174" t="s">
        <v>9208</v>
      </c>
      <c r="F2947" s="173" t="s">
        <v>9209</v>
      </c>
      <c r="G2947" s="425" t="s">
        <v>673</v>
      </c>
      <c r="H2947" s="425" t="s">
        <v>2863</v>
      </c>
      <c r="I2947" s="258" t="s">
        <v>9210</v>
      </c>
      <c r="J2947" s="259" t="s">
        <v>739</v>
      </c>
      <c r="K2947" s="260"/>
      <c r="L2947" s="142"/>
      <c r="M2947" s="426"/>
      <c r="N2947" s="173" t="s">
        <v>679</v>
      </c>
      <c r="O2947" s="173" t="s">
        <v>225</v>
      </c>
      <c r="P2947" s="262" t="str">
        <f t="shared" si="1"/>
        <v>IN-BLR-ANANTA-FRZ-1_G</v>
      </c>
      <c r="Q2947" s="173" t="s">
        <v>9211</v>
      </c>
      <c r="R2947" s="328" t="str">
        <f>IFS(C2947="","",C2947="n/a","N/A",LEN(C2947),Concatenate("{",char(34),"asset",char(34),":{",char(34),"guid",char(34),":",char(34),Q2947,char(34),",",char(34),"site",char(34),":",char(34),LOWER('2-Building'!$B$4),char(34),",",char(34),"name",char(34),":",char(34),LOWER(C2947),char(34),"}}"))</f>
        <v>{"asset":{"guid":"uuid://f02c234b-1355-4004-808c-0dcad87f6812","site":"in-blr-ananta","name":"frz-1"}}</v>
      </c>
      <c r="S2947" s="430"/>
      <c r="T2947" s="427"/>
      <c r="U2947" s="427"/>
      <c r="V2947" s="428"/>
      <c r="W2947" s="429"/>
      <c r="X2947" s="430"/>
      <c r="Y2947" s="33" t="s">
        <v>8076</v>
      </c>
      <c r="Z2947" s="430"/>
      <c r="AA2947" s="430"/>
      <c r="AB2947" s="258"/>
      <c r="AC2947" s="430"/>
      <c r="AD2947" s="426"/>
      <c r="AE2947" s="428"/>
      <c r="AF2947" s="431"/>
      <c r="AG2947" s="432" t="str">
        <f>IFS(LEN(AF2947)=17,LOWER('2-Building'!$B$4 &amp; "-" &amp; C2947), AF2947="N/A", "N/A", LEN(AF2947)=0,"")</f>
        <v/>
      </c>
      <c r="AH2947" s="430"/>
      <c r="AI2947" s="430"/>
      <c r="AJ2947" s="430"/>
      <c r="AK2947" s="430"/>
      <c r="AL2947" s="430"/>
      <c r="AM2947" s="433"/>
      <c r="AN2947" s="430"/>
      <c r="AO2947" s="430"/>
      <c r="AP2947" s="430"/>
      <c r="AQ2947" s="430"/>
      <c r="AR2947" s="430"/>
      <c r="AS2947" s="430"/>
      <c r="AT2947" s="430"/>
      <c r="AU2947" s="426"/>
      <c r="AV2947" s="434"/>
      <c r="AW2947" s="269" t="s">
        <v>1940</v>
      </c>
      <c r="AX2947" s="269" t="s">
        <v>2869</v>
      </c>
      <c r="AY2947" s="270"/>
      <c r="AZ2947" s="435"/>
      <c r="BA2947" s="173"/>
      <c r="BB2947" s="434"/>
      <c r="BC2947" s="434"/>
      <c r="BD2947" s="308" t="s">
        <v>1844</v>
      </c>
      <c r="BE2947" s="436"/>
      <c r="BF2947" s="274" t="str">
        <f>IFERROR(__xludf.DUMMYFUNCTION("LOWER(Regexreplace(to_text(E2947),""[^A-Za-z0-9]"","""")&amp;""_""&amp;Regexreplace(to_text(F2947),""[^A-Za-z0-9]"",""""))"),"pvrcontrols_crc202000")</f>
        <v>pvrcontrols_crc202000</v>
      </c>
      <c r="BG2947" s="275" t="str">
        <f>IFERROR(__xludf.DUMMYFUNCTION("upper(Regexreplace(to_text(E2947),""[^A-Za-z0-9]"","""")&amp;""-""&amp;Regexreplace(to_text(F2947),""[^A-Za-z0-9]"",""""))"),"PVRCONTROLS-CRC202000")</f>
        <v>PVRCONTROLS-CRC202000</v>
      </c>
    </row>
    <row r="2948" ht="30.0" customHeight="1">
      <c r="A2948" s="425">
        <v>2690.0</v>
      </c>
      <c r="B2948" s="425" t="s">
        <v>670</v>
      </c>
      <c r="C2948" s="257" t="s">
        <v>9212</v>
      </c>
      <c r="D2948" s="173" t="s">
        <v>9212</v>
      </c>
      <c r="E2948" s="174" t="s">
        <v>9208</v>
      </c>
      <c r="F2948" s="173" t="s">
        <v>9209</v>
      </c>
      <c r="G2948" s="425" t="s">
        <v>673</v>
      </c>
      <c r="H2948" s="425" t="s">
        <v>2863</v>
      </c>
      <c r="I2948" s="258" t="s">
        <v>9210</v>
      </c>
      <c r="J2948" s="259" t="s">
        <v>739</v>
      </c>
      <c r="K2948" s="260"/>
      <c r="L2948" s="142"/>
      <c r="M2948" s="426"/>
      <c r="N2948" s="173" t="s">
        <v>679</v>
      </c>
      <c r="O2948" s="173" t="s">
        <v>225</v>
      </c>
      <c r="P2948" s="262" t="str">
        <f t="shared" si="1"/>
        <v>IN-BLR-ANANTA-FRZ-2_G</v>
      </c>
      <c r="Q2948" s="173" t="s">
        <v>9213</v>
      </c>
      <c r="R2948" s="328" t="str">
        <f>IFS(C2948="","",C2948="n/a","N/A",LEN(C2948),Concatenate("{",char(34),"asset",char(34),":{",char(34),"guid",char(34),":",char(34),Q2948,char(34),",",char(34),"site",char(34),":",char(34),LOWER('2-Building'!$B$4),char(34),",",char(34),"name",char(34),":",char(34),LOWER(C2948),char(34),"}}"))</f>
        <v>{"asset":{"guid":"uuid://747bdbd0-5e73-46dc-a8b6-78fcba05579e","site":"in-blr-ananta","name":"frz-2"}}</v>
      </c>
      <c r="S2948" s="430"/>
      <c r="T2948" s="427"/>
      <c r="U2948" s="427"/>
      <c r="V2948" s="428"/>
      <c r="W2948" s="429"/>
      <c r="X2948" s="430"/>
      <c r="Y2948" s="33" t="s">
        <v>8076</v>
      </c>
      <c r="Z2948" s="430"/>
      <c r="AA2948" s="430"/>
      <c r="AB2948" s="258"/>
      <c r="AC2948" s="430"/>
      <c r="AD2948" s="426"/>
      <c r="AE2948" s="428"/>
      <c r="AF2948" s="431"/>
      <c r="AG2948" s="432" t="str">
        <f>IFS(LEN(AF2948)=17,LOWER('2-Building'!$B$4 &amp; "-" &amp; C2948), AF2948="N/A", "N/A", LEN(AF2948)=0,"")</f>
        <v/>
      </c>
      <c r="AH2948" s="430"/>
      <c r="AI2948" s="430"/>
      <c r="AJ2948" s="430"/>
      <c r="AK2948" s="430"/>
      <c r="AL2948" s="430"/>
      <c r="AM2948" s="433"/>
      <c r="AN2948" s="430"/>
      <c r="AO2948" s="430"/>
      <c r="AP2948" s="430"/>
      <c r="AQ2948" s="430"/>
      <c r="AR2948" s="430"/>
      <c r="AS2948" s="430"/>
      <c r="AT2948" s="430"/>
      <c r="AU2948" s="426"/>
      <c r="AV2948" s="434"/>
      <c r="AW2948" s="269" t="s">
        <v>1940</v>
      </c>
      <c r="AX2948" s="269" t="s">
        <v>2869</v>
      </c>
      <c r="AY2948" s="270"/>
      <c r="AZ2948" s="435"/>
      <c r="BA2948" s="173"/>
      <c r="BB2948" s="434"/>
      <c r="BC2948" s="434"/>
      <c r="BD2948" s="308" t="s">
        <v>1844</v>
      </c>
      <c r="BE2948" s="436"/>
      <c r="BF2948" s="274" t="str">
        <f>IFERROR(__xludf.DUMMYFUNCTION("LOWER(Regexreplace(to_text(E2948),""[^A-Za-z0-9]"","""")&amp;""_""&amp;Regexreplace(to_text(F2948),""[^A-Za-z0-9]"",""""))"),"pvrcontrols_crc202000")</f>
        <v>pvrcontrols_crc202000</v>
      </c>
      <c r="BG2948" s="275" t="str">
        <f>IFERROR(__xludf.DUMMYFUNCTION("upper(Regexreplace(to_text(E2948),""[^A-Za-z0-9]"","""")&amp;""-""&amp;Regexreplace(to_text(F2948),""[^A-Za-z0-9]"",""""))"),"PVRCONTROLS-CRC202000")</f>
        <v>PVRCONTROLS-CRC202000</v>
      </c>
    </row>
    <row r="2949" ht="30.0" customHeight="1">
      <c r="A2949" s="328">
        <v>2690.0</v>
      </c>
      <c r="B2949" s="425" t="s">
        <v>670</v>
      </c>
      <c r="C2949" s="257" t="s">
        <v>9214</v>
      </c>
      <c r="D2949" s="173" t="s">
        <v>9214</v>
      </c>
      <c r="E2949" s="174" t="s">
        <v>9208</v>
      </c>
      <c r="F2949" s="173" t="s">
        <v>9209</v>
      </c>
      <c r="G2949" s="425" t="s">
        <v>673</v>
      </c>
      <c r="H2949" s="425" t="s">
        <v>2863</v>
      </c>
      <c r="I2949" s="258" t="s">
        <v>9210</v>
      </c>
      <c r="J2949" s="259" t="s">
        <v>739</v>
      </c>
      <c r="K2949" s="260"/>
      <c r="L2949" s="142"/>
      <c r="M2949" s="426"/>
      <c r="N2949" s="173" t="s">
        <v>679</v>
      </c>
      <c r="O2949" s="173" t="s">
        <v>225</v>
      </c>
      <c r="P2949" s="262" t="str">
        <f t="shared" si="1"/>
        <v>IN-BLR-ANANTA-FRZ-3_G</v>
      </c>
      <c r="Q2949" s="173" t="s">
        <v>9215</v>
      </c>
      <c r="R2949" s="328" t="str">
        <f>IFS(C2949="","",C2949="n/a","N/A",LEN(C2949),Concatenate("{",char(34),"asset",char(34),":{",char(34),"guid",char(34),":",char(34),Q2949,char(34),",",char(34),"site",char(34),":",char(34),LOWER('2-Building'!$B$4),char(34),",",char(34),"name",char(34),":",char(34),LOWER(C2949),char(34),"}}"))</f>
        <v>{"asset":{"guid":"uuid://3e625980-ea23-4d8e-86d3-db0bbc3f2d0e","site":"in-blr-ananta","name":"frz-3"}}</v>
      </c>
      <c r="S2949" s="430"/>
      <c r="T2949" s="427"/>
      <c r="U2949" s="427"/>
      <c r="V2949" s="428"/>
      <c r="W2949" s="429"/>
      <c r="X2949" s="430"/>
      <c r="Y2949" s="33" t="s">
        <v>8076</v>
      </c>
      <c r="Z2949" s="430"/>
      <c r="AA2949" s="430"/>
      <c r="AB2949" s="258"/>
      <c r="AC2949" s="430"/>
      <c r="AD2949" s="426"/>
      <c r="AE2949" s="428"/>
      <c r="AF2949" s="431"/>
      <c r="AG2949" s="432" t="str">
        <f>IFS(LEN(AF2949)=17,LOWER('2-Building'!$B$4 &amp; "-" &amp; C2949), AF2949="N/A", "N/A", LEN(AF2949)=0,"")</f>
        <v/>
      </c>
      <c r="AH2949" s="430"/>
      <c r="AI2949" s="430"/>
      <c r="AJ2949" s="430"/>
      <c r="AK2949" s="430"/>
      <c r="AL2949" s="430"/>
      <c r="AM2949" s="433"/>
      <c r="AN2949" s="430"/>
      <c r="AO2949" s="430"/>
      <c r="AP2949" s="430"/>
      <c r="AQ2949" s="430"/>
      <c r="AR2949" s="430"/>
      <c r="AS2949" s="430"/>
      <c r="AT2949" s="430"/>
      <c r="AU2949" s="426"/>
      <c r="AV2949" s="434"/>
      <c r="AW2949" s="269" t="s">
        <v>1940</v>
      </c>
      <c r="AX2949" s="269" t="s">
        <v>2869</v>
      </c>
      <c r="AY2949" s="270"/>
      <c r="AZ2949" s="435"/>
      <c r="BA2949" s="173"/>
      <c r="BB2949" s="434"/>
      <c r="BC2949" s="434"/>
      <c r="BD2949" s="308" t="s">
        <v>1844</v>
      </c>
      <c r="BE2949" s="436"/>
      <c r="BF2949" s="274" t="str">
        <f>IFERROR(__xludf.DUMMYFUNCTION("LOWER(Regexreplace(to_text(E2949),""[^A-Za-z0-9]"","""")&amp;""_""&amp;Regexreplace(to_text(F2949),""[^A-Za-z0-9]"",""""))"),"pvrcontrols_crc202000")</f>
        <v>pvrcontrols_crc202000</v>
      </c>
      <c r="BG2949" s="275" t="str">
        <f>IFERROR(__xludf.DUMMYFUNCTION("upper(Regexreplace(to_text(E2949),""[^A-Za-z0-9]"","""")&amp;""-""&amp;Regexreplace(to_text(F2949),""[^A-Za-z0-9]"",""""))"),"PVRCONTROLS-CRC202000")</f>
        <v>PVRCONTROLS-CRC202000</v>
      </c>
    </row>
    <row r="2950" ht="30.0" customHeight="1">
      <c r="A2950" s="173">
        <v>2689.0</v>
      </c>
      <c r="B2950" s="328" t="s">
        <v>670</v>
      </c>
      <c r="C2950" s="257" t="s">
        <v>9216</v>
      </c>
      <c r="D2950" s="173" t="s">
        <v>9216</v>
      </c>
      <c r="E2950" s="174" t="s">
        <v>9208</v>
      </c>
      <c r="F2950" s="173" t="s">
        <v>9209</v>
      </c>
      <c r="G2950" s="328" t="s">
        <v>673</v>
      </c>
      <c r="H2950" s="328" t="s">
        <v>2863</v>
      </c>
      <c r="I2950" s="258" t="s">
        <v>9210</v>
      </c>
      <c r="J2950" s="259" t="s">
        <v>739</v>
      </c>
      <c r="K2950" s="260"/>
      <c r="L2950" s="142"/>
      <c r="M2950" s="329"/>
      <c r="N2950" s="173" t="s">
        <v>679</v>
      </c>
      <c r="O2950" s="173" t="s">
        <v>225</v>
      </c>
      <c r="P2950" s="262" t="str">
        <f t="shared" si="1"/>
        <v>IN-BLR-ANANTA-FRZ-4_G</v>
      </c>
      <c r="Q2950" s="173" t="s">
        <v>9217</v>
      </c>
      <c r="R2950" s="328" t="str">
        <f>IFS(C2950="","",C2950="n/a","N/A",LEN(C2950),Concatenate("{",char(34),"asset",char(34),":{",char(34),"guid",char(34),":",char(34),Q2950,char(34),",",char(34),"site",char(34),":",char(34),LOWER('2-Building'!$B$4),char(34),",",char(34),"name",char(34),":",char(34),LOWER(C2950),char(34),"}}"))</f>
        <v>{"asset":{"guid":"uuid://dda4e7b0-f418-4862-a0ce-c1529403af43","site":"in-blr-ananta","name":"frz-4"}}</v>
      </c>
      <c r="S2950" s="333"/>
      <c r="T2950" s="330"/>
      <c r="U2950" s="330"/>
      <c r="V2950" s="331"/>
      <c r="W2950" s="332"/>
      <c r="X2950" s="333"/>
      <c r="Y2950" s="33" t="s">
        <v>8076</v>
      </c>
      <c r="Z2950" s="368"/>
      <c r="AA2950" s="333"/>
      <c r="AB2950" s="258"/>
      <c r="AC2950" s="333"/>
      <c r="AD2950" s="329"/>
      <c r="AE2950" s="331"/>
      <c r="AF2950" s="336"/>
      <c r="AG2950" s="337" t="str">
        <f>IFS(LEN(AF2950)=17,LOWER('2-Building'!$B$4 &amp; "-" &amp; C2950), AF2950="N/A", "N/A", LEN(AF2950)=0,"")</f>
        <v/>
      </c>
      <c r="AH2950" s="333"/>
      <c r="AI2950" s="333"/>
      <c r="AJ2950" s="333"/>
      <c r="AK2950" s="333"/>
      <c r="AL2950" s="333"/>
      <c r="AM2950" s="338"/>
      <c r="AN2950" s="333"/>
      <c r="AO2950" s="333"/>
      <c r="AP2950" s="333"/>
      <c r="AQ2950" s="333"/>
      <c r="AR2950" s="333"/>
      <c r="AS2950" s="333"/>
      <c r="AT2950" s="333"/>
      <c r="AU2950" s="329"/>
      <c r="AV2950" s="341"/>
      <c r="AW2950" s="269" t="s">
        <v>1940</v>
      </c>
      <c r="AX2950" s="269" t="s">
        <v>2869</v>
      </c>
      <c r="AY2950" s="270"/>
      <c r="AZ2950" s="379"/>
      <c r="BA2950" s="173"/>
      <c r="BB2950" s="341"/>
      <c r="BC2950" s="341"/>
      <c r="BD2950" s="308" t="s">
        <v>1844</v>
      </c>
      <c r="BE2950" s="364"/>
      <c r="BF2950" s="274" t="str">
        <f>IFERROR(__xludf.DUMMYFUNCTION("LOWER(Regexreplace(to_text(E2950),""[^A-Za-z0-9]"","""")&amp;""_""&amp;Regexreplace(to_text(F2950),""[^A-Za-z0-9]"",""""))"),"pvrcontrols_crc202000")</f>
        <v>pvrcontrols_crc202000</v>
      </c>
      <c r="BG2950" s="275" t="str">
        <f>IFERROR(__xludf.DUMMYFUNCTION("upper(Regexreplace(to_text(E2950),""[^A-Za-z0-9]"","""")&amp;""-""&amp;Regexreplace(to_text(F2950),""[^A-Za-z0-9]"",""""))"),"PVRCONTROLS-CRC202000")</f>
        <v>PVRCONTROLS-CRC202000</v>
      </c>
    </row>
    <row r="2951" ht="30.0" customHeight="1">
      <c r="A2951" s="173">
        <v>2691.0</v>
      </c>
      <c r="B2951" s="328" t="s">
        <v>670</v>
      </c>
      <c r="C2951" s="257" t="s">
        <v>9218</v>
      </c>
      <c r="D2951" s="173" t="s">
        <v>9218</v>
      </c>
      <c r="E2951" s="174" t="s">
        <v>9208</v>
      </c>
      <c r="F2951" s="173" t="s">
        <v>9209</v>
      </c>
      <c r="G2951" s="328" t="s">
        <v>673</v>
      </c>
      <c r="H2951" s="328" t="s">
        <v>2863</v>
      </c>
      <c r="I2951" s="258" t="s">
        <v>9210</v>
      </c>
      <c r="J2951" s="259" t="s">
        <v>739</v>
      </c>
      <c r="K2951" s="260"/>
      <c r="L2951" s="142"/>
      <c r="M2951" s="329"/>
      <c r="N2951" s="173" t="s">
        <v>679</v>
      </c>
      <c r="O2951" s="173" t="s">
        <v>225</v>
      </c>
      <c r="P2951" s="262" t="str">
        <f t="shared" si="1"/>
        <v>IN-BLR-ANANTA-FRZ-5_G</v>
      </c>
      <c r="Q2951" s="173" t="s">
        <v>9219</v>
      </c>
      <c r="R2951" s="328" t="str">
        <f>IFS(C2951="","",C2951="n/a","N/A",LEN(C2951),Concatenate("{",char(34),"asset",char(34),":{",char(34),"guid",char(34),":",char(34),Q2951,char(34),",",char(34),"site",char(34),":",char(34),LOWER('2-Building'!$B$4),char(34),",",char(34),"name",char(34),":",char(34),LOWER(C2951),char(34),"}}"))</f>
        <v>{"asset":{"guid":"uuid://99de4598-4c3b-46aa-aae7-7976d7546a37","site":"in-blr-ananta","name":"frz-5"}}</v>
      </c>
      <c r="S2951" s="333"/>
      <c r="T2951" s="330"/>
      <c r="U2951" s="330"/>
      <c r="V2951" s="331"/>
      <c r="W2951" s="332"/>
      <c r="X2951" s="333"/>
      <c r="Y2951" s="33" t="s">
        <v>8076</v>
      </c>
      <c r="Z2951" s="368"/>
      <c r="AA2951" s="333"/>
      <c r="AB2951" s="258"/>
      <c r="AC2951" s="333"/>
      <c r="AD2951" s="329"/>
      <c r="AE2951" s="331"/>
      <c r="AF2951" s="336"/>
      <c r="AG2951" s="337" t="str">
        <f>IFS(LEN(AF2951)=17,LOWER('2-Building'!$B$4 &amp; "-" &amp; C2951), AF2951="N/A", "N/A", LEN(AF2951)=0,"")</f>
        <v/>
      </c>
      <c r="AH2951" s="333"/>
      <c r="AI2951" s="333"/>
      <c r="AJ2951" s="333"/>
      <c r="AK2951" s="333"/>
      <c r="AL2951" s="333"/>
      <c r="AM2951" s="338"/>
      <c r="AN2951" s="333"/>
      <c r="AO2951" s="333"/>
      <c r="AP2951" s="333"/>
      <c r="AQ2951" s="333"/>
      <c r="AR2951" s="333"/>
      <c r="AS2951" s="333"/>
      <c r="AT2951" s="333"/>
      <c r="AU2951" s="329"/>
      <c r="AV2951" s="341"/>
      <c r="AW2951" s="269" t="s">
        <v>1940</v>
      </c>
      <c r="AX2951" s="269" t="s">
        <v>2869</v>
      </c>
      <c r="AY2951" s="270"/>
      <c r="AZ2951" s="379"/>
      <c r="BA2951" s="173"/>
      <c r="BB2951" s="341"/>
      <c r="BC2951" s="341"/>
      <c r="BD2951" s="308" t="s">
        <v>1844</v>
      </c>
      <c r="BE2951" s="364"/>
      <c r="BF2951" s="274" t="str">
        <f>IFERROR(__xludf.DUMMYFUNCTION("LOWER(Regexreplace(to_text(E2951),""[^A-Za-z0-9]"","""")&amp;""_""&amp;Regexreplace(to_text(F2951),""[^A-Za-z0-9]"",""""))"),"pvrcontrols_crc202000")</f>
        <v>pvrcontrols_crc202000</v>
      </c>
      <c r="BG2951" s="275" t="str">
        <f>IFERROR(__xludf.DUMMYFUNCTION("upper(Regexreplace(to_text(E2951),""[^A-Za-z0-9]"","""")&amp;""-""&amp;Regexreplace(to_text(F2951),""[^A-Za-z0-9]"",""""))"),"PVRCONTROLS-CRC202000")</f>
        <v>PVRCONTROLS-CRC202000</v>
      </c>
    </row>
    <row r="2952" ht="30.0" customHeight="1">
      <c r="A2952" s="258">
        <v>2690.0</v>
      </c>
      <c r="B2952" s="328" t="s">
        <v>670</v>
      </c>
      <c r="C2952" s="257" t="s">
        <v>9220</v>
      </c>
      <c r="D2952" s="173" t="s">
        <v>9220</v>
      </c>
      <c r="E2952" s="174" t="s">
        <v>9208</v>
      </c>
      <c r="F2952" s="173" t="s">
        <v>9209</v>
      </c>
      <c r="G2952" s="328" t="s">
        <v>673</v>
      </c>
      <c r="H2952" s="328" t="s">
        <v>2863</v>
      </c>
      <c r="I2952" s="258" t="s">
        <v>9210</v>
      </c>
      <c r="J2952" s="259" t="s">
        <v>739</v>
      </c>
      <c r="K2952" s="260"/>
      <c r="L2952" s="142"/>
      <c r="M2952" s="329"/>
      <c r="N2952" s="173" t="s">
        <v>679</v>
      </c>
      <c r="O2952" s="173" t="s">
        <v>225</v>
      </c>
      <c r="P2952" s="262" t="str">
        <f t="shared" si="1"/>
        <v>IN-BLR-ANANTA-FRZ-6_G</v>
      </c>
      <c r="Q2952" s="173" t="s">
        <v>9221</v>
      </c>
      <c r="R2952" s="328" t="str">
        <f>IFS(C2952="","",C2952="n/a","N/A",LEN(C2952),Concatenate("{",char(34),"asset",char(34),":{",char(34),"guid",char(34),":",char(34),Q2952,char(34),",",char(34),"site",char(34),":",char(34),LOWER('2-Building'!$B$4),char(34),",",char(34),"name",char(34),":",char(34),LOWER(C2952),char(34),"}}"))</f>
        <v>{"asset":{"guid":"uuid://2d87809d-4a7a-4587-a86e-fb530b9af6b4","site":"in-blr-ananta","name":"frz-6"}}</v>
      </c>
      <c r="S2952" s="333"/>
      <c r="T2952" s="330"/>
      <c r="U2952" s="330"/>
      <c r="V2952" s="331"/>
      <c r="W2952" s="332"/>
      <c r="X2952" s="333"/>
      <c r="Y2952" s="33" t="s">
        <v>8076</v>
      </c>
      <c r="Z2952" s="368"/>
      <c r="AA2952" s="333"/>
      <c r="AB2952" s="258"/>
      <c r="AC2952" s="333"/>
      <c r="AD2952" s="329"/>
      <c r="AE2952" s="331"/>
      <c r="AF2952" s="336"/>
      <c r="AG2952" s="337" t="str">
        <f>IFS(LEN(AF2952)=17,LOWER('2-Building'!$B$4 &amp; "-" &amp; C2952), AF2952="N/A", "N/A", LEN(AF2952)=0,"")</f>
        <v/>
      </c>
      <c r="AH2952" s="333"/>
      <c r="AI2952" s="333"/>
      <c r="AJ2952" s="333"/>
      <c r="AK2952" s="333"/>
      <c r="AL2952" s="333"/>
      <c r="AM2952" s="338"/>
      <c r="AN2952" s="333"/>
      <c r="AO2952" s="333"/>
      <c r="AP2952" s="333"/>
      <c r="AQ2952" s="333"/>
      <c r="AR2952" s="333"/>
      <c r="AS2952" s="333"/>
      <c r="AT2952" s="333"/>
      <c r="AU2952" s="329"/>
      <c r="AV2952" s="341"/>
      <c r="AW2952" s="269" t="s">
        <v>1940</v>
      </c>
      <c r="AX2952" s="269" t="s">
        <v>2869</v>
      </c>
      <c r="AY2952" s="270"/>
      <c r="AZ2952" s="379"/>
      <c r="BA2952" s="173"/>
      <c r="BB2952" s="341"/>
      <c r="BC2952" s="341"/>
      <c r="BD2952" s="308" t="s">
        <v>1844</v>
      </c>
      <c r="BE2952" s="364"/>
      <c r="BF2952" s="274" t="str">
        <f>IFERROR(__xludf.DUMMYFUNCTION("LOWER(Regexreplace(to_text(E2952),""[^A-Za-z0-9]"","""")&amp;""_""&amp;Regexreplace(to_text(F2952),""[^A-Za-z0-9]"",""""))"),"pvrcontrols_crc202000")</f>
        <v>pvrcontrols_crc202000</v>
      </c>
      <c r="BG2952" s="275" t="str">
        <f>IFERROR(__xludf.DUMMYFUNCTION("upper(Regexreplace(to_text(E2952),""[^A-Za-z0-9]"","""")&amp;""-""&amp;Regexreplace(to_text(F2952),""[^A-Za-z0-9]"",""""))"),"PVRCONTROLS-CRC202000")</f>
        <v>PVRCONTROLS-CRC202000</v>
      </c>
    </row>
    <row r="2953" ht="30.0" customHeight="1">
      <c r="A2953" s="328">
        <v>2690.0</v>
      </c>
      <c r="B2953" s="425" t="s">
        <v>670</v>
      </c>
      <c r="C2953" s="257" t="s">
        <v>9222</v>
      </c>
      <c r="D2953" s="173" t="s">
        <v>9222</v>
      </c>
      <c r="E2953" s="174" t="s">
        <v>9208</v>
      </c>
      <c r="F2953" s="173" t="s">
        <v>9209</v>
      </c>
      <c r="G2953" s="425" t="s">
        <v>673</v>
      </c>
      <c r="H2953" s="425" t="s">
        <v>2863</v>
      </c>
      <c r="I2953" s="258" t="s">
        <v>9210</v>
      </c>
      <c r="J2953" s="259" t="s">
        <v>739</v>
      </c>
      <c r="K2953" s="260"/>
      <c r="L2953" s="142"/>
      <c r="M2953" s="426"/>
      <c r="N2953" s="173" t="s">
        <v>679</v>
      </c>
      <c r="O2953" s="173" t="s">
        <v>225</v>
      </c>
      <c r="P2953" s="262" t="str">
        <f t="shared" si="1"/>
        <v>IN-BLR-ANANTA-FRZ-7_G</v>
      </c>
      <c r="Q2953" s="173" t="s">
        <v>9223</v>
      </c>
      <c r="R2953" s="328" t="str">
        <f>IFS(C2953="","",C2953="n/a","N/A",LEN(C2953),Concatenate("{",char(34),"asset",char(34),":{",char(34),"guid",char(34),":",char(34),Q2953,char(34),",",char(34),"site",char(34),":",char(34),LOWER('2-Building'!$B$4),char(34),",",char(34),"name",char(34),":",char(34),LOWER(C2953),char(34),"}}"))</f>
        <v>{"asset":{"guid":"uuid://1da582f4-5f55-4f90-98cc-eb3745274bc0","site":"in-blr-ananta","name":"frz-7"}}</v>
      </c>
      <c r="S2953" s="430"/>
      <c r="T2953" s="427"/>
      <c r="U2953" s="427"/>
      <c r="V2953" s="428"/>
      <c r="W2953" s="429"/>
      <c r="X2953" s="430"/>
      <c r="Y2953" s="33" t="s">
        <v>8076</v>
      </c>
      <c r="Z2953" s="430"/>
      <c r="AA2953" s="430"/>
      <c r="AB2953" s="258"/>
      <c r="AC2953" s="430"/>
      <c r="AD2953" s="426"/>
      <c r="AE2953" s="428"/>
      <c r="AF2953" s="431"/>
      <c r="AG2953" s="432" t="str">
        <f>IFS(LEN(AF2953)=17,LOWER('2-Building'!$B$4 &amp; "-" &amp; C2953), AF2953="N/A", "N/A", LEN(AF2953)=0,"")</f>
        <v/>
      </c>
      <c r="AH2953" s="430"/>
      <c r="AI2953" s="430"/>
      <c r="AJ2953" s="430"/>
      <c r="AK2953" s="430"/>
      <c r="AL2953" s="430"/>
      <c r="AM2953" s="433"/>
      <c r="AN2953" s="430"/>
      <c r="AO2953" s="430"/>
      <c r="AP2953" s="430"/>
      <c r="AQ2953" s="430"/>
      <c r="AR2953" s="430"/>
      <c r="AS2953" s="430"/>
      <c r="AT2953" s="430"/>
      <c r="AU2953" s="426"/>
      <c r="AV2953" s="434"/>
      <c r="AW2953" s="269" t="s">
        <v>1940</v>
      </c>
      <c r="AX2953" s="269" t="s">
        <v>2869</v>
      </c>
      <c r="AY2953" s="270"/>
      <c r="AZ2953" s="435"/>
      <c r="BA2953" s="173"/>
      <c r="BB2953" s="434"/>
      <c r="BC2953" s="434"/>
      <c r="BD2953" s="308" t="s">
        <v>1844</v>
      </c>
      <c r="BE2953" s="436"/>
      <c r="BF2953" s="274" t="str">
        <f>IFERROR(__xludf.DUMMYFUNCTION("LOWER(Regexreplace(to_text(E2953),""[^A-Za-z0-9]"","""")&amp;""_""&amp;Regexreplace(to_text(F2953),""[^A-Za-z0-9]"",""""))"),"pvrcontrols_crc202000")</f>
        <v>pvrcontrols_crc202000</v>
      </c>
      <c r="BG2953" s="275" t="str">
        <f>IFERROR(__xludf.DUMMYFUNCTION("upper(Regexreplace(to_text(E2953),""[^A-Za-z0-9]"","""")&amp;""-""&amp;Regexreplace(to_text(F2953),""[^A-Za-z0-9]"",""""))"),"PVRCONTROLS-CRC202000")</f>
        <v>PVRCONTROLS-CRC202000</v>
      </c>
    </row>
    <row r="2954" ht="30.0" customHeight="1">
      <c r="A2954" s="258">
        <v>2690.0</v>
      </c>
      <c r="B2954" s="328" t="s">
        <v>670</v>
      </c>
      <c r="C2954" s="257" t="s">
        <v>9224</v>
      </c>
      <c r="D2954" s="173" t="s">
        <v>9224</v>
      </c>
      <c r="E2954" s="174" t="s">
        <v>9208</v>
      </c>
      <c r="F2954" s="173" t="s">
        <v>9209</v>
      </c>
      <c r="G2954" s="328" t="s">
        <v>673</v>
      </c>
      <c r="H2954" s="328" t="s">
        <v>2863</v>
      </c>
      <c r="I2954" s="258" t="s">
        <v>9210</v>
      </c>
      <c r="J2954" s="259" t="s">
        <v>739</v>
      </c>
      <c r="K2954" s="260"/>
      <c r="L2954" s="142"/>
      <c r="M2954" s="329"/>
      <c r="N2954" s="173" t="s">
        <v>679</v>
      </c>
      <c r="O2954" s="173" t="s">
        <v>225</v>
      </c>
      <c r="P2954" s="262" t="str">
        <f t="shared" si="1"/>
        <v>IN-BLR-ANANTA-FRZ-8_G</v>
      </c>
      <c r="Q2954" s="173" t="s">
        <v>9225</v>
      </c>
      <c r="R2954" s="328" t="str">
        <f>IFS(C2954="","",C2954="n/a","N/A",LEN(C2954),Concatenate("{",char(34),"asset",char(34),":{",char(34),"guid",char(34),":",char(34),Q2954,char(34),",",char(34),"site",char(34),":",char(34),LOWER('2-Building'!$B$4),char(34),",",char(34),"name",char(34),":",char(34),LOWER(C2954),char(34),"}}"))</f>
        <v>{"asset":{"guid":"uuid://377ff335-d855-48e8-a03e-960a3c841df9","site":"in-blr-ananta","name":"frz-8"}}</v>
      </c>
      <c r="S2954" s="333"/>
      <c r="T2954" s="330"/>
      <c r="U2954" s="330"/>
      <c r="V2954" s="331"/>
      <c r="W2954" s="332"/>
      <c r="X2954" s="333"/>
      <c r="Y2954" s="33" t="s">
        <v>8076</v>
      </c>
      <c r="Z2954" s="368"/>
      <c r="AA2954" s="333"/>
      <c r="AB2954" s="258"/>
      <c r="AC2954" s="333"/>
      <c r="AD2954" s="329"/>
      <c r="AE2954" s="331"/>
      <c r="AF2954" s="336"/>
      <c r="AG2954" s="337" t="str">
        <f>IFS(LEN(AF2954)=17,LOWER('2-Building'!$B$4 &amp; "-" &amp; C2954), AF2954="N/A", "N/A", LEN(AF2954)=0,"")</f>
        <v/>
      </c>
      <c r="AH2954" s="333"/>
      <c r="AI2954" s="333"/>
      <c r="AJ2954" s="333"/>
      <c r="AK2954" s="333"/>
      <c r="AL2954" s="333"/>
      <c r="AM2954" s="338"/>
      <c r="AN2954" s="333"/>
      <c r="AO2954" s="333"/>
      <c r="AP2954" s="333"/>
      <c r="AQ2954" s="333"/>
      <c r="AR2954" s="333"/>
      <c r="AS2954" s="333"/>
      <c r="AT2954" s="333"/>
      <c r="AU2954" s="329"/>
      <c r="AV2954" s="341"/>
      <c r="AW2954" s="269" t="s">
        <v>1940</v>
      </c>
      <c r="AX2954" s="269" t="s">
        <v>2869</v>
      </c>
      <c r="AY2954" s="270"/>
      <c r="AZ2954" s="379"/>
      <c r="BA2954" s="173"/>
      <c r="BB2954" s="341"/>
      <c r="BC2954" s="341"/>
      <c r="BD2954" s="308" t="s">
        <v>1844</v>
      </c>
      <c r="BE2954" s="364"/>
      <c r="BF2954" s="274" t="str">
        <f>IFERROR(__xludf.DUMMYFUNCTION("LOWER(Regexreplace(to_text(E2954),""[^A-Za-z0-9]"","""")&amp;""_""&amp;Regexreplace(to_text(F2954),""[^A-Za-z0-9]"",""""))"),"pvrcontrols_crc202000")</f>
        <v>pvrcontrols_crc202000</v>
      </c>
      <c r="BG2954" s="275" t="str">
        <f>IFERROR(__xludf.DUMMYFUNCTION("upper(Regexreplace(to_text(E2954),""[^A-Za-z0-9]"","""")&amp;""-""&amp;Regexreplace(to_text(F2954),""[^A-Za-z0-9]"",""""))"),"PVRCONTROLS-CRC202000")</f>
        <v>PVRCONTROLS-CRC202000</v>
      </c>
    </row>
    <row r="2955" ht="30.0" customHeight="1">
      <c r="A2955" s="328">
        <v>2690.0</v>
      </c>
      <c r="B2955" s="425" t="s">
        <v>670</v>
      </c>
      <c r="C2955" s="257" t="s">
        <v>9226</v>
      </c>
      <c r="D2955" s="173" t="s">
        <v>9226</v>
      </c>
      <c r="E2955" s="174" t="s">
        <v>9208</v>
      </c>
      <c r="F2955" s="173" t="s">
        <v>9209</v>
      </c>
      <c r="G2955" s="425" t="s">
        <v>673</v>
      </c>
      <c r="H2955" s="425" t="s">
        <v>2863</v>
      </c>
      <c r="I2955" s="258" t="s">
        <v>9210</v>
      </c>
      <c r="J2955" s="259" t="s">
        <v>739</v>
      </c>
      <c r="K2955" s="260"/>
      <c r="L2955" s="142"/>
      <c r="M2955" s="426"/>
      <c r="N2955" s="173" t="s">
        <v>679</v>
      </c>
      <c r="O2955" s="173" t="s">
        <v>225</v>
      </c>
      <c r="P2955" s="262" t="str">
        <f t="shared" si="1"/>
        <v>IN-BLR-ANANTA-FRZ-9_G</v>
      </c>
      <c r="Q2955" s="173" t="s">
        <v>9227</v>
      </c>
      <c r="R2955" s="328" t="str">
        <f>IFS(C2955="","",C2955="n/a","N/A",LEN(C2955),Concatenate("{",char(34),"asset",char(34),":{",char(34),"guid",char(34),":",char(34),Q2955,char(34),",",char(34),"site",char(34),":",char(34),LOWER('2-Building'!$B$4),char(34),",",char(34),"name",char(34),":",char(34),LOWER(C2955),char(34),"}}"))</f>
        <v>{"asset":{"guid":"uuid://b4e496da-5b22-40f0-a884-c23660600ad4","site":"in-blr-ananta","name":"frz-9"}}</v>
      </c>
      <c r="S2955" s="430"/>
      <c r="T2955" s="427"/>
      <c r="U2955" s="427"/>
      <c r="V2955" s="428"/>
      <c r="W2955" s="429"/>
      <c r="X2955" s="430"/>
      <c r="Y2955" s="33" t="s">
        <v>8076</v>
      </c>
      <c r="Z2955" s="430"/>
      <c r="AA2955" s="430"/>
      <c r="AB2955" s="258"/>
      <c r="AC2955" s="430"/>
      <c r="AD2955" s="426"/>
      <c r="AE2955" s="428"/>
      <c r="AF2955" s="431"/>
      <c r="AG2955" s="432" t="str">
        <f>IFS(LEN(AF2955)=17,LOWER('2-Building'!$B$4 &amp; "-" &amp; C2955), AF2955="N/A", "N/A", LEN(AF2955)=0,"")</f>
        <v/>
      </c>
      <c r="AH2955" s="430"/>
      <c r="AI2955" s="430"/>
      <c r="AJ2955" s="430"/>
      <c r="AK2955" s="430"/>
      <c r="AL2955" s="430"/>
      <c r="AM2955" s="433"/>
      <c r="AN2955" s="430"/>
      <c r="AO2955" s="430"/>
      <c r="AP2955" s="430"/>
      <c r="AQ2955" s="430"/>
      <c r="AR2955" s="430"/>
      <c r="AS2955" s="430"/>
      <c r="AT2955" s="430"/>
      <c r="AU2955" s="426"/>
      <c r="AV2955" s="434"/>
      <c r="AW2955" s="269" t="s">
        <v>1940</v>
      </c>
      <c r="AX2955" s="269" t="s">
        <v>2869</v>
      </c>
      <c r="AY2955" s="270"/>
      <c r="AZ2955" s="435"/>
      <c r="BA2955" s="173"/>
      <c r="BB2955" s="434"/>
      <c r="BC2955" s="434"/>
      <c r="BD2955" s="308" t="s">
        <v>1844</v>
      </c>
      <c r="BE2955" s="436"/>
      <c r="BF2955" s="274" t="str">
        <f>IFERROR(__xludf.DUMMYFUNCTION("LOWER(Regexreplace(to_text(E2955),""[^A-Za-z0-9]"","""")&amp;""_""&amp;Regexreplace(to_text(F2955),""[^A-Za-z0-9]"",""""))"),"pvrcontrols_crc202000")</f>
        <v>pvrcontrols_crc202000</v>
      </c>
      <c r="BG2955" s="275" t="str">
        <f>IFERROR(__xludf.DUMMYFUNCTION("upper(Regexreplace(to_text(E2955),""[^A-Za-z0-9]"","""")&amp;""-""&amp;Regexreplace(to_text(F2955),""[^A-Za-z0-9]"",""""))"),"PVRCONTROLS-CRC202000")</f>
        <v>PVRCONTROLS-CRC202000</v>
      </c>
    </row>
    <row r="2956" ht="30.0" customHeight="1">
      <c r="A2956" s="328">
        <v>2690.0</v>
      </c>
      <c r="B2956" s="425" t="s">
        <v>670</v>
      </c>
      <c r="C2956" s="257" t="s">
        <v>9228</v>
      </c>
      <c r="D2956" s="173" t="s">
        <v>9228</v>
      </c>
      <c r="E2956" s="174" t="s">
        <v>9208</v>
      </c>
      <c r="F2956" s="173" t="s">
        <v>9209</v>
      </c>
      <c r="G2956" s="425" t="s">
        <v>673</v>
      </c>
      <c r="H2956" s="425" t="s">
        <v>2863</v>
      </c>
      <c r="I2956" s="258" t="s">
        <v>9210</v>
      </c>
      <c r="J2956" s="259" t="s">
        <v>739</v>
      </c>
      <c r="K2956" s="260"/>
      <c r="L2956" s="142"/>
      <c r="M2956" s="426"/>
      <c r="N2956" s="173" t="s">
        <v>679</v>
      </c>
      <c r="O2956" s="173" t="s">
        <v>225</v>
      </c>
      <c r="P2956" s="262" t="str">
        <f t="shared" si="1"/>
        <v>IN-BLR-ANANTA-FRZ-10_G</v>
      </c>
      <c r="Q2956" s="173" t="s">
        <v>9229</v>
      </c>
      <c r="R2956" s="328" t="str">
        <f>IFS(C2956="","",C2956="n/a","N/A",LEN(C2956),Concatenate("{",char(34),"asset",char(34),":{",char(34),"guid",char(34),":",char(34),Q2956,char(34),",",char(34),"site",char(34),":",char(34),LOWER('2-Building'!$B$4),char(34),",",char(34),"name",char(34),":",char(34),LOWER(C2956),char(34),"}}"))</f>
        <v>{"asset":{"guid":"uuid://0adfac1f-f4a1-402e-892b-4db2626b97d7","site":"in-blr-ananta","name":"frz-10"}}</v>
      </c>
      <c r="S2956" s="430"/>
      <c r="T2956" s="427"/>
      <c r="U2956" s="427"/>
      <c r="V2956" s="428"/>
      <c r="W2956" s="429"/>
      <c r="X2956" s="430"/>
      <c r="Y2956" s="33" t="s">
        <v>8076</v>
      </c>
      <c r="Z2956" s="430"/>
      <c r="AA2956" s="430"/>
      <c r="AB2956" s="258"/>
      <c r="AC2956" s="430"/>
      <c r="AD2956" s="426"/>
      <c r="AE2956" s="428"/>
      <c r="AF2956" s="431"/>
      <c r="AG2956" s="432" t="str">
        <f>IFS(LEN(AF2956)=17,LOWER('2-Building'!$B$4 &amp; "-" &amp; C2956), AF2956="N/A", "N/A", LEN(AF2956)=0,"")</f>
        <v/>
      </c>
      <c r="AH2956" s="430"/>
      <c r="AI2956" s="430"/>
      <c r="AJ2956" s="430"/>
      <c r="AK2956" s="430"/>
      <c r="AL2956" s="430"/>
      <c r="AM2956" s="433"/>
      <c r="AN2956" s="430"/>
      <c r="AO2956" s="430"/>
      <c r="AP2956" s="430"/>
      <c r="AQ2956" s="430"/>
      <c r="AR2956" s="430"/>
      <c r="AS2956" s="430"/>
      <c r="AT2956" s="430"/>
      <c r="AU2956" s="426"/>
      <c r="AV2956" s="434"/>
      <c r="AW2956" s="269" t="s">
        <v>1940</v>
      </c>
      <c r="AX2956" s="269" t="s">
        <v>2869</v>
      </c>
      <c r="AY2956" s="270"/>
      <c r="AZ2956" s="435"/>
      <c r="BA2956" s="173"/>
      <c r="BB2956" s="434"/>
      <c r="BC2956" s="434"/>
      <c r="BD2956" s="308" t="s">
        <v>1844</v>
      </c>
      <c r="BE2956" s="436"/>
      <c r="BF2956" s="274" t="str">
        <f>IFERROR(__xludf.DUMMYFUNCTION("LOWER(Regexreplace(to_text(E2956),""[^A-Za-z0-9]"","""")&amp;""_""&amp;Regexreplace(to_text(F2956),""[^A-Za-z0-9]"",""""))"),"pvrcontrols_crc202000")</f>
        <v>pvrcontrols_crc202000</v>
      </c>
      <c r="BG2956" s="275" t="str">
        <f>IFERROR(__xludf.DUMMYFUNCTION("upper(Regexreplace(to_text(E2956),""[^A-Za-z0-9]"","""")&amp;""-""&amp;Regexreplace(to_text(F2956),""[^A-Za-z0-9]"",""""))"),"PVRCONTROLS-CRC202000")</f>
        <v>PVRCONTROLS-CRC202000</v>
      </c>
    </row>
    <row r="2957" ht="30.0" customHeight="1">
      <c r="A2957" s="425">
        <v>2690.0</v>
      </c>
      <c r="B2957" s="425" t="s">
        <v>670</v>
      </c>
      <c r="C2957" s="257" t="s">
        <v>9230</v>
      </c>
      <c r="D2957" s="173" t="s">
        <v>9230</v>
      </c>
      <c r="E2957" s="174" t="s">
        <v>9208</v>
      </c>
      <c r="F2957" s="173" t="s">
        <v>9209</v>
      </c>
      <c r="G2957" s="425" t="s">
        <v>673</v>
      </c>
      <c r="H2957" s="425" t="s">
        <v>2863</v>
      </c>
      <c r="I2957" s="258" t="s">
        <v>9210</v>
      </c>
      <c r="J2957" s="259" t="s">
        <v>739</v>
      </c>
      <c r="K2957" s="260"/>
      <c r="L2957" s="142"/>
      <c r="M2957" s="426"/>
      <c r="N2957" s="173" t="s">
        <v>679</v>
      </c>
      <c r="O2957" s="173" t="s">
        <v>225</v>
      </c>
      <c r="P2957" s="262" t="str">
        <f t="shared" si="1"/>
        <v>IN-BLR-ANANTA-FRZ-11_G</v>
      </c>
      <c r="Q2957" s="173" t="s">
        <v>9231</v>
      </c>
      <c r="R2957" s="328" t="str">
        <f>IFS(C2957="","",C2957="n/a","N/A",LEN(C2957),Concatenate("{",char(34),"asset",char(34),":{",char(34),"guid",char(34),":",char(34),Q2957,char(34),",",char(34),"site",char(34),":",char(34),LOWER('2-Building'!$B$4),char(34),",",char(34),"name",char(34),":",char(34),LOWER(C2957),char(34),"}}"))</f>
        <v>{"asset":{"guid":"uuid://c2aeec98-45cd-4ebf-9d82-b28d6df4a37c","site":"in-blr-ananta","name":"frz-11"}}</v>
      </c>
      <c r="S2957" s="430"/>
      <c r="T2957" s="427"/>
      <c r="U2957" s="427"/>
      <c r="V2957" s="428"/>
      <c r="W2957" s="429"/>
      <c r="X2957" s="430"/>
      <c r="Y2957" s="33" t="s">
        <v>8076</v>
      </c>
      <c r="Z2957" s="430"/>
      <c r="AA2957" s="430"/>
      <c r="AB2957" s="258"/>
      <c r="AC2957" s="430"/>
      <c r="AD2957" s="426"/>
      <c r="AE2957" s="428"/>
      <c r="AF2957" s="431"/>
      <c r="AG2957" s="432"/>
      <c r="AH2957" s="430"/>
      <c r="AI2957" s="430"/>
      <c r="AJ2957" s="430"/>
      <c r="AK2957" s="430"/>
      <c r="AL2957" s="430"/>
      <c r="AM2957" s="433"/>
      <c r="AN2957" s="430"/>
      <c r="AO2957" s="430"/>
      <c r="AP2957" s="430"/>
      <c r="AQ2957" s="430"/>
      <c r="AR2957" s="430"/>
      <c r="AS2957" s="430"/>
      <c r="AT2957" s="430"/>
      <c r="AU2957" s="426"/>
      <c r="AV2957" s="434"/>
      <c r="AW2957" s="269" t="s">
        <v>1940</v>
      </c>
      <c r="AX2957" s="269" t="s">
        <v>2869</v>
      </c>
      <c r="AY2957" s="270"/>
      <c r="AZ2957" s="435"/>
      <c r="BA2957" s="173"/>
      <c r="BB2957" s="434"/>
      <c r="BC2957" s="434"/>
      <c r="BD2957" s="308" t="s">
        <v>1844</v>
      </c>
      <c r="BE2957" s="436"/>
      <c r="BF2957" s="274" t="str">
        <f>IFERROR(__xludf.DUMMYFUNCTION("LOWER(Regexreplace(to_text(E2957),""[^A-Za-z0-9]"","""")&amp;""_""&amp;Regexreplace(to_text(F2957),""[^A-Za-z0-9]"",""""))"),"pvrcontrols_crc202000")</f>
        <v>pvrcontrols_crc202000</v>
      </c>
      <c r="BG2957" s="275" t="str">
        <f>IFERROR(__xludf.DUMMYFUNCTION("upper(Regexreplace(to_text(E2957),""[^A-Za-z0-9]"","""")&amp;""-""&amp;Regexreplace(to_text(F2957),""[^A-Za-z0-9]"",""""))"),"PVRCONTROLS-CRC202000")</f>
        <v>PVRCONTROLS-CRC202000</v>
      </c>
    </row>
    <row r="2958" ht="30.0" customHeight="1">
      <c r="A2958" s="328">
        <v>2690.0</v>
      </c>
      <c r="B2958" s="425" t="s">
        <v>670</v>
      </c>
      <c r="C2958" s="257" t="s">
        <v>9232</v>
      </c>
      <c r="D2958" s="173" t="s">
        <v>9232</v>
      </c>
      <c r="E2958" s="174" t="s">
        <v>9208</v>
      </c>
      <c r="F2958" s="173" t="s">
        <v>9209</v>
      </c>
      <c r="G2958" s="425" t="s">
        <v>673</v>
      </c>
      <c r="H2958" s="425" t="s">
        <v>2863</v>
      </c>
      <c r="I2958" s="258" t="s">
        <v>9210</v>
      </c>
      <c r="J2958" s="259" t="s">
        <v>739</v>
      </c>
      <c r="K2958" s="260"/>
      <c r="L2958" s="142"/>
      <c r="M2958" s="426"/>
      <c r="N2958" s="173" t="s">
        <v>679</v>
      </c>
      <c r="O2958" s="173" t="s">
        <v>225</v>
      </c>
      <c r="P2958" s="262" t="str">
        <f t="shared" si="1"/>
        <v>IN-BLR-ANANTA-FRZ-12_G</v>
      </c>
      <c r="Q2958" s="173" t="s">
        <v>9233</v>
      </c>
      <c r="R2958" s="328" t="str">
        <f>IFS(C2958="","",C2958="n/a","N/A",LEN(C2958),Concatenate("{",char(34),"asset",char(34),":{",char(34),"guid",char(34),":",char(34),Q2958,char(34),",",char(34),"site",char(34),":",char(34),LOWER('2-Building'!$B$4),char(34),",",char(34),"name",char(34),":",char(34),LOWER(C2958),char(34),"}}"))</f>
        <v>{"asset":{"guid":"uuid://f4d2dcff-d631-43b8-aa25-e7bdff89d6eb","site":"in-blr-ananta","name":"frz-12"}}</v>
      </c>
      <c r="S2958" s="430"/>
      <c r="T2958" s="427"/>
      <c r="U2958" s="427"/>
      <c r="V2958" s="428"/>
      <c r="W2958" s="429"/>
      <c r="X2958" s="430"/>
      <c r="Y2958" s="33" t="s">
        <v>8076</v>
      </c>
      <c r="Z2958" s="430"/>
      <c r="AA2958" s="430"/>
      <c r="AB2958" s="258"/>
      <c r="AC2958" s="430"/>
      <c r="AD2958" s="426"/>
      <c r="AE2958" s="428"/>
      <c r="AF2958" s="431"/>
      <c r="AG2958" s="432"/>
      <c r="AH2958" s="430"/>
      <c r="AI2958" s="430"/>
      <c r="AJ2958" s="430"/>
      <c r="AK2958" s="430"/>
      <c r="AL2958" s="430"/>
      <c r="AM2958" s="433"/>
      <c r="AN2958" s="430"/>
      <c r="AO2958" s="430"/>
      <c r="AP2958" s="430"/>
      <c r="AQ2958" s="430"/>
      <c r="AR2958" s="430"/>
      <c r="AS2958" s="430"/>
      <c r="AT2958" s="430"/>
      <c r="AU2958" s="426"/>
      <c r="AV2958" s="434"/>
      <c r="AW2958" s="269" t="s">
        <v>1940</v>
      </c>
      <c r="AX2958" s="269" t="s">
        <v>2869</v>
      </c>
      <c r="AY2958" s="270"/>
      <c r="AZ2958" s="435"/>
      <c r="BA2958" s="173"/>
      <c r="BB2958" s="434"/>
      <c r="BC2958" s="434"/>
      <c r="BD2958" s="308" t="s">
        <v>1844</v>
      </c>
      <c r="BE2958" s="436"/>
      <c r="BF2958" s="274" t="str">
        <f>IFERROR(__xludf.DUMMYFUNCTION("LOWER(Regexreplace(to_text(E2958),""[^A-Za-z0-9]"","""")&amp;""_""&amp;Regexreplace(to_text(F2958),""[^A-Za-z0-9]"",""""))"),"pvrcontrols_crc202000")</f>
        <v>pvrcontrols_crc202000</v>
      </c>
      <c r="BG2958" s="275" t="str">
        <f>IFERROR(__xludf.DUMMYFUNCTION("upper(Regexreplace(to_text(E2958),""[^A-Za-z0-9]"","""")&amp;""-""&amp;Regexreplace(to_text(F2958),""[^A-Za-z0-9]"",""""))"),"PVRCONTROLS-CRC202000")</f>
        <v>PVRCONTROLS-CRC202000</v>
      </c>
    </row>
    <row r="2959" ht="30.0" customHeight="1">
      <c r="A2959" s="328">
        <v>2690.0</v>
      </c>
      <c r="B2959" s="425" t="s">
        <v>670</v>
      </c>
      <c r="C2959" s="257" t="s">
        <v>9234</v>
      </c>
      <c r="D2959" s="173" t="s">
        <v>9234</v>
      </c>
      <c r="E2959" s="174" t="s">
        <v>9208</v>
      </c>
      <c r="F2959" s="173" t="s">
        <v>9209</v>
      </c>
      <c r="G2959" s="425" t="s">
        <v>673</v>
      </c>
      <c r="H2959" s="425" t="s">
        <v>2863</v>
      </c>
      <c r="I2959" s="258" t="s">
        <v>9210</v>
      </c>
      <c r="J2959" s="259" t="s">
        <v>739</v>
      </c>
      <c r="K2959" s="260"/>
      <c r="L2959" s="142"/>
      <c r="M2959" s="426"/>
      <c r="N2959" s="173" t="s">
        <v>679</v>
      </c>
      <c r="O2959" s="173" t="s">
        <v>225</v>
      </c>
      <c r="P2959" s="262" t="str">
        <f t="shared" si="1"/>
        <v>IN-BLR-ANANTA-FRZ-13_G</v>
      </c>
      <c r="Q2959" s="173" t="s">
        <v>9235</v>
      </c>
      <c r="R2959" s="328" t="str">
        <f>IFS(C2959="","",C2959="n/a","N/A",LEN(C2959),Concatenate("{",char(34),"asset",char(34),":{",char(34),"guid",char(34),":",char(34),Q2959,char(34),",",char(34),"site",char(34),":",char(34),LOWER('2-Building'!$B$4),char(34),",",char(34),"name",char(34),":",char(34),LOWER(C2959),char(34),"}}"))</f>
        <v>{"asset":{"guid":"uuid://2ba60723-6e28-41c8-b8a3-3ecd5c2c97a1","site":"in-blr-ananta","name":"frz-13"}}</v>
      </c>
      <c r="S2959" s="430"/>
      <c r="T2959" s="427"/>
      <c r="U2959" s="427"/>
      <c r="V2959" s="428"/>
      <c r="W2959" s="429"/>
      <c r="X2959" s="430"/>
      <c r="Y2959" s="33" t="s">
        <v>8076</v>
      </c>
      <c r="Z2959" s="430"/>
      <c r="AA2959" s="430"/>
      <c r="AB2959" s="258"/>
      <c r="AC2959" s="430"/>
      <c r="AD2959" s="426"/>
      <c r="AE2959" s="428"/>
      <c r="AF2959" s="431"/>
      <c r="AG2959" s="432"/>
      <c r="AH2959" s="430"/>
      <c r="AI2959" s="430"/>
      <c r="AJ2959" s="430"/>
      <c r="AK2959" s="430"/>
      <c r="AL2959" s="430"/>
      <c r="AM2959" s="433"/>
      <c r="AN2959" s="430"/>
      <c r="AO2959" s="430"/>
      <c r="AP2959" s="430"/>
      <c r="AQ2959" s="430"/>
      <c r="AR2959" s="430"/>
      <c r="AS2959" s="430"/>
      <c r="AT2959" s="430"/>
      <c r="AU2959" s="426"/>
      <c r="AV2959" s="434"/>
      <c r="AW2959" s="269" t="s">
        <v>1940</v>
      </c>
      <c r="AX2959" s="269" t="s">
        <v>2869</v>
      </c>
      <c r="AY2959" s="270"/>
      <c r="AZ2959" s="435"/>
      <c r="BA2959" s="173"/>
      <c r="BB2959" s="434"/>
      <c r="BC2959" s="434"/>
      <c r="BD2959" s="308" t="s">
        <v>1844</v>
      </c>
      <c r="BE2959" s="436"/>
      <c r="BF2959" s="274" t="str">
        <f>IFERROR(__xludf.DUMMYFUNCTION("LOWER(Regexreplace(to_text(E2959),""[^A-Za-z0-9]"","""")&amp;""_""&amp;Regexreplace(to_text(F2959),""[^A-Za-z0-9]"",""""))"),"pvrcontrols_crc202000")</f>
        <v>pvrcontrols_crc202000</v>
      </c>
      <c r="BG2959" s="275" t="str">
        <f>IFERROR(__xludf.DUMMYFUNCTION("upper(Regexreplace(to_text(E2959),""[^A-Za-z0-9]"","""")&amp;""-""&amp;Regexreplace(to_text(F2959),""[^A-Za-z0-9]"",""""))"),"PVRCONTROLS-CRC202000")</f>
        <v>PVRCONTROLS-CRC202000</v>
      </c>
    </row>
    <row r="2960" ht="30.0" customHeight="1">
      <c r="A2960" s="328">
        <v>2690.0</v>
      </c>
      <c r="B2960" s="425" t="s">
        <v>670</v>
      </c>
      <c r="C2960" s="257" t="s">
        <v>9236</v>
      </c>
      <c r="D2960" s="173" t="s">
        <v>9236</v>
      </c>
      <c r="E2960" s="174" t="s">
        <v>9208</v>
      </c>
      <c r="F2960" s="173" t="s">
        <v>9209</v>
      </c>
      <c r="G2960" s="425" t="s">
        <v>673</v>
      </c>
      <c r="H2960" s="425" t="s">
        <v>2863</v>
      </c>
      <c r="I2960" s="258" t="s">
        <v>9210</v>
      </c>
      <c r="J2960" s="259" t="s">
        <v>739</v>
      </c>
      <c r="K2960" s="260"/>
      <c r="L2960" s="142"/>
      <c r="M2960" s="426"/>
      <c r="N2960" s="173" t="s">
        <v>679</v>
      </c>
      <c r="O2960" s="173" t="s">
        <v>225</v>
      </c>
      <c r="P2960" s="262" t="str">
        <f t="shared" si="1"/>
        <v>IN-BLR-ANANTA-FRZ-14_G</v>
      </c>
      <c r="Q2960" s="173" t="s">
        <v>9237</v>
      </c>
      <c r="R2960" s="328" t="str">
        <f>IFS(C2960="","",C2960="n/a","N/A",LEN(C2960),Concatenate("{",char(34),"asset",char(34),":{",char(34),"guid",char(34),":",char(34),Q2960,char(34),",",char(34),"site",char(34),":",char(34),LOWER('2-Building'!$B$4),char(34),",",char(34),"name",char(34),":",char(34),LOWER(C2960),char(34),"}}"))</f>
        <v>{"asset":{"guid":"uuid://3f146046-f86b-4c24-bc77-e3c67a27cbcb","site":"in-blr-ananta","name":"frz-14"}}</v>
      </c>
      <c r="S2960" s="430"/>
      <c r="T2960" s="427"/>
      <c r="U2960" s="427"/>
      <c r="V2960" s="428"/>
      <c r="W2960" s="429"/>
      <c r="X2960" s="430"/>
      <c r="Y2960" s="33" t="s">
        <v>8076</v>
      </c>
      <c r="Z2960" s="430"/>
      <c r="AA2960" s="430"/>
      <c r="AB2960" s="258"/>
      <c r="AC2960" s="430"/>
      <c r="AD2960" s="426"/>
      <c r="AE2960" s="428"/>
      <c r="AF2960" s="431"/>
      <c r="AG2960" s="432"/>
      <c r="AH2960" s="430"/>
      <c r="AI2960" s="430"/>
      <c r="AJ2960" s="430"/>
      <c r="AK2960" s="430"/>
      <c r="AL2960" s="430"/>
      <c r="AM2960" s="433"/>
      <c r="AN2960" s="430"/>
      <c r="AO2960" s="430"/>
      <c r="AP2960" s="430"/>
      <c r="AQ2960" s="430"/>
      <c r="AR2960" s="430"/>
      <c r="AS2960" s="430"/>
      <c r="AT2960" s="430"/>
      <c r="AU2960" s="426"/>
      <c r="AV2960" s="434"/>
      <c r="AW2960" s="269" t="s">
        <v>1940</v>
      </c>
      <c r="AX2960" s="269" t="s">
        <v>2869</v>
      </c>
      <c r="AY2960" s="270"/>
      <c r="AZ2960" s="435"/>
      <c r="BA2960" s="173"/>
      <c r="BB2960" s="434"/>
      <c r="BC2960" s="434"/>
      <c r="BD2960" s="308" t="s">
        <v>1844</v>
      </c>
      <c r="BE2960" s="436"/>
      <c r="BF2960" s="274" t="str">
        <f>IFERROR(__xludf.DUMMYFUNCTION("LOWER(Regexreplace(to_text(E2960),""[^A-Za-z0-9]"","""")&amp;""_""&amp;Regexreplace(to_text(F2960),""[^A-Za-z0-9]"",""""))"),"pvrcontrols_crc202000")</f>
        <v>pvrcontrols_crc202000</v>
      </c>
      <c r="BG2960" s="275" t="str">
        <f>IFERROR(__xludf.DUMMYFUNCTION("upper(Regexreplace(to_text(E2960),""[^A-Za-z0-9]"","""")&amp;""-""&amp;Regexreplace(to_text(F2960),""[^A-Za-z0-9]"",""""))"),"PVRCONTROLS-CRC202000")</f>
        <v>PVRCONTROLS-CRC202000</v>
      </c>
    </row>
    <row r="2961" ht="30.0" customHeight="1">
      <c r="A2961" s="425">
        <v>2690.0</v>
      </c>
      <c r="B2961" s="425" t="s">
        <v>670</v>
      </c>
      <c r="C2961" s="257" t="s">
        <v>9238</v>
      </c>
      <c r="D2961" s="173" t="s">
        <v>9238</v>
      </c>
      <c r="E2961" s="174" t="s">
        <v>9208</v>
      </c>
      <c r="F2961" s="173" t="s">
        <v>9209</v>
      </c>
      <c r="G2961" s="425" t="s">
        <v>673</v>
      </c>
      <c r="H2961" s="425" t="s">
        <v>2863</v>
      </c>
      <c r="I2961" s="258" t="s">
        <v>9210</v>
      </c>
      <c r="J2961" s="259" t="s">
        <v>739</v>
      </c>
      <c r="K2961" s="260"/>
      <c r="L2961" s="142"/>
      <c r="M2961" s="426"/>
      <c r="N2961" s="173" t="s">
        <v>679</v>
      </c>
      <c r="O2961" s="173" t="s">
        <v>225</v>
      </c>
      <c r="P2961" s="262" t="str">
        <f t="shared" si="1"/>
        <v>IN-BLR-ANANTA-FRZ-15_G</v>
      </c>
      <c r="Q2961" s="173" t="s">
        <v>9239</v>
      </c>
      <c r="R2961" s="328" t="str">
        <f>IFS(C2961="","",C2961="n/a","N/A",LEN(C2961),Concatenate("{",char(34),"asset",char(34),":{",char(34),"guid",char(34),":",char(34),Q2961,char(34),",",char(34),"site",char(34),":",char(34),LOWER('2-Building'!$B$4),char(34),",",char(34),"name",char(34),":",char(34),LOWER(C2961),char(34),"}}"))</f>
        <v>{"asset":{"guid":"uuid://3dad4be1-5cc8-4a54-a038-86ccb7702e01","site":"in-blr-ananta","name":"frz-15"}}</v>
      </c>
      <c r="S2961" s="430"/>
      <c r="T2961" s="427"/>
      <c r="U2961" s="427"/>
      <c r="V2961" s="428"/>
      <c r="W2961" s="429"/>
      <c r="X2961" s="430"/>
      <c r="Y2961" s="33" t="s">
        <v>8076</v>
      </c>
      <c r="Z2961" s="430"/>
      <c r="AA2961" s="430"/>
      <c r="AB2961" s="258"/>
      <c r="AC2961" s="430"/>
      <c r="AD2961" s="426"/>
      <c r="AE2961" s="428"/>
      <c r="AF2961" s="431"/>
      <c r="AG2961" s="432"/>
      <c r="AH2961" s="430"/>
      <c r="AI2961" s="430"/>
      <c r="AJ2961" s="430"/>
      <c r="AK2961" s="430"/>
      <c r="AL2961" s="430"/>
      <c r="AM2961" s="433"/>
      <c r="AN2961" s="430"/>
      <c r="AO2961" s="430"/>
      <c r="AP2961" s="430"/>
      <c r="AQ2961" s="430"/>
      <c r="AR2961" s="430"/>
      <c r="AS2961" s="430"/>
      <c r="AT2961" s="430"/>
      <c r="AU2961" s="426"/>
      <c r="AV2961" s="434"/>
      <c r="AW2961" s="269" t="s">
        <v>1940</v>
      </c>
      <c r="AX2961" s="269" t="s">
        <v>2869</v>
      </c>
      <c r="AY2961" s="270"/>
      <c r="AZ2961" s="435"/>
      <c r="BA2961" s="173"/>
      <c r="BB2961" s="434"/>
      <c r="BC2961" s="434"/>
      <c r="BD2961" s="308" t="s">
        <v>1844</v>
      </c>
      <c r="BE2961" s="436"/>
      <c r="BF2961" s="274" t="str">
        <f>IFERROR(__xludf.DUMMYFUNCTION("LOWER(Regexreplace(to_text(E2961),""[^A-Za-z0-9]"","""")&amp;""_""&amp;Regexreplace(to_text(F2961),""[^A-Za-z0-9]"",""""))"),"pvrcontrols_crc202000")</f>
        <v>pvrcontrols_crc202000</v>
      </c>
      <c r="BG2961" s="275" t="str">
        <f>IFERROR(__xludf.DUMMYFUNCTION("upper(Regexreplace(to_text(E2961),""[^A-Za-z0-9]"","""")&amp;""-""&amp;Regexreplace(to_text(F2961),""[^A-Za-z0-9]"",""""))"),"PVRCONTROLS-CRC202000")</f>
        <v>PVRCONTROLS-CRC202000</v>
      </c>
    </row>
    <row r="2962" ht="30.0" customHeight="1">
      <c r="A2962" s="328">
        <v>2690.0</v>
      </c>
      <c r="B2962" s="425" t="s">
        <v>670</v>
      </c>
      <c r="C2962" s="257" t="s">
        <v>9240</v>
      </c>
      <c r="D2962" s="173" t="s">
        <v>9240</v>
      </c>
      <c r="E2962" s="174" t="s">
        <v>9208</v>
      </c>
      <c r="F2962" s="173" t="s">
        <v>9209</v>
      </c>
      <c r="G2962" s="425" t="s">
        <v>673</v>
      </c>
      <c r="H2962" s="425" t="s">
        <v>2863</v>
      </c>
      <c r="I2962" s="258" t="s">
        <v>9210</v>
      </c>
      <c r="J2962" s="259" t="s">
        <v>739</v>
      </c>
      <c r="K2962" s="260"/>
      <c r="L2962" s="142"/>
      <c r="M2962" s="426"/>
      <c r="N2962" s="173" t="s">
        <v>679</v>
      </c>
      <c r="O2962" s="173" t="s">
        <v>225</v>
      </c>
      <c r="P2962" s="262" t="str">
        <f t="shared" si="1"/>
        <v>IN-BLR-ANANTA-FRZ-16_G</v>
      </c>
      <c r="Q2962" s="173" t="s">
        <v>9241</v>
      </c>
      <c r="R2962" s="328" t="str">
        <f>IFS(C2962="","",C2962="n/a","N/A",LEN(C2962),Concatenate("{",char(34),"asset",char(34),":{",char(34),"guid",char(34),":",char(34),Q2962,char(34),",",char(34),"site",char(34),":",char(34),LOWER('2-Building'!$B$4),char(34),",",char(34),"name",char(34),":",char(34),LOWER(C2962),char(34),"}}"))</f>
        <v>{"asset":{"guid":"uuid://0c8f87e9-79c2-402c-a7d7-1668ea30e620","site":"in-blr-ananta","name":"frz-16"}}</v>
      </c>
      <c r="S2962" s="430"/>
      <c r="T2962" s="427"/>
      <c r="U2962" s="427"/>
      <c r="V2962" s="428"/>
      <c r="W2962" s="429"/>
      <c r="X2962" s="430"/>
      <c r="Y2962" s="33" t="s">
        <v>8076</v>
      </c>
      <c r="Z2962" s="430"/>
      <c r="AA2962" s="430"/>
      <c r="AB2962" s="258"/>
      <c r="AC2962" s="430"/>
      <c r="AD2962" s="426"/>
      <c r="AE2962" s="428"/>
      <c r="AF2962" s="431"/>
      <c r="AG2962" s="432"/>
      <c r="AH2962" s="430"/>
      <c r="AI2962" s="430"/>
      <c r="AJ2962" s="430"/>
      <c r="AK2962" s="430"/>
      <c r="AL2962" s="430"/>
      <c r="AM2962" s="433"/>
      <c r="AN2962" s="430"/>
      <c r="AO2962" s="430"/>
      <c r="AP2962" s="430"/>
      <c r="AQ2962" s="430"/>
      <c r="AR2962" s="430"/>
      <c r="AS2962" s="430"/>
      <c r="AT2962" s="430"/>
      <c r="AU2962" s="426"/>
      <c r="AV2962" s="434"/>
      <c r="AW2962" s="269" t="s">
        <v>1940</v>
      </c>
      <c r="AX2962" s="269" t="s">
        <v>2869</v>
      </c>
      <c r="AY2962" s="270"/>
      <c r="AZ2962" s="435"/>
      <c r="BA2962" s="173"/>
      <c r="BB2962" s="434"/>
      <c r="BC2962" s="434"/>
      <c r="BD2962" s="308" t="s">
        <v>1844</v>
      </c>
      <c r="BE2962" s="436"/>
      <c r="BF2962" s="274" t="str">
        <f>IFERROR(__xludf.DUMMYFUNCTION("LOWER(Regexreplace(to_text(E2962),""[^A-Za-z0-9]"","""")&amp;""_""&amp;Regexreplace(to_text(F2962),""[^A-Za-z0-9]"",""""))"),"pvrcontrols_crc202000")</f>
        <v>pvrcontrols_crc202000</v>
      </c>
      <c r="BG2962" s="275" t="str">
        <f>IFERROR(__xludf.DUMMYFUNCTION("upper(Regexreplace(to_text(E2962),""[^A-Za-z0-9]"","""")&amp;""-""&amp;Regexreplace(to_text(F2962),""[^A-Za-z0-9]"",""""))"),"PVRCONTROLS-CRC202000")</f>
        <v>PVRCONTROLS-CRC202000</v>
      </c>
    </row>
    <row r="2963" ht="30.0" customHeight="1">
      <c r="A2963" s="258">
        <v>2690.0</v>
      </c>
      <c r="B2963" s="328" t="s">
        <v>670</v>
      </c>
      <c r="C2963" s="257" t="s">
        <v>9242</v>
      </c>
      <c r="D2963" s="173" t="s">
        <v>9242</v>
      </c>
      <c r="E2963" s="174" t="s">
        <v>9208</v>
      </c>
      <c r="F2963" s="173" t="s">
        <v>9209</v>
      </c>
      <c r="G2963" s="328" t="s">
        <v>673</v>
      </c>
      <c r="H2963" s="328" t="s">
        <v>2863</v>
      </c>
      <c r="I2963" s="258" t="s">
        <v>9210</v>
      </c>
      <c r="J2963" s="259" t="s">
        <v>1149</v>
      </c>
      <c r="K2963" s="260"/>
      <c r="L2963" s="142"/>
      <c r="M2963" s="329"/>
      <c r="N2963" s="173" t="s">
        <v>679</v>
      </c>
      <c r="O2963" s="173" t="s">
        <v>225</v>
      </c>
      <c r="P2963" s="262" t="str">
        <f t="shared" si="1"/>
        <v>IN-BLR-ANANTA-FRZ-17_6</v>
      </c>
      <c r="Q2963" s="173" t="s">
        <v>9243</v>
      </c>
      <c r="R2963" s="328" t="str">
        <f>IFS(C2963="","",C2963="n/a","N/A",LEN(C2963),Concatenate("{",char(34),"asset",char(34),":{",char(34),"guid",char(34),":",char(34),Q2963,char(34),",",char(34),"site",char(34),":",char(34),LOWER('2-Building'!$B$4),char(34),",",char(34),"name",char(34),":",char(34),LOWER(C2963),char(34),"}}"))</f>
        <v>{"asset":{"guid":"uuid://f2b1c12d-d282-4b11-8716-de5fc60fa123","site":"in-blr-ananta","name":"frz-17"}}</v>
      </c>
      <c r="S2963" s="333"/>
      <c r="T2963" s="330"/>
      <c r="U2963" s="330"/>
      <c r="V2963" s="331"/>
      <c r="W2963" s="332"/>
      <c r="X2963" s="333"/>
      <c r="Y2963" s="33" t="s">
        <v>8076</v>
      </c>
      <c r="Z2963" s="368"/>
      <c r="AA2963" s="333"/>
      <c r="AB2963" s="258"/>
      <c r="AC2963" s="333"/>
      <c r="AD2963" s="329"/>
      <c r="AE2963" s="331"/>
      <c r="AF2963" s="336"/>
      <c r="AG2963" s="337" t="str">
        <f>IFS(LEN(AF2963)=17,LOWER('2-Building'!$B$4 &amp; "-" &amp; C2963), AF2963="N/A", "N/A", LEN(AF2963)=0,"")</f>
        <v/>
      </c>
      <c r="AH2963" s="333"/>
      <c r="AI2963" s="333"/>
      <c r="AJ2963" s="333"/>
      <c r="AK2963" s="333"/>
      <c r="AL2963" s="333"/>
      <c r="AM2963" s="338"/>
      <c r="AN2963" s="333"/>
      <c r="AO2963" s="333"/>
      <c r="AP2963" s="333"/>
      <c r="AQ2963" s="333"/>
      <c r="AR2963" s="333"/>
      <c r="AS2963" s="333"/>
      <c r="AT2963" s="333"/>
      <c r="AU2963" s="329"/>
      <c r="AV2963" s="341"/>
      <c r="AW2963" s="269" t="s">
        <v>2327</v>
      </c>
      <c r="AX2963" s="269" t="s">
        <v>2869</v>
      </c>
      <c r="AY2963" s="270"/>
      <c r="AZ2963" s="379"/>
      <c r="BA2963" s="173"/>
      <c r="BB2963" s="341"/>
      <c r="BC2963" s="341"/>
      <c r="BD2963" s="308" t="s">
        <v>1844</v>
      </c>
      <c r="BE2963" s="364"/>
      <c r="BF2963" s="274" t="str">
        <f>IFERROR(__xludf.DUMMYFUNCTION("LOWER(Regexreplace(to_text(E2963),""[^A-Za-z0-9]"","""")&amp;""_""&amp;Regexreplace(to_text(F2963),""[^A-Za-z0-9]"",""""))"),"pvrcontrols_crc202000")</f>
        <v>pvrcontrols_crc202000</v>
      </c>
      <c r="BG2963" s="275" t="str">
        <f>IFERROR(__xludf.DUMMYFUNCTION("upper(Regexreplace(to_text(E2963),""[^A-Za-z0-9]"","""")&amp;""-""&amp;Regexreplace(to_text(F2963),""[^A-Za-z0-9]"",""""))"),"PVRCONTROLS-CRC202000")</f>
        <v>PVRCONTROLS-CRC202000</v>
      </c>
    </row>
    <row r="2964" ht="30.0" customHeight="1">
      <c r="A2964" s="328">
        <v>2690.0</v>
      </c>
      <c r="B2964" s="425" t="s">
        <v>670</v>
      </c>
      <c r="C2964" s="257" t="s">
        <v>9244</v>
      </c>
      <c r="D2964" s="173" t="s">
        <v>9244</v>
      </c>
      <c r="E2964" s="174" t="s">
        <v>9208</v>
      </c>
      <c r="F2964" s="173" t="s">
        <v>9209</v>
      </c>
      <c r="G2964" s="425" t="s">
        <v>673</v>
      </c>
      <c r="H2964" s="425" t="s">
        <v>2863</v>
      </c>
      <c r="I2964" s="258" t="s">
        <v>9210</v>
      </c>
      <c r="J2964" s="259" t="s">
        <v>1149</v>
      </c>
      <c r="K2964" s="260"/>
      <c r="L2964" s="142"/>
      <c r="M2964" s="426"/>
      <c r="N2964" s="173" t="s">
        <v>679</v>
      </c>
      <c r="O2964" s="173" t="s">
        <v>225</v>
      </c>
      <c r="P2964" s="262" t="str">
        <f t="shared" si="1"/>
        <v>IN-BLR-ANANTA-FRZ-18_6</v>
      </c>
      <c r="Q2964" s="173" t="s">
        <v>9245</v>
      </c>
      <c r="R2964" s="328" t="str">
        <f>IFS(C2964="","",C2964="n/a","N/A",LEN(C2964),Concatenate("{",char(34),"asset",char(34),":{",char(34),"guid",char(34),":",char(34),Q2964,char(34),",",char(34),"site",char(34),":",char(34),LOWER('2-Building'!$B$4),char(34),",",char(34),"name",char(34),":",char(34),LOWER(C2964),char(34),"}}"))</f>
        <v>{"asset":{"guid":"uuid://08cb94f9-86ef-4e0f-b0d9-68927d6de36c","site":"in-blr-ananta","name":"frz-18"}}</v>
      </c>
      <c r="S2964" s="430"/>
      <c r="T2964" s="427"/>
      <c r="U2964" s="427"/>
      <c r="V2964" s="428"/>
      <c r="W2964" s="429"/>
      <c r="X2964" s="430"/>
      <c r="Y2964" s="33" t="s">
        <v>8076</v>
      </c>
      <c r="Z2964" s="430"/>
      <c r="AA2964" s="430"/>
      <c r="AB2964" s="258"/>
      <c r="AC2964" s="430"/>
      <c r="AD2964" s="426"/>
      <c r="AE2964" s="428"/>
      <c r="AF2964" s="431"/>
      <c r="AG2964" s="432" t="str">
        <f>IFS(LEN(AF2964)=17,LOWER('2-Building'!$B$4 &amp; "-" &amp; C2964), AF2964="N/A", "N/A", LEN(AF2964)=0,"")</f>
        <v/>
      </c>
      <c r="AH2964" s="430"/>
      <c r="AI2964" s="430"/>
      <c r="AJ2964" s="430"/>
      <c r="AK2964" s="430"/>
      <c r="AL2964" s="430"/>
      <c r="AM2964" s="433"/>
      <c r="AN2964" s="430"/>
      <c r="AO2964" s="430"/>
      <c r="AP2964" s="430"/>
      <c r="AQ2964" s="430"/>
      <c r="AR2964" s="430"/>
      <c r="AS2964" s="430"/>
      <c r="AT2964" s="430"/>
      <c r="AU2964" s="426"/>
      <c r="AV2964" s="434"/>
      <c r="AW2964" s="269" t="s">
        <v>2327</v>
      </c>
      <c r="AX2964" s="269" t="s">
        <v>2869</v>
      </c>
      <c r="AY2964" s="270"/>
      <c r="AZ2964" s="435"/>
      <c r="BA2964" s="173"/>
      <c r="BB2964" s="434"/>
      <c r="BC2964" s="434"/>
      <c r="BD2964" s="308" t="s">
        <v>1844</v>
      </c>
      <c r="BE2964" s="436"/>
      <c r="BF2964" s="274" t="str">
        <f>IFERROR(__xludf.DUMMYFUNCTION("LOWER(Regexreplace(to_text(E2964),""[^A-Za-z0-9]"","""")&amp;""_""&amp;Regexreplace(to_text(F2964),""[^A-Za-z0-9]"",""""))"),"pvrcontrols_crc202000")</f>
        <v>pvrcontrols_crc202000</v>
      </c>
      <c r="BG2964" s="275" t="str">
        <f>IFERROR(__xludf.DUMMYFUNCTION("upper(Regexreplace(to_text(E2964),""[^A-Za-z0-9]"","""")&amp;""-""&amp;Regexreplace(to_text(F2964),""[^A-Za-z0-9]"",""""))"),"PVRCONTROLS-CRC202000")</f>
        <v>PVRCONTROLS-CRC202000</v>
      </c>
    </row>
    <row r="2965" ht="30.0" customHeight="1">
      <c r="A2965" s="328">
        <v>2690.0</v>
      </c>
      <c r="B2965" s="425" t="s">
        <v>670</v>
      </c>
      <c r="C2965" s="257" t="s">
        <v>9246</v>
      </c>
      <c r="D2965" s="173" t="s">
        <v>9246</v>
      </c>
      <c r="E2965" s="174" t="s">
        <v>9208</v>
      </c>
      <c r="F2965" s="173" t="s">
        <v>9209</v>
      </c>
      <c r="G2965" s="425" t="s">
        <v>673</v>
      </c>
      <c r="H2965" s="425" t="s">
        <v>2863</v>
      </c>
      <c r="I2965" s="258" t="s">
        <v>9210</v>
      </c>
      <c r="J2965" s="259" t="s">
        <v>1149</v>
      </c>
      <c r="K2965" s="260"/>
      <c r="L2965" s="142"/>
      <c r="M2965" s="426"/>
      <c r="N2965" s="173" t="s">
        <v>679</v>
      </c>
      <c r="O2965" s="173" t="s">
        <v>225</v>
      </c>
      <c r="P2965" s="262" t="str">
        <f t="shared" si="1"/>
        <v>IN-BLR-ANANTA-FRZ-19_6</v>
      </c>
      <c r="Q2965" s="173" t="s">
        <v>9247</v>
      </c>
      <c r="R2965" s="328" t="str">
        <f>IFS(C2965="","",C2965="n/a","N/A",LEN(C2965),Concatenate("{",char(34),"asset",char(34),":{",char(34),"guid",char(34),":",char(34),Q2965,char(34),",",char(34),"site",char(34),":",char(34),LOWER('2-Building'!$B$4),char(34),",",char(34),"name",char(34),":",char(34),LOWER(C2965),char(34),"}}"))</f>
        <v>{"asset":{"guid":"uuid://b4ff875f-8137-47b5-830e-7f6fabb41c51","site":"in-blr-ananta","name":"frz-19"}}</v>
      </c>
      <c r="S2965" s="430"/>
      <c r="T2965" s="427"/>
      <c r="U2965" s="427"/>
      <c r="V2965" s="428"/>
      <c r="W2965" s="429"/>
      <c r="X2965" s="430"/>
      <c r="Y2965" s="33" t="s">
        <v>8076</v>
      </c>
      <c r="Z2965" s="430"/>
      <c r="AA2965" s="430"/>
      <c r="AB2965" s="258"/>
      <c r="AC2965" s="430"/>
      <c r="AD2965" s="426"/>
      <c r="AE2965" s="428"/>
      <c r="AF2965" s="431"/>
      <c r="AG2965" s="432" t="str">
        <f>IFS(LEN(AF2965)=17,LOWER('2-Building'!$B$4 &amp; "-" &amp; C2965), AF2965="N/A", "N/A", LEN(AF2965)=0,"")</f>
        <v/>
      </c>
      <c r="AH2965" s="430"/>
      <c r="AI2965" s="430"/>
      <c r="AJ2965" s="430"/>
      <c r="AK2965" s="430"/>
      <c r="AL2965" s="430"/>
      <c r="AM2965" s="433"/>
      <c r="AN2965" s="430"/>
      <c r="AO2965" s="430"/>
      <c r="AP2965" s="430"/>
      <c r="AQ2965" s="430"/>
      <c r="AR2965" s="430"/>
      <c r="AS2965" s="430"/>
      <c r="AT2965" s="430"/>
      <c r="AU2965" s="426"/>
      <c r="AV2965" s="434"/>
      <c r="AW2965" s="269" t="s">
        <v>2327</v>
      </c>
      <c r="AX2965" s="269" t="s">
        <v>2869</v>
      </c>
      <c r="AY2965" s="270"/>
      <c r="AZ2965" s="435"/>
      <c r="BA2965" s="173"/>
      <c r="BB2965" s="434"/>
      <c r="BC2965" s="434"/>
      <c r="BD2965" s="308" t="s">
        <v>1844</v>
      </c>
      <c r="BE2965" s="436"/>
      <c r="BF2965" s="274" t="str">
        <f>IFERROR(__xludf.DUMMYFUNCTION("LOWER(Regexreplace(to_text(E2965),""[^A-Za-z0-9]"","""")&amp;""_""&amp;Regexreplace(to_text(F2965),""[^A-Za-z0-9]"",""""))"),"pvrcontrols_crc202000")</f>
        <v>pvrcontrols_crc202000</v>
      </c>
      <c r="BG2965" s="275" t="str">
        <f>IFERROR(__xludf.DUMMYFUNCTION("upper(Regexreplace(to_text(E2965),""[^A-Za-z0-9]"","""")&amp;""-""&amp;Regexreplace(to_text(F2965),""[^A-Za-z0-9]"",""""))"),"PVRCONTROLS-CRC202000")</f>
        <v>PVRCONTROLS-CRC202000</v>
      </c>
    </row>
    <row r="2966" ht="30.0" customHeight="1">
      <c r="A2966" s="258">
        <v>2690.0</v>
      </c>
      <c r="B2966" s="328" t="s">
        <v>670</v>
      </c>
      <c r="C2966" s="257" t="s">
        <v>9248</v>
      </c>
      <c r="D2966" s="173" t="s">
        <v>9248</v>
      </c>
      <c r="E2966" s="174" t="s">
        <v>9208</v>
      </c>
      <c r="F2966" s="173" t="s">
        <v>9209</v>
      </c>
      <c r="G2966" s="328" t="s">
        <v>673</v>
      </c>
      <c r="H2966" s="328" t="s">
        <v>2863</v>
      </c>
      <c r="I2966" s="258" t="s">
        <v>9210</v>
      </c>
      <c r="J2966" s="259" t="s">
        <v>965</v>
      </c>
      <c r="K2966" s="260"/>
      <c r="L2966" s="142"/>
      <c r="M2966" s="329"/>
      <c r="N2966" s="173" t="s">
        <v>679</v>
      </c>
      <c r="O2966" s="173" t="s">
        <v>225</v>
      </c>
      <c r="P2966" s="262" t="str">
        <f t="shared" si="1"/>
        <v>IN-BLR-ANANTA-FRZ-20_3</v>
      </c>
      <c r="Q2966" s="173" t="s">
        <v>9249</v>
      </c>
      <c r="R2966" s="328" t="str">
        <f>IFS(C2966="","",C2966="n/a","N/A",LEN(C2966),Concatenate("{",char(34),"asset",char(34),":{",char(34),"guid",char(34),":",char(34),Q2966,char(34),",",char(34),"site",char(34),":",char(34),LOWER('2-Building'!$B$4),char(34),",",char(34),"name",char(34),":",char(34),LOWER(C2966),char(34),"}}"))</f>
        <v>{"asset":{"guid":"uuid://096d7cd9-1969-4386-aff0-9fda8e8ddee2","site":"in-blr-ananta","name":"frz-20"}}</v>
      </c>
      <c r="S2966" s="333"/>
      <c r="T2966" s="330"/>
      <c r="U2966" s="330"/>
      <c r="V2966" s="331"/>
      <c r="W2966" s="332"/>
      <c r="X2966" s="333"/>
      <c r="Y2966" s="33" t="s">
        <v>8076</v>
      </c>
      <c r="Z2966" s="368"/>
      <c r="AA2966" s="333"/>
      <c r="AB2966" s="258"/>
      <c r="AC2966" s="333"/>
      <c r="AD2966" s="329"/>
      <c r="AE2966" s="331"/>
      <c r="AF2966" s="336"/>
      <c r="AG2966" s="337" t="str">
        <f>IFS(LEN(AF2966)=17,LOWER('2-Building'!$B$4 &amp; "-" &amp; C2966), AF2966="N/A", "N/A", LEN(AF2966)=0,"")</f>
        <v/>
      </c>
      <c r="AH2966" s="333"/>
      <c r="AI2966" s="333"/>
      <c r="AJ2966" s="333"/>
      <c r="AK2966" s="333"/>
      <c r="AL2966" s="333"/>
      <c r="AM2966" s="338"/>
      <c r="AN2966" s="333"/>
      <c r="AO2966" s="333"/>
      <c r="AP2966" s="333"/>
      <c r="AQ2966" s="333"/>
      <c r="AR2966" s="333"/>
      <c r="AS2966" s="333"/>
      <c r="AT2966" s="333"/>
      <c r="AU2966" s="329"/>
      <c r="AV2966" s="341"/>
      <c r="AW2966" s="269" t="s">
        <v>2084</v>
      </c>
      <c r="AX2966" s="269" t="s">
        <v>2869</v>
      </c>
      <c r="AY2966" s="270"/>
      <c r="AZ2966" s="379"/>
      <c r="BA2966" s="173"/>
      <c r="BB2966" s="341"/>
      <c r="BC2966" s="341"/>
      <c r="BD2966" s="308" t="s">
        <v>1844</v>
      </c>
      <c r="BE2966" s="364"/>
      <c r="BF2966" s="274" t="str">
        <f>IFERROR(__xludf.DUMMYFUNCTION("LOWER(Regexreplace(to_text(E2966),""[^A-Za-z0-9]"","""")&amp;""_""&amp;Regexreplace(to_text(F2966),""[^A-Za-z0-9]"",""""))"),"pvrcontrols_crc202000")</f>
        <v>pvrcontrols_crc202000</v>
      </c>
      <c r="BG2966" s="275" t="str">
        <f>IFERROR(__xludf.DUMMYFUNCTION("upper(Regexreplace(to_text(E2966),""[^A-Za-z0-9]"","""")&amp;""-""&amp;Regexreplace(to_text(F2966),""[^A-Za-z0-9]"",""""))"),"PVRCONTROLS-CRC202000")</f>
        <v>PVRCONTROLS-CRC202000</v>
      </c>
    </row>
    <row r="2967" ht="30.0" customHeight="1">
      <c r="A2967" s="328">
        <v>2690.0</v>
      </c>
      <c r="B2967" s="425" t="s">
        <v>670</v>
      </c>
      <c r="C2967" s="257" t="s">
        <v>9250</v>
      </c>
      <c r="D2967" s="173" t="s">
        <v>9250</v>
      </c>
      <c r="E2967" s="174" t="s">
        <v>9208</v>
      </c>
      <c r="F2967" s="173" t="s">
        <v>9209</v>
      </c>
      <c r="G2967" s="425" t="s">
        <v>673</v>
      </c>
      <c r="H2967" s="425" t="s">
        <v>2863</v>
      </c>
      <c r="I2967" s="258" t="s">
        <v>9210</v>
      </c>
      <c r="J2967" s="259" t="s">
        <v>965</v>
      </c>
      <c r="K2967" s="260"/>
      <c r="L2967" s="142"/>
      <c r="M2967" s="426"/>
      <c r="N2967" s="173" t="s">
        <v>679</v>
      </c>
      <c r="O2967" s="173" t="s">
        <v>225</v>
      </c>
      <c r="P2967" s="262" t="str">
        <f t="shared" si="1"/>
        <v>IN-BLR-ANANTA-FRZ-21_3</v>
      </c>
      <c r="Q2967" s="173" t="s">
        <v>9251</v>
      </c>
      <c r="R2967" s="328" t="str">
        <f>IFS(C2967="","",C2967="n/a","N/A",LEN(C2967),Concatenate("{",char(34),"asset",char(34),":{",char(34),"guid",char(34),":",char(34),Q2967,char(34),",",char(34),"site",char(34),":",char(34),LOWER('2-Building'!$B$4),char(34),",",char(34),"name",char(34),":",char(34),LOWER(C2967),char(34),"}}"))</f>
        <v>{"asset":{"guid":"uuid://77f31329-2399-470e-a228-78ebae18836b","site":"in-blr-ananta","name":"frz-21"}}</v>
      </c>
      <c r="S2967" s="430"/>
      <c r="T2967" s="427"/>
      <c r="U2967" s="427"/>
      <c r="V2967" s="428"/>
      <c r="W2967" s="429"/>
      <c r="X2967" s="430"/>
      <c r="Y2967" s="33" t="s">
        <v>8076</v>
      </c>
      <c r="Z2967" s="430"/>
      <c r="AA2967" s="430"/>
      <c r="AB2967" s="258"/>
      <c r="AC2967" s="430"/>
      <c r="AD2967" s="426"/>
      <c r="AE2967" s="428"/>
      <c r="AF2967" s="431"/>
      <c r="AG2967" s="432" t="str">
        <f>IFS(LEN(AF2967)=17,LOWER('2-Building'!$B$4 &amp; "-" &amp; C2967), AF2967="N/A", "N/A", LEN(AF2967)=0,"")</f>
        <v/>
      </c>
      <c r="AH2967" s="430"/>
      <c r="AI2967" s="430"/>
      <c r="AJ2967" s="430"/>
      <c r="AK2967" s="430"/>
      <c r="AL2967" s="430"/>
      <c r="AM2967" s="433"/>
      <c r="AN2967" s="430"/>
      <c r="AO2967" s="430"/>
      <c r="AP2967" s="430"/>
      <c r="AQ2967" s="430"/>
      <c r="AR2967" s="430"/>
      <c r="AS2967" s="430"/>
      <c r="AT2967" s="430"/>
      <c r="AU2967" s="426"/>
      <c r="AV2967" s="434"/>
      <c r="AW2967" s="269" t="s">
        <v>2084</v>
      </c>
      <c r="AX2967" s="269" t="s">
        <v>2869</v>
      </c>
      <c r="AY2967" s="270"/>
      <c r="AZ2967" s="435"/>
      <c r="BA2967" s="173"/>
      <c r="BB2967" s="434"/>
      <c r="BC2967" s="434"/>
      <c r="BD2967" s="308" t="s">
        <v>1844</v>
      </c>
      <c r="BE2967" s="436"/>
      <c r="BF2967" s="274" t="str">
        <f>IFERROR(__xludf.DUMMYFUNCTION("LOWER(Regexreplace(to_text(E2967),""[^A-Za-z0-9]"","""")&amp;""_""&amp;Regexreplace(to_text(F2967),""[^A-Za-z0-9]"",""""))"),"pvrcontrols_crc202000")</f>
        <v>pvrcontrols_crc202000</v>
      </c>
      <c r="BG2967" s="275" t="str">
        <f>IFERROR(__xludf.DUMMYFUNCTION("upper(Regexreplace(to_text(E2967),""[^A-Za-z0-9]"","""")&amp;""-""&amp;Regexreplace(to_text(F2967),""[^A-Za-z0-9]"",""""))"),"PVRCONTROLS-CRC202000")</f>
        <v>PVRCONTROLS-CRC202000</v>
      </c>
    </row>
    <row r="2968" ht="30.0" customHeight="1">
      <c r="A2968" s="328">
        <v>2690.0</v>
      </c>
      <c r="B2968" s="425" t="s">
        <v>670</v>
      </c>
      <c r="C2968" s="257" t="s">
        <v>9252</v>
      </c>
      <c r="D2968" s="173" t="s">
        <v>9252</v>
      </c>
      <c r="E2968" s="174" t="s">
        <v>9208</v>
      </c>
      <c r="F2968" s="173" t="s">
        <v>9209</v>
      </c>
      <c r="G2968" s="425" t="s">
        <v>673</v>
      </c>
      <c r="H2968" s="425" t="s">
        <v>2863</v>
      </c>
      <c r="I2968" s="258" t="s">
        <v>9210</v>
      </c>
      <c r="J2968" s="259" t="s">
        <v>965</v>
      </c>
      <c r="K2968" s="260"/>
      <c r="L2968" s="142"/>
      <c r="M2968" s="426"/>
      <c r="N2968" s="173" t="s">
        <v>679</v>
      </c>
      <c r="O2968" s="173" t="s">
        <v>225</v>
      </c>
      <c r="P2968" s="262" t="str">
        <f t="shared" si="1"/>
        <v>IN-BLR-ANANTA-FRZ-22_3</v>
      </c>
      <c r="Q2968" s="173" t="s">
        <v>9253</v>
      </c>
      <c r="R2968" s="328" t="str">
        <f>IFS(C2968="","",C2968="n/a","N/A",LEN(C2968),Concatenate("{",char(34),"asset",char(34),":{",char(34),"guid",char(34),":",char(34),Q2968,char(34),",",char(34),"site",char(34),":",char(34),LOWER('2-Building'!$B$4),char(34),",",char(34),"name",char(34),":",char(34),LOWER(C2968),char(34),"}}"))</f>
        <v>{"asset":{"guid":"uuid://8ae94520-9a22-4d8b-9047-bbef672d5967","site":"in-blr-ananta","name":"frz-22"}}</v>
      </c>
      <c r="S2968" s="430"/>
      <c r="T2968" s="427"/>
      <c r="U2968" s="427"/>
      <c r="V2968" s="428"/>
      <c r="W2968" s="429"/>
      <c r="X2968" s="430"/>
      <c r="Y2968" s="33" t="s">
        <v>8076</v>
      </c>
      <c r="Z2968" s="430"/>
      <c r="AA2968" s="430"/>
      <c r="AB2968" s="258"/>
      <c r="AC2968" s="430"/>
      <c r="AD2968" s="426"/>
      <c r="AE2968" s="428"/>
      <c r="AF2968" s="431"/>
      <c r="AG2968" s="432" t="str">
        <f>IFS(LEN(AF2968)=17,LOWER('2-Building'!$B$4 &amp; "-" &amp; C2968), AF2968="N/A", "N/A", LEN(AF2968)=0,"")</f>
        <v/>
      </c>
      <c r="AH2968" s="430"/>
      <c r="AI2968" s="430"/>
      <c r="AJ2968" s="430"/>
      <c r="AK2968" s="430"/>
      <c r="AL2968" s="430"/>
      <c r="AM2968" s="433"/>
      <c r="AN2968" s="430"/>
      <c r="AO2968" s="430"/>
      <c r="AP2968" s="430"/>
      <c r="AQ2968" s="430"/>
      <c r="AR2968" s="430"/>
      <c r="AS2968" s="430"/>
      <c r="AT2968" s="430"/>
      <c r="AU2968" s="426"/>
      <c r="AV2968" s="434"/>
      <c r="AW2968" s="269" t="s">
        <v>2084</v>
      </c>
      <c r="AX2968" s="269" t="s">
        <v>2869</v>
      </c>
      <c r="AY2968" s="270"/>
      <c r="AZ2968" s="435"/>
      <c r="BA2968" s="173"/>
      <c r="BB2968" s="434"/>
      <c r="BC2968" s="434"/>
      <c r="BD2968" s="308" t="s">
        <v>1844</v>
      </c>
      <c r="BE2968" s="436"/>
      <c r="BF2968" s="274" t="str">
        <f>IFERROR(__xludf.DUMMYFUNCTION("LOWER(Regexreplace(to_text(E2968),""[^A-Za-z0-9]"","""")&amp;""_""&amp;Regexreplace(to_text(F2968),""[^A-Za-z0-9]"",""""))"),"pvrcontrols_crc202000")</f>
        <v>pvrcontrols_crc202000</v>
      </c>
      <c r="BG2968" s="275" t="str">
        <f>IFERROR(__xludf.DUMMYFUNCTION("upper(Regexreplace(to_text(E2968),""[^A-Za-z0-9]"","""")&amp;""-""&amp;Regexreplace(to_text(F2968),""[^A-Za-z0-9]"",""""))"),"PVRCONTROLS-CRC202000")</f>
        <v>PVRCONTROLS-CRC202000</v>
      </c>
    </row>
    <row r="2969" ht="30.0" customHeight="1">
      <c r="A2969" s="425">
        <v>2690.0</v>
      </c>
      <c r="B2969" s="425" t="s">
        <v>670</v>
      </c>
      <c r="C2969" s="257" t="s">
        <v>9254</v>
      </c>
      <c r="D2969" s="173" t="s">
        <v>9254</v>
      </c>
      <c r="E2969" s="174" t="s">
        <v>9208</v>
      </c>
      <c r="F2969" s="173" t="s">
        <v>9209</v>
      </c>
      <c r="G2969" s="425" t="s">
        <v>673</v>
      </c>
      <c r="H2969" s="425" t="s">
        <v>2863</v>
      </c>
      <c r="I2969" s="258" t="s">
        <v>9210</v>
      </c>
      <c r="J2969" s="259" t="s">
        <v>965</v>
      </c>
      <c r="K2969" s="260"/>
      <c r="L2969" s="142"/>
      <c r="M2969" s="426"/>
      <c r="N2969" s="173" t="s">
        <v>679</v>
      </c>
      <c r="O2969" s="173" t="s">
        <v>225</v>
      </c>
      <c r="P2969" s="262" t="str">
        <f t="shared" si="1"/>
        <v>IN-BLR-ANANTA-FRZ-23_3</v>
      </c>
      <c r="Q2969" s="173" t="s">
        <v>9255</v>
      </c>
      <c r="R2969" s="328" t="str">
        <f>IFS(C2969="","",C2969="n/a","N/A",LEN(C2969),Concatenate("{",char(34),"asset",char(34),":{",char(34),"guid",char(34),":",char(34),Q2969,char(34),",",char(34),"site",char(34),":",char(34),LOWER('2-Building'!$B$4),char(34),",",char(34),"name",char(34),":",char(34),LOWER(C2969),char(34),"}}"))</f>
        <v>{"asset":{"guid":"uuid://e61a5176-6477-4290-92e8-93442c66545a","site":"in-blr-ananta","name":"frz-23"}}</v>
      </c>
      <c r="S2969" s="430"/>
      <c r="T2969" s="427"/>
      <c r="U2969" s="427"/>
      <c r="V2969" s="428"/>
      <c r="W2969" s="429"/>
      <c r="X2969" s="430"/>
      <c r="Y2969" s="33" t="s">
        <v>8076</v>
      </c>
      <c r="Z2969" s="430"/>
      <c r="AA2969" s="430"/>
      <c r="AB2969" s="258"/>
      <c r="AC2969" s="430"/>
      <c r="AD2969" s="426"/>
      <c r="AE2969" s="428"/>
      <c r="AF2969" s="431"/>
      <c r="AG2969" s="432"/>
      <c r="AH2969" s="430"/>
      <c r="AI2969" s="430"/>
      <c r="AJ2969" s="430"/>
      <c r="AK2969" s="430"/>
      <c r="AL2969" s="430"/>
      <c r="AM2969" s="433"/>
      <c r="AN2969" s="430"/>
      <c r="AO2969" s="430"/>
      <c r="AP2969" s="430"/>
      <c r="AQ2969" s="430"/>
      <c r="AR2969" s="430"/>
      <c r="AS2969" s="430"/>
      <c r="AT2969" s="430"/>
      <c r="AU2969" s="426"/>
      <c r="AV2969" s="434"/>
      <c r="AW2969" s="269" t="s">
        <v>2084</v>
      </c>
      <c r="AX2969" s="269" t="s">
        <v>2869</v>
      </c>
      <c r="AY2969" s="270"/>
      <c r="AZ2969" s="435"/>
      <c r="BA2969" s="173"/>
      <c r="BB2969" s="434"/>
      <c r="BC2969" s="434"/>
      <c r="BD2969" s="308" t="s">
        <v>1844</v>
      </c>
      <c r="BE2969" s="436"/>
      <c r="BF2969" s="274" t="str">
        <f>IFERROR(__xludf.DUMMYFUNCTION("LOWER(Regexreplace(to_text(E2969),""[^A-Za-z0-9]"","""")&amp;""_""&amp;Regexreplace(to_text(F2969),""[^A-Za-z0-9]"",""""))"),"pvrcontrols_crc202000")</f>
        <v>pvrcontrols_crc202000</v>
      </c>
      <c r="BG2969" s="275" t="str">
        <f>IFERROR(__xludf.DUMMYFUNCTION("upper(Regexreplace(to_text(E2969),""[^A-Za-z0-9]"","""")&amp;""-""&amp;Regexreplace(to_text(F2969),""[^A-Za-z0-9]"",""""))"),"PVRCONTROLS-CRC202000")</f>
        <v>PVRCONTROLS-CRC202000</v>
      </c>
    </row>
    <row r="2970" ht="30.0" customHeight="1">
      <c r="A2970" s="328">
        <v>2690.0</v>
      </c>
      <c r="B2970" s="425" t="s">
        <v>670</v>
      </c>
      <c r="C2970" s="257" t="s">
        <v>9256</v>
      </c>
      <c r="D2970" s="173" t="s">
        <v>9256</v>
      </c>
      <c r="E2970" s="174" t="s">
        <v>9208</v>
      </c>
      <c r="F2970" s="173" t="s">
        <v>9209</v>
      </c>
      <c r="G2970" s="425" t="s">
        <v>673</v>
      </c>
      <c r="H2970" s="425" t="s">
        <v>2863</v>
      </c>
      <c r="I2970" s="258" t="s">
        <v>9210</v>
      </c>
      <c r="J2970" s="259" t="s">
        <v>965</v>
      </c>
      <c r="K2970" s="260"/>
      <c r="L2970" s="142"/>
      <c r="M2970" s="426"/>
      <c r="N2970" s="173" t="s">
        <v>679</v>
      </c>
      <c r="O2970" s="173" t="s">
        <v>225</v>
      </c>
      <c r="P2970" s="262" t="str">
        <f t="shared" si="1"/>
        <v>IN-BLR-ANANTA-FRZ-24_3</v>
      </c>
      <c r="Q2970" s="173" t="s">
        <v>9257</v>
      </c>
      <c r="R2970" s="328" t="str">
        <f>IFS(C2970="","",C2970="n/a","N/A",LEN(C2970),Concatenate("{",char(34),"asset",char(34),":{",char(34),"guid",char(34),":",char(34),Q2970,char(34),",",char(34),"site",char(34),":",char(34),LOWER('2-Building'!$B$4),char(34),",",char(34),"name",char(34),":",char(34),LOWER(C2970),char(34),"}}"))</f>
        <v>{"asset":{"guid":"uuid://8458bc94-fc41-4f27-8806-cdfe7e5fce18","site":"in-blr-ananta","name":"frz-24"}}</v>
      </c>
      <c r="S2970" s="430"/>
      <c r="T2970" s="427"/>
      <c r="U2970" s="427"/>
      <c r="V2970" s="428"/>
      <c r="W2970" s="429"/>
      <c r="X2970" s="430"/>
      <c r="Y2970" s="33" t="s">
        <v>8076</v>
      </c>
      <c r="Z2970" s="430"/>
      <c r="AA2970" s="430"/>
      <c r="AB2970" s="258"/>
      <c r="AC2970" s="430"/>
      <c r="AD2970" s="426"/>
      <c r="AE2970" s="428"/>
      <c r="AF2970" s="431"/>
      <c r="AG2970" s="432"/>
      <c r="AH2970" s="430"/>
      <c r="AI2970" s="430"/>
      <c r="AJ2970" s="430"/>
      <c r="AK2970" s="430"/>
      <c r="AL2970" s="430"/>
      <c r="AM2970" s="433"/>
      <c r="AN2970" s="430"/>
      <c r="AO2970" s="430"/>
      <c r="AP2970" s="430"/>
      <c r="AQ2970" s="430"/>
      <c r="AR2970" s="430"/>
      <c r="AS2970" s="430"/>
      <c r="AT2970" s="430"/>
      <c r="AU2970" s="426"/>
      <c r="AV2970" s="434"/>
      <c r="AW2970" s="269" t="s">
        <v>2084</v>
      </c>
      <c r="AX2970" s="269" t="s">
        <v>2869</v>
      </c>
      <c r="AY2970" s="270"/>
      <c r="AZ2970" s="435"/>
      <c r="BA2970" s="173"/>
      <c r="BB2970" s="434"/>
      <c r="BC2970" s="434"/>
      <c r="BD2970" s="308" t="s">
        <v>1844</v>
      </c>
      <c r="BE2970" s="436"/>
      <c r="BF2970" s="274" t="str">
        <f>IFERROR(__xludf.DUMMYFUNCTION("LOWER(Regexreplace(to_text(E2970),""[^A-Za-z0-9]"","""")&amp;""_""&amp;Regexreplace(to_text(F2970),""[^A-Za-z0-9]"",""""))"),"pvrcontrols_crc202000")</f>
        <v>pvrcontrols_crc202000</v>
      </c>
      <c r="BG2970" s="275" t="str">
        <f>IFERROR(__xludf.DUMMYFUNCTION("upper(Regexreplace(to_text(E2970),""[^A-Za-z0-9]"","""")&amp;""-""&amp;Regexreplace(to_text(F2970),""[^A-Za-z0-9]"",""""))"),"PVRCONTROLS-CRC202000")</f>
        <v>PVRCONTROLS-CRC202000</v>
      </c>
    </row>
    <row r="2971" ht="30.0" customHeight="1">
      <c r="A2971" s="328">
        <v>2690.0</v>
      </c>
      <c r="B2971" s="425" t="s">
        <v>670</v>
      </c>
      <c r="C2971" s="257" t="s">
        <v>9258</v>
      </c>
      <c r="D2971" s="173" t="s">
        <v>9258</v>
      </c>
      <c r="E2971" s="174" t="s">
        <v>9208</v>
      </c>
      <c r="F2971" s="173" t="s">
        <v>9209</v>
      </c>
      <c r="G2971" s="425" t="s">
        <v>673</v>
      </c>
      <c r="H2971" s="425" t="s">
        <v>2863</v>
      </c>
      <c r="I2971" s="258" t="s">
        <v>9210</v>
      </c>
      <c r="J2971" s="259" t="s">
        <v>965</v>
      </c>
      <c r="K2971" s="260"/>
      <c r="L2971" s="142"/>
      <c r="M2971" s="426"/>
      <c r="N2971" s="173" t="s">
        <v>679</v>
      </c>
      <c r="O2971" s="173" t="s">
        <v>225</v>
      </c>
      <c r="P2971" s="262" t="str">
        <f t="shared" si="1"/>
        <v>IN-BLR-ANANTA-FRZ-25_3</v>
      </c>
      <c r="Q2971" s="173" t="s">
        <v>9259</v>
      </c>
      <c r="R2971" s="328" t="str">
        <f>IFS(C2971="","",C2971="n/a","N/A",LEN(C2971),Concatenate("{",char(34),"asset",char(34),":{",char(34),"guid",char(34),":",char(34),Q2971,char(34),",",char(34),"site",char(34),":",char(34),LOWER('2-Building'!$B$4),char(34),",",char(34),"name",char(34),":",char(34),LOWER(C2971),char(34),"}}"))</f>
        <v>{"asset":{"guid":"uuid://bdfe4c6b-5be3-429f-a67c-e261e1dcccfd","site":"in-blr-ananta","name":"frz-25"}}</v>
      </c>
      <c r="S2971" s="430"/>
      <c r="T2971" s="427"/>
      <c r="U2971" s="427"/>
      <c r="V2971" s="428"/>
      <c r="W2971" s="429"/>
      <c r="X2971" s="430"/>
      <c r="Y2971" s="33" t="s">
        <v>8076</v>
      </c>
      <c r="Z2971" s="430"/>
      <c r="AA2971" s="430"/>
      <c r="AB2971" s="258"/>
      <c r="AC2971" s="430"/>
      <c r="AD2971" s="426"/>
      <c r="AE2971" s="428"/>
      <c r="AF2971" s="431"/>
      <c r="AG2971" s="432"/>
      <c r="AH2971" s="430"/>
      <c r="AI2971" s="430"/>
      <c r="AJ2971" s="430"/>
      <c r="AK2971" s="430"/>
      <c r="AL2971" s="430"/>
      <c r="AM2971" s="433"/>
      <c r="AN2971" s="430"/>
      <c r="AO2971" s="430"/>
      <c r="AP2971" s="430"/>
      <c r="AQ2971" s="430"/>
      <c r="AR2971" s="430"/>
      <c r="AS2971" s="430"/>
      <c r="AT2971" s="430"/>
      <c r="AU2971" s="426"/>
      <c r="AV2971" s="434"/>
      <c r="AW2971" s="269" t="s">
        <v>2084</v>
      </c>
      <c r="AX2971" s="269" t="s">
        <v>2869</v>
      </c>
      <c r="AY2971" s="270"/>
      <c r="AZ2971" s="435"/>
      <c r="BA2971" s="173"/>
      <c r="BB2971" s="434"/>
      <c r="BC2971" s="434"/>
      <c r="BD2971" s="308" t="s">
        <v>1844</v>
      </c>
      <c r="BE2971" s="436"/>
      <c r="BF2971" s="274" t="str">
        <f>IFERROR(__xludf.DUMMYFUNCTION("LOWER(Regexreplace(to_text(E2971),""[^A-Za-z0-9]"","""")&amp;""_""&amp;Regexreplace(to_text(F2971),""[^A-Za-z0-9]"",""""))"),"pvrcontrols_crc202000")</f>
        <v>pvrcontrols_crc202000</v>
      </c>
      <c r="BG2971" s="275" t="str">
        <f>IFERROR(__xludf.DUMMYFUNCTION("upper(Regexreplace(to_text(E2971),""[^A-Za-z0-9]"","""")&amp;""-""&amp;Regexreplace(to_text(F2971),""[^A-Za-z0-9]"",""""))"),"PVRCONTROLS-CRC202000")</f>
        <v>PVRCONTROLS-CRC202000</v>
      </c>
    </row>
    <row r="2972" ht="30.0" customHeight="1">
      <c r="A2972" s="425"/>
      <c r="B2972" s="425" t="s">
        <v>670</v>
      </c>
      <c r="C2972" s="257" t="s">
        <v>9260</v>
      </c>
      <c r="D2972" s="173" t="s">
        <v>9260</v>
      </c>
      <c r="E2972" s="174" t="s">
        <v>9208</v>
      </c>
      <c r="F2972" s="173" t="s">
        <v>9209</v>
      </c>
      <c r="G2972" s="425" t="s">
        <v>673</v>
      </c>
      <c r="H2972" s="425" t="s">
        <v>2863</v>
      </c>
      <c r="I2972" s="258" t="s">
        <v>9210</v>
      </c>
      <c r="J2972" s="259" t="s">
        <v>1393</v>
      </c>
      <c r="K2972" s="260"/>
      <c r="L2972" s="442"/>
      <c r="M2972" s="426"/>
      <c r="N2972" s="173" t="s">
        <v>679</v>
      </c>
      <c r="O2972" s="173" t="s">
        <v>225</v>
      </c>
      <c r="P2972" s="262" t="str">
        <f t="shared" si="1"/>
        <v>IN-BLR-ANANTA-FRZ-26_10</v>
      </c>
      <c r="Q2972" s="173" t="s">
        <v>9261</v>
      </c>
      <c r="R2972" s="328" t="str">
        <f>IFS(C2972="","",C2972="n/a","N/A",LEN(C2972),Concatenate("{",char(34),"asset",char(34),":{",char(34),"guid",char(34),":",char(34),Q2972,char(34),",",char(34),"site",char(34),":",char(34),LOWER('2-Building'!$B$4),char(34),",",char(34),"name",char(34),":",char(34),LOWER(C2972),char(34),"}}"))</f>
        <v>{"asset":{"guid":"uuid://51b44815-23f2-4f0a-9556-460a8c608620","site":"in-blr-ananta","name":"frz-26"}}</v>
      </c>
      <c r="S2972" s="430"/>
      <c r="T2972" s="427"/>
      <c r="U2972" s="427"/>
      <c r="V2972" s="428"/>
      <c r="W2972" s="429"/>
      <c r="X2972" s="430"/>
      <c r="Y2972" s="33"/>
      <c r="Z2972" s="430"/>
      <c r="AA2972" s="430"/>
      <c r="AB2972" s="258"/>
      <c r="AC2972" s="430"/>
      <c r="AD2972" s="426"/>
      <c r="AE2972" s="428"/>
      <c r="AF2972" s="431"/>
      <c r="AG2972" s="432"/>
      <c r="AH2972" s="430"/>
      <c r="AI2972" s="430"/>
      <c r="AJ2972" s="430"/>
      <c r="AK2972" s="430"/>
      <c r="AL2972" s="430"/>
      <c r="AM2972" s="433"/>
      <c r="AN2972" s="430"/>
      <c r="AO2972" s="430"/>
      <c r="AP2972" s="430"/>
      <c r="AQ2972" s="430"/>
      <c r="AR2972" s="430"/>
      <c r="AS2972" s="430"/>
      <c r="AT2972" s="430"/>
      <c r="AU2972" s="426"/>
      <c r="AV2972" s="434"/>
      <c r="AW2972" s="269"/>
      <c r="AX2972" s="269"/>
      <c r="AY2972" s="270"/>
      <c r="AZ2972" s="435"/>
      <c r="BA2972" s="173"/>
      <c r="BB2972" s="434"/>
      <c r="BC2972" s="434"/>
      <c r="BD2972" s="308"/>
      <c r="BE2972" s="436"/>
      <c r="BF2972" s="274" t="str">
        <f>IFERROR(__xludf.DUMMYFUNCTION("LOWER(Regexreplace(to_text(E2972),""[^A-Za-z0-9]"","""")&amp;""_""&amp;Regexreplace(to_text(F2972),""[^A-Za-z0-9]"",""""))"),"pvrcontrols_crc202000")</f>
        <v>pvrcontrols_crc202000</v>
      </c>
      <c r="BG2972" s="275" t="str">
        <f>IFERROR(__xludf.DUMMYFUNCTION("upper(Regexreplace(to_text(E2972),""[^A-Za-z0-9]"","""")&amp;""-""&amp;Regexreplace(to_text(F2972),""[^A-Za-z0-9]"",""""))"),"PVRCONTROLS-CRC202000")</f>
        <v>PVRCONTROLS-CRC202000</v>
      </c>
    </row>
    <row r="2973" ht="30.0" customHeight="1">
      <c r="A2973" s="425"/>
      <c r="B2973" s="425" t="s">
        <v>670</v>
      </c>
      <c r="C2973" s="257" t="s">
        <v>9262</v>
      </c>
      <c r="D2973" s="173" t="s">
        <v>9262</v>
      </c>
      <c r="E2973" s="174" t="s">
        <v>9208</v>
      </c>
      <c r="F2973" s="173" t="s">
        <v>9209</v>
      </c>
      <c r="G2973" s="425" t="s">
        <v>673</v>
      </c>
      <c r="H2973" s="425" t="s">
        <v>2863</v>
      </c>
      <c r="I2973" s="258" t="s">
        <v>9210</v>
      </c>
      <c r="J2973" s="259" t="s">
        <v>1393</v>
      </c>
      <c r="K2973" s="260"/>
      <c r="L2973" s="442"/>
      <c r="M2973" s="426"/>
      <c r="N2973" s="173" t="s">
        <v>679</v>
      </c>
      <c r="O2973" s="173" t="s">
        <v>225</v>
      </c>
      <c r="P2973" s="262" t="str">
        <f t="shared" si="1"/>
        <v>IN-BLR-ANANTA-FRZ-27_10</v>
      </c>
      <c r="Q2973" s="173" t="s">
        <v>9263</v>
      </c>
      <c r="R2973" s="328" t="str">
        <f>IFS(C2973="","",C2973="n/a","N/A",LEN(C2973),Concatenate("{",char(34),"asset",char(34),":{",char(34),"guid",char(34),":",char(34),Q2973,char(34),",",char(34),"site",char(34),":",char(34),LOWER('2-Building'!$B$4),char(34),",",char(34),"name",char(34),":",char(34),LOWER(C2973),char(34),"}}"))</f>
        <v>{"asset":{"guid":"uuid://351932fc-953e-4b9f-8acf-6e8a15a36791","site":"in-blr-ananta","name":"frz-27"}}</v>
      </c>
      <c r="S2973" s="430"/>
      <c r="T2973" s="427"/>
      <c r="U2973" s="427"/>
      <c r="V2973" s="428"/>
      <c r="W2973" s="429"/>
      <c r="X2973" s="430"/>
      <c r="Y2973" s="33"/>
      <c r="Z2973" s="430"/>
      <c r="AA2973" s="430"/>
      <c r="AB2973" s="258"/>
      <c r="AC2973" s="430"/>
      <c r="AD2973" s="426"/>
      <c r="AE2973" s="428"/>
      <c r="AF2973" s="431"/>
      <c r="AG2973" s="432"/>
      <c r="AH2973" s="430"/>
      <c r="AI2973" s="430"/>
      <c r="AJ2973" s="430"/>
      <c r="AK2973" s="430"/>
      <c r="AL2973" s="430"/>
      <c r="AM2973" s="433"/>
      <c r="AN2973" s="430"/>
      <c r="AO2973" s="430"/>
      <c r="AP2973" s="430"/>
      <c r="AQ2973" s="430"/>
      <c r="AR2973" s="430"/>
      <c r="AS2973" s="430"/>
      <c r="AT2973" s="430"/>
      <c r="AU2973" s="426"/>
      <c r="AV2973" s="434"/>
      <c r="AW2973" s="269"/>
      <c r="AX2973" s="269"/>
      <c r="AY2973" s="270"/>
      <c r="AZ2973" s="435"/>
      <c r="BA2973" s="173"/>
      <c r="BB2973" s="434"/>
      <c r="BC2973" s="434"/>
      <c r="BD2973" s="308"/>
      <c r="BE2973" s="436"/>
      <c r="BF2973" s="274" t="str">
        <f>IFERROR(__xludf.DUMMYFUNCTION("LOWER(Regexreplace(to_text(E2973),""[^A-Za-z0-9]"","""")&amp;""_""&amp;Regexreplace(to_text(F2973),""[^A-Za-z0-9]"",""""))"),"pvrcontrols_crc202000")</f>
        <v>pvrcontrols_crc202000</v>
      </c>
      <c r="BG2973" s="275" t="str">
        <f>IFERROR(__xludf.DUMMYFUNCTION("upper(Regexreplace(to_text(E2973),""[^A-Za-z0-9]"","""")&amp;""-""&amp;Regexreplace(to_text(F2973),""[^A-Za-z0-9]"",""""))"),"PVRCONTROLS-CRC202000")</f>
        <v>PVRCONTROLS-CRC202000</v>
      </c>
    </row>
    <row r="2974" ht="30.0" customHeight="1">
      <c r="A2974" s="425"/>
      <c r="B2974" s="425" t="s">
        <v>670</v>
      </c>
      <c r="C2974" s="257" t="s">
        <v>9264</v>
      </c>
      <c r="D2974" s="173" t="s">
        <v>9264</v>
      </c>
      <c r="E2974" s="174" t="s">
        <v>9208</v>
      </c>
      <c r="F2974" s="173" t="s">
        <v>9209</v>
      </c>
      <c r="G2974" s="425" t="s">
        <v>673</v>
      </c>
      <c r="H2974" s="425" t="s">
        <v>2863</v>
      </c>
      <c r="I2974" s="258" t="s">
        <v>9210</v>
      </c>
      <c r="J2974" s="259" t="s">
        <v>1393</v>
      </c>
      <c r="K2974" s="260"/>
      <c r="L2974" s="442"/>
      <c r="M2974" s="426"/>
      <c r="N2974" s="173" t="s">
        <v>679</v>
      </c>
      <c r="O2974" s="173" t="s">
        <v>225</v>
      </c>
      <c r="P2974" s="262" t="str">
        <f t="shared" si="1"/>
        <v>IN-BLR-ANANTA-FRZ-28_10</v>
      </c>
      <c r="Q2974" s="173" t="s">
        <v>9265</v>
      </c>
      <c r="R2974" s="328" t="str">
        <f>IFS(C2974="","",C2974="n/a","N/A",LEN(C2974),Concatenate("{",char(34),"asset",char(34),":{",char(34),"guid",char(34),":",char(34),Q2974,char(34),",",char(34),"site",char(34),":",char(34),LOWER('2-Building'!$B$4),char(34),",",char(34),"name",char(34),":",char(34),LOWER(C2974),char(34),"}}"))</f>
        <v>{"asset":{"guid":"uuid://f35e9d8e-0d94-4ff3-8322-98e618e76be1","site":"in-blr-ananta","name":"frz-28"}}</v>
      </c>
      <c r="S2974" s="430"/>
      <c r="T2974" s="427"/>
      <c r="U2974" s="427"/>
      <c r="V2974" s="428"/>
      <c r="W2974" s="429"/>
      <c r="X2974" s="430"/>
      <c r="Y2974" s="33"/>
      <c r="Z2974" s="430"/>
      <c r="AA2974" s="430"/>
      <c r="AB2974" s="258"/>
      <c r="AC2974" s="430"/>
      <c r="AD2974" s="426"/>
      <c r="AE2974" s="428"/>
      <c r="AF2974" s="431"/>
      <c r="AG2974" s="432"/>
      <c r="AH2974" s="430"/>
      <c r="AI2974" s="430"/>
      <c r="AJ2974" s="430"/>
      <c r="AK2974" s="430"/>
      <c r="AL2974" s="430"/>
      <c r="AM2974" s="433"/>
      <c r="AN2974" s="430"/>
      <c r="AO2974" s="430"/>
      <c r="AP2974" s="430"/>
      <c r="AQ2974" s="430"/>
      <c r="AR2974" s="430"/>
      <c r="AS2974" s="430"/>
      <c r="AT2974" s="430"/>
      <c r="AU2974" s="426"/>
      <c r="AV2974" s="434"/>
      <c r="AW2974" s="269"/>
      <c r="AX2974" s="269"/>
      <c r="AY2974" s="270"/>
      <c r="AZ2974" s="435"/>
      <c r="BA2974" s="173"/>
      <c r="BB2974" s="434"/>
      <c r="BC2974" s="434"/>
      <c r="BD2974" s="308"/>
      <c r="BE2974" s="436"/>
      <c r="BF2974" s="274" t="str">
        <f>IFERROR(__xludf.DUMMYFUNCTION("LOWER(Regexreplace(to_text(E2974),""[^A-Za-z0-9]"","""")&amp;""_""&amp;Regexreplace(to_text(F2974),""[^A-Za-z0-9]"",""""))"),"pvrcontrols_crc202000")</f>
        <v>pvrcontrols_crc202000</v>
      </c>
      <c r="BG2974" s="275" t="str">
        <f>IFERROR(__xludf.DUMMYFUNCTION("upper(Regexreplace(to_text(E2974),""[^A-Za-z0-9]"","""")&amp;""-""&amp;Regexreplace(to_text(F2974),""[^A-Za-z0-9]"",""""))"),"PVRCONTROLS-CRC202000")</f>
        <v>PVRCONTROLS-CRC202000</v>
      </c>
    </row>
    <row r="2975" ht="30.0" customHeight="1">
      <c r="A2975" s="425">
        <v>2690.0</v>
      </c>
      <c r="B2975" s="425" t="s">
        <v>670</v>
      </c>
      <c r="C2975" s="257" t="s">
        <v>9266</v>
      </c>
      <c r="D2975" s="173" t="s">
        <v>9266</v>
      </c>
      <c r="E2975" s="174" t="s">
        <v>9267</v>
      </c>
      <c r="F2975" s="173" t="s">
        <v>9268</v>
      </c>
      <c r="G2975" s="425" t="s">
        <v>673</v>
      </c>
      <c r="H2975" s="425" t="s">
        <v>2863</v>
      </c>
      <c r="I2975" s="258" t="s">
        <v>9269</v>
      </c>
      <c r="J2975" s="259" t="s">
        <v>739</v>
      </c>
      <c r="K2975" s="443" t="s">
        <v>9270</v>
      </c>
      <c r="L2975" s="442"/>
      <c r="M2975" s="426"/>
      <c r="N2975" s="173" t="s">
        <v>679</v>
      </c>
      <c r="O2975" s="173" t="s">
        <v>225</v>
      </c>
      <c r="P2975" s="262" t="str">
        <f t="shared" si="1"/>
        <v>IN-BLR-ANANTA-EF-1_G</v>
      </c>
      <c r="Q2975" s="173" t="s">
        <v>9271</v>
      </c>
      <c r="R2975" s="328" t="str">
        <f>IFS(C2975="","",C2975="n/a","N/A",LEN(C2975),Concatenate("{",char(34),"asset",char(34),":{",char(34),"guid",char(34),":",char(34),Q2975,char(34),",",char(34),"site",char(34),":",char(34),LOWER('2-Building'!$B$4),char(34),",",char(34),"name",char(34),":",char(34),LOWER(C2975),char(34),"}}"))</f>
        <v>{"asset":{"guid":"uuid://2bd7bd65-db75-46b9-9f56-32afaf6e32ac","site":"in-blr-ananta","name":"ef-1"}}</v>
      </c>
      <c r="S2975" s="369" t="s">
        <v>2866</v>
      </c>
      <c r="T2975" s="427"/>
      <c r="U2975" s="427"/>
      <c r="V2975" s="428"/>
      <c r="W2975" s="429"/>
      <c r="X2975" s="430"/>
      <c r="Y2975" s="33" t="s">
        <v>8076</v>
      </c>
      <c r="Z2975" s="430"/>
      <c r="AA2975" s="430"/>
      <c r="AB2975" s="258">
        <v>3.0</v>
      </c>
      <c r="AC2975" s="430"/>
      <c r="AD2975" s="426"/>
      <c r="AE2975" s="428"/>
      <c r="AF2975" s="431"/>
      <c r="AG2975" s="432" t="str">
        <f>IFS(LEN(AF2975)=17,LOWER('2-Building'!$B$4 &amp; "-" &amp; C2975), AF2975="N/A", "N/A", LEN(AF2975)=0,"")</f>
        <v/>
      </c>
      <c r="AH2975" s="430"/>
      <c r="AI2975" s="430"/>
      <c r="AJ2975" s="430"/>
      <c r="AK2975" s="430"/>
      <c r="AL2975" s="430"/>
      <c r="AM2975" s="433"/>
      <c r="AN2975" s="430"/>
      <c r="AO2975" s="430"/>
      <c r="AP2975" s="430"/>
      <c r="AQ2975" s="430"/>
      <c r="AR2975" s="430"/>
      <c r="AS2975" s="430"/>
      <c r="AT2975" s="430"/>
      <c r="AU2975" s="426"/>
      <c r="AV2975" s="434"/>
      <c r="AW2975" s="269" t="s">
        <v>2828</v>
      </c>
      <c r="AX2975" s="269" t="s">
        <v>2869</v>
      </c>
      <c r="AY2975" s="270" t="s">
        <v>695</v>
      </c>
      <c r="AZ2975" s="435"/>
      <c r="BA2975" s="173">
        <v>10.0</v>
      </c>
      <c r="BB2975" s="434"/>
      <c r="BC2975" s="434"/>
      <c r="BD2975" s="308" t="s">
        <v>1844</v>
      </c>
      <c r="BE2975" s="436"/>
      <c r="BF2975" s="274" t="str">
        <f>IFERROR(__xludf.DUMMYFUNCTION("LOWER(Regexreplace(to_text(E2975),""[^A-Za-z0-9]"","""")&amp;""_""&amp;Regexreplace(to_text(F2975),""[^A-Za-z0-9]"",""""))"),"nicotra_ddmp")</f>
        <v>nicotra_ddmp</v>
      </c>
      <c r="BG2975" s="275" t="str">
        <f>IFERROR(__xludf.DUMMYFUNCTION("upper(Regexreplace(to_text(E2975),""[^A-Za-z0-9]"","""")&amp;""-""&amp;Regexreplace(to_text(F2975),""[^A-Za-z0-9]"",""""))"),"NICOTRA-DDMP")</f>
        <v>NICOTRA-DDMP</v>
      </c>
    </row>
    <row r="2976" ht="30.0" customHeight="1">
      <c r="A2976" s="328">
        <v>2690.0</v>
      </c>
      <c r="B2976" s="425" t="s">
        <v>670</v>
      </c>
      <c r="C2976" s="257" t="s">
        <v>9272</v>
      </c>
      <c r="D2976" s="173" t="s">
        <v>9272</v>
      </c>
      <c r="E2976" s="174" t="s">
        <v>9267</v>
      </c>
      <c r="F2976" s="173" t="s">
        <v>9268</v>
      </c>
      <c r="G2976" s="425" t="s">
        <v>673</v>
      </c>
      <c r="H2976" s="425" t="s">
        <v>2863</v>
      </c>
      <c r="I2976" s="258" t="s">
        <v>9269</v>
      </c>
      <c r="J2976" s="259" t="s">
        <v>739</v>
      </c>
      <c r="K2976" s="443" t="s">
        <v>9273</v>
      </c>
      <c r="L2976" s="442"/>
      <c r="M2976" s="426"/>
      <c r="N2976" s="173" t="s">
        <v>679</v>
      </c>
      <c r="O2976" s="173" t="s">
        <v>225</v>
      </c>
      <c r="P2976" s="262" t="str">
        <f t="shared" si="1"/>
        <v>IN-BLR-ANANTA-EF-2_G</v>
      </c>
      <c r="Q2976" s="173" t="s">
        <v>9274</v>
      </c>
      <c r="R2976" s="328" t="str">
        <f>IFS(C2976="","",C2976="n/a","N/A",LEN(C2976),Concatenate("{",char(34),"asset",char(34),":{",char(34),"guid",char(34),":",char(34),Q2976,char(34),",",char(34),"site",char(34),":",char(34),LOWER('2-Building'!$B$4),char(34),",",char(34),"name",char(34),":",char(34),LOWER(C2976),char(34),"}}"))</f>
        <v>{"asset":{"guid":"uuid://6c234097-6467-44b5-980b-8515d2b56e10","site":"in-blr-ananta","name":"ef-2"}}</v>
      </c>
      <c r="S2976" s="369" t="s">
        <v>2866</v>
      </c>
      <c r="T2976" s="427"/>
      <c r="U2976" s="427"/>
      <c r="V2976" s="428"/>
      <c r="W2976" s="429"/>
      <c r="X2976" s="430"/>
      <c r="Y2976" s="33" t="s">
        <v>8076</v>
      </c>
      <c r="Z2976" s="430"/>
      <c r="AA2976" s="430"/>
      <c r="AB2976" s="258">
        <v>2.0</v>
      </c>
      <c r="AC2976" s="430"/>
      <c r="AD2976" s="426"/>
      <c r="AE2976" s="428"/>
      <c r="AF2976" s="431"/>
      <c r="AG2976" s="432" t="str">
        <f>IFS(LEN(AF2976)=17,LOWER('2-Building'!$B$4 &amp; "-" &amp; C2976), AF2976="N/A", "N/A", LEN(AF2976)=0,"")</f>
        <v/>
      </c>
      <c r="AH2976" s="430"/>
      <c r="AI2976" s="430"/>
      <c r="AJ2976" s="430"/>
      <c r="AK2976" s="430"/>
      <c r="AL2976" s="430"/>
      <c r="AM2976" s="433"/>
      <c r="AN2976" s="430"/>
      <c r="AO2976" s="430"/>
      <c r="AP2976" s="430"/>
      <c r="AQ2976" s="430"/>
      <c r="AR2976" s="430"/>
      <c r="AS2976" s="430"/>
      <c r="AT2976" s="430"/>
      <c r="AU2976" s="426"/>
      <c r="AV2976" s="434"/>
      <c r="AW2976" s="269" t="s">
        <v>2828</v>
      </c>
      <c r="AX2976" s="269" t="s">
        <v>2869</v>
      </c>
      <c r="AY2976" s="270" t="s">
        <v>695</v>
      </c>
      <c r="AZ2976" s="435"/>
      <c r="BA2976" s="173">
        <v>10.0</v>
      </c>
      <c r="BB2976" s="434"/>
      <c r="BC2976" s="434"/>
      <c r="BD2976" s="308" t="s">
        <v>1844</v>
      </c>
      <c r="BE2976" s="436"/>
      <c r="BF2976" s="274" t="str">
        <f>IFERROR(__xludf.DUMMYFUNCTION("LOWER(Regexreplace(to_text(E2976),""[^A-Za-z0-9]"","""")&amp;""_""&amp;Regexreplace(to_text(F2976),""[^A-Za-z0-9]"",""""))"),"nicotra_ddmp")</f>
        <v>nicotra_ddmp</v>
      </c>
      <c r="BG2976" s="275" t="str">
        <f>IFERROR(__xludf.DUMMYFUNCTION("upper(Regexreplace(to_text(E2976),""[^A-Za-z0-9]"","""")&amp;""-""&amp;Regexreplace(to_text(F2976),""[^A-Za-z0-9]"",""""))"),"NICOTRA-DDMP")</f>
        <v>NICOTRA-DDMP</v>
      </c>
    </row>
    <row r="2977" ht="30.0" customHeight="1">
      <c r="A2977" s="173">
        <v>2689.0</v>
      </c>
      <c r="B2977" s="328" t="s">
        <v>670</v>
      </c>
      <c r="C2977" s="257" t="s">
        <v>9275</v>
      </c>
      <c r="D2977" s="173" t="s">
        <v>9275</v>
      </c>
      <c r="E2977" s="174" t="s">
        <v>9267</v>
      </c>
      <c r="F2977" s="173" t="s">
        <v>9268</v>
      </c>
      <c r="G2977" s="328" t="s">
        <v>673</v>
      </c>
      <c r="H2977" s="328" t="s">
        <v>2863</v>
      </c>
      <c r="I2977" s="258" t="s">
        <v>9269</v>
      </c>
      <c r="J2977" s="259" t="s">
        <v>1026</v>
      </c>
      <c r="K2977" s="443">
        <v>471.0</v>
      </c>
      <c r="L2977" s="366"/>
      <c r="M2977" s="329"/>
      <c r="N2977" s="173" t="s">
        <v>679</v>
      </c>
      <c r="O2977" s="173" t="s">
        <v>225</v>
      </c>
      <c r="P2977" s="262" t="str">
        <f t="shared" si="1"/>
        <v>IN-BLR-ANANTA-EF-3_4</v>
      </c>
      <c r="Q2977" s="173" t="s">
        <v>9276</v>
      </c>
      <c r="R2977" s="328" t="str">
        <f>IFS(C2977="","",C2977="n/a","N/A",LEN(C2977),Concatenate("{",char(34),"asset",char(34),":{",char(34),"guid",char(34),":",char(34),Q2977,char(34),",",char(34),"site",char(34),":",char(34),LOWER('2-Building'!$B$4),char(34),",",char(34),"name",char(34),":",char(34),LOWER(C2977),char(34),"}}"))</f>
        <v>{"asset":{"guid":"uuid://4989fb11-a2dd-4ccd-93a7-d20ef4987841","site":"in-blr-ananta","name":"ef-3"}}</v>
      </c>
      <c r="S2977" s="369" t="s">
        <v>2866</v>
      </c>
      <c r="T2977" s="330"/>
      <c r="U2977" s="330"/>
      <c r="V2977" s="331"/>
      <c r="W2977" s="332"/>
      <c r="X2977" s="333"/>
      <c r="Y2977" s="33" t="s">
        <v>8076</v>
      </c>
      <c r="Z2977" s="368"/>
      <c r="AA2977" s="333"/>
      <c r="AB2977" s="258">
        <v>1.0</v>
      </c>
      <c r="AC2977" s="333"/>
      <c r="AD2977" s="329"/>
      <c r="AE2977" s="331"/>
      <c r="AF2977" s="336"/>
      <c r="AG2977" s="337" t="str">
        <f>IFS(LEN(AF2977)=17,LOWER('2-Building'!$B$4 &amp; "-" &amp; C2977), AF2977="N/A", "N/A", LEN(AF2977)=0,"")</f>
        <v/>
      </c>
      <c r="AH2977" s="333"/>
      <c r="AI2977" s="333"/>
      <c r="AJ2977" s="333"/>
      <c r="AK2977" s="333"/>
      <c r="AL2977" s="333"/>
      <c r="AM2977" s="338"/>
      <c r="AN2977" s="333"/>
      <c r="AO2977" s="333"/>
      <c r="AP2977" s="333"/>
      <c r="AQ2977" s="333"/>
      <c r="AR2977" s="333"/>
      <c r="AS2977" s="333"/>
      <c r="AT2977" s="333"/>
      <c r="AU2977" s="329"/>
      <c r="AV2977" s="341"/>
      <c r="AW2977" s="269" t="s">
        <v>1032</v>
      </c>
      <c r="AX2977" s="269" t="s">
        <v>2869</v>
      </c>
      <c r="AY2977" s="270" t="s">
        <v>695</v>
      </c>
      <c r="AZ2977" s="379"/>
      <c r="BA2977" s="173">
        <v>10.0</v>
      </c>
      <c r="BB2977" s="341"/>
      <c r="BC2977" s="341"/>
      <c r="BD2977" s="308" t="s">
        <v>1844</v>
      </c>
      <c r="BE2977" s="364"/>
      <c r="BF2977" s="274" t="str">
        <f>IFERROR(__xludf.DUMMYFUNCTION("LOWER(Regexreplace(to_text(E2977),""[^A-Za-z0-9]"","""")&amp;""_""&amp;Regexreplace(to_text(F2977),""[^A-Za-z0-9]"",""""))"),"nicotra_ddmp")</f>
        <v>nicotra_ddmp</v>
      </c>
      <c r="BG2977" s="275" t="str">
        <f>IFERROR(__xludf.DUMMYFUNCTION("upper(Regexreplace(to_text(E2977),""[^A-Za-z0-9]"","""")&amp;""-""&amp;Regexreplace(to_text(F2977),""[^A-Za-z0-9]"",""""))"),"NICOTRA-DDMP")</f>
        <v>NICOTRA-DDMP</v>
      </c>
    </row>
    <row r="2978" ht="30.0" customHeight="1">
      <c r="A2978" s="173">
        <v>2691.0</v>
      </c>
      <c r="B2978" s="328" t="s">
        <v>670</v>
      </c>
      <c r="C2978" s="257" t="s">
        <v>9277</v>
      </c>
      <c r="D2978" s="173" t="s">
        <v>9277</v>
      </c>
      <c r="E2978" s="174" t="s">
        <v>9267</v>
      </c>
      <c r="F2978" s="173" t="s">
        <v>9268</v>
      </c>
      <c r="G2978" s="328" t="s">
        <v>673</v>
      </c>
      <c r="H2978" s="328" t="s">
        <v>2863</v>
      </c>
      <c r="I2978" s="258" t="s">
        <v>9269</v>
      </c>
      <c r="J2978" s="259" t="s">
        <v>1272</v>
      </c>
      <c r="K2978" s="443" t="s">
        <v>9278</v>
      </c>
      <c r="L2978" s="366"/>
      <c r="M2978" s="329"/>
      <c r="N2978" s="173" t="s">
        <v>679</v>
      </c>
      <c r="O2978" s="173" t="s">
        <v>225</v>
      </c>
      <c r="P2978" s="262" t="str">
        <f t="shared" si="1"/>
        <v>IN-BLR-ANANTA-EF-4_8</v>
      </c>
      <c r="Q2978" s="173" t="s">
        <v>9279</v>
      </c>
      <c r="R2978" s="328" t="str">
        <f>IFS(C2978="","",C2978="n/a","N/A",LEN(C2978),Concatenate("{",char(34),"asset",char(34),":{",char(34),"guid",char(34),":",char(34),Q2978,char(34),",",char(34),"site",char(34),":",char(34),LOWER('2-Building'!$B$4),char(34),",",char(34),"name",char(34),":",char(34),LOWER(C2978),char(34),"}}"))</f>
        <v>{"asset":{"guid":"uuid://5e717e0b-bc44-4a5a-94b2-ad923fc2a923","site":"in-blr-ananta","name":"ef-4"}}</v>
      </c>
      <c r="S2978" s="369" t="s">
        <v>2866</v>
      </c>
      <c r="T2978" s="330"/>
      <c r="U2978" s="330"/>
      <c r="V2978" s="331"/>
      <c r="W2978" s="332"/>
      <c r="X2978" s="333"/>
      <c r="Y2978" s="33" t="s">
        <v>8076</v>
      </c>
      <c r="Z2978" s="368"/>
      <c r="AA2978" s="333"/>
      <c r="AB2978" s="258">
        <v>3.0</v>
      </c>
      <c r="AC2978" s="333"/>
      <c r="AD2978" s="329"/>
      <c r="AE2978" s="331"/>
      <c r="AF2978" s="336"/>
      <c r="AG2978" s="337" t="str">
        <f>IFS(LEN(AF2978)=17,LOWER('2-Building'!$B$4 &amp; "-" &amp; C2978), AF2978="N/A", "N/A", LEN(AF2978)=0,"")</f>
        <v/>
      </c>
      <c r="AH2978" s="333"/>
      <c r="AI2978" s="333"/>
      <c r="AJ2978" s="333"/>
      <c r="AK2978" s="333"/>
      <c r="AL2978" s="333"/>
      <c r="AM2978" s="338"/>
      <c r="AN2978" s="333"/>
      <c r="AO2978" s="333"/>
      <c r="AP2978" s="333"/>
      <c r="AQ2978" s="333"/>
      <c r="AR2978" s="333"/>
      <c r="AS2978" s="333"/>
      <c r="AT2978" s="333"/>
      <c r="AU2978" s="329"/>
      <c r="AV2978" s="341"/>
      <c r="AW2978" s="269" t="s">
        <v>1032</v>
      </c>
      <c r="AX2978" s="269" t="s">
        <v>2869</v>
      </c>
      <c r="AY2978" s="270" t="s">
        <v>695</v>
      </c>
      <c r="AZ2978" s="379"/>
      <c r="BA2978" s="173">
        <v>10.0</v>
      </c>
      <c r="BB2978" s="341"/>
      <c r="BC2978" s="341"/>
      <c r="BD2978" s="308" t="s">
        <v>1844</v>
      </c>
      <c r="BE2978" s="364"/>
      <c r="BF2978" s="274" t="str">
        <f>IFERROR(__xludf.DUMMYFUNCTION("LOWER(Regexreplace(to_text(E2978),""[^A-Za-z0-9]"","""")&amp;""_""&amp;Regexreplace(to_text(F2978),""[^A-Za-z0-9]"",""""))"),"nicotra_ddmp")</f>
        <v>nicotra_ddmp</v>
      </c>
      <c r="BG2978" s="275" t="str">
        <f>IFERROR(__xludf.DUMMYFUNCTION("upper(Regexreplace(to_text(E2978),""[^A-Za-z0-9]"","""")&amp;""-""&amp;Regexreplace(to_text(F2978),""[^A-Za-z0-9]"",""""))"),"NICOTRA-DDMP")</f>
        <v>NICOTRA-DDMP</v>
      </c>
    </row>
    <row r="2979" ht="30.0" customHeight="1">
      <c r="A2979" s="258">
        <v>2690.0</v>
      </c>
      <c r="B2979" s="328" t="s">
        <v>670</v>
      </c>
      <c r="C2979" s="257" t="s">
        <v>9280</v>
      </c>
      <c r="D2979" s="173" t="s">
        <v>9280</v>
      </c>
      <c r="E2979" s="174" t="s">
        <v>9267</v>
      </c>
      <c r="F2979" s="173" t="s">
        <v>9268</v>
      </c>
      <c r="G2979" s="328" t="s">
        <v>673</v>
      </c>
      <c r="H2979" s="328" t="s">
        <v>2863</v>
      </c>
      <c r="I2979" s="258" t="s">
        <v>9269</v>
      </c>
      <c r="J2979" s="259" t="s">
        <v>1272</v>
      </c>
      <c r="K2979" s="443" t="s">
        <v>9278</v>
      </c>
      <c r="L2979" s="366"/>
      <c r="M2979" s="329"/>
      <c r="N2979" s="173" t="s">
        <v>679</v>
      </c>
      <c r="O2979" s="173" t="s">
        <v>225</v>
      </c>
      <c r="P2979" s="262" t="str">
        <f t="shared" si="1"/>
        <v>IN-BLR-ANANTA-EF-5_8</v>
      </c>
      <c r="Q2979" s="173" t="s">
        <v>9281</v>
      </c>
      <c r="R2979" s="328" t="str">
        <f>IFS(C2979="","",C2979="n/a","N/A",LEN(C2979),Concatenate("{",char(34),"asset",char(34),":{",char(34),"guid",char(34),":",char(34),Q2979,char(34),",",char(34),"site",char(34),":",char(34),LOWER('2-Building'!$B$4),char(34),",",char(34),"name",char(34),":",char(34),LOWER(C2979),char(34),"}}"))</f>
        <v>{"asset":{"guid":"uuid://9b9013a6-3fb5-4e32-9919-8338c5042c45","site":"in-blr-ananta","name":"ef-5"}}</v>
      </c>
      <c r="S2979" s="369" t="s">
        <v>2866</v>
      </c>
      <c r="T2979" s="330"/>
      <c r="U2979" s="330"/>
      <c r="V2979" s="331"/>
      <c r="W2979" s="332"/>
      <c r="X2979" s="333"/>
      <c r="Y2979" s="33" t="s">
        <v>8076</v>
      </c>
      <c r="Z2979" s="368"/>
      <c r="AA2979" s="333"/>
      <c r="AB2979" s="258">
        <v>4.0</v>
      </c>
      <c r="AC2979" s="333"/>
      <c r="AD2979" s="329"/>
      <c r="AE2979" s="331"/>
      <c r="AF2979" s="336"/>
      <c r="AG2979" s="337" t="str">
        <f>IFS(LEN(AF2979)=17,LOWER('2-Building'!$B$4 &amp; "-" &amp; C2979), AF2979="N/A", "N/A", LEN(AF2979)=0,"")</f>
        <v/>
      </c>
      <c r="AH2979" s="333"/>
      <c r="AI2979" s="333"/>
      <c r="AJ2979" s="333"/>
      <c r="AK2979" s="333"/>
      <c r="AL2979" s="333"/>
      <c r="AM2979" s="338"/>
      <c r="AN2979" s="333"/>
      <c r="AO2979" s="333"/>
      <c r="AP2979" s="333"/>
      <c r="AQ2979" s="333"/>
      <c r="AR2979" s="333"/>
      <c r="AS2979" s="333"/>
      <c r="AT2979" s="333"/>
      <c r="AU2979" s="329"/>
      <c r="AV2979" s="341"/>
      <c r="AW2979" s="269" t="s">
        <v>1032</v>
      </c>
      <c r="AX2979" s="269" t="s">
        <v>2869</v>
      </c>
      <c r="AY2979" s="270" t="s">
        <v>695</v>
      </c>
      <c r="AZ2979" s="379"/>
      <c r="BA2979" s="173">
        <v>10.0</v>
      </c>
      <c r="BB2979" s="341"/>
      <c r="BC2979" s="341"/>
      <c r="BD2979" s="308" t="s">
        <v>1844</v>
      </c>
      <c r="BE2979" s="364"/>
      <c r="BF2979" s="274" t="str">
        <f>IFERROR(__xludf.DUMMYFUNCTION("LOWER(Regexreplace(to_text(E2979),""[^A-Za-z0-9]"","""")&amp;""_""&amp;Regexreplace(to_text(F2979),""[^A-Za-z0-9]"",""""))"),"nicotra_ddmp")</f>
        <v>nicotra_ddmp</v>
      </c>
      <c r="BG2979" s="275" t="str">
        <f>IFERROR(__xludf.DUMMYFUNCTION("upper(Regexreplace(to_text(E2979),""[^A-Za-z0-9]"","""")&amp;""-""&amp;Regexreplace(to_text(F2979),""[^A-Za-z0-9]"",""""))"),"NICOTRA-DDMP")</f>
        <v>NICOTRA-DDMP</v>
      </c>
    </row>
    <row r="2980" ht="30.0" customHeight="1">
      <c r="A2980" s="173">
        <v>2691.0</v>
      </c>
      <c r="B2980" s="328" t="s">
        <v>670</v>
      </c>
      <c r="C2980" s="257" t="s">
        <v>9282</v>
      </c>
      <c r="D2980" s="173" t="s">
        <v>9282</v>
      </c>
      <c r="E2980" s="174" t="s">
        <v>9267</v>
      </c>
      <c r="F2980" s="173" t="s">
        <v>9268</v>
      </c>
      <c r="G2980" s="328" t="s">
        <v>673</v>
      </c>
      <c r="H2980" s="328" t="s">
        <v>2863</v>
      </c>
      <c r="I2980" s="258" t="s">
        <v>9269</v>
      </c>
      <c r="J2980" s="259" t="s">
        <v>1272</v>
      </c>
      <c r="K2980" s="443" t="s">
        <v>9283</v>
      </c>
      <c r="L2980" s="366"/>
      <c r="M2980" s="329"/>
      <c r="N2980" s="173" t="s">
        <v>679</v>
      </c>
      <c r="O2980" s="173" t="s">
        <v>225</v>
      </c>
      <c r="P2980" s="262" t="str">
        <f t="shared" si="1"/>
        <v>IN-BLR-ANANTA-EF-6_8</v>
      </c>
      <c r="Q2980" s="173" t="s">
        <v>9284</v>
      </c>
      <c r="R2980" s="328" t="str">
        <f>IFS(C2980="","",C2980="n/a","N/A",LEN(C2980),Concatenate("{",char(34),"asset",char(34),":{",char(34),"guid",char(34),":",char(34),Q2980,char(34),",",char(34),"site",char(34),":",char(34),LOWER('2-Building'!$B$4),char(34),",",char(34),"name",char(34),":",char(34),LOWER(C2980),char(34),"}}"))</f>
        <v>{"asset":{"guid":"uuid://c45f8a61-bb9c-4ebe-a012-c99b5b79850b","site":"in-blr-ananta","name":"ef-6"}}</v>
      </c>
      <c r="S2980" s="369" t="s">
        <v>2866</v>
      </c>
      <c r="T2980" s="330"/>
      <c r="U2980" s="330"/>
      <c r="V2980" s="331"/>
      <c r="W2980" s="332"/>
      <c r="X2980" s="333"/>
      <c r="Y2980" s="33" t="s">
        <v>8076</v>
      </c>
      <c r="Z2980" s="368"/>
      <c r="AA2980" s="333"/>
      <c r="AB2980" s="258">
        <v>2.0</v>
      </c>
      <c r="AC2980" s="333"/>
      <c r="AD2980" s="329"/>
      <c r="AE2980" s="331"/>
      <c r="AF2980" s="336"/>
      <c r="AG2980" s="337" t="str">
        <f>IFS(LEN(AF2980)=17,LOWER('2-Building'!$B$4 &amp; "-" &amp; C2980), AF2980="N/A", "N/A", LEN(AF2980)=0,"")</f>
        <v/>
      </c>
      <c r="AH2980" s="333"/>
      <c r="AI2980" s="333"/>
      <c r="AJ2980" s="333"/>
      <c r="AK2980" s="333"/>
      <c r="AL2980" s="333"/>
      <c r="AM2980" s="338"/>
      <c r="AN2980" s="333"/>
      <c r="AO2980" s="333"/>
      <c r="AP2980" s="333"/>
      <c r="AQ2980" s="333"/>
      <c r="AR2980" s="333"/>
      <c r="AS2980" s="333"/>
      <c r="AT2980" s="333"/>
      <c r="AU2980" s="329"/>
      <c r="AV2980" s="341"/>
      <c r="AW2980" s="269" t="s">
        <v>2294</v>
      </c>
      <c r="AX2980" s="269" t="s">
        <v>2869</v>
      </c>
      <c r="AY2980" s="270" t="s">
        <v>695</v>
      </c>
      <c r="AZ2980" s="379"/>
      <c r="BA2980" s="173">
        <v>10.0</v>
      </c>
      <c r="BB2980" s="341"/>
      <c r="BC2980" s="341"/>
      <c r="BD2980" s="308" t="s">
        <v>1844</v>
      </c>
      <c r="BE2980" s="364"/>
      <c r="BF2980" s="274" t="str">
        <f>IFERROR(__xludf.DUMMYFUNCTION("LOWER(Regexreplace(to_text(E2980),""[^A-Za-z0-9]"","""")&amp;""_""&amp;Regexreplace(to_text(F2980),""[^A-Za-z0-9]"",""""))"),"nicotra_ddmp")</f>
        <v>nicotra_ddmp</v>
      </c>
      <c r="BG2980" s="275" t="str">
        <f>IFERROR(__xludf.DUMMYFUNCTION("upper(Regexreplace(to_text(E2980),""[^A-Za-z0-9]"","""")&amp;""-""&amp;Regexreplace(to_text(F2980),""[^A-Za-z0-9]"",""""))"),"NICOTRA-DDMP")</f>
        <v>NICOTRA-DDMP</v>
      </c>
    </row>
    <row r="2981" ht="30.0" customHeight="1">
      <c r="A2981" s="258">
        <v>2690.0</v>
      </c>
      <c r="B2981" s="328" t="s">
        <v>670</v>
      </c>
      <c r="C2981" s="257" t="s">
        <v>9285</v>
      </c>
      <c r="D2981" s="173" t="s">
        <v>9285</v>
      </c>
      <c r="E2981" s="174" t="s">
        <v>9267</v>
      </c>
      <c r="F2981" s="173" t="s">
        <v>9268</v>
      </c>
      <c r="G2981" s="328" t="s">
        <v>673</v>
      </c>
      <c r="H2981" s="328" t="s">
        <v>2863</v>
      </c>
      <c r="I2981" s="258" t="s">
        <v>9269</v>
      </c>
      <c r="J2981" s="259" t="s">
        <v>1272</v>
      </c>
      <c r="K2981" s="443" t="s">
        <v>9286</v>
      </c>
      <c r="L2981" s="366"/>
      <c r="M2981" s="329"/>
      <c r="N2981" s="173" t="s">
        <v>679</v>
      </c>
      <c r="O2981" s="173" t="s">
        <v>225</v>
      </c>
      <c r="P2981" s="262" t="str">
        <f t="shared" si="1"/>
        <v>IN-BLR-ANANTA-EF-7_8</v>
      </c>
      <c r="Q2981" s="173" t="s">
        <v>9287</v>
      </c>
      <c r="R2981" s="328" t="str">
        <f>IFS(C2981="","",C2981="n/a","N/A",LEN(C2981),Concatenate("{",char(34),"asset",char(34),":{",char(34),"guid",char(34),":",char(34),Q2981,char(34),",",char(34),"site",char(34),":",char(34),LOWER('2-Building'!$B$4),char(34),",",char(34),"name",char(34),":",char(34),LOWER(C2981),char(34),"}}"))</f>
        <v>{"asset":{"guid":"uuid://6631f219-d1b3-40bf-aca4-59e14c4d858f","site":"in-blr-ananta","name":"ef-7"}}</v>
      </c>
      <c r="S2981" s="369" t="s">
        <v>2866</v>
      </c>
      <c r="T2981" s="330"/>
      <c r="U2981" s="330"/>
      <c r="V2981" s="331"/>
      <c r="W2981" s="332"/>
      <c r="X2981" s="333"/>
      <c r="Y2981" s="33" t="s">
        <v>8076</v>
      </c>
      <c r="Z2981" s="368"/>
      <c r="AA2981" s="333"/>
      <c r="AB2981" s="258">
        <v>3.0</v>
      </c>
      <c r="AC2981" s="333"/>
      <c r="AD2981" s="329"/>
      <c r="AE2981" s="331"/>
      <c r="AF2981" s="336"/>
      <c r="AG2981" s="337" t="str">
        <f>IFS(LEN(AF2981)=17,LOWER('2-Building'!$B$4 &amp; "-" &amp; C2981), AF2981="N/A", "N/A", LEN(AF2981)=0,"")</f>
        <v/>
      </c>
      <c r="AH2981" s="333"/>
      <c r="AI2981" s="333"/>
      <c r="AJ2981" s="333"/>
      <c r="AK2981" s="333"/>
      <c r="AL2981" s="333"/>
      <c r="AM2981" s="338"/>
      <c r="AN2981" s="333"/>
      <c r="AO2981" s="333"/>
      <c r="AP2981" s="333"/>
      <c r="AQ2981" s="333"/>
      <c r="AR2981" s="333"/>
      <c r="AS2981" s="333"/>
      <c r="AT2981" s="333"/>
      <c r="AU2981" s="329"/>
      <c r="AV2981" s="341"/>
      <c r="AW2981" s="269" t="s">
        <v>2294</v>
      </c>
      <c r="AX2981" s="269" t="s">
        <v>2869</v>
      </c>
      <c r="AY2981" s="270" t="s">
        <v>695</v>
      </c>
      <c r="AZ2981" s="379"/>
      <c r="BA2981" s="173">
        <v>10.0</v>
      </c>
      <c r="BB2981" s="341"/>
      <c r="BC2981" s="341"/>
      <c r="BD2981" s="308" t="s">
        <v>1844</v>
      </c>
      <c r="BE2981" s="364"/>
      <c r="BF2981" s="274" t="str">
        <f>IFERROR(__xludf.DUMMYFUNCTION("LOWER(Regexreplace(to_text(E2981),""[^A-Za-z0-9]"","""")&amp;""_""&amp;Regexreplace(to_text(F2981),""[^A-Za-z0-9]"",""""))"),"nicotra_ddmp")</f>
        <v>nicotra_ddmp</v>
      </c>
      <c r="BG2981" s="275" t="str">
        <f>IFERROR(__xludf.DUMMYFUNCTION("upper(Regexreplace(to_text(E2981),""[^A-Za-z0-9]"","""")&amp;""-""&amp;Regexreplace(to_text(F2981),""[^A-Za-z0-9]"",""""))"),"NICOTRA-DDMP")</f>
        <v>NICOTRA-DDMP</v>
      </c>
    </row>
    <row r="2982" ht="30.0" customHeight="1">
      <c r="A2982" s="328">
        <v>2690.0</v>
      </c>
      <c r="B2982" s="425" t="s">
        <v>670</v>
      </c>
      <c r="C2982" s="257" t="s">
        <v>9288</v>
      </c>
      <c r="D2982" s="173" t="s">
        <v>9288</v>
      </c>
      <c r="E2982" s="174" t="s">
        <v>9289</v>
      </c>
      <c r="F2982" s="173" t="s">
        <v>9290</v>
      </c>
      <c r="G2982" s="425" t="s">
        <v>673</v>
      </c>
      <c r="H2982" s="425" t="s">
        <v>2863</v>
      </c>
      <c r="I2982" s="258" t="s">
        <v>9291</v>
      </c>
      <c r="J2982" s="259" t="s">
        <v>727</v>
      </c>
      <c r="K2982" s="260" t="s">
        <v>9292</v>
      </c>
      <c r="L2982" s="442"/>
      <c r="M2982" s="426"/>
      <c r="N2982" s="173" t="s">
        <v>679</v>
      </c>
      <c r="O2982" s="173" t="s">
        <v>225</v>
      </c>
      <c r="P2982" s="262" t="str">
        <f t="shared" si="1"/>
        <v>IN-BLR-ANANTA-VRF-1_B1</v>
      </c>
      <c r="Q2982" s="173" t="s">
        <v>9293</v>
      </c>
      <c r="R2982" s="328" t="str">
        <f>IFS(C2982="","",C2982="n/a","N/A",LEN(C2982),Concatenate("{",char(34),"asset",char(34),":{",char(34),"guid",char(34),":",char(34),Q2982,char(34),",",char(34),"site",char(34),":",char(34),LOWER('2-Building'!$B$4),char(34),",",char(34),"name",char(34),":",char(34),LOWER(C2982),char(34),"}}"))</f>
        <v>{"asset":{"guid":"uuid://e17a7ac7-372c-4bbe-9702-1d5e9794a269","site":"in-blr-ananta","name":"vrf-1"}}</v>
      </c>
      <c r="S2982" s="444" t="s">
        <v>2866</v>
      </c>
      <c r="T2982" s="427"/>
      <c r="U2982" s="427"/>
      <c r="V2982" s="428"/>
      <c r="W2982" s="429"/>
      <c r="X2982" s="430"/>
      <c r="Y2982" s="33" t="s">
        <v>8076</v>
      </c>
      <c r="Z2982" s="430"/>
      <c r="AA2982" s="430"/>
      <c r="AB2982" s="258">
        <v>1.0</v>
      </c>
      <c r="AC2982" s="430"/>
      <c r="AD2982" s="426"/>
      <c r="AE2982" s="428"/>
      <c r="AF2982" s="431"/>
      <c r="AG2982" s="432"/>
      <c r="AH2982" s="430"/>
      <c r="AI2982" s="430"/>
      <c r="AJ2982" s="430"/>
      <c r="AK2982" s="430"/>
      <c r="AL2982" s="430"/>
      <c r="AM2982" s="433"/>
      <c r="AN2982" s="430"/>
      <c r="AO2982" s="430"/>
      <c r="AP2982" s="430"/>
      <c r="AQ2982" s="430"/>
      <c r="AR2982" s="430"/>
      <c r="AS2982" s="430"/>
      <c r="AT2982" s="430"/>
      <c r="AU2982" s="426"/>
      <c r="AV2982" s="434"/>
      <c r="AW2982" s="269" t="s">
        <v>2084</v>
      </c>
      <c r="AX2982" s="269" t="s">
        <v>2869</v>
      </c>
      <c r="AY2982" s="270" t="s">
        <v>695</v>
      </c>
      <c r="AZ2982" s="435"/>
      <c r="BA2982" s="173">
        <v>10.0</v>
      </c>
      <c r="BB2982" s="434"/>
      <c r="BC2982" s="434"/>
      <c r="BD2982" s="308" t="s">
        <v>1844</v>
      </c>
      <c r="BE2982" s="445" t="s">
        <v>9294</v>
      </c>
      <c r="BF2982" s="274" t="str">
        <f>IFERROR(__xludf.DUMMYFUNCTION("LOWER(Regexreplace(to_text(E2982),""[^A-Za-z0-9]"","""")&amp;""_""&amp;Regexreplace(to_text(F2982),""[^A-Za-z0-9]"",""""))"),"daikin_dta116a51")</f>
        <v>daikin_dta116a51</v>
      </c>
      <c r="BG2982" s="275" t="str">
        <f>IFERROR(__xludf.DUMMYFUNCTION("upper(Regexreplace(to_text(E2982),""[^A-Za-z0-9]"","""")&amp;""-""&amp;Regexreplace(to_text(F2982),""[^A-Za-z0-9]"",""""))"),"DAIKIN-DTA116A51")</f>
        <v>DAIKIN-DTA116A51</v>
      </c>
    </row>
    <row r="2983" ht="30.0" customHeight="1">
      <c r="A2983" s="258"/>
      <c r="B2983" s="328" t="s">
        <v>670</v>
      </c>
      <c r="C2983" s="257" t="s">
        <v>9295</v>
      </c>
      <c r="D2983" s="173" t="s">
        <v>9295</v>
      </c>
      <c r="E2983" s="174" t="s">
        <v>9296</v>
      </c>
      <c r="F2983" s="173" t="s">
        <v>9297</v>
      </c>
      <c r="G2983" s="328" t="s">
        <v>673</v>
      </c>
      <c r="H2983" s="328" t="s">
        <v>2863</v>
      </c>
      <c r="I2983" s="258" t="s">
        <v>9298</v>
      </c>
      <c r="J2983" s="259" t="s">
        <v>739</v>
      </c>
      <c r="K2983" s="260" t="s">
        <v>740</v>
      </c>
      <c r="L2983" s="366"/>
      <c r="M2983" s="329"/>
      <c r="N2983" s="173" t="s">
        <v>679</v>
      </c>
      <c r="O2983" s="173" t="s">
        <v>225</v>
      </c>
      <c r="P2983" s="262" t="str">
        <f t="shared" si="1"/>
        <v>IN-BLR-ANANTA-HM-201_G</v>
      </c>
      <c r="Q2983" s="173" t="s">
        <v>9299</v>
      </c>
      <c r="R2983" s="328" t="str">
        <f>IFS(C2983="","",C2983="n/a","N/A",LEN(C2983),Concatenate("{",char(34),"asset",char(34),":{",char(34),"guid",char(34),":",char(34),Q2983,char(34),",",char(34),"site",char(34),":",char(34),LOWER('2-Building'!$B$4),char(34),",",char(34),"name",char(34),":",char(34),LOWER(C2983),char(34),"}}"))</f>
        <v>{"asset":{"guid":"uuid://c3020ac6-d063-409b-8258-48940d8e1d6c","site":"in-blr-ananta","name":"hm-201"}}</v>
      </c>
      <c r="S2983" s="366" t="s">
        <v>2866</v>
      </c>
      <c r="T2983" s="330"/>
      <c r="U2983" s="330"/>
      <c r="V2983" s="331"/>
      <c r="W2983" s="332"/>
      <c r="X2983" s="333"/>
      <c r="Y2983" s="33" t="s">
        <v>8076</v>
      </c>
      <c r="Z2983" s="368"/>
      <c r="AA2983" s="333"/>
      <c r="AB2983" s="258">
        <v>1.0</v>
      </c>
      <c r="AC2983" s="333"/>
      <c r="AD2983" s="329"/>
      <c r="AE2983" s="331"/>
      <c r="AF2983" s="336"/>
      <c r="AG2983" s="337"/>
      <c r="AH2983" s="333"/>
      <c r="AI2983" s="333"/>
      <c r="AJ2983" s="333"/>
      <c r="AK2983" s="333"/>
      <c r="AL2983" s="333"/>
      <c r="AM2983" s="338"/>
      <c r="AN2983" s="333"/>
      <c r="AO2983" s="333"/>
      <c r="AP2983" s="333"/>
      <c r="AQ2983" s="333"/>
      <c r="AR2983" s="333"/>
      <c r="AS2983" s="333"/>
      <c r="AT2983" s="333"/>
      <c r="AU2983" s="329"/>
      <c r="AV2983" s="341"/>
      <c r="AW2983" s="269"/>
      <c r="AX2983" s="269" t="s">
        <v>2869</v>
      </c>
      <c r="AY2983" s="270" t="s">
        <v>695</v>
      </c>
      <c r="AZ2983" s="379"/>
      <c r="BA2983" s="173">
        <v>10.0</v>
      </c>
      <c r="BB2983" s="341"/>
      <c r="BC2983" s="341"/>
      <c r="BD2983" s="308" t="s">
        <v>1844</v>
      </c>
      <c r="BE2983" s="364"/>
      <c r="BF2983" s="274" t="str">
        <f>IFERROR(__xludf.DUMMYFUNCTION("LOWER(Regexreplace(to_text(E2983),""[^A-Za-z0-9]"","""")&amp;""_""&amp;Regexreplace(to_text(F2983),""[^A-Za-z0-9]"",""""))"),"kamstrup_multical603")</f>
        <v>kamstrup_multical603</v>
      </c>
      <c r="BG2983" s="275" t="str">
        <f>IFERROR(__xludf.DUMMYFUNCTION("upper(Regexreplace(to_text(E2983),""[^A-Za-z0-9]"","""")&amp;""-""&amp;Regexreplace(to_text(F2983),""[^A-Za-z0-9]"",""""))"),"KAMSTRUP-MULTICAL603")</f>
        <v>KAMSTRUP-MULTICAL603</v>
      </c>
    </row>
    <row r="2984" ht="30.0" customHeight="1">
      <c r="A2984" s="258"/>
      <c r="B2984" s="328" t="s">
        <v>670</v>
      </c>
      <c r="C2984" s="257" t="s">
        <v>9300</v>
      </c>
      <c r="D2984" s="173" t="s">
        <v>9300</v>
      </c>
      <c r="E2984" s="174" t="s">
        <v>9296</v>
      </c>
      <c r="F2984" s="173" t="s">
        <v>9297</v>
      </c>
      <c r="G2984" s="328" t="s">
        <v>673</v>
      </c>
      <c r="H2984" s="328" t="s">
        <v>2863</v>
      </c>
      <c r="I2984" s="258" t="s">
        <v>9298</v>
      </c>
      <c r="J2984" s="259" t="s">
        <v>846</v>
      </c>
      <c r="K2984" s="260">
        <v>163.0</v>
      </c>
      <c r="L2984" s="366"/>
      <c r="M2984" s="329"/>
      <c r="N2984" s="173" t="s">
        <v>679</v>
      </c>
      <c r="O2984" s="173" t="s">
        <v>225</v>
      </c>
      <c r="P2984" s="262" t="str">
        <f t="shared" si="1"/>
        <v>IN-BLR-ANANTA-HM-202_1</v>
      </c>
      <c r="Q2984" s="173" t="s">
        <v>9301</v>
      </c>
      <c r="R2984" s="328" t="str">
        <f>IFS(C2984="","",C2984="n/a","N/A",LEN(C2984),Concatenate("{",char(34),"asset",char(34),":{",char(34),"guid",char(34),":",char(34),Q2984,char(34),",",char(34),"site",char(34),":",char(34),LOWER('2-Building'!$B$4),char(34),",",char(34),"name",char(34),":",char(34),LOWER(C2984),char(34),"}}"))</f>
        <v>{"asset":{"guid":"uuid://0dede324-e3eb-4d2e-95fd-f55df5946f9f","site":"in-blr-ananta","name":"hm-202"}}</v>
      </c>
      <c r="S2984" s="366" t="s">
        <v>2866</v>
      </c>
      <c r="T2984" s="330"/>
      <c r="U2984" s="330"/>
      <c r="V2984" s="331"/>
      <c r="W2984" s="332"/>
      <c r="X2984" s="333"/>
      <c r="Y2984" s="33" t="s">
        <v>8076</v>
      </c>
      <c r="Z2984" s="368"/>
      <c r="AA2984" s="333"/>
      <c r="AB2984" s="258">
        <v>2.0</v>
      </c>
      <c r="AC2984" s="333"/>
      <c r="AD2984" s="329"/>
      <c r="AE2984" s="331"/>
      <c r="AF2984" s="336"/>
      <c r="AG2984" s="337"/>
      <c r="AH2984" s="333"/>
      <c r="AI2984" s="333"/>
      <c r="AJ2984" s="333"/>
      <c r="AK2984" s="333"/>
      <c r="AL2984" s="333"/>
      <c r="AM2984" s="338"/>
      <c r="AN2984" s="333"/>
      <c r="AO2984" s="333"/>
      <c r="AP2984" s="333"/>
      <c r="AQ2984" s="333"/>
      <c r="AR2984" s="333"/>
      <c r="AS2984" s="333"/>
      <c r="AT2984" s="333"/>
      <c r="AU2984" s="329"/>
      <c r="AV2984" s="341"/>
      <c r="AW2984" s="269"/>
      <c r="AX2984" s="269" t="s">
        <v>2869</v>
      </c>
      <c r="AY2984" s="270" t="s">
        <v>695</v>
      </c>
      <c r="AZ2984" s="379"/>
      <c r="BA2984" s="173">
        <v>10.0</v>
      </c>
      <c r="BB2984" s="341"/>
      <c r="BC2984" s="341"/>
      <c r="BD2984" s="308" t="s">
        <v>1844</v>
      </c>
      <c r="BE2984" s="364"/>
      <c r="BF2984" s="274" t="str">
        <f>IFERROR(__xludf.DUMMYFUNCTION("LOWER(Regexreplace(to_text(E2984),""[^A-Za-z0-9]"","""")&amp;""_""&amp;Regexreplace(to_text(F2984),""[^A-Za-z0-9]"",""""))"),"kamstrup_multical603")</f>
        <v>kamstrup_multical603</v>
      </c>
      <c r="BG2984" s="275" t="str">
        <f>IFERROR(__xludf.DUMMYFUNCTION("upper(Regexreplace(to_text(E2984),""[^A-Za-z0-9]"","""")&amp;""-""&amp;Regexreplace(to_text(F2984),""[^A-Za-z0-9]"",""""))"),"KAMSTRUP-MULTICAL603")</f>
        <v>KAMSTRUP-MULTICAL603</v>
      </c>
    </row>
    <row r="2985" ht="30.0" customHeight="1">
      <c r="A2985" s="258"/>
      <c r="B2985" s="328" t="s">
        <v>670</v>
      </c>
      <c r="C2985" s="257" t="s">
        <v>9302</v>
      </c>
      <c r="D2985" s="173" t="s">
        <v>9302</v>
      </c>
      <c r="E2985" s="174" t="s">
        <v>9296</v>
      </c>
      <c r="F2985" s="173" t="s">
        <v>9297</v>
      </c>
      <c r="G2985" s="328" t="s">
        <v>673</v>
      </c>
      <c r="H2985" s="328" t="s">
        <v>2863</v>
      </c>
      <c r="I2985" s="258" t="s">
        <v>9298</v>
      </c>
      <c r="J2985" s="259" t="s">
        <v>902</v>
      </c>
      <c r="K2985" s="260">
        <v>263.0</v>
      </c>
      <c r="L2985" s="366"/>
      <c r="M2985" s="329"/>
      <c r="N2985" s="173" t="s">
        <v>679</v>
      </c>
      <c r="O2985" s="173" t="s">
        <v>225</v>
      </c>
      <c r="P2985" s="262" t="str">
        <f t="shared" si="1"/>
        <v>IN-BLR-ANANTA-HM-203_2</v>
      </c>
      <c r="Q2985" s="173" t="s">
        <v>9303</v>
      </c>
      <c r="R2985" s="328" t="str">
        <f>IFS(C2985="","",C2985="n/a","N/A",LEN(C2985),Concatenate("{",char(34),"asset",char(34),":{",char(34),"guid",char(34),":",char(34),Q2985,char(34),",",char(34),"site",char(34),":",char(34),LOWER('2-Building'!$B$4),char(34),",",char(34),"name",char(34),":",char(34),LOWER(C2985),char(34),"}}"))</f>
        <v>{"asset":{"guid":"uuid://c1fc3b8c-7b84-4d49-8411-6f9eacaa70f4","site":"in-blr-ananta","name":"hm-203"}}</v>
      </c>
      <c r="S2985" s="366" t="s">
        <v>2866</v>
      </c>
      <c r="T2985" s="330"/>
      <c r="U2985" s="330"/>
      <c r="V2985" s="331"/>
      <c r="W2985" s="332"/>
      <c r="X2985" s="333"/>
      <c r="Y2985" s="33" t="s">
        <v>8076</v>
      </c>
      <c r="Z2985" s="368"/>
      <c r="AA2985" s="333"/>
      <c r="AB2985" s="258">
        <v>3.0</v>
      </c>
      <c r="AC2985" s="333"/>
      <c r="AD2985" s="329"/>
      <c r="AE2985" s="331"/>
      <c r="AF2985" s="336"/>
      <c r="AG2985" s="337"/>
      <c r="AH2985" s="333"/>
      <c r="AI2985" s="333"/>
      <c r="AJ2985" s="333"/>
      <c r="AK2985" s="333"/>
      <c r="AL2985" s="333"/>
      <c r="AM2985" s="338"/>
      <c r="AN2985" s="333"/>
      <c r="AO2985" s="333"/>
      <c r="AP2985" s="333"/>
      <c r="AQ2985" s="333"/>
      <c r="AR2985" s="333"/>
      <c r="AS2985" s="333"/>
      <c r="AT2985" s="333"/>
      <c r="AU2985" s="329"/>
      <c r="AV2985" s="341"/>
      <c r="AW2985" s="269"/>
      <c r="AX2985" s="269" t="s">
        <v>2869</v>
      </c>
      <c r="AY2985" s="270" t="s">
        <v>695</v>
      </c>
      <c r="AZ2985" s="379"/>
      <c r="BA2985" s="173">
        <v>10.0</v>
      </c>
      <c r="BB2985" s="341"/>
      <c r="BC2985" s="341"/>
      <c r="BD2985" s="308" t="s">
        <v>1844</v>
      </c>
      <c r="BE2985" s="364"/>
      <c r="BF2985" s="274" t="str">
        <f>IFERROR(__xludf.DUMMYFUNCTION("LOWER(Regexreplace(to_text(E2985),""[^A-Za-z0-9]"","""")&amp;""_""&amp;Regexreplace(to_text(F2985),""[^A-Za-z0-9]"",""""))"),"kamstrup_multical603")</f>
        <v>kamstrup_multical603</v>
      </c>
      <c r="BG2985" s="275" t="str">
        <f>IFERROR(__xludf.DUMMYFUNCTION("upper(Regexreplace(to_text(E2985),""[^A-Za-z0-9]"","""")&amp;""-""&amp;Regexreplace(to_text(F2985),""[^A-Za-z0-9]"",""""))"),"KAMSTRUP-MULTICAL603")</f>
        <v>KAMSTRUP-MULTICAL603</v>
      </c>
    </row>
    <row r="2986" ht="30.0" customHeight="1">
      <c r="A2986" s="258"/>
      <c r="B2986" s="328" t="s">
        <v>670</v>
      </c>
      <c r="C2986" s="257" t="s">
        <v>9304</v>
      </c>
      <c r="D2986" s="173" t="s">
        <v>9304</v>
      </c>
      <c r="E2986" s="174" t="s">
        <v>9296</v>
      </c>
      <c r="F2986" s="173" t="s">
        <v>9297</v>
      </c>
      <c r="G2986" s="328" t="s">
        <v>673</v>
      </c>
      <c r="H2986" s="328" t="s">
        <v>2863</v>
      </c>
      <c r="I2986" s="258" t="s">
        <v>9298</v>
      </c>
      <c r="J2986" s="259" t="s">
        <v>965</v>
      </c>
      <c r="K2986" s="260">
        <v>363.0</v>
      </c>
      <c r="L2986" s="366"/>
      <c r="M2986" s="329"/>
      <c r="N2986" s="173" t="s">
        <v>679</v>
      </c>
      <c r="O2986" s="173" t="s">
        <v>225</v>
      </c>
      <c r="P2986" s="262" t="str">
        <f t="shared" si="1"/>
        <v>IN-BLR-ANANTA-HM-204_3</v>
      </c>
      <c r="Q2986" s="173" t="s">
        <v>9305</v>
      </c>
      <c r="R2986" s="328" t="str">
        <f>IFS(C2986="","",C2986="n/a","N/A",LEN(C2986),Concatenate("{",char(34),"asset",char(34),":{",char(34),"guid",char(34),":",char(34),Q2986,char(34),",",char(34),"site",char(34),":",char(34),LOWER('2-Building'!$B$4),char(34),",",char(34),"name",char(34),":",char(34),LOWER(C2986),char(34),"}}"))</f>
        <v>{"asset":{"guid":"uuid://c244de14-9b0f-4810-b812-be5fb7ae184a","site":"in-blr-ananta","name":"hm-204"}}</v>
      </c>
      <c r="S2986" s="366" t="s">
        <v>2866</v>
      </c>
      <c r="T2986" s="330"/>
      <c r="U2986" s="330"/>
      <c r="V2986" s="331"/>
      <c r="W2986" s="332"/>
      <c r="X2986" s="333"/>
      <c r="Y2986" s="33" t="s">
        <v>8076</v>
      </c>
      <c r="Z2986" s="368"/>
      <c r="AA2986" s="333"/>
      <c r="AB2986" s="258">
        <v>4.0</v>
      </c>
      <c r="AC2986" s="333"/>
      <c r="AD2986" s="329"/>
      <c r="AE2986" s="331"/>
      <c r="AF2986" s="336"/>
      <c r="AG2986" s="337"/>
      <c r="AH2986" s="333"/>
      <c r="AI2986" s="333"/>
      <c r="AJ2986" s="333"/>
      <c r="AK2986" s="333"/>
      <c r="AL2986" s="333"/>
      <c r="AM2986" s="338"/>
      <c r="AN2986" s="333"/>
      <c r="AO2986" s="333"/>
      <c r="AP2986" s="333"/>
      <c r="AQ2986" s="333"/>
      <c r="AR2986" s="333"/>
      <c r="AS2986" s="333"/>
      <c r="AT2986" s="333"/>
      <c r="AU2986" s="329"/>
      <c r="AV2986" s="341"/>
      <c r="AW2986" s="269"/>
      <c r="AX2986" s="269" t="s">
        <v>2869</v>
      </c>
      <c r="AY2986" s="270" t="s">
        <v>695</v>
      </c>
      <c r="AZ2986" s="379"/>
      <c r="BA2986" s="173">
        <v>10.0</v>
      </c>
      <c r="BB2986" s="341"/>
      <c r="BC2986" s="341"/>
      <c r="BD2986" s="308" t="s">
        <v>1844</v>
      </c>
      <c r="BE2986" s="364"/>
      <c r="BF2986" s="274" t="str">
        <f>IFERROR(__xludf.DUMMYFUNCTION("LOWER(Regexreplace(to_text(E2986),""[^A-Za-z0-9]"","""")&amp;""_""&amp;Regexreplace(to_text(F2986),""[^A-Za-z0-9]"",""""))"),"kamstrup_multical603")</f>
        <v>kamstrup_multical603</v>
      </c>
      <c r="BG2986" s="275" t="str">
        <f>IFERROR(__xludf.DUMMYFUNCTION("upper(Regexreplace(to_text(E2986),""[^A-Za-z0-9]"","""")&amp;""-""&amp;Regexreplace(to_text(F2986),""[^A-Za-z0-9]"",""""))"),"KAMSTRUP-MULTICAL603")</f>
        <v>KAMSTRUP-MULTICAL603</v>
      </c>
    </row>
    <row r="2987" ht="30.0" customHeight="1">
      <c r="A2987" s="258"/>
      <c r="B2987" s="328" t="s">
        <v>670</v>
      </c>
      <c r="C2987" s="257" t="s">
        <v>9306</v>
      </c>
      <c r="D2987" s="173" t="s">
        <v>9306</v>
      </c>
      <c r="E2987" s="174" t="s">
        <v>9296</v>
      </c>
      <c r="F2987" s="173" t="s">
        <v>9297</v>
      </c>
      <c r="G2987" s="328" t="s">
        <v>673</v>
      </c>
      <c r="H2987" s="328" t="s">
        <v>2863</v>
      </c>
      <c r="I2987" s="258" t="s">
        <v>9298</v>
      </c>
      <c r="J2987" s="259" t="s">
        <v>1026</v>
      </c>
      <c r="K2987" s="260" t="s">
        <v>1027</v>
      </c>
      <c r="L2987" s="366"/>
      <c r="M2987" s="329"/>
      <c r="N2987" s="173" t="s">
        <v>679</v>
      </c>
      <c r="O2987" s="173" t="s">
        <v>225</v>
      </c>
      <c r="P2987" s="262" t="str">
        <f t="shared" si="1"/>
        <v>IN-BLR-ANANTA-HM-205_4</v>
      </c>
      <c r="Q2987" s="173" t="s">
        <v>9307</v>
      </c>
      <c r="R2987" s="328" t="str">
        <f>IFS(C2987="","",C2987="n/a","N/A",LEN(C2987),Concatenate("{",char(34),"asset",char(34),":{",char(34),"guid",char(34),":",char(34),Q2987,char(34),",",char(34),"site",char(34),":",char(34),LOWER('2-Building'!$B$4),char(34),",",char(34),"name",char(34),":",char(34),LOWER(C2987),char(34),"}}"))</f>
        <v>{"asset":{"guid":"uuid://77de43ba-8a8f-4079-b6e4-3f36368bdc8a","site":"in-blr-ananta","name":"hm-205"}}</v>
      </c>
      <c r="S2987" s="366" t="s">
        <v>2866</v>
      </c>
      <c r="T2987" s="330"/>
      <c r="U2987" s="330"/>
      <c r="V2987" s="331"/>
      <c r="W2987" s="332"/>
      <c r="X2987" s="333"/>
      <c r="Y2987" s="33" t="s">
        <v>8076</v>
      </c>
      <c r="Z2987" s="368"/>
      <c r="AA2987" s="333"/>
      <c r="AB2987" s="258">
        <v>5.0</v>
      </c>
      <c r="AC2987" s="333"/>
      <c r="AD2987" s="329"/>
      <c r="AE2987" s="331"/>
      <c r="AF2987" s="336"/>
      <c r="AG2987" s="337"/>
      <c r="AH2987" s="333"/>
      <c r="AI2987" s="333"/>
      <c r="AJ2987" s="333"/>
      <c r="AK2987" s="333"/>
      <c r="AL2987" s="333"/>
      <c r="AM2987" s="338"/>
      <c r="AN2987" s="333"/>
      <c r="AO2987" s="333"/>
      <c r="AP2987" s="333"/>
      <c r="AQ2987" s="333"/>
      <c r="AR2987" s="333"/>
      <c r="AS2987" s="333"/>
      <c r="AT2987" s="333"/>
      <c r="AU2987" s="329"/>
      <c r="AV2987" s="341"/>
      <c r="AW2987" s="269"/>
      <c r="AX2987" s="269" t="s">
        <v>2869</v>
      </c>
      <c r="AY2987" s="270" t="s">
        <v>695</v>
      </c>
      <c r="AZ2987" s="379"/>
      <c r="BA2987" s="173">
        <v>10.0</v>
      </c>
      <c r="BB2987" s="341"/>
      <c r="BC2987" s="341"/>
      <c r="BD2987" s="308" t="s">
        <v>1844</v>
      </c>
      <c r="BE2987" s="364"/>
      <c r="BF2987" s="274" t="str">
        <f>IFERROR(__xludf.DUMMYFUNCTION("LOWER(Regexreplace(to_text(E2987),""[^A-Za-z0-9]"","""")&amp;""_""&amp;Regexreplace(to_text(F2987),""[^A-Za-z0-9]"",""""))"),"kamstrup_multical603")</f>
        <v>kamstrup_multical603</v>
      </c>
      <c r="BG2987" s="275" t="str">
        <f>IFERROR(__xludf.DUMMYFUNCTION("upper(Regexreplace(to_text(E2987),""[^A-Za-z0-9]"","""")&amp;""-""&amp;Regexreplace(to_text(F2987),""[^A-Za-z0-9]"",""""))"),"KAMSTRUP-MULTICAL603")</f>
        <v>KAMSTRUP-MULTICAL603</v>
      </c>
    </row>
    <row r="2988" ht="30.0" customHeight="1">
      <c r="A2988" s="258"/>
      <c r="B2988" s="328" t="s">
        <v>670</v>
      </c>
      <c r="C2988" s="257" t="s">
        <v>9308</v>
      </c>
      <c r="D2988" s="173" t="s">
        <v>9308</v>
      </c>
      <c r="E2988" s="174" t="s">
        <v>9296</v>
      </c>
      <c r="F2988" s="173" t="s">
        <v>9297</v>
      </c>
      <c r="G2988" s="328" t="s">
        <v>673</v>
      </c>
      <c r="H2988" s="328" t="s">
        <v>2863</v>
      </c>
      <c r="I2988" s="258" t="s">
        <v>9298</v>
      </c>
      <c r="J2988" s="259" t="s">
        <v>1088</v>
      </c>
      <c r="K2988" s="260">
        <v>563.0</v>
      </c>
      <c r="L2988" s="366"/>
      <c r="M2988" s="329"/>
      <c r="N2988" s="173" t="s">
        <v>679</v>
      </c>
      <c r="O2988" s="173" t="s">
        <v>225</v>
      </c>
      <c r="P2988" s="262" t="str">
        <f t="shared" si="1"/>
        <v>IN-BLR-ANANTA-HM-206_5</v>
      </c>
      <c r="Q2988" s="173" t="s">
        <v>9309</v>
      </c>
      <c r="R2988" s="328" t="str">
        <f>IFS(C2988="","",C2988="n/a","N/A",LEN(C2988),Concatenate("{",char(34),"asset",char(34),":{",char(34),"guid",char(34),":",char(34),Q2988,char(34),",",char(34),"site",char(34),":",char(34),LOWER('2-Building'!$B$4),char(34),",",char(34),"name",char(34),":",char(34),LOWER(C2988),char(34),"}}"))</f>
        <v>{"asset":{"guid":"uuid://2ef84820-3945-44b5-9305-453461fc6236","site":"in-blr-ananta","name":"hm-206"}}</v>
      </c>
      <c r="S2988" s="366" t="s">
        <v>2866</v>
      </c>
      <c r="T2988" s="330"/>
      <c r="U2988" s="330"/>
      <c r="V2988" s="331"/>
      <c r="W2988" s="332"/>
      <c r="X2988" s="333"/>
      <c r="Y2988" s="33" t="s">
        <v>8076</v>
      </c>
      <c r="Z2988" s="368"/>
      <c r="AA2988" s="333"/>
      <c r="AB2988" s="258">
        <v>6.0</v>
      </c>
      <c r="AC2988" s="333"/>
      <c r="AD2988" s="329"/>
      <c r="AE2988" s="331"/>
      <c r="AF2988" s="336"/>
      <c r="AG2988" s="337"/>
      <c r="AH2988" s="333"/>
      <c r="AI2988" s="333"/>
      <c r="AJ2988" s="333"/>
      <c r="AK2988" s="333"/>
      <c r="AL2988" s="333"/>
      <c r="AM2988" s="338"/>
      <c r="AN2988" s="333"/>
      <c r="AO2988" s="333"/>
      <c r="AP2988" s="333"/>
      <c r="AQ2988" s="333"/>
      <c r="AR2988" s="333"/>
      <c r="AS2988" s="333"/>
      <c r="AT2988" s="333"/>
      <c r="AU2988" s="329"/>
      <c r="AV2988" s="341"/>
      <c r="AW2988" s="269"/>
      <c r="AX2988" s="269" t="s">
        <v>2869</v>
      </c>
      <c r="AY2988" s="270" t="s">
        <v>695</v>
      </c>
      <c r="AZ2988" s="379"/>
      <c r="BA2988" s="173">
        <v>10.0</v>
      </c>
      <c r="BB2988" s="341"/>
      <c r="BC2988" s="341"/>
      <c r="BD2988" s="308" t="s">
        <v>1844</v>
      </c>
      <c r="BE2988" s="364"/>
      <c r="BF2988" s="274" t="str">
        <f>IFERROR(__xludf.DUMMYFUNCTION("LOWER(Regexreplace(to_text(E2988),""[^A-Za-z0-9]"","""")&amp;""_""&amp;Regexreplace(to_text(F2988),""[^A-Za-z0-9]"",""""))"),"kamstrup_multical603")</f>
        <v>kamstrup_multical603</v>
      </c>
      <c r="BG2988" s="275" t="str">
        <f>IFERROR(__xludf.DUMMYFUNCTION("upper(Regexreplace(to_text(E2988),""[^A-Za-z0-9]"","""")&amp;""-""&amp;Regexreplace(to_text(F2988),""[^A-Za-z0-9]"",""""))"),"KAMSTRUP-MULTICAL603")</f>
        <v>KAMSTRUP-MULTICAL603</v>
      </c>
    </row>
    <row r="2989" ht="30.0" customHeight="1">
      <c r="A2989" s="258"/>
      <c r="B2989" s="328" t="s">
        <v>670</v>
      </c>
      <c r="C2989" s="257" t="s">
        <v>9310</v>
      </c>
      <c r="D2989" s="173" t="s">
        <v>9310</v>
      </c>
      <c r="E2989" s="174" t="s">
        <v>9296</v>
      </c>
      <c r="F2989" s="173" t="s">
        <v>9297</v>
      </c>
      <c r="G2989" s="328" t="s">
        <v>673</v>
      </c>
      <c r="H2989" s="328" t="s">
        <v>2863</v>
      </c>
      <c r="I2989" s="258" t="s">
        <v>9298</v>
      </c>
      <c r="J2989" s="259" t="s">
        <v>1149</v>
      </c>
      <c r="K2989" s="260">
        <v>663.0</v>
      </c>
      <c r="L2989" s="366"/>
      <c r="M2989" s="329"/>
      <c r="N2989" s="173" t="s">
        <v>679</v>
      </c>
      <c r="O2989" s="173" t="s">
        <v>225</v>
      </c>
      <c r="P2989" s="262" t="str">
        <f t="shared" si="1"/>
        <v>IN-BLR-ANANTA-HM-207_6</v>
      </c>
      <c r="Q2989" s="173" t="s">
        <v>9311</v>
      </c>
      <c r="R2989" s="328" t="str">
        <f>IFS(C2989="","",C2989="n/a","N/A",LEN(C2989),Concatenate("{",char(34),"asset",char(34),":{",char(34),"guid",char(34),":",char(34),Q2989,char(34),",",char(34),"site",char(34),":",char(34),LOWER('2-Building'!$B$4),char(34),",",char(34),"name",char(34),":",char(34),LOWER(C2989),char(34),"}}"))</f>
        <v>{"asset":{"guid":"uuid://67ff1141-6b19-46c7-8969-b26e835dfc2c","site":"in-blr-ananta","name":"hm-207"}}</v>
      </c>
      <c r="S2989" s="366" t="s">
        <v>2866</v>
      </c>
      <c r="T2989" s="330"/>
      <c r="U2989" s="330"/>
      <c r="V2989" s="331"/>
      <c r="W2989" s="332"/>
      <c r="X2989" s="333"/>
      <c r="Y2989" s="33" t="s">
        <v>8076</v>
      </c>
      <c r="Z2989" s="368"/>
      <c r="AA2989" s="333"/>
      <c r="AB2989" s="258">
        <v>7.0</v>
      </c>
      <c r="AC2989" s="333"/>
      <c r="AD2989" s="329"/>
      <c r="AE2989" s="331"/>
      <c r="AF2989" s="336"/>
      <c r="AG2989" s="337"/>
      <c r="AH2989" s="333"/>
      <c r="AI2989" s="333"/>
      <c r="AJ2989" s="333"/>
      <c r="AK2989" s="333"/>
      <c r="AL2989" s="333"/>
      <c r="AM2989" s="338"/>
      <c r="AN2989" s="333"/>
      <c r="AO2989" s="333"/>
      <c r="AP2989" s="333"/>
      <c r="AQ2989" s="333"/>
      <c r="AR2989" s="333"/>
      <c r="AS2989" s="333"/>
      <c r="AT2989" s="333"/>
      <c r="AU2989" s="329"/>
      <c r="AV2989" s="341"/>
      <c r="AW2989" s="269"/>
      <c r="AX2989" s="269" t="s">
        <v>2869</v>
      </c>
      <c r="AY2989" s="270" t="s">
        <v>695</v>
      </c>
      <c r="AZ2989" s="379"/>
      <c r="BA2989" s="173">
        <v>10.0</v>
      </c>
      <c r="BB2989" s="341"/>
      <c r="BC2989" s="341"/>
      <c r="BD2989" s="308" t="s">
        <v>1844</v>
      </c>
      <c r="BE2989" s="364"/>
      <c r="BF2989" s="274" t="str">
        <f>IFERROR(__xludf.DUMMYFUNCTION("LOWER(Regexreplace(to_text(E2989),""[^A-Za-z0-9]"","""")&amp;""_""&amp;Regexreplace(to_text(F2989),""[^A-Za-z0-9]"",""""))"),"kamstrup_multical603")</f>
        <v>kamstrup_multical603</v>
      </c>
      <c r="BG2989" s="275" t="str">
        <f>IFERROR(__xludf.DUMMYFUNCTION("upper(Regexreplace(to_text(E2989),""[^A-Za-z0-9]"","""")&amp;""-""&amp;Regexreplace(to_text(F2989),""[^A-Za-z0-9]"",""""))"),"KAMSTRUP-MULTICAL603")</f>
        <v>KAMSTRUP-MULTICAL603</v>
      </c>
    </row>
    <row r="2990" ht="30.0" customHeight="1">
      <c r="A2990" s="258"/>
      <c r="B2990" s="328" t="s">
        <v>670</v>
      </c>
      <c r="C2990" s="257" t="s">
        <v>9312</v>
      </c>
      <c r="D2990" s="173" t="s">
        <v>9312</v>
      </c>
      <c r="E2990" s="174" t="s">
        <v>9296</v>
      </c>
      <c r="F2990" s="173" t="s">
        <v>9297</v>
      </c>
      <c r="G2990" s="328" t="s">
        <v>673</v>
      </c>
      <c r="H2990" s="328" t="s">
        <v>2863</v>
      </c>
      <c r="I2990" s="258" t="s">
        <v>9298</v>
      </c>
      <c r="J2990" s="259" t="s">
        <v>1211</v>
      </c>
      <c r="K2990" s="260">
        <v>763.0</v>
      </c>
      <c r="L2990" s="366"/>
      <c r="M2990" s="329"/>
      <c r="N2990" s="173" t="s">
        <v>679</v>
      </c>
      <c r="O2990" s="173" t="s">
        <v>225</v>
      </c>
      <c r="P2990" s="262" t="str">
        <f t="shared" si="1"/>
        <v>IN-BLR-ANANTA-HM-208_7</v>
      </c>
      <c r="Q2990" s="173" t="s">
        <v>9313</v>
      </c>
      <c r="R2990" s="328" t="str">
        <f>IFS(C2990="","",C2990="n/a","N/A",LEN(C2990),Concatenate("{",char(34),"asset",char(34),":{",char(34),"guid",char(34),":",char(34),Q2990,char(34),",",char(34),"site",char(34),":",char(34),LOWER('2-Building'!$B$4),char(34),",",char(34),"name",char(34),":",char(34),LOWER(C2990),char(34),"}}"))</f>
        <v>{"asset":{"guid":"uuid://f7fc7e35-a4d1-45cc-8468-4deb751b0f1b","site":"in-blr-ananta","name":"hm-208"}}</v>
      </c>
      <c r="S2990" s="366" t="s">
        <v>2866</v>
      </c>
      <c r="T2990" s="330"/>
      <c r="U2990" s="330"/>
      <c r="V2990" s="331"/>
      <c r="W2990" s="332"/>
      <c r="X2990" s="333"/>
      <c r="Y2990" s="33" t="s">
        <v>8076</v>
      </c>
      <c r="Z2990" s="368"/>
      <c r="AA2990" s="333"/>
      <c r="AB2990" s="258">
        <v>8.0</v>
      </c>
      <c r="AC2990" s="333"/>
      <c r="AD2990" s="329"/>
      <c r="AE2990" s="331"/>
      <c r="AF2990" s="336"/>
      <c r="AG2990" s="337"/>
      <c r="AH2990" s="333"/>
      <c r="AI2990" s="333"/>
      <c r="AJ2990" s="333"/>
      <c r="AK2990" s="333"/>
      <c r="AL2990" s="333"/>
      <c r="AM2990" s="338"/>
      <c r="AN2990" s="333"/>
      <c r="AO2990" s="333"/>
      <c r="AP2990" s="333"/>
      <c r="AQ2990" s="333"/>
      <c r="AR2990" s="333"/>
      <c r="AS2990" s="333"/>
      <c r="AT2990" s="333"/>
      <c r="AU2990" s="329"/>
      <c r="AV2990" s="341"/>
      <c r="AW2990" s="269"/>
      <c r="AX2990" s="269" t="s">
        <v>2869</v>
      </c>
      <c r="AY2990" s="270" t="s">
        <v>695</v>
      </c>
      <c r="AZ2990" s="379"/>
      <c r="BA2990" s="173">
        <v>10.0</v>
      </c>
      <c r="BB2990" s="341"/>
      <c r="BC2990" s="341"/>
      <c r="BD2990" s="308" t="s">
        <v>1844</v>
      </c>
      <c r="BE2990" s="364"/>
      <c r="BF2990" s="274" t="str">
        <f>IFERROR(__xludf.DUMMYFUNCTION("LOWER(Regexreplace(to_text(E2990),""[^A-Za-z0-9]"","""")&amp;""_""&amp;Regexreplace(to_text(F2990),""[^A-Za-z0-9]"",""""))"),"kamstrup_multical603")</f>
        <v>kamstrup_multical603</v>
      </c>
      <c r="BG2990" s="275" t="str">
        <f>IFERROR(__xludf.DUMMYFUNCTION("upper(Regexreplace(to_text(E2990),""[^A-Za-z0-9]"","""")&amp;""-""&amp;Regexreplace(to_text(F2990),""[^A-Za-z0-9]"",""""))"),"KAMSTRUP-MULTICAL603")</f>
        <v>KAMSTRUP-MULTICAL603</v>
      </c>
    </row>
    <row r="2991" ht="30.0" customHeight="1">
      <c r="A2991" s="258"/>
      <c r="B2991" s="328" t="s">
        <v>670</v>
      </c>
      <c r="C2991" s="257" t="s">
        <v>9314</v>
      </c>
      <c r="D2991" s="173" t="s">
        <v>9314</v>
      </c>
      <c r="E2991" s="174" t="s">
        <v>9296</v>
      </c>
      <c r="F2991" s="173" t="s">
        <v>9297</v>
      </c>
      <c r="G2991" s="328" t="s">
        <v>673</v>
      </c>
      <c r="H2991" s="328" t="s">
        <v>2863</v>
      </c>
      <c r="I2991" s="258" t="s">
        <v>9298</v>
      </c>
      <c r="J2991" s="259" t="s">
        <v>1272</v>
      </c>
      <c r="K2991" s="260">
        <v>863.0</v>
      </c>
      <c r="L2991" s="366"/>
      <c r="M2991" s="329"/>
      <c r="N2991" s="173" t="s">
        <v>679</v>
      </c>
      <c r="O2991" s="173" t="s">
        <v>225</v>
      </c>
      <c r="P2991" s="262" t="str">
        <f t="shared" si="1"/>
        <v>IN-BLR-ANANTA-HM-209_8</v>
      </c>
      <c r="Q2991" s="173" t="s">
        <v>9315</v>
      </c>
      <c r="R2991" s="328" t="str">
        <f>IFS(C2991="","",C2991="n/a","N/A",LEN(C2991),Concatenate("{",char(34),"asset",char(34),":{",char(34),"guid",char(34),":",char(34),Q2991,char(34),",",char(34),"site",char(34),":",char(34),LOWER('2-Building'!$B$4),char(34),",",char(34),"name",char(34),":",char(34),LOWER(C2991),char(34),"}}"))</f>
        <v>{"asset":{"guid":"uuid://6f7b650f-ed1f-4af0-8e85-cbab26e02778","site":"in-blr-ananta","name":"hm-209"}}</v>
      </c>
      <c r="S2991" s="366" t="s">
        <v>2866</v>
      </c>
      <c r="T2991" s="330"/>
      <c r="U2991" s="330"/>
      <c r="V2991" s="331"/>
      <c r="W2991" s="332"/>
      <c r="X2991" s="333"/>
      <c r="Y2991" s="33" t="s">
        <v>8076</v>
      </c>
      <c r="Z2991" s="368"/>
      <c r="AA2991" s="333"/>
      <c r="AB2991" s="258">
        <v>9.0</v>
      </c>
      <c r="AC2991" s="333"/>
      <c r="AD2991" s="329"/>
      <c r="AE2991" s="331"/>
      <c r="AF2991" s="336"/>
      <c r="AG2991" s="337"/>
      <c r="AH2991" s="333"/>
      <c r="AI2991" s="333"/>
      <c r="AJ2991" s="333"/>
      <c r="AK2991" s="333"/>
      <c r="AL2991" s="333"/>
      <c r="AM2991" s="338"/>
      <c r="AN2991" s="333"/>
      <c r="AO2991" s="333"/>
      <c r="AP2991" s="333"/>
      <c r="AQ2991" s="333"/>
      <c r="AR2991" s="333"/>
      <c r="AS2991" s="333"/>
      <c r="AT2991" s="333"/>
      <c r="AU2991" s="329"/>
      <c r="AV2991" s="341"/>
      <c r="AW2991" s="269"/>
      <c r="AX2991" s="269" t="s">
        <v>2869</v>
      </c>
      <c r="AY2991" s="270" t="s">
        <v>695</v>
      </c>
      <c r="AZ2991" s="379"/>
      <c r="BA2991" s="173">
        <v>10.0</v>
      </c>
      <c r="BB2991" s="341"/>
      <c r="BC2991" s="341"/>
      <c r="BD2991" s="308" t="s">
        <v>1844</v>
      </c>
      <c r="BE2991" s="364"/>
      <c r="BF2991" s="274" t="str">
        <f>IFERROR(__xludf.DUMMYFUNCTION("LOWER(Regexreplace(to_text(E2991),""[^A-Za-z0-9]"","""")&amp;""_""&amp;Regexreplace(to_text(F2991),""[^A-Za-z0-9]"",""""))"),"kamstrup_multical603")</f>
        <v>kamstrup_multical603</v>
      </c>
      <c r="BG2991" s="275" t="str">
        <f>IFERROR(__xludf.DUMMYFUNCTION("upper(Regexreplace(to_text(E2991),""[^A-Za-z0-9]"","""")&amp;""-""&amp;Regexreplace(to_text(F2991),""[^A-Za-z0-9]"",""""))"),"KAMSTRUP-MULTICAL603")</f>
        <v>KAMSTRUP-MULTICAL603</v>
      </c>
    </row>
    <row r="2992" ht="30.0" customHeight="1">
      <c r="A2992" s="258"/>
      <c r="B2992" s="328" t="s">
        <v>670</v>
      </c>
      <c r="C2992" s="257" t="s">
        <v>9316</v>
      </c>
      <c r="D2992" s="173" t="s">
        <v>9316</v>
      </c>
      <c r="E2992" s="174" t="s">
        <v>9296</v>
      </c>
      <c r="F2992" s="173" t="s">
        <v>9297</v>
      </c>
      <c r="G2992" s="328" t="s">
        <v>673</v>
      </c>
      <c r="H2992" s="328" t="s">
        <v>2863</v>
      </c>
      <c r="I2992" s="258" t="s">
        <v>9298</v>
      </c>
      <c r="J2992" s="259" t="s">
        <v>1333</v>
      </c>
      <c r="K2992" s="260">
        <v>963.0</v>
      </c>
      <c r="L2992" s="366"/>
      <c r="M2992" s="329"/>
      <c r="N2992" s="173" t="s">
        <v>679</v>
      </c>
      <c r="O2992" s="173" t="s">
        <v>225</v>
      </c>
      <c r="P2992" s="262" t="str">
        <f t="shared" si="1"/>
        <v>IN-BLR-ANANTA-HM-210_9</v>
      </c>
      <c r="Q2992" s="173" t="s">
        <v>9317</v>
      </c>
      <c r="R2992" s="328" t="str">
        <f>IFS(C2992="","",C2992="n/a","N/A",LEN(C2992),Concatenate("{",char(34),"asset",char(34),":{",char(34),"guid",char(34),":",char(34),Q2992,char(34),",",char(34),"site",char(34),":",char(34),LOWER('2-Building'!$B$4),char(34),",",char(34),"name",char(34),":",char(34),LOWER(C2992),char(34),"}}"))</f>
        <v>{"asset":{"guid":"uuid://751be76f-62b6-41b4-9ae4-236e012f35db","site":"in-blr-ananta","name":"hm-210"}}</v>
      </c>
      <c r="S2992" s="366" t="s">
        <v>2866</v>
      </c>
      <c r="T2992" s="330"/>
      <c r="U2992" s="330"/>
      <c r="V2992" s="331"/>
      <c r="W2992" s="332"/>
      <c r="X2992" s="333"/>
      <c r="Y2992" s="33" t="s">
        <v>8076</v>
      </c>
      <c r="Z2992" s="368"/>
      <c r="AA2992" s="333"/>
      <c r="AB2992" s="258">
        <v>10.0</v>
      </c>
      <c r="AC2992" s="333"/>
      <c r="AD2992" s="329"/>
      <c r="AE2992" s="331"/>
      <c r="AF2992" s="336"/>
      <c r="AG2992" s="337"/>
      <c r="AH2992" s="333"/>
      <c r="AI2992" s="333"/>
      <c r="AJ2992" s="333"/>
      <c r="AK2992" s="333"/>
      <c r="AL2992" s="333"/>
      <c r="AM2992" s="338"/>
      <c r="AN2992" s="333"/>
      <c r="AO2992" s="333"/>
      <c r="AP2992" s="333"/>
      <c r="AQ2992" s="333"/>
      <c r="AR2992" s="333"/>
      <c r="AS2992" s="333"/>
      <c r="AT2992" s="333"/>
      <c r="AU2992" s="329"/>
      <c r="AV2992" s="341"/>
      <c r="AW2992" s="269"/>
      <c r="AX2992" s="269" t="s">
        <v>2869</v>
      </c>
      <c r="AY2992" s="270" t="s">
        <v>695</v>
      </c>
      <c r="AZ2992" s="379"/>
      <c r="BA2992" s="173">
        <v>10.0</v>
      </c>
      <c r="BB2992" s="341"/>
      <c r="BC2992" s="341"/>
      <c r="BD2992" s="308" t="s">
        <v>1844</v>
      </c>
      <c r="BE2992" s="364"/>
      <c r="BF2992" s="274" t="str">
        <f>IFERROR(__xludf.DUMMYFUNCTION("LOWER(Regexreplace(to_text(E2992),""[^A-Za-z0-9]"","""")&amp;""_""&amp;Regexreplace(to_text(F2992),""[^A-Za-z0-9]"",""""))"),"kamstrup_multical603")</f>
        <v>kamstrup_multical603</v>
      </c>
      <c r="BG2992" s="275" t="str">
        <f>IFERROR(__xludf.DUMMYFUNCTION("upper(Regexreplace(to_text(E2992),""[^A-Za-z0-9]"","""")&amp;""-""&amp;Regexreplace(to_text(F2992),""[^A-Za-z0-9]"",""""))"),"KAMSTRUP-MULTICAL603")</f>
        <v>KAMSTRUP-MULTICAL603</v>
      </c>
    </row>
    <row r="2993" ht="30.0" customHeight="1">
      <c r="A2993" s="258"/>
      <c r="B2993" s="328" t="s">
        <v>670</v>
      </c>
      <c r="C2993" s="257" t="s">
        <v>9318</v>
      </c>
      <c r="D2993" s="173" t="s">
        <v>9318</v>
      </c>
      <c r="E2993" s="174" t="s">
        <v>9296</v>
      </c>
      <c r="F2993" s="173" t="s">
        <v>9297</v>
      </c>
      <c r="G2993" s="328" t="s">
        <v>673</v>
      </c>
      <c r="H2993" s="328" t="s">
        <v>2863</v>
      </c>
      <c r="I2993" s="258" t="s">
        <v>9298</v>
      </c>
      <c r="J2993" s="259" t="s">
        <v>1393</v>
      </c>
      <c r="K2993" s="260" t="s">
        <v>1394</v>
      </c>
      <c r="L2993" s="366"/>
      <c r="M2993" s="329"/>
      <c r="N2993" s="173" t="s">
        <v>679</v>
      </c>
      <c r="O2993" s="173" t="s">
        <v>225</v>
      </c>
      <c r="P2993" s="262" t="str">
        <f t="shared" si="1"/>
        <v>IN-BLR-ANANTA-HM-211_10</v>
      </c>
      <c r="Q2993" s="173" t="s">
        <v>9319</v>
      </c>
      <c r="R2993" s="328" t="str">
        <f>IFS(C2993="","",C2993="n/a","N/A",LEN(C2993),Concatenate("{",char(34),"asset",char(34),":{",char(34),"guid",char(34),":",char(34),Q2993,char(34),",",char(34),"site",char(34),":",char(34),LOWER('2-Building'!$B$4),char(34),",",char(34),"name",char(34),":",char(34),LOWER(C2993),char(34),"}}"))</f>
        <v>{"asset":{"guid":"uuid://18982db3-1b37-4a5c-8304-4ccc801cb734","site":"in-blr-ananta","name":"hm-211"}}</v>
      </c>
      <c r="S2993" s="366" t="s">
        <v>2866</v>
      </c>
      <c r="T2993" s="330"/>
      <c r="U2993" s="330"/>
      <c r="V2993" s="331"/>
      <c r="W2993" s="332"/>
      <c r="X2993" s="333"/>
      <c r="Y2993" s="33" t="s">
        <v>8076</v>
      </c>
      <c r="Z2993" s="368"/>
      <c r="AA2993" s="333"/>
      <c r="AB2993" s="258">
        <v>11.0</v>
      </c>
      <c r="AC2993" s="333"/>
      <c r="AD2993" s="329"/>
      <c r="AE2993" s="331"/>
      <c r="AF2993" s="336"/>
      <c r="AG2993" s="337"/>
      <c r="AH2993" s="333"/>
      <c r="AI2993" s="333"/>
      <c r="AJ2993" s="333"/>
      <c r="AK2993" s="333"/>
      <c r="AL2993" s="333"/>
      <c r="AM2993" s="338"/>
      <c r="AN2993" s="333"/>
      <c r="AO2993" s="333"/>
      <c r="AP2993" s="333"/>
      <c r="AQ2993" s="333"/>
      <c r="AR2993" s="333"/>
      <c r="AS2993" s="333"/>
      <c r="AT2993" s="333"/>
      <c r="AU2993" s="329"/>
      <c r="AV2993" s="341"/>
      <c r="AW2993" s="269"/>
      <c r="AX2993" s="269" t="s">
        <v>2869</v>
      </c>
      <c r="AY2993" s="270" t="s">
        <v>695</v>
      </c>
      <c r="AZ2993" s="379"/>
      <c r="BA2993" s="173">
        <v>10.0</v>
      </c>
      <c r="BB2993" s="341"/>
      <c r="BC2993" s="341"/>
      <c r="BD2993" s="308" t="s">
        <v>1844</v>
      </c>
      <c r="BE2993" s="364"/>
      <c r="BF2993" s="274" t="str">
        <f>IFERROR(__xludf.DUMMYFUNCTION("LOWER(Regexreplace(to_text(E2993),""[^A-Za-z0-9]"","""")&amp;""_""&amp;Regexreplace(to_text(F2993),""[^A-Za-z0-9]"",""""))"),"kamstrup_multical603")</f>
        <v>kamstrup_multical603</v>
      </c>
      <c r="BG2993" s="275" t="str">
        <f>IFERROR(__xludf.DUMMYFUNCTION("upper(Regexreplace(to_text(E2993),""[^A-Za-z0-9]"","""")&amp;""-""&amp;Regexreplace(to_text(F2993),""[^A-Za-z0-9]"",""""))"),"KAMSTRUP-MULTICAL603")</f>
        <v>KAMSTRUP-MULTICAL603</v>
      </c>
    </row>
    <row r="2994" ht="30.0" customHeight="1">
      <c r="A2994" s="258"/>
      <c r="B2994" s="328" t="s">
        <v>670</v>
      </c>
      <c r="C2994" s="257" t="s">
        <v>9320</v>
      </c>
      <c r="D2994" s="173" t="s">
        <v>9320</v>
      </c>
      <c r="E2994" s="174" t="s">
        <v>9296</v>
      </c>
      <c r="F2994" s="173" t="s">
        <v>9297</v>
      </c>
      <c r="G2994" s="328" t="s">
        <v>673</v>
      </c>
      <c r="H2994" s="328" t="s">
        <v>2863</v>
      </c>
      <c r="I2994" s="258" t="s">
        <v>9298</v>
      </c>
      <c r="J2994" s="259" t="s">
        <v>1453</v>
      </c>
      <c r="K2994" s="260" t="s">
        <v>1454</v>
      </c>
      <c r="L2994" s="366"/>
      <c r="M2994" s="329"/>
      <c r="N2994" s="173" t="s">
        <v>679</v>
      </c>
      <c r="O2994" s="173" t="s">
        <v>225</v>
      </c>
      <c r="P2994" s="262" t="str">
        <f t="shared" si="1"/>
        <v>IN-BLR-ANANTA-HM-212_11</v>
      </c>
      <c r="Q2994" s="173" t="s">
        <v>9321</v>
      </c>
      <c r="R2994" s="328" t="str">
        <f>IFS(C2994="","",C2994="n/a","N/A",LEN(C2994),Concatenate("{",char(34),"asset",char(34),":{",char(34),"guid",char(34),":",char(34),Q2994,char(34),",",char(34),"site",char(34),":",char(34),LOWER('2-Building'!$B$4),char(34),",",char(34),"name",char(34),":",char(34),LOWER(C2994),char(34),"}}"))</f>
        <v>{"asset":{"guid":"uuid://c3a1fe56-d169-4a6a-86b1-9d8dcac35663","site":"in-blr-ananta","name":"hm-212"}}</v>
      </c>
      <c r="S2994" s="366" t="s">
        <v>2866</v>
      </c>
      <c r="T2994" s="330"/>
      <c r="U2994" s="330"/>
      <c r="V2994" s="331"/>
      <c r="W2994" s="332"/>
      <c r="X2994" s="333"/>
      <c r="Y2994" s="33" t="s">
        <v>8076</v>
      </c>
      <c r="Z2994" s="368"/>
      <c r="AA2994" s="333"/>
      <c r="AB2994" s="258">
        <v>12.0</v>
      </c>
      <c r="AC2994" s="333"/>
      <c r="AD2994" s="329"/>
      <c r="AE2994" s="331"/>
      <c r="AF2994" s="336"/>
      <c r="AG2994" s="337"/>
      <c r="AH2994" s="333"/>
      <c r="AI2994" s="333"/>
      <c r="AJ2994" s="333"/>
      <c r="AK2994" s="333"/>
      <c r="AL2994" s="333"/>
      <c r="AM2994" s="338"/>
      <c r="AN2994" s="333"/>
      <c r="AO2994" s="333"/>
      <c r="AP2994" s="333"/>
      <c r="AQ2994" s="333"/>
      <c r="AR2994" s="333"/>
      <c r="AS2994" s="333"/>
      <c r="AT2994" s="333"/>
      <c r="AU2994" s="329"/>
      <c r="AV2994" s="341"/>
      <c r="AW2994" s="269"/>
      <c r="AX2994" s="269" t="s">
        <v>2869</v>
      </c>
      <c r="AY2994" s="270" t="s">
        <v>695</v>
      </c>
      <c r="AZ2994" s="379"/>
      <c r="BA2994" s="173">
        <v>10.0</v>
      </c>
      <c r="BB2994" s="341"/>
      <c r="BC2994" s="341"/>
      <c r="BD2994" s="308" t="s">
        <v>1844</v>
      </c>
      <c r="BE2994" s="364"/>
      <c r="BF2994" s="274" t="str">
        <f>IFERROR(__xludf.DUMMYFUNCTION("LOWER(Regexreplace(to_text(E2994),""[^A-Za-z0-9]"","""")&amp;""_""&amp;Regexreplace(to_text(F2994),""[^A-Za-z0-9]"",""""))"),"kamstrup_multical603")</f>
        <v>kamstrup_multical603</v>
      </c>
      <c r="BG2994" s="275" t="str">
        <f>IFERROR(__xludf.DUMMYFUNCTION("upper(Regexreplace(to_text(E2994),""[^A-Za-z0-9]"","""")&amp;""-""&amp;Regexreplace(to_text(F2994),""[^A-Za-z0-9]"",""""))"),"KAMSTRUP-MULTICAL603")</f>
        <v>KAMSTRUP-MULTICAL603</v>
      </c>
    </row>
    <row r="2995" ht="30.0" customHeight="1">
      <c r="A2995" s="258"/>
      <c r="B2995" s="328" t="s">
        <v>670</v>
      </c>
      <c r="C2995" s="257" t="s">
        <v>9322</v>
      </c>
      <c r="D2995" s="173" t="s">
        <v>9322</v>
      </c>
      <c r="E2995" s="174" t="s">
        <v>9296</v>
      </c>
      <c r="F2995" s="173" t="s">
        <v>9297</v>
      </c>
      <c r="G2995" s="328" t="s">
        <v>673</v>
      </c>
      <c r="H2995" s="328" t="s">
        <v>2863</v>
      </c>
      <c r="I2995" s="258" t="s">
        <v>9298</v>
      </c>
      <c r="J2995" s="259" t="s">
        <v>846</v>
      </c>
      <c r="K2995" s="260" t="s">
        <v>867</v>
      </c>
      <c r="L2995" s="366"/>
      <c r="M2995" s="329"/>
      <c r="N2995" s="173" t="s">
        <v>679</v>
      </c>
      <c r="O2995" s="173" t="s">
        <v>225</v>
      </c>
      <c r="P2995" s="262" t="str">
        <f t="shared" si="1"/>
        <v>IN-BLR-ANANTA-HM-213_1</v>
      </c>
      <c r="Q2995" s="173" t="s">
        <v>9323</v>
      </c>
      <c r="R2995" s="328" t="str">
        <f>IFS(C2995="","",C2995="n/a","N/A",LEN(C2995),Concatenate("{",char(34),"asset",char(34),":{",char(34),"guid",char(34),":",char(34),Q2995,char(34),",",char(34),"site",char(34),":",char(34),LOWER('2-Building'!$B$4),char(34),",",char(34),"name",char(34),":",char(34),LOWER(C2995),char(34),"}}"))</f>
        <v>{"asset":{"guid":"uuid://42001688-4bd1-411e-8ce6-b5c6b2915102","site":"in-blr-ananta","name":"hm-213"}}</v>
      </c>
      <c r="S2995" s="366" t="s">
        <v>2866</v>
      </c>
      <c r="T2995" s="330"/>
      <c r="U2995" s="330"/>
      <c r="V2995" s="331"/>
      <c r="W2995" s="332"/>
      <c r="X2995" s="333"/>
      <c r="Y2995" s="33" t="s">
        <v>8076</v>
      </c>
      <c r="Z2995" s="368"/>
      <c r="AA2995" s="333"/>
      <c r="AB2995" s="258">
        <v>1.0</v>
      </c>
      <c r="AC2995" s="333"/>
      <c r="AD2995" s="329"/>
      <c r="AE2995" s="331"/>
      <c r="AF2995" s="336"/>
      <c r="AG2995" s="337"/>
      <c r="AH2995" s="333"/>
      <c r="AI2995" s="333"/>
      <c r="AJ2995" s="333"/>
      <c r="AK2995" s="333"/>
      <c r="AL2995" s="333"/>
      <c r="AM2995" s="338"/>
      <c r="AN2995" s="333"/>
      <c r="AO2995" s="333"/>
      <c r="AP2995" s="333"/>
      <c r="AQ2995" s="333"/>
      <c r="AR2995" s="333"/>
      <c r="AS2995" s="333"/>
      <c r="AT2995" s="333"/>
      <c r="AU2995" s="329"/>
      <c r="AV2995" s="341"/>
      <c r="AW2995" s="269"/>
      <c r="AX2995" s="269" t="s">
        <v>2869</v>
      </c>
      <c r="AY2995" s="270" t="s">
        <v>695</v>
      </c>
      <c r="AZ2995" s="379"/>
      <c r="BA2995" s="173">
        <v>10.0</v>
      </c>
      <c r="BB2995" s="341"/>
      <c r="BC2995" s="341"/>
      <c r="BD2995" s="308" t="s">
        <v>1844</v>
      </c>
      <c r="BE2995" s="364"/>
      <c r="BF2995" s="274" t="str">
        <f>IFERROR(__xludf.DUMMYFUNCTION("LOWER(Regexreplace(to_text(E2995),""[^A-Za-z0-9]"","""")&amp;""_""&amp;Regexreplace(to_text(F2995),""[^A-Za-z0-9]"",""""))"),"kamstrup_multical603")</f>
        <v>kamstrup_multical603</v>
      </c>
      <c r="BG2995" s="275" t="str">
        <f>IFERROR(__xludf.DUMMYFUNCTION("upper(Regexreplace(to_text(E2995),""[^A-Za-z0-9]"","""")&amp;""-""&amp;Regexreplace(to_text(F2995),""[^A-Za-z0-9]"",""""))"),"KAMSTRUP-MULTICAL603")</f>
        <v>KAMSTRUP-MULTICAL603</v>
      </c>
    </row>
    <row r="2996" ht="30.0" customHeight="1">
      <c r="A2996" s="258"/>
      <c r="B2996" s="328" t="s">
        <v>670</v>
      </c>
      <c r="C2996" s="257" t="s">
        <v>9324</v>
      </c>
      <c r="D2996" s="173" t="s">
        <v>9324</v>
      </c>
      <c r="E2996" s="174" t="s">
        <v>9296</v>
      </c>
      <c r="F2996" s="173" t="s">
        <v>9297</v>
      </c>
      <c r="G2996" s="328" t="s">
        <v>673</v>
      </c>
      <c r="H2996" s="328" t="s">
        <v>2863</v>
      </c>
      <c r="I2996" s="258" t="s">
        <v>9298</v>
      </c>
      <c r="J2996" s="259" t="s">
        <v>902</v>
      </c>
      <c r="K2996" s="260">
        <v>219.0</v>
      </c>
      <c r="L2996" s="366"/>
      <c r="M2996" s="329"/>
      <c r="N2996" s="173" t="s">
        <v>679</v>
      </c>
      <c r="O2996" s="173" t="s">
        <v>225</v>
      </c>
      <c r="P2996" s="262" t="str">
        <f t="shared" si="1"/>
        <v>IN-BLR-ANANTA-HM-214_2</v>
      </c>
      <c r="Q2996" s="173" t="s">
        <v>9325</v>
      </c>
      <c r="R2996" s="328" t="str">
        <f>IFS(C2996="","",C2996="n/a","N/A",LEN(C2996),Concatenate("{",char(34),"asset",char(34),":{",char(34),"guid",char(34),":",char(34),Q2996,char(34),",",char(34),"site",char(34),":",char(34),LOWER('2-Building'!$B$4),char(34),",",char(34),"name",char(34),":",char(34),LOWER(C2996),char(34),"}}"))</f>
        <v>{"asset":{"guid":"uuid://fefb758b-5717-420e-a514-60c0f2a7bebc","site":"in-blr-ananta","name":"hm-214"}}</v>
      </c>
      <c r="S2996" s="366" t="s">
        <v>2866</v>
      </c>
      <c r="T2996" s="330"/>
      <c r="U2996" s="330"/>
      <c r="V2996" s="331"/>
      <c r="W2996" s="332"/>
      <c r="X2996" s="333"/>
      <c r="Y2996" s="33" t="s">
        <v>8076</v>
      </c>
      <c r="Z2996" s="368"/>
      <c r="AA2996" s="333"/>
      <c r="AB2996" s="258">
        <v>2.0</v>
      </c>
      <c r="AC2996" s="333"/>
      <c r="AD2996" s="329"/>
      <c r="AE2996" s="331"/>
      <c r="AF2996" s="336"/>
      <c r="AG2996" s="337"/>
      <c r="AH2996" s="333"/>
      <c r="AI2996" s="333"/>
      <c r="AJ2996" s="333"/>
      <c r="AK2996" s="333"/>
      <c r="AL2996" s="333"/>
      <c r="AM2996" s="338"/>
      <c r="AN2996" s="333"/>
      <c r="AO2996" s="333"/>
      <c r="AP2996" s="333"/>
      <c r="AQ2996" s="333"/>
      <c r="AR2996" s="333"/>
      <c r="AS2996" s="333"/>
      <c r="AT2996" s="333"/>
      <c r="AU2996" s="329"/>
      <c r="AV2996" s="341"/>
      <c r="AW2996" s="269"/>
      <c r="AX2996" s="269" t="s">
        <v>2869</v>
      </c>
      <c r="AY2996" s="270" t="s">
        <v>695</v>
      </c>
      <c r="AZ2996" s="379"/>
      <c r="BA2996" s="173">
        <v>10.0</v>
      </c>
      <c r="BB2996" s="341"/>
      <c r="BC2996" s="341"/>
      <c r="BD2996" s="308" t="s">
        <v>1844</v>
      </c>
      <c r="BE2996" s="364"/>
      <c r="BF2996" s="274" t="str">
        <f>IFERROR(__xludf.DUMMYFUNCTION("LOWER(Regexreplace(to_text(E2996),""[^A-Za-z0-9]"","""")&amp;""_""&amp;Regexreplace(to_text(F2996),""[^A-Za-z0-9]"",""""))"),"kamstrup_multical603")</f>
        <v>kamstrup_multical603</v>
      </c>
      <c r="BG2996" s="275" t="str">
        <f>IFERROR(__xludf.DUMMYFUNCTION("upper(Regexreplace(to_text(E2996),""[^A-Za-z0-9]"","""")&amp;""-""&amp;Regexreplace(to_text(F2996),""[^A-Za-z0-9]"",""""))"),"KAMSTRUP-MULTICAL603")</f>
        <v>KAMSTRUP-MULTICAL603</v>
      </c>
    </row>
    <row r="2997" ht="30.0" customHeight="1">
      <c r="A2997" s="258"/>
      <c r="B2997" s="328" t="s">
        <v>670</v>
      </c>
      <c r="C2997" s="257" t="s">
        <v>9326</v>
      </c>
      <c r="D2997" s="173" t="s">
        <v>9326</v>
      </c>
      <c r="E2997" s="174" t="s">
        <v>9296</v>
      </c>
      <c r="F2997" s="173" t="s">
        <v>9297</v>
      </c>
      <c r="G2997" s="328" t="s">
        <v>673</v>
      </c>
      <c r="H2997" s="328" t="s">
        <v>2863</v>
      </c>
      <c r="I2997" s="258" t="s">
        <v>9298</v>
      </c>
      <c r="J2997" s="259" t="s">
        <v>965</v>
      </c>
      <c r="K2997" s="260">
        <v>319.0</v>
      </c>
      <c r="L2997" s="366"/>
      <c r="M2997" s="329"/>
      <c r="N2997" s="173" t="s">
        <v>679</v>
      </c>
      <c r="O2997" s="173" t="s">
        <v>225</v>
      </c>
      <c r="P2997" s="262" t="str">
        <f t="shared" si="1"/>
        <v>IN-BLR-ANANTA-HM-215_3</v>
      </c>
      <c r="Q2997" s="173" t="s">
        <v>9327</v>
      </c>
      <c r="R2997" s="328" t="str">
        <f>IFS(C2997="","",C2997="n/a","N/A",LEN(C2997),Concatenate("{",char(34),"asset",char(34),":{",char(34),"guid",char(34),":",char(34),Q2997,char(34),",",char(34),"site",char(34),":",char(34),LOWER('2-Building'!$B$4),char(34),",",char(34),"name",char(34),":",char(34),LOWER(C2997),char(34),"}}"))</f>
        <v>{"asset":{"guid":"uuid://cd4b5128-c50b-48a0-8893-a7db8517fd7f","site":"in-blr-ananta","name":"hm-215"}}</v>
      </c>
      <c r="S2997" s="366" t="s">
        <v>2866</v>
      </c>
      <c r="T2997" s="330"/>
      <c r="U2997" s="330"/>
      <c r="V2997" s="331"/>
      <c r="W2997" s="332"/>
      <c r="X2997" s="333"/>
      <c r="Y2997" s="33" t="s">
        <v>8076</v>
      </c>
      <c r="Z2997" s="368"/>
      <c r="AA2997" s="333"/>
      <c r="AB2997" s="258">
        <v>3.0</v>
      </c>
      <c r="AC2997" s="333"/>
      <c r="AD2997" s="329"/>
      <c r="AE2997" s="331"/>
      <c r="AF2997" s="336"/>
      <c r="AG2997" s="337"/>
      <c r="AH2997" s="333"/>
      <c r="AI2997" s="333"/>
      <c r="AJ2997" s="333"/>
      <c r="AK2997" s="333"/>
      <c r="AL2997" s="333"/>
      <c r="AM2997" s="338"/>
      <c r="AN2997" s="333"/>
      <c r="AO2997" s="333"/>
      <c r="AP2997" s="333"/>
      <c r="AQ2997" s="333"/>
      <c r="AR2997" s="333"/>
      <c r="AS2997" s="333"/>
      <c r="AT2997" s="333"/>
      <c r="AU2997" s="329"/>
      <c r="AV2997" s="341"/>
      <c r="AW2997" s="269"/>
      <c r="AX2997" s="269" t="s">
        <v>2869</v>
      </c>
      <c r="AY2997" s="270" t="s">
        <v>695</v>
      </c>
      <c r="AZ2997" s="379"/>
      <c r="BA2997" s="173">
        <v>10.0</v>
      </c>
      <c r="BB2997" s="341"/>
      <c r="BC2997" s="341"/>
      <c r="BD2997" s="308" t="s">
        <v>1844</v>
      </c>
      <c r="BE2997" s="364"/>
      <c r="BF2997" s="274" t="str">
        <f>IFERROR(__xludf.DUMMYFUNCTION("LOWER(Regexreplace(to_text(E2997),""[^A-Za-z0-9]"","""")&amp;""_""&amp;Regexreplace(to_text(F2997),""[^A-Za-z0-9]"",""""))"),"kamstrup_multical603")</f>
        <v>kamstrup_multical603</v>
      </c>
      <c r="BG2997" s="275" t="str">
        <f>IFERROR(__xludf.DUMMYFUNCTION("upper(Regexreplace(to_text(E2997),""[^A-Za-z0-9]"","""")&amp;""-""&amp;Regexreplace(to_text(F2997),""[^A-Za-z0-9]"",""""))"),"KAMSTRUP-MULTICAL603")</f>
        <v>KAMSTRUP-MULTICAL603</v>
      </c>
    </row>
    <row r="2998" ht="30.0" customHeight="1">
      <c r="A2998" s="258"/>
      <c r="B2998" s="328" t="s">
        <v>670</v>
      </c>
      <c r="C2998" s="257" t="s">
        <v>9328</v>
      </c>
      <c r="D2998" s="173" t="s">
        <v>9328</v>
      </c>
      <c r="E2998" s="174" t="s">
        <v>9296</v>
      </c>
      <c r="F2998" s="173" t="s">
        <v>9297</v>
      </c>
      <c r="G2998" s="328" t="s">
        <v>673</v>
      </c>
      <c r="H2998" s="328" t="s">
        <v>2863</v>
      </c>
      <c r="I2998" s="258" t="s">
        <v>9298</v>
      </c>
      <c r="J2998" s="259" t="s">
        <v>1026</v>
      </c>
      <c r="K2998" s="260">
        <v>419.0</v>
      </c>
      <c r="L2998" s="366"/>
      <c r="M2998" s="329"/>
      <c r="N2998" s="173" t="s">
        <v>679</v>
      </c>
      <c r="O2998" s="173" t="s">
        <v>225</v>
      </c>
      <c r="P2998" s="262" t="str">
        <f t="shared" si="1"/>
        <v>IN-BLR-ANANTA-HM-216_4</v>
      </c>
      <c r="Q2998" s="173" t="s">
        <v>9329</v>
      </c>
      <c r="R2998" s="328" t="str">
        <f>IFS(C2998="","",C2998="n/a","N/A",LEN(C2998),Concatenate("{",char(34),"asset",char(34),":{",char(34),"guid",char(34),":",char(34),Q2998,char(34),",",char(34),"site",char(34),":",char(34),LOWER('2-Building'!$B$4),char(34),",",char(34),"name",char(34),":",char(34),LOWER(C2998),char(34),"}}"))</f>
        <v>{"asset":{"guid":"uuid://cdb30245-c459-4427-b3ba-4d445166ae70","site":"in-blr-ananta","name":"hm-216"}}</v>
      </c>
      <c r="S2998" s="366" t="s">
        <v>2866</v>
      </c>
      <c r="T2998" s="330"/>
      <c r="U2998" s="330"/>
      <c r="V2998" s="331"/>
      <c r="W2998" s="332"/>
      <c r="X2998" s="333"/>
      <c r="Y2998" s="33" t="s">
        <v>8076</v>
      </c>
      <c r="Z2998" s="368"/>
      <c r="AA2998" s="333"/>
      <c r="AB2998" s="258">
        <v>4.0</v>
      </c>
      <c r="AC2998" s="333"/>
      <c r="AD2998" s="329"/>
      <c r="AE2998" s="331"/>
      <c r="AF2998" s="336"/>
      <c r="AG2998" s="337"/>
      <c r="AH2998" s="333"/>
      <c r="AI2998" s="333"/>
      <c r="AJ2998" s="333"/>
      <c r="AK2998" s="333"/>
      <c r="AL2998" s="333"/>
      <c r="AM2998" s="338"/>
      <c r="AN2998" s="333"/>
      <c r="AO2998" s="333"/>
      <c r="AP2998" s="333"/>
      <c r="AQ2998" s="333"/>
      <c r="AR2998" s="333"/>
      <c r="AS2998" s="333"/>
      <c r="AT2998" s="333"/>
      <c r="AU2998" s="329"/>
      <c r="AV2998" s="341"/>
      <c r="AW2998" s="269"/>
      <c r="AX2998" s="269" t="s">
        <v>2869</v>
      </c>
      <c r="AY2998" s="270" t="s">
        <v>695</v>
      </c>
      <c r="AZ2998" s="379"/>
      <c r="BA2998" s="173">
        <v>10.0</v>
      </c>
      <c r="BB2998" s="341"/>
      <c r="BC2998" s="341"/>
      <c r="BD2998" s="308" t="s">
        <v>1844</v>
      </c>
      <c r="BE2998" s="364"/>
      <c r="BF2998" s="274" t="str">
        <f>IFERROR(__xludf.DUMMYFUNCTION("LOWER(Regexreplace(to_text(E2998),""[^A-Za-z0-9]"","""")&amp;""_""&amp;Regexreplace(to_text(F2998),""[^A-Za-z0-9]"",""""))"),"kamstrup_multical603")</f>
        <v>kamstrup_multical603</v>
      </c>
      <c r="BG2998" s="275" t="str">
        <f>IFERROR(__xludf.DUMMYFUNCTION("upper(Regexreplace(to_text(E2998),""[^A-Za-z0-9]"","""")&amp;""-""&amp;Regexreplace(to_text(F2998),""[^A-Za-z0-9]"",""""))"),"KAMSTRUP-MULTICAL603")</f>
        <v>KAMSTRUP-MULTICAL603</v>
      </c>
    </row>
    <row r="2999" ht="30.0" customHeight="1">
      <c r="A2999" s="258"/>
      <c r="B2999" s="328" t="s">
        <v>670</v>
      </c>
      <c r="C2999" s="257" t="s">
        <v>9330</v>
      </c>
      <c r="D2999" s="173" t="s">
        <v>9330</v>
      </c>
      <c r="E2999" s="174" t="s">
        <v>9296</v>
      </c>
      <c r="F2999" s="173" t="s">
        <v>9297</v>
      </c>
      <c r="G2999" s="328" t="s">
        <v>673</v>
      </c>
      <c r="H2999" s="328" t="s">
        <v>2863</v>
      </c>
      <c r="I2999" s="258" t="s">
        <v>9298</v>
      </c>
      <c r="J2999" s="259" t="s">
        <v>1088</v>
      </c>
      <c r="K2999" s="260">
        <v>519.0</v>
      </c>
      <c r="L2999" s="366"/>
      <c r="M2999" s="329"/>
      <c r="N2999" s="173" t="s">
        <v>679</v>
      </c>
      <c r="O2999" s="173" t="s">
        <v>225</v>
      </c>
      <c r="P2999" s="262" t="str">
        <f t="shared" si="1"/>
        <v>IN-BLR-ANANTA-HM-217_5</v>
      </c>
      <c r="Q2999" s="173" t="s">
        <v>9331</v>
      </c>
      <c r="R2999" s="328" t="str">
        <f>IFS(C2999="","",C2999="n/a","N/A",LEN(C2999),Concatenate("{",char(34),"asset",char(34),":{",char(34),"guid",char(34),":",char(34),Q2999,char(34),",",char(34),"site",char(34),":",char(34),LOWER('2-Building'!$B$4),char(34),",",char(34),"name",char(34),":",char(34),LOWER(C2999),char(34),"}}"))</f>
        <v>{"asset":{"guid":"uuid://d38539fb-f1a1-4d38-bbed-67eb86b0e3c3","site":"in-blr-ananta","name":"hm-217"}}</v>
      </c>
      <c r="S2999" s="366" t="s">
        <v>2866</v>
      </c>
      <c r="T2999" s="330"/>
      <c r="U2999" s="330"/>
      <c r="V2999" s="331"/>
      <c r="W2999" s="332"/>
      <c r="X2999" s="333"/>
      <c r="Y2999" s="33" t="s">
        <v>8076</v>
      </c>
      <c r="Z2999" s="368"/>
      <c r="AA2999" s="333"/>
      <c r="AB2999" s="258">
        <v>5.0</v>
      </c>
      <c r="AC2999" s="333"/>
      <c r="AD2999" s="329"/>
      <c r="AE2999" s="331"/>
      <c r="AF2999" s="336"/>
      <c r="AG2999" s="337"/>
      <c r="AH2999" s="333"/>
      <c r="AI2999" s="333"/>
      <c r="AJ2999" s="333"/>
      <c r="AK2999" s="333"/>
      <c r="AL2999" s="333"/>
      <c r="AM2999" s="338"/>
      <c r="AN2999" s="333"/>
      <c r="AO2999" s="333"/>
      <c r="AP2999" s="333"/>
      <c r="AQ2999" s="333"/>
      <c r="AR2999" s="333"/>
      <c r="AS2999" s="333"/>
      <c r="AT2999" s="333"/>
      <c r="AU2999" s="329"/>
      <c r="AV2999" s="341"/>
      <c r="AW2999" s="269"/>
      <c r="AX2999" s="269" t="s">
        <v>2869</v>
      </c>
      <c r="AY2999" s="270" t="s">
        <v>695</v>
      </c>
      <c r="AZ2999" s="379"/>
      <c r="BA2999" s="173">
        <v>10.0</v>
      </c>
      <c r="BB2999" s="341"/>
      <c r="BC2999" s="341"/>
      <c r="BD2999" s="308" t="s">
        <v>1844</v>
      </c>
      <c r="BE2999" s="364"/>
      <c r="BF2999" s="274" t="str">
        <f>IFERROR(__xludf.DUMMYFUNCTION("LOWER(Regexreplace(to_text(E2999),""[^A-Za-z0-9]"","""")&amp;""_""&amp;Regexreplace(to_text(F2999),""[^A-Za-z0-9]"",""""))"),"kamstrup_multical603")</f>
        <v>kamstrup_multical603</v>
      </c>
      <c r="BG2999" s="275" t="str">
        <f>IFERROR(__xludf.DUMMYFUNCTION("upper(Regexreplace(to_text(E2999),""[^A-Za-z0-9]"","""")&amp;""-""&amp;Regexreplace(to_text(F2999),""[^A-Za-z0-9]"",""""))"),"KAMSTRUP-MULTICAL603")</f>
        <v>KAMSTRUP-MULTICAL603</v>
      </c>
    </row>
    <row r="3000" ht="30.0" customHeight="1">
      <c r="A3000" s="258"/>
      <c r="B3000" s="328" t="s">
        <v>670</v>
      </c>
      <c r="C3000" s="257" t="s">
        <v>9332</v>
      </c>
      <c r="D3000" s="173" t="s">
        <v>9332</v>
      </c>
      <c r="E3000" s="174" t="s">
        <v>9296</v>
      </c>
      <c r="F3000" s="173" t="s">
        <v>9297</v>
      </c>
      <c r="G3000" s="328" t="s">
        <v>673</v>
      </c>
      <c r="H3000" s="328" t="s">
        <v>2863</v>
      </c>
      <c r="I3000" s="258" t="s">
        <v>9298</v>
      </c>
      <c r="J3000" s="259" t="s">
        <v>1149</v>
      </c>
      <c r="K3000" s="260">
        <v>619.0</v>
      </c>
      <c r="L3000" s="366"/>
      <c r="M3000" s="329"/>
      <c r="N3000" s="173" t="s">
        <v>679</v>
      </c>
      <c r="O3000" s="173" t="s">
        <v>225</v>
      </c>
      <c r="P3000" s="262" t="str">
        <f t="shared" si="1"/>
        <v>IN-BLR-ANANTA-HM-218_6</v>
      </c>
      <c r="Q3000" s="173" t="s">
        <v>9333</v>
      </c>
      <c r="R3000" s="328" t="str">
        <f>IFS(C3000="","",C3000="n/a","N/A",LEN(C3000),Concatenate("{",char(34),"asset",char(34),":{",char(34),"guid",char(34),":",char(34),Q3000,char(34),",",char(34),"site",char(34),":",char(34),LOWER('2-Building'!$B$4),char(34),",",char(34),"name",char(34),":",char(34),LOWER(C3000),char(34),"}}"))</f>
        <v>{"asset":{"guid":"uuid://12fac86d-8f80-4478-a50b-dd94afeced40","site":"in-blr-ananta","name":"hm-218"}}</v>
      </c>
      <c r="S3000" s="366" t="s">
        <v>2866</v>
      </c>
      <c r="T3000" s="330"/>
      <c r="U3000" s="330"/>
      <c r="V3000" s="331"/>
      <c r="W3000" s="332"/>
      <c r="X3000" s="333"/>
      <c r="Y3000" s="33" t="s">
        <v>8076</v>
      </c>
      <c r="Z3000" s="368"/>
      <c r="AA3000" s="333"/>
      <c r="AB3000" s="258">
        <v>6.0</v>
      </c>
      <c r="AC3000" s="333"/>
      <c r="AD3000" s="329"/>
      <c r="AE3000" s="331"/>
      <c r="AF3000" s="336"/>
      <c r="AG3000" s="337"/>
      <c r="AH3000" s="333"/>
      <c r="AI3000" s="333"/>
      <c r="AJ3000" s="333"/>
      <c r="AK3000" s="333"/>
      <c r="AL3000" s="333"/>
      <c r="AM3000" s="338"/>
      <c r="AN3000" s="333"/>
      <c r="AO3000" s="333"/>
      <c r="AP3000" s="333"/>
      <c r="AQ3000" s="333"/>
      <c r="AR3000" s="333"/>
      <c r="AS3000" s="333"/>
      <c r="AT3000" s="333"/>
      <c r="AU3000" s="329"/>
      <c r="AV3000" s="341"/>
      <c r="AW3000" s="269"/>
      <c r="AX3000" s="269" t="s">
        <v>2869</v>
      </c>
      <c r="AY3000" s="270" t="s">
        <v>695</v>
      </c>
      <c r="AZ3000" s="379"/>
      <c r="BA3000" s="173">
        <v>10.0</v>
      </c>
      <c r="BB3000" s="341"/>
      <c r="BC3000" s="341"/>
      <c r="BD3000" s="308" t="s">
        <v>1844</v>
      </c>
      <c r="BE3000" s="364"/>
      <c r="BF3000" s="274" t="str">
        <f>IFERROR(__xludf.DUMMYFUNCTION("LOWER(Regexreplace(to_text(E3000),""[^A-Za-z0-9]"","""")&amp;""_""&amp;Regexreplace(to_text(F3000),""[^A-Za-z0-9]"",""""))"),"kamstrup_multical603")</f>
        <v>kamstrup_multical603</v>
      </c>
      <c r="BG3000" s="275" t="str">
        <f>IFERROR(__xludf.DUMMYFUNCTION("upper(Regexreplace(to_text(E3000),""[^A-Za-z0-9]"","""")&amp;""-""&amp;Regexreplace(to_text(F3000),""[^A-Za-z0-9]"",""""))"),"KAMSTRUP-MULTICAL603")</f>
        <v>KAMSTRUP-MULTICAL603</v>
      </c>
    </row>
    <row r="3001" ht="30.0" customHeight="1">
      <c r="A3001" s="258"/>
      <c r="B3001" s="328" t="s">
        <v>670</v>
      </c>
      <c r="C3001" s="257" t="s">
        <v>9334</v>
      </c>
      <c r="D3001" s="173" t="s">
        <v>9334</v>
      </c>
      <c r="E3001" s="174" t="s">
        <v>9296</v>
      </c>
      <c r="F3001" s="173" t="s">
        <v>9297</v>
      </c>
      <c r="G3001" s="328" t="s">
        <v>673</v>
      </c>
      <c r="H3001" s="328" t="s">
        <v>2863</v>
      </c>
      <c r="I3001" s="258" t="s">
        <v>9298</v>
      </c>
      <c r="J3001" s="259" t="s">
        <v>1211</v>
      </c>
      <c r="K3001" s="260">
        <v>719.0</v>
      </c>
      <c r="L3001" s="366"/>
      <c r="M3001" s="329"/>
      <c r="N3001" s="173" t="s">
        <v>679</v>
      </c>
      <c r="O3001" s="173" t="s">
        <v>225</v>
      </c>
      <c r="P3001" s="262" t="str">
        <f t="shared" si="1"/>
        <v>IN-BLR-ANANTA-HM-219_7</v>
      </c>
      <c r="Q3001" s="173" t="s">
        <v>9335</v>
      </c>
      <c r="R3001" s="328" t="str">
        <f>IFS(C3001="","",C3001="n/a","N/A",LEN(C3001),Concatenate("{",char(34),"asset",char(34),":{",char(34),"guid",char(34),":",char(34),Q3001,char(34),",",char(34),"site",char(34),":",char(34),LOWER('2-Building'!$B$4),char(34),",",char(34),"name",char(34),":",char(34),LOWER(C3001),char(34),"}}"))</f>
        <v>{"asset":{"guid":"uuid://9bf9e16f-17f9-4f19-822a-1f6b2978a00c","site":"in-blr-ananta","name":"hm-219"}}</v>
      </c>
      <c r="S3001" s="366" t="s">
        <v>2866</v>
      </c>
      <c r="T3001" s="330"/>
      <c r="U3001" s="330"/>
      <c r="V3001" s="331"/>
      <c r="W3001" s="332"/>
      <c r="X3001" s="333"/>
      <c r="Y3001" s="33" t="s">
        <v>8076</v>
      </c>
      <c r="Z3001" s="368"/>
      <c r="AA3001" s="333"/>
      <c r="AB3001" s="258">
        <v>7.0</v>
      </c>
      <c r="AC3001" s="333"/>
      <c r="AD3001" s="329"/>
      <c r="AE3001" s="331"/>
      <c r="AF3001" s="336"/>
      <c r="AG3001" s="337"/>
      <c r="AH3001" s="333"/>
      <c r="AI3001" s="333"/>
      <c r="AJ3001" s="333"/>
      <c r="AK3001" s="333"/>
      <c r="AL3001" s="333"/>
      <c r="AM3001" s="338"/>
      <c r="AN3001" s="333"/>
      <c r="AO3001" s="333"/>
      <c r="AP3001" s="333"/>
      <c r="AQ3001" s="333"/>
      <c r="AR3001" s="333"/>
      <c r="AS3001" s="333"/>
      <c r="AT3001" s="333"/>
      <c r="AU3001" s="329"/>
      <c r="AV3001" s="341"/>
      <c r="AW3001" s="269"/>
      <c r="AX3001" s="269" t="s">
        <v>2869</v>
      </c>
      <c r="AY3001" s="270" t="s">
        <v>695</v>
      </c>
      <c r="AZ3001" s="379"/>
      <c r="BA3001" s="173">
        <v>10.0</v>
      </c>
      <c r="BB3001" s="341"/>
      <c r="BC3001" s="341"/>
      <c r="BD3001" s="308" t="s">
        <v>1844</v>
      </c>
      <c r="BE3001" s="364"/>
      <c r="BF3001" s="274" t="str">
        <f>IFERROR(__xludf.DUMMYFUNCTION("LOWER(Regexreplace(to_text(E3001),""[^A-Za-z0-9]"","""")&amp;""_""&amp;Regexreplace(to_text(F3001),""[^A-Za-z0-9]"",""""))"),"kamstrup_multical603")</f>
        <v>kamstrup_multical603</v>
      </c>
      <c r="BG3001" s="275" t="str">
        <f>IFERROR(__xludf.DUMMYFUNCTION("upper(Regexreplace(to_text(E3001),""[^A-Za-z0-9]"","""")&amp;""-""&amp;Regexreplace(to_text(F3001),""[^A-Za-z0-9]"",""""))"),"KAMSTRUP-MULTICAL603")</f>
        <v>KAMSTRUP-MULTICAL603</v>
      </c>
    </row>
    <row r="3002" ht="30.0" customHeight="1">
      <c r="A3002" s="258"/>
      <c r="B3002" s="328" t="s">
        <v>670</v>
      </c>
      <c r="C3002" s="257" t="s">
        <v>9336</v>
      </c>
      <c r="D3002" s="173" t="s">
        <v>9336</v>
      </c>
      <c r="E3002" s="174" t="s">
        <v>9296</v>
      </c>
      <c r="F3002" s="173" t="s">
        <v>9297</v>
      </c>
      <c r="G3002" s="328" t="s">
        <v>673</v>
      </c>
      <c r="H3002" s="328" t="s">
        <v>2863</v>
      </c>
      <c r="I3002" s="258" t="s">
        <v>9298</v>
      </c>
      <c r="J3002" s="259" t="s">
        <v>1272</v>
      </c>
      <c r="K3002" s="260">
        <v>819.0</v>
      </c>
      <c r="L3002" s="366"/>
      <c r="M3002" s="329"/>
      <c r="N3002" s="173" t="s">
        <v>679</v>
      </c>
      <c r="O3002" s="173" t="s">
        <v>225</v>
      </c>
      <c r="P3002" s="262" t="str">
        <f t="shared" si="1"/>
        <v>IN-BLR-ANANTA-HM-220_8</v>
      </c>
      <c r="Q3002" s="173" t="s">
        <v>9337</v>
      </c>
      <c r="R3002" s="328" t="str">
        <f>IFS(C3002="","",C3002="n/a","N/A",LEN(C3002),Concatenate("{",char(34),"asset",char(34),":{",char(34),"guid",char(34),":",char(34),Q3002,char(34),",",char(34),"site",char(34),":",char(34),LOWER('2-Building'!$B$4),char(34),",",char(34),"name",char(34),":",char(34),LOWER(C3002),char(34),"}}"))</f>
        <v>{"asset":{"guid":"uuid://9daa67cf-aa99-4af1-9781-57997a53f733","site":"in-blr-ananta","name":"hm-220"}}</v>
      </c>
      <c r="S3002" s="366" t="s">
        <v>2866</v>
      </c>
      <c r="T3002" s="330"/>
      <c r="U3002" s="330"/>
      <c r="V3002" s="331"/>
      <c r="W3002" s="332"/>
      <c r="X3002" s="333"/>
      <c r="Y3002" s="33" t="s">
        <v>8076</v>
      </c>
      <c r="Z3002" s="368"/>
      <c r="AA3002" s="333"/>
      <c r="AB3002" s="258">
        <v>8.0</v>
      </c>
      <c r="AC3002" s="333"/>
      <c r="AD3002" s="329"/>
      <c r="AE3002" s="331"/>
      <c r="AF3002" s="336"/>
      <c r="AG3002" s="337"/>
      <c r="AH3002" s="333"/>
      <c r="AI3002" s="333"/>
      <c r="AJ3002" s="333"/>
      <c r="AK3002" s="333"/>
      <c r="AL3002" s="333"/>
      <c r="AM3002" s="338"/>
      <c r="AN3002" s="333"/>
      <c r="AO3002" s="333"/>
      <c r="AP3002" s="333"/>
      <c r="AQ3002" s="333"/>
      <c r="AR3002" s="333"/>
      <c r="AS3002" s="333"/>
      <c r="AT3002" s="333"/>
      <c r="AU3002" s="329"/>
      <c r="AV3002" s="341"/>
      <c r="AW3002" s="269"/>
      <c r="AX3002" s="269" t="s">
        <v>2869</v>
      </c>
      <c r="AY3002" s="270" t="s">
        <v>695</v>
      </c>
      <c r="AZ3002" s="379"/>
      <c r="BA3002" s="173">
        <v>10.0</v>
      </c>
      <c r="BB3002" s="341"/>
      <c r="BC3002" s="341"/>
      <c r="BD3002" s="308" t="s">
        <v>1844</v>
      </c>
      <c r="BE3002" s="364"/>
      <c r="BF3002" s="274" t="str">
        <f>IFERROR(__xludf.DUMMYFUNCTION("LOWER(Regexreplace(to_text(E3002),""[^A-Za-z0-9]"","""")&amp;""_""&amp;Regexreplace(to_text(F3002),""[^A-Za-z0-9]"",""""))"),"kamstrup_multical603")</f>
        <v>kamstrup_multical603</v>
      </c>
      <c r="BG3002" s="275" t="str">
        <f>IFERROR(__xludf.DUMMYFUNCTION("upper(Regexreplace(to_text(E3002),""[^A-Za-z0-9]"","""")&amp;""-""&amp;Regexreplace(to_text(F3002),""[^A-Za-z0-9]"",""""))"),"KAMSTRUP-MULTICAL603")</f>
        <v>KAMSTRUP-MULTICAL603</v>
      </c>
    </row>
    <row r="3003" ht="30.0" customHeight="1">
      <c r="A3003" s="258"/>
      <c r="B3003" s="328" t="s">
        <v>670</v>
      </c>
      <c r="C3003" s="257" t="s">
        <v>9338</v>
      </c>
      <c r="D3003" s="173" t="s">
        <v>9338</v>
      </c>
      <c r="E3003" s="174" t="s">
        <v>9296</v>
      </c>
      <c r="F3003" s="173" t="s">
        <v>9297</v>
      </c>
      <c r="G3003" s="328" t="s">
        <v>673</v>
      </c>
      <c r="H3003" s="328" t="s">
        <v>2863</v>
      </c>
      <c r="I3003" s="258" t="s">
        <v>9298</v>
      </c>
      <c r="J3003" s="259" t="s">
        <v>1333</v>
      </c>
      <c r="K3003" s="260">
        <v>919.0</v>
      </c>
      <c r="L3003" s="366"/>
      <c r="M3003" s="329"/>
      <c r="N3003" s="173" t="s">
        <v>679</v>
      </c>
      <c r="O3003" s="173" t="s">
        <v>225</v>
      </c>
      <c r="P3003" s="262" t="str">
        <f t="shared" si="1"/>
        <v>IN-BLR-ANANTA-HM-221_9</v>
      </c>
      <c r="Q3003" s="173" t="s">
        <v>9339</v>
      </c>
      <c r="R3003" s="328" t="str">
        <f>IFS(C3003="","",C3003="n/a","N/A",LEN(C3003),Concatenate("{",char(34),"asset",char(34),":{",char(34),"guid",char(34),":",char(34),Q3003,char(34),",",char(34),"site",char(34),":",char(34),LOWER('2-Building'!$B$4),char(34),",",char(34),"name",char(34),":",char(34),LOWER(C3003),char(34),"}}"))</f>
        <v>{"asset":{"guid":"uuid://896c0b7b-3e2f-47c7-bef2-98428801203d","site":"in-blr-ananta","name":"hm-221"}}</v>
      </c>
      <c r="S3003" s="366" t="s">
        <v>2866</v>
      </c>
      <c r="T3003" s="330"/>
      <c r="U3003" s="330"/>
      <c r="V3003" s="331"/>
      <c r="W3003" s="332"/>
      <c r="X3003" s="333"/>
      <c r="Y3003" s="33" t="s">
        <v>8076</v>
      </c>
      <c r="Z3003" s="368"/>
      <c r="AA3003" s="333"/>
      <c r="AB3003" s="258">
        <v>9.0</v>
      </c>
      <c r="AC3003" s="333"/>
      <c r="AD3003" s="329"/>
      <c r="AE3003" s="331"/>
      <c r="AF3003" s="336"/>
      <c r="AG3003" s="337"/>
      <c r="AH3003" s="333"/>
      <c r="AI3003" s="333"/>
      <c r="AJ3003" s="333"/>
      <c r="AK3003" s="333"/>
      <c r="AL3003" s="333"/>
      <c r="AM3003" s="338"/>
      <c r="AN3003" s="333"/>
      <c r="AO3003" s="333"/>
      <c r="AP3003" s="333"/>
      <c r="AQ3003" s="333"/>
      <c r="AR3003" s="333"/>
      <c r="AS3003" s="333"/>
      <c r="AT3003" s="333"/>
      <c r="AU3003" s="329"/>
      <c r="AV3003" s="341"/>
      <c r="AW3003" s="269"/>
      <c r="AX3003" s="269" t="s">
        <v>2869</v>
      </c>
      <c r="AY3003" s="270" t="s">
        <v>695</v>
      </c>
      <c r="AZ3003" s="379"/>
      <c r="BA3003" s="173">
        <v>10.0</v>
      </c>
      <c r="BB3003" s="341"/>
      <c r="BC3003" s="341"/>
      <c r="BD3003" s="308" t="s">
        <v>1844</v>
      </c>
      <c r="BE3003" s="364"/>
      <c r="BF3003" s="274" t="str">
        <f>IFERROR(__xludf.DUMMYFUNCTION("LOWER(Regexreplace(to_text(E3003),""[^A-Za-z0-9]"","""")&amp;""_""&amp;Regexreplace(to_text(F3003),""[^A-Za-z0-9]"",""""))"),"kamstrup_multical603")</f>
        <v>kamstrup_multical603</v>
      </c>
      <c r="BG3003" s="275" t="str">
        <f>IFERROR(__xludf.DUMMYFUNCTION("upper(Regexreplace(to_text(E3003),""[^A-Za-z0-9]"","""")&amp;""-""&amp;Regexreplace(to_text(F3003),""[^A-Za-z0-9]"",""""))"),"KAMSTRUP-MULTICAL603")</f>
        <v>KAMSTRUP-MULTICAL603</v>
      </c>
    </row>
    <row r="3004" ht="30.0" customHeight="1">
      <c r="A3004" s="258"/>
      <c r="B3004" s="328" t="s">
        <v>670</v>
      </c>
      <c r="C3004" s="257" t="s">
        <v>9340</v>
      </c>
      <c r="D3004" s="173" t="s">
        <v>9340</v>
      </c>
      <c r="E3004" s="174" t="s">
        <v>9296</v>
      </c>
      <c r="F3004" s="173" t="s">
        <v>9297</v>
      </c>
      <c r="G3004" s="328" t="s">
        <v>673</v>
      </c>
      <c r="H3004" s="328" t="s">
        <v>2863</v>
      </c>
      <c r="I3004" s="258" t="s">
        <v>9298</v>
      </c>
      <c r="J3004" s="259" t="s">
        <v>1393</v>
      </c>
      <c r="K3004" s="260" t="s">
        <v>9341</v>
      </c>
      <c r="L3004" s="366"/>
      <c r="M3004" s="329"/>
      <c r="N3004" s="173" t="s">
        <v>679</v>
      </c>
      <c r="O3004" s="173" t="s">
        <v>225</v>
      </c>
      <c r="P3004" s="262" t="str">
        <f t="shared" si="1"/>
        <v>IN-BLR-ANANTA-HM-222_10</v>
      </c>
      <c r="Q3004" s="173" t="s">
        <v>9342</v>
      </c>
      <c r="R3004" s="328" t="str">
        <f>IFS(C3004="","",C3004="n/a","N/A",LEN(C3004),Concatenate("{",char(34),"asset",char(34),":{",char(34),"guid",char(34),":",char(34),Q3004,char(34),",",char(34),"site",char(34),":",char(34),LOWER('2-Building'!$B$4),char(34),",",char(34),"name",char(34),":",char(34),LOWER(C3004),char(34),"}}"))</f>
        <v>{"asset":{"guid":"uuid://64d539b4-16a1-4481-b3cb-4aeb80f8e16f","site":"in-blr-ananta","name":"hm-222"}}</v>
      </c>
      <c r="S3004" s="366" t="s">
        <v>2866</v>
      </c>
      <c r="T3004" s="330"/>
      <c r="U3004" s="330"/>
      <c r="V3004" s="331"/>
      <c r="W3004" s="332"/>
      <c r="X3004" s="333"/>
      <c r="Y3004" s="33" t="s">
        <v>8076</v>
      </c>
      <c r="Z3004" s="368"/>
      <c r="AA3004" s="333"/>
      <c r="AB3004" s="258">
        <v>10.0</v>
      </c>
      <c r="AC3004" s="333"/>
      <c r="AD3004" s="329"/>
      <c r="AE3004" s="331"/>
      <c r="AF3004" s="336"/>
      <c r="AG3004" s="337"/>
      <c r="AH3004" s="333"/>
      <c r="AI3004" s="333"/>
      <c r="AJ3004" s="333"/>
      <c r="AK3004" s="333"/>
      <c r="AL3004" s="333"/>
      <c r="AM3004" s="338"/>
      <c r="AN3004" s="333"/>
      <c r="AO3004" s="333"/>
      <c r="AP3004" s="333"/>
      <c r="AQ3004" s="333"/>
      <c r="AR3004" s="333"/>
      <c r="AS3004" s="333"/>
      <c r="AT3004" s="333"/>
      <c r="AU3004" s="329"/>
      <c r="AV3004" s="341"/>
      <c r="AW3004" s="269"/>
      <c r="AX3004" s="269" t="s">
        <v>2869</v>
      </c>
      <c r="AY3004" s="270" t="s">
        <v>695</v>
      </c>
      <c r="AZ3004" s="379"/>
      <c r="BA3004" s="173">
        <v>10.0</v>
      </c>
      <c r="BB3004" s="341"/>
      <c r="BC3004" s="341"/>
      <c r="BD3004" s="308" t="s">
        <v>1844</v>
      </c>
      <c r="BE3004" s="364"/>
      <c r="BF3004" s="274" t="str">
        <f>IFERROR(__xludf.DUMMYFUNCTION("LOWER(Regexreplace(to_text(E3004),""[^A-Za-z0-9]"","""")&amp;""_""&amp;Regexreplace(to_text(F3004),""[^A-Za-z0-9]"",""""))"),"kamstrup_multical603")</f>
        <v>kamstrup_multical603</v>
      </c>
      <c r="BG3004" s="275" t="str">
        <f>IFERROR(__xludf.DUMMYFUNCTION("upper(Regexreplace(to_text(E3004),""[^A-Za-z0-9]"","""")&amp;""-""&amp;Regexreplace(to_text(F3004),""[^A-Za-z0-9]"",""""))"),"KAMSTRUP-MULTICAL603")</f>
        <v>KAMSTRUP-MULTICAL603</v>
      </c>
    </row>
    <row r="3005" ht="30.0" customHeight="1">
      <c r="A3005" s="258"/>
      <c r="B3005" s="328" t="s">
        <v>670</v>
      </c>
      <c r="C3005" s="257" t="s">
        <v>9343</v>
      </c>
      <c r="D3005" s="173" t="s">
        <v>9343</v>
      </c>
      <c r="E3005" s="174" t="s">
        <v>9296</v>
      </c>
      <c r="F3005" s="173" t="s">
        <v>9297</v>
      </c>
      <c r="G3005" s="328" t="s">
        <v>673</v>
      </c>
      <c r="H3005" s="328" t="s">
        <v>2863</v>
      </c>
      <c r="I3005" s="258" t="s">
        <v>9298</v>
      </c>
      <c r="J3005" s="259" t="s">
        <v>1453</v>
      </c>
      <c r="K3005" s="260" t="s">
        <v>1476</v>
      </c>
      <c r="L3005" s="366"/>
      <c r="M3005" s="329"/>
      <c r="N3005" s="173" t="s">
        <v>679</v>
      </c>
      <c r="O3005" s="173" t="s">
        <v>225</v>
      </c>
      <c r="P3005" s="262" t="str">
        <f t="shared" si="1"/>
        <v>IN-BLR-ANANTA-HM-223_11</v>
      </c>
      <c r="Q3005" s="173" t="s">
        <v>9344</v>
      </c>
      <c r="R3005" s="328" t="str">
        <f>IFS(C3005="","",C3005="n/a","N/A",LEN(C3005),Concatenate("{",char(34),"asset",char(34),":{",char(34),"guid",char(34),":",char(34),Q3005,char(34),",",char(34),"site",char(34),":",char(34),LOWER('2-Building'!$B$4),char(34),",",char(34),"name",char(34),":",char(34),LOWER(C3005),char(34),"}}"))</f>
        <v>{"asset":{"guid":"uuid://b212a321-a382-40b9-b583-264d2b7d61fc","site":"in-blr-ananta","name":"hm-223"}}</v>
      </c>
      <c r="S3005" s="366" t="s">
        <v>2866</v>
      </c>
      <c r="T3005" s="330"/>
      <c r="U3005" s="330"/>
      <c r="V3005" s="331"/>
      <c r="W3005" s="332"/>
      <c r="X3005" s="333"/>
      <c r="Y3005" s="33" t="s">
        <v>8076</v>
      </c>
      <c r="Z3005" s="368"/>
      <c r="AA3005" s="333"/>
      <c r="AB3005" s="258">
        <v>11.0</v>
      </c>
      <c r="AC3005" s="333"/>
      <c r="AD3005" s="329"/>
      <c r="AE3005" s="331"/>
      <c r="AF3005" s="336"/>
      <c r="AG3005" s="337"/>
      <c r="AH3005" s="333"/>
      <c r="AI3005" s="333"/>
      <c r="AJ3005" s="333"/>
      <c r="AK3005" s="333"/>
      <c r="AL3005" s="333"/>
      <c r="AM3005" s="338"/>
      <c r="AN3005" s="333"/>
      <c r="AO3005" s="333"/>
      <c r="AP3005" s="333"/>
      <c r="AQ3005" s="333"/>
      <c r="AR3005" s="333"/>
      <c r="AS3005" s="333"/>
      <c r="AT3005" s="333"/>
      <c r="AU3005" s="329"/>
      <c r="AV3005" s="341"/>
      <c r="AW3005" s="269"/>
      <c r="AX3005" s="269" t="s">
        <v>2869</v>
      </c>
      <c r="AY3005" s="270" t="s">
        <v>695</v>
      </c>
      <c r="AZ3005" s="379"/>
      <c r="BA3005" s="173">
        <v>10.0</v>
      </c>
      <c r="BB3005" s="341"/>
      <c r="BC3005" s="341"/>
      <c r="BD3005" s="308" t="s">
        <v>1844</v>
      </c>
      <c r="BE3005" s="364"/>
      <c r="BF3005" s="274" t="str">
        <f>IFERROR(__xludf.DUMMYFUNCTION("LOWER(Regexreplace(to_text(E3005),""[^A-Za-z0-9]"","""")&amp;""_""&amp;Regexreplace(to_text(F3005),""[^A-Za-z0-9]"",""""))"),"kamstrup_multical603")</f>
        <v>kamstrup_multical603</v>
      </c>
      <c r="BG3005" s="275" t="str">
        <f>IFERROR(__xludf.DUMMYFUNCTION("upper(Regexreplace(to_text(E3005),""[^A-Za-z0-9]"","""")&amp;""-""&amp;Regexreplace(to_text(F3005),""[^A-Za-z0-9]"",""""))"),"KAMSTRUP-MULTICAL603")</f>
        <v>KAMSTRUP-MULTICAL603</v>
      </c>
    </row>
    <row r="3006" ht="30.0" customHeight="1">
      <c r="A3006" s="258"/>
      <c r="B3006" s="328" t="s">
        <v>670</v>
      </c>
      <c r="C3006" s="257" t="s">
        <v>9345</v>
      </c>
      <c r="D3006" s="173" t="s">
        <v>9345</v>
      </c>
      <c r="E3006" s="174" t="s">
        <v>9296</v>
      </c>
      <c r="F3006" s="173" t="s">
        <v>9297</v>
      </c>
      <c r="G3006" s="328" t="s">
        <v>673</v>
      </c>
      <c r="H3006" s="328" t="s">
        <v>2863</v>
      </c>
      <c r="I3006" s="258" t="s">
        <v>9298</v>
      </c>
      <c r="J3006" s="259" t="s">
        <v>739</v>
      </c>
      <c r="K3006" s="260" t="s">
        <v>803</v>
      </c>
      <c r="L3006" s="366"/>
      <c r="M3006" s="329"/>
      <c r="N3006" s="173" t="s">
        <v>679</v>
      </c>
      <c r="O3006" s="173" t="s">
        <v>225</v>
      </c>
      <c r="P3006" s="262" t="str">
        <f t="shared" si="1"/>
        <v>IN-BLR-ANANTA-HM-224_G</v>
      </c>
      <c r="Q3006" s="173" t="s">
        <v>9346</v>
      </c>
      <c r="R3006" s="328" t="str">
        <f>IFS(C3006="","",C3006="n/a","N/A",LEN(C3006),Concatenate("{",char(34),"asset",char(34),":{",char(34),"guid",char(34),":",char(34),Q3006,char(34),",",char(34),"site",char(34),":",char(34),LOWER('2-Building'!$B$4),char(34),",",char(34),"name",char(34),":",char(34),LOWER(C3006),char(34),"}}"))</f>
        <v>{"asset":{"guid":"uuid://379dc1fc-2648-49ce-8135-ed50ce261a70","site":"in-blr-ananta","name":"hm-224"}}</v>
      </c>
      <c r="S3006" s="366" t="s">
        <v>2866</v>
      </c>
      <c r="T3006" s="330"/>
      <c r="U3006" s="330"/>
      <c r="V3006" s="331"/>
      <c r="W3006" s="332"/>
      <c r="X3006" s="333"/>
      <c r="Y3006" s="33" t="s">
        <v>8076</v>
      </c>
      <c r="Z3006" s="368"/>
      <c r="AA3006" s="333"/>
      <c r="AB3006" s="258">
        <v>1.0</v>
      </c>
      <c r="AC3006" s="333"/>
      <c r="AD3006" s="329"/>
      <c r="AE3006" s="331"/>
      <c r="AF3006" s="336"/>
      <c r="AG3006" s="337"/>
      <c r="AH3006" s="333"/>
      <c r="AI3006" s="333"/>
      <c r="AJ3006" s="333"/>
      <c r="AK3006" s="333"/>
      <c r="AL3006" s="333"/>
      <c r="AM3006" s="338"/>
      <c r="AN3006" s="333"/>
      <c r="AO3006" s="333"/>
      <c r="AP3006" s="333"/>
      <c r="AQ3006" s="333"/>
      <c r="AR3006" s="333"/>
      <c r="AS3006" s="333"/>
      <c r="AT3006" s="333"/>
      <c r="AU3006" s="329"/>
      <c r="AV3006" s="341"/>
      <c r="AW3006" s="269"/>
      <c r="AX3006" s="269" t="s">
        <v>2869</v>
      </c>
      <c r="AY3006" s="270" t="s">
        <v>695</v>
      </c>
      <c r="AZ3006" s="379"/>
      <c r="BA3006" s="173">
        <v>10.0</v>
      </c>
      <c r="BB3006" s="341"/>
      <c r="BC3006" s="341"/>
      <c r="BD3006" s="308" t="s">
        <v>1844</v>
      </c>
      <c r="BE3006" s="364"/>
      <c r="BF3006" s="274" t="str">
        <f>IFERROR(__xludf.DUMMYFUNCTION("LOWER(Regexreplace(to_text(E3006),""[^A-Za-z0-9]"","""")&amp;""_""&amp;Regexreplace(to_text(F3006),""[^A-Za-z0-9]"",""""))"),"kamstrup_multical603")</f>
        <v>kamstrup_multical603</v>
      </c>
      <c r="BG3006" s="275" t="str">
        <f>IFERROR(__xludf.DUMMYFUNCTION("upper(Regexreplace(to_text(E3006),""[^A-Za-z0-9]"","""")&amp;""-""&amp;Regexreplace(to_text(F3006),""[^A-Za-z0-9]"",""""))"),"KAMSTRUP-MULTICAL603")</f>
        <v>KAMSTRUP-MULTICAL603</v>
      </c>
    </row>
    <row r="3007" ht="30.0" customHeight="1">
      <c r="A3007" s="258"/>
      <c r="B3007" s="328" t="s">
        <v>670</v>
      </c>
      <c r="C3007" s="257" t="s">
        <v>9347</v>
      </c>
      <c r="D3007" s="173" t="s">
        <v>9347</v>
      </c>
      <c r="E3007" s="174" t="s">
        <v>9296</v>
      </c>
      <c r="F3007" s="173" t="s">
        <v>9297</v>
      </c>
      <c r="G3007" s="328" t="s">
        <v>673</v>
      </c>
      <c r="H3007" s="328" t="s">
        <v>2863</v>
      </c>
      <c r="I3007" s="258" t="s">
        <v>9298</v>
      </c>
      <c r="J3007" s="259" t="s">
        <v>846</v>
      </c>
      <c r="K3007" s="260" t="s">
        <v>889</v>
      </c>
      <c r="L3007" s="366"/>
      <c r="M3007" s="329"/>
      <c r="N3007" s="173" t="s">
        <v>679</v>
      </c>
      <c r="O3007" s="173" t="s">
        <v>225</v>
      </c>
      <c r="P3007" s="262" t="str">
        <f t="shared" si="1"/>
        <v>IN-BLR-ANANTA-HM-225_1</v>
      </c>
      <c r="Q3007" s="173" t="s">
        <v>9348</v>
      </c>
      <c r="R3007" s="328" t="str">
        <f>IFS(C3007="","",C3007="n/a","N/A",LEN(C3007),Concatenate("{",char(34),"asset",char(34),":{",char(34),"guid",char(34),":",char(34),Q3007,char(34),",",char(34),"site",char(34),":",char(34),LOWER('2-Building'!$B$4),char(34),",",char(34),"name",char(34),":",char(34),LOWER(C3007),char(34),"}}"))</f>
        <v>{"asset":{"guid":"uuid://c6f9b275-d503-4748-802e-00dc5e9b191c","site":"in-blr-ananta","name":"hm-225"}}</v>
      </c>
      <c r="S3007" s="366" t="s">
        <v>2866</v>
      </c>
      <c r="T3007" s="330"/>
      <c r="U3007" s="330"/>
      <c r="V3007" s="331"/>
      <c r="W3007" s="332"/>
      <c r="X3007" s="333"/>
      <c r="Y3007" s="33" t="s">
        <v>8076</v>
      </c>
      <c r="Z3007" s="368"/>
      <c r="AA3007" s="333"/>
      <c r="AB3007" s="258">
        <v>2.0</v>
      </c>
      <c r="AC3007" s="333"/>
      <c r="AD3007" s="329"/>
      <c r="AE3007" s="331"/>
      <c r="AF3007" s="336"/>
      <c r="AG3007" s="337"/>
      <c r="AH3007" s="333"/>
      <c r="AI3007" s="333"/>
      <c r="AJ3007" s="333"/>
      <c r="AK3007" s="333"/>
      <c r="AL3007" s="333"/>
      <c r="AM3007" s="338"/>
      <c r="AN3007" s="333"/>
      <c r="AO3007" s="333"/>
      <c r="AP3007" s="333"/>
      <c r="AQ3007" s="333"/>
      <c r="AR3007" s="333"/>
      <c r="AS3007" s="333"/>
      <c r="AT3007" s="333"/>
      <c r="AU3007" s="329"/>
      <c r="AV3007" s="341"/>
      <c r="AW3007" s="269"/>
      <c r="AX3007" s="269" t="s">
        <v>2869</v>
      </c>
      <c r="AY3007" s="270" t="s">
        <v>695</v>
      </c>
      <c r="AZ3007" s="379"/>
      <c r="BA3007" s="173">
        <v>10.0</v>
      </c>
      <c r="BB3007" s="341"/>
      <c r="BC3007" s="341"/>
      <c r="BD3007" s="308" t="s">
        <v>1844</v>
      </c>
      <c r="BE3007" s="364"/>
      <c r="BF3007" s="274" t="str">
        <f>IFERROR(__xludf.DUMMYFUNCTION("LOWER(Regexreplace(to_text(E3007),""[^A-Za-z0-9]"","""")&amp;""_""&amp;Regexreplace(to_text(F3007),""[^A-Za-z0-9]"",""""))"),"kamstrup_multical603")</f>
        <v>kamstrup_multical603</v>
      </c>
      <c r="BG3007" s="275" t="str">
        <f>IFERROR(__xludf.DUMMYFUNCTION("upper(Regexreplace(to_text(E3007),""[^A-Za-z0-9]"","""")&amp;""-""&amp;Regexreplace(to_text(F3007),""[^A-Za-z0-9]"",""""))"),"KAMSTRUP-MULTICAL603")</f>
        <v>KAMSTRUP-MULTICAL603</v>
      </c>
    </row>
    <row r="3008" ht="30.0" customHeight="1">
      <c r="A3008" s="258"/>
      <c r="B3008" s="328" t="s">
        <v>670</v>
      </c>
      <c r="C3008" s="257" t="s">
        <v>9349</v>
      </c>
      <c r="D3008" s="173" t="s">
        <v>9349</v>
      </c>
      <c r="E3008" s="174" t="s">
        <v>9296</v>
      </c>
      <c r="F3008" s="173" t="s">
        <v>9297</v>
      </c>
      <c r="G3008" s="328" t="s">
        <v>673</v>
      </c>
      <c r="H3008" s="328" t="s">
        <v>2863</v>
      </c>
      <c r="I3008" s="258" t="s">
        <v>9298</v>
      </c>
      <c r="J3008" s="259" t="s">
        <v>902</v>
      </c>
      <c r="K3008" s="260">
        <v>233.0</v>
      </c>
      <c r="L3008" s="366"/>
      <c r="M3008" s="329"/>
      <c r="N3008" s="173" t="s">
        <v>679</v>
      </c>
      <c r="O3008" s="173" t="s">
        <v>225</v>
      </c>
      <c r="P3008" s="262" t="str">
        <f t="shared" si="1"/>
        <v>IN-BLR-ANANTA-HM-226_2</v>
      </c>
      <c r="Q3008" s="173" t="s">
        <v>9350</v>
      </c>
      <c r="R3008" s="328" t="str">
        <f>IFS(C3008="","",C3008="n/a","N/A",LEN(C3008),Concatenate("{",char(34),"asset",char(34),":{",char(34),"guid",char(34),":",char(34),Q3008,char(34),",",char(34),"site",char(34),":",char(34),LOWER('2-Building'!$B$4),char(34),",",char(34),"name",char(34),":",char(34),LOWER(C3008),char(34),"}}"))</f>
        <v>{"asset":{"guid":"uuid://2ecde826-c5d6-44b3-9606-90d48be8023c","site":"in-blr-ananta","name":"hm-226"}}</v>
      </c>
      <c r="S3008" s="366" t="s">
        <v>2866</v>
      </c>
      <c r="T3008" s="330"/>
      <c r="U3008" s="330"/>
      <c r="V3008" s="331"/>
      <c r="W3008" s="332"/>
      <c r="X3008" s="333"/>
      <c r="Y3008" s="33" t="s">
        <v>8076</v>
      </c>
      <c r="Z3008" s="368"/>
      <c r="AA3008" s="333"/>
      <c r="AB3008" s="258">
        <v>3.0</v>
      </c>
      <c r="AC3008" s="333"/>
      <c r="AD3008" s="329"/>
      <c r="AE3008" s="331"/>
      <c r="AF3008" s="336"/>
      <c r="AG3008" s="337"/>
      <c r="AH3008" s="333"/>
      <c r="AI3008" s="333"/>
      <c r="AJ3008" s="333"/>
      <c r="AK3008" s="333"/>
      <c r="AL3008" s="333"/>
      <c r="AM3008" s="338"/>
      <c r="AN3008" s="333"/>
      <c r="AO3008" s="333"/>
      <c r="AP3008" s="333"/>
      <c r="AQ3008" s="333"/>
      <c r="AR3008" s="333"/>
      <c r="AS3008" s="333"/>
      <c r="AT3008" s="333"/>
      <c r="AU3008" s="329"/>
      <c r="AV3008" s="341"/>
      <c r="AW3008" s="269"/>
      <c r="AX3008" s="269" t="s">
        <v>2869</v>
      </c>
      <c r="AY3008" s="270" t="s">
        <v>695</v>
      </c>
      <c r="AZ3008" s="379"/>
      <c r="BA3008" s="173">
        <v>10.0</v>
      </c>
      <c r="BB3008" s="341"/>
      <c r="BC3008" s="341"/>
      <c r="BD3008" s="308" t="s">
        <v>1844</v>
      </c>
      <c r="BE3008" s="364"/>
      <c r="BF3008" s="274" t="str">
        <f>IFERROR(__xludf.DUMMYFUNCTION("LOWER(Regexreplace(to_text(E3008),""[^A-Za-z0-9]"","""")&amp;""_""&amp;Regexreplace(to_text(F3008),""[^A-Za-z0-9]"",""""))"),"kamstrup_multical603")</f>
        <v>kamstrup_multical603</v>
      </c>
      <c r="BG3008" s="275" t="str">
        <f>IFERROR(__xludf.DUMMYFUNCTION("upper(Regexreplace(to_text(E3008),""[^A-Za-z0-9]"","""")&amp;""-""&amp;Regexreplace(to_text(F3008),""[^A-Za-z0-9]"",""""))"),"KAMSTRUP-MULTICAL603")</f>
        <v>KAMSTRUP-MULTICAL603</v>
      </c>
    </row>
    <row r="3009" ht="30.0" customHeight="1">
      <c r="A3009" s="258"/>
      <c r="B3009" s="328" t="s">
        <v>670</v>
      </c>
      <c r="C3009" s="257" t="s">
        <v>9351</v>
      </c>
      <c r="D3009" s="173" t="s">
        <v>9351</v>
      </c>
      <c r="E3009" s="174" t="s">
        <v>9296</v>
      </c>
      <c r="F3009" s="173" t="s">
        <v>9297</v>
      </c>
      <c r="G3009" s="328" t="s">
        <v>673</v>
      </c>
      <c r="H3009" s="328" t="s">
        <v>2863</v>
      </c>
      <c r="I3009" s="258" t="s">
        <v>9298</v>
      </c>
      <c r="J3009" s="259" t="s">
        <v>965</v>
      </c>
      <c r="K3009" s="260">
        <v>333.0</v>
      </c>
      <c r="L3009" s="366"/>
      <c r="M3009" s="329"/>
      <c r="N3009" s="173" t="s">
        <v>679</v>
      </c>
      <c r="O3009" s="173" t="s">
        <v>225</v>
      </c>
      <c r="P3009" s="262" t="str">
        <f t="shared" si="1"/>
        <v>IN-BLR-ANANTA-HM-227_3</v>
      </c>
      <c r="Q3009" s="173" t="s">
        <v>9352</v>
      </c>
      <c r="R3009" s="328" t="str">
        <f>IFS(C3009="","",C3009="n/a","N/A",LEN(C3009),Concatenate("{",char(34),"asset",char(34),":{",char(34),"guid",char(34),":",char(34),Q3009,char(34),",",char(34),"site",char(34),":",char(34),LOWER('2-Building'!$B$4),char(34),",",char(34),"name",char(34),":",char(34),LOWER(C3009),char(34),"}}"))</f>
        <v>{"asset":{"guid":"uuid://a6fb62df-aabf-4650-84bc-6ac3e43b3c09","site":"in-blr-ananta","name":"hm-227"}}</v>
      </c>
      <c r="S3009" s="366" t="s">
        <v>2866</v>
      </c>
      <c r="T3009" s="330"/>
      <c r="U3009" s="330"/>
      <c r="V3009" s="331"/>
      <c r="W3009" s="332"/>
      <c r="X3009" s="333"/>
      <c r="Y3009" s="33" t="s">
        <v>8076</v>
      </c>
      <c r="Z3009" s="368"/>
      <c r="AA3009" s="333"/>
      <c r="AB3009" s="258">
        <v>4.0</v>
      </c>
      <c r="AC3009" s="333"/>
      <c r="AD3009" s="329"/>
      <c r="AE3009" s="331"/>
      <c r="AF3009" s="336"/>
      <c r="AG3009" s="337"/>
      <c r="AH3009" s="333"/>
      <c r="AI3009" s="333"/>
      <c r="AJ3009" s="333"/>
      <c r="AK3009" s="333"/>
      <c r="AL3009" s="333"/>
      <c r="AM3009" s="338"/>
      <c r="AN3009" s="333"/>
      <c r="AO3009" s="333"/>
      <c r="AP3009" s="333"/>
      <c r="AQ3009" s="333"/>
      <c r="AR3009" s="333"/>
      <c r="AS3009" s="333"/>
      <c r="AT3009" s="333"/>
      <c r="AU3009" s="329"/>
      <c r="AV3009" s="341"/>
      <c r="AW3009" s="269"/>
      <c r="AX3009" s="269" t="s">
        <v>2869</v>
      </c>
      <c r="AY3009" s="270" t="s">
        <v>695</v>
      </c>
      <c r="AZ3009" s="379"/>
      <c r="BA3009" s="173">
        <v>10.0</v>
      </c>
      <c r="BB3009" s="341"/>
      <c r="BC3009" s="341"/>
      <c r="BD3009" s="308" t="s">
        <v>1844</v>
      </c>
      <c r="BE3009" s="364"/>
      <c r="BF3009" s="274" t="str">
        <f>IFERROR(__xludf.DUMMYFUNCTION("LOWER(Regexreplace(to_text(E3009),""[^A-Za-z0-9]"","""")&amp;""_""&amp;Regexreplace(to_text(F3009),""[^A-Za-z0-9]"",""""))"),"kamstrup_multical603")</f>
        <v>kamstrup_multical603</v>
      </c>
      <c r="BG3009" s="275" t="str">
        <f>IFERROR(__xludf.DUMMYFUNCTION("upper(Regexreplace(to_text(E3009),""[^A-Za-z0-9]"","""")&amp;""-""&amp;Regexreplace(to_text(F3009),""[^A-Za-z0-9]"",""""))"),"KAMSTRUP-MULTICAL603")</f>
        <v>KAMSTRUP-MULTICAL603</v>
      </c>
    </row>
    <row r="3010" ht="30.0" customHeight="1">
      <c r="A3010" s="258"/>
      <c r="B3010" s="328" t="s">
        <v>670</v>
      </c>
      <c r="C3010" s="257" t="s">
        <v>9353</v>
      </c>
      <c r="D3010" s="173" t="s">
        <v>9353</v>
      </c>
      <c r="E3010" s="174" t="s">
        <v>9296</v>
      </c>
      <c r="F3010" s="173" t="s">
        <v>9297</v>
      </c>
      <c r="G3010" s="328" t="s">
        <v>673</v>
      </c>
      <c r="H3010" s="328" t="s">
        <v>2863</v>
      </c>
      <c r="I3010" s="258" t="s">
        <v>9298</v>
      </c>
      <c r="J3010" s="259" t="s">
        <v>1026</v>
      </c>
      <c r="K3010" s="260">
        <v>433.0</v>
      </c>
      <c r="L3010" s="366"/>
      <c r="M3010" s="329"/>
      <c r="N3010" s="173" t="s">
        <v>679</v>
      </c>
      <c r="O3010" s="173" t="s">
        <v>225</v>
      </c>
      <c r="P3010" s="262" t="str">
        <f t="shared" si="1"/>
        <v>IN-BLR-ANANTA-HM-228_4</v>
      </c>
      <c r="Q3010" s="173" t="s">
        <v>9354</v>
      </c>
      <c r="R3010" s="328" t="str">
        <f>IFS(C3010="","",C3010="n/a","N/A",LEN(C3010),Concatenate("{",char(34),"asset",char(34),":{",char(34),"guid",char(34),":",char(34),Q3010,char(34),",",char(34),"site",char(34),":",char(34),LOWER('2-Building'!$B$4),char(34),",",char(34),"name",char(34),":",char(34),LOWER(C3010),char(34),"}}"))</f>
        <v>{"asset":{"guid":"uuid://d091de24-ae00-42e1-ac15-61b585668fa7","site":"in-blr-ananta","name":"hm-228"}}</v>
      </c>
      <c r="S3010" s="366" t="s">
        <v>2866</v>
      </c>
      <c r="T3010" s="330"/>
      <c r="U3010" s="330"/>
      <c r="V3010" s="331"/>
      <c r="W3010" s="332"/>
      <c r="X3010" s="333"/>
      <c r="Y3010" s="33" t="s">
        <v>8076</v>
      </c>
      <c r="Z3010" s="368"/>
      <c r="AA3010" s="333"/>
      <c r="AB3010" s="258">
        <v>5.0</v>
      </c>
      <c r="AC3010" s="333"/>
      <c r="AD3010" s="329"/>
      <c r="AE3010" s="331"/>
      <c r="AF3010" s="336"/>
      <c r="AG3010" s="337"/>
      <c r="AH3010" s="333"/>
      <c r="AI3010" s="333"/>
      <c r="AJ3010" s="333"/>
      <c r="AK3010" s="333"/>
      <c r="AL3010" s="333"/>
      <c r="AM3010" s="338"/>
      <c r="AN3010" s="333"/>
      <c r="AO3010" s="333"/>
      <c r="AP3010" s="333"/>
      <c r="AQ3010" s="333"/>
      <c r="AR3010" s="333"/>
      <c r="AS3010" s="333"/>
      <c r="AT3010" s="333"/>
      <c r="AU3010" s="329"/>
      <c r="AV3010" s="341"/>
      <c r="AW3010" s="269"/>
      <c r="AX3010" s="269" t="s">
        <v>2869</v>
      </c>
      <c r="AY3010" s="270" t="s">
        <v>695</v>
      </c>
      <c r="AZ3010" s="379"/>
      <c r="BA3010" s="173">
        <v>10.0</v>
      </c>
      <c r="BB3010" s="341"/>
      <c r="BC3010" s="341"/>
      <c r="BD3010" s="308" t="s">
        <v>1844</v>
      </c>
      <c r="BE3010" s="364"/>
      <c r="BF3010" s="274" t="str">
        <f>IFERROR(__xludf.DUMMYFUNCTION("LOWER(Regexreplace(to_text(E3010),""[^A-Za-z0-9]"","""")&amp;""_""&amp;Regexreplace(to_text(F3010),""[^A-Za-z0-9]"",""""))"),"kamstrup_multical603")</f>
        <v>kamstrup_multical603</v>
      </c>
      <c r="BG3010" s="275" t="str">
        <f>IFERROR(__xludf.DUMMYFUNCTION("upper(Regexreplace(to_text(E3010),""[^A-Za-z0-9]"","""")&amp;""-""&amp;Regexreplace(to_text(F3010),""[^A-Za-z0-9]"",""""))"),"KAMSTRUP-MULTICAL603")</f>
        <v>KAMSTRUP-MULTICAL603</v>
      </c>
    </row>
    <row r="3011" ht="30.0" customHeight="1">
      <c r="A3011" s="258"/>
      <c r="B3011" s="328" t="s">
        <v>670</v>
      </c>
      <c r="C3011" s="257" t="s">
        <v>9355</v>
      </c>
      <c r="D3011" s="173" t="s">
        <v>9355</v>
      </c>
      <c r="E3011" s="174" t="s">
        <v>9296</v>
      </c>
      <c r="F3011" s="173" t="s">
        <v>9297</v>
      </c>
      <c r="G3011" s="328" t="s">
        <v>673</v>
      </c>
      <c r="H3011" s="328" t="s">
        <v>2863</v>
      </c>
      <c r="I3011" s="258" t="s">
        <v>9298</v>
      </c>
      <c r="J3011" s="259" t="s">
        <v>1088</v>
      </c>
      <c r="K3011" s="260">
        <v>533.0</v>
      </c>
      <c r="L3011" s="366"/>
      <c r="M3011" s="329"/>
      <c r="N3011" s="173" t="s">
        <v>679</v>
      </c>
      <c r="O3011" s="173" t="s">
        <v>225</v>
      </c>
      <c r="P3011" s="262" t="str">
        <f t="shared" si="1"/>
        <v>IN-BLR-ANANTA-HM-229_5</v>
      </c>
      <c r="Q3011" s="173" t="s">
        <v>9356</v>
      </c>
      <c r="R3011" s="328" t="str">
        <f>IFS(C3011="","",C3011="n/a","N/A",LEN(C3011),Concatenate("{",char(34),"asset",char(34),":{",char(34),"guid",char(34),":",char(34),Q3011,char(34),",",char(34),"site",char(34),":",char(34),LOWER('2-Building'!$B$4),char(34),",",char(34),"name",char(34),":",char(34),LOWER(C3011),char(34),"}}"))</f>
        <v>{"asset":{"guid":"uuid://42f8e814-2de3-45c6-abbc-c906354893e4","site":"in-blr-ananta","name":"hm-229"}}</v>
      </c>
      <c r="S3011" s="366" t="s">
        <v>2866</v>
      </c>
      <c r="T3011" s="330"/>
      <c r="U3011" s="330"/>
      <c r="V3011" s="331"/>
      <c r="W3011" s="332"/>
      <c r="X3011" s="333"/>
      <c r="Y3011" s="33" t="s">
        <v>8076</v>
      </c>
      <c r="Z3011" s="368"/>
      <c r="AA3011" s="333"/>
      <c r="AB3011" s="258">
        <v>6.0</v>
      </c>
      <c r="AC3011" s="333"/>
      <c r="AD3011" s="329"/>
      <c r="AE3011" s="331"/>
      <c r="AF3011" s="336"/>
      <c r="AG3011" s="337"/>
      <c r="AH3011" s="333"/>
      <c r="AI3011" s="333"/>
      <c r="AJ3011" s="333"/>
      <c r="AK3011" s="333"/>
      <c r="AL3011" s="333"/>
      <c r="AM3011" s="338"/>
      <c r="AN3011" s="333"/>
      <c r="AO3011" s="333"/>
      <c r="AP3011" s="333"/>
      <c r="AQ3011" s="333"/>
      <c r="AR3011" s="333"/>
      <c r="AS3011" s="333"/>
      <c r="AT3011" s="333"/>
      <c r="AU3011" s="329"/>
      <c r="AV3011" s="341"/>
      <c r="AW3011" s="269"/>
      <c r="AX3011" s="269" t="s">
        <v>2869</v>
      </c>
      <c r="AY3011" s="270" t="s">
        <v>695</v>
      </c>
      <c r="AZ3011" s="379"/>
      <c r="BA3011" s="173">
        <v>10.0</v>
      </c>
      <c r="BB3011" s="341"/>
      <c r="BC3011" s="341"/>
      <c r="BD3011" s="308" t="s">
        <v>1844</v>
      </c>
      <c r="BE3011" s="364"/>
      <c r="BF3011" s="274" t="str">
        <f>IFERROR(__xludf.DUMMYFUNCTION("LOWER(Regexreplace(to_text(E3011),""[^A-Za-z0-9]"","""")&amp;""_""&amp;Regexreplace(to_text(F3011),""[^A-Za-z0-9]"",""""))"),"kamstrup_multical603")</f>
        <v>kamstrup_multical603</v>
      </c>
      <c r="BG3011" s="275" t="str">
        <f>IFERROR(__xludf.DUMMYFUNCTION("upper(Regexreplace(to_text(E3011),""[^A-Za-z0-9]"","""")&amp;""-""&amp;Regexreplace(to_text(F3011),""[^A-Za-z0-9]"",""""))"),"KAMSTRUP-MULTICAL603")</f>
        <v>KAMSTRUP-MULTICAL603</v>
      </c>
    </row>
    <row r="3012" ht="30.0" customHeight="1">
      <c r="A3012" s="258"/>
      <c r="B3012" s="328" t="s">
        <v>670</v>
      </c>
      <c r="C3012" s="257" t="s">
        <v>9357</v>
      </c>
      <c r="D3012" s="173" t="s">
        <v>9357</v>
      </c>
      <c r="E3012" s="174" t="s">
        <v>9296</v>
      </c>
      <c r="F3012" s="173" t="s">
        <v>9297</v>
      </c>
      <c r="G3012" s="328" t="s">
        <v>673</v>
      </c>
      <c r="H3012" s="328" t="s">
        <v>2863</v>
      </c>
      <c r="I3012" s="258" t="s">
        <v>9298</v>
      </c>
      <c r="J3012" s="259" t="s">
        <v>1149</v>
      </c>
      <c r="K3012" s="260">
        <v>633.0</v>
      </c>
      <c r="L3012" s="366"/>
      <c r="M3012" s="329"/>
      <c r="N3012" s="173" t="s">
        <v>679</v>
      </c>
      <c r="O3012" s="173" t="s">
        <v>225</v>
      </c>
      <c r="P3012" s="262" t="str">
        <f t="shared" si="1"/>
        <v>IN-BLR-ANANTA-HM-230_6</v>
      </c>
      <c r="Q3012" s="173" t="s">
        <v>9358</v>
      </c>
      <c r="R3012" s="328" t="str">
        <f>IFS(C3012="","",C3012="n/a","N/A",LEN(C3012),Concatenate("{",char(34),"asset",char(34),":{",char(34),"guid",char(34),":",char(34),Q3012,char(34),",",char(34),"site",char(34),":",char(34),LOWER('2-Building'!$B$4),char(34),",",char(34),"name",char(34),":",char(34),LOWER(C3012),char(34),"}}"))</f>
        <v>{"asset":{"guid":"uuid://1951613d-f605-4fac-aba0-ee61cd305716","site":"in-blr-ananta","name":"hm-230"}}</v>
      </c>
      <c r="S3012" s="366" t="s">
        <v>2866</v>
      </c>
      <c r="T3012" s="330"/>
      <c r="U3012" s="330"/>
      <c r="V3012" s="331"/>
      <c r="W3012" s="332"/>
      <c r="X3012" s="333"/>
      <c r="Y3012" s="33" t="s">
        <v>8076</v>
      </c>
      <c r="Z3012" s="368"/>
      <c r="AA3012" s="333"/>
      <c r="AB3012" s="258">
        <v>7.0</v>
      </c>
      <c r="AC3012" s="333"/>
      <c r="AD3012" s="329"/>
      <c r="AE3012" s="331"/>
      <c r="AF3012" s="336"/>
      <c r="AG3012" s="337"/>
      <c r="AH3012" s="333"/>
      <c r="AI3012" s="333"/>
      <c r="AJ3012" s="333"/>
      <c r="AK3012" s="333"/>
      <c r="AL3012" s="333"/>
      <c r="AM3012" s="338"/>
      <c r="AN3012" s="333"/>
      <c r="AO3012" s="333"/>
      <c r="AP3012" s="333"/>
      <c r="AQ3012" s="333"/>
      <c r="AR3012" s="333"/>
      <c r="AS3012" s="333"/>
      <c r="AT3012" s="333"/>
      <c r="AU3012" s="329"/>
      <c r="AV3012" s="341"/>
      <c r="AW3012" s="269"/>
      <c r="AX3012" s="269" t="s">
        <v>2869</v>
      </c>
      <c r="AY3012" s="270" t="s">
        <v>695</v>
      </c>
      <c r="AZ3012" s="379"/>
      <c r="BA3012" s="173">
        <v>10.0</v>
      </c>
      <c r="BB3012" s="341"/>
      <c r="BC3012" s="341"/>
      <c r="BD3012" s="308" t="s">
        <v>1844</v>
      </c>
      <c r="BE3012" s="364"/>
      <c r="BF3012" s="274" t="str">
        <f>IFERROR(__xludf.DUMMYFUNCTION("LOWER(Regexreplace(to_text(E3012),""[^A-Za-z0-9]"","""")&amp;""_""&amp;Regexreplace(to_text(F3012),""[^A-Za-z0-9]"",""""))"),"kamstrup_multical603")</f>
        <v>kamstrup_multical603</v>
      </c>
      <c r="BG3012" s="275" t="str">
        <f>IFERROR(__xludf.DUMMYFUNCTION("upper(Regexreplace(to_text(E3012),""[^A-Za-z0-9]"","""")&amp;""-""&amp;Regexreplace(to_text(F3012),""[^A-Za-z0-9]"",""""))"),"KAMSTRUP-MULTICAL603")</f>
        <v>KAMSTRUP-MULTICAL603</v>
      </c>
    </row>
    <row r="3013" ht="30.0" customHeight="1">
      <c r="A3013" s="258"/>
      <c r="B3013" s="328" t="s">
        <v>670</v>
      </c>
      <c r="C3013" s="257" t="s">
        <v>9359</v>
      </c>
      <c r="D3013" s="173" t="s">
        <v>9359</v>
      </c>
      <c r="E3013" s="174" t="s">
        <v>9296</v>
      </c>
      <c r="F3013" s="173" t="s">
        <v>9297</v>
      </c>
      <c r="G3013" s="328" t="s">
        <v>673</v>
      </c>
      <c r="H3013" s="328" t="s">
        <v>2863</v>
      </c>
      <c r="I3013" s="258" t="s">
        <v>9298</v>
      </c>
      <c r="J3013" s="259" t="s">
        <v>1211</v>
      </c>
      <c r="K3013" s="260">
        <v>733.0</v>
      </c>
      <c r="L3013" s="366"/>
      <c r="M3013" s="329"/>
      <c r="N3013" s="173" t="s">
        <v>679</v>
      </c>
      <c r="O3013" s="173" t="s">
        <v>225</v>
      </c>
      <c r="P3013" s="262" t="str">
        <f t="shared" si="1"/>
        <v>IN-BLR-ANANTA-HM-231_7</v>
      </c>
      <c r="Q3013" s="173" t="s">
        <v>9360</v>
      </c>
      <c r="R3013" s="328" t="str">
        <f>IFS(C3013="","",C3013="n/a","N/A",LEN(C3013),Concatenate("{",char(34),"asset",char(34),":{",char(34),"guid",char(34),":",char(34),Q3013,char(34),",",char(34),"site",char(34),":",char(34),LOWER('2-Building'!$B$4),char(34),",",char(34),"name",char(34),":",char(34),LOWER(C3013),char(34),"}}"))</f>
        <v>{"asset":{"guid":"uuid://f8b80fb3-de12-4cd6-a7bc-ef90a586d985","site":"in-blr-ananta","name":"hm-231"}}</v>
      </c>
      <c r="S3013" s="366" t="s">
        <v>2866</v>
      </c>
      <c r="T3013" s="330"/>
      <c r="U3013" s="330"/>
      <c r="V3013" s="331"/>
      <c r="W3013" s="332"/>
      <c r="X3013" s="333"/>
      <c r="Y3013" s="33" t="s">
        <v>8076</v>
      </c>
      <c r="Z3013" s="368"/>
      <c r="AA3013" s="333"/>
      <c r="AB3013" s="258">
        <v>8.0</v>
      </c>
      <c r="AC3013" s="333"/>
      <c r="AD3013" s="329"/>
      <c r="AE3013" s="331"/>
      <c r="AF3013" s="336"/>
      <c r="AG3013" s="337"/>
      <c r="AH3013" s="333"/>
      <c r="AI3013" s="333"/>
      <c r="AJ3013" s="333"/>
      <c r="AK3013" s="333"/>
      <c r="AL3013" s="333"/>
      <c r="AM3013" s="338"/>
      <c r="AN3013" s="333"/>
      <c r="AO3013" s="333"/>
      <c r="AP3013" s="333"/>
      <c r="AQ3013" s="333"/>
      <c r="AR3013" s="333"/>
      <c r="AS3013" s="333"/>
      <c r="AT3013" s="333"/>
      <c r="AU3013" s="329"/>
      <c r="AV3013" s="341"/>
      <c r="AW3013" s="269"/>
      <c r="AX3013" s="269" t="s">
        <v>2869</v>
      </c>
      <c r="AY3013" s="270" t="s">
        <v>695</v>
      </c>
      <c r="AZ3013" s="379"/>
      <c r="BA3013" s="173">
        <v>10.0</v>
      </c>
      <c r="BB3013" s="341"/>
      <c r="BC3013" s="341"/>
      <c r="BD3013" s="308" t="s">
        <v>1844</v>
      </c>
      <c r="BE3013" s="364"/>
      <c r="BF3013" s="274" t="str">
        <f>IFERROR(__xludf.DUMMYFUNCTION("LOWER(Regexreplace(to_text(E3013),""[^A-Za-z0-9]"","""")&amp;""_""&amp;Regexreplace(to_text(F3013),""[^A-Za-z0-9]"",""""))"),"kamstrup_multical603")</f>
        <v>kamstrup_multical603</v>
      </c>
      <c r="BG3013" s="275" t="str">
        <f>IFERROR(__xludf.DUMMYFUNCTION("upper(Regexreplace(to_text(E3013),""[^A-Za-z0-9]"","""")&amp;""-""&amp;Regexreplace(to_text(F3013),""[^A-Za-z0-9]"",""""))"),"KAMSTRUP-MULTICAL603")</f>
        <v>KAMSTRUP-MULTICAL603</v>
      </c>
    </row>
    <row r="3014" ht="30.0" customHeight="1">
      <c r="A3014" s="258"/>
      <c r="B3014" s="328" t="s">
        <v>670</v>
      </c>
      <c r="C3014" s="257" t="s">
        <v>9361</v>
      </c>
      <c r="D3014" s="173" t="s">
        <v>9361</v>
      </c>
      <c r="E3014" s="174" t="s">
        <v>9296</v>
      </c>
      <c r="F3014" s="173" t="s">
        <v>9297</v>
      </c>
      <c r="G3014" s="328" t="s">
        <v>673</v>
      </c>
      <c r="H3014" s="328" t="s">
        <v>2863</v>
      </c>
      <c r="I3014" s="258" t="s">
        <v>9298</v>
      </c>
      <c r="J3014" s="259" t="s">
        <v>1272</v>
      </c>
      <c r="K3014" s="260">
        <v>833.0</v>
      </c>
      <c r="L3014" s="366"/>
      <c r="M3014" s="329"/>
      <c r="N3014" s="173" t="s">
        <v>679</v>
      </c>
      <c r="O3014" s="173" t="s">
        <v>225</v>
      </c>
      <c r="P3014" s="262" t="str">
        <f t="shared" si="1"/>
        <v>IN-BLR-ANANTA-HM-232_8</v>
      </c>
      <c r="Q3014" s="173" t="s">
        <v>9362</v>
      </c>
      <c r="R3014" s="328" t="str">
        <f>IFS(C3014="","",C3014="n/a","N/A",LEN(C3014),Concatenate("{",char(34),"asset",char(34),":{",char(34),"guid",char(34),":",char(34),Q3014,char(34),",",char(34),"site",char(34),":",char(34),LOWER('2-Building'!$B$4),char(34),",",char(34),"name",char(34),":",char(34),LOWER(C3014),char(34),"}}"))</f>
        <v>{"asset":{"guid":"uuid://5cd5c9a2-d510-425c-9449-599dff84accc","site":"in-blr-ananta","name":"hm-232"}}</v>
      </c>
      <c r="S3014" s="366" t="s">
        <v>2866</v>
      </c>
      <c r="T3014" s="330"/>
      <c r="U3014" s="330"/>
      <c r="V3014" s="331"/>
      <c r="W3014" s="332"/>
      <c r="X3014" s="333"/>
      <c r="Y3014" s="33" t="s">
        <v>8076</v>
      </c>
      <c r="Z3014" s="368"/>
      <c r="AA3014" s="333"/>
      <c r="AB3014" s="258">
        <v>9.0</v>
      </c>
      <c r="AC3014" s="333"/>
      <c r="AD3014" s="329"/>
      <c r="AE3014" s="331"/>
      <c r="AF3014" s="336"/>
      <c r="AG3014" s="337"/>
      <c r="AH3014" s="333"/>
      <c r="AI3014" s="333"/>
      <c r="AJ3014" s="333"/>
      <c r="AK3014" s="333"/>
      <c r="AL3014" s="333"/>
      <c r="AM3014" s="338"/>
      <c r="AN3014" s="333"/>
      <c r="AO3014" s="333"/>
      <c r="AP3014" s="333"/>
      <c r="AQ3014" s="333"/>
      <c r="AR3014" s="333"/>
      <c r="AS3014" s="333"/>
      <c r="AT3014" s="333"/>
      <c r="AU3014" s="329"/>
      <c r="AV3014" s="341"/>
      <c r="AW3014" s="269"/>
      <c r="AX3014" s="269" t="s">
        <v>2869</v>
      </c>
      <c r="AY3014" s="270" t="s">
        <v>695</v>
      </c>
      <c r="AZ3014" s="379"/>
      <c r="BA3014" s="173">
        <v>10.0</v>
      </c>
      <c r="BB3014" s="341"/>
      <c r="BC3014" s="341"/>
      <c r="BD3014" s="308" t="s">
        <v>1844</v>
      </c>
      <c r="BE3014" s="364"/>
      <c r="BF3014" s="274" t="str">
        <f>IFERROR(__xludf.DUMMYFUNCTION("LOWER(Regexreplace(to_text(E3014),""[^A-Za-z0-9]"","""")&amp;""_""&amp;Regexreplace(to_text(F3014),""[^A-Za-z0-9]"",""""))"),"kamstrup_multical603")</f>
        <v>kamstrup_multical603</v>
      </c>
      <c r="BG3014" s="275" t="str">
        <f>IFERROR(__xludf.DUMMYFUNCTION("upper(Regexreplace(to_text(E3014),""[^A-Za-z0-9]"","""")&amp;""-""&amp;Regexreplace(to_text(F3014),""[^A-Za-z0-9]"",""""))"),"KAMSTRUP-MULTICAL603")</f>
        <v>KAMSTRUP-MULTICAL603</v>
      </c>
    </row>
    <row r="3015" ht="30.0" customHeight="1">
      <c r="A3015" s="258"/>
      <c r="B3015" s="328" t="s">
        <v>670</v>
      </c>
      <c r="C3015" s="257" t="s">
        <v>9363</v>
      </c>
      <c r="D3015" s="173" t="s">
        <v>9363</v>
      </c>
      <c r="E3015" s="174" t="s">
        <v>9296</v>
      </c>
      <c r="F3015" s="173" t="s">
        <v>9297</v>
      </c>
      <c r="G3015" s="328" t="s">
        <v>673</v>
      </c>
      <c r="H3015" s="328" t="s">
        <v>2863</v>
      </c>
      <c r="I3015" s="258" t="s">
        <v>9298</v>
      </c>
      <c r="J3015" s="259" t="s">
        <v>1333</v>
      </c>
      <c r="K3015" s="260">
        <v>933.0</v>
      </c>
      <c r="L3015" s="366"/>
      <c r="M3015" s="329"/>
      <c r="N3015" s="173" t="s">
        <v>679</v>
      </c>
      <c r="O3015" s="173" t="s">
        <v>225</v>
      </c>
      <c r="P3015" s="262" t="str">
        <f t="shared" si="1"/>
        <v>IN-BLR-ANANTA-HM-233_9</v>
      </c>
      <c r="Q3015" s="173" t="s">
        <v>9364</v>
      </c>
      <c r="R3015" s="328" t="str">
        <f>IFS(C3015="","",C3015="n/a","N/A",LEN(C3015),Concatenate("{",char(34),"asset",char(34),":{",char(34),"guid",char(34),":",char(34),Q3015,char(34),",",char(34),"site",char(34),":",char(34),LOWER('2-Building'!$B$4),char(34),",",char(34),"name",char(34),":",char(34),LOWER(C3015),char(34),"}}"))</f>
        <v>{"asset":{"guid":"uuid://db58de2b-2ff5-4662-8b17-2479e4dd8e55","site":"in-blr-ananta","name":"hm-233"}}</v>
      </c>
      <c r="S3015" s="366" t="s">
        <v>2866</v>
      </c>
      <c r="T3015" s="330"/>
      <c r="U3015" s="330"/>
      <c r="V3015" s="331"/>
      <c r="W3015" s="332"/>
      <c r="X3015" s="333"/>
      <c r="Y3015" s="33" t="s">
        <v>8076</v>
      </c>
      <c r="Z3015" s="368"/>
      <c r="AA3015" s="333"/>
      <c r="AB3015" s="258">
        <v>10.0</v>
      </c>
      <c r="AC3015" s="333"/>
      <c r="AD3015" s="329"/>
      <c r="AE3015" s="331"/>
      <c r="AF3015" s="336"/>
      <c r="AG3015" s="337"/>
      <c r="AH3015" s="333"/>
      <c r="AI3015" s="333"/>
      <c r="AJ3015" s="333"/>
      <c r="AK3015" s="333"/>
      <c r="AL3015" s="333"/>
      <c r="AM3015" s="338"/>
      <c r="AN3015" s="333"/>
      <c r="AO3015" s="333"/>
      <c r="AP3015" s="333"/>
      <c r="AQ3015" s="333"/>
      <c r="AR3015" s="333"/>
      <c r="AS3015" s="333"/>
      <c r="AT3015" s="333"/>
      <c r="AU3015" s="329"/>
      <c r="AV3015" s="341"/>
      <c r="AW3015" s="269"/>
      <c r="AX3015" s="269" t="s">
        <v>2869</v>
      </c>
      <c r="AY3015" s="270" t="s">
        <v>695</v>
      </c>
      <c r="AZ3015" s="379"/>
      <c r="BA3015" s="173">
        <v>10.0</v>
      </c>
      <c r="BB3015" s="341"/>
      <c r="BC3015" s="341"/>
      <c r="BD3015" s="308" t="s">
        <v>1844</v>
      </c>
      <c r="BE3015" s="364"/>
      <c r="BF3015" s="274" t="str">
        <f>IFERROR(__xludf.DUMMYFUNCTION("LOWER(Regexreplace(to_text(E3015),""[^A-Za-z0-9]"","""")&amp;""_""&amp;Regexreplace(to_text(F3015),""[^A-Za-z0-9]"",""""))"),"kamstrup_multical603")</f>
        <v>kamstrup_multical603</v>
      </c>
      <c r="BG3015" s="275" t="str">
        <f>IFERROR(__xludf.DUMMYFUNCTION("upper(Regexreplace(to_text(E3015),""[^A-Za-z0-9]"","""")&amp;""-""&amp;Regexreplace(to_text(F3015),""[^A-Za-z0-9]"",""""))"),"KAMSTRUP-MULTICAL603")</f>
        <v>KAMSTRUP-MULTICAL603</v>
      </c>
    </row>
    <row r="3016" ht="30.0" customHeight="1">
      <c r="A3016" s="258"/>
      <c r="B3016" s="328" t="s">
        <v>670</v>
      </c>
      <c r="C3016" s="257" t="s">
        <v>9365</v>
      </c>
      <c r="D3016" s="173" t="s">
        <v>9365</v>
      </c>
      <c r="E3016" s="174" t="s">
        <v>9296</v>
      </c>
      <c r="F3016" s="173" t="s">
        <v>9297</v>
      </c>
      <c r="G3016" s="328" t="s">
        <v>673</v>
      </c>
      <c r="H3016" s="328" t="s">
        <v>2863</v>
      </c>
      <c r="I3016" s="258" t="s">
        <v>9298</v>
      </c>
      <c r="J3016" s="259" t="s">
        <v>1393</v>
      </c>
      <c r="K3016" s="260" t="s">
        <v>9366</v>
      </c>
      <c r="L3016" s="366"/>
      <c r="M3016" s="329"/>
      <c r="N3016" s="173" t="s">
        <v>679</v>
      </c>
      <c r="O3016" s="173" t="s">
        <v>225</v>
      </c>
      <c r="P3016" s="262" t="str">
        <f t="shared" si="1"/>
        <v>IN-BLR-ANANTA-HM-234_10</v>
      </c>
      <c r="Q3016" s="173" t="s">
        <v>9367</v>
      </c>
      <c r="R3016" s="328" t="str">
        <f>IFS(C3016="","",C3016="n/a","N/A",LEN(C3016),Concatenate("{",char(34),"asset",char(34),":{",char(34),"guid",char(34),":",char(34),Q3016,char(34),",",char(34),"site",char(34),":",char(34),LOWER('2-Building'!$B$4),char(34),",",char(34),"name",char(34),":",char(34),LOWER(C3016),char(34),"}}"))</f>
        <v>{"asset":{"guid":"uuid://1e065350-8cf3-49c6-a9ec-194a01ca7b08","site":"in-blr-ananta","name":"hm-234"}}</v>
      </c>
      <c r="S3016" s="366" t="s">
        <v>2866</v>
      </c>
      <c r="T3016" s="330"/>
      <c r="U3016" s="330"/>
      <c r="V3016" s="331"/>
      <c r="W3016" s="332"/>
      <c r="X3016" s="333"/>
      <c r="Y3016" s="33" t="s">
        <v>8076</v>
      </c>
      <c r="Z3016" s="368"/>
      <c r="AA3016" s="333"/>
      <c r="AB3016" s="258">
        <v>11.0</v>
      </c>
      <c r="AC3016" s="333"/>
      <c r="AD3016" s="329"/>
      <c r="AE3016" s="331"/>
      <c r="AF3016" s="336"/>
      <c r="AG3016" s="337"/>
      <c r="AH3016" s="333"/>
      <c r="AI3016" s="333"/>
      <c r="AJ3016" s="333"/>
      <c r="AK3016" s="333"/>
      <c r="AL3016" s="333"/>
      <c r="AM3016" s="338"/>
      <c r="AN3016" s="333"/>
      <c r="AO3016" s="333"/>
      <c r="AP3016" s="333"/>
      <c r="AQ3016" s="333"/>
      <c r="AR3016" s="333"/>
      <c r="AS3016" s="333"/>
      <c r="AT3016" s="333"/>
      <c r="AU3016" s="329"/>
      <c r="AV3016" s="341"/>
      <c r="AW3016" s="269"/>
      <c r="AX3016" s="269" t="s">
        <v>2869</v>
      </c>
      <c r="AY3016" s="270" t="s">
        <v>695</v>
      </c>
      <c r="AZ3016" s="379"/>
      <c r="BA3016" s="173">
        <v>10.0</v>
      </c>
      <c r="BB3016" s="341"/>
      <c r="BC3016" s="341"/>
      <c r="BD3016" s="308" t="s">
        <v>1844</v>
      </c>
      <c r="BE3016" s="364"/>
      <c r="BF3016" s="274" t="str">
        <f>IFERROR(__xludf.DUMMYFUNCTION("LOWER(Regexreplace(to_text(E3016),""[^A-Za-z0-9]"","""")&amp;""_""&amp;Regexreplace(to_text(F3016),""[^A-Za-z0-9]"",""""))"),"kamstrup_multical603")</f>
        <v>kamstrup_multical603</v>
      </c>
      <c r="BG3016" s="275" t="str">
        <f>IFERROR(__xludf.DUMMYFUNCTION("upper(Regexreplace(to_text(E3016),""[^A-Za-z0-9]"","""")&amp;""-""&amp;Regexreplace(to_text(F3016),""[^A-Za-z0-9]"",""""))"),"KAMSTRUP-MULTICAL603")</f>
        <v>KAMSTRUP-MULTICAL603</v>
      </c>
    </row>
    <row r="3017" ht="30.0" customHeight="1">
      <c r="A3017" s="258"/>
      <c r="B3017" s="328" t="s">
        <v>670</v>
      </c>
      <c r="C3017" s="257" t="s">
        <v>9368</v>
      </c>
      <c r="D3017" s="173" t="s">
        <v>9368</v>
      </c>
      <c r="E3017" s="174" t="s">
        <v>9296</v>
      </c>
      <c r="F3017" s="173" t="s">
        <v>9297</v>
      </c>
      <c r="G3017" s="328" t="s">
        <v>673</v>
      </c>
      <c r="H3017" s="328" t="s">
        <v>2863</v>
      </c>
      <c r="I3017" s="258" t="s">
        <v>9298</v>
      </c>
      <c r="J3017" s="259" t="s">
        <v>1453</v>
      </c>
      <c r="K3017" s="260" t="s">
        <v>1498</v>
      </c>
      <c r="L3017" s="366"/>
      <c r="M3017" s="329"/>
      <c r="N3017" s="173" t="s">
        <v>679</v>
      </c>
      <c r="O3017" s="173" t="s">
        <v>225</v>
      </c>
      <c r="P3017" s="262" t="str">
        <f t="shared" si="1"/>
        <v>IN-BLR-ANANTA-HM-235_11</v>
      </c>
      <c r="Q3017" s="173" t="s">
        <v>9369</v>
      </c>
      <c r="R3017" s="328" t="str">
        <f>IFS(C3017="","",C3017="n/a","N/A",LEN(C3017),Concatenate("{",char(34),"asset",char(34),":{",char(34),"guid",char(34),":",char(34),Q3017,char(34),",",char(34),"site",char(34),":",char(34),LOWER('2-Building'!$B$4),char(34),",",char(34),"name",char(34),":",char(34),LOWER(C3017),char(34),"}}"))</f>
        <v>{"asset":{"guid":"uuid://4e76bbe3-a195-4941-b0cb-82f71b95fbc6","site":"in-blr-ananta","name":"hm-235"}}</v>
      </c>
      <c r="S3017" s="366" t="s">
        <v>2866</v>
      </c>
      <c r="T3017" s="330"/>
      <c r="U3017" s="330"/>
      <c r="V3017" s="331"/>
      <c r="W3017" s="332"/>
      <c r="X3017" s="333"/>
      <c r="Y3017" s="33" t="s">
        <v>8076</v>
      </c>
      <c r="Z3017" s="368"/>
      <c r="AA3017" s="333"/>
      <c r="AB3017" s="258">
        <v>12.0</v>
      </c>
      <c r="AC3017" s="333"/>
      <c r="AD3017" s="329"/>
      <c r="AE3017" s="331"/>
      <c r="AF3017" s="336"/>
      <c r="AG3017" s="337"/>
      <c r="AH3017" s="333"/>
      <c r="AI3017" s="333"/>
      <c r="AJ3017" s="333"/>
      <c r="AK3017" s="333"/>
      <c r="AL3017" s="333"/>
      <c r="AM3017" s="338"/>
      <c r="AN3017" s="333"/>
      <c r="AO3017" s="333"/>
      <c r="AP3017" s="333"/>
      <c r="AQ3017" s="333"/>
      <c r="AR3017" s="333"/>
      <c r="AS3017" s="333"/>
      <c r="AT3017" s="333"/>
      <c r="AU3017" s="329"/>
      <c r="AV3017" s="341"/>
      <c r="AW3017" s="269"/>
      <c r="AX3017" s="269" t="s">
        <v>2869</v>
      </c>
      <c r="AY3017" s="270" t="s">
        <v>695</v>
      </c>
      <c r="AZ3017" s="379"/>
      <c r="BA3017" s="173">
        <v>10.0</v>
      </c>
      <c r="BB3017" s="341"/>
      <c r="BC3017" s="341"/>
      <c r="BD3017" s="308" t="s">
        <v>1844</v>
      </c>
      <c r="BE3017" s="364"/>
      <c r="BF3017" s="274" t="str">
        <f>IFERROR(__xludf.DUMMYFUNCTION("LOWER(Regexreplace(to_text(E3017),""[^A-Za-z0-9]"","""")&amp;""_""&amp;Regexreplace(to_text(F3017),""[^A-Za-z0-9]"",""""))"),"kamstrup_multical603")</f>
        <v>kamstrup_multical603</v>
      </c>
      <c r="BG3017" s="275" t="str">
        <f>IFERROR(__xludf.DUMMYFUNCTION("upper(Regexreplace(to_text(E3017),""[^A-Za-z0-9]"","""")&amp;""-""&amp;Regexreplace(to_text(F3017),""[^A-Za-z0-9]"",""""))"),"KAMSTRUP-MULTICAL603")</f>
        <v>KAMSTRUP-MULTICAL603</v>
      </c>
    </row>
    <row r="3018" ht="30.0" customHeight="1">
      <c r="A3018" s="258"/>
      <c r="B3018" s="328" t="s">
        <v>670</v>
      </c>
      <c r="C3018" s="257" t="s">
        <v>9370</v>
      </c>
      <c r="D3018" s="173" t="s">
        <v>9370</v>
      </c>
      <c r="E3018" s="174" t="s">
        <v>9296</v>
      </c>
      <c r="F3018" s="173" t="s">
        <v>9297</v>
      </c>
      <c r="G3018" s="328" t="s">
        <v>673</v>
      </c>
      <c r="H3018" s="328" t="s">
        <v>2863</v>
      </c>
      <c r="I3018" s="258" t="s">
        <v>9298</v>
      </c>
      <c r="J3018" s="259" t="s">
        <v>739</v>
      </c>
      <c r="K3018" s="260" t="s">
        <v>820</v>
      </c>
      <c r="L3018" s="366"/>
      <c r="M3018" s="329"/>
      <c r="N3018" s="173" t="s">
        <v>679</v>
      </c>
      <c r="O3018" s="173" t="s">
        <v>225</v>
      </c>
      <c r="P3018" s="262" t="str">
        <f t="shared" si="1"/>
        <v>IN-BLR-ANANTA-HM-236_G</v>
      </c>
      <c r="Q3018" s="173" t="s">
        <v>9371</v>
      </c>
      <c r="R3018" s="328" t="str">
        <f>IFS(C3018="","",C3018="n/a","N/A",LEN(C3018),Concatenate("{",char(34),"asset",char(34),":{",char(34),"guid",char(34),":",char(34),Q3018,char(34),",",char(34),"site",char(34),":",char(34),LOWER('2-Building'!$B$4),char(34),",",char(34),"name",char(34),":",char(34),LOWER(C3018),char(34),"}}"))</f>
        <v>{"asset":{"guid":"uuid://618b0208-5f69-4674-aab9-adfdcd9c4af1","site":"in-blr-ananta","name":"hm-236"}}</v>
      </c>
      <c r="S3018" s="366" t="s">
        <v>2866</v>
      </c>
      <c r="T3018" s="330"/>
      <c r="U3018" s="330"/>
      <c r="V3018" s="331"/>
      <c r="W3018" s="332"/>
      <c r="X3018" s="333"/>
      <c r="Y3018" s="33" t="s">
        <v>8076</v>
      </c>
      <c r="Z3018" s="368"/>
      <c r="AA3018" s="333"/>
      <c r="AB3018" s="258">
        <v>1.0</v>
      </c>
      <c r="AC3018" s="333"/>
      <c r="AD3018" s="329"/>
      <c r="AE3018" s="331"/>
      <c r="AF3018" s="336"/>
      <c r="AG3018" s="337"/>
      <c r="AH3018" s="333"/>
      <c r="AI3018" s="333"/>
      <c r="AJ3018" s="333"/>
      <c r="AK3018" s="333"/>
      <c r="AL3018" s="333"/>
      <c r="AM3018" s="338"/>
      <c r="AN3018" s="333"/>
      <c r="AO3018" s="333"/>
      <c r="AP3018" s="333"/>
      <c r="AQ3018" s="333"/>
      <c r="AR3018" s="333"/>
      <c r="AS3018" s="333"/>
      <c r="AT3018" s="333"/>
      <c r="AU3018" s="329"/>
      <c r="AV3018" s="341"/>
      <c r="AW3018" s="269"/>
      <c r="AX3018" s="269" t="s">
        <v>2869</v>
      </c>
      <c r="AY3018" s="270" t="s">
        <v>695</v>
      </c>
      <c r="AZ3018" s="379"/>
      <c r="BA3018" s="173">
        <v>10.0</v>
      </c>
      <c r="BB3018" s="341"/>
      <c r="BC3018" s="341"/>
      <c r="BD3018" s="308" t="s">
        <v>1844</v>
      </c>
      <c r="BE3018" s="364"/>
      <c r="BF3018" s="274" t="str">
        <f>IFERROR(__xludf.DUMMYFUNCTION("LOWER(Regexreplace(to_text(E3018),""[^A-Za-z0-9]"","""")&amp;""_""&amp;Regexreplace(to_text(F3018),""[^A-Za-z0-9]"",""""))"),"kamstrup_multical603")</f>
        <v>kamstrup_multical603</v>
      </c>
      <c r="BG3018" s="275" t="str">
        <f>IFERROR(__xludf.DUMMYFUNCTION("upper(Regexreplace(to_text(E3018),""[^A-Za-z0-9]"","""")&amp;""-""&amp;Regexreplace(to_text(F3018),""[^A-Za-z0-9]"",""""))"),"KAMSTRUP-MULTICAL603")</f>
        <v>KAMSTRUP-MULTICAL603</v>
      </c>
    </row>
    <row r="3019" ht="30.0" customHeight="1">
      <c r="A3019" s="258"/>
      <c r="B3019" s="328" t="s">
        <v>670</v>
      </c>
      <c r="C3019" s="257" t="s">
        <v>9372</v>
      </c>
      <c r="D3019" s="173" t="s">
        <v>9372</v>
      </c>
      <c r="E3019" s="174" t="s">
        <v>9296</v>
      </c>
      <c r="F3019" s="173" t="s">
        <v>9297</v>
      </c>
      <c r="G3019" s="328" t="s">
        <v>673</v>
      </c>
      <c r="H3019" s="328" t="s">
        <v>2863</v>
      </c>
      <c r="I3019" s="258" t="s">
        <v>9298</v>
      </c>
      <c r="J3019" s="259" t="s">
        <v>846</v>
      </c>
      <c r="K3019" s="260" t="s">
        <v>896</v>
      </c>
      <c r="L3019" s="366"/>
      <c r="M3019" s="329"/>
      <c r="N3019" s="173" t="s">
        <v>679</v>
      </c>
      <c r="O3019" s="173" t="s">
        <v>225</v>
      </c>
      <c r="P3019" s="262" t="str">
        <f t="shared" si="1"/>
        <v>IN-BLR-ANANTA-HM-237_1</v>
      </c>
      <c r="Q3019" s="173" t="s">
        <v>9373</v>
      </c>
      <c r="R3019" s="328" t="str">
        <f>IFS(C3019="","",C3019="n/a","N/A",LEN(C3019),Concatenate("{",char(34),"asset",char(34),":{",char(34),"guid",char(34),":",char(34),Q3019,char(34),",",char(34),"site",char(34),":",char(34),LOWER('2-Building'!$B$4),char(34),",",char(34),"name",char(34),":",char(34),LOWER(C3019),char(34),"}}"))</f>
        <v>{"asset":{"guid":"uuid://aea47224-decb-4536-b17c-b325b434c4ad","site":"in-blr-ananta","name":"hm-237"}}</v>
      </c>
      <c r="S3019" s="366" t="s">
        <v>2866</v>
      </c>
      <c r="T3019" s="330"/>
      <c r="U3019" s="330"/>
      <c r="V3019" s="331"/>
      <c r="W3019" s="332"/>
      <c r="X3019" s="333"/>
      <c r="Y3019" s="33" t="s">
        <v>8076</v>
      </c>
      <c r="Z3019" s="368"/>
      <c r="AA3019" s="333"/>
      <c r="AB3019" s="258">
        <v>2.0</v>
      </c>
      <c r="AC3019" s="333"/>
      <c r="AD3019" s="329"/>
      <c r="AE3019" s="331"/>
      <c r="AF3019" s="336"/>
      <c r="AG3019" s="337"/>
      <c r="AH3019" s="333"/>
      <c r="AI3019" s="333"/>
      <c r="AJ3019" s="333"/>
      <c r="AK3019" s="333"/>
      <c r="AL3019" s="333"/>
      <c r="AM3019" s="338"/>
      <c r="AN3019" s="333"/>
      <c r="AO3019" s="333"/>
      <c r="AP3019" s="333"/>
      <c r="AQ3019" s="333"/>
      <c r="AR3019" s="333"/>
      <c r="AS3019" s="333"/>
      <c r="AT3019" s="333"/>
      <c r="AU3019" s="329"/>
      <c r="AV3019" s="341"/>
      <c r="AW3019" s="269"/>
      <c r="AX3019" s="269" t="s">
        <v>2869</v>
      </c>
      <c r="AY3019" s="270" t="s">
        <v>695</v>
      </c>
      <c r="AZ3019" s="379"/>
      <c r="BA3019" s="173">
        <v>10.0</v>
      </c>
      <c r="BB3019" s="341"/>
      <c r="BC3019" s="341"/>
      <c r="BD3019" s="308" t="s">
        <v>1844</v>
      </c>
      <c r="BE3019" s="364"/>
      <c r="BF3019" s="274" t="str">
        <f>IFERROR(__xludf.DUMMYFUNCTION("LOWER(Regexreplace(to_text(E3019),""[^A-Za-z0-9]"","""")&amp;""_""&amp;Regexreplace(to_text(F3019),""[^A-Za-z0-9]"",""""))"),"kamstrup_multical603")</f>
        <v>kamstrup_multical603</v>
      </c>
      <c r="BG3019" s="275" t="str">
        <f>IFERROR(__xludf.DUMMYFUNCTION("upper(Regexreplace(to_text(E3019),""[^A-Za-z0-9]"","""")&amp;""-""&amp;Regexreplace(to_text(F3019),""[^A-Za-z0-9]"",""""))"),"KAMSTRUP-MULTICAL603")</f>
        <v>KAMSTRUP-MULTICAL603</v>
      </c>
    </row>
    <row r="3020" ht="30.0" customHeight="1">
      <c r="A3020" s="258"/>
      <c r="B3020" s="328" t="s">
        <v>670</v>
      </c>
      <c r="C3020" s="257" t="s">
        <v>9374</v>
      </c>
      <c r="D3020" s="173" t="s">
        <v>9374</v>
      </c>
      <c r="E3020" s="174" t="s">
        <v>9296</v>
      </c>
      <c r="F3020" s="173" t="s">
        <v>9297</v>
      </c>
      <c r="G3020" s="328" t="s">
        <v>673</v>
      </c>
      <c r="H3020" s="328" t="s">
        <v>2863</v>
      </c>
      <c r="I3020" s="258" t="s">
        <v>9298</v>
      </c>
      <c r="J3020" s="259" t="s">
        <v>902</v>
      </c>
      <c r="K3020" s="260">
        <v>234.0</v>
      </c>
      <c r="L3020" s="366"/>
      <c r="M3020" s="329"/>
      <c r="N3020" s="173" t="s">
        <v>679</v>
      </c>
      <c r="O3020" s="173" t="s">
        <v>225</v>
      </c>
      <c r="P3020" s="262" t="str">
        <f t="shared" si="1"/>
        <v>IN-BLR-ANANTA-HM-238_2</v>
      </c>
      <c r="Q3020" s="173" t="s">
        <v>9375</v>
      </c>
      <c r="R3020" s="328" t="str">
        <f>IFS(C3020="","",C3020="n/a","N/A",LEN(C3020),Concatenate("{",char(34),"asset",char(34),":{",char(34),"guid",char(34),":",char(34),Q3020,char(34),",",char(34),"site",char(34),":",char(34),LOWER('2-Building'!$B$4),char(34),",",char(34),"name",char(34),":",char(34),LOWER(C3020),char(34),"}}"))</f>
        <v>{"asset":{"guid":"uuid://66214d30-efaa-499c-8303-6dea96a2d285","site":"in-blr-ananta","name":"hm-238"}}</v>
      </c>
      <c r="S3020" s="366" t="s">
        <v>2866</v>
      </c>
      <c r="T3020" s="330"/>
      <c r="U3020" s="330"/>
      <c r="V3020" s="331"/>
      <c r="W3020" s="332"/>
      <c r="X3020" s="333"/>
      <c r="Y3020" s="33" t="s">
        <v>8076</v>
      </c>
      <c r="Z3020" s="368"/>
      <c r="AA3020" s="333"/>
      <c r="AB3020" s="258">
        <v>3.0</v>
      </c>
      <c r="AC3020" s="333"/>
      <c r="AD3020" s="329"/>
      <c r="AE3020" s="331"/>
      <c r="AF3020" s="336"/>
      <c r="AG3020" s="337"/>
      <c r="AH3020" s="333"/>
      <c r="AI3020" s="333"/>
      <c r="AJ3020" s="333"/>
      <c r="AK3020" s="333"/>
      <c r="AL3020" s="333"/>
      <c r="AM3020" s="338"/>
      <c r="AN3020" s="333"/>
      <c r="AO3020" s="333"/>
      <c r="AP3020" s="333"/>
      <c r="AQ3020" s="333"/>
      <c r="AR3020" s="333"/>
      <c r="AS3020" s="333"/>
      <c r="AT3020" s="333"/>
      <c r="AU3020" s="329"/>
      <c r="AV3020" s="341"/>
      <c r="AW3020" s="269"/>
      <c r="AX3020" s="269" t="s">
        <v>2869</v>
      </c>
      <c r="AY3020" s="270" t="s">
        <v>695</v>
      </c>
      <c r="AZ3020" s="379"/>
      <c r="BA3020" s="173">
        <v>10.0</v>
      </c>
      <c r="BB3020" s="341"/>
      <c r="BC3020" s="341"/>
      <c r="BD3020" s="308" t="s">
        <v>1844</v>
      </c>
      <c r="BE3020" s="364"/>
      <c r="BF3020" s="274" t="str">
        <f>IFERROR(__xludf.DUMMYFUNCTION("LOWER(Regexreplace(to_text(E3020),""[^A-Za-z0-9]"","""")&amp;""_""&amp;Regexreplace(to_text(F3020),""[^A-Za-z0-9]"",""""))"),"kamstrup_multical603")</f>
        <v>kamstrup_multical603</v>
      </c>
      <c r="BG3020" s="275" t="str">
        <f>IFERROR(__xludf.DUMMYFUNCTION("upper(Regexreplace(to_text(E3020),""[^A-Za-z0-9]"","""")&amp;""-""&amp;Regexreplace(to_text(F3020),""[^A-Za-z0-9]"",""""))"),"KAMSTRUP-MULTICAL603")</f>
        <v>KAMSTRUP-MULTICAL603</v>
      </c>
    </row>
    <row r="3021" ht="30.0" customHeight="1">
      <c r="A3021" s="258"/>
      <c r="B3021" s="328" t="s">
        <v>670</v>
      </c>
      <c r="C3021" s="257" t="s">
        <v>9376</v>
      </c>
      <c r="D3021" s="173" t="s">
        <v>9376</v>
      </c>
      <c r="E3021" s="174" t="s">
        <v>9296</v>
      </c>
      <c r="F3021" s="173" t="s">
        <v>9297</v>
      </c>
      <c r="G3021" s="328" t="s">
        <v>673</v>
      </c>
      <c r="H3021" s="328" t="s">
        <v>2863</v>
      </c>
      <c r="I3021" s="258" t="s">
        <v>9298</v>
      </c>
      <c r="J3021" s="259" t="s">
        <v>965</v>
      </c>
      <c r="K3021" s="260">
        <v>334.0</v>
      </c>
      <c r="L3021" s="366"/>
      <c r="M3021" s="329"/>
      <c r="N3021" s="173" t="s">
        <v>679</v>
      </c>
      <c r="O3021" s="173" t="s">
        <v>225</v>
      </c>
      <c r="P3021" s="262" t="str">
        <f t="shared" si="1"/>
        <v>IN-BLR-ANANTA-HM-239_3</v>
      </c>
      <c r="Q3021" s="173" t="s">
        <v>9377</v>
      </c>
      <c r="R3021" s="328" t="str">
        <f>IFS(C3021="","",C3021="n/a","N/A",LEN(C3021),Concatenate("{",char(34),"asset",char(34),":{",char(34),"guid",char(34),":",char(34),Q3021,char(34),",",char(34),"site",char(34),":",char(34),LOWER('2-Building'!$B$4),char(34),",",char(34),"name",char(34),":",char(34),LOWER(C3021),char(34),"}}"))</f>
        <v>{"asset":{"guid":"uuid://a00024c2-36b5-47d0-98d4-e248f8b0bf7e","site":"in-blr-ananta","name":"hm-239"}}</v>
      </c>
      <c r="S3021" s="366" t="s">
        <v>2866</v>
      </c>
      <c r="T3021" s="330"/>
      <c r="U3021" s="330"/>
      <c r="V3021" s="331"/>
      <c r="W3021" s="332"/>
      <c r="X3021" s="333"/>
      <c r="Y3021" s="33" t="s">
        <v>8076</v>
      </c>
      <c r="Z3021" s="368"/>
      <c r="AA3021" s="333"/>
      <c r="AB3021" s="258">
        <v>4.0</v>
      </c>
      <c r="AC3021" s="333"/>
      <c r="AD3021" s="329"/>
      <c r="AE3021" s="331"/>
      <c r="AF3021" s="336"/>
      <c r="AG3021" s="337"/>
      <c r="AH3021" s="333"/>
      <c r="AI3021" s="333"/>
      <c r="AJ3021" s="333"/>
      <c r="AK3021" s="333"/>
      <c r="AL3021" s="333"/>
      <c r="AM3021" s="338"/>
      <c r="AN3021" s="333"/>
      <c r="AO3021" s="333"/>
      <c r="AP3021" s="333"/>
      <c r="AQ3021" s="333"/>
      <c r="AR3021" s="333"/>
      <c r="AS3021" s="333"/>
      <c r="AT3021" s="333"/>
      <c r="AU3021" s="329"/>
      <c r="AV3021" s="341"/>
      <c r="AW3021" s="269"/>
      <c r="AX3021" s="269" t="s">
        <v>2869</v>
      </c>
      <c r="AY3021" s="270" t="s">
        <v>695</v>
      </c>
      <c r="AZ3021" s="379"/>
      <c r="BA3021" s="173">
        <v>10.0</v>
      </c>
      <c r="BB3021" s="341"/>
      <c r="BC3021" s="341"/>
      <c r="BD3021" s="308" t="s">
        <v>1844</v>
      </c>
      <c r="BE3021" s="364"/>
      <c r="BF3021" s="274" t="str">
        <f>IFERROR(__xludf.DUMMYFUNCTION("LOWER(Regexreplace(to_text(E3021),""[^A-Za-z0-9]"","""")&amp;""_""&amp;Regexreplace(to_text(F3021),""[^A-Za-z0-9]"",""""))"),"kamstrup_multical603")</f>
        <v>kamstrup_multical603</v>
      </c>
      <c r="BG3021" s="275" t="str">
        <f>IFERROR(__xludf.DUMMYFUNCTION("upper(Regexreplace(to_text(E3021),""[^A-Za-z0-9]"","""")&amp;""-""&amp;Regexreplace(to_text(F3021),""[^A-Za-z0-9]"",""""))"),"KAMSTRUP-MULTICAL603")</f>
        <v>KAMSTRUP-MULTICAL603</v>
      </c>
    </row>
    <row r="3022" ht="30.0" customHeight="1">
      <c r="A3022" s="258"/>
      <c r="B3022" s="328" t="s">
        <v>670</v>
      </c>
      <c r="C3022" s="257" t="s">
        <v>9378</v>
      </c>
      <c r="D3022" s="173" t="s">
        <v>9378</v>
      </c>
      <c r="E3022" s="174" t="s">
        <v>9296</v>
      </c>
      <c r="F3022" s="173" t="s">
        <v>9297</v>
      </c>
      <c r="G3022" s="328" t="s">
        <v>673</v>
      </c>
      <c r="H3022" s="328" t="s">
        <v>2863</v>
      </c>
      <c r="I3022" s="258" t="s">
        <v>9298</v>
      </c>
      <c r="J3022" s="259" t="s">
        <v>1026</v>
      </c>
      <c r="K3022" s="260">
        <v>434.0</v>
      </c>
      <c r="L3022" s="366"/>
      <c r="M3022" s="329"/>
      <c r="N3022" s="173" t="s">
        <v>679</v>
      </c>
      <c r="O3022" s="173" t="s">
        <v>225</v>
      </c>
      <c r="P3022" s="262" t="str">
        <f t="shared" si="1"/>
        <v>IN-BLR-ANANTA-HM-240_4</v>
      </c>
      <c r="Q3022" s="173" t="s">
        <v>9379</v>
      </c>
      <c r="R3022" s="328" t="str">
        <f>IFS(C3022="","",C3022="n/a","N/A",LEN(C3022),Concatenate("{",char(34),"asset",char(34),":{",char(34),"guid",char(34),":",char(34),Q3022,char(34),",",char(34),"site",char(34),":",char(34),LOWER('2-Building'!$B$4),char(34),",",char(34),"name",char(34),":",char(34),LOWER(C3022),char(34),"}}"))</f>
        <v>{"asset":{"guid":"uuid://709b3852-9d06-4feb-9c85-4ec48b9441fb","site":"in-blr-ananta","name":"hm-240"}}</v>
      </c>
      <c r="S3022" s="366" t="s">
        <v>2866</v>
      </c>
      <c r="T3022" s="330"/>
      <c r="U3022" s="330"/>
      <c r="V3022" s="331"/>
      <c r="W3022" s="332"/>
      <c r="X3022" s="333"/>
      <c r="Y3022" s="33" t="s">
        <v>8076</v>
      </c>
      <c r="Z3022" s="368"/>
      <c r="AA3022" s="333"/>
      <c r="AB3022" s="258">
        <v>5.0</v>
      </c>
      <c r="AC3022" s="333"/>
      <c r="AD3022" s="329"/>
      <c r="AE3022" s="331"/>
      <c r="AF3022" s="336"/>
      <c r="AG3022" s="337"/>
      <c r="AH3022" s="333"/>
      <c r="AI3022" s="333"/>
      <c r="AJ3022" s="333"/>
      <c r="AK3022" s="333"/>
      <c r="AL3022" s="333"/>
      <c r="AM3022" s="338"/>
      <c r="AN3022" s="333"/>
      <c r="AO3022" s="333"/>
      <c r="AP3022" s="333"/>
      <c r="AQ3022" s="333"/>
      <c r="AR3022" s="333"/>
      <c r="AS3022" s="333"/>
      <c r="AT3022" s="333"/>
      <c r="AU3022" s="329"/>
      <c r="AV3022" s="341"/>
      <c r="AW3022" s="269"/>
      <c r="AX3022" s="269" t="s">
        <v>2869</v>
      </c>
      <c r="AY3022" s="270" t="s">
        <v>695</v>
      </c>
      <c r="AZ3022" s="379"/>
      <c r="BA3022" s="173">
        <v>10.0</v>
      </c>
      <c r="BB3022" s="341"/>
      <c r="BC3022" s="341"/>
      <c r="BD3022" s="308" t="s">
        <v>1844</v>
      </c>
      <c r="BE3022" s="364"/>
      <c r="BF3022" s="274" t="str">
        <f>IFERROR(__xludf.DUMMYFUNCTION("LOWER(Regexreplace(to_text(E3022),""[^A-Za-z0-9]"","""")&amp;""_""&amp;Regexreplace(to_text(F3022),""[^A-Za-z0-9]"",""""))"),"kamstrup_multical603")</f>
        <v>kamstrup_multical603</v>
      </c>
      <c r="BG3022" s="275" t="str">
        <f>IFERROR(__xludf.DUMMYFUNCTION("upper(Regexreplace(to_text(E3022),""[^A-Za-z0-9]"","""")&amp;""-""&amp;Regexreplace(to_text(F3022),""[^A-Za-z0-9]"",""""))"),"KAMSTRUP-MULTICAL603")</f>
        <v>KAMSTRUP-MULTICAL603</v>
      </c>
    </row>
    <row r="3023" ht="30.0" customHeight="1">
      <c r="A3023" s="258"/>
      <c r="B3023" s="328" t="s">
        <v>670</v>
      </c>
      <c r="C3023" s="257" t="s">
        <v>9380</v>
      </c>
      <c r="D3023" s="173" t="s">
        <v>9380</v>
      </c>
      <c r="E3023" s="174" t="s">
        <v>9296</v>
      </c>
      <c r="F3023" s="173" t="s">
        <v>9297</v>
      </c>
      <c r="G3023" s="328" t="s">
        <v>673</v>
      </c>
      <c r="H3023" s="328" t="s">
        <v>2863</v>
      </c>
      <c r="I3023" s="258" t="s">
        <v>9298</v>
      </c>
      <c r="J3023" s="259" t="s">
        <v>1088</v>
      </c>
      <c r="K3023" s="260">
        <v>534.0</v>
      </c>
      <c r="L3023" s="366"/>
      <c r="M3023" s="329"/>
      <c r="N3023" s="173" t="s">
        <v>679</v>
      </c>
      <c r="O3023" s="173" t="s">
        <v>225</v>
      </c>
      <c r="P3023" s="262" t="str">
        <f t="shared" si="1"/>
        <v>IN-BLR-ANANTA-HM-241_5</v>
      </c>
      <c r="Q3023" s="173" t="s">
        <v>9381</v>
      </c>
      <c r="R3023" s="328" t="str">
        <f>IFS(C3023="","",C3023="n/a","N/A",LEN(C3023),Concatenate("{",char(34),"asset",char(34),":{",char(34),"guid",char(34),":",char(34),Q3023,char(34),",",char(34),"site",char(34),":",char(34),LOWER('2-Building'!$B$4),char(34),",",char(34),"name",char(34),":",char(34),LOWER(C3023),char(34),"}}"))</f>
        <v>{"asset":{"guid":"uuid://7e04022e-6c2a-4a7a-84ad-94f024b0d073","site":"in-blr-ananta","name":"hm-241"}}</v>
      </c>
      <c r="S3023" s="366" t="s">
        <v>2866</v>
      </c>
      <c r="T3023" s="330"/>
      <c r="U3023" s="330"/>
      <c r="V3023" s="331"/>
      <c r="W3023" s="332"/>
      <c r="X3023" s="333"/>
      <c r="Y3023" s="33" t="s">
        <v>8076</v>
      </c>
      <c r="Z3023" s="368"/>
      <c r="AA3023" s="333"/>
      <c r="AB3023" s="258">
        <v>6.0</v>
      </c>
      <c r="AC3023" s="333"/>
      <c r="AD3023" s="329"/>
      <c r="AE3023" s="331"/>
      <c r="AF3023" s="336"/>
      <c r="AG3023" s="337"/>
      <c r="AH3023" s="333"/>
      <c r="AI3023" s="333"/>
      <c r="AJ3023" s="333"/>
      <c r="AK3023" s="333"/>
      <c r="AL3023" s="333"/>
      <c r="AM3023" s="338"/>
      <c r="AN3023" s="333"/>
      <c r="AO3023" s="333"/>
      <c r="AP3023" s="333"/>
      <c r="AQ3023" s="333"/>
      <c r="AR3023" s="333"/>
      <c r="AS3023" s="333"/>
      <c r="AT3023" s="333"/>
      <c r="AU3023" s="329"/>
      <c r="AV3023" s="341"/>
      <c r="AW3023" s="269"/>
      <c r="AX3023" s="269" t="s">
        <v>2869</v>
      </c>
      <c r="AY3023" s="270" t="s">
        <v>695</v>
      </c>
      <c r="AZ3023" s="379"/>
      <c r="BA3023" s="173">
        <v>10.0</v>
      </c>
      <c r="BB3023" s="341"/>
      <c r="BC3023" s="341"/>
      <c r="BD3023" s="308" t="s">
        <v>1844</v>
      </c>
      <c r="BE3023" s="364"/>
      <c r="BF3023" s="274" t="str">
        <f>IFERROR(__xludf.DUMMYFUNCTION("LOWER(Regexreplace(to_text(E3023),""[^A-Za-z0-9]"","""")&amp;""_""&amp;Regexreplace(to_text(F3023),""[^A-Za-z0-9]"",""""))"),"kamstrup_multical603")</f>
        <v>kamstrup_multical603</v>
      </c>
      <c r="BG3023" s="275" t="str">
        <f>IFERROR(__xludf.DUMMYFUNCTION("upper(Regexreplace(to_text(E3023),""[^A-Za-z0-9]"","""")&amp;""-""&amp;Regexreplace(to_text(F3023),""[^A-Za-z0-9]"",""""))"),"KAMSTRUP-MULTICAL603")</f>
        <v>KAMSTRUP-MULTICAL603</v>
      </c>
    </row>
    <row r="3024" ht="30.0" customHeight="1">
      <c r="A3024" s="258"/>
      <c r="B3024" s="328" t="s">
        <v>670</v>
      </c>
      <c r="C3024" s="257" t="s">
        <v>9382</v>
      </c>
      <c r="D3024" s="173" t="s">
        <v>9382</v>
      </c>
      <c r="E3024" s="174" t="s">
        <v>9296</v>
      </c>
      <c r="F3024" s="173" t="s">
        <v>9297</v>
      </c>
      <c r="G3024" s="328" t="s">
        <v>673</v>
      </c>
      <c r="H3024" s="328" t="s">
        <v>2863</v>
      </c>
      <c r="I3024" s="258" t="s">
        <v>9298</v>
      </c>
      <c r="J3024" s="259" t="s">
        <v>1149</v>
      </c>
      <c r="K3024" s="260">
        <v>634.0</v>
      </c>
      <c r="L3024" s="366"/>
      <c r="M3024" s="329"/>
      <c r="N3024" s="173" t="s">
        <v>679</v>
      </c>
      <c r="O3024" s="173" t="s">
        <v>225</v>
      </c>
      <c r="P3024" s="262" t="str">
        <f t="shared" si="1"/>
        <v>IN-BLR-ANANTA-HM-242_6</v>
      </c>
      <c r="Q3024" s="173" t="s">
        <v>9383</v>
      </c>
      <c r="R3024" s="328" t="str">
        <f>IFS(C3024="","",C3024="n/a","N/A",LEN(C3024),Concatenate("{",char(34),"asset",char(34),":{",char(34),"guid",char(34),":",char(34),Q3024,char(34),",",char(34),"site",char(34),":",char(34),LOWER('2-Building'!$B$4),char(34),",",char(34),"name",char(34),":",char(34),LOWER(C3024),char(34),"}}"))</f>
        <v>{"asset":{"guid":"uuid://9131e3ac-be6c-46f5-9055-ad4afd573826","site":"in-blr-ananta","name":"hm-242"}}</v>
      </c>
      <c r="S3024" s="366" t="s">
        <v>2866</v>
      </c>
      <c r="T3024" s="330"/>
      <c r="U3024" s="330"/>
      <c r="V3024" s="331"/>
      <c r="W3024" s="332"/>
      <c r="X3024" s="333"/>
      <c r="Y3024" s="33" t="s">
        <v>8076</v>
      </c>
      <c r="Z3024" s="368"/>
      <c r="AA3024" s="333"/>
      <c r="AB3024" s="258">
        <v>7.0</v>
      </c>
      <c r="AC3024" s="333"/>
      <c r="AD3024" s="329"/>
      <c r="AE3024" s="331"/>
      <c r="AF3024" s="336"/>
      <c r="AG3024" s="337"/>
      <c r="AH3024" s="333"/>
      <c r="AI3024" s="333"/>
      <c r="AJ3024" s="333"/>
      <c r="AK3024" s="333"/>
      <c r="AL3024" s="333"/>
      <c r="AM3024" s="338"/>
      <c r="AN3024" s="333"/>
      <c r="AO3024" s="333"/>
      <c r="AP3024" s="333"/>
      <c r="AQ3024" s="333"/>
      <c r="AR3024" s="333"/>
      <c r="AS3024" s="333"/>
      <c r="AT3024" s="333"/>
      <c r="AU3024" s="329"/>
      <c r="AV3024" s="341"/>
      <c r="AW3024" s="269"/>
      <c r="AX3024" s="269" t="s">
        <v>2869</v>
      </c>
      <c r="AY3024" s="270" t="s">
        <v>695</v>
      </c>
      <c r="AZ3024" s="379"/>
      <c r="BA3024" s="173">
        <v>10.0</v>
      </c>
      <c r="BB3024" s="341"/>
      <c r="BC3024" s="341"/>
      <c r="BD3024" s="308" t="s">
        <v>1844</v>
      </c>
      <c r="BE3024" s="364"/>
      <c r="BF3024" s="274" t="str">
        <f>IFERROR(__xludf.DUMMYFUNCTION("LOWER(Regexreplace(to_text(E3024),""[^A-Za-z0-9]"","""")&amp;""_""&amp;Regexreplace(to_text(F3024),""[^A-Za-z0-9]"",""""))"),"kamstrup_multical603")</f>
        <v>kamstrup_multical603</v>
      </c>
      <c r="BG3024" s="275" t="str">
        <f>IFERROR(__xludf.DUMMYFUNCTION("upper(Regexreplace(to_text(E3024),""[^A-Za-z0-9]"","""")&amp;""-""&amp;Regexreplace(to_text(F3024),""[^A-Za-z0-9]"",""""))"),"KAMSTRUP-MULTICAL603")</f>
        <v>KAMSTRUP-MULTICAL603</v>
      </c>
    </row>
    <row r="3025" ht="30.0" customHeight="1">
      <c r="A3025" s="258"/>
      <c r="B3025" s="328" t="s">
        <v>670</v>
      </c>
      <c r="C3025" s="257" t="s">
        <v>9384</v>
      </c>
      <c r="D3025" s="173" t="s">
        <v>9384</v>
      </c>
      <c r="E3025" s="174" t="s">
        <v>9296</v>
      </c>
      <c r="F3025" s="173" t="s">
        <v>9297</v>
      </c>
      <c r="G3025" s="328" t="s">
        <v>673</v>
      </c>
      <c r="H3025" s="328" t="s">
        <v>2863</v>
      </c>
      <c r="I3025" s="258" t="s">
        <v>9298</v>
      </c>
      <c r="J3025" s="259" t="s">
        <v>1211</v>
      </c>
      <c r="K3025" s="260">
        <v>734.0</v>
      </c>
      <c r="L3025" s="366"/>
      <c r="M3025" s="329"/>
      <c r="N3025" s="173" t="s">
        <v>679</v>
      </c>
      <c r="O3025" s="173" t="s">
        <v>225</v>
      </c>
      <c r="P3025" s="262" t="str">
        <f t="shared" si="1"/>
        <v>IN-BLR-ANANTA-HM-243_7</v>
      </c>
      <c r="Q3025" s="173" t="s">
        <v>9385</v>
      </c>
      <c r="R3025" s="328" t="str">
        <f>IFS(C3025="","",C3025="n/a","N/A",LEN(C3025),Concatenate("{",char(34),"asset",char(34),":{",char(34),"guid",char(34),":",char(34),Q3025,char(34),",",char(34),"site",char(34),":",char(34),LOWER('2-Building'!$B$4),char(34),",",char(34),"name",char(34),":",char(34),LOWER(C3025),char(34),"}}"))</f>
        <v>{"asset":{"guid":"uuid://525ed535-8534-4682-8a1e-2056b5b60faf","site":"in-blr-ananta","name":"hm-243"}}</v>
      </c>
      <c r="S3025" s="366" t="s">
        <v>2866</v>
      </c>
      <c r="T3025" s="330"/>
      <c r="U3025" s="330"/>
      <c r="V3025" s="331"/>
      <c r="W3025" s="332"/>
      <c r="X3025" s="333"/>
      <c r="Y3025" s="33" t="s">
        <v>8076</v>
      </c>
      <c r="Z3025" s="368"/>
      <c r="AA3025" s="333"/>
      <c r="AB3025" s="258">
        <v>8.0</v>
      </c>
      <c r="AC3025" s="333"/>
      <c r="AD3025" s="329"/>
      <c r="AE3025" s="331"/>
      <c r="AF3025" s="336"/>
      <c r="AG3025" s="337"/>
      <c r="AH3025" s="333"/>
      <c r="AI3025" s="333"/>
      <c r="AJ3025" s="333"/>
      <c r="AK3025" s="333"/>
      <c r="AL3025" s="333"/>
      <c r="AM3025" s="338"/>
      <c r="AN3025" s="333"/>
      <c r="AO3025" s="333"/>
      <c r="AP3025" s="333"/>
      <c r="AQ3025" s="333"/>
      <c r="AR3025" s="333"/>
      <c r="AS3025" s="333"/>
      <c r="AT3025" s="333"/>
      <c r="AU3025" s="329"/>
      <c r="AV3025" s="341"/>
      <c r="AW3025" s="269"/>
      <c r="AX3025" s="269" t="s">
        <v>2869</v>
      </c>
      <c r="AY3025" s="270" t="s">
        <v>695</v>
      </c>
      <c r="AZ3025" s="379"/>
      <c r="BA3025" s="173">
        <v>10.0</v>
      </c>
      <c r="BB3025" s="341"/>
      <c r="BC3025" s="341"/>
      <c r="BD3025" s="308" t="s">
        <v>1844</v>
      </c>
      <c r="BE3025" s="364"/>
      <c r="BF3025" s="274" t="str">
        <f>IFERROR(__xludf.DUMMYFUNCTION("LOWER(Regexreplace(to_text(E3025),""[^A-Za-z0-9]"","""")&amp;""_""&amp;Regexreplace(to_text(F3025),""[^A-Za-z0-9]"",""""))"),"kamstrup_multical603")</f>
        <v>kamstrup_multical603</v>
      </c>
      <c r="BG3025" s="275" t="str">
        <f>IFERROR(__xludf.DUMMYFUNCTION("upper(Regexreplace(to_text(E3025),""[^A-Za-z0-9]"","""")&amp;""-""&amp;Regexreplace(to_text(F3025),""[^A-Za-z0-9]"",""""))"),"KAMSTRUP-MULTICAL603")</f>
        <v>KAMSTRUP-MULTICAL603</v>
      </c>
    </row>
    <row r="3026" ht="30.0" customHeight="1">
      <c r="A3026" s="258"/>
      <c r="B3026" s="328" t="s">
        <v>670</v>
      </c>
      <c r="C3026" s="257" t="s">
        <v>9386</v>
      </c>
      <c r="D3026" s="173" t="s">
        <v>9386</v>
      </c>
      <c r="E3026" s="174" t="s">
        <v>9296</v>
      </c>
      <c r="F3026" s="173" t="s">
        <v>9297</v>
      </c>
      <c r="G3026" s="328" t="s">
        <v>673</v>
      </c>
      <c r="H3026" s="328" t="s">
        <v>2863</v>
      </c>
      <c r="I3026" s="258" t="s">
        <v>9298</v>
      </c>
      <c r="J3026" s="259" t="s">
        <v>1272</v>
      </c>
      <c r="K3026" s="260">
        <v>834.0</v>
      </c>
      <c r="L3026" s="366"/>
      <c r="M3026" s="329"/>
      <c r="N3026" s="173" t="s">
        <v>679</v>
      </c>
      <c r="O3026" s="173" t="s">
        <v>225</v>
      </c>
      <c r="P3026" s="262" t="str">
        <f t="shared" si="1"/>
        <v>IN-BLR-ANANTA-HM-244_8</v>
      </c>
      <c r="Q3026" s="173" t="s">
        <v>9387</v>
      </c>
      <c r="R3026" s="328" t="str">
        <f>IFS(C3026="","",C3026="n/a","N/A",LEN(C3026),Concatenate("{",char(34),"asset",char(34),":{",char(34),"guid",char(34),":",char(34),Q3026,char(34),",",char(34),"site",char(34),":",char(34),LOWER('2-Building'!$B$4),char(34),",",char(34),"name",char(34),":",char(34),LOWER(C3026),char(34),"}}"))</f>
        <v>{"asset":{"guid":"uuid://2f7d6d18-4118-4c6a-b18d-14726287eecf","site":"in-blr-ananta","name":"hm-244"}}</v>
      </c>
      <c r="S3026" s="366" t="s">
        <v>2866</v>
      </c>
      <c r="T3026" s="330"/>
      <c r="U3026" s="330"/>
      <c r="V3026" s="331"/>
      <c r="W3026" s="332"/>
      <c r="X3026" s="333"/>
      <c r="Y3026" s="33" t="s">
        <v>8076</v>
      </c>
      <c r="Z3026" s="368"/>
      <c r="AA3026" s="333"/>
      <c r="AB3026" s="258">
        <v>9.0</v>
      </c>
      <c r="AC3026" s="333"/>
      <c r="AD3026" s="329"/>
      <c r="AE3026" s="331"/>
      <c r="AF3026" s="336"/>
      <c r="AG3026" s="337"/>
      <c r="AH3026" s="333"/>
      <c r="AI3026" s="333"/>
      <c r="AJ3026" s="333"/>
      <c r="AK3026" s="333"/>
      <c r="AL3026" s="333"/>
      <c r="AM3026" s="338"/>
      <c r="AN3026" s="333"/>
      <c r="AO3026" s="333"/>
      <c r="AP3026" s="333"/>
      <c r="AQ3026" s="333"/>
      <c r="AR3026" s="333"/>
      <c r="AS3026" s="333"/>
      <c r="AT3026" s="333"/>
      <c r="AU3026" s="329"/>
      <c r="AV3026" s="341"/>
      <c r="AW3026" s="269"/>
      <c r="AX3026" s="269" t="s">
        <v>2869</v>
      </c>
      <c r="AY3026" s="270" t="s">
        <v>695</v>
      </c>
      <c r="AZ3026" s="379"/>
      <c r="BA3026" s="173">
        <v>10.0</v>
      </c>
      <c r="BB3026" s="341"/>
      <c r="BC3026" s="341"/>
      <c r="BD3026" s="308" t="s">
        <v>1844</v>
      </c>
      <c r="BE3026" s="364"/>
      <c r="BF3026" s="274" t="str">
        <f>IFERROR(__xludf.DUMMYFUNCTION("LOWER(Regexreplace(to_text(E3026),""[^A-Za-z0-9]"","""")&amp;""_""&amp;Regexreplace(to_text(F3026),""[^A-Za-z0-9]"",""""))"),"kamstrup_multical603")</f>
        <v>kamstrup_multical603</v>
      </c>
      <c r="BG3026" s="275" t="str">
        <f>IFERROR(__xludf.DUMMYFUNCTION("upper(Regexreplace(to_text(E3026),""[^A-Za-z0-9]"","""")&amp;""-""&amp;Regexreplace(to_text(F3026),""[^A-Za-z0-9]"",""""))"),"KAMSTRUP-MULTICAL603")</f>
        <v>KAMSTRUP-MULTICAL603</v>
      </c>
    </row>
    <row r="3027" ht="30.0" customHeight="1">
      <c r="A3027" s="258"/>
      <c r="B3027" s="328" t="s">
        <v>670</v>
      </c>
      <c r="C3027" s="257" t="s">
        <v>9388</v>
      </c>
      <c r="D3027" s="173" t="s">
        <v>9388</v>
      </c>
      <c r="E3027" s="174" t="s">
        <v>9296</v>
      </c>
      <c r="F3027" s="173" t="s">
        <v>9297</v>
      </c>
      <c r="G3027" s="328" t="s">
        <v>673</v>
      </c>
      <c r="H3027" s="328" t="s">
        <v>2863</v>
      </c>
      <c r="I3027" s="258" t="s">
        <v>9298</v>
      </c>
      <c r="J3027" s="259" t="s">
        <v>1333</v>
      </c>
      <c r="K3027" s="260">
        <v>934.0</v>
      </c>
      <c r="L3027" s="366"/>
      <c r="M3027" s="329"/>
      <c r="N3027" s="173" t="s">
        <v>679</v>
      </c>
      <c r="O3027" s="173" t="s">
        <v>225</v>
      </c>
      <c r="P3027" s="262" t="str">
        <f t="shared" si="1"/>
        <v>IN-BLR-ANANTA-HM-245_9</v>
      </c>
      <c r="Q3027" s="173" t="s">
        <v>9389</v>
      </c>
      <c r="R3027" s="328" t="str">
        <f>IFS(C3027="","",C3027="n/a","N/A",LEN(C3027),Concatenate("{",char(34),"asset",char(34),":{",char(34),"guid",char(34),":",char(34),Q3027,char(34),",",char(34),"site",char(34),":",char(34),LOWER('2-Building'!$B$4),char(34),",",char(34),"name",char(34),":",char(34),LOWER(C3027),char(34),"}}"))</f>
        <v>{"asset":{"guid":"uuid://ce55acc8-0693-43f3-bc7f-3ab0a4769e16","site":"in-blr-ananta","name":"hm-245"}}</v>
      </c>
      <c r="S3027" s="366" t="s">
        <v>2866</v>
      </c>
      <c r="T3027" s="330"/>
      <c r="U3027" s="330"/>
      <c r="V3027" s="331"/>
      <c r="W3027" s="332"/>
      <c r="X3027" s="333"/>
      <c r="Y3027" s="33" t="s">
        <v>8076</v>
      </c>
      <c r="Z3027" s="368"/>
      <c r="AA3027" s="333"/>
      <c r="AB3027" s="258">
        <v>10.0</v>
      </c>
      <c r="AC3027" s="333"/>
      <c r="AD3027" s="329"/>
      <c r="AE3027" s="331"/>
      <c r="AF3027" s="336"/>
      <c r="AG3027" s="337"/>
      <c r="AH3027" s="333"/>
      <c r="AI3027" s="333"/>
      <c r="AJ3027" s="333"/>
      <c r="AK3027" s="333"/>
      <c r="AL3027" s="333"/>
      <c r="AM3027" s="338"/>
      <c r="AN3027" s="333"/>
      <c r="AO3027" s="333"/>
      <c r="AP3027" s="333"/>
      <c r="AQ3027" s="333"/>
      <c r="AR3027" s="333"/>
      <c r="AS3027" s="333"/>
      <c r="AT3027" s="333"/>
      <c r="AU3027" s="329"/>
      <c r="AV3027" s="341"/>
      <c r="AW3027" s="269"/>
      <c r="AX3027" s="269" t="s">
        <v>2869</v>
      </c>
      <c r="AY3027" s="270" t="s">
        <v>695</v>
      </c>
      <c r="AZ3027" s="379"/>
      <c r="BA3027" s="173">
        <v>10.0</v>
      </c>
      <c r="BB3027" s="341"/>
      <c r="BC3027" s="341"/>
      <c r="BD3027" s="308" t="s">
        <v>1844</v>
      </c>
      <c r="BE3027" s="364"/>
      <c r="BF3027" s="274" t="str">
        <f>IFERROR(__xludf.DUMMYFUNCTION("LOWER(Regexreplace(to_text(E3027),""[^A-Za-z0-9]"","""")&amp;""_""&amp;Regexreplace(to_text(F3027),""[^A-Za-z0-9]"",""""))"),"kamstrup_multical603")</f>
        <v>kamstrup_multical603</v>
      </c>
      <c r="BG3027" s="275" t="str">
        <f>IFERROR(__xludf.DUMMYFUNCTION("upper(Regexreplace(to_text(E3027),""[^A-Za-z0-9]"","""")&amp;""-""&amp;Regexreplace(to_text(F3027),""[^A-Za-z0-9]"",""""))"),"KAMSTRUP-MULTICAL603")</f>
        <v>KAMSTRUP-MULTICAL603</v>
      </c>
    </row>
    <row r="3028" ht="30.0" customHeight="1">
      <c r="A3028" s="258"/>
      <c r="B3028" s="328" t="s">
        <v>670</v>
      </c>
      <c r="C3028" s="257" t="s">
        <v>9390</v>
      </c>
      <c r="D3028" s="173" t="s">
        <v>9390</v>
      </c>
      <c r="E3028" s="174" t="s">
        <v>9296</v>
      </c>
      <c r="F3028" s="173" t="s">
        <v>9297</v>
      </c>
      <c r="G3028" s="328" t="s">
        <v>673</v>
      </c>
      <c r="H3028" s="328" t="s">
        <v>2863</v>
      </c>
      <c r="I3028" s="258" t="s">
        <v>9298</v>
      </c>
      <c r="J3028" s="259" t="s">
        <v>1393</v>
      </c>
      <c r="K3028" s="260" t="s">
        <v>9391</v>
      </c>
      <c r="L3028" s="366"/>
      <c r="M3028" s="329"/>
      <c r="N3028" s="173" t="s">
        <v>679</v>
      </c>
      <c r="O3028" s="173" t="s">
        <v>225</v>
      </c>
      <c r="P3028" s="262" t="str">
        <f t="shared" si="1"/>
        <v>IN-BLR-ANANTA-HM-246_10</v>
      </c>
      <c r="Q3028" s="173" t="s">
        <v>9392</v>
      </c>
      <c r="R3028" s="328" t="str">
        <f>IFS(C3028="","",C3028="n/a","N/A",LEN(C3028),Concatenate("{",char(34),"asset",char(34),":{",char(34),"guid",char(34),":",char(34),Q3028,char(34),",",char(34),"site",char(34),":",char(34),LOWER('2-Building'!$B$4),char(34),",",char(34),"name",char(34),":",char(34),LOWER(C3028),char(34),"}}"))</f>
        <v>{"asset":{"guid":"uuid://4457c2da-eb77-4762-a502-b49eefb5185a","site":"in-blr-ananta","name":"hm-246"}}</v>
      </c>
      <c r="S3028" s="366" t="s">
        <v>2866</v>
      </c>
      <c r="T3028" s="330"/>
      <c r="U3028" s="330"/>
      <c r="V3028" s="331"/>
      <c r="W3028" s="332"/>
      <c r="X3028" s="333"/>
      <c r="Y3028" s="33" t="s">
        <v>8076</v>
      </c>
      <c r="Z3028" s="368"/>
      <c r="AA3028" s="333"/>
      <c r="AB3028" s="258">
        <v>11.0</v>
      </c>
      <c r="AC3028" s="333"/>
      <c r="AD3028" s="329"/>
      <c r="AE3028" s="331"/>
      <c r="AF3028" s="336"/>
      <c r="AG3028" s="337"/>
      <c r="AH3028" s="333"/>
      <c r="AI3028" s="333"/>
      <c r="AJ3028" s="333"/>
      <c r="AK3028" s="333"/>
      <c r="AL3028" s="333"/>
      <c r="AM3028" s="338"/>
      <c r="AN3028" s="333"/>
      <c r="AO3028" s="333"/>
      <c r="AP3028" s="333"/>
      <c r="AQ3028" s="333"/>
      <c r="AR3028" s="333"/>
      <c r="AS3028" s="333"/>
      <c r="AT3028" s="333"/>
      <c r="AU3028" s="329"/>
      <c r="AV3028" s="341"/>
      <c r="AW3028" s="269"/>
      <c r="AX3028" s="269" t="s">
        <v>2869</v>
      </c>
      <c r="AY3028" s="270" t="s">
        <v>695</v>
      </c>
      <c r="AZ3028" s="379"/>
      <c r="BA3028" s="173">
        <v>10.0</v>
      </c>
      <c r="BB3028" s="341"/>
      <c r="BC3028" s="341"/>
      <c r="BD3028" s="308" t="s">
        <v>1844</v>
      </c>
      <c r="BE3028" s="364"/>
      <c r="BF3028" s="274" t="str">
        <f>IFERROR(__xludf.DUMMYFUNCTION("LOWER(Regexreplace(to_text(E3028),""[^A-Za-z0-9]"","""")&amp;""_""&amp;Regexreplace(to_text(F3028),""[^A-Za-z0-9]"",""""))"),"kamstrup_multical603")</f>
        <v>kamstrup_multical603</v>
      </c>
      <c r="BG3028" s="275" t="str">
        <f>IFERROR(__xludf.DUMMYFUNCTION("upper(Regexreplace(to_text(E3028),""[^A-Za-z0-9]"","""")&amp;""-""&amp;Regexreplace(to_text(F3028),""[^A-Za-z0-9]"",""""))"),"KAMSTRUP-MULTICAL603")</f>
        <v>KAMSTRUP-MULTICAL603</v>
      </c>
    </row>
    <row r="3029" ht="30.0" customHeight="1">
      <c r="A3029" s="258"/>
      <c r="B3029" s="328" t="s">
        <v>670</v>
      </c>
      <c r="C3029" s="257" t="s">
        <v>9393</v>
      </c>
      <c r="D3029" s="173" t="s">
        <v>9393</v>
      </c>
      <c r="E3029" s="174" t="s">
        <v>9296</v>
      </c>
      <c r="F3029" s="173" t="s">
        <v>9297</v>
      </c>
      <c r="G3029" s="328" t="s">
        <v>673</v>
      </c>
      <c r="H3029" s="328" t="s">
        <v>2863</v>
      </c>
      <c r="I3029" s="258" t="s">
        <v>9298</v>
      </c>
      <c r="J3029" s="259" t="s">
        <v>1453</v>
      </c>
      <c r="K3029" s="260" t="s">
        <v>1509</v>
      </c>
      <c r="L3029" s="366"/>
      <c r="M3029" s="329"/>
      <c r="N3029" s="173" t="s">
        <v>679</v>
      </c>
      <c r="O3029" s="173" t="s">
        <v>225</v>
      </c>
      <c r="P3029" s="262" t="str">
        <f t="shared" si="1"/>
        <v>IN-BLR-ANANTA-HM-247_11</v>
      </c>
      <c r="Q3029" s="173" t="s">
        <v>9394</v>
      </c>
      <c r="R3029" s="328" t="str">
        <f>IFS(C3029="","",C3029="n/a","N/A",LEN(C3029),Concatenate("{",char(34),"asset",char(34),":{",char(34),"guid",char(34),":",char(34),Q3029,char(34),",",char(34),"site",char(34),":",char(34),LOWER('2-Building'!$B$4),char(34),",",char(34),"name",char(34),":",char(34),LOWER(C3029),char(34),"}}"))</f>
        <v>{"asset":{"guid":"uuid://deb4c721-aea8-4b22-b747-175bda38a801","site":"in-blr-ananta","name":"hm-247"}}</v>
      </c>
      <c r="S3029" s="366" t="s">
        <v>2866</v>
      </c>
      <c r="T3029" s="330"/>
      <c r="U3029" s="330"/>
      <c r="V3029" s="331"/>
      <c r="W3029" s="332"/>
      <c r="X3029" s="333"/>
      <c r="Y3029" s="33" t="s">
        <v>8076</v>
      </c>
      <c r="Z3029" s="368"/>
      <c r="AA3029" s="333"/>
      <c r="AB3029" s="258">
        <v>12.0</v>
      </c>
      <c r="AC3029" s="333"/>
      <c r="AD3029" s="329"/>
      <c r="AE3029" s="331"/>
      <c r="AF3029" s="336"/>
      <c r="AG3029" s="337"/>
      <c r="AH3029" s="333"/>
      <c r="AI3029" s="333"/>
      <c r="AJ3029" s="333"/>
      <c r="AK3029" s="333"/>
      <c r="AL3029" s="333"/>
      <c r="AM3029" s="338"/>
      <c r="AN3029" s="333"/>
      <c r="AO3029" s="333"/>
      <c r="AP3029" s="333"/>
      <c r="AQ3029" s="333"/>
      <c r="AR3029" s="333"/>
      <c r="AS3029" s="333"/>
      <c r="AT3029" s="333"/>
      <c r="AU3029" s="329"/>
      <c r="AV3029" s="341"/>
      <c r="AW3029" s="269"/>
      <c r="AX3029" s="269" t="s">
        <v>2869</v>
      </c>
      <c r="AY3029" s="270" t="s">
        <v>695</v>
      </c>
      <c r="AZ3029" s="379"/>
      <c r="BA3029" s="173">
        <v>10.0</v>
      </c>
      <c r="BB3029" s="341"/>
      <c r="BC3029" s="341"/>
      <c r="BD3029" s="308" t="s">
        <v>1844</v>
      </c>
      <c r="BE3029" s="364"/>
      <c r="BF3029" s="274" t="str">
        <f>IFERROR(__xludf.DUMMYFUNCTION("LOWER(Regexreplace(to_text(E3029),""[^A-Za-z0-9]"","""")&amp;""_""&amp;Regexreplace(to_text(F3029),""[^A-Za-z0-9]"",""""))"),"kamstrup_multical603")</f>
        <v>kamstrup_multical603</v>
      </c>
      <c r="BG3029" s="275" t="str">
        <f>IFERROR(__xludf.DUMMYFUNCTION("upper(Regexreplace(to_text(E3029),""[^A-Za-z0-9]"","""")&amp;""-""&amp;Regexreplace(to_text(F3029),""[^A-Za-z0-9]"",""""))"),"KAMSTRUP-MULTICAL603")</f>
        <v>KAMSTRUP-MULTICAL603</v>
      </c>
    </row>
    <row r="3030" ht="30.0" customHeight="1">
      <c r="A3030" s="258"/>
      <c r="B3030" s="328" t="s">
        <v>670</v>
      </c>
      <c r="C3030" s="257" t="s">
        <v>9395</v>
      </c>
      <c r="D3030" s="173" t="s">
        <v>9395</v>
      </c>
      <c r="E3030" s="174" t="s">
        <v>9296</v>
      </c>
      <c r="F3030" s="173" t="s">
        <v>9297</v>
      </c>
      <c r="G3030" s="328" t="s">
        <v>673</v>
      </c>
      <c r="H3030" s="328" t="s">
        <v>2863</v>
      </c>
      <c r="I3030" s="258" t="s">
        <v>9298</v>
      </c>
      <c r="J3030" s="259" t="s">
        <v>739</v>
      </c>
      <c r="K3030" s="260" t="s">
        <v>765</v>
      </c>
      <c r="L3030" s="366"/>
      <c r="M3030" s="329"/>
      <c r="N3030" s="173" t="s">
        <v>679</v>
      </c>
      <c r="O3030" s="173" t="s">
        <v>225</v>
      </c>
      <c r="P3030" s="262" t="str">
        <f t="shared" si="1"/>
        <v>IN-BLR-ANANTA-HM-248_G</v>
      </c>
      <c r="Q3030" s="173" t="s">
        <v>9396</v>
      </c>
      <c r="R3030" s="328" t="str">
        <f>IFS(C3030="","",C3030="n/a","N/A",LEN(C3030),Concatenate("{",char(34),"asset",char(34),":{",char(34),"guid",char(34),":",char(34),Q3030,char(34),",",char(34),"site",char(34),":",char(34),LOWER('2-Building'!$B$4),char(34),",",char(34),"name",char(34),":",char(34),LOWER(C3030),char(34),"}}"))</f>
        <v>{"asset":{"guid":"uuid://cf6302c2-7440-4f9b-aa7e-320101a3c8f2","site":"in-blr-ananta","name":"hm-248"}}</v>
      </c>
      <c r="S3030" s="366" t="s">
        <v>2866</v>
      </c>
      <c r="T3030" s="330"/>
      <c r="U3030" s="330"/>
      <c r="V3030" s="331"/>
      <c r="W3030" s="332"/>
      <c r="X3030" s="333"/>
      <c r="Y3030" s="33" t="s">
        <v>8076</v>
      </c>
      <c r="Z3030" s="368"/>
      <c r="AA3030" s="333"/>
      <c r="AB3030" s="258">
        <v>1.0</v>
      </c>
      <c r="AC3030" s="333"/>
      <c r="AD3030" s="329"/>
      <c r="AE3030" s="331"/>
      <c r="AF3030" s="336"/>
      <c r="AG3030" s="337"/>
      <c r="AH3030" s="333"/>
      <c r="AI3030" s="333"/>
      <c r="AJ3030" s="333"/>
      <c r="AK3030" s="333"/>
      <c r="AL3030" s="333"/>
      <c r="AM3030" s="338"/>
      <c r="AN3030" s="333"/>
      <c r="AO3030" s="333"/>
      <c r="AP3030" s="333"/>
      <c r="AQ3030" s="333"/>
      <c r="AR3030" s="333"/>
      <c r="AS3030" s="333"/>
      <c r="AT3030" s="333"/>
      <c r="AU3030" s="329"/>
      <c r="AV3030" s="341"/>
      <c r="AW3030" s="269"/>
      <c r="AX3030" s="269" t="s">
        <v>2869</v>
      </c>
      <c r="AY3030" s="270" t="s">
        <v>695</v>
      </c>
      <c r="AZ3030" s="379"/>
      <c r="BA3030" s="173">
        <v>10.0</v>
      </c>
      <c r="BB3030" s="341"/>
      <c r="BC3030" s="341"/>
      <c r="BD3030" s="308" t="s">
        <v>1844</v>
      </c>
      <c r="BE3030" s="364"/>
      <c r="BF3030" s="274" t="str">
        <f>IFERROR(__xludf.DUMMYFUNCTION("LOWER(Regexreplace(to_text(E3030),""[^A-Za-z0-9]"","""")&amp;""_""&amp;Regexreplace(to_text(F3030),""[^A-Za-z0-9]"",""""))"),"kamstrup_multical603")</f>
        <v>kamstrup_multical603</v>
      </c>
      <c r="BG3030" s="275" t="str">
        <f>IFERROR(__xludf.DUMMYFUNCTION("upper(Regexreplace(to_text(E3030),""[^A-Za-z0-9]"","""")&amp;""-""&amp;Regexreplace(to_text(F3030),""[^A-Za-z0-9]"",""""))"),"KAMSTRUP-MULTICAL603")</f>
        <v>KAMSTRUP-MULTICAL603</v>
      </c>
    </row>
    <row r="3031" ht="30.0" customHeight="1">
      <c r="A3031" s="258"/>
      <c r="B3031" s="328" t="s">
        <v>670</v>
      </c>
      <c r="C3031" s="257" t="s">
        <v>9397</v>
      </c>
      <c r="D3031" s="173" t="s">
        <v>9397</v>
      </c>
      <c r="E3031" s="174" t="s">
        <v>9296</v>
      </c>
      <c r="F3031" s="173" t="s">
        <v>9297</v>
      </c>
      <c r="G3031" s="328" t="s">
        <v>673</v>
      </c>
      <c r="H3031" s="328" t="s">
        <v>2863</v>
      </c>
      <c r="I3031" s="258" t="s">
        <v>9298</v>
      </c>
      <c r="J3031" s="259" t="s">
        <v>846</v>
      </c>
      <c r="K3031" s="260">
        <v>175.0</v>
      </c>
      <c r="L3031" s="366"/>
      <c r="M3031" s="329"/>
      <c r="N3031" s="173" t="s">
        <v>679</v>
      </c>
      <c r="O3031" s="173" t="s">
        <v>225</v>
      </c>
      <c r="P3031" s="262" t="str">
        <f t="shared" si="1"/>
        <v>IN-BLR-ANANTA-HM-249_1</v>
      </c>
      <c r="Q3031" s="173" t="s">
        <v>9398</v>
      </c>
      <c r="R3031" s="328" t="str">
        <f>IFS(C3031="","",C3031="n/a","N/A",LEN(C3031),Concatenate("{",char(34),"asset",char(34),":{",char(34),"guid",char(34),":",char(34),Q3031,char(34),",",char(34),"site",char(34),":",char(34),LOWER('2-Building'!$B$4),char(34),",",char(34),"name",char(34),":",char(34),LOWER(C3031),char(34),"}}"))</f>
        <v>{"asset":{"guid":"uuid://e2946495-dc81-4c2b-805e-f0d323e59fd2","site":"in-blr-ananta","name":"hm-249"}}</v>
      </c>
      <c r="S3031" s="366" t="s">
        <v>2866</v>
      </c>
      <c r="T3031" s="330"/>
      <c r="U3031" s="330"/>
      <c r="V3031" s="331"/>
      <c r="W3031" s="332"/>
      <c r="X3031" s="333"/>
      <c r="Y3031" s="33" t="s">
        <v>8076</v>
      </c>
      <c r="Z3031" s="368"/>
      <c r="AA3031" s="333"/>
      <c r="AB3031" s="258">
        <v>2.0</v>
      </c>
      <c r="AC3031" s="333"/>
      <c r="AD3031" s="329"/>
      <c r="AE3031" s="331"/>
      <c r="AF3031" s="336"/>
      <c r="AG3031" s="337"/>
      <c r="AH3031" s="333"/>
      <c r="AI3031" s="333"/>
      <c r="AJ3031" s="333"/>
      <c r="AK3031" s="333"/>
      <c r="AL3031" s="333"/>
      <c r="AM3031" s="338"/>
      <c r="AN3031" s="333"/>
      <c r="AO3031" s="333"/>
      <c r="AP3031" s="333"/>
      <c r="AQ3031" s="333"/>
      <c r="AR3031" s="333"/>
      <c r="AS3031" s="333"/>
      <c r="AT3031" s="333"/>
      <c r="AU3031" s="329"/>
      <c r="AV3031" s="341"/>
      <c r="AW3031" s="269"/>
      <c r="AX3031" s="269" t="s">
        <v>2869</v>
      </c>
      <c r="AY3031" s="270" t="s">
        <v>695</v>
      </c>
      <c r="AZ3031" s="379"/>
      <c r="BA3031" s="173">
        <v>10.0</v>
      </c>
      <c r="BB3031" s="341"/>
      <c r="BC3031" s="341"/>
      <c r="BD3031" s="308" t="s">
        <v>1844</v>
      </c>
      <c r="BE3031" s="364"/>
      <c r="BF3031" s="274" t="str">
        <f>IFERROR(__xludf.DUMMYFUNCTION("LOWER(Regexreplace(to_text(E3031),""[^A-Za-z0-9]"","""")&amp;""_""&amp;Regexreplace(to_text(F3031),""[^A-Za-z0-9]"",""""))"),"kamstrup_multical603")</f>
        <v>kamstrup_multical603</v>
      </c>
      <c r="BG3031" s="275" t="str">
        <f>IFERROR(__xludf.DUMMYFUNCTION("upper(Regexreplace(to_text(E3031),""[^A-Za-z0-9]"","""")&amp;""-""&amp;Regexreplace(to_text(F3031),""[^A-Za-z0-9]"",""""))"),"KAMSTRUP-MULTICAL603")</f>
        <v>KAMSTRUP-MULTICAL603</v>
      </c>
    </row>
    <row r="3032" ht="30.0" customHeight="1">
      <c r="A3032" s="258"/>
      <c r="B3032" s="328" t="s">
        <v>670</v>
      </c>
      <c r="C3032" s="257" t="s">
        <v>9399</v>
      </c>
      <c r="D3032" s="173" t="s">
        <v>9399</v>
      </c>
      <c r="E3032" s="174" t="s">
        <v>9296</v>
      </c>
      <c r="F3032" s="173" t="s">
        <v>9297</v>
      </c>
      <c r="G3032" s="328" t="s">
        <v>673</v>
      </c>
      <c r="H3032" s="328" t="s">
        <v>2863</v>
      </c>
      <c r="I3032" s="258" t="s">
        <v>9298</v>
      </c>
      <c r="J3032" s="259" t="s">
        <v>902</v>
      </c>
      <c r="K3032" s="260">
        <v>275.0</v>
      </c>
      <c r="L3032" s="366"/>
      <c r="M3032" s="329"/>
      <c r="N3032" s="173" t="s">
        <v>679</v>
      </c>
      <c r="O3032" s="173" t="s">
        <v>225</v>
      </c>
      <c r="P3032" s="262" t="str">
        <f t="shared" si="1"/>
        <v>IN-BLR-ANANTA-HM-250_2</v>
      </c>
      <c r="Q3032" s="173" t="s">
        <v>9400</v>
      </c>
      <c r="R3032" s="328" t="str">
        <f>IFS(C3032="","",C3032="n/a","N/A",LEN(C3032),Concatenate("{",char(34),"asset",char(34),":{",char(34),"guid",char(34),":",char(34),Q3032,char(34),",",char(34),"site",char(34),":",char(34),LOWER('2-Building'!$B$4),char(34),",",char(34),"name",char(34),":",char(34),LOWER(C3032),char(34),"}}"))</f>
        <v>{"asset":{"guid":"uuid://bef67e8b-7ba6-44f7-ac09-a8201e85c6ba","site":"in-blr-ananta","name":"hm-250"}}</v>
      </c>
      <c r="S3032" s="366" t="s">
        <v>2866</v>
      </c>
      <c r="T3032" s="330"/>
      <c r="U3032" s="330"/>
      <c r="V3032" s="331"/>
      <c r="W3032" s="332"/>
      <c r="X3032" s="333"/>
      <c r="Y3032" s="33" t="s">
        <v>8076</v>
      </c>
      <c r="Z3032" s="368"/>
      <c r="AA3032" s="333"/>
      <c r="AB3032" s="258">
        <v>3.0</v>
      </c>
      <c r="AC3032" s="333"/>
      <c r="AD3032" s="329"/>
      <c r="AE3032" s="331"/>
      <c r="AF3032" s="336"/>
      <c r="AG3032" s="337"/>
      <c r="AH3032" s="333"/>
      <c r="AI3032" s="333"/>
      <c r="AJ3032" s="333"/>
      <c r="AK3032" s="333"/>
      <c r="AL3032" s="333"/>
      <c r="AM3032" s="338"/>
      <c r="AN3032" s="333"/>
      <c r="AO3032" s="333"/>
      <c r="AP3032" s="333"/>
      <c r="AQ3032" s="333"/>
      <c r="AR3032" s="333"/>
      <c r="AS3032" s="333"/>
      <c r="AT3032" s="333"/>
      <c r="AU3032" s="329"/>
      <c r="AV3032" s="341"/>
      <c r="AW3032" s="269"/>
      <c r="AX3032" s="269" t="s">
        <v>2869</v>
      </c>
      <c r="AY3032" s="270" t="s">
        <v>695</v>
      </c>
      <c r="AZ3032" s="379"/>
      <c r="BA3032" s="173">
        <v>10.0</v>
      </c>
      <c r="BB3032" s="341"/>
      <c r="BC3032" s="341"/>
      <c r="BD3032" s="308" t="s">
        <v>1844</v>
      </c>
      <c r="BE3032" s="364"/>
      <c r="BF3032" s="274" t="str">
        <f>IFERROR(__xludf.DUMMYFUNCTION("LOWER(Regexreplace(to_text(E3032),""[^A-Za-z0-9]"","""")&amp;""_""&amp;Regexreplace(to_text(F3032),""[^A-Za-z0-9]"",""""))"),"kamstrup_multical603")</f>
        <v>kamstrup_multical603</v>
      </c>
      <c r="BG3032" s="275" t="str">
        <f>IFERROR(__xludf.DUMMYFUNCTION("upper(Regexreplace(to_text(E3032),""[^A-Za-z0-9]"","""")&amp;""-""&amp;Regexreplace(to_text(F3032),""[^A-Za-z0-9]"",""""))"),"KAMSTRUP-MULTICAL603")</f>
        <v>KAMSTRUP-MULTICAL603</v>
      </c>
    </row>
    <row r="3033" ht="30.0" customHeight="1">
      <c r="A3033" s="258"/>
      <c r="B3033" s="328" t="s">
        <v>670</v>
      </c>
      <c r="C3033" s="257" t="s">
        <v>9401</v>
      </c>
      <c r="D3033" s="173" t="s">
        <v>9401</v>
      </c>
      <c r="E3033" s="174" t="s">
        <v>9296</v>
      </c>
      <c r="F3033" s="173" t="s">
        <v>9297</v>
      </c>
      <c r="G3033" s="328" t="s">
        <v>673</v>
      </c>
      <c r="H3033" s="328" t="s">
        <v>2863</v>
      </c>
      <c r="I3033" s="258" t="s">
        <v>9298</v>
      </c>
      <c r="J3033" s="259" t="s">
        <v>965</v>
      </c>
      <c r="K3033" s="260">
        <v>375.0</v>
      </c>
      <c r="L3033" s="366"/>
      <c r="M3033" s="329"/>
      <c r="N3033" s="173" t="s">
        <v>679</v>
      </c>
      <c r="O3033" s="173" t="s">
        <v>225</v>
      </c>
      <c r="P3033" s="262" t="str">
        <f t="shared" si="1"/>
        <v>IN-BLR-ANANTA-HM-251_3</v>
      </c>
      <c r="Q3033" s="173" t="s">
        <v>9402</v>
      </c>
      <c r="R3033" s="328" t="str">
        <f>IFS(C3033="","",C3033="n/a","N/A",LEN(C3033),Concatenate("{",char(34),"asset",char(34),":{",char(34),"guid",char(34),":",char(34),Q3033,char(34),",",char(34),"site",char(34),":",char(34),LOWER('2-Building'!$B$4),char(34),",",char(34),"name",char(34),":",char(34),LOWER(C3033),char(34),"}}"))</f>
        <v>{"asset":{"guid":"uuid://6fee4ac2-9bc0-4bf9-8194-c3e8133c5479","site":"in-blr-ananta","name":"hm-251"}}</v>
      </c>
      <c r="S3033" s="366" t="s">
        <v>2866</v>
      </c>
      <c r="T3033" s="330"/>
      <c r="U3033" s="330"/>
      <c r="V3033" s="331"/>
      <c r="W3033" s="332"/>
      <c r="X3033" s="333"/>
      <c r="Y3033" s="33" t="s">
        <v>8076</v>
      </c>
      <c r="Z3033" s="368"/>
      <c r="AA3033" s="333"/>
      <c r="AB3033" s="258">
        <v>4.0</v>
      </c>
      <c r="AC3033" s="333"/>
      <c r="AD3033" s="329"/>
      <c r="AE3033" s="331"/>
      <c r="AF3033" s="336"/>
      <c r="AG3033" s="337"/>
      <c r="AH3033" s="333"/>
      <c r="AI3033" s="333"/>
      <c r="AJ3033" s="333"/>
      <c r="AK3033" s="333"/>
      <c r="AL3033" s="333"/>
      <c r="AM3033" s="338"/>
      <c r="AN3033" s="333"/>
      <c r="AO3033" s="333"/>
      <c r="AP3033" s="333"/>
      <c r="AQ3033" s="333"/>
      <c r="AR3033" s="333"/>
      <c r="AS3033" s="333"/>
      <c r="AT3033" s="333"/>
      <c r="AU3033" s="329"/>
      <c r="AV3033" s="341"/>
      <c r="AW3033" s="269"/>
      <c r="AX3033" s="269" t="s">
        <v>2869</v>
      </c>
      <c r="AY3033" s="270" t="s">
        <v>695</v>
      </c>
      <c r="AZ3033" s="379"/>
      <c r="BA3033" s="173">
        <v>10.0</v>
      </c>
      <c r="BB3033" s="341"/>
      <c r="BC3033" s="341"/>
      <c r="BD3033" s="308" t="s">
        <v>1844</v>
      </c>
      <c r="BE3033" s="364"/>
      <c r="BF3033" s="274" t="str">
        <f>IFERROR(__xludf.DUMMYFUNCTION("LOWER(Regexreplace(to_text(E3033),""[^A-Za-z0-9]"","""")&amp;""_""&amp;Regexreplace(to_text(F3033),""[^A-Za-z0-9]"",""""))"),"kamstrup_multical603")</f>
        <v>kamstrup_multical603</v>
      </c>
      <c r="BG3033" s="275" t="str">
        <f>IFERROR(__xludf.DUMMYFUNCTION("upper(Regexreplace(to_text(E3033),""[^A-Za-z0-9]"","""")&amp;""-""&amp;Regexreplace(to_text(F3033),""[^A-Za-z0-9]"",""""))"),"KAMSTRUP-MULTICAL603")</f>
        <v>KAMSTRUP-MULTICAL603</v>
      </c>
    </row>
    <row r="3034" ht="30.0" customHeight="1">
      <c r="A3034" s="258"/>
      <c r="B3034" s="328" t="s">
        <v>670</v>
      </c>
      <c r="C3034" s="257" t="s">
        <v>9403</v>
      </c>
      <c r="D3034" s="173" t="s">
        <v>9403</v>
      </c>
      <c r="E3034" s="174" t="s">
        <v>9296</v>
      </c>
      <c r="F3034" s="173" t="s">
        <v>9297</v>
      </c>
      <c r="G3034" s="328" t="s">
        <v>673</v>
      </c>
      <c r="H3034" s="328" t="s">
        <v>2863</v>
      </c>
      <c r="I3034" s="258" t="s">
        <v>9298</v>
      </c>
      <c r="J3034" s="259" t="s">
        <v>1026</v>
      </c>
      <c r="K3034" s="260">
        <v>475.0</v>
      </c>
      <c r="L3034" s="366"/>
      <c r="M3034" s="329"/>
      <c r="N3034" s="173" t="s">
        <v>679</v>
      </c>
      <c r="O3034" s="173" t="s">
        <v>225</v>
      </c>
      <c r="P3034" s="262" t="str">
        <f t="shared" si="1"/>
        <v>IN-BLR-ANANTA-HM-252_4</v>
      </c>
      <c r="Q3034" s="173" t="s">
        <v>9404</v>
      </c>
      <c r="R3034" s="328" t="str">
        <f>IFS(C3034="","",C3034="n/a","N/A",LEN(C3034),Concatenate("{",char(34),"asset",char(34),":{",char(34),"guid",char(34),":",char(34),Q3034,char(34),",",char(34),"site",char(34),":",char(34),LOWER('2-Building'!$B$4),char(34),",",char(34),"name",char(34),":",char(34),LOWER(C3034),char(34),"}}"))</f>
        <v>{"asset":{"guid":"uuid://6dd5d8ed-8044-4e4b-ac6b-575e71872c2b","site":"in-blr-ananta","name":"hm-252"}}</v>
      </c>
      <c r="S3034" s="366" t="s">
        <v>2866</v>
      </c>
      <c r="T3034" s="330"/>
      <c r="U3034" s="330"/>
      <c r="V3034" s="331"/>
      <c r="W3034" s="332"/>
      <c r="X3034" s="333"/>
      <c r="Y3034" s="33" t="s">
        <v>8076</v>
      </c>
      <c r="Z3034" s="368"/>
      <c r="AA3034" s="333"/>
      <c r="AB3034" s="258">
        <v>5.0</v>
      </c>
      <c r="AC3034" s="333"/>
      <c r="AD3034" s="329"/>
      <c r="AE3034" s="331"/>
      <c r="AF3034" s="336"/>
      <c r="AG3034" s="337"/>
      <c r="AH3034" s="333"/>
      <c r="AI3034" s="333"/>
      <c r="AJ3034" s="333"/>
      <c r="AK3034" s="333"/>
      <c r="AL3034" s="333"/>
      <c r="AM3034" s="338"/>
      <c r="AN3034" s="333"/>
      <c r="AO3034" s="333"/>
      <c r="AP3034" s="333"/>
      <c r="AQ3034" s="333"/>
      <c r="AR3034" s="333"/>
      <c r="AS3034" s="333"/>
      <c r="AT3034" s="333"/>
      <c r="AU3034" s="329"/>
      <c r="AV3034" s="341"/>
      <c r="AW3034" s="269"/>
      <c r="AX3034" s="269" t="s">
        <v>2869</v>
      </c>
      <c r="AY3034" s="270" t="s">
        <v>695</v>
      </c>
      <c r="AZ3034" s="379"/>
      <c r="BA3034" s="173">
        <v>10.0</v>
      </c>
      <c r="BB3034" s="341"/>
      <c r="BC3034" s="341"/>
      <c r="BD3034" s="308" t="s">
        <v>1844</v>
      </c>
      <c r="BE3034" s="364"/>
      <c r="BF3034" s="274" t="str">
        <f>IFERROR(__xludf.DUMMYFUNCTION("LOWER(Regexreplace(to_text(E3034),""[^A-Za-z0-9]"","""")&amp;""_""&amp;Regexreplace(to_text(F3034),""[^A-Za-z0-9]"",""""))"),"kamstrup_multical603")</f>
        <v>kamstrup_multical603</v>
      </c>
      <c r="BG3034" s="275" t="str">
        <f>IFERROR(__xludf.DUMMYFUNCTION("upper(Regexreplace(to_text(E3034),""[^A-Za-z0-9]"","""")&amp;""-""&amp;Regexreplace(to_text(F3034),""[^A-Za-z0-9]"",""""))"),"KAMSTRUP-MULTICAL603")</f>
        <v>KAMSTRUP-MULTICAL603</v>
      </c>
    </row>
    <row r="3035" ht="30.0" customHeight="1">
      <c r="A3035" s="258"/>
      <c r="B3035" s="328" t="s">
        <v>670</v>
      </c>
      <c r="C3035" s="257" t="s">
        <v>9405</v>
      </c>
      <c r="D3035" s="173" t="s">
        <v>9405</v>
      </c>
      <c r="E3035" s="174" t="s">
        <v>9296</v>
      </c>
      <c r="F3035" s="173" t="s">
        <v>9297</v>
      </c>
      <c r="G3035" s="328" t="s">
        <v>673</v>
      </c>
      <c r="H3035" s="328" t="s">
        <v>2863</v>
      </c>
      <c r="I3035" s="258" t="s">
        <v>9298</v>
      </c>
      <c r="J3035" s="259" t="s">
        <v>1088</v>
      </c>
      <c r="K3035" s="260">
        <v>575.0</v>
      </c>
      <c r="L3035" s="366"/>
      <c r="M3035" s="329"/>
      <c r="N3035" s="173" t="s">
        <v>679</v>
      </c>
      <c r="O3035" s="173" t="s">
        <v>225</v>
      </c>
      <c r="P3035" s="262" t="str">
        <f t="shared" si="1"/>
        <v>IN-BLR-ANANTA-HM-253_5</v>
      </c>
      <c r="Q3035" s="173" t="s">
        <v>9406</v>
      </c>
      <c r="R3035" s="328" t="str">
        <f>IFS(C3035="","",C3035="n/a","N/A",LEN(C3035),Concatenate("{",char(34),"asset",char(34),":{",char(34),"guid",char(34),":",char(34),Q3035,char(34),",",char(34),"site",char(34),":",char(34),LOWER('2-Building'!$B$4),char(34),",",char(34),"name",char(34),":",char(34),LOWER(C3035),char(34),"}}"))</f>
        <v>{"asset":{"guid":"uuid://91d18aed-f729-4948-8863-42cb2944d006","site":"in-blr-ananta","name":"hm-253"}}</v>
      </c>
      <c r="S3035" s="366" t="s">
        <v>2866</v>
      </c>
      <c r="T3035" s="330"/>
      <c r="U3035" s="330"/>
      <c r="V3035" s="331"/>
      <c r="W3035" s="332"/>
      <c r="X3035" s="333"/>
      <c r="Y3035" s="33" t="s">
        <v>8076</v>
      </c>
      <c r="Z3035" s="368"/>
      <c r="AA3035" s="333"/>
      <c r="AB3035" s="258">
        <v>6.0</v>
      </c>
      <c r="AC3035" s="333"/>
      <c r="AD3035" s="329"/>
      <c r="AE3035" s="331"/>
      <c r="AF3035" s="336"/>
      <c r="AG3035" s="337"/>
      <c r="AH3035" s="333"/>
      <c r="AI3035" s="333"/>
      <c r="AJ3035" s="333"/>
      <c r="AK3035" s="333"/>
      <c r="AL3035" s="333"/>
      <c r="AM3035" s="338"/>
      <c r="AN3035" s="333"/>
      <c r="AO3035" s="333"/>
      <c r="AP3035" s="333"/>
      <c r="AQ3035" s="333"/>
      <c r="AR3035" s="333"/>
      <c r="AS3035" s="333"/>
      <c r="AT3035" s="333"/>
      <c r="AU3035" s="329"/>
      <c r="AV3035" s="341"/>
      <c r="AW3035" s="269"/>
      <c r="AX3035" s="269" t="s">
        <v>2869</v>
      </c>
      <c r="AY3035" s="270" t="s">
        <v>695</v>
      </c>
      <c r="AZ3035" s="379"/>
      <c r="BA3035" s="173">
        <v>10.0</v>
      </c>
      <c r="BB3035" s="341"/>
      <c r="BC3035" s="341"/>
      <c r="BD3035" s="308" t="s">
        <v>1844</v>
      </c>
      <c r="BE3035" s="364"/>
      <c r="BF3035" s="274" t="str">
        <f>IFERROR(__xludf.DUMMYFUNCTION("LOWER(Regexreplace(to_text(E3035),""[^A-Za-z0-9]"","""")&amp;""_""&amp;Regexreplace(to_text(F3035),""[^A-Za-z0-9]"",""""))"),"kamstrup_multical603")</f>
        <v>kamstrup_multical603</v>
      </c>
      <c r="BG3035" s="275" t="str">
        <f>IFERROR(__xludf.DUMMYFUNCTION("upper(Regexreplace(to_text(E3035),""[^A-Za-z0-9]"","""")&amp;""-""&amp;Regexreplace(to_text(F3035),""[^A-Za-z0-9]"",""""))"),"KAMSTRUP-MULTICAL603")</f>
        <v>KAMSTRUP-MULTICAL603</v>
      </c>
    </row>
    <row r="3036" ht="30.0" customHeight="1">
      <c r="A3036" s="258"/>
      <c r="B3036" s="328" t="s">
        <v>670</v>
      </c>
      <c r="C3036" s="257" t="s">
        <v>9407</v>
      </c>
      <c r="D3036" s="173" t="s">
        <v>9407</v>
      </c>
      <c r="E3036" s="174" t="s">
        <v>9296</v>
      </c>
      <c r="F3036" s="173" t="s">
        <v>9297</v>
      </c>
      <c r="G3036" s="328" t="s">
        <v>673</v>
      </c>
      <c r="H3036" s="328" t="s">
        <v>2863</v>
      </c>
      <c r="I3036" s="258" t="s">
        <v>9298</v>
      </c>
      <c r="J3036" s="259" t="s">
        <v>1149</v>
      </c>
      <c r="K3036" s="260">
        <v>675.0</v>
      </c>
      <c r="L3036" s="366"/>
      <c r="M3036" s="329"/>
      <c r="N3036" s="173" t="s">
        <v>679</v>
      </c>
      <c r="O3036" s="173" t="s">
        <v>225</v>
      </c>
      <c r="P3036" s="262" t="str">
        <f t="shared" si="1"/>
        <v>IN-BLR-ANANTA-HM-254_6</v>
      </c>
      <c r="Q3036" s="173" t="s">
        <v>9408</v>
      </c>
      <c r="R3036" s="328" t="str">
        <f>IFS(C3036="","",C3036="n/a","N/A",LEN(C3036),Concatenate("{",char(34),"asset",char(34),":{",char(34),"guid",char(34),":",char(34),Q3036,char(34),",",char(34),"site",char(34),":",char(34),LOWER('2-Building'!$B$4),char(34),",",char(34),"name",char(34),":",char(34),LOWER(C3036),char(34),"}}"))</f>
        <v>{"asset":{"guid":"uuid://5e466cd5-5e15-40a5-a336-ce3c2ee6217c","site":"in-blr-ananta","name":"hm-254"}}</v>
      </c>
      <c r="S3036" s="366" t="s">
        <v>2866</v>
      </c>
      <c r="T3036" s="330"/>
      <c r="U3036" s="330"/>
      <c r="V3036" s="331"/>
      <c r="W3036" s="332"/>
      <c r="X3036" s="333"/>
      <c r="Y3036" s="33" t="s">
        <v>8076</v>
      </c>
      <c r="Z3036" s="368"/>
      <c r="AA3036" s="333"/>
      <c r="AB3036" s="258">
        <v>7.0</v>
      </c>
      <c r="AC3036" s="333"/>
      <c r="AD3036" s="329"/>
      <c r="AE3036" s="331"/>
      <c r="AF3036" s="336"/>
      <c r="AG3036" s="337"/>
      <c r="AH3036" s="333"/>
      <c r="AI3036" s="333"/>
      <c r="AJ3036" s="333"/>
      <c r="AK3036" s="333"/>
      <c r="AL3036" s="333"/>
      <c r="AM3036" s="338"/>
      <c r="AN3036" s="333"/>
      <c r="AO3036" s="333"/>
      <c r="AP3036" s="333"/>
      <c r="AQ3036" s="333"/>
      <c r="AR3036" s="333"/>
      <c r="AS3036" s="333"/>
      <c r="AT3036" s="333"/>
      <c r="AU3036" s="329"/>
      <c r="AV3036" s="341"/>
      <c r="AW3036" s="269"/>
      <c r="AX3036" s="269" t="s">
        <v>2869</v>
      </c>
      <c r="AY3036" s="270" t="s">
        <v>695</v>
      </c>
      <c r="AZ3036" s="379"/>
      <c r="BA3036" s="173">
        <v>10.0</v>
      </c>
      <c r="BB3036" s="341"/>
      <c r="BC3036" s="341"/>
      <c r="BD3036" s="308" t="s">
        <v>1844</v>
      </c>
      <c r="BE3036" s="364"/>
      <c r="BF3036" s="274" t="str">
        <f>IFERROR(__xludf.DUMMYFUNCTION("LOWER(Regexreplace(to_text(E3036),""[^A-Za-z0-9]"","""")&amp;""_""&amp;Regexreplace(to_text(F3036),""[^A-Za-z0-9]"",""""))"),"kamstrup_multical603")</f>
        <v>kamstrup_multical603</v>
      </c>
      <c r="BG3036" s="275" t="str">
        <f>IFERROR(__xludf.DUMMYFUNCTION("upper(Regexreplace(to_text(E3036),""[^A-Za-z0-9]"","""")&amp;""-""&amp;Regexreplace(to_text(F3036),""[^A-Za-z0-9]"",""""))"),"KAMSTRUP-MULTICAL603")</f>
        <v>KAMSTRUP-MULTICAL603</v>
      </c>
    </row>
    <row r="3037" ht="30.0" customHeight="1">
      <c r="A3037" s="258"/>
      <c r="B3037" s="328" t="s">
        <v>670</v>
      </c>
      <c r="C3037" s="257" t="s">
        <v>9409</v>
      </c>
      <c r="D3037" s="173" t="s">
        <v>9409</v>
      </c>
      <c r="E3037" s="174" t="s">
        <v>9296</v>
      </c>
      <c r="F3037" s="173" t="s">
        <v>9297</v>
      </c>
      <c r="G3037" s="328" t="s">
        <v>673</v>
      </c>
      <c r="H3037" s="328" t="s">
        <v>2863</v>
      </c>
      <c r="I3037" s="258" t="s">
        <v>9298</v>
      </c>
      <c r="J3037" s="259" t="s">
        <v>1211</v>
      </c>
      <c r="K3037" s="260">
        <v>775.0</v>
      </c>
      <c r="L3037" s="366"/>
      <c r="M3037" s="329"/>
      <c r="N3037" s="173" t="s">
        <v>679</v>
      </c>
      <c r="O3037" s="173" t="s">
        <v>225</v>
      </c>
      <c r="P3037" s="262" t="str">
        <f t="shared" si="1"/>
        <v>IN-BLR-ANANTA-HM-255_7</v>
      </c>
      <c r="Q3037" s="173" t="s">
        <v>9410</v>
      </c>
      <c r="R3037" s="328" t="str">
        <f>IFS(C3037="","",C3037="n/a","N/A",LEN(C3037),Concatenate("{",char(34),"asset",char(34),":{",char(34),"guid",char(34),":",char(34),Q3037,char(34),",",char(34),"site",char(34),":",char(34),LOWER('2-Building'!$B$4),char(34),",",char(34),"name",char(34),":",char(34),LOWER(C3037),char(34),"}}"))</f>
        <v>{"asset":{"guid":"uuid://e52e24b4-743c-4ea7-bf48-2b0208e1cbe8","site":"in-blr-ananta","name":"hm-255"}}</v>
      </c>
      <c r="S3037" s="366" t="s">
        <v>2866</v>
      </c>
      <c r="T3037" s="330"/>
      <c r="U3037" s="330"/>
      <c r="V3037" s="331"/>
      <c r="W3037" s="332"/>
      <c r="X3037" s="333"/>
      <c r="Y3037" s="33" t="s">
        <v>8076</v>
      </c>
      <c r="Z3037" s="368"/>
      <c r="AA3037" s="333"/>
      <c r="AB3037" s="258">
        <v>8.0</v>
      </c>
      <c r="AC3037" s="333"/>
      <c r="AD3037" s="329"/>
      <c r="AE3037" s="331"/>
      <c r="AF3037" s="336"/>
      <c r="AG3037" s="337"/>
      <c r="AH3037" s="333"/>
      <c r="AI3037" s="333"/>
      <c r="AJ3037" s="333"/>
      <c r="AK3037" s="333"/>
      <c r="AL3037" s="333"/>
      <c r="AM3037" s="338"/>
      <c r="AN3037" s="333"/>
      <c r="AO3037" s="333"/>
      <c r="AP3037" s="333"/>
      <c r="AQ3037" s="333"/>
      <c r="AR3037" s="333"/>
      <c r="AS3037" s="333"/>
      <c r="AT3037" s="333"/>
      <c r="AU3037" s="329"/>
      <c r="AV3037" s="341"/>
      <c r="AW3037" s="269"/>
      <c r="AX3037" s="269" t="s">
        <v>2869</v>
      </c>
      <c r="AY3037" s="270" t="s">
        <v>695</v>
      </c>
      <c r="AZ3037" s="379"/>
      <c r="BA3037" s="173">
        <v>10.0</v>
      </c>
      <c r="BB3037" s="341"/>
      <c r="BC3037" s="341"/>
      <c r="BD3037" s="308" t="s">
        <v>1844</v>
      </c>
      <c r="BE3037" s="364"/>
      <c r="BF3037" s="274" t="str">
        <f>IFERROR(__xludf.DUMMYFUNCTION("LOWER(Regexreplace(to_text(E3037),""[^A-Za-z0-9]"","""")&amp;""_""&amp;Regexreplace(to_text(F3037),""[^A-Za-z0-9]"",""""))"),"kamstrup_multical603")</f>
        <v>kamstrup_multical603</v>
      </c>
      <c r="BG3037" s="275" t="str">
        <f>IFERROR(__xludf.DUMMYFUNCTION("upper(Regexreplace(to_text(E3037),""[^A-Za-z0-9]"","""")&amp;""-""&amp;Regexreplace(to_text(F3037),""[^A-Za-z0-9]"",""""))"),"KAMSTRUP-MULTICAL603")</f>
        <v>KAMSTRUP-MULTICAL603</v>
      </c>
    </row>
    <row r="3038" ht="30.0" customHeight="1">
      <c r="A3038" s="258"/>
      <c r="B3038" s="328" t="s">
        <v>670</v>
      </c>
      <c r="C3038" s="257" t="s">
        <v>9411</v>
      </c>
      <c r="D3038" s="173" t="s">
        <v>9411</v>
      </c>
      <c r="E3038" s="174" t="s">
        <v>9296</v>
      </c>
      <c r="F3038" s="173" t="s">
        <v>9297</v>
      </c>
      <c r="G3038" s="328" t="s">
        <v>673</v>
      </c>
      <c r="H3038" s="328" t="s">
        <v>2863</v>
      </c>
      <c r="I3038" s="258" t="s">
        <v>9298</v>
      </c>
      <c r="J3038" s="259" t="s">
        <v>1272</v>
      </c>
      <c r="K3038" s="260">
        <v>875.0</v>
      </c>
      <c r="L3038" s="366"/>
      <c r="M3038" s="329"/>
      <c r="N3038" s="173" t="s">
        <v>679</v>
      </c>
      <c r="O3038" s="173" t="s">
        <v>225</v>
      </c>
      <c r="P3038" s="262" t="str">
        <f t="shared" si="1"/>
        <v>IN-BLR-ANANTA-HM-256_8</v>
      </c>
      <c r="Q3038" s="173" t="s">
        <v>9412</v>
      </c>
      <c r="R3038" s="328" t="str">
        <f>IFS(C3038="","",C3038="n/a","N/A",LEN(C3038),Concatenate("{",char(34),"asset",char(34),":{",char(34),"guid",char(34),":",char(34),Q3038,char(34),",",char(34),"site",char(34),":",char(34),LOWER('2-Building'!$B$4),char(34),",",char(34),"name",char(34),":",char(34),LOWER(C3038),char(34),"}}"))</f>
        <v>{"asset":{"guid":"uuid://f1a9a985-26a3-4da3-a49e-b18b9e1341f0","site":"in-blr-ananta","name":"hm-256"}}</v>
      </c>
      <c r="S3038" s="366" t="s">
        <v>2866</v>
      </c>
      <c r="T3038" s="330"/>
      <c r="U3038" s="330"/>
      <c r="V3038" s="331"/>
      <c r="W3038" s="332"/>
      <c r="X3038" s="333"/>
      <c r="Y3038" s="33" t="s">
        <v>8076</v>
      </c>
      <c r="Z3038" s="368"/>
      <c r="AA3038" s="333"/>
      <c r="AB3038" s="258">
        <v>9.0</v>
      </c>
      <c r="AC3038" s="333"/>
      <c r="AD3038" s="329"/>
      <c r="AE3038" s="331"/>
      <c r="AF3038" s="336"/>
      <c r="AG3038" s="337"/>
      <c r="AH3038" s="333"/>
      <c r="AI3038" s="333"/>
      <c r="AJ3038" s="333"/>
      <c r="AK3038" s="333"/>
      <c r="AL3038" s="333"/>
      <c r="AM3038" s="338"/>
      <c r="AN3038" s="333"/>
      <c r="AO3038" s="333"/>
      <c r="AP3038" s="333"/>
      <c r="AQ3038" s="333"/>
      <c r="AR3038" s="333"/>
      <c r="AS3038" s="333"/>
      <c r="AT3038" s="333"/>
      <c r="AU3038" s="329"/>
      <c r="AV3038" s="341"/>
      <c r="AW3038" s="269"/>
      <c r="AX3038" s="269" t="s">
        <v>2869</v>
      </c>
      <c r="AY3038" s="270" t="s">
        <v>695</v>
      </c>
      <c r="AZ3038" s="379"/>
      <c r="BA3038" s="173">
        <v>10.0</v>
      </c>
      <c r="BB3038" s="341"/>
      <c r="BC3038" s="341"/>
      <c r="BD3038" s="308" t="s">
        <v>1844</v>
      </c>
      <c r="BE3038" s="364"/>
      <c r="BF3038" s="274" t="str">
        <f>IFERROR(__xludf.DUMMYFUNCTION("LOWER(Regexreplace(to_text(E3038),""[^A-Za-z0-9]"","""")&amp;""_""&amp;Regexreplace(to_text(F3038),""[^A-Za-z0-9]"",""""))"),"kamstrup_multical603")</f>
        <v>kamstrup_multical603</v>
      </c>
      <c r="BG3038" s="275" t="str">
        <f>IFERROR(__xludf.DUMMYFUNCTION("upper(Regexreplace(to_text(E3038),""[^A-Za-z0-9]"","""")&amp;""-""&amp;Regexreplace(to_text(F3038),""[^A-Za-z0-9]"",""""))"),"KAMSTRUP-MULTICAL603")</f>
        <v>KAMSTRUP-MULTICAL603</v>
      </c>
    </row>
    <row r="3039" ht="30.0" customHeight="1">
      <c r="A3039" s="258"/>
      <c r="B3039" s="328" t="s">
        <v>670</v>
      </c>
      <c r="C3039" s="257" t="s">
        <v>9413</v>
      </c>
      <c r="D3039" s="173" t="s">
        <v>9413</v>
      </c>
      <c r="E3039" s="174" t="s">
        <v>9296</v>
      </c>
      <c r="F3039" s="173" t="s">
        <v>9297</v>
      </c>
      <c r="G3039" s="328" t="s">
        <v>673</v>
      </c>
      <c r="H3039" s="328" t="s">
        <v>2863</v>
      </c>
      <c r="I3039" s="258" t="s">
        <v>9298</v>
      </c>
      <c r="J3039" s="259" t="s">
        <v>1333</v>
      </c>
      <c r="K3039" s="260">
        <v>975.0</v>
      </c>
      <c r="L3039" s="366"/>
      <c r="M3039" s="329"/>
      <c r="N3039" s="173" t="s">
        <v>679</v>
      </c>
      <c r="O3039" s="173" t="s">
        <v>225</v>
      </c>
      <c r="P3039" s="262" t="str">
        <f t="shared" si="1"/>
        <v>IN-BLR-ANANTA-HM-257_9</v>
      </c>
      <c r="Q3039" s="173" t="s">
        <v>9414</v>
      </c>
      <c r="R3039" s="328" t="str">
        <f>IFS(C3039="","",C3039="n/a","N/A",LEN(C3039),Concatenate("{",char(34),"asset",char(34),":{",char(34),"guid",char(34),":",char(34),Q3039,char(34),",",char(34),"site",char(34),":",char(34),LOWER('2-Building'!$B$4),char(34),",",char(34),"name",char(34),":",char(34),LOWER(C3039),char(34),"}}"))</f>
        <v>{"asset":{"guid":"uuid://babd2721-d5a5-47e3-a0cd-2f62599784c0","site":"in-blr-ananta","name":"hm-257"}}</v>
      </c>
      <c r="S3039" s="366" t="s">
        <v>2866</v>
      </c>
      <c r="T3039" s="330"/>
      <c r="U3039" s="330"/>
      <c r="V3039" s="331"/>
      <c r="W3039" s="332"/>
      <c r="X3039" s="333"/>
      <c r="Y3039" s="33" t="s">
        <v>8076</v>
      </c>
      <c r="Z3039" s="368"/>
      <c r="AA3039" s="333"/>
      <c r="AB3039" s="258">
        <v>10.0</v>
      </c>
      <c r="AC3039" s="333"/>
      <c r="AD3039" s="329"/>
      <c r="AE3039" s="331"/>
      <c r="AF3039" s="336"/>
      <c r="AG3039" s="337"/>
      <c r="AH3039" s="333"/>
      <c r="AI3039" s="333"/>
      <c r="AJ3039" s="333"/>
      <c r="AK3039" s="333"/>
      <c r="AL3039" s="333"/>
      <c r="AM3039" s="338"/>
      <c r="AN3039" s="333"/>
      <c r="AO3039" s="333"/>
      <c r="AP3039" s="333"/>
      <c r="AQ3039" s="333"/>
      <c r="AR3039" s="333"/>
      <c r="AS3039" s="333"/>
      <c r="AT3039" s="333"/>
      <c r="AU3039" s="329"/>
      <c r="AV3039" s="341"/>
      <c r="AW3039" s="269"/>
      <c r="AX3039" s="269" t="s">
        <v>2869</v>
      </c>
      <c r="AY3039" s="270" t="s">
        <v>695</v>
      </c>
      <c r="AZ3039" s="379"/>
      <c r="BA3039" s="173">
        <v>10.0</v>
      </c>
      <c r="BB3039" s="341"/>
      <c r="BC3039" s="341"/>
      <c r="BD3039" s="308" t="s">
        <v>1844</v>
      </c>
      <c r="BE3039" s="364"/>
      <c r="BF3039" s="274" t="str">
        <f>IFERROR(__xludf.DUMMYFUNCTION("LOWER(Regexreplace(to_text(E3039),""[^A-Za-z0-9]"","""")&amp;""_""&amp;Regexreplace(to_text(F3039),""[^A-Za-z0-9]"",""""))"),"kamstrup_multical603")</f>
        <v>kamstrup_multical603</v>
      </c>
      <c r="BG3039" s="275" t="str">
        <f>IFERROR(__xludf.DUMMYFUNCTION("upper(Regexreplace(to_text(E3039),""[^A-Za-z0-9]"","""")&amp;""-""&amp;Regexreplace(to_text(F3039),""[^A-Za-z0-9]"",""""))"),"KAMSTRUP-MULTICAL603")</f>
        <v>KAMSTRUP-MULTICAL603</v>
      </c>
    </row>
    <row r="3040" ht="30.0" customHeight="1">
      <c r="A3040" s="258"/>
      <c r="B3040" s="328" t="s">
        <v>670</v>
      </c>
      <c r="C3040" s="257" t="s">
        <v>9415</v>
      </c>
      <c r="D3040" s="173" t="s">
        <v>9415</v>
      </c>
      <c r="E3040" s="174" t="s">
        <v>9296</v>
      </c>
      <c r="F3040" s="173" t="s">
        <v>9297</v>
      </c>
      <c r="G3040" s="328" t="s">
        <v>673</v>
      </c>
      <c r="H3040" s="328" t="s">
        <v>2863</v>
      </c>
      <c r="I3040" s="258" t="s">
        <v>9298</v>
      </c>
      <c r="J3040" s="259" t="s">
        <v>1393</v>
      </c>
      <c r="K3040" s="260" t="s">
        <v>8447</v>
      </c>
      <c r="L3040" s="366"/>
      <c r="M3040" s="329"/>
      <c r="N3040" s="173" t="s">
        <v>679</v>
      </c>
      <c r="O3040" s="173" t="s">
        <v>225</v>
      </c>
      <c r="P3040" s="262" t="str">
        <f t="shared" si="1"/>
        <v>IN-BLR-ANANTA-HM-258_10</v>
      </c>
      <c r="Q3040" s="173" t="s">
        <v>9416</v>
      </c>
      <c r="R3040" s="328" t="str">
        <f>IFS(C3040="","",C3040="n/a","N/A",LEN(C3040),Concatenate("{",char(34),"asset",char(34),":{",char(34),"guid",char(34),":",char(34),Q3040,char(34),",",char(34),"site",char(34),":",char(34),LOWER('2-Building'!$B$4),char(34),",",char(34),"name",char(34),":",char(34),LOWER(C3040),char(34),"}}"))</f>
        <v>{"asset":{"guid":"uuid://1fd2a898-fc32-4442-9395-dfa7ec99be0a","site":"in-blr-ananta","name":"hm-258"}}</v>
      </c>
      <c r="S3040" s="366" t="s">
        <v>2866</v>
      </c>
      <c r="T3040" s="330"/>
      <c r="U3040" s="330"/>
      <c r="V3040" s="331"/>
      <c r="W3040" s="332"/>
      <c r="X3040" s="333"/>
      <c r="Y3040" s="33" t="s">
        <v>8076</v>
      </c>
      <c r="Z3040" s="368"/>
      <c r="AA3040" s="333"/>
      <c r="AB3040" s="258">
        <v>11.0</v>
      </c>
      <c r="AC3040" s="333"/>
      <c r="AD3040" s="329"/>
      <c r="AE3040" s="331"/>
      <c r="AF3040" s="336"/>
      <c r="AG3040" s="337"/>
      <c r="AH3040" s="333"/>
      <c r="AI3040" s="333"/>
      <c r="AJ3040" s="333"/>
      <c r="AK3040" s="333"/>
      <c r="AL3040" s="333"/>
      <c r="AM3040" s="338"/>
      <c r="AN3040" s="333"/>
      <c r="AO3040" s="333"/>
      <c r="AP3040" s="333"/>
      <c r="AQ3040" s="333"/>
      <c r="AR3040" s="333"/>
      <c r="AS3040" s="333"/>
      <c r="AT3040" s="333"/>
      <c r="AU3040" s="329"/>
      <c r="AV3040" s="341"/>
      <c r="AW3040" s="269"/>
      <c r="AX3040" s="269" t="s">
        <v>2869</v>
      </c>
      <c r="AY3040" s="270" t="s">
        <v>695</v>
      </c>
      <c r="AZ3040" s="379"/>
      <c r="BA3040" s="173">
        <v>10.0</v>
      </c>
      <c r="BB3040" s="341"/>
      <c r="BC3040" s="341"/>
      <c r="BD3040" s="308" t="s">
        <v>1844</v>
      </c>
      <c r="BE3040" s="364"/>
      <c r="BF3040" s="274" t="str">
        <f>IFERROR(__xludf.DUMMYFUNCTION("LOWER(Regexreplace(to_text(E3040),""[^A-Za-z0-9]"","""")&amp;""_""&amp;Regexreplace(to_text(F3040),""[^A-Za-z0-9]"",""""))"),"kamstrup_multical603")</f>
        <v>kamstrup_multical603</v>
      </c>
      <c r="BG3040" s="275" t="str">
        <f>IFERROR(__xludf.DUMMYFUNCTION("upper(Regexreplace(to_text(E3040),""[^A-Za-z0-9]"","""")&amp;""-""&amp;Regexreplace(to_text(F3040),""[^A-Za-z0-9]"",""""))"),"KAMSTRUP-MULTICAL603")</f>
        <v>KAMSTRUP-MULTICAL603</v>
      </c>
    </row>
    <row r="3041" ht="30.0" customHeight="1">
      <c r="A3041" s="258"/>
      <c r="B3041" s="328" t="s">
        <v>670</v>
      </c>
      <c r="C3041" s="257" t="s">
        <v>9417</v>
      </c>
      <c r="D3041" s="173" t="s">
        <v>9417</v>
      </c>
      <c r="E3041" s="174" t="s">
        <v>9296</v>
      </c>
      <c r="F3041" s="173" t="s">
        <v>9297</v>
      </c>
      <c r="G3041" s="328" t="s">
        <v>673</v>
      </c>
      <c r="H3041" s="328" t="s">
        <v>2863</v>
      </c>
      <c r="I3041" s="258" t="s">
        <v>9298</v>
      </c>
      <c r="J3041" s="259" t="s">
        <v>1453</v>
      </c>
      <c r="K3041" s="260" t="s">
        <v>1465</v>
      </c>
      <c r="L3041" s="366"/>
      <c r="M3041" s="329"/>
      <c r="N3041" s="173" t="s">
        <v>679</v>
      </c>
      <c r="O3041" s="173" t="s">
        <v>225</v>
      </c>
      <c r="P3041" s="262" t="str">
        <f t="shared" si="1"/>
        <v>IN-BLR-ANANTA-HM-259_11</v>
      </c>
      <c r="Q3041" s="173" t="s">
        <v>9418</v>
      </c>
      <c r="R3041" s="328" t="str">
        <f>IFS(C3041="","",C3041="n/a","N/A",LEN(C3041),Concatenate("{",char(34),"asset",char(34),":{",char(34),"guid",char(34),":",char(34),Q3041,char(34),",",char(34),"site",char(34),":",char(34),LOWER('2-Building'!$B$4),char(34),",",char(34),"name",char(34),":",char(34),LOWER(C3041),char(34),"}}"))</f>
        <v>{"asset":{"guid":"uuid://1daf0187-4f10-4a12-aad1-fb8d0d4f8e80","site":"in-blr-ananta","name":"hm-259"}}</v>
      </c>
      <c r="S3041" s="366" t="s">
        <v>2866</v>
      </c>
      <c r="T3041" s="330"/>
      <c r="U3041" s="330"/>
      <c r="V3041" s="331"/>
      <c r="W3041" s="332"/>
      <c r="X3041" s="333"/>
      <c r="Y3041" s="33" t="s">
        <v>8076</v>
      </c>
      <c r="Z3041" s="368"/>
      <c r="AA3041" s="333"/>
      <c r="AB3041" s="258">
        <v>12.0</v>
      </c>
      <c r="AC3041" s="333"/>
      <c r="AD3041" s="329"/>
      <c r="AE3041" s="331"/>
      <c r="AF3041" s="336"/>
      <c r="AG3041" s="337"/>
      <c r="AH3041" s="333"/>
      <c r="AI3041" s="333"/>
      <c r="AJ3041" s="333"/>
      <c r="AK3041" s="333"/>
      <c r="AL3041" s="333"/>
      <c r="AM3041" s="338"/>
      <c r="AN3041" s="333"/>
      <c r="AO3041" s="333"/>
      <c r="AP3041" s="333"/>
      <c r="AQ3041" s="333"/>
      <c r="AR3041" s="333"/>
      <c r="AS3041" s="333"/>
      <c r="AT3041" s="333"/>
      <c r="AU3041" s="329"/>
      <c r="AV3041" s="341"/>
      <c r="AW3041" s="269"/>
      <c r="AX3041" s="269" t="s">
        <v>2869</v>
      </c>
      <c r="AY3041" s="270" t="s">
        <v>695</v>
      </c>
      <c r="AZ3041" s="379"/>
      <c r="BA3041" s="173">
        <v>10.0</v>
      </c>
      <c r="BB3041" s="341"/>
      <c r="BC3041" s="341"/>
      <c r="BD3041" s="308" t="s">
        <v>1844</v>
      </c>
      <c r="BE3041" s="364"/>
      <c r="BF3041" s="274" t="str">
        <f>IFERROR(__xludf.DUMMYFUNCTION("LOWER(Regexreplace(to_text(E3041),""[^A-Za-z0-9]"","""")&amp;""_""&amp;Regexreplace(to_text(F3041),""[^A-Za-z0-9]"",""""))"),"kamstrup_multical603")</f>
        <v>kamstrup_multical603</v>
      </c>
      <c r="BG3041" s="275" t="str">
        <f>IFERROR(__xludf.DUMMYFUNCTION("upper(Regexreplace(to_text(E3041),""[^A-Za-z0-9]"","""")&amp;""-""&amp;Regexreplace(to_text(F3041),""[^A-Za-z0-9]"",""""))"),"KAMSTRUP-MULTICAL603")</f>
        <v>KAMSTRUP-MULTICAL603</v>
      </c>
    </row>
    <row r="3042" ht="30.0" customHeight="1">
      <c r="A3042" s="258"/>
      <c r="B3042" s="328" t="s">
        <v>670</v>
      </c>
      <c r="C3042" s="257" t="s">
        <v>9419</v>
      </c>
      <c r="D3042" s="173" t="s">
        <v>9419</v>
      </c>
      <c r="E3042" s="174" t="s">
        <v>9296</v>
      </c>
      <c r="F3042" s="173" t="s">
        <v>9297</v>
      </c>
      <c r="G3042" s="328" t="s">
        <v>673</v>
      </c>
      <c r="H3042" s="328" t="s">
        <v>2863</v>
      </c>
      <c r="I3042" s="258" t="s">
        <v>9298</v>
      </c>
      <c r="J3042" s="259" t="s">
        <v>846</v>
      </c>
      <c r="K3042" s="260" t="s">
        <v>878</v>
      </c>
      <c r="L3042" s="366"/>
      <c r="M3042" s="329"/>
      <c r="N3042" s="173" t="s">
        <v>679</v>
      </c>
      <c r="O3042" s="173" t="s">
        <v>225</v>
      </c>
      <c r="P3042" s="262" t="str">
        <f t="shared" si="1"/>
        <v>IN-BLR-ANANTA-HM-260_1</v>
      </c>
      <c r="Q3042" s="173" t="s">
        <v>9420</v>
      </c>
      <c r="R3042" s="328" t="str">
        <f>IFS(C3042="","",C3042="n/a","N/A",LEN(C3042),Concatenate("{",char(34),"asset",char(34),":{",char(34),"guid",char(34),":",char(34),Q3042,char(34),",",char(34),"site",char(34),":",char(34),LOWER('2-Building'!$B$4),char(34),",",char(34),"name",char(34),":",char(34),LOWER(C3042),char(34),"}}"))</f>
        <v>{"asset":{"guid":"uuid://11f8e769-24ac-4d38-aae3-bcb19ba00557","site":"in-blr-ananta","name":"hm-260"}}</v>
      </c>
      <c r="S3042" s="366" t="s">
        <v>2866</v>
      </c>
      <c r="T3042" s="330"/>
      <c r="U3042" s="330"/>
      <c r="V3042" s="331"/>
      <c r="W3042" s="332"/>
      <c r="X3042" s="333"/>
      <c r="Y3042" s="33" t="s">
        <v>8076</v>
      </c>
      <c r="Z3042" s="368"/>
      <c r="AA3042" s="333"/>
      <c r="AB3042" s="258">
        <v>1.0</v>
      </c>
      <c r="AC3042" s="333"/>
      <c r="AD3042" s="329"/>
      <c r="AE3042" s="331"/>
      <c r="AF3042" s="336"/>
      <c r="AG3042" s="337"/>
      <c r="AH3042" s="333"/>
      <c r="AI3042" s="333"/>
      <c r="AJ3042" s="333"/>
      <c r="AK3042" s="333"/>
      <c r="AL3042" s="333"/>
      <c r="AM3042" s="338"/>
      <c r="AN3042" s="333"/>
      <c r="AO3042" s="333"/>
      <c r="AP3042" s="333"/>
      <c r="AQ3042" s="333"/>
      <c r="AR3042" s="333"/>
      <c r="AS3042" s="333"/>
      <c r="AT3042" s="333"/>
      <c r="AU3042" s="329"/>
      <c r="AV3042" s="341"/>
      <c r="AW3042" s="269"/>
      <c r="AX3042" s="269" t="s">
        <v>2869</v>
      </c>
      <c r="AY3042" s="270" t="s">
        <v>695</v>
      </c>
      <c r="AZ3042" s="379"/>
      <c r="BA3042" s="173">
        <v>10.0</v>
      </c>
      <c r="BB3042" s="341"/>
      <c r="BC3042" s="341"/>
      <c r="BD3042" s="308" t="s">
        <v>1844</v>
      </c>
      <c r="BE3042" s="364"/>
      <c r="BF3042" s="274" t="str">
        <f>IFERROR(__xludf.DUMMYFUNCTION("LOWER(Regexreplace(to_text(E3042),""[^A-Za-z0-9]"","""")&amp;""_""&amp;Regexreplace(to_text(F3042),""[^A-Za-z0-9]"",""""))"),"kamstrup_multical603")</f>
        <v>kamstrup_multical603</v>
      </c>
      <c r="BG3042" s="275" t="str">
        <f>IFERROR(__xludf.DUMMYFUNCTION("upper(Regexreplace(to_text(E3042),""[^A-Za-z0-9]"","""")&amp;""-""&amp;Regexreplace(to_text(F3042),""[^A-Za-z0-9]"",""""))"),"KAMSTRUP-MULTICAL603")</f>
        <v>KAMSTRUP-MULTICAL603</v>
      </c>
    </row>
    <row r="3043" ht="30.0" customHeight="1">
      <c r="A3043" s="258"/>
      <c r="B3043" s="328" t="s">
        <v>670</v>
      </c>
      <c r="C3043" s="257" t="s">
        <v>9421</v>
      </c>
      <c r="D3043" s="173" t="s">
        <v>9421</v>
      </c>
      <c r="E3043" s="174" t="s">
        <v>9296</v>
      </c>
      <c r="F3043" s="173" t="s">
        <v>9297</v>
      </c>
      <c r="G3043" s="328" t="s">
        <v>673</v>
      </c>
      <c r="H3043" s="328" t="s">
        <v>2863</v>
      </c>
      <c r="I3043" s="258" t="s">
        <v>9298</v>
      </c>
      <c r="J3043" s="259" t="s">
        <v>902</v>
      </c>
      <c r="K3043" s="260">
        <v>248.0</v>
      </c>
      <c r="L3043" s="366"/>
      <c r="M3043" s="329"/>
      <c r="N3043" s="173" t="s">
        <v>679</v>
      </c>
      <c r="O3043" s="173" t="s">
        <v>225</v>
      </c>
      <c r="P3043" s="262" t="str">
        <f t="shared" si="1"/>
        <v>IN-BLR-ANANTA-HM-261_2</v>
      </c>
      <c r="Q3043" s="173" t="s">
        <v>9422</v>
      </c>
      <c r="R3043" s="328" t="str">
        <f>IFS(C3043="","",C3043="n/a","N/A",LEN(C3043),Concatenate("{",char(34),"asset",char(34),":{",char(34),"guid",char(34),":",char(34),Q3043,char(34),",",char(34),"site",char(34),":",char(34),LOWER('2-Building'!$B$4),char(34),",",char(34),"name",char(34),":",char(34),LOWER(C3043),char(34),"}}"))</f>
        <v>{"asset":{"guid":"uuid://c5de5d86-98d8-4386-9d19-1f185fcd676d","site":"in-blr-ananta","name":"hm-261"}}</v>
      </c>
      <c r="S3043" s="366" t="s">
        <v>2866</v>
      </c>
      <c r="T3043" s="330"/>
      <c r="U3043" s="330"/>
      <c r="V3043" s="331"/>
      <c r="W3043" s="332"/>
      <c r="X3043" s="333"/>
      <c r="Y3043" s="33" t="s">
        <v>8076</v>
      </c>
      <c r="Z3043" s="368"/>
      <c r="AA3043" s="333"/>
      <c r="AB3043" s="258">
        <v>2.0</v>
      </c>
      <c r="AC3043" s="333"/>
      <c r="AD3043" s="329"/>
      <c r="AE3043" s="331"/>
      <c r="AF3043" s="336"/>
      <c r="AG3043" s="337"/>
      <c r="AH3043" s="333"/>
      <c r="AI3043" s="333"/>
      <c r="AJ3043" s="333"/>
      <c r="AK3043" s="333"/>
      <c r="AL3043" s="333"/>
      <c r="AM3043" s="338"/>
      <c r="AN3043" s="333"/>
      <c r="AO3043" s="333"/>
      <c r="AP3043" s="333"/>
      <c r="AQ3043" s="333"/>
      <c r="AR3043" s="333"/>
      <c r="AS3043" s="333"/>
      <c r="AT3043" s="333"/>
      <c r="AU3043" s="329"/>
      <c r="AV3043" s="341"/>
      <c r="AW3043" s="269"/>
      <c r="AX3043" s="269" t="s">
        <v>2869</v>
      </c>
      <c r="AY3043" s="270" t="s">
        <v>695</v>
      </c>
      <c r="AZ3043" s="379"/>
      <c r="BA3043" s="173">
        <v>10.0</v>
      </c>
      <c r="BB3043" s="341"/>
      <c r="BC3043" s="341"/>
      <c r="BD3043" s="308" t="s">
        <v>1844</v>
      </c>
      <c r="BE3043" s="364"/>
      <c r="BF3043" s="274" t="str">
        <f>IFERROR(__xludf.DUMMYFUNCTION("LOWER(Regexreplace(to_text(E3043),""[^A-Za-z0-9]"","""")&amp;""_""&amp;Regexreplace(to_text(F3043),""[^A-Za-z0-9]"",""""))"),"kamstrup_multical603")</f>
        <v>kamstrup_multical603</v>
      </c>
      <c r="BG3043" s="275" t="str">
        <f>IFERROR(__xludf.DUMMYFUNCTION("upper(Regexreplace(to_text(E3043),""[^A-Za-z0-9]"","""")&amp;""-""&amp;Regexreplace(to_text(F3043),""[^A-Za-z0-9]"",""""))"),"KAMSTRUP-MULTICAL603")</f>
        <v>KAMSTRUP-MULTICAL603</v>
      </c>
    </row>
    <row r="3044" ht="30.0" customHeight="1">
      <c r="A3044" s="258"/>
      <c r="B3044" s="328" t="s">
        <v>670</v>
      </c>
      <c r="C3044" s="257" t="s">
        <v>9423</v>
      </c>
      <c r="D3044" s="173" t="s">
        <v>9423</v>
      </c>
      <c r="E3044" s="174" t="s">
        <v>9296</v>
      </c>
      <c r="F3044" s="173" t="s">
        <v>9297</v>
      </c>
      <c r="G3044" s="328" t="s">
        <v>673</v>
      </c>
      <c r="H3044" s="328" t="s">
        <v>2863</v>
      </c>
      <c r="I3044" s="258" t="s">
        <v>9298</v>
      </c>
      <c r="J3044" s="259" t="s">
        <v>965</v>
      </c>
      <c r="K3044" s="260">
        <v>348.0</v>
      </c>
      <c r="L3044" s="366"/>
      <c r="M3044" s="329"/>
      <c r="N3044" s="173" t="s">
        <v>679</v>
      </c>
      <c r="O3044" s="173" t="s">
        <v>225</v>
      </c>
      <c r="P3044" s="262" t="str">
        <f t="shared" si="1"/>
        <v>IN-BLR-ANANTA-HM-262_3</v>
      </c>
      <c r="Q3044" s="173" t="s">
        <v>9424</v>
      </c>
      <c r="R3044" s="328" t="str">
        <f>IFS(C3044="","",C3044="n/a","N/A",LEN(C3044),Concatenate("{",char(34),"asset",char(34),":{",char(34),"guid",char(34),":",char(34),Q3044,char(34),",",char(34),"site",char(34),":",char(34),LOWER('2-Building'!$B$4),char(34),",",char(34),"name",char(34),":",char(34),LOWER(C3044),char(34),"}}"))</f>
        <v>{"asset":{"guid":"uuid://295930c3-52c2-4e61-a183-05440433ad41","site":"in-blr-ananta","name":"hm-262"}}</v>
      </c>
      <c r="S3044" s="366" t="s">
        <v>2866</v>
      </c>
      <c r="T3044" s="330"/>
      <c r="U3044" s="330"/>
      <c r="V3044" s="331"/>
      <c r="W3044" s="332"/>
      <c r="X3044" s="333"/>
      <c r="Y3044" s="33" t="s">
        <v>8076</v>
      </c>
      <c r="Z3044" s="368"/>
      <c r="AA3044" s="333"/>
      <c r="AB3044" s="258">
        <v>3.0</v>
      </c>
      <c r="AC3044" s="333"/>
      <c r="AD3044" s="329"/>
      <c r="AE3044" s="331"/>
      <c r="AF3044" s="336"/>
      <c r="AG3044" s="337"/>
      <c r="AH3044" s="333"/>
      <c r="AI3044" s="333"/>
      <c r="AJ3044" s="333"/>
      <c r="AK3044" s="333"/>
      <c r="AL3044" s="333"/>
      <c r="AM3044" s="338"/>
      <c r="AN3044" s="333"/>
      <c r="AO3044" s="333"/>
      <c r="AP3044" s="333"/>
      <c r="AQ3044" s="333"/>
      <c r="AR3044" s="333"/>
      <c r="AS3044" s="333"/>
      <c r="AT3044" s="333"/>
      <c r="AU3044" s="329"/>
      <c r="AV3044" s="341"/>
      <c r="AW3044" s="269"/>
      <c r="AX3044" s="269" t="s">
        <v>2869</v>
      </c>
      <c r="AY3044" s="270" t="s">
        <v>695</v>
      </c>
      <c r="AZ3044" s="379"/>
      <c r="BA3044" s="173">
        <v>10.0</v>
      </c>
      <c r="BB3044" s="341"/>
      <c r="BC3044" s="341"/>
      <c r="BD3044" s="308" t="s">
        <v>1844</v>
      </c>
      <c r="BE3044" s="364"/>
      <c r="BF3044" s="274" t="str">
        <f>IFERROR(__xludf.DUMMYFUNCTION("LOWER(Regexreplace(to_text(E3044),""[^A-Za-z0-9]"","""")&amp;""_""&amp;Regexreplace(to_text(F3044),""[^A-Za-z0-9]"",""""))"),"kamstrup_multical603")</f>
        <v>kamstrup_multical603</v>
      </c>
      <c r="BG3044" s="275" t="str">
        <f>IFERROR(__xludf.DUMMYFUNCTION("upper(Regexreplace(to_text(E3044),""[^A-Za-z0-9]"","""")&amp;""-""&amp;Regexreplace(to_text(F3044),""[^A-Za-z0-9]"",""""))"),"KAMSTRUP-MULTICAL603")</f>
        <v>KAMSTRUP-MULTICAL603</v>
      </c>
    </row>
    <row r="3045" ht="30.0" customHeight="1">
      <c r="A3045" s="258"/>
      <c r="B3045" s="328" t="s">
        <v>670</v>
      </c>
      <c r="C3045" s="257" t="s">
        <v>9425</v>
      </c>
      <c r="D3045" s="173" t="s">
        <v>9425</v>
      </c>
      <c r="E3045" s="174" t="s">
        <v>9296</v>
      </c>
      <c r="F3045" s="173" t="s">
        <v>9297</v>
      </c>
      <c r="G3045" s="328" t="s">
        <v>673</v>
      </c>
      <c r="H3045" s="328" t="s">
        <v>2863</v>
      </c>
      <c r="I3045" s="258" t="s">
        <v>9298</v>
      </c>
      <c r="J3045" s="259" t="s">
        <v>1026</v>
      </c>
      <c r="K3045" s="260">
        <v>448.0</v>
      </c>
      <c r="L3045" s="366"/>
      <c r="M3045" s="329"/>
      <c r="N3045" s="173" t="s">
        <v>679</v>
      </c>
      <c r="O3045" s="173" t="s">
        <v>225</v>
      </c>
      <c r="P3045" s="262" t="str">
        <f t="shared" si="1"/>
        <v>IN-BLR-ANANTA-HM-263_4</v>
      </c>
      <c r="Q3045" s="173" t="s">
        <v>9426</v>
      </c>
      <c r="R3045" s="328" t="str">
        <f>IFS(C3045="","",C3045="n/a","N/A",LEN(C3045),Concatenate("{",char(34),"asset",char(34),":{",char(34),"guid",char(34),":",char(34),Q3045,char(34),",",char(34),"site",char(34),":",char(34),LOWER('2-Building'!$B$4),char(34),",",char(34),"name",char(34),":",char(34),LOWER(C3045),char(34),"}}"))</f>
        <v>{"asset":{"guid":"uuid://1a3d6c51-f648-4d70-8788-cb3a3290b6f1","site":"in-blr-ananta","name":"hm-263"}}</v>
      </c>
      <c r="S3045" s="366" t="s">
        <v>2866</v>
      </c>
      <c r="T3045" s="330"/>
      <c r="U3045" s="330"/>
      <c r="V3045" s="331"/>
      <c r="W3045" s="332"/>
      <c r="X3045" s="333"/>
      <c r="Y3045" s="33" t="s">
        <v>8076</v>
      </c>
      <c r="Z3045" s="368"/>
      <c r="AA3045" s="333"/>
      <c r="AB3045" s="258">
        <v>4.0</v>
      </c>
      <c r="AC3045" s="333"/>
      <c r="AD3045" s="329"/>
      <c r="AE3045" s="331"/>
      <c r="AF3045" s="336"/>
      <c r="AG3045" s="337"/>
      <c r="AH3045" s="333"/>
      <c r="AI3045" s="333"/>
      <c r="AJ3045" s="333"/>
      <c r="AK3045" s="333"/>
      <c r="AL3045" s="333"/>
      <c r="AM3045" s="338"/>
      <c r="AN3045" s="333"/>
      <c r="AO3045" s="333"/>
      <c r="AP3045" s="333"/>
      <c r="AQ3045" s="333"/>
      <c r="AR3045" s="333"/>
      <c r="AS3045" s="333"/>
      <c r="AT3045" s="333"/>
      <c r="AU3045" s="329"/>
      <c r="AV3045" s="341"/>
      <c r="AW3045" s="269"/>
      <c r="AX3045" s="269" t="s">
        <v>2869</v>
      </c>
      <c r="AY3045" s="270" t="s">
        <v>695</v>
      </c>
      <c r="AZ3045" s="379"/>
      <c r="BA3045" s="173">
        <v>10.0</v>
      </c>
      <c r="BB3045" s="341"/>
      <c r="BC3045" s="341"/>
      <c r="BD3045" s="308" t="s">
        <v>1844</v>
      </c>
      <c r="BE3045" s="364"/>
      <c r="BF3045" s="274" t="str">
        <f>IFERROR(__xludf.DUMMYFUNCTION("LOWER(Regexreplace(to_text(E3045),""[^A-Za-z0-9]"","""")&amp;""_""&amp;Regexreplace(to_text(F3045),""[^A-Za-z0-9]"",""""))"),"kamstrup_multical603")</f>
        <v>kamstrup_multical603</v>
      </c>
      <c r="BG3045" s="275" t="str">
        <f>IFERROR(__xludf.DUMMYFUNCTION("upper(Regexreplace(to_text(E3045),""[^A-Za-z0-9]"","""")&amp;""-""&amp;Regexreplace(to_text(F3045),""[^A-Za-z0-9]"",""""))"),"KAMSTRUP-MULTICAL603")</f>
        <v>KAMSTRUP-MULTICAL603</v>
      </c>
    </row>
    <row r="3046" ht="30.0" customHeight="1">
      <c r="A3046" s="258"/>
      <c r="B3046" s="328" t="s">
        <v>670</v>
      </c>
      <c r="C3046" s="257" t="s">
        <v>9427</v>
      </c>
      <c r="D3046" s="173" t="s">
        <v>9427</v>
      </c>
      <c r="E3046" s="174" t="s">
        <v>9296</v>
      </c>
      <c r="F3046" s="173" t="s">
        <v>9297</v>
      </c>
      <c r="G3046" s="328" t="s">
        <v>673</v>
      </c>
      <c r="H3046" s="328" t="s">
        <v>2863</v>
      </c>
      <c r="I3046" s="258" t="s">
        <v>9298</v>
      </c>
      <c r="J3046" s="259" t="s">
        <v>1088</v>
      </c>
      <c r="K3046" s="260">
        <v>548.0</v>
      </c>
      <c r="L3046" s="366"/>
      <c r="M3046" s="329"/>
      <c r="N3046" s="173" t="s">
        <v>679</v>
      </c>
      <c r="O3046" s="173" t="s">
        <v>225</v>
      </c>
      <c r="P3046" s="262" t="str">
        <f t="shared" si="1"/>
        <v>IN-BLR-ANANTA-HM-264_5</v>
      </c>
      <c r="Q3046" s="173" t="s">
        <v>9428</v>
      </c>
      <c r="R3046" s="328" t="str">
        <f>IFS(C3046="","",C3046="n/a","N/A",LEN(C3046),Concatenate("{",char(34),"asset",char(34),":{",char(34),"guid",char(34),":",char(34),Q3046,char(34),",",char(34),"site",char(34),":",char(34),LOWER('2-Building'!$B$4),char(34),",",char(34),"name",char(34),":",char(34),LOWER(C3046),char(34),"}}"))</f>
        <v>{"asset":{"guid":"uuid://ca91c370-aba1-4f5c-9bf0-911d87ff445f","site":"in-blr-ananta","name":"hm-264"}}</v>
      </c>
      <c r="S3046" s="366" t="s">
        <v>2866</v>
      </c>
      <c r="T3046" s="330"/>
      <c r="U3046" s="330"/>
      <c r="V3046" s="331"/>
      <c r="W3046" s="332"/>
      <c r="X3046" s="333"/>
      <c r="Y3046" s="33" t="s">
        <v>8076</v>
      </c>
      <c r="Z3046" s="368"/>
      <c r="AA3046" s="333"/>
      <c r="AB3046" s="258">
        <v>5.0</v>
      </c>
      <c r="AC3046" s="333"/>
      <c r="AD3046" s="329"/>
      <c r="AE3046" s="331"/>
      <c r="AF3046" s="336"/>
      <c r="AG3046" s="337"/>
      <c r="AH3046" s="333"/>
      <c r="AI3046" s="333"/>
      <c r="AJ3046" s="333"/>
      <c r="AK3046" s="333"/>
      <c r="AL3046" s="333"/>
      <c r="AM3046" s="338"/>
      <c r="AN3046" s="333"/>
      <c r="AO3046" s="333"/>
      <c r="AP3046" s="333"/>
      <c r="AQ3046" s="333"/>
      <c r="AR3046" s="333"/>
      <c r="AS3046" s="333"/>
      <c r="AT3046" s="333"/>
      <c r="AU3046" s="329"/>
      <c r="AV3046" s="341"/>
      <c r="AW3046" s="269"/>
      <c r="AX3046" s="269" t="s">
        <v>2869</v>
      </c>
      <c r="AY3046" s="270" t="s">
        <v>695</v>
      </c>
      <c r="AZ3046" s="379"/>
      <c r="BA3046" s="173">
        <v>10.0</v>
      </c>
      <c r="BB3046" s="341"/>
      <c r="BC3046" s="341"/>
      <c r="BD3046" s="308" t="s">
        <v>1844</v>
      </c>
      <c r="BE3046" s="364"/>
      <c r="BF3046" s="274" t="str">
        <f>IFERROR(__xludf.DUMMYFUNCTION("LOWER(Regexreplace(to_text(E3046),""[^A-Za-z0-9]"","""")&amp;""_""&amp;Regexreplace(to_text(F3046),""[^A-Za-z0-9]"",""""))"),"kamstrup_multical603")</f>
        <v>kamstrup_multical603</v>
      </c>
      <c r="BG3046" s="275" t="str">
        <f>IFERROR(__xludf.DUMMYFUNCTION("upper(Regexreplace(to_text(E3046),""[^A-Za-z0-9]"","""")&amp;""-""&amp;Regexreplace(to_text(F3046),""[^A-Za-z0-9]"",""""))"),"KAMSTRUP-MULTICAL603")</f>
        <v>KAMSTRUP-MULTICAL603</v>
      </c>
    </row>
    <row r="3047" ht="30.0" customHeight="1">
      <c r="A3047" s="258"/>
      <c r="B3047" s="328" t="s">
        <v>670</v>
      </c>
      <c r="C3047" s="257" t="s">
        <v>9429</v>
      </c>
      <c r="D3047" s="173" t="s">
        <v>9429</v>
      </c>
      <c r="E3047" s="174" t="s">
        <v>9296</v>
      </c>
      <c r="F3047" s="173" t="s">
        <v>9297</v>
      </c>
      <c r="G3047" s="328" t="s">
        <v>673</v>
      </c>
      <c r="H3047" s="328" t="s">
        <v>2863</v>
      </c>
      <c r="I3047" s="258" t="s">
        <v>9298</v>
      </c>
      <c r="J3047" s="259" t="s">
        <v>1149</v>
      </c>
      <c r="K3047" s="260">
        <v>648.0</v>
      </c>
      <c r="L3047" s="366"/>
      <c r="M3047" s="329"/>
      <c r="N3047" s="173" t="s">
        <v>679</v>
      </c>
      <c r="O3047" s="173" t="s">
        <v>225</v>
      </c>
      <c r="P3047" s="262" t="str">
        <f t="shared" si="1"/>
        <v>IN-BLR-ANANTA-HM-265_6</v>
      </c>
      <c r="Q3047" s="173" t="s">
        <v>9430</v>
      </c>
      <c r="R3047" s="328" t="str">
        <f>IFS(C3047="","",C3047="n/a","N/A",LEN(C3047),Concatenate("{",char(34),"asset",char(34),":{",char(34),"guid",char(34),":",char(34),Q3047,char(34),",",char(34),"site",char(34),":",char(34),LOWER('2-Building'!$B$4),char(34),",",char(34),"name",char(34),":",char(34),LOWER(C3047),char(34),"}}"))</f>
        <v>{"asset":{"guid":"uuid://e62e15ea-ace5-482e-9335-ed28cca7063e","site":"in-blr-ananta","name":"hm-265"}}</v>
      </c>
      <c r="S3047" s="366" t="s">
        <v>2866</v>
      </c>
      <c r="T3047" s="330"/>
      <c r="U3047" s="330"/>
      <c r="V3047" s="331"/>
      <c r="W3047" s="332"/>
      <c r="X3047" s="333"/>
      <c r="Y3047" s="33" t="s">
        <v>8076</v>
      </c>
      <c r="Z3047" s="368"/>
      <c r="AA3047" s="333"/>
      <c r="AB3047" s="258">
        <v>6.0</v>
      </c>
      <c r="AC3047" s="333"/>
      <c r="AD3047" s="329"/>
      <c r="AE3047" s="331"/>
      <c r="AF3047" s="336"/>
      <c r="AG3047" s="337"/>
      <c r="AH3047" s="333"/>
      <c r="AI3047" s="333"/>
      <c r="AJ3047" s="333"/>
      <c r="AK3047" s="333"/>
      <c r="AL3047" s="333"/>
      <c r="AM3047" s="338"/>
      <c r="AN3047" s="333"/>
      <c r="AO3047" s="333"/>
      <c r="AP3047" s="333"/>
      <c r="AQ3047" s="333"/>
      <c r="AR3047" s="333"/>
      <c r="AS3047" s="333"/>
      <c r="AT3047" s="333"/>
      <c r="AU3047" s="329"/>
      <c r="AV3047" s="341"/>
      <c r="AW3047" s="269"/>
      <c r="AX3047" s="269" t="s">
        <v>2869</v>
      </c>
      <c r="AY3047" s="270" t="s">
        <v>695</v>
      </c>
      <c r="AZ3047" s="379"/>
      <c r="BA3047" s="173">
        <v>10.0</v>
      </c>
      <c r="BB3047" s="341"/>
      <c r="BC3047" s="341"/>
      <c r="BD3047" s="308" t="s">
        <v>1844</v>
      </c>
      <c r="BE3047" s="364"/>
      <c r="BF3047" s="274" t="str">
        <f>IFERROR(__xludf.DUMMYFUNCTION("LOWER(Regexreplace(to_text(E3047),""[^A-Za-z0-9]"","""")&amp;""_""&amp;Regexreplace(to_text(F3047),""[^A-Za-z0-9]"",""""))"),"kamstrup_multical603")</f>
        <v>kamstrup_multical603</v>
      </c>
      <c r="BG3047" s="275" t="str">
        <f>IFERROR(__xludf.DUMMYFUNCTION("upper(Regexreplace(to_text(E3047),""[^A-Za-z0-9]"","""")&amp;""-""&amp;Regexreplace(to_text(F3047),""[^A-Za-z0-9]"",""""))"),"KAMSTRUP-MULTICAL603")</f>
        <v>KAMSTRUP-MULTICAL603</v>
      </c>
    </row>
    <row r="3048" ht="30.0" customHeight="1">
      <c r="A3048" s="258"/>
      <c r="B3048" s="328" t="s">
        <v>670</v>
      </c>
      <c r="C3048" s="257" t="s">
        <v>9431</v>
      </c>
      <c r="D3048" s="173" t="s">
        <v>9431</v>
      </c>
      <c r="E3048" s="174" t="s">
        <v>9296</v>
      </c>
      <c r="F3048" s="173" t="s">
        <v>9297</v>
      </c>
      <c r="G3048" s="328" t="s">
        <v>673</v>
      </c>
      <c r="H3048" s="328" t="s">
        <v>2863</v>
      </c>
      <c r="I3048" s="258" t="s">
        <v>9298</v>
      </c>
      <c r="J3048" s="259" t="s">
        <v>1211</v>
      </c>
      <c r="K3048" s="260">
        <v>748.0</v>
      </c>
      <c r="L3048" s="366"/>
      <c r="M3048" s="329"/>
      <c r="N3048" s="173" t="s">
        <v>679</v>
      </c>
      <c r="O3048" s="173" t="s">
        <v>225</v>
      </c>
      <c r="P3048" s="262" t="str">
        <f t="shared" si="1"/>
        <v>IN-BLR-ANANTA-HM-266_7</v>
      </c>
      <c r="Q3048" s="173" t="s">
        <v>9432</v>
      </c>
      <c r="R3048" s="328" t="str">
        <f>IFS(C3048="","",C3048="n/a","N/A",LEN(C3048),Concatenate("{",char(34),"asset",char(34),":{",char(34),"guid",char(34),":",char(34),Q3048,char(34),",",char(34),"site",char(34),":",char(34),LOWER('2-Building'!$B$4),char(34),",",char(34),"name",char(34),":",char(34),LOWER(C3048),char(34),"}}"))</f>
        <v>{"asset":{"guid":"uuid://c65fc86b-d080-4f2e-9a1d-1283a9a29d75","site":"in-blr-ananta","name":"hm-266"}}</v>
      </c>
      <c r="S3048" s="366" t="s">
        <v>2866</v>
      </c>
      <c r="T3048" s="330"/>
      <c r="U3048" s="330"/>
      <c r="V3048" s="331"/>
      <c r="W3048" s="332"/>
      <c r="X3048" s="333"/>
      <c r="Y3048" s="33" t="s">
        <v>8076</v>
      </c>
      <c r="Z3048" s="368"/>
      <c r="AA3048" s="333"/>
      <c r="AB3048" s="258">
        <v>7.0</v>
      </c>
      <c r="AC3048" s="333"/>
      <c r="AD3048" s="329"/>
      <c r="AE3048" s="331"/>
      <c r="AF3048" s="336"/>
      <c r="AG3048" s="337"/>
      <c r="AH3048" s="333"/>
      <c r="AI3048" s="333"/>
      <c r="AJ3048" s="333"/>
      <c r="AK3048" s="333"/>
      <c r="AL3048" s="333"/>
      <c r="AM3048" s="338"/>
      <c r="AN3048" s="333"/>
      <c r="AO3048" s="333"/>
      <c r="AP3048" s="333"/>
      <c r="AQ3048" s="333"/>
      <c r="AR3048" s="333"/>
      <c r="AS3048" s="333"/>
      <c r="AT3048" s="333"/>
      <c r="AU3048" s="329"/>
      <c r="AV3048" s="341"/>
      <c r="AW3048" s="269"/>
      <c r="AX3048" s="269" t="s">
        <v>2869</v>
      </c>
      <c r="AY3048" s="270" t="s">
        <v>695</v>
      </c>
      <c r="AZ3048" s="379"/>
      <c r="BA3048" s="173">
        <v>10.0</v>
      </c>
      <c r="BB3048" s="341"/>
      <c r="BC3048" s="341"/>
      <c r="BD3048" s="308" t="s">
        <v>1844</v>
      </c>
      <c r="BE3048" s="364"/>
      <c r="BF3048" s="274" t="str">
        <f>IFERROR(__xludf.DUMMYFUNCTION("LOWER(Regexreplace(to_text(E3048),""[^A-Za-z0-9]"","""")&amp;""_""&amp;Regexreplace(to_text(F3048),""[^A-Za-z0-9]"",""""))"),"kamstrup_multical603")</f>
        <v>kamstrup_multical603</v>
      </c>
      <c r="BG3048" s="275" t="str">
        <f>IFERROR(__xludf.DUMMYFUNCTION("upper(Regexreplace(to_text(E3048),""[^A-Za-z0-9]"","""")&amp;""-""&amp;Regexreplace(to_text(F3048),""[^A-Za-z0-9]"",""""))"),"KAMSTRUP-MULTICAL603")</f>
        <v>KAMSTRUP-MULTICAL603</v>
      </c>
    </row>
    <row r="3049" ht="30.0" customHeight="1">
      <c r="A3049" s="258"/>
      <c r="B3049" s="328" t="s">
        <v>670</v>
      </c>
      <c r="C3049" s="257" t="s">
        <v>9433</v>
      </c>
      <c r="D3049" s="173" t="s">
        <v>9433</v>
      </c>
      <c r="E3049" s="174" t="s">
        <v>9296</v>
      </c>
      <c r="F3049" s="173" t="s">
        <v>9297</v>
      </c>
      <c r="G3049" s="328" t="s">
        <v>673</v>
      </c>
      <c r="H3049" s="328" t="s">
        <v>2863</v>
      </c>
      <c r="I3049" s="258" t="s">
        <v>9298</v>
      </c>
      <c r="J3049" s="259" t="s">
        <v>1272</v>
      </c>
      <c r="K3049" s="260">
        <v>848.0</v>
      </c>
      <c r="L3049" s="366"/>
      <c r="M3049" s="329"/>
      <c r="N3049" s="173" t="s">
        <v>679</v>
      </c>
      <c r="O3049" s="173" t="s">
        <v>225</v>
      </c>
      <c r="P3049" s="262" t="str">
        <f t="shared" si="1"/>
        <v>IN-BLR-ANANTA-HM-267_8</v>
      </c>
      <c r="Q3049" s="173" t="s">
        <v>9434</v>
      </c>
      <c r="R3049" s="328" t="str">
        <f>IFS(C3049="","",C3049="n/a","N/A",LEN(C3049),Concatenate("{",char(34),"asset",char(34),":{",char(34),"guid",char(34),":",char(34),Q3049,char(34),",",char(34),"site",char(34),":",char(34),LOWER('2-Building'!$B$4),char(34),",",char(34),"name",char(34),":",char(34),LOWER(C3049),char(34),"}}"))</f>
        <v>{"asset":{"guid":"uuid://c44b643d-0a77-4673-be52-1235ffbae5e7","site":"in-blr-ananta","name":"hm-267"}}</v>
      </c>
      <c r="S3049" s="366" t="s">
        <v>2866</v>
      </c>
      <c r="T3049" s="330"/>
      <c r="U3049" s="330"/>
      <c r="V3049" s="331"/>
      <c r="W3049" s="332"/>
      <c r="X3049" s="333"/>
      <c r="Y3049" s="33" t="s">
        <v>8076</v>
      </c>
      <c r="Z3049" s="368"/>
      <c r="AA3049" s="333"/>
      <c r="AB3049" s="258">
        <v>8.0</v>
      </c>
      <c r="AC3049" s="333"/>
      <c r="AD3049" s="329"/>
      <c r="AE3049" s="331"/>
      <c r="AF3049" s="336"/>
      <c r="AG3049" s="337"/>
      <c r="AH3049" s="333"/>
      <c r="AI3049" s="333"/>
      <c r="AJ3049" s="333"/>
      <c r="AK3049" s="333"/>
      <c r="AL3049" s="333"/>
      <c r="AM3049" s="338"/>
      <c r="AN3049" s="333"/>
      <c r="AO3049" s="333"/>
      <c r="AP3049" s="333"/>
      <c r="AQ3049" s="333"/>
      <c r="AR3049" s="333"/>
      <c r="AS3049" s="333"/>
      <c r="AT3049" s="333"/>
      <c r="AU3049" s="329"/>
      <c r="AV3049" s="341"/>
      <c r="AW3049" s="269"/>
      <c r="AX3049" s="269" t="s">
        <v>2869</v>
      </c>
      <c r="AY3049" s="270" t="s">
        <v>695</v>
      </c>
      <c r="AZ3049" s="379"/>
      <c r="BA3049" s="173">
        <v>10.0</v>
      </c>
      <c r="BB3049" s="341"/>
      <c r="BC3049" s="341"/>
      <c r="BD3049" s="308" t="s">
        <v>1844</v>
      </c>
      <c r="BE3049" s="364"/>
      <c r="BF3049" s="274" t="str">
        <f>IFERROR(__xludf.DUMMYFUNCTION("LOWER(Regexreplace(to_text(E3049),""[^A-Za-z0-9]"","""")&amp;""_""&amp;Regexreplace(to_text(F3049),""[^A-Za-z0-9]"",""""))"),"kamstrup_multical603")</f>
        <v>kamstrup_multical603</v>
      </c>
      <c r="BG3049" s="275" t="str">
        <f>IFERROR(__xludf.DUMMYFUNCTION("upper(Regexreplace(to_text(E3049),""[^A-Za-z0-9]"","""")&amp;""-""&amp;Regexreplace(to_text(F3049),""[^A-Za-z0-9]"",""""))"),"KAMSTRUP-MULTICAL603")</f>
        <v>KAMSTRUP-MULTICAL603</v>
      </c>
    </row>
    <row r="3050" ht="30.0" customHeight="1">
      <c r="A3050" s="258"/>
      <c r="B3050" s="328" t="s">
        <v>670</v>
      </c>
      <c r="C3050" s="257" t="s">
        <v>9435</v>
      </c>
      <c r="D3050" s="173" t="s">
        <v>9435</v>
      </c>
      <c r="E3050" s="174" t="s">
        <v>9296</v>
      </c>
      <c r="F3050" s="173" t="s">
        <v>9297</v>
      </c>
      <c r="G3050" s="328" t="s">
        <v>673</v>
      </c>
      <c r="H3050" s="328" t="s">
        <v>2863</v>
      </c>
      <c r="I3050" s="258" t="s">
        <v>9298</v>
      </c>
      <c r="J3050" s="259" t="s">
        <v>1333</v>
      </c>
      <c r="K3050" s="260">
        <v>948.0</v>
      </c>
      <c r="L3050" s="366"/>
      <c r="M3050" s="329"/>
      <c r="N3050" s="173" t="s">
        <v>679</v>
      </c>
      <c r="O3050" s="173" t="s">
        <v>225</v>
      </c>
      <c r="P3050" s="262" t="str">
        <f t="shared" si="1"/>
        <v>IN-BLR-ANANTA-HM-268_9</v>
      </c>
      <c r="Q3050" s="173" t="s">
        <v>9436</v>
      </c>
      <c r="R3050" s="328" t="str">
        <f>IFS(C3050="","",C3050="n/a","N/A",LEN(C3050),Concatenate("{",char(34),"asset",char(34),":{",char(34),"guid",char(34),":",char(34),Q3050,char(34),",",char(34),"site",char(34),":",char(34),LOWER('2-Building'!$B$4),char(34),",",char(34),"name",char(34),":",char(34),LOWER(C3050),char(34),"}}"))</f>
        <v>{"asset":{"guid":"uuid://59ea025f-a3f3-4b2a-98f4-d270a10b6309","site":"in-blr-ananta","name":"hm-268"}}</v>
      </c>
      <c r="S3050" s="366" t="s">
        <v>2866</v>
      </c>
      <c r="T3050" s="330"/>
      <c r="U3050" s="330"/>
      <c r="V3050" s="331"/>
      <c r="W3050" s="332"/>
      <c r="X3050" s="333"/>
      <c r="Y3050" s="33" t="s">
        <v>8076</v>
      </c>
      <c r="Z3050" s="368"/>
      <c r="AA3050" s="333"/>
      <c r="AB3050" s="258">
        <v>9.0</v>
      </c>
      <c r="AC3050" s="333"/>
      <c r="AD3050" s="329"/>
      <c r="AE3050" s="331"/>
      <c r="AF3050" s="336"/>
      <c r="AG3050" s="337"/>
      <c r="AH3050" s="333"/>
      <c r="AI3050" s="333"/>
      <c r="AJ3050" s="333"/>
      <c r="AK3050" s="333"/>
      <c r="AL3050" s="333"/>
      <c r="AM3050" s="338"/>
      <c r="AN3050" s="333"/>
      <c r="AO3050" s="333"/>
      <c r="AP3050" s="333"/>
      <c r="AQ3050" s="333"/>
      <c r="AR3050" s="333"/>
      <c r="AS3050" s="333"/>
      <c r="AT3050" s="333"/>
      <c r="AU3050" s="329"/>
      <c r="AV3050" s="341"/>
      <c r="AW3050" s="269"/>
      <c r="AX3050" s="269" t="s">
        <v>2869</v>
      </c>
      <c r="AY3050" s="270" t="s">
        <v>695</v>
      </c>
      <c r="AZ3050" s="379"/>
      <c r="BA3050" s="173">
        <v>10.0</v>
      </c>
      <c r="BB3050" s="341"/>
      <c r="BC3050" s="341"/>
      <c r="BD3050" s="308" t="s">
        <v>1844</v>
      </c>
      <c r="BE3050" s="364"/>
      <c r="BF3050" s="274" t="str">
        <f>IFERROR(__xludf.DUMMYFUNCTION("LOWER(Regexreplace(to_text(E3050),""[^A-Za-z0-9]"","""")&amp;""_""&amp;Regexreplace(to_text(F3050),""[^A-Za-z0-9]"",""""))"),"kamstrup_multical603")</f>
        <v>kamstrup_multical603</v>
      </c>
      <c r="BG3050" s="275" t="str">
        <f>IFERROR(__xludf.DUMMYFUNCTION("upper(Regexreplace(to_text(E3050),""[^A-Za-z0-9]"","""")&amp;""-""&amp;Regexreplace(to_text(F3050),""[^A-Za-z0-9]"",""""))"),"KAMSTRUP-MULTICAL603")</f>
        <v>KAMSTRUP-MULTICAL603</v>
      </c>
    </row>
    <row r="3051" ht="30.0" customHeight="1">
      <c r="A3051" s="258"/>
      <c r="B3051" s="328" t="s">
        <v>670</v>
      </c>
      <c r="C3051" s="257" t="s">
        <v>9437</v>
      </c>
      <c r="D3051" s="173" t="s">
        <v>9437</v>
      </c>
      <c r="E3051" s="174" t="s">
        <v>9296</v>
      </c>
      <c r="F3051" s="173" t="s">
        <v>9297</v>
      </c>
      <c r="G3051" s="328" t="s">
        <v>673</v>
      </c>
      <c r="H3051" s="328" t="s">
        <v>2863</v>
      </c>
      <c r="I3051" s="258" t="s">
        <v>9298</v>
      </c>
      <c r="J3051" s="259" t="s">
        <v>1393</v>
      </c>
      <c r="K3051" s="260" t="s">
        <v>9438</v>
      </c>
      <c r="L3051" s="366"/>
      <c r="M3051" s="329"/>
      <c r="N3051" s="173" t="s">
        <v>679</v>
      </c>
      <c r="O3051" s="173" t="s">
        <v>225</v>
      </c>
      <c r="P3051" s="262" t="str">
        <f t="shared" si="1"/>
        <v>IN-BLR-ANANTA-HM-269_10</v>
      </c>
      <c r="Q3051" s="173" t="s">
        <v>9439</v>
      </c>
      <c r="R3051" s="328" t="str">
        <f>IFS(C3051="","",C3051="n/a","N/A",LEN(C3051),Concatenate("{",char(34),"asset",char(34),":{",char(34),"guid",char(34),":",char(34),Q3051,char(34),",",char(34),"site",char(34),":",char(34),LOWER('2-Building'!$B$4),char(34),",",char(34),"name",char(34),":",char(34),LOWER(C3051),char(34),"}}"))</f>
        <v>{"asset":{"guid":"uuid://6320edec-e530-49bf-b5d1-927fa1e8cdf9","site":"in-blr-ananta","name":"hm-269"}}</v>
      </c>
      <c r="S3051" s="366" t="s">
        <v>2866</v>
      </c>
      <c r="T3051" s="330"/>
      <c r="U3051" s="330"/>
      <c r="V3051" s="331"/>
      <c r="W3051" s="332"/>
      <c r="X3051" s="333"/>
      <c r="Y3051" s="33" t="s">
        <v>8076</v>
      </c>
      <c r="Z3051" s="368"/>
      <c r="AA3051" s="333"/>
      <c r="AB3051" s="258">
        <v>10.0</v>
      </c>
      <c r="AC3051" s="333"/>
      <c r="AD3051" s="329"/>
      <c r="AE3051" s="331"/>
      <c r="AF3051" s="336"/>
      <c r="AG3051" s="337"/>
      <c r="AH3051" s="333"/>
      <c r="AI3051" s="333"/>
      <c r="AJ3051" s="333"/>
      <c r="AK3051" s="333"/>
      <c r="AL3051" s="333"/>
      <c r="AM3051" s="338"/>
      <c r="AN3051" s="333"/>
      <c r="AO3051" s="333"/>
      <c r="AP3051" s="333"/>
      <c r="AQ3051" s="333"/>
      <c r="AR3051" s="333"/>
      <c r="AS3051" s="333"/>
      <c r="AT3051" s="333"/>
      <c r="AU3051" s="329"/>
      <c r="AV3051" s="341"/>
      <c r="AW3051" s="269"/>
      <c r="AX3051" s="269" t="s">
        <v>2869</v>
      </c>
      <c r="AY3051" s="270" t="s">
        <v>695</v>
      </c>
      <c r="AZ3051" s="379"/>
      <c r="BA3051" s="173">
        <v>10.0</v>
      </c>
      <c r="BB3051" s="341"/>
      <c r="BC3051" s="341"/>
      <c r="BD3051" s="308" t="s">
        <v>1844</v>
      </c>
      <c r="BE3051" s="364"/>
      <c r="BF3051" s="274" t="str">
        <f>IFERROR(__xludf.DUMMYFUNCTION("LOWER(Regexreplace(to_text(E3051),""[^A-Za-z0-9]"","""")&amp;""_""&amp;Regexreplace(to_text(F3051),""[^A-Za-z0-9]"",""""))"),"kamstrup_multical603")</f>
        <v>kamstrup_multical603</v>
      </c>
      <c r="BG3051" s="275" t="str">
        <f>IFERROR(__xludf.DUMMYFUNCTION("upper(Regexreplace(to_text(E3051),""[^A-Za-z0-9]"","""")&amp;""-""&amp;Regexreplace(to_text(F3051),""[^A-Za-z0-9]"",""""))"),"KAMSTRUP-MULTICAL603")</f>
        <v>KAMSTRUP-MULTICAL603</v>
      </c>
    </row>
    <row r="3052" ht="30.0" customHeight="1">
      <c r="A3052" s="258"/>
      <c r="B3052" s="328" t="s">
        <v>670</v>
      </c>
      <c r="C3052" s="257" t="s">
        <v>9440</v>
      </c>
      <c r="D3052" s="173" t="s">
        <v>9440</v>
      </c>
      <c r="E3052" s="174" t="s">
        <v>9296</v>
      </c>
      <c r="F3052" s="173" t="s">
        <v>9297</v>
      </c>
      <c r="G3052" s="328" t="s">
        <v>673</v>
      </c>
      <c r="H3052" s="328" t="s">
        <v>2863</v>
      </c>
      <c r="I3052" s="258" t="s">
        <v>9298</v>
      </c>
      <c r="J3052" s="259" t="s">
        <v>1453</v>
      </c>
      <c r="K3052" s="260" t="s">
        <v>1487</v>
      </c>
      <c r="L3052" s="366"/>
      <c r="M3052" s="329"/>
      <c r="N3052" s="173" t="s">
        <v>679</v>
      </c>
      <c r="O3052" s="173" t="s">
        <v>225</v>
      </c>
      <c r="P3052" s="262" t="str">
        <f t="shared" si="1"/>
        <v>IN-BLR-ANANTA-HM-270_11</v>
      </c>
      <c r="Q3052" s="173" t="s">
        <v>9441</v>
      </c>
      <c r="R3052" s="328" t="str">
        <f>IFS(C3052="","",C3052="n/a","N/A",LEN(C3052),Concatenate("{",char(34),"asset",char(34),":{",char(34),"guid",char(34),":",char(34),Q3052,char(34),",",char(34),"site",char(34),":",char(34),LOWER('2-Building'!$B$4),char(34),",",char(34),"name",char(34),":",char(34),LOWER(C3052),char(34),"}}"))</f>
        <v>{"asset":{"guid":"uuid://6e3cdbdd-20d9-450b-b536-b07ffecc1e48","site":"in-blr-ananta","name":"hm-270"}}</v>
      </c>
      <c r="S3052" s="366" t="s">
        <v>2866</v>
      </c>
      <c r="T3052" s="330"/>
      <c r="U3052" s="330"/>
      <c r="V3052" s="331"/>
      <c r="W3052" s="332"/>
      <c r="X3052" s="333"/>
      <c r="Y3052" s="33" t="s">
        <v>8076</v>
      </c>
      <c r="Z3052" s="368"/>
      <c r="AA3052" s="333"/>
      <c r="AB3052" s="258">
        <v>11.0</v>
      </c>
      <c r="AC3052" s="333"/>
      <c r="AD3052" s="329"/>
      <c r="AE3052" s="331"/>
      <c r="AF3052" s="336"/>
      <c r="AG3052" s="337"/>
      <c r="AH3052" s="333"/>
      <c r="AI3052" s="333"/>
      <c r="AJ3052" s="333"/>
      <c r="AK3052" s="333"/>
      <c r="AL3052" s="333"/>
      <c r="AM3052" s="338"/>
      <c r="AN3052" s="333"/>
      <c r="AO3052" s="333"/>
      <c r="AP3052" s="333"/>
      <c r="AQ3052" s="333"/>
      <c r="AR3052" s="333"/>
      <c r="AS3052" s="333"/>
      <c r="AT3052" s="333"/>
      <c r="AU3052" s="329"/>
      <c r="AV3052" s="341"/>
      <c r="AW3052" s="269"/>
      <c r="AX3052" s="269" t="s">
        <v>2869</v>
      </c>
      <c r="AY3052" s="270" t="s">
        <v>695</v>
      </c>
      <c r="AZ3052" s="379"/>
      <c r="BA3052" s="173">
        <v>10.0</v>
      </c>
      <c r="BB3052" s="341"/>
      <c r="BC3052" s="341"/>
      <c r="BD3052" s="308" t="s">
        <v>1844</v>
      </c>
      <c r="BE3052" s="364"/>
      <c r="BF3052" s="274" t="str">
        <f>IFERROR(__xludf.DUMMYFUNCTION("LOWER(Regexreplace(to_text(E3052),""[^A-Za-z0-9]"","""")&amp;""_""&amp;Regexreplace(to_text(F3052),""[^A-Za-z0-9]"",""""))"),"kamstrup_multical603")</f>
        <v>kamstrup_multical603</v>
      </c>
      <c r="BG3052" s="275" t="str">
        <f>IFERROR(__xludf.DUMMYFUNCTION("upper(Regexreplace(to_text(E3052),""[^A-Za-z0-9]"","""")&amp;""-""&amp;Regexreplace(to_text(F3052),""[^A-Za-z0-9]"",""""))"),"KAMSTRUP-MULTICAL603")</f>
        <v>KAMSTRUP-MULTICAL603</v>
      </c>
    </row>
    <row r="3053" ht="30.0" customHeight="1">
      <c r="A3053" s="258">
        <v>2690.0</v>
      </c>
      <c r="B3053" s="328" t="s">
        <v>670</v>
      </c>
      <c r="C3053" s="257" t="s">
        <v>9442</v>
      </c>
      <c r="D3053" s="173" t="s">
        <v>9443</v>
      </c>
      <c r="E3053" s="174" t="s">
        <v>9056</v>
      </c>
      <c r="F3053" s="173" t="s">
        <v>9444</v>
      </c>
      <c r="G3053" s="328" t="s">
        <v>673</v>
      </c>
      <c r="H3053" s="328" t="s">
        <v>2863</v>
      </c>
      <c r="I3053" s="258" t="s">
        <v>9445</v>
      </c>
      <c r="J3053" s="259" t="s">
        <v>739</v>
      </c>
      <c r="K3053" s="260" t="s">
        <v>803</v>
      </c>
      <c r="L3053" s="366"/>
      <c r="M3053" s="329"/>
      <c r="N3053" s="173" t="s">
        <v>679</v>
      </c>
      <c r="O3053" s="173" t="s">
        <v>225</v>
      </c>
      <c r="P3053" s="262" t="str">
        <f t="shared" si="1"/>
        <v>IN-BLR-ANANTA-FAN-1_G</v>
      </c>
      <c r="Q3053" s="173" t="s">
        <v>9446</v>
      </c>
      <c r="R3053" s="328" t="str">
        <f>IFS(C3053="","",C3053="n/a","N/A",LEN(C3053),Concatenate("{",char(34),"asset",char(34),":{",char(34),"guid",char(34),":",char(34),Q3053,char(34),",",char(34),"site",char(34),":",char(34),LOWER('2-Building'!$B$4),char(34),",",char(34),"name",char(34),":",char(34),LOWER(C3053),char(34),"}}"))</f>
        <v>{"asset":{"guid":"uuid://5548b661-36b3-4ff4-a99f-ee67a97b90f5","site":"in-blr-ananta","name":"fan-1"}}</v>
      </c>
      <c r="S3053" s="369" t="s">
        <v>2866</v>
      </c>
      <c r="T3053" s="330"/>
      <c r="U3053" s="330"/>
      <c r="V3053" s="331"/>
      <c r="W3053" s="332"/>
      <c r="X3053" s="333"/>
      <c r="Y3053" s="33" t="s">
        <v>8076</v>
      </c>
      <c r="Z3053" s="368"/>
      <c r="AA3053" s="333"/>
      <c r="AB3053" s="258">
        <v>77.0</v>
      </c>
      <c r="AC3053" s="333"/>
      <c r="AD3053" s="329"/>
      <c r="AE3053" s="331"/>
      <c r="AF3053" s="336"/>
      <c r="AG3053" s="337" t="str">
        <f>IFS(LEN(AF3053)=17,LOWER('2-Building'!$B$4 &amp; "-" &amp; C3053), AF3053="N/A", "N/A", LEN(AF3053)=0,"")</f>
        <v/>
      </c>
      <c r="AH3053" s="333"/>
      <c r="AI3053" s="333"/>
      <c r="AJ3053" s="333"/>
      <c r="AK3053" s="333"/>
      <c r="AL3053" s="333"/>
      <c r="AM3053" s="338"/>
      <c r="AN3053" s="333"/>
      <c r="AO3053" s="333"/>
      <c r="AP3053" s="333"/>
      <c r="AQ3053" s="333"/>
      <c r="AR3053" s="333"/>
      <c r="AS3053" s="333"/>
      <c r="AT3053" s="333"/>
      <c r="AU3053" s="329"/>
      <c r="AV3053" s="341"/>
      <c r="AW3053" s="269" t="s">
        <v>1638</v>
      </c>
      <c r="AX3053" s="269" t="s">
        <v>2869</v>
      </c>
      <c r="AY3053" s="270" t="s">
        <v>695</v>
      </c>
      <c r="AZ3053" s="379"/>
      <c r="BA3053" s="173">
        <v>10.0</v>
      </c>
      <c r="BB3053" s="341"/>
      <c r="BC3053" s="341"/>
      <c r="BD3053" s="308" t="s">
        <v>1844</v>
      </c>
      <c r="BE3053" s="364"/>
      <c r="BF3053" s="274" t="str">
        <f>IFERROR(__xludf.DUMMYFUNCTION("LOWER(Regexreplace(to_text(E3053),""[^A-Za-z0-9]"","""")&amp;""_""&amp;Regexreplace(to_text(F3053),""[^A-Za-z0-9]"",""""))"),"eaton_r3g630rb3203")</f>
        <v>eaton_r3g630rb3203</v>
      </c>
      <c r="BG3053" s="275" t="str">
        <f>IFERROR(__xludf.DUMMYFUNCTION("upper(Regexreplace(to_text(E3053),""[^A-Za-z0-9]"","""")&amp;""-""&amp;Regexreplace(to_text(F3053),""[^A-Za-z0-9]"",""""))"),"EATON-R3G630RB3203")</f>
        <v>EATON-R3G630RB3203</v>
      </c>
    </row>
    <row r="3054" ht="30.0" customHeight="1">
      <c r="A3054" s="328">
        <v>2690.0</v>
      </c>
      <c r="B3054" s="425" t="s">
        <v>670</v>
      </c>
      <c r="C3054" s="257" t="s">
        <v>9447</v>
      </c>
      <c r="D3054" s="173" t="s">
        <v>9448</v>
      </c>
      <c r="E3054" s="174" t="s">
        <v>9056</v>
      </c>
      <c r="F3054" s="173" t="s">
        <v>9057</v>
      </c>
      <c r="G3054" s="425" t="s">
        <v>673</v>
      </c>
      <c r="H3054" s="425" t="s">
        <v>2863</v>
      </c>
      <c r="I3054" s="258" t="s">
        <v>9445</v>
      </c>
      <c r="J3054" s="259" t="s">
        <v>739</v>
      </c>
      <c r="K3054" s="260" t="s">
        <v>803</v>
      </c>
      <c r="L3054" s="442"/>
      <c r="M3054" s="426"/>
      <c r="N3054" s="173" t="s">
        <v>679</v>
      </c>
      <c r="O3054" s="173" t="s">
        <v>225</v>
      </c>
      <c r="P3054" s="262" t="str">
        <f t="shared" si="1"/>
        <v>IN-BLR-ANANTA-FAN-2_G</v>
      </c>
      <c r="Q3054" s="173" t="s">
        <v>9449</v>
      </c>
      <c r="R3054" s="433" t="str">
        <f>IFS(C3054="","",C3054="n/a","N/A",LEN(C3054),Concatenate("{",char(34),"asset",char(34),":{",char(34),"guid",char(34),":",char(34),Q3054,char(34),",",char(34),"site",char(34),":",char(34),LOWER('2-Building'!$B$4),char(34),",",char(34),"name",char(34),":",char(34),LOWER(C3054),char(34),"}}"))</f>
        <v>{"asset":{"guid":"uuid://e522f561-ef9e-4cdf-a564-2d620e3c5300","site":"in-blr-ananta","name":"fan-2"}}</v>
      </c>
      <c r="S3054" s="369" t="s">
        <v>2866</v>
      </c>
      <c r="T3054" s="427"/>
      <c r="U3054" s="427"/>
      <c r="V3054" s="428"/>
      <c r="W3054" s="429"/>
      <c r="X3054" s="430"/>
      <c r="Y3054" s="33" t="s">
        <v>8076</v>
      </c>
      <c r="Z3054" s="430"/>
      <c r="AA3054" s="430"/>
      <c r="AB3054" s="258">
        <v>78.0</v>
      </c>
      <c r="AC3054" s="430"/>
      <c r="AD3054" s="426"/>
      <c r="AE3054" s="428"/>
      <c r="AF3054" s="431"/>
      <c r="AG3054" s="432" t="str">
        <f>IFS(LEN(AF3054)=17,LOWER('2-Building'!$B$4 &amp; "-" &amp; C3054), AF3054="N/A", "N/A", LEN(AF3054)=0,"")</f>
        <v/>
      </c>
      <c r="AH3054" s="430"/>
      <c r="AI3054" s="430"/>
      <c r="AJ3054" s="430"/>
      <c r="AK3054" s="430"/>
      <c r="AL3054" s="430"/>
      <c r="AM3054" s="433"/>
      <c r="AN3054" s="430"/>
      <c r="AO3054" s="430"/>
      <c r="AP3054" s="430"/>
      <c r="AQ3054" s="430"/>
      <c r="AR3054" s="430"/>
      <c r="AS3054" s="430"/>
      <c r="AT3054" s="430"/>
      <c r="AU3054" s="426"/>
      <c r="AV3054" s="434"/>
      <c r="AW3054" s="269" t="s">
        <v>1638</v>
      </c>
      <c r="AX3054" s="269" t="s">
        <v>2869</v>
      </c>
      <c r="AY3054" s="270" t="s">
        <v>695</v>
      </c>
      <c r="AZ3054" s="435"/>
      <c r="BA3054" s="173">
        <v>10.0</v>
      </c>
      <c r="BB3054" s="434"/>
      <c r="BC3054" s="434"/>
      <c r="BD3054" s="308" t="s">
        <v>1844</v>
      </c>
      <c r="BE3054" s="436"/>
      <c r="BF3054" s="274" t="str">
        <f>IFERROR(__xludf.DUMMYFUNCTION("LOWER(Regexreplace(to_text(E3054),""[^A-Za-z0-9]"","""")&amp;""_""&amp;Regexreplace(to_text(F3054),""[^A-Za-z0-9]"",""""))"),"eaton_93pr")</f>
        <v>eaton_93pr</v>
      </c>
      <c r="BG3054" s="275" t="str">
        <f>IFERROR(__xludf.DUMMYFUNCTION("upper(Regexreplace(to_text(E3054),""[^A-Za-z0-9]"","""")&amp;""-""&amp;Regexreplace(to_text(F3054),""[^A-Za-z0-9]"",""""))"),"EATON-93PR")</f>
        <v>EATON-93PR</v>
      </c>
    </row>
    <row r="3055" ht="30.0" customHeight="1">
      <c r="A3055" s="328">
        <v>2690.0</v>
      </c>
      <c r="B3055" s="425" t="s">
        <v>670</v>
      </c>
      <c r="C3055" s="257" t="s">
        <v>9450</v>
      </c>
      <c r="D3055" s="173" t="s">
        <v>9451</v>
      </c>
      <c r="E3055" s="174" t="s">
        <v>9056</v>
      </c>
      <c r="F3055" s="173" t="s">
        <v>9057</v>
      </c>
      <c r="G3055" s="425" t="s">
        <v>673</v>
      </c>
      <c r="H3055" s="425" t="s">
        <v>2863</v>
      </c>
      <c r="I3055" s="258" t="s">
        <v>9445</v>
      </c>
      <c r="J3055" s="259" t="s">
        <v>739</v>
      </c>
      <c r="K3055" s="260" t="s">
        <v>803</v>
      </c>
      <c r="L3055" s="442"/>
      <c r="M3055" s="426"/>
      <c r="N3055" s="173" t="s">
        <v>679</v>
      </c>
      <c r="O3055" s="173" t="s">
        <v>225</v>
      </c>
      <c r="P3055" s="262" t="str">
        <f t="shared" si="1"/>
        <v>IN-BLR-ANANTA-FAN-3_G</v>
      </c>
      <c r="Q3055" s="173" t="s">
        <v>9452</v>
      </c>
      <c r="R3055" s="425" t="str">
        <f>IFS(C3055="","",C3055="n/a","N/A",LEN(C3055),Concatenate("{",char(34),"asset",char(34),":{",char(34),"guid",char(34),":",char(34),Q3055,char(34),",",char(34),"site",char(34),":",char(34),LOWER('2-Building'!$B$4),char(34),",",char(34),"name",char(34),":",char(34),LOWER(C3055),char(34),"}}"))</f>
        <v>{"asset":{"guid":"uuid://b3842153-0cc9-4424-8c56-8d971e77e872","site":"in-blr-ananta","name":"fan-3"}}</v>
      </c>
      <c r="S3055" s="369" t="s">
        <v>2866</v>
      </c>
      <c r="T3055" s="427"/>
      <c r="U3055" s="427"/>
      <c r="V3055" s="428"/>
      <c r="W3055" s="429"/>
      <c r="X3055" s="430"/>
      <c r="Y3055" s="33" t="s">
        <v>8076</v>
      </c>
      <c r="Z3055" s="430"/>
      <c r="AA3055" s="430"/>
      <c r="AB3055" s="258">
        <v>79.0</v>
      </c>
      <c r="AC3055" s="430"/>
      <c r="AD3055" s="426"/>
      <c r="AE3055" s="428"/>
      <c r="AF3055" s="431"/>
      <c r="AG3055" s="432" t="str">
        <f>IFS(LEN(AF3055)=17,LOWER('2-Building'!$B$4 &amp; "-" &amp; C3055), AF3055="N/A", "N/A", LEN(AF3055)=0,"")</f>
        <v/>
      </c>
      <c r="AH3055" s="430"/>
      <c r="AI3055" s="430"/>
      <c r="AJ3055" s="430"/>
      <c r="AK3055" s="430"/>
      <c r="AL3055" s="430"/>
      <c r="AM3055" s="433"/>
      <c r="AN3055" s="430"/>
      <c r="AO3055" s="430"/>
      <c r="AP3055" s="430"/>
      <c r="AQ3055" s="430"/>
      <c r="AR3055" s="430"/>
      <c r="AS3055" s="430"/>
      <c r="AT3055" s="430"/>
      <c r="AU3055" s="426"/>
      <c r="AV3055" s="434"/>
      <c r="AW3055" s="269" t="s">
        <v>1638</v>
      </c>
      <c r="AX3055" s="269" t="s">
        <v>2869</v>
      </c>
      <c r="AY3055" s="270" t="s">
        <v>695</v>
      </c>
      <c r="AZ3055" s="435"/>
      <c r="BA3055" s="173">
        <v>10.0</v>
      </c>
      <c r="BB3055" s="434"/>
      <c r="BC3055" s="434"/>
      <c r="BD3055" s="308" t="s">
        <v>1844</v>
      </c>
      <c r="BE3055" s="436"/>
      <c r="BF3055" s="274" t="str">
        <f>IFERROR(__xludf.DUMMYFUNCTION("LOWER(Regexreplace(to_text(E3055),""[^A-Za-z0-9]"","""")&amp;""_""&amp;Regexreplace(to_text(F3055),""[^A-Za-z0-9]"",""""))"),"eaton_93pr")</f>
        <v>eaton_93pr</v>
      </c>
      <c r="BG3055" s="275" t="str">
        <f>IFERROR(__xludf.DUMMYFUNCTION("upper(Regexreplace(to_text(E3055),""[^A-Za-z0-9]"","""")&amp;""-""&amp;Regexreplace(to_text(F3055),""[^A-Za-z0-9]"",""""))"),"EATON-93PR")</f>
        <v>EATON-93PR</v>
      </c>
    </row>
    <row r="3056" ht="30.0" customHeight="1">
      <c r="A3056" s="425">
        <v>2690.0</v>
      </c>
      <c r="B3056" s="425" t="s">
        <v>670</v>
      </c>
      <c r="C3056" s="257" t="s">
        <v>9453</v>
      </c>
      <c r="D3056" s="173" t="s">
        <v>9454</v>
      </c>
      <c r="E3056" s="174" t="s">
        <v>9056</v>
      </c>
      <c r="F3056" s="173" t="s">
        <v>9057</v>
      </c>
      <c r="G3056" s="425" t="s">
        <v>673</v>
      </c>
      <c r="H3056" s="425" t="s">
        <v>2863</v>
      </c>
      <c r="I3056" s="258" t="s">
        <v>9445</v>
      </c>
      <c r="J3056" s="259" t="s">
        <v>846</v>
      </c>
      <c r="K3056" s="260" t="s">
        <v>889</v>
      </c>
      <c r="L3056" s="442"/>
      <c r="M3056" s="426"/>
      <c r="N3056" s="173" t="s">
        <v>679</v>
      </c>
      <c r="O3056" s="173" t="s">
        <v>225</v>
      </c>
      <c r="P3056" s="262" t="str">
        <f t="shared" si="1"/>
        <v>IN-BLR-ANANTA-FAN-4_1</v>
      </c>
      <c r="Q3056" s="173" t="s">
        <v>9455</v>
      </c>
      <c r="R3056" s="433" t="str">
        <f>IFS(C3056="","",C3056="n/a","N/A",LEN(C3056),Concatenate("{",char(34),"asset",char(34),":{",char(34),"guid",char(34),":",char(34),Q3056,char(34),",",char(34),"site",char(34),":",char(34),LOWER('2-Building'!$B$4),char(34),",",char(34),"name",char(34),":",char(34),LOWER(C3056),char(34),"}}"))</f>
        <v>{"asset":{"guid":"uuid://1420d3b2-dd3b-43d6-a067-c50d57e6eaec","site":"in-blr-ananta","name":"fan-4"}}</v>
      </c>
      <c r="S3056" s="369" t="s">
        <v>2866</v>
      </c>
      <c r="T3056" s="427"/>
      <c r="U3056" s="427"/>
      <c r="V3056" s="428"/>
      <c r="W3056" s="429"/>
      <c r="X3056" s="430"/>
      <c r="Y3056" s="33" t="s">
        <v>8076</v>
      </c>
      <c r="Z3056" s="430"/>
      <c r="AA3056" s="430"/>
      <c r="AB3056" s="258">
        <v>96.0</v>
      </c>
      <c r="AC3056" s="430"/>
      <c r="AD3056" s="426"/>
      <c r="AE3056" s="428"/>
      <c r="AF3056" s="431"/>
      <c r="AG3056" s="432" t="str">
        <f>IFS(LEN(AF3056)=17,LOWER('2-Building'!$B$4 &amp; "-" &amp; C3056), AF3056="N/A", "N/A", LEN(AF3056)=0,"")</f>
        <v/>
      </c>
      <c r="AH3056" s="430"/>
      <c r="AI3056" s="430"/>
      <c r="AJ3056" s="430"/>
      <c r="AK3056" s="430"/>
      <c r="AL3056" s="430"/>
      <c r="AM3056" s="433"/>
      <c r="AN3056" s="430"/>
      <c r="AO3056" s="430"/>
      <c r="AP3056" s="430"/>
      <c r="AQ3056" s="430"/>
      <c r="AR3056" s="430"/>
      <c r="AS3056" s="430"/>
      <c r="AT3056" s="430"/>
      <c r="AU3056" s="426"/>
      <c r="AV3056" s="434"/>
      <c r="AW3056" s="269" t="s">
        <v>1638</v>
      </c>
      <c r="AX3056" s="269" t="s">
        <v>2869</v>
      </c>
      <c r="AY3056" s="270" t="s">
        <v>695</v>
      </c>
      <c r="AZ3056" s="435"/>
      <c r="BA3056" s="173">
        <v>10.0</v>
      </c>
      <c r="BB3056" s="434"/>
      <c r="BC3056" s="434"/>
      <c r="BD3056" s="308" t="s">
        <v>1844</v>
      </c>
      <c r="BE3056" s="436"/>
      <c r="BF3056" s="274" t="str">
        <f>IFERROR(__xludf.DUMMYFUNCTION("LOWER(Regexreplace(to_text(E3056),""[^A-Za-z0-9]"","""")&amp;""_""&amp;Regexreplace(to_text(F3056),""[^A-Za-z0-9]"",""""))"),"eaton_93pr")</f>
        <v>eaton_93pr</v>
      </c>
      <c r="BG3056" s="275" t="str">
        <f>IFERROR(__xludf.DUMMYFUNCTION("upper(Regexreplace(to_text(E3056),""[^A-Za-z0-9]"","""")&amp;""-""&amp;Regexreplace(to_text(F3056),""[^A-Za-z0-9]"",""""))"),"EATON-93PR")</f>
        <v>EATON-93PR</v>
      </c>
    </row>
    <row r="3057" ht="30.0" customHeight="1">
      <c r="A3057" s="328">
        <v>2690.0</v>
      </c>
      <c r="B3057" s="425" t="s">
        <v>670</v>
      </c>
      <c r="C3057" s="257" t="s">
        <v>9456</v>
      </c>
      <c r="D3057" s="173" t="s">
        <v>9457</v>
      </c>
      <c r="E3057" s="174" t="s">
        <v>9056</v>
      </c>
      <c r="F3057" s="173" t="s">
        <v>9057</v>
      </c>
      <c r="G3057" s="425" t="s">
        <v>673</v>
      </c>
      <c r="H3057" s="425" t="s">
        <v>2863</v>
      </c>
      <c r="I3057" s="258" t="s">
        <v>9445</v>
      </c>
      <c r="J3057" s="259" t="s">
        <v>846</v>
      </c>
      <c r="K3057" s="260" t="s">
        <v>889</v>
      </c>
      <c r="L3057" s="442"/>
      <c r="M3057" s="426"/>
      <c r="N3057" s="173" t="s">
        <v>679</v>
      </c>
      <c r="O3057" s="173" t="s">
        <v>225</v>
      </c>
      <c r="P3057" s="262" t="str">
        <f t="shared" si="1"/>
        <v>IN-BLR-ANANTA-FAN-5_1</v>
      </c>
      <c r="Q3057" s="173" t="s">
        <v>9458</v>
      </c>
      <c r="R3057" s="425" t="str">
        <f>IFS(C3057="","",C3057="n/a","N/A",LEN(C3057),Concatenate("{",char(34),"asset",char(34),":{",char(34),"guid",char(34),":",char(34),Q3057,char(34),",",char(34),"site",char(34),":",char(34),LOWER('2-Building'!$B$4),char(34),",",char(34),"name",char(34),":",char(34),LOWER(C3057),char(34),"}}"))</f>
        <v>{"asset":{"guid":"uuid://6cf3060e-0e89-4071-9f17-1b2703bd0be9","site":"in-blr-ananta","name":"fan-5"}}</v>
      </c>
      <c r="S3057" s="369" t="s">
        <v>2866</v>
      </c>
      <c r="T3057" s="427"/>
      <c r="U3057" s="427"/>
      <c r="V3057" s="428"/>
      <c r="W3057" s="429"/>
      <c r="X3057" s="430"/>
      <c r="Y3057" s="33" t="s">
        <v>8076</v>
      </c>
      <c r="Z3057" s="430"/>
      <c r="AA3057" s="430"/>
      <c r="AB3057" s="258">
        <v>97.0</v>
      </c>
      <c r="AC3057" s="430"/>
      <c r="AD3057" s="426"/>
      <c r="AE3057" s="428"/>
      <c r="AF3057" s="431"/>
      <c r="AG3057" s="432" t="str">
        <f>IFS(LEN(AF3057)=17,LOWER('2-Building'!$B$4 &amp; "-" &amp; C3057), AF3057="N/A", "N/A", LEN(AF3057)=0,"")</f>
        <v/>
      </c>
      <c r="AH3057" s="430"/>
      <c r="AI3057" s="430"/>
      <c r="AJ3057" s="430"/>
      <c r="AK3057" s="430"/>
      <c r="AL3057" s="430"/>
      <c r="AM3057" s="433"/>
      <c r="AN3057" s="430"/>
      <c r="AO3057" s="430"/>
      <c r="AP3057" s="430"/>
      <c r="AQ3057" s="430"/>
      <c r="AR3057" s="430"/>
      <c r="AS3057" s="430"/>
      <c r="AT3057" s="430"/>
      <c r="AU3057" s="426"/>
      <c r="AV3057" s="434"/>
      <c r="AW3057" s="269" t="s">
        <v>1638</v>
      </c>
      <c r="AX3057" s="269" t="s">
        <v>2869</v>
      </c>
      <c r="AY3057" s="270" t="s">
        <v>695</v>
      </c>
      <c r="AZ3057" s="435"/>
      <c r="BA3057" s="173">
        <v>10.0</v>
      </c>
      <c r="BB3057" s="434"/>
      <c r="BC3057" s="434"/>
      <c r="BD3057" s="308" t="s">
        <v>1844</v>
      </c>
      <c r="BE3057" s="436"/>
      <c r="BF3057" s="274" t="str">
        <f>IFERROR(__xludf.DUMMYFUNCTION("LOWER(Regexreplace(to_text(E3057),""[^A-Za-z0-9]"","""")&amp;""_""&amp;Regexreplace(to_text(F3057),""[^A-Za-z0-9]"",""""))"),"eaton_93pr")</f>
        <v>eaton_93pr</v>
      </c>
      <c r="BG3057" s="275" t="str">
        <f>IFERROR(__xludf.DUMMYFUNCTION("upper(Regexreplace(to_text(E3057),""[^A-Za-z0-9]"","""")&amp;""-""&amp;Regexreplace(to_text(F3057),""[^A-Za-z0-9]"",""""))"),"EATON-93PR")</f>
        <v>EATON-93PR</v>
      </c>
    </row>
    <row r="3058" ht="30.0" customHeight="1">
      <c r="A3058" s="173">
        <v>2683.0</v>
      </c>
      <c r="B3058" s="328" t="s">
        <v>670</v>
      </c>
      <c r="C3058" s="257" t="s">
        <v>9459</v>
      </c>
      <c r="D3058" s="173" t="s">
        <v>9460</v>
      </c>
      <c r="E3058" s="174" t="s">
        <v>9097</v>
      </c>
      <c r="F3058" s="173" t="s">
        <v>2862</v>
      </c>
      <c r="G3058" s="328" t="s">
        <v>673</v>
      </c>
      <c r="H3058" s="328" t="s">
        <v>2863</v>
      </c>
      <c r="I3058" s="258" t="s">
        <v>9445</v>
      </c>
      <c r="J3058" s="259" t="s">
        <v>846</v>
      </c>
      <c r="K3058" s="260" t="s">
        <v>889</v>
      </c>
      <c r="L3058" s="366"/>
      <c r="M3058" s="329"/>
      <c r="N3058" s="173" t="s">
        <v>679</v>
      </c>
      <c r="O3058" s="173" t="s">
        <v>225</v>
      </c>
      <c r="P3058" s="262" t="str">
        <f t="shared" si="1"/>
        <v>IN-BLR-ANANTA-FAN-6_1</v>
      </c>
      <c r="Q3058" s="173" t="s">
        <v>9461</v>
      </c>
      <c r="R3058" s="328" t="str">
        <f>IFS(C3058="","",C3058="n/a","N/A",LEN(C3058),Concatenate("{",char(34),"asset",char(34),":{",char(34),"guid",char(34),":",char(34),Q3058,char(34),",",char(34),"site",char(34),":",char(34),LOWER('2-Building'!$B$4),char(34),",",char(34),"name",char(34),":",char(34),LOWER(C3058),char(34),"}}"))</f>
        <v>{"asset":{"guid":"uuid://6a4e52a6-2f45-41cf-9474-10c19b347752","site":"in-blr-ananta","name":"fan-6"}}</v>
      </c>
      <c r="S3058" s="369" t="s">
        <v>2866</v>
      </c>
      <c r="T3058" s="330"/>
      <c r="U3058" s="330"/>
      <c r="V3058" s="331"/>
      <c r="W3058" s="332"/>
      <c r="X3058" s="333"/>
      <c r="Y3058" s="33" t="s">
        <v>8076</v>
      </c>
      <c r="Z3058" s="368"/>
      <c r="AA3058" s="333"/>
      <c r="AB3058" s="258">
        <v>98.0</v>
      </c>
      <c r="AC3058" s="333"/>
      <c r="AD3058" s="329"/>
      <c r="AE3058" s="331"/>
      <c r="AF3058" s="336"/>
      <c r="AG3058" s="337" t="str">
        <f>IFS(LEN(AF3058)=17,LOWER('2-Building'!$B$4 &amp; "-" &amp; C3058), AF3058="N/A", "N/A", LEN(AF3058)=0,"")</f>
        <v/>
      </c>
      <c r="AH3058" s="333"/>
      <c r="AI3058" s="333"/>
      <c r="AJ3058" s="333"/>
      <c r="AK3058" s="333"/>
      <c r="AL3058" s="333"/>
      <c r="AM3058" s="338"/>
      <c r="AN3058" s="333"/>
      <c r="AO3058" s="333"/>
      <c r="AP3058" s="333"/>
      <c r="AQ3058" s="333"/>
      <c r="AR3058" s="333"/>
      <c r="AS3058" s="333"/>
      <c r="AT3058" s="333"/>
      <c r="AU3058" s="329"/>
      <c r="AV3058" s="341"/>
      <c r="AW3058" s="269" t="s">
        <v>1638</v>
      </c>
      <c r="AX3058" s="269" t="s">
        <v>2869</v>
      </c>
      <c r="AY3058" s="270" t="s">
        <v>695</v>
      </c>
      <c r="AZ3058" s="379"/>
      <c r="BA3058" s="173">
        <v>10.0</v>
      </c>
      <c r="BB3058" s="341"/>
      <c r="BC3058" s="341"/>
      <c r="BD3058" s="308" t="s">
        <v>1844</v>
      </c>
      <c r="BE3058" s="364"/>
      <c r="BF3058" s="274" t="str">
        <f>IFERROR(__xludf.DUMMYFUNCTION("LOWER(Regexreplace(to_text(E3058),""[^A-Za-z0-9]"","""")&amp;""_""&amp;Regexreplace(to_text(F3058),""[^A-Za-z0-9]"",""""))"),"aquagen_evcbseries")</f>
        <v>aquagen_evcbseries</v>
      </c>
      <c r="BG3058" s="275" t="str">
        <f>IFERROR(__xludf.DUMMYFUNCTION("upper(Regexreplace(to_text(E3058),""[^A-Za-z0-9]"","""")&amp;""-""&amp;Regexreplace(to_text(F3058),""[^A-Za-z0-9]"",""""))"),"AQUAGEN-EVCBSERIES")</f>
        <v>AQUAGEN-EVCBSERIES</v>
      </c>
    </row>
    <row r="3059" ht="30.0" customHeight="1">
      <c r="A3059" s="258">
        <v>2684.0</v>
      </c>
      <c r="B3059" s="328" t="s">
        <v>670</v>
      </c>
      <c r="C3059" s="257" t="s">
        <v>9462</v>
      </c>
      <c r="D3059" s="173" t="s">
        <v>9463</v>
      </c>
      <c r="E3059" s="174" t="s">
        <v>9097</v>
      </c>
      <c r="F3059" s="173" t="s">
        <v>2862</v>
      </c>
      <c r="G3059" s="328" t="s">
        <v>673</v>
      </c>
      <c r="H3059" s="328" t="s">
        <v>2863</v>
      </c>
      <c r="I3059" s="258" t="s">
        <v>9445</v>
      </c>
      <c r="J3059" s="259" t="s">
        <v>739</v>
      </c>
      <c r="K3059" s="260" t="s">
        <v>740</v>
      </c>
      <c r="L3059" s="366"/>
      <c r="M3059" s="329"/>
      <c r="N3059" s="173" t="s">
        <v>679</v>
      </c>
      <c r="O3059" s="173" t="s">
        <v>225</v>
      </c>
      <c r="P3059" s="262" t="str">
        <f t="shared" si="1"/>
        <v>IN-BLR-ANANTA-FAN-7_G</v>
      </c>
      <c r="Q3059" s="173" t="s">
        <v>9464</v>
      </c>
      <c r="R3059" s="328" t="str">
        <f>IFS(C3059="","",C3059="n/a","N/A",LEN(C3059),Concatenate("{",char(34),"asset",char(34),":{",char(34),"guid",char(34),":",char(34),Q3059,char(34),",",char(34),"site",char(34),":",char(34),LOWER('2-Building'!$B$4),char(34),",",char(34),"name",char(34),":",char(34),LOWER(C3059),char(34),"}}"))</f>
        <v>{"asset":{"guid":"uuid://b7daa699-749b-426c-832c-bc2f34730556","site":"in-blr-ananta","name":"fan-7"}}</v>
      </c>
      <c r="S3059" s="369" t="s">
        <v>2866</v>
      </c>
      <c r="T3059" s="330"/>
      <c r="U3059" s="330"/>
      <c r="V3059" s="331"/>
      <c r="W3059" s="332"/>
      <c r="X3059" s="333"/>
      <c r="Y3059" s="33" t="s">
        <v>8076</v>
      </c>
      <c r="Z3059" s="368"/>
      <c r="AA3059" s="333"/>
      <c r="AB3059" s="258">
        <v>80.0</v>
      </c>
      <c r="AC3059" s="333"/>
      <c r="AD3059" s="329"/>
      <c r="AE3059" s="331"/>
      <c r="AF3059" s="336"/>
      <c r="AG3059" s="337" t="str">
        <f>IFS(LEN(AF3059)=17,LOWER('2-Building'!$B$4 &amp; "-" &amp; C3059), AF3059="N/A", "N/A", LEN(AF3059)=0,"")</f>
        <v/>
      </c>
      <c r="AH3059" s="333"/>
      <c r="AI3059" s="333"/>
      <c r="AJ3059" s="333"/>
      <c r="AK3059" s="333"/>
      <c r="AL3059" s="333"/>
      <c r="AM3059" s="338"/>
      <c r="AN3059" s="333"/>
      <c r="AO3059" s="333"/>
      <c r="AP3059" s="333"/>
      <c r="AQ3059" s="333"/>
      <c r="AR3059" s="333"/>
      <c r="AS3059" s="333"/>
      <c r="AT3059" s="333"/>
      <c r="AU3059" s="329"/>
      <c r="AV3059" s="341"/>
      <c r="AW3059" s="269" t="s">
        <v>1659</v>
      </c>
      <c r="AX3059" s="269" t="s">
        <v>2869</v>
      </c>
      <c r="AY3059" s="270" t="s">
        <v>695</v>
      </c>
      <c r="AZ3059" s="379"/>
      <c r="BA3059" s="173">
        <v>10.0</v>
      </c>
      <c r="BB3059" s="341"/>
      <c r="BC3059" s="341"/>
      <c r="BD3059" s="308" t="s">
        <v>1844</v>
      </c>
      <c r="BE3059" s="364"/>
      <c r="BF3059" s="274" t="str">
        <f>IFERROR(__xludf.DUMMYFUNCTION("LOWER(Regexreplace(to_text(E3059),""[^A-Za-z0-9]"","""")&amp;""_""&amp;Regexreplace(to_text(F3059),""[^A-Za-z0-9]"",""""))"),"aquagen_evcbseries")</f>
        <v>aquagen_evcbseries</v>
      </c>
      <c r="BG3059" s="275" t="str">
        <f>IFERROR(__xludf.DUMMYFUNCTION("upper(Regexreplace(to_text(E3059),""[^A-Za-z0-9]"","""")&amp;""-""&amp;Regexreplace(to_text(F3059),""[^A-Za-z0-9]"",""""))"),"AQUAGEN-EVCBSERIES")</f>
        <v>AQUAGEN-EVCBSERIES</v>
      </c>
    </row>
    <row r="3060" ht="30.0" customHeight="1">
      <c r="A3060" s="173">
        <v>2685.0</v>
      </c>
      <c r="B3060" s="328" t="s">
        <v>670</v>
      </c>
      <c r="C3060" s="257" t="s">
        <v>9465</v>
      </c>
      <c r="D3060" s="173" t="s">
        <v>9466</v>
      </c>
      <c r="E3060" s="174" t="s">
        <v>9097</v>
      </c>
      <c r="F3060" s="173" t="s">
        <v>2862</v>
      </c>
      <c r="G3060" s="328" t="s">
        <v>673</v>
      </c>
      <c r="H3060" s="328" t="s">
        <v>2863</v>
      </c>
      <c r="I3060" s="258" t="s">
        <v>9445</v>
      </c>
      <c r="J3060" s="259" t="s">
        <v>739</v>
      </c>
      <c r="K3060" s="260" t="s">
        <v>740</v>
      </c>
      <c r="L3060" s="366"/>
      <c r="M3060" s="329"/>
      <c r="N3060" s="173" t="s">
        <v>679</v>
      </c>
      <c r="O3060" s="173" t="s">
        <v>225</v>
      </c>
      <c r="P3060" s="262" t="str">
        <f t="shared" si="1"/>
        <v>IN-BLR-ANANTA-FAN-8_G</v>
      </c>
      <c r="Q3060" s="173" t="s">
        <v>9467</v>
      </c>
      <c r="R3060" s="328" t="str">
        <f>IFS(C3060="","",C3060="n/a","N/A",LEN(C3060),Concatenate("{",char(34),"asset",char(34),":{",char(34),"guid",char(34),":",char(34),Q3060,char(34),",",char(34),"site",char(34),":",char(34),LOWER('2-Building'!$B$4),char(34),",",char(34),"name",char(34),":",char(34),LOWER(C3060),char(34),"}}"))</f>
        <v>{"asset":{"guid":"uuid://148f9ef0-1ea8-4edf-b078-4ac31ced2bd3","site":"in-blr-ananta","name":"fan-8"}}</v>
      </c>
      <c r="S3060" s="369" t="s">
        <v>2866</v>
      </c>
      <c r="T3060" s="330"/>
      <c r="U3060" s="330"/>
      <c r="V3060" s="331"/>
      <c r="W3060" s="332"/>
      <c r="X3060" s="333"/>
      <c r="Y3060" s="33" t="s">
        <v>8076</v>
      </c>
      <c r="Z3060" s="368"/>
      <c r="AA3060" s="333"/>
      <c r="AB3060" s="258">
        <v>81.0</v>
      </c>
      <c r="AC3060" s="333"/>
      <c r="AD3060" s="329"/>
      <c r="AE3060" s="331"/>
      <c r="AF3060" s="336"/>
      <c r="AG3060" s="337" t="str">
        <f>IFS(LEN(AF3060)=17,LOWER('2-Building'!$B$4 &amp; "-" &amp; C3060), AF3060="N/A", "N/A", LEN(AF3060)=0,"")</f>
        <v/>
      </c>
      <c r="AH3060" s="333"/>
      <c r="AI3060" s="333"/>
      <c r="AJ3060" s="333"/>
      <c r="AK3060" s="333"/>
      <c r="AL3060" s="333"/>
      <c r="AM3060" s="338"/>
      <c r="AN3060" s="333"/>
      <c r="AO3060" s="333"/>
      <c r="AP3060" s="333"/>
      <c r="AQ3060" s="333"/>
      <c r="AR3060" s="333"/>
      <c r="AS3060" s="333"/>
      <c r="AT3060" s="333"/>
      <c r="AU3060" s="329"/>
      <c r="AV3060" s="341"/>
      <c r="AW3060" s="269" t="s">
        <v>1659</v>
      </c>
      <c r="AX3060" s="269" t="s">
        <v>2869</v>
      </c>
      <c r="AY3060" s="270" t="s">
        <v>695</v>
      </c>
      <c r="AZ3060" s="379"/>
      <c r="BA3060" s="173">
        <v>10.0</v>
      </c>
      <c r="BB3060" s="341"/>
      <c r="BC3060" s="341"/>
      <c r="BD3060" s="308" t="s">
        <v>1844</v>
      </c>
      <c r="BE3060" s="364"/>
      <c r="BF3060" s="274" t="str">
        <f>IFERROR(__xludf.DUMMYFUNCTION("LOWER(Regexreplace(to_text(E3060),""[^A-Za-z0-9]"","""")&amp;""_""&amp;Regexreplace(to_text(F3060),""[^A-Za-z0-9]"",""""))"),"aquagen_evcbseries")</f>
        <v>aquagen_evcbseries</v>
      </c>
      <c r="BG3060" s="275" t="str">
        <f>IFERROR(__xludf.DUMMYFUNCTION("upper(Regexreplace(to_text(E3060),""[^A-Za-z0-9]"","""")&amp;""-""&amp;Regexreplace(to_text(F3060),""[^A-Za-z0-9]"",""""))"),"AQUAGEN-EVCBSERIES")</f>
        <v>AQUAGEN-EVCBSERIES</v>
      </c>
    </row>
    <row r="3061" ht="30.0" customHeight="1">
      <c r="A3061" s="258">
        <v>2686.0</v>
      </c>
      <c r="B3061" s="328" t="s">
        <v>670</v>
      </c>
      <c r="C3061" s="257" t="s">
        <v>9468</v>
      </c>
      <c r="D3061" s="173" t="s">
        <v>9469</v>
      </c>
      <c r="E3061" s="174" t="s">
        <v>9097</v>
      </c>
      <c r="F3061" s="173" t="s">
        <v>2862</v>
      </c>
      <c r="G3061" s="328" t="s">
        <v>673</v>
      </c>
      <c r="H3061" s="328" t="s">
        <v>2863</v>
      </c>
      <c r="I3061" s="258" t="s">
        <v>9445</v>
      </c>
      <c r="J3061" s="259" t="s">
        <v>739</v>
      </c>
      <c r="K3061" s="260" t="s">
        <v>740</v>
      </c>
      <c r="L3061" s="366"/>
      <c r="M3061" s="329"/>
      <c r="N3061" s="173" t="s">
        <v>679</v>
      </c>
      <c r="O3061" s="173" t="s">
        <v>225</v>
      </c>
      <c r="P3061" s="262" t="str">
        <f t="shared" si="1"/>
        <v>IN-BLR-ANANTA-FAN-9_G</v>
      </c>
      <c r="Q3061" s="173" t="s">
        <v>9470</v>
      </c>
      <c r="R3061" s="328" t="str">
        <f>IFS(C3061="","",C3061="n/a","N/A",LEN(C3061),Concatenate("{",char(34),"asset",char(34),":{",char(34),"guid",char(34),":",char(34),Q3061,char(34),",",char(34),"site",char(34),":",char(34),LOWER('2-Building'!$B$4),char(34),",",char(34),"name",char(34),":",char(34),LOWER(C3061),char(34),"}}"))</f>
        <v>{"asset":{"guid":"uuid://9ae82cdb-9c7c-4127-b634-8fb1a6cf6a9e","site":"in-blr-ananta","name":"fan-9"}}</v>
      </c>
      <c r="S3061" s="369" t="s">
        <v>2866</v>
      </c>
      <c r="T3061" s="330"/>
      <c r="U3061" s="330"/>
      <c r="V3061" s="331"/>
      <c r="W3061" s="332"/>
      <c r="X3061" s="333"/>
      <c r="Y3061" s="33" t="s">
        <v>8076</v>
      </c>
      <c r="Z3061" s="368"/>
      <c r="AA3061" s="333"/>
      <c r="AB3061" s="258">
        <v>82.0</v>
      </c>
      <c r="AC3061" s="333"/>
      <c r="AD3061" s="329"/>
      <c r="AE3061" s="331"/>
      <c r="AF3061" s="336"/>
      <c r="AG3061" s="337" t="str">
        <f>IFS(LEN(AF3061)=17,LOWER('2-Building'!$B$4 &amp; "-" &amp; C3061), AF3061="N/A", "N/A", LEN(AF3061)=0,"")</f>
        <v/>
      </c>
      <c r="AH3061" s="333"/>
      <c r="AI3061" s="333"/>
      <c r="AJ3061" s="333"/>
      <c r="AK3061" s="333"/>
      <c r="AL3061" s="333"/>
      <c r="AM3061" s="338"/>
      <c r="AN3061" s="333"/>
      <c r="AO3061" s="333"/>
      <c r="AP3061" s="333"/>
      <c r="AQ3061" s="333"/>
      <c r="AR3061" s="333"/>
      <c r="AS3061" s="333"/>
      <c r="AT3061" s="333"/>
      <c r="AU3061" s="329"/>
      <c r="AV3061" s="341"/>
      <c r="AW3061" s="269" t="s">
        <v>1659</v>
      </c>
      <c r="AX3061" s="269" t="s">
        <v>2869</v>
      </c>
      <c r="AY3061" s="270" t="s">
        <v>695</v>
      </c>
      <c r="AZ3061" s="379"/>
      <c r="BA3061" s="173">
        <v>10.0</v>
      </c>
      <c r="BB3061" s="341"/>
      <c r="BC3061" s="341"/>
      <c r="BD3061" s="308" t="s">
        <v>1844</v>
      </c>
      <c r="BE3061" s="364"/>
      <c r="BF3061" s="274" t="str">
        <f>IFERROR(__xludf.DUMMYFUNCTION("LOWER(Regexreplace(to_text(E3061),""[^A-Za-z0-9]"","""")&amp;""_""&amp;Regexreplace(to_text(F3061),""[^A-Za-z0-9]"",""""))"),"aquagen_evcbseries")</f>
        <v>aquagen_evcbseries</v>
      </c>
      <c r="BG3061" s="275" t="str">
        <f>IFERROR(__xludf.DUMMYFUNCTION("upper(Regexreplace(to_text(E3061),""[^A-Za-z0-9]"","""")&amp;""-""&amp;Regexreplace(to_text(F3061),""[^A-Za-z0-9]"",""""))"),"AQUAGEN-EVCBSERIES")</f>
        <v>AQUAGEN-EVCBSERIES</v>
      </c>
    </row>
    <row r="3062" ht="30.0" customHeight="1">
      <c r="A3062" s="173">
        <v>2687.0</v>
      </c>
      <c r="B3062" s="328" t="s">
        <v>670</v>
      </c>
      <c r="C3062" s="257" t="s">
        <v>9471</v>
      </c>
      <c r="D3062" s="173" t="s">
        <v>9472</v>
      </c>
      <c r="E3062" s="174" t="s">
        <v>9097</v>
      </c>
      <c r="F3062" s="173" t="s">
        <v>2862</v>
      </c>
      <c r="G3062" s="328" t="s">
        <v>673</v>
      </c>
      <c r="H3062" s="328" t="s">
        <v>2863</v>
      </c>
      <c r="I3062" s="258" t="s">
        <v>9445</v>
      </c>
      <c r="J3062" s="259" t="s">
        <v>739</v>
      </c>
      <c r="K3062" s="260" t="s">
        <v>740</v>
      </c>
      <c r="L3062" s="366"/>
      <c r="M3062" s="329"/>
      <c r="N3062" s="173" t="s">
        <v>679</v>
      </c>
      <c r="O3062" s="173" t="s">
        <v>225</v>
      </c>
      <c r="P3062" s="262" t="str">
        <f t="shared" si="1"/>
        <v>IN-BLR-ANANTA-FAN-10_G</v>
      </c>
      <c r="Q3062" s="173" t="s">
        <v>9473</v>
      </c>
      <c r="R3062" s="328" t="str">
        <f>IFS(C3062="","",C3062="n/a","N/A",LEN(C3062),Concatenate("{",char(34),"asset",char(34),":{",char(34),"guid",char(34),":",char(34),Q3062,char(34),",",char(34),"site",char(34),":",char(34),LOWER('2-Building'!$B$4),char(34),",",char(34),"name",char(34),":",char(34),LOWER(C3062),char(34),"}}"))</f>
        <v>{"asset":{"guid":"uuid://7bb8ee4b-1f5c-4092-9bd0-26e3b32645e6","site":"in-blr-ananta","name":"fan-10"}}</v>
      </c>
      <c r="S3062" s="369" t="s">
        <v>2866</v>
      </c>
      <c r="T3062" s="330"/>
      <c r="U3062" s="330"/>
      <c r="V3062" s="331"/>
      <c r="W3062" s="332"/>
      <c r="X3062" s="333"/>
      <c r="Y3062" s="33" t="s">
        <v>8076</v>
      </c>
      <c r="Z3062" s="368"/>
      <c r="AA3062" s="333"/>
      <c r="AB3062" s="258">
        <v>83.0</v>
      </c>
      <c r="AC3062" s="333"/>
      <c r="AD3062" s="329"/>
      <c r="AE3062" s="331"/>
      <c r="AF3062" s="336"/>
      <c r="AG3062" s="337" t="str">
        <f>IFS(LEN(AF3062)=17,LOWER('2-Building'!$B$4 &amp; "-" &amp; C3062), AF3062="N/A", "N/A", LEN(AF3062)=0,"")</f>
        <v/>
      </c>
      <c r="AH3062" s="333"/>
      <c r="AI3062" s="333"/>
      <c r="AJ3062" s="333"/>
      <c r="AK3062" s="333"/>
      <c r="AL3062" s="333"/>
      <c r="AM3062" s="338"/>
      <c r="AN3062" s="333"/>
      <c r="AO3062" s="333"/>
      <c r="AP3062" s="333"/>
      <c r="AQ3062" s="333"/>
      <c r="AR3062" s="333"/>
      <c r="AS3062" s="333"/>
      <c r="AT3062" s="333"/>
      <c r="AU3062" s="329"/>
      <c r="AV3062" s="341"/>
      <c r="AW3062" s="269" t="s">
        <v>1659</v>
      </c>
      <c r="AX3062" s="269" t="s">
        <v>2869</v>
      </c>
      <c r="AY3062" s="270" t="s">
        <v>695</v>
      </c>
      <c r="AZ3062" s="379"/>
      <c r="BA3062" s="173">
        <v>10.0</v>
      </c>
      <c r="BB3062" s="341"/>
      <c r="BC3062" s="341"/>
      <c r="BD3062" s="308" t="s">
        <v>1844</v>
      </c>
      <c r="BE3062" s="364"/>
      <c r="BF3062" s="274" t="str">
        <f>IFERROR(__xludf.DUMMYFUNCTION("LOWER(Regexreplace(to_text(E3062),""[^A-Za-z0-9]"","""")&amp;""_""&amp;Regexreplace(to_text(F3062),""[^A-Za-z0-9]"",""""))"),"aquagen_evcbseries")</f>
        <v>aquagen_evcbseries</v>
      </c>
      <c r="BG3062" s="275" t="str">
        <f>IFERROR(__xludf.DUMMYFUNCTION("upper(Regexreplace(to_text(E3062),""[^A-Za-z0-9]"","""")&amp;""-""&amp;Regexreplace(to_text(F3062),""[^A-Za-z0-9]"",""""))"),"AQUAGEN-EVCBSERIES")</f>
        <v>AQUAGEN-EVCBSERIES</v>
      </c>
    </row>
    <row r="3063" ht="30.0" customHeight="1">
      <c r="A3063" s="258">
        <v>2688.0</v>
      </c>
      <c r="B3063" s="328" t="s">
        <v>670</v>
      </c>
      <c r="C3063" s="257" t="s">
        <v>9474</v>
      </c>
      <c r="D3063" s="173" t="s">
        <v>9475</v>
      </c>
      <c r="E3063" s="174" t="s">
        <v>9097</v>
      </c>
      <c r="F3063" s="173" t="s">
        <v>2862</v>
      </c>
      <c r="G3063" s="328" t="s">
        <v>673</v>
      </c>
      <c r="H3063" s="328" t="s">
        <v>2863</v>
      </c>
      <c r="I3063" s="258" t="s">
        <v>9445</v>
      </c>
      <c r="J3063" s="259" t="s">
        <v>739</v>
      </c>
      <c r="K3063" s="260" t="s">
        <v>740</v>
      </c>
      <c r="L3063" s="366"/>
      <c r="M3063" s="329"/>
      <c r="N3063" s="173" t="s">
        <v>679</v>
      </c>
      <c r="O3063" s="173" t="s">
        <v>225</v>
      </c>
      <c r="P3063" s="262" t="str">
        <f t="shared" si="1"/>
        <v>IN-BLR-ANANTA-FAN-11_G</v>
      </c>
      <c r="Q3063" s="173" t="s">
        <v>9476</v>
      </c>
      <c r="R3063" s="328" t="str">
        <f>IFS(C3063="","",C3063="n/a","N/A",LEN(C3063),Concatenate("{",char(34),"asset",char(34),":{",char(34),"guid",char(34),":",char(34),Q3063,char(34),",",char(34),"site",char(34),":",char(34),LOWER('2-Building'!$B$4),char(34),",",char(34),"name",char(34),":",char(34),LOWER(C3063),char(34),"}}"))</f>
        <v>{"asset":{"guid":"uuid://6602c0e0-bf07-4bcb-9598-b949021f4ba6","site":"in-blr-ananta","name":"fan-11"}}</v>
      </c>
      <c r="S3063" s="369" t="s">
        <v>2866</v>
      </c>
      <c r="T3063" s="330"/>
      <c r="U3063" s="330"/>
      <c r="V3063" s="331"/>
      <c r="W3063" s="332"/>
      <c r="X3063" s="333"/>
      <c r="Y3063" s="33" t="s">
        <v>8076</v>
      </c>
      <c r="Z3063" s="368"/>
      <c r="AA3063" s="333"/>
      <c r="AB3063" s="258">
        <v>84.0</v>
      </c>
      <c r="AC3063" s="333"/>
      <c r="AD3063" s="329"/>
      <c r="AE3063" s="331"/>
      <c r="AF3063" s="336"/>
      <c r="AG3063" s="337" t="str">
        <f>IFS(LEN(AF3063)=17,LOWER('2-Building'!$B$4 &amp; "-" &amp; C3063), AF3063="N/A", "N/A", LEN(AF3063)=0,"")</f>
        <v/>
      </c>
      <c r="AH3063" s="333"/>
      <c r="AI3063" s="333"/>
      <c r="AJ3063" s="333"/>
      <c r="AK3063" s="333"/>
      <c r="AL3063" s="333"/>
      <c r="AM3063" s="338"/>
      <c r="AN3063" s="333"/>
      <c r="AO3063" s="333"/>
      <c r="AP3063" s="333"/>
      <c r="AQ3063" s="333"/>
      <c r="AR3063" s="333"/>
      <c r="AS3063" s="333"/>
      <c r="AT3063" s="333"/>
      <c r="AU3063" s="329"/>
      <c r="AV3063" s="341"/>
      <c r="AW3063" s="269" t="s">
        <v>1659</v>
      </c>
      <c r="AX3063" s="269" t="s">
        <v>2869</v>
      </c>
      <c r="AY3063" s="270" t="s">
        <v>695</v>
      </c>
      <c r="AZ3063" s="379"/>
      <c r="BA3063" s="173">
        <v>10.0</v>
      </c>
      <c r="BB3063" s="341"/>
      <c r="BC3063" s="341"/>
      <c r="BD3063" s="308" t="s">
        <v>1844</v>
      </c>
      <c r="BE3063" s="364"/>
      <c r="BF3063" s="274" t="str">
        <f>IFERROR(__xludf.DUMMYFUNCTION("LOWER(Regexreplace(to_text(E3063),""[^A-Za-z0-9]"","""")&amp;""_""&amp;Regexreplace(to_text(F3063),""[^A-Za-z0-9]"",""""))"),"aquagen_evcbseries")</f>
        <v>aquagen_evcbseries</v>
      </c>
      <c r="BG3063" s="275" t="str">
        <f>IFERROR(__xludf.DUMMYFUNCTION("upper(Regexreplace(to_text(E3063),""[^A-Za-z0-9]"","""")&amp;""-""&amp;Regexreplace(to_text(F3063),""[^A-Za-z0-9]"",""""))"),"AQUAGEN-EVCBSERIES")</f>
        <v>AQUAGEN-EVCBSERIES</v>
      </c>
    </row>
    <row r="3064" ht="30.0" customHeight="1">
      <c r="A3064" s="173">
        <v>2689.0</v>
      </c>
      <c r="B3064" s="328" t="s">
        <v>670</v>
      </c>
      <c r="C3064" s="257" t="s">
        <v>9477</v>
      </c>
      <c r="D3064" s="173" t="s">
        <v>9478</v>
      </c>
      <c r="E3064" s="174" t="s">
        <v>9097</v>
      </c>
      <c r="F3064" s="173" t="s">
        <v>2862</v>
      </c>
      <c r="G3064" s="328" t="s">
        <v>673</v>
      </c>
      <c r="H3064" s="328" t="s">
        <v>2863</v>
      </c>
      <c r="I3064" s="258" t="s">
        <v>9445</v>
      </c>
      <c r="J3064" s="259" t="s">
        <v>739</v>
      </c>
      <c r="K3064" s="260" t="s">
        <v>740</v>
      </c>
      <c r="L3064" s="366"/>
      <c r="M3064" s="329"/>
      <c r="N3064" s="173" t="s">
        <v>679</v>
      </c>
      <c r="O3064" s="173" t="s">
        <v>225</v>
      </c>
      <c r="P3064" s="262" t="str">
        <f t="shared" si="1"/>
        <v>IN-BLR-ANANTA-FAN-12_G</v>
      </c>
      <c r="Q3064" s="173" t="s">
        <v>9479</v>
      </c>
      <c r="R3064" s="328" t="str">
        <f>IFS(C3064="","",C3064="n/a","N/A",LEN(C3064),Concatenate("{",char(34),"asset",char(34),":{",char(34),"guid",char(34),":",char(34),Q3064,char(34),",",char(34),"site",char(34),":",char(34),LOWER('2-Building'!$B$4),char(34),",",char(34),"name",char(34),":",char(34),LOWER(C3064),char(34),"}}"))</f>
        <v>{"asset":{"guid":"uuid://6467b210-8266-4252-ae59-de06f0a558e5","site":"in-blr-ananta","name":"fan-12"}}</v>
      </c>
      <c r="S3064" s="369" t="s">
        <v>2866</v>
      </c>
      <c r="T3064" s="330"/>
      <c r="U3064" s="330"/>
      <c r="V3064" s="331"/>
      <c r="W3064" s="332"/>
      <c r="X3064" s="333"/>
      <c r="Y3064" s="33" t="s">
        <v>8076</v>
      </c>
      <c r="Z3064" s="368"/>
      <c r="AA3064" s="333"/>
      <c r="AB3064" s="258">
        <v>85.0</v>
      </c>
      <c r="AC3064" s="333"/>
      <c r="AD3064" s="329"/>
      <c r="AE3064" s="331"/>
      <c r="AF3064" s="336"/>
      <c r="AG3064" s="337" t="str">
        <f>IFS(LEN(AF3064)=17,LOWER('2-Building'!$B$4 &amp; "-" &amp; C3064), AF3064="N/A", "N/A", LEN(AF3064)=0,"")</f>
        <v/>
      </c>
      <c r="AH3064" s="333"/>
      <c r="AI3064" s="333"/>
      <c r="AJ3064" s="333"/>
      <c r="AK3064" s="333"/>
      <c r="AL3064" s="333"/>
      <c r="AM3064" s="338"/>
      <c r="AN3064" s="333"/>
      <c r="AO3064" s="333"/>
      <c r="AP3064" s="333"/>
      <c r="AQ3064" s="333"/>
      <c r="AR3064" s="333"/>
      <c r="AS3064" s="333"/>
      <c r="AT3064" s="333"/>
      <c r="AU3064" s="329"/>
      <c r="AV3064" s="341"/>
      <c r="AW3064" s="269" t="s">
        <v>1659</v>
      </c>
      <c r="AX3064" s="269" t="s">
        <v>2869</v>
      </c>
      <c r="AY3064" s="270" t="s">
        <v>695</v>
      </c>
      <c r="AZ3064" s="379"/>
      <c r="BA3064" s="173">
        <v>10.0</v>
      </c>
      <c r="BB3064" s="341"/>
      <c r="BC3064" s="341"/>
      <c r="BD3064" s="308" t="s">
        <v>1844</v>
      </c>
      <c r="BE3064" s="364"/>
      <c r="BF3064" s="274" t="str">
        <f>IFERROR(__xludf.DUMMYFUNCTION("LOWER(Regexreplace(to_text(E3064),""[^A-Za-z0-9]"","""")&amp;""_""&amp;Regexreplace(to_text(F3064),""[^A-Za-z0-9]"",""""))"),"aquagen_evcbseries")</f>
        <v>aquagen_evcbseries</v>
      </c>
      <c r="BG3064" s="275" t="str">
        <f>IFERROR(__xludf.DUMMYFUNCTION("upper(Regexreplace(to_text(E3064),""[^A-Za-z0-9]"","""")&amp;""-""&amp;Regexreplace(to_text(F3064),""[^A-Za-z0-9]"",""""))"),"AQUAGEN-EVCBSERIES")</f>
        <v>AQUAGEN-EVCBSERIES</v>
      </c>
    </row>
    <row r="3065" ht="30.0" customHeight="1">
      <c r="A3065" s="173">
        <v>2691.0</v>
      </c>
      <c r="B3065" s="328" t="s">
        <v>670</v>
      </c>
      <c r="C3065" s="257" t="s">
        <v>9480</v>
      </c>
      <c r="D3065" s="173" t="s">
        <v>9481</v>
      </c>
      <c r="E3065" s="174" t="s">
        <v>9097</v>
      </c>
      <c r="F3065" s="173" t="s">
        <v>2862</v>
      </c>
      <c r="G3065" s="328" t="s">
        <v>673</v>
      </c>
      <c r="H3065" s="328" t="s">
        <v>2863</v>
      </c>
      <c r="I3065" s="258" t="s">
        <v>9445</v>
      </c>
      <c r="J3065" s="259" t="s">
        <v>846</v>
      </c>
      <c r="K3065" s="260" t="s">
        <v>867</v>
      </c>
      <c r="L3065" s="366"/>
      <c r="M3065" s="329"/>
      <c r="N3065" s="173" t="s">
        <v>679</v>
      </c>
      <c r="O3065" s="173" t="s">
        <v>225</v>
      </c>
      <c r="P3065" s="262" t="str">
        <f t="shared" si="1"/>
        <v>IN-BLR-ANANTA-FAN-13_1</v>
      </c>
      <c r="Q3065" s="173" t="s">
        <v>9482</v>
      </c>
      <c r="R3065" s="328" t="str">
        <f>IFS(C3065="","",C3065="n/a","N/A",LEN(C3065),Concatenate("{",char(34),"asset",char(34),":{",char(34),"guid",char(34),":",char(34),Q3065,char(34),",",char(34),"site",char(34),":",char(34),LOWER('2-Building'!$B$4),char(34),",",char(34),"name",char(34),":",char(34),LOWER(C3065),char(34),"}}"))</f>
        <v>{"asset":{"guid":"uuid://15f4c7ac-965e-4527-855e-8a88b6bf623f","site":"in-blr-ananta","name":"fan-13"}}</v>
      </c>
      <c r="S3065" s="369" t="s">
        <v>2866</v>
      </c>
      <c r="T3065" s="330"/>
      <c r="U3065" s="330"/>
      <c r="V3065" s="331"/>
      <c r="W3065" s="332"/>
      <c r="X3065" s="333"/>
      <c r="Y3065" s="33" t="s">
        <v>8076</v>
      </c>
      <c r="Z3065" s="368"/>
      <c r="AA3065" s="333"/>
      <c r="AB3065" s="258">
        <v>65.0</v>
      </c>
      <c r="AC3065" s="333"/>
      <c r="AD3065" s="329"/>
      <c r="AE3065" s="331"/>
      <c r="AF3065" s="336"/>
      <c r="AG3065" s="337" t="str">
        <f>IFS(LEN(AF3065)=17,LOWER('2-Building'!$B$4 &amp; "-" &amp; C3065), AF3065="N/A", "N/A", LEN(AF3065)=0,"")</f>
        <v/>
      </c>
      <c r="AH3065" s="333"/>
      <c r="AI3065" s="333"/>
      <c r="AJ3065" s="333"/>
      <c r="AK3065" s="333"/>
      <c r="AL3065" s="333"/>
      <c r="AM3065" s="338"/>
      <c r="AN3065" s="333"/>
      <c r="AO3065" s="333"/>
      <c r="AP3065" s="333"/>
      <c r="AQ3065" s="333"/>
      <c r="AR3065" s="333"/>
      <c r="AS3065" s="333"/>
      <c r="AT3065" s="333"/>
      <c r="AU3065" s="329"/>
      <c r="AV3065" s="341"/>
      <c r="AW3065" s="269" t="s">
        <v>1659</v>
      </c>
      <c r="AX3065" s="269" t="s">
        <v>2869</v>
      </c>
      <c r="AY3065" s="270" t="s">
        <v>695</v>
      </c>
      <c r="AZ3065" s="379"/>
      <c r="BA3065" s="173">
        <v>10.0</v>
      </c>
      <c r="BB3065" s="341"/>
      <c r="BC3065" s="341"/>
      <c r="BD3065" s="308" t="s">
        <v>1844</v>
      </c>
      <c r="BE3065" s="364"/>
      <c r="BF3065" s="274" t="str">
        <f>IFERROR(__xludf.DUMMYFUNCTION("LOWER(Regexreplace(to_text(E3065),""[^A-Za-z0-9]"","""")&amp;""_""&amp;Regexreplace(to_text(F3065),""[^A-Za-z0-9]"",""""))"),"aquagen_evcbseries")</f>
        <v>aquagen_evcbseries</v>
      </c>
      <c r="BG3065" s="275" t="str">
        <f>IFERROR(__xludf.DUMMYFUNCTION("upper(Regexreplace(to_text(E3065),""[^A-Za-z0-9]"","""")&amp;""-""&amp;Regexreplace(to_text(F3065),""[^A-Za-z0-9]"",""""))"),"AQUAGEN-EVCBSERIES")</f>
        <v>AQUAGEN-EVCBSERIES</v>
      </c>
    </row>
    <row r="3066" ht="30.0" customHeight="1">
      <c r="A3066" s="258">
        <v>2690.0</v>
      </c>
      <c r="B3066" s="328" t="s">
        <v>670</v>
      </c>
      <c r="C3066" s="257" t="s">
        <v>9483</v>
      </c>
      <c r="D3066" s="173" t="s">
        <v>9484</v>
      </c>
      <c r="E3066" s="174" t="s">
        <v>9097</v>
      </c>
      <c r="F3066" s="173" t="s">
        <v>2862</v>
      </c>
      <c r="G3066" s="328" t="s">
        <v>673</v>
      </c>
      <c r="H3066" s="328" t="s">
        <v>2863</v>
      </c>
      <c r="I3066" s="258" t="s">
        <v>9445</v>
      </c>
      <c r="J3066" s="259" t="s">
        <v>846</v>
      </c>
      <c r="K3066" s="260" t="s">
        <v>867</v>
      </c>
      <c r="L3066" s="366"/>
      <c r="M3066" s="329"/>
      <c r="N3066" s="173" t="s">
        <v>679</v>
      </c>
      <c r="O3066" s="173" t="s">
        <v>225</v>
      </c>
      <c r="P3066" s="262" t="str">
        <f t="shared" si="1"/>
        <v>IN-BLR-ANANTA-FAN-14_1</v>
      </c>
      <c r="Q3066" s="173" t="s">
        <v>9485</v>
      </c>
      <c r="R3066" s="328" t="str">
        <f>IFS(C3066="","",C3066="n/a","N/A",LEN(C3066),Concatenate("{",char(34),"asset",char(34),":{",char(34),"guid",char(34),":",char(34),Q3066,char(34),",",char(34),"site",char(34),":",char(34),LOWER('2-Building'!$B$4),char(34),",",char(34),"name",char(34),":",char(34),LOWER(C3066),char(34),"}}"))</f>
        <v>{"asset":{"guid":"uuid://9bd23eaf-a1f1-437e-abce-9d66001cfc6c","site":"in-blr-ananta","name":"fan-14"}}</v>
      </c>
      <c r="S3066" s="369" t="s">
        <v>2866</v>
      </c>
      <c r="T3066" s="330"/>
      <c r="U3066" s="330"/>
      <c r="V3066" s="331"/>
      <c r="W3066" s="332"/>
      <c r="X3066" s="333"/>
      <c r="Y3066" s="33" t="s">
        <v>8076</v>
      </c>
      <c r="Z3066" s="368"/>
      <c r="AA3066" s="333"/>
      <c r="AB3066" s="258">
        <v>66.0</v>
      </c>
      <c r="AC3066" s="333"/>
      <c r="AD3066" s="329"/>
      <c r="AE3066" s="331"/>
      <c r="AF3066" s="336"/>
      <c r="AG3066" s="337" t="str">
        <f>IFS(LEN(AF3066)=17,LOWER('2-Building'!$B$4 &amp; "-" &amp; C3066), AF3066="N/A", "N/A", LEN(AF3066)=0,"")</f>
        <v/>
      </c>
      <c r="AH3066" s="333"/>
      <c r="AI3066" s="333"/>
      <c r="AJ3066" s="333"/>
      <c r="AK3066" s="333"/>
      <c r="AL3066" s="333"/>
      <c r="AM3066" s="338"/>
      <c r="AN3066" s="333"/>
      <c r="AO3066" s="333"/>
      <c r="AP3066" s="333"/>
      <c r="AQ3066" s="333"/>
      <c r="AR3066" s="333"/>
      <c r="AS3066" s="333"/>
      <c r="AT3066" s="333"/>
      <c r="AU3066" s="329"/>
      <c r="AV3066" s="341"/>
      <c r="AW3066" s="269" t="s">
        <v>1659</v>
      </c>
      <c r="AX3066" s="269" t="s">
        <v>2869</v>
      </c>
      <c r="AY3066" s="270" t="s">
        <v>695</v>
      </c>
      <c r="AZ3066" s="379"/>
      <c r="BA3066" s="173">
        <v>10.0</v>
      </c>
      <c r="BB3066" s="341"/>
      <c r="BC3066" s="341"/>
      <c r="BD3066" s="308" t="s">
        <v>1844</v>
      </c>
      <c r="BE3066" s="364"/>
      <c r="BF3066" s="274" t="str">
        <f>IFERROR(__xludf.DUMMYFUNCTION("LOWER(Regexreplace(to_text(E3066),""[^A-Za-z0-9]"","""")&amp;""_""&amp;Regexreplace(to_text(F3066),""[^A-Za-z0-9]"",""""))"),"aquagen_evcbseries")</f>
        <v>aquagen_evcbseries</v>
      </c>
      <c r="BG3066" s="275" t="str">
        <f>IFERROR(__xludf.DUMMYFUNCTION("upper(Regexreplace(to_text(E3066),""[^A-Za-z0-9]"","""")&amp;""-""&amp;Regexreplace(to_text(F3066),""[^A-Za-z0-9]"",""""))"),"AQUAGEN-EVCBSERIES")</f>
        <v>AQUAGEN-EVCBSERIES</v>
      </c>
    </row>
    <row r="3067" ht="30.0" customHeight="1">
      <c r="A3067" s="328">
        <v>2690.0</v>
      </c>
      <c r="B3067" s="425" t="s">
        <v>670</v>
      </c>
      <c r="C3067" s="257" t="s">
        <v>9486</v>
      </c>
      <c r="D3067" s="173" t="s">
        <v>9487</v>
      </c>
      <c r="E3067" s="174" t="s">
        <v>9097</v>
      </c>
      <c r="F3067" s="173" t="s">
        <v>2862</v>
      </c>
      <c r="G3067" s="425" t="s">
        <v>673</v>
      </c>
      <c r="H3067" s="425" t="s">
        <v>2863</v>
      </c>
      <c r="I3067" s="258" t="s">
        <v>9445</v>
      </c>
      <c r="J3067" s="259" t="s">
        <v>846</v>
      </c>
      <c r="K3067" s="260" t="s">
        <v>867</v>
      </c>
      <c r="L3067" s="442"/>
      <c r="M3067" s="426"/>
      <c r="N3067" s="173" t="s">
        <v>679</v>
      </c>
      <c r="O3067" s="173" t="s">
        <v>225</v>
      </c>
      <c r="P3067" s="262" t="str">
        <f t="shared" si="1"/>
        <v>IN-BLR-ANANTA-FAN-15_1</v>
      </c>
      <c r="Q3067" s="173" t="s">
        <v>9488</v>
      </c>
      <c r="R3067" s="433" t="str">
        <f>IFS(C3067="","",C3067="n/a","N/A",LEN(C3067),Concatenate("{",char(34),"asset",char(34),":{",char(34),"guid",char(34),":",char(34),Q3067,char(34),",",char(34),"site",char(34),":",char(34),LOWER('2-Building'!$B$4),char(34),",",char(34),"name",char(34),":",char(34),LOWER(C3067),char(34),"}}"))</f>
        <v>{"asset":{"guid":"uuid://55b1980d-d198-4f13-9025-89c0911ba0ef","site":"in-blr-ananta","name":"fan-15"}}</v>
      </c>
      <c r="S3067" s="369" t="s">
        <v>2866</v>
      </c>
      <c r="T3067" s="427"/>
      <c r="U3067" s="427"/>
      <c r="V3067" s="428"/>
      <c r="W3067" s="429"/>
      <c r="X3067" s="430"/>
      <c r="Y3067" s="33" t="s">
        <v>8076</v>
      </c>
      <c r="Z3067" s="430"/>
      <c r="AA3067" s="430"/>
      <c r="AB3067" s="258">
        <v>67.0</v>
      </c>
      <c r="AC3067" s="430"/>
      <c r="AD3067" s="426"/>
      <c r="AE3067" s="428"/>
      <c r="AF3067" s="431"/>
      <c r="AG3067" s="432" t="str">
        <f>IFS(LEN(AF3067)=17,LOWER('2-Building'!$B$4 &amp; "-" &amp; C3067), AF3067="N/A", "N/A", LEN(AF3067)=0,"")</f>
        <v/>
      </c>
      <c r="AH3067" s="430"/>
      <c r="AI3067" s="430"/>
      <c r="AJ3067" s="430"/>
      <c r="AK3067" s="430"/>
      <c r="AL3067" s="430"/>
      <c r="AM3067" s="433"/>
      <c r="AN3067" s="430"/>
      <c r="AO3067" s="430"/>
      <c r="AP3067" s="430"/>
      <c r="AQ3067" s="430"/>
      <c r="AR3067" s="430"/>
      <c r="AS3067" s="430"/>
      <c r="AT3067" s="430"/>
      <c r="AU3067" s="426"/>
      <c r="AV3067" s="434"/>
      <c r="AW3067" s="269" t="s">
        <v>1659</v>
      </c>
      <c r="AX3067" s="269" t="s">
        <v>2869</v>
      </c>
      <c r="AY3067" s="270" t="s">
        <v>695</v>
      </c>
      <c r="AZ3067" s="435"/>
      <c r="BA3067" s="173">
        <v>10.0</v>
      </c>
      <c r="BB3067" s="434"/>
      <c r="BC3067" s="434"/>
      <c r="BD3067" s="308" t="s">
        <v>1844</v>
      </c>
      <c r="BE3067" s="436"/>
      <c r="BF3067" s="274" t="str">
        <f>IFERROR(__xludf.DUMMYFUNCTION("LOWER(Regexreplace(to_text(E3067),""[^A-Za-z0-9]"","""")&amp;""_""&amp;Regexreplace(to_text(F3067),""[^A-Za-z0-9]"",""""))"),"aquagen_evcbseries")</f>
        <v>aquagen_evcbseries</v>
      </c>
      <c r="BG3067" s="275" t="str">
        <f>IFERROR(__xludf.DUMMYFUNCTION("upper(Regexreplace(to_text(E3067),""[^A-Za-z0-9]"","""")&amp;""-""&amp;Regexreplace(to_text(F3067),""[^A-Za-z0-9]"",""""))"),"AQUAGEN-EVCBSERIES")</f>
        <v>AQUAGEN-EVCBSERIES</v>
      </c>
    </row>
    <row r="3068" ht="30.0" customHeight="1">
      <c r="A3068" s="258">
        <v>2690.0</v>
      </c>
      <c r="B3068" s="328" t="s">
        <v>670</v>
      </c>
      <c r="C3068" s="257" t="s">
        <v>9489</v>
      </c>
      <c r="D3068" s="173" t="s">
        <v>9490</v>
      </c>
      <c r="E3068" s="174" t="s">
        <v>9097</v>
      </c>
      <c r="F3068" s="173" t="s">
        <v>2862</v>
      </c>
      <c r="G3068" s="328" t="s">
        <v>673</v>
      </c>
      <c r="H3068" s="328" t="s">
        <v>2863</v>
      </c>
      <c r="I3068" s="258" t="s">
        <v>9445</v>
      </c>
      <c r="J3068" s="259" t="s">
        <v>846</v>
      </c>
      <c r="K3068" s="260" t="s">
        <v>867</v>
      </c>
      <c r="L3068" s="366"/>
      <c r="M3068" s="329"/>
      <c r="N3068" s="173" t="s">
        <v>679</v>
      </c>
      <c r="O3068" s="173" t="s">
        <v>225</v>
      </c>
      <c r="P3068" s="262" t="str">
        <f t="shared" si="1"/>
        <v>IN-BLR-ANANTA-FAN-16_1</v>
      </c>
      <c r="Q3068" s="173" t="s">
        <v>9491</v>
      </c>
      <c r="R3068" s="328" t="str">
        <f>IFS(C3068="","",C3068="n/a","N/A",LEN(C3068),Concatenate("{",char(34),"asset",char(34),":{",char(34),"guid",char(34),":",char(34),Q3068,char(34),",",char(34),"site",char(34),":",char(34),LOWER('2-Building'!$B$4),char(34),",",char(34),"name",char(34),":",char(34),LOWER(C3068),char(34),"}}"))</f>
        <v>{"asset":{"guid":"uuid://74dcb6e3-5133-4c63-87ba-2a870ddaeb3d","site":"in-blr-ananta","name":"fan-16"}}</v>
      </c>
      <c r="S3068" s="369" t="s">
        <v>2866</v>
      </c>
      <c r="T3068" s="330"/>
      <c r="U3068" s="330"/>
      <c r="V3068" s="331"/>
      <c r="W3068" s="332"/>
      <c r="X3068" s="333"/>
      <c r="Y3068" s="33" t="s">
        <v>8076</v>
      </c>
      <c r="Z3068" s="368"/>
      <c r="AA3068" s="333"/>
      <c r="AB3068" s="258">
        <v>68.0</v>
      </c>
      <c r="AC3068" s="333"/>
      <c r="AD3068" s="329"/>
      <c r="AE3068" s="331"/>
      <c r="AF3068" s="336"/>
      <c r="AG3068" s="337" t="str">
        <f>IFS(LEN(AF3068)=17,LOWER('2-Building'!$B$4 &amp; "-" &amp; C3068), AF3068="N/A", "N/A", LEN(AF3068)=0,"")</f>
        <v/>
      </c>
      <c r="AH3068" s="333"/>
      <c r="AI3068" s="333"/>
      <c r="AJ3068" s="333"/>
      <c r="AK3068" s="333"/>
      <c r="AL3068" s="333"/>
      <c r="AM3068" s="338"/>
      <c r="AN3068" s="333"/>
      <c r="AO3068" s="333"/>
      <c r="AP3068" s="333"/>
      <c r="AQ3068" s="333"/>
      <c r="AR3068" s="333"/>
      <c r="AS3068" s="333"/>
      <c r="AT3068" s="333"/>
      <c r="AU3068" s="329"/>
      <c r="AV3068" s="341"/>
      <c r="AW3068" s="269" t="s">
        <v>1659</v>
      </c>
      <c r="AX3068" s="269" t="s">
        <v>2869</v>
      </c>
      <c r="AY3068" s="270" t="s">
        <v>695</v>
      </c>
      <c r="AZ3068" s="379"/>
      <c r="BA3068" s="173">
        <v>10.0</v>
      </c>
      <c r="BB3068" s="341"/>
      <c r="BC3068" s="341"/>
      <c r="BD3068" s="308" t="s">
        <v>1844</v>
      </c>
      <c r="BE3068" s="364"/>
      <c r="BF3068" s="274" t="str">
        <f>IFERROR(__xludf.DUMMYFUNCTION("LOWER(Regexreplace(to_text(E3068),""[^A-Za-z0-9]"","""")&amp;""_""&amp;Regexreplace(to_text(F3068),""[^A-Za-z0-9]"",""""))"),"aquagen_evcbseries")</f>
        <v>aquagen_evcbseries</v>
      </c>
      <c r="BG3068" s="275" t="str">
        <f>IFERROR(__xludf.DUMMYFUNCTION("upper(Regexreplace(to_text(E3068),""[^A-Za-z0-9]"","""")&amp;""-""&amp;Regexreplace(to_text(F3068),""[^A-Za-z0-9]"",""""))"),"AQUAGEN-EVCBSERIES")</f>
        <v>AQUAGEN-EVCBSERIES</v>
      </c>
    </row>
    <row r="3069" ht="30.0" customHeight="1">
      <c r="A3069" s="328">
        <v>2690.0</v>
      </c>
      <c r="B3069" s="425" t="s">
        <v>670</v>
      </c>
      <c r="C3069" s="257" t="s">
        <v>9492</v>
      </c>
      <c r="D3069" s="173" t="s">
        <v>9493</v>
      </c>
      <c r="E3069" s="174" t="s">
        <v>9097</v>
      </c>
      <c r="F3069" s="173" t="s">
        <v>2862</v>
      </c>
      <c r="G3069" s="425" t="s">
        <v>673</v>
      </c>
      <c r="H3069" s="425" t="s">
        <v>2863</v>
      </c>
      <c r="I3069" s="258" t="s">
        <v>9445</v>
      </c>
      <c r="J3069" s="259" t="s">
        <v>846</v>
      </c>
      <c r="K3069" s="260" t="s">
        <v>867</v>
      </c>
      <c r="L3069" s="442"/>
      <c r="M3069" s="426"/>
      <c r="N3069" s="173" t="s">
        <v>679</v>
      </c>
      <c r="O3069" s="173" t="s">
        <v>225</v>
      </c>
      <c r="P3069" s="262" t="str">
        <f t="shared" si="1"/>
        <v>IN-BLR-ANANTA-FAN-17_1</v>
      </c>
      <c r="Q3069" s="173" t="s">
        <v>9494</v>
      </c>
      <c r="R3069" s="433" t="str">
        <f>IFS(C3069="","",C3069="n/a","N/A",LEN(C3069),Concatenate("{",char(34),"asset",char(34),":{",char(34),"guid",char(34),":",char(34),Q3069,char(34),",",char(34),"site",char(34),":",char(34),LOWER('2-Building'!$B$4),char(34),",",char(34),"name",char(34),":",char(34),LOWER(C3069),char(34),"}}"))</f>
        <v>{"asset":{"guid":"uuid://16a9de75-880c-4449-ab99-c1218433ff79","site":"in-blr-ananta","name":"fan-17"}}</v>
      </c>
      <c r="S3069" s="369" t="s">
        <v>2866</v>
      </c>
      <c r="T3069" s="427"/>
      <c r="U3069" s="427"/>
      <c r="V3069" s="428"/>
      <c r="W3069" s="429"/>
      <c r="X3069" s="430"/>
      <c r="Y3069" s="33" t="s">
        <v>8076</v>
      </c>
      <c r="Z3069" s="430"/>
      <c r="AA3069" s="430"/>
      <c r="AB3069" s="258">
        <v>69.0</v>
      </c>
      <c r="AC3069" s="430"/>
      <c r="AD3069" s="426"/>
      <c r="AE3069" s="428"/>
      <c r="AF3069" s="431"/>
      <c r="AG3069" s="432" t="str">
        <f>IFS(LEN(AF3069)=17,LOWER('2-Building'!$B$4 &amp; "-" &amp; C3069), AF3069="N/A", "N/A", LEN(AF3069)=0,"")</f>
        <v/>
      </c>
      <c r="AH3069" s="430"/>
      <c r="AI3069" s="430"/>
      <c r="AJ3069" s="430"/>
      <c r="AK3069" s="430"/>
      <c r="AL3069" s="430"/>
      <c r="AM3069" s="433"/>
      <c r="AN3069" s="430"/>
      <c r="AO3069" s="430"/>
      <c r="AP3069" s="430"/>
      <c r="AQ3069" s="430"/>
      <c r="AR3069" s="430"/>
      <c r="AS3069" s="430"/>
      <c r="AT3069" s="430"/>
      <c r="AU3069" s="426"/>
      <c r="AV3069" s="434"/>
      <c r="AW3069" s="269" t="s">
        <v>1659</v>
      </c>
      <c r="AX3069" s="269" t="s">
        <v>2869</v>
      </c>
      <c r="AY3069" s="270" t="s">
        <v>695</v>
      </c>
      <c r="AZ3069" s="435"/>
      <c r="BA3069" s="173">
        <v>10.0</v>
      </c>
      <c r="BB3069" s="434"/>
      <c r="BC3069" s="434"/>
      <c r="BD3069" s="308" t="s">
        <v>1844</v>
      </c>
      <c r="BE3069" s="436"/>
      <c r="BF3069" s="274" t="str">
        <f>IFERROR(__xludf.DUMMYFUNCTION("LOWER(Regexreplace(to_text(E3069),""[^A-Za-z0-9]"","""")&amp;""_""&amp;Regexreplace(to_text(F3069),""[^A-Za-z0-9]"",""""))"),"aquagen_evcbseries")</f>
        <v>aquagen_evcbseries</v>
      </c>
      <c r="BG3069" s="275" t="str">
        <f>IFERROR(__xludf.DUMMYFUNCTION("upper(Regexreplace(to_text(E3069),""[^A-Za-z0-9]"","""")&amp;""-""&amp;Regexreplace(to_text(F3069),""[^A-Za-z0-9]"",""""))"),"AQUAGEN-EVCBSERIES")</f>
        <v>AQUAGEN-EVCBSERIES</v>
      </c>
    </row>
    <row r="3070" ht="30.0" customHeight="1">
      <c r="A3070" s="328">
        <v>2690.0</v>
      </c>
      <c r="B3070" s="425" t="s">
        <v>670</v>
      </c>
      <c r="C3070" s="257" t="s">
        <v>9495</v>
      </c>
      <c r="D3070" s="173" t="s">
        <v>9496</v>
      </c>
      <c r="E3070" s="174" t="s">
        <v>9097</v>
      </c>
      <c r="F3070" s="173" t="s">
        <v>2862</v>
      </c>
      <c r="G3070" s="425" t="s">
        <v>673</v>
      </c>
      <c r="H3070" s="425" t="s">
        <v>2863</v>
      </c>
      <c r="I3070" s="258" t="s">
        <v>9445</v>
      </c>
      <c r="J3070" s="259" t="s">
        <v>846</v>
      </c>
      <c r="K3070" s="260" t="s">
        <v>867</v>
      </c>
      <c r="L3070" s="442"/>
      <c r="M3070" s="426"/>
      <c r="N3070" s="173" t="s">
        <v>679</v>
      </c>
      <c r="O3070" s="173" t="s">
        <v>225</v>
      </c>
      <c r="P3070" s="262" t="str">
        <f t="shared" si="1"/>
        <v>IN-BLR-ANANTA-FAN-18_1</v>
      </c>
      <c r="Q3070" s="173" t="s">
        <v>9497</v>
      </c>
      <c r="R3070" s="425" t="str">
        <f>IFS(C3070="","",C3070="n/a","N/A",LEN(C3070),Concatenate("{",char(34),"asset",char(34),":{",char(34),"guid",char(34),":",char(34),Q3070,char(34),",",char(34),"site",char(34),":",char(34),LOWER('2-Building'!$B$4),char(34),",",char(34),"name",char(34),":",char(34),LOWER(C3070),char(34),"}}"))</f>
        <v>{"asset":{"guid":"uuid://801c7708-77e0-412b-93f7-aa0541d80107","site":"in-blr-ananta","name":"fan-18"}}</v>
      </c>
      <c r="S3070" s="369" t="s">
        <v>2866</v>
      </c>
      <c r="T3070" s="427"/>
      <c r="U3070" s="427"/>
      <c r="V3070" s="428"/>
      <c r="W3070" s="429"/>
      <c r="X3070" s="430"/>
      <c r="Y3070" s="33" t="s">
        <v>8076</v>
      </c>
      <c r="Z3070" s="430"/>
      <c r="AA3070" s="430"/>
      <c r="AB3070" s="258">
        <v>70.0</v>
      </c>
      <c r="AC3070" s="430"/>
      <c r="AD3070" s="426"/>
      <c r="AE3070" s="428"/>
      <c r="AF3070" s="431"/>
      <c r="AG3070" s="432" t="str">
        <f>IFS(LEN(AF3070)=17,LOWER('2-Building'!$B$4 &amp; "-" &amp; C3070), AF3070="N/A", "N/A", LEN(AF3070)=0,"")</f>
        <v/>
      </c>
      <c r="AH3070" s="430"/>
      <c r="AI3070" s="430"/>
      <c r="AJ3070" s="430"/>
      <c r="AK3070" s="430"/>
      <c r="AL3070" s="430"/>
      <c r="AM3070" s="433"/>
      <c r="AN3070" s="430"/>
      <c r="AO3070" s="430"/>
      <c r="AP3070" s="430"/>
      <c r="AQ3070" s="430"/>
      <c r="AR3070" s="430"/>
      <c r="AS3070" s="430"/>
      <c r="AT3070" s="430"/>
      <c r="AU3070" s="426"/>
      <c r="AV3070" s="434"/>
      <c r="AW3070" s="269" t="s">
        <v>1659</v>
      </c>
      <c r="AX3070" s="269" t="s">
        <v>2869</v>
      </c>
      <c r="AY3070" s="270" t="s">
        <v>695</v>
      </c>
      <c r="AZ3070" s="435"/>
      <c r="BA3070" s="173">
        <v>10.0</v>
      </c>
      <c r="BB3070" s="434"/>
      <c r="BC3070" s="434"/>
      <c r="BD3070" s="308" t="s">
        <v>1844</v>
      </c>
      <c r="BE3070" s="436"/>
      <c r="BF3070" s="274" t="str">
        <f>IFERROR(__xludf.DUMMYFUNCTION("LOWER(Regexreplace(to_text(E3070),""[^A-Za-z0-9]"","""")&amp;""_""&amp;Regexreplace(to_text(F3070),""[^A-Za-z0-9]"",""""))"),"aquagen_evcbseries")</f>
        <v>aquagen_evcbseries</v>
      </c>
      <c r="BG3070" s="275" t="str">
        <f>IFERROR(__xludf.DUMMYFUNCTION("upper(Regexreplace(to_text(E3070),""[^A-Za-z0-9]"","""")&amp;""-""&amp;Regexreplace(to_text(F3070),""[^A-Za-z0-9]"",""""))"),"AQUAGEN-EVCBSERIES")</f>
        <v>AQUAGEN-EVCBSERIES</v>
      </c>
    </row>
    <row r="3071" ht="30.0" customHeight="1">
      <c r="A3071" s="425">
        <v>2690.0</v>
      </c>
      <c r="B3071" s="425" t="s">
        <v>670</v>
      </c>
      <c r="C3071" s="257" t="s">
        <v>9498</v>
      </c>
      <c r="D3071" s="173" t="s">
        <v>9499</v>
      </c>
      <c r="E3071" s="174" t="s">
        <v>9097</v>
      </c>
      <c r="F3071" s="173" t="s">
        <v>2862</v>
      </c>
      <c r="G3071" s="425" t="s">
        <v>673</v>
      </c>
      <c r="H3071" s="425" t="s">
        <v>2863</v>
      </c>
      <c r="I3071" s="258" t="s">
        <v>9445</v>
      </c>
      <c r="J3071" s="259" t="s">
        <v>965</v>
      </c>
      <c r="K3071" s="260" t="s">
        <v>1680</v>
      </c>
      <c r="L3071" s="442"/>
      <c r="M3071" s="426"/>
      <c r="N3071" s="173" t="s">
        <v>679</v>
      </c>
      <c r="O3071" s="173" t="s">
        <v>225</v>
      </c>
      <c r="P3071" s="262" t="str">
        <f t="shared" si="1"/>
        <v>IN-BLR-ANANTA-FAN-19_3</v>
      </c>
      <c r="Q3071" s="173" t="s">
        <v>9500</v>
      </c>
      <c r="R3071" s="433" t="str">
        <f>IFS(C3071="","",C3071="n/a","N/A",LEN(C3071),Concatenate("{",char(34),"asset",char(34),":{",char(34),"guid",char(34),":",char(34),Q3071,char(34),",",char(34),"site",char(34),":",char(34),LOWER('2-Building'!$B$4),char(34),",",char(34),"name",char(34),":",char(34),LOWER(C3071),char(34),"}}"))</f>
        <v>{"asset":{"guid":"uuid://58b36669-6e09-44fe-b709-b909aa52e032","site":"in-blr-ananta","name":"fan-19"}}</v>
      </c>
      <c r="S3071" s="369" t="s">
        <v>2866</v>
      </c>
      <c r="T3071" s="427"/>
      <c r="U3071" s="427"/>
      <c r="V3071" s="428"/>
      <c r="W3071" s="429"/>
      <c r="X3071" s="430"/>
      <c r="Y3071" s="33" t="s">
        <v>8076</v>
      </c>
      <c r="Z3071" s="430"/>
      <c r="AA3071" s="430"/>
      <c r="AB3071" s="258">
        <v>208.0</v>
      </c>
      <c r="AC3071" s="430"/>
      <c r="AD3071" s="426"/>
      <c r="AE3071" s="428"/>
      <c r="AF3071" s="431"/>
      <c r="AG3071" s="432" t="str">
        <f>IFS(LEN(AF3071)=17,LOWER('2-Building'!$B$4 &amp; "-" &amp; C3071), AF3071="N/A", "N/A", LEN(AF3071)=0,"")</f>
        <v/>
      </c>
      <c r="AH3071" s="430"/>
      <c r="AI3071" s="430"/>
      <c r="AJ3071" s="430"/>
      <c r="AK3071" s="430"/>
      <c r="AL3071" s="430"/>
      <c r="AM3071" s="433"/>
      <c r="AN3071" s="430"/>
      <c r="AO3071" s="430"/>
      <c r="AP3071" s="430"/>
      <c r="AQ3071" s="430"/>
      <c r="AR3071" s="430"/>
      <c r="AS3071" s="430"/>
      <c r="AT3071" s="430"/>
      <c r="AU3071" s="426"/>
      <c r="AV3071" s="434"/>
      <c r="AW3071" s="269" t="s">
        <v>1659</v>
      </c>
      <c r="AX3071" s="269" t="s">
        <v>2869</v>
      </c>
      <c r="AY3071" s="270" t="s">
        <v>695</v>
      </c>
      <c r="AZ3071" s="435"/>
      <c r="BA3071" s="173">
        <v>10.0</v>
      </c>
      <c r="BB3071" s="434"/>
      <c r="BC3071" s="434"/>
      <c r="BD3071" s="308" t="s">
        <v>1844</v>
      </c>
      <c r="BE3071" s="436"/>
      <c r="BF3071" s="274" t="str">
        <f>IFERROR(__xludf.DUMMYFUNCTION("LOWER(Regexreplace(to_text(E3071),""[^A-Za-z0-9]"","""")&amp;""_""&amp;Regexreplace(to_text(F3071),""[^A-Za-z0-9]"",""""))"),"aquagen_evcbseries")</f>
        <v>aquagen_evcbseries</v>
      </c>
      <c r="BG3071" s="275" t="str">
        <f>IFERROR(__xludf.DUMMYFUNCTION("upper(Regexreplace(to_text(E3071),""[^A-Za-z0-9]"","""")&amp;""-""&amp;Regexreplace(to_text(F3071),""[^A-Za-z0-9]"",""""))"),"AQUAGEN-EVCBSERIES")</f>
        <v>AQUAGEN-EVCBSERIES</v>
      </c>
    </row>
    <row r="3072" ht="30.0" customHeight="1">
      <c r="A3072" s="328">
        <v>2690.0</v>
      </c>
      <c r="B3072" s="425" t="s">
        <v>670</v>
      </c>
      <c r="C3072" s="257" t="s">
        <v>9501</v>
      </c>
      <c r="D3072" s="173" t="s">
        <v>9502</v>
      </c>
      <c r="E3072" s="174" t="s">
        <v>9097</v>
      </c>
      <c r="F3072" s="173" t="s">
        <v>2862</v>
      </c>
      <c r="G3072" s="425" t="s">
        <v>673</v>
      </c>
      <c r="H3072" s="425" t="s">
        <v>2863</v>
      </c>
      <c r="I3072" s="258" t="s">
        <v>9445</v>
      </c>
      <c r="J3072" s="259" t="s">
        <v>965</v>
      </c>
      <c r="K3072" s="260" t="s">
        <v>1680</v>
      </c>
      <c r="L3072" s="442"/>
      <c r="M3072" s="426"/>
      <c r="N3072" s="173" t="s">
        <v>679</v>
      </c>
      <c r="O3072" s="173" t="s">
        <v>225</v>
      </c>
      <c r="P3072" s="262" t="str">
        <f t="shared" si="1"/>
        <v>IN-BLR-ANANTA-FAN-20_3</v>
      </c>
      <c r="Q3072" s="173" t="s">
        <v>9503</v>
      </c>
      <c r="R3072" s="425" t="str">
        <f>IFS(C3072="","",C3072="n/a","N/A",LEN(C3072),Concatenate("{",char(34),"asset",char(34),":{",char(34),"guid",char(34),":",char(34),Q3072,char(34),",",char(34),"site",char(34),":",char(34),LOWER('2-Building'!$B$4),char(34),",",char(34),"name",char(34),":",char(34),LOWER(C3072),char(34),"}}"))</f>
        <v>{"asset":{"guid":"uuid://c0e56d6d-6375-42fe-96a6-79eaaf00c1e2","site":"in-blr-ananta","name":"fan-20"}}</v>
      </c>
      <c r="S3072" s="369" t="s">
        <v>2866</v>
      </c>
      <c r="T3072" s="427"/>
      <c r="U3072" s="427"/>
      <c r="V3072" s="428"/>
      <c r="W3072" s="429"/>
      <c r="X3072" s="430"/>
      <c r="Y3072" s="33" t="s">
        <v>8076</v>
      </c>
      <c r="Z3072" s="430"/>
      <c r="AA3072" s="430"/>
      <c r="AB3072" s="258">
        <v>209.0</v>
      </c>
      <c r="AC3072" s="430"/>
      <c r="AD3072" s="426"/>
      <c r="AE3072" s="428"/>
      <c r="AF3072" s="431"/>
      <c r="AG3072" s="432" t="str">
        <f>IFS(LEN(AF3072)=17,LOWER('2-Building'!$B$4 &amp; "-" &amp; C3072), AF3072="N/A", "N/A", LEN(AF3072)=0,"")</f>
        <v/>
      </c>
      <c r="AH3072" s="430"/>
      <c r="AI3072" s="430"/>
      <c r="AJ3072" s="430"/>
      <c r="AK3072" s="430"/>
      <c r="AL3072" s="430"/>
      <c r="AM3072" s="433"/>
      <c r="AN3072" s="430"/>
      <c r="AO3072" s="430"/>
      <c r="AP3072" s="430"/>
      <c r="AQ3072" s="430"/>
      <c r="AR3072" s="430"/>
      <c r="AS3072" s="430"/>
      <c r="AT3072" s="430"/>
      <c r="AU3072" s="426"/>
      <c r="AV3072" s="434"/>
      <c r="AW3072" s="269" t="s">
        <v>1659</v>
      </c>
      <c r="AX3072" s="269" t="s">
        <v>2869</v>
      </c>
      <c r="AY3072" s="270" t="s">
        <v>695</v>
      </c>
      <c r="AZ3072" s="435"/>
      <c r="BA3072" s="173">
        <v>10.0</v>
      </c>
      <c r="BB3072" s="434"/>
      <c r="BC3072" s="434"/>
      <c r="BD3072" s="308" t="s">
        <v>1844</v>
      </c>
      <c r="BE3072" s="436"/>
      <c r="BF3072" s="274" t="str">
        <f>IFERROR(__xludf.DUMMYFUNCTION("LOWER(Regexreplace(to_text(E3072),""[^A-Za-z0-9]"","""")&amp;""_""&amp;Regexreplace(to_text(F3072),""[^A-Za-z0-9]"",""""))"),"aquagen_evcbseries")</f>
        <v>aquagen_evcbseries</v>
      </c>
      <c r="BG3072" s="275" t="str">
        <f>IFERROR(__xludf.DUMMYFUNCTION("upper(Regexreplace(to_text(E3072),""[^A-Za-z0-9]"","""")&amp;""-""&amp;Regexreplace(to_text(F3072),""[^A-Za-z0-9]"",""""))"),"AQUAGEN-EVCBSERIES")</f>
        <v>AQUAGEN-EVCBSERIES</v>
      </c>
    </row>
    <row r="3073" ht="30.0" customHeight="1">
      <c r="A3073" s="173">
        <v>2689.0</v>
      </c>
      <c r="B3073" s="328" t="s">
        <v>670</v>
      </c>
      <c r="C3073" s="257" t="s">
        <v>9504</v>
      </c>
      <c r="D3073" s="173" t="s">
        <v>9505</v>
      </c>
      <c r="E3073" s="174" t="s">
        <v>9097</v>
      </c>
      <c r="F3073" s="173" t="s">
        <v>2862</v>
      </c>
      <c r="G3073" s="328" t="s">
        <v>673</v>
      </c>
      <c r="H3073" s="328" t="s">
        <v>2863</v>
      </c>
      <c r="I3073" s="258" t="s">
        <v>9445</v>
      </c>
      <c r="J3073" s="259" t="s">
        <v>965</v>
      </c>
      <c r="K3073" s="260" t="s">
        <v>1680</v>
      </c>
      <c r="L3073" s="366"/>
      <c r="M3073" s="329"/>
      <c r="N3073" s="173" t="s">
        <v>679</v>
      </c>
      <c r="O3073" s="173" t="s">
        <v>225</v>
      </c>
      <c r="P3073" s="262" t="str">
        <f t="shared" si="1"/>
        <v>IN-BLR-ANANTA-FAN-21_3</v>
      </c>
      <c r="Q3073" s="173" t="s">
        <v>9506</v>
      </c>
      <c r="R3073" s="328" t="str">
        <f>IFS(C3073="","",C3073="n/a","N/A",LEN(C3073),Concatenate("{",char(34),"asset",char(34),":{",char(34),"guid",char(34),":",char(34),Q3073,char(34),",",char(34),"site",char(34),":",char(34),LOWER('2-Building'!$B$4),char(34),",",char(34),"name",char(34),":",char(34),LOWER(C3073),char(34),"}}"))</f>
        <v>{"asset":{"guid":"uuid://e8db88cb-e3c3-445a-9368-0e046c1ba3a4","site":"in-blr-ananta","name":"fan-21"}}</v>
      </c>
      <c r="S3073" s="369" t="s">
        <v>2866</v>
      </c>
      <c r="T3073" s="330"/>
      <c r="U3073" s="330"/>
      <c r="V3073" s="331"/>
      <c r="W3073" s="332"/>
      <c r="X3073" s="333"/>
      <c r="Y3073" s="33" t="s">
        <v>8076</v>
      </c>
      <c r="Z3073" s="368"/>
      <c r="AA3073" s="333"/>
      <c r="AB3073" s="258">
        <v>210.0</v>
      </c>
      <c r="AC3073" s="333"/>
      <c r="AD3073" s="329"/>
      <c r="AE3073" s="331"/>
      <c r="AF3073" s="336"/>
      <c r="AG3073" s="337" t="str">
        <f>IFS(LEN(AF3073)=17,LOWER('2-Building'!$B$4 &amp; "-" &amp; C3073), AF3073="N/A", "N/A", LEN(AF3073)=0,"")</f>
        <v/>
      </c>
      <c r="AH3073" s="333"/>
      <c r="AI3073" s="333"/>
      <c r="AJ3073" s="333"/>
      <c r="AK3073" s="333"/>
      <c r="AL3073" s="333"/>
      <c r="AM3073" s="338"/>
      <c r="AN3073" s="333"/>
      <c r="AO3073" s="333"/>
      <c r="AP3073" s="333"/>
      <c r="AQ3073" s="333"/>
      <c r="AR3073" s="333"/>
      <c r="AS3073" s="333"/>
      <c r="AT3073" s="333"/>
      <c r="AU3073" s="329"/>
      <c r="AV3073" s="341"/>
      <c r="AW3073" s="269" t="s">
        <v>1659</v>
      </c>
      <c r="AX3073" s="269" t="s">
        <v>2869</v>
      </c>
      <c r="AY3073" s="270" t="s">
        <v>695</v>
      </c>
      <c r="AZ3073" s="379"/>
      <c r="BA3073" s="173">
        <v>10.0</v>
      </c>
      <c r="BB3073" s="341"/>
      <c r="BC3073" s="341"/>
      <c r="BD3073" s="308" t="s">
        <v>1844</v>
      </c>
      <c r="BE3073" s="364"/>
      <c r="BF3073" s="274" t="str">
        <f>IFERROR(__xludf.DUMMYFUNCTION("LOWER(Regexreplace(to_text(E3073),""[^A-Za-z0-9]"","""")&amp;""_""&amp;Regexreplace(to_text(F3073),""[^A-Za-z0-9]"",""""))"),"aquagen_evcbseries")</f>
        <v>aquagen_evcbseries</v>
      </c>
      <c r="BG3073" s="275" t="str">
        <f>IFERROR(__xludf.DUMMYFUNCTION("upper(Regexreplace(to_text(E3073),""[^A-Za-z0-9]"","""")&amp;""-""&amp;Regexreplace(to_text(F3073),""[^A-Za-z0-9]"",""""))"),"AQUAGEN-EVCBSERIES")</f>
        <v>AQUAGEN-EVCBSERIES</v>
      </c>
    </row>
    <row r="3074" ht="30.0" customHeight="1">
      <c r="A3074" s="173">
        <v>2691.0</v>
      </c>
      <c r="B3074" s="328" t="s">
        <v>670</v>
      </c>
      <c r="C3074" s="257" t="s">
        <v>9507</v>
      </c>
      <c r="D3074" s="173" t="s">
        <v>9508</v>
      </c>
      <c r="E3074" s="174" t="s">
        <v>9097</v>
      </c>
      <c r="F3074" s="173" t="s">
        <v>2862</v>
      </c>
      <c r="G3074" s="328" t="s">
        <v>673</v>
      </c>
      <c r="H3074" s="328" t="s">
        <v>2863</v>
      </c>
      <c r="I3074" s="258" t="s">
        <v>9445</v>
      </c>
      <c r="J3074" s="259" t="s">
        <v>846</v>
      </c>
      <c r="K3074" s="260">
        <v>163.0</v>
      </c>
      <c r="L3074" s="366"/>
      <c r="M3074" s="329"/>
      <c r="N3074" s="173" t="s">
        <v>679</v>
      </c>
      <c r="O3074" s="173" t="s">
        <v>225</v>
      </c>
      <c r="P3074" s="262" t="str">
        <f t="shared" si="1"/>
        <v>IN-BLR-ANANTA-FAN-22_1</v>
      </c>
      <c r="Q3074" s="173" t="s">
        <v>9509</v>
      </c>
      <c r="R3074" s="328" t="str">
        <f>IFS(C3074="","",C3074="n/a","N/A",LEN(C3074),Concatenate("{",char(34),"asset",char(34),":{",char(34),"guid",char(34),":",char(34),Q3074,char(34),",",char(34),"site",char(34),":",char(34),LOWER('2-Building'!$B$4),char(34),",",char(34),"name",char(34),":",char(34),LOWER(C3074),char(34),"}}"))</f>
        <v>{"asset":{"guid":"uuid://c37f80ef-697a-46df-be2e-43ceda259563","site":"in-blr-ananta","name":"fan-22"}}</v>
      </c>
      <c r="S3074" s="369" t="s">
        <v>2866</v>
      </c>
      <c r="T3074" s="330"/>
      <c r="U3074" s="330"/>
      <c r="V3074" s="331"/>
      <c r="W3074" s="332"/>
      <c r="X3074" s="333"/>
      <c r="Y3074" s="33" t="s">
        <v>8076</v>
      </c>
      <c r="Z3074" s="368"/>
      <c r="AA3074" s="333"/>
      <c r="AB3074" s="258">
        <v>71.0</v>
      </c>
      <c r="AC3074" s="333"/>
      <c r="AD3074" s="329"/>
      <c r="AE3074" s="331"/>
      <c r="AF3074" s="336"/>
      <c r="AG3074" s="337" t="str">
        <f>IFS(LEN(AF3074)=17,LOWER('2-Building'!$B$4 &amp; "-" &amp; C3074), AF3074="N/A", "N/A", LEN(AF3074)=0,"")</f>
        <v/>
      </c>
      <c r="AH3074" s="333"/>
      <c r="AI3074" s="333"/>
      <c r="AJ3074" s="333"/>
      <c r="AK3074" s="333"/>
      <c r="AL3074" s="333"/>
      <c r="AM3074" s="338"/>
      <c r="AN3074" s="333"/>
      <c r="AO3074" s="333"/>
      <c r="AP3074" s="333"/>
      <c r="AQ3074" s="333"/>
      <c r="AR3074" s="333"/>
      <c r="AS3074" s="333"/>
      <c r="AT3074" s="333"/>
      <c r="AU3074" s="329"/>
      <c r="AV3074" s="341"/>
      <c r="AW3074" s="269" t="s">
        <v>1659</v>
      </c>
      <c r="AX3074" s="269" t="s">
        <v>2869</v>
      </c>
      <c r="AY3074" s="270" t="s">
        <v>695</v>
      </c>
      <c r="AZ3074" s="379"/>
      <c r="BA3074" s="173">
        <v>10.0</v>
      </c>
      <c r="BB3074" s="341"/>
      <c r="BC3074" s="341"/>
      <c r="BD3074" s="308" t="s">
        <v>1844</v>
      </c>
      <c r="BE3074" s="364"/>
      <c r="BF3074" s="274" t="str">
        <f>IFERROR(__xludf.DUMMYFUNCTION("LOWER(Regexreplace(to_text(E3074),""[^A-Za-z0-9]"","""")&amp;""_""&amp;Regexreplace(to_text(F3074),""[^A-Za-z0-9]"",""""))"),"aquagen_evcbseries")</f>
        <v>aquagen_evcbseries</v>
      </c>
      <c r="BG3074" s="275" t="str">
        <f>IFERROR(__xludf.DUMMYFUNCTION("upper(Regexreplace(to_text(E3074),""[^A-Za-z0-9]"","""")&amp;""-""&amp;Regexreplace(to_text(F3074),""[^A-Za-z0-9]"",""""))"),"AQUAGEN-EVCBSERIES")</f>
        <v>AQUAGEN-EVCBSERIES</v>
      </c>
    </row>
    <row r="3075" ht="30.0" customHeight="1">
      <c r="A3075" s="258">
        <v>2690.0</v>
      </c>
      <c r="B3075" s="328" t="s">
        <v>670</v>
      </c>
      <c r="C3075" s="257" t="s">
        <v>9510</v>
      </c>
      <c r="D3075" s="173" t="s">
        <v>9511</v>
      </c>
      <c r="E3075" s="174" t="s">
        <v>9097</v>
      </c>
      <c r="F3075" s="173" t="s">
        <v>2862</v>
      </c>
      <c r="G3075" s="328" t="s">
        <v>673</v>
      </c>
      <c r="H3075" s="328" t="s">
        <v>2863</v>
      </c>
      <c r="I3075" s="258" t="s">
        <v>9445</v>
      </c>
      <c r="J3075" s="259" t="s">
        <v>846</v>
      </c>
      <c r="K3075" s="260">
        <v>163.0</v>
      </c>
      <c r="L3075" s="366"/>
      <c r="M3075" s="329"/>
      <c r="N3075" s="173" t="s">
        <v>679</v>
      </c>
      <c r="O3075" s="173" t="s">
        <v>225</v>
      </c>
      <c r="P3075" s="262" t="str">
        <f t="shared" si="1"/>
        <v>IN-BLR-ANANTA-FAN-23_1</v>
      </c>
      <c r="Q3075" s="173" t="s">
        <v>9512</v>
      </c>
      <c r="R3075" s="328" t="str">
        <f>IFS(C3075="","",C3075="n/a","N/A",LEN(C3075),Concatenate("{",char(34),"asset",char(34),":{",char(34),"guid",char(34),":",char(34),Q3075,char(34),",",char(34),"site",char(34),":",char(34),LOWER('2-Building'!$B$4),char(34),",",char(34),"name",char(34),":",char(34),LOWER(C3075),char(34),"}}"))</f>
        <v>{"asset":{"guid":"uuid://9866e3b9-0ee5-4fb1-8874-3bcce9f87f59","site":"in-blr-ananta","name":"fan-23"}}</v>
      </c>
      <c r="S3075" s="369" t="s">
        <v>2866</v>
      </c>
      <c r="T3075" s="330"/>
      <c r="U3075" s="330"/>
      <c r="V3075" s="331"/>
      <c r="W3075" s="332"/>
      <c r="X3075" s="333"/>
      <c r="Y3075" s="33" t="s">
        <v>8076</v>
      </c>
      <c r="Z3075" s="368"/>
      <c r="AA3075" s="333"/>
      <c r="AB3075" s="258">
        <v>72.0</v>
      </c>
      <c r="AC3075" s="333"/>
      <c r="AD3075" s="329"/>
      <c r="AE3075" s="331"/>
      <c r="AF3075" s="336"/>
      <c r="AG3075" s="337" t="str">
        <f>IFS(LEN(AF3075)=17,LOWER('2-Building'!$B$4 &amp; "-" &amp; C3075), AF3075="N/A", "N/A", LEN(AF3075)=0,"")</f>
        <v/>
      </c>
      <c r="AH3075" s="333"/>
      <c r="AI3075" s="333"/>
      <c r="AJ3075" s="333"/>
      <c r="AK3075" s="333"/>
      <c r="AL3075" s="333"/>
      <c r="AM3075" s="338"/>
      <c r="AN3075" s="333"/>
      <c r="AO3075" s="333"/>
      <c r="AP3075" s="333"/>
      <c r="AQ3075" s="333"/>
      <c r="AR3075" s="333"/>
      <c r="AS3075" s="333"/>
      <c r="AT3075" s="333"/>
      <c r="AU3075" s="329"/>
      <c r="AV3075" s="341"/>
      <c r="AW3075" s="269" t="s">
        <v>1659</v>
      </c>
      <c r="AX3075" s="269" t="s">
        <v>2869</v>
      </c>
      <c r="AY3075" s="270" t="s">
        <v>695</v>
      </c>
      <c r="AZ3075" s="379"/>
      <c r="BA3075" s="173">
        <v>10.0</v>
      </c>
      <c r="BB3075" s="341"/>
      <c r="BC3075" s="341"/>
      <c r="BD3075" s="308" t="s">
        <v>1844</v>
      </c>
      <c r="BE3075" s="364"/>
      <c r="BF3075" s="274" t="str">
        <f>IFERROR(__xludf.DUMMYFUNCTION("LOWER(Regexreplace(to_text(E3075),""[^A-Za-z0-9]"","""")&amp;""_""&amp;Regexreplace(to_text(F3075),""[^A-Za-z0-9]"",""""))"),"aquagen_evcbseries")</f>
        <v>aquagen_evcbseries</v>
      </c>
      <c r="BG3075" s="275" t="str">
        <f>IFERROR(__xludf.DUMMYFUNCTION("upper(Regexreplace(to_text(E3075),""[^A-Za-z0-9]"","""")&amp;""-""&amp;Regexreplace(to_text(F3075),""[^A-Za-z0-9]"",""""))"),"AQUAGEN-EVCBSERIES")</f>
        <v>AQUAGEN-EVCBSERIES</v>
      </c>
    </row>
    <row r="3076" ht="30.0" customHeight="1">
      <c r="A3076" s="328">
        <v>2690.0</v>
      </c>
      <c r="B3076" s="425" t="s">
        <v>670</v>
      </c>
      <c r="C3076" s="257" t="s">
        <v>9513</v>
      </c>
      <c r="D3076" s="173" t="s">
        <v>9514</v>
      </c>
      <c r="E3076" s="174" t="s">
        <v>9097</v>
      </c>
      <c r="F3076" s="173" t="s">
        <v>2862</v>
      </c>
      <c r="G3076" s="425" t="s">
        <v>673</v>
      </c>
      <c r="H3076" s="425" t="s">
        <v>2863</v>
      </c>
      <c r="I3076" s="258" t="s">
        <v>9445</v>
      </c>
      <c r="J3076" s="259" t="s">
        <v>846</v>
      </c>
      <c r="K3076" s="260">
        <v>163.0</v>
      </c>
      <c r="L3076" s="442"/>
      <c r="M3076" s="426"/>
      <c r="N3076" s="173" t="s">
        <v>679</v>
      </c>
      <c r="O3076" s="173" t="s">
        <v>225</v>
      </c>
      <c r="P3076" s="262" t="str">
        <f t="shared" si="1"/>
        <v>IN-BLR-ANANTA-FAN-24_1</v>
      </c>
      <c r="Q3076" s="173" t="s">
        <v>9515</v>
      </c>
      <c r="R3076" s="433" t="str">
        <f>IFS(C3076="","",C3076="n/a","N/A",LEN(C3076),Concatenate("{",char(34),"asset",char(34),":{",char(34),"guid",char(34),":",char(34),Q3076,char(34),",",char(34),"site",char(34),":",char(34),LOWER('2-Building'!$B$4),char(34),",",char(34),"name",char(34),":",char(34),LOWER(C3076),char(34),"}}"))</f>
        <v>{"asset":{"guid":"uuid://c5c15005-b10f-4f10-8500-5f5db50eae66","site":"in-blr-ananta","name":"fan-24"}}</v>
      </c>
      <c r="S3076" s="369" t="s">
        <v>2866</v>
      </c>
      <c r="T3076" s="427"/>
      <c r="U3076" s="427"/>
      <c r="V3076" s="428"/>
      <c r="W3076" s="429"/>
      <c r="X3076" s="430"/>
      <c r="Y3076" s="33" t="s">
        <v>8076</v>
      </c>
      <c r="Z3076" s="430"/>
      <c r="AA3076" s="430"/>
      <c r="AB3076" s="258">
        <v>73.0</v>
      </c>
      <c r="AC3076" s="430"/>
      <c r="AD3076" s="426"/>
      <c r="AE3076" s="428"/>
      <c r="AF3076" s="431"/>
      <c r="AG3076" s="432" t="str">
        <f>IFS(LEN(AF3076)=17,LOWER('2-Building'!$B$4 &amp; "-" &amp; C3076), AF3076="N/A", "N/A", LEN(AF3076)=0,"")</f>
        <v/>
      </c>
      <c r="AH3076" s="430"/>
      <c r="AI3076" s="430"/>
      <c r="AJ3076" s="430"/>
      <c r="AK3076" s="430"/>
      <c r="AL3076" s="430"/>
      <c r="AM3076" s="433"/>
      <c r="AN3076" s="430"/>
      <c r="AO3076" s="430"/>
      <c r="AP3076" s="430"/>
      <c r="AQ3076" s="430"/>
      <c r="AR3076" s="430"/>
      <c r="AS3076" s="430"/>
      <c r="AT3076" s="430"/>
      <c r="AU3076" s="426"/>
      <c r="AV3076" s="434"/>
      <c r="AW3076" s="269" t="s">
        <v>1659</v>
      </c>
      <c r="AX3076" s="269" t="s">
        <v>2869</v>
      </c>
      <c r="AY3076" s="270" t="s">
        <v>695</v>
      </c>
      <c r="AZ3076" s="435"/>
      <c r="BA3076" s="173">
        <v>10.0</v>
      </c>
      <c r="BB3076" s="434"/>
      <c r="BC3076" s="434"/>
      <c r="BD3076" s="308" t="s">
        <v>1844</v>
      </c>
      <c r="BE3076" s="436"/>
      <c r="BF3076" s="274" t="str">
        <f>IFERROR(__xludf.DUMMYFUNCTION("LOWER(Regexreplace(to_text(E3076),""[^A-Za-z0-9]"","""")&amp;""_""&amp;Regexreplace(to_text(F3076),""[^A-Za-z0-9]"",""""))"),"aquagen_evcbseries")</f>
        <v>aquagen_evcbseries</v>
      </c>
      <c r="BG3076" s="275" t="str">
        <f>IFERROR(__xludf.DUMMYFUNCTION("upper(Regexreplace(to_text(E3076),""[^A-Za-z0-9]"","""")&amp;""-""&amp;Regexreplace(to_text(F3076),""[^A-Za-z0-9]"",""""))"),"AQUAGEN-EVCBSERIES")</f>
        <v>AQUAGEN-EVCBSERIES</v>
      </c>
    </row>
    <row r="3077" ht="30.0" customHeight="1">
      <c r="A3077" s="258">
        <v>2690.0</v>
      </c>
      <c r="B3077" s="328" t="s">
        <v>670</v>
      </c>
      <c r="C3077" s="257" t="s">
        <v>9516</v>
      </c>
      <c r="D3077" s="173" t="s">
        <v>9517</v>
      </c>
      <c r="E3077" s="174" t="s">
        <v>9097</v>
      </c>
      <c r="F3077" s="173" t="s">
        <v>2862</v>
      </c>
      <c r="G3077" s="328" t="s">
        <v>673</v>
      </c>
      <c r="H3077" s="328" t="s">
        <v>2863</v>
      </c>
      <c r="I3077" s="258" t="s">
        <v>9445</v>
      </c>
      <c r="J3077" s="259" t="s">
        <v>846</v>
      </c>
      <c r="K3077" s="260">
        <v>163.0</v>
      </c>
      <c r="L3077" s="366"/>
      <c r="M3077" s="329"/>
      <c r="N3077" s="173" t="s">
        <v>679</v>
      </c>
      <c r="O3077" s="173" t="s">
        <v>225</v>
      </c>
      <c r="P3077" s="262" t="str">
        <f t="shared" si="1"/>
        <v>IN-BLR-ANANTA-FAN-25_1</v>
      </c>
      <c r="Q3077" s="173" t="s">
        <v>9518</v>
      </c>
      <c r="R3077" s="328" t="str">
        <f>IFS(C3077="","",C3077="n/a","N/A",LEN(C3077),Concatenate("{",char(34),"asset",char(34),":{",char(34),"guid",char(34),":",char(34),Q3077,char(34),",",char(34),"site",char(34),":",char(34),LOWER('2-Building'!$B$4),char(34),",",char(34),"name",char(34),":",char(34),LOWER(C3077),char(34),"}}"))</f>
        <v>{"asset":{"guid":"uuid://8bc253f7-fe31-477b-a391-c1ae3fbc6f30","site":"in-blr-ananta","name":"fan-25"}}</v>
      </c>
      <c r="S3077" s="369" t="s">
        <v>2866</v>
      </c>
      <c r="T3077" s="330"/>
      <c r="U3077" s="330"/>
      <c r="V3077" s="331"/>
      <c r="W3077" s="332"/>
      <c r="X3077" s="333"/>
      <c r="Y3077" s="33" t="s">
        <v>8076</v>
      </c>
      <c r="Z3077" s="368"/>
      <c r="AA3077" s="333"/>
      <c r="AB3077" s="258">
        <v>74.0</v>
      </c>
      <c r="AC3077" s="333"/>
      <c r="AD3077" s="329"/>
      <c r="AE3077" s="331"/>
      <c r="AF3077" s="336"/>
      <c r="AG3077" s="337" t="str">
        <f>IFS(LEN(AF3077)=17,LOWER('2-Building'!$B$4 &amp; "-" &amp; C3077), AF3077="N/A", "N/A", LEN(AF3077)=0,"")</f>
        <v/>
      </c>
      <c r="AH3077" s="333"/>
      <c r="AI3077" s="333"/>
      <c r="AJ3077" s="333"/>
      <c r="AK3077" s="333"/>
      <c r="AL3077" s="333"/>
      <c r="AM3077" s="338"/>
      <c r="AN3077" s="333"/>
      <c r="AO3077" s="333"/>
      <c r="AP3077" s="333"/>
      <c r="AQ3077" s="333"/>
      <c r="AR3077" s="333"/>
      <c r="AS3077" s="333"/>
      <c r="AT3077" s="333"/>
      <c r="AU3077" s="329"/>
      <c r="AV3077" s="341"/>
      <c r="AW3077" s="269" t="s">
        <v>1659</v>
      </c>
      <c r="AX3077" s="269" t="s">
        <v>2869</v>
      </c>
      <c r="AY3077" s="270" t="s">
        <v>695</v>
      </c>
      <c r="AZ3077" s="379"/>
      <c r="BA3077" s="173">
        <v>10.0</v>
      </c>
      <c r="BB3077" s="341"/>
      <c r="BC3077" s="341"/>
      <c r="BD3077" s="308" t="s">
        <v>1844</v>
      </c>
      <c r="BE3077" s="364"/>
      <c r="BF3077" s="274" t="str">
        <f>IFERROR(__xludf.DUMMYFUNCTION("LOWER(Regexreplace(to_text(E3077),""[^A-Za-z0-9]"","""")&amp;""_""&amp;Regexreplace(to_text(F3077),""[^A-Za-z0-9]"",""""))"),"aquagen_evcbseries")</f>
        <v>aquagen_evcbseries</v>
      </c>
      <c r="BG3077" s="275" t="str">
        <f>IFERROR(__xludf.DUMMYFUNCTION("upper(Regexreplace(to_text(E3077),""[^A-Za-z0-9]"","""")&amp;""-""&amp;Regexreplace(to_text(F3077),""[^A-Za-z0-9]"",""""))"),"AQUAGEN-EVCBSERIES")</f>
        <v>AQUAGEN-EVCBSERIES</v>
      </c>
    </row>
    <row r="3078" ht="30.0" customHeight="1">
      <c r="A3078" s="328">
        <v>2690.0</v>
      </c>
      <c r="B3078" s="425" t="s">
        <v>670</v>
      </c>
      <c r="C3078" s="257" t="s">
        <v>9519</v>
      </c>
      <c r="D3078" s="173" t="s">
        <v>9520</v>
      </c>
      <c r="E3078" s="174" t="s">
        <v>9097</v>
      </c>
      <c r="F3078" s="173" t="s">
        <v>2862</v>
      </c>
      <c r="G3078" s="425" t="s">
        <v>673</v>
      </c>
      <c r="H3078" s="425" t="s">
        <v>2863</v>
      </c>
      <c r="I3078" s="258" t="s">
        <v>9445</v>
      </c>
      <c r="J3078" s="259" t="s">
        <v>846</v>
      </c>
      <c r="K3078" s="260">
        <v>163.0</v>
      </c>
      <c r="L3078" s="442"/>
      <c r="M3078" s="426"/>
      <c r="N3078" s="173" t="s">
        <v>679</v>
      </c>
      <c r="O3078" s="173" t="s">
        <v>225</v>
      </c>
      <c r="P3078" s="262" t="str">
        <f t="shared" si="1"/>
        <v>IN-BLR-ANANTA-FAN-26_1</v>
      </c>
      <c r="Q3078" s="173" t="s">
        <v>9521</v>
      </c>
      <c r="R3078" s="433" t="str">
        <f>IFS(C3078="","",C3078="n/a","N/A",LEN(C3078),Concatenate("{",char(34),"asset",char(34),":{",char(34),"guid",char(34),":",char(34),Q3078,char(34),",",char(34),"site",char(34),":",char(34),LOWER('2-Building'!$B$4),char(34),",",char(34),"name",char(34),":",char(34),LOWER(C3078),char(34),"}}"))</f>
        <v>{"asset":{"guid":"uuid://1cf30d8e-353e-4a80-a3e4-3a12c6a75141","site":"in-blr-ananta","name":"fan-26"}}</v>
      </c>
      <c r="S3078" s="369" t="s">
        <v>2866</v>
      </c>
      <c r="T3078" s="427"/>
      <c r="U3078" s="427"/>
      <c r="V3078" s="428"/>
      <c r="W3078" s="429"/>
      <c r="X3078" s="430"/>
      <c r="Y3078" s="33" t="s">
        <v>8076</v>
      </c>
      <c r="Z3078" s="430"/>
      <c r="AA3078" s="430"/>
      <c r="AB3078" s="258">
        <v>75.0</v>
      </c>
      <c r="AC3078" s="430"/>
      <c r="AD3078" s="426"/>
      <c r="AE3078" s="428"/>
      <c r="AF3078" s="431"/>
      <c r="AG3078" s="432" t="str">
        <f>IFS(LEN(AF3078)=17,LOWER('2-Building'!$B$4 &amp; "-" &amp; C3078), AF3078="N/A", "N/A", LEN(AF3078)=0,"")</f>
        <v/>
      </c>
      <c r="AH3078" s="430"/>
      <c r="AI3078" s="430"/>
      <c r="AJ3078" s="430"/>
      <c r="AK3078" s="430"/>
      <c r="AL3078" s="430"/>
      <c r="AM3078" s="433"/>
      <c r="AN3078" s="430"/>
      <c r="AO3078" s="430"/>
      <c r="AP3078" s="430"/>
      <c r="AQ3078" s="430"/>
      <c r="AR3078" s="430"/>
      <c r="AS3078" s="430"/>
      <c r="AT3078" s="430"/>
      <c r="AU3078" s="426"/>
      <c r="AV3078" s="434"/>
      <c r="AW3078" s="269" t="s">
        <v>1659</v>
      </c>
      <c r="AX3078" s="269" t="s">
        <v>2869</v>
      </c>
      <c r="AY3078" s="270" t="s">
        <v>695</v>
      </c>
      <c r="AZ3078" s="435"/>
      <c r="BA3078" s="173">
        <v>10.0</v>
      </c>
      <c r="BB3078" s="434"/>
      <c r="BC3078" s="434"/>
      <c r="BD3078" s="308" t="s">
        <v>1844</v>
      </c>
      <c r="BE3078" s="436"/>
      <c r="BF3078" s="274" t="str">
        <f>IFERROR(__xludf.DUMMYFUNCTION("LOWER(Regexreplace(to_text(E3078),""[^A-Za-z0-9]"","""")&amp;""_""&amp;Regexreplace(to_text(F3078),""[^A-Za-z0-9]"",""""))"),"aquagen_evcbseries")</f>
        <v>aquagen_evcbseries</v>
      </c>
      <c r="BG3078" s="275" t="str">
        <f>IFERROR(__xludf.DUMMYFUNCTION("upper(Regexreplace(to_text(E3078),""[^A-Za-z0-9]"","""")&amp;""-""&amp;Regexreplace(to_text(F3078),""[^A-Za-z0-9]"",""""))"),"AQUAGEN-EVCBSERIES")</f>
        <v>AQUAGEN-EVCBSERIES</v>
      </c>
    </row>
    <row r="3079" ht="30.0" customHeight="1">
      <c r="A3079" s="328">
        <v>2690.0</v>
      </c>
      <c r="B3079" s="425" t="s">
        <v>670</v>
      </c>
      <c r="C3079" s="257" t="s">
        <v>9522</v>
      </c>
      <c r="D3079" s="173" t="s">
        <v>9523</v>
      </c>
      <c r="E3079" s="174" t="s">
        <v>9097</v>
      </c>
      <c r="F3079" s="173" t="s">
        <v>2862</v>
      </c>
      <c r="G3079" s="425" t="s">
        <v>673</v>
      </c>
      <c r="H3079" s="425" t="s">
        <v>2863</v>
      </c>
      <c r="I3079" s="258" t="s">
        <v>9445</v>
      </c>
      <c r="J3079" s="259" t="s">
        <v>846</v>
      </c>
      <c r="K3079" s="260">
        <v>163.0</v>
      </c>
      <c r="L3079" s="442"/>
      <c r="M3079" s="426"/>
      <c r="N3079" s="173" t="s">
        <v>679</v>
      </c>
      <c r="O3079" s="173" t="s">
        <v>225</v>
      </c>
      <c r="P3079" s="262" t="str">
        <f t="shared" si="1"/>
        <v>IN-BLR-ANANTA-FAN-27_1</v>
      </c>
      <c r="Q3079" s="173" t="s">
        <v>9524</v>
      </c>
      <c r="R3079" s="425" t="str">
        <f>IFS(C3079="","",C3079="n/a","N/A",LEN(C3079),Concatenate("{",char(34),"asset",char(34),":{",char(34),"guid",char(34),":",char(34),Q3079,char(34),",",char(34),"site",char(34),":",char(34),LOWER('2-Building'!$B$4),char(34),",",char(34),"name",char(34),":",char(34),LOWER(C3079),char(34),"}}"))</f>
        <v>{"asset":{"guid":"uuid://b1bfc3ac-f134-4e8d-8f80-6e567acc232e","site":"in-blr-ananta","name":"fan-27"}}</v>
      </c>
      <c r="S3079" s="369" t="s">
        <v>2866</v>
      </c>
      <c r="T3079" s="427"/>
      <c r="U3079" s="427"/>
      <c r="V3079" s="428"/>
      <c r="W3079" s="429"/>
      <c r="X3079" s="430"/>
      <c r="Y3079" s="33" t="s">
        <v>8076</v>
      </c>
      <c r="Z3079" s="430"/>
      <c r="AA3079" s="430"/>
      <c r="AB3079" s="258">
        <v>76.0</v>
      </c>
      <c r="AC3079" s="430"/>
      <c r="AD3079" s="426"/>
      <c r="AE3079" s="428"/>
      <c r="AF3079" s="431"/>
      <c r="AG3079" s="432" t="str">
        <f>IFS(LEN(AF3079)=17,LOWER('2-Building'!$B$4 &amp; "-" &amp; C3079), AF3079="N/A", "N/A", LEN(AF3079)=0,"")</f>
        <v/>
      </c>
      <c r="AH3079" s="430"/>
      <c r="AI3079" s="430"/>
      <c r="AJ3079" s="430"/>
      <c r="AK3079" s="430"/>
      <c r="AL3079" s="430"/>
      <c r="AM3079" s="433"/>
      <c r="AN3079" s="430"/>
      <c r="AO3079" s="430"/>
      <c r="AP3079" s="430"/>
      <c r="AQ3079" s="430"/>
      <c r="AR3079" s="430"/>
      <c r="AS3079" s="430"/>
      <c r="AT3079" s="430"/>
      <c r="AU3079" s="426"/>
      <c r="AV3079" s="434"/>
      <c r="AW3079" s="269" t="s">
        <v>1659</v>
      </c>
      <c r="AX3079" s="269" t="s">
        <v>2869</v>
      </c>
      <c r="AY3079" s="270" t="s">
        <v>695</v>
      </c>
      <c r="AZ3079" s="435"/>
      <c r="BA3079" s="173">
        <v>10.0</v>
      </c>
      <c r="BB3079" s="434"/>
      <c r="BC3079" s="434"/>
      <c r="BD3079" s="308" t="s">
        <v>1844</v>
      </c>
      <c r="BE3079" s="436"/>
      <c r="BF3079" s="274" t="str">
        <f>IFERROR(__xludf.DUMMYFUNCTION("LOWER(Regexreplace(to_text(E3079),""[^A-Za-z0-9]"","""")&amp;""_""&amp;Regexreplace(to_text(F3079),""[^A-Za-z0-9]"",""""))"),"aquagen_evcbseries")</f>
        <v>aquagen_evcbseries</v>
      </c>
      <c r="BG3079" s="275" t="str">
        <f>IFERROR(__xludf.DUMMYFUNCTION("upper(Regexreplace(to_text(E3079),""[^A-Za-z0-9]"","""")&amp;""-""&amp;Regexreplace(to_text(F3079),""[^A-Za-z0-9]"",""""))"),"AQUAGEN-EVCBSERIES")</f>
        <v>AQUAGEN-EVCBSERIES</v>
      </c>
    </row>
    <row r="3080" ht="30.0" customHeight="1">
      <c r="A3080" s="425">
        <v>2690.0</v>
      </c>
      <c r="B3080" s="425" t="s">
        <v>670</v>
      </c>
      <c r="C3080" s="257" t="s">
        <v>9525</v>
      </c>
      <c r="D3080" s="173" t="s">
        <v>9526</v>
      </c>
      <c r="E3080" s="174" t="s">
        <v>9097</v>
      </c>
      <c r="F3080" s="173" t="s">
        <v>2862</v>
      </c>
      <c r="G3080" s="425" t="s">
        <v>673</v>
      </c>
      <c r="H3080" s="425" t="s">
        <v>2863</v>
      </c>
      <c r="I3080" s="258" t="s">
        <v>9445</v>
      </c>
      <c r="J3080" s="259" t="s">
        <v>902</v>
      </c>
      <c r="K3080" s="260" t="s">
        <v>3497</v>
      </c>
      <c r="L3080" s="442"/>
      <c r="M3080" s="426"/>
      <c r="N3080" s="173" t="s">
        <v>679</v>
      </c>
      <c r="O3080" s="173" t="s">
        <v>225</v>
      </c>
      <c r="P3080" s="262" t="str">
        <f t="shared" si="1"/>
        <v>IN-BLR-ANANTA-FAN-28_2</v>
      </c>
      <c r="Q3080" s="173" t="s">
        <v>9527</v>
      </c>
      <c r="R3080" s="433" t="str">
        <f>IFS(C3080="","",C3080="n/a","N/A",LEN(C3080),Concatenate("{",char(34),"asset",char(34),":{",char(34),"guid",char(34),":",char(34),Q3080,char(34),",",char(34),"site",char(34),":",char(34),LOWER('2-Building'!$B$4),char(34),",",char(34),"name",char(34),":",char(34),LOWER(C3080),char(34),"}}"))</f>
        <v>{"asset":{"guid":"uuid://64e3b331-4674-4794-9ffd-b5e7da86e9b3","site":"in-blr-ananta","name":"fan-28"}}</v>
      </c>
      <c r="S3080" s="369" t="s">
        <v>2866</v>
      </c>
      <c r="T3080" s="427"/>
      <c r="U3080" s="427"/>
      <c r="V3080" s="428"/>
      <c r="W3080" s="429"/>
      <c r="X3080" s="430"/>
      <c r="Y3080" s="33" t="s">
        <v>8076</v>
      </c>
      <c r="Z3080" s="430"/>
      <c r="AA3080" s="430"/>
      <c r="AB3080" s="258">
        <v>100.0</v>
      </c>
      <c r="AC3080" s="430"/>
      <c r="AD3080" s="426"/>
      <c r="AE3080" s="428"/>
      <c r="AF3080" s="431"/>
      <c r="AG3080" s="432" t="str">
        <f>IFS(LEN(AF3080)=17,LOWER('2-Building'!$B$4 &amp; "-" &amp; C3080), AF3080="N/A", "N/A", LEN(AF3080)=0,"")</f>
        <v/>
      </c>
      <c r="AH3080" s="430"/>
      <c r="AI3080" s="430"/>
      <c r="AJ3080" s="430"/>
      <c r="AK3080" s="430"/>
      <c r="AL3080" s="430"/>
      <c r="AM3080" s="433"/>
      <c r="AN3080" s="430"/>
      <c r="AO3080" s="430"/>
      <c r="AP3080" s="430"/>
      <c r="AQ3080" s="430"/>
      <c r="AR3080" s="430"/>
      <c r="AS3080" s="430"/>
      <c r="AT3080" s="430"/>
      <c r="AU3080" s="426"/>
      <c r="AV3080" s="434"/>
      <c r="AW3080" s="269" t="s">
        <v>1659</v>
      </c>
      <c r="AX3080" s="269" t="s">
        <v>2869</v>
      </c>
      <c r="AY3080" s="270" t="s">
        <v>695</v>
      </c>
      <c r="AZ3080" s="435"/>
      <c r="BA3080" s="173">
        <v>10.0</v>
      </c>
      <c r="BB3080" s="434"/>
      <c r="BC3080" s="434"/>
      <c r="BD3080" s="308" t="s">
        <v>1844</v>
      </c>
      <c r="BE3080" s="436"/>
      <c r="BF3080" s="274" t="str">
        <f>IFERROR(__xludf.DUMMYFUNCTION("LOWER(Regexreplace(to_text(E3080),""[^A-Za-z0-9]"","""")&amp;""_""&amp;Regexreplace(to_text(F3080),""[^A-Za-z0-9]"",""""))"),"aquagen_evcbseries")</f>
        <v>aquagen_evcbseries</v>
      </c>
      <c r="BG3080" s="275" t="str">
        <f>IFERROR(__xludf.DUMMYFUNCTION("upper(Regexreplace(to_text(E3080),""[^A-Za-z0-9]"","""")&amp;""-""&amp;Regexreplace(to_text(F3080),""[^A-Za-z0-9]"",""""))"),"AQUAGEN-EVCBSERIES")</f>
        <v>AQUAGEN-EVCBSERIES</v>
      </c>
    </row>
    <row r="3081" ht="30.0" customHeight="1">
      <c r="A3081" s="328">
        <v>2690.0</v>
      </c>
      <c r="B3081" s="425" t="s">
        <v>670</v>
      </c>
      <c r="C3081" s="257" t="s">
        <v>9528</v>
      </c>
      <c r="D3081" s="173" t="s">
        <v>9529</v>
      </c>
      <c r="E3081" s="174" t="s">
        <v>9097</v>
      </c>
      <c r="F3081" s="173" t="s">
        <v>2862</v>
      </c>
      <c r="G3081" s="425" t="s">
        <v>673</v>
      </c>
      <c r="H3081" s="425" t="s">
        <v>2863</v>
      </c>
      <c r="I3081" s="258" t="s">
        <v>9445</v>
      </c>
      <c r="J3081" s="259" t="s">
        <v>902</v>
      </c>
      <c r="K3081" s="260" t="s">
        <v>3497</v>
      </c>
      <c r="L3081" s="442"/>
      <c r="M3081" s="426"/>
      <c r="N3081" s="173" t="s">
        <v>679</v>
      </c>
      <c r="O3081" s="173" t="s">
        <v>225</v>
      </c>
      <c r="P3081" s="262" t="str">
        <f t="shared" si="1"/>
        <v>IN-BLR-ANANTA-FAN-29_2</v>
      </c>
      <c r="Q3081" s="173" t="s">
        <v>9530</v>
      </c>
      <c r="R3081" s="425" t="str">
        <f>IFS(C3081="","",C3081="n/a","N/A",LEN(C3081),Concatenate("{",char(34),"asset",char(34),":{",char(34),"guid",char(34),":",char(34),Q3081,char(34),",",char(34),"site",char(34),":",char(34),LOWER('2-Building'!$B$4),char(34),",",char(34),"name",char(34),":",char(34),LOWER(C3081),char(34),"}}"))</f>
        <v>{"asset":{"guid":"uuid://a922de57-f554-45fc-b108-479c2c4bc5fe","site":"in-blr-ananta","name":"fan-29"}}</v>
      </c>
      <c r="S3081" s="369" t="s">
        <v>2866</v>
      </c>
      <c r="T3081" s="427"/>
      <c r="U3081" s="427"/>
      <c r="V3081" s="428"/>
      <c r="W3081" s="429"/>
      <c r="X3081" s="430"/>
      <c r="Y3081" s="33" t="s">
        <v>8076</v>
      </c>
      <c r="Z3081" s="430"/>
      <c r="AA3081" s="430"/>
      <c r="AB3081" s="258">
        <v>101.0</v>
      </c>
      <c r="AC3081" s="430"/>
      <c r="AD3081" s="426"/>
      <c r="AE3081" s="428"/>
      <c r="AF3081" s="431"/>
      <c r="AG3081" s="432" t="str">
        <f>IFS(LEN(AF3081)=17,LOWER('2-Building'!$B$4 &amp; "-" &amp; C3081), AF3081="N/A", "N/A", LEN(AF3081)=0,"")</f>
        <v/>
      </c>
      <c r="AH3081" s="430"/>
      <c r="AI3081" s="430"/>
      <c r="AJ3081" s="430"/>
      <c r="AK3081" s="430"/>
      <c r="AL3081" s="430"/>
      <c r="AM3081" s="433"/>
      <c r="AN3081" s="430"/>
      <c r="AO3081" s="430"/>
      <c r="AP3081" s="430"/>
      <c r="AQ3081" s="430"/>
      <c r="AR3081" s="430"/>
      <c r="AS3081" s="430"/>
      <c r="AT3081" s="430"/>
      <c r="AU3081" s="426"/>
      <c r="AV3081" s="434"/>
      <c r="AW3081" s="269" t="s">
        <v>1659</v>
      </c>
      <c r="AX3081" s="269" t="s">
        <v>2869</v>
      </c>
      <c r="AY3081" s="270" t="s">
        <v>695</v>
      </c>
      <c r="AZ3081" s="435"/>
      <c r="BA3081" s="173">
        <v>10.0</v>
      </c>
      <c r="BB3081" s="434"/>
      <c r="BC3081" s="434"/>
      <c r="BD3081" s="308" t="s">
        <v>1844</v>
      </c>
      <c r="BE3081" s="436"/>
      <c r="BF3081" s="274" t="str">
        <f>IFERROR(__xludf.DUMMYFUNCTION("LOWER(Regexreplace(to_text(E3081),""[^A-Za-z0-9]"","""")&amp;""_""&amp;Regexreplace(to_text(F3081),""[^A-Za-z0-9]"",""""))"),"aquagen_evcbseries")</f>
        <v>aquagen_evcbseries</v>
      </c>
      <c r="BG3081" s="275" t="str">
        <f>IFERROR(__xludf.DUMMYFUNCTION("upper(Regexreplace(to_text(E3081),""[^A-Za-z0-9]"","""")&amp;""-""&amp;Regexreplace(to_text(F3081),""[^A-Za-z0-9]"",""""))"),"AQUAGEN-EVCBSERIES")</f>
        <v>AQUAGEN-EVCBSERIES</v>
      </c>
    </row>
    <row r="3082" ht="30.0" customHeight="1">
      <c r="A3082" s="328">
        <v>2690.0</v>
      </c>
      <c r="B3082" s="425" t="s">
        <v>670</v>
      </c>
      <c r="C3082" s="257" t="s">
        <v>9531</v>
      </c>
      <c r="D3082" s="173" t="s">
        <v>9532</v>
      </c>
      <c r="E3082" s="174" t="s">
        <v>9097</v>
      </c>
      <c r="F3082" s="173" t="s">
        <v>2862</v>
      </c>
      <c r="G3082" s="425" t="s">
        <v>673</v>
      </c>
      <c r="H3082" s="425" t="s">
        <v>2863</v>
      </c>
      <c r="I3082" s="258" t="s">
        <v>9445</v>
      </c>
      <c r="J3082" s="259" t="s">
        <v>902</v>
      </c>
      <c r="K3082" s="260" t="s">
        <v>3497</v>
      </c>
      <c r="L3082" s="442"/>
      <c r="M3082" s="426"/>
      <c r="N3082" s="173" t="s">
        <v>679</v>
      </c>
      <c r="O3082" s="173" t="s">
        <v>225</v>
      </c>
      <c r="P3082" s="262" t="str">
        <f t="shared" si="1"/>
        <v>IN-BLR-ANANTA-FAN-30_2</v>
      </c>
      <c r="Q3082" s="173" t="s">
        <v>9533</v>
      </c>
      <c r="R3082" s="433" t="str">
        <f>IFS(C3082="","",C3082="n/a","N/A",LEN(C3082),Concatenate("{",char(34),"asset",char(34),":{",char(34),"guid",char(34),":",char(34),Q3082,char(34),",",char(34),"site",char(34),":",char(34),LOWER('2-Building'!$B$4),char(34),",",char(34),"name",char(34),":",char(34),LOWER(C3082),char(34),"}}"))</f>
        <v>{"asset":{"guid":"uuid://c2a459d1-01e0-4cdf-a7a0-7bd2da61c300","site":"in-blr-ananta","name":"fan-30"}}</v>
      </c>
      <c r="S3082" s="369" t="s">
        <v>2866</v>
      </c>
      <c r="T3082" s="427"/>
      <c r="U3082" s="427"/>
      <c r="V3082" s="428"/>
      <c r="W3082" s="429"/>
      <c r="X3082" s="430"/>
      <c r="Y3082" s="33" t="s">
        <v>8076</v>
      </c>
      <c r="Z3082" s="430"/>
      <c r="AA3082" s="430"/>
      <c r="AB3082" s="258">
        <v>102.0</v>
      </c>
      <c r="AC3082" s="430"/>
      <c r="AD3082" s="426"/>
      <c r="AE3082" s="428"/>
      <c r="AF3082" s="431"/>
      <c r="AG3082" s="432" t="str">
        <f>IFS(LEN(AF3082)=17,LOWER('2-Building'!$B$4 &amp; "-" &amp; C3082), AF3082="N/A", "N/A", LEN(AF3082)=0,"")</f>
        <v/>
      </c>
      <c r="AH3082" s="430"/>
      <c r="AI3082" s="430"/>
      <c r="AJ3082" s="430"/>
      <c r="AK3082" s="430"/>
      <c r="AL3082" s="430"/>
      <c r="AM3082" s="433"/>
      <c r="AN3082" s="430"/>
      <c r="AO3082" s="430"/>
      <c r="AP3082" s="430"/>
      <c r="AQ3082" s="430"/>
      <c r="AR3082" s="430"/>
      <c r="AS3082" s="430"/>
      <c r="AT3082" s="430"/>
      <c r="AU3082" s="426"/>
      <c r="AV3082" s="434"/>
      <c r="AW3082" s="269" t="s">
        <v>1659</v>
      </c>
      <c r="AX3082" s="269" t="s">
        <v>2869</v>
      </c>
      <c r="AY3082" s="270" t="s">
        <v>695</v>
      </c>
      <c r="AZ3082" s="435"/>
      <c r="BA3082" s="173">
        <v>10.0</v>
      </c>
      <c r="BB3082" s="434"/>
      <c r="BC3082" s="434"/>
      <c r="BD3082" s="308" t="s">
        <v>1844</v>
      </c>
      <c r="BE3082" s="436"/>
      <c r="BF3082" s="274" t="str">
        <f>IFERROR(__xludf.DUMMYFUNCTION("LOWER(Regexreplace(to_text(E3082),""[^A-Za-z0-9]"","""")&amp;""_""&amp;Regexreplace(to_text(F3082),""[^A-Za-z0-9]"",""""))"),"aquagen_evcbseries")</f>
        <v>aquagen_evcbseries</v>
      </c>
      <c r="BG3082" s="275" t="str">
        <f>IFERROR(__xludf.DUMMYFUNCTION("upper(Regexreplace(to_text(E3082),""[^A-Za-z0-9]"","""")&amp;""-""&amp;Regexreplace(to_text(F3082),""[^A-Za-z0-9]"",""""))"),"AQUAGEN-EVCBSERIES")</f>
        <v>AQUAGEN-EVCBSERIES</v>
      </c>
    </row>
    <row r="3083" ht="30.0" customHeight="1">
      <c r="A3083" s="328">
        <v>2690.0</v>
      </c>
      <c r="B3083" s="425" t="s">
        <v>670</v>
      </c>
      <c r="C3083" s="257" t="s">
        <v>9534</v>
      </c>
      <c r="D3083" s="173" t="s">
        <v>9535</v>
      </c>
      <c r="E3083" s="174" t="s">
        <v>9097</v>
      </c>
      <c r="F3083" s="173" t="s">
        <v>2862</v>
      </c>
      <c r="G3083" s="425" t="s">
        <v>673</v>
      </c>
      <c r="H3083" s="425" t="s">
        <v>2863</v>
      </c>
      <c r="I3083" s="258" t="s">
        <v>9445</v>
      </c>
      <c r="J3083" s="259" t="s">
        <v>902</v>
      </c>
      <c r="K3083" s="260" t="s">
        <v>3497</v>
      </c>
      <c r="L3083" s="442"/>
      <c r="M3083" s="426"/>
      <c r="N3083" s="173" t="s">
        <v>679</v>
      </c>
      <c r="O3083" s="173" t="s">
        <v>225</v>
      </c>
      <c r="P3083" s="262" t="str">
        <f t="shared" si="1"/>
        <v>IN-BLR-ANANTA-FAN-31_2</v>
      </c>
      <c r="Q3083" s="173" t="s">
        <v>9536</v>
      </c>
      <c r="R3083" s="425" t="str">
        <f>IFS(C3083="","",C3083="n/a","N/A",LEN(C3083),Concatenate("{",char(34),"asset",char(34),":{",char(34),"guid",char(34),":",char(34),Q3083,char(34),",",char(34),"site",char(34),":",char(34),LOWER('2-Building'!$B$4),char(34),",",char(34),"name",char(34),":",char(34),LOWER(C3083),char(34),"}}"))</f>
        <v>{"asset":{"guid":"uuid://82e8288e-5056-4593-bbc9-e120ac7d78f3","site":"in-blr-ananta","name":"fan-31"}}</v>
      </c>
      <c r="S3083" s="369" t="s">
        <v>2866</v>
      </c>
      <c r="T3083" s="427"/>
      <c r="U3083" s="427"/>
      <c r="V3083" s="428"/>
      <c r="W3083" s="429"/>
      <c r="X3083" s="430"/>
      <c r="Y3083" s="33" t="s">
        <v>8076</v>
      </c>
      <c r="Z3083" s="430"/>
      <c r="AA3083" s="430"/>
      <c r="AB3083" s="258">
        <v>103.0</v>
      </c>
      <c r="AC3083" s="430"/>
      <c r="AD3083" s="426"/>
      <c r="AE3083" s="428"/>
      <c r="AF3083" s="431"/>
      <c r="AG3083" s="432" t="str">
        <f>IFS(LEN(AF3083)=17,LOWER('2-Building'!$B$4 &amp; "-" &amp; C3083), AF3083="N/A", "N/A", LEN(AF3083)=0,"")</f>
        <v/>
      </c>
      <c r="AH3083" s="430"/>
      <c r="AI3083" s="430"/>
      <c r="AJ3083" s="430"/>
      <c r="AK3083" s="430"/>
      <c r="AL3083" s="430"/>
      <c r="AM3083" s="433"/>
      <c r="AN3083" s="430"/>
      <c r="AO3083" s="430"/>
      <c r="AP3083" s="430"/>
      <c r="AQ3083" s="430"/>
      <c r="AR3083" s="430"/>
      <c r="AS3083" s="430"/>
      <c r="AT3083" s="430"/>
      <c r="AU3083" s="426"/>
      <c r="AV3083" s="434"/>
      <c r="AW3083" s="269" t="s">
        <v>1659</v>
      </c>
      <c r="AX3083" s="269" t="s">
        <v>2869</v>
      </c>
      <c r="AY3083" s="270" t="s">
        <v>695</v>
      </c>
      <c r="AZ3083" s="435"/>
      <c r="BA3083" s="173">
        <v>10.0</v>
      </c>
      <c r="BB3083" s="434"/>
      <c r="BC3083" s="434"/>
      <c r="BD3083" s="308" t="s">
        <v>1844</v>
      </c>
      <c r="BE3083" s="436"/>
      <c r="BF3083" s="274" t="str">
        <f>IFERROR(__xludf.DUMMYFUNCTION("LOWER(Regexreplace(to_text(E3083),""[^A-Za-z0-9]"","""")&amp;""_""&amp;Regexreplace(to_text(F3083),""[^A-Za-z0-9]"",""""))"),"aquagen_evcbseries")</f>
        <v>aquagen_evcbseries</v>
      </c>
      <c r="BG3083" s="275" t="str">
        <f>IFERROR(__xludf.DUMMYFUNCTION("upper(Regexreplace(to_text(E3083),""[^A-Za-z0-9]"","""")&amp;""-""&amp;Regexreplace(to_text(F3083),""[^A-Za-z0-9]"",""""))"),"AQUAGEN-EVCBSERIES")</f>
        <v>AQUAGEN-EVCBSERIES</v>
      </c>
    </row>
    <row r="3084" ht="30.0" customHeight="1">
      <c r="A3084" s="425">
        <v>2690.0</v>
      </c>
      <c r="B3084" s="425" t="s">
        <v>670</v>
      </c>
      <c r="C3084" s="257" t="s">
        <v>9537</v>
      </c>
      <c r="D3084" s="173" t="s">
        <v>9538</v>
      </c>
      <c r="E3084" s="174" t="s">
        <v>9097</v>
      </c>
      <c r="F3084" s="173" t="s">
        <v>2862</v>
      </c>
      <c r="G3084" s="425" t="s">
        <v>673</v>
      </c>
      <c r="H3084" s="425" t="s">
        <v>2863</v>
      </c>
      <c r="I3084" s="258" t="s">
        <v>9445</v>
      </c>
      <c r="J3084" s="259" t="s">
        <v>902</v>
      </c>
      <c r="K3084" s="260" t="s">
        <v>3497</v>
      </c>
      <c r="L3084" s="442"/>
      <c r="M3084" s="426"/>
      <c r="N3084" s="173" t="s">
        <v>679</v>
      </c>
      <c r="O3084" s="173" t="s">
        <v>225</v>
      </c>
      <c r="P3084" s="262" t="str">
        <f t="shared" si="1"/>
        <v>IN-BLR-ANANTA-FAN-32_2</v>
      </c>
      <c r="Q3084" s="173" t="s">
        <v>9539</v>
      </c>
      <c r="R3084" s="433" t="str">
        <f>IFS(C3084="","",C3084="n/a","N/A",LEN(C3084),Concatenate("{",char(34),"asset",char(34),":{",char(34),"guid",char(34),":",char(34),Q3084,char(34),",",char(34),"site",char(34),":",char(34),LOWER('2-Building'!$B$4),char(34),",",char(34),"name",char(34),":",char(34),LOWER(C3084),char(34),"}}"))</f>
        <v>{"asset":{"guid":"uuid://5d3057dd-5bfa-4508-8006-7f0d8c1659dd","site":"in-blr-ananta","name":"fan-32"}}</v>
      </c>
      <c r="S3084" s="369" t="s">
        <v>2866</v>
      </c>
      <c r="T3084" s="427"/>
      <c r="U3084" s="427"/>
      <c r="V3084" s="428"/>
      <c r="W3084" s="429"/>
      <c r="X3084" s="430"/>
      <c r="Y3084" s="33" t="s">
        <v>8076</v>
      </c>
      <c r="Z3084" s="430"/>
      <c r="AA3084" s="430"/>
      <c r="AB3084" s="258">
        <v>104.0</v>
      </c>
      <c r="AC3084" s="430"/>
      <c r="AD3084" s="426"/>
      <c r="AE3084" s="428"/>
      <c r="AF3084" s="431"/>
      <c r="AG3084" s="432" t="str">
        <f>IFS(LEN(AF3084)=17,LOWER('2-Building'!$B$4 &amp; "-" &amp; C3084), AF3084="N/A", "N/A", LEN(AF3084)=0,"")</f>
        <v/>
      </c>
      <c r="AH3084" s="430"/>
      <c r="AI3084" s="430"/>
      <c r="AJ3084" s="430"/>
      <c r="AK3084" s="430"/>
      <c r="AL3084" s="430"/>
      <c r="AM3084" s="433"/>
      <c r="AN3084" s="430"/>
      <c r="AO3084" s="430"/>
      <c r="AP3084" s="430"/>
      <c r="AQ3084" s="430"/>
      <c r="AR3084" s="430"/>
      <c r="AS3084" s="430"/>
      <c r="AT3084" s="430"/>
      <c r="AU3084" s="426"/>
      <c r="AV3084" s="434"/>
      <c r="AW3084" s="269" t="s">
        <v>1659</v>
      </c>
      <c r="AX3084" s="269" t="s">
        <v>2869</v>
      </c>
      <c r="AY3084" s="270" t="s">
        <v>695</v>
      </c>
      <c r="AZ3084" s="435"/>
      <c r="BA3084" s="173">
        <v>10.0</v>
      </c>
      <c r="BB3084" s="434"/>
      <c r="BC3084" s="434"/>
      <c r="BD3084" s="308" t="s">
        <v>1844</v>
      </c>
      <c r="BE3084" s="436"/>
      <c r="BF3084" s="274" t="str">
        <f>IFERROR(__xludf.DUMMYFUNCTION("LOWER(Regexreplace(to_text(E3084),""[^A-Za-z0-9]"","""")&amp;""_""&amp;Regexreplace(to_text(F3084),""[^A-Za-z0-9]"",""""))"),"aquagen_evcbseries")</f>
        <v>aquagen_evcbseries</v>
      </c>
      <c r="BG3084" s="275" t="str">
        <f>IFERROR(__xludf.DUMMYFUNCTION("upper(Regexreplace(to_text(E3084),""[^A-Za-z0-9]"","""")&amp;""-""&amp;Regexreplace(to_text(F3084),""[^A-Za-z0-9]"",""""))"),"AQUAGEN-EVCBSERIES")</f>
        <v>AQUAGEN-EVCBSERIES</v>
      </c>
    </row>
    <row r="3085" ht="30.0" customHeight="1">
      <c r="A3085" s="328">
        <v>2690.0</v>
      </c>
      <c r="B3085" s="425" t="s">
        <v>670</v>
      </c>
      <c r="C3085" s="257" t="s">
        <v>9540</v>
      </c>
      <c r="D3085" s="173" t="s">
        <v>9541</v>
      </c>
      <c r="E3085" s="174" t="s">
        <v>9097</v>
      </c>
      <c r="F3085" s="173" t="s">
        <v>2862</v>
      </c>
      <c r="G3085" s="425" t="s">
        <v>673</v>
      </c>
      <c r="H3085" s="425" t="s">
        <v>2863</v>
      </c>
      <c r="I3085" s="258" t="s">
        <v>9445</v>
      </c>
      <c r="J3085" s="259" t="s">
        <v>902</v>
      </c>
      <c r="K3085" s="260" t="s">
        <v>3497</v>
      </c>
      <c r="L3085" s="442"/>
      <c r="M3085" s="426"/>
      <c r="N3085" s="173" t="s">
        <v>679</v>
      </c>
      <c r="O3085" s="173" t="s">
        <v>225</v>
      </c>
      <c r="P3085" s="262" t="str">
        <f t="shared" si="1"/>
        <v>IN-BLR-ANANTA-FAN-33_2</v>
      </c>
      <c r="Q3085" s="173" t="s">
        <v>9542</v>
      </c>
      <c r="R3085" s="425" t="str">
        <f>IFS(C3085="","",C3085="n/a","N/A",LEN(C3085),Concatenate("{",char(34),"asset",char(34),":{",char(34),"guid",char(34),":",char(34),Q3085,char(34),",",char(34),"site",char(34),":",char(34),LOWER('2-Building'!$B$4),char(34),",",char(34),"name",char(34),":",char(34),LOWER(C3085),char(34),"}}"))</f>
        <v>{"asset":{"guid":"uuid://f51d3587-234a-494b-a93e-dd41a084ac94","site":"in-blr-ananta","name":"fan-33"}}</v>
      </c>
      <c r="S3085" s="369" t="s">
        <v>2866</v>
      </c>
      <c r="T3085" s="427"/>
      <c r="U3085" s="427"/>
      <c r="V3085" s="428"/>
      <c r="W3085" s="429"/>
      <c r="X3085" s="430"/>
      <c r="Y3085" s="33" t="s">
        <v>8076</v>
      </c>
      <c r="Z3085" s="430"/>
      <c r="AA3085" s="430"/>
      <c r="AB3085" s="258">
        <v>105.0</v>
      </c>
      <c r="AC3085" s="430"/>
      <c r="AD3085" s="426"/>
      <c r="AE3085" s="428"/>
      <c r="AF3085" s="431"/>
      <c r="AG3085" s="432" t="str">
        <f>IFS(LEN(AF3085)=17,LOWER('2-Building'!$B$4 &amp; "-" &amp; C3085), AF3085="N/A", "N/A", LEN(AF3085)=0,"")</f>
        <v/>
      </c>
      <c r="AH3085" s="430"/>
      <c r="AI3085" s="430"/>
      <c r="AJ3085" s="430"/>
      <c r="AK3085" s="430"/>
      <c r="AL3085" s="430"/>
      <c r="AM3085" s="433"/>
      <c r="AN3085" s="430"/>
      <c r="AO3085" s="430"/>
      <c r="AP3085" s="430"/>
      <c r="AQ3085" s="430"/>
      <c r="AR3085" s="430"/>
      <c r="AS3085" s="430"/>
      <c r="AT3085" s="430"/>
      <c r="AU3085" s="426"/>
      <c r="AV3085" s="434"/>
      <c r="AW3085" s="269" t="s">
        <v>1659</v>
      </c>
      <c r="AX3085" s="269" t="s">
        <v>2869</v>
      </c>
      <c r="AY3085" s="270" t="s">
        <v>695</v>
      </c>
      <c r="AZ3085" s="435"/>
      <c r="BA3085" s="173">
        <v>10.0</v>
      </c>
      <c r="BB3085" s="434"/>
      <c r="BC3085" s="434"/>
      <c r="BD3085" s="308" t="s">
        <v>1844</v>
      </c>
      <c r="BE3085" s="436"/>
      <c r="BF3085" s="274" t="str">
        <f>IFERROR(__xludf.DUMMYFUNCTION("LOWER(Regexreplace(to_text(E3085),""[^A-Za-z0-9]"","""")&amp;""_""&amp;Regexreplace(to_text(F3085),""[^A-Za-z0-9]"",""""))"),"aquagen_evcbseries")</f>
        <v>aquagen_evcbseries</v>
      </c>
      <c r="BG3085" s="275" t="str">
        <f>IFERROR(__xludf.DUMMYFUNCTION("upper(Regexreplace(to_text(E3085),""[^A-Za-z0-9]"","""")&amp;""-""&amp;Regexreplace(to_text(F3085),""[^A-Za-z0-9]"",""""))"),"AQUAGEN-EVCBSERIES")</f>
        <v>AQUAGEN-EVCBSERIES</v>
      </c>
    </row>
    <row r="3086" ht="30.0" customHeight="1">
      <c r="A3086" s="328">
        <v>2690.0</v>
      </c>
      <c r="B3086" s="425" t="s">
        <v>670</v>
      </c>
      <c r="C3086" s="257" t="s">
        <v>9543</v>
      </c>
      <c r="D3086" s="173" t="s">
        <v>9544</v>
      </c>
      <c r="E3086" s="174" t="s">
        <v>9097</v>
      </c>
      <c r="F3086" s="173" t="s">
        <v>2862</v>
      </c>
      <c r="G3086" s="425" t="s">
        <v>673</v>
      </c>
      <c r="H3086" s="425" t="s">
        <v>2863</v>
      </c>
      <c r="I3086" s="258" t="s">
        <v>9445</v>
      </c>
      <c r="J3086" s="259" t="s">
        <v>902</v>
      </c>
      <c r="K3086" s="260" t="s">
        <v>3497</v>
      </c>
      <c r="L3086" s="442"/>
      <c r="M3086" s="426"/>
      <c r="N3086" s="173" t="s">
        <v>679</v>
      </c>
      <c r="O3086" s="173" t="s">
        <v>225</v>
      </c>
      <c r="P3086" s="262" t="str">
        <f t="shared" si="1"/>
        <v>IN-BLR-ANANTA-FAN-34_2</v>
      </c>
      <c r="Q3086" s="173" t="s">
        <v>9545</v>
      </c>
      <c r="R3086" s="425" t="str">
        <f>IFS(C3086="","",C3086="n/a","N/A",LEN(C3086),Concatenate("{",char(34),"asset",char(34),":{",char(34),"guid",char(34),":",char(34),Q3086,char(34),",",char(34),"site",char(34),":",char(34),LOWER('2-Building'!$B$4),char(34),",",char(34),"name",char(34),":",char(34),LOWER(C3086),char(34),"}}"))</f>
        <v>{"asset":{"guid":"uuid://c1fab396-3ba6-41d4-ad3a-f993b5112f7a","site":"in-blr-ananta","name":"fan-34"}}</v>
      </c>
      <c r="S3086" s="369" t="s">
        <v>2866</v>
      </c>
      <c r="T3086" s="427"/>
      <c r="U3086" s="427"/>
      <c r="V3086" s="428"/>
      <c r="W3086" s="429"/>
      <c r="X3086" s="430"/>
      <c r="Y3086" s="33" t="s">
        <v>8076</v>
      </c>
      <c r="Z3086" s="430"/>
      <c r="AA3086" s="430"/>
      <c r="AB3086" s="258">
        <v>106.0</v>
      </c>
      <c r="AC3086" s="430"/>
      <c r="AD3086" s="426"/>
      <c r="AE3086" s="428"/>
      <c r="AF3086" s="431"/>
      <c r="AG3086" s="432" t="str">
        <f>IFS(LEN(AF3086)=17,LOWER('2-Building'!$B$4 &amp; "-" &amp; C3086), AF3086="N/A", "N/A", LEN(AF3086)=0,"")</f>
        <v/>
      </c>
      <c r="AH3086" s="430"/>
      <c r="AI3086" s="430"/>
      <c r="AJ3086" s="430"/>
      <c r="AK3086" s="430"/>
      <c r="AL3086" s="430"/>
      <c r="AM3086" s="433"/>
      <c r="AN3086" s="430"/>
      <c r="AO3086" s="430"/>
      <c r="AP3086" s="430"/>
      <c r="AQ3086" s="430"/>
      <c r="AR3086" s="430"/>
      <c r="AS3086" s="430"/>
      <c r="AT3086" s="430"/>
      <c r="AU3086" s="426"/>
      <c r="AV3086" s="434"/>
      <c r="AW3086" s="269" t="s">
        <v>1659</v>
      </c>
      <c r="AX3086" s="269" t="s">
        <v>2869</v>
      </c>
      <c r="AY3086" s="270" t="s">
        <v>695</v>
      </c>
      <c r="AZ3086" s="435"/>
      <c r="BA3086" s="173">
        <v>10.0</v>
      </c>
      <c r="BB3086" s="434"/>
      <c r="BC3086" s="434"/>
      <c r="BD3086" s="308" t="s">
        <v>1844</v>
      </c>
      <c r="BE3086" s="436"/>
      <c r="BF3086" s="274" t="str">
        <f>IFERROR(__xludf.DUMMYFUNCTION("LOWER(Regexreplace(to_text(E3086),""[^A-Za-z0-9]"","""")&amp;""_""&amp;Regexreplace(to_text(F3086),""[^A-Za-z0-9]"",""""))"),"aquagen_evcbseries")</f>
        <v>aquagen_evcbseries</v>
      </c>
      <c r="BG3086" s="275" t="str">
        <f>IFERROR(__xludf.DUMMYFUNCTION("upper(Regexreplace(to_text(E3086),""[^A-Za-z0-9]"","""")&amp;""-""&amp;Regexreplace(to_text(F3086),""[^A-Za-z0-9]"",""""))"),"AQUAGEN-EVCBSERIES")</f>
        <v>AQUAGEN-EVCBSERIES</v>
      </c>
    </row>
    <row r="3087" ht="30.0" customHeight="1">
      <c r="A3087" s="425">
        <v>2690.0</v>
      </c>
      <c r="B3087" s="425" t="s">
        <v>670</v>
      </c>
      <c r="C3087" s="257" t="s">
        <v>9546</v>
      </c>
      <c r="D3087" s="173" t="s">
        <v>9547</v>
      </c>
      <c r="E3087" s="174" t="s">
        <v>9097</v>
      </c>
      <c r="F3087" s="173" t="s">
        <v>2862</v>
      </c>
      <c r="G3087" s="425" t="s">
        <v>673</v>
      </c>
      <c r="H3087" s="425" t="s">
        <v>2863</v>
      </c>
      <c r="I3087" s="258" t="s">
        <v>9445</v>
      </c>
      <c r="J3087" s="259" t="s">
        <v>902</v>
      </c>
      <c r="K3087" s="260" t="s">
        <v>3497</v>
      </c>
      <c r="L3087" s="442"/>
      <c r="M3087" s="426"/>
      <c r="N3087" s="173" t="s">
        <v>679</v>
      </c>
      <c r="O3087" s="173" t="s">
        <v>225</v>
      </c>
      <c r="P3087" s="262" t="str">
        <f t="shared" si="1"/>
        <v>IN-BLR-ANANTA-FAN-35_2</v>
      </c>
      <c r="Q3087" s="173" t="s">
        <v>9548</v>
      </c>
      <c r="R3087" s="433" t="str">
        <f>IFS(C3087="","",C3087="n/a","N/A",LEN(C3087),Concatenate("{",char(34),"asset",char(34),":{",char(34),"guid",char(34),":",char(34),Q3087,char(34),",",char(34),"site",char(34),":",char(34),LOWER('2-Building'!$B$4),char(34),",",char(34),"name",char(34),":",char(34),LOWER(C3087),char(34),"}}"))</f>
        <v>{"asset":{"guid":"uuid://51c9fba1-f3d8-4504-973e-e337509901fb","site":"in-blr-ananta","name":"fan-35"}}</v>
      </c>
      <c r="S3087" s="369" t="s">
        <v>2866</v>
      </c>
      <c r="T3087" s="427"/>
      <c r="U3087" s="427"/>
      <c r="V3087" s="428"/>
      <c r="W3087" s="429"/>
      <c r="X3087" s="430"/>
      <c r="Y3087" s="33" t="s">
        <v>8076</v>
      </c>
      <c r="Z3087" s="430"/>
      <c r="AA3087" s="430"/>
      <c r="AB3087" s="258">
        <v>107.0</v>
      </c>
      <c r="AC3087" s="430"/>
      <c r="AD3087" s="426"/>
      <c r="AE3087" s="428"/>
      <c r="AF3087" s="431"/>
      <c r="AG3087" s="432" t="str">
        <f>IFS(LEN(AF3087)=17,LOWER('2-Building'!$B$4 &amp; "-" &amp; C3087), AF3087="N/A", "N/A", LEN(AF3087)=0,"")</f>
        <v/>
      </c>
      <c r="AH3087" s="430"/>
      <c r="AI3087" s="430"/>
      <c r="AJ3087" s="430"/>
      <c r="AK3087" s="430"/>
      <c r="AL3087" s="430"/>
      <c r="AM3087" s="433"/>
      <c r="AN3087" s="430"/>
      <c r="AO3087" s="430"/>
      <c r="AP3087" s="430"/>
      <c r="AQ3087" s="430"/>
      <c r="AR3087" s="430"/>
      <c r="AS3087" s="430"/>
      <c r="AT3087" s="430"/>
      <c r="AU3087" s="426"/>
      <c r="AV3087" s="434"/>
      <c r="AW3087" s="269" t="s">
        <v>1659</v>
      </c>
      <c r="AX3087" s="269" t="s">
        <v>2869</v>
      </c>
      <c r="AY3087" s="270" t="s">
        <v>695</v>
      </c>
      <c r="AZ3087" s="435"/>
      <c r="BA3087" s="173">
        <v>10.0</v>
      </c>
      <c r="BB3087" s="434"/>
      <c r="BC3087" s="434"/>
      <c r="BD3087" s="308" t="s">
        <v>1844</v>
      </c>
      <c r="BE3087" s="436"/>
      <c r="BF3087" s="274" t="str">
        <f>IFERROR(__xludf.DUMMYFUNCTION("LOWER(Regexreplace(to_text(E3087),""[^A-Za-z0-9]"","""")&amp;""_""&amp;Regexreplace(to_text(F3087),""[^A-Za-z0-9]"",""""))"),"aquagen_evcbseries")</f>
        <v>aquagen_evcbseries</v>
      </c>
      <c r="BG3087" s="275" t="str">
        <f>IFERROR(__xludf.DUMMYFUNCTION("upper(Regexreplace(to_text(E3087),""[^A-Za-z0-9]"","""")&amp;""-""&amp;Regexreplace(to_text(F3087),""[^A-Za-z0-9]"",""""))"),"AQUAGEN-EVCBSERIES")</f>
        <v>AQUAGEN-EVCBSERIES</v>
      </c>
    </row>
    <row r="3088" ht="30.0" customHeight="1">
      <c r="A3088" s="328">
        <v>2690.0</v>
      </c>
      <c r="B3088" s="425" t="s">
        <v>670</v>
      </c>
      <c r="C3088" s="257" t="s">
        <v>9549</v>
      </c>
      <c r="D3088" s="173" t="s">
        <v>9550</v>
      </c>
      <c r="E3088" s="174" t="s">
        <v>9097</v>
      </c>
      <c r="F3088" s="173" t="s">
        <v>2862</v>
      </c>
      <c r="G3088" s="425" t="s">
        <v>673</v>
      </c>
      <c r="H3088" s="425" t="s">
        <v>2863</v>
      </c>
      <c r="I3088" s="258" t="s">
        <v>9445</v>
      </c>
      <c r="J3088" s="259" t="s">
        <v>739</v>
      </c>
      <c r="K3088" s="260" t="s">
        <v>765</v>
      </c>
      <c r="L3088" s="442"/>
      <c r="M3088" s="426"/>
      <c r="N3088" s="173" t="s">
        <v>679</v>
      </c>
      <c r="O3088" s="173" t="s">
        <v>225</v>
      </c>
      <c r="P3088" s="262" t="str">
        <f t="shared" si="1"/>
        <v>IN-BLR-ANANTA-FAN-36_G</v>
      </c>
      <c r="Q3088" s="173" t="s">
        <v>9551</v>
      </c>
      <c r="R3088" s="425" t="str">
        <f>IFS(C3088="","",C3088="n/a","N/A",LEN(C3088),Concatenate("{",char(34),"asset",char(34),":{",char(34),"guid",char(34),":",char(34),Q3088,char(34),",",char(34),"site",char(34),":",char(34),LOWER('2-Building'!$B$4),char(34),",",char(34),"name",char(34),":",char(34),LOWER(C3088),char(34),"}}"))</f>
        <v>{"asset":{"guid":"uuid://86b4d854-ef07-47d2-8ecf-e9b15633fbbb","site":"in-blr-ananta","name":"fan-36"}}</v>
      </c>
      <c r="S3088" s="369" t="s">
        <v>2866</v>
      </c>
      <c r="T3088" s="427"/>
      <c r="U3088" s="427"/>
      <c r="V3088" s="428"/>
      <c r="W3088" s="429"/>
      <c r="X3088" s="430"/>
      <c r="Y3088" s="33" t="s">
        <v>8076</v>
      </c>
      <c r="Z3088" s="430"/>
      <c r="AA3088" s="430"/>
      <c r="AB3088" s="258">
        <v>86.0</v>
      </c>
      <c r="AC3088" s="430"/>
      <c r="AD3088" s="426"/>
      <c r="AE3088" s="428"/>
      <c r="AF3088" s="431"/>
      <c r="AG3088" s="432" t="str">
        <f>IFS(LEN(AF3088)=17,LOWER('2-Building'!$B$4 &amp; "-" &amp; C3088), AF3088="N/A", "N/A", LEN(AF3088)=0,"")</f>
        <v/>
      </c>
      <c r="AH3088" s="430"/>
      <c r="AI3088" s="430"/>
      <c r="AJ3088" s="430"/>
      <c r="AK3088" s="430"/>
      <c r="AL3088" s="430"/>
      <c r="AM3088" s="433"/>
      <c r="AN3088" s="430"/>
      <c r="AO3088" s="430"/>
      <c r="AP3088" s="430"/>
      <c r="AQ3088" s="430"/>
      <c r="AR3088" s="430"/>
      <c r="AS3088" s="430"/>
      <c r="AT3088" s="430"/>
      <c r="AU3088" s="426"/>
      <c r="AV3088" s="434"/>
      <c r="AW3088" s="269" t="s">
        <v>1664</v>
      </c>
      <c r="AX3088" s="269" t="s">
        <v>2869</v>
      </c>
      <c r="AY3088" s="270" t="s">
        <v>695</v>
      </c>
      <c r="AZ3088" s="435"/>
      <c r="BA3088" s="173">
        <v>10.0</v>
      </c>
      <c r="BB3088" s="434"/>
      <c r="BC3088" s="434"/>
      <c r="BD3088" s="308" t="s">
        <v>1844</v>
      </c>
      <c r="BE3088" s="436"/>
      <c r="BF3088" s="274" t="str">
        <f>IFERROR(__xludf.DUMMYFUNCTION("LOWER(Regexreplace(to_text(E3088),""[^A-Za-z0-9]"","""")&amp;""_""&amp;Regexreplace(to_text(F3088),""[^A-Za-z0-9]"",""""))"),"aquagen_evcbseries")</f>
        <v>aquagen_evcbseries</v>
      </c>
      <c r="BG3088" s="275" t="str">
        <f>IFERROR(__xludf.DUMMYFUNCTION("upper(Regexreplace(to_text(E3088),""[^A-Za-z0-9]"","""")&amp;""-""&amp;Regexreplace(to_text(F3088),""[^A-Za-z0-9]"",""""))"),"AQUAGEN-EVCBSERIES")</f>
        <v>AQUAGEN-EVCBSERIES</v>
      </c>
    </row>
    <row r="3089" ht="30.0" customHeight="1">
      <c r="A3089" s="173">
        <v>2689.0</v>
      </c>
      <c r="B3089" s="328" t="s">
        <v>670</v>
      </c>
      <c r="C3089" s="257" t="s">
        <v>9552</v>
      </c>
      <c r="D3089" s="173" t="s">
        <v>9553</v>
      </c>
      <c r="E3089" s="174" t="s">
        <v>9097</v>
      </c>
      <c r="F3089" s="173" t="s">
        <v>2862</v>
      </c>
      <c r="G3089" s="328" t="s">
        <v>673</v>
      </c>
      <c r="H3089" s="328" t="s">
        <v>2863</v>
      </c>
      <c r="I3089" s="258" t="s">
        <v>9445</v>
      </c>
      <c r="J3089" s="259" t="s">
        <v>739</v>
      </c>
      <c r="K3089" s="260" t="s">
        <v>765</v>
      </c>
      <c r="L3089" s="366"/>
      <c r="M3089" s="329"/>
      <c r="N3089" s="173" t="s">
        <v>679</v>
      </c>
      <c r="O3089" s="173" t="s">
        <v>225</v>
      </c>
      <c r="P3089" s="262" t="str">
        <f t="shared" si="1"/>
        <v>IN-BLR-ANANTA-FAN-37_G</v>
      </c>
      <c r="Q3089" s="173" t="s">
        <v>9554</v>
      </c>
      <c r="R3089" s="328" t="str">
        <f>IFS(C3089="","",C3089="n/a","N/A",LEN(C3089),Concatenate("{",char(34),"asset",char(34),":{",char(34),"guid",char(34),":",char(34),Q3089,char(34),",",char(34),"site",char(34),":",char(34),LOWER('2-Building'!$B$4),char(34),",",char(34),"name",char(34),":",char(34),LOWER(C3089),char(34),"}}"))</f>
        <v>{"asset":{"guid":"uuid://bcd76a74-394f-4e11-82ef-715c7303f5ee","site":"in-blr-ananta","name":"fan-37"}}</v>
      </c>
      <c r="S3089" s="369" t="s">
        <v>2866</v>
      </c>
      <c r="T3089" s="330"/>
      <c r="U3089" s="330"/>
      <c r="V3089" s="331"/>
      <c r="W3089" s="332"/>
      <c r="X3089" s="333"/>
      <c r="Y3089" s="33" t="s">
        <v>8076</v>
      </c>
      <c r="Z3089" s="368"/>
      <c r="AA3089" s="333"/>
      <c r="AB3089" s="258">
        <v>87.0</v>
      </c>
      <c r="AC3089" s="333"/>
      <c r="AD3089" s="329"/>
      <c r="AE3089" s="331"/>
      <c r="AF3089" s="336"/>
      <c r="AG3089" s="337" t="str">
        <f>IFS(LEN(AF3089)=17,LOWER('2-Building'!$B$4 &amp; "-" &amp; C3089), AF3089="N/A", "N/A", LEN(AF3089)=0,"")</f>
        <v/>
      </c>
      <c r="AH3089" s="333"/>
      <c r="AI3089" s="333"/>
      <c r="AJ3089" s="333"/>
      <c r="AK3089" s="333"/>
      <c r="AL3089" s="333"/>
      <c r="AM3089" s="338"/>
      <c r="AN3089" s="333"/>
      <c r="AO3089" s="333"/>
      <c r="AP3089" s="333"/>
      <c r="AQ3089" s="333"/>
      <c r="AR3089" s="333"/>
      <c r="AS3089" s="333"/>
      <c r="AT3089" s="333"/>
      <c r="AU3089" s="329"/>
      <c r="AV3089" s="341"/>
      <c r="AW3089" s="269" t="s">
        <v>1664</v>
      </c>
      <c r="AX3089" s="269" t="s">
        <v>2869</v>
      </c>
      <c r="AY3089" s="270" t="s">
        <v>695</v>
      </c>
      <c r="AZ3089" s="379"/>
      <c r="BA3089" s="173">
        <v>10.0</v>
      </c>
      <c r="BB3089" s="341"/>
      <c r="BC3089" s="341"/>
      <c r="BD3089" s="308" t="s">
        <v>1844</v>
      </c>
      <c r="BE3089" s="364"/>
      <c r="BF3089" s="274" t="str">
        <f>IFERROR(__xludf.DUMMYFUNCTION("LOWER(Regexreplace(to_text(E3089),""[^A-Za-z0-9]"","""")&amp;""_""&amp;Regexreplace(to_text(F3089),""[^A-Za-z0-9]"",""""))"),"aquagen_evcbseries")</f>
        <v>aquagen_evcbseries</v>
      </c>
      <c r="BG3089" s="275" t="str">
        <f>IFERROR(__xludf.DUMMYFUNCTION("upper(Regexreplace(to_text(E3089),""[^A-Za-z0-9]"","""")&amp;""-""&amp;Regexreplace(to_text(F3089),""[^A-Za-z0-9]"",""""))"),"AQUAGEN-EVCBSERIES")</f>
        <v>AQUAGEN-EVCBSERIES</v>
      </c>
    </row>
    <row r="3090" ht="30.0" customHeight="1">
      <c r="A3090" s="173">
        <v>2691.0</v>
      </c>
      <c r="B3090" s="328" t="s">
        <v>670</v>
      </c>
      <c r="C3090" s="257" t="s">
        <v>9555</v>
      </c>
      <c r="D3090" s="173" t="s">
        <v>9556</v>
      </c>
      <c r="E3090" s="174" t="s">
        <v>9097</v>
      </c>
      <c r="F3090" s="173" t="s">
        <v>2862</v>
      </c>
      <c r="G3090" s="328" t="s">
        <v>673</v>
      </c>
      <c r="H3090" s="328" t="s">
        <v>2863</v>
      </c>
      <c r="I3090" s="258" t="s">
        <v>9445</v>
      </c>
      <c r="J3090" s="259" t="s">
        <v>739</v>
      </c>
      <c r="K3090" s="260" t="s">
        <v>765</v>
      </c>
      <c r="L3090" s="366"/>
      <c r="M3090" s="329"/>
      <c r="N3090" s="173" t="s">
        <v>679</v>
      </c>
      <c r="O3090" s="173" t="s">
        <v>225</v>
      </c>
      <c r="P3090" s="262" t="str">
        <f t="shared" si="1"/>
        <v>IN-BLR-ANANTA-FAN-38_G</v>
      </c>
      <c r="Q3090" s="173" t="s">
        <v>9557</v>
      </c>
      <c r="R3090" s="328" t="str">
        <f>IFS(C3090="","",C3090="n/a","N/A",LEN(C3090),Concatenate("{",char(34),"asset",char(34),":{",char(34),"guid",char(34),":",char(34),Q3090,char(34),",",char(34),"site",char(34),":",char(34),LOWER('2-Building'!$B$4),char(34),",",char(34),"name",char(34),":",char(34),LOWER(C3090),char(34),"}}"))</f>
        <v>{"asset":{"guid":"uuid://b3bb09de-b0d2-438a-84ce-a2ca636a9cb8","site":"in-blr-ananta","name":"fan-38"}}</v>
      </c>
      <c r="S3090" s="369" t="s">
        <v>2866</v>
      </c>
      <c r="T3090" s="330"/>
      <c r="U3090" s="330"/>
      <c r="V3090" s="331"/>
      <c r="W3090" s="332"/>
      <c r="X3090" s="333"/>
      <c r="Y3090" s="33" t="s">
        <v>8076</v>
      </c>
      <c r="Z3090" s="368"/>
      <c r="AA3090" s="333"/>
      <c r="AB3090" s="258">
        <v>88.0</v>
      </c>
      <c r="AC3090" s="333"/>
      <c r="AD3090" s="329"/>
      <c r="AE3090" s="331"/>
      <c r="AF3090" s="336"/>
      <c r="AG3090" s="337" t="str">
        <f>IFS(LEN(AF3090)=17,LOWER('2-Building'!$B$4 &amp; "-" &amp; C3090), AF3090="N/A", "N/A", LEN(AF3090)=0,"")</f>
        <v/>
      </c>
      <c r="AH3090" s="333"/>
      <c r="AI3090" s="333"/>
      <c r="AJ3090" s="333"/>
      <c r="AK3090" s="333"/>
      <c r="AL3090" s="333"/>
      <c r="AM3090" s="338"/>
      <c r="AN3090" s="333"/>
      <c r="AO3090" s="333"/>
      <c r="AP3090" s="333"/>
      <c r="AQ3090" s="333"/>
      <c r="AR3090" s="333"/>
      <c r="AS3090" s="333"/>
      <c r="AT3090" s="333"/>
      <c r="AU3090" s="329"/>
      <c r="AV3090" s="341"/>
      <c r="AW3090" s="269" t="s">
        <v>1664</v>
      </c>
      <c r="AX3090" s="269" t="s">
        <v>2869</v>
      </c>
      <c r="AY3090" s="270" t="s">
        <v>695</v>
      </c>
      <c r="AZ3090" s="379"/>
      <c r="BA3090" s="173">
        <v>10.0</v>
      </c>
      <c r="BB3090" s="341"/>
      <c r="BC3090" s="341"/>
      <c r="BD3090" s="308" t="s">
        <v>1844</v>
      </c>
      <c r="BE3090" s="364"/>
      <c r="BF3090" s="274" t="str">
        <f>IFERROR(__xludf.DUMMYFUNCTION("LOWER(Regexreplace(to_text(E3090),""[^A-Za-z0-9]"","""")&amp;""_""&amp;Regexreplace(to_text(F3090),""[^A-Za-z0-9]"",""""))"),"aquagen_evcbseries")</f>
        <v>aquagen_evcbseries</v>
      </c>
      <c r="BG3090" s="275" t="str">
        <f>IFERROR(__xludf.DUMMYFUNCTION("upper(Regexreplace(to_text(E3090),""[^A-Za-z0-9]"","""")&amp;""-""&amp;Regexreplace(to_text(F3090),""[^A-Za-z0-9]"",""""))"),"AQUAGEN-EVCBSERIES")</f>
        <v>AQUAGEN-EVCBSERIES</v>
      </c>
    </row>
    <row r="3091" ht="30.0" customHeight="1">
      <c r="A3091" s="258">
        <v>2690.0</v>
      </c>
      <c r="B3091" s="328" t="s">
        <v>670</v>
      </c>
      <c r="C3091" s="257" t="s">
        <v>9558</v>
      </c>
      <c r="D3091" s="173" t="s">
        <v>9559</v>
      </c>
      <c r="E3091" s="174" t="s">
        <v>9097</v>
      </c>
      <c r="F3091" s="173" t="s">
        <v>2862</v>
      </c>
      <c r="G3091" s="328" t="s">
        <v>673</v>
      </c>
      <c r="H3091" s="328" t="s">
        <v>2863</v>
      </c>
      <c r="I3091" s="258" t="s">
        <v>9445</v>
      </c>
      <c r="J3091" s="259" t="s">
        <v>739</v>
      </c>
      <c r="K3091" s="260" t="s">
        <v>765</v>
      </c>
      <c r="L3091" s="366"/>
      <c r="M3091" s="329"/>
      <c r="N3091" s="173" t="s">
        <v>679</v>
      </c>
      <c r="O3091" s="173" t="s">
        <v>225</v>
      </c>
      <c r="P3091" s="262" t="str">
        <f t="shared" si="1"/>
        <v>IN-BLR-ANANTA-FAN-39_G</v>
      </c>
      <c r="Q3091" s="173" t="s">
        <v>9560</v>
      </c>
      <c r="R3091" s="328" t="str">
        <f>IFS(C3091="","",C3091="n/a","N/A",LEN(C3091),Concatenate("{",char(34),"asset",char(34),":{",char(34),"guid",char(34),":",char(34),Q3091,char(34),",",char(34),"site",char(34),":",char(34),LOWER('2-Building'!$B$4),char(34),",",char(34),"name",char(34),":",char(34),LOWER(C3091),char(34),"}}"))</f>
        <v>{"asset":{"guid":"uuid://8ffcafe3-9c0f-4849-8bcd-dc5c1187be60","site":"in-blr-ananta","name":"fan-39"}}</v>
      </c>
      <c r="S3091" s="369" t="s">
        <v>2866</v>
      </c>
      <c r="T3091" s="330"/>
      <c r="U3091" s="330"/>
      <c r="V3091" s="331"/>
      <c r="W3091" s="332"/>
      <c r="X3091" s="333"/>
      <c r="Y3091" s="33" t="s">
        <v>8076</v>
      </c>
      <c r="Z3091" s="368"/>
      <c r="AA3091" s="333"/>
      <c r="AB3091" s="258">
        <v>89.0</v>
      </c>
      <c r="AC3091" s="333"/>
      <c r="AD3091" s="329"/>
      <c r="AE3091" s="331"/>
      <c r="AF3091" s="336"/>
      <c r="AG3091" s="337" t="str">
        <f>IFS(LEN(AF3091)=17,LOWER('2-Building'!$B$4 &amp; "-" &amp; C3091), AF3091="N/A", "N/A", LEN(AF3091)=0,"")</f>
        <v/>
      </c>
      <c r="AH3091" s="333"/>
      <c r="AI3091" s="333"/>
      <c r="AJ3091" s="333"/>
      <c r="AK3091" s="333"/>
      <c r="AL3091" s="333"/>
      <c r="AM3091" s="338"/>
      <c r="AN3091" s="333"/>
      <c r="AO3091" s="333"/>
      <c r="AP3091" s="333"/>
      <c r="AQ3091" s="333"/>
      <c r="AR3091" s="333"/>
      <c r="AS3091" s="333"/>
      <c r="AT3091" s="333"/>
      <c r="AU3091" s="329"/>
      <c r="AV3091" s="341"/>
      <c r="AW3091" s="269" t="s">
        <v>1664</v>
      </c>
      <c r="AX3091" s="269" t="s">
        <v>2869</v>
      </c>
      <c r="AY3091" s="270" t="s">
        <v>695</v>
      </c>
      <c r="AZ3091" s="379"/>
      <c r="BA3091" s="173">
        <v>10.0</v>
      </c>
      <c r="BB3091" s="341"/>
      <c r="BC3091" s="341"/>
      <c r="BD3091" s="308" t="s">
        <v>1844</v>
      </c>
      <c r="BE3091" s="364"/>
      <c r="BF3091" s="274" t="str">
        <f>IFERROR(__xludf.DUMMYFUNCTION("LOWER(Regexreplace(to_text(E3091),""[^A-Za-z0-9]"","""")&amp;""_""&amp;Regexreplace(to_text(F3091),""[^A-Za-z0-9]"",""""))"),"aquagen_evcbseries")</f>
        <v>aquagen_evcbseries</v>
      </c>
      <c r="BG3091" s="275" t="str">
        <f>IFERROR(__xludf.DUMMYFUNCTION("upper(Regexreplace(to_text(E3091),""[^A-Za-z0-9]"","""")&amp;""-""&amp;Regexreplace(to_text(F3091),""[^A-Za-z0-9]"",""""))"),"AQUAGEN-EVCBSERIES")</f>
        <v>AQUAGEN-EVCBSERIES</v>
      </c>
    </row>
    <row r="3092" ht="30.0" customHeight="1">
      <c r="A3092" s="328">
        <v>2690.0</v>
      </c>
      <c r="B3092" s="425" t="s">
        <v>670</v>
      </c>
      <c r="C3092" s="257" t="s">
        <v>9561</v>
      </c>
      <c r="D3092" s="173" t="s">
        <v>9562</v>
      </c>
      <c r="E3092" s="174" t="s">
        <v>9097</v>
      </c>
      <c r="F3092" s="173" t="s">
        <v>2862</v>
      </c>
      <c r="G3092" s="425" t="s">
        <v>673</v>
      </c>
      <c r="H3092" s="425" t="s">
        <v>2863</v>
      </c>
      <c r="I3092" s="258" t="s">
        <v>9445</v>
      </c>
      <c r="J3092" s="259" t="s">
        <v>739</v>
      </c>
      <c r="K3092" s="260" t="s">
        <v>765</v>
      </c>
      <c r="L3092" s="442"/>
      <c r="M3092" s="426"/>
      <c r="N3092" s="173" t="s">
        <v>679</v>
      </c>
      <c r="O3092" s="173" t="s">
        <v>225</v>
      </c>
      <c r="P3092" s="262" t="str">
        <f t="shared" si="1"/>
        <v>IN-BLR-ANANTA-FAN-40_G</v>
      </c>
      <c r="Q3092" s="173" t="s">
        <v>9563</v>
      </c>
      <c r="R3092" s="433" t="str">
        <f>IFS(C3092="","",C3092="n/a","N/A",LEN(C3092),Concatenate("{",char(34),"asset",char(34),":{",char(34),"guid",char(34),":",char(34),Q3092,char(34),",",char(34),"site",char(34),":",char(34),LOWER('2-Building'!$B$4),char(34),",",char(34),"name",char(34),":",char(34),LOWER(C3092),char(34),"}}"))</f>
        <v>{"asset":{"guid":"uuid://0d1dd92a-8940-4c62-a356-501e642f1e8e","site":"in-blr-ananta","name":"fan-40"}}</v>
      </c>
      <c r="S3092" s="369" t="s">
        <v>2866</v>
      </c>
      <c r="T3092" s="427"/>
      <c r="U3092" s="427"/>
      <c r="V3092" s="428"/>
      <c r="W3092" s="429"/>
      <c r="X3092" s="430"/>
      <c r="Y3092" s="33" t="s">
        <v>8076</v>
      </c>
      <c r="Z3092" s="430"/>
      <c r="AA3092" s="430"/>
      <c r="AB3092" s="258">
        <v>90.0</v>
      </c>
      <c r="AC3092" s="430"/>
      <c r="AD3092" s="426"/>
      <c r="AE3092" s="428"/>
      <c r="AF3092" s="431"/>
      <c r="AG3092" s="432" t="str">
        <f>IFS(LEN(AF3092)=17,LOWER('2-Building'!$B$4 &amp; "-" &amp; C3092), AF3092="N/A", "N/A", LEN(AF3092)=0,"")</f>
        <v/>
      </c>
      <c r="AH3092" s="430"/>
      <c r="AI3092" s="430"/>
      <c r="AJ3092" s="430"/>
      <c r="AK3092" s="430"/>
      <c r="AL3092" s="430"/>
      <c r="AM3092" s="433"/>
      <c r="AN3092" s="430"/>
      <c r="AO3092" s="430"/>
      <c r="AP3092" s="430"/>
      <c r="AQ3092" s="430"/>
      <c r="AR3092" s="430"/>
      <c r="AS3092" s="430"/>
      <c r="AT3092" s="430"/>
      <c r="AU3092" s="426"/>
      <c r="AV3092" s="434"/>
      <c r="AW3092" s="269" t="s">
        <v>1664</v>
      </c>
      <c r="AX3092" s="269" t="s">
        <v>2869</v>
      </c>
      <c r="AY3092" s="270" t="s">
        <v>695</v>
      </c>
      <c r="AZ3092" s="435"/>
      <c r="BA3092" s="173">
        <v>10.0</v>
      </c>
      <c r="BB3092" s="434"/>
      <c r="BC3092" s="434"/>
      <c r="BD3092" s="308" t="s">
        <v>1844</v>
      </c>
      <c r="BE3092" s="436"/>
      <c r="BF3092" s="274" t="str">
        <f>IFERROR(__xludf.DUMMYFUNCTION("LOWER(Regexreplace(to_text(E3092),""[^A-Za-z0-9]"","""")&amp;""_""&amp;Regexreplace(to_text(F3092),""[^A-Za-z0-9]"",""""))"),"aquagen_evcbseries")</f>
        <v>aquagen_evcbseries</v>
      </c>
      <c r="BG3092" s="275" t="str">
        <f>IFERROR(__xludf.DUMMYFUNCTION("upper(Regexreplace(to_text(E3092),""[^A-Za-z0-9]"","""")&amp;""-""&amp;Regexreplace(to_text(F3092),""[^A-Za-z0-9]"",""""))"),"AQUAGEN-EVCBSERIES")</f>
        <v>AQUAGEN-EVCBSERIES</v>
      </c>
    </row>
    <row r="3093" ht="30.0" customHeight="1">
      <c r="A3093" s="258">
        <v>2690.0</v>
      </c>
      <c r="B3093" s="328" t="s">
        <v>670</v>
      </c>
      <c r="C3093" s="257" t="s">
        <v>9564</v>
      </c>
      <c r="D3093" s="173" t="s">
        <v>9565</v>
      </c>
      <c r="E3093" s="174" t="s">
        <v>9097</v>
      </c>
      <c r="F3093" s="173" t="s">
        <v>2862</v>
      </c>
      <c r="G3093" s="328" t="s">
        <v>673</v>
      </c>
      <c r="H3093" s="328" t="s">
        <v>2863</v>
      </c>
      <c r="I3093" s="258" t="s">
        <v>9445</v>
      </c>
      <c r="J3093" s="259" t="s">
        <v>739</v>
      </c>
      <c r="K3093" s="260" t="s">
        <v>765</v>
      </c>
      <c r="L3093" s="366"/>
      <c r="M3093" s="329"/>
      <c r="N3093" s="173" t="s">
        <v>679</v>
      </c>
      <c r="O3093" s="173" t="s">
        <v>225</v>
      </c>
      <c r="P3093" s="262" t="str">
        <f t="shared" si="1"/>
        <v>IN-BLR-ANANTA-FAN-41_G</v>
      </c>
      <c r="Q3093" s="173" t="s">
        <v>9566</v>
      </c>
      <c r="R3093" s="328" t="str">
        <f>IFS(C3093="","",C3093="n/a","N/A",LEN(C3093),Concatenate("{",char(34),"asset",char(34),":{",char(34),"guid",char(34),":",char(34),Q3093,char(34),",",char(34),"site",char(34),":",char(34),LOWER('2-Building'!$B$4),char(34),",",char(34),"name",char(34),":",char(34),LOWER(C3093),char(34),"}}"))</f>
        <v>{"asset":{"guid":"uuid://1874341b-df7a-486e-a76d-23f2c8b6c7aa","site":"in-blr-ananta","name":"fan-41"}}</v>
      </c>
      <c r="S3093" s="369" t="s">
        <v>2866</v>
      </c>
      <c r="T3093" s="330"/>
      <c r="U3093" s="330"/>
      <c r="V3093" s="331"/>
      <c r="W3093" s="332"/>
      <c r="X3093" s="333"/>
      <c r="Y3093" s="33" t="s">
        <v>8076</v>
      </c>
      <c r="Z3093" s="368"/>
      <c r="AA3093" s="333"/>
      <c r="AB3093" s="258">
        <v>91.0</v>
      </c>
      <c r="AC3093" s="333"/>
      <c r="AD3093" s="329"/>
      <c r="AE3093" s="331"/>
      <c r="AF3093" s="336"/>
      <c r="AG3093" s="337" t="str">
        <f>IFS(LEN(AF3093)=17,LOWER('2-Building'!$B$4 &amp; "-" &amp; C3093), AF3093="N/A", "N/A", LEN(AF3093)=0,"")</f>
        <v/>
      </c>
      <c r="AH3093" s="333"/>
      <c r="AI3093" s="333"/>
      <c r="AJ3093" s="333"/>
      <c r="AK3093" s="333"/>
      <c r="AL3093" s="333"/>
      <c r="AM3093" s="338"/>
      <c r="AN3093" s="333"/>
      <c r="AO3093" s="333"/>
      <c r="AP3093" s="333"/>
      <c r="AQ3093" s="333"/>
      <c r="AR3093" s="333"/>
      <c r="AS3093" s="333"/>
      <c r="AT3093" s="333"/>
      <c r="AU3093" s="329"/>
      <c r="AV3093" s="341"/>
      <c r="AW3093" s="269" t="s">
        <v>1664</v>
      </c>
      <c r="AX3093" s="269" t="s">
        <v>2869</v>
      </c>
      <c r="AY3093" s="270" t="s">
        <v>695</v>
      </c>
      <c r="AZ3093" s="379"/>
      <c r="BA3093" s="173">
        <v>10.0</v>
      </c>
      <c r="BB3093" s="341"/>
      <c r="BC3093" s="341"/>
      <c r="BD3093" s="308" t="s">
        <v>1844</v>
      </c>
      <c r="BE3093" s="364"/>
      <c r="BF3093" s="274" t="str">
        <f>IFERROR(__xludf.DUMMYFUNCTION("LOWER(Regexreplace(to_text(E3093),""[^A-Za-z0-9]"","""")&amp;""_""&amp;Regexreplace(to_text(F3093),""[^A-Za-z0-9]"",""""))"),"aquagen_evcbseries")</f>
        <v>aquagen_evcbseries</v>
      </c>
      <c r="BG3093" s="275" t="str">
        <f>IFERROR(__xludf.DUMMYFUNCTION("upper(Regexreplace(to_text(E3093),""[^A-Za-z0-9]"","""")&amp;""-""&amp;Regexreplace(to_text(F3093),""[^A-Za-z0-9]"",""""))"),"AQUAGEN-EVCBSERIES")</f>
        <v>AQUAGEN-EVCBSERIES</v>
      </c>
    </row>
    <row r="3094" ht="30.0" customHeight="1">
      <c r="A3094" s="328">
        <v>2690.0</v>
      </c>
      <c r="B3094" s="425" t="s">
        <v>670</v>
      </c>
      <c r="C3094" s="257" t="s">
        <v>9567</v>
      </c>
      <c r="D3094" s="173" t="s">
        <v>9568</v>
      </c>
      <c r="E3094" s="174" t="s">
        <v>9097</v>
      </c>
      <c r="F3094" s="173" t="s">
        <v>2862</v>
      </c>
      <c r="G3094" s="425" t="s">
        <v>673</v>
      </c>
      <c r="H3094" s="425" t="s">
        <v>2863</v>
      </c>
      <c r="I3094" s="258" t="s">
        <v>9445</v>
      </c>
      <c r="J3094" s="259" t="s">
        <v>846</v>
      </c>
      <c r="K3094" s="260" t="s">
        <v>878</v>
      </c>
      <c r="L3094" s="442"/>
      <c r="M3094" s="426"/>
      <c r="N3094" s="173" t="s">
        <v>679</v>
      </c>
      <c r="O3094" s="173" t="s">
        <v>225</v>
      </c>
      <c r="P3094" s="262" t="str">
        <f t="shared" si="1"/>
        <v>IN-BLR-ANANTA-FAN-42_1</v>
      </c>
      <c r="Q3094" s="173" t="s">
        <v>9569</v>
      </c>
      <c r="R3094" s="433" t="str">
        <f>IFS(C3094="","",C3094="n/a","N/A",LEN(C3094),Concatenate("{",char(34),"asset",char(34),":{",char(34),"guid",char(34),":",char(34),Q3094,char(34),",",char(34),"site",char(34),":",char(34),LOWER('2-Building'!$B$4),char(34),",",char(34),"name",char(34),":",char(34),LOWER(C3094),char(34),"}}"))</f>
        <v>{"asset":{"guid":"uuid://32633ca0-96bb-4bd7-b0eb-0fdf90e71f23","site":"in-blr-ananta","name":"fan-42"}}</v>
      </c>
      <c r="S3094" s="369" t="s">
        <v>2866</v>
      </c>
      <c r="T3094" s="427"/>
      <c r="U3094" s="427"/>
      <c r="V3094" s="428"/>
      <c r="W3094" s="429"/>
      <c r="X3094" s="430"/>
      <c r="Y3094" s="33" t="s">
        <v>8076</v>
      </c>
      <c r="Z3094" s="430"/>
      <c r="AA3094" s="430"/>
      <c r="AB3094" s="258">
        <v>102.0</v>
      </c>
      <c r="AC3094" s="430"/>
      <c r="AD3094" s="426"/>
      <c r="AE3094" s="428"/>
      <c r="AF3094" s="431"/>
      <c r="AG3094" s="432" t="str">
        <f>IFS(LEN(AF3094)=17,LOWER('2-Building'!$B$4 &amp; "-" &amp; C3094), AF3094="N/A", "N/A", LEN(AF3094)=0,"")</f>
        <v/>
      </c>
      <c r="AH3094" s="430"/>
      <c r="AI3094" s="430"/>
      <c r="AJ3094" s="430"/>
      <c r="AK3094" s="430"/>
      <c r="AL3094" s="430"/>
      <c r="AM3094" s="433"/>
      <c r="AN3094" s="430"/>
      <c r="AO3094" s="430"/>
      <c r="AP3094" s="430"/>
      <c r="AQ3094" s="430"/>
      <c r="AR3094" s="430"/>
      <c r="AS3094" s="430"/>
      <c r="AT3094" s="430"/>
      <c r="AU3094" s="426"/>
      <c r="AV3094" s="434"/>
      <c r="AW3094" s="269" t="s">
        <v>1664</v>
      </c>
      <c r="AX3094" s="269" t="s">
        <v>2869</v>
      </c>
      <c r="AY3094" s="270" t="s">
        <v>695</v>
      </c>
      <c r="AZ3094" s="435"/>
      <c r="BA3094" s="173">
        <v>10.0</v>
      </c>
      <c r="BB3094" s="434"/>
      <c r="BC3094" s="434"/>
      <c r="BD3094" s="308" t="s">
        <v>1844</v>
      </c>
      <c r="BE3094" s="436"/>
      <c r="BF3094" s="274" t="str">
        <f>IFERROR(__xludf.DUMMYFUNCTION("LOWER(Regexreplace(to_text(E3094),""[^A-Za-z0-9]"","""")&amp;""_""&amp;Regexreplace(to_text(F3094),""[^A-Za-z0-9]"",""""))"),"aquagen_evcbseries")</f>
        <v>aquagen_evcbseries</v>
      </c>
      <c r="BG3094" s="275" t="str">
        <f>IFERROR(__xludf.DUMMYFUNCTION("upper(Regexreplace(to_text(E3094),""[^A-Za-z0-9]"","""")&amp;""-""&amp;Regexreplace(to_text(F3094),""[^A-Za-z0-9]"",""""))"),"AQUAGEN-EVCBSERIES")</f>
        <v>AQUAGEN-EVCBSERIES</v>
      </c>
    </row>
    <row r="3095" ht="30.0" customHeight="1">
      <c r="A3095" s="328">
        <v>2690.0</v>
      </c>
      <c r="B3095" s="425" t="s">
        <v>670</v>
      </c>
      <c r="C3095" s="257" t="s">
        <v>9570</v>
      </c>
      <c r="D3095" s="173" t="s">
        <v>9571</v>
      </c>
      <c r="E3095" s="174" t="s">
        <v>9097</v>
      </c>
      <c r="F3095" s="173" t="s">
        <v>2862</v>
      </c>
      <c r="G3095" s="425" t="s">
        <v>673</v>
      </c>
      <c r="H3095" s="425" t="s">
        <v>2863</v>
      </c>
      <c r="I3095" s="258" t="s">
        <v>9445</v>
      </c>
      <c r="J3095" s="259" t="s">
        <v>846</v>
      </c>
      <c r="K3095" s="260" t="s">
        <v>878</v>
      </c>
      <c r="L3095" s="442"/>
      <c r="M3095" s="426"/>
      <c r="N3095" s="173" t="s">
        <v>679</v>
      </c>
      <c r="O3095" s="173" t="s">
        <v>225</v>
      </c>
      <c r="P3095" s="262" t="str">
        <f t="shared" si="1"/>
        <v>IN-BLR-ANANTA-FAN-43_1</v>
      </c>
      <c r="Q3095" s="173" t="s">
        <v>9572</v>
      </c>
      <c r="R3095" s="425" t="str">
        <f>IFS(C3095="","",C3095="n/a","N/A",LEN(C3095),Concatenate("{",char(34),"asset",char(34),":{",char(34),"guid",char(34),":",char(34),Q3095,char(34),",",char(34),"site",char(34),":",char(34),LOWER('2-Building'!$B$4),char(34),",",char(34),"name",char(34),":",char(34),LOWER(C3095),char(34),"}}"))</f>
        <v>{"asset":{"guid":"uuid://148b6452-09fc-4f5b-8f5d-b66fc674041f","site":"in-blr-ananta","name":"fan-43"}}</v>
      </c>
      <c r="S3095" s="369" t="s">
        <v>2866</v>
      </c>
      <c r="T3095" s="427"/>
      <c r="U3095" s="427"/>
      <c r="V3095" s="428"/>
      <c r="W3095" s="429"/>
      <c r="X3095" s="430"/>
      <c r="Y3095" s="33" t="s">
        <v>8076</v>
      </c>
      <c r="Z3095" s="430"/>
      <c r="AA3095" s="430"/>
      <c r="AB3095" s="258">
        <v>103.0</v>
      </c>
      <c r="AC3095" s="430"/>
      <c r="AD3095" s="426"/>
      <c r="AE3095" s="428"/>
      <c r="AF3095" s="431"/>
      <c r="AG3095" s="432" t="str">
        <f>IFS(LEN(AF3095)=17,LOWER('2-Building'!$B$4 &amp; "-" &amp; C3095), AF3095="N/A", "N/A", LEN(AF3095)=0,"")</f>
        <v/>
      </c>
      <c r="AH3095" s="430"/>
      <c r="AI3095" s="430"/>
      <c r="AJ3095" s="430"/>
      <c r="AK3095" s="430"/>
      <c r="AL3095" s="430"/>
      <c r="AM3095" s="433"/>
      <c r="AN3095" s="430"/>
      <c r="AO3095" s="430"/>
      <c r="AP3095" s="430"/>
      <c r="AQ3095" s="430"/>
      <c r="AR3095" s="430"/>
      <c r="AS3095" s="430"/>
      <c r="AT3095" s="430"/>
      <c r="AU3095" s="426"/>
      <c r="AV3095" s="434"/>
      <c r="AW3095" s="269" t="s">
        <v>1664</v>
      </c>
      <c r="AX3095" s="269" t="s">
        <v>2869</v>
      </c>
      <c r="AY3095" s="270" t="s">
        <v>695</v>
      </c>
      <c r="AZ3095" s="435"/>
      <c r="BA3095" s="173">
        <v>10.0</v>
      </c>
      <c r="BB3095" s="434"/>
      <c r="BC3095" s="434"/>
      <c r="BD3095" s="308" t="s">
        <v>1844</v>
      </c>
      <c r="BE3095" s="436"/>
      <c r="BF3095" s="274" t="str">
        <f>IFERROR(__xludf.DUMMYFUNCTION("LOWER(Regexreplace(to_text(E3095),""[^A-Za-z0-9]"","""")&amp;""_""&amp;Regexreplace(to_text(F3095),""[^A-Za-z0-9]"",""""))"),"aquagen_evcbseries")</f>
        <v>aquagen_evcbseries</v>
      </c>
      <c r="BG3095" s="275" t="str">
        <f>IFERROR(__xludf.DUMMYFUNCTION("upper(Regexreplace(to_text(E3095),""[^A-Za-z0-9]"","""")&amp;""-""&amp;Regexreplace(to_text(F3095),""[^A-Za-z0-9]"",""""))"),"AQUAGEN-EVCBSERIES")</f>
        <v>AQUAGEN-EVCBSERIES</v>
      </c>
    </row>
    <row r="3096" ht="30.0" customHeight="1">
      <c r="A3096" s="425">
        <v>2690.0</v>
      </c>
      <c r="B3096" s="425" t="s">
        <v>670</v>
      </c>
      <c r="C3096" s="257" t="s">
        <v>9573</v>
      </c>
      <c r="D3096" s="173" t="s">
        <v>9574</v>
      </c>
      <c r="E3096" s="174" t="s">
        <v>9097</v>
      </c>
      <c r="F3096" s="173" t="s">
        <v>2862</v>
      </c>
      <c r="G3096" s="425" t="s">
        <v>673</v>
      </c>
      <c r="H3096" s="425" t="s">
        <v>2863</v>
      </c>
      <c r="I3096" s="258" t="s">
        <v>9445</v>
      </c>
      <c r="J3096" s="259" t="s">
        <v>846</v>
      </c>
      <c r="K3096" s="260" t="s">
        <v>878</v>
      </c>
      <c r="L3096" s="442"/>
      <c r="M3096" s="426"/>
      <c r="N3096" s="173" t="s">
        <v>679</v>
      </c>
      <c r="O3096" s="173" t="s">
        <v>225</v>
      </c>
      <c r="P3096" s="262" t="str">
        <f t="shared" si="1"/>
        <v>IN-BLR-ANANTA-FAN-44_1</v>
      </c>
      <c r="Q3096" s="173" t="s">
        <v>9575</v>
      </c>
      <c r="R3096" s="425" t="str">
        <f>IFS(C3096="","",C3096="n/a","N/A",LEN(C3096),Concatenate("{",char(34),"asset",char(34),":{",char(34),"guid",char(34),":",char(34),Q3096,char(34),",",char(34),"site",char(34),":",char(34),LOWER('2-Building'!$B$4),char(34),",",char(34),"name",char(34),":",char(34),LOWER(C3096),char(34),"}}"))</f>
        <v>{"asset":{"guid":"uuid://16c90898-0fdd-40e7-b28d-af51e3bc119d","site":"in-blr-ananta","name":"fan-44"}}</v>
      </c>
      <c r="S3096" s="369" t="s">
        <v>2866</v>
      </c>
      <c r="T3096" s="427"/>
      <c r="U3096" s="427"/>
      <c r="V3096" s="428"/>
      <c r="W3096" s="429"/>
      <c r="X3096" s="430"/>
      <c r="Y3096" s="33" t="s">
        <v>8076</v>
      </c>
      <c r="Z3096" s="430"/>
      <c r="AA3096" s="430"/>
      <c r="AB3096" s="258">
        <v>104.0</v>
      </c>
      <c r="AC3096" s="430"/>
      <c r="AD3096" s="426"/>
      <c r="AE3096" s="428"/>
      <c r="AF3096" s="431"/>
      <c r="AG3096" s="432"/>
      <c r="AH3096" s="430"/>
      <c r="AI3096" s="430"/>
      <c r="AJ3096" s="430"/>
      <c r="AK3096" s="430"/>
      <c r="AL3096" s="430"/>
      <c r="AM3096" s="433"/>
      <c r="AN3096" s="430"/>
      <c r="AO3096" s="430"/>
      <c r="AP3096" s="430"/>
      <c r="AQ3096" s="430"/>
      <c r="AR3096" s="430"/>
      <c r="AS3096" s="430"/>
      <c r="AT3096" s="430"/>
      <c r="AU3096" s="426"/>
      <c r="AV3096" s="434"/>
      <c r="AW3096" s="269" t="s">
        <v>1664</v>
      </c>
      <c r="AX3096" s="269" t="s">
        <v>2869</v>
      </c>
      <c r="AY3096" s="270" t="s">
        <v>695</v>
      </c>
      <c r="AZ3096" s="435"/>
      <c r="BA3096" s="173">
        <v>10.0</v>
      </c>
      <c r="BB3096" s="434"/>
      <c r="BC3096" s="434"/>
      <c r="BD3096" s="308" t="s">
        <v>1844</v>
      </c>
      <c r="BE3096" s="436"/>
      <c r="BF3096" s="274" t="str">
        <f>IFERROR(__xludf.DUMMYFUNCTION("LOWER(Regexreplace(to_text(E3096),""[^A-Za-z0-9]"","""")&amp;""_""&amp;Regexreplace(to_text(F3096),""[^A-Za-z0-9]"",""""))"),"aquagen_evcbseries")</f>
        <v>aquagen_evcbseries</v>
      </c>
      <c r="BG3096" s="275" t="str">
        <f>IFERROR(__xludf.DUMMYFUNCTION("upper(Regexreplace(to_text(E3096),""[^A-Za-z0-9]"","""")&amp;""-""&amp;Regexreplace(to_text(F3096),""[^A-Za-z0-9]"",""""))"),"AQUAGEN-EVCBSERIES")</f>
        <v>AQUAGEN-EVCBSERIES</v>
      </c>
    </row>
    <row r="3097" ht="30.0" customHeight="1">
      <c r="A3097" s="328">
        <v>2690.0</v>
      </c>
      <c r="B3097" s="425" t="s">
        <v>670</v>
      </c>
      <c r="C3097" s="257" t="s">
        <v>9576</v>
      </c>
      <c r="D3097" s="173" t="s">
        <v>9577</v>
      </c>
      <c r="E3097" s="174" t="s">
        <v>9097</v>
      </c>
      <c r="F3097" s="173" t="s">
        <v>2862</v>
      </c>
      <c r="G3097" s="425" t="s">
        <v>673</v>
      </c>
      <c r="H3097" s="425" t="s">
        <v>2863</v>
      </c>
      <c r="I3097" s="258" t="s">
        <v>9445</v>
      </c>
      <c r="J3097" s="259" t="s">
        <v>846</v>
      </c>
      <c r="K3097" s="260" t="s">
        <v>878</v>
      </c>
      <c r="L3097" s="442"/>
      <c r="M3097" s="426"/>
      <c r="N3097" s="173" t="s">
        <v>679</v>
      </c>
      <c r="O3097" s="173" t="s">
        <v>225</v>
      </c>
      <c r="P3097" s="262" t="str">
        <f t="shared" si="1"/>
        <v>IN-BLR-ANANTA-FAN-45_1</v>
      </c>
      <c r="Q3097" s="173" t="s">
        <v>9578</v>
      </c>
      <c r="R3097" s="425" t="str">
        <f>IFS(C3097="","",C3097="n/a","N/A",LEN(C3097),Concatenate("{",char(34),"asset",char(34),":{",char(34),"guid",char(34),":",char(34),Q3097,char(34),",",char(34),"site",char(34),":",char(34),LOWER('2-Building'!$B$4),char(34),",",char(34),"name",char(34),":",char(34),LOWER(C3097),char(34),"}}"))</f>
        <v>{"asset":{"guid":"uuid://197327d8-78ec-4bbe-9485-37b9f2ce2340","site":"in-blr-ananta","name":"fan-45"}}</v>
      </c>
      <c r="S3097" s="369" t="s">
        <v>2866</v>
      </c>
      <c r="T3097" s="427"/>
      <c r="U3097" s="427"/>
      <c r="V3097" s="428"/>
      <c r="W3097" s="429"/>
      <c r="X3097" s="430"/>
      <c r="Y3097" s="33" t="s">
        <v>8076</v>
      </c>
      <c r="Z3097" s="430"/>
      <c r="AA3097" s="430"/>
      <c r="AB3097" s="258">
        <v>105.0</v>
      </c>
      <c r="AC3097" s="430"/>
      <c r="AD3097" s="426"/>
      <c r="AE3097" s="428"/>
      <c r="AF3097" s="431"/>
      <c r="AG3097" s="432"/>
      <c r="AH3097" s="430"/>
      <c r="AI3097" s="430"/>
      <c r="AJ3097" s="430"/>
      <c r="AK3097" s="430"/>
      <c r="AL3097" s="430"/>
      <c r="AM3097" s="433"/>
      <c r="AN3097" s="430"/>
      <c r="AO3097" s="430"/>
      <c r="AP3097" s="430"/>
      <c r="AQ3097" s="430"/>
      <c r="AR3097" s="430"/>
      <c r="AS3097" s="430"/>
      <c r="AT3097" s="430"/>
      <c r="AU3097" s="426"/>
      <c r="AV3097" s="434"/>
      <c r="AW3097" s="269" t="s">
        <v>1664</v>
      </c>
      <c r="AX3097" s="269" t="s">
        <v>2869</v>
      </c>
      <c r="AY3097" s="270" t="s">
        <v>695</v>
      </c>
      <c r="AZ3097" s="435"/>
      <c r="BA3097" s="173">
        <v>10.0</v>
      </c>
      <c r="BB3097" s="434"/>
      <c r="BC3097" s="434"/>
      <c r="BD3097" s="308" t="s">
        <v>1844</v>
      </c>
      <c r="BE3097" s="436"/>
      <c r="BF3097" s="274" t="str">
        <f>IFERROR(__xludf.DUMMYFUNCTION("LOWER(Regexreplace(to_text(E3097),""[^A-Za-z0-9]"","""")&amp;""_""&amp;Regexreplace(to_text(F3097),""[^A-Za-z0-9]"",""""))"),"aquagen_evcbseries")</f>
        <v>aquagen_evcbseries</v>
      </c>
      <c r="BG3097" s="275" t="str">
        <f>IFERROR(__xludf.DUMMYFUNCTION("upper(Regexreplace(to_text(E3097),""[^A-Za-z0-9]"","""")&amp;""-""&amp;Regexreplace(to_text(F3097),""[^A-Za-z0-9]"",""""))"),"AQUAGEN-EVCBSERIES")</f>
        <v>AQUAGEN-EVCBSERIES</v>
      </c>
    </row>
    <row r="3098" ht="30.0" customHeight="1">
      <c r="A3098" s="328">
        <v>2690.0</v>
      </c>
      <c r="B3098" s="425" t="s">
        <v>670</v>
      </c>
      <c r="C3098" s="257" t="s">
        <v>9579</v>
      </c>
      <c r="D3098" s="173" t="s">
        <v>9580</v>
      </c>
      <c r="E3098" s="174" t="s">
        <v>9097</v>
      </c>
      <c r="F3098" s="173" t="s">
        <v>2862</v>
      </c>
      <c r="G3098" s="425" t="s">
        <v>673</v>
      </c>
      <c r="H3098" s="425" t="s">
        <v>2863</v>
      </c>
      <c r="I3098" s="258" t="s">
        <v>9445</v>
      </c>
      <c r="J3098" s="259" t="s">
        <v>846</v>
      </c>
      <c r="K3098" s="260" t="s">
        <v>878</v>
      </c>
      <c r="L3098" s="442"/>
      <c r="M3098" s="426"/>
      <c r="N3098" s="173" t="s">
        <v>679</v>
      </c>
      <c r="O3098" s="173" t="s">
        <v>225</v>
      </c>
      <c r="P3098" s="262" t="str">
        <f t="shared" si="1"/>
        <v>IN-BLR-ANANTA-FAN-46_1</v>
      </c>
      <c r="Q3098" s="173" t="s">
        <v>9581</v>
      </c>
      <c r="R3098" s="425" t="str">
        <f>IFS(C3098="","",C3098="n/a","N/A",LEN(C3098),Concatenate("{",char(34),"asset",char(34),":{",char(34),"guid",char(34),":",char(34),Q3098,char(34),",",char(34),"site",char(34),":",char(34),LOWER('2-Building'!$B$4),char(34),",",char(34),"name",char(34),":",char(34),LOWER(C3098),char(34),"}}"))</f>
        <v>{"asset":{"guid":"uuid://771751fd-54d8-4d9c-b0df-ec9b07711f11","site":"in-blr-ananta","name":"fan-46"}}</v>
      </c>
      <c r="S3098" s="369" t="s">
        <v>2866</v>
      </c>
      <c r="T3098" s="427"/>
      <c r="U3098" s="427"/>
      <c r="V3098" s="428"/>
      <c r="W3098" s="429"/>
      <c r="X3098" s="430"/>
      <c r="Y3098" s="33" t="s">
        <v>8076</v>
      </c>
      <c r="Z3098" s="430"/>
      <c r="AA3098" s="430"/>
      <c r="AB3098" s="258">
        <v>106.0</v>
      </c>
      <c r="AC3098" s="430"/>
      <c r="AD3098" s="426"/>
      <c r="AE3098" s="428"/>
      <c r="AF3098" s="431"/>
      <c r="AG3098" s="432"/>
      <c r="AH3098" s="430"/>
      <c r="AI3098" s="430"/>
      <c r="AJ3098" s="430"/>
      <c r="AK3098" s="430"/>
      <c r="AL3098" s="430"/>
      <c r="AM3098" s="433"/>
      <c r="AN3098" s="430"/>
      <c r="AO3098" s="430"/>
      <c r="AP3098" s="430"/>
      <c r="AQ3098" s="430"/>
      <c r="AR3098" s="430"/>
      <c r="AS3098" s="430"/>
      <c r="AT3098" s="430"/>
      <c r="AU3098" s="426"/>
      <c r="AV3098" s="434"/>
      <c r="AW3098" s="269" t="s">
        <v>1664</v>
      </c>
      <c r="AX3098" s="269" t="s">
        <v>2869</v>
      </c>
      <c r="AY3098" s="270" t="s">
        <v>695</v>
      </c>
      <c r="AZ3098" s="435"/>
      <c r="BA3098" s="173">
        <v>10.0</v>
      </c>
      <c r="BB3098" s="434"/>
      <c r="BC3098" s="434"/>
      <c r="BD3098" s="308" t="s">
        <v>1844</v>
      </c>
      <c r="BE3098" s="436"/>
      <c r="BF3098" s="274" t="str">
        <f>IFERROR(__xludf.DUMMYFUNCTION("LOWER(Regexreplace(to_text(E3098),""[^A-Za-z0-9]"","""")&amp;""_""&amp;Regexreplace(to_text(F3098),""[^A-Za-z0-9]"",""""))"),"aquagen_evcbseries")</f>
        <v>aquagen_evcbseries</v>
      </c>
      <c r="BG3098" s="275" t="str">
        <f>IFERROR(__xludf.DUMMYFUNCTION("upper(Regexreplace(to_text(E3098),""[^A-Za-z0-9]"","""")&amp;""-""&amp;Regexreplace(to_text(F3098),""[^A-Za-z0-9]"",""""))"),"AQUAGEN-EVCBSERIES")</f>
        <v>AQUAGEN-EVCBSERIES</v>
      </c>
    </row>
    <row r="3099" ht="30.0" customHeight="1">
      <c r="A3099" s="328">
        <v>2690.0</v>
      </c>
      <c r="B3099" s="425" t="s">
        <v>670</v>
      </c>
      <c r="C3099" s="257" t="s">
        <v>9582</v>
      </c>
      <c r="D3099" s="173" t="s">
        <v>9583</v>
      </c>
      <c r="E3099" s="174" t="s">
        <v>9097</v>
      </c>
      <c r="F3099" s="173" t="s">
        <v>2862</v>
      </c>
      <c r="G3099" s="425" t="s">
        <v>673</v>
      </c>
      <c r="H3099" s="425" t="s">
        <v>2863</v>
      </c>
      <c r="I3099" s="258" t="s">
        <v>9445</v>
      </c>
      <c r="J3099" s="259" t="s">
        <v>846</v>
      </c>
      <c r="K3099" s="260" t="s">
        <v>878</v>
      </c>
      <c r="L3099" s="442"/>
      <c r="M3099" s="426"/>
      <c r="N3099" s="173" t="s">
        <v>679</v>
      </c>
      <c r="O3099" s="173" t="s">
        <v>225</v>
      </c>
      <c r="P3099" s="262" t="str">
        <f t="shared" si="1"/>
        <v>IN-BLR-ANANTA-FAN-47_1</v>
      </c>
      <c r="Q3099" s="173" t="s">
        <v>9584</v>
      </c>
      <c r="R3099" s="425" t="str">
        <f>IFS(C3099="","",C3099="n/a","N/A",LEN(C3099),Concatenate("{",char(34),"asset",char(34),":{",char(34),"guid",char(34),":",char(34),Q3099,char(34),",",char(34),"site",char(34),":",char(34),LOWER('2-Building'!$B$4),char(34),",",char(34),"name",char(34),":",char(34),LOWER(C3099),char(34),"}}"))</f>
        <v>{"asset":{"guid":"uuid://e3f9f226-d955-40b7-98c0-78ca2455b1e4","site":"in-blr-ananta","name":"fan-47"}}</v>
      </c>
      <c r="S3099" s="369" t="s">
        <v>2866</v>
      </c>
      <c r="T3099" s="427"/>
      <c r="U3099" s="427"/>
      <c r="V3099" s="428"/>
      <c r="W3099" s="429"/>
      <c r="X3099" s="430"/>
      <c r="Y3099" s="33" t="s">
        <v>8076</v>
      </c>
      <c r="Z3099" s="430"/>
      <c r="AA3099" s="430"/>
      <c r="AB3099" s="258">
        <v>107.0</v>
      </c>
      <c r="AC3099" s="430"/>
      <c r="AD3099" s="426"/>
      <c r="AE3099" s="428"/>
      <c r="AF3099" s="431"/>
      <c r="AG3099" s="432"/>
      <c r="AH3099" s="430"/>
      <c r="AI3099" s="430"/>
      <c r="AJ3099" s="430"/>
      <c r="AK3099" s="430"/>
      <c r="AL3099" s="430"/>
      <c r="AM3099" s="433"/>
      <c r="AN3099" s="430"/>
      <c r="AO3099" s="430"/>
      <c r="AP3099" s="430"/>
      <c r="AQ3099" s="430"/>
      <c r="AR3099" s="430"/>
      <c r="AS3099" s="430"/>
      <c r="AT3099" s="430"/>
      <c r="AU3099" s="426"/>
      <c r="AV3099" s="434"/>
      <c r="AW3099" s="269" t="s">
        <v>1664</v>
      </c>
      <c r="AX3099" s="269" t="s">
        <v>2869</v>
      </c>
      <c r="AY3099" s="270" t="s">
        <v>695</v>
      </c>
      <c r="AZ3099" s="435"/>
      <c r="BA3099" s="173">
        <v>10.0</v>
      </c>
      <c r="BB3099" s="434"/>
      <c r="BC3099" s="434"/>
      <c r="BD3099" s="308" t="s">
        <v>1844</v>
      </c>
      <c r="BE3099" s="436"/>
      <c r="BF3099" s="274" t="str">
        <f>IFERROR(__xludf.DUMMYFUNCTION("LOWER(Regexreplace(to_text(E3099),""[^A-Za-z0-9]"","""")&amp;""_""&amp;Regexreplace(to_text(F3099),""[^A-Za-z0-9]"",""""))"),"aquagen_evcbseries")</f>
        <v>aquagen_evcbseries</v>
      </c>
      <c r="BG3099" s="275" t="str">
        <f>IFERROR(__xludf.DUMMYFUNCTION("upper(Regexreplace(to_text(E3099),""[^A-Za-z0-9]"","""")&amp;""-""&amp;Regexreplace(to_text(F3099),""[^A-Za-z0-9]"",""""))"),"AQUAGEN-EVCBSERIES")</f>
        <v>AQUAGEN-EVCBSERIES</v>
      </c>
    </row>
    <row r="3100" ht="30.0" customHeight="1">
      <c r="A3100" s="425">
        <v>2690.0</v>
      </c>
      <c r="B3100" s="425" t="s">
        <v>670</v>
      </c>
      <c r="C3100" s="257" t="s">
        <v>9585</v>
      </c>
      <c r="D3100" s="173" t="s">
        <v>9586</v>
      </c>
      <c r="E3100" s="174" t="s">
        <v>9097</v>
      </c>
      <c r="F3100" s="173" t="s">
        <v>2862</v>
      </c>
      <c r="G3100" s="425" t="s">
        <v>673</v>
      </c>
      <c r="H3100" s="425" t="s">
        <v>2863</v>
      </c>
      <c r="I3100" s="258" t="s">
        <v>9445</v>
      </c>
      <c r="J3100" s="259" t="s">
        <v>846</v>
      </c>
      <c r="K3100" s="260" t="s">
        <v>878</v>
      </c>
      <c r="L3100" s="442"/>
      <c r="M3100" s="426"/>
      <c r="N3100" s="173" t="s">
        <v>679</v>
      </c>
      <c r="O3100" s="173" t="s">
        <v>225</v>
      </c>
      <c r="P3100" s="262" t="str">
        <f t="shared" si="1"/>
        <v>IN-BLR-ANANTA-FAN-48_1</v>
      </c>
      <c r="Q3100" s="173" t="s">
        <v>9587</v>
      </c>
      <c r="R3100" s="425" t="str">
        <f>IFS(C3100="","",C3100="n/a","N/A",LEN(C3100),Concatenate("{",char(34),"asset",char(34),":{",char(34),"guid",char(34),":",char(34),Q3100,char(34),",",char(34),"site",char(34),":",char(34),LOWER('2-Building'!$B$4),char(34),",",char(34),"name",char(34),":",char(34),LOWER(C3100),char(34),"}}"))</f>
        <v>{"asset":{"guid":"uuid://7035daeb-a837-44a5-a1d8-4ec98fab9ea6","site":"in-blr-ananta","name":"fan-48"}}</v>
      </c>
      <c r="S3100" s="369" t="s">
        <v>2866</v>
      </c>
      <c r="T3100" s="427"/>
      <c r="U3100" s="427"/>
      <c r="V3100" s="428"/>
      <c r="W3100" s="429"/>
      <c r="X3100" s="430"/>
      <c r="Y3100" s="33" t="s">
        <v>8076</v>
      </c>
      <c r="Z3100" s="430"/>
      <c r="AA3100" s="430"/>
      <c r="AB3100" s="258">
        <v>108.0</v>
      </c>
      <c r="AC3100" s="430"/>
      <c r="AD3100" s="426"/>
      <c r="AE3100" s="428"/>
      <c r="AF3100" s="431"/>
      <c r="AG3100" s="432"/>
      <c r="AH3100" s="430"/>
      <c r="AI3100" s="430"/>
      <c r="AJ3100" s="430"/>
      <c r="AK3100" s="430"/>
      <c r="AL3100" s="430"/>
      <c r="AM3100" s="433"/>
      <c r="AN3100" s="430"/>
      <c r="AO3100" s="430"/>
      <c r="AP3100" s="430"/>
      <c r="AQ3100" s="430"/>
      <c r="AR3100" s="430"/>
      <c r="AS3100" s="430"/>
      <c r="AT3100" s="430"/>
      <c r="AU3100" s="426"/>
      <c r="AV3100" s="434"/>
      <c r="AW3100" s="269" t="s">
        <v>1664</v>
      </c>
      <c r="AX3100" s="269" t="s">
        <v>2869</v>
      </c>
      <c r="AY3100" s="270" t="s">
        <v>695</v>
      </c>
      <c r="AZ3100" s="435"/>
      <c r="BA3100" s="173">
        <v>10.0</v>
      </c>
      <c r="BB3100" s="434"/>
      <c r="BC3100" s="434"/>
      <c r="BD3100" s="308" t="s">
        <v>1844</v>
      </c>
      <c r="BE3100" s="436"/>
      <c r="BF3100" s="274" t="str">
        <f>IFERROR(__xludf.DUMMYFUNCTION("LOWER(Regexreplace(to_text(E3100),""[^A-Za-z0-9]"","""")&amp;""_""&amp;Regexreplace(to_text(F3100),""[^A-Za-z0-9]"",""""))"),"aquagen_evcbseries")</f>
        <v>aquagen_evcbseries</v>
      </c>
      <c r="BG3100" s="275" t="str">
        <f>IFERROR(__xludf.DUMMYFUNCTION("upper(Regexreplace(to_text(E3100),""[^A-Za-z0-9]"","""")&amp;""-""&amp;Regexreplace(to_text(F3100),""[^A-Za-z0-9]"",""""))"),"AQUAGEN-EVCBSERIES")</f>
        <v>AQUAGEN-EVCBSERIES</v>
      </c>
    </row>
    <row r="3101" ht="30.0" customHeight="1">
      <c r="A3101" s="328">
        <v>2690.0</v>
      </c>
      <c r="B3101" s="425" t="s">
        <v>670</v>
      </c>
      <c r="C3101" s="257" t="s">
        <v>9588</v>
      </c>
      <c r="D3101" s="173" t="s">
        <v>9589</v>
      </c>
      <c r="E3101" s="174" t="s">
        <v>9097</v>
      </c>
      <c r="F3101" s="173" t="s">
        <v>2862</v>
      </c>
      <c r="G3101" s="425" t="s">
        <v>673</v>
      </c>
      <c r="H3101" s="425" t="s">
        <v>2863</v>
      </c>
      <c r="I3101" s="258" t="s">
        <v>9445</v>
      </c>
      <c r="J3101" s="259" t="s">
        <v>846</v>
      </c>
      <c r="K3101" s="260" t="s">
        <v>878</v>
      </c>
      <c r="L3101" s="442"/>
      <c r="M3101" s="426"/>
      <c r="N3101" s="173" t="s">
        <v>679</v>
      </c>
      <c r="O3101" s="173" t="s">
        <v>225</v>
      </c>
      <c r="P3101" s="262" t="str">
        <f t="shared" si="1"/>
        <v>IN-BLR-ANANTA-FAN-49_1</v>
      </c>
      <c r="Q3101" s="173" t="s">
        <v>9590</v>
      </c>
      <c r="R3101" s="425" t="str">
        <f>IFS(C3101="","",C3101="n/a","N/A",LEN(C3101),Concatenate("{",char(34),"asset",char(34),":{",char(34),"guid",char(34),":",char(34),Q3101,char(34),",",char(34),"site",char(34),":",char(34),LOWER('2-Building'!$B$4),char(34),",",char(34),"name",char(34),":",char(34),LOWER(C3101),char(34),"}}"))</f>
        <v>{"asset":{"guid":"uuid://190baf94-3aab-4f85-be0a-4d66387bd95f","site":"in-blr-ananta","name":"fan-49"}}</v>
      </c>
      <c r="S3101" s="369" t="s">
        <v>2866</v>
      </c>
      <c r="T3101" s="427"/>
      <c r="U3101" s="427"/>
      <c r="V3101" s="428"/>
      <c r="W3101" s="429"/>
      <c r="X3101" s="430"/>
      <c r="Y3101" s="33" t="s">
        <v>8076</v>
      </c>
      <c r="Z3101" s="430"/>
      <c r="AA3101" s="430"/>
      <c r="AB3101" s="258">
        <v>109.0</v>
      </c>
      <c r="AC3101" s="430"/>
      <c r="AD3101" s="426"/>
      <c r="AE3101" s="428"/>
      <c r="AF3101" s="431"/>
      <c r="AG3101" s="432"/>
      <c r="AH3101" s="430"/>
      <c r="AI3101" s="430"/>
      <c r="AJ3101" s="430"/>
      <c r="AK3101" s="430"/>
      <c r="AL3101" s="430"/>
      <c r="AM3101" s="433"/>
      <c r="AN3101" s="430"/>
      <c r="AO3101" s="430"/>
      <c r="AP3101" s="430"/>
      <c r="AQ3101" s="430"/>
      <c r="AR3101" s="430"/>
      <c r="AS3101" s="430"/>
      <c r="AT3101" s="430"/>
      <c r="AU3101" s="426"/>
      <c r="AV3101" s="434"/>
      <c r="AW3101" s="269" t="s">
        <v>1664</v>
      </c>
      <c r="AX3101" s="269" t="s">
        <v>2869</v>
      </c>
      <c r="AY3101" s="270" t="s">
        <v>695</v>
      </c>
      <c r="AZ3101" s="435"/>
      <c r="BA3101" s="173">
        <v>10.0</v>
      </c>
      <c r="BB3101" s="434"/>
      <c r="BC3101" s="434"/>
      <c r="BD3101" s="308" t="s">
        <v>1844</v>
      </c>
      <c r="BE3101" s="436"/>
      <c r="BF3101" s="274" t="str">
        <f>IFERROR(__xludf.DUMMYFUNCTION("LOWER(Regexreplace(to_text(E3101),""[^A-Za-z0-9]"","""")&amp;""_""&amp;Regexreplace(to_text(F3101),""[^A-Za-z0-9]"",""""))"),"aquagen_evcbseries")</f>
        <v>aquagen_evcbseries</v>
      </c>
      <c r="BG3101" s="275" t="str">
        <f>IFERROR(__xludf.DUMMYFUNCTION("upper(Regexreplace(to_text(E3101),""[^A-Za-z0-9]"","""")&amp;""-""&amp;Regexreplace(to_text(F3101),""[^A-Za-z0-9]"",""""))"),"AQUAGEN-EVCBSERIES")</f>
        <v>AQUAGEN-EVCBSERIES</v>
      </c>
    </row>
    <row r="3102" ht="30.0" customHeight="1">
      <c r="A3102" s="258">
        <v>2690.0</v>
      </c>
      <c r="B3102" s="328" t="s">
        <v>670</v>
      </c>
      <c r="C3102" s="257" t="s">
        <v>9591</v>
      </c>
      <c r="D3102" s="173" t="s">
        <v>9592</v>
      </c>
      <c r="E3102" s="174" t="s">
        <v>9097</v>
      </c>
      <c r="F3102" s="173" t="s">
        <v>2862</v>
      </c>
      <c r="G3102" s="328" t="s">
        <v>673</v>
      </c>
      <c r="H3102" s="328" t="s">
        <v>2863</v>
      </c>
      <c r="I3102" s="258" t="s">
        <v>9445</v>
      </c>
      <c r="J3102" s="259" t="s">
        <v>965</v>
      </c>
      <c r="K3102" s="260" t="s">
        <v>9593</v>
      </c>
      <c r="L3102" s="366"/>
      <c r="M3102" s="329"/>
      <c r="N3102" s="173" t="s">
        <v>679</v>
      </c>
      <c r="O3102" s="173" t="s">
        <v>225</v>
      </c>
      <c r="P3102" s="262" t="str">
        <f t="shared" si="1"/>
        <v>IN-BLR-ANANTA-FAN-50_3</v>
      </c>
      <c r="Q3102" s="173" t="s">
        <v>9594</v>
      </c>
      <c r="R3102" s="328" t="str">
        <f>IFS(C3102="","",C3102="n/a","N/A",LEN(C3102),Concatenate("{",char(34),"asset",char(34),":{",char(34),"guid",char(34),":",char(34),Q3102,char(34),",",char(34),"site",char(34),":",char(34),LOWER('2-Building'!$B$4),char(34),",",char(34),"name",char(34),":",char(34),LOWER(C3102),char(34),"}}"))</f>
        <v>{"asset":{"guid":"uuid://6929f637-7c34-4d6a-b210-8f7bae49bbfe","site":"in-blr-ananta","name":"fan-50"}}</v>
      </c>
      <c r="S3102" s="369" t="s">
        <v>2866</v>
      </c>
      <c r="T3102" s="330"/>
      <c r="U3102" s="330"/>
      <c r="V3102" s="331"/>
      <c r="W3102" s="332"/>
      <c r="X3102" s="333"/>
      <c r="Y3102" s="33" t="s">
        <v>8076</v>
      </c>
      <c r="Z3102" s="368"/>
      <c r="AA3102" s="333"/>
      <c r="AB3102" s="258">
        <v>5.0</v>
      </c>
      <c r="AC3102" s="333"/>
      <c r="AD3102" s="329"/>
      <c r="AE3102" s="331"/>
      <c r="AF3102" s="336"/>
      <c r="AG3102" s="337" t="str">
        <f>IFS(LEN(AF3102)=17,LOWER('2-Building'!$B$4 &amp; "-" &amp; C3102), AF3102="N/A", "N/A", LEN(AF3102)=0,"")</f>
        <v/>
      </c>
      <c r="AH3102" s="333"/>
      <c r="AI3102" s="333"/>
      <c r="AJ3102" s="333"/>
      <c r="AK3102" s="333"/>
      <c r="AL3102" s="333"/>
      <c r="AM3102" s="338"/>
      <c r="AN3102" s="333"/>
      <c r="AO3102" s="333"/>
      <c r="AP3102" s="333"/>
      <c r="AQ3102" s="333"/>
      <c r="AR3102" s="333"/>
      <c r="AS3102" s="333"/>
      <c r="AT3102" s="333"/>
      <c r="AU3102" s="329"/>
      <c r="AV3102" s="341"/>
      <c r="AW3102" s="269" t="s">
        <v>1664</v>
      </c>
      <c r="AX3102" s="269" t="s">
        <v>2869</v>
      </c>
      <c r="AY3102" s="270" t="s">
        <v>695</v>
      </c>
      <c r="AZ3102" s="379"/>
      <c r="BA3102" s="173">
        <v>10.0</v>
      </c>
      <c r="BB3102" s="341"/>
      <c r="BC3102" s="341"/>
      <c r="BD3102" s="308" t="s">
        <v>1844</v>
      </c>
      <c r="BE3102" s="364"/>
      <c r="BF3102" s="274" t="str">
        <f>IFERROR(__xludf.DUMMYFUNCTION("LOWER(Regexreplace(to_text(E3102),""[^A-Za-z0-9]"","""")&amp;""_""&amp;Regexreplace(to_text(F3102),""[^A-Za-z0-9]"",""""))"),"aquagen_evcbseries")</f>
        <v>aquagen_evcbseries</v>
      </c>
      <c r="BG3102" s="275" t="str">
        <f>IFERROR(__xludf.DUMMYFUNCTION("upper(Regexreplace(to_text(E3102),""[^A-Za-z0-9]"","""")&amp;""-""&amp;Regexreplace(to_text(F3102),""[^A-Za-z0-9]"",""""))"),"AQUAGEN-EVCBSERIES")</f>
        <v>AQUAGEN-EVCBSERIES</v>
      </c>
    </row>
    <row r="3103" ht="30.0" customHeight="1">
      <c r="A3103" s="328">
        <v>2690.0</v>
      </c>
      <c r="B3103" s="425" t="s">
        <v>670</v>
      </c>
      <c r="C3103" s="257" t="s">
        <v>9595</v>
      </c>
      <c r="D3103" s="173" t="s">
        <v>9596</v>
      </c>
      <c r="E3103" s="174" t="s">
        <v>9097</v>
      </c>
      <c r="F3103" s="173" t="s">
        <v>2862</v>
      </c>
      <c r="G3103" s="425" t="s">
        <v>673</v>
      </c>
      <c r="H3103" s="425" t="s">
        <v>2863</v>
      </c>
      <c r="I3103" s="258" t="s">
        <v>9445</v>
      </c>
      <c r="J3103" s="259" t="s">
        <v>965</v>
      </c>
      <c r="K3103" s="260" t="s">
        <v>9593</v>
      </c>
      <c r="L3103" s="442"/>
      <c r="M3103" s="426"/>
      <c r="N3103" s="173" t="s">
        <v>679</v>
      </c>
      <c r="O3103" s="173" t="s">
        <v>225</v>
      </c>
      <c r="P3103" s="262" t="str">
        <f t="shared" si="1"/>
        <v>IN-BLR-ANANTA-FAN-51_3</v>
      </c>
      <c r="Q3103" s="173" t="s">
        <v>9597</v>
      </c>
      <c r="R3103" s="433" t="str">
        <f>IFS(C3103="","",C3103="n/a","N/A",LEN(C3103),Concatenate("{",char(34),"asset",char(34),":{",char(34),"guid",char(34),":",char(34),Q3103,char(34),",",char(34),"site",char(34),":",char(34),LOWER('2-Building'!$B$4),char(34),",",char(34),"name",char(34),":",char(34),LOWER(C3103),char(34),"}}"))</f>
        <v>{"asset":{"guid":"uuid://a5e0f663-e841-4860-9f87-39fd058aac99","site":"in-blr-ananta","name":"fan-51"}}</v>
      </c>
      <c r="S3103" s="369" t="s">
        <v>2866</v>
      </c>
      <c r="T3103" s="427"/>
      <c r="U3103" s="427"/>
      <c r="V3103" s="428"/>
      <c r="W3103" s="429"/>
      <c r="X3103" s="430"/>
      <c r="Y3103" s="33" t="s">
        <v>8076</v>
      </c>
      <c r="Z3103" s="430"/>
      <c r="AA3103" s="430"/>
      <c r="AB3103" s="258">
        <v>6.0</v>
      </c>
      <c r="AC3103" s="430"/>
      <c r="AD3103" s="426"/>
      <c r="AE3103" s="428"/>
      <c r="AF3103" s="431"/>
      <c r="AG3103" s="432" t="str">
        <f>IFS(LEN(AF3103)=17,LOWER('2-Building'!$B$4 &amp; "-" &amp; C3103), AF3103="N/A", "N/A", LEN(AF3103)=0,"")</f>
        <v/>
      </c>
      <c r="AH3103" s="430"/>
      <c r="AI3103" s="430"/>
      <c r="AJ3103" s="430"/>
      <c r="AK3103" s="430"/>
      <c r="AL3103" s="430"/>
      <c r="AM3103" s="433"/>
      <c r="AN3103" s="430"/>
      <c r="AO3103" s="430"/>
      <c r="AP3103" s="430"/>
      <c r="AQ3103" s="430"/>
      <c r="AR3103" s="430"/>
      <c r="AS3103" s="430"/>
      <c r="AT3103" s="430"/>
      <c r="AU3103" s="426"/>
      <c r="AV3103" s="434"/>
      <c r="AW3103" s="269" t="s">
        <v>1664</v>
      </c>
      <c r="AX3103" s="269" t="s">
        <v>2869</v>
      </c>
      <c r="AY3103" s="270" t="s">
        <v>695</v>
      </c>
      <c r="AZ3103" s="435"/>
      <c r="BA3103" s="173">
        <v>10.0</v>
      </c>
      <c r="BB3103" s="434"/>
      <c r="BC3103" s="434"/>
      <c r="BD3103" s="308" t="s">
        <v>1844</v>
      </c>
      <c r="BE3103" s="436"/>
      <c r="BF3103" s="274" t="str">
        <f>IFERROR(__xludf.DUMMYFUNCTION("LOWER(Regexreplace(to_text(E3103),""[^A-Za-z0-9]"","""")&amp;""_""&amp;Regexreplace(to_text(F3103),""[^A-Za-z0-9]"",""""))"),"aquagen_evcbseries")</f>
        <v>aquagen_evcbseries</v>
      </c>
      <c r="BG3103" s="275" t="str">
        <f>IFERROR(__xludf.DUMMYFUNCTION("upper(Regexreplace(to_text(E3103),""[^A-Za-z0-9]"","""")&amp;""-""&amp;Regexreplace(to_text(F3103),""[^A-Za-z0-9]"",""""))"),"AQUAGEN-EVCBSERIES")</f>
        <v>AQUAGEN-EVCBSERIES</v>
      </c>
    </row>
    <row r="3104" ht="30.0" customHeight="1">
      <c r="A3104" s="328">
        <v>2690.0</v>
      </c>
      <c r="B3104" s="425" t="s">
        <v>670</v>
      </c>
      <c r="C3104" s="257" t="s">
        <v>9598</v>
      </c>
      <c r="D3104" s="173" t="s">
        <v>9599</v>
      </c>
      <c r="E3104" s="174" t="s">
        <v>9097</v>
      </c>
      <c r="F3104" s="173" t="s">
        <v>2862</v>
      </c>
      <c r="G3104" s="425" t="s">
        <v>673</v>
      </c>
      <c r="H3104" s="425" t="s">
        <v>2863</v>
      </c>
      <c r="I3104" s="258" t="s">
        <v>9445</v>
      </c>
      <c r="J3104" s="259" t="s">
        <v>965</v>
      </c>
      <c r="K3104" s="260" t="s">
        <v>9593</v>
      </c>
      <c r="L3104" s="442"/>
      <c r="M3104" s="426"/>
      <c r="N3104" s="173" t="s">
        <v>679</v>
      </c>
      <c r="O3104" s="173" t="s">
        <v>225</v>
      </c>
      <c r="P3104" s="262" t="str">
        <f t="shared" si="1"/>
        <v>IN-BLR-ANANTA-FAN-52_3</v>
      </c>
      <c r="Q3104" s="173" t="s">
        <v>9600</v>
      </c>
      <c r="R3104" s="425" t="str">
        <f>IFS(C3104="","",C3104="n/a","N/A",LEN(C3104),Concatenate("{",char(34),"asset",char(34),":{",char(34),"guid",char(34),":",char(34),Q3104,char(34),",",char(34),"site",char(34),":",char(34),LOWER('2-Building'!$B$4),char(34),",",char(34),"name",char(34),":",char(34),LOWER(C3104),char(34),"}}"))</f>
        <v>{"asset":{"guid":"uuid://997918c6-6932-4322-b537-cf1f759b6bec","site":"in-blr-ananta","name":"fan-52"}}</v>
      </c>
      <c r="S3104" s="369" t="s">
        <v>2866</v>
      </c>
      <c r="T3104" s="427"/>
      <c r="U3104" s="427"/>
      <c r="V3104" s="428"/>
      <c r="W3104" s="429"/>
      <c r="X3104" s="430"/>
      <c r="Y3104" s="33" t="s">
        <v>8076</v>
      </c>
      <c r="Z3104" s="430"/>
      <c r="AA3104" s="430"/>
      <c r="AB3104" s="258">
        <v>7.0</v>
      </c>
      <c r="AC3104" s="430"/>
      <c r="AD3104" s="426"/>
      <c r="AE3104" s="428"/>
      <c r="AF3104" s="431"/>
      <c r="AG3104" s="432" t="str">
        <f>IFS(LEN(AF3104)=17,LOWER('2-Building'!$B$4 &amp; "-" &amp; C3104), AF3104="N/A", "N/A", LEN(AF3104)=0,"")</f>
        <v/>
      </c>
      <c r="AH3104" s="430"/>
      <c r="AI3104" s="430"/>
      <c r="AJ3104" s="430"/>
      <c r="AK3104" s="430"/>
      <c r="AL3104" s="430"/>
      <c r="AM3104" s="433"/>
      <c r="AN3104" s="430"/>
      <c r="AO3104" s="430"/>
      <c r="AP3104" s="430"/>
      <c r="AQ3104" s="430"/>
      <c r="AR3104" s="430"/>
      <c r="AS3104" s="430"/>
      <c r="AT3104" s="430"/>
      <c r="AU3104" s="426"/>
      <c r="AV3104" s="434"/>
      <c r="AW3104" s="269" t="s">
        <v>1664</v>
      </c>
      <c r="AX3104" s="269" t="s">
        <v>2869</v>
      </c>
      <c r="AY3104" s="270" t="s">
        <v>695</v>
      </c>
      <c r="AZ3104" s="435"/>
      <c r="BA3104" s="173">
        <v>10.0</v>
      </c>
      <c r="BB3104" s="434"/>
      <c r="BC3104" s="434"/>
      <c r="BD3104" s="308" t="s">
        <v>1844</v>
      </c>
      <c r="BE3104" s="436"/>
      <c r="BF3104" s="274" t="str">
        <f>IFERROR(__xludf.DUMMYFUNCTION("LOWER(Regexreplace(to_text(E3104),""[^A-Za-z0-9]"","""")&amp;""_""&amp;Regexreplace(to_text(F3104),""[^A-Za-z0-9]"",""""))"),"aquagen_evcbseries")</f>
        <v>aquagen_evcbseries</v>
      </c>
      <c r="BG3104" s="275" t="str">
        <f>IFERROR(__xludf.DUMMYFUNCTION("upper(Regexreplace(to_text(E3104),""[^A-Za-z0-9]"","""")&amp;""-""&amp;Regexreplace(to_text(F3104),""[^A-Za-z0-9]"",""""))"),"AQUAGEN-EVCBSERIES")</f>
        <v>AQUAGEN-EVCBSERIES</v>
      </c>
    </row>
    <row r="3105" ht="30.0" customHeight="1">
      <c r="A3105" s="425">
        <v>2690.0</v>
      </c>
      <c r="B3105" s="425" t="s">
        <v>670</v>
      </c>
      <c r="C3105" s="257" t="s">
        <v>9601</v>
      </c>
      <c r="D3105" s="173" t="s">
        <v>9602</v>
      </c>
      <c r="E3105" s="174" t="s">
        <v>9097</v>
      </c>
      <c r="F3105" s="173" t="s">
        <v>2862</v>
      </c>
      <c r="G3105" s="425" t="s">
        <v>673</v>
      </c>
      <c r="H3105" s="425" t="s">
        <v>2863</v>
      </c>
      <c r="I3105" s="258" t="s">
        <v>9445</v>
      </c>
      <c r="J3105" s="259" t="s">
        <v>965</v>
      </c>
      <c r="K3105" s="260" t="s">
        <v>9593</v>
      </c>
      <c r="L3105" s="442"/>
      <c r="M3105" s="426"/>
      <c r="N3105" s="173" t="s">
        <v>679</v>
      </c>
      <c r="O3105" s="173" t="s">
        <v>225</v>
      </c>
      <c r="P3105" s="262" t="str">
        <f t="shared" si="1"/>
        <v>IN-BLR-ANANTA-FAN-53_3</v>
      </c>
      <c r="Q3105" s="173" t="s">
        <v>9603</v>
      </c>
      <c r="R3105" s="425" t="str">
        <f>IFS(C3105="","",C3105="n/a","N/A",LEN(C3105),Concatenate("{",char(34),"asset",char(34),":{",char(34),"guid",char(34),":",char(34),Q3105,char(34),",",char(34),"site",char(34),":",char(34),LOWER('2-Building'!$B$4),char(34),",",char(34),"name",char(34),":",char(34),LOWER(C3105),char(34),"}}"))</f>
        <v>{"asset":{"guid":"uuid://20e896fb-0763-4197-9496-0884f9f611d9","site":"in-blr-ananta","name":"fan-53"}}</v>
      </c>
      <c r="S3105" s="369" t="s">
        <v>2866</v>
      </c>
      <c r="T3105" s="427"/>
      <c r="U3105" s="427"/>
      <c r="V3105" s="428"/>
      <c r="W3105" s="429"/>
      <c r="X3105" s="430"/>
      <c r="Y3105" s="33" t="s">
        <v>8076</v>
      </c>
      <c r="Z3105" s="430"/>
      <c r="AA3105" s="430"/>
      <c r="AB3105" s="258">
        <v>8.0</v>
      </c>
      <c r="AC3105" s="430"/>
      <c r="AD3105" s="426"/>
      <c r="AE3105" s="428"/>
      <c r="AF3105" s="431"/>
      <c r="AG3105" s="432"/>
      <c r="AH3105" s="430"/>
      <c r="AI3105" s="430"/>
      <c r="AJ3105" s="430"/>
      <c r="AK3105" s="430"/>
      <c r="AL3105" s="430"/>
      <c r="AM3105" s="433"/>
      <c r="AN3105" s="430"/>
      <c r="AO3105" s="430"/>
      <c r="AP3105" s="430"/>
      <c r="AQ3105" s="430"/>
      <c r="AR3105" s="430"/>
      <c r="AS3105" s="430"/>
      <c r="AT3105" s="430"/>
      <c r="AU3105" s="426"/>
      <c r="AV3105" s="434"/>
      <c r="AW3105" s="269" t="s">
        <v>1664</v>
      </c>
      <c r="AX3105" s="269" t="s">
        <v>2869</v>
      </c>
      <c r="AY3105" s="270" t="s">
        <v>695</v>
      </c>
      <c r="AZ3105" s="435"/>
      <c r="BA3105" s="173">
        <v>10.0</v>
      </c>
      <c r="BB3105" s="434"/>
      <c r="BC3105" s="434"/>
      <c r="BD3105" s="308" t="s">
        <v>1844</v>
      </c>
      <c r="BE3105" s="436"/>
      <c r="BF3105" s="274" t="str">
        <f>IFERROR(__xludf.DUMMYFUNCTION("LOWER(Regexreplace(to_text(E3105),""[^A-Za-z0-9]"","""")&amp;""_""&amp;Regexreplace(to_text(F3105),""[^A-Za-z0-9]"",""""))"),"aquagen_evcbseries")</f>
        <v>aquagen_evcbseries</v>
      </c>
      <c r="BG3105" s="275" t="str">
        <f>IFERROR(__xludf.DUMMYFUNCTION("upper(Regexreplace(to_text(E3105),""[^A-Za-z0-9]"","""")&amp;""-""&amp;Regexreplace(to_text(F3105),""[^A-Za-z0-9]"",""""))"),"AQUAGEN-EVCBSERIES")</f>
        <v>AQUAGEN-EVCBSERIES</v>
      </c>
    </row>
    <row r="3106" ht="30.0" customHeight="1">
      <c r="A3106" s="328">
        <v>2690.0</v>
      </c>
      <c r="B3106" s="425" t="s">
        <v>670</v>
      </c>
      <c r="C3106" s="257" t="s">
        <v>9604</v>
      </c>
      <c r="D3106" s="173" t="s">
        <v>9605</v>
      </c>
      <c r="E3106" s="174" t="s">
        <v>9097</v>
      </c>
      <c r="F3106" s="173" t="s">
        <v>2862</v>
      </c>
      <c r="G3106" s="425" t="s">
        <v>673</v>
      </c>
      <c r="H3106" s="425" t="s">
        <v>2863</v>
      </c>
      <c r="I3106" s="258" t="s">
        <v>9445</v>
      </c>
      <c r="J3106" s="259" t="s">
        <v>965</v>
      </c>
      <c r="K3106" s="260" t="s">
        <v>9593</v>
      </c>
      <c r="L3106" s="442"/>
      <c r="M3106" s="426"/>
      <c r="N3106" s="173" t="s">
        <v>679</v>
      </c>
      <c r="O3106" s="173" t="s">
        <v>225</v>
      </c>
      <c r="P3106" s="262" t="str">
        <f t="shared" si="1"/>
        <v>IN-BLR-ANANTA-FAN-54_3</v>
      </c>
      <c r="Q3106" s="173" t="s">
        <v>9606</v>
      </c>
      <c r="R3106" s="425" t="str">
        <f>IFS(C3106="","",C3106="n/a","N/A",LEN(C3106),Concatenate("{",char(34),"asset",char(34),":{",char(34),"guid",char(34),":",char(34),Q3106,char(34),",",char(34),"site",char(34),":",char(34),LOWER('2-Building'!$B$4),char(34),",",char(34),"name",char(34),":",char(34),LOWER(C3106),char(34),"}}"))</f>
        <v>{"asset":{"guid":"uuid://fc5ff88f-fa89-4c47-8794-a8eda516d06f","site":"in-blr-ananta","name":"fan-54"}}</v>
      </c>
      <c r="S3106" s="369" t="s">
        <v>2866</v>
      </c>
      <c r="T3106" s="427"/>
      <c r="U3106" s="427"/>
      <c r="V3106" s="428"/>
      <c r="W3106" s="429"/>
      <c r="X3106" s="430"/>
      <c r="Y3106" s="33" t="s">
        <v>8076</v>
      </c>
      <c r="Z3106" s="430"/>
      <c r="AA3106" s="430"/>
      <c r="AB3106" s="258">
        <v>9.0</v>
      </c>
      <c r="AC3106" s="430"/>
      <c r="AD3106" s="426"/>
      <c r="AE3106" s="428"/>
      <c r="AF3106" s="431"/>
      <c r="AG3106" s="432"/>
      <c r="AH3106" s="430"/>
      <c r="AI3106" s="430"/>
      <c r="AJ3106" s="430"/>
      <c r="AK3106" s="430"/>
      <c r="AL3106" s="430"/>
      <c r="AM3106" s="433"/>
      <c r="AN3106" s="430"/>
      <c r="AO3106" s="430"/>
      <c r="AP3106" s="430"/>
      <c r="AQ3106" s="430"/>
      <c r="AR3106" s="430"/>
      <c r="AS3106" s="430"/>
      <c r="AT3106" s="430"/>
      <c r="AU3106" s="426"/>
      <c r="AV3106" s="434"/>
      <c r="AW3106" s="269" t="s">
        <v>1664</v>
      </c>
      <c r="AX3106" s="269" t="s">
        <v>2869</v>
      </c>
      <c r="AY3106" s="270" t="s">
        <v>695</v>
      </c>
      <c r="AZ3106" s="435"/>
      <c r="BA3106" s="173">
        <v>10.0</v>
      </c>
      <c r="BB3106" s="434"/>
      <c r="BC3106" s="434"/>
      <c r="BD3106" s="308" t="s">
        <v>1844</v>
      </c>
      <c r="BE3106" s="436"/>
      <c r="BF3106" s="274" t="str">
        <f>IFERROR(__xludf.DUMMYFUNCTION("LOWER(Regexreplace(to_text(E3106),""[^A-Za-z0-9]"","""")&amp;""_""&amp;Regexreplace(to_text(F3106),""[^A-Za-z0-9]"",""""))"),"aquagen_evcbseries")</f>
        <v>aquagen_evcbseries</v>
      </c>
      <c r="BG3106" s="275" t="str">
        <f>IFERROR(__xludf.DUMMYFUNCTION("upper(Regexreplace(to_text(E3106),""[^A-Za-z0-9]"","""")&amp;""-""&amp;Regexreplace(to_text(F3106),""[^A-Za-z0-9]"",""""))"),"AQUAGEN-EVCBSERIES")</f>
        <v>AQUAGEN-EVCBSERIES</v>
      </c>
    </row>
    <row r="3107" ht="30.0" customHeight="1">
      <c r="A3107" s="328">
        <v>2690.0</v>
      </c>
      <c r="B3107" s="425" t="s">
        <v>670</v>
      </c>
      <c r="C3107" s="257" t="s">
        <v>9607</v>
      </c>
      <c r="D3107" s="173" t="s">
        <v>9608</v>
      </c>
      <c r="E3107" s="174" t="s">
        <v>9097</v>
      </c>
      <c r="F3107" s="173" t="s">
        <v>2862</v>
      </c>
      <c r="G3107" s="425" t="s">
        <v>673</v>
      </c>
      <c r="H3107" s="425" t="s">
        <v>2863</v>
      </c>
      <c r="I3107" s="258" t="s">
        <v>9445</v>
      </c>
      <c r="J3107" s="259" t="s">
        <v>965</v>
      </c>
      <c r="K3107" s="260" t="s">
        <v>9593</v>
      </c>
      <c r="L3107" s="442"/>
      <c r="M3107" s="426"/>
      <c r="N3107" s="173" t="s">
        <v>679</v>
      </c>
      <c r="O3107" s="173" t="s">
        <v>225</v>
      </c>
      <c r="P3107" s="262" t="str">
        <f t="shared" si="1"/>
        <v>IN-BLR-ANANTA-FAN-55_3</v>
      </c>
      <c r="Q3107" s="173" t="s">
        <v>9609</v>
      </c>
      <c r="R3107" s="425" t="str">
        <f>IFS(C3107="","",C3107="n/a","N/A",LEN(C3107),Concatenate("{",char(34),"asset",char(34),":{",char(34),"guid",char(34),":",char(34),Q3107,char(34),",",char(34),"site",char(34),":",char(34),LOWER('2-Building'!$B$4),char(34),",",char(34),"name",char(34),":",char(34),LOWER(C3107),char(34),"}}"))</f>
        <v>{"asset":{"guid":"uuid://1057f2b1-1d4f-4af5-8a1a-5c6be1d58bc7","site":"in-blr-ananta","name":"fan-55"}}</v>
      </c>
      <c r="S3107" s="369" t="s">
        <v>2866</v>
      </c>
      <c r="T3107" s="427"/>
      <c r="U3107" s="427"/>
      <c r="V3107" s="428"/>
      <c r="W3107" s="429"/>
      <c r="X3107" s="430"/>
      <c r="Y3107" s="33" t="s">
        <v>8076</v>
      </c>
      <c r="Z3107" s="430"/>
      <c r="AA3107" s="430"/>
      <c r="AB3107" s="258">
        <v>10.0</v>
      </c>
      <c r="AC3107" s="430"/>
      <c r="AD3107" s="426"/>
      <c r="AE3107" s="428"/>
      <c r="AF3107" s="431"/>
      <c r="AG3107" s="432"/>
      <c r="AH3107" s="430"/>
      <c r="AI3107" s="430"/>
      <c r="AJ3107" s="430"/>
      <c r="AK3107" s="430"/>
      <c r="AL3107" s="430"/>
      <c r="AM3107" s="433"/>
      <c r="AN3107" s="430"/>
      <c r="AO3107" s="430"/>
      <c r="AP3107" s="430"/>
      <c r="AQ3107" s="430"/>
      <c r="AR3107" s="430"/>
      <c r="AS3107" s="430"/>
      <c r="AT3107" s="430"/>
      <c r="AU3107" s="426"/>
      <c r="AV3107" s="434"/>
      <c r="AW3107" s="269" t="s">
        <v>1664</v>
      </c>
      <c r="AX3107" s="269" t="s">
        <v>2869</v>
      </c>
      <c r="AY3107" s="270" t="s">
        <v>695</v>
      </c>
      <c r="AZ3107" s="435"/>
      <c r="BA3107" s="173">
        <v>10.0</v>
      </c>
      <c r="BB3107" s="434"/>
      <c r="BC3107" s="434"/>
      <c r="BD3107" s="308" t="s">
        <v>1844</v>
      </c>
      <c r="BE3107" s="436"/>
      <c r="BF3107" s="274" t="str">
        <f>IFERROR(__xludf.DUMMYFUNCTION("LOWER(Regexreplace(to_text(E3107),""[^A-Za-z0-9]"","""")&amp;""_""&amp;Regexreplace(to_text(F3107),""[^A-Za-z0-9]"",""""))"),"aquagen_evcbseries")</f>
        <v>aquagen_evcbseries</v>
      </c>
      <c r="BG3107" s="275" t="str">
        <f>IFERROR(__xludf.DUMMYFUNCTION("upper(Regexreplace(to_text(E3107),""[^A-Za-z0-9]"","""")&amp;""-""&amp;Regexreplace(to_text(F3107),""[^A-Za-z0-9]"",""""))"),"AQUAGEN-EVCBSERIES")</f>
        <v>AQUAGEN-EVCBSERIES</v>
      </c>
    </row>
    <row r="3108" ht="30.0" customHeight="1">
      <c r="A3108" s="328">
        <v>2690.0</v>
      </c>
      <c r="B3108" s="425" t="s">
        <v>670</v>
      </c>
      <c r="C3108" s="257" t="s">
        <v>9610</v>
      </c>
      <c r="D3108" s="173" t="s">
        <v>9611</v>
      </c>
      <c r="E3108" s="174" t="s">
        <v>9097</v>
      </c>
      <c r="F3108" s="173" t="s">
        <v>2862</v>
      </c>
      <c r="G3108" s="425" t="s">
        <v>673</v>
      </c>
      <c r="H3108" s="425" t="s">
        <v>2863</v>
      </c>
      <c r="I3108" s="258" t="s">
        <v>9445</v>
      </c>
      <c r="J3108" s="259" t="s">
        <v>846</v>
      </c>
      <c r="K3108" s="260">
        <v>175.0</v>
      </c>
      <c r="L3108" s="442"/>
      <c r="M3108" s="426"/>
      <c r="N3108" s="173" t="s">
        <v>679</v>
      </c>
      <c r="O3108" s="173" t="s">
        <v>225</v>
      </c>
      <c r="P3108" s="262" t="str">
        <f t="shared" si="1"/>
        <v>IN-BLR-ANANTA-FAN-56_1</v>
      </c>
      <c r="Q3108" s="173" t="s">
        <v>9612</v>
      </c>
      <c r="R3108" s="425" t="str">
        <f>IFS(C3108="","",C3108="n/a","N/A",LEN(C3108),Concatenate("{",char(34),"asset",char(34),":{",char(34),"guid",char(34),":",char(34),Q3108,char(34),",",char(34),"site",char(34),":",char(34),LOWER('2-Building'!$B$4),char(34),",",char(34),"name",char(34),":",char(34),LOWER(C3108),char(34),"}}"))</f>
        <v>{"asset":{"guid":"uuid://acb01c38-c790-40b7-8979-8269afc36729","site":"in-blr-ananta","name":"fan-56"}}</v>
      </c>
      <c r="S3108" s="369" t="s">
        <v>2866</v>
      </c>
      <c r="T3108" s="427"/>
      <c r="U3108" s="427"/>
      <c r="V3108" s="428"/>
      <c r="W3108" s="429"/>
      <c r="X3108" s="430"/>
      <c r="Y3108" s="33" t="s">
        <v>8076</v>
      </c>
      <c r="Z3108" s="430"/>
      <c r="AA3108" s="430"/>
      <c r="AB3108" s="258">
        <v>110.0</v>
      </c>
      <c r="AC3108" s="430"/>
      <c r="AD3108" s="426"/>
      <c r="AE3108" s="428"/>
      <c r="AF3108" s="431"/>
      <c r="AG3108" s="432" t="str">
        <f>IFS(LEN(AF3108)=17,LOWER('2-Building'!$B$4 &amp; "-" &amp; C3108), AF3108="N/A", "N/A", LEN(AF3108)=0,"")</f>
        <v/>
      </c>
      <c r="AH3108" s="430"/>
      <c r="AI3108" s="430"/>
      <c r="AJ3108" s="430"/>
      <c r="AK3108" s="430"/>
      <c r="AL3108" s="430"/>
      <c r="AM3108" s="433"/>
      <c r="AN3108" s="430"/>
      <c r="AO3108" s="430"/>
      <c r="AP3108" s="430"/>
      <c r="AQ3108" s="430"/>
      <c r="AR3108" s="430"/>
      <c r="AS3108" s="430"/>
      <c r="AT3108" s="430"/>
      <c r="AU3108" s="426"/>
      <c r="AV3108" s="434"/>
      <c r="AW3108" s="269" t="s">
        <v>1664</v>
      </c>
      <c r="AX3108" s="269" t="s">
        <v>2869</v>
      </c>
      <c r="AY3108" s="270" t="s">
        <v>695</v>
      </c>
      <c r="AZ3108" s="435"/>
      <c r="BA3108" s="173">
        <v>10.0</v>
      </c>
      <c r="BB3108" s="434"/>
      <c r="BC3108" s="434"/>
      <c r="BD3108" s="308" t="s">
        <v>1844</v>
      </c>
      <c r="BE3108" s="436"/>
      <c r="BF3108" s="274" t="str">
        <f>IFERROR(__xludf.DUMMYFUNCTION("LOWER(Regexreplace(to_text(E3108),""[^A-Za-z0-9]"","""")&amp;""_""&amp;Regexreplace(to_text(F3108),""[^A-Za-z0-9]"",""""))"),"aquagen_evcbseries")</f>
        <v>aquagen_evcbseries</v>
      </c>
      <c r="BG3108" s="275" t="str">
        <f>IFERROR(__xludf.DUMMYFUNCTION("upper(Regexreplace(to_text(E3108),""[^A-Za-z0-9]"","""")&amp;""-""&amp;Regexreplace(to_text(F3108),""[^A-Za-z0-9]"",""""))"),"AQUAGEN-EVCBSERIES")</f>
        <v>AQUAGEN-EVCBSERIES</v>
      </c>
    </row>
    <row r="3109" ht="30.0" customHeight="1">
      <c r="A3109" s="425">
        <v>2690.0</v>
      </c>
      <c r="B3109" s="425" t="s">
        <v>670</v>
      </c>
      <c r="C3109" s="257" t="s">
        <v>9613</v>
      </c>
      <c r="D3109" s="173" t="s">
        <v>9614</v>
      </c>
      <c r="E3109" s="174" t="s">
        <v>9097</v>
      </c>
      <c r="F3109" s="173" t="s">
        <v>2862</v>
      </c>
      <c r="G3109" s="425" t="s">
        <v>673</v>
      </c>
      <c r="H3109" s="425" t="s">
        <v>2863</v>
      </c>
      <c r="I3109" s="258" t="s">
        <v>9445</v>
      </c>
      <c r="J3109" s="259" t="s">
        <v>846</v>
      </c>
      <c r="K3109" s="260">
        <v>175.0</v>
      </c>
      <c r="L3109" s="442"/>
      <c r="M3109" s="426"/>
      <c r="N3109" s="173" t="s">
        <v>679</v>
      </c>
      <c r="O3109" s="173" t="s">
        <v>225</v>
      </c>
      <c r="P3109" s="262" t="str">
        <f t="shared" si="1"/>
        <v>IN-BLR-ANANTA-FAN-57_1</v>
      </c>
      <c r="Q3109" s="173" t="s">
        <v>9615</v>
      </c>
      <c r="R3109" s="433" t="str">
        <f>IFS(C3109="","",C3109="n/a","N/A",LEN(C3109),Concatenate("{",char(34),"asset",char(34),":{",char(34),"guid",char(34),":",char(34),Q3109,char(34),",",char(34),"site",char(34),":",char(34),LOWER('2-Building'!$B$4),char(34),",",char(34),"name",char(34),":",char(34),LOWER(C3109),char(34),"}}"))</f>
        <v>{"asset":{"guid":"uuid://8bf4852b-ddd0-473a-977d-e2e417048406","site":"in-blr-ananta","name":"fan-57"}}</v>
      </c>
      <c r="S3109" s="369" t="s">
        <v>2866</v>
      </c>
      <c r="T3109" s="427"/>
      <c r="U3109" s="427"/>
      <c r="V3109" s="428"/>
      <c r="W3109" s="429"/>
      <c r="X3109" s="430"/>
      <c r="Y3109" s="33" t="s">
        <v>8076</v>
      </c>
      <c r="Z3109" s="430"/>
      <c r="AA3109" s="430"/>
      <c r="AB3109" s="258">
        <v>111.0</v>
      </c>
      <c r="AC3109" s="430"/>
      <c r="AD3109" s="426"/>
      <c r="AE3109" s="428"/>
      <c r="AF3109" s="431"/>
      <c r="AG3109" s="432" t="str">
        <f>IFS(LEN(AF3109)=17,LOWER('2-Building'!$B$4 &amp; "-" &amp; C3109), AF3109="N/A", "N/A", LEN(AF3109)=0,"")</f>
        <v/>
      </c>
      <c r="AH3109" s="430"/>
      <c r="AI3109" s="430"/>
      <c r="AJ3109" s="430"/>
      <c r="AK3109" s="430"/>
      <c r="AL3109" s="430"/>
      <c r="AM3109" s="433"/>
      <c r="AN3109" s="430"/>
      <c r="AO3109" s="430"/>
      <c r="AP3109" s="430"/>
      <c r="AQ3109" s="430"/>
      <c r="AR3109" s="430"/>
      <c r="AS3109" s="430"/>
      <c r="AT3109" s="430"/>
      <c r="AU3109" s="426"/>
      <c r="AV3109" s="434"/>
      <c r="AW3109" s="269" t="s">
        <v>1664</v>
      </c>
      <c r="AX3109" s="269" t="s">
        <v>2869</v>
      </c>
      <c r="AY3109" s="270" t="s">
        <v>695</v>
      </c>
      <c r="AZ3109" s="435"/>
      <c r="BA3109" s="173">
        <v>10.0</v>
      </c>
      <c r="BB3109" s="434"/>
      <c r="BC3109" s="434"/>
      <c r="BD3109" s="308" t="s">
        <v>1844</v>
      </c>
      <c r="BE3109" s="436"/>
      <c r="BF3109" s="274" t="str">
        <f>IFERROR(__xludf.DUMMYFUNCTION("LOWER(Regexreplace(to_text(E3109),""[^A-Za-z0-9]"","""")&amp;""_""&amp;Regexreplace(to_text(F3109),""[^A-Za-z0-9]"",""""))"),"aquagen_evcbseries")</f>
        <v>aquagen_evcbseries</v>
      </c>
      <c r="BG3109" s="275" t="str">
        <f>IFERROR(__xludf.DUMMYFUNCTION("upper(Regexreplace(to_text(E3109),""[^A-Za-z0-9]"","""")&amp;""-""&amp;Regexreplace(to_text(F3109),""[^A-Za-z0-9]"",""""))"),"AQUAGEN-EVCBSERIES")</f>
        <v>AQUAGEN-EVCBSERIES</v>
      </c>
    </row>
    <row r="3110" ht="30.0" customHeight="1">
      <c r="A3110" s="328">
        <v>2690.0</v>
      </c>
      <c r="B3110" s="425" t="s">
        <v>670</v>
      </c>
      <c r="C3110" s="257" t="s">
        <v>9616</v>
      </c>
      <c r="D3110" s="173" t="s">
        <v>9617</v>
      </c>
      <c r="E3110" s="174" t="s">
        <v>9097</v>
      </c>
      <c r="F3110" s="173" t="s">
        <v>2862</v>
      </c>
      <c r="G3110" s="425" t="s">
        <v>673</v>
      </c>
      <c r="H3110" s="425" t="s">
        <v>2863</v>
      </c>
      <c r="I3110" s="258" t="s">
        <v>9445</v>
      </c>
      <c r="J3110" s="259" t="s">
        <v>846</v>
      </c>
      <c r="K3110" s="260">
        <v>175.0</v>
      </c>
      <c r="L3110" s="442"/>
      <c r="M3110" s="426"/>
      <c r="N3110" s="173" t="s">
        <v>679</v>
      </c>
      <c r="O3110" s="173" t="s">
        <v>225</v>
      </c>
      <c r="P3110" s="262" t="str">
        <f t="shared" si="1"/>
        <v>IN-BLR-ANANTA-FAN-58_1</v>
      </c>
      <c r="Q3110" s="173" t="s">
        <v>9618</v>
      </c>
      <c r="R3110" s="425" t="str">
        <f>IFS(C3110="","",C3110="n/a","N/A",LEN(C3110),Concatenate("{",char(34),"asset",char(34),":{",char(34),"guid",char(34),":",char(34),Q3110,char(34),",",char(34),"site",char(34),":",char(34),LOWER('2-Building'!$B$4),char(34),",",char(34),"name",char(34),":",char(34),LOWER(C3110),char(34),"}}"))</f>
        <v>{"asset":{"guid":"uuid://91fdb6bb-f495-4897-9942-8a665ff98ad4","site":"in-blr-ananta","name":"fan-58"}}</v>
      </c>
      <c r="S3110" s="369" t="s">
        <v>2866</v>
      </c>
      <c r="T3110" s="427"/>
      <c r="U3110" s="427"/>
      <c r="V3110" s="428"/>
      <c r="W3110" s="429"/>
      <c r="X3110" s="430"/>
      <c r="Y3110" s="33" t="s">
        <v>8076</v>
      </c>
      <c r="Z3110" s="430"/>
      <c r="AA3110" s="430"/>
      <c r="AB3110" s="258">
        <v>112.0</v>
      </c>
      <c r="AC3110" s="430"/>
      <c r="AD3110" s="426"/>
      <c r="AE3110" s="428"/>
      <c r="AF3110" s="431"/>
      <c r="AG3110" s="432" t="str">
        <f>IFS(LEN(AF3110)=17,LOWER('2-Building'!$B$4 &amp; "-" &amp; C3110), AF3110="N/A", "N/A", LEN(AF3110)=0,"")</f>
        <v/>
      </c>
      <c r="AH3110" s="430"/>
      <c r="AI3110" s="430"/>
      <c r="AJ3110" s="430"/>
      <c r="AK3110" s="430"/>
      <c r="AL3110" s="430"/>
      <c r="AM3110" s="433"/>
      <c r="AN3110" s="430"/>
      <c r="AO3110" s="430"/>
      <c r="AP3110" s="430"/>
      <c r="AQ3110" s="430"/>
      <c r="AR3110" s="430"/>
      <c r="AS3110" s="430"/>
      <c r="AT3110" s="430"/>
      <c r="AU3110" s="426"/>
      <c r="AV3110" s="434"/>
      <c r="AW3110" s="269" t="s">
        <v>1664</v>
      </c>
      <c r="AX3110" s="269" t="s">
        <v>2869</v>
      </c>
      <c r="AY3110" s="270" t="s">
        <v>695</v>
      </c>
      <c r="AZ3110" s="435"/>
      <c r="BA3110" s="173">
        <v>10.0</v>
      </c>
      <c r="BB3110" s="434"/>
      <c r="BC3110" s="434"/>
      <c r="BD3110" s="308" t="s">
        <v>1844</v>
      </c>
      <c r="BE3110" s="436"/>
      <c r="BF3110" s="274" t="str">
        <f>IFERROR(__xludf.DUMMYFUNCTION("LOWER(Regexreplace(to_text(E3110),""[^A-Za-z0-9]"","""")&amp;""_""&amp;Regexreplace(to_text(F3110),""[^A-Za-z0-9]"",""""))"),"aquagen_evcbseries")</f>
        <v>aquagen_evcbseries</v>
      </c>
      <c r="BG3110" s="275" t="str">
        <f>IFERROR(__xludf.DUMMYFUNCTION("upper(Regexreplace(to_text(E3110),""[^A-Za-z0-9]"","""")&amp;""-""&amp;Regexreplace(to_text(F3110),""[^A-Za-z0-9]"",""""))"),"AQUAGEN-EVCBSERIES")</f>
        <v>AQUAGEN-EVCBSERIES</v>
      </c>
    </row>
    <row r="3111" ht="30.0" customHeight="1">
      <c r="A3111" s="173">
        <v>2689.0</v>
      </c>
      <c r="B3111" s="328" t="s">
        <v>670</v>
      </c>
      <c r="C3111" s="257" t="s">
        <v>9619</v>
      </c>
      <c r="D3111" s="173" t="s">
        <v>9620</v>
      </c>
      <c r="E3111" s="174" t="s">
        <v>2861</v>
      </c>
      <c r="F3111" s="173" t="s">
        <v>2862</v>
      </c>
      <c r="G3111" s="328" t="s">
        <v>673</v>
      </c>
      <c r="H3111" s="328" t="s">
        <v>2863</v>
      </c>
      <c r="I3111" s="258" t="s">
        <v>9445</v>
      </c>
      <c r="J3111" s="259" t="s">
        <v>846</v>
      </c>
      <c r="K3111" s="260">
        <v>175.0</v>
      </c>
      <c r="L3111" s="366"/>
      <c r="M3111" s="329"/>
      <c r="N3111" s="173" t="s">
        <v>679</v>
      </c>
      <c r="O3111" s="173" t="s">
        <v>225</v>
      </c>
      <c r="P3111" s="262" t="str">
        <f t="shared" si="1"/>
        <v>IN-BLR-ANANTA-FAN-59_1</v>
      </c>
      <c r="Q3111" s="173" t="s">
        <v>9621</v>
      </c>
      <c r="R3111" s="328" t="str">
        <f>IFS(C3111="","",C3111="n/a","N/A",LEN(C3111),Concatenate("{",char(34),"asset",char(34),":{",char(34),"guid",char(34),":",char(34),Q3111,char(34),",",char(34),"site",char(34),":",char(34),LOWER('2-Building'!$B$4),char(34),",",char(34),"name",char(34),":",char(34),LOWER(C3111),char(34),"}}"))</f>
        <v>{"asset":{"guid":"uuid://e2b716bf-febd-4149-8df8-3de238ae446d","site":"in-blr-ananta","name":"fan-59"}}</v>
      </c>
      <c r="S3111" s="369" t="s">
        <v>2866</v>
      </c>
      <c r="T3111" s="330"/>
      <c r="U3111" s="330"/>
      <c r="V3111" s="331"/>
      <c r="W3111" s="332"/>
      <c r="X3111" s="333"/>
      <c r="Y3111" s="33" t="s">
        <v>8076</v>
      </c>
      <c r="Z3111" s="368"/>
      <c r="AA3111" s="333"/>
      <c r="AB3111" s="258">
        <v>113.0</v>
      </c>
      <c r="AC3111" s="333"/>
      <c r="AD3111" s="329"/>
      <c r="AE3111" s="331"/>
      <c r="AF3111" s="336"/>
      <c r="AG3111" s="337" t="str">
        <f>IFS(LEN(AF3111)=17,LOWER('2-Building'!$B$4 &amp; "-" &amp; C3111), AF3111="N/A", "N/A", LEN(AF3111)=0,"")</f>
        <v/>
      </c>
      <c r="AH3111" s="333"/>
      <c r="AI3111" s="333"/>
      <c r="AJ3111" s="333"/>
      <c r="AK3111" s="333"/>
      <c r="AL3111" s="333"/>
      <c r="AM3111" s="338"/>
      <c r="AN3111" s="333"/>
      <c r="AO3111" s="333"/>
      <c r="AP3111" s="333"/>
      <c r="AQ3111" s="333"/>
      <c r="AR3111" s="333"/>
      <c r="AS3111" s="333"/>
      <c r="AT3111" s="333"/>
      <c r="AU3111" s="329"/>
      <c r="AV3111" s="341"/>
      <c r="AW3111" s="269" t="s">
        <v>1664</v>
      </c>
      <c r="AX3111" s="269" t="s">
        <v>2869</v>
      </c>
      <c r="AY3111" s="270" t="s">
        <v>695</v>
      </c>
      <c r="AZ3111" s="379"/>
      <c r="BA3111" s="173">
        <v>10.0</v>
      </c>
      <c r="BB3111" s="341"/>
      <c r="BC3111" s="341"/>
      <c r="BD3111" s="308" t="s">
        <v>1844</v>
      </c>
      <c r="BE3111" s="364"/>
      <c r="BF3111" s="274" t="str">
        <f>IFERROR(__xludf.DUMMYFUNCTION("LOWER(Regexreplace(to_text(E3111),""[^A-Za-z0-9]"","""")&amp;""_""&amp;Regexreplace(to_text(F3111),""[^A-Za-z0-9]"",""""))"),"neptronic_evcbseries")</f>
        <v>neptronic_evcbseries</v>
      </c>
      <c r="BG3111" s="275" t="str">
        <f>IFERROR(__xludf.DUMMYFUNCTION("upper(Regexreplace(to_text(E3111),""[^A-Za-z0-9]"","""")&amp;""-""&amp;Regexreplace(to_text(F3111),""[^A-Za-z0-9]"",""""))"),"NEPTRONIC-EVCBSERIES")</f>
        <v>NEPTRONIC-EVCBSERIES</v>
      </c>
    </row>
    <row r="3112" ht="30.0" customHeight="1">
      <c r="A3112" s="173">
        <v>2691.0</v>
      </c>
      <c r="B3112" s="328" t="s">
        <v>670</v>
      </c>
      <c r="C3112" s="257" t="s">
        <v>9622</v>
      </c>
      <c r="D3112" s="173" t="s">
        <v>9623</v>
      </c>
      <c r="E3112" s="174" t="s">
        <v>2861</v>
      </c>
      <c r="F3112" s="173" t="s">
        <v>2862</v>
      </c>
      <c r="G3112" s="328" t="s">
        <v>673</v>
      </c>
      <c r="H3112" s="328" t="s">
        <v>2863</v>
      </c>
      <c r="I3112" s="258" t="s">
        <v>9445</v>
      </c>
      <c r="J3112" s="259" t="s">
        <v>846</v>
      </c>
      <c r="K3112" s="260">
        <v>175.0</v>
      </c>
      <c r="L3112" s="366"/>
      <c r="M3112" s="329"/>
      <c r="N3112" s="173" t="s">
        <v>679</v>
      </c>
      <c r="O3112" s="173" t="s">
        <v>225</v>
      </c>
      <c r="P3112" s="262" t="str">
        <f t="shared" si="1"/>
        <v>IN-BLR-ANANTA-FAN-60_1</v>
      </c>
      <c r="Q3112" s="173" t="s">
        <v>9624</v>
      </c>
      <c r="R3112" s="328" t="str">
        <f>IFS(C3112="","",C3112="n/a","N/A",LEN(C3112),Concatenate("{",char(34),"asset",char(34),":{",char(34),"guid",char(34),":",char(34),Q3112,char(34),",",char(34),"site",char(34),":",char(34),LOWER('2-Building'!$B$4),char(34),",",char(34),"name",char(34),":",char(34),LOWER(C3112),char(34),"}}"))</f>
        <v>{"asset":{"guid":"uuid://5b2dd798-403e-4abe-b28e-358d4c9c9649","site":"in-blr-ananta","name":"fan-60"}}</v>
      </c>
      <c r="S3112" s="369" t="s">
        <v>2866</v>
      </c>
      <c r="T3112" s="330"/>
      <c r="U3112" s="330"/>
      <c r="V3112" s="331"/>
      <c r="W3112" s="332"/>
      <c r="X3112" s="333"/>
      <c r="Y3112" s="33" t="s">
        <v>8076</v>
      </c>
      <c r="Z3112" s="368"/>
      <c r="AA3112" s="333"/>
      <c r="AB3112" s="258">
        <v>114.0</v>
      </c>
      <c r="AC3112" s="333"/>
      <c r="AD3112" s="329"/>
      <c r="AE3112" s="331"/>
      <c r="AF3112" s="336"/>
      <c r="AG3112" s="337" t="str">
        <f>IFS(LEN(AF3112)=17,LOWER('2-Building'!$B$4 &amp; "-" &amp; C3112), AF3112="N/A", "N/A", LEN(AF3112)=0,"")</f>
        <v/>
      </c>
      <c r="AH3112" s="333"/>
      <c r="AI3112" s="333"/>
      <c r="AJ3112" s="333"/>
      <c r="AK3112" s="333"/>
      <c r="AL3112" s="333"/>
      <c r="AM3112" s="338"/>
      <c r="AN3112" s="333"/>
      <c r="AO3112" s="333"/>
      <c r="AP3112" s="333"/>
      <c r="AQ3112" s="333"/>
      <c r="AR3112" s="333"/>
      <c r="AS3112" s="333"/>
      <c r="AT3112" s="333"/>
      <c r="AU3112" s="329"/>
      <c r="AV3112" s="341"/>
      <c r="AW3112" s="269" t="s">
        <v>1664</v>
      </c>
      <c r="AX3112" s="269" t="s">
        <v>2869</v>
      </c>
      <c r="AY3112" s="270" t="s">
        <v>695</v>
      </c>
      <c r="AZ3112" s="379"/>
      <c r="BA3112" s="173">
        <v>10.0</v>
      </c>
      <c r="BB3112" s="341"/>
      <c r="BC3112" s="341"/>
      <c r="BD3112" s="308" t="s">
        <v>1844</v>
      </c>
      <c r="BE3112" s="364"/>
      <c r="BF3112" s="274" t="str">
        <f>IFERROR(__xludf.DUMMYFUNCTION("LOWER(Regexreplace(to_text(E3112),""[^A-Za-z0-9]"","""")&amp;""_""&amp;Regexreplace(to_text(F3112),""[^A-Za-z0-9]"",""""))"),"neptronic_evcbseries")</f>
        <v>neptronic_evcbseries</v>
      </c>
      <c r="BG3112" s="275" t="str">
        <f>IFERROR(__xludf.DUMMYFUNCTION("upper(Regexreplace(to_text(E3112),""[^A-Za-z0-9]"","""")&amp;""-""&amp;Regexreplace(to_text(F3112),""[^A-Za-z0-9]"",""""))"),"NEPTRONIC-EVCBSERIES")</f>
        <v>NEPTRONIC-EVCBSERIES</v>
      </c>
    </row>
    <row r="3113" ht="30.0" customHeight="1">
      <c r="A3113" s="258">
        <v>2690.0</v>
      </c>
      <c r="B3113" s="328" t="s">
        <v>670</v>
      </c>
      <c r="C3113" s="257" t="s">
        <v>9625</v>
      </c>
      <c r="D3113" s="173" t="s">
        <v>9626</v>
      </c>
      <c r="E3113" s="174" t="s">
        <v>2861</v>
      </c>
      <c r="F3113" s="173" t="s">
        <v>2862</v>
      </c>
      <c r="G3113" s="328" t="s">
        <v>673</v>
      </c>
      <c r="H3113" s="328" t="s">
        <v>2863</v>
      </c>
      <c r="I3113" s="258" t="s">
        <v>9445</v>
      </c>
      <c r="J3113" s="259" t="s">
        <v>846</v>
      </c>
      <c r="K3113" s="260">
        <v>175.0</v>
      </c>
      <c r="L3113" s="366"/>
      <c r="M3113" s="329"/>
      <c r="N3113" s="173" t="s">
        <v>679</v>
      </c>
      <c r="O3113" s="173" t="s">
        <v>225</v>
      </c>
      <c r="P3113" s="262" t="str">
        <f t="shared" si="1"/>
        <v>IN-BLR-ANANTA-FAN-61_1</v>
      </c>
      <c r="Q3113" s="173" t="s">
        <v>9627</v>
      </c>
      <c r="R3113" s="328" t="str">
        <f>IFS(C3113="","",C3113="n/a","N/A",LEN(C3113),Concatenate("{",char(34),"asset",char(34),":{",char(34),"guid",char(34),":",char(34),Q3113,char(34),",",char(34),"site",char(34),":",char(34),LOWER('2-Building'!$B$4),char(34),",",char(34),"name",char(34),":",char(34),LOWER(C3113),char(34),"}}"))</f>
        <v>{"asset":{"guid":"uuid://95f1fc77-d859-4af2-a901-a8bf64281918","site":"in-blr-ananta","name":"fan-61"}}</v>
      </c>
      <c r="S3113" s="369" t="s">
        <v>2866</v>
      </c>
      <c r="T3113" s="330"/>
      <c r="U3113" s="330"/>
      <c r="V3113" s="331"/>
      <c r="W3113" s="332"/>
      <c r="X3113" s="333"/>
      <c r="Y3113" s="33" t="s">
        <v>8076</v>
      </c>
      <c r="Z3113" s="368"/>
      <c r="AA3113" s="333"/>
      <c r="AB3113" s="258">
        <v>115.0</v>
      </c>
      <c r="AC3113" s="333"/>
      <c r="AD3113" s="329"/>
      <c r="AE3113" s="331"/>
      <c r="AF3113" s="336"/>
      <c r="AG3113" s="337" t="str">
        <f>IFS(LEN(AF3113)=17,LOWER('2-Building'!$B$4 &amp; "-" &amp; C3113), AF3113="N/A", "N/A", LEN(AF3113)=0,"")</f>
        <v/>
      </c>
      <c r="AH3113" s="333"/>
      <c r="AI3113" s="333"/>
      <c r="AJ3113" s="333"/>
      <c r="AK3113" s="333"/>
      <c r="AL3113" s="333"/>
      <c r="AM3113" s="338"/>
      <c r="AN3113" s="333"/>
      <c r="AO3113" s="333"/>
      <c r="AP3113" s="333"/>
      <c r="AQ3113" s="333"/>
      <c r="AR3113" s="333"/>
      <c r="AS3113" s="333"/>
      <c r="AT3113" s="333"/>
      <c r="AU3113" s="329"/>
      <c r="AV3113" s="341"/>
      <c r="AW3113" s="269" t="s">
        <v>1664</v>
      </c>
      <c r="AX3113" s="269" t="s">
        <v>2869</v>
      </c>
      <c r="AY3113" s="270" t="s">
        <v>695</v>
      </c>
      <c r="AZ3113" s="379"/>
      <c r="BA3113" s="173">
        <v>10.0</v>
      </c>
      <c r="BB3113" s="341"/>
      <c r="BC3113" s="341"/>
      <c r="BD3113" s="308" t="s">
        <v>1844</v>
      </c>
      <c r="BE3113" s="364"/>
      <c r="BF3113" s="274" t="str">
        <f>IFERROR(__xludf.DUMMYFUNCTION("LOWER(Regexreplace(to_text(E3113),""[^A-Za-z0-9]"","""")&amp;""_""&amp;Regexreplace(to_text(F3113),""[^A-Za-z0-9]"",""""))"),"neptronic_evcbseries")</f>
        <v>neptronic_evcbseries</v>
      </c>
      <c r="BG3113" s="275" t="str">
        <f>IFERROR(__xludf.DUMMYFUNCTION("upper(Regexreplace(to_text(E3113),""[^A-Za-z0-9]"","""")&amp;""-""&amp;Regexreplace(to_text(F3113),""[^A-Za-z0-9]"",""""))"),"NEPTRONIC-EVCBSERIES")</f>
        <v>NEPTRONIC-EVCBSERIES</v>
      </c>
    </row>
    <row r="3114" ht="30.0" customHeight="1">
      <c r="A3114" s="328">
        <v>2690.0</v>
      </c>
      <c r="B3114" s="425" t="s">
        <v>670</v>
      </c>
      <c r="C3114" s="257" t="s">
        <v>9628</v>
      </c>
      <c r="D3114" s="173" t="s">
        <v>9629</v>
      </c>
      <c r="E3114" s="174" t="s">
        <v>2861</v>
      </c>
      <c r="F3114" s="173" t="s">
        <v>2862</v>
      </c>
      <c r="G3114" s="425" t="s">
        <v>673</v>
      </c>
      <c r="H3114" s="425" t="s">
        <v>2863</v>
      </c>
      <c r="I3114" s="258" t="s">
        <v>9445</v>
      </c>
      <c r="J3114" s="259" t="s">
        <v>846</v>
      </c>
      <c r="K3114" s="260">
        <v>175.0</v>
      </c>
      <c r="L3114" s="442"/>
      <c r="M3114" s="426"/>
      <c r="N3114" s="173" t="s">
        <v>679</v>
      </c>
      <c r="O3114" s="173" t="s">
        <v>225</v>
      </c>
      <c r="P3114" s="262" t="str">
        <f t="shared" si="1"/>
        <v>IN-BLR-ANANTA-FAN-62_1</v>
      </c>
      <c r="Q3114" s="173" t="s">
        <v>9630</v>
      </c>
      <c r="R3114" s="433" t="str">
        <f>IFS(C3114="","",C3114="n/a","N/A",LEN(C3114),Concatenate("{",char(34),"asset",char(34),":{",char(34),"guid",char(34),":",char(34),Q3114,char(34),",",char(34),"site",char(34),":",char(34),LOWER('2-Building'!$B$4),char(34),",",char(34),"name",char(34),":",char(34),LOWER(C3114),char(34),"}}"))</f>
        <v>{"asset":{"guid":"uuid://876b7359-b0aa-48ad-ba55-ca8755d5084d","site":"in-blr-ananta","name":"fan-62"}}</v>
      </c>
      <c r="S3114" s="369" t="s">
        <v>2866</v>
      </c>
      <c r="T3114" s="427"/>
      <c r="U3114" s="427"/>
      <c r="V3114" s="428"/>
      <c r="W3114" s="429"/>
      <c r="X3114" s="430"/>
      <c r="Y3114" s="33" t="s">
        <v>8076</v>
      </c>
      <c r="Z3114" s="430"/>
      <c r="AA3114" s="430"/>
      <c r="AB3114" s="258">
        <v>116.0</v>
      </c>
      <c r="AC3114" s="430"/>
      <c r="AD3114" s="426"/>
      <c r="AE3114" s="428"/>
      <c r="AF3114" s="431"/>
      <c r="AG3114" s="432" t="str">
        <f>IFS(LEN(AF3114)=17,LOWER('2-Building'!$B$4 &amp; "-" &amp; C3114), AF3114="N/A", "N/A", LEN(AF3114)=0,"")</f>
        <v/>
      </c>
      <c r="AH3114" s="430"/>
      <c r="AI3114" s="430"/>
      <c r="AJ3114" s="430"/>
      <c r="AK3114" s="430"/>
      <c r="AL3114" s="430"/>
      <c r="AM3114" s="433"/>
      <c r="AN3114" s="430"/>
      <c r="AO3114" s="430"/>
      <c r="AP3114" s="430"/>
      <c r="AQ3114" s="430"/>
      <c r="AR3114" s="430"/>
      <c r="AS3114" s="430"/>
      <c r="AT3114" s="430"/>
      <c r="AU3114" s="426"/>
      <c r="AV3114" s="434"/>
      <c r="AW3114" s="269" t="s">
        <v>1664</v>
      </c>
      <c r="AX3114" s="269" t="s">
        <v>2869</v>
      </c>
      <c r="AY3114" s="270" t="s">
        <v>695</v>
      </c>
      <c r="AZ3114" s="435"/>
      <c r="BA3114" s="173">
        <v>10.0</v>
      </c>
      <c r="BB3114" s="434"/>
      <c r="BC3114" s="434"/>
      <c r="BD3114" s="308" t="s">
        <v>1844</v>
      </c>
      <c r="BE3114" s="436"/>
      <c r="BF3114" s="274" t="str">
        <f>IFERROR(__xludf.DUMMYFUNCTION("LOWER(Regexreplace(to_text(E3114),""[^A-Za-z0-9]"","""")&amp;""_""&amp;Regexreplace(to_text(F3114),""[^A-Za-z0-9]"",""""))"),"neptronic_evcbseries")</f>
        <v>neptronic_evcbseries</v>
      </c>
      <c r="BG3114" s="275" t="str">
        <f>IFERROR(__xludf.DUMMYFUNCTION("upper(Regexreplace(to_text(E3114),""[^A-Za-z0-9]"","""")&amp;""-""&amp;Regexreplace(to_text(F3114),""[^A-Za-z0-9]"",""""))"),"NEPTRONIC-EVCBSERIES")</f>
        <v>NEPTRONIC-EVCBSERIES</v>
      </c>
    </row>
    <row r="3115" ht="30.0" customHeight="1">
      <c r="A3115" s="258">
        <v>2690.0</v>
      </c>
      <c r="B3115" s="328" t="s">
        <v>670</v>
      </c>
      <c r="C3115" s="257" t="s">
        <v>9631</v>
      </c>
      <c r="D3115" s="173" t="s">
        <v>9632</v>
      </c>
      <c r="E3115" s="174" t="s">
        <v>2861</v>
      </c>
      <c r="F3115" s="173" t="s">
        <v>2862</v>
      </c>
      <c r="G3115" s="328" t="s">
        <v>673</v>
      </c>
      <c r="H3115" s="328" t="s">
        <v>2863</v>
      </c>
      <c r="I3115" s="258" t="s">
        <v>9445</v>
      </c>
      <c r="J3115" s="259" t="s">
        <v>846</v>
      </c>
      <c r="K3115" s="260">
        <v>175.0</v>
      </c>
      <c r="L3115" s="366"/>
      <c r="M3115" s="329"/>
      <c r="N3115" s="173" t="s">
        <v>679</v>
      </c>
      <c r="O3115" s="173" t="s">
        <v>225</v>
      </c>
      <c r="P3115" s="262" t="str">
        <f t="shared" si="1"/>
        <v>IN-BLR-ANANTA-FAN-63_1</v>
      </c>
      <c r="Q3115" s="173" t="s">
        <v>9633</v>
      </c>
      <c r="R3115" s="328" t="str">
        <f>IFS(C3115="","",C3115="n/a","N/A",LEN(C3115),Concatenate("{",char(34),"asset",char(34),":{",char(34),"guid",char(34),":",char(34),Q3115,char(34),",",char(34),"site",char(34),":",char(34),LOWER('2-Building'!$B$4),char(34),",",char(34),"name",char(34),":",char(34),LOWER(C3115),char(34),"}}"))</f>
        <v>{"asset":{"guid":"uuid://1b3ac3b1-8ca1-408c-aa1d-8534e6900518","site":"in-blr-ananta","name":"fan-63"}}</v>
      </c>
      <c r="S3115" s="369" t="s">
        <v>2866</v>
      </c>
      <c r="T3115" s="330"/>
      <c r="U3115" s="330"/>
      <c r="V3115" s="331"/>
      <c r="W3115" s="332"/>
      <c r="X3115" s="333"/>
      <c r="Y3115" s="33" t="s">
        <v>8076</v>
      </c>
      <c r="Z3115" s="368"/>
      <c r="AA3115" s="333"/>
      <c r="AB3115" s="258">
        <v>117.0</v>
      </c>
      <c r="AC3115" s="333"/>
      <c r="AD3115" s="329"/>
      <c r="AE3115" s="331"/>
      <c r="AF3115" s="336"/>
      <c r="AG3115" s="337" t="str">
        <f>IFS(LEN(AF3115)=17,LOWER('2-Building'!$B$4 &amp; "-" &amp; C3115), AF3115="N/A", "N/A", LEN(AF3115)=0,"")</f>
        <v/>
      </c>
      <c r="AH3115" s="333"/>
      <c r="AI3115" s="333"/>
      <c r="AJ3115" s="333"/>
      <c r="AK3115" s="333"/>
      <c r="AL3115" s="333"/>
      <c r="AM3115" s="338"/>
      <c r="AN3115" s="333"/>
      <c r="AO3115" s="333"/>
      <c r="AP3115" s="333"/>
      <c r="AQ3115" s="333"/>
      <c r="AR3115" s="333"/>
      <c r="AS3115" s="333"/>
      <c r="AT3115" s="333"/>
      <c r="AU3115" s="329"/>
      <c r="AV3115" s="341"/>
      <c r="AW3115" s="269" t="s">
        <v>1664</v>
      </c>
      <c r="AX3115" s="269" t="s">
        <v>2869</v>
      </c>
      <c r="AY3115" s="270" t="s">
        <v>695</v>
      </c>
      <c r="AZ3115" s="379"/>
      <c r="BA3115" s="173">
        <v>10.0</v>
      </c>
      <c r="BB3115" s="341"/>
      <c r="BC3115" s="341"/>
      <c r="BD3115" s="308" t="s">
        <v>1844</v>
      </c>
      <c r="BE3115" s="364"/>
      <c r="BF3115" s="274" t="str">
        <f>IFERROR(__xludf.DUMMYFUNCTION("LOWER(Regexreplace(to_text(E3115),""[^A-Za-z0-9]"","""")&amp;""_""&amp;Regexreplace(to_text(F3115),""[^A-Za-z0-9]"",""""))"),"neptronic_evcbseries")</f>
        <v>neptronic_evcbseries</v>
      </c>
      <c r="BG3115" s="275" t="str">
        <f>IFERROR(__xludf.DUMMYFUNCTION("upper(Regexreplace(to_text(E3115),""[^A-Za-z0-9]"","""")&amp;""-""&amp;Regexreplace(to_text(F3115),""[^A-Za-z0-9]"",""""))"),"NEPTRONIC-EVCBSERIES")</f>
        <v>NEPTRONIC-EVCBSERIES</v>
      </c>
    </row>
    <row r="3116" ht="30.0" customHeight="1">
      <c r="A3116" s="328">
        <v>2690.0</v>
      </c>
      <c r="B3116" s="425" t="s">
        <v>670</v>
      </c>
      <c r="C3116" s="257" t="s">
        <v>9634</v>
      </c>
      <c r="D3116" s="173" t="s">
        <v>9635</v>
      </c>
      <c r="E3116" s="174" t="s">
        <v>2861</v>
      </c>
      <c r="F3116" s="173" t="s">
        <v>2862</v>
      </c>
      <c r="G3116" s="425" t="s">
        <v>673</v>
      </c>
      <c r="H3116" s="425" t="s">
        <v>2863</v>
      </c>
      <c r="I3116" s="258" t="s">
        <v>9445</v>
      </c>
      <c r="J3116" s="259" t="s">
        <v>902</v>
      </c>
      <c r="K3116" s="260" t="s">
        <v>3737</v>
      </c>
      <c r="L3116" s="442"/>
      <c r="M3116" s="426"/>
      <c r="N3116" s="173" t="s">
        <v>679</v>
      </c>
      <c r="O3116" s="173" t="s">
        <v>225</v>
      </c>
      <c r="P3116" s="262" t="str">
        <f t="shared" si="1"/>
        <v>IN-BLR-ANANTA-FAN-64_2</v>
      </c>
      <c r="Q3116" s="173" t="s">
        <v>9636</v>
      </c>
      <c r="R3116" s="433" t="str">
        <f>IFS(C3116="","",C3116="n/a","N/A",LEN(C3116),Concatenate("{",char(34),"asset",char(34),":{",char(34),"guid",char(34),":",char(34),Q3116,char(34),",",char(34),"site",char(34),":",char(34),LOWER('2-Building'!$B$4),char(34),",",char(34),"name",char(34),":",char(34),LOWER(C3116),char(34),"}}"))</f>
        <v>{"asset":{"guid":"uuid://ba33b20f-60b0-4d57-800e-5564a4a28951","site":"in-blr-ananta","name":"fan-64"}}</v>
      </c>
      <c r="S3116" s="369" t="s">
        <v>2866</v>
      </c>
      <c r="T3116" s="427"/>
      <c r="U3116" s="427"/>
      <c r="V3116" s="428"/>
      <c r="W3116" s="429"/>
      <c r="X3116" s="430"/>
      <c r="Y3116" s="33" t="s">
        <v>8076</v>
      </c>
      <c r="Z3116" s="430"/>
      <c r="AA3116" s="430"/>
      <c r="AB3116" s="258">
        <v>230.0</v>
      </c>
      <c r="AC3116" s="430"/>
      <c r="AD3116" s="426"/>
      <c r="AE3116" s="428"/>
      <c r="AF3116" s="431"/>
      <c r="AG3116" s="432" t="str">
        <f>IFS(LEN(AF3116)=17,LOWER('2-Building'!$B$4 &amp; "-" &amp; C3116), AF3116="N/A", "N/A", LEN(AF3116)=0,"")</f>
        <v/>
      </c>
      <c r="AH3116" s="430"/>
      <c r="AI3116" s="430"/>
      <c r="AJ3116" s="430"/>
      <c r="AK3116" s="430"/>
      <c r="AL3116" s="430"/>
      <c r="AM3116" s="433"/>
      <c r="AN3116" s="430"/>
      <c r="AO3116" s="430"/>
      <c r="AP3116" s="430"/>
      <c r="AQ3116" s="430"/>
      <c r="AR3116" s="430"/>
      <c r="AS3116" s="430"/>
      <c r="AT3116" s="430"/>
      <c r="AU3116" s="426"/>
      <c r="AV3116" s="434"/>
      <c r="AW3116" s="269" t="s">
        <v>1664</v>
      </c>
      <c r="AX3116" s="269" t="s">
        <v>2869</v>
      </c>
      <c r="AY3116" s="270" t="s">
        <v>695</v>
      </c>
      <c r="AZ3116" s="435"/>
      <c r="BA3116" s="173">
        <v>10.0</v>
      </c>
      <c r="BB3116" s="434"/>
      <c r="BC3116" s="434"/>
      <c r="BD3116" s="308" t="s">
        <v>1844</v>
      </c>
      <c r="BE3116" s="436"/>
      <c r="BF3116" s="274" t="str">
        <f>IFERROR(__xludf.DUMMYFUNCTION("LOWER(Regexreplace(to_text(E3116),""[^A-Za-z0-9]"","""")&amp;""_""&amp;Regexreplace(to_text(F3116),""[^A-Za-z0-9]"",""""))"),"neptronic_evcbseries")</f>
        <v>neptronic_evcbseries</v>
      </c>
      <c r="BG3116" s="275" t="str">
        <f>IFERROR(__xludf.DUMMYFUNCTION("upper(Regexreplace(to_text(E3116),""[^A-Za-z0-9]"","""")&amp;""-""&amp;Regexreplace(to_text(F3116),""[^A-Za-z0-9]"",""""))"),"NEPTRONIC-EVCBSERIES")</f>
        <v>NEPTRONIC-EVCBSERIES</v>
      </c>
    </row>
    <row r="3117" ht="30.0" customHeight="1">
      <c r="A3117" s="328">
        <v>2690.0</v>
      </c>
      <c r="B3117" s="425" t="s">
        <v>670</v>
      </c>
      <c r="C3117" s="257" t="s">
        <v>9637</v>
      </c>
      <c r="D3117" s="173" t="s">
        <v>9638</v>
      </c>
      <c r="E3117" s="174" t="s">
        <v>2861</v>
      </c>
      <c r="F3117" s="173" t="s">
        <v>2862</v>
      </c>
      <c r="G3117" s="425" t="s">
        <v>673</v>
      </c>
      <c r="H3117" s="425" t="s">
        <v>2863</v>
      </c>
      <c r="I3117" s="258" t="s">
        <v>9445</v>
      </c>
      <c r="J3117" s="259" t="s">
        <v>902</v>
      </c>
      <c r="K3117" s="260" t="s">
        <v>3737</v>
      </c>
      <c r="L3117" s="442"/>
      <c r="M3117" s="426"/>
      <c r="N3117" s="173" t="s">
        <v>679</v>
      </c>
      <c r="O3117" s="173" t="s">
        <v>225</v>
      </c>
      <c r="P3117" s="262" t="str">
        <f t="shared" si="1"/>
        <v>IN-BLR-ANANTA-FAN-65_2</v>
      </c>
      <c r="Q3117" s="173" t="s">
        <v>9639</v>
      </c>
      <c r="R3117" s="425" t="str">
        <f>IFS(C3117="","",C3117="n/a","N/A",LEN(C3117),Concatenate("{",char(34),"asset",char(34),":{",char(34),"guid",char(34),":",char(34),Q3117,char(34),",",char(34),"site",char(34),":",char(34),LOWER('2-Building'!$B$4),char(34),",",char(34),"name",char(34),":",char(34),LOWER(C3117),char(34),"}}"))</f>
        <v>{"asset":{"guid":"uuid://d1451e6a-cbd0-45cc-ab80-23dce1974dbd","site":"in-blr-ananta","name":"fan-65"}}</v>
      </c>
      <c r="S3117" s="369" t="s">
        <v>2866</v>
      </c>
      <c r="T3117" s="427"/>
      <c r="U3117" s="427"/>
      <c r="V3117" s="428"/>
      <c r="W3117" s="429"/>
      <c r="X3117" s="430"/>
      <c r="Y3117" s="33" t="s">
        <v>8076</v>
      </c>
      <c r="Z3117" s="430"/>
      <c r="AA3117" s="430"/>
      <c r="AB3117" s="258">
        <v>231.0</v>
      </c>
      <c r="AC3117" s="430"/>
      <c r="AD3117" s="426"/>
      <c r="AE3117" s="428"/>
      <c r="AF3117" s="431"/>
      <c r="AG3117" s="432" t="str">
        <f>IFS(LEN(AF3117)=17,LOWER('2-Building'!$B$4 &amp; "-" &amp; C3117), AF3117="N/A", "N/A", LEN(AF3117)=0,"")</f>
        <v/>
      </c>
      <c r="AH3117" s="430"/>
      <c r="AI3117" s="430"/>
      <c r="AJ3117" s="430"/>
      <c r="AK3117" s="430"/>
      <c r="AL3117" s="430"/>
      <c r="AM3117" s="433"/>
      <c r="AN3117" s="430"/>
      <c r="AO3117" s="430"/>
      <c r="AP3117" s="430"/>
      <c r="AQ3117" s="430"/>
      <c r="AR3117" s="430"/>
      <c r="AS3117" s="430"/>
      <c r="AT3117" s="430"/>
      <c r="AU3117" s="426"/>
      <c r="AV3117" s="434"/>
      <c r="AW3117" s="269" t="s">
        <v>1664</v>
      </c>
      <c r="AX3117" s="269" t="s">
        <v>2869</v>
      </c>
      <c r="AY3117" s="270" t="s">
        <v>695</v>
      </c>
      <c r="AZ3117" s="435"/>
      <c r="BA3117" s="173">
        <v>10.0</v>
      </c>
      <c r="BB3117" s="434"/>
      <c r="BC3117" s="434"/>
      <c r="BD3117" s="308" t="s">
        <v>1844</v>
      </c>
      <c r="BE3117" s="436"/>
      <c r="BF3117" s="274" t="str">
        <f>IFERROR(__xludf.DUMMYFUNCTION("LOWER(Regexreplace(to_text(E3117),""[^A-Za-z0-9]"","""")&amp;""_""&amp;Regexreplace(to_text(F3117),""[^A-Za-z0-9]"",""""))"),"neptronic_evcbseries")</f>
        <v>neptronic_evcbseries</v>
      </c>
      <c r="BG3117" s="275" t="str">
        <f>IFERROR(__xludf.DUMMYFUNCTION("upper(Regexreplace(to_text(E3117),""[^A-Za-z0-9]"","""")&amp;""-""&amp;Regexreplace(to_text(F3117),""[^A-Za-z0-9]"",""""))"),"NEPTRONIC-EVCBSERIES")</f>
        <v>NEPTRONIC-EVCBSERIES</v>
      </c>
    </row>
    <row r="3118" ht="30.0" customHeight="1">
      <c r="A3118" s="425">
        <v>2690.0</v>
      </c>
      <c r="B3118" s="425" t="s">
        <v>670</v>
      </c>
      <c r="C3118" s="257" t="s">
        <v>9640</v>
      </c>
      <c r="D3118" s="173" t="s">
        <v>9641</v>
      </c>
      <c r="E3118" s="174" t="s">
        <v>2861</v>
      </c>
      <c r="F3118" s="173" t="s">
        <v>2862</v>
      </c>
      <c r="G3118" s="425" t="s">
        <v>673</v>
      </c>
      <c r="H3118" s="425" t="s">
        <v>2863</v>
      </c>
      <c r="I3118" s="258" t="s">
        <v>9445</v>
      </c>
      <c r="J3118" s="259" t="s">
        <v>902</v>
      </c>
      <c r="K3118" s="260" t="s">
        <v>3737</v>
      </c>
      <c r="L3118" s="442"/>
      <c r="M3118" s="426"/>
      <c r="N3118" s="173" t="s">
        <v>679</v>
      </c>
      <c r="O3118" s="173" t="s">
        <v>225</v>
      </c>
      <c r="P3118" s="262" t="str">
        <f t="shared" si="1"/>
        <v>IN-BLR-ANANTA-FAN-66_2</v>
      </c>
      <c r="Q3118" s="173" t="s">
        <v>9642</v>
      </c>
      <c r="R3118" s="425" t="str">
        <f>IFS(C3118="","",C3118="n/a","N/A",LEN(C3118),Concatenate("{",char(34),"asset",char(34),":{",char(34),"guid",char(34),":",char(34),Q3118,char(34),",",char(34),"site",char(34),":",char(34),LOWER('2-Building'!$B$4),char(34),",",char(34),"name",char(34),":",char(34),LOWER(C3118),char(34),"}}"))</f>
        <v>{"asset":{"guid":"uuid://7a22e0e4-a98a-49d1-b575-71bc77b43784","site":"in-blr-ananta","name":"fan-66"}}</v>
      </c>
      <c r="S3118" s="369" t="s">
        <v>2866</v>
      </c>
      <c r="T3118" s="427"/>
      <c r="U3118" s="427"/>
      <c r="V3118" s="428"/>
      <c r="W3118" s="429"/>
      <c r="X3118" s="430"/>
      <c r="Y3118" s="33" t="s">
        <v>8076</v>
      </c>
      <c r="Z3118" s="430"/>
      <c r="AA3118" s="430"/>
      <c r="AB3118" s="258">
        <v>232.0</v>
      </c>
      <c r="AC3118" s="430"/>
      <c r="AD3118" s="426"/>
      <c r="AE3118" s="428"/>
      <c r="AF3118" s="431"/>
      <c r="AG3118" s="432"/>
      <c r="AH3118" s="430"/>
      <c r="AI3118" s="430"/>
      <c r="AJ3118" s="430"/>
      <c r="AK3118" s="430"/>
      <c r="AL3118" s="430"/>
      <c r="AM3118" s="433"/>
      <c r="AN3118" s="430"/>
      <c r="AO3118" s="430"/>
      <c r="AP3118" s="430"/>
      <c r="AQ3118" s="430"/>
      <c r="AR3118" s="430"/>
      <c r="AS3118" s="430"/>
      <c r="AT3118" s="430"/>
      <c r="AU3118" s="426"/>
      <c r="AV3118" s="434"/>
      <c r="AW3118" s="269" t="s">
        <v>1664</v>
      </c>
      <c r="AX3118" s="269" t="s">
        <v>2869</v>
      </c>
      <c r="AY3118" s="270" t="s">
        <v>695</v>
      </c>
      <c r="AZ3118" s="435"/>
      <c r="BA3118" s="173">
        <v>10.0</v>
      </c>
      <c r="BB3118" s="434"/>
      <c r="BC3118" s="434"/>
      <c r="BD3118" s="308" t="s">
        <v>1844</v>
      </c>
      <c r="BE3118" s="436"/>
      <c r="BF3118" s="274" t="str">
        <f>IFERROR(__xludf.DUMMYFUNCTION("LOWER(Regexreplace(to_text(E3118),""[^A-Za-z0-9]"","""")&amp;""_""&amp;Regexreplace(to_text(F3118),""[^A-Za-z0-9]"",""""))"),"neptronic_evcbseries")</f>
        <v>neptronic_evcbseries</v>
      </c>
      <c r="BG3118" s="275" t="str">
        <f>IFERROR(__xludf.DUMMYFUNCTION("upper(Regexreplace(to_text(E3118),""[^A-Za-z0-9]"","""")&amp;""-""&amp;Regexreplace(to_text(F3118),""[^A-Za-z0-9]"",""""))"),"NEPTRONIC-EVCBSERIES")</f>
        <v>NEPTRONIC-EVCBSERIES</v>
      </c>
    </row>
    <row r="3119" ht="30.0" customHeight="1">
      <c r="A3119" s="328">
        <v>2690.0</v>
      </c>
      <c r="B3119" s="425" t="s">
        <v>670</v>
      </c>
      <c r="C3119" s="257" t="s">
        <v>9643</v>
      </c>
      <c r="D3119" s="173" t="s">
        <v>9644</v>
      </c>
      <c r="E3119" s="174" t="s">
        <v>2861</v>
      </c>
      <c r="F3119" s="173" t="s">
        <v>2862</v>
      </c>
      <c r="G3119" s="425" t="s">
        <v>673</v>
      </c>
      <c r="H3119" s="425" t="s">
        <v>2863</v>
      </c>
      <c r="I3119" s="258" t="s">
        <v>9445</v>
      </c>
      <c r="J3119" s="259" t="s">
        <v>902</v>
      </c>
      <c r="K3119" s="260" t="s">
        <v>3737</v>
      </c>
      <c r="L3119" s="442"/>
      <c r="M3119" s="426"/>
      <c r="N3119" s="173" t="s">
        <v>679</v>
      </c>
      <c r="O3119" s="173" t="s">
        <v>225</v>
      </c>
      <c r="P3119" s="262" t="str">
        <f t="shared" si="1"/>
        <v>IN-BLR-ANANTA-FAN-67_2</v>
      </c>
      <c r="Q3119" s="173" t="s">
        <v>9645</v>
      </c>
      <c r="R3119" s="425" t="str">
        <f>IFS(C3119="","",C3119="n/a","N/A",LEN(C3119),Concatenate("{",char(34),"asset",char(34),":{",char(34),"guid",char(34),":",char(34),Q3119,char(34),",",char(34),"site",char(34),":",char(34),LOWER('2-Building'!$B$4),char(34),",",char(34),"name",char(34),":",char(34),LOWER(C3119),char(34),"}}"))</f>
        <v>{"asset":{"guid":"uuid://2907ab63-09ea-4f6b-8fe4-3f523470bbf3","site":"in-blr-ananta","name":"fan-67"}}</v>
      </c>
      <c r="S3119" s="369" t="s">
        <v>2866</v>
      </c>
      <c r="T3119" s="427"/>
      <c r="U3119" s="427"/>
      <c r="V3119" s="428"/>
      <c r="W3119" s="429"/>
      <c r="X3119" s="430"/>
      <c r="Y3119" s="33" t="s">
        <v>8076</v>
      </c>
      <c r="Z3119" s="430"/>
      <c r="AA3119" s="430"/>
      <c r="AB3119" s="258">
        <v>233.0</v>
      </c>
      <c r="AC3119" s="430"/>
      <c r="AD3119" s="426"/>
      <c r="AE3119" s="428"/>
      <c r="AF3119" s="431"/>
      <c r="AG3119" s="432"/>
      <c r="AH3119" s="430"/>
      <c r="AI3119" s="430"/>
      <c r="AJ3119" s="430"/>
      <c r="AK3119" s="430"/>
      <c r="AL3119" s="430"/>
      <c r="AM3119" s="433"/>
      <c r="AN3119" s="430"/>
      <c r="AO3119" s="430"/>
      <c r="AP3119" s="430"/>
      <c r="AQ3119" s="430"/>
      <c r="AR3119" s="430"/>
      <c r="AS3119" s="430"/>
      <c r="AT3119" s="430"/>
      <c r="AU3119" s="426"/>
      <c r="AV3119" s="434"/>
      <c r="AW3119" s="269" t="s">
        <v>1664</v>
      </c>
      <c r="AX3119" s="269" t="s">
        <v>2869</v>
      </c>
      <c r="AY3119" s="270" t="s">
        <v>695</v>
      </c>
      <c r="AZ3119" s="435"/>
      <c r="BA3119" s="173">
        <v>10.0</v>
      </c>
      <c r="BB3119" s="434"/>
      <c r="BC3119" s="434"/>
      <c r="BD3119" s="308" t="s">
        <v>1844</v>
      </c>
      <c r="BE3119" s="436"/>
      <c r="BF3119" s="274" t="str">
        <f>IFERROR(__xludf.DUMMYFUNCTION("LOWER(Regexreplace(to_text(E3119),""[^A-Za-z0-9]"","""")&amp;""_""&amp;Regexreplace(to_text(F3119),""[^A-Za-z0-9]"",""""))"),"neptronic_evcbseries")</f>
        <v>neptronic_evcbseries</v>
      </c>
      <c r="BG3119" s="275" t="str">
        <f>IFERROR(__xludf.DUMMYFUNCTION("upper(Regexreplace(to_text(E3119),""[^A-Za-z0-9]"","""")&amp;""-""&amp;Regexreplace(to_text(F3119),""[^A-Za-z0-9]"",""""))"),"NEPTRONIC-EVCBSERIES")</f>
        <v>NEPTRONIC-EVCBSERIES</v>
      </c>
    </row>
    <row r="3120" ht="30.0" customHeight="1">
      <c r="A3120" s="328">
        <v>2690.0</v>
      </c>
      <c r="B3120" s="425" t="s">
        <v>670</v>
      </c>
      <c r="C3120" s="257" t="s">
        <v>9646</v>
      </c>
      <c r="D3120" s="173" t="s">
        <v>9647</v>
      </c>
      <c r="E3120" s="174" t="s">
        <v>2861</v>
      </c>
      <c r="F3120" s="173" t="s">
        <v>2862</v>
      </c>
      <c r="G3120" s="425" t="s">
        <v>673</v>
      </c>
      <c r="H3120" s="425" t="s">
        <v>2863</v>
      </c>
      <c r="I3120" s="258" t="s">
        <v>9445</v>
      </c>
      <c r="J3120" s="259" t="s">
        <v>902</v>
      </c>
      <c r="K3120" s="260" t="s">
        <v>3737</v>
      </c>
      <c r="L3120" s="442"/>
      <c r="M3120" s="426"/>
      <c r="N3120" s="173" t="s">
        <v>679</v>
      </c>
      <c r="O3120" s="173" t="s">
        <v>225</v>
      </c>
      <c r="P3120" s="262" t="str">
        <f t="shared" si="1"/>
        <v>IN-BLR-ANANTA-FAN-68_2</v>
      </c>
      <c r="Q3120" s="173" t="s">
        <v>9648</v>
      </c>
      <c r="R3120" s="425" t="str">
        <f>IFS(C3120="","",C3120="n/a","N/A",LEN(C3120),Concatenate("{",char(34),"asset",char(34),":{",char(34),"guid",char(34),":",char(34),Q3120,char(34),",",char(34),"site",char(34),":",char(34),LOWER('2-Building'!$B$4),char(34),",",char(34),"name",char(34),":",char(34),LOWER(C3120),char(34),"}}"))</f>
        <v>{"asset":{"guid":"uuid://6f30d2ce-8af9-484c-840a-252df52fbb57","site":"in-blr-ananta","name":"fan-68"}}</v>
      </c>
      <c r="S3120" s="369" t="s">
        <v>2866</v>
      </c>
      <c r="T3120" s="427"/>
      <c r="U3120" s="427"/>
      <c r="V3120" s="428"/>
      <c r="W3120" s="429"/>
      <c r="X3120" s="430"/>
      <c r="Y3120" s="33" t="s">
        <v>8076</v>
      </c>
      <c r="Z3120" s="430"/>
      <c r="AA3120" s="430"/>
      <c r="AB3120" s="258">
        <v>234.0</v>
      </c>
      <c r="AC3120" s="430"/>
      <c r="AD3120" s="426"/>
      <c r="AE3120" s="428"/>
      <c r="AF3120" s="431"/>
      <c r="AG3120" s="432"/>
      <c r="AH3120" s="430"/>
      <c r="AI3120" s="430"/>
      <c r="AJ3120" s="430"/>
      <c r="AK3120" s="430"/>
      <c r="AL3120" s="430"/>
      <c r="AM3120" s="433"/>
      <c r="AN3120" s="430"/>
      <c r="AO3120" s="430"/>
      <c r="AP3120" s="430"/>
      <c r="AQ3120" s="430"/>
      <c r="AR3120" s="430"/>
      <c r="AS3120" s="430"/>
      <c r="AT3120" s="430"/>
      <c r="AU3120" s="426"/>
      <c r="AV3120" s="434"/>
      <c r="AW3120" s="269" t="s">
        <v>1664</v>
      </c>
      <c r="AX3120" s="269" t="s">
        <v>2869</v>
      </c>
      <c r="AY3120" s="270" t="s">
        <v>695</v>
      </c>
      <c r="AZ3120" s="435"/>
      <c r="BA3120" s="173">
        <v>10.0</v>
      </c>
      <c r="BB3120" s="434"/>
      <c r="BC3120" s="434"/>
      <c r="BD3120" s="308" t="s">
        <v>1844</v>
      </c>
      <c r="BE3120" s="436"/>
      <c r="BF3120" s="274" t="str">
        <f>IFERROR(__xludf.DUMMYFUNCTION("LOWER(Regexreplace(to_text(E3120),""[^A-Za-z0-9]"","""")&amp;""_""&amp;Regexreplace(to_text(F3120),""[^A-Za-z0-9]"",""""))"),"neptronic_evcbseries")</f>
        <v>neptronic_evcbseries</v>
      </c>
      <c r="BG3120" s="275" t="str">
        <f>IFERROR(__xludf.DUMMYFUNCTION("upper(Regexreplace(to_text(E3120),""[^A-Za-z0-9]"","""")&amp;""-""&amp;Regexreplace(to_text(F3120),""[^A-Za-z0-9]"",""""))"),"NEPTRONIC-EVCBSERIES")</f>
        <v>NEPTRONIC-EVCBSERIES</v>
      </c>
    </row>
    <row r="3121" ht="30.0" customHeight="1">
      <c r="A3121" s="328">
        <v>2690.0</v>
      </c>
      <c r="B3121" s="425" t="s">
        <v>670</v>
      </c>
      <c r="C3121" s="257" t="s">
        <v>9649</v>
      </c>
      <c r="D3121" s="173" t="s">
        <v>9650</v>
      </c>
      <c r="E3121" s="174" t="s">
        <v>2861</v>
      </c>
      <c r="F3121" s="173" t="s">
        <v>2862</v>
      </c>
      <c r="G3121" s="425" t="s">
        <v>673</v>
      </c>
      <c r="H3121" s="425" t="s">
        <v>2863</v>
      </c>
      <c r="I3121" s="258" t="s">
        <v>9445</v>
      </c>
      <c r="J3121" s="259" t="s">
        <v>902</v>
      </c>
      <c r="K3121" s="260" t="s">
        <v>3737</v>
      </c>
      <c r="L3121" s="442"/>
      <c r="M3121" s="426"/>
      <c r="N3121" s="173" t="s">
        <v>679</v>
      </c>
      <c r="O3121" s="173" t="s">
        <v>225</v>
      </c>
      <c r="P3121" s="262" t="str">
        <f t="shared" si="1"/>
        <v>IN-BLR-ANANTA-FAN-69_2</v>
      </c>
      <c r="Q3121" s="173" t="s">
        <v>9651</v>
      </c>
      <c r="R3121" s="425" t="str">
        <f>IFS(C3121="","",C3121="n/a","N/A",LEN(C3121),Concatenate("{",char(34),"asset",char(34),":{",char(34),"guid",char(34),":",char(34),Q3121,char(34),",",char(34),"site",char(34),":",char(34),LOWER('2-Building'!$B$4),char(34),",",char(34),"name",char(34),":",char(34),LOWER(C3121),char(34),"}}"))</f>
        <v>{"asset":{"guid":"uuid://5d270dab-c32b-4e60-809a-5ca063ddb844","site":"in-blr-ananta","name":"fan-69"}}</v>
      </c>
      <c r="S3121" s="369" t="s">
        <v>2866</v>
      </c>
      <c r="T3121" s="427"/>
      <c r="U3121" s="427"/>
      <c r="V3121" s="428"/>
      <c r="W3121" s="429"/>
      <c r="X3121" s="430"/>
      <c r="Y3121" s="33" t="s">
        <v>8076</v>
      </c>
      <c r="Z3121" s="430"/>
      <c r="AA3121" s="430"/>
      <c r="AB3121" s="258">
        <v>235.0</v>
      </c>
      <c r="AC3121" s="430"/>
      <c r="AD3121" s="426"/>
      <c r="AE3121" s="428"/>
      <c r="AF3121" s="431"/>
      <c r="AG3121" s="432"/>
      <c r="AH3121" s="430"/>
      <c r="AI3121" s="430"/>
      <c r="AJ3121" s="430"/>
      <c r="AK3121" s="430"/>
      <c r="AL3121" s="430"/>
      <c r="AM3121" s="433"/>
      <c r="AN3121" s="430"/>
      <c r="AO3121" s="430"/>
      <c r="AP3121" s="430"/>
      <c r="AQ3121" s="430"/>
      <c r="AR3121" s="430"/>
      <c r="AS3121" s="430"/>
      <c r="AT3121" s="430"/>
      <c r="AU3121" s="426"/>
      <c r="AV3121" s="434"/>
      <c r="AW3121" s="269" t="s">
        <v>1664</v>
      </c>
      <c r="AX3121" s="269" t="s">
        <v>2869</v>
      </c>
      <c r="AY3121" s="270" t="s">
        <v>695</v>
      </c>
      <c r="AZ3121" s="435"/>
      <c r="BA3121" s="173">
        <v>10.0</v>
      </c>
      <c r="BB3121" s="434"/>
      <c r="BC3121" s="434"/>
      <c r="BD3121" s="308" t="s">
        <v>1844</v>
      </c>
      <c r="BE3121" s="436"/>
      <c r="BF3121" s="274" t="str">
        <f>IFERROR(__xludf.DUMMYFUNCTION("LOWER(Regexreplace(to_text(E3121),""[^A-Za-z0-9]"","""")&amp;""_""&amp;Regexreplace(to_text(F3121),""[^A-Za-z0-9]"",""""))"),"neptronic_evcbseries")</f>
        <v>neptronic_evcbseries</v>
      </c>
      <c r="BG3121" s="275" t="str">
        <f>IFERROR(__xludf.DUMMYFUNCTION("upper(Regexreplace(to_text(E3121),""[^A-Za-z0-9]"","""")&amp;""-""&amp;Regexreplace(to_text(F3121),""[^A-Za-z0-9]"",""""))"),"NEPTRONIC-EVCBSERIES")</f>
        <v>NEPTRONIC-EVCBSERIES</v>
      </c>
    </row>
    <row r="3122" ht="30.0" customHeight="1">
      <c r="A3122" s="425">
        <v>2690.0</v>
      </c>
      <c r="B3122" s="425" t="s">
        <v>670</v>
      </c>
      <c r="C3122" s="257" t="s">
        <v>9652</v>
      </c>
      <c r="D3122" s="173" t="s">
        <v>9653</v>
      </c>
      <c r="E3122" s="174" t="s">
        <v>2861</v>
      </c>
      <c r="F3122" s="173" t="s">
        <v>2862</v>
      </c>
      <c r="G3122" s="425" t="s">
        <v>673</v>
      </c>
      <c r="H3122" s="425" t="s">
        <v>2863</v>
      </c>
      <c r="I3122" s="258" t="s">
        <v>9445</v>
      </c>
      <c r="J3122" s="259" t="s">
        <v>902</v>
      </c>
      <c r="K3122" s="260" t="s">
        <v>3737</v>
      </c>
      <c r="L3122" s="442"/>
      <c r="M3122" s="426"/>
      <c r="N3122" s="173" t="s">
        <v>679</v>
      </c>
      <c r="O3122" s="173" t="s">
        <v>225</v>
      </c>
      <c r="P3122" s="262" t="str">
        <f t="shared" si="1"/>
        <v>IN-BLR-ANANTA-FAN-70_2</v>
      </c>
      <c r="Q3122" s="173" t="s">
        <v>9654</v>
      </c>
      <c r="R3122" s="425" t="str">
        <f>IFS(C3122="","",C3122="n/a","N/A",LEN(C3122),Concatenate("{",char(34),"asset",char(34),":{",char(34),"guid",char(34),":",char(34),Q3122,char(34),",",char(34),"site",char(34),":",char(34),LOWER('2-Building'!$B$4),char(34),",",char(34),"name",char(34),":",char(34),LOWER(C3122),char(34),"}}"))</f>
        <v>{"asset":{"guid":"uuid://78352ea9-23dc-48ba-86ab-5d613b4e4b49","site":"in-blr-ananta","name":"fan-70"}}</v>
      </c>
      <c r="S3122" s="369" t="s">
        <v>2866</v>
      </c>
      <c r="T3122" s="427"/>
      <c r="U3122" s="427"/>
      <c r="V3122" s="428"/>
      <c r="W3122" s="429"/>
      <c r="X3122" s="430"/>
      <c r="Y3122" s="33" t="s">
        <v>8076</v>
      </c>
      <c r="Z3122" s="430"/>
      <c r="AA3122" s="430"/>
      <c r="AB3122" s="258">
        <v>236.0</v>
      </c>
      <c r="AC3122" s="430"/>
      <c r="AD3122" s="426"/>
      <c r="AE3122" s="428"/>
      <c r="AF3122" s="431"/>
      <c r="AG3122" s="432"/>
      <c r="AH3122" s="430"/>
      <c r="AI3122" s="430"/>
      <c r="AJ3122" s="430"/>
      <c r="AK3122" s="430"/>
      <c r="AL3122" s="430"/>
      <c r="AM3122" s="433"/>
      <c r="AN3122" s="430"/>
      <c r="AO3122" s="430"/>
      <c r="AP3122" s="430"/>
      <c r="AQ3122" s="430"/>
      <c r="AR3122" s="430"/>
      <c r="AS3122" s="430"/>
      <c r="AT3122" s="430"/>
      <c r="AU3122" s="426"/>
      <c r="AV3122" s="434"/>
      <c r="AW3122" s="269" t="s">
        <v>1664</v>
      </c>
      <c r="AX3122" s="269" t="s">
        <v>2869</v>
      </c>
      <c r="AY3122" s="270" t="s">
        <v>695</v>
      </c>
      <c r="AZ3122" s="435"/>
      <c r="BA3122" s="173">
        <v>10.0</v>
      </c>
      <c r="BB3122" s="434"/>
      <c r="BC3122" s="434"/>
      <c r="BD3122" s="308" t="s">
        <v>1844</v>
      </c>
      <c r="BE3122" s="436"/>
      <c r="BF3122" s="274" t="str">
        <f>IFERROR(__xludf.DUMMYFUNCTION("LOWER(Regexreplace(to_text(E3122),""[^A-Za-z0-9]"","""")&amp;""_""&amp;Regexreplace(to_text(F3122),""[^A-Za-z0-9]"",""""))"),"neptronic_evcbseries")</f>
        <v>neptronic_evcbseries</v>
      </c>
      <c r="BG3122" s="275" t="str">
        <f>IFERROR(__xludf.DUMMYFUNCTION("upper(Regexreplace(to_text(E3122),""[^A-Za-z0-9]"","""")&amp;""-""&amp;Regexreplace(to_text(F3122),""[^A-Za-z0-9]"",""""))"),"NEPTRONIC-EVCBSERIES")</f>
        <v>NEPTRONIC-EVCBSERIES</v>
      </c>
    </row>
    <row r="3123" ht="30.0" customHeight="1">
      <c r="A3123" s="328">
        <v>2690.0</v>
      </c>
      <c r="B3123" s="425" t="s">
        <v>670</v>
      </c>
      <c r="C3123" s="257" t="s">
        <v>9655</v>
      </c>
      <c r="D3123" s="173" t="s">
        <v>9656</v>
      </c>
      <c r="E3123" s="174" t="s">
        <v>2861</v>
      </c>
      <c r="F3123" s="173" t="s">
        <v>2862</v>
      </c>
      <c r="G3123" s="425" t="s">
        <v>673</v>
      </c>
      <c r="H3123" s="425" t="s">
        <v>2863</v>
      </c>
      <c r="I3123" s="258" t="s">
        <v>9445</v>
      </c>
      <c r="J3123" s="259" t="s">
        <v>902</v>
      </c>
      <c r="K3123" s="260" t="s">
        <v>3737</v>
      </c>
      <c r="L3123" s="442"/>
      <c r="M3123" s="426"/>
      <c r="N3123" s="173" t="s">
        <v>679</v>
      </c>
      <c r="O3123" s="173" t="s">
        <v>225</v>
      </c>
      <c r="P3123" s="262" t="str">
        <f t="shared" si="1"/>
        <v>IN-BLR-ANANTA-FAN-71_2</v>
      </c>
      <c r="Q3123" s="173" t="s">
        <v>9657</v>
      </c>
      <c r="R3123" s="425" t="str">
        <f>IFS(C3123="","",C3123="n/a","N/A",LEN(C3123),Concatenate("{",char(34),"asset",char(34),":{",char(34),"guid",char(34),":",char(34),Q3123,char(34),",",char(34),"site",char(34),":",char(34),LOWER('2-Building'!$B$4),char(34),",",char(34),"name",char(34),":",char(34),LOWER(C3123),char(34),"}}"))</f>
        <v>{"asset":{"guid":"uuid://c0b5701f-155b-4c0e-9906-604522bbbfb1","site":"in-blr-ananta","name":"fan-71"}}</v>
      </c>
      <c r="S3123" s="369" t="s">
        <v>2866</v>
      </c>
      <c r="T3123" s="427"/>
      <c r="U3123" s="427"/>
      <c r="V3123" s="428"/>
      <c r="W3123" s="429"/>
      <c r="X3123" s="430"/>
      <c r="Y3123" s="33" t="s">
        <v>8076</v>
      </c>
      <c r="Z3123" s="430"/>
      <c r="AA3123" s="430"/>
      <c r="AB3123" s="258">
        <v>237.0</v>
      </c>
      <c r="AC3123" s="430"/>
      <c r="AD3123" s="426"/>
      <c r="AE3123" s="428"/>
      <c r="AF3123" s="431"/>
      <c r="AG3123" s="432"/>
      <c r="AH3123" s="430"/>
      <c r="AI3123" s="430"/>
      <c r="AJ3123" s="430"/>
      <c r="AK3123" s="430"/>
      <c r="AL3123" s="430"/>
      <c r="AM3123" s="433"/>
      <c r="AN3123" s="430"/>
      <c r="AO3123" s="430"/>
      <c r="AP3123" s="430"/>
      <c r="AQ3123" s="430"/>
      <c r="AR3123" s="430"/>
      <c r="AS3123" s="430"/>
      <c r="AT3123" s="430"/>
      <c r="AU3123" s="426"/>
      <c r="AV3123" s="434"/>
      <c r="AW3123" s="269" t="s">
        <v>1664</v>
      </c>
      <c r="AX3123" s="269" t="s">
        <v>2869</v>
      </c>
      <c r="AY3123" s="270" t="s">
        <v>695</v>
      </c>
      <c r="AZ3123" s="435"/>
      <c r="BA3123" s="173">
        <v>10.0</v>
      </c>
      <c r="BB3123" s="434"/>
      <c r="BC3123" s="434"/>
      <c r="BD3123" s="308" t="s">
        <v>1844</v>
      </c>
      <c r="BE3123" s="436"/>
      <c r="BF3123" s="274" t="str">
        <f>IFERROR(__xludf.DUMMYFUNCTION("LOWER(Regexreplace(to_text(E3123),""[^A-Za-z0-9]"","""")&amp;""_""&amp;Regexreplace(to_text(F3123),""[^A-Za-z0-9]"",""""))"),"neptronic_evcbseries")</f>
        <v>neptronic_evcbseries</v>
      </c>
      <c r="BG3123" s="275" t="str">
        <f>IFERROR(__xludf.DUMMYFUNCTION("upper(Regexreplace(to_text(E3123),""[^A-Za-z0-9]"","""")&amp;""-""&amp;Regexreplace(to_text(F3123),""[^A-Za-z0-9]"",""""))"),"NEPTRONIC-EVCBSERIES")</f>
        <v>NEPTRONIC-EVCBSERIES</v>
      </c>
    </row>
    <row r="3124" ht="30.0" customHeight="1">
      <c r="A3124" s="258">
        <v>2690.0</v>
      </c>
      <c r="B3124" s="328" t="s">
        <v>670</v>
      </c>
      <c r="C3124" s="257" t="s">
        <v>9658</v>
      </c>
      <c r="D3124" s="173" t="s">
        <v>9659</v>
      </c>
      <c r="E3124" s="174" t="s">
        <v>2861</v>
      </c>
      <c r="F3124" s="173" t="s">
        <v>2862</v>
      </c>
      <c r="G3124" s="328" t="s">
        <v>673</v>
      </c>
      <c r="H3124" s="328" t="s">
        <v>2863</v>
      </c>
      <c r="I3124" s="258" t="s">
        <v>9445</v>
      </c>
      <c r="J3124" s="259" t="s">
        <v>739</v>
      </c>
      <c r="K3124" s="260" t="s">
        <v>765</v>
      </c>
      <c r="L3124" s="366"/>
      <c r="M3124" s="329"/>
      <c r="N3124" s="173" t="s">
        <v>679</v>
      </c>
      <c r="O3124" s="173" t="s">
        <v>225</v>
      </c>
      <c r="P3124" s="262" t="str">
        <f t="shared" si="1"/>
        <v>IN-BLR-ANANTA-FAN-72_G</v>
      </c>
      <c r="Q3124" s="173" t="s">
        <v>9660</v>
      </c>
      <c r="R3124" s="328" t="str">
        <f>IFS(C3124="","",C3124="n/a","N/A",LEN(C3124),Concatenate("{",char(34),"asset",char(34),":{",char(34),"guid",char(34),":",char(34),Q3124,char(34),",",char(34),"site",char(34),":",char(34),LOWER('2-Building'!$B$4),char(34),",",char(34),"name",char(34),":",char(34),LOWER(C3124),char(34),"}}"))</f>
        <v>{"asset":{"guid":"uuid://e3ce7194-a1bc-48d3-ab03-0c39f71beb59","site":"in-blr-ananta","name":"fan-72"}}</v>
      </c>
      <c r="S3124" s="369" t="s">
        <v>2866</v>
      </c>
      <c r="T3124" s="330"/>
      <c r="U3124" s="330"/>
      <c r="V3124" s="331"/>
      <c r="W3124" s="332"/>
      <c r="X3124" s="333"/>
      <c r="Y3124" s="33" t="s">
        <v>8076</v>
      </c>
      <c r="Z3124" s="368"/>
      <c r="AA3124" s="333"/>
      <c r="AB3124" s="258">
        <v>92.0</v>
      </c>
      <c r="AC3124" s="333"/>
      <c r="AD3124" s="329"/>
      <c r="AE3124" s="331"/>
      <c r="AF3124" s="336"/>
      <c r="AG3124" s="337" t="str">
        <f>IFS(LEN(AF3124)=17,LOWER('2-Building'!$B$4 &amp; "-" &amp; C3124), AF3124="N/A", "N/A", LEN(AF3124)=0,"")</f>
        <v/>
      </c>
      <c r="AH3124" s="333"/>
      <c r="AI3124" s="333"/>
      <c r="AJ3124" s="333"/>
      <c r="AK3124" s="333"/>
      <c r="AL3124" s="333"/>
      <c r="AM3124" s="338"/>
      <c r="AN3124" s="333"/>
      <c r="AO3124" s="333"/>
      <c r="AP3124" s="333"/>
      <c r="AQ3124" s="333"/>
      <c r="AR3124" s="333"/>
      <c r="AS3124" s="333"/>
      <c r="AT3124" s="333"/>
      <c r="AU3124" s="329"/>
      <c r="AV3124" s="341"/>
      <c r="AW3124" s="269" t="s">
        <v>1674</v>
      </c>
      <c r="AX3124" s="269" t="s">
        <v>2869</v>
      </c>
      <c r="AY3124" s="270" t="s">
        <v>695</v>
      </c>
      <c r="AZ3124" s="379"/>
      <c r="BA3124" s="173">
        <v>10.0</v>
      </c>
      <c r="BB3124" s="341"/>
      <c r="BC3124" s="341"/>
      <c r="BD3124" s="308" t="s">
        <v>1844</v>
      </c>
      <c r="BE3124" s="364"/>
      <c r="BF3124" s="274" t="str">
        <f>IFERROR(__xludf.DUMMYFUNCTION("LOWER(Regexreplace(to_text(E3124),""[^A-Za-z0-9]"","""")&amp;""_""&amp;Regexreplace(to_text(F3124),""[^A-Za-z0-9]"",""""))"),"neptronic_evcbseries")</f>
        <v>neptronic_evcbseries</v>
      </c>
      <c r="BG3124" s="275" t="str">
        <f>IFERROR(__xludf.DUMMYFUNCTION("upper(Regexreplace(to_text(E3124),""[^A-Za-z0-9]"","""")&amp;""-""&amp;Regexreplace(to_text(F3124),""[^A-Za-z0-9]"",""""))"),"NEPTRONIC-EVCBSERIES")</f>
        <v>NEPTRONIC-EVCBSERIES</v>
      </c>
    </row>
    <row r="3125" ht="30.0" customHeight="1">
      <c r="A3125" s="328">
        <v>2690.0</v>
      </c>
      <c r="B3125" s="425" t="s">
        <v>670</v>
      </c>
      <c r="C3125" s="257" t="s">
        <v>9661</v>
      </c>
      <c r="D3125" s="173" t="s">
        <v>9662</v>
      </c>
      <c r="E3125" s="174" t="s">
        <v>2861</v>
      </c>
      <c r="F3125" s="173" t="s">
        <v>2862</v>
      </c>
      <c r="G3125" s="425" t="s">
        <v>673</v>
      </c>
      <c r="H3125" s="425" t="s">
        <v>2863</v>
      </c>
      <c r="I3125" s="258" t="s">
        <v>9445</v>
      </c>
      <c r="J3125" s="259" t="s">
        <v>739</v>
      </c>
      <c r="K3125" s="260" t="s">
        <v>765</v>
      </c>
      <c r="L3125" s="442"/>
      <c r="M3125" s="426"/>
      <c r="N3125" s="173" t="s">
        <v>679</v>
      </c>
      <c r="O3125" s="173" t="s">
        <v>225</v>
      </c>
      <c r="P3125" s="262" t="str">
        <f t="shared" si="1"/>
        <v>IN-BLR-ANANTA-FAN-73_G</v>
      </c>
      <c r="Q3125" s="173" t="s">
        <v>9663</v>
      </c>
      <c r="R3125" s="433" t="str">
        <f>IFS(C3125="","",C3125="n/a","N/A",LEN(C3125),Concatenate("{",char(34),"asset",char(34),":{",char(34),"guid",char(34),":",char(34),Q3125,char(34),",",char(34),"site",char(34),":",char(34),LOWER('2-Building'!$B$4),char(34),",",char(34),"name",char(34),":",char(34),LOWER(C3125),char(34),"}}"))</f>
        <v>{"asset":{"guid":"uuid://dfd8ede4-bdab-4ba1-b13b-57f4bfc77175","site":"in-blr-ananta","name":"fan-73"}}</v>
      </c>
      <c r="S3125" s="369" t="s">
        <v>2866</v>
      </c>
      <c r="T3125" s="427"/>
      <c r="U3125" s="427"/>
      <c r="V3125" s="428"/>
      <c r="W3125" s="429"/>
      <c r="X3125" s="430"/>
      <c r="Y3125" s="33" t="s">
        <v>8076</v>
      </c>
      <c r="Z3125" s="430"/>
      <c r="AA3125" s="430"/>
      <c r="AB3125" s="258">
        <v>93.0</v>
      </c>
      <c r="AC3125" s="430"/>
      <c r="AD3125" s="426"/>
      <c r="AE3125" s="428"/>
      <c r="AF3125" s="431"/>
      <c r="AG3125" s="432" t="str">
        <f>IFS(LEN(AF3125)=17,LOWER('2-Building'!$B$4 &amp; "-" &amp; C3125), AF3125="N/A", "N/A", LEN(AF3125)=0,"")</f>
        <v/>
      </c>
      <c r="AH3125" s="430"/>
      <c r="AI3125" s="430"/>
      <c r="AJ3125" s="430"/>
      <c r="AK3125" s="430"/>
      <c r="AL3125" s="430"/>
      <c r="AM3125" s="433"/>
      <c r="AN3125" s="430"/>
      <c r="AO3125" s="430"/>
      <c r="AP3125" s="430"/>
      <c r="AQ3125" s="430"/>
      <c r="AR3125" s="430"/>
      <c r="AS3125" s="430"/>
      <c r="AT3125" s="430"/>
      <c r="AU3125" s="426"/>
      <c r="AV3125" s="434"/>
      <c r="AW3125" s="269" t="s">
        <v>1674</v>
      </c>
      <c r="AX3125" s="269" t="s">
        <v>2869</v>
      </c>
      <c r="AY3125" s="270" t="s">
        <v>695</v>
      </c>
      <c r="AZ3125" s="435"/>
      <c r="BA3125" s="173">
        <v>10.0</v>
      </c>
      <c r="BB3125" s="434"/>
      <c r="BC3125" s="434"/>
      <c r="BD3125" s="308" t="s">
        <v>1844</v>
      </c>
      <c r="BE3125" s="436"/>
      <c r="BF3125" s="274" t="str">
        <f>IFERROR(__xludf.DUMMYFUNCTION("LOWER(Regexreplace(to_text(E3125),""[^A-Za-z0-9]"","""")&amp;""_""&amp;Regexreplace(to_text(F3125),""[^A-Za-z0-9]"",""""))"),"neptronic_evcbseries")</f>
        <v>neptronic_evcbseries</v>
      </c>
      <c r="BG3125" s="275" t="str">
        <f>IFERROR(__xludf.DUMMYFUNCTION("upper(Regexreplace(to_text(E3125),""[^A-Za-z0-9]"","""")&amp;""-""&amp;Regexreplace(to_text(F3125),""[^A-Za-z0-9]"",""""))"),"NEPTRONIC-EVCBSERIES")</f>
        <v>NEPTRONIC-EVCBSERIES</v>
      </c>
    </row>
    <row r="3126" ht="30.0" customHeight="1">
      <c r="A3126" s="328">
        <v>2690.0</v>
      </c>
      <c r="B3126" s="425" t="s">
        <v>670</v>
      </c>
      <c r="C3126" s="257" t="s">
        <v>9664</v>
      </c>
      <c r="D3126" s="173" t="s">
        <v>9665</v>
      </c>
      <c r="E3126" s="174" t="s">
        <v>2861</v>
      </c>
      <c r="F3126" s="173" t="s">
        <v>2862</v>
      </c>
      <c r="G3126" s="425" t="s">
        <v>673</v>
      </c>
      <c r="H3126" s="425" t="s">
        <v>2863</v>
      </c>
      <c r="I3126" s="258" t="s">
        <v>9445</v>
      </c>
      <c r="J3126" s="259" t="s">
        <v>739</v>
      </c>
      <c r="K3126" s="260" t="s">
        <v>765</v>
      </c>
      <c r="L3126" s="442"/>
      <c r="M3126" s="426"/>
      <c r="N3126" s="173" t="s">
        <v>679</v>
      </c>
      <c r="O3126" s="173" t="s">
        <v>225</v>
      </c>
      <c r="P3126" s="262" t="str">
        <f t="shared" si="1"/>
        <v>IN-BLR-ANANTA-FAN-74_G</v>
      </c>
      <c r="Q3126" s="173" t="s">
        <v>9666</v>
      </c>
      <c r="R3126" s="425" t="str">
        <f>IFS(C3126="","",C3126="n/a","N/A",LEN(C3126),Concatenate("{",char(34),"asset",char(34),":{",char(34),"guid",char(34),":",char(34),Q3126,char(34),",",char(34),"site",char(34),":",char(34),LOWER('2-Building'!$B$4),char(34),",",char(34),"name",char(34),":",char(34),LOWER(C3126),char(34),"}}"))</f>
        <v>{"asset":{"guid":"uuid://7bf7fcc9-ccd1-411d-b2d4-9764bc4840bf","site":"in-blr-ananta","name":"fan-74"}}</v>
      </c>
      <c r="S3126" s="369" t="s">
        <v>2866</v>
      </c>
      <c r="T3126" s="427"/>
      <c r="U3126" s="427"/>
      <c r="V3126" s="428"/>
      <c r="W3126" s="429"/>
      <c r="X3126" s="430"/>
      <c r="Y3126" s="33" t="s">
        <v>8076</v>
      </c>
      <c r="Z3126" s="430"/>
      <c r="AA3126" s="430"/>
      <c r="AB3126" s="258">
        <v>94.0</v>
      </c>
      <c r="AC3126" s="430"/>
      <c r="AD3126" s="426"/>
      <c r="AE3126" s="428"/>
      <c r="AF3126" s="431"/>
      <c r="AG3126" s="432" t="str">
        <f>IFS(LEN(AF3126)=17,LOWER('2-Building'!$B$4 &amp; "-" &amp; C3126), AF3126="N/A", "N/A", LEN(AF3126)=0,"")</f>
        <v/>
      </c>
      <c r="AH3126" s="430"/>
      <c r="AI3126" s="430"/>
      <c r="AJ3126" s="430"/>
      <c r="AK3126" s="430"/>
      <c r="AL3126" s="430"/>
      <c r="AM3126" s="433"/>
      <c r="AN3126" s="430"/>
      <c r="AO3126" s="430"/>
      <c r="AP3126" s="430"/>
      <c r="AQ3126" s="430"/>
      <c r="AR3126" s="430"/>
      <c r="AS3126" s="430"/>
      <c r="AT3126" s="430"/>
      <c r="AU3126" s="426"/>
      <c r="AV3126" s="434"/>
      <c r="AW3126" s="269" t="s">
        <v>1674</v>
      </c>
      <c r="AX3126" s="269" t="s">
        <v>2869</v>
      </c>
      <c r="AY3126" s="270" t="s">
        <v>695</v>
      </c>
      <c r="AZ3126" s="435"/>
      <c r="BA3126" s="173">
        <v>10.0</v>
      </c>
      <c r="BB3126" s="434"/>
      <c r="BC3126" s="434"/>
      <c r="BD3126" s="308" t="s">
        <v>1844</v>
      </c>
      <c r="BE3126" s="436"/>
      <c r="BF3126" s="274" t="str">
        <f>IFERROR(__xludf.DUMMYFUNCTION("LOWER(Regexreplace(to_text(E3126),""[^A-Za-z0-9]"","""")&amp;""_""&amp;Regexreplace(to_text(F3126),""[^A-Za-z0-9]"",""""))"),"neptronic_evcbseries")</f>
        <v>neptronic_evcbseries</v>
      </c>
      <c r="BG3126" s="275" t="str">
        <f>IFERROR(__xludf.DUMMYFUNCTION("upper(Regexreplace(to_text(E3126),""[^A-Za-z0-9]"","""")&amp;""-""&amp;Regexreplace(to_text(F3126),""[^A-Za-z0-9]"",""""))"),"NEPTRONIC-EVCBSERIES")</f>
        <v>NEPTRONIC-EVCBSERIES</v>
      </c>
    </row>
    <row r="3127" ht="30.0" customHeight="1">
      <c r="A3127" s="258">
        <v>2690.0</v>
      </c>
      <c r="B3127" s="328" t="s">
        <v>670</v>
      </c>
      <c r="C3127" s="257" t="s">
        <v>9667</v>
      </c>
      <c r="D3127" s="173" t="s">
        <v>9668</v>
      </c>
      <c r="E3127" s="174" t="s">
        <v>2861</v>
      </c>
      <c r="F3127" s="173" t="s">
        <v>2862</v>
      </c>
      <c r="G3127" s="328" t="s">
        <v>673</v>
      </c>
      <c r="H3127" s="328" t="s">
        <v>2863</v>
      </c>
      <c r="I3127" s="258" t="s">
        <v>9445</v>
      </c>
      <c r="J3127" s="259" t="s">
        <v>739</v>
      </c>
      <c r="K3127" s="260" t="s">
        <v>765</v>
      </c>
      <c r="L3127" s="366"/>
      <c r="M3127" s="329"/>
      <c r="N3127" s="173" t="s">
        <v>679</v>
      </c>
      <c r="O3127" s="173" t="s">
        <v>225</v>
      </c>
      <c r="P3127" s="262" t="str">
        <f t="shared" si="1"/>
        <v>IN-BLR-ANANTA-FAN-75_G</v>
      </c>
      <c r="Q3127" s="173" t="s">
        <v>9669</v>
      </c>
      <c r="R3127" s="328" t="str">
        <f>IFS(C3127="","",C3127="n/a","N/A",LEN(C3127),Concatenate("{",char(34),"asset",char(34),":{",char(34),"guid",char(34),":",char(34),Q3127,char(34),",",char(34),"site",char(34),":",char(34),LOWER('2-Building'!$B$4),char(34),",",char(34),"name",char(34),":",char(34),LOWER(C3127),char(34),"}}"))</f>
        <v>{"asset":{"guid":"uuid://c3109ac3-9f3b-441e-b7b0-1ed00f6b9273","site":"in-blr-ananta","name":"fan-75"}}</v>
      </c>
      <c r="S3127" s="369" t="s">
        <v>2866</v>
      </c>
      <c r="T3127" s="330"/>
      <c r="U3127" s="330"/>
      <c r="V3127" s="331"/>
      <c r="W3127" s="332"/>
      <c r="X3127" s="333"/>
      <c r="Y3127" s="33" t="s">
        <v>8076</v>
      </c>
      <c r="Z3127" s="368"/>
      <c r="AA3127" s="333"/>
      <c r="AB3127" s="258">
        <v>95.0</v>
      </c>
      <c r="AC3127" s="333"/>
      <c r="AD3127" s="329"/>
      <c r="AE3127" s="331"/>
      <c r="AF3127" s="336"/>
      <c r="AG3127" s="337" t="str">
        <f>IFS(LEN(AF3127)=17,LOWER('2-Building'!$B$4 &amp; "-" &amp; C3127), AF3127="N/A", "N/A", LEN(AF3127)=0,"")</f>
        <v/>
      </c>
      <c r="AH3127" s="333"/>
      <c r="AI3127" s="333"/>
      <c r="AJ3127" s="333"/>
      <c r="AK3127" s="333"/>
      <c r="AL3127" s="333"/>
      <c r="AM3127" s="338"/>
      <c r="AN3127" s="333"/>
      <c r="AO3127" s="333"/>
      <c r="AP3127" s="333"/>
      <c r="AQ3127" s="333"/>
      <c r="AR3127" s="333"/>
      <c r="AS3127" s="333"/>
      <c r="AT3127" s="333"/>
      <c r="AU3127" s="329"/>
      <c r="AV3127" s="341"/>
      <c r="AW3127" s="269" t="s">
        <v>1674</v>
      </c>
      <c r="AX3127" s="269" t="s">
        <v>2869</v>
      </c>
      <c r="AY3127" s="270" t="s">
        <v>695</v>
      </c>
      <c r="AZ3127" s="379"/>
      <c r="BA3127" s="173">
        <v>10.0</v>
      </c>
      <c r="BB3127" s="341"/>
      <c r="BC3127" s="341"/>
      <c r="BD3127" s="308" t="s">
        <v>1844</v>
      </c>
      <c r="BE3127" s="364"/>
      <c r="BF3127" s="274" t="str">
        <f>IFERROR(__xludf.DUMMYFUNCTION("LOWER(Regexreplace(to_text(E3127),""[^A-Za-z0-9]"","""")&amp;""_""&amp;Regexreplace(to_text(F3127),""[^A-Za-z0-9]"",""""))"),"neptronic_evcbseries")</f>
        <v>neptronic_evcbseries</v>
      </c>
      <c r="BG3127" s="275" t="str">
        <f>IFERROR(__xludf.DUMMYFUNCTION("upper(Regexreplace(to_text(E3127),""[^A-Za-z0-9]"","""")&amp;""-""&amp;Regexreplace(to_text(F3127),""[^A-Za-z0-9]"",""""))"),"NEPTRONIC-EVCBSERIES")</f>
        <v>NEPTRONIC-EVCBSERIES</v>
      </c>
    </row>
    <row r="3128" ht="30.0" customHeight="1">
      <c r="A3128" s="328">
        <v>2690.0</v>
      </c>
      <c r="B3128" s="425" t="s">
        <v>670</v>
      </c>
      <c r="C3128" s="257" t="s">
        <v>9670</v>
      </c>
      <c r="D3128" s="173" t="s">
        <v>9671</v>
      </c>
      <c r="E3128" s="174" t="s">
        <v>2861</v>
      </c>
      <c r="F3128" s="173" t="s">
        <v>2862</v>
      </c>
      <c r="G3128" s="425" t="s">
        <v>673</v>
      </c>
      <c r="H3128" s="425" t="s">
        <v>2863</v>
      </c>
      <c r="I3128" s="258" t="s">
        <v>9445</v>
      </c>
      <c r="J3128" s="259" t="s">
        <v>846</v>
      </c>
      <c r="K3128" s="260" t="s">
        <v>896</v>
      </c>
      <c r="L3128" s="442"/>
      <c r="M3128" s="426"/>
      <c r="N3128" s="173" t="s">
        <v>679</v>
      </c>
      <c r="O3128" s="173" t="s">
        <v>225</v>
      </c>
      <c r="P3128" s="262" t="str">
        <f t="shared" si="1"/>
        <v>IN-BLR-ANANTA-FAN-76_1</v>
      </c>
      <c r="Q3128" s="173" t="s">
        <v>9672</v>
      </c>
      <c r="R3128" s="433" t="str">
        <f>IFS(C3128="","",C3128="n/a","N/A",LEN(C3128),Concatenate("{",char(34),"asset",char(34),":{",char(34),"guid",char(34),":",char(34),Q3128,char(34),",",char(34),"site",char(34),":",char(34),LOWER('2-Building'!$B$4),char(34),",",char(34),"name",char(34),":",char(34),LOWER(C3128),char(34),"}}"))</f>
        <v>{"asset":{"guid":"uuid://12913690-1ef3-4ec9-bd88-bef7c6089812","site":"in-blr-ananta","name":"fan-76"}}</v>
      </c>
      <c r="S3128" s="369" t="s">
        <v>2866</v>
      </c>
      <c r="T3128" s="427"/>
      <c r="U3128" s="427"/>
      <c r="V3128" s="428"/>
      <c r="W3128" s="429"/>
      <c r="X3128" s="430"/>
      <c r="Y3128" s="33" t="s">
        <v>8076</v>
      </c>
      <c r="Z3128" s="430"/>
      <c r="AA3128" s="430"/>
      <c r="AB3128" s="258">
        <v>99.0</v>
      </c>
      <c r="AC3128" s="430"/>
      <c r="AD3128" s="426"/>
      <c r="AE3128" s="428"/>
      <c r="AF3128" s="431"/>
      <c r="AG3128" s="432" t="str">
        <f>IFS(LEN(AF3128)=17,LOWER('2-Building'!$B$4 &amp; "-" &amp; C3128), AF3128="N/A", "N/A", LEN(AF3128)=0,"")</f>
        <v/>
      </c>
      <c r="AH3128" s="430"/>
      <c r="AI3128" s="430"/>
      <c r="AJ3128" s="430"/>
      <c r="AK3128" s="430"/>
      <c r="AL3128" s="430"/>
      <c r="AM3128" s="433"/>
      <c r="AN3128" s="430"/>
      <c r="AO3128" s="430"/>
      <c r="AP3128" s="430"/>
      <c r="AQ3128" s="430"/>
      <c r="AR3128" s="430"/>
      <c r="AS3128" s="430"/>
      <c r="AT3128" s="430"/>
      <c r="AU3128" s="426"/>
      <c r="AV3128" s="434"/>
      <c r="AW3128" s="269" t="s">
        <v>1674</v>
      </c>
      <c r="AX3128" s="269" t="s">
        <v>2869</v>
      </c>
      <c r="AY3128" s="270" t="s">
        <v>695</v>
      </c>
      <c r="AZ3128" s="435"/>
      <c r="BA3128" s="173">
        <v>10.0</v>
      </c>
      <c r="BB3128" s="434"/>
      <c r="BC3128" s="434"/>
      <c r="BD3128" s="308" t="s">
        <v>1844</v>
      </c>
      <c r="BE3128" s="436"/>
      <c r="BF3128" s="274" t="str">
        <f>IFERROR(__xludf.DUMMYFUNCTION("LOWER(Regexreplace(to_text(E3128),""[^A-Za-z0-9]"","""")&amp;""_""&amp;Regexreplace(to_text(F3128),""[^A-Za-z0-9]"",""""))"),"neptronic_evcbseries")</f>
        <v>neptronic_evcbseries</v>
      </c>
      <c r="BG3128" s="275" t="str">
        <f>IFERROR(__xludf.DUMMYFUNCTION("upper(Regexreplace(to_text(E3128),""[^A-Za-z0-9]"","""")&amp;""-""&amp;Regexreplace(to_text(F3128),""[^A-Za-z0-9]"",""""))"),"NEPTRONIC-EVCBSERIES")</f>
        <v>NEPTRONIC-EVCBSERIES</v>
      </c>
    </row>
    <row r="3129" ht="30.0" customHeight="1">
      <c r="A3129" s="328">
        <v>2690.0</v>
      </c>
      <c r="B3129" s="425" t="s">
        <v>670</v>
      </c>
      <c r="C3129" s="257" t="s">
        <v>9673</v>
      </c>
      <c r="D3129" s="173" t="s">
        <v>9674</v>
      </c>
      <c r="E3129" s="174" t="s">
        <v>2861</v>
      </c>
      <c r="F3129" s="173" t="s">
        <v>2862</v>
      </c>
      <c r="G3129" s="425" t="s">
        <v>673</v>
      </c>
      <c r="H3129" s="425" t="s">
        <v>2863</v>
      </c>
      <c r="I3129" s="258" t="s">
        <v>9445</v>
      </c>
      <c r="J3129" s="259" t="s">
        <v>846</v>
      </c>
      <c r="K3129" s="260" t="s">
        <v>896</v>
      </c>
      <c r="L3129" s="442"/>
      <c r="M3129" s="426"/>
      <c r="N3129" s="173" t="s">
        <v>679</v>
      </c>
      <c r="O3129" s="173" t="s">
        <v>225</v>
      </c>
      <c r="P3129" s="262" t="str">
        <f t="shared" si="1"/>
        <v>IN-BLR-ANANTA-FAN-77_1</v>
      </c>
      <c r="Q3129" s="173" t="s">
        <v>9675</v>
      </c>
      <c r="R3129" s="425" t="str">
        <f>IFS(C3129="","",C3129="n/a","N/A",LEN(C3129),Concatenate("{",char(34),"asset",char(34),":{",char(34),"guid",char(34),":",char(34),Q3129,char(34),",",char(34),"site",char(34),":",char(34),LOWER('2-Building'!$B$4),char(34),",",char(34),"name",char(34),":",char(34),LOWER(C3129),char(34),"}}"))</f>
        <v>{"asset":{"guid":"uuid://ede08314-5fe1-47ae-ab72-dfd47787a18e","site":"in-blr-ananta","name":"fan-77"}}</v>
      </c>
      <c r="S3129" s="369" t="s">
        <v>2866</v>
      </c>
      <c r="T3129" s="427"/>
      <c r="U3129" s="427"/>
      <c r="V3129" s="428"/>
      <c r="W3129" s="429"/>
      <c r="X3129" s="430"/>
      <c r="Y3129" s="33" t="s">
        <v>8076</v>
      </c>
      <c r="Z3129" s="430"/>
      <c r="AA3129" s="430"/>
      <c r="AB3129" s="258">
        <v>100.0</v>
      </c>
      <c r="AC3129" s="430"/>
      <c r="AD3129" s="426"/>
      <c r="AE3129" s="428"/>
      <c r="AF3129" s="431"/>
      <c r="AG3129" s="432" t="str">
        <f>IFS(LEN(AF3129)=17,LOWER('2-Building'!$B$4 &amp; "-" &amp; C3129), AF3129="N/A", "N/A", LEN(AF3129)=0,"")</f>
        <v/>
      </c>
      <c r="AH3129" s="430"/>
      <c r="AI3129" s="430"/>
      <c r="AJ3129" s="430"/>
      <c r="AK3129" s="430"/>
      <c r="AL3129" s="430"/>
      <c r="AM3129" s="433"/>
      <c r="AN3129" s="430"/>
      <c r="AO3129" s="430"/>
      <c r="AP3129" s="430"/>
      <c r="AQ3129" s="430"/>
      <c r="AR3129" s="430"/>
      <c r="AS3129" s="430"/>
      <c r="AT3129" s="430"/>
      <c r="AU3129" s="426"/>
      <c r="AV3129" s="434"/>
      <c r="AW3129" s="269" t="s">
        <v>1674</v>
      </c>
      <c r="AX3129" s="269" t="s">
        <v>2869</v>
      </c>
      <c r="AY3129" s="270" t="s">
        <v>695</v>
      </c>
      <c r="AZ3129" s="435"/>
      <c r="BA3129" s="173">
        <v>10.0</v>
      </c>
      <c r="BB3129" s="434"/>
      <c r="BC3129" s="434"/>
      <c r="BD3129" s="308" t="s">
        <v>1844</v>
      </c>
      <c r="BE3129" s="436"/>
      <c r="BF3129" s="274" t="str">
        <f>IFERROR(__xludf.DUMMYFUNCTION("LOWER(Regexreplace(to_text(E3129),""[^A-Za-z0-9]"","""")&amp;""_""&amp;Regexreplace(to_text(F3129),""[^A-Za-z0-9]"",""""))"),"neptronic_evcbseries")</f>
        <v>neptronic_evcbseries</v>
      </c>
      <c r="BG3129" s="275" t="str">
        <f>IFERROR(__xludf.DUMMYFUNCTION("upper(Regexreplace(to_text(E3129),""[^A-Za-z0-9]"","""")&amp;""-""&amp;Regexreplace(to_text(F3129),""[^A-Za-z0-9]"",""""))"),"NEPTRONIC-EVCBSERIES")</f>
        <v>NEPTRONIC-EVCBSERIES</v>
      </c>
    </row>
    <row r="3130" ht="30.0" customHeight="1">
      <c r="A3130" s="425">
        <v>2690.0</v>
      </c>
      <c r="B3130" s="425" t="s">
        <v>670</v>
      </c>
      <c r="C3130" s="257" t="s">
        <v>9676</v>
      </c>
      <c r="D3130" s="173" t="s">
        <v>9677</v>
      </c>
      <c r="E3130" s="174" t="s">
        <v>2861</v>
      </c>
      <c r="F3130" s="173" t="s">
        <v>2862</v>
      </c>
      <c r="G3130" s="425" t="s">
        <v>673</v>
      </c>
      <c r="H3130" s="425" t="s">
        <v>2863</v>
      </c>
      <c r="I3130" s="258" t="s">
        <v>9445</v>
      </c>
      <c r="J3130" s="259" t="s">
        <v>846</v>
      </c>
      <c r="K3130" s="260" t="s">
        <v>896</v>
      </c>
      <c r="L3130" s="442"/>
      <c r="M3130" s="426"/>
      <c r="N3130" s="173" t="s">
        <v>679</v>
      </c>
      <c r="O3130" s="173" t="s">
        <v>225</v>
      </c>
      <c r="P3130" s="262" t="str">
        <f t="shared" si="1"/>
        <v>IN-BLR-ANANTA-FAN-78_1</v>
      </c>
      <c r="Q3130" s="173" t="s">
        <v>9678</v>
      </c>
      <c r="R3130" s="425" t="str">
        <f>IFS(C3130="","",C3130="n/a","N/A",LEN(C3130),Concatenate("{",char(34),"asset",char(34),":{",char(34),"guid",char(34),":",char(34),Q3130,char(34),",",char(34),"site",char(34),":",char(34),LOWER('2-Building'!$B$4),char(34),",",char(34),"name",char(34),":",char(34),LOWER(C3130),char(34),"}}"))</f>
        <v>{"asset":{"guid":"uuid://85850697-c8b8-4ae1-b304-16d97298e25c","site":"in-blr-ananta","name":"fan-78"}}</v>
      </c>
      <c r="S3130" s="369" t="s">
        <v>2866</v>
      </c>
      <c r="T3130" s="427"/>
      <c r="U3130" s="427"/>
      <c r="V3130" s="428"/>
      <c r="W3130" s="429"/>
      <c r="X3130" s="430"/>
      <c r="Y3130" s="33" t="s">
        <v>8076</v>
      </c>
      <c r="Z3130" s="430"/>
      <c r="AA3130" s="430"/>
      <c r="AB3130" s="258">
        <v>101.0</v>
      </c>
      <c r="AC3130" s="430"/>
      <c r="AD3130" s="426"/>
      <c r="AE3130" s="428"/>
      <c r="AF3130" s="431"/>
      <c r="AG3130" s="432"/>
      <c r="AH3130" s="430"/>
      <c r="AI3130" s="430"/>
      <c r="AJ3130" s="430"/>
      <c r="AK3130" s="430"/>
      <c r="AL3130" s="430"/>
      <c r="AM3130" s="433"/>
      <c r="AN3130" s="430"/>
      <c r="AO3130" s="430"/>
      <c r="AP3130" s="430"/>
      <c r="AQ3130" s="430"/>
      <c r="AR3130" s="430"/>
      <c r="AS3130" s="430"/>
      <c r="AT3130" s="430"/>
      <c r="AU3130" s="426"/>
      <c r="AV3130" s="434"/>
      <c r="AW3130" s="269" t="s">
        <v>1674</v>
      </c>
      <c r="AX3130" s="269" t="s">
        <v>2869</v>
      </c>
      <c r="AY3130" s="270" t="s">
        <v>695</v>
      </c>
      <c r="AZ3130" s="435"/>
      <c r="BA3130" s="173">
        <v>10.0</v>
      </c>
      <c r="BB3130" s="434"/>
      <c r="BC3130" s="434"/>
      <c r="BD3130" s="308" t="s">
        <v>1844</v>
      </c>
      <c r="BE3130" s="436"/>
      <c r="BF3130" s="274" t="str">
        <f>IFERROR(__xludf.DUMMYFUNCTION("LOWER(Regexreplace(to_text(E3130),""[^A-Za-z0-9]"","""")&amp;""_""&amp;Regexreplace(to_text(F3130),""[^A-Za-z0-9]"",""""))"),"neptronic_evcbseries")</f>
        <v>neptronic_evcbseries</v>
      </c>
      <c r="BG3130" s="275" t="str">
        <f>IFERROR(__xludf.DUMMYFUNCTION("upper(Regexreplace(to_text(E3130),""[^A-Za-z0-9]"","""")&amp;""-""&amp;Regexreplace(to_text(F3130),""[^A-Za-z0-9]"",""""))"),"NEPTRONIC-EVCBSERIES")</f>
        <v>NEPTRONIC-EVCBSERIES</v>
      </c>
    </row>
    <row r="3131" ht="30.0" customHeight="1">
      <c r="A3131" s="328">
        <v>2690.0</v>
      </c>
      <c r="B3131" s="425" t="s">
        <v>670</v>
      </c>
      <c r="C3131" s="257" t="s">
        <v>9679</v>
      </c>
      <c r="D3131" s="173" t="s">
        <v>9680</v>
      </c>
      <c r="E3131" s="174" t="s">
        <v>2861</v>
      </c>
      <c r="F3131" s="173" t="s">
        <v>2862</v>
      </c>
      <c r="G3131" s="425" t="s">
        <v>673</v>
      </c>
      <c r="H3131" s="425" t="s">
        <v>2863</v>
      </c>
      <c r="I3131" s="258" t="s">
        <v>9445</v>
      </c>
      <c r="J3131" s="259" t="s">
        <v>1026</v>
      </c>
      <c r="K3131" s="260" t="s">
        <v>9681</v>
      </c>
      <c r="L3131" s="442"/>
      <c r="M3131" s="426"/>
      <c r="N3131" s="173" t="s">
        <v>679</v>
      </c>
      <c r="O3131" s="173" t="s">
        <v>225</v>
      </c>
      <c r="P3131" s="262" t="str">
        <f t="shared" si="1"/>
        <v>IN-BLR-ANANTA-FAN-79_4</v>
      </c>
      <c r="Q3131" s="173" t="s">
        <v>9682</v>
      </c>
      <c r="R3131" s="425" t="str">
        <f>IFS(C3131="","",C3131="n/a","N/A",LEN(C3131),Concatenate("{",char(34),"asset",char(34),":{",char(34),"guid",char(34),":",char(34),Q3131,char(34),",",char(34),"site",char(34),":",char(34),LOWER('2-Building'!$B$4),char(34),",",char(34),"name",char(34),":",char(34),LOWER(C3131),char(34),"}}"))</f>
        <v>{"asset":{"guid":"uuid://3e75eca4-336c-467c-a22b-b28a32c5ac8d","site":"in-blr-ananta","name":"fan-79"}}</v>
      </c>
      <c r="S3131" s="369" t="s">
        <v>2866</v>
      </c>
      <c r="T3131" s="427"/>
      <c r="U3131" s="427"/>
      <c r="V3131" s="428"/>
      <c r="W3131" s="429"/>
      <c r="X3131" s="430"/>
      <c r="Y3131" s="33" t="s">
        <v>8076</v>
      </c>
      <c r="Z3131" s="430"/>
      <c r="AA3131" s="430"/>
      <c r="AB3131" s="258">
        <v>23.0</v>
      </c>
      <c r="AC3131" s="430"/>
      <c r="AD3131" s="426"/>
      <c r="AE3131" s="428"/>
      <c r="AF3131" s="431"/>
      <c r="AG3131" s="432"/>
      <c r="AH3131" s="430"/>
      <c r="AI3131" s="430"/>
      <c r="AJ3131" s="430"/>
      <c r="AK3131" s="430"/>
      <c r="AL3131" s="430"/>
      <c r="AM3131" s="433"/>
      <c r="AN3131" s="430"/>
      <c r="AO3131" s="430"/>
      <c r="AP3131" s="430"/>
      <c r="AQ3131" s="430"/>
      <c r="AR3131" s="430"/>
      <c r="AS3131" s="430"/>
      <c r="AT3131" s="430"/>
      <c r="AU3131" s="426"/>
      <c r="AV3131" s="434"/>
      <c r="AW3131" s="269" t="s">
        <v>1674</v>
      </c>
      <c r="AX3131" s="269" t="s">
        <v>2869</v>
      </c>
      <c r="AY3131" s="270" t="s">
        <v>695</v>
      </c>
      <c r="AZ3131" s="435"/>
      <c r="BA3131" s="173">
        <v>10.0</v>
      </c>
      <c r="BB3131" s="434"/>
      <c r="BC3131" s="434"/>
      <c r="BD3131" s="308" t="s">
        <v>1844</v>
      </c>
      <c r="BE3131" s="436"/>
      <c r="BF3131" s="274" t="str">
        <f>IFERROR(__xludf.DUMMYFUNCTION("LOWER(Regexreplace(to_text(E3131),""[^A-Za-z0-9]"","""")&amp;""_""&amp;Regexreplace(to_text(F3131),""[^A-Za-z0-9]"",""""))"),"neptronic_evcbseries")</f>
        <v>neptronic_evcbseries</v>
      </c>
      <c r="BG3131" s="275" t="str">
        <f>IFERROR(__xludf.DUMMYFUNCTION("upper(Regexreplace(to_text(E3131),""[^A-Za-z0-9]"","""")&amp;""-""&amp;Regexreplace(to_text(F3131),""[^A-Za-z0-9]"",""""))"),"NEPTRONIC-EVCBSERIES")</f>
        <v>NEPTRONIC-EVCBSERIES</v>
      </c>
    </row>
    <row r="3132" ht="30.0" customHeight="1">
      <c r="A3132" s="328">
        <v>2690.0</v>
      </c>
      <c r="B3132" s="425" t="s">
        <v>670</v>
      </c>
      <c r="C3132" s="257" t="s">
        <v>9683</v>
      </c>
      <c r="D3132" s="173" t="s">
        <v>9684</v>
      </c>
      <c r="E3132" s="174" t="s">
        <v>2861</v>
      </c>
      <c r="F3132" s="173" t="s">
        <v>2862</v>
      </c>
      <c r="G3132" s="425" t="s">
        <v>673</v>
      </c>
      <c r="H3132" s="425" t="s">
        <v>2863</v>
      </c>
      <c r="I3132" s="258" t="s">
        <v>9445</v>
      </c>
      <c r="J3132" s="259" t="s">
        <v>1026</v>
      </c>
      <c r="K3132" s="260" t="s">
        <v>9681</v>
      </c>
      <c r="L3132" s="442"/>
      <c r="M3132" s="426"/>
      <c r="N3132" s="173" t="s">
        <v>679</v>
      </c>
      <c r="O3132" s="173" t="s">
        <v>225</v>
      </c>
      <c r="P3132" s="262" t="str">
        <f t="shared" si="1"/>
        <v>IN-BLR-ANANTA-FAN-80_4</v>
      </c>
      <c r="Q3132" s="173" t="s">
        <v>9685</v>
      </c>
      <c r="R3132" s="425" t="str">
        <f>IFS(C3132="","",C3132="n/a","N/A",LEN(C3132),Concatenate("{",char(34),"asset",char(34),":{",char(34),"guid",char(34),":",char(34),Q3132,char(34),",",char(34),"site",char(34),":",char(34),LOWER('2-Building'!$B$4),char(34),",",char(34),"name",char(34),":",char(34),LOWER(C3132),char(34),"}}"))</f>
        <v>{"asset":{"guid":"uuid://970bcb43-e036-4aef-81b7-4aed0422344f","site":"in-blr-ananta","name":"fan-80"}}</v>
      </c>
      <c r="S3132" s="369" t="s">
        <v>2866</v>
      </c>
      <c r="T3132" s="427"/>
      <c r="U3132" s="427"/>
      <c r="V3132" s="428"/>
      <c r="W3132" s="429"/>
      <c r="X3132" s="430"/>
      <c r="Y3132" s="33" t="s">
        <v>8076</v>
      </c>
      <c r="Z3132" s="430"/>
      <c r="AA3132" s="430"/>
      <c r="AB3132" s="258">
        <v>24.0</v>
      </c>
      <c r="AC3132" s="430"/>
      <c r="AD3132" s="426"/>
      <c r="AE3132" s="428"/>
      <c r="AF3132" s="431"/>
      <c r="AG3132" s="432"/>
      <c r="AH3132" s="430"/>
      <c r="AI3132" s="430"/>
      <c r="AJ3132" s="430"/>
      <c r="AK3132" s="430"/>
      <c r="AL3132" s="430"/>
      <c r="AM3132" s="433"/>
      <c r="AN3132" s="430"/>
      <c r="AO3132" s="430"/>
      <c r="AP3132" s="430"/>
      <c r="AQ3132" s="430"/>
      <c r="AR3132" s="430"/>
      <c r="AS3132" s="430"/>
      <c r="AT3132" s="430"/>
      <c r="AU3132" s="426"/>
      <c r="AV3132" s="434"/>
      <c r="AW3132" s="269" t="s">
        <v>1674</v>
      </c>
      <c r="AX3132" s="269" t="s">
        <v>2869</v>
      </c>
      <c r="AY3132" s="270" t="s">
        <v>695</v>
      </c>
      <c r="AZ3132" s="435"/>
      <c r="BA3132" s="173">
        <v>10.0</v>
      </c>
      <c r="BB3132" s="434"/>
      <c r="BC3132" s="434"/>
      <c r="BD3132" s="308" t="s">
        <v>1844</v>
      </c>
      <c r="BE3132" s="436"/>
      <c r="BF3132" s="274" t="str">
        <f>IFERROR(__xludf.DUMMYFUNCTION("LOWER(Regexreplace(to_text(E3132),""[^A-Za-z0-9]"","""")&amp;""_""&amp;Regexreplace(to_text(F3132),""[^A-Za-z0-9]"",""""))"),"neptronic_evcbseries")</f>
        <v>neptronic_evcbseries</v>
      </c>
      <c r="BG3132" s="275" t="str">
        <f>IFERROR(__xludf.DUMMYFUNCTION("upper(Regexreplace(to_text(E3132),""[^A-Za-z0-9]"","""")&amp;""-""&amp;Regexreplace(to_text(F3132),""[^A-Za-z0-9]"",""""))"),"NEPTRONIC-EVCBSERIES")</f>
        <v>NEPTRONIC-EVCBSERIES</v>
      </c>
    </row>
    <row r="3133" ht="30.0" customHeight="1">
      <c r="A3133" s="425">
        <v>2690.0</v>
      </c>
      <c r="B3133" s="425" t="s">
        <v>670</v>
      </c>
      <c r="C3133" s="257" t="s">
        <v>9686</v>
      </c>
      <c r="D3133" s="173" t="s">
        <v>9687</v>
      </c>
      <c r="E3133" s="174" t="s">
        <v>9267</v>
      </c>
      <c r="F3133" s="173" t="s">
        <v>9268</v>
      </c>
      <c r="G3133" s="425" t="s">
        <v>673</v>
      </c>
      <c r="H3133" s="425" t="s">
        <v>2863</v>
      </c>
      <c r="I3133" s="258" t="s">
        <v>9445</v>
      </c>
      <c r="J3133" s="259" t="s">
        <v>1026</v>
      </c>
      <c r="K3133" s="260" t="s">
        <v>9681</v>
      </c>
      <c r="L3133" s="442"/>
      <c r="M3133" s="426"/>
      <c r="N3133" s="173" t="s">
        <v>679</v>
      </c>
      <c r="O3133" s="173" t="s">
        <v>225</v>
      </c>
      <c r="P3133" s="262" t="str">
        <f t="shared" si="1"/>
        <v>IN-BLR-ANANTA-FAN-81_4</v>
      </c>
      <c r="Q3133" s="173" t="s">
        <v>9688</v>
      </c>
      <c r="R3133" s="433" t="str">
        <f>IFS(C3133="","",C3133="n/a","N/A",LEN(C3133),Concatenate("{",char(34),"asset",char(34),":{",char(34),"guid",char(34),":",char(34),Q3133,char(34),",",char(34),"site",char(34),":",char(34),LOWER('2-Building'!$B$4),char(34),",",char(34),"name",char(34),":",char(34),LOWER(C3133),char(34),"}}"))</f>
        <v>{"asset":{"guid":"uuid://f8c72771-8cbc-451c-b05d-67f6645a1ca9","site":"in-blr-ananta","name":"fan-81"}}</v>
      </c>
      <c r="S3133" s="369" t="s">
        <v>2866</v>
      </c>
      <c r="T3133" s="427"/>
      <c r="U3133" s="427"/>
      <c r="V3133" s="428"/>
      <c r="W3133" s="429"/>
      <c r="X3133" s="430"/>
      <c r="Y3133" s="33" t="s">
        <v>8076</v>
      </c>
      <c r="Z3133" s="430"/>
      <c r="AA3133" s="430"/>
      <c r="AB3133" s="258">
        <v>25.0</v>
      </c>
      <c r="AC3133" s="430"/>
      <c r="AD3133" s="426"/>
      <c r="AE3133" s="428"/>
      <c r="AF3133" s="431"/>
      <c r="AG3133" s="432" t="str">
        <f>IFS(LEN(AF3133)=17,LOWER('2-Building'!$B$4 &amp; "-" &amp; C3133), AF3133="N/A", "N/A", LEN(AF3133)=0,"")</f>
        <v/>
      </c>
      <c r="AH3133" s="430"/>
      <c r="AI3133" s="430"/>
      <c r="AJ3133" s="430"/>
      <c r="AK3133" s="430"/>
      <c r="AL3133" s="430"/>
      <c r="AM3133" s="433"/>
      <c r="AN3133" s="430"/>
      <c r="AO3133" s="430"/>
      <c r="AP3133" s="430"/>
      <c r="AQ3133" s="430"/>
      <c r="AR3133" s="430"/>
      <c r="AS3133" s="430"/>
      <c r="AT3133" s="430"/>
      <c r="AU3133" s="426"/>
      <c r="AV3133" s="434"/>
      <c r="AW3133" s="269" t="s">
        <v>1674</v>
      </c>
      <c r="AX3133" s="269" t="s">
        <v>2869</v>
      </c>
      <c r="AY3133" s="270" t="s">
        <v>695</v>
      </c>
      <c r="AZ3133" s="435"/>
      <c r="BA3133" s="173">
        <v>10.0</v>
      </c>
      <c r="BB3133" s="434"/>
      <c r="BC3133" s="434"/>
      <c r="BD3133" s="308" t="s">
        <v>1844</v>
      </c>
      <c r="BE3133" s="436"/>
      <c r="BF3133" s="274" t="str">
        <f>IFERROR(__xludf.DUMMYFUNCTION("LOWER(Regexreplace(to_text(E3133),""[^A-Za-z0-9]"","""")&amp;""_""&amp;Regexreplace(to_text(F3133),""[^A-Za-z0-9]"",""""))"),"nicotra_ddmp")</f>
        <v>nicotra_ddmp</v>
      </c>
      <c r="BG3133" s="275" t="str">
        <f>IFERROR(__xludf.DUMMYFUNCTION("upper(Regexreplace(to_text(E3133),""[^A-Za-z0-9]"","""")&amp;""-""&amp;Regexreplace(to_text(F3133),""[^A-Za-z0-9]"",""""))"),"NICOTRA-DDMP")</f>
        <v>NICOTRA-DDMP</v>
      </c>
    </row>
    <row r="3134" ht="30.0" customHeight="1">
      <c r="A3134" s="328">
        <v>2690.0</v>
      </c>
      <c r="B3134" s="425" t="s">
        <v>670</v>
      </c>
      <c r="C3134" s="257" t="s">
        <v>9689</v>
      </c>
      <c r="D3134" s="173" t="s">
        <v>9690</v>
      </c>
      <c r="E3134" s="174" t="s">
        <v>9267</v>
      </c>
      <c r="F3134" s="173" t="s">
        <v>9268</v>
      </c>
      <c r="G3134" s="425" t="s">
        <v>673</v>
      </c>
      <c r="H3134" s="425" t="s">
        <v>2863</v>
      </c>
      <c r="I3134" s="258" t="s">
        <v>9445</v>
      </c>
      <c r="J3134" s="259" t="s">
        <v>1026</v>
      </c>
      <c r="K3134" s="260" t="s">
        <v>9681</v>
      </c>
      <c r="L3134" s="442"/>
      <c r="M3134" s="426"/>
      <c r="N3134" s="173" t="s">
        <v>679</v>
      </c>
      <c r="O3134" s="173" t="s">
        <v>225</v>
      </c>
      <c r="P3134" s="262" t="str">
        <f t="shared" si="1"/>
        <v>IN-BLR-ANANTA-FAN-82_4</v>
      </c>
      <c r="Q3134" s="173" t="s">
        <v>9691</v>
      </c>
      <c r="R3134" s="425" t="str">
        <f>IFS(C3134="","",C3134="n/a","N/A",LEN(C3134),Concatenate("{",char(34),"asset",char(34),":{",char(34),"guid",char(34),":",char(34),Q3134,char(34),",",char(34),"site",char(34),":",char(34),LOWER('2-Building'!$B$4),char(34),",",char(34),"name",char(34),":",char(34),LOWER(C3134),char(34),"}}"))</f>
        <v>{"asset":{"guid":"uuid://54a34c35-f624-4d48-8d11-4ca7c8998d22","site":"in-blr-ananta","name":"fan-82"}}</v>
      </c>
      <c r="S3134" s="369" t="s">
        <v>2866</v>
      </c>
      <c r="T3134" s="427"/>
      <c r="U3134" s="427"/>
      <c r="V3134" s="428"/>
      <c r="W3134" s="429"/>
      <c r="X3134" s="430"/>
      <c r="Y3134" s="33" t="s">
        <v>8076</v>
      </c>
      <c r="Z3134" s="430"/>
      <c r="AA3134" s="430"/>
      <c r="AB3134" s="258">
        <v>26.0</v>
      </c>
      <c r="AC3134" s="430"/>
      <c r="AD3134" s="426"/>
      <c r="AE3134" s="428"/>
      <c r="AF3134" s="431"/>
      <c r="AG3134" s="432" t="str">
        <f>IFS(LEN(AF3134)=17,LOWER('2-Building'!$B$4 &amp; "-" &amp; C3134), AF3134="N/A", "N/A", LEN(AF3134)=0,"")</f>
        <v/>
      </c>
      <c r="AH3134" s="430"/>
      <c r="AI3134" s="430"/>
      <c r="AJ3134" s="430"/>
      <c r="AK3134" s="430"/>
      <c r="AL3134" s="430"/>
      <c r="AM3134" s="433"/>
      <c r="AN3134" s="430"/>
      <c r="AO3134" s="430"/>
      <c r="AP3134" s="430"/>
      <c r="AQ3134" s="430"/>
      <c r="AR3134" s="430"/>
      <c r="AS3134" s="430"/>
      <c r="AT3134" s="430"/>
      <c r="AU3134" s="426"/>
      <c r="AV3134" s="434"/>
      <c r="AW3134" s="269" t="s">
        <v>1674</v>
      </c>
      <c r="AX3134" s="269" t="s">
        <v>2869</v>
      </c>
      <c r="AY3134" s="270" t="s">
        <v>695</v>
      </c>
      <c r="AZ3134" s="435"/>
      <c r="BA3134" s="173">
        <v>10.0</v>
      </c>
      <c r="BB3134" s="434"/>
      <c r="BC3134" s="434"/>
      <c r="BD3134" s="308" t="s">
        <v>1844</v>
      </c>
      <c r="BE3134" s="436"/>
      <c r="BF3134" s="274" t="str">
        <f>IFERROR(__xludf.DUMMYFUNCTION("LOWER(Regexreplace(to_text(E3134),""[^A-Za-z0-9]"","""")&amp;""_""&amp;Regexreplace(to_text(F3134),""[^A-Za-z0-9]"",""""))"),"nicotra_ddmp")</f>
        <v>nicotra_ddmp</v>
      </c>
      <c r="BG3134" s="275" t="str">
        <f>IFERROR(__xludf.DUMMYFUNCTION("upper(Regexreplace(to_text(E3134),""[^A-Za-z0-9]"","""")&amp;""-""&amp;Regexreplace(to_text(F3134),""[^A-Za-z0-9]"",""""))"),"NICOTRA-DDMP")</f>
        <v>NICOTRA-DDMP</v>
      </c>
    </row>
    <row r="3135" ht="30.0" customHeight="1">
      <c r="A3135" s="173">
        <v>2689.0</v>
      </c>
      <c r="B3135" s="328" t="s">
        <v>670</v>
      </c>
      <c r="C3135" s="257" t="s">
        <v>9692</v>
      </c>
      <c r="D3135" s="173" t="s">
        <v>9693</v>
      </c>
      <c r="E3135" s="174" t="s">
        <v>9267</v>
      </c>
      <c r="F3135" s="173" t="s">
        <v>9268</v>
      </c>
      <c r="G3135" s="328" t="s">
        <v>673</v>
      </c>
      <c r="H3135" s="328" t="s">
        <v>2863</v>
      </c>
      <c r="I3135" s="258" t="s">
        <v>9445</v>
      </c>
      <c r="J3135" s="259" t="s">
        <v>1026</v>
      </c>
      <c r="K3135" s="260" t="s">
        <v>9681</v>
      </c>
      <c r="L3135" s="366"/>
      <c r="M3135" s="329"/>
      <c r="N3135" s="173" t="s">
        <v>679</v>
      </c>
      <c r="O3135" s="173" t="s">
        <v>225</v>
      </c>
      <c r="P3135" s="262" t="str">
        <f t="shared" si="1"/>
        <v>IN-BLR-ANANTA-FAN-83_4</v>
      </c>
      <c r="Q3135" s="173" t="s">
        <v>9694</v>
      </c>
      <c r="R3135" s="328" t="str">
        <f>IFS(C3135="","",C3135="n/a","N/A",LEN(C3135),Concatenate("{",char(34),"asset",char(34),":{",char(34),"guid",char(34),":",char(34),Q3135,char(34),",",char(34),"site",char(34),":",char(34),LOWER('2-Building'!$B$4),char(34),",",char(34),"name",char(34),":",char(34),LOWER(C3135),char(34),"}}"))</f>
        <v>{"asset":{"guid":"uuid://aa9dd868-6300-45c3-af0b-c30cf1f469da","site":"in-blr-ananta","name":"fan-83"}}</v>
      </c>
      <c r="S3135" s="369" t="s">
        <v>2866</v>
      </c>
      <c r="T3135" s="330"/>
      <c r="U3135" s="330"/>
      <c r="V3135" s="331"/>
      <c r="W3135" s="332"/>
      <c r="X3135" s="333"/>
      <c r="Y3135" s="33" t="s">
        <v>8076</v>
      </c>
      <c r="Z3135" s="368"/>
      <c r="AA3135" s="333"/>
      <c r="AB3135" s="258">
        <v>27.0</v>
      </c>
      <c r="AC3135" s="333"/>
      <c r="AD3135" s="329"/>
      <c r="AE3135" s="331"/>
      <c r="AF3135" s="336"/>
      <c r="AG3135" s="337" t="str">
        <f>IFS(LEN(AF3135)=17,LOWER('2-Building'!$B$4 &amp; "-" &amp; C3135), AF3135="N/A", "N/A", LEN(AF3135)=0,"")</f>
        <v/>
      </c>
      <c r="AH3135" s="333"/>
      <c r="AI3135" s="333"/>
      <c r="AJ3135" s="333"/>
      <c r="AK3135" s="333"/>
      <c r="AL3135" s="333"/>
      <c r="AM3135" s="338"/>
      <c r="AN3135" s="333"/>
      <c r="AO3135" s="333"/>
      <c r="AP3135" s="333"/>
      <c r="AQ3135" s="333"/>
      <c r="AR3135" s="333"/>
      <c r="AS3135" s="333"/>
      <c r="AT3135" s="333"/>
      <c r="AU3135" s="329"/>
      <c r="AV3135" s="341"/>
      <c r="AW3135" s="269" t="s">
        <v>1674</v>
      </c>
      <c r="AX3135" s="269" t="s">
        <v>2869</v>
      </c>
      <c r="AY3135" s="270" t="s">
        <v>695</v>
      </c>
      <c r="AZ3135" s="379"/>
      <c r="BA3135" s="173">
        <v>10.0</v>
      </c>
      <c r="BB3135" s="341"/>
      <c r="BC3135" s="341"/>
      <c r="BD3135" s="308" t="s">
        <v>1844</v>
      </c>
      <c r="BE3135" s="364"/>
      <c r="BF3135" s="274" t="str">
        <f>IFERROR(__xludf.DUMMYFUNCTION("LOWER(Regexreplace(to_text(E3135),""[^A-Za-z0-9]"","""")&amp;""_""&amp;Regexreplace(to_text(F3135),""[^A-Za-z0-9]"",""""))"),"nicotra_ddmp")</f>
        <v>nicotra_ddmp</v>
      </c>
      <c r="BG3135" s="275" t="str">
        <f>IFERROR(__xludf.DUMMYFUNCTION("upper(Regexreplace(to_text(E3135),""[^A-Za-z0-9]"","""")&amp;""-""&amp;Regexreplace(to_text(F3135),""[^A-Za-z0-9]"",""""))"),"NICOTRA-DDMP")</f>
        <v>NICOTRA-DDMP</v>
      </c>
    </row>
    <row r="3136" ht="30.0" customHeight="1">
      <c r="A3136" s="173">
        <v>2691.0</v>
      </c>
      <c r="B3136" s="328" t="s">
        <v>670</v>
      </c>
      <c r="C3136" s="257" t="s">
        <v>9695</v>
      </c>
      <c r="D3136" s="173" t="s">
        <v>9696</v>
      </c>
      <c r="E3136" s="174" t="s">
        <v>9267</v>
      </c>
      <c r="F3136" s="173" t="s">
        <v>9268</v>
      </c>
      <c r="G3136" s="328" t="s">
        <v>673</v>
      </c>
      <c r="H3136" s="328" t="s">
        <v>2863</v>
      </c>
      <c r="I3136" s="258" t="s">
        <v>9445</v>
      </c>
      <c r="J3136" s="259" t="s">
        <v>1026</v>
      </c>
      <c r="K3136" s="260" t="s">
        <v>9681</v>
      </c>
      <c r="L3136" s="366"/>
      <c r="M3136" s="329"/>
      <c r="N3136" s="173" t="s">
        <v>679</v>
      </c>
      <c r="O3136" s="173" t="s">
        <v>225</v>
      </c>
      <c r="P3136" s="262" t="str">
        <f t="shared" si="1"/>
        <v>IN-BLR-ANANTA-FAN-84_4</v>
      </c>
      <c r="Q3136" s="173" t="s">
        <v>9697</v>
      </c>
      <c r="R3136" s="328" t="str">
        <f>IFS(C3136="","",C3136="n/a","N/A",LEN(C3136),Concatenate("{",char(34),"asset",char(34),":{",char(34),"guid",char(34),":",char(34),Q3136,char(34),",",char(34),"site",char(34),":",char(34),LOWER('2-Building'!$B$4),char(34),",",char(34),"name",char(34),":",char(34),LOWER(C3136),char(34),"}}"))</f>
        <v>{"asset":{"guid":"uuid://d413f2f9-c560-4cfb-9b1d-c371d5b819a7","site":"in-blr-ananta","name":"fan-84"}}</v>
      </c>
      <c r="S3136" s="369" t="s">
        <v>2866</v>
      </c>
      <c r="T3136" s="330"/>
      <c r="U3136" s="330"/>
      <c r="V3136" s="331"/>
      <c r="W3136" s="332"/>
      <c r="X3136" s="333"/>
      <c r="Y3136" s="33" t="s">
        <v>8076</v>
      </c>
      <c r="Z3136" s="368"/>
      <c r="AA3136" s="333"/>
      <c r="AB3136" s="258">
        <v>28.0</v>
      </c>
      <c r="AC3136" s="333"/>
      <c r="AD3136" s="329"/>
      <c r="AE3136" s="331"/>
      <c r="AF3136" s="336"/>
      <c r="AG3136" s="337" t="str">
        <f>IFS(LEN(AF3136)=17,LOWER('2-Building'!$B$4 &amp; "-" &amp; C3136), AF3136="N/A", "N/A", LEN(AF3136)=0,"")</f>
        <v/>
      </c>
      <c r="AH3136" s="333"/>
      <c r="AI3136" s="333"/>
      <c r="AJ3136" s="333"/>
      <c r="AK3136" s="333"/>
      <c r="AL3136" s="333"/>
      <c r="AM3136" s="338"/>
      <c r="AN3136" s="333"/>
      <c r="AO3136" s="333"/>
      <c r="AP3136" s="333"/>
      <c r="AQ3136" s="333"/>
      <c r="AR3136" s="333"/>
      <c r="AS3136" s="333"/>
      <c r="AT3136" s="333"/>
      <c r="AU3136" s="329"/>
      <c r="AV3136" s="341"/>
      <c r="AW3136" s="269" t="s">
        <v>1674</v>
      </c>
      <c r="AX3136" s="269" t="s">
        <v>2869</v>
      </c>
      <c r="AY3136" s="270" t="s">
        <v>695</v>
      </c>
      <c r="AZ3136" s="379"/>
      <c r="BA3136" s="173">
        <v>10.0</v>
      </c>
      <c r="BB3136" s="341"/>
      <c r="BC3136" s="341"/>
      <c r="BD3136" s="308" t="s">
        <v>1844</v>
      </c>
      <c r="BE3136" s="364"/>
      <c r="BF3136" s="274" t="str">
        <f>IFERROR(__xludf.DUMMYFUNCTION("LOWER(Regexreplace(to_text(E3136),""[^A-Za-z0-9]"","""")&amp;""_""&amp;Regexreplace(to_text(F3136),""[^A-Za-z0-9]"",""""))"),"nicotra_ddmp")</f>
        <v>nicotra_ddmp</v>
      </c>
      <c r="BG3136" s="275" t="str">
        <f>IFERROR(__xludf.DUMMYFUNCTION("upper(Regexreplace(to_text(E3136),""[^A-Za-z0-9]"","""")&amp;""-""&amp;Regexreplace(to_text(F3136),""[^A-Za-z0-9]"",""""))"),"NICOTRA-DDMP")</f>
        <v>NICOTRA-DDMP</v>
      </c>
    </row>
    <row r="3137" ht="30.0" customHeight="1">
      <c r="A3137" s="258">
        <v>2690.0</v>
      </c>
      <c r="B3137" s="328" t="s">
        <v>670</v>
      </c>
      <c r="C3137" s="257" t="s">
        <v>9698</v>
      </c>
      <c r="D3137" s="173" t="s">
        <v>9699</v>
      </c>
      <c r="E3137" s="174" t="s">
        <v>9267</v>
      </c>
      <c r="F3137" s="173" t="s">
        <v>9268</v>
      </c>
      <c r="G3137" s="328" t="s">
        <v>673</v>
      </c>
      <c r="H3137" s="328" t="s">
        <v>2863</v>
      </c>
      <c r="I3137" s="258" t="s">
        <v>9445</v>
      </c>
      <c r="J3137" s="259" t="s">
        <v>902</v>
      </c>
      <c r="K3137" s="260">
        <v>234.0</v>
      </c>
      <c r="L3137" s="366"/>
      <c r="M3137" s="329"/>
      <c r="N3137" s="173" t="s">
        <v>679</v>
      </c>
      <c r="O3137" s="173" t="s">
        <v>225</v>
      </c>
      <c r="P3137" s="262" t="str">
        <f t="shared" si="1"/>
        <v>IN-BLR-ANANTA-FAN-85_2</v>
      </c>
      <c r="Q3137" s="173" t="s">
        <v>9700</v>
      </c>
      <c r="R3137" s="328" t="str">
        <f>IFS(C3137="","",C3137="n/a","N/A",LEN(C3137),Concatenate("{",char(34),"asset",char(34),":{",char(34),"guid",char(34),":",char(34),Q3137,char(34),",",char(34),"site",char(34),":",char(34),LOWER('2-Building'!$B$4),char(34),",",char(34),"name",char(34),":",char(34),LOWER(C3137),char(34),"}}"))</f>
        <v>{"asset":{"guid":"uuid://24a41937-d810-49a2-b817-e8c6a0e5db04","site":"in-blr-ananta","name":"fan-85"}}</v>
      </c>
      <c r="S3137" s="369" t="s">
        <v>2866</v>
      </c>
      <c r="T3137" s="330"/>
      <c r="U3137" s="330"/>
      <c r="V3137" s="331"/>
      <c r="W3137" s="332"/>
      <c r="X3137" s="333"/>
      <c r="Y3137" s="33" t="s">
        <v>8076</v>
      </c>
      <c r="Z3137" s="368"/>
      <c r="AA3137" s="333"/>
      <c r="AB3137" s="258">
        <v>216.0</v>
      </c>
      <c r="AC3137" s="333"/>
      <c r="AD3137" s="329"/>
      <c r="AE3137" s="331"/>
      <c r="AF3137" s="336"/>
      <c r="AG3137" s="337" t="str">
        <f>IFS(LEN(AF3137)=17,LOWER('2-Building'!$B$4 &amp; "-" &amp; C3137), AF3137="N/A", "N/A", LEN(AF3137)=0,"")</f>
        <v/>
      </c>
      <c r="AH3137" s="333"/>
      <c r="AI3137" s="333"/>
      <c r="AJ3137" s="333"/>
      <c r="AK3137" s="333"/>
      <c r="AL3137" s="333"/>
      <c r="AM3137" s="338"/>
      <c r="AN3137" s="333"/>
      <c r="AO3137" s="333"/>
      <c r="AP3137" s="333"/>
      <c r="AQ3137" s="333"/>
      <c r="AR3137" s="333"/>
      <c r="AS3137" s="333"/>
      <c r="AT3137" s="333"/>
      <c r="AU3137" s="329"/>
      <c r="AV3137" s="341"/>
      <c r="AW3137" s="269" t="s">
        <v>1674</v>
      </c>
      <c r="AX3137" s="269" t="s">
        <v>2869</v>
      </c>
      <c r="AY3137" s="270" t="s">
        <v>695</v>
      </c>
      <c r="AZ3137" s="379"/>
      <c r="BA3137" s="173">
        <v>10.0</v>
      </c>
      <c r="BB3137" s="341"/>
      <c r="BC3137" s="341"/>
      <c r="BD3137" s="308" t="s">
        <v>1844</v>
      </c>
      <c r="BE3137" s="364"/>
      <c r="BF3137" s="274" t="str">
        <f>IFERROR(__xludf.DUMMYFUNCTION("LOWER(Regexreplace(to_text(E3137),""[^A-Za-z0-9]"","""")&amp;""_""&amp;Regexreplace(to_text(F3137),""[^A-Za-z0-9]"",""""))"),"nicotra_ddmp")</f>
        <v>nicotra_ddmp</v>
      </c>
      <c r="BG3137" s="275" t="str">
        <f>IFERROR(__xludf.DUMMYFUNCTION("upper(Regexreplace(to_text(E3137),""[^A-Za-z0-9]"","""")&amp;""-""&amp;Regexreplace(to_text(F3137),""[^A-Za-z0-9]"",""""))"),"NICOTRA-DDMP")</f>
        <v>NICOTRA-DDMP</v>
      </c>
    </row>
    <row r="3138" ht="30.0" customHeight="1">
      <c r="A3138" s="173">
        <v>2691.0</v>
      </c>
      <c r="B3138" s="328" t="s">
        <v>670</v>
      </c>
      <c r="C3138" s="257" t="s">
        <v>9701</v>
      </c>
      <c r="D3138" s="173" t="s">
        <v>9702</v>
      </c>
      <c r="E3138" s="174" t="s">
        <v>9267</v>
      </c>
      <c r="F3138" s="173" t="s">
        <v>9268</v>
      </c>
      <c r="G3138" s="328" t="s">
        <v>673</v>
      </c>
      <c r="H3138" s="328" t="s">
        <v>2863</v>
      </c>
      <c r="I3138" s="258" t="s">
        <v>9445</v>
      </c>
      <c r="J3138" s="259" t="s">
        <v>902</v>
      </c>
      <c r="K3138" s="260">
        <v>234.0</v>
      </c>
      <c r="L3138" s="366"/>
      <c r="M3138" s="329"/>
      <c r="N3138" s="173" t="s">
        <v>679</v>
      </c>
      <c r="O3138" s="173" t="s">
        <v>225</v>
      </c>
      <c r="P3138" s="262" t="str">
        <f t="shared" si="1"/>
        <v>IN-BLR-ANANTA-FAN-86_2</v>
      </c>
      <c r="Q3138" s="173" t="s">
        <v>9703</v>
      </c>
      <c r="R3138" s="328" t="str">
        <f>IFS(C3138="","",C3138="n/a","N/A",LEN(C3138),Concatenate("{",char(34),"asset",char(34),":{",char(34),"guid",char(34),":",char(34),Q3138,char(34),",",char(34),"site",char(34),":",char(34),LOWER('2-Building'!$B$4),char(34),",",char(34),"name",char(34),":",char(34),LOWER(C3138),char(34),"}}"))</f>
        <v>{"asset":{"guid":"uuid://6898945c-2c84-44e7-a04b-f612acb45823","site":"in-blr-ananta","name":"fan-86"}}</v>
      </c>
      <c r="S3138" s="369" t="s">
        <v>2866</v>
      </c>
      <c r="T3138" s="330"/>
      <c r="U3138" s="330"/>
      <c r="V3138" s="331"/>
      <c r="W3138" s="332"/>
      <c r="X3138" s="333"/>
      <c r="Y3138" s="33" t="s">
        <v>8076</v>
      </c>
      <c r="Z3138" s="368"/>
      <c r="AA3138" s="333"/>
      <c r="AB3138" s="258">
        <v>217.0</v>
      </c>
      <c r="AC3138" s="333"/>
      <c r="AD3138" s="329"/>
      <c r="AE3138" s="331"/>
      <c r="AF3138" s="336"/>
      <c r="AG3138" s="337" t="str">
        <f>IFS(LEN(AF3138)=17,LOWER('2-Building'!$B$4 &amp; "-" &amp; C3138), AF3138="N/A", "N/A", LEN(AF3138)=0,"")</f>
        <v/>
      </c>
      <c r="AH3138" s="333"/>
      <c r="AI3138" s="333"/>
      <c r="AJ3138" s="333"/>
      <c r="AK3138" s="333"/>
      <c r="AL3138" s="333"/>
      <c r="AM3138" s="338"/>
      <c r="AN3138" s="333"/>
      <c r="AO3138" s="333"/>
      <c r="AP3138" s="333"/>
      <c r="AQ3138" s="333"/>
      <c r="AR3138" s="333"/>
      <c r="AS3138" s="333"/>
      <c r="AT3138" s="333"/>
      <c r="AU3138" s="329"/>
      <c r="AV3138" s="341"/>
      <c r="AW3138" s="269" t="s">
        <v>1674</v>
      </c>
      <c r="AX3138" s="269" t="s">
        <v>2869</v>
      </c>
      <c r="AY3138" s="270" t="s">
        <v>695</v>
      </c>
      <c r="AZ3138" s="379"/>
      <c r="BA3138" s="173">
        <v>10.0</v>
      </c>
      <c r="BB3138" s="341"/>
      <c r="BC3138" s="341"/>
      <c r="BD3138" s="308" t="s">
        <v>1844</v>
      </c>
      <c r="BE3138" s="364"/>
      <c r="BF3138" s="274" t="str">
        <f>IFERROR(__xludf.DUMMYFUNCTION("LOWER(Regexreplace(to_text(E3138),""[^A-Za-z0-9]"","""")&amp;""_""&amp;Regexreplace(to_text(F3138),""[^A-Za-z0-9]"",""""))"),"nicotra_ddmp")</f>
        <v>nicotra_ddmp</v>
      </c>
      <c r="BG3138" s="275" t="str">
        <f>IFERROR(__xludf.DUMMYFUNCTION("upper(Regexreplace(to_text(E3138),""[^A-Za-z0-9]"","""")&amp;""-""&amp;Regexreplace(to_text(F3138),""[^A-Za-z0-9]"",""""))"),"NICOTRA-DDMP")</f>
        <v>NICOTRA-DDMP</v>
      </c>
    </row>
    <row r="3139" ht="30.0" customHeight="1">
      <c r="A3139" s="258">
        <v>2690.0</v>
      </c>
      <c r="B3139" s="328" t="s">
        <v>670</v>
      </c>
      <c r="C3139" s="257" t="s">
        <v>9704</v>
      </c>
      <c r="D3139" s="173" t="s">
        <v>9705</v>
      </c>
      <c r="E3139" s="174" t="s">
        <v>9267</v>
      </c>
      <c r="F3139" s="173" t="s">
        <v>9268</v>
      </c>
      <c r="G3139" s="328" t="s">
        <v>673</v>
      </c>
      <c r="H3139" s="328" t="s">
        <v>2863</v>
      </c>
      <c r="I3139" s="258" t="s">
        <v>9445</v>
      </c>
      <c r="J3139" s="259" t="s">
        <v>902</v>
      </c>
      <c r="K3139" s="260">
        <v>234.0</v>
      </c>
      <c r="L3139" s="366"/>
      <c r="M3139" s="329"/>
      <c r="N3139" s="173" t="s">
        <v>679</v>
      </c>
      <c r="O3139" s="173" t="s">
        <v>225</v>
      </c>
      <c r="P3139" s="262" t="str">
        <f t="shared" si="1"/>
        <v>IN-BLR-ANANTA-FAN-87_2</v>
      </c>
      <c r="Q3139" s="173" t="s">
        <v>9706</v>
      </c>
      <c r="R3139" s="328" t="str">
        <f>IFS(C3139="","",C3139="n/a","N/A",LEN(C3139),Concatenate("{",char(34),"asset",char(34),":{",char(34),"guid",char(34),":",char(34),Q3139,char(34),",",char(34),"site",char(34),":",char(34),LOWER('2-Building'!$B$4),char(34),",",char(34),"name",char(34),":",char(34),LOWER(C3139),char(34),"}}"))</f>
        <v>{"asset":{"guid":"uuid://02d4f16c-7813-4616-8b11-11f885f6c9ed","site":"in-blr-ananta","name":"fan-87"}}</v>
      </c>
      <c r="S3139" s="369" t="s">
        <v>2866</v>
      </c>
      <c r="T3139" s="330"/>
      <c r="U3139" s="330"/>
      <c r="V3139" s="331"/>
      <c r="W3139" s="332"/>
      <c r="X3139" s="333"/>
      <c r="Y3139" s="33" t="s">
        <v>8076</v>
      </c>
      <c r="Z3139" s="368"/>
      <c r="AA3139" s="333"/>
      <c r="AB3139" s="258">
        <v>218.0</v>
      </c>
      <c r="AC3139" s="333"/>
      <c r="AD3139" s="329"/>
      <c r="AE3139" s="331"/>
      <c r="AF3139" s="336"/>
      <c r="AG3139" s="337" t="str">
        <f>IFS(LEN(AF3139)=17,LOWER('2-Building'!$B$4 &amp; "-" &amp; C3139), AF3139="N/A", "N/A", LEN(AF3139)=0,"")</f>
        <v/>
      </c>
      <c r="AH3139" s="333"/>
      <c r="AI3139" s="333"/>
      <c r="AJ3139" s="333"/>
      <c r="AK3139" s="333"/>
      <c r="AL3139" s="333"/>
      <c r="AM3139" s="338"/>
      <c r="AN3139" s="333"/>
      <c r="AO3139" s="333"/>
      <c r="AP3139" s="333"/>
      <c r="AQ3139" s="333"/>
      <c r="AR3139" s="333"/>
      <c r="AS3139" s="333"/>
      <c r="AT3139" s="333"/>
      <c r="AU3139" s="329"/>
      <c r="AV3139" s="341"/>
      <c r="AW3139" s="269" t="s">
        <v>1674</v>
      </c>
      <c r="AX3139" s="269" t="s">
        <v>2869</v>
      </c>
      <c r="AY3139" s="270" t="s">
        <v>695</v>
      </c>
      <c r="AZ3139" s="379"/>
      <c r="BA3139" s="173">
        <v>10.0</v>
      </c>
      <c r="BB3139" s="341"/>
      <c r="BC3139" s="341"/>
      <c r="BD3139" s="308" t="s">
        <v>1844</v>
      </c>
      <c r="BE3139" s="364"/>
      <c r="BF3139" s="274" t="str">
        <f>IFERROR(__xludf.DUMMYFUNCTION("LOWER(Regexreplace(to_text(E3139),""[^A-Za-z0-9]"","""")&amp;""_""&amp;Regexreplace(to_text(F3139),""[^A-Za-z0-9]"",""""))"),"nicotra_ddmp")</f>
        <v>nicotra_ddmp</v>
      </c>
      <c r="BG3139" s="275" t="str">
        <f>IFERROR(__xludf.DUMMYFUNCTION("upper(Regexreplace(to_text(E3139),""[^A-Za-z0-9]"","""")&amp;""-""&amp;Regexreplace(to_text(F3139),""[^A-Za-z0-9]"",""""))"),"NICOTRA-DDMP")</f>
        <v>NICOTRA-DDMP</v>
      </c>
    </row>
    <row r="3140" ht="30.0" customHeight="1">
      <c r="A3140" s="328">
        <v>2690.0</v>
      </c>
      <c r="B3140" s="425" t="s">
        <v>670</v>
      </c>
      <c r="C3140" s="257" t="s">
        <v>9707</v>
      </c>
      <c r="D3140" s="173" t="s">
        <v>9708</v>
      </c>
      <c r="E3140" s="174" t="s">
        <v>9289</v>
      </c>
      <c r="F3140" s="173" t="s">
        <v>9709</v>
      </c>
      <c r="G3140" s="425" t="s">
        <v>673</v>
      </c>
      <c r="H3140" s="425" t="s">
        <v>2863</v>
      </c>
      <c r="I3140" s="258" t="s">
        <v>9445</v>
      </c>
      <c r="J3140" s="259" t="s">
        <v>902</v>
      </c>
      <c r="K3140" s="260">
        <v>234.0</v>
      </c>
      <c r="L3140" s="442"/>
      <c r="M3140" s="426"/>
      <c r="N3140" s="173" t="s">
        <v>679</v>
      </c>
      <c r="O3140" s="173" t="s">
        <v>225</v>
      </c>
      <c r="P3140" s="262" t="str">
        <f t="shared" si="1"/>
        <v>IN-BLR-ANANTA-FAN-88_2</v>
      </c>
      <c r="Q3140" s="173" t="s">
        <v>9710</v>
      </c>
      <c r="R3140" s="328" t="str">
        <f>IFS(C3140="","",C3140="n/a","N/A",LEN(C3140),Concatenate("{",char(34),"asset",char(34),":{",char(34),"guid",char(34),":",char(34),Q3140,char(34),",",char(34),"site",char(34),":",char(34),LOWER('2-Building'!$B$4),char(34),",",char(34),"name",char(34),":",char(34),LOWER(C3140),char(34),"}}"))</f>
        <v>{"asset":{"guid":"uuid://7193e77d-73d7-495f-a2cf-81d63b7fe088","site":"in-blr-ananta","name":"fan-88"}}</v>
      </c>
      <c r="S3140" s="369" t="s">
        <v>2866</v>
      </c>
      <c r="T3140" s="427"/>
      <c r="U3140" s="427"/>
      <c r="V3140" s="428"/>
      <c r="W3140" s="429"/>
      <c r="X3140" s="430"/>
      <c r="Y3140" s="33" t="s">
        <v>8076</v>
      </c>
      <c r="Z3140" s="430"/>
      <c r="AA3140" s="430"/>
      <c r="AB3140" s="258">
        <v>219.0</v>
      </c>
      <c r="AC3140" s="430"/>
      <c r="AD3140" s="426"/>
      <c r="AE3140" s="428"/>
      <c r="AF3140" s="431"/>
      <c r="AG3140" s="432"/>
      <c r="AH3140" s="430"/>
      <c r="AI3140" s="430"/>
      <c r="AJ3140" s="430"/>
      <c r="AK3140" s="430"/>
      <c r="AL3140" s="430"/>
      <c r="AM3140" s="433"/>
      <c r="AN3140" s="430"/>
      <c r="AO3140" s="430"/>
      <c r="AP3140" s="430"/>
      <c r="AQ3140" s="430"/>
      <c r="AR3140" s="430"/>
      <c r="AS3140" s="430"/>
      <c r="AT3140" s="430"/>
      <c r="AU3140" s="426"/>
      <c r="AV3140" s="434"/>
      <c r="AW3140" s="269" t="s">
        <v>1674</v>
      </c>
      <c r="AX3140" s="269" t="s">
        <v>2869</v>
      </c>
      <c r="AY3140" s="270" t="s">
        <v>695</v>
      </c>
      <c r="AZ3140" s="435"/>
      <c r="BA3140" s="173">
        <v>10.0</v>
      </c>
      <c r="BB3140" s="434"/>
      <c r="BC3140" s="434"/>
      <c r="BD3140" s="308" t="s">
        <v>1844</v>
      </c>
      <c r="BE3140" s="436"/>
      <c r="BF3140" s="274" t="str">
        <f>IFERROR(__xludf.DUMMYFUNCTION("LOWER(Regexreplace(to_text(E3140),""[^A-Za-z0-9]"","""")&amp;""_""&amp;Regexreplace(to_text(F3140),""[^A-Za-z0-9]"",""""))"),"daikin_fxzq32bvm6")</f>
        <v>daikin_fxzq32bvm6</v>
      </c>
      <c r="BG3140" s="275" t="str">
        <f>IFERROR(__xludf.DUMMYFUNCTION("upper(Regexreplace(to_text(E3140),""[^A-Za-z0-9]"","""")&amp;""-""&amp;Regexreplace(to_text(F3140),""[^A-Za-z0-9]"",""""))"),"DAIKIN-FXZQ32BVM6")</f>
        <v>DAIKIN-FXZQ32BVM6</v>
      </c>
    </row>
    <row r="3141" ht="30.0" customHeight="1">
      <c r="A3141" s="425">
        <v>2690.0</v>
      </c>
      <c r="B3141" s="425" t="s">
        <v>670</v>
      </c>
      <c r="C3141" s="257" t="s">
        <v>9711</v>
      </c>
      <c r="D3141" s="173" t="s">
        <v>9712</v>
      </c>
      <c r="E3141" s="174" t="s">
        <v>9289</v>
      </c>
      <c r="F3141" s="173" t="s">
        <v>9709</v>
      </c>
      <c r="G3141" s="425" t="s">
        <v>673</v>
      </c>
      <c r="H3141" s="425" t="s">
        <v>2863</v>
      </c>
      <c r="I3141" s="258" t="s">
        <v>9445</v>
      </c>
      <c r="J3141" s="259" t="s">
        <v>902</v>
      </c>
      <c r="K3141" s="260">
        <v>234.0</v>
      </c>
      <c r="L3141" s="442"/>
      <c r="M3141" s="426"/>
      <c r="N3141" s="173" t="s">
        <v>679</v>
      </c>
      <c r="O3141" s="173" t="s">
        <v>225</v>
      </c>
      <c r="P3141" s="262" t="str">
        <f t="shared" si="1"/>
        <v>IN-BLR-ANANTA-FAN-89_2</v>
      </c>
      <c r="Q3141" s="173" t="s">
        <v>9713</v>
      </c>
      <c r="R3141" s="433" t="str">
        <f>IFS(C3141="","",C3141="n/a","N/A",LEN(C3141),Concatenate("{",char(34),"asset",char(34),":{",char(34),"guid",char(34),":",char(34),Q3141,char(34),",",char(34),"site",char(34),":",char(34),LOWER('2-Building'!$B$4),char(34),",",char(34),"name",char(34),":",char(34),LOWER(C3141),char(34),"}}"))</f>
        <v>{"asset":{"guid":"uuid://53b7f159-13a7-414a-916e-a3db77328f26","site":"in-blr-ananta","name":"fan-89"}}</v>
      </c>
      <c r="S3141" s="369" t="s">
        <v>2866</v>
      </c>
      <c r="T3141" s="427"/>
      <c r="U3141" s="427"/>
      <c r="V3141" s="428"/>
      <c r="W3141" s="429"/>
      <c r="X3141" s="430"/>
      <c r="Y3141" s="33" t="s">
        <v>8076</v>
      </c>
      <c r="Z3141" s="430"/>
      <c r="AA3141" s="430"/>
      <c r="AB3141" s="258">
        <v>220.0</v>
      </c>
      <c r="AC3141" s="430"/>
      <c r="AD3141" s="426"/>
      <c r="AE3141" s="428"/>
      <c r="AF3141" s="431"/>
      <c r="AG3141" s="432" t="str">
        <f>IFS(LEN(AF3141)=17,LOWER('2-Building'!$B$4 &amp; "-" &amp; C3141), AF3141="N/A", "N/A", LEN(AF3141)=0,"")</f>
        <v/>
      </c>
      <c r="AH3141" s="430"/>
      <c r="AI3141" s="430"/>
      <c r="AJ3141" s="430"/>
      <c r="AK3141" s="430"/>
      <c r="AL3141" s="430"/>
      <c r="AM3141" s="433"/>
      <c r="AN3141" s="430"/>
      <c r="AO3141" s="430"/>
      <c r="AP3141" s="430"/>
      <c r="AQ3141" s="430"/>
      <c r="AR3141" s="430"/>
      <c r="AS3141" s="430"/>
      <c r="AT3141" s="430"/>
      <c r="AU3141" s="426"/>
      <c r="AV3141" s="434"/>
      <c r="AW3141" s="269" t="s">
        <v>1674</v>
      </c>
      <c r="AX3141" s="269" t="s">
        <v>2869</v>
      </c>
      <c r="AY3141" s="270" t="s">
        <v>695</v>
      </c>
      <c r="AZ3141" s="435"/>
      <c r="BA3141" s="173">
        <v>10.0</v>
      </c>
      <c r="BB3141" s="434"/>
      <c r="BC3141" s="434"/>
      <c r="BD3141" s="308" t="s">
        <v>1844</v>
      </c>
      <c r="BE3141" s="436"/>
      <c r="BF3141" s="274" t="str">
        <f>IFERROR(__xludf.DUMMYFUNCTION("LOWER(Regexreplace(to_text(E3141),""[^A-Za-z0-9]"","""")&amp;""_""&amp;Regexreplace(to_text(F3141),""[^A-Za-z0-9]"",""""))"),"daikin_fxzq32bvm6")</f>
        <v>daikin_fxzq32bvm6</v>
      </c>
      <c r="BG3141" s="275" t="str">
        <f>IFERROR(__xludf.DUMMYFUNCTION("upper(Regexreplace(to_text(E3141),""[^A-Za-z0-9]"","""")&amp;""-""&amp;Regexreplace(to_text(F3141),""[^A-Za-z0-9]"",""""))"),"DAIKIN-FXZQ32BVM6")</f>
        <v>DAIKIN-FXZQ32BVM6</v>
      </c>
    </row>
    <row r="3142" ht="30.0" customHeight="1">
      <c r="A3142" s="328">
        <v>2690.0</v>
      </c>
      <c r="B3142" s="425" t="s">
        <v>670</v>
      </c>
      <c r="C3142" s="257" t="s">
        <v>9714</v>
      </c>
      <c r="D3142" s="173" t="s">
        <v>9715</v>
      </c>
      <c r="E3142" s="174" t="s">
        <v>9289</v>
      </c>
      <c r="F3142" s="173" t="s">
        <v>9709</v>
      </c>
      <c r="G3142" s="425" t="s">
        <v>673</v>
      </c>
      <c r="H3142" s="425" t="s">
        <v>2863</v>
      </c>
      <c r="I3142" s="258" t="s">
        <v>9445</v>
      </c>
      <c r="J3142" s="259" t="s">
        <v>902</v>
      </c>
      <c r="K3142" s="260">
        <v>234.0</v>
      </c>
      <c r="L3142" s="442"/>
      <c r="M3142" s="426"/>
      <c r="N3142" s="173" t="s">
        <v>679</v>
      </c>
      <c r="O3142" s="173" t="s">
        <v>225</v>
      </c>
      <c r="P3142" s="262" t="str">
        <f t="shared" si="1"/>
        <v>IN-BLR-ANANTA-FAN-90_2</v>
      </c>
      <c r="Q3142" s="173" t="s">
        <v>9716</v>
      </c>
      <c r="R3142" s="425" t="str">
        <f>IFS(C3142="","",C3142="n/a","N/A",LEN(C3142),Concatenate("{",char(34),"asset",char(34),":{",char(34),"guid",char(34),":",char(34),Q3142,char(34),",",char(34),"site",char(34),":",char(34),LOWER('2-Building'!$B$4),char(34),",",char(34),"name",char(34),":",char(34),LOWER(C3142),char(34),"}}"))</f>
        <v>{"asset":{"guid":"uuid://e28a6dc5-eb71-4bbf-a73a-ca59ab2cdb33","site":"in-blr-ananta","name":"fan-90"}}</v>
      </c>
      <c r="S3142" s="369" t="s">
        <v>2866</v>
      </c>
      <c r="T3142" s="427"/>
      <c r="U3142" s="427"/>
      <c r="V3142" s="428"/>
      <c r="W3142" s="429"/>
      <c r="X3142" s="430"/>
      <c r="Y3142" s="33" t="s">
        <v>8076</v>
      </c>
      <c r="Z3142" s="430"/>
      <c r="AA3142" s="430"/>
      <c r="AB3142" s="258">
        <v>221.0</v>
      </c>
      <c r="AC3142" s="430"/>
      <c r="AD3142" s="426"/>
      <c r="AE3142" s="428"/>
      <c r="AF3142" s="431"/>
      <c r="AG3142" s="432" t="str">
        <f>IFS(LEN(AF3142)=17,LOWER('2-Building'!$B$4 &amp; "-" &amp; C3142), AF3142="N/A", "N/A", LEN(AF3142)=0,"")</f>
        <v/>
      </c>
      <c r="AH3142" s="430"/>
      <c r="AI3142" s="430"/>
      <c r="AJ3142" s="430"/>
      <c r="AK3142" s="430"/>
      <c r="AL3142" s="430"/>
      <c r="AM3142" s="433"/>
      <c r="AN3142" s="430"/>
      <c r="AO3142" s="430"/>
      <c r="AP3142" s="430"/>
      <c r="AQ3142" s="430"/>
      <c r="AR3142" s="430"/>
      <c r="AS3142" s="430"/>
      <c r="AT3142" s="430"/>
      <c r="AU3142" s="426"/>
      <c r="AV3142" s="434"/>
      <c r="AW3142" s="269" t="s">
        <v>1674</v>
      </c>
      <c r="AX3142" s="269" t="s">
        <v>2869</v>
      </c>
      <c r="AY3142" s="270" t="s">
        <v>695</v>
      </c>
      <c r="AZ3142" s="435"/>
      <c r="BA3142" s="173">
        <v>10.0</v>
      </c>
      <c r="BB3142" s="434"/>
      <c r="BC3142" s="434"/>
      <c r="BD3142" s="308" t="s">
        <v>1844</v>
      </c>
      <c r="BE3142" s="436"/>
      <c r="BF3142" s="274" t="str">
        <f>IFERROR(__xludf.DUMMYFUNCTION("LOWER(Regexreplace(to_text(E3142),""[^A-Za-z0-9]"","""")&amp;""_""&amp;Regexreplace(to_text(F3142),""[^A-Za-z0-9]"",""""))"),"daikin_fxzq32bvm6")</f>
        <v>daikin_fxzq32bvm6</v>
      </c>
      <c r="BG3142" s="275" t="str">
        <f>IFERROR(__xludf.DUMMYFUNCTION("upper(Regexreplace(to_text(E3142),""[^A-Za-z0-9]"","""")&amp;""-""&amp;Regexreplace(to_text(F3142),""[^A-Za-z0-9]"",""""))"),"DAIKIN-FXZQ32BVM6")</f>
        <v>DAIKIN-FXZQ32BVM6</v>
      </c>
    </row>
    <row r="3143" ht="30.0" customHeight="1">
      <c r="A3143" s="173">
        <v>2689.0</v>
      </c>
      <c r="B3143" s="328" t="s">
        <v>670</v>
      </c>
      <c r="C3143" s="257" t="s">
        <v>9717</v>
      </c>
      <c r="D3143" s="173" t="s">
        <v>9718</v>
      </c>
      <c r="E3143" s="174" t="s">
        <v>9289</v>
      </c>
      <c r="F3143" s="173" t="s">
        <v>9709</v>
      </c>
      <c r="G3143" s="328" t="s">
        <v>673</v>
      </c>
      <c r="H3143" s="328" t="s">
        <v>2863</v>
      </c>
      <c r="I3143" s="258" t="s">
        <v>9445</v>
      </c>
      <c r="J3143" s="259" t="s">
        <v>965</v>
      </c>
      <c r="K3143" s="260" t="s">
        <v>9719</v>
      </c>
      <c r="L3143" s="366"/>
      <c r="M3143" s="329"/>
      <c r="N3143" s="173" t="s">
        <v>679</v>
      </c>
      <c r="O3143" s="173" t="s">
        <v>225</v>
      </c>
      <c r="P3143" s="262" t="str">
        <f t="shared" si="1"/>
        <v>IN-BLR-ANANTA-FAN-91_3</v>
      </c>
      <c r="Q3143" s="173" t="s">
        <v>9720</v>
      </c>
      <c r="R3143" s="328" t="str">
        <f>IFS(C3143="","",C3143="n/a","N/A",LEN(C3143),Concatenate("{",char(34),"asset",char(34),":{",char(34),"guid",char(34),":",char(34),Q3143,char(34),",",char(34),"site",char(34),":",char(34),LOWER('2-Building'!$B$4),char(34),",",char(34),"name",char(34),":",char(34),LOWER(C3143),char(34),"}}"))</f>
        <v>{"asset":{"guid":"uuid://35888a97-077b-4fa3-96d6-f07785c480c5","site":"in-blr-ananta","name":"fan-91"}}</v>
      </c>
      <c r="S3143" s="369" t="s">
        <v>2866</v>
      </c>
      <c r="T3143" s="330"/>
      <c r="U3143" s="330"/>
      <c r="V3143" s="331"/>
      <c r="W3143" s="332"/>
      <c r="X3143" s="333"/>
      <c r="Y3143" s="33" t="s">
        <v>8076</v>
      </c>
      <c r="Z3143" s="368"/>
      <c r="AA3143" s="333"/>
      <c r="AB3143" s="258">
        <v>238.0</v>
      </c>
      <c r="AC3143" s="333"/>
      <c r="AD3143" s="329"/>
      <c r="AE3143" s="331"/>
      <c r="AF3143" s="336"/>
      <c r="AG3143" s="337" t="str">
        <f>IFS(LEN(AF3143)=17,LOWER('2-Building'!$B$4 &amp; "-" &amp; C3143), AF3143="N/A", "N/A", LEN(AF3143)=0,"")</f>
        <v/>
      </c>
      <c r="AH3143" s="333"/>
      <c r="AI3143" s="333"/>
      <c r="AJ3143" s="333"/>
      <c r="AK3143" s="333"/>
      <c r="AL3143" s="333"/>
      <c r="AM3143" s="338"/>
      <c r="AN3143" s="333"/>
      <c r="AO3143" s="333"/>
      <c r="AP3143" s="333"/>
      <c r="AQ3143" s="333"/>
      <c r="AR3143" s="333"/>
      <c r="AS3143" s="333"/>
      <c r="AT3143" s="333"/>
      <c r="AU3143" s="329"/>
      <c r="AV3143" s="341"/>
      <c r="AW3143" s="269" t="s">
        <v>1674</v>
      </c>
      <c r="AX3143" s="269" t="s">
        <v>2869</v>
      </c>
      <c r="AY3143" s="270" t="s">
        <v>695</v>
      </c>
      <c r="AZ3143" s="379"/>
      <c r="BA3143" s="173">
        <v>10.0</v>
      </c>
      <c r="BB3143" s="341"/>
      <c r="BC3143" s="341"/>
      <c r="BD3143" s="308" t="s">
        <v>1844</v>
      </c>
      <c r="BE3143" s="364"/>
      <c r="BF3143" s="274" t="str">
        <f>IFERROR(__xludf.DUMMYFUNCTION("LOWER(Regexreplace(to_text(E3143),""[^A-Za-z0-9]"","""")&amp;""_""&amp;Regexreplace(to_text(F3143),""[^A-Za-z0-9]"",""""))"),"daikin_fxzq32bvm6")</f>
        <v>daikin_fxzq32bvm6</v>
      </c>
      <c r="BG3143" s="275" t="str">
        <f>IFERROR(__xludf.DUMMYFUNCTION("upper(Regexreplace(to_text(E3143),""[^A-Za-z0-9]"","""")&amp;""-""&amp;Regexreplace(to_text(F3143),""[^A-Za-z0-9]"",""""))"),"DAIKIN-FXZQ32BVM6")</f>
        <v>DAIKIN-FXZQ32BVM6</v>
      </c>
    </row>
    <row r="3144" ht="30.0" customHeight="1">
      <c r="A3144" s="173">
        <v>2691.0</v>
      </c>
      <c r="B3144" s="328" t="s">
        <v>670</v>
      </c>
      <c r="C3144" s="257" t="s">
        <v>9721</v>
      </c>
      <c r="D3144" s="173" t="s">
        <v>9722</v>
      </c>
      <c r="E3144" s="174" t="s">
        <v>9289</v>
      </c>
      <c r="F3144" s="173" t="s">
        <v>9709</v>
      </c>
      <c r="G3144" s="328" t="s">
        <v>673</v>
      </c>
      <c r="H3144" s="328" t="s">
        <v>2863</v>
      </c>
      <c r="I3144" s="258" t="s">
        <v>9445</v>
      </c>
      <c r="J3144" s="259" t="s">
        <v>965</v>
      </c>
      <c r="K3144" s="260" t="s">
        <v>9719</v>
      </c>
      <c r="L3144" s="366"/>
      <c r="M3144" s="329"/>
      <c r="N3144" s="173" t="s">
        <v>679</v>
      </c>
      <c r="O3144" s="173" t="s">
        <v>225</v>
      </c>
      <c r="P3144" s="262" t="str">
        <f t="shared" si="1"/>
        <v>IN-BLR-ANANTA-FAN-92_3</v>
      </c>
      <c r="Q3144" s="173" t="s">
        <v>9723</v>
      </c>
      <c r="R3144" s="328" t="str">
        <f>IFS(C3144="","",C3144="n/a","N/A",LEN(C3144),Concatenate("{",char(34),"asset",char(34),":{",char(34),"guid",char(34),":",char(34),Q3144,char(34),",",char(34),"site",char(34),":",char(34),LOWER('2-Building'!$B$4),char(34),",",char(34),"name",char(34),":",char(34),LOWER(C3144),char(34),"}}"))</f>
        <v>{"asset":{"guid":"uuid://b7e1aa87-0bfd-4599-8929-2764d8b4ab69","site":"in-blr-ananta","name":"fan-92"}}</v>
      </c>
      <c r="S3144" s="369" t="s">
        <v>2866</v>
      </c>
      <c r="T3144" s="330"/>
      <c r="U3144" s="330"/>
      <c r="V3144" s="331"/>
      <c r="W3144" s="332"/>
      <c r="X3144" s="333"/>
      <c r="Y3144" s="33" t="s">
        <v>8076</v>
      </c>
      <c r="Z3144" s="368"/>
      <c r="AA3144" s="333"/>
      <c r="AB3144" s="258">
        <v>239.0</v>
      </c>
      <c r="AC3144" s="333"/>
      <c r="AD3144" s="329"/>
      <c r="AE3144" s="331"/>
      <c r="AF3144" s="336"/>
      <c r="AG3144" s="337" t="str">
        <f>IFS(LEN(AF3144)=17,LOWER('2-Building'!$B$4 &amp; "-" &amp; C3144), AF3144="N/A", "N/A", LEN(AF3144)=0,"")</f>
        <v/>
      </c>
      <c r="AH3144" s="333"/>
      <c r="AI3144" s="333"/>
      <c r="AJ3144" s="333"/>
      <c r="AK3144" s="333"/>
      <c r="AL3144" s="333"/>
      <c r="AM3144" s="338"/>
      <c r="AN3144" s="333"/>
      <c r="AO3144" s="333"/>
      <c r="AP3144" s="333"/>
      <c r="AQ3144" s="333"/>
      <c r="AR3144" s="333"/>
      <c r="AS3144" s="333"/>
      <c r="AT3144" s="333"/>
      <c r="AU3144" s="329"/>
      <c r="AV3144" s="341"/>
      <c r="AW3144" s="269" t="s">
        <v>1674</v>
      </c>
      <c r="AX3144" s="269" t="s">
        <v>2869</v>
      </c>
      <c r="AY3144" s="270" t="s">
        <v>695</v>
      </c>
      <c r="AZ3144" s="379"/>
      <c r="BA3144" s="173">
        <v>10.0</v>
      </c>
      <c r="BB3144" s="341"/>
      <c r="BC3144" s="341"/>
      <c r="BD3144" s="308" t="s">
        <v>1844</v>
      </c>
      <c r="BE3144" s="364"/>
      <c r="BF3144" s="274" t="str">
        <f>IFERROR(__xludf.DUMMYFUNCTION("LOWER(Regexreplace(to_text(E3144),""[^A-Za-z0-9]"","""")&amp;""_""&amp;Regexreplace(to_text(F3144),""[^A-Za-z0-9]"",""""))"),"daikin_fxzq32bvm6")</f>
        <v>daikin_fxzq32bvm6</v>
      </c>
      <c r="BG3144" s="275" t="str">
        <f>IFERROR(__xludf.DUMMYFUNCTION("upper(Regexreplace(to_text(E3144),""[^A-Za-z0-9]"","""")&amp;""-""&amp;Regexreplace(to_text(F3144),""[^A-Za-z0-9]"",""""))"),"DAIKIN-FXZQ32BVM6")</f>
        <v>DAIKIN-FXZQ32BVM6</v>
      </c>
    </row>
    <row r="3145" ht="30.0" customHeight="1">
      <c r="A3145" s="258">
        <v>2690.0</v>
      </c>
      <c r="B3145" s="328" t="s">
        <v>670</v>
      </c>
      <c r="C3145" s="257" t="s">
        <v>9724</v>
      </c>
      <c r="D3145" s="173" t="s">
        <v>9725</v>
      </c>
      <c r="E3145" s="174" t="s">
        <v>9289</v>
      </c>
      <c r="F3145" s="173" t="s">
        <v>9709</v>
      </c>
      <c r="G3145" s="328" t="s">
        <v>673</v>
      </c>
      <c r="H3145" s="328" t="s">
        <v>2863</v>
      </c>
      <c r="I3145" s="258" t="s">
        <v>9445</v>
      </c>
      <c r="J3145" s="259" t="s">
        <v>965</v>
      </c>
      <c r="K3145" s="260" t="s">
        <v>9719</v>
      </c>
      <c r="L3145" s="366"/>
      <c r="M3145" s="329"/>
      <c r="N3145" s="173" t="s">
        <v>679</v>
      </c>
      <c r="O3145" s="173" t="s">
        <v>225</v>
      </c>
      <c r="P3145" s="262" t="str">
        <f t="shared" si="1"/>
        <v>IN-BLR-ANANTA-FAN-93_3</v>
      </c>
      <c r="Q3145" s="173" t="s">
        <v>9726</v>
      </c>
      <c r="R3145" s="328" t="str">
        <f>IFS(C3145="","",C3145="n/a","N/A",LEN(C3145),Concatenate("{",char(34),"asset",char(34),":{",char(34),"guid",char(34),":",char(34),Q3145,char(34),",",char(34),"site",char(34),":",char(34),LOWER('2-Building'!$B$4),char(34),",",char(34),"name",char(34),":",char(34),LOWER(C3145),char(34),"}}"))</f>
        <v>{"asset":{"guid":"uuid://7f7d11fa-1d23-40a0-ae36-c75e09565f18","site":"in-blr-ananta","name":"fan-93"}}</v>
      </c>
      <c r="S3145" s="369" t="s">
        <v>2866</v>
      </c>
      <c r="T3145" s="330"/>
      <c r="U3145" s="330"/>
      <c r="V3145" s="331"/>
      <c r="W3145" s="332"/>
      <c r="X3145" s="333"/>
      <c r="Y3145" s="33" t="s">
        <v>8076</v>
      </c>
      <c r="Z3145" s="368"/>
      <c r="AA3145" s="333"/>
      <c r="AB3145" s="258">
        <v>240.0</v>
      </c>
      <c r="AC3145" s="333"/>
      <c r="AD3145" s="329"/>
      <c r="AE3145" s="331"/>
      <c r="AF3145" s="336"/>
      <c r="AG3145" s="337" t="str">
        <f>IFS(LEN(AF3145)=17,LOWER('2-Building'!$B$4 &amp; "-" &amp; C3145), AF3145="N/A", "N/A", LEN(AF3145)=0,"")</f>
        <v/>
      </c>
      <c r="AH3145" s="333"/>
      <c r="AI3145" s="333"/>
      <c r="AJ3145" s="333"/>
      <c r="AK3145" s="333"/>
      <c r="AL3145" s="333"/>
      <c r="AM3145" s="338"/>
      <c r="AN3145" s="333"/>
      <c r="AO3145" s="333"/>
      <c r="AP3145" s="333"/>
      <c r="AQ3145" s="333"/>
      <c r="AR3145" s="333"/>
      <c r="AS3145" s="333"/>
      <c r="AT3145" s="333"/>
      <c r="AU3145" s="329"/>
      <c r="AV3145" s="341"/>
      <c r="AW3145" s="269" t="s">
        <v>1674</v>
      </c>
      <c r="AX3145" s="269" t="s">
        <v>2869</v>
      </c>
      <c r="AY3145" s="270" t="s">
        <v>695</v>
      </c>
      <c r="AZ3145" s="379"/>
      <c r="BA3145" s="173">
        <v>10.0</v>
      </c>
      <c r="BB3145" s="341"/>
      <c r="BC3145" s="341"/>
      <c r="BD3145" s="308" t="s">
        <v>1844</v>
      </c>
      <c r="BE3145" s="364"/>
      <c r="BF3145" s="274" t="str">
        <f>IFERROR(__xludf.DUMMYFUNCTION("LOWER(Regexreplace(to_text(E3145),""[^A-Za-z0-9]"","""")&amp;""_""&amp;Regexreplace(to_text(F3145),""[^A-Za-z0-9]"",""""))"),"daikin_fxzq32bvm6")</f>
        <v>daikin_fxzq32bvm6</v>
      </c>
      <c r="BG3145" s="275" t="str">
        <f>IFERROR(__xludf.DUMMYFUNCTION("upper(Regexreplace(to_text(E3145),""[^A-Za-z0-9]"","""")&amp;""-""&amp;Regexreplace(to_text(F3145),""[^A-Za-z0-9]"",""""))"),"DAIKIN-FXZQ32BVM6")</f>
        <v>DAIKIN-FXZQ32BVM6</v>
      </c>
    </row>
    <row r="3146" ht="30.0" customHeight="1">
      <c r="A3146" s="173">
        <v>2691.0</v>
      </c>
      <c r="B3146" s="328" t="s">
        <v>670</v>
      </c>
      <c r="C3146" s="257" t="s">
        <v>9727</v>
      </c>
      <c r="D3146" s="173" t="s">
        <v>9728</v>
      </c>
      <c r="E3146" s="174" t="s">
        <v>9289</v>
      </c>
      <c r="F3146" s="173" t="s">
        <v>9709</v>
      </c>
      <c r="G3146" s="328" t="s">
        <v>673</v>
      </c>
      <c r="H3146" s="328" t="s">
        <v>2863</v>
      </c>
      <c r="I3146" s="258" t="s">
        <v>9445</v>
      </c>
      <c r="J3146" s="259" t="s">
        <v>965</v>
      </c>
      <c r="K3146" s="260" t="s">
        <v>9719</v>
      </c>
      <c r="L3146" s="366"/>
      <c r="M3146" s="329"/>
      <c r="N3146" s="173" t="s">
        <v>679</v>
      </c>
      <c r="O3146" s="173" t="s">
        <v>225</v>
      </c>
      <c r="P3146" s="262" t="str">
        <f t="shared" si="1"/>
        <v>IN-BLR-ANANTA-FAN-94_3</v>
      </c>
      <c r="Q3146" s="173" t="s">
        <v>9729</v>
      </c>
      <c r="R3146" s="328" t="str">
        <f>IFS(C3146="","",C3146="n/a","N/A",LEN(C3146),Concatenate("{",char(34),"asset",char(34),":{",char(34),"guid",char(34),":",char(34),Q3146,char(34),",",char(34),"site",char(34),":",char(34),LOWER('2-Building'!$B$4),char(34),",",char(34),"name",char(34),":",char(34),LOWER(C3146),char(34),"}}"))</f>
        <v>{"asset":{"guid":"uuid://456f299a-d565-4d10-9e08-25c4c1c6299a","site":"in-blr-ananta","name":"fan-94"}}</v>
      </c>
      <c r="S3146" s="369" t="s">
        <v>2866</v>
      </c>
      <c r="T3146" s="330"/>
      <c r="U3146" s="330"/>
      <c r="V3146" s="331"/>
      <c r="W3146" s="332"/>
      <c r="X3146" s="333"/>
      <c r="Y3146" s="33" t="s">
        <v>8076</v>
      </c>
      <c r="Z3146" s="368"/>
      <c r="AA3146" s="333"/>
      <c r="AB3146" s="258">
        <v>241.0</v>
      </c>
      <c r="AC3146" s="333"/>
      <c r="AD3146" s="329"/>
      <c r="AE3146" s="331"/>
      <c r="AF3146" s="336"/>
      <c r="AG3146" s="337" t="str">
        <f>IFS(LEN(AF3146)=17,LOWER('2-Building'!$B$4 &amp; "-" &amp; C3146), AF3146="N/A", "N/A", LEN(AF3146)=0,"")</f>
        <v/>
      </c>
      <c r="AH3146" s="333"/>
      <c r="AI3146" s="333"/>
      <c r="AJ3146" s="333"/>
      <c r="AK3146" s="333"/>
      <c r="AL3146" s="333"/>
      <c r="AM3146" s="338"/>
      <c r="AN3146" s="333"/>
      <c r="AO3146" s="333"/>
      <c r="AP3146" s="333"/>
      <c r="AQ3146" s="333"/>
      <c r="AR3146" s="333"/>
      <c r="AS3146" s="333"/>
      <c r="AT3146" s="333"/>
      <c r="AU3146" s="329"/>
      <c r="AV3146" s="341"/>
      <c r="AW3146" s="269" t="s">
        <v>1674</v>
      </c>
      <c r="AX3146" s="269" t="s">
        <v>2869</v>
      </c>
      <c r="AY3146" s="270" t="s">
        <v>695</v>
      </c>
      <c r="AZ3146" s="379"/>
      <c r="BA3146" s="173">
        <v>10.0</v>
      </c>
      <c r="BB3146" s="341"/>
      <c r="BC3146" s="341"/>
      <c r="BD3146" s="308" t="s">
        <v>1844</v>
      </c>
      <c r="BE3146" s="364"/>
      <c r="BF3146" s="274" t="str">
        <f>IFERROR(__xludf.DUMMYFUNCTION("LOWER(Regexreplace(to_text(E3146),""[^A-Za-z0-9]"","""")&amp;""_""&amp;Regexreplace(to_text(F3146),""[^A-Za-z0-9]"",""""))"),"daikin_fxzq32bvm6")</f>
        <v>daikin_fxzq32bvm6</v>
      </c>
      <c r="BG3146" s="275" t="str">
        <f>IFERROR(__xludf.DUMMYFUNCTION("upper(Regexreplace(to_text(E3146),""[^A-Za-z0-9]"","""")&amp;""-""&amp;Regexreplace(to_text(F3146),""[^A-Za-z0-9]"",""""))"),"DAIKIN-FXZQ32BVM6")</f>
        <v>DAIKIN-FXZQ32BVM6</v>
      </c>
    </row>
    <row r="3147" ht="30.0" customHeight="1">
      <c r="A3147" s="258">
        <v>2690.0</v>
      </c>
      <c r="B3147" s="328" t="s">
        <v>670</v>
      </c>
      <c r="C3147" s="257" t="s">
        <v>9730</v>
      </c>
      <c r="D3147" s="173" t="s">
        <v>9731</v>
      </c>
      <c r="E3147" s="174" t="s">
        <v>9289</v>
      </c>
      <c r="F3147" s="173" t="s">
        <v>9709</v>
      </c>
      <c r="G3147" s="328" t="s">
        <v>673</v>
      </c>
      <c r="H3147" s="328" t="s">
        <v>2863</v>
      </c>
      <c r="I3147" s="258" t="s">
        <v>9445</v>
      </c>
      <c r="J3147" s="259" t="s">
        <v>965</v>
      </c>
      <c r="K3147" s="260" t="s">
        <v>9719</v>
      </c>
      <c r="L3147" s="366"/>
      <c r="M3147" s="329"/>
      <c r="N3147" s="173" t="s">
        <v>679</v>
      </c>
      <c r="O3147" s="173" t="s">
        <v>225</v>
      </c>
      <c r="P3147" s="262" t="str">
        <f t="shared" si="1"/>
        <v>IN-BLR-ANANTA-FAN-95_3</v>
      </c>
      <c r="Q3147" s="173" t="s">
        <v>9732</v>
      </c>
      <c r="R3147" s="328" t="str">
        <f>IFS(C3147="","",C3147="n/a","N/A",LEN(C3147),Concatenate("{",char(34),"asset",char(34),":{",char(34),"guid",char(34),":",char(34),Q3147,char(34),",",char(34),"site",char(34),":",char(34),LOWER('2-Building'!$B$4),char(34),",",char(34),"name",char(34),":",char(34),LOWER(C3147),char(34),"}}"))</f>
        <v>{"asset":{"guid":"uuid://6ec6502d-e72b-45ba-b906-5965d0e30250","site":"in-blr-ananta","name":"fan-95"}}</v>
      </c>
      <c r="S3147" s="369" t="s">
        <v>2866</v>
      </c>
      <c r="T3147" s="330"/>
      <c r="U3147" s="330"/>
      <c r="V3147" s="331"/>
      <c r="W3147" s="332"/>
      <c r="X3147" s="333"/>
      <c r="Y3147" s="33" t="s">
        <v>8076</v>
      </c>
      <c r="Z3147" s="368"/>
      <c r="AA3147" s="333"/>
      <c r="AB3147" s="258">
        <v>242.0</v>
      </c>
      <c r="AC3147" s="333"/>
      <c r="AD3147" s="329"/>
      <c r="AE3147" s="331"/>
      <c r="AF3147" s="336"/>
      <c r="AG3147" s="337" t="str">
        <f>IFS(LEN(AF3147)=17,LOWER('2-Building'!$B$4 &amp; "-" &amp; C3147), AF3147="N/A", "N/A", LEN(AF3147)=0,"")</f>
        <v/>
      </c>
      <c r="AH3147" s="333"/>
      <c r="AI3147" s="333"/>
      <c r="AJ3147" s="333"/>
      <c r="AK3147" s="333"/>
      <c r="AL3147" s="333"/>
      <c r="AM3147" s="338"/>
      <c r="AN3147" s="333"/>
      <c r="AO3147" s="333"/>
      <c r="AP3147" s="333"/>
      <c r="AQ3147" s="333"/>
      <c r="AR3147" s="333"/>
      <c r="AS3147" s="333"/>
      <c r="AT3147" s="333"/>
      <c r="AU3147" s="329"/>
      <c r="AV3147" s="341"/>
      <c r="AW3147" s="269" t="s">
        <v>1674</v>
      </c>
      <c r="AX3147" s="269" t="s">
        <v>2869</v>
      </c>
      <c r="AY3147" s="270" t="s">
        <v>695</v>
      </c>
      <c r="AZ3147" s="379"/>
      <c r="BA3147" s="173">
        <v>10.0</v>
      </c>
      <c r="BB3147" s="341"/>
      <c r="BC3147" s="341"/>
      <c r="BD3147" s="308" t="s">
        <v>1844</v>
      </c>
      <c r="BE3147" s="364"/>
      <c r="BF3147" s="274" t="str">
        <f>IFERROR(__xludf.DUMMYFUNCTION("LOWER(Regexreplace(to_text(E3147),""[^A-Za-z0-9]"","""")&amp;""_""&amp;Regexreplace(to_text(F3147),""[^A-Za-z0-9]"",""""))"),"daikin_fxzq32bvm6")</f>
        <v>daikin_fxzq32bvm6</v>
      </c>
      <c r="BG3147" s="275" t="str">
        <f>IFERROR(__xludf.DUMMYFUNCTION("upper(Regexreplace(to_text(E3147),""[^A-Za-z0-9]"","""")&amp;""-""&amp;Regexreplace(to_text(F3147),""[^A-Za-z0-9]"",""""))"),"DAIKIN-FXZQ32BVM6")</f>
        <v>DAIKIN-FXZQ32BVM6</v>
      </c>
    </row>
    <row r="3148" ht="30.0" customHeight="1">
      <c r="A3148" s="173">
        <v>2691.0</v>
      </c>
      <c r="B3148" s="328" t="s">
        <v>670</v>
      </c>
      <c r="C3148" s="257" t="s">
        <v>9733</v>
      </c>
      <c r="D3148" s="173" t="s">
        <v>9734</v>
      </c>
      <c r="E3148" s="174" t="s">
        <v>9289</v>
      </c>
      <c r="F3148" s="173" t="s">
        <v>9709</v>
      </c>
      <c r="G3148" s="328" t="s">
        <v>673</v>
      </c>
      <c r="H3148" s="328" t="s">
        <v>2863</v>
      </c>
      <c r="I3148" s="258" t="s">
        <v>9445</v>
      </c>
      <c r="J3148" s="259" t="s">
        <v>965</v>
      </c>
      <c r="K3148" s="260" t="s">
        <v>9719</v>
      </c>
      <c r="L3148" s="366"/>
      <c r="M3148" s="329"/>
      <c r="N3148" s="173" t="s">
        <v>679</v>
      </c>
      <c r="O3148" s="173" t="s">
        <v>225</v>
      </c>
      <c r="P3148" s="262" t="str">
        <f t="shared" si="1"/>
        <v>IN-BLR-ANANTA-FAN-96_3</v>
      </c>
      <c r="Q3148" s="173" t="s">
        <v>9735</v>
      </c>
      <c r="R3148" s="328" t="str">
        <f>IFS(C3148="","",C3148="n/a","N/A",LEN(C3148),Concatenate("{",char(34),"asset",char(34),":{",char(34),"guid",char(34),":",char(34),Q3148,char(34),",",char(34),"site",char(34),":",char(34),LOWER('2-Building'!$B$4),char(34),",",char(34),"name",char(34),":",char(34),LOWER(C3148),char(34),"}}"))</f>
        <v>{"asset":{"guid":"uuid://2232dd69-4d45-4e49-acd8-dd4647395ffd","site":"in-blr-ananta","name":"fan-96"}}</v>
      </c>
      <c r="S3148" s="369" t="s">
        <v>2866</v>
      </c>
      <c r="T3148" s="330"/>
      <c r="U3148" s="330"/>
      <c r="V3148" s="331"/>
      <c r="W3148" s="332"/>
      <c r="X3148" s="333"/>
      <c r="Y3148" s="33" t="s">
        <v>8076</v>
      </c>
      <c r="Z3148" s="368"/>
      <c r="AA3148" s="333"/>
      <c r="AB3148" s="258">
        <v>243.0</v>
      </c>
      <c r="AC3148" s="333"/>
      <c r="AD3148" s="329"/>
      <c r="AE3148" s="331"/>
      <c r="AF3148" s="336"/>
      <c r="AG3148" s="337" t="str">
        <f>IFS(LEN(AF3148)=17,LOWER('2-Building'!$B$4 &amp; "-" &amp; C3148), AF3148="N/A", "N/A", LEN(AF3148)=0,"")</f>
        <v/>
      </c>
      <c r="AH3148" s="333"/>
      <c r="AI3148" s="333"/>
      <c r="AJ3148" s="333"/>
      <c r="AK3148" s="333"/>
      <c r="AL3148" s="333"/>
      <c r="AM3148" s="338"/>
      <c r="AN3148" s="333"/>
      <c r="AO3148" s="333"/>
      <c r="AP3148" s="333"/>
      <c r="AQ3148" s="333"/>
      <c r="AR3148" s="333"/>
      <c r="AS3148" s="333"/>
      <c r="AT3148" s="333"/>
      <c r="AU3148" s="329"/>
      <c r="AV3148" s="341"/>
      <c r="AW3148" s="269" t="s">
        <v>1674</v>
      </c>
      <c r="AX3148" s="269" t="s">
        <v>2869</v>
      </c>
      <c r="AY3148" s="270" t="s">
        <v>695</v>
      </c>
      <c r="AZ3148" s="379"/>
      <c r="BA3148" s="173">
        <v>10.0</v>
      </c>
      <c r="BB3148" s="341"/>
      <c r="BC3148" s="341"/>
      <c r="BD3148" s="308" t="s">
        <v>1844</v>
      </c>
      <c r="BE3148" s="364"/>
      <c r="BF3148" s="274" t="str">
        <f>IFERROR(__xludf.DUMMYFUNCTION("LOWER(Regexreplace(to_text(E3148),""[^A-Za-z0-9]"","""")&amp;""_""&amp;Regexreplace(to_text(F3148),""[^A-Za-z0-9]"",""""))"),"daikin_fxzq32bvm6")</f>
        <v>daikin_fxzq32bvm6</v>
      </c>
      <c r="BG3148" s="275" t="str">
        <f>IFERROR(__xludf.DUMMYFUNCTION("upper(Regexreplace(to_text(E3148),""[^A-Za-z0-9]"","""")&amp;""-""&amp;Regexreplace(to_text(F3148),""[^A-Za-z0-9]"",""""))"),"DAIKIN-FXZQ32BVM6")</f>
        <v>DAIKIN-FXZQ32BVM6</v>
      </c>
    </row>
    <row r="3149" ht="30.0" customHeight="1">
      <c r="A3149" s="258">
        <v>2690.0</v>
      </c>
      <c r="B3149" s="328" t="s">
        <v>670</v>
      </c>
      <c r="C3149" s="257" t="s">
        <v>9736</v>
      </c>
      <c r="D3149" s="173" t="s">
        <v>9737</v>
      </c>
      <c r="E3149" s="174" t="s">
        <v>9289</v>
      </c>
      <c r="F3149" s="173" t="s">
        <v>9709</v>
      </c>
      <c r="G3149" s="328" t="s">
        <v>673</v>
      </c>
      <c r="H3149" s="328" t="s">
        <v>2863</v>
      </c>
      <c r="I3149" s="258" t="s">
        <v>9445</v>
      </c>
      <c r="J3149" s="259" t="s">
        <v>965</v>
      </c>
      <c r="K3149" s="260">
        <v>319.0</v>
      </c>
      <c r="L3149" s="366"/>
      <c r="M3149" s="329"/>
      <c r="N3149" s="173" t="s">
        <v>679</v>
      </c>
      <c r="O3149" s="173" t="s">
        <v>225</v>
      </c>
      <c r="P3149" s="262" t="str">
        <f t="shared" si="1"/>
        <v>IN-BLR-ANANTA-FAN-97_3</v>
      </c>
      <c r="Q3149" s="173" t="s">
        <v>9738</v>
      </c>
      <c r="R3149" s="328" t="str">
        <f>IFS(C3149="","",C3149="n/a","N/A",LEN(C3149),Concatenate("{",char(34),"asset",char(34),":{",char(34),"guid",char(34),":",char(34),Q3149,char(34),",",char(34),"site",char(34),":",char(34),LOWER('2-Building'!$B$4),char(34),",",char(34),"name",char(34),":",char(34),LOWER(C3149),char(34),"}}"))</f>
        <v>{"asset":{"guid":"uuid://5eb995e9-f1c7-4fff-aca5-609bb1869413","site":"in-blr-ananta","name":"fan-97"}}</v>
      </c>
      <c r="S3149" s="369" t="s">
        <v>2866</v>
      </c>
      <c r="T3149" s="330"/>
      <c r="U3149" s="330"/>
      <c r="V3149" s="331"/>
      <c r="W3149" s="332"/>
      <c r="X3149" s="333"/>
      <c r="Y3149" s="33" t="s">
        <v>8076</v>
      </c>
      <c r="Z3149" s="368"/>
      <c r="AA3149" s="333"/>
      <c r="AB3149" s="258">
        <v>80.0</v>
      </c>
      <c r="AC3149" s="333"/>
      <c r="AD3149" s="329"/>
      <c r="AE3149" s="331"/>
      <c r="AF3149" s="336"/>
      <c r="AG3149" s="337" t="str">
        <f>IFS(LEN(AF3149)=17,LOWER('2-Building'!$B$4 &amp; "-" &amp; C3149), AF3149="N/A", "N/A", LEN(AF3149)=0,"")</f>
        <v/>
      </c>
      <c r="AH3149" s="333"/>
      <c r="AI3149" s="333"/>
      <c r="AJ3149" s="333"/>
      <c r="AK3149" s="333"/>
      <c r="AL3149" s="333"/>
      <c r="AM3149" s="338"/>
      <c r="AN3149" s="333"/>
      <c r="AO3149" s="333"/>
      <c r="AP3149" s="333"/>
      <c r="AQ3149" s="333"/>
      <c r="AR3149" s="333"/>
      <c r="AS3149" s="333"/>
      <c r="AT3149" s="333"/>
      <c r="AU3149" s="329"/>
      <c r="AV3149" s="341"/>
      <c r="AW3149" s="269" t="s">
        <v>1685</v>
      </c>
      <c r="AX3149" s="269" t="s">
        <v>2869</v>
      </c>
      <c r="AY3149" s="270" t="s">
        <v>695</v>
      </c>
      <c r="AZ3149" s="379"/>
      <c r="BA3149" s="173">
        <v>10.0</v>
      </c>
      <c r="BB3149" s="341"/>
      <c r="BC3149" s="341"/>
      <c r="BD3149" s="308" t="s">
        <v>1844</v>
      </c>
      <c r="BE3149" s="364"/>
      <c r="BF3149" s="274" t="str">
        <f>IFERROR(__xludf.DUMMYFUNCTION("LOWER(Regexreplace(to_text(E3149),""[^A-Za-z0-9]"","""")&amp;""_""&amp;Regexreplace(to_text(F3149),""[^A-Za-z0-9]"",""""))"),"daikin_fxzq32bvm6")</f>
        <v>daikin_fxzq32bvm6</v>
      </c>
      <c r="BG3149" s="275" t="str">
        <f>IFERROR(__xludf.DUMMYFUNCTION("upper(Regexreplace(to_text(E3149),""[^A-Za-z0-9]"","""")&amp;""-""&amp;Regexreplace(to_text(F3149),""[^A-Za-z0-9]"",""""))"),"DAIKIN-FXZQ32BVM6")</f>
        <v>DAIKIN-FXZQ32BVM6</v>
      </c>
    </row>
    <row r="3150" ht="30.0" customHeight="1">
      <c r="A3150" s="173">
        <v>2691.0</v>
      </c>
      <c r="B3150" s="328" t="s">
        <v>670</v>
      </c>
      <c r="C3150" s="257" t="s">
        <v>9739</v>
      </c>
      <c r="D3150" s="173" t="s">
        <v>9740</v>
      </c>
      <c r="E3150" s="174" t="s">
        <v>9289</v>
      </c>
      <c r="F3150" s="173" t="s">
        <v>9709</v>
      </c>
      <c r="G3150" s="328" t="s">
        <v>673</v>
      </c>
      <c r="H3150" s="328" t="s">
        <v>2863</v>
      </c>
      <c r="I3150" s="258" t="s">
        <v>9445</v>
      </c>
      <c r="J3150" s="259" t="s">
        <v>965</v>
      </c>
      <c r="K3150" s="260">
        <v>319.0</v>
      </c>
      <c r="L3150" s="366"/>
      <c r="M3150" s="329"/>
      <c r="N3150" s="173" t="s">
        <v>679</v>
      </c>
      <c r="O3150" s="173" t="s">
        <v>225</v>
      </c>
      <c r="P3150" s="262" t="str">
        <f t="shared" si="1"/>
        <v>IN-BLR-ANANTA-FAN-98_3</v>
      </c>
      <c r="Q3150" s="173" t="s">
        <v>9741</v>
      </c>
      <c r="R3150" s="328" t="str">
        <f>IFS(C3150="","",C3150="n/a","N/A",LEN(C3150),Concatenate("{",char(34),"asset",char(34),":{",char(34),"guid",char(34),":",char(34),Q3150,char(34),",",char(34),"site",char(34),":",char(34),LOWER('2-Building'!$B$4),char(34),",",char(34),"name",char(34),":",char(34),LOWER(C3150),char(34),"}}"))</f>
        <v>{"asset":{"guid":"uuid://d1cfcf9b-f39a-4c4d-bf02-752ca4be8a2c","site":"in-blr-ananta","name":"fan-98"}}</v>
      </c>
      <c r="S3150" s="369" t="s">
        <v>2866</v>
      </c>
      <c r="T3150" s="330"/>
      <c r="U3150" s="330"/>
      <c r="V3150" s="331"/>
      <c r="W3150" s="332"/>
      <c r="X3150" s="333"/>
      <c r="Y3150" s="33" t="s">
        <v>8076</v>
      </c>
      <c r="Z3150" s="368"/>
      <c r="AA3150" s="333"/>
      <c r="AB3150" s="258">
        <v>81.0</v>
      </c>
      <c r="AC3150" s="333"/>
      <c r="AD3150" s="329"/>
      <c r="AE3150" s="331"/>
      <c r="AF3150" s="336"/>
      <c r="AG3150" s="337" t="str">
        <f>IFS(LEN(AF3150)=17,LOWER('2-Building'!$B$4 &amp; "-" &amp; C3150), AF3150="N/A", "N/A", LEN(AF3150)=0,"")</f>
        <v/>
      </c>
      <c r="AH3150" s="333"/>
      <c r="AI3150" s="333"/>
      <c r="AJ3150" s="333"/>
      <c r="AK3150" s="333"/>
      <c r="AL3150" s="333"/>
      <c r="AM3150" s="338"/>
      <c r="AN3150" s="333"/>
      <c r="AO3150" s="333"/>
      <c r="AP3150" s="333"/>
      <c r="AQ3150" s="333"/>
      <c r="AR3150" s="333"/>
      <c r="AS3150" s="333"/>
      <c r="AT3150" s="333"/>
      <c r="AU3150" s="329"/>
      <c r="AV3150" s="341"/>
      <c r="AW3150" s="269" t="s">
        <v>1685</v>
      </c>
      <c r="AX3150" s="269" t="s">
        <v>2869</v>
      </c>
      <c r="AY3150" s="270" t="s">
        <v>695</v>
      </c>
      <c r="AZ3150" s="379"/>
      <c r="BA3150" s="173">
        <v>10.0</v>
      </c>
      <c r="BB3150" s="341"/>
      <c r="BC3150" s="341"/>
      <c r="BD3150" s="308" t="s">
        <v>1844</v>
      </c>
      <c r="BE3150" s="364"/>
      <c r="BF3150" s="274" t="str">
        <f>IFERROR(__xludf.DUMMYFUNCTION("LOWER(Regexreplace(to_text(E3150),""[^A-Za-z0-9]"","""")&amp;""_""&amp;Regexreplace(to_text(F3150),""[^A-Za-z0-9]"",""""))"),"daikin_fxzq32bvm6")</f>
        <v>daikin_fxzq32bvm6</v>
      </c>
      <c r="BG3150" s="275" t="str">
        <f>IFERROR(__xludf.DUMMYFUNCTION("upper(Regexreplace(to_text(E3150),""[^A-Za-z0-9]"","""")&amp;""-""&amp;Regexreplace(to_text(F3150),""[^A-Za-z0-9]"",""""))"),"DAIKIN-FXZQ32BVM6")</f>
        <v>DAIKIN-FXZQ32BVM6</v>
      </c>
    </row>
    <row r="3151" ht="30.0" customHeight="1">
      <c r="A3151" s="258">
        <v>2690.0</v>
      </c>
      <c r="B3151" s="328" t="s">
        <v>670</v>
      </c>
      <c r="C3151" s="257" t="s">
        <v>9742</v>
      </c>
      <c r="D3151" s="173" t="s">
        <v>9743</v>
      </c>
      <c r="E3151" s="174" t="s">
        <v>9289</v>
      </c>
      <c r="F3151" s="173" t="s">
        <v>9709</v>
      </c>
      <c r="G3151" s="328" t="s">
        <v>673</v>
      </c>
      <c r="H3151" s="328" t="s">
        <v>2863</v>
      </c>
      <c r="I3151" s="258" t="s">
        <v>9445</v>
      </c>
      <c r="J3151" s="259" t="s">
        <v>965</v>
      </c>
      <c r="K3151" s="260">
        <v>319.0</v>
      </c>
      <c r="L3151" s="366"/>
      <c r="M3151" s="329"/>
      <c r="N3151" s="173" t="s">
        <v>679</v>
      </c>
      <c r="O3151" s="173" t="s">
        <v>225</v>
      </c>
      <c r="P3151" s="262" t="str">
        <f t="shared" si="1"/>
        <v>IN-BLR-ANANTA-FAN-99_3</v>
      </c>
      <c r="Q3151" s="173" t="s">
        <v>9744</v>
      </c>
      <c r="R3151" s="328" t="str">
        <f>IFS(C3151="","",C3151="n/a","N/A",LEN(C3151),Concatenate("{",char(34),"asset",char(34),":{",char(34),"guid",char(34),":",char(34),Q3151,char(34),",",char(34),"site",char(34),":",char(34),LOWER('2-Building'!$B$4),char(34),",",char(34),"name",char(34),":",char(34),LOWER(C3151),char(34),"}}"))</f>
        <v>{"asset":{"guid":"uuid://607b3fb1-dbab-4445-bfc1-d6e446ef5fa2","site":"in-blr-ananta","name":"fan-99"}}</v>
      </c>
      <c r="S3151" s="369" t="s">
        <v>2866</v>
      </c>
      <c r="T3151" s="330"/>
      <c r="U3151" s="330"/>
      <c r="V3151" s="331"/>
      <c r="W3151" s="332"/>
      <c r="X3151" s="333"/>
      <c r="Y3151" s="33" t="s">
        <v>8076</v>
      </c>
      <c r="Z3151" s="368"/>
      <c r="AA3151" s="333"/>
      <c r="AB3151" s="258">
        <v>82.0</v>
      </c>
      <c r="AC3151" s="333"/>
      <c r="AD3151" s="329"/>
      <c r="AE3151" s="331"/>
      <c r="AF3151" s="336"/>
      <c r="AG3151" s="337" t="str">
        <f>IFS(LEN(AF3151)=17,LOWER('2-Building'!$B$4 &amp; "-" &amp; C3151), AF3151="N/A", "N/A", LEN(AF3151)=0,"")</f>
        <v/>
      </c>
      <c r="AH3151" s="333"/>
      <c r="AI3151" s="333"/>
      <c r="AJ3151" s="333"/>
      <c r="AK3151" s="333"/>
      <c r="AL3151" s="333"/>
      <c r="AM3151" s="338"/>
      <c r="AN3151" s="333"/>
      <c r="AO3151" s="333"/>
      <c r="AP3151" s="333"/>
      <c r="AQ3151" s="333"/>
      <c r="AR3151" s="333"/>
      <c r="AS3151" s="333"/>
      <c r="AT3151" s="333"/>
      <c r="AU3151" s="329"/>
      <c r="AV3151" s="341"/>
      <c r="AW3151" s="269" t="s">
        <v>1685</v>
      </c>
      <c r="AX3151" s="269" t="s">
        <v>2869</v>
      </c>
      <c r="AY3151" s="270" t="s">
        <v>695</v>
      </c>
      <c r="AZ3151" s="379"/>
      <c r="BA3151" s="173">
        <v>10.0</v>
      </c>
      <c r="BB3151" s="341"/>
      <c r="BC3151" s="341"/>
      <c r="BD3151" s="308" t="s">
        <v>1844</v>
      </c>
      <c r="BE3151" s="364"/>
      <c r="BF3151" s="274" t="str">
        <f>IFERROR(__xludf.DUMMYFUNCTION("LOWER(Regexreplace(to_text(E3151),""[^A-Za-z0-9]"","""")&amp;""_""&amp;Regexreplace(to_text(F3151),""[^A-Za-z0-9]"",""""))"),"daikin_fxzq32bvm6")</f>
        <v>daikin_fxzq32bvm6</v>
      </c>
      <c r="BG3151" s="275" t="str">
        <f>IFERROR(__xludf.DUMMYFUNCTION("upper(Regexreplace(to_text(E3151),""[^A-Za-z0-9]"","""")&amp;""-""&amp;Regexreplace(to_text(F3151),""[^A-Za-z0-9]"",""""))"),"DAIKIN-FXZQ32BVM6")</f>
        <v>DAIKIN-FXZQ32BVM6</v>
      </c>
    </row>
    <row r="3152" ht="30.0" customHeight="1">
      <c r="A3152" s="258">
        <v>2690.0</v>
      </c>
      <c r="B3152" s="328" t="s">
        <v>670</v>
      </c>
      <c r="C3152" s="257" t="s">
        <v>9745</v>
      </c>
      <c r="D3152" s="173" t="s">
        <v>9746</v>
      </c>
      <c r="E3152" s="174" t="s">
        <v>9289</v>
      </c>
      <c r="F3152" s="173" t="s">
        <v>9709</v>
      </c>
      <c r="G3152" s="328" t="s">
        <v>673</v>
      </c>
      <c r="H3152" s="328" t="s">
        <v>2863</v>
      </c>
      <c r="I3152" s="258" t="s">
        <v>9445</v>
      </c>
      <c r="J3152" s="259" t="s">
        <v>965</v>
      </c>
      <c r="K3152" s="260">
        <v>319.0</v>
      </c>
      <c r="L3152" s="366"/>
      <c r="M3152" s="329"/>
      <c r="N3152" s="173" t="s">
        <v>679</v>
      </c>
      <c r="O3152" s="173" t="s">
        <v>225</v>
      </c>
      <c r="P3152" s="262" t="str">
        <f t="shared" si="1"/>
        <v>IN-BLR-ANANTA-FAN-100_3</v>
      </c>
      <c r="Q3152" s="173" t="s">
        <v>9747</v>
      </c>
      <c r="R3152" s="328" t="str">
        <f>IFS(C3152="","",C3152="n/a","N/A",LEN(C3152),Concatenate("{",char(34),"asset",char(34),":{",char(34),"guid",char(34),":",char(34),Q3152,char(34),",",char(34),"site",char(34),":",char(34),LOWER('2-Building'!$B$4),char(34),",",char(34),"name",char(34),":",char(34),LOWER(C3152),char(34),"}}"))</f>
        <v>{"asset":{"guid":"uuid://4582d4f4-d434-43a9-9c1d-787805b699e2","site":"in-blr-ananta","name":"fan-100"}}</v>
      </c>
      <c r="S3152" s="369" t="s">
        <v>2866</v>
      </c>
      <c r="T3152" s="330"/>
      <c r="U3152" s="330"/>
      <c r="V3152" s="331"/>
      <c r="W3152" s="332"/>
      <c r="X3152" s="333"/>
      <c r="Y3152" s="33" t="s">
        <v>8076</v>
      </c>
      <c r="Z3152" s="368"/>
      <c r="AA3152" s="333"/>
      <c r="AB3152" s="258">
        <v>83.0</v>
      </c>
      <c r="AC3152" s="333"/>
      <c r="AD3152" s="329"/>
      <c r="AE3152" s="331"/>
      <c r="AF3152" s="336"/>
      <c r="AG3152" s="337" t="str">
        <f>IFS(LEN(AF3152)=17,LOWER('2-Building'!$B$4 &amp; "-" &amp; C3152), AF3152="N/A", "N/A", LEN(AF3152)=0,"")</f>
        <v/>
      </c>
      <c r="AH3152" s="333"/>
      <c r="AI3152" s="333"/>
      <c r="AJ3152" s="333"/>
      <c r="AK3152" s="333"/>
      <c r="AL3152" s="333"/>
      <c r="AM3152" s="338"/>
      <c r="AN3152" s="333"/>
      <c r="AO3152" s="333"/>
      <c r="AP3152" s="333"/>
      <c r="AQ3152" s="333"/>
      <c r="AR3152" s="333"/>
      <c r="AS3152" s="333"/>
      <c r="AT3152" s="333"/>
      <c r="AU3152" s="329"/>
      <c r="AV3152" s="341"/>
      <c r="AW3152" s="269" t="s">
        <v>1685</v>
      </c>
      <c r="AX3152" s="269" t="s">
        <v>2869</v>
      </c>
      <c r="AY3152" s="270" t="s">
        <v>695</v>
      </c>
      <c r="AZ3152" s="379"/>
      <c r="BA3152" s="173">
        <v>10.0</v>
      </c>
      <c r="BB3152" s="341"/>
      <c r="BC3152" s="341"/>
      <c r="BD3152" s="308" t="s">
        <v>1844</v>
      </c>
      <c r="BE3152" s="364"/>
      <c r="BF3152" s="274" t="str">
        <f>IFERROR(__xludf.DUMMYFUNCTION("LOWER(Regexreplace(to_text(E3152),""[^A-Za-z0-9]"","""")&amp;""_""&amp;Regexreplace(to_text(F3152),""[^A-Za-z0-9]"",""""))"),"daikin_fxzq32bvm6")</f>
        <v>daikin_fxzq32bvm6</v>
      </c>
      <c r="BG3152" s="275" t="str">
        <f>IFERROR(__xludf.DUMMYFUNCTION("upper(Regexreplace(to_text(E3152),""[^A-Za-z0-9]"","""")&amp;""-""&amp;Regexreplace(to_text(F3152),""[^A-Za-z0-9]"",""""))"),"DAIKIN-FXZQ32BVM6")</f>
        <v>DAIKIN-FXZQ32BVM6</v>
      </c>
    </row>
    <row r="3153" ht="30.0" customHeight="1">
      <c r="A3153" s="425">
        <v>2690.0</v>
      </c>
      <c r="B3153" s="425" t="s">
        <v>670</v>
      </c>
      <c r="C3153" s="257" t="s">
        <v>9748</v>
      </c>
      <c r="D3153" s="173" t="s">
        <v>9749</v>
      </c>
      <c r="E3153" s="174" t="s">
        <v>9097</v>
      </c>
      <c r="F3153" s="173" t="s">
        <v>2862</v>
      </c>
      <c r="G3153" s="425" t="s">
        <v>673</v>
      </c>
      <c r="H3153" s="425" t="s">
        <v>2863</v>
      </c>
      <c r="I3153" s="258" t="s">
        <v>9445</v>
      </c>
      <c r="J3153" s="259" t="s">
        <v>965</v>
      </c>
      <c r="K3153" s="260">
        <v>319.0</v>
      </c>
      <c r="L3153" s="442"/>
      <c r="M3153" s="426"/>
      <c r="N3153" s="173" t="s">
        <v>679</v>
      </c>
      <c r="O3153" s="173" t="s">
        <v>225</v>
      </c>
      <c r="P3153" s="262" t="str">
        <f t="shared" si="1"/>
        <v>IN-BLR-ANANTA-FAN-101_3</v>
      </c>
      <c r="Q3153" s="173" t="s">
        <v>9750</v>
      </c>
      <c r="R3153" s="446" t="str">
        <f>IFS(C3153="","",C3153="n/a","N/A",LEN(C3153),Concatenate("{",char(34),"asset",char(34),":{",char(34),"guid",char(34),":",char(34),Q3153,char(34),",",char(34),"site",char(34),":",char(34),LOWER('2-Building'!$B$4),char(34),",",char(34),"name",char(34),":",char(34),LOWER(C3153),char(34),"}}"))</f>
        <v>{"asset":{"guid":"uuid://187cfc41-345a-44e5-9049-935189d726a9","site":"in-blr-ananta","name":"fan-101"}}</v>
      </c>
      <c r="S3153" s="369" t="s">
        <v>2866</v>
      </c>
      <c r="T3153" s="427"/>
      <c r="U3153" s="427"/>
      <c r="V3153" s="428"/>
      <c r="W3153" s="429"/>
      <c r="X3153" s="430"/>
      <c r="Y3153" s="33" t="s">
        <v>8076</v>
      </c>
      <c r="Z3153" s="430"/>
      <c r="AA3153" s="430"/>
      <c r="AB3153" s="258">
        <v>84.0</v>
      </c>
      <c r="AC3153" s="430"/>
      <c r="AD3153" s="426"/>
      <c r="AE3153" s="428"/>
      <c r="AF3153" s="431"/>
      <c r="AG3153" s="432" t="str">
        <f>IFS(LEN(AF3153)=17,LOWER('2-Building'!$B$4 &amp; "-" &amp; C3153), AF3153="N/A", "N/A", LEN(AF3153)=0,"")</f>
        <v/>
      </c>
      <c r="AH3153" s="430"/>
      <c r="AI3153" s="430"/>
      <c r="AJ3153" s="430"/>
      <c r="AK3153" s="430"/>
      <c r="AL3153" s="430"/>
      <c r="AM3153" s="433"/>
      <c r="AN3153" s="430"/>
      <c r="AO3153" s="430"/>
      <c r="AP3153" s="430"/>
      <c r="AQ3153" s="430"/>
      <c r="AR3153" s="430"/>
      <c r="AS3153" s="430"/>
      <c r="AT3153" s="430"/>
      <c r="AU3153" s="426"/>
      <c r="AV3153" s="434"/>
      <c r="AW3153" s="269" t="s">
        <v>1685</v>
      </c>
      <c r="AX3153" s="269" t="s">
        <v>2869</v>
      </c>
      <c r="AY3153" s="270" t="s">
        <v>695</v>
      </c>
      <c r="AZ3153" s="435"/>
      <c r="BA3153" s="173">
        <v>10.0</v>
      </c>
      <c r="BB3153" s="434"/>
      <c r="BC3153" s="434"/>
      <c r="BD3153" s="308" t="s">
        <v>1844</v>
      </c>
      <c r="BE3153" s="436"/>
      <c r="BF3153" s="274" t="str">
        <f>IFERROR(__xludf.DUMMYFUNCTION("LOWER(Regexreplace(to_text(E3153),""[^A-Za-z0-9]"","""")&amp;""_""&amp;Regexreplace(to_text(F3153),""[^A-Za-z0-9]"",""""))"),"aquagen_evcbseries")</f>
        <v>aquagen_evcbseries</v>
      </c>
      <c r="BG3153" s="275" t="str">
        <f>IFERROR(__xludf.DUMMYFUNCTION("upper(Regexreplace(to_text(E3153),""[^A-Za-z0-9]"","""")&amp;""-""&amp;Regexreplace(to_text(F3153),""[^A-Za-z0-9]"",""""))"),"AQUAGEN-EVCBSERIES")</f>
        <v>AQUAGEN-EVCBSERIES</v>
      </c>
    </row>
    <row r="3154" ht="30.0" customHeight="1">
      <c r="A3154" s="328">
        <v>2690.0</v>
      </c>
      <c r="B3154" s="425" t="s">
        <v>670</v>
      </c>
      <c r="C3154" s="257" t="s">
        <v>9751</v>
      </c>
      <c r="D3154" s="173" t="s">
        <v>9752</v>
      </c>
      <c r="E3154" s="174" t="s">
        <v>9097</v>
      </c>
      <c r="F3154" s="173" t="s">
        <v>2862</v>
      </c>
      <c r="G3154" s="425" t="s">
        <v>673</v>
      </c>
      <c r="H3154" s="425" t="s">
        <v>2863</v>
      </c>
      <c r="I3154" s="258" t="s">
        <v>9445</v>
      </c>
      <c r="J3154" s="259" t="s">
        <v>965</v>
      </c>
      <c r="K3154" s="260">
        <v>319.0</v>
      </c>
      <c r="L3154" s="442"/>
      <c r="M3154" s="426"/>
      <c r="N3154" s="173" t="s">
        <v>679</v>
      </c>
      <c r="O3154" s="173" t="s">
        <v>225</v>
      </c>
      <c r="P3154" s="262" t="str">
        <f t="shared" si="1"/>
        <v>IN-BLR-ANANTA-FAN-102_3</v>
      </c>
      <c r="Q3154" s="173" t="s">
        <v>9753</v>
      </c>
      <c r="R3154" s="425" t="str">
        <f>IFS(C3154="","",C3154="n/a","N/A",LEN(C3154),Concatenate("{",char(34),"asset",char(34),":{",char(34),"guid",char(34),":",char(34),Q3154,char(34),",",char(34),"site",char(34),":",char(34),LOWER('2-Building'!$B$4),char(34),",",char(34),"name",char(34),":",char(34),LOWER(C3154),char(34),"}}"))</f>
        <v>{"asset":{"guid":"uuid://8597a82c-21b9-44ea-8acf-2a29efe9c28c","site":"in-blr-ananta","name":"fan-102"}}</v>
      </c>
      <c r="S3154" s="369" t="s">
        <v>2866</v>
      </c>
      <c r="T3154" s="427"/>
      <c r="U3154" s="427"/>
      <c r="V3154" s="428"/>
      <c r="W3154" s="429"/>
      <c r="X3154" s="430"/>
      <c r="Y3154" s="33" t="s">
        <v>8076</v>
      </c>
      <c r="Z3154" s="430"/>
      <c r="AA3154" s="430"/>
      <c r="AB3154" s="258">
        <v>85.0</v>
      </c>
      <c r="AC3154" s="430"/>
      <c r="AD3154" s="426"/>
      <c r="AE3154" s="428"/>
      <c r="AF3154" s="431"/>
      <c r="AG3154" s="432" t="str">
        <f>IFS(LEN(AF3154)=17,LOWER('2-Building'!$B$4 &amp; "-" &amp; C3154), AF3154="N/A", "N/A", LEN(AF3154)=0,"")</f>
        <v/>
      </c>
      <c r="AH3154" s="430"/>
      <c r="AI3154" s="430"/>
      <c r="AJ3154" s="430"/>
      <c r="AK3154" s="430"/>
      <c r="AL3154" s="430"/>
      <c r="AM3154" s="433"/>
      <c r="AN3154" s="430"/>
      <c r="AO3154" s="430"/>
      <c r="AP3154" s="430"/>
      <c r="AQ3154" s="430"/>
      <c r="AR3154" s="430"/>
      <c r="AS3154" s="430"/>
      <c r="AT3154" s="430"/>
      <c r="AU3154" s="426"/>
      <c r="AV3154" s="434"/>
      <c r="AW3154" s="269" t="s">
        <v>1685</v>
      </c>
      <c r="AX3154" s="269" t="s">
        <v>2869</v>
      </c>
      <c r="AY3154" s="270" t="s">
        <v>695</v>
      </c>
      <c r="AZ3154" s="435"/>
      <c r="BA3154" s="173">
        <v>10.0</v>
      </c>
      <c r="BB3154" s="434"/>
      <c r="BC3154" s="434"/>
      <c r="BD3154" s="308" t="s">
        <v>1844</v>
      </c>
      <c r="BE3154" s="436"/>
      <c r="BF3154" s="274" t="str">
        <f>IFERROR(__xludf.DUMMYFUNCTION("LOWER(Regexreplace(to_text(E3154),""[^A-Za-z0-9]"","""")&amp;""_""&amp;Regexreplace(to_text(F3154),""[^A-Za-z0-9]"",""""))"),"aquagen_evcbseries")</f>
        <v>aquagen_evcbseries</v>
      </c>
      <c r="BG3154" s="275" t="str">
        <f>IFERROR(__xludf.DUMMYFUNCTION("upper(Regexreplace(to_text(E3154),""[^A-Za-z0-9]"","""")&amp;""-""&amp;Regexreplace(to_text(F3154),""[^A-Za-z0-9]"",""""))"),"AQUAGEN-EVCBSERIES")</f>
        <v>AQUAGEN-EVCBSERIES</v>
      </c>
    </row>
    <row r="3155" ht="30.0" customHeight="1">
      <c r="A3155" s="173">
        <v>2689.0</v>
      </c>
      <c r="B3155" s="328" t="s">
        <v>670</v>
      </c>
      <c r="C3155" s="257" t="s">
        <v>9754</v>
      </c>
      <c r="D3155" s="173" t="s">
        <v>9755</v>
      </c>
      <c r="E3155" s="174" t="s">
        <v>2861</v>
      </c>
      <c r="F3155" s="173" t="s">
        <v>2862</v>
      </c>
      <c r="G3155" s="328" t="s">
        <v>673</v>
      </c>
      <c r="H3155" s="328" t="s">
        <v>2863</v>
      </c>
      <c r="I3155" s="258" t="s">
        <v>9445</v>
      </c>
      <c r="J3155" s="259" t="s">
        <v>902</v>
      </c>
      <c r="K3155" s="260" t="s">
        <v>9756</v>
      </c>
      <c r="L3155" s="366"/>
      <c r="M3155" s="329"/>
      <c r="N3155" s="173" t="s">
        <v>679</v>
      </c>
      <c r="O3155" s="173" t="s">
        <v>225</v>
      </c>
      <c r="P3155" s="262" t="str">
        <f t="shared" si="1"/>
        <v>IN-BLR-ANANTA-FAN-103_2</v>
      </c>
      <c r="Q3155" s="173" t="s">
        <v>9757</v>
      </c>
      <c r="R3155" s="328" t="str">
        <f>IFS(C3155="","",C3155="n/a","N/A",LEN(C3155),Concatenate("{",char(34),"asset",char(34),":{",char(34),"guid",char(34),":",char(34),Q3155,char(34),",",char(34),"site",char(34),":",char(34),LOWER('2-Building'!$B$4),char(34),",",char(34),"name",char(34),":",char(34),LOWER(C3155),char(34),"}}"))</f>
        <v>{"asset":{"guid":"uuid://3538e396-0d68-4be4-a0ec-22c586d4f8bb","site":"in-blr-ananta","name":"fan-103"}}</v>
      </c>
      <c r="S3155" s="369" t="s">
        <v>2866</v>
      </c>
      <c r="T3155" s="330"/>
      <c r="U3155" s="330"/>
      <c r="V3155" s="331"/>
      <c r="W3155" s="332"/>
      <c r="X3155" s="333"/>
      <c r="Y3155" s="33" t="s">
        <v>8076</v>
      </c>
      <c r="Z3155" s="368"/>
      <c r="AA3155" s="333"/>
      <c r="AB3155" s="258">
        <v>92.0</v>
      </c>
      <c r="AC3155" s="333"/>
      <c r="AD3155" s="329"/>
      <c r="AE3155" s="331"/>
      <c r="AF3155" s="336"/>
      <c r="AG3155" s="337" t="str">
        <f>IFS(LEN(AF3155)=17,LOWER('2-Building'!$B$4 &amp; "-" &amp; C3155), AF3155="N/A", "N/A", LEN(AF3155)=0,"")</f>
        <v/>
      </c>
      <c r="AH3155" s="333"/>
      <c r="AI3155" s="333"/>
      <c r="AJ3155" s="333"/>
      <c r="AK3155" s="333"/>
      <c r="AL3155" s="333"/>
      <c r="AM3155" s="338"/>
      <c r="AN3155" s="333"/>
      <c r="AO3155" s="333"/>
      <c r="AP3155" s="333"/>
      <c r="AQ3155" s="333"/>
      <c r="AR3155" s="333"/>
      <c r="AS3155" s="333"/>
      <c r="AT3155" s="333"/>
      <c r="AU3155" s="329"/>
      <c r="AV3155" s="341"/>
      <c r="AW3155" s="269" t="s">
        <v>1685</v>
      </c>
      <c r="AX3155" s="269" t="s">
        <v>2869</v>
      </c>
      <c r="AY3155" s="270" t="s">
        <v>695</v>
      </c>
      <c r="AZ3155" s="379"/>
      <c r="BA3155" s="173">
        <v>10.0</v>
      </c>
      <c r="BB3155" s="341"/>
      <c r="BC3155" s="341"/>
      <c r="BD3155" s="308" t="s">
        <v>1844</v>
      </c>
      <c r="BE3155" s="364"/>
      <c r="BF3155" s="274" t="str">
        <f>IFERROR(__xludf.DUMMYFUNCTION("LOWER(Regexreplace(to_text(E3155),""[^A-Za-z0-9]"","""")&amp;""_""&amp;Regexreplace(to_text(F3155),""[^A-Za-z0-9]"",""""))"),"neptronic_evcbseries")</f>
        <v>neptronic_evcbseries</v>
      </c>
      <c r="BG3155" s="275" t="str">
        <f>IFERROR(__xludf.DUMMYFUNCTION("upper(Regexreplace(to_text(E3155),""[^A-Za-z0-9]"","""")&amp;""-""&amp;Regexreplace(to_text(F3155),""[^A-Za-z0-9]"",""""))"),"NEPTRONIC-EVCBSERIES")</f>
        <v>NEPTRONIC-EVCBSERIES</v>
      </c>
    </row>
    <row r="3156" ht="30.0" customHeight="1">
      <c r="A3156" s="173">
        <v>2691.0</v>
      </c>
      <c r="B3156" s="328" t="s">
        <v>670</v>
      </c>
      <c r="C3156" s="257" t="s">
        <v>9758</v>
      </c>
      <c r="D3156" s="173" t="s">
        <v>9759</v>
      </c>
      <c r="E3156" s="174" t="s">
        <v>2861</v>
      </c>
      <c r="F3156" s="173" t="s">
        <v>2862</v>
      </c>
      <c r="G3156" s="328" t="s">
        <v>673</v>
      </c>
      <c r="H3156" s="328" t="s">
        <v>2863</v>
      </c>
      <c r="I3156" s="258" t="s">
        <v>9445</v>
      </c>
      <c r="J3156" s="259" t="s">
        <v>902</v>
      </c>
      <c r="K3156" s="260" t="s">
        <v>9756</v>
      </c>
      <c r="L3156" s="366"/>
      <c r="M3156" s="329"/>
      <c r="N3156" s="173" t="s">
        <v>679</v>
      </c>
      <c r="O3156" s="173" t="s">
        <v>225</v>
      </c>
      <c r="P3156" s="262" t="str">
        <f t="shared" si="1"/>
        <v>IN-BLR-ANANTA-FAN-104_2</v>
      </c>
      <c r="Q3156" s="173" t="s">
        <v>9760</v>
      </c>
      <c r="R3156" s="328" t="str">
        <f>IFS(C3156="","",C3156="n/a","N/A",LEN(C3156),Concatenate("{",char(34),"asset",char(34),":{",char(34),"guid",char(34),":",char(34),Q3156,char(34),",",char(34),"site",char(34),":",char(34),LOWER('2-Building'!$B$4),char(34),",",char(34),"name",char(34),":",char(34),LOWER(C3156),char(34),"}}"))</f>
        <v>{"asset":{"guid":"uuid://5456a24b-7b85-4251-bf84-698589f86950","site":"in-blr-ananta","name":"fan-104"}}</v>
      </c>
      <c r="S3156" s="369" t="s">
        <v>2866</v>
      </c>
      <c r="T3156" s="330"/>
      <c r="U3156" s="330"/>
      <c r="V3156" s="331"/>
      <c r="W3156" s="332"/>
      <c r="X3156" s="333"/>
      <c r="Y3156" s="33" t="s">
        <v>8076</v>
      </c>
      <c r="Z3156" s="368"/>
      <c r="AA3156" s="333"/>
      <c r="AB3156" s="258">
        <v>93.0</v>
      </c>
      <c r="AC3156" s="333"/>
      <c r="AD3156" s="329"/>
      <c r="AE3156" s="331"/>
      <c r="AF3156" s="336"/>
      <c r="AG3156" s="337" t="str">
        <f>IFS(LEN(AF3156)=17,LOWER('2-Building'!$B$4 &amp; "-" &amp; C3156), AF3156="N/A", "N/A", LEN(AF3156)=0,"")</f>
        <v/>
      </c>
      <c r="AH3156" s="333"/>
      <c r="AI3156" s="333"/>
      <c r="AJ3156" s="333"/>
      <c r="AK3156" s="333"/>
      <c r="AL3156" s="333"/>
      <c r="AM3156" s="338"/>
      <c r="AN3156" s="333"/>
      <c r="AO3156" s="333"/>
      <c r="AP3156" s="333"/>
      <c r="AQ3156" s="333"/>
      <c r="AR3156" s="333"/>
      <c r="AS3156" s="333"/>
      <c r="AT3156" s="333"/>
      <c r="AU3156" s="329"/>
      <c r="AV3156" s="341"/>
      <c r="AW3156" s="269" t="s">
        <v>1685</v>
      </c>
      <c r="AX3156" s="269" t="s">
        <v>2869</v>
      </c>
      <c r="AY3156" s="270" t="s">
        <v>695</v>
      </c>
      <c r="AZ3156" s="379"/>
      <c r="BA3156" s="173">
        <v>10.0</v>
      </c>
      <c r="BB3156" s="341"/>
      <c r="BC3156" s="341"/>
      <c r="BD3156" s="308" t="s">
        <v>1844</v>
      </c>
      <c r="BE3156" s="364"/>
      <c r="BF3156" s="274" t="str">
        <f>IFERROR(__xludf.DUMMYFUNCTION("LOWER(Regexreplace(to_text(E3156),""[^A-Za-z0-9]"","""")&amp;""_""&amp;Regexreplace(to_text(F3156),""[^A-Za-z0-9]"",""""))"),"neptronic_evcbseries")</f>
        <v>neptronic_evcbseries</v>
      </c>
      <c r="BG3156" s="275" t="str">
        <f>IFERROR(__xludf.DUMMYFUNCTION("upper(Regexreplace(to_text(E3156),""[^A-Za-z0-9]"","""")&amp;""-""&amp;Regexreplace(to_text(F3156),""[^A-Za-z0-9]"",""""))"),"NEPTRONIC-EVCBSERIES")</f>
        <v>NEPTRONIC-EVCBSERIES</v>
      </c>
    </row>
    <row r="3157" ht="30.0" customHeight="1">
      <c r="A3157" s="258">
        <v>2690.0</v>
      </c>
      <c r="B3157" s="328" t="s">
        <v>670</v>
      </c>
      <c r="C3157" s="257" t="s">
        <v>9761</v>
      </c>
      <c r="D3157" s="173" t="s">
        <v>9762</v>
      </c>
      <c r="E3157" s="174" t="s">
        <v>2861</v>
      </c>
      <c r="F3157" s="173" t="s">
        <v>2862</v>
      </c>
      <c r="G3157" s="328" t="s">
        <v>673</v>
      </c>
      <c r="H3157" s="328" t="s">
        <v>2863</v>
      </c>
      <c r="I3157" s="258" t="s">
        <v>9445</v>
      </c>
      <c r="J3157" s="259" t="s">
        <v>902</v>
      </c>
      <c r="K3157" s="260" t="s">
        <v>9756</v>
      </c>
      <c r="L3157" s="366"/>
      <c r="M3157" s="329"/>
      <c r="N3157" s="173" t="s">
        <v>679</v>
      </c>
      <c r="O3157" s="173" t="s">
        <v>225</v>
      </c>
      <c r="P3157" s="262" t="str">
        <f t="shared" si="1"/>
        <v>IN-BLR-ANANTA-FAN-105_2</v>
      </c>
      <c r="Q3157" s="173" t="s">
        <v>9763</v>
      </c>
      <c r="R3157" s="328" t="str">
        <f>IFS(C3157="","",C3157="n/a","N/A",LEN(C3157),Concatenate("{",char(34),"asset",char(34),":{",char(34),"guid",char(34),":",char(34),Q3157,char(34),",",char(34),"site",char(34),":",char(34),LOWER('2-Building'!$B$4),char(34),",",char(34),"name",char(34),":",char(34),LOWER(C3157),char(34),"}}"))</f>
        <v>{"asset":{"guid":"uuid://68dd2a19-0fb7-468e-bf70-9ab83aa0afbc","site":"in-blr-ananta","name":"fan-105"}}</v>
      </c>
      <c r="S3157" s="369" t="s">
        <v>2866</v>
      </c>
      <c r="T3157" s="330"/>
      <c r="U3157" s="330"/>
      <c r="V3157" s="331"/>
      <c r="W3157" s="332"/>
      <c r="X3157" s="333"/>
      <c r="Y3157" s="33" t="s">
        <v>8076</v>
      </c>
      <c r="Z3157" s="368"/>
      <c r="AA3157" s="333"/>
      <c r="AB3157" s="258">
        <v>94.0</v>
      </c>
      <c r="AC3157" s="333"/>
      <c r="AD3157" s="329"/>
      <c r="AE3157" s="331"/>
      <c r="AF3157" s="336"/>
      <c r="AG3157" s="337" t="str">
        <f>IFS(LEN(AF3157)=17,LOWER('2-Building'!$B$4 &amp; "-" &amp; C3157), AF3157="N/A", "N/A", LEN(AF3157)=0,"")</f>
        <v/>
      </c>
      <c r="AH3157" s="333"/>
      <c r="AI3157" s="333"/>
      <c r="AJ3157" s="333"/>
      <c r="AK3157" s="333"/>
      <c r="AL3157" s="333"/>
      <c r="AM3157" s="338"/>
      <c r="AN3157" s="333"/>
      <c r="AO3157" s="333"/>
      <c r="AP3157" s="333"/>
      <c r="AQ3157" s="333"/>
      <c r="AR3157" s="333"/>
      <c r="AS3157" s="333"/>
      <c r="AT3157" s="333"/>
      <c r="AU3157" s="329"/>
      <c r="AV3157" s="341"/>
      <c r="AW3157" s="269" t="s">
        <v>1685</v>
      </c>
      <c r="AX3157" s="269" t="s">
        <v>2869</v>
      </c>
      <c r="AY3157" s="270" t="s">
        <v>695</v>
      </c>
      <c r="AZ3157" s="379"/>
      <c r="BA3157" s="173">
        <v>10.0</v>
      </c>
      <c r="BB3157" s="341"/>
      <c r="BC3157" s="341"/>
      <c r="BD3157" s="308" t="s">
        <v>1844</v>
      </c>
      <c r="BE3157" s="364"/>
      <c r="BF3157" s="274" t="str">
        <f>IFERROR(__xludf.DUMMYFUNCTION("LOWER(Regexreplace(to_text(E3157),""[^A-Za-z0-9]"","""")&amp;""_""&amp;Regexreplace(to_text(F3157),""[^A-Za-z0-9]"",""""))"),"neptronic_evcbseries")</f>
        <v>neptronic_evcbseries</v>
      </c>
      <c r="BG3157" s="275" t="str">
        <f>IFERROR(__xludf.DUMMYFUNCTION("upper(Regexreplace(to_text(E3157),""[^A-Za-z0-9]"","""")&amp;""-""&amp;Regexreplace(to_text(F3157),""[^A-Za-z0-9]"",""""))"),"NEPTRONIC-EVCBSERIES")</f>
        <v>NEPTRONIC-EVCBSERIES</v>
      </c>
    </row>
    <row r="3158" ht="30.0" customHeight="1">
      <c r="A3158" s="328">
        <v>2690.0</v>
      </c>
      <c r="B3158" s="425" t="s">
        <v>670</v>
      </c>
      <c r="C3158" s="257" t="s">
        <v>9764</v>
      </c>
      <c r="D3158" s="173" t="s">
        <v>9765</v>
      </c>
      <c r="E3158" s="174" t="s">
        <v>2861</v>
      </c>
      <c r="F3158" s="173" t="s">
        <v>2862</v>
      </c>
      <c r="G3158" s="425" t="s">
        <v>673</v>
      </c>
      <c r="H3158" s="425" t="s">
        <v>2863</v>
      </c>
      <c r="I3158" s="258" t="s">
        <v>9445</v>
      </c>
      <c r="J3158" s="259" t="s">
        <v>902</v>
      </c>
      <c r="K3158" s="260" t="s">
        <v>9756</v>
      </c>
      <c r="L3158" s="442"/>
      <c r="M3158" s="426"/>
      <c r="N3158" s="173" t="s">
        <v>679</v>
      </c>
      <c r="O3158" s="173" t="s">
        <v>225</v>
      </c>
      <c r="P3158" s="262" t="str">
        <f t="shared" si="1"/>
        <v>IN-BLR-ANANTA-FAN-106_2</v>
      </c>
      <c r="Q3158" s="173" t="s">
        <v>9766</v>
      </c>
      <c r="R3158" s="433" t="str">
        <f>IFS(C3158="","",C3158="n/a","N/A",LEN(C3158),Concatenate("{",char(34),"asset",char(34),":{",char(34),"guid",char(34),":",char(34),Q3158,char(34),",",char(34),"site",char(34),":",char(34),LOWER('2-Building'!$B$4),char(34),",",char(34),"name",char(34),":",char(34),LOWER(C3158),char(34),"}}"))</f>
        <v>{"asset":{"guid":"uuid://054b91fc-d860-4a41-ab31-47bd52729a5e","site":"in-blr-ananta","name":"fan-106"}}</v>
      </c>
      <c r="S3158" s="369" t="s">
        <v>2866</v>
      </c>
      <c r="T3158" s="427"/>
      <c r="U3158" s="427"/>
      <c r="V3158" s="428"/>
      <c r="W3158" s="429"/>
      <c r="X3158" s="430"/>
      <c r="Y3158" s="33" t="s">
        <v>8076</v>
      </c>
      <c r="Z3158" s="430"/>
      <c r="AA3158" s="430"/>
      <c r="AB3158" s="258">
        <v>95.0</v>
      </c>
      <c r="AC3158" s="430"/>
      <c r="AD3158" s="426"/>
      <c r="AE3158" s="428"/>
      <c r="AF3158" s="431"/>
      <c r="AG3158" s="432" t="str">
        <f>IFS(LEN(AF3158)=17,LOWER('2-Building'!$B$4 &amp; "-" &amp; C3158), AF3158="N/A", "N/A", LEN(AF3158)=0,"")</f>
        <v/>
      </c>
      <c r="AH3158" s="430"/>
      <c r="AI3158" s="430"/>
      <c r="AJ3158" s="430"/>
      <c r="AK3158" s="430"/>
      <c r="AL3158" s="430"/>
      <c r="AM3158" s="433"/>
      <c r="AN3158" s="430"/>
      <c r="AO3158" s="430"/>
      <c r="AP3158" s="430"/>
      <c r="AQ3158" s="430"/>
      <c r="AR3158" s="430"/>
      <c r="AS3158" s="430"/>
      <c r="AT3158" s="430"/>
      <c r="AU3158" s="426"/>
      <c r="AV3158" s="434"/>
      <c r="AW3158" s="269" t="s">
        <v>1685</v>
      </c>
      <c r="AX3158" s="269" t="s">
        <v>2869</v>
      </c>
      <c r="AY3158" s="270" t="s">
        <v>695</v>
      </c>
      <c r="AZ3158" s="435"/>
      <c r="BA3158" s="173">
        <v>10.0</v>
      </c>
      <c r="BB3158" s="434"/>
      <c r="BC3158" s="434"/>
      <c r="BD3158" s="308" t="s">
        <v>1844</v>
      </c>
      <c r="BE3158" s="436"/>
      <c r="BF3158" s="274" t="str">
        <f>IFERROR(__xludf.DUMMYFUNCTION("LOWER(Regexreplace(to_text(E3158),""[^A-Za-z0-9]"","""")&amp;""_""&amp;Regexreplace(to_text(F3158),""[^A-Za-z0-9]"",""""))"),"neptronic_evcbseries")</f>
        <v>neptronic_evcbseries</v>
      </c>
      <c r="BG3158" s="275" t="str">
        <f>IFERROR(__xludf.DUMMYFUNCTION("upper(Regexreplace(to_text(E3158),""[^A-Za-z0-9]"","""")&amp;""-""&amp;Regexreplace(to_text(F3158),""[^A-Za-z0-9]"",""""))"),"NEPTRONIC-EVCBSERIES")</f>
        <v>NEPTRONIC-EVCBSERIES</v>
      </c>
    </row>
    <row r="3159" ht="30.0" customHeight="1">
      <c r="A3159" s="258">
        <v>2690.0</v>
      </c>
      <c r="B3159" s="328" t="s">
        <v>670</v>
      </c>
      <c r="C3159" s="257" t="s">
        <v>9767</v>
      </c>
      <c r="D3159" s="173" t="s">
        <v>9768</v>
      </c>
      <c r="E3159" s="174" t="s">
        <v>2861</v>
      </c>
      <c r="F3159" s="173" t="s">
        <v>2862</v>
      </c>
      <c r="G3159" s="328" t="s">
        <v>673</v>
      </c>
      <c r="H3159" s="328" t="s">
        <v>2863</v>
      </c>
      <c r="I3159" s="258" t="s">
        <v>9445</v>
      </c>
      <c r="J3159" s="259" t="s">
        <v>902</v>
      </c>
      <c r="K3159" s="260" t="s">
        <v>9756</v>
      </c>
      <c r="L3159" s="366"/>
      <c r="M3159" s="329"/>
      <c r="N3159" s="173" t="s">
        <v>679</v>
      </c>
      <c r="O3159" s="173" t="s">
        <v>225</v>
      </c>
      <c r="P3159" s="262" t="str">
        <f t="shared" si="1"/>
        <v>IN-BLR-ANANTA-FAN-107_2</v>
      </c>
      <c r="Q3159" s="173" t="s">
        <v>9769</v>
      </c>
      <c r="R3159" s="328" t="str">
        <f>IFS(C3159="","",C3159="n/a","N/A",LEN(C3159),Concatenate("{",char(34),"asset",char(34),":{",char(34),"guid",char(34),":",char(34),Q3159,char(34),",",char(34),"site",char(34),":",char(34),LOWER('2-Building'!$B$4),char(34),",",char(34),"name",char(34),":",char(34),LOWER(C3159),char(34),"}}"))</f>
        <v>{"asset":{"guid":"uuid://83cb84ca-7b6b-4388-ae5e-475708c8ee67","site":"in-blr-ananta","name":"fan-107"}}</v>
      </c>
      <c r="S3159" s="369" t="s">
        <v>2866</v>
      </c>
      <c r="T3159" s="330"/>
      <c r="U3159" s="330"/>
      <c r="V3159" s="331"/>
      <c r="W3159" s="332"/>
      <c r="X3159" s="333"/>
      <c r="Y3159" s="33" t="s">
        <v>8076</v>
      </c>
      <c r="Z3159" s="368"/>
      <c r="AA3159" s="333"/>
      <c r="AB3159" s="258">
        <v>96.0</v>
      </c>
      <c r="AC3159" s="333"/>
      <c r="AD3159" s="329"/>
      <c r="AE3159" s="331"/>
      <c r="AF3159" s="336"/>
      <c r="AG3159" s="337" t="str">
        <f>IFS(LEN(AF3159)=17,LOWER('2-Building'!$B$4 &amp; "-" &amp; C3159), AF3159="N/A", "N/A", LEN(AF3159)=0,"")</f>
        <v/>
      </c>
      <c r="AH3159" s="333"/>
      <c r="AI3159" s="333"/>
      <c r="AJ3159" s="333"/>
      <c r="AK3159" s="333"/>
      <c r="AL3159" s="333"/>
      <c r="AM3159" s="338"/>
      <c r="AN3159" s="333"/>
      <c r="AO3159" s="333"/>
      <c r="AP3159" s="333"/>
      <c r="AQ3159" s="333"/>
      <c r="AR3159" s="333"/>
      <c r="AS3159" s="333"/>
      <c r="AT3159" s="333"/>
      <c r="AU3159" s="329"/>
      <c r="AV3159" s="341"/>
      <c r="AW3159" s="269" t="s">
        <v>1685</v>
      </c>
      <c r="AX3159" s="269" t="s">
        <v>2869</v>
      </c>
      <c r="AY3159" s="270" t="s">
        <v>695</v>
      </c>
      <c r="AZ3159" s="379"/>
      <c r="BA3159" s="173">
        <v>10.0</v>
      </c>
      <c r="BB3159" s="341"/>
      <c r="BC3159" s="341"/>
      <c r="BD3159" s="308" t="s">
        <v>1844</v>
      </c>
      <c r="BE3159" s="364"/>
      <c r="BF3159" s="274" t="str">
        <f>IFERROR(__xludf.DUMMYFUNCTION("LOWER(Regexreplace(to_text(E3159),""[^A-Za-z0-9]"","""")&amp;""_""&amp;Regexreplace(to_text(F3159),""[^A-Za-z0-9]"",""""))"),"neptronic_evcbseries")</f>
        <v>neptronic_evcbseries</v>
      </c>
      <c r="BG3159" s="275" t="str">
        <f>IFERROR(__xludf.DUMMYFUNCTION("upper(Regexreplace(to_text(E3159),""[^A-Za-z0-9]"","""")&amp;""-""&amp;Regexreplace(to_text(F3159),""[^A-Za-z0-9]"",""""))"),"NEPTRONIC-EVCBSERIES")</f>
        <v>NEPTRONIC-EVCBSERIES</v>
      </c>
    </row>
    <row r="3160" ht="30.0" customHeight="1">
      <c r="A3160" s="328">
        <v>2690.0</v>
      </c>
      <c r="B3160" s="425" t="s">
        <v>670</v>
      </c>
      <c r="C3160" s="257" t="s">
        <v>9770</v>
      </c>
      <c r="D3160" s="173" t="s">
        <v>9771</v>
      </c>
      <c r="E3160" s="174" t="s">
        <v>2861</v>
      </c>
      <c r="F3160" s="173" t="s">
        <v>2862</v>
      </c>
      <c r="G3160" s="425" t="s">
        <v>673</v>
      </c>
      <c r="H3160" s="425" t="s">
        <v>2863</v>
      </c>
      <c r="I3160" s="258" t="s">
        <v>9445</v>
      </c>
      <c r="J3160" s="259" t="s">
        <v>902</v>
      </c>
      <c r="K3160" s="260" t="s">
        <v>9756</v>
      </c>
      <c r="L3160" s="442"/>
      <c r="M3160" s="426"/>
      <c r="N3160" s="173" t="s">
        <v>679</v>
      </c>
      <c r="O3160" s="173" t="s">
        <v>225</v>
      </c>
      <c r="P3160" s="262" t="str">
        <f t="shared" si="1"/>
        <v>IN-BLR-ANANTA-FAN-108_2</v>
      </c>
      <c r="Q3160" s="173" t="s">
        <v>9772</v>
      </c>
      <c r="R3160" s="433" t="str">
        <f>IFS(C3160="","",C3160="n/a","N/A",LEN(C3160),Concatenate("{",char(34),"asset",char(34),":{",char(34),"guid",char(34),":",char(34),Q3160,char(34),",",char(34),"site",char(34),":",char(34),LOWER('2-Building'!$B$4),char(34),",",char(34),"name",char(34),":",char(34),LOWER(C3160),char(34),"}}"))</f>
        <v>{"asset":{"guid":"uuid://9eee20eb-5a3f-4310-8fff-a2be09bcbcc3","site":"in-blr-ananta","name":"fan-108"}}</v>
      </c>
      <c r="S3160" s="369" t="s">
        <v>2866</v>
      </c>
      <c r="T3160" s="427"/>
      <c r="U3160" s="427"/>
      <c r="V3160" s="428"/>
      <c r="W3160" s="429"/>
      <c r="X3160" s="430"/>
      <c r="Y3160" s="33" t="s">
        <v>8076</v>
      </c>
      <c r="Z3160" s="430"/>
      <c r="AA3160" s="430"/>
      <c r="AB3160" s="258">
        <v>97.0</v>
      </c>
      <c r="AC3160" s="430"/>
      <c r="AD3160" s="426"/>
      <c r="AE3160" s="428"/>
      <c r="AF3160" s="431"/>
      <c r="AG3160" s="432" t="str">
        <f>IFS(LEN(AF3160)=17,LOWER('2-Building'!$B$4 &amp; "-" &amp; C3160), AF3160="N/A", "N/A", LEN(AF3160)=0,"")</f>
        <v/>
      </c>
      <c r="AH3160" s="430"/>
      <c r="AI3160" s="430"/>
      <c r="AJ3160" s="430"/>
      <c r="AK3160" s="430"/>
      <c r="AL3160" s="430"/>
      <c r="AM3160" s="433"/>
      <c r="AN3160" s="430"/>
      <c r="AO3160" s="430"/>
      <c r="AP3160" s="430"/>
      <c r="AQ3160" s="430"/>
      <c r="AR3160" s="430"/>
      <c r="AS3160" s="430"/>
      <c r="AT3160" s="430"/>
      <c r="AU3160" s="426"/>
      <c r="AV3160" s="434"/>
      <c r="AW3160" s="269" t="s">
        <v>1685</v>
      </c>
      <c r="AX3160" s="269" t="s">
        <v>2869</v>
      </c>
      <c r="AY3160" s="270" t="s">
        <v>695</v>
      </c>
      <c r="AZ3160" s="435"/>
      <c r="BA3160" s="173">
        <v>10.0</v>
      </c>
      <c r="BB3160" s="434"/>
      <c r="BC3160" s="434"/>
      <c r="BD3160" s="308" t="s">
        <v>1844</v>
      </c>
      <c r="BE3160" s="436"/>
      <c r="BF3160" s="274" t="str">
        <f>IFERROR(__xludf.DUMMYFUNCTION("LOWER(Regexreplace(to_text(E3160),""[^A-Za-z0-9]"","""")&amp;""_""&amp;Regexreplace(to_text(F3160),""[^A-Za-z0-9]"",""""))"),"neptronic_evcbseries")</f>
        <v>neptronic_evcbseries</v>
      </c>
      <c r="BG3160" s="275" t="str">
        <f>IFERROR(__xludf.DUMMYFUNCTION("upper(Regexreplace(to_text(E3160),""[^A-Za-z0-9]"","""")&amp;""-""&amp;Regexreplace(to_text(F3160),""[^A-Za-z0-9]"",""""))"),"NEPTRONIC-EVCBSERIES")</f>
        <v>NEPTRONIC-EVCBSERIES</v>
      </c>
    </row>
    <row r="3161" ht="30.0" customHeight="1">
      <c r="A3161" s="328">
        <v>2690.0</v>
      </c>
      <c r="B3161" s="425" t="s">
        <v>670</v>
      </c>
      <c r="C3161" s="257" t="s">
        <v>9773</v>
      </c>
      <c r="D3161" s="173" t="s">
        <v>9774</v>
      </c>
      <c r="E3161" s="174" t="s">
        <v>2861</v>
      </c>
      <c r="F3161" s="173" t="s">
        <v>2862</v>
      </c>
      <c r="G3161" s="425" t="s">
        <v>673</v>
      </c>
      <c r="H3161" s="425" t="s">
        <v>2863</v>
      </c>
      <c r="I3161" s="258" t="s">
        <v>9445</v>
      </c>
      <c r="J3161" s="259" t="s">
        <v>902</v>
      </c>
      <c r="K3161" s="260" t="s">
        <v>9756</v>
      </c>
      <c r="L3161" s="442"/>
      <c r="M3161" s="426"/>
      <c r="N3161" s="173" t="s">
        <v>679</v>
      </c>
      <c r="O3161" s="173" t="s">
        <v>225</v>
      </c>
      <c r="P3161" s="262" t="str">
        <f t="shared" si="1"/>
        <v>IN-BLR-ANANTA-FAN-109_2</v>
      </c>
      <c r="Q3161" s="173" t="s">
        <v>9775</v>
      </c>
      <c r="R3161" s="425" t="str">
        <f>IFS(C3161="","",C3161="n/a","N/A",LEN(C3161),Concatenate("{",char(34),"asset",char(34),":{",char(34),"guid",char(34),":",char(34),Q3161,char(34),",",char(34),"site",char(34),":",char(34),LOWER('2-Building'!$B$4),char(34),",",char(34),"name",char(34),":",char(34),LOWER(C3161),char(34),"}}"))</f>
        <v>{"asset":{"guid":"uuid://52636b1e-0e6b-4061-a81e-f99267d7e599","site":"in-blr-ananta","name":"fan-109"}}</v>
      </c>
      <c r="S3161" s="369" t="s">
        <v>2866</v>
      </c>
      <c r="T3161" s="427"/>
      <c r="U3161" s="427"/>
      <c r="V3161" s="428"/>
      <c r="W3161" s="429"/>
      <c r="X3161" s="430"/>
      <c r="Y3161" s="33" t="s">
        <v>8076</v>
      </c>
      <c r="Z3161" s="430"/>
      <c r="AA3161" s="430"/>
      <c r="AB3161" s="258">
        <v>98.0</v>
      </c>
      <c r="AC3161" s="430"/>
      <c r="AD3161" s="426"/>
      <c r="AE3161" s="428"/>
      <c r="AF3161" s="431"/>
      <c r="AG3161" s="432" t="str">
        <f>IFS(LEN(AF3161)=17,LOWER('2-Building'!$B$4 &amp; "-" &amp; C3161), AF3161="N/A", "N/A", LEN(AF3161)=0,"")</f>
        <v/>
      </c>
      <c r="AH3161" s="430"/>
      <c r="AI3161" s="430"/>
      <c r="AJ3161" s="430"/>
      <c r="AK3161" s="430"/>
      <c r="AL3161" s="430"/>
      <c r="AM3161" s="433"/>
      <c r="AN3161" s="430"/>
      <c r="AO3161" s="430"/>
      <c r="AP3161" s="430"/>
      <c r="AQ3161" s="430"/>
      <c r="AR3161" s="430"/>
      <c r="AS3161" s="430"/>
      <c r="AT3161" s="430"/>
      <c r="AU3161" s="426"/>
      <c r="AV3161" s="434"/>
      <c r="AW3161" s="269" t="s">
        <v>1685</v>
      </c>
      <c r="AX3161" s="269" t="s">
        <v>2869</v>
      </c>
      <c r="AY3161" s="270" t="s">
        <v>695</v>
      </c>
      <c r="AZ3161" s="435"/>
      <c r="BA3161" s="173">
        <v>10.0</v>
      </c>
      <c r="BB3161" s="434"/>
      <c r="BC3161" s="434"/>
      <c r="BD3161" s="308" t="s">
        <v>1844</v>
      </c>
      <c r="BE3161" s="436"/>
      <c r="BF3161" s="274" t="str">
        <f>IFERROR(__xludf.DUMMYFUNCTION("LOWER(Regexreplace(to_text(E3161),""[^A-Za-z0-9]"","""")&amp;""_""&amp;Regexreplace(to_text(F3161),""[^A-Za-z0-9]"",""""))"),"neptronic_evcbseries")</f>
        <v>neptronic_evcbseries</v>
      </c>
      <c r="BG3161" s="275" t="str">
        <f>IFERROR(__xludf.DUMMYFUNCTION("upper(Regexreplace(to_text(E3161),""[^A-Za-z0-9]"","""")&amp;""-""&amp;Regexreplace(to_text(F3161),""[^A-Za-z0-9]"",""""))"),"NEPTRONIC-EVCBSERIES")</f>
        <v>NEPTRONIC-EVCBSERIES</v>
      </c>
    </row>
    <row r="3162" ht="30.0" customHeight="1">
      <c r="A3162" s="425">
        <v>2690.0</v>
      </c>
      <c r="B3162" s="425" t="s">
        <v>670</v>
      </c>
      <c r="C3162" s="257" t="s">
        <v>9776</v>
      </c>
      <c r="D3162" s="173" t="s">
        <v>9777</v>
      </c>
      <c r="E3162" s="174" t="s">
        <v>2861</v>
      </c>
      <c r="F3162" s="173" t="s">
        <v>2862</v>
      </c>
      <c r="G3162" s="425" t="s">
        <v>673</v>
      </c>
      <c r="H3162" s="425" t="s">
        <v>2863</v>
      </c>
      <c r="I3162" s="258" t="s">
        <v>9445</v>
      </c>
      <c r="J3162" s="259" t="s">
        <v>902</v>
      </c>
      <c r="K3162" s="260" t="s">
        <v>9756</v>
      </c>
      <c r="L3162" s="442"/>
      <c r="M3162" s="426"/>
      <c r="N3162" s="173" t="s">
        <v>679</v>
      </c>
      <c r="O3162" s="173" t="s">
        <v>225</v>
      </c>
      <c r="P3162" s="262" t="str">
        <f t="shared" si="1"/>
        <v>IN-BLR-ANANTA-FAN-110_2</v>
      </c>
      <c r="Q3162" s="173" t="s">
        <v>9778</v>
      </c>
      <c r="R3162" s="425" t="str">
        <f>IFS(C3162="","",C3162="n/a","N/A",LEN(C3162),Concatenate("{",char(34),"asset",char(34),":{",char(34),"guid",char(34),":",char(34),Q3162,char(34),",",char(34),"site",char(34),":",char(34),LOWER('2-Building'!$B$4),char(34),",",char(34),"name",char(34),":",char(34),LOWER(C3162),char(34),"}}"))</f>
        <v>{"asset":{"guid":"uuid://31f8bf7c-b60b-478e-a2b3-efd4d8294794","site":"in-blr-ananta","name":"fan-110"}}</v>
      </c>
      <c r="S3162" s="369" t="s">
        <v>2866</v>
      </c>
      <c r="T3162" s="427"/>
      <c r="U3162" s="427"/>
      <c r="V3162" s="428"/>
      <c r="W3162" s="429"/>
      <c r="X3162" s="430"/>
      <c r="Y3162" s="33" t="s">
        <v>8076</v>
      </c>
      <c r="Z3162" s="430"/>
      <c r="AA3162" s="430"/>
      <c r="AB3162" s="258">
        <v>99.0</v>
      </c>
      <c r="AC3162" s="430"/>
      <c r="AD3162" s="426"/>
      <c r="AE3162" s="428"/>
      <c r="AF3162" s="431"/>
      <c r="AG3162" s="432"/>
      <c r="AH3162" s="430"/>
      <c r="AI3162" s="430"/>
      <c r="AJ3162" s="430"/>
      <c r="AK3162" s="430"/>
      <c r="AL3162" s="430"/>
      <c r="AM3162" s="433"/>
      <c r="AN3162" s="430"/>
      <c r="AO3162" s="430"/>
      <c r="AP3162" s="430"/>
      <c r="AQ3162" s="430"/>
      <c r="AR3162" s="430"/>
      <c r="AS3162" s="430"/>
      <c r="AT3162" s="430"/>
      <c r="AU3162" s="426"/>
      <c r="AV3162" s="434"/>
      <c r="AW3162" s="269" t="s">
        <v>1685</v>
      </c>
      <c r="AX3162" s="269" t="s">
        <v>2869</v>
      </c>
      <c r="AY3162" s="270" t="s">
        <v>695</v>
      </c>
      <c r="AZ3162" s="435"/>
      <c r="BA3162" s="173">
        <v>10.0</v>
      </c>
      <c r="BB3162" s="434"/>
      <c r="BC3162" s="434"/>
      <c r="BD3162" s="308" t="s">
        <v>1844</v>
      </c>
      <c r="BE3162" s="436"/>
      <c r="BF3162" s="274" t="str">
        <f>IFERROR(__xludf.DUMMYFUNCTION("LOWER(Regexreplace(to_text(E3162),""[^A-Za-z0-9]"","""")&amp;""_""&amp;Regexreplace(to_text(F3162),""[^A-Za-z0-9]"",""""))"),"neptronic_evcbseries")</f>
        <v>neptronic_evcbseries</v>
      </c>
      <c r="BG3162" s="275" t="str">
        <f>IFERROR(__xludf.DUMMYFUNCTION("upper(Regexreplace(to_text(E3162),""[^A-Za-z0-9]"","""")&amp;""-""&amp;Regexreplace(to_text(F3162),""[^A-Za-z0-9]"",""""))"),"NEPTRONIC-EVCBSERIES")</f>
        <v>NEPTRONIC-EVCBSERIES</v>
      </c>
    </row>
    <row r="3163" ht="30.0" customHeight="1">
      <c r="A3163" s="328">
        <v>2690.0</v>
      </c>
      <c r="B3163" s="425" t="s">
        <v>670</v>
      </c>
      <c r="C3163" s="257" t="s">
        <v>9779</v>
      </c>
      <c r="D3163" s="173" t="s">
        <v>9780</v>
      </c>
      <c r="E3163" s="174" t="s">
        <v>2861</v>
      </c>
      <c r="F3163" s="173" t="s">
        <v>2862</v>
      </c>
      <c r="G3163" s="425" t="s">
        <v>673</v>
      </c>
      <c r="H3163" s="425" t="s">
        <v>2863</v>
      </c>
      <c r="I3163" s="258" t="s">
        <v>9445</v>
      </c>
      <c r="J3163" s="259" t="s">
        <v>1149</v>
      </c>
      <c r="K3163" s="260" t="s">
        <v>9781</v>
      </c>
      <c r="L3163" s="442"/>
      <c r="M3163" s="426"/>
      <c r="N3163" s="173" t="s">
        <v>679</v>
      </c>
      <c r="O3163" s="173" t="s">
        <v>225</v>
      </c>
      <c r="P3163" s="262" t="str">
        <f t="shared" si="1"/>
        <v>IN-BLR-ANANTA-FAN-111_6</v>
      </c>
      <c r="Q3163" s="173" t="s">
        <v>9782</v>
      </c>
      <c r="R3163" s="425" t="str">
        <f>IFS(C3163="","",C3163="n/a","N/A",LEN(C3163),Concatenate("{",char(34),"asset",char(34),":{",char(34),"guid",char(34),":",char(34),Q3163,char(34),",",char(34),"site",char(34),":",char(34),LOWER('2-Building'!$B$4),char(34),",",char(34),"name",char(34),":",char(34),LOWER(C3163),char(34),"}}"))</f>
        <v>{"asset":{"guid":"uuid://095d940e-55ad-4399-9f2b-33b9d898b75e","site":"in-blr-ananta","name":"fan-111"}}</v>
      </c>
      <c r="S3163" s="369" t="s">
        <v>2866</v>
      </c>
      <c r="T3163" s="427"/>
      <c r="U3163" s="427"/>
      <c r="V3163" s="428"/>
      <c r="W3163" s="429"/>
      <c r="X3163" s="430"/>
      <c r="Y3163" s="33" t="s">
        <v>8076</v>
      </c>
      <c r="Z3163" s="430"/>
      <c r="AA3163" s="430"/>
      <c r="AB3163" s="258">
        <v>8.0</v>
      </c>
      <c r="AC3163" s="430"/>
      <c r="AD3163" s="426"/>
      <c r="AE3163" s="428"/>
      <c r="AF3163" s="431"/>
      <c r="AG3163" s="432"/>
      <c r="AH3163" s="430"/>
      <c r="AI3163" s="430"/>
      <c r="AJ3163" s="430"/>
      <c r="AK3163" s="430"/>
      <c r="AL3163" s="430"/>
      <c r="AM3163" s="433"/>
      <c r="AN3163" s="430"/>
      <c r="AO3163" s="430"/>
      <c r="AP3163" s="430"/>
      <c r="AQ3163" s="430"/>
      <c r="AR3163" s="430"/>
      <c r="AS3163" s="430"/>
      <c r="AT3163" s="430"/>
      <c r="AU3163" s="426"/>
      <c r="AV3163" s="434"/>
      <c r="AW3163" s="269" t="s">
        <v>1685</v>
      </c>
      <c r="AX3163" s="269" t="s">
        <v>2869</v>
      </c>
      <c r="AY3163" s="270" t="s">
        <v>695</v>
      </c>
      <c r="AZ3163" s="435"/>
      <c r="BA3163" s="173">
        <v>10.0</v>
      </c>
      <c r="BB3163" s="434"/>
      <c r="BC3163" s="434"/>
      <c r="BD3163" s="308" t="s">
        <v>1844</v>
      </c>
      <c r="BE3163" s="436"/>
      <c r="BF3163" s="274" t="str">
        <f>IFERROR(__xludf.DUMMYFUNCTION("LOWER(Regexreplace(to_text(E3163),""[^A-Za-z0-9]"","""")&amp;""_""&amp;Regexreplace(to_text(F3163),""[^A-Za-z0-9]"",""""))"),"neptronic_evcbseries")</f>
        <v>neptronic_evcbseries</v>
      </c>
      <c r="BG3163" s="275" t="str">
        <f>IFERROR(__xludf.DUMMYFUNCTION("upper(Regexreplace(to_text(E3163),""[^A-Za-z0-9]"","""")&amp;""-""&amp;Regexreplace(to_text(F3163),""[^A-Za-z0-9]"",""""))"),"NEPTRONIC-EVCBSERIES")</f>
        <v>NEPTRONIC-EVCBSERIES</v>
      </c>
    </row>
    <row r="3164" ht="30.0" customHeight="1">
      <c r="A3164" s="328">
        <v>2690.0</v>
      </c>
      <c r="B3164" s="425" t="s">
        <v>670</v>
      </c>
      <c r="C3164" s="257" t="s">
        <v>9783</v>
      </c>
      <c r="D3164" s="173" t="s">
        <v>9784</v>
      </c>
      <c r="E3164" s="174" t="s">
        <v>2861</v>
      </c>
      <c r="F3164" s="173" t="s">
        <v>2862</v>
      </c>
      <c r="G3164" s="425" t="s">
        <v>673</v>
      </c>
      <c r="H3164" s="425" t="s">
        <v>2863</v>
      </c>
      <c r="I3164" s="258" t="s">
        <v>9445</v>
      </c>
      <c r="J3164" s="259" t="s">
        <v>1149</v>
      </c>
      <c r="K3164" s="260" t="s">
        <v>9781</v>
      </c>
      <c r="L3164" s="442"/>
      <c r="M3164" s="426"/>
      <c r="N3164" s="173" t="s">
        <v>679</v>
      </c>
      <c r="O3164" s="173" t="s">
        <v>225</v>
      </c>
      <c r="P3164" s="262" t="str">
        <f t="shared" si="1"/>
        <v>IN-BLR-ANANTA-FAN-112_6</v>
      </c>
      <c r="Q3164" s="173" t="s">
        <v>9785</v>
      </c>
      <c r="R3164" s="425" t="str">
        <f>IFS(C3164="","",C3164="n/a","N/A",LEN(C3164),Concatenate("{",char(34),"asset",char(34),":{",char(34),"guid",char(34),":",char(34),Q3164,char(34),",",char(34),"site",char(34),":",char(34),LOWER('2-Building'!$B$4),char(34),",",char(34),"name",char(34),":",char(34),LOWER(C3164),char(34),"}}"))</f>
        <v>{"asset":{"guid":"uuid://a260070e-5b84-4821-8024-92d83fcdabd3","site":"in-blr-ananta","name":"fan-112"}}</v>
      </c>
      <c r="S3164" s="369" t="s">
        <v>2866</v>
      </c>
      <c r="T3164" s="427"/>
      <c r="U3164" s="427"/>
      <c r="V3164" s="428"/>
      <c r="W3164" s="429"/>
      <c r="X3164" s="430"/>
      <c r="Y3164" s="33" t="s">
        <v>8076</v>
      </c>
      <c r="Z3164" s="430"/>
      <c r="AA3164" s="430"/>
      <c r="AB3164" s="258">
        <v>9.0</v>
      </c>
      <c r="AC3164" s="430"/>
      <c r="AD3164" s="426"/>
      <c r="AE3164" s="428"/>
      <c r="AF3164" s="431"/>
      <c r="AG3164" s="432"/>
      <c r="AH3164" s="430"/>
      <c r="AI3164" s="430"/>
      <c r="AJ3164" s="430"/>
      <c r="AK3164" s="430"/>
      <c r="AL3164" s="430"/>
      <c r="AM3164" s="433"/>
      <c r="AN3164" s="430"/>
      <c r="AO3164" s="430"/>
      <c r="AP3164" s="430"/>
      <c r="AQ3164" s="430"/>
      <c r="AR3164" s="430"/>
      <c r="AS3164" s="430"/>
      <c r="AT3164" s="430"/>
      <c r="AU3164" s="426"/>
      <c r="AV3164" s="434"/>
      <c r="AW3164" s="269" t="s">
        <v>1685</v>
      </c>
      <c r="AX3164" s="269" t="s">
        <v>2869</v>
      </c>
      <c r="AY3164" s="270" t="s">
        <v>695</v>
      </c>
      <c r="AZ3164" s="435"/>
      <c r="BA3164" s="173">
        <v>10.0</v>
      </c>
      <c r="BB3164" s="434"/>
      <c r="BC3164" s="434"/>
      <c r="BD3164" s="308" t="s">
        <v>1844</v>
      </c>
      <c r="BE3164" s="436"/>
      <c r="BF3164" s="274" t="str">
        <f>IFERROR(__xludf.DUMMYFUNCTION("LOWER(Regexreplace(to_text(E3164),""[^A-Za-z0-9]"","""")&amp;""_""&amp;Regexreplace(to_text(F3164),""[^A-Za-z0-9]"",""""))"),"neptronic_evcbseries")</f>
        <v>neptronic_evcbseries</v>
      </c>
      <c r="BG3164" s="275" t="str">
        <f>IFERROR(__xludf.DUMMYFUNCTION("upper(Regexreplace(to_text(E3164),""[^A-Za-z0-9]"","""")&amp;""-""&amp;Regexreplace(to_text(F3164),""[^A-Za-z0-9]"",""""))"),"NEPTRONIC-EVCBSERIES")</f>
        <v>NEPTRONIC-EVCBSERIES</v>
      </c>
    </row>
    <row r="3165" ht="30.0" customHeight="1">
      <c r="A3165" s="328">
        <v>2690.0</v>
      </c>
      <c r="B3165" s="425" t="s">
        <v>670</v>
      </c>
      <c r="C3165" s="257" t="s">
        <v>9786</v>
      </c>
      <c r="D3165" s="173" t="s">
        <v>9787</v>
      </c>
      <c r="E3165" s="174" t="s">
        <v>2861</v>
      </c>
      <c r="F3165" s="173" t="s">
        <v>2862</v>
      </c>
      <c r="G3165" s="425" t="s">
        <v>673</v>
      </c>
      <c r="H3165" s="425" t="s">
        <v>2863</v>
      </c>
      <c r="I3165" s="258" t="s">
        <v>9445</v>
      </c>
      <c r="J3165" s="259" t="s">
        <v>1149</v>
      </c>
      <c r="K3165" s="260" t="s">
        <v>9781</v>
      </c>
      <c r="L3165" s="442"/>
      <c r="M3165" s="426"/>
      <c r="N3165" s="173" t="s">
        <v>679</v>
      </c>
      <c r="O3165" s="173" t="s">
        <v>225</v>
      </c>
      <c r="P3165" s="262" t="str">
        <f t="shared" si="1"/>
        <v>IN-BLR-ANANTA-FAN-113_6</v>
      </c>
      <c r="Q3165" s="173" t="s">
        <v>9788</v>
      </c>
      <c r="R3165" s="425" t="str">
        <f>IFS(C3165="","",C3165="n/a","N/A",LEN(C3165),Concatenate("{",char(34),"asset",char(34),":{",char(34),"guid",char(34),":",char(34),Q3165,char(34),",",char(34),"site",char(34),":",char(34),LOWER('2-Building'!$B$4),char(34),",",char(34),"name",char(34),":",char(34),LOWER(C3165),char(34),"}}"))</f>
        <v>{"asset":{"guid":"uuid://321708b7-5ee2-43a1-b2d8-c6429d590206","site":"in-blr-ananta","name":"fan-113"}}</v>
      </c>
      <c r="S3165" s="369" t="s">
        <v>2866</v>
      </c>
      <c r="T3165" s="427"/>
      <c r="U3165" s="427"/>
      <c r="V3165" s="428"/>
      <c r="W3165" s="429"/>
      <c r="X3165" s="430"/>
      <c r="Y3165" s="33" t="s">
        <v>8076</v>
      </c>
      <c r="Z3165" s="430"/>
      <c r="AA3165" s="430"/>
      <c r="AB3165" s="258">
        <v>10.0</v>
      </c>
      <c r="AC3165" s="430"/>
      <c r="AD3165" s="426"/>
      <c r="AE3165" s="428"/>
      <c r="AF3165" s="431"/>
      <c r="AG3165" s="432"/>
      <c r="AH3165" s="430"/>
      <c r="AI3165" s="430"/>
      <c r="AJ3165" s="430"/>
      <c r="AK3165" s="430"/>
      <c r="AL3165" s="430"/>
      <c r="AM3165" s="433"/>
      <c r="AN3165" s="430"/>
      <c r="AO3165" s="430"/>
      <c r="AP3165" s="430"/>
      <c r="AQ3165" s="430"/>
      <c r="AR3165" s="430"/>
      <c r="AS3165" s="430"/>
      <c r="AT3165" s="430"/>
      <c r="AU3165" s="426"/>
      <c r="AV3165" s="434"/>
      <c r="AW3165" s="269" t="s">
        <v>1685</v>
      </c>
      <c r="AX3165" s="269" t="s">
        <v>2869</v>
      </c>
      <c r="AY3165" s="270" t="s">
        <v>695</v>
      </c>
      <c r="AZ3165" s="435"/>
      <c r="BA3165" s="173">
        <v>10.0</v>
      </c>
      <c r="BB3165" s="434"/>
      <c r="BC3165" s="434"/>
      <c r="BD3165" s="308" t="s">
        <v>1844</v>
      </c>
      <c r="BE3165" s="436"/>
      <c r="BF3165" s="274" t="str">
        <f>IFERROR(__xludf.DUMMYFUNCTION("LOWER(Regexreplace(to_text(E3165),""[^A-Za-z0-9]"","""")&amp;""_""&amp;Regexreplace(to_text(F3165),""[^A-Za-z0-9]"",""""))"),"neptronic_evcbseries")</f>
        <v>neptronic_evcbseries</v>
      </c>
      <c r="BG3165" s="275" t="str">
        <f>IFERROR(__xludf.DUMMYFUNCTION("upper(Regexreplace(to_text(E3165),""[^A-Za-z0-9]"","""")&amp;""-""&amp;Regexreplace(to_text(F3165),""[^A-Za-z0-9]"",""""))"),"NEPTRONIC-EVCBSERIES")</f>
        <v>NEPTRONIC-EVCBSERIES</v>
      </c>
    </row>
    <row r="3166" ht="30.0" customHeight="1">
      <c r="A3166" s="425">
        <v>2690.0</v>
      </c>
      <c r="B3166" s="425" t="s">
        <v>670</v>
      </c>
      <c r="C3166" s="257" t="s">
        <v>9789</v>
      </c>
      <c r="D3166" s="173" t="s">
        <v>9790</v>
      </c>
      <c r="E3166" s="174" t="s">
        <v>2861</v>
      </c>
      <c r="F3166" s="173" t="s">
        <v>2862</v>
      </c>
      <c r="G3166" s="425" t="s">
        <v>673</v>
      </c>
      <c r="H3166" s="425" t="s">
        <v>2863</v>
      </c>
      <c r="I3166" s="258" t="s">
        <v>9445</v>
      </c>
      <c r="J3166" s="259" t="s">
        <v>1149</v>
      </c>
      <c r="K3166" s="260" t="s">
        <v>9781</v>
      </c>
      <c r="L3166" s="442"/>
      <c r="M3166" s="426"/>
      <c r="N3166" s="173" t="s">
        <v>679</v>
      </c>
      <c r="O3166" s="173" t="s">
        <v>225</v>
      </c>
      <c r="P3166" s="262" t="str">
        <f t="shared" si="1"/>
        <v>IN-BLR-ANANTA-FAN-114_6</v>
      </c>
      <c r="Q3166" s="173" t="s">
        <v>9791</v>
      </c>
      <c r="R3166" s="425" t="str">
        <f>IFS(C3166="","",C3166="n/a","N/A",LEN(C3166),Concatenate("{",char(34),"asset",char(34),":{",char(34),"guid",char(34),":",char(34),Q3166,char(34),",",char(34),"site",char(34),":",char(34),LOWER('2-Building'!$B$4),char(34),",",char(34),"name",char(34),":",char(34),LOWER(C3166),char(34),"}}"))</f>
        <v>{"asset":{"guid":"uuid://a390153b-6258-4156-abe2-8a4acaae3ea0","site":"in-blr-ananta","name":"fan-114"}}</v>
      </c>
      <c r="S3166" s="369" t="s">
        <v>2866</v>
      </c>
      <c r="T3166" s="427"/>
      <c r="U3166" s="427"/>
      <c r="V3166" s="428"/>
      <c r="W3166" s="429"/>
      <c r="X3166" s="430"/>
      <c r="Y3166" s="33" t="s">
        <v>8076</v>
      </c>
      <c r="Z3166" s="430"/>
      <c r="AA3166" s="430"/>
      <c r="AB3166" s="258">
        <v>11.0</v>
      </c>
      <c r="AC3166" s="430"/>
      <c r="AD3166" s="426"/>
      <c r="AE3166" s="428"/>
      <c r="AF3166" s="431"/>
      <c r="AG3166" s="432"/>
      <c r="AH3166" s="430"/>
      <c r="AI3166" s="430"/>
      <c r="AJ3166" s="430"/>
      <c r="AK3166" s="430"/>
      <c r="AL3166" s="430"/>
      <c r="AM3166" s="433"/>
      <c r="AN3166" s="430"/>
      <c r="AO3166" s="430"/>
      <c r="AP3166" s="430"/>
      <c r="AQ3166" s="430"/>
      <c r="AR3166" s="430"/>
      <c r="AS3166" s="430"/>
      <c r="AT3166" s="430"/>
      <c r="AU3166" s="426"/>
      <c r="AV3166" s="434"/>
      <c r="AW3166" s="269" t="s">
        <v>1685</v>
      </c>
      <c r="AX3166" s="269" t="s">
        <v>2869</v>
      </c>
      <c r="AY3166" s="270" t="s">
        <v>695</v>
      </c>
      <c r="AZ3166" s="435"/>
      <c r="BA3166" s="173">
        <v>10.0</v>
      </c>
      <c r="BB3166" s="434"/>
      <c r="BC3166" s="434"/>
      <c r="BD3166" s="308" t="s">
        <v>1844</v>
      </c>
      <c r="BE3166" s="436"/>
      <c r="BF3166" s="274" t="str">
        <f>IFERROR(__xludf.DUMMYFUNCTION("LOWER(Regexreplace(to_text(E3166),""[^A-Za-z0-9]"","""")&amp;""_""&amp;Regexreplace(to_text(F3166),""[^A-Za-z0-9]"",""""))"),"neptronic_evcbseries")</f>
        <v>neptronic_evcbseries</v>
      </c>
      <c r="BG3166" s="275" t="str">
        <f>IFERROR(__xludf.DUMMYFUNCTION("upper(Regexreplace(to_text(E3166),""[^A-Za-z0-9]"","""")&amp;""-""&amp;Regexreplace(to_text(F3166),""[^A-Za-z0-9]"",""""))"),"NEPTRONIC-EVCBSERIES")</f>
        <v>NEPTRONIC-EVCBSERIES</v>
      </c>
    </row>
    <row r="3167" ht="30.0" customHeight="1">
      <c r="A3167" s="328">
        <v>2690.0</v>
      </c>
      <c r="B3167" s="425" t="s">
        <v>670</v>
      </c>
      <c r="C3167" s="257" t="s">
        <v>9792</v>
      </c>
      <c r="D3167" s="173" t="s">
        <v>9793</v>
      </c>
      <c r="E3167" s="174" t="s">
        <v>2861</v>
      </c>
      <c r="F3167" s="173" t="s">
        <v>2862</v>
      </c>
      <c r="G3167" s="425" t="s">
        <v>673</v>
      </c>
      <c r="H3167" s="425" t="s">
        <v>2863</v>
      </c>
      <c r="I3167" s="258" t="s">
        <v>9445</v>
      </c>
      <c r="J3167" s="259" t="s">
        <v>1149</v>
      </c>
      <c r="K3167" s="260" t="s">
        <v>9781</v>
      </c>
      <c r="L3167" s="442"/>
      <c r="M3167" s="426"/>
      <c r="N3167" s="173" t="s">
        <v>679</v>
      </c>
      <c r="O3167" s="173" t="s">
        <v>225</v>
      </c>
      <c r="P3167" s="262" t="str">
        <f t="shared" si="1"/>
        <v>IN-BLR-ANANTA-FAN-115_6</v>
      </c>
      <c r="Q3167" s="173" t="s">
        <v>9794</v>
      </c>
      <c r="R3167" s="425" t="str">
        <f>IFS(C3167="","",C3167="n/a","N/A",LEN(C3167),Concatenate("{",char(34),"asset",char(34),":{",char(34),"guid",char(34),":",char(34),Q3167,char(34),",",char(34),"site",char(34),":",char(34),LOWER('2-Building'!$B$4),char(34),",",char(34),"name",char(34),":",char(34),LOWER(C3167),char(34),"}}"))</f>
        <v>{"asset":{"guid":"uuid://b8929741-8301-4abb-96a3-c5e9f7986722","site":"in-blr-ananta","name":"fan-115"}}</v>
      </c>
      <c r="S3167" s="369" t="s">
        <v>2866</v>
      </c>
      <c r="T3167" s="427"/>
      <c r="U3167" s="427"/>
      <c r="V3167" s="428"/>
      <c r="W3167" s="429"/>
      <c r="X3167" s="430"/>
      <c r="Y3167" s="33" t="s">
        <v>8076</v>
      </c>
      <c r="Z3167" s="430"/>
      <c r="AA3167" s="430"/>
      <c r="AB3167" s="258">
        <v>12.0</v>
      </c>
      <c r="AC3167" s="430"/>
      <c r="AD3167" s="426"/>
      <c r="AE3167" s="428"/>
      <c r="AF3167" s="431"/>
      <c r="AG3167" s="432"/>
      <c r="AH3167" s="430"/>
      <c r="AI3167" s="430"/>
      <c r="AJ3167" s="430"/>
      <c r="AK3167" s="430"/>
      <c r="AL3167" s="430"/>
      <c r="AM3167" s="433"/>
      <c r="AN3167" s="430"/>
      <c r="AO3167" s="430"/>
      <c r="AP3167" s="430"/>
      <c r="AQ3167" s="430"/>
      <c r="AR3167" s="430"/>
      <c r="AS3167" s="430"/>
      <c r="AT3167" s="430"/>
      <c r="AU3167" s="426"/>
      <c r="AV3167" s="434"/>
      <c r="AW3167" s="269" t="s">
        <v>1685</v>
      </c>
      <c r="AX3167" s="269" t="s">
        <v>2869</v>
      </c>
      <c r="AY3167" s="270" t="s">
        <v>695</v>
      </c>
      <c r="AZ3167" s="435"/>
      <c r="BA3167" s="173">
        <v>10.0</v>
      </c>
      <c r="BB3167" s="434"/>
      <c r="BC3167" s="434"/>
      <c r="BD3167" s="308" t="s">
        <v>1844</v>
      </c>
      <c r="BE3167" s="436"/>
      <c r="BF3167" s="274" t="str">
        <f>IFERROR(__xludf.DUMMYFUNCTION("LOWER(Regexreplace(to_text(E3167),""[^A-Za-z0-9]"","""")&amp;""_""&amp;Regexreplace(to_text(F3167),""[^A-Za-z0-9]"",""""))"),"neptronic_evcbseries")</f>
        <v>neptronic_evcbseries</v>
      </c>
      <c r="BG3167" s="275" t="str">
        <f>IFERROR(__xludf.DUMMYFUNCTION("upper(Regexreplace(to_text(E3167),""[^A-Za-z0-9]"","""")&amp;""-""&amp;Regexreplace(to_text(F3167),""[^A-Za-z0-9]"",""""))"),"NEPTRONIC-EVCBSERIES")</f>
        <v>NEPTRONIC-EVCBSERIES</v>
      </c>
    </row>
    <row r="3168" ht="30.0" customHeight="1">
      <c r="A3168" s="258">
        <v>2690.0</v>
      </c>
      <c r="B3168" s="328" t="s">
        <v>670</v>
      </c>
      <c r="C3168" s="257" t="s">
        <v>9795</v>
      </c>
      <c r="D3168" s="173" t="s">
        <v>9796</v>
      </c>
      <c r="E3168" s="174" t="s">
        <v>2861</v>
      </c>
      <c r="F3168" s="173" t="s">
        <v>2862</v>
      </c>
      <c r="G3168" s="328" t="s">
        <v>673</v>
      </c>
      <c r="H3168" s="328" t="s">
        <v>2863</v>
      </c>
      <c r="I3168" s="258" t="s">
        <v>9445</v>
      </c>
      <c r="J3168" s="259" t="s">
        <v>1149</v>
      </c>
      <c r="K3168" s="260" t="s">
        <v>9781</v>
      </c>
      <c r="L3168" s="366"/>
      <c r="M3168" s="329"/>
      <c r="N3168" s="173" t="s">
        <v>679</v>
      </c>
      <c r="O3168" s="173" t="s">
        <v>225</v>
      </c>
      <c r="P3168" s="262" t="str">
        <f t="shared" si="1"/>
        <v>IN-BLR-ANANTA-FAN-116_6</v>
      </c>
      <c r="Q3168" s="173" t="s">
        <v>9797</v>
      </c>
      <c r="R3168" s="328" t="str">
        <f>IFS(C3168="","",C3168="n/a","N/A",LEN(C3168),Concatenate("{",char(34),"asset",char(34),":{",char(34),"guid",char(34),":",char(34),Q3168,char(34),",",char(34),"site",char(34),":",char(34),LOWER('2-Building'!$B$4),char(34),",",char(34),"name",char(34),":",char(34),LOWER(C3168),char(34),"}}"))</f>
        <v>{"asset":{"guid":"uuid://888b21f1-3b31-4f78-916a-0e31e443a5a7","site":"in-blr-ananta","name":"fan-116"}}</v>
      </c>
      <c r="S3168" s="369" t="s">
        <v>2866</v>
      </c>
      <c r="T3168" s="330"/>
      <c r="U3168" s="330"/>
      <c r="V3168" s="331"/>
      <c r="W3168" s="332"/>
      <c r="X3168" s="333"/>
      <c r="Y3168" s="33" t="s">
        <v>8076</v>
      </c>
      <c r="Z3168" s="368"/>
      <c r="AA3168" s="333"/>
      <c r="AB3168" s="258">
        <v>13.0</v>
      </c>
      <c r="AC3168" s="333"/>
      <c r="AD3168" s="329"/>
      <c r="AE3168" s="331"/>
      <c r="AF3168" s="336"/>
      <c r="AG3168" s="337" t="str">
        <f>IFS(LEN(AF3168)=17,LOWER('2-Building'!$B$4 &amp; "-" &amp; C3168), AF3168="N/A", "N/A", LEN(AF3168)=0,"")</f>
        <v/>
      </c>
      <c r="AH3168" s="333"/>
      <c r="AI3168" s="333"/>
      <c r="AJ3168" s="333"/>
      <c r="AK3168" s="333"/>
      <c r="AL3168" s="333"/>
      <c r="AM3168" s="338"/>
      <c r="AN3168" s="333"/>
      <c r="AO3168" s="333"/>
      <c r="AP3168" s="333"/>
      <c r="AQ3168" s="333"/>
      <c r="AR3168" s="333"/>
      <c r="AS3168" s="333"/>
      <c r="AT3168" s="333"/>
      <c r="AU3168" s="329"/>
      <c r="AV3168" s="341"/>
      <c r="AW3168" s="269" t="s">
        <v>1685</v>
      </c>
      <c r="AX3168" s="269" t="s">
        <v>2869</v>
      </c>
      <c r="AY3168" s="270" t="s">
        <v>695</v>
      </c>
      <c r="AZ3168" s="379"/>
      <c r="BA3168" s="173">
        <v>10.0</v>
      </c>
      <c r="BB3168" s="341"/>
      <c r="BC3168" s="341"/>
      <c r="BD3168" s="308" t="s">
        <v>1844</v>
      </c>
      <c r="BE3168" s="364"/>
      <c r="BF3168" s="274" t="str">
        <f>IFERROR(__xludf.DUMMYFUNCTION("LOWER(Regexreplace(to_text(E3168),""[^A-Za-z0-9]"","""")&amp;""_""&amp;Regexreplace(to_text(F3168),""[^A-Za-z0-9]"",""""))"),"neptronic_evcbseries")</f>
        <v>neptronic_evcbseries</v>
      </c>
      <c r="BG3168" s="275" t="str">
        <f>IFERROR(__xludf.DUMMYFUNCTION("upper(Regexreplace(to_text(E3168),""[^A-Za-z0-9]"","""")&amp;""-""&amp;Regexreplace(to_text(F3168),""[^A-Za-z0-9]"",""""))"),"NEPTRONIC-EVCBSERIES")</f>
        <v>NEPTRONIC-EVCBSERIES</v>
      </c>
    </row>
    <row r="3169" ht="30.0" customHeight="1">
      <c r="A3169" s="328">
        <v>2690.0</v>
      </c>
      <c r="B3169" s="425" t="s">
        <v>670</v>
      </c>
      <c r="C3169" s="257" t="s">
        <v>9798</v>
      </c>
      <c r="D3169" s="173" t="s">
        <v>9799</v>
      </c>
      <c r="E3169" s="174" t="s">
        <v>2861</v>
      </c>
      <c r="F3169" s="173" t="s">
        <v>2862</v>
      </c>
      <c r="G3169" s="425" t="s">
        <v>673</v>
      </c>
      <c r="H3169" s="425" t="s">
        <v>2863</v>
      </c>
      <c r="I3169" s="258" t="s">
        <v>9445</v>
      </c>
      <c r="J3169" s="259" t="s">
        <v>1088</v>
      </c>
      <c r="K3169" s="260" t="s">
        <v>9800</v>
      </c>
      <c r="L3169" s="442"/>
      <c r="M3169" s="426"/>
      <c r="N3169" s="173" t="s">
        <v>679</v>
      </c>
      <c r="O3169" s="173" t="s">
        <v>225</v>
      </c>
      <c r="P3169" s="262" t="str">
        <f t="shared" si="1"/>
        <v>IN-BLR-ANANTA-FAN-117_5</v>
      </c>
      <c r="Q3169" s="173" t="s">
        <v>9801</v>
      </c>
      <c r="R3169" s="433" t="str">
        <f>IFS(C3169="","",C3169="n/a","N/A",LEN(C3169),Concatenate("{",char(34),"asset",char(34),":{",char(34),"guid",char(34),":",char(34),Q3169,char(34),",",char(34),"site",char(34),":",char(34),LOWER('2-Building'!$B$4),char(34),",",char(34),"name",char(34),":",char(34),LOWER(C3169),char(34),"}}"))</f>
        <v>{"asset":{"guid":"uuid://b3fe1d68-4a71-4695-8c7e-0a9d08fce417","site":"in-blr-ananta","name":"fan-117"}}</v>
      </c>
      <c r="S3169" s="369" t="s">
        <v>2866</v>
      </c>
      <c r="T3169" s="427"/>
      <c r="U3169" s="427"/>
      <c r="V3169" s="428"/>
      <c r="W3169" s="429"/>
      <c r="X3169" s="430"/>
      <c r="Y3169" s="33" t="s">
        <v>8076</v>
      </c>
      <c r="Z3169" s="430"/>
      <c r="AA3169" s="430"/>
      <c r="AB3169" s="258">
        <v>26.0</v>
      </c>
      <c r="AC3169" s="430"/>
      <c r="AD3169" s="426"/>
      <c r="AE3169" s="428"/>
      <c r="AF3169" s="431"/>
      <c r="AG3169" s="432" t="str">
        <f>IFS(LEN(AF3169)=17,LOWER('2-Building'!$B$4 &amp; "-" &amp; C3169), AF3169="N/A", "N/A", LEN(AF3169)=0,"")</f>
        <v/>
      </c>
      <c r="AH3169" s="430"/>
      <c r="AI3169" s="430"/>
      <c r="AJ3169" s="430"/>
      <c r="AK3169" s="430"/>
      <c r="AL3169" s="430"/>
      <c r="AM3169" s="433"/>
      <c r="AN3169" s="430"/>
      <c r="AO3169" s="430"/>
      <c r="AP3169" s="430"/>
      <c r="AQ3169" s="430"/>
      <c r="AR3169" s="430"/>
      <c r="AS3169" s="430"/>
      <c r="AT3169" s="430"/>
      <c r="AU3169" s="426"/>
      <c r="AV3169" s="434"/>
      <c r="AW3169" s="269" t="s">
        <v>1685</v>
      </c>
      <c r="AX3169" s="269" t="s">
        <v>2869</v>
      </c>
      <c r="AY3169" s="270" t="s">
        <v>695</v>
      </c>
      <c r="AZ3169" s="435"/>
      <c r="BA3169" s="173">
        <v>10.0</v>
      </c>
      <c r="BB3169" s="434"/>
      <c r="BC3169" s="434"/>
      <c r="BD3169" s="308" t="s">
        <v>1844</v>
      </c>
      <c r="BE3169" s="436"/>
      <c r="BF3169" s="274" t="str">
        <f>IFERROR(__xludf.DUMMYFUNCTION("LOWER(Regexreplace(to_text(E3169),""[^A-Za-z0-9]"","""")&amp;""_""&amp;Regexreplace(to_text(F3169),""[^A-Za-z0-9]"",""""))"),"neptronic_evcbseries")</f>
        <v>neptronic_evcbseries</v>
      </c>
      <c r="BG3169" s="275" t="str">
        <f>IFERROR(__xludf.DUMMYFUNCTION("upper(Regexreplace(to_text(E3169),""[^A-Za-z0-9]"","""")&amp;""-""&amp;Regexreplace(to_text(F3169),""[^A-Za-z0-9]"",""""))"),"NEPTRONIC-EVCBSERIES")</f>
        <v>NEPTRONIC-EVCBSERIES</v>
      </c>
    </row>
    <row r="3170" ht="30.0" customHeight="1">
      <c r="A3170" s="328">
        <v>2690.0</v>
      </c>
      <c r="B3170" s="425" t="s">
        <v>670</v>
      </c>
      <c r="C3170" s="257" t="s">
        <v>9802</v>
      </c>
      <c r="D3170" s="173" t="s">
        <v>9803</v>
      </c>
      <c r="E3170" s="174" t="s">
        <v>2861</v>
      </c>
      <c r="F3170" s="173" t="s">
        <v>2862</v>
      </c>
      <c r="G3170" s="425" t="s">
        <v>673</v>
      </c>
      <c r="H3170" s="425" t="s">
        <v>2863</v>
      </c>
      <c r="I3170" s="258" t="s">
        <v>9445</v>
      </c>
      <c r="J3170" s="259" t="s">
        <v>1088</v>
      </c>
      <c r="K3170" s="260" t="s">
        <v>9800</v>
      </c>
      <c r="L3170" s="442"/>
      <c r="M3170" s="426"/>
      <c r="N3170" s="173" t="s">
        <v>679</v>
      </c>
      <c r="O3170" s="173" t="s">
        <v>225</v>
      </c>
      <c r="P3170" s="262" t="str">
        <f t="shared" si="1"/>
        <v>IN-BLR-ANANTA-FAN-118_5</v>
      </c>
      <c r="Q3170" s="173" t="s">
        <v>9804</v>
      </c>
      <c r="R3170" s="425" t="str">
        <f>IFS(C3170="","",C3170="n/a","N/A",LEN(C3170),Concatenate("{",char(34),"asset",char(34),":{",char(34),"guid",char(34),":",char(34),Q3170,char(34),",",char(34),"site",char(34),":",char(34),LOWER('2-Building'!$B$4),char(34),",",char(34),"name",char(34),":",char(34),LOWER(C3170),char(34),"}}"))</f>
        <v>{"asset":{"guid":"uuid://07d693ee-a7fc-403d-ad42-970e8efd9e0a","site":"in-blr-ananta","name":"fan-118"}}</v>
      </c>
      <c r="S3170" s="369" t="s">
        <v>2866</v>
      </c>
      <c r="T3170" s="427"/>
      <c r="U3170" s="427"/>
      <c r="V3170" s="428"/>
      <c r="W3170" s="429"/>
      <c r="X3170" s="430"/>
      <c r="Y3170" s="33" t="s">
        <v>8076</v>
      </c>
      <c r="Z3170" s="430"/>
      <c r="AA3170" s="430"/>
      <c r="AB3170" s="258">
        <v>27.0</v>
      </c>
      <c r="AC3170" s="430"/>
      <c r="AD3170" s="426"/>
      <c r="AE3170" s="428"/>
      <c r="AF3170" s="431"/>
      <c r="AG3170" s="432" t="str">
        <f>IFS(LEN(AF3170)=17,LOWER('2-Building'!$B$4 &amp; "-" &amp; C3170), AF3170="N/A", "N/A", LEN(AF3170)=0,"")</f>
        <v/>
      </c>
      <c r="AH3170" s="430"/>
      <c r="AI3170" s="430"/>
      <c r="AJ3170" s="430"/>
      <c r="AK3170" s="430"/>
      <c r="AL3170" s="430"/>
      <c r="AM3170" s="433"/>
      <c r="AN3170" s="430"/>
      <c r="AO3170" s="430"/>
      <c r="AP3170" s="430"/>
      <c r="AQ3170" s="430"/>
      <c r="AR3170" s="430"/>
      <c r="AS3170" s="430"/>
      <c r="AT3170" s="430"/>
      <c r="AU3170" s="426"/>
      <c r="AV3170" s="434"/>
      <c r="AW3170" s="269" t="s">
        <v>1685</v>
      </c>
      <c r="AX3170" s="269" t="s">
        <v>2869</v>
      </c>
      <c r="AY3170" s="270" t="s">
        <v>695</v>
      </c>
      <c r="AZ3170" s="435"/>
      <c r="BA3170" s="173">
        <v>10.0</v>
      </c>
      <c r="BB3170" s="434"/>
      <c r="BC3170" s="434"/>
      <c r="BD3170" s="308" t="s">
        <v>1844</v>
      </c>
      <c r="BE3170" s="436"/>
      <c r="BF3170" s="274" t="str">
        <f>IFERROR(__xludf.DUMMYFUNCTION("LOWER(Regexreplace(to_text(E3170),""[^A-Za-z0-9]"","""")&amp;""_""&amp;Regexreplace(to_text(F3170),""[^A-Za-z0-9]"",""""))"),"neptronic_evcbseries")</f>
        <v>neptronic_evcbseries</v>
      </c>
      <c r="BG3170" s="275" t="str">
        <f>IFERROR(__xludf.DUMMYFUNCTION("upper(Regexreplace(to_text(E3170),""[^A-Za-z0-9]"","""")&amp;""-""&amp;Regexreplace(to_text(F3170),""[^A-Za-z0-9]"",""""))"),"NEPTRONIC-EVCBSERIES")</f>
        <v>NEPTRONIC-EVCBSERIES</v>
      </c>
    </row>
    <row r="3171" ht="30.0" customHeight="1">
      <c r="A3171" s="258">
        <v>2690.0</v>
      </c>
      <c r="B3171" s="328" t="s">
        <v>670</v>
      </c>
      <c r="C3171" s="257" t="s">
        <v>9805</v>
      </c>
      <c r="D3171" s="173" t="s">
        <v>9806</v>
      </c>
      <c r="E3171" s="174" t="s">
        <v>2861</v>
      </c>
      <c r="F3171" s="173" t="s">
        <v>2862</v>
      </c>
      <c r="G3171" s="328" t="s">
        <v>673</v>
      </c>
      <c r="H3171" s="328" t="s">
        <v>2863</v>
      </c>
      <c r="I3171" s="258" t="s">
        <v>9445</v>
      </c>
      <c r="J3171" s="259" t="s">
        <v>1088</v>
      </c>
      <c r="K3171" s="260" t="s">
        <v>9800</v>
      </c>
      <c r="L3171" s="366"/>
      <c r="M3171" s="329"/>
      <c r="N3171" s="173" t="s">
        <v>679</v>
      </c>
      <c r="O3171" s="173" t="s">
        <v>225</v>
      </c>
      <c r="P3171" s="262" t="str">
        <f t="shared" si="1"/>
        <v>IN-BLR-ANANTA-FAN-119_5</v>
      </c>
      <c r="Q3171" s="173" t="s">
        <v>9807</v>
      </c>
      <c r="R3171" s="328" t="str">
        <f>IFS(C3171="","",C3171="n/a","N/A",LEN(C3171),Concatenate("{",char(34),"asset",char(34),":{",char(34),"guid",char(34),":",char(34),Q3171,char(34),",",char(34),"site",char(34),":",char(34),LOWER('2-Building'!$B$4),char(34),",",char(34),"name",char(34),":",char(34),LOWER(C3171),char(34),"}}"))</f>
        <v>{"asset":{"guid":"uuid://866ddf9c-be5c-4962-bb60-84dbf339f755","site":"in-blr-ananta","name":"fan-119"}}</v>
      </c>
      <c r="S3171" s="369" t="s">
        <v>2866</v>
      </c>
      <c r="T3171" s="330"/>
      <c r="U3171" s="330"/>
      <c r="V3171" s="331"/>
      <c r="W3171" s="332"/>
      <c r="X3171" s="333"/>
      <c r="Y3171" s="33" t="s">
        <v>8076</v>
      </c>
      <c r="Z3171" s="368"/>
      <c r="AA3171" s="333"/>
      <c r="AB3171" s="258">
        <v>28.0</v>
      </c>
      <c r="AC3171" s="333"/>
      <c r="AD3171" s="329"/>
      <c r="AE3171" s="331"/>
      <c r="AF3171" s="336"/>
      <c r="AG3171" s="337" t="str">
        <f>IFS(LEN(AF3171)=17,LOWER('2-Building'!$B$4 &amp; "-" &amp; C3171), AF3171="N/A", "N/A", LEN(AF3171)=0,"")</f>
        <v/>
      </c>
      <c r="AH3171" s="333"/>
      <c r="AI3171" s="333"/>
      <c r="AJ3171" s="333"/>
      <c r="AK3171" s="333"/>
      <c r="AL3171" s="333"/>
      <c r="AM3171" s="338"/>
      <c r="AN3171" s="333"/>
      <c r="AO3171" s="333"/>
      <c r="AP3171" s="333"/>
      <c r="AQ3171" s="333"/>
      <c r="AR3171" s="333"/>
      <c r="AS3171" s="333"/>
      <c r="AT3171" s="333"/>
      <c r="AU3171" s="329"/>
      <c r="AV3171" s="341"/>
      <c r="AW3171" s="269" t="s">
        <v>1685</v>
      </c>
      <c r="AX3171" s="269" t="s">
        <v>2869</v>
      </c>
      <c r="AY3171" s="270" t="s">
        <v>695</v>
      </c>
      <c r="AZ3171" s="379"/>
      <c r="BA3171" s="173">
        <v>10.0</v>
      </c>
      <c r="BB3171" s="341"/>
      <c r="BC3171" s="341"/>
      <c r="BD3171" s="308" t="s">
        <v>1844</v>
      </c>
      <c r="BE3171" s="364"/>
      <c r="BF3171" s="274" t="str">
        <f>IFERROR(__xludf.DUMMYFUNCTION("LOWER(Regexreplace(to_text(E3171),""[^A-Za-z0-9]"","""")&amp;""_""&amp;Regexreplace(to_text(F3171),""[^A-Za-z0-9]"",""""))"),"neptronic_evcbseries")</f>
        <v>neptronic_evcbseries</v>
      </c>
      <c r="BG3171" s="275" t="str">
        <f>IFERROR(__xludf.DUMMYFUNCTION("upper(Regexreplace(to_text(E3171),""[^A-Za-z0-9]"","""")&amp;""-""&amp;Regexreplace(to_text(F3171),""[^A-Za-z0-9]"",""""))"),"NEPTRONIC-EVCBSERIES")</f>
        <v>NEPTRONIC-EVCBSERIES</v>
      </c>
    </row>
    <row r="3172" ht="30.0" customHeight="1">
      <c r="A3172" s="328">
        <v>2690.0</v>
      </c>
      <c r="B3172" s="425" t="s">
        <v>670</v>
      </c>
      <c r="C3172" s="257" t="s">
        <v>9808</v>
      </c>
      <c r="D3172" s="173" t="s">
        <v>9809</v>
      </c>
      <c r="E3172" s="174" t="s">
        <v>2861</v>
      </c>
      <c r="F3172" s="173" t="s">
        <v>2862</v>
      </c>
      <c r="G3172" s="425" t="s">
        <v>673</v>
      </c>
      <c r="H3172" s="425" t="s">
        <v>2863</v>
      </c>
      <c r="I3172" s="258" t="s">
        <v>9445</v>
      </c>
      <c r="J3172" s="259" t="s">
        <v>1088</v>
      </c>
      <c r="K3172" s="260" t="s">
        <v>9800</v>
      </c>
      <c r="L3172" s="442"/>
      <c r="M3172" s="426"/>
      <c r="N3172" s="173" t="s">
        <v>679</v>
      </c>
      <c r="O3172" s="173" t="s">
        <v>225</v>
      </c>
      <c r="P3172" s="262" t="str">
        <f t="shared" si="1"/>
        <v>IN-BLR-ANANTA-FAN-120_5</v>
      </c>
      <c r="Q3172" s="173" t="s">
        <v>9810</v>
      </c>
      <c r="R3172" s="433" t="str">
        <f>IFS(C3172="","",C3172="n/a","N/A",LEN(C3172),Concatenate("{",char(34),"asset",char(34),":{",char(34),"guid",char(34),":",char(34),Q3172,char(34),",",char(34),"site",char(34),":",char(34),LOWER('2-Building'!$B$4),char(34),",",char(34),"name",char(34),":",char(34),LOWER(C3172),char(34),"}}"))</f>
        <v>{"asset":{"guid":"uuid://1ca7b7e4-22a7-416f-aa30-70ee209b7062","site":"in-blr-ananta","name":"fan-120"}}</v>
      </c>
      <c r="S3172" s="369" t="s">
        <v>2866</v>
      </c>
      <c r="T3172" s="427"/>
      <c r="U3172" s="427"/>
      <c r="V3172" s="428"/>
      <c r="W3172" s="429"/>
      <c r="X3172" s="430"/>
      <c r="Y3172" s="33" t="s">
        <v>8076</v>
      </c>
      <c r="Z3172" s="430"/>
      <c r="AA3172" s="430"/>
      <c r="AB3172" s="258">
        <v>29.0</v>
      </c>
      <c r="AC3172" s="430"/>
      <c r="AD3172" s="426"/>
      <c r="AE3172" s="428"/>
      <c r="AF3172" s="431"/>
      <c r="AG3172" s="432" t="str">
        <f>IFS(LEN(AF3172)=17,LOWER('2-Building'!$B$4 &amp; "-" &amp; C3172), AF3172="N/A", "N/A", LEN(AF3172)=0,"")</f>
        <v/>
      </c>
      <c r="AH3172" s="430"/>
      <c r="AI3172" s="430"/>
      <c r="AJ3172" s="430"/>
      <c r="AK3172" s="430"/>
      <c r="AL3172" s="430"/>
      <c r="AM3172" s="433"/>
      <c r="AN3172" s="430"/>
      <c r="AO3172" s="430"/>
      <c r="AP3172" s="430"/>
      <c r="AQ3172" s="430"/>
      <c r="AR3172" s="430"/>
      <c r="AS3172" s="430"/>
      <c r="AT3172" s="430"/>
      <c r="AU3172" s="426"/>
      <c r="AV3172" s="434"/>
      <c r="AW3172" s="269" t="s">
        <v>1685</v>
      </c>
      <c r="AX3172" s="269" t="s">
        <v>2869</v>
      </c>
      <c r="AY3172" s="270" t="s">
        <v>695</v>
      </c>
      <c r="AZ3172" s="435"/>
      <c r="BA3172" s="173">
        <v>10.0</v>
      </c>
      <c r="BB3172" s="434"/>
      <c r="BC3172" s="434"/>
      <c r="BD3172" s="308" t="s">
        <v>1844</v>
      </c>
      <c r="BE3172" s="436"/>
      <c r="BF3172" s="274" t="str">
        <f>IFERROR(__xludf.DUMMYFUNCTION("LOWER(Regexreplace(to_text(E3172),""[^A-Za-z0-9]"","""")&amp;""_""&amp;Regexreplace(to_text(F3172),""[^A-Za-z0-9]"",""""))"),"neptronic_evcbseries")</f>
        <v>neptronic_evcbseries</v>
      </c>
      <c r="BG3172" s="275" t="str">
        <f>IFERROR(__xludf.DUMMYFUNCTION("upper(Regexreplace(to_text(E3172),""[^A-Za-z0-9]"","""")&amp;""-""&amp;Regexreplace(to_text(F3172),""[^A-Za-z0-9]"",""""))"),"NEPTRONIC-EVCBSERIES")</f>
        <v>NEPTRONIC-EVCBSERIES</v>
      </c>
    </row>
    <row r="3173" ht="30.0" customHeight="1">
      <c r="A3173" s="328">
        <v>2690.0</v>
      </c>
      <c r="B3173" s="425" t="s">
        <v>670</v>
      </c>
      <c r="C3173" s="257" t="s">
        <v>9811</v>
      </c>
      <c r="D3173" s="173" t="s">
        <v>9812</v>
      </c>
      <c r="E3173" s="174" t="s">
        <v>2861</v>
      </c>
      <c r="F3173" s="173" t="s">
        <v>2862</v>
      </c>
      <c r="G3173" s="425" t="s">
        <v>673</v>
      </c>
      <c r="H3173" s="425" t="s">
        <v>2863</v>
      </c>
      <c r="I3173" s="258" t="s">
        <v>9445</v>
      </c>
      <c r="J3173" s="259" t="s">
        <v>1088</v>
      </c>
      <c r="K3173" s="260" t="s">
        <v>9800</v>
      </c>
      <c r="L3173" s="442"/>
      <c r="M3173" s="426"/>
      <c r="N3173" s="173" t="s">
        <v>679</v>
      </c>
      <c r="O3173" s="173" t="s">
        <v>225</v>
      </c>
      <c r="P3173" s="262" t="str">
        <f t="shared" si="1"/>
        <v>IN-BLR-ANANTA-FAN-121_5</v>
      </c>
      <c r="Q3173" s="173" t="s">
        <v>9813</v>
      </c>
      <c r="R3173" s="425" t="str">
        <f>IFS(C3173="","",C3173="n/a","N/A",LEN(C3173),Concatenate("{",char(34),"asset",char(34),":{",char(34),"guid",char(34),":",char(34),Q3173,char(34),",",char(34),"site",char(34),":",char(34),LOWER('2-Building'!$B$4),char(34),",",char(34),"name",char(34),":",char(34),LOWER(C3173),char(34),"}}"))</f>
        <v>{"asset":{"guid":"uuid://22334eb0-369a-4208-87be-f6395aefbce4","site":"in-blr-ananta","name":"fan-121"}}</v>
      </c>
      <c r="S3173" s="369" t="s">
        <v>2866</v>
      </c>
      <c r="T3173" s="427"/>
      <c r="U3173" s="427"/>
      <c r="V3173" s="428"/>
      <c r="W3173" s="429"/>
      <c r="X3173" s="430"/>
      <c r="Y3173" s="33" t="s">
        <v>8076</v>
      </c>
      <c r="Z3173" s="430"/>
      <c r="AA3173" s="430"/>
      <c r="AB3173" s="258">
        <v>30.0</v>
      </c>
      <c r="AC3173" s="430"/>
      <c r="AD3173" s="426"/>
      <c r="AE3173" s="428"/>
      <c r="AF3173" s="431"/>
      <c r="AG3173" s="432" t="str">
        <f>IFS(LEN(AF3173)=17,LOWER('2-Building'!$B$4 &amp; "-" &amp; C3173), AF3173="N/A", "N/A", LEN(AF3173)=0,"")</f>
        <v/>
      </c>
      <c r="AH3173" s="430"/>
      <c r="AI3173" s="430"/>
      <c r="AJ3173" s="430"/>
      <c r="AK3173" s="430"/>
      <c r="AL3173" s="430"/>
      <c r="AM3173" s="433"/>
      <c r="AN3173" s="430"/>
      <c r="AO3173" s="430"/>
      <c r="AP3173" s="430"/>
      <c r="AQ3173" s="430"/>
      <c r="AR3173" s="430"/>
      <c r="AS3173" s="430"/>
      <c r="AT3173" s="430"/>
      <c r="AU3173" s="426"/>
      <c r="AV3173" s="434"/>
      <c r="AW3173" s="269" t="s">
        <v>1685</v>
      </c>
      <c r="AX3173" s="269" t="s">
        <v>2869</v>
      </c>
      <c r="AY3173" s="270" t="s">
        <v>695</v>
      </c>
      <c r="AZ3173" s="435"/>
      <c r="BA3173" s="173">
        <v>10.0</v>
      </c>
      <c r="BB3173" s="434"/>
      <c r="BC3173" s="434"/>
      <c r="BD3173" s="308" t="s">
        <v>1844</v>
      </c>
      <c r="BE3173" s="436"/>
      <c r="BF3173" s="274" t="str">
        <f>IFERROR(__xludf.DUMMYFUNCTION("LOWER(Regexreplace(to_text(E3173),""[^A-Za-z0-9]"","""")&amp;""_""&amp;Regexreplace(to_text(F3173),""[^A-Za-z0-9]"",""""))"),"neptronic_evcbseries")</f>
        <v>neptronic_evcbseries</v>
      </c>
      <c r="BG3173" s="275" t="str">
        <f>IFERROR(__xludf.DUMMYFUNCTION("upper(Regexreplace(to_text(E3173),""[^A-Za-z0-9]"","""")&amp;""-""&amp;Regexreplace(to_text(F3173),""[^A-Za-z0-9]"",""""))"),"NEPTRONIC-EVCBSERIES")</f>
        <v>NEPTRONIC-EVCBSERIES</v>
      </c>
    </row>
    <row r="3174" ht="30.0" customHeight="1">
      <c r="A3174" s="425">
        <v>2690.0</v>
      </c>
      <c r="B3174" s="425" t="s">
        <v>670</v>
      </c>
      <c r="C3174" s="257" t="s">
        <v>9814</v>
      </c>
      <c r="D3174" s="173" t="s">
        <v>9815</v>
      </c>
      <c r="E3174" s="174" t="s">
        <v>2861</v>
      </c>
      <c r="F3174" s="173" t="s">
        <v>2862</v>
      </c>
      <c r="G3174" s="425" t="s">
        <v>673</v>
      </c>
      <c r="H3174" s="425" t="s">
        <v>2863</v>
      </c>
      <c r="I3174" s="258" t="s">
        <v>9445</v>
      </c>
      <c r="J3174" s="259" t="s">
        <v>1088</v>
      </c>
      <c r="K3174" s="260" t="s">
        <v>9800</v>
      </c>
      <c r="L3174" s="442"/>
      <c r="M3174" s="426"/>
      <c r="N3174" s="173" t="s">
        <v>679</v>
      </c>
      <c r="O3174" s="173" t="s">
        <v>225</v>
      </c>
      <c r="P3174" s="262" t="str">
        <f t="shared" si="1"/>
        <v>IN-BLR-ANANTA-FAN-122_5</v>
      </c>
      <c r="Q3174" s="173" t="s">
        <v>9816</v>
      </c>
      <c r="R3174" s="425" t="str">
        <f>IFS(C3174="","",C3174="n/a","N/A",LEN(C3174),Concatenate("{",char(34),"asset",char(34),":{",char(34),"guid",char(34),":",char(34),Q3174,char(34),",",char(34),"site",char(34),":",char(34),LOWER('2-Building'!$B$4),char(34),",",char(34),"name",char(34),":",char(34),LOWER(C3174),char(34),"}}"))</f>
        <v>{"asset":{"guid":"uuid://ad6b6908-cf52-4849-90f7-3223b290e4b0","site":"in-blr-ananta","name":"fan-122"}}</v>
      </c>
      <c r="S3174" s="369" t="s">
        <v>2866</v>
      </c>
      <c r="T3174" s="427"/>
      <c r="U3174" s="427"/>
      <c r="V3174" s="428"/>
      <c r="W3174" s="429"/>
      <c r="X3174" s="430"/>
      <c r="Y3174" s="33" t="s">
        <v>8076</v>
      </c>
      <c r="Z3174" s="430"/>
      <c r="AA3174" s="430"/>
      <c r="AB3174" s="258">
        <v>31.0</v>
      </c>
      <c r="AC3174" s="430"/>
      <c r="AD3174" s="426"/>
      <c r="AE3174" s="428"/>
      <c r="AF3174" s="431"/>
      <c r="AG3174" s="432"/>
      <c r="AH3174" s="430"/>
      <c r="AI3174" s="430"/>
      <c r="AJ3174" s="430"/>
      <c r="AK3174" s="430"/>
      <c r="AL3174" s="430"/>
      <c r="AM3174" s="433"/>
      <c r="AN3174" s="430"/>
      <c r="AO3174" s="430"/>
      <c r="AP3174" s="430"/>
      <c r="AQ3174" s="430"/>
      <c r="AR3174" s="430"/>
      <c r="AS3174" s="430"/>
      <c r="AT3174" s="430"/>
      <c r="AU3174" s="426"/>
      <c r="AV3174" s="434"/>
      <c r="AW3174" s="269" t="s">
        <v>1685</v>
      </c>
      <c r="AX3174" s="269" t="s">
        <v>2869</v>
      </c>
      <c r="AY3174" s="270" t="s">
        <v>695</v>
      </c>
      <c r="AZ3174" s="435"/>
      <c r="BA3174" s="173">
        <v>10.0</v>
      </c>
      <c r="BB3174" s="434"/>
      <c r="BC3174" s="434"/>
      <c r="BD3174" s="308" t="s">
        <v>1844</v>
      </c>
      <c r="BE3174" s="436"/>
      <c r="BF3174" s="274" t="str">
        <f>IFERROR(__xludf.DUMMYFUNCTION("LOWER(Regexreplace(to_text(E3174),""[^A-Za-z0-9]"","""")&amp;""_""&amp;Regexreplace(to_text(F3174),""[^A-Za-z0-9]"",""""))"),"neptronic_evcbseries")</f>
        <v>neptronic_evcbseries</v>
      </c>
      <c r="BG3174" s="275" t="str">
        <f>IFERROR(__xludf.DUMMYFUNCTION("upper(Regexreplace(to_text(E3174),""[^A-Za-z0-9]"","""")&amp;""-""&amp;Regexreplace(to_text(F3174),""[^A-Za-z0-9]"",""""))"),"NEPTRONIC-EVCBSERIES")</f>
        <v>NEPTRONIC-EVCBSERIES</v>
      </c>
    </row>
    <row r="3175" ht="30.0" customHeight="1">
      <c r="A3175" s="328">
        <v>2690.0</v>
      </c>
      <c r="B3175" s="425" t="s">
        <v>670</v>
      </c>
      <c r="C3175" s="257" t="s">
        <v>9817</v>
      </c>
      <c r="D3175" s="173" t="s">
        <v>9818</v>
      </c>
      <c r="E3175" s="174" t="s">
        <v>2861</v>
      </c>
      <c r="F3175" s="173" t="s">
        <v>2862</v>
      </c>
      <c r="G3175" s="425" t="s">
        <v>673</v>
      </c>
      <c r="H3175" s="425" t="s">
        <v>2863</v>
      </c>
      <c r="I3175" s="258" t="s">
        <v>9445</v>
      </c>
      <c r="J3175" s="259" t="s">
        <v>1026</v>
      </c>
      <c r="K3175" s="260">
        <v>419.0</v>
      </c>
      <c r="L3175" s="442"/>
      <c r="M3175" s="426"/>
      <c r="N3175" s="173" t="s">
        <v>679</v>
      </c>
      <c r="O3175" s="173" t="s">
        <v>225</v>
      </c>
      <c r="P3175" s="262" t="str">
        <f t="shared" si="1"/>
        <v>IN-BLR-ANANTA-FAN-123_4</v>
      </c>
      <c r="Q3175" s="173" t="s">
        <v>9819</v>
      </c>
      <c r="R3175" s="425" t="str">
        <f>IFS(C3175="","",C3175="n/a","N/A",LEN(C3175),Concatenate("{",char(34),"asset",char(34),":{",char(34),"guid",char(34),":",char(34),Q3175,char(34),",",char(34),"site",char(34),":",char(34),LOWER('2-Building'!$B$4),char(34),",",char(34),"name",char(34),":",char(34),LOWER(C3175),char(34),"}}"))</f>
        <v>{"asset":{"guid":"uuid://bbf07014-060e-47e0-a683-fa81f8960b12","site":"in-blr-ananta","name":"fan-123"}}</v>
      </c>
      <c r="S3175" s="369" t="s">
        <v>2866</v>
      </c>
      <c r="T3175" s="427"/>
      <c r="U3175" s="427"/>
      <c r="V3175" s="428"/>
      <c r="W3175" s="429"/>
      <c r="X3175" s="430"/>
      <c r="Y3175" s="33" t="s">
        <v>8076</v>
      </c>
      <c r="Z3175" s="430"/>
      <c r="AA3175" s="430"/>
      <c r="AB3175" s="258">
        <v>62.0</v>
      </c>
      <c r="AC3175" s="430"/>
      <c r="AD3175" s="426"/>
      <c r="AE3175" s="428"/>
      <c r="AF3175" s="431"/>
      <c r="AG3175" s="432"/>
      <c r="AH3175" s="430"/>
      <c r="AI3175" s="430"/>
      <c r="AJ3175" s="430"/>
      <c r="AK3175" s="430"/>
      <c r="AL3175" s="430"/>
      <c r="AM3175" s="433"/>
      <c r="AN3175" s="430"/>
      <c r="AO3175" s="430"/>
      <c r="AP3175" s="430"/>
      <c r="AQ3175" s="430"/>
      <c r="AR3175" s="430"/>
      <c r="AS3175" s="430"/>
      <c r="AT3175" s="430"/>
      <c r="AU3175" s="426"/>
      <c r="AV3175" s="434"/>
      <c r="AW3175" s="269" t="s">
        <v>1685</v>
      </c>
      <c r="AX3175" s="269" t="s">
        <v>2869</v>
      </c>
      <c r="AY3175" s="270" t="s">
        <v>695</v>
      </c>
      <c r="AZ3175" s="435"/>
      <c r="BA3175" s="173">
        <v>10.0</v>
      </c>
      <c r="BB3175" s="434"/>
      <c r="BC3175" s="434"/>
      <c r="BD3175" s="308" t="s">
        <v>1844</v>
      </c>
      <c r="BE3175" s="436"/>
      <c r="BF3175" s="274" t="str">
        <f>IFERROR(__xludf.DUMMYFUNCTION("LOWER(Regexreplace(to_text(E3175),""[^A-Za-z0-9]"","""")&amp;""_""&amp;Regexreplace(to_text(F3175),""[^A-Za-z0-9]"",""""))"),"neptronic_evcbseries")</f>
        <v>neptronic_evcbseries</v>
      </c>
      <c r="BG3175" s="275" t="str">
        <f>IFERROR(__xludf.DUMMYFUNCTION("upper(Regexreplace(to_text(E3175),""[^A-Za-z0-9]"","""")&amp;""-""&amp;Regexreplace(to_text(F3175),""[^A-Za-z0-9]"",""""))"),"NEPTRONIC-EVCBSERIES")</f>
        <v>NEPTRONIC-EVCBSERIES</v>
      </c>
    </row>
    <row r="3176" ht="30.0" customHeight="1">
      <c r="A3176" s="328">
        <v>2690.0</v>
      </c>
      <c r="B3176" s="425" t="s">
        <v>670</v>
      </c>
      <c r="C3176" s="257" t="s">
        <v>9820</v>
      </c>
      <c r="D3176" s="173" t="s">
        <v>9821</v>
      </c>
      <c r="E3176" s="174" t="s">
        <v>2861</v>
      </c>
      <c r="F3176" s="173" t="s">
        <v>2862</v>
      </c>
      <c r="G3176" s="425" t="s">
        <v>673</v>
      </c>
      <c r="H3176" s="425" t="s">
        <v>2863</v>
      </c>
      <c r="I3176" s="258" t="s">
        <v>9445</v>
      </c>
      <c r="J3176" s="259" t="s">
        <v>1026</v>
      </c>
      <c r="K3176" s="260">
        <v>419.0</v>
      </c>
      <c r="L3176" s="442"/>
      <c r="M3176" s="426"/>
      <c r="N3176" s="173" t="s">
        <v>679</v>
      </c>
      <c r="O3176" s="173" t="s">
        <v>225</v>
      </c>
      <c r="P3176" s="262" t="str">
        <f t="shared" si="1"/>
        <v>IN-BLR-ANANTA-FAN-124_4</v>
      </c>
      <c r="Q3176" s="173" t="s">
        <v>9822</v>
      </c>
      <c r="R3176" s="425" t="str">
        <f>IFS(C3176="","",C3176="n/a","N/A",LEN(C3176),Concatenate("{",char(34),"asset",char(34),":{",char(34),"guid",char(34),":",char(34),Q3176,char(34),",",char(34),"site",char(34),":",char(34),LOWER('2-Building'!$B$4),char(34),",",char(34),"name",char(34),":",char(34),LOWER(C3176),char(34),"}}"))</f>
        <v>{"asset":{"guid":"uuid://99067c54-c007-4682-a5a7-2bb307918cd3","site":"in-blr-ananta","name":"fan-124"}}</v>
      </c>
      <c r="S3176" s="369" t="s">
        <v>2866</v>
      </c>
      <c r="T3176" s="427"/>
      <c r="U3176" s="427"/>
      <c r="V3176" s="428"/>
      <c r="W3176" s="429"/>
      <c r="X3176" s="430"/>
      <c r="Y3176" s="33" t="s">
        <v>8076</v>
      </c>
      <c r="Z3176" s="430"/>
      <c r="AA3176" s="430"/>
      <c r="AB3176" s="258">
        <v>63.0</v>
      </c>
      <c r="AC3176" s="430"/>
      <c r="AD3176" s="426"/>
      <c r="AE3176" s="428"/>
      <c r="AF3176" s="431"/>
      <c r="AG3176" s="432"/>
      <c r="AH3176" s="430"/>
      <c r="AI3176" s="430"/>
      <c r="AJ3176" s="430"/>
      <c r="AK3176" s="430"/>
      <c r="AL3176" s="430"/>
      <c r="AM3176" s="433"/>
      <c r="AN3176" s="430"/>
      <c r="AO3176" s="430"/>
      <c r="AP3176" s="430"/>
      <c r="AQ3176" s="430"/>
      <c r="AR3176" s="430"/>
      <c r="AS3176" s="430"/>
      <c r="AT3176" s="430"/>
      <c r="AU3176" s="426"/>
      <c r="AV3176" s="434"/>
      <c r="AW3176" s="269" t="s">
        <v>1685</v>
      </c>
      <c r="AX3176" s="269" t="s">
        <v>2869</v>
      </c>
      <c r="AY3176" s="270" t="s">
        <v>695</v>
      </c>
      <c r="AZ3176" s="435"/>
      <c r="BA3176" s="173">
        <v>10.0</v>
      </c>
      <c r="BB3176" s="434"/>
      <c r="BC3176" s="434"/>
      <c r="BD3176" s="308" t="s">
        <v>1844</v>
      </c>
      <c r="BE3176" s="436"/>
      <c r="BF3176" s="274" t="str">
        <f>IFERROR(__xludf.DUMMYFUNCTION("LOWER(Regexreplace(to_text(E3176),""[^A-Za-z0-9]"","""")&amp;""_""&amp;Regexreplace(to_text(F3176),""[^A-Za-z0-9]"",""""))"),"neptronic_evcbseries")</f>
        <v>neptronic_evcbseries</v>
      </c>
      <c r="BG3176" s="275" t="str">
        <f>IFERROR(__xludf.DUMMYFUNCTION("upper(Regexreplace(to_text(E3176),""[^A-Za-z0-9]"","""")&amp;""-""&amp;Regexreplace(to_text(F3176),""[^A-Za-z0-9]"",""""))"),"NEPTRONIC-EVCBSERIES")</f>
        <v>NEPTRONIC-EVCBSERIES</v>
      </c>
    </row>
    <row r="3177" ht="30.0" customHeight="1">
      <c r="A3177" s="425">
        <v>2690.0</v>
      </c>
      <c r="B3177" s="425" t="s">
        <v>670</v>
      </c>
      <c r="C3177" s="257" t="s">
        <v>9823</v>
      </c>
      <c r="D3177" s="173" t="s">
        <v>9824</v>
      </c>
      <c r="E3177" s="174" t="s">
        <v>9267</v>
      </c>
      <c r="F3177" s="173" t="s">
        <v>9268</v>
      </c>
      <c r="G3177" s="425" t="s">
        <v>673</v>
      </c>
      <c r="H3177" s="425" t="s">
        <v>2863</v>
      </c>
      <c r="I3177" s="258" t="s">
        <v>9445</v>
      </c>
      <c r="J3177" s="259" t="s">
        <v>1026</v>
      </c>
      <c r="K3177" s="260">
        <v>419.0</v>
      </c>
      <c r="L3177" s="442"/>
      <c r="M3177" s="426"/>
      <c r="N3177" s="173" t="s">
        <v>679</v>
      </c>
      <c r="O3177" s="173" t="s">
        <v>225</v>
      </c>
      <c r="P3177" s="262" t="str">
        <f t="shared" si="1"/>
        <v>IN-BLR-ANANTA-FAN-125_4</v>
      </c>
      <c r="Q3177" s="173" t="s">
        <v>9825</v>
      </c>
      <c r="R3177" s="433" t="str">
        <f>IFS(C3177="","",C3177="n/a","N/A",LEN(C3177),Concatenate("{",char(34),"asset",char(34),":{",char(34),"guid",char(34),":",char(34),Q3177,char(34),",",char(34),"site",char(34),":",char(34),LOWER('2-Building'!$B$4),char(34),",",char(34),"name",char(34),":",char(34),LOWER(C3177),char(34),"}}"))</f>
        <v>{"asset":{"guid":"uuid://7580e270-dab6-4cb9-b2bf-147d4f3ac6d8","site":"in-blr-ananta","name":"fan-125"}}</v>
      </c>
      <c r="S3177" s="369" t="s">
        <v>2866</v>
      </c>
      <c r="T3177" s="427"/>
      <c r="U3177" s="427"/>
      <c r="V3177" s="428"/>
      <c r="W3177" s="429"/>
      <c r="X3177" s="430"/>
      <c r="Y3177" s="33" t="s">
        <v>8076</v>
      </c>
      <c r="Z3177" s="430"/>
      <c r="AA3177" s="430"/>
      <c r="AB3177" s="258">
        <v>64.0</v>
      </c>
      <c r="AC3177" s="430"/>
      <c r="AD3177" s="426"/>
      <c r="AE3177" s="428"/>
      <c r="AF3177" s="431"/>
      <c r="AG3177" s="432" t="str">
        <f>IFS(LEN(AF3177)=17,LOWER('2-Building'!$B$4 &amp; "-" &amp; C3177), AF3177="N/A", "N/A", LEN(AF3177)=0,"")</f>
        <v/>
      </c>
      <c r="AH3177" s="430"/>
      <c r="AI3177" s="430"/>
      <c r="AJ3177" s="430"/>
      <c r="AK3177" s="430"/>
      <c r="AL3177" s="430"/>
      <c r="AM3177" s="433"/>
      <c r="AN3177" s="430"/>
      <c r="AO3177" s="430"/>
      <c r="AP3177" s="430"/>
      <c r="AQ3177" s="430"/>
      <c r="AR3177" s="430"/>
      <c r="AS3177" s="430"/>
      <c r="AT3177" s="430"/>
      <c r="AU3177" s="426"/>
      <c r="AV3177" s="434"/>
      <c r="AW3177" s="269" t="s">
        <v>1685</v>
      </c>
      <c r="AX3177" s="269" t="s">
        <v>2869</v>
      </c>
      <c r="AY3177" s="270" t="s">
        <v>695</v>
      </c>
      <c r="AZ3177" s="435"/>
      <c r="BA3177" s="173">
        <v>10.0</v>
      </c>
      <c r="BB3177" s="434"/>
      <c r="BC3177" s="434"/>
      <c r="BD3177" s="308" t="s">
        <v>1844</v>
      </c>
      <c r="BE3177" s="436"/>
      <c r="BF3177" s="274" t="str">
        <f>IFERROR(__xludf.DUMMYFUNCTION("LOWER(Regexreplace(to_text(E3177),""[^A-Za-z0-9]"","""")&amp;""_""&amp;Regexreplace(to_text(F3177),""[^A-Za-z0-9]"",""""))"),"nicotra_ddmp")</f>
        <v>nicotra_ddmp</v>
      </c>
      <c r="BG3177" s="275" t="str">
        <f>IFERROR(__xludf.DUMMYFUNCTION("upper(Regexreplace(to_text(E3177),""[^A-Za-z0-9]"","""")&amp;""-""&amp;Regexreplace(to_text(F3177),""[^A-Za-z0-9]"",""""))"),"NICOTRA-DDMP")</f>
        <v>NICOTRA-DDMP</v>
      </c>
    </row>
    <row r="3178" ht="30.0" customHeight="1">
      <c r="A3178" s="328">
        <v>2690.0</v>
      </c>
      <c r="B3178" s="425" t="s">
        <v>670</v>
      </c>
      <c r="C3178" s="257" t="s">
        <v>9826</v>
      </c>
      <c r="D3178" s="173" t="s">
        <v>9827</v>
      </c>
      <c r="E3178" s="174" t="s">
        <v>9267</v>
      </c>
      <c r="F3178" s="173" t="s">
        <v>9268</v>
      </c>
      <c r="G3178" s="425" t="s">
        <v>673</v>
      </c>
      <c r="H3178" s="425" t="s">
        <v>2863</v>
      </c>
      <c r="I3178" s="258" t="s">
        <v>9445</v>
      </c>
      <c r="J3178" s="259" t="s">
        <v>1026</v>
      </c>
      <c r="K3178" s="260">
        <v>419.0</v>
      </c>
      <c r="L3178" s="442"/>
      <c r="M3178" s="426"/>
      <c r="N3178" s="173" t="s">
        <v>679</v>
      </c>
      <c r="O3178" s="173" t="s">
        <v>225</v>
      </c>
      <c r="P3178" s="262" t="str">
        <f t="shared" si="1"/>
        <v>IN-BLR-ANANTA-FAN-126_4</v>
      </c>
      <c r="Q3178" s="173" t="s">
        <v>9828</v>
      </c>
      <c r="R3178" s="425" t="str">
        <f>IFS(C3178="","",C3178="n/a","N/A",LEN(C3178),Concatenate("{",char(34),"asset",char(34),":{",char(34),"guid",char(34),":",char(34),Q3178,char(34),",",char(34),"site",char(34),":",char(34),LOWER('2-Building'!$B$4),char(34),",",char(34),"name",char(34),":",char(34),LOWER(C3178),char(34),"}}"))</f>
        <v>{"asset":{"guid":"uuid://4da44ce3-8fdc-48ac-a0c7-1e69058b981a","site":"in-blr-ananta","name":"fan-126"}}</v>
      </c>
      <c r="S3178" s="369" t="s">
        <v>2866</v>
      </c>
      <c r="T3178" s="427"/>
      <c r="U3178" s="427"/>
      <c r="V3178" s="428"/>
      <c r="W3178" s="429"/>
      <c r="X3178" s="430"/>
      <c r="Y3178" s="33" t="s">
        <v>8076</v>
      </c>
      <c r="Z3178" s="430"/>
      <c r="AA3178" s="430"/>
      <c r="AB3178" s="258">
        <v>65.0</v>
      </c>
      <c r="AC3178" s="430"/>
      <c r="AD3178" s="426"/>
      <c r="AE3178" s="428"/>
      <c r="AF3178" s="431"/>
      <c r="AG3178" s="432" t="str">
        <f>IFS(LEN(AF3178)=17,LOWER('2-Building'!$B$4 &amp; "-" &amp; C3178), AF3178="N/A", "N/A", LEN(AF3178)=0,"")</f>
        <v/>
      </c>
      <c r="AH3178" s="430"/>
      <c r="AI3178" s="430"/>
      <c r="AJ3178" s="430"/>
      <c r="AK3178" s="430"/>
      <c r="AL3178" s="430"/>
      <c r="AM3178" s="433"/>
      <c r="AN3178" s="430"/>
      <c r="AO3178" s="430"/>
      <c r="AP3178" s="430"/>
      <c r="AQ3178" s="430"/>
      <c r="AR3178" s="430"/>
      <c r="AS3178" s="430"/>
      <c r="AT3178" s="430"/>
      <c r="AU3178" s="426"/>
      <c r="AV3178" s="434"/>
      <c r="AW3178" s="269" t="s">
        <v>1685</v>
      </c>
      <c r="AX3178" s="269" t="s">
        <v>2869</v>
      </c>
      <c r="AY3178" s="270" t="s">
        <v>695</v>
      </c>
      <c r="AZ3178" s="435"/>
      <c r="BA3178" s="173">
        <v>10.0</v>
      </c>
      <c r="BB3178" s="434"/>
      <c r="BC3178" s="434"/>
      <c r="BD3178" s="308" t="s">
        <v>1844</v>
      </c>
      <c r="BE3178" s="436"/>
      <c r="BF3178" s="274" t="str">
        <f>IFERROR(__xludf.DUMMYFUNCTION("LOWER(Regexreplace(to_text(E3178),""[^A-Za-z0-9]"","""")&amp;""_""&amp;Regexreplace(to_text(F3178),""[^A-Za-z0-9]"",""""))"),"nicotra_ddmp")</f>
        <v>nicotra_ddmp</v>
      </c>
      <c r="BG3178" s="275" t="str">
        <f>IFERROR(__xludf.DUMMYFUNCTION("upper(Regexreplace(to_text(E3178),""[^A-Za-z0-9]"","""")&amp;""-""&amp;Regexreplace(to_text(F3178),""[^A-Za-z0-9]"",""""))"),"NICOTRA-DDMP")</f>
        <v>NICOTRA-DDMP</v>
      </c>
    </row>
    <row r="3179" ht="30.0" customHeight="1">
      <c r="A3179" s="173">
        <v>2689.0</v>
      </c>
      <c r="B3179" s="328" t="s">
        <v>670</v>
      </c>
      <c r="C3179" s="257" t="s">
        <v>9829</v>
      </c>
      <c r="D3179" s="173" t="s">
        <v>9830</v>
      </c>
      <c r="E3179" s="174" t="s">
        <v>9267</v>
      </c>
      <c r="F3179" s="173" t="s">
        <v>9268</v>
      </c>
      <c r="G3179" s="328" t="s">
        <v>673</v>
      </c>
      <c r="H3179" s="328" t="s">
        <v>2863</v>
      </c>
      <c r="I3179" s="258" t="s">
        <v>9445</v>
      </c>
      <c r="J3179" s="259" t="s">
        <v>1026</v>
      </c>
      <c r="K3179" s="260">
        <v>419.0</v>
      </c>
      <c r="L3179" s="366"/>
      <c r="M3179" s="329"/>
      <c r="N3179" s="173" t="s">
        <v>679</v>
      </c>
      <c r="O3179" s="173" t="s">
        <v>225</v>
      </c>
      <c r="P3179" s="262" t="str">
        <f t="shared" si="1"/>
        <v>IN-BLR-ANANTA-FAN-127_4</v>
      </c>
      <c r="Q3179" s="173" t="s">
        <v>9831</v>
      </c>
      <c r="R3179" s="328" t="str">
        <f>IFS(C3179="","",C3179="n/a","N/A",LEN(C3179),Concatenate("{",char(34),"asset",char(34),":{",char(34),"guid",char(34),":",char(34),Q3179,char(34),",",char(34),"site",char(34),":",char(34),LOWER('2-Building'!$B$4),char(34),",",char(34),"name",char(34),":",char(34),LOWER(C3179),char(34),"}}"))</f>
        <v>{"asset":{"guid":"uuid://f95cb344-7a3c-4d2c-b86e-39e3eb3ea3e2","site":"in-blr-ananta","name":"fan-127"}}</v>
      </c>
      <c r="S3179" s="369" t="s">
        <v>2866</v>
      </c>
      <c r="T3179" s="330"/>
      <c r="U3179" s="330"/>
      <c r="V3179" s="331"/>
      <c r="W3179" s="332"/>
      <c r="X3179" s="333"/>
      <c r="Y3179" s="33" t="s">
        <v>8076</v>
      </c>
      <c r="Z3179" s="368"/>
      <c r="AA3179" s="333"/>
      <c r="AB3179" s="258">
        <v>66.0</v>
      </c>
      <c r="AC3179" s="333"/>
      <c r="AD3179" s="329"/>
      <c r="AE3179" s="331"/>
      <c r="AF3179" s="336"/>
      <c r="AG3179" s="337" t="str">
        <f>IFS(LEN(AF3179)=17,LOWER('2-Building'!$B$4 &amp; "-" &amp; C3179), AF3179="N/A", "N/A", LEN(AF3179)=0,"")</f>
        <v/>
      </c>
      <c r="AH3179" s="333"/>
      <c r="AI3179" s="333"/>
      <c r="AJ3179" s="333"/>
      <c r="AK3179" s="333"/>
      <c r="AL3179" s="333"/>
      <c r="AM3179" s="338"/>
      <c r="AN3179" s="333"/>
      <c r="AO3179" s="333"/>
      <c r="AP3179" s="333"/>
      <c r="AQ3179" s="333"/>
      <c r="AR3179" s="333"/>
      <c r="AS3179" s="333"/>
      <c r="AT3179" s="333"/>
      <c r="AU3179" s="329"/>
      <c r="AV3179" s="341"/>
      <c r="AW3179" s="269" t="s">
        <v>1685</v>
      </c>
      <c r="AX3179" s="269" t="s">
        <v>2869</v>
      </c>
      <c r="AY3179" s="270" t="s">
        <v>695</v>
      </c>
      <c r="AZ3179" s="379"/>
      <c r="BA3179" s="173">
        <v>10.0</v>
      </c>
      <c r="BB3179" s="341"/>
      <c r="BC3179" s="341"/>
      <c r="BD3179" s="308" t="s">
        <v>1844</v>
      </c>
      <c r="BE3179" s="364"/>
      <c r="BF3179" s="274" t="str">
        <f>IFERROR(__xludf.DUMMYFUNCTION("LOWER(Regexreplace(to_text(E3179),""[^A-Za-z0-9]"","""")&amp;""_""&amp;Regexreplace(to_text(F3179),""[^A-Za-z0-9]"",""""))"),"nicotra_ddmp")</f>
        <v>nicotra_ddmp</v>
      </c>
      <c r="BG3179" s="275" t="str">
        <f>IFERROR(__xludf.DUMMYFUNCTION("upper(Regexreplace(to_text(E3179),""[^A-Za-z0-9]"","""")&amp;""-""&amp;Regexreplace(to_text(F3179),""[^A-Za-z0-9]"",""""))"),"NICOTRA-DDMP")</f>
        <v>NICOTRA-DDMP</v>
      </c>
    </row>
    <row r="3180" ht="30.0" customHeight="1">
      <c r="A3180" s="173">
        <v>2691.0</v>
      </c>
      <c r="B3180" s="328" t="s">
        <v>670</v>
      </c>
      <c r="C3180" s="257" t="s">
        <v>9832</v>
      </c>
      <c r="D3180" s="173" t="s">
        <v>9833</v>
      </c>
      <c r="E3180" s="174" t="s">
        <v>9267</v>
      </c>
      <c r="F3180" s="173" t="s">
        <v>9268</v>
      </c>
      <c r="G3180" s="328" t="s">
        <v>673</v>
      </c>
      <c r="H3180" s="328" t="s">
        <v>2863</v>
      </c>
      <c r="I3180" s="258" t="s">
        <v>9445</v>
      </c>
      <c r="J3180" s="259" t="s">
        <v>1026</v>
      </c>
      <c r="K3180" s="260">
        <v>419.0</v>
      </c>
      <c r="L3180" s="366"/>
      <c r="M3180" s="329"/>
      <c r="N3180" s="173" t="s">
        <v>679</v>
      </c>
      <c r="O3180" s="173" t="s">
        <v>225</v>
      </c>
      <c r="P3180" s="262" t="str">
        <f t="shared" si="1"/>
        <v>IN-BLR-ANANTA-FAN-128_4</v>
      </c>
      <c r="Q3180" s="173" t="s">
        <v>9834</v>
      </c>
      <c r="R3180" s="328" t="str">
        <f>IFS(C3180="","",C3180="n/a","N/A",LEN(C3180),Concatenate("{",char(34),"asset",char(34),":{",char(34),"guid",char(34),":",char(34),Q3180,char(34),",",char(34),"site",char(34),":",char(34),LOWER('2-Building'!$B$4),char(34),",",char(34),"name",char(34),":",char(34),LOWER(C3180),char(34),"}}"))</f>
        <v>{"asset":{"guid":"uuid://cd17c207-eb86-4fb1-b41a-fa57b19b6796","site":"in-blr-ananta","name":"fan-128"}}</v>
      </c>
      <c r="S3180" s="369" t="s">
        <v>2866</v>
      </c>
      <c r="T3180" s="330"/>
      <c r="U3180" s="330"/>
      <c r="V3180" s="331"/>
      <c r="W3180" s="332"/>
      <c r="X3180" s="333"/>
      <c r="Y3180" s="33" t="s">
        <v>8076</v>
      </c>
      <c r="Z3180" s="368"/>
      <c r="AA3180" s="333"/>
      <c r="AB3180" s="258">
        <v>67.0</v>
      </c>
      <c r="AC3180" s="333"/>
      <c r="AD3180" s="329"/>
      <c r="AE3180" s="331"/>
      <c r="AF3180" s="336"/>
      <c r="AG3180" s="337" t="str">
        <f>IFS(LEN(AF3180)=17,LOWER('2-Building'!$B$4 &amp; "-" &amp; C3180), AF3180="N/A", "N/A", LEN(AF3180)=0,"")</f>
        <v/>
      </c>
      <c r="AH3180" s="333"/>
      <c r="AI3180" s="333"/>
      <c r="AJ3180" s="333"/>
      <c r="AK3180" s="333"/>
      <c r="AL3180" s="333"/>
      <c r="AM3180" s="338"/>
      <c r="AN3180" s="333"/>
      <c r="AO3180" s="333"/>
      <c r="AP3180" s="333"/>
      <c r="AQ3180" s="333"/>
      <c r="AR3180" s="333"/>
      <c r="AS3180" s="333"/>
      <c r="AT3180" s="333"/>
      <c r="AU3180" s="329"/>
      <c r="AV3180" s="341"/>
      <c r="AW3180" s="269" t="s">
        <v>1685</v>
      </c>
      <c r="AX3180" s="269" t="s">
        <v>2869</v>
      </c>
      <c r="AY3180" s="270" t="s">
        <v>695</v>
      </c>
      <c r="AZ3180" s="379"/>
      <c r="BA3180" s="173">
        <v>10.0</v>
      </c>
      <c r="BB3180" s="341"/>
      <c r="BC3180" s="341"/>
      <c r="BD3180" s="308" t="s">
        <v>1844</v>
      </c>
      <c r="BE3180" s="364"/>
      <c r="BF3180" s="274" t="str">
        <f>IFERROR(__xludf.DUMMYFUNCTION("LOWER(Regexreplace(to_text(E3180),""[^A-Za-z0-9]"","""")&amp;""_""&amp;Regexreplace(to_text(F3180),""[^A-Za-z0-9]"",""""))"),"nicotra_ddmp")</f>
        <v>nicotra_ddmp</v>
      </c>
      <c r="BG3180" s="275" t="str">
        <f>IFERROR(__xludf.DUMMYFUNCTION("upper(Regexreplace(to_text(E3180),""[^A-Za-z0-9]"","""")&amp;""-""&amp;Regexreplace(to_text(F3180),""[^A-Za-z0-9]"",""""))"),"NICOTRA-DDMP")</f>
        <v>NICOTRA-DDMP</v>
      </c>
    </row>
    <row r="3181" ht="30.0" customHeight="1">
      <c r="A3181" s="258">
        <v>2690.0</v>
      </c>
      <c r="B3181" s="328" t="s">
        <v>670</v>
      </c>
      <c r="C3181" s="257" t="s">
        <v>9835</v>
      </c>
      <c r="D3181" s="173" t="s">
        <v>9836</v>
      </c>
      <c r="E3181" s="174" t="s">
        <v>9267</v>
      </c>
      <c r="F3181" s="173" t="s">
        <v>9268</v>
      </c>
      <c r="G3181" s="328" t="s">
        <v>673</v>
      </c>
      <c r="H3181" s="328" t="s">
        <v>2863</v>
      </c>
      <c r="I3181" s="258" t="s">
        <v>9445</v>
      </c>
      <c r="J3181" s="259" t="s">
        <v>965</v>
      </c>
      <c r="K3181" s="260" t="s">
        <v>9837</v>
      </c>
      <c r="L3181" s="366"/>
      <c r="M3181" s="329"/>
      <c r="N3181" s="173" t="s">
        <v>679</v>
      </c>
      <c r="O3181" s="173" t="s">
        <v>225</v>
      </c>
      <c r="P3181" s="262" t="str">
        <f t="shared" si="1"/>
        <v>IN-BLR-ANANTA-FAN-129_3</v>
      </c>
      <c r="Q3181" s="173" t="s">
        <v>9838</v>
      </c>
      <c r="R3181" s="328" t="str">
        <f>IFS(C3181="","",C3181="n/a","N/A",LEN(C3181),Concatenate("{",char(34),"asset",char(34),":{",char(34),"guid",char(34),":",char(34),Q3181,char(34),",",char(34),"site",char(34),":",char(34),LOWER('2-Building'!$B$4),char(34),",",char(34),"name",char(34),":",char(34),LOWER(C3181),char(34),"}}"))</f>
        <v>{"asset":{"guid":"uuid://4fa2e2e7-4bab-4f0a-85f3-7fb5f846bcb3","site":"in-blr-ananta","name":"fan-129"}}</v>
      </c>
      <c r="S3181" s="369" t="s">
        <v>2866</v>
      </c>
      <c r="T3181" s="330"/>
      <c r="U3181" s="330"/>
      <c r="V3181" s="331"/>
      <c r="W3181" s="332"/>
      <c r="X3181" s="333"/>
      <c r="Y3181" s="33" t="s">
        <v>8076</v>
      </c>
      <c r="Z3181" s="368"/>
      <c r="AA3181" s="333"/>
      <c r="AB3181" s="258">
        <v>2.0</v>
      </c>
      <c r="AC3181" s="333"/>
      <c r="AD3181" s="329"/>
      <c r="AE3181" s="331"/>
      <c r="AF3181" s="336"/>
      <c r="AG3181" s="337" t="str">
        <f>IFS(LEN(AF3181)=17,LOWER('2-Building'!$B$4 &amp; "-" &amp; C3181), AF3181="N/A", "N/A", LEN(AF3181)=0,"")</f>
        <v/>
      </c>
      <c r="AH3181" s="333"/>
      <c r="AI3181" s="333"/>
      <c r="AJ3181" s="333"/>
      <c r="AK3181" s="333"/>
      <c r="AL3181" s="333"/>
      <c r="AM3181" s="338"/>
      <c r="AN3181" s="333"/>
      <c r="AO3181" s="333"/>
      <c r="AP3181" s="333"/>
      <c r="AQ3181" s="333"/>
      <c r="AR3181" s="333"/>
      <c r="AS3181" s="333"/>
      <c r="AT3181" s="333"/>
      <c r="AU3181" s="329"/>
      <c r="AV3181" s="341"/>
      <c r="AW3181" s="269" t="s">
        <v>1690</v>
      </c>
      <c r="AX3181" s="269" t="s">
        <v>2869</v>
      </c>
      <c r="AY3181" s="270" t="s">
        <v>695</v>
      </c>
      <c r="AZ3181" s="379"/>
      <c r="BA3181" s="173">
        <v>10.0</v>
      </c>
      <c r="BB3181" s="341"/>
      <c r="BC3181" s="341"/>
      <c r="BD3181" s="308" t="s">
        <v>1844</v>
      </c>
      <c r="BE3181" s="364"/>
      <c r="BF3181" s="274" t="str">
        <f>IFERROR(__xludf.DUMMYFUNCTION("LOWER(Regexreplace(to_text(E3181),""[^A-Za-z0-9]"","""")&amp;""_""&amp;Regexreplace(to_text(F3181),""[^A-Za-z0-9]"",""""))"),"nicotra_ddmp")</f>
        <v>nicotra_ddmp</v>
      </c>
      <c r="BG3181" s="275" t="str">
        <f>IFERROR(__xludf.DUMMYFUNCTION("upper(Regexreplace(to_text(E3181),""[^A-Za-z0-9]"","""")&amp;""-""&amp;Regexreplace(to_text(F3181),""[^A-Za-z0-9]"",""""))"),"NICOTRA-DDMP")</f>
        <v>NICOTRA-DDMP</v>
      </c>
    </row>
    <row r="3182" ht="30.0" customHeight="1">
      <c r="A3182" s="173">
        <v>2691.0</v>
      </c>
      <c r="B3182" s="328" t="s">
        <v>670</v>
      </c>
      <c r="C3182" s="257" t="s">
        <v>9839</v>
      </c>
      <c r="D3182" s="173" t="s">
        <v>9840</v>
      </c>
      <c r="E3182" s="174" t="s">
        <v>9267</v>
      </c>
      <c r="F3182" s="173" t="s">
        <v>9268</v>
      </c>
      <c r="G3182" s="328" t="s">
        <v>673</v>
      </c>
      <c r="H3182" s="328" t="s">
        <v>2863</v>
      </c>
      <c r="I3182" s="258" t="s">
        <v>9445</v>
      </c>
      <c r="J3182" s="259" t="s">
        <v>965</v>
      </c>
      <c r="K3182" s="260" t="s">
        <v>9837</v>
      </c>
      <c r="L3182" s="366"/>
      <c r="M3182" s="329"/>
      <c r="N3182" s="173" t="s">
        <v>679</v>
      </c>
      <c r="O3182" s="173" t="s">
        <v>225</v>
      </c>
      <c r="P3182" s="262" t="str">
        <f t="shared" si="1"/>
        <v>IN-BLR-ANANTA-FAN-130_3</v>
      </c>
      <c r="Q3182" s="173" t="s">
        <v>9841</v>
      </c>
      <c r="R3182" s="328" t="str">
        <f>IFS(C3182="","",C3182="n/a","N/A",LEN(C3182),Concatenate("{",char(34),"asset",char(34),":{",char(34),"guid",char(34),":",char(34),Q3182,char(34),",",char(34),"site",char(34),":",char(34),LOWER('2-Building'!$B$4),char(34),",",char(34),"name",char(34),":",char(34),LOWER(C3182),char(34),"}}"))</f>
        <v>{"asset":{"guid":"uuid://922dc178-835f-4ad9-92c6-930f2b6e67c6","site":"in-blr-ananta","name":"fan-130"}}</v>
      </c>
      <c r="S3182" s="369" t="s">
        <v>2866</v>
      </c>
      <c r="T3182" s="330"/>
      <c r="U3182" s="330"/>
      <c r="V3182" s="331"/>
      <c r="W3182" s="332"/>
      <c r="X3182" s="333"/>
      <c r="Y3182" s="33" t="s">
        <v>8076</v>
      </c>
      <c r="Z3182" s="368"/>
      <c r="AA3182" s="333"/>
      <c r="AB3182" s="258">
        <v>3.0</v>
      </c>
      <c r="AC3182" s="333"/>
      <c r="AD3182" s="329"/>
      <c r="AE3182" s="331"/>
      <c r="AF3182" s="336"/>
      <c r="AG3182" s="337" t="str">
        <f>IFS(LEN(AF3182)=17,LOWER('2-Building'!$B$4 &amp; "-" &amp; C3182), AF3182="N/A", "N/A", LEN(AF3182)=0,"")</f>
        <v/>
      </c>
      <c r="AH3182" s="333"/>
      <c r="AI3182" s="333"/>
      <c r="AJ3182" s="333"/>
      <c r="AK3182" s="333"/>
      <c r="AL3182" s="333"/>
      <c r="AM3182" s="338"/>
      <c r="AN3182" s="333"/>
      <c r="AO3182" s="333"/>
      <c r="AP3182" s="333"/>
      <c r="AQ3182" s="333"/>
      <c r="AR3182" s="333"/>
      <c r="AS3182" s="333"/>
      <c r="AT3182" s="333"/>
      <c r="AU3182" s="329"/>
      <c r="AV3182" s="341"/>
      <c r="AW3182" s="269" t="s">
        <v>1690</v>
      </c>
      <c r="AX3182" s="269" t="s">
        <v>2869</v>
      </c>
      <c r="AY3182" s="270" t="s">
        <v>695</v>
      </c>
      <c r="AZ3182" s="379"/>
      <c r="BA3182" s="173">
        <v>10.0</v>
      </c>
      <c r="BB3182" s="341"/>
      <c r="BC3182" s="341"/>
      <c r="BD3182" s="308" t="s">
        <v>1844</v>
      </c>
      <c r="BE3182" s="364"/>
      <c r="BF3182" s="274" t="str">
        <f>IFERROR(__xludf.DUMMYFUNCTION("LOWER(Regexreplace(to_text(E3182),""[^A-Za-z0-9]"","""")&amp;""_""&amp;Regexreplace(to_text(F3182),""[^A-Za-z0-9]"",""""))"),"nicotra_ddmp")</f>
        <v>nicotra_ddmp</v>
      </c>
      <c r="BG3182" s="275" t="str">
        <f>IFERROR(__xludf.DUMMYFUNCTION("upper(Regexreplace(to_text(E3182),""[^A-Za-z0-9]"","""")&amp;""-""&amp;Regexreplace(to_text(F3182),""[^A-Za-z0-9]"",""""))"),"NICOTRA-DDMP")</f>
        <v>NICOTRA-DDMP</v>
      </c>
    </row>
    <row r="3183" ht="30.0" customHeight="1">
      <c r="A3183" s="258">
        <v>2690.0</v>
      </c>
      <c r="B3183" s="328" t="s">
        <v>670</v>
      </c>
      <c r="C3183" s="257" t="s">
        <v>9842</v>
      </c>
      <c r="D3183" s="173" t="s">
        <v>9843</v>
      </c>
      <c r="E3183" s="174" t="s">
        <v>9267</v>
      </c>
      <c r="F3183" s="173" t="s">
        <v>9268</v>
      </c>
      <c r="G3183" s="328" t="s">
        <v>673</v>
      </c>
      <c r="H3183" s="328" t="s">
        <v>2863</v>
      </c>
      <c r="I3183" s="258" t="s">
        <v>9445</v>
      </c>
      <c r="J3183" s="259" t="s">
        <v>965</v>
      </c>
      <c r="K3183" s="260" t="s">
        <v>9837</v>
      </c>
      <c r="L3183" s="366"/>
      <c r="M3183" s="329"/>
      <c r="N3183" s="173" t="s">
        <v>679</v>
      </c>
      <c r="O3183" s="173" t="s">
        <v>225</v>
      </c>
      <c r="P3183" s="262" t="str">
        <f t="shared" si="1"/>
        <v>IN-BLR-ANANTA-FAN-131_3</v>
      </c>
      <c r="Q3183" s="173" t="s">
        <v>9844</v>
      </c>
      <c r="R3183" s="328" t="str">
        <f>IFS(C3183="","",C3183="n/a","N/A",LEN(C3183),Concatenate("{",char(34),"asset",char(34),":{",char(34),"guid",char(34),":",char(34),Q3183,char(34),",",char(34),"site",char(34),":",char(34),LOWER('2-Building'!$B$4),char(34),",",char(34),"name",char(34),":",char(34),LOWER(C3183),char(34),"}}"))</f>
        <v>{"asset":{"guid":"uuid://89f95b60-a552-45db-951f-ec90db8e157e","site":"in-blr-ananta","name":"fan-131"}}</v>
      </c>
      <c r="S3183" s="369" t="s">
        <v>2866</v>
      </c>
      <c r="T3183" s="330"/>
      <c r="U3183" s="330"/>
      <c r="V3183" s="331"/>
      <c r="W3183" s="332"/>
      <c r="X3183" s="333"/>
      <c r="Y3183" s="33" t="s">
        <v>8076</v>
      </c>
      <c r="Z3183" s="368"/>
      <c r="AA3183" s="333"/>
      <c r="AB3183" s="258">
        <v>4.0</v>
      </c>
      <c r="AC3183" s="333"/>
      <c r="AD3183" s="329"/>
      <c r="AE3183" s="331"/>
      <c r="AF3183" s="336"/>
      <c r="AG3183" s="337" t="str">
        <f>IFS(LEN(AF3183)=17,LOWER('2-Building'!$B$4 &amp; "-" &amp; C3183), AF3183="N/A", "N/A", LEN(AF3183)=0,"")</f>
        <v/>
      </c>
      <c r="AH3183" s="333"/>
      <c r="AI3183" s="333"/>
      <c r="AJ3183" s="333"/>
      <c r="AK3183" s="333"/>
      <c r="AL3183" s="333"/>
      <c r="AM3183" s="338"/>
      <c r="AN3183" s="333"/>
      <c r="AO3183" s="333"/>
      <c r="AP3183" s="333"/>
      <c r="AQ3183" s="333"/>
      <c r="AR3183" s="333"/>
      <c r="AS3183" s="333"/>
      <c r="AT3183" s="333"/>
      <c r="AU3183" s="329"/>
      <c r="AV3183" s="341"/>
      <c r="AW3183" s="269" t="s">
        <v>1690</v>
      </c>
      <c r="AX3183" s="269" t="s">
        <v>2869</v>
      </c>
      <c r="AY3183" s="270" t="s">
        <v>695</v>
      </c>
      <c r="AZ3183" s="379"/>
      <c r="BA3183" s="173">
        <v>10.0</v>
      </c>
      <c r="BB3183" s="341"/>
      <c r="BC3183" s="341"/>
      <c r="BD3183" s="308" t="s">
        <v>1844</v>
      </c>
      <c r="BE3183" s="364"/>
      <c r="BF3183" s="274" t="str">
        <f>IFERROR(__xludf.DUMMYFUNCTION("LOWER(Regexreplace(to_text(E3183),""[^A-Za-z0-9]"","""")&amp;""_""&amp;Regexreplace(to_text(F3183),""[^A-Za-z0-9]"",""""))"),"nicotra_ddmp")</f>
        <v>nicotra_ddmp</v>
      </c>
      <c r="BG3183" s="275" t="str">
        <f>IFERROR(__xludf.DUMMYFUNCTION("upper(Regexreplace(to_text(E3183),""[^A-Za-z0-9]"","""")&amp;""-""&amp;Regexreplace(to_text(F3183),""[^A-Za-z0-9]"",""""))"),"NICOTRA-DDMP")</f>
        <v>NICOTRA-DDMP</v>
      </c>
    </row>
    <row r="3184" ht="30.0" customHeight="1">
      <c r="A3184" s="328">
        <v>2690.0</v>
      </c>
      <c r="B3184" s="425" t="s">
        <v>670</v>
      </c>
      <c r="C3184" s="257" t="s">
        <v>9845</v>
      </c>
      <c r="D3184" s="173" t="s">
        <v>9846</v>
      </c>
      <c r="E3184" s="174" t="s">
        <v>9289</v>
      </c>
      <c r="F3184" s="173" t="s">
        <v>9709</v>
      </c>
      <c r="G3184" s="425" t="s">
        <v>673</v>
      </c>
      <c r="H3184" s="425" t="s">
        <v>2863</v>
      </c>
      <c r="I3184" s="258" t="s">
        <v>9445</v>
      </c>
      <c r="J3184" s="259" t="s">
        <v>902</v>
      </c>
      <c r="K3184" s="260" t="s">
        <v>1670</v>
      </c>
      <c r="L3184" s="442"/>
      <c r="M3184" s="426"/>
      <c r="N3184" s="173" t="s">
        <v>679</v>
      </c>
      <c r="O3184" s="173" t="s">
        <v>225</v>
      </c>
      <c r="P3184" s="262" t="str">
        <f t="shared" si="1"/>
        <v>IN-BLR-ANANTA-FAN-132_2</v>
      </c>
      <c r="Q3184" s="173" t="s">
        <v>9847</v>
      </c>
      <c r="R3184" s="328" t="str">
        <f>IFS(C3184="","",C3184="n/a","N/A",LEN(C3184),Concatenate("{",char(34),"asset",char(34),":{",char(34),"guid",char(34),":",char(34),Q3184,char(34),",",char(34),"site",char(34),":",char(34),LOWER('2-Building'!$B$4),char(34),",",char(34),"name",char(34),":",char(34),LOWER(C3184),char(34),"}}"))</f>
        <v>{"asset":{"guid":"uuid://7100b7f2-3832-40d9-ab80-9546c15d1bce","site":"in-blr-ananta","name":"fan-132"}}</v>
      </c>
      <c r="S3184" s="369" t="s">
        <v>2866</v>
      </c>
      <c r="T3184" s="427"/>
      <c r="U3184" s="427"/>
      <c r="V3184" s="428"/>
      <c r="W3184" s="429"/>
      <c r="X3184" s="430"/>
      <c r="Y3184" s="33" t="s">
        <v>8076</v>
      </c>
      <c r="Z3184" s="430"/>
      <c r="AA3184" s="430"/>
      <c r="AB3184" s="258">
        <v>222.0</v>
      </c>
      <c r="AC3184" s="430"/>
      <c r="AD3184" s="426"/>
      <c r="AE3184" s="428"/>
      <c r="AF3184" s="431"/>
      <c r="AG3184" s="432"/>
      <c r="AH3184" s="430"/>
      <c r="AI3184" s="430"/>
      <c r="AJ3184" s="430"/>
      <c r="AK3184" s="430"/>
      <c r="AL3184" s="430"/>
      <c r="AM3184" s="433"/>
      <c r="AN3184" s="430"/>
      <c r="AO3184" s="430"/>
      <c r="AP3184" s="430"/>
      <c r="AQ3184" s="430"/>
      <c r="AR3184" s="430"/>
      <c r="AS3184" s="430"/>
      <c r="AT3184" s="430"/>
      <c r="AU3184" s="426"/>
      <c r="AV3184" s="434"/>
      <c r="AW3184" s="269" t="s">
        <v>1690</v>
      </c>
      <c r="AX3184" s="269" t="s">
        <v>2869</v>
      </c>
      <c r="AY3184" s="270" t="s">
        <v>695</v>
      </c>
      <c r="AZ3184" s="435"/>
      <c r="BA3184" s="173">
        <v>10.0</v>
      </c>
      <c r="BB3184" s="434"/>
      <c r="BC3184" s="434"/>
      <c r="BD3184" s="308" t="s">
        <v>1844</v>
      </c>
      <c r="BE3184" s="436"/>
      <c r="BF3184" s="274" t="str">
        <f>IFERROR(__xludf.DUMMYFUNCTION("LOWER(Regexreplace(to_text(E3184),""[^A-Za-z0-9]"","""")&amp;""_""&amp;Regexreplace(to_text(F3184),""[^A-Za-z0-9]"",""""))"),"daikin_fxzq32bvm6")</f>
        <v>daikin_fxzq32bvm6</v>
      </c>
      <c r="BG3184" s="275" t="str">
        <f>IFERROR(__xludf.DUMMYFUNCTION("upper(Regexreplace(to_text(E3184),""[^A-Za-z0-9]"","""")&amp;""-""&amp;Regexreplace(to_text(F3184),""[^A-Za-z0-9]"",""""))"),"DAIKIN-FXZQ32BVM6")</f>
        <v>DAIKIN-FXZQ32BVM6</v>
      </c>
    </row>
    <row r="3185" ht="30.0" customHeight="1">
      <c r="A3185" s="425">
        <v>2690.0</v>
      </c>
      <c r="B3185" s="425" t="s">
        <v>670</v>
      </c>
      <c r="C3185" s="257" t="s">
        <v>9848</v>
      </c>
      <c r="D3185" s="173" t="s">
        <v>9849</v>
      </c>
      <c r="E3185" s="174" t="s">
        <v>9289</v>
      </c>
      <c r="F3185" s="173" t="s">
        <v>9709</v>
      </c>
      <c r="G3185" s="425" t="s">
        <v>673</v>
      </c>
      <c r="H3185" s="425" t="s">
        <v>2863</v>
      </c>
      <c r="I3185" s="258" t="s">
        <v>9445</v>
      </c>
      <c r="J3185" s="259" t="s">
        <v>902</v>
      </c>
      <c r="K3185" s="260" t="s">
        <v>1670</v>
      </c>
      <c r="L3185" s="442"/>
      <c r="M3185" s="426"/>
      <c r="N3185" s="173" t="s">
        <v>679</v>
      </c>
      <c r="O3185" s="173" t="s">
        <v>225</v>
      </c>
      <c r="P3185" s="262" t="str">
        <f t="shared" si="1"/>
        <v>IN-BLR-ANANTA-FAN-133_2</v>
      </c>
      <c r="Q3185" s="173" t="s">
        <v>9850</v>
      </c>
      <c r="R3185" s="433" t="str">
        <f>IFS(C3185="","",C3185="n/a","N/A",LEN(C3185),Concatenate("{",char(34),"asset",char(34),":{",char(34),"guid",char(34),":",char(34),Q3185,char(34),",",char(34),"site",char(34),":",char(34),LOWER('2-Building'!$B$4),char(34),",",char(34),"name",char(34),":",char(34),LOWER(C3185),char(34),"}}"))</f>
        <v>{"asset":{"guid":"uuid://40645af4-7a97-4fcb-9c2b-5c3516bc87c7","site":"in-blr-ananta","name":"fan-133"}}</v>
      </c>
      <c r="S3185" s="369" t="s">
        <v>2866</v>
      </c>
      <c r="T3185" s="427"/>
      <c r="U3185" s="427"/>
      <c r="V3185" s="428"/>
      <c r="W3185" s="429"/>
      <c r="X3185" s="430"/>
      <c r="Y3185" s="33" t="s">
        <v>8076</v>
      </c>
      <c r="Z3185" s="430"/>
      <c r="AA3185" s="430"/>
      <c r="AB3185" s="258">
        <v>223.0</v>
      </c>
      <c r="AC3185" s="430"/>
      <c r="AD3185" s="426"/>
      <c r="AE3185" s="428"/>
      <c r="AF3185" s="431"/>
      <c r="AG3185" s="432" t="str">
        <f>IFS(LEN(AF3185)=17,LOWER('2-Building'!$B$4 &amp; "-" &amp; C3185), AF3185="N/A", "N/A", LEN(AF3185)=0,"")</f>
        <v/>
      </c>
      <c r="AH3185" s="430"/>
      <c r="AI3185" s="430"/>
      <c r="AJ3185" s="430"/>
      <c r="AK3185" s="430"/>
      <c r="AL3185" s="430"/>
      <c r="AM3185" s="433"/>
      <c r="AN3185" s="430"/>
      <c r="AO3185" s="430"/>
      <c r="AP3185" s="430"/>
      <c r="AQ3185" s="430"/>
      <c r="AR3185" s="430"/>
      <c r="AS3185" s="430"/>
      <c r="AT3185" s="430"/>
      <c r="AU3185" s="426"/>
      <c r="AV3185" s="434"/>
      <c r="AW3185" s="269" t="s">
        <v>1690</v>
      </c>
      <c r="AX3185" s="269" t="s">
        <v>2869</v>
      </c>
      <c r="AY3185" s="270" t="s">
        <v>695</v>
      </c>
      <c r="AZ3185" s="435"/>
      <c r="BA3185" s="173">
        <v>10.0</v>
      </c>
      <c r="BB3185" s="434"/>
      <c r="BC3185" s="434"/>
      <c r="BD3185" s="308" t="s">
        <v>1844</v>
      </c>
      <c r="BE3185" s="436"/>
      <c r="BF3185" s="274" t="str">
        <f>IFERROR(__xludf.DUMMYFUNCTION("LOWER(Regexreplace(to_text(E3185),""[^A-Za-z0-9]"","""")&amp;""_""&amp;Regexreplace(to_text(F3185),""[^A-Za-z0-9]"",""""))"),"daikin_fxzq32bvm6")</f>
        <v>daikin_fxzq32bvm6</v>
      </c>
      <c r="BG3185" s="275" t="str">
        <f>IFERROR(__xludf.DUMMYFUNCTION("upper(Regexreplace(to_text(E3185),""[^A-Za-z0-9]"","""")&amp;""-""&amp;Regexreplace(to_text(F3185),""[^A-Za-z0-9]"",""""))"),"DAIKIN-FXZQ32BVM6")</f>
        <v>DAIKIN-FXZQ32BVM6</v>
      </c>
    </row>
    <row r="3186" ht="30.0" customHeight="1">
      <c r="A3186" s="328">
        <v>2690.0</v>
      </c>
      <c r="B3186" s="425" t="s">
        <v>670</v>
      </c>
      <c r="C3186" s="257" t="s">
        <v>9851</v>
      </c>
      <c r="D3186" s="173" t="s">
        <v>9852</v>
      </c>
      <c r="E3186" s="174" t="s">
        <v>9289</v>
      </c>
      <c r="F3186" s="173" t="s">
        <v>9709</v>
      </c>
      <c r="G3186" s="425" t="s">
        <v>673</v>
      </c>
      <c r="H3186" s="425" t="s">
        <v>2863</v>
      </c>
      <c r="I3186" s="258" t="s">
        <v>9445</v>
      </c>
      <c r="J3186" s="259" t="s">
        <v>902</v>
      </c>
      <c r="K3186" s="260" t="s">
        <v>1670</v>
      </c>
      <c r="L3186" s="442"/>
      <c r="M3186" s="426"/>
      <c r="N3186" s="173" t="s">
        <v>679</v>
      </c>
      <c r="O3186" s="173" t="s">
        <v>225</v>
      </c>
      <c r="P3186" s="262" t="str">
        <f t="shared" si="1"/>
        <v>IN-BLR-ANANTA-FAN-134_2</v>
      </c>
      <c r="Q3186" s="173" t="s">
        <v>9853</v>
      </c>
      <c r="R3186" s="425" t="str">
        <f>IFS(C3186="","",C3186="n/a","N/A",LEN(C3186),Concatenate("{",char(34),"asset",char(34),":{",char(34),"guid",char(34),":",char(34),Q3186,char(34),",",char(34),"site",char(34),":",char(34),LOWER('2-Building'!$B$4),char(34),",",char(34),"name",char(34),":",char(34),LOWER(C3186),char(34),"}}"))</f>
        <v>{"asset":{"guid":"uuid://be80dfb5-72ce-4fd5-bd0d-570369a48245","site":"in-blr-ananta","name":"fan-134"}}</v>
      </c>
      <c r="S3186" s="369" t="s">
        <v>2866</v>
      </c>
      <c r="T3186" s="427"/>
      <c r="U3186" s="427"/>
      <c r="V3186" s="428"/>
      <c r="W3186" s="429"/>
      <c r="X3186" s="430"/>
      <c r="Y3186" s="33" t="s">
        <v>8076</v>
      </c>
      <c r="Z3186" s="430"/>
      <c r="AA3186" s="430"/>
      <c r="AB3186" s="258">
        <v>224.0</v>
      </c>
      <c r="AC3186" s="430"/>
      <c r="AD3186" s="426"/>
      <c r="AE3186" s="428"/>
      <c r="AF3186" s="431"/>
      <c r="AG3186" s="432" t="str">
        <f>IFS(LEN(AF3186)=17,LOWER('2-Building'!$B$4 &amp; "-" &amp; C3186), AF3186="N/A", "N/A", LEN(AF3186)=0,"")</f>
        <v/>
      </c>
      <c r="AH3186" s="430"/>
      <c r="AI3186" s="430"/>
      <c r="AJ3186" s="430"/>
      <c r="AK3186" s="430"/>
      <c r="AL3186" s="430"/>
      <c r="AM3186" s="433"/>
      <c r="AN3186" s="430"/>
      <c r="AO3186" s="430"/>
      <c r="AP3186" s="430"/>
      <c r="AQ3186" s="430"/>
      <c r="AR3186" s="430"/>
      <c r="AS3186" s="430"/>
      <c r="AT3186" s="430"/>
      <c r="AU3186" s="426"/>
      <c r="AV3186" s="434"/>
      <c r="AW3186" s="269" t="s">
        <v>1690</v>
      </c>
      <c r="AX3186" s="269" t="s">
        <v>2869</v>
      </c>
      <c r="AY3186" s="270" t="s">
        <v>695</v>
      </c>
      <c r="AZ3186" s="435"/>
      <c r="BA3186" s="173">
        <v>10.0</v>
      </c>
      <c r="BB3186" s="434"/>
      <c r="BC3186" s="434"/>
      <c r="BD3186" s="308" t="s">
        <v>1844</v>
      </c>
      <c r="BE3186" s="436"/>
      <c r="BF3186" s="274" t="str">
        <f>IFERROR(__xludf.DUMMYFUNCTION("LOWER(Regexreplace(to_text(E3186),""[^A-Za-z0-9]"","""")&amp;""_""&amp;Regexreplace(to_text(F3186),""[^A-Za-z0-9]"",""""))"),"daikin_fxzq32bvm6")</f>
        <v>daikin_fxzq32bvm6</v>
      </c>
      <c r="BG3186" s="275" t="str">
        <f>IFERROR(__xludf.DUMMYFUNCTION("upper(Regexreplace(to_text(E3186),""[^A-Za-z0-9]"","""")&amp;""-""&amp;Regexreplace(to_text(F3186),""[^A-Za-z0-9]"",""""))"),"DAIKIN-FXZQ32BVM6")</f>
        <v>DAIKIN-FXZQ32BVM6</v>
      </c>
    </row>
    <row r="3187" ht="30.0" customHeight="1">
      <c r="A3187" s="173">
        <v>2689.0</v>
      </c>
      <c r="B3187" s="328" t="s">
        <v>670</v>
      </c>
      <c r="C3187" s="257" t="s">
        <v>9854</v>
      </c>
      <c r="D3187" s="173" t="s">
        <v>9855</v>
      </c>
      <c r="E3187" s="174" t="s">
        <v>9289</v>
      </c>
      <c r="F3187" s="173" t="s">
        <v>9709</v>
      </c>
      <c r="G3187" s="328" t="s">
        <v>673</v>
      </c>
      <c r="H3187" s="328" t="s">
        <v>2863</v>
      </c>
      <c r="I3187" s="258" t="s">
        <v>9445</v>
      </c>
      <c r="J3187" s="259" t="s">
        <v>902</v>
      </c>
      <c r="K3187" s="260" t="s">
        <v>1670</v>
      </c>
      <c r="L3187" s="366"/>
      <c r="M3187" s="329"/>
      <c r="N3187" s="173" t="s">
        <v>679</v>
      </c>
      <c r="O3187" s="173" t="s">
        <v>225</v>
      </c>
      <c r="P3187" s="262" t="str">
        <f t="shared" si="1"/>
        <v>IN-BLR-ANANTA-FAN-135_2</v>
      </c>
      <c r="Q3187" s="173" t="s">
        <v>9856</v>
      </c>
      <c r="R3187" s="328" t="str">
        <f>IFS(C3187="","",C3187="n/a","N/A",LEN(C3187),Concatenate("{",char(34),"asset",char(34),":{",char(34),"guid",char(34),":",char(34),Q3187,char(34),",",char(34),"site",char(34),":",char(34),LOWER('2-Building'!$B$4),char(34),",",char(34),"name",char(34),":",char(34),LOWER(C3187),char(34),"}}"))</f>
        <v>{"asset":{"guid":"uuid://29cb6b4e-f94b-420a-bf81-021d656550ec","site":"in-blr-ananta","name":"fan-135"}}</v>
      </c>
      <c r="S3187" s="369" t="s">
        <v>2866</v>
      </c>
      <c r="T3187" s="330"/>
      <c r="U3187" s="330"/>
      <c r="V3187" s="331"/>
      <c r="W3187" s="332"/>
      <c r="X3187" s="333"/>
      <c r="Y3187" s="33" t="s">
        <v>8076</v>
      </c>
      <c r="Z3187" s="368"/>
      <c r="AA3187" s="333"/>
      <c r="AB3187" s="258">
        <v>225.0</v>
      </c>
      <c r="AC3187" s="333"/>
      <c r="AD3187" s="329"/>
      <c r="AE3187" s="331"/>
      <c r="AF3187" s="336"/>
      <c r="AG3187" s="337" t="str">
        <f>IFS(LEN(AF3187)=17,LOWER('2-Building'!$B$4 &amp; "-" &amp; C3187), AF3187="N/A", "N/A", LEN(AF3187)=0,"")</f>
        <v/>
      </c>
      <c r="AH3187" s="333"/>
      <c r="AI3187" s="333"/>
      <c r="AJ3187" s="333"/>
      <c r="AK3187" s="333"/>
      <c r="AL3187" s="333"/>
      <c r="AM3187" s="338"/>
      <c r="AN3187" s="333"/>
      <c r="AO3187" s="333"/>
      <c r="AP3187" s="333"/>
      <c r="AQ3187" s="333"/>
      <c r="AR3187" s="333"/>
      <c r="AS3187" s="333"/>
      <c r="AT3187" s="333"/>
      <c r="AU3187" s="329"/>
      <c r="AV3187" s="341"/>
      <c r="AW3187" s="269" t="s">
        <v>1690</v>
      </c>
      <c r="AX3187" s="269" t="s">
        <v>2869</v>
      </c>
      <c r="AY3187" s="270" t="s">
        <v>695</v>
      </c>
      <c r="AZ3187" s="379"/>
      <c r="BA3187" s="173">
        <v>10.0</v>
      </c>
      <c r="BB3187" s="341"/>
      <c r="BC3187" s="341"/>
      <c r="BD3187" s="308" t="s">
        <v>1844</v>
      </c>
      <c r="BE3187" s="364"/>
      <c r="BF3187" s="274" t="str">
        <f>IFERROR(__xludf.DUMMYFUNCTION("LOWER(Regexreplace(to_text(E3187),""[^A-Za-z0-9]"","""")&amp;""_""&amp;Regexreplace(to_text(F3187),""[^A-Za-z0-9]"",""""))"),"daikin_fxzq32bvm6")</f>
        <v>daikin_fxzq32bvm6</v>
      </c>
      <c r="BG3187" s="275" t="str">
        <f>IFERROR(__xludf.DUMMYFUNCTION("upper(Regexreplace(to_text(E3187),""[^A-Za-z0-9]"","""")&amp;""-""&amp;Regexreplace(to_text(F3187),""[^A-Za-z0-9]"",""""))"),"DAIKIN-FXZQ32BVM6")</f>
        <v>DAIKIN-FXZQ32BVM6</v>
      </c>
    </row>
    <row r="3188" ht="30.0" customHeight="1">
      <c r="A3188" s="173">
        <v>2691.0</v>
      </c>
      <c r="B3188" s="328" t="s">
        <v>670</v>
      </c>
      <c r="C3188" s="257" t="s">
        <v>9857</v>
      </c>
      <c r="D3188" s="173" t="s">
        <v>9858</v>
      </c>
      <c r="E3188" s="174" t="s">
        <v>9289</v>
      </c>
      <c r="F3188" s="173" t="s">
        <v>9709</v>
      </c>
      <c r="G3188" s="328" t="s">
        <v>673</v>
      </c>
      <c r="H3188" s="328" t="s">
        <v>2863</v>
      </c>
      <c r="I3188" s="258" t="s">
        <v>9445</v>
      </c>
      <c r="J3188" s="259" t="s">
        <v>902</v>
      </c>
      <c r="K3188" s="260" t="s">
        <v>1670</v>
      </c>
      <c r="L3188" s="366"/>
      <c r="M3188" s="329"/>
      <c r="N3188" s="173" t="s">
        <v>679</v>
      </c>
      <c r="O3188" s="173" t="s">
        <v>225</v>
      </c>
      <c r="P3188" s="262" t="str">
        <f t="shared" si="1"/>
        <v>IN-BLR-ANANTA-FAN-136_2</v>
      </c>
      <c r="Q3188" s="173" t="s">
        <v>9859</v>
      </c>
      <c r="R3188" s="328" t="str">
        <f>IFS(C3188="","",C3188="n/a","N/A",LEN(C3188),Concatenate("{",char(34),"asset",char(34),":{",char(34),"guid",char(34),":",char(34),Q3188,char(34),",",char(34),"site",char(34),":",char(34),LOWER('2-Building'!$B$4),char(34),",",char(34),"name",char(34),":",char(34),LOWER(C3188),char(34),"}}"))</f>
        <v>{"asset":{"guid":"uuid://d3c63f5f-0d0a-49cd-a6ce-b62b96db7928","site":"in-blr-ananta","name":"fan-136"}}</v>
      </c>
      <c r="S3188" s="369" t="s">
        <v>2866</v>
      </c>
      <c r="T3188" s="330"/>
      <c r="U3188" s="330"/>
      <c r="V3188" s="331"/>
      <c r="W3188" s="332"/>
      <c r="X3188" s="333"/>
      <c r="Y3188" s="33" t="s">
        <v>8076</v>
      </c>
      <c r="Z3188" s="368"/>
      <c r="AA3188" s="333"/>
      <c r="AB3188" s="258">
        <v>226.0</v>
      </c>
      <c r="AC3188" s="333"/>
      <c r="AD3188" s="329"/>
      <c r="AE3188" s="331"/>
      <c r="AF3188" s="336"/>
      <c r="AG3188" s="337" t="str">
        <f>IFS(LEN(AF3188)=17,LOWER('2-Building'!$B$4 &amp; "-" &amp; C3188), AF3188="N/A", "N/A", LEN(AF3188)=0,"")</f>
        <v/>
      </c>
      <c r="AH3188" s="333"/>
      <c r="AI3188" s="333"/>
      <c r="AJ3188" s="333"/>
      <c r="AK3188" s="333"/>
      <c r="AL3188" s="333"/>
      <c r="AM3188" s="338"/>
      <c r="AN3188" s="333"/>
      <c r="AO3188" s="333"/>
      <c r="AP3188" s="333"/>
      <c r="AQ3188" s="333"/>
      <c r="AR3188" s="333"/>
      <c r="AS3188" s="333"/>
      <c r="AT3188" s="333"/>
      <c r="AU3188" s="329"/>
      <c r="AV3188" s="341"/>
      <c r="AW3188" s="269" t="s">
        <v>1690</v>
      </c>
      <c r="AX3188" s="269" t="s">
        <v>2869</v>
      </c>
      <c r="AY3188" s="270" t="s">
        <v>695</v>
      </c>
      <c r="AZ3188" s="379"/>
      <c r="BA3188" s="173">
        <v>10.0</v>
      </c>
      <c r="BB3188" s="341"/>
      <c r="BC3188" s="341"/>
      <c r="BD3188" s="308" t="s">
        <v>1844</v>
      </c>
      <c r="BE3188" s="364"/>
      <c r="BF3188" s="274" t="str">
        <f>IFERROR(__xludf.DUMMYFUNCTION("LOWER(Regexreplace(to_text(E3188),""[^A-Za-z0-9]"","""")&amp;""_""&amp;Regexreplace(to_text(F3188),""[^A-Za-z0-9]"",""""))"),"daikin_fxzq32bvm6")</f>
        <v>daikin_fxzq32bvm6</v>
      </c>
      <c r="BG3188" s="275" t="str">
        <f>IFERROR(__xludf.DUMMYFUNCTION("upper(Regexreplace(to_text(E3188),""[^A-Za-z0-9]"","""")&amp;""-""&amp;Regexreplace(to_text(F3188),""[^A-Za-z0-9]"",""""))"),"DAIKIN-FXZQ32BVM6")</f>
        <v>DAIKIN-FXZQ32BVM6</v>
      </c>
    </row>
    <row r="3189" ht="30.0" customHeight="1">
      <c r="A3189" s="258">
        <v>2690.0</v>
      </c>
      <c r="B3189" s="328" t="s">
        <v>670</v>
      </c>
      <c r="C3189" s="257" t="s">
        <v>9860</v>
      </c>
      <c r="D3189" s="173" t="s">
        <v>9861</v>
      </c>
      <c r="E3189" s="174" t="s">
        <v>9289</v>
      </c>
      <c r="F3189" s="173" t="s">
        <v>9709</v>
      </c>
      <c r="G3189" s="328" t="s">
        <v>673</v>
      </c>
      <c r="H3189" s="328" t="s">
        <v>2863</v>
      </c>
      <c r="I3189" s="258" t="s">
        <v>9445</v>
      </c>
      <c r="J3189" s="259" t="s">
        <v>902</v>
      </c>
      <c r="K3189" s="260" t="s">
        <v>1670</v>
      </c>
      <c r="L3189" s="366"/>
      <c r="M3189" s="329"/>
      <c r="N3189" s="173" t="s">
        <v>679</v>
      </c>
      <c r="O3189" s="173" t="s">
        <v>225</v>
      </c>
      <c r="P3189" s="262" t="str">
        <f t="shared" si="1"/>
        <v>IN-BLR-ANANTA-FAN-137_2</v>
      </c>
      <c r="Q3189" s="173" t="s">
        <v>9862</v>
      </c>
      <c r="R3189" s="328" t="str">
        <f>IFS(C3189="","",C3189="n/a","N/A",LEN(C3189),Concatenate("{",char(34),"asset",char(34),":{",char(34),"guid",char(34),":",char(34),Q3189,char(34),",",char(34),"site",char(34),":",char(34),LOWER('2-Building'!$B$4),char(34),",",char(34),"name",char(34),":",char(34),LOWER(C3189),char(34),"}}"))</f>
        <v>{"asset":{"guid":"uuid://039866b2-060b-4767-8c9e-d6e9d44d6d66","site":"in-blr-ananta","name":"fan-137"}}</v>
      </c>
      <c r="S3189" s="369" t="s">
        <v>2866</v>
      </c>
      <c r="T3189" s="330"/>
      <c r="U3189" s="330"/>
      <c r="V3189" s="331"/>
      <c r="W3189" s="332"/>
      <c r="X3189" s="333"/>
      <c r="Y3189" s="33" t="s">
        <v>8076</v>
      </c>
      <c r="Z3189" s="368"/>
      <c r="AA3189" s="333"/>
      <c r="AB3189" s="258">
        <v>227.0</v>
      </c>
      <c r="AC3189" s="333"/>
      <c r="AD3189" s="329"/>
      <c r="AE3189" s="331"/>
      <c r="AF3189" s="336"/>
      <c r="AG3189" s="337" t="str">
        <f>IFS(LEN(AF3189)=17,LOWER('2-Building'!$B$4 &amp; "-" &amp; C3189), AF3189="N/A", "N/A", LEN(AF3189)=0,"")</f>
        <v/>
      </c>
      <c r="AH3189" s="333"/>
      <c r="AI3189" s="333"/>
      <c r="AJ3189" s="333"/>
      <c r="AK3189" s="333"/>
      <c r="AL3189" s="333"/>
      <c r="AM3189" s="338"/>
      <c r="AN3189" s="333"/>
      <c r="AO3189" s="333"/>
      <c r="AP3189" s="333"/>
      <c r="AQ3189" s="333"/>
      <c r="AR3189" s="333"/>
      <c r="AS3189" s="333"/>
      <c r="AT3189" s="333"/>
      <c r="AU3189" s="329"/>
      <c r="AV3189" s="341"/>
      <c r="AW3189" s="269" t="s">
        <v>1690</v>
      </c>
      <c r="AX3189" s="269" t="s">
        <v>2869</v>
      </c>
      <c r="AY3189" s="270" t="s">
        <v>695</v>
      </c>
      <c r="AZ3189" s="379"/>
      <c r="BA3189" s="173">
        <v>10.0</v>
      </c>
      <c r="BB3189" s="341"/>
      <c r="BC3189" s="341"/>
      <c r="BD3189" s="308" t="s">
        <v>1844</v>
      </c>
      <c r="BE3189" s="364"/>
      <c r="BF3189" s="274" t="str">
        <f>IFERROR(__xludf.DUMMYFUNCTION("LOWER(Regexreplace(to_text(E3189),""[^A-Za-z0-9]"","""")&amp;""_""&amp;Regexreplace(to_text(F3189),""[^A-Za-z0-9]"",""""))"),"daikin_fxzq32bvm6")</f>
        <v>daikin_fxzq32bvm6</v>
      </c>
      <c r="BG3189" s="275" t="str">
        <f>IFERROR(__xludf.DUMMYFUNCTION("upper(Regexreplace(to_text(E3189),""[^A-Za-z0-9]"","""")&amp;""-""&amp;Regexreplace(to_text(F3189),""[^A-Za-z0-9]"",""""))"),"DAIKIN-FXZQ32BVM6")</f>
        <v>DAIKIN-FXZQ32BVM6</v>
      </c>
    </row>
    <row r="3190" ht="30.0" customHeight="1">
      <c r="A3190" s="173">
        <v>2691.0</v>
      </c>
      <c r="B3190" s="328" t="s">
        <v>670</v>
      </c>
      <c r="C3190" s="257" t="s">
        <v>9863</v>
      </c>
      <c r="D3190" s="173" t="s">
        <v>9864</v>
      </c>
      <c r="E3190" s="174" t="s">
        <v>9289</v>
      </c>
      <c r="F3190" s="173" t="s">
        <v>9709</v>
      </c>
      <c r="G3190" s="328" t="s">
        <v>673</v>
      </c>
      <c r="H3190" s="328" t="s">
        <v>2863</v>
      </c>
      <c r="I3190" s="258" t="s">
        <v>9445</v>
      </c>
      <c r="J3190" s="259" t="s">
        <v>902</v>
      </c>
      <c r="K3190" s="260" t="s">
        <v>1670</v>
      </c>
      <c r="L3190" s="366"/>
      <c r="M3190" s="329"/>
      <c r="N3190" s="173" t="s">
        <v>679</v>
      </c>
      <c r="O3190" s="173" t="s">
        <v>225</v>
      </c>
      <c r="P3190" s="262" t="str">
        <f t="shared" si="1"/>
        <v>IN-BLR-ANANTA-FAN-138_2</v>
      </c>
      <c r="Q3190" s="173" t="s">
        <v>9865</v>
      </c>
      <c r="R3190" s="328" t="str">
        <f>IFS(C3190="","",C3190="n/a","N/A",LEN(C3190),Concatenate("{",char(34),"asset",char(34),":{",char(34),"guid",char(34),":",char(34),Q3190,char(34),",",char(34),"site",char(34),":",char(34),LOWER('2-Building'!$B$4),char(34),",",char(34),"name",char(34),":",char(34),LOWER(C3190),char(34),"}}"))</f>
        <v>{"asset":{"guid":"uuid://56f4551a-6ebb-4830-bffa-78b2f287db8a","site":"in-blr-ananta","name":"fan-138"}}</v>
      </c>
      <c r="S3190" s="369" t="s">
        <v>2866</v>
      </c>
      <c r="T3190" s="330"/>
      <c r="U3190" s="330"/>
      <c r="V3190" s="331"/>
      <c r="W3190" s="332"/>
      <c r="X3190" s="333"/>
      <c r="Y3190" s="33" t="s">
        <v>8076</v>
      </c>
      <c r="Z3190" s="368"/>
      <c r="AA3190" s="333"/>
      <c r="AB3190" s="258">
        <v>228.0</v>
      </c>
      <c r="AC3190" s="333"/>
      <c r="AD3190" s="329"/>
      <c r="AE3190" s="331"/>
      <c r="AF3190" s="336"/>
      <c r="AG3190" s="337" t="str">
        <f>IFS(LEN(AF3190)=17,LOWER('2-Building'!$B$4 &amp; "-" &amp; C3190), AF3190="N/A", "N/A", LEN(AF3190)=0,"")</f>
        <v/>
      </c>
      <c r="AH3190" s="333"/>
      <c r="AI3190" s="333"/>
      <c r="AJ3190" s="333"/>
      <c r="AK3190" s="333"/>
      <c r="AL3190" s="333"/>
      <c r="AM3190" s="338"/>
      <c r="AN3190" s="333"/>
      <c r="AO3190" s="333"/>
      <c r="AP3190" s="333"/>
      <c r="AQ3190" s="333"/>
      <c r="AR3190" s="333"/>
      <c r="AS3190" s="333"/>
      <c r="AT3190" s="333"/>
      <c r="AU3190" s="329"/>
      <c r="AV3190" s="341"/>
      <c r="AW3190" s="269" t="s">
        <v>1690</v>
      </c>
      <c r="AX3190" s="269" t="s">
        <v>2869</v>
      </c>
      <c r="AY3190" s="270" t="s">
        <v>695</v>
      </c>
      <c r="AZ3190" s="379"/>
      <c r="BA3190" s="173">
        <v>10.0</v>
      </c>
      <c r="BB3190" s="341"/>
      <c r="BC3190" s="341"/>
      <c r="BD3190" s="308" t="s">
        <v>1844</v>
      </c>
      <c r="BE3190" s="364"/>
      <c r="BF3190" s="274" t="str">
        <f>IFERROR(__xludf.DUMMYFUNCTION("LOWER(Regexreplace(to_text(E3190),""[^A-Za-z0-9]"","""")&amp;""_""&amp;Regexreplace(to_text(F3190),""[^A-Za-z0-9]"",""""))"),"daikin_fxzq32bvm6")</f>
        <v>daikin_fxzq32bvm6</v>
      </c>
      <c r="BG3190" s="275" t="str">
        <f>IFERROR(__xludf.DUMMYFUNCTION("upper(Regexreplace(to_text(E3190),""[^A-Za-z0-9]"","""")&amp;""-""&amp;Regexreplace(to_text(F3190),""[^A-Za-z0-9]"",""""))"),"DAIKIN-FXZQ32BVM6")</f>
        <v>DAIKIN-FXZQ32BVM6</v>
      </c>
    </row>
    <row r="3191" ht="30.0" customHeight="1">
      <c r="A3191" s="258">
        <v>2690.0</v>
      </c>
      <c r="B3191" s="328" t="s">
        <v>670</v>
      </c>
      <c r="C3191" s="257" t="s">
        <v>9866</v>
      </c>
      <c r="D3191" s="173" t="s">
        <v>9867</v>
      </c>
      <c r="E3191" s="174" t="s">
        <v>9289</v>
      </c>
      <c r="F3191" s="173" t="s">
        <v>9709</v>
      </c>
      <c r="G3191" s="328" t="s">
        <v>673</v>
      </c>
      <c r="H3191" s="328" t="s">
        <v>2863</v>
      </c>
      <c r="I3191" s="258" t="s">
        <v>9445</v>
      </c>
      <c r="J3191" s="259" t="s">
        <v>902</v>
      </c>
      <c r="K3191" s="260" t="s">
        <v>1670</v>
      </c>
      <c r="L3191" s="366"/>
      <c r="M3191" s="329"/>
      <c r="N3191" s="173" t="s">
        <v>679</v>
      </c>
      <c r="O3191" s="173" t="s">
        <v>225</v>
      </c>
      <c r="P3191" s="262" t="str">
        <f t="shared" si="1"/>
        <v>IN-BLR-ANANTA-FAN-139_2</v>
      </c>
      <c r="Q3191" s="173" t="s">
        <v>9868</v>
      </c>
      <c r="R3191" s="328" t="str">
        <f>IFS(C3191="","",C3191="n/a","N/A",LEN(C3191),Concatenate("{",char(34),"asset",char(34),":{",char(34),"guid",char(34),":",char(34),Q3191,char(34),",",char(34),"site",char(34),":",char(34),LOWER('2-Building'!$B$4),char(34),",",char(34),"name",char(34),":",char(34),LOWER(C3191),char(34),"}}"))</f>
        <v>{"asset":{"guid":"uuid://d375a1a9-a867-43bf-aa84-5076d149c6e8","site":"in-blr-ananta","name":"fan-139"}}</v>
      </c>
      <c r="S3191" s="369" t="s">
        <v>2866</v>
      </c>
      <c r="T3191" s="330"/>
      <c r="U3191" s="330"/>
      <c r="V3191" s="331"/>
      <c r="W3191" s="332"/>
      <c r="X3191" s="333"/>
      <c r="Y3191" s="33" t="s">
        <v>8076</v>
      </c>
      <c r="Z3191" s="368"/>
      <c r="AA3191" s="333"/>
      <c r="AB3191" s="258">
        <v>229.0</v>
      </c>
      <c r="AC3191" s="333"/>
      <c r="AD3191" s="329"/>
      <c r="AE3191" s="331"/>
      <c r="AF3191" s="336"/>
      <c r="AG3191" s="337" t="str">
        <f>IFS(LEN(AF3191)=17,LOWER('2-Building'!$B$4 &amp; "-" &amp; C3191), AF3191="N/A", "N/A", LEN(AF3191)=0,"")</f>
        <v/>
      </c>
      <c r="AH3191" s="333"/>
      <c r="AI3191" s="333"/>
      <c r="AJ3191" s="333"/>
      <c r="AK3191" s="333"/>
      <c r="AL3191" s="333"/>
      <c r="AM3191" s="338"/>
      <c r="AN3191" s="333"/>
      <c r="AO3191" s="333"/>
      <c r="AP3191" s="333"/>
      <c r="AQ3191" s="333"/>
      <c r="AR3191" s="333"/>
      <c r="AS3191" s="333"/>
      <c r="AT3191" s="333"/>
      <c r="AU3191" s="329"/>
      <c r="AV3191" s="341"/>
      <c r="AW3191" s="269" t="s">
        <v>1690</v>
      </c>
      <c r="AX3191" s="269" t="s">
        <v>2869</v>
      </c>
      <c r="AY3191" s="270" t="s">
        <v>695</v>
      </c>
      <c r="AZ3191" s="379"/>
      <c r="BA3191" s="173">
        <v>10.0</v>
      </c>
      <c r="BB3191" s="341"/>
      <c r="BC3191" s="341"/>
      <c r="BD3191" s="308" t="s">
        <v>1844</v>
      </c>
      <c r="BE3191" s="364"/>
      <c r="BF3191" s="274" t="str">
        <f>IFERROR(__xludf.DUMMYFUNCTION("LOWER(Regexreplace(to_text(E3191),""[^A-Za-z0-9]"","""")&amp;""_""&amp;Regexreplace(to_text(F3191),""[^A-Za-z0-9]"",""""))"),"daikin_fxzq32bvm6")</f>
        <v>daikin_fxzq32bvm6</v>
      </c>
      <c r="BG3191" s="275" t="str">
        <f>IFERROR(__xludf.DUMMYFUNCTION("upper(Regexreplace(to_text(E3191),""[^A-Za-z0-9]"","""")&amp;""-""&amp;Regexreplace(to_text(F3191),""[^A-Za-z0-9]"",""""))"),"DAIKIN-FXZQ32BVM6")</f>
        <v>DAIKIN-FXZQ32BVM6</v>
      </c>
    </row>
    <row r="3192" ht="30.0" customHeight="1">
      <c r="A3192" s="173">
        <v>2691.0</v>
      </c>
      <c r="B3192" s="328" t="s">
        <v>670</v>
      </c>
      <c r="C3192" s="257" t="s">
        <v>9869</v>
      </c>
      <c r="D3192" s="173" t="s">
        <v>9870</v>
      </c>
      <c r="E3192" s="174" t="s">
        <v>9289</v>
      </c>
      <c r="F3192" s="173" t="s">
        <v>9709</v>
      </c>
      <c r="G3192" s="328" t="s">
        <v>673</v>
      </c>
      <c r="H3192" s="328" t="s">
        <v>2863</v>
      </c>
      <c r="I3192" s="258" t="s">
        <v>9445</v>
      </c>
      <c r="J3192" s="259" t="s">
        <v>965</v>
      </c>
      <c r="K3192" s="260" t="s">
        <v>9837</v>
      </c>
      <c r="L3192" s="366"/>
      <c r="M3192" s="329"/>
      <c r="N3192" s="173" t="s">
        <v>679</v>
      </c>
      <c r="O3192" s="173" t="s">
        <v>225</v>
      </c>
      <c r="P3192" s="262" t="str">
        <f t="shared" si="1"/>
        <v>IN-BLR-ANANTA-FAN-140_3</v>
      </c>
      <c r="Q3192" s="173" t="s">
        <v>9871</v>
      </c>
      <c r="R3192" s="328" t="str">
        <f>IFS(C3192="","",C3192="n/a","N/A",LEN(C3192),Concatenate("{",char(34),"asset",char(34),":{",char(34),"guid",char(34),":",char(34),Q3192,char(34),",",char(34),"site",char(34),":",char(34),LOWER('2-Building'!$B$4),char(34),",",char(34),"name",char(34),":",char(34),LOWER(C3192),char(34),"}}"))</f>
        <v>{"asset":{"guid":"uuid://268bd9df-f5f8-4ec0-8291-8c264b296bae","site":"in-blr-ananta","name":"fan-140"}}</v>
      </c>
      <c r="S3192" s="369" t="s">
        <v>2866</v>
      </c>
      <c r="T3192" s="330"/>
      <c r="U3192" s="330"/>
      <c r="V3192" s="331"/>
      <c r="W3192" s="332"/>
      <c r="X3192" s="333"/>
      <c r="Y3192" s="33" t="s">
        <v>8076</v>
      </c>
      <c r="Z3192" s="368"/>
      <c r="AA3192" s="333"/>
      <c r="AB3192" s="258">
        <v>244.0</v>
      </c>
      <c r="AC3192" s="333"/>
      <c r="AD3192" s="329"/>
      <c r="AE3192" s="331"/>
      <c r="AF3192" s="336"/>
      <c r="AG3192" s="337" t="str">
        <f>IFS(LEN(AF3192)=17,LOWER('2-Building'!$B$4 &amp; "-" &amp; C3192), AF3192="N/A", "N/A", LEN(AF3192)=0,"")</f>
        <v/>
      </c>
      <c r="AH3192" s="333"/>
      <c r="AI3192" s="333"/>
      <c r="AJ3192" s="333"/>
      <c r="AK3192" s="333"/>
      <c r="AL3192" s="333"/>
      <c r="AM3192" s="338"/>
      <c r="AN3192" s="333"/>
      <c r="AO3192" s="333"/>
      <c r="AP3192" s="333"/>
      <c r="AQ3192" s="333"/>
      <c r="AR3192" s="333"/>
      <c r="AS3192" s="333"/>
      <c r="AT3192" s="333"/>
      <c r="AU3192" s="329"/>
      <c r="AV3192" s="341"/>
      <c r="AW3192" s="269" t="s">
        <v>1690</v>
      </c>
      <c r="AX3192" s="269" t="s">
        <v>2869</v>
      </c>
      <c r="AY3192" s="270" t="s">
        <v>695</v>
      </c>
      <c r="AZ3192" s="379"/>
      <c r="BA3192" s="173">
        <v>10.0</v>
      </c>
      <c r="BB3192" s="341"/>
      <c r="BC3192" s="341"/>
      <c r="BD3192" s="308" t="s">
        <v>1844</v>
      </c>
      <c r="BE3192" s="364"/>
      <c r="BF3192" s="274" t="str">
        <f>IFERROR(__xludf.DUMMYFUNCTION("LOWER(Regexreplace(to_text(E3192),""[^A-Za-z0-9]"","""")&amp;""_""&amp;Regexreplace(to_text(F3192),""[^A-Za-z0-9]"",""""))"),"daikin_fxzq32bvm6")</f>
        <v>daikin_fxzq32bvm6</v>
      </c>
      <c r="BG3192" s="275" t="str">
        <f>IFERROR(__xludf.DUMMYFUNCTION("upper(Regexreplace(to_text(E3192),""[^A-Za-z0-9]"","""")&amp;""-""&amp;Regexreplace(to_text(F3192),""[^A-Za-z0-9]"",""""))"),"DAIKIN-FXZQ32BVM6")</f>
        <v>DAIKIN-FXZQ32BVM6</v>
      </c>
    </row>
    <row r="3193" ht="30.0" customHeight="1">
      <c r="A3193" s="258">
        <v>2690.0</v>
      </c>
      <c r="B3193" s="328" t="s">
        <v>670</v>
      </c>
      <c r="C3193" s="257" t="s">
        <v>9872</v>
      </c>
      <c r="D3193" s="173" t="s">
        <v>9873</v>
      </c>
      <c r="E3193" s="174" t="s">
        <v>9056</v>
      </c>
      <c r="F3193" s="173" t="s">
        <v>9057</v>
      </c>
      <c r="G3193" s="328" t="s">
        <v>673</v>
      </c>
      <c r="H3193" s="328" t="s">
        <v>2863</v>
      </c>
      <c r="I3193" s="258" t="s">
        <v>9445</v>
      </c>
      <c r="J3193" s="259" t="s">
        <v>965</v>
      </c>
      <c r="K3193" s="260" t="s">
        <v>9837</v>
      </c>
      <c r="L3193" s="366"/>
      <c r="M3193" s="329"/>
      <c r="N3193" s="173" t="s">
        <v>679</v>
      </c>
      <c r="O3193" s="173" t="s">
        <v>225</v>
      </c>
      <c r="P3193" s="262" t="str">
        <f t="shared" si="1"/>
        <v>IN-BLR-ANANTA-FAN-141_3</v>
      </c>
      <c r="Q3193" s="173" t="s">
        <v>9874</v>
      </c>
      <c r="R3193" s="328" t="str">
        <f>IFS(C3193="","",C3193="n/a","N/A",LEN(C3193),Concatenate("{",char(34),"asset",char(34),":{",char(34),"guid",char(34),":",char(34),Q3193,char(34),",",char(34),"site",char(34),":",char(34),LOWER('2-Building'!$B$4),char(34),",",char(34),"name",char(34),":",char(34),LOWER(C3193),char(34),"}}"))</f>
        <v>{"asset":{"guid":"uuid://c418efa2-1141-47e6-bf9e-5f6472894db6","site":"in-blr-ananta","name":"fan-141"}}</v>
      </c>
      <c r="S3193" s="369" t="s">
        <v>2866</v>
      </c>
      <c r="T3193" s="330"/>
      <c r="U3193" s="330"/>
      <c r="V3193" s="331"/>
      <c r="W3193" s="332"/>
      <c r="X3193" s="333"/>
      <c r="Y3193" s="33" t="s">
        <v>8076</v>
      </c>
      <c r="Z3193" s="368"/>
      <c r="AA3193" s="333"/>
      <c r="AB3193" s="258">
        <v>245.0</v>
      </c>
      <c r="AC3193" s="333"/>
      <c r="AD3193" s="329"/>
      <c r="AE3193" s="331"/>
      <c r="AF3193" s="336"/>
      <c r="AG3193" s="337" t="str">
        <f>IFS(LEN(AF3193)=17,LOWER('2-Building'!$B$4 &amp; "-" &amp; C3193), AF3193="N/A", "N/A", LEN(AF3193)=0,"")</f>
        <v/>
      </c>
      <c r="AH3193" s="333"/>
      <c r="AI3193" s="333"/>
      <c r="AJ3193" s="333"/>
      <c r="AK3193" s="333"/>
      <c r="AL3193" s="333"/>
      <c r="AM3193" s="338"/>
      <c r="AN3193" s="333"/>
      <c r="AO3193" s="333"/>
      <c r="AP3193" s="333"/>
      <c r="AQ3193" s="333"/>
      <c r="AR3193" s="333"/>
      <c r="AS3193" s="333"/>
      <c r="AT3193" s="333"/>
      <c r="AU3193" s="329"/>
      <c r="AV3193" s="341"/>
      <c r="AW3193" s="269" t="s">
        <v>1690</v>
      </c>
      <c r="AX3193" s="269" t="s">
        <v>2869</v>
      </c>
      <c r="AY3193" s="270" t="s">
        <v>695</v>
      </c>
      <c r="AZ3193" s="379"/>
      <c r="BA3193" s="173">
        <v>10.0</v>
      </c>
      <c r="BB3193" s="341"/>
      <c r="BC3193" s="341"/>
      <c r="BD3193" s="308" t="s">
        <v>1844</v>
      </c>
      <c r="BE3193" s="364"/>
      <c r="BF3193" s="274" t="str">
        <f>IFERROR(__xludf.DUMMYFUNCTION("LOWER(Regexreplace(to_text(E3193),""[^A-Za-z0-9]"","""")&amp;""_""&amp;Regexreplace(to_text(F3193),""[^A-Za-z0-9]"",""""))"),"eaton_93pr")</f>
        <v>eaton_93pr</v>
      </c>
      <c r="BG3193" s="275" t="str">
        <f>IFERROR(__xludf.DUMMYFUNCTION("upper(Regexreplace(to_text(E3193),""[^A-Za-z0-9]"","""")&amp;""-""&amp;Regexreplace(to_text(F3193),""[^A-Za-z0-9]"",""""))"),"EATON-93PR")</f>
        <v>EATON-93PR</v>
      </c>
    </row>
    <row r="3194" ht="30.0" customHeight="1">
      <c r="A3194" s="328">
        <v>2690.0</v>
      </c>
      <c r="B3194" s="425" t="s">
        <v>670</v>
      </c>
      <c r="C3194" s="257" t="s">
        <v>9875</v>
      </c>
      <c r="D3194" s="173" t="s">
        <v>9876</v>
      </c>
      <c r="E3194" s="174" t="s">
        <v>9056</v>
      </c>
      <c r="F3194" s="173" t="s">
        <v>9057</v>
      </c>
      <c r="G3194" s="425" t="s">
        <v>673</v>
      </c>
      <c r="H3194" s="425" t="s">
        <v>2863</v>
      </c>
      <c r="I3194" s="258" t="s">
        <v>9445</v>
      </c>
      <c r="J3194" s="259" t="s">
        <v>965</v>
      </c>
      <c r="K3194" s="260" t="s">
        <v>9837</v>
      </c>
      <c r="L3194" s="442"/>
      <c r="M3194" s="426"/>
      <c r="N3194" s="173" t="s">
        <v>679</v>
      </c>
      <c r="O3194" s="173" t="s">
        <v>225</v>
      </c>
      <c r="P3194" s="262" t="str">
        <f t="shared" si="1"/>
        <v>IN-BLR-ANANTA-FAN-142_3</v>
      </c>
      <c r="Q3194" s="173" t="s">
        <v>9877</v>
      </c>
      <c r="R3194" s="433" t="str">
        <f>IFS(C3194="","",C3194="n/a","N/A",LEN(C3194),Concatenate("{",char(34),"asset",char(34),":{",char(34),"guid",char(34),":",char(34),Q3194,char(34),",",char(34),"site",char(34),":",char(34),LOWER('2-Building'!$B$4),char(34),",",char(34),"name",char(34),":",char(34),LOWER(C3194),char(34),"}}"))</f>
        <v>{"asset":{"guid":"uuid://7869da54-e1ce-4e6c-8a7b-76730d2cc783","site":"in-blr-ananta","name":"fan-142"}}</v>
      </c>
      <c r="S3194" s="369" t="s">
        <v>2866</v>
      </c>
      <c r="T3194" s="427"/>
      <c r="U3194" s="427"/>
      <c r="V3194" s="428"/>
      <c r="W3194" s="429"/>
      <c r="X3194" s="430"/>
      <c r="Y3194" s="33" t="s">
        <v>8076</v>
      </c>
      <c r="Z3194" s="430"/>
      <c r="AA3194" s="430"/>
      <c r="AB3194" s="258">
        <v>246.0</v>
      </c>
      <c r="AC3194" s="430"/>
      <c r="AD3194" s="426"/>
      <c r="AE3194" s="428"/>
      <c r="AF3194" s="431"/>
      <c r="AG3194" s="432" t="str">
        <f>IFS(LEN(AF3194)=17,LOWER('2-Building'!$B$4 &amp; "-" &amp; C3194), AF3194="N/A", "N/A", LEN(AF3194)=0,"")</f>
        <v/>
      </c>
      <c r="AH3194" s="430"/>
      <c r="AI3194" s="430"/>
      <c r="AJ3194" s="430"/>
      <c r="AK3194" s="430"/>
      <c r="AL3194" s="430"/>
      <c r="AM3194" s="433"/>
      <c r="AN3194" s="430"/>
      <c r="AO3194" s="430"/>
      <c r="AP3194" s="430"/>
      <c r="AQ3194" s="430"/>
      <c r="AR3194" s="430"/>
      <c r="AS3194" s="430"/>
      <c r="AT3194" s="430"/>
      <c r="AU3194" s="426"/>
      <c r="AV3194" s="434"/>
      <c r="AW3194" s="269" t="s">
        <v>1690</v>
      </c>
      <c r="AX3194" s="269" t="s">
        <v>2869</v>
      </c>
      <c r="AY3194" s="270" t="s">
        <v>695</v>
      </c>
      <c r="AZ3194" s="435"/>
      <c r="BA3194" s="173">
        <v>10.0</v>
      </c>
      <c r="BB3194" s="434"/>
      <c r="BC3194" s="434"/>
      <c r="BD3194" s="308" t="s">
        <v>1844</v>
      </c>
      <c r="BE3194" s="436"/>
      <c r="BF3194" s="274" t="str">
        <f>IFERROR(__xludf.DUMMYFUNCTION("LOWER(Regexreplace(to_text(E3194),""[^A-Za-z0-9]"","""")&amp;""_""&amp;Regexreplace(to_text(F3194),""[^A-Za-z0-9]"",""""))"),"eaton_93pr")</f>
        <v>eaton_93pr</v>
      </c>
      <c r="BG3194" s="275" t="str">
        <f>IFERROR(__xludf.DUMMYFUNCTION("upper(Regexreplace(to_text(E3194),""[^A-Za-z0-9]"","""")&amp;""-""&amp;Regexreplace(to_text(F3194),""[^A-Za-z0-9]"",""""))"),"EATON-93PR")</f>
        <v>EATON-93PR</v>
      </c>
    </row>
    <row r="3195" ht="30.0" customHeight="1">
      <c r="A3195" s="328">
        <v>2690.0</v>
      </c>
      <c r="B3195" s="425" t="s">
        <v>670</v>
      </c>
      <c r="C3195" s="257" t="s">
        <v>9878</v>
      </c>
      <c r="D3195" s="173" t="s">
        <v>9879</v>
      </c>
      <c r="E3195" s="174" t="s">
        <v>9056</v>
      </c>
      <c r="F3195" s="173" t="s">
        <v>9057</v>
      </c>
      <c r="G3195" s="425" t="s">
        <v>673</v>
      </c>
      <c r="H3195" s="425" t="s">
        <v>2863</v>
      </c>
      <c r="I3195" s="258" t="s">
        <v>9445</v>
      </c>
      <c r="J3195" s="259" t="s">
        <v>1026</v>
      </c>
      <c r="K3195" s="260">
        <v>448.0</v>
      </c>
      <c r="L3195" s="442"/>
      <c r="M3195" s="426"/>
      <c r="N3195" s="173" t="s">
        <v>679</v>
      </c>
      <c r="O3195" s="173" t="s">
        <v>225</v>
      </c>
      <c r="P3195" s="262" t="str">
        <f t="shared" si="1"/>
        <v>IN-BLR-ANANTA-FAN-143_4</v>
      </c>
      <c r="Q3195" s="173" t="s">
        <v>9880</v>
      </c>
      <c r="R3195" s="425" t="str">
        <f>IFS(C3195="","",C3195="n/a","N/A",LEN(C3195),Concatenate("{",char(34),"asset",char(34),":{",char(34),"guid",char(34),":",char(34),Q3195,char(34),",",char(34),"site",char(34),":",char(34),LOWER('2-Building'!$B$4),char(34),",",char(34),"name",char(34),":",char(34),LOWER(C3195),char(34),"}}"))</f>
        <v>{"asset":{"guid":"uuid://59bbecd0-cf3f-439a-a172-7b54a9452d6f","site":"in-blr-ananta","name":"fan-143"}}</v>
      </c>
      <c r="S3195" s="369" t="s">
        <v>2866</v>
      </c>
      <c r="T3195" s="427"/>
      <c r="U3195" s="427"/>
      <c r="V3195" s="428"/>
      <c r="W3195" s="429"/>
      <c r="X3195" s="430"/>
      <c r="Y3195" s="33" t="s">
        <v>8076</v>
      </c>
      <c r="Z3195" s="430"/>
      <c r="AA3195" s="430"/>
      <c r="AB3195" s="258">
        <v>17.0</v>
      </c>
      <c r="AC3195" s="430"/>
      <c r="AD3195" s="426"/>
      <c r="AE3195" s="428"/>
      <c r="AF3195" s="431"/>
      <c r="AG3195" s="432" t="str">
        <f>IFS(LEN(AF3195)=17,LOWER('2-Building'!$B$4 &amp; "-" &amp; C3195), AF3195="N/A", "N/A", LEN(AF3195)=0,"")</f>
        <v/>
      </c>
      <c r="AH3195" s="430"/>
      <c r="AI3195" s="430"/>
      <c r="AJ3195" s="430"/>
      <c r="AK3195" s="430"/>
      <c r="AL3195" s="430"/>
      <c r="AM3195" s="433"/>
      <c r="AN3195" s="430"/>
      <c r="AO3195" s="430"/>
      <c r="AP3195" s="430"/>
      <c r="AQ3195" s="430"/>
      <c r="AR3195" s="430"/>
      <c r="AS3195" s="430"/>
      <c r="AT3195" s="430"/>
      <c r="AU3195" s="426"/>
      <c r="AV3195" s="434"/>
      <c r="AW3195" s="269" t="s">
        <v>1690</v>
      </c>
      <c r="AX3195" s="269" t="s">
        <v>2869</v>
      </c>
      <c r="AY3195" s="270" t="s">
        <v>695</v>
      </c>
      <c r="AZ3195" s="435"/>
      <c r="BA3195" s="173">
        <v>10.0</v>
      </c>
      <c r="BB3195" s="434"/>
      <c r="BC3195" s="434"/>
      <c r="BD3195" s="308" t="s">
        <v>1844</v>
      </c>
      <c r="BE3195" s="436"/>
      <c r="BF3195" s="274" t="str">
        <f>IFERROR(__xludf.DUMMYFUNCTION("LOWER(Regexreplace(to_text(E3195),""[^A-Za-z0-9]"","""")&amp;""_""&amp;Regexreplace(to_text(F3195),""[^A-Za-z0-9]"",""""))"),"eaton_93pr")</f>
        <v>eaton_93pr</v>
      </c>
      <c r="BG3195" s="275" t="str">
        <f>IFERROR(__xludf.DUMMYFUNCTION("upper(Regexreplace(to_text(E3195),""[^A-Za-z0-9]"","""")&amp;""-""&amp;Regexreplace(to_text(F3195),""[^A-Za-z0-9]"",""""))"),"EATON-93PR")</f>
        <v>EATON-93PR</v>
      </c>
    </row>
    <row r="3196" ht="30.0" customHeight="1">
      <c r="A3196" s="425">
        <v>2690.0</v>
      </c>
      <c r="B3196" s="425" t="s">
        <v>670</v>
      </c>
      <c r="C3196" s="257" t="s">
        <v>9881</v>
      </c>
      <c r="D3196" s="173" t="s">
        <v>9882</v>
      </c>
      <c r="E3196" s="174" t="s">
        <v>9056</v>
      </c>
      <c r="F3196" s="173" t="s">
        <v>9057</v>
      </c>
      <c r="G3196" s="425" t="s">
        <v>673</v>
      </c>
      <c r="H3196" s="425" t="s">
        <v>2863</v>
      </c>
      <c r="I3196" s="258" t="s">
        <v>9445</v>
      </c>
      <c r="J3196" s="259" t="s">
        <v>1026</v>
      </c>
      <c r="K3196" s="260">
        <v>448.0</v>
      </c>
      <c r="L3196" s="442"/>
      <c r="M3196" s="426"/>
      <c r="N3196" s="173" t="s">
        <v>679</v>
      </c>
      <c r="O3196" s="173" t="s">
        <v>225</v>
      </c>
      <c r="P3196" s="262" t="str">
        <f t="shared" si="1"/>
        <v>IN-BLR-ANANTA-FAN-144_4</v>
      </c>
      <c r="Q3196" s="173" t="s">
        <v>9883</v>
      </c>
      <c r="R3196" s="433" t="str">
        <f>IFS(C3196="","",C3196="n/a","N/A",LEN(C3196),Concatenate("{",char(34),"asset",char(34),":{",char(34),"guid",char(34),":",char(34),Q3196,char(34),",",char(34),"site",char(34),":",char(34),LOWER('2-Building'!$B$4),char(34),",",char(34),"name",char(34),":",char(34),LOWER(C3196),char(34),"}}"))</f>
        <v>{"asset":{"guid":"uuid://222a317b-c067-4c8e-ab58-2b9ba234b9f3","site":"in-blr-ananta","name":"fan-144"}}</v>
      </c>
      <c r="S3196" s="369" t="s">
        <v>2866</v>
      </c>
      <c r="T3196" s="427"/>
      <c r="U3196" s="427"/>
      <c r="V3196" s="428"/>
      <c r="W3196" s="429"/>
      <c r="X3196" s="430"/>
      <c r="Y3196" s="33" t="s">
        <v>8076</v>
      </c>
      <c r="Z3196" s="430"/>
      <c r="AA3196" s="430"/>
      <c r="AB3196" s="258">
        <v>18.0</v>
      </c>
      <c r="AC3196" s="430"/>
      <c r="AD3196" s="426"/>
      <c r="AE3196" s="428"/>
      <c r="AF3196" s="431"/>
      <c r="AG3196" s="432" t="str">
        <f>IFS(LEN(AF3196)=17,LOWER('2-Building'!$B$4 &amp; "-" &amp; C3196), AF3196="N/A", "N/A", LEN(AF3196)=0,"")</f>
        <v/>
      </c>
      <c r="AH3196" s="430"/>
      <c r="AI3196" s="430"/>
      <c r="AJ3196" s="430"/>
      <c r="AK3196" s="430"/>
      <c r="AL3196" s="430"/>
      <c r="AM3196" s="433"/>
      <c r="AN3196" s="430"/>
      <c r="AO3196" s="430"/>
      <c r="AP3196" s="430"/>
      <c r="AQ3196" s="430"/>
      <c r="AR3196" s="430"/>
      <c r="AS3196" s="430"/>
      <c r="AT3196" s="430"/>
      <c r="AU3196" s="426"/>
      <c r="AV3196" s="434"/>
      <c r="AW3196" s="269" t="s">
        <v>1690</v>
      </c>
      <c r="AX3196" s="269" t="s">
        <v>2869</v>
      </c>
      <c r="AY3196" s="270" t="s">
        <v>695</v>
      </c>
      <c r="AZ3196" s="435"/>
      <c r="BA3196" s="173">
        <v>10.0</v>
      </c>
      <c r="BB3196" s="434"/>
      <c r="BC3196" s="434"/>
      <c r="BD3196" s="308" t="s">
        <v>1844</v>
      </c>
      <c r="BE3196" s="436"/>
      <c r="BF3196" s="274" t="str">
        <f>IFERROR(__xludf.DUMMYFUNCTION("LOWER(Regexreplace(to_text(E3196),""[^A-Za-z0-9]"","""")&amp;""_""&amp;Regexreplace(to_text(F3196),""[^A-Za-z0-9]"",""""))"),"eaton_93pr")</f>
        <v>eaton_93pr</v>
      </c>
      <c r="BG3196" s="275" t="str">
        <f>IFERROR(__xludf.DUMMYFUNCTION("upper(Regexreplace(to_text(E3196),""[^A-Za-z0-9]"","""")&amp;""-""&amp;Regexreplace(to_text(F3196),""[^A-Za-z0-9]"",""""))"),"EATON-93PR")</f>
        <v>EATON-93PR</v>
      </c>
    </row>
    <row r="3197" ht="30.0" customHeight="1">
      <c r="A3197" s="328">
        <v>2690.0</v>
      </c>
      <c r="B3197" s="425" t="s">
        <v>670</v>
      </c>
      <c r="C3197" s="257" t="s">
        <v>9884</v>
      </c>
      <c r="D3197" s="173" t="s">
        <v>9885</v>
      </c>
      <c r="E3197" s="174" t="s">
        <v>9056</v>
      </c>
      <c r="F3197" s="173" t="s">
        <v>9057</v>
      </c>
      <c r="G3197" s="425" t="s">
        <v>673</v>
      </c>
      <c r="H3197" s="425" t="s">
        <v>2863</v>
      </c>
      <c r="I3197" s="258" t="s">
        <v>9445</v>
      </c>
      <c r="J3197" s="259" t="s">
        <v>1026</v>
      </c>
      <c r="K3197" s="260">
        <v>448.0</v>
      </c>
      <c r="L3197" s="442"/>
      <c r="M3197" s="426"/>
      <c r="N3197" s="173" t="s">
        <v>679</v>
      </c>
      <c r="O3197" s="173" t="s">
        <v>225</v>
      </c>
      <c r="P3197" s="262" t="str">
        <f t="shared" si="1"/>
        <v>IN-BLR-ANANTA-FAN-145_4</v>
      </c>
      <c r="Q3197" s="173" t="s">
        <v>9886</v>
      </c>
      <c r="R3197" s="425" t="str">
        <f>IFS(C3197="","",C3197="n/a","N/A",LEN(C3197),Concatenate("{",char(34),"asset",char(34),":{",char(34),"guid",char(34),":",char(34),Q3197,char(34),",",char(34),"site",char(34),":",char(34),LOWER('2-Building'!$B$4),char(34),",",char(34),"name",char(34),":",char(34),LOWER(C3197),char(34),"}}"))</f>
        <v>{"asset":{"guid":"uuid://0545b578-d831-4bca-ade1-6b0f67385cd6","site":"in-blr-ananta","name":"fan-145"}}</v>
      </c>
      <c r="S3197" s="369" t="s">
        <v>2866</v>
      </c>
      <c r="T3197" s="427"/>
      <c r="U3197" s="427"/>
      <c r="V3197" s="428"/>
      <c r="W3197" s="429"/>
      <c r="X3197" s="430"/>
      <c r="Y3197" s="33" t="s">
        <v>8076</v>
      </c>
      <c r="Z3197" s="430"/>
      <c r="AA3197" s="430"/>
      <c r="AB3197" s="258">
        <v>19.0</v>
      </c>
      <c r="AC3197" s="430"/>
      <c r="AD3197" s="426"/>
      <c r="AE3197" s="428"/>
      <c r="AF3197" s="431"/>
      <c r="AG3197" s="432" t="str">
        <f>IFS(LEN(AF3197)=17,LOWER('2-Building'!$B$4 &amp; "-" &amp; C3197), AF3197="N/A", "N/A", LEN(AF3197)=0,"")</f>
        <v/>
      </c>
      <c r="AH3197" s="430"/>
      <c r="AI3197" s="430"/>
      <c r="AJ3197" s="430"/>
      <c r="AK3197" s="430"/>
      <c r="AL3197" s="430"/>
      <c r="AM3197" s="433"/>
      <c r="AN3197" s="430"/>
      <c r="AO3197" s="430"/>
      <c r="AP3197" s="430"/>
      <c r="AQ3197" s="430"/>
      <c r="AR3197" s="430"/>
      <c r="AS3197" s="430"/>
      <c r="AT3197" s="430"/>
      <c r="AU3197" s="426"/>
      <c r="AV3197" s="434"/>
      <c r="AW3197" s="269" t="s">
        <v>1690</v>
      </c>
      <c r="AX3197" s="269" t="s">
        <v>2869</v>
      </c>
      <c r="AY3197" s="270" t="s">
        <v>695</v>
      </c>
      <c r="AZ3197" s="435"/>
      <c r="BA3197" s="173">
        <v>10.0</v>
      </c>
      <c r="BB3197" s="434"/>
      <c r="BC3197" s="434"/>
      <c r="BD3197" s="308" t="s">
        <v>1844</v>
      </c>
      <c r="BE3197" s="436"/>
      <c r="BF3197" s="274" t="str">
        <f>IFERROR(__xludf.DUMMYFUNCTION("LOWER(Regexreplace(to_text(E3197),""[^A-Za-z0-9]"","""")&amp;""_""&amp;Regexreplace(to_text(F3197),""[^A-Za-z0-9]"",""""))"),"eaton_93pr")</f>
        <v>eaton_93pr</v>
      </c>
      <c r="BG3197" s="275" t="str">
        <f>IFERROR(__xludf.DUMMYFUNCTION("upper(Regexreplace(to_text(E3197),""[^A-Za-z0-9]"","""")&amp;""-""&amp;Regexreplace(to_text(F3197),""[^A-Za-z0-9]"",""""))"),"EATON-93PR")</f>
        <v>EATON-93PR</v>
      </c>
    </row>
    <row r="3198" ht="30.0" customHeight="1">
      <c r="A3198" s="173">
        <v>2683.0</v>
      </c>
      <c r="B3198" s="328" t="s">
        <v>670</v>
      </c>
      <c r="C3198" s="257" t="s">
        <v>9887</v>
      </c>
      <c r="D3198" s="173" t="s">
        <v>9888</v>
      </c>
      <c r="E3198" s="174" t="s">
        <v>9097</v>
      </c>
      <c r="F3198" s="173" t="s">
        <v>2862</v>
      </c>
      <c r="G3198" s="328" t="s">
        <v>673</v>
      </c>
      <c r="H3198" s="328" t="s">
        <v>2863</v>
      </c>
      <c r="I3198" s="258" t="s">
        <v>9445</v>
      </c>
      <c r="J3198" s="259" t="s">
        <v>1026</v>
      </c>
      <c r="K3198" s="260">
        <v>448.0</v>
      </c>
      <c r="L3198" s="366"/>
      <c r="M3198" s="329"/>
      <c r="N3198" s="173" t="s">
        <v>679</v>
      </c>
      <c r="O3198" s="173" t="s">
        <v>225</v>
      </c>
      <c r="P3198" s="262" t="str">
        <f t="shared" si="1"/>
        <v>IN-BLR-ANANTA-FAN-146_4</v>
      </c>
      <c r="Q3198" s="173" t="s">
        <v>9889</v>
      </c>
      <c r="R3198" s="328" t="str">
        <f>IFS(C3198="","",C3198="n/a","N/A",LEN(C3198),Concatenate("{",char(34),"asset",char(34),":{",char(34),"guid",char(34),":",char(34),Q3198,char(34),",",char(34),"site",char(34),":",char(34),LOWER('2-Building'!$B$4),char(34),",",char(34),"name",char(34),":",char(34),LOWER(C3198),char(34),"}}"))</f>
        <v>{"asset":{"guid":"uuid://d061e3c1-d508-4f85-9191-0a297e7cda82","site":"in-blr-ananta","name":"fan-146"}}</v>
      </c>
      <c r="S3198" s="369" t="s">
        <v>2866</v>
      </c>
      <c r="T3198" s="330"/>
      <c r="U3198" s="330"/>
      <c r="V3198" s="331"/>
      <c r="W3198" s="332"/>
      <c r="X3198" s="333"/>
      <c r="Y3198" s="33" t="s">
        <v>8076</v>
      </c>
      <c r="Z3198" s="368"/>
      <c r="AA3198" s="333"/>
      <c r="AB3198" s="258">
        <v>20.0</v>
      </c>
      <c r="AC3198" s="333"/>
      <c r="AD3198" s="329"/>
      <c r="AE3198" s="331"/>
      <c r="AF3198" s="336"/>
      <c r="AG3198" s="337" t="str">
        <f>IFS(LEN(AF3198)=17,LOWER('2-Building'!$B$4 &amp; "-" &amp; C3198), AF3198="N/A", "N/A", LEN(AF3198)=0,"")</f>
        <v/>
      </c>
      <c r="AH3198" s="333"/>
      <c r="AI3198" s="333"/>
      <c r="AJ3198" s="333"/>
      <c r="AK3198" s="333"/>
      <c r="AL3198" s="333"/>
      <c r="AM3198" s="338"/>
      <c r="AN3198" s="333"/>
      <c r="AO3198" s="333"/>
      <c r="AP3198" s="333"/>
      <c r="AQ3198" s="333"/>
      <c r="AR3198" s="333"/>
      <c r="AS3198" s="333"/>
      <c r="AT3198" s="333"/>
      <c r="AU3198" s="329"/>
      <c r="AV3198" s="341"/>
      <c r="AW3198" s="269" t="s">
        <v>1690</v>
      </c>
      <c r="AX3198" s="269" t="s">
        <v>2869</v>
      </c>
      <c r="AY3198" s="270" t="s">
        <v>695</v>
      </c>
      <c r="AZ3198" s="379"/>
      <c r="BA3198" s="173">
        <v>10.0</v>
      </c>
      <c r="BB3198" s="341"/>
      <c r="BC3198" s="341"/>
      <c r="BD3198" s="308" t="s">
        <v>1844</v>
      </c>
      <c r="BE3198" s="364"/>
      <c r="BF3198" s="274" t="str">
        <f>IFERROR(__xludf.DUMMYFUNCTION("LOWER(Regexreplace(to_text(E3198),""[^A-Za-z0-9]"","""")&amp;""_""&amp;Regexreplace(to_text(F3198),""[^A-Za-z0-9]"",""""))"),"aquagen_evcbseries")</f>
        <v>aquagen_evcbseries</v>
      </c>
      <c r="BG3198" s="275" t="str">
        <f>IFERROR(__xludf.DUMMYFUNCTION("upper(Regexreplace(to_text(E3198),""[^A-Za-z0-9]"","""")&amp;""-""&amp;Regexreplace(to_text(F3198),""[^A-Za-z0-9]"",""""))"),"AQUAGEN-EVCBSERIES")</f>
        <v>AQUAGEN-EVCBSERIES</v>
      </c>
    </row>
    <row r="3199" ht="30.0" customHeight="1">
      <c r="A3199" s="258">
        <v>2684.0</v>
      </c>
      <c r="B3199" s="328" t="s">
        <v>670</v>
      </c>
      <c r="C3199" s="257" t="s">
        <v>9890</v>
      </c>
      <c r="D3199" s="173" t="s">
        <v>9891</v>
      </c>
      <c r="E3199" s="174" t="s">
        <v>9097</v>
      </c>
      <c r="F3199" s="173" t="s">
        <v>2862</v>
      </c>
      <c r="G3199" s="328" t="s">
        <v>673</v>
      </c>
      <c r="H3199" s="328" t="s">
        <v>2863</v>
      </c>
      <c r="I3199" s="258" t="s">
        <v>9445</v>
      </c>
      <c r="J3199" s="259" t="s">
        <v>1026</v>
      </c>
      <c r="K3199" s="260">
        <v>448.0</v>
      </c>
      <c r="L3199" s="366"/>
      <c r="M3199" s="329"/>
      <c r="N3199" s="173" t="s">
        <v>679</v>
      </c>
      <c r="O3199" s="173" t="s">
        <v>225</v>
      </c>
      <c r="P3199" s="262" t="str">
        <f t="shared" si="1"/>
        <v>IN-BLR-ANANTA-FAN-147_4</v>
      </c>
      <c r="Q3199" s="173" t="s">
        <v>9892</v>
      </c>
      <c r="R3199" s="328" t="str">
        <f>IFS(C3199="","",C3199="n/a","N/A",LEN(C3199),Concatenate("{",char(34),"asset",char(34),":{",char(34),"guid",char(34),":",char(34),Q3199,char(34),",",char(34),"site",char(34),":",char(34),LOWER('2-Building'!$B$4),char(34),",",char(34),"name",char(34),":",char(34),LOWER(C3199),char(34),"}}"))</f>
        <v>{"asset":{"guid":"uuid://16e23058-f34d-4265-af7c-7117b03886e5","site":"in-blr-ananta","name":"fan-147"}}</v>
      </c>
      <c r="S3199" s="369" t="s">
        <v>2866</v>
      </c>
      <c r="T3199" s="330"/>
      <c r="U3199" s="330"/>
      <c r="V3199" s="331"/>
      <c r="W3199" s="332"/>
      <c r="X3199" s="333"/>
      <c r="Y3199" s="33" t="s">
        <v>8076</v>
      </c>
      <c r="Z3199" s="368"/>
      <c r="AA3199" s="333"/>
      <c r="AB3199" s="258">
        <v>21.0</v>
      </c>
      <c r="AC3199" s="333"/>
      <c r="AD3199" s="329"/>
      <c r="AE3199" s="331"/>
      <c r="AF3199" s="336"/>
      <c r="AG3199" s="337" t="str">
        <f>IFS(LEN(AF3199)=17,LOWER('2-Building'!$B$4 &amp; "-" &amp; C3199), AF3199="N/A", "N/A", LEN(AF3199)=0,"")</f>
        <v/>
      </c>
      <c r="AH3199" s="333"/>
      <c r="AI3199" s="333"/>
      <c r="AJ3199" s="333"/>
      <c r="AK3199" s="333"/>
      <c r="AL3199" s="333"/>
      <c r="AM3199" s="338"/>
      <c r="AN3199" s="333"/>
      <c r="AO3199" s="333"/>
      <c r="AP3199" s="333"/>
      <c r="AQ3199" s="333"/>
      <c r="AR3199" s="333"/>
      <c r="AS3199" s="333"/>
      <c r="AT3199" s="333"/>
      <c r="AU3199" s="329"/>
      <c r="AV3199" s="341"/>
      <c r="AW3199" s="269" t="s">
        <v>1690</v>
      </c>
      <c r="AX3199" s="269" t="s">
        <v>2869</v>
      </c>
      <c r="AY3199" s="270" t="s">
        <v>695</v>
      </c>
      <c r="AZ3199" s="379"/>
      <c r="BA3199" s="173">
        <v>10.0</v>
      </c>
      <c r="BB3199" s="341"/>
      <c r="BC3199" s="341"/>
      <c r="BD3199" s="308" t="s">
        <v>1844</v>
      </c>
      <c r="BE3199" s="364"/>
      <c r="BF3199" s="274" t="str">
        <f>IFERROR(__xludf.DUMMYFUNCTION("LOWER(Regexreplace(to_text(E3199),""[^A-Za-z0-9]"","""")&amp;""_""&amp;Regexreplace(to_text(F3199),""[^A-Za-z0-9]"",""""))"),"aquagen_evcbseries")</f>
        <v>aquagen_evcbseries</v>
      </c>
      <c r="BG3199" s="275" t="str">
        <f>IFERROR(__xludf.DUMMYFUNCTION("upper(Regexreplace(to_text(E3199),""[^A-Za-z0-9]"","""")&amp;""-""&amp;Regexreplace(to_text(F3199),""[^A-Za-z0-9]"",""""))"),"AQUAGEN-EVCBSERIES")</f>
        <v>AQUAGEN-EVCBSERIES</v>
      </c>
    </row>
    <row r="3200" ht="30.0" customHeight="1">
      <c r="A3200" s="173">
        <v>2685.0</v>
      </c>
      <c r="B3200" s="328" t="s">
        <v>670</v>
      </c>
      <c r="C3200" s="257" t="s">
        <v>9893</v>
      </c>
      <c r="D3200" s="173" t="s">
        <v>9894</v>
      </c>
      <c r="E3200" s="174" t="s">
        <v>9097</v>
      </c>
      <c r="F3200" s="173" t="s">
        <v>2862</v>
      </c>
      <c r="G3200" s="328" t="s">
        <v>673</v>
      </c>
      <c r="H3200" s="328" t="s">
        <v>2863</v>
      </c>
      <c r="I3200" s="258" t="s">
        <v>9445</v>
      </c>
      <c r="J3200" s="259" t="s">
        <v>1026</v>
      </c>
      <c r="K3200" s="260">
        <v>448.0</v>
      </c>
      <c r="L3200" s="366"/>
      <c r="M3200" s="329"/>
      <c r="N3200" s="173" t="s">
        <v>679</v>
      </c>
      <c r="O3200" s="173" t="s">
        <v>225</v>
      </c>
      <c r="P3200" s="262" t="str">
        <f t="shared" si="1"/>
        <v>IN-BLR-ANANTA-FAN-148_4</v>
      </c>
      <c r="Q3200" s="173" t="s">
        <v>9895</v>
      </c>
      <c r="R3200" s="328" t="str">
        <f>IFS(C3200="","",C3200="n/a","N/A",LEN(C3200),Concatenate("{",char(34),"asset",char(34),":{",char(34),"guid",char(34),":",char(34),Q3200,char(34),",",char(34),"site",char(34),":",char(34),LOWER('2-Building'!$B$4),char(34),",",char(34),"name",char(34),":",char(34),LOWER(C3200),char(34),"}}"))</f>
        <v>{"asset":{"guid":"uuid://4eb389ef-3d90-4cc5-9c77-45fbf1fe5ea8","site":"in-blr-ananta","name":"fan-148"}}</v>
      </c>
      <c r="S3200" s="369" t="s">
        <v>2866</v>
      </c>
      <c r="T3200" s="330"/>
      <c r="U3200" s="330"/>
      <c r="V3200" s="331"/>
      <c r="W3200" s="332"/>
      <c r="X3200" s="333"/>
      <c r="Y3200" s="33" t="s">
        <v>8076</v>
      </c>
      <c r="Z3200" s="368"/>
      <c r="AA3200" s="333"/>
      <c r="AB3200" s="258">
        <v>22.0</v>
      </c>
      <c r="AC3200" s="333"/>
      <c r="AD3200" s="329"/>
      <c r="AE3200" s="331"/>
      <c r="AF3200" s="336"/>
      <c r="AG3200" s="337" t="str">
        <f>IFS(LEN(AF3200)=17,LOWER('2-Building'!$B$4 &amp; "-" &amp; C3200), AF3200="N/A", "N/A", LEN(AF3200)=0,"")</f>
        <v/>
      </c>
      <c r="AH3200" s="333"/>
      <c r="AI3200" s="333"/>
      <c r="AJ3200" s="333"/>
      <c r="AK3200" s="333"/>
      <c r="AL3200" s="333"/>
      <c r="AM3200" s="338"/>
      <c r="AN3200" s="333"/>
      <c r="AO3200" s="333"/>
      <c r="AP3200" s="333"/>
      <c r="AQ3200" s="333"/>
      <c r="AR3200" s="333"/>
      <c r="AS3200" s="333"/>
      <c r="AT3200" s="333"/>
      <c r="AU3200" s="329"/>
      <c r="AV3200" s="341"/>
      <c r="AW3200" s="269" t="s">
        <v>1690</v>
      </c>
      <c r="AX3200" s="269" t="s">
        <v>2869</v>
      </c>
      <c r="AY3200" s="270" t="s">
        <v>695</v>
      </c>
      <c r="AZ3200" s="379"/>
      <c r="BA3200" s="173">
        <v>10.0</v>
      </c>
      <c r="BB3200" s="341"/>
      <c r="BC3200" s="341"/>
      <c r="BD3200" s="308" t="s">
        <v>1844</v>
      </c>
      <c r="BE3200" s="364"/>
      <c r="BF3200" s="274" t="str">
        <f>IFERROR(__xludf.DUMMYFUNCTION("LOWER(Regexreplace(to_text(E3200),""[^A-Za-z0-9]"","""")&amp;""_""&amp;Regexreplace(to_text(F3200),""[^A-Za-z0-9]"",""""))"),"aquagen_evcbseries")</f>
        <v>aquagen_evcbseries</v>
      </c>
      <c r="BG3200" s="275" t="str">
        <f>IFERROR(__xludf.DUMMYFUNCTION("upper(Regexreplace(to_text(E3200),""[^A-Za-z0-9]"","""")&amp;""-""&amp;Regexreplace(to_text(F3200),""[^A-Za-z0-9]"",""""))"),"AQUAGEN-EVCBSERIES")</f>
        <v>AQUAGEN-EVCBSERIES</v>
      </c>
    </row>
    <row r="3201" ht="30.0" customHeight="1">
      <c r="A3201" s="258">
        <v>2686.0</v>
      </c>
      <c r="B3201" s="328" t="s">
        <v>670</v>
      </c>
      <c r="C3201" s="257" t="s">
        <v>9896</v>
      </c>
      <c r="D3201" s="173" t="s">
        <v>9897</v>
      </c>
      <c r="E3201" s="174" t="s">
        <v>9097</v>
      </c>
      <c r="F3201" s="173" t="s">
        <v>2862</v>
      </c>
      <c r="G3201" s="328" t="s">
        <v>673</v>
      </c>
      <c r="H3201" s="328" t="s">
        <v>2863</v>
      </c>
      <c r="I3201" s="258" t="s">
        <v>9445</v>
      </c>
      <c r="J3201" s="259" t="s">
        <v>1088</v>
      </c>
      <c r="K3201" s="260" t="s">
        <v>9898</v>
      </c>
      <c r="L3201" s="366"/>
      <c r="M3201" s="329"/>
      <c r="N3201" s="173" t="s">
        <v>679</v>
      </c>
      <c r="O3201" s="173" t="s">
        <v>225</v>
      </c>
      <c r="P3201" s="262" t="str">
        <f t="shared" si="1"/>
        <v>IN-BLR-ANANTA-FAN-149_5</v>
      </c>
      <c r="Q3201" s="173" t="s">
        <v>9899</v>
      </c>
      <c r="R3201" s="328" t="str">
        <f>IFS(C3201="","",C3201="n/a","N/A",LEN(C3201),Concatenate("{",char(34),"asset",char(34),":{",char(34),"guid",char(34),":",char(34),Q3201,char(34),",",char(34),"site",char(34),":",char(34),LOWER('2-Building'!$B$4),char(34),",",char(34),"name",char(34),":",char(34),LOWER(C3201),char(34),"}}"))</f>
        <v>{"asset":{"guid":"uuid://528d7bfc-85e4-4226-ba2a-2dce2fbff421","site":"in-blr-ananta","name":"fan-149"}}</v>
      </c>
      <c r="S3201" s="369" t="s">
        <v>2866</v>
      </c>
      <c r="T3201" s="330"/>
      <c r="U3201" s="330"/>
      <c r="V3201" s="331"/>
      <c r="W3201" s="332"/>
      <c r="X3201" s="333"/>
      <c r="Y3201" s="33" t="s">
        <v>8076</v>
      </c>
      <c r="Z3201" s="368"/>
      <c r="AA3201" s="333"/>
      <c r="AB3201" s="258">
        <v>35.0</v>
      </c>
      <c r="AC3201" s="333"/>
      <c r="AD3201" s="329"/>
      <c r="AE3201" s="331"/>
      <c r="AF3201" s="336"/>
      <c r="AG3201" s="337" t="str">
        <f>IFS(LEN(AF3201)=17,LOWER('2-Building'!$B$4 &amp; "-" &amp; C3201), AF3201="N/A", "N/A", LEN(AF3201)=0,"")</f>
        <v/>
      </c>
      <c r="AH3201" s="333"/>
      <c r="AI3201" s="333"/>
      <c r="AJ3201" s="333"/>
      <c r="AK3201" s="333"/>
      <c r="AL3201" s="333"/>
      <c r="AM3201" s="338"/>
      <c r="AN3201" s="333"/>
      <c r="AO3201" s="333"/>
      <c r="AP3201" s="333"/>
      <c r="AQ3201" s="333"/>
      <c r="AR3201" s="333"/>
      <c r="AS3201" s="333"/>
      <c r="AT3201" s="333"/>
      <c r="AU3201" s="329"/>
      <c r="AV3201" s="341"/>
      <c r="AW3201" s="269" t="s">
        <v>1690</v>
      </c>
      <c r="AX3201" s="269" t="s">
        <v>2869</v>
      </c>
      <c r="AY3201" s="270" t="s">
        <v>695</v>
      </c>
      <c r="AZ3201" s="379"/>
      <c r="BA3201" s="173">
        <v>10.0</v>
      </c>
      <c r="BB3201" s="341"/>
      <c r="BC3201" s="341"/>
      <c r="BD3201" s="308" t="s">
        <v>1844</v>
      </c>
      <c r="BE3201" s="364"/>
      <c r="BF3201" s="274" t="str">
        <f>IFERROR(__xludf.DUMMYFUNCTION("LOWER(Regexreplace(to_text(E3201),""[^A-Za-z0-9]"","""")&amp;""_""&amp;Regexreplace(to_text(F3201),""[^A-Za-z0-9]"",""""))"),"aquagen_evcbseries")</f>
        <v>aquagen_evcbseries</v>
      </c>
      <c r="BG3201" s="275" t="str">
        <f>IFERROR(__xludf.DUMMYFUNCTION("upper(Regexreplace(to_text(E3201),""[^A-Za-z0-9]"","""")&amp;""-""&amp;Regexreplace(to_text(F3201),""[^A-Za-z0-9]"",""""))"),"AQUAGEN-EVCBSERIES")</f>
        <v>AQUAGEN-EVCBSERIES</v>
      </c>
    </row>
    <row r="3202" ht="30.0" customHeight="1">
      <c r="A3202" s="173">
        <v>2687.0</v>
      </c>
      <c r="B3202" s="328" t="s">
        <v>670</v>
      </c>
      <c r="C3202" s="257" t="s">
        <v>9900</v>
      </c>
      <c r="D3202" s="173" t="s">
        <v>9901</v>
      </c>
      <c r="E3202" s="174" t="s">
        <v>9097</v>
      </c>
      <c r="F3202" s="173" t="s">
        <v>2862</v>
      </c>
      <c r="G3202" s="328" t="s">
        <v>673</v>
      </c>
      <c r="H3202" s="328" t="s">
        <v>2863</v>
      </c>
      <c r="I3202" s="258" t="s">
        <v>9445</v>
      </c>
      <c r="J3202" s="259" t="s">
        <v>1088</v>
      </c>
      <c r="K3202" s="260" t="s">
        <v>9898</v>
      </c>
      <c r="L3202" s="366"/>
      <c r="M3202" s="329"/>
      <c r="N3202" s="173" t="s">
        <v>679</v>
      </c>
      <c r="O3202" s="173" t="s">
        <v>225</v>
      </c>
      <c r="P3202" s="262" t="str">
        <f t="shared" si="1"/>
        <v>IN-BLR-ANANTA-FAN-150_5</v>
      </c>
      <c r="Q3202" s="173" t="s">
        <v>9902</v>
      </c>
      <c r="R3202" s="328" t="str">
        <f>IFS(C3202="","",C3202="n/a","N/A",LEN(C3202),Concatenate("{",char(34),"asset",char(34),":{",char(34),"guid",char(34),":",char(34),Q3202,char(34),",",char(34),"site",char(34),":",char(34),LOWER('2-Building'!$B$4),char(34),",",char(34),"name",char(34),":",char(34),LOWER(C3202),char(34),"}}"))</f>
        <v>{"asset":{"guid":"uuid://1bdd9965-2cf8-462b-af7c-89f38207b02c","site":"in-blr-ananta","name":"fan-150"}}</v>
      </c>
      <c r="S3202" s="369" t="s">
        <v>2866</v>
      </c>
      <c r="T3202" s="330"/>
      <c r="U3202" s="330"/>
      <c r="V3202" s="331"/>
      <c r="W3202" s="332"/>
      <c r="X3202" s="333"/>
      <c r="Y3202" s="33" t="s">
        <v>8076</v>
      </c>
      <c r="Z3202" s="368"/>
      <c r="AA3202" s="333"/>
      <c r="AB3202" s="258">
        <v>36.0</v>
      </c>
      <c r="AC3202" s="333"/>
      <c r="AD3202" s="329"/>
      <c r="AE3202" s="331"/>
      <c r="AF3202" s="336"/>
      <c r="AG3202" s="337" t="str">
        <f>IFS(LEN(AF3202)=17,LOWER('2-Building'!$B$4 &amp; "-" &amp; C3202), AF3202="N/A", "N/A", LEN(AF3202)=0,"")</f>
        <v/>
      </c>
      <c r="AH3202" s="333"/>
      <c r="AI3202" s="333"/>
      <c r="AJ3202" s="333"/>
      <c r="AK3202" s="333"/>
      <c r="AL3202" s="333"/>
      <c r="AM3202" s="338"/>
      <c r="AN3202" s="333"/>
      <c r="AO3202" s="333"/>
      <c r="AP3202" s="333"/>
      <c r="AQ3202" s="333"/>
      <c r="AR3202" s="333"/>
      <c r="AS3202" s="333"/>
      <c r="AT3202" s="333"/>
      <c r="AU3202" s="329"/>
      <c r="AV3202" s="341"/>
      <c r="AW3202" s="269" t="s">
        <v>1690</v>
      </c>
      <c r="AX3202" s="269" t="s">
        <v>2869</v>
      </c>
      <c r="AY3202" s="270" t="s">
        <v>695</v>
      </c>
      <c r="AZ3202" s="379"/>
      <c r="BA3202" s="173">
        <v>10.0</v>
      </c>
      <c r="BB3202" s="341"/>
      <c r="BC3202" s="341"/>
      <c r="BD3202" s="308" t="s">
        <v>1844</v>
      </c>
      <c r="BE3202" s="364"/>
      <c r="BF3202" s="274" t="str">
        <f>IFERROR(__xludf.DUMMYFUNCTION("LOWER(Regexreplace(to_text(E3202),""[^A-Za-z0-9]"","""")&amp;""_""&amp;Regexreplace(to_text(F3202),""[^A-Za-z0-9]"",""""))"),"aquagen_evcbseries")</f>
        <v>aquagen_evcbseries</v>
      </c>
      <c r="BG3202" s="275" t="str">
        <f>IFERROR(__xludf.DUMMYFUNCTION("upper(Regexreplace(to_text(E3202),""[^A-Za-z0-9]"","""")&amp;""-""&amp;Regexreplace(to_text(F3202),""[^A-Za-z0-9]"",""""))"),"AQUAGEN-EVCBSERIES")</f>
        <v>AQUAGEN-EVCBSERIES</v>
      </c>
    </row>
    <row r="3203" ht="30.0" customHeight="1">
      <c r="A3203" s="258">
        <v>2688.0</v>
      </c>
      <c r="B3203" s="328" t="s">
        <v>670</v>
      </c>
      <c r="C3203" s="257" t="s">
        <v>9903</v>
      </c>
      <c r="D3203" s="173" t="s">
        <v>9904</v>
      </c>
      <c r="E3203" s="174" t="s">
        <v>9097</v>
      </c>
      <c r="F3203" s="173" t="s">
        <v>2862</v>
      </c>
      <c r="G3203" s="328" t="s">
        <v>673</v>
      </c>
      <c r="H3203" s="328" t="s">
        <v>2863</v>
      </c>
      <c r="I3203" s="258" t="s">
        <v>9445</v>
      </c>
      <c r="J3203" s="259" t="s">
        <v>1088</v>
      </c>
      <c r="K3203" s="260" t="s">
        <v>9898</v>
      </c>
      <c r="L3203" s="366"/>
      <c r="M3203" s="329"/>
      <c r="N3203" s="173" t="s">
        <v>679</v>
      </c>
      <c r="O3203" s="173" t="s">
        <v>225</v>
      </c>
      <c r="P3203" s="262" t="str">
        <f t="shared" si="1"/>
        <v>IN-BLR-ANANTA-FAN-151_5</v>
      </c>
      <c r="Q3203" s="173" t="s">
        <v>9905</v>
      </c>
      <c r="R3203" s="328" t="str">
        <f>IFS(C3203="","",C3203="n/a","N/A",LEN(C3203),Concatenate("{",char(34),"asset",char(34),":{",char(34),"guid",char(34),":",char(34),Q3203,char(34),",",char(34),"site",char(34),":",char(34),LOWER('2-Building'!$B$4),char(34),",",char(34),"name",char(34),":",char(34),LOWER(C3203),char(34),"}}"))</f>
        <v>{"asset":{"guid":"uuid://98fb4eed-6554-4478-b6ec-0684b75a23e2","site":"in-blr-ananta","name":"fan-151"}}</v>
      </c>
      <c r="S3203" s="369" t="s">
        <v>2866</v>
      </c>
      <c r="T3203" s="330"/>
      <c r="U3203" s="330"/>
      <c r="V3203" s="331"/>
      <c r="W3203" s="332"/>
      <c r="X3203" s="333"/>
      <c r="Y3203" s="33" t="s">
        <v>8076</v>
      </c>
      <c r="Z3203" s="368"/>
      <c r="AA3203" s="333"/>
      <c r="AB3203" s="258">
        <v>37.0</v>
      </c>
      <c r="AC3203" s="333"/>
      <c r="AD3203" s="329"/>
      <c r="AE3203" s="331"/>
      <c r="AF3203" s="336"/>
      <c r="AG3203" s="337" t="str">
        <f>IFS(LEN(AF3203)=17,LOWER('2-Building'!$B$4 &amp; "-" &amp; C3203), AF3203="N/A", "N/A", LEN(AF3203)=0,"")</f>
        <v/>
      </c>
      <c r="AH3203" s="333"/>
      <c r="AI3203" s="333"/>
      <c r="AJ3203" s="333"/>
      <c r="AK3203" s="333"/>
      <c r="AL3203" s="333"/>
      <c r="AM3203" s="338"/>
      <c r="AN3203" s="333"/>
      <c r="AO3203" s="333"/>
      <c r="AP3203" s="333"/>
      <c r="AQ3203" s="333"/>
      <c r="AR3203" s="333"/>
      <c r="AS3203" s="333"/>
      <c r="AT3203" s="333"/>
      <c r="AU3203" s="329"/>
      <c r="AV3203" s="341"/>
      <c r="AW3203" s="269" t="s">
        <v>1690</v>
      </c>
      <c r="AX3203" s="269" t="s">
        <v>2869</v>
      </c>
      <c r="AY3203" s="270" t="s">
        <v>695</v>
      </c>
      <c r="AZ3203" s="379"/>
      <c r="BA3203" s="173">
        <v>10.0</v>
      </c>
      <c r="BB3203" s="341"/>
      <c r="BC3203" s="341"/>
      <c r="BD3203" s="308" t="s">
        <v>1844</v>
      </c>
      <c r="BE3203" s="364"/>
      <c r="BF3203" s="274" t="str">
        <f>IFERROR(__xludf.DUMMYFUNCTION("LOWER(Regexreplace(to_text(E3203),""[^A-Za-z0-9]"","""")&amp;""_""&amp;Regexreplace(to_text(F3203),""[^A-Za-z0-9]"",""""))"),"aquagen_evcbseries")</f>
        <v>aquagen_evcbseries</v>
      </c>
      <c r="BG3203" s="275" t="str">
        <f>IFERROR(__xludf.DUMMYFUNCTION("upper(Regexreplace(to_text(E3203),""[^A-Za-z0-9]"","""")&amp;""-""&amp;Regexreplace(to_text(F3203),""[^A-Za-z0-9]"",""""))"),"AQUAGEN-EVCBSERIES")</f>
        <v>AQUAGEN-EVCBSERIES</v>
      </c>
    </row>
    <row r="3204" ht="30.0" customHeight="1">
      <c r="A3204" s="173">
        <v>2689.0</v>
      </c>
      <c r="B3204" s="328" t="s">
        <v>670</v>
      </c>
      <c r="C3204" s="257" t="s">
        <v>9906</v>
      </c>
      <c r="D3204" s="173" t="s">
        <v>9907</v>
      </c>
      <c r="E3204" s="174" t="s">
        <v>9097</v>
      </c>
      <c r="F3204" s="173" t="s">
        <v>2862</v>
      </c>
      <c r="G3204" s="328" t="s">
        <v>673</v>
      </c>
      <c r="H3204" s="328" t="s">
        <v>2863</v>
      </c>
      <c r="I3204" s="258" t="s">
        <v>9445</v>
      </c>
      <c r="J3204" s="259" t="s">
        <v>1149</v>
      </c>
      <c r="K3204" s="260" t="s">
        <v>9908</v>
      </c>
      <c r="L3204" s="366"/>
      <c r="M3204" s="329"/>
      <c r="N3204" s="173" t="s">
        <v>679</v>
      </c>
      <c r="O3204" s="173" t="s">
        <v>225</v>
      </c>
      <c r="P3204" s="262" t="str">
        <f t="shared" si="1"/>
        <v>IN-BLR-ANANTA-FAN-152_6</v>
      </c>
      <c r="Q3204" s="173" t="s">
        <v>9909</v>
      </c>
      <c r="R3204" s="328" t="str">
        <f>IFS(C3204="","",C3204="n/a","N/A",LEN(C3204),Concatenate("{",char(34),"asset",char(34),":{",char(34),"guid",char(34),":",char(34),Q3204,char(34),",",char(34),"site",char(34),":",char(34),LOWER('2-Building'!$B$4),char(34),",",char(34),"name",char(34),":",char(34),LOWER(C3204),char(34),"}}"))</f>
        <v>{"asset":{"guid":"uuid://948cf513-2ccf-4e4f-bb63-91198b0d2cf2","site":"in-blr-ananta","name":"fan-152"}}</v>
      </c>
      <c r="S3204" s="369" t="s">
        <v>2866</v>
      </c>
      <c r="T3204" s="330"/>
      <c r="U3204" s="330"/>
      <c r="V3204" s="331"/>
      <c r="W3204" s="332"/>
      <c r="X3204" s="333"/>
      <c r="Y3204" s="33" t="s">
        <v>8076</v>
      </c>
      <c r="Z3204" s="368"/>
      <c r="AA3204" s="333"/>
      <c r="AB3204" s="258">
        <v>38.0</v>
      </c>
      <c r="AC3204" s="333"/>
      <c r="AD3204" s="329"/>
      <c r="AE3204" s="331"/>
      <c r="AF3204" s="336"/>
      <c r="AG3204" s="337" t="str">
        <f>IFS(LEN(AF3204)=17,LOWER('2-Building'!$B$4 &amp; "-" &amp; C3204), AF3204="N/A", "N/A", LEN(AF3204)=0,"")</f>
        <v/>
      </c>
      <c r="AH3204" s="333"/>
      <c r="AI3204" s="333"/>
      <c r="AJ3204" s="333"/>
      <c r="AK3204" s="333"/>
      <c r="AL3204" s="333"/>
      <c r="AM3204" s="338"/>
      <c r="AN3204" s="333"/>
      <c r="AO3204" s="333"/>
      <c r="AP3204" s="333"/>
      <c r="AQ3204" s="333"/>
      <c r="AR3204" s="333"/>
      <c r="AS3204" s="333"/>
      <c r="AT3204" s="333"/>
      <c r="AU3204" s="329"/>
      <c r="AV3204" s="341"/>
      <c r="AW3204" s="269" t="s">
        <v>1690</v>
      </c>
      <c r="AX3204" s="269" t="s">
        <v>2869</v>
      </c>
      <c r="AY3204" s="270" t="s">
        <v>695</v>
      </c>
      <c r="AZ3204" s="379"/>
      <c r="BA3204" s="173">
        <v>10.0</v>
      </c>
      <c r="BB3204" s="341"/>
      <c r="BC3204" s="341"/>
      <c r="BD3204" s="308" t="s">
        <v>1844</v>
      </c>
      <c r="BE3204" s="364"/>
      <c r="BF3204" s="274" t="str">
        <f>IFERROR(__xludf.DUMMYFUNCTION("LOWER(Regexreplace(to_text(E3204),""[^A-Za-z0-9]"","""")&amp;""_""&amp;Regexreplace(to_text(F3204),""[^A-Za-z0-9]"",""""))"),"aquagen_evcbseries")</f>
        <v>aquagen_evcbseries</v>
      </c>
      <c r="BG3204" s="275" t="str">
        <f>IFERROR(__xludf.DUMMYFUNCTION("upper(Regexreplace(to_text(E3204),""[^A-Za-z0-9]"","""")&amp;""-""&amp;Regexreplace(to_text(F3204),""[^A-Za-z0-9]"",""""))"),"AQUAGEN-EVCBSERIES")</f>
        <v>AQUAGEN-EVCBSERIES</v>
      </c>
    </row>
    <row r="3205" ht="30.0" customHeight="1">
      <c r="A3205" s="173">
        <v>2691.0</v>
      </c>
      <c r="B3205" s="328" t="s">
        <v>670</v>
      </c>
      <c r="C3205" s="257" t="s">
        <v>9910</v>
      </c>
      <c r="D3205" s="173" t="s">
        <v>9911</v>
      </c>
      <c r="E3205" s="174" t="s">
        <v>9097</v>
      </c>
      <c r="F3205" s="173" t="s">
        <v>2862</v>
      </c>
      <c r="G3205" s="328" t="s">
        <v>673</v>
      </c>
      <c r="H3205" s="328" t="s">
        <v>2863</v>
      </c>
      <c r="I3205" s="258" t="s">
        <v>9445</v>
      </c>
      <c r="J3205" s="259" t="s">
        <v>1149</v>
      </c>
      <c r="K3205" s="260" t="s">
        <v>9908</v>
      </c>
      <c r="L3205" s="366"/>
      <c r="M3205" s="329"/>
      <c r="N3205" s="173" t="s">
        <v>679</v>
      </c>
      <c r="O3205" s="173" t="s">
        <v>225</v>
      </c>
      <c r="P3205" s="262" t="str">
        <f t="shared" si="1"/>
        <v>IN-BLR-ANANTA-FAN-153_6</v>
      </c>
      <c r="Q3205" s="173" t="s">
        <v>9912</v>
      </c>
      <c r="R3205" s="328" t="str">
        <f>IFS(C3205="","",C3205="n/a","N/A",LEN(C3205),Concatenate("{",char(34),"asset",char(34),":{",char(34),"guid",char(34),":",char(34),Q3205,char(34),",",char(34),"site",char(34),":",char(34),LOWER('2-Building'!$B$4),char(34),",",char(34),"name",char(34),":",char(34),LOWER(C3205),char(34),"}}"))</f>
        <v>{"asset":{"guid":"uuid://70370910-e7e0-45dd-8307-7f54c1ad60f2","site":"in-blr-ananta","name":"fan-153"}}</v>
      </c>
      <c r="S3205" s="369" t="s">
        <v>2866</v>
      </c>
      <c r="T3205" s="330"/>
      <c r="U3205" s="330"/>
      <c r="V3205" s="331"/>
      <c r="W3205" s="332"/>
      <c r="X3205" s="333"/>
      <c r="Y3205" s="33" t="s">
        <v>8076</v>
      </c>
      <c r="Z3205" s="368"/>
      <c r="AA3205" s="333"/>
      <c r="AB3205" s="258">
        <v>39.0</v>
      </c>
      <c r="AC3205" s="333"/>
      <c r="AD3205" s="329"/>
      <c r="AE3205" s="331"/>
      <c r="AF3205" s="336"/>
      <c r="AG3205" s="337" t="str">
        <f>IFS(LEN(AF3205)=17,LOWER('2-Building'!$B$4 &amp; "-" &amp; C3205), AF3205="N/A", "N/A", LEN(AF3205)=0,"")</f>
        <v/>
      </c>
      <c r="AH3205" s="333"/>
      <c r="AI3205" s="333"/>
      <c r="AJ3205" s="333"/>
      <c r="AK3205" s="333"/>
      <c r="AL3205" s="333"/>
      <c r="AM3205" s="338"/>
      <c r="AN3205" s="333"/>
      <c r="AO3205" s="333"/>
      <c r="AP3205" s="333"/>
      <c r="AQ3205" s="333"/>
      <c r="AR3205" s="333"/>
      <c r="AS3205" s="333"/>
      <c r="AT3205" s="333"/>
      <c r="AU3205" s="329"/>
      <c r="AV3205" s="341"/>
      <c r="AW3205" s="269" t="s">
        <v>1690</v>
      </c>
      <c r="AX3205" s="269" t="s">
        <v>2869</v>
      </c>
      <c r="AY3205" s="270" t="s">
        <v>695</v>
      </c>
      <c r="AZ3205" s="379"/>
      <c r="BA3205" s="173">
        <v>10.0</v>
      </c>
      <c r="BB3205" s="341"/>
      <c r="BC3205" s="341"/>
      <c r="BD3205" s="308" t="s">
        <v>1844</v>
      </c>
      <c r="BE3205" s="364"/>
      <c r="BF3205" s="274" t="str">
        <f>IFERROR(__xludf.DUMMYFUNCTION("LOWER(Regexreplace(to_text(E3205),""[^A-Za-z0-9]"","""")&amp;""_""&amp;Regexreplace(to_text(F3205),""[^A-Za-z0-9]"",""""))"),"aquagen_evcbseries")</f>
        <v>aquagen_evcbseries</v>
      </c>
      <c r="BG3205" s="275" t="str">
        <f>IFERROR(__xludf.DUMMYFUNCTION("upper(Regexreplace(to_text(E3205),""[^A-Za-z0-9]"","""")&amp;""-""&amp;Regexreplace(to_text(F3205),""[^A-Za-z0-9]"",""""))"),"AQUAGEN-EVCBSERIES")</f>
        <v>AQUAGEN-EVCBSERIES</v>
      </c>
    </row>
    <row r="3206" ht="30.0" customHeight="1">
      <c r="A3206" s="258">
        <v>2690.0</v>
      </c>
      <c r="B3206" s="328" t="s">
        <v>670</v>
      </c>
      <c r="C3206" s="257" t="s">
        <v>9913</v>
      </c>
      <c r="D3206" s="173" t="s">
        <v>9914</v>
      </c>
      <c r="E3206" s="174" t="s">
        <v>9097</v>
      </c>
      <c r="F3206" s="173" t="s">
        <v>2862</v>
      </c>
      <c r="G3206" s="328" t="s">
        <v>673</v>
      </c>
      <c r="H3206" s="328" t="s">
        <v>2863</v>
      </c>
      <c r="I3206" s="258" t="s">
        <v>9445</v>
      </c>
      <c r="J3206" s="259" t="s">
        <v>1149</v>
      </c>
      <c r="K3206" s="260" t="s">
        <v>9908</v>
      </c>
      <c r="L3206" s="366"/>
      <c r="M3206" s="329"/>
      <c r="N3206" s="173" t="s">
        <v>679</v>
      </c>
      <c r="O3206" s="173" t="s">
        <v>225</v>
      </c>
      <c r="P3206" s="262" t="str">
        <f t="shared" si="1"/>
        <v>IN-BLR-ANANTA-FAN-154_6</v>
      </c>
      <c r="Q3206" s="173" t="s">
        <v>9915</v>
      </c>
      <c r="R3206" s="328" t="str">
        <f>IFS(C3206="","",C3206="n/a","N/A",LEN(C3206),Concatenate("{",char(34),"asset",char(34),":{",char(34),"guid",char(34),":",char(34),Q3206,char(34),",",char(34),"site",char(34),":",char(34),LOWER('2-Building'!$B$4),char(34),",",char(34),"name",char(34),":",char(34),LOWER(C3206),char(34),"}}"))</f>
        <v>{"asset":{"guid":"uuid://665ced1a-2868-4a78-a04a-3b1bf0cc6864","site":"in-blr-ananta","name":"fan-154"}}</v>
      </c>
      <c r="S3206" s="369" t="s">
        <v>2866</v>
      </c>
      <c r="T3206" s="330"/>
      <c r="U3206" s="330"/>
      <c r="V3206" s="331"/>
      <c r="W3206" s="332"/>
      <c r="X3206" s="333"/>
      <c r="Y3206" s="33" t="s">
        <v>8076</v>
      </c>
      <c r="Z3206" s="368"/>
      <c r="AA3206" s="333"/>
      <c r="AB3206" s="258">
        <v>40.0</v>
      </c>
      <c r="AC3206" s="333"/>
      <c r="AD3206" s="329"/>
      <c r="AE3206" s="331"/>
      <c r="AF3206" s="336"/>
      <c r="AG3206" s="337" t="str">
        <f>IFS(LEN(AF3206)=17,LOWER('2-Building'!$B$4 &amp; "-" &amp; C3206), AF3206="N/A", "N/A", LEN(AF3206)=0,"")</f>
        <v/>
      </c>
      <c r="AH3206" s="333"/>
      <c r="AI3206" s="333"/>
      <c r="AJ3206" s="333"/>
      <c r="AK3206" s="333"/>
      <c r="AL3206" s="333"/>
      <c r="AM3206" s="338"/>
      <c r="AN3206" s="333"/>
      <c r="AO3206" s="333"/>
      <c r="AP3206" s="333"/>
      <c r="AQ3206" s="333"/>
      <c r="AR3206" s="333"/>
      <c r="AS3206" s="333"/>
      <c r="AT3206" s="333"/>
      <c r="AU3206" s="329"/>
      <c r="AV3206" s="341"/>
      <c r="AW3206" s="269" t="s">
        <v>1690</v>
      </c>
      <c r="AX3206" s="269" t="s">
        <v>2869</v>
      </c>
      <c r="AY3206" s="270" t="s">
        <v>695</v>
      </c>
      <c r="AZ3206" s="379"/>
      <c r="BA3206" s="173">
        <v>10.0</v>
      </c>
      <c r="BB3206" s="341"/>
      <c r="BC3206" s="341"/>
      <c r="BD3206" s="308" t="s">
        <v>1844</v>
      </c>
      <c r="BE3206" s="364"/>
      <c r="BF3206" s="274" t="str">
        <f>IFERROR(__xludf.DUMMYFUNCTION("LOWER(Regexreplace(to_text(E3206),""[^A-Za-z0-9]"","""")&amp;""_""&amp;Regexreplace(to_text(F3206),""[^A-Za-z0-9]"",""""))"),"aquagen_evcbseries")</f>
        <v>aquagen_evcbseries</v>
      </c>
      <c r="BG3206" s="275" t="str">
        <f>IFERROR(__xludf.DUMMYFUNCTION("upper(Regexreplace(to_text(E3206),""[^A-Za-z0-9]"","""")&amp;""-""&amp;Regexreplace(to_text(F3206),""[^A-Za-z0-9]"",""""))"),"AQUAGEN-EVCBSERIES")</f>
        <v>AQUAGEN-EVCBSERIES</v>
      </c>
    </row>
    <row r="3207" ht="30.0" customHeight="1">
      <c r="A3207" s="328">
        <v>2690.0</v>
      </c>
      <c r="B3207" s="425" t="s">
        <v>670</v>
      </c>
      <c r="C3207" s="257" t="s">
        <v>9916</v>
      </c>
      <c r="D3207" s="173" t="s">
        <v>9917</v>
      </c>
      <c r="E3207" s="174" t="s">
        <v>9097</v>
      </c>
      <c r="F3207" s="173" t="s">
        <v>2862</v>
      </c>
      <c r="G3207" s="425" t="s">
        <v>673</v>
      </c>
      <c r="H3207" s="425" t="s">
        <v>2863</v>
      </c>
      <c r="I3207" s="258" t="s">
        <v>9445</v>
      </c>
      <c r="J3207" s="259" t="s">
        <v>1149</v>
      </c>
      <c r="K3207" s="260" t="s">
        <v>9908</v>
      </c>
      <c r="L3207" s="442"/>
      <c r="M3207" s="426"/>
      <c r="N3207" s="173" t="s">
        <v>679</v>
      </c>
      <c r="O3207" s="173" t="s">
        <v>225</v>
      </c>
      <c r="P3207" s="262" t="str">
        <f t="shared" si="1"/>
        <v>IN-BLR-ANANTA-FAN-155_6</v>
      </c>
      <c r="Q3207" s="173" t="s">
        <v>9918</v>
      </c>
      <c r="R3207" s="433" t="str">
        <f>IFS(C3207="","",C3207="n/a","N/A",LEN(C3207),Concatenate("{",char(34),"asset",char(34),":{",char(34),"guid",char(34),":",char(34),Q3207,char(34),",",char(34),"site",char(34),":",char(34),LOWER('2-Building'!$B$4),char(34),",",char(34),"name",char(34),":",char(34),LOWER(C3207),char(34),"}}"))</f>
        <v>{"asset":{"guid":"uuid://4b7838fb-5f1e-4d44-a327-cd4d4160fa6c","site":"in-blr-ananta","name":"fan-155"}}</v>
      </c>
      <c r="S3207" s="369" t="s">
        <v>2866</v>
      </c>
      <c r="T3207" s="427"/>
      <c r="U3207" s="427"/>
      <c r="V3207" s="428"/>
      <c r="W3207" s="429"/>
      <c r="X3207" s="430"/>
      <c r="Y3207" s="33" t="s">
        <v>8076</v>
      </c>
      <c r="Z3207" s="430"/>
      <c r="AA3207" s="430"/>
      <c r="AB3207" s="258">
        <v>41.0</v>
      </c>
      <c r="AC3207" s="430"/>
      <c r="AD3207" s="426"/>
      <c r="AE3207" s="428"/>
      <c r="AF3207" s="431"/>
      <c r="AG3207" s="432" t="str">
        <f>IFS(LEN(AF3207)=17,LOWER('2-Building'!$B$4 &amp; "-" &amp; C3207), AF3207="N/A", "N/A", LEN(AF3207)=0,"")</f>
        <v/>
      </c>
      <c r="AH3207" s="430"/>
      <c r="AI3207" s="430"/>
      <c r="AJ3207" s="430"/>
      <c r="AK3207" s="430"/>
      <c r="AL3207" s="430"/>
      <c r="AM3207" s="433"/>
      <c r="AN3207" s="430"/>
      <c r="AO3207" s="430"/>
      <c r="AP3207" s="430"/>
      <c r="AQ3207" s="430"/>
      <c r="AR3207" s="430"/>
      <c r="AS3207" s="430"/>
      <c r="AT3207" s="430"/>
      <c r="AU3207" s="426"/>
      <c r="AV3207" s="434"/>
      <c r="AW3207" s="269" t="s">
        <v>1690</v>
      </c>
      <c r="AX3207" s="269" t="s">
        <v>2869</v>
      </c>
      <c r="AY3207" s="270" t="s">
        <v>695</v>
      </c>
      <c r="AZ3207" s="435"/>
      <c r="BA3207" s="173">
        <v>10.0</v>
      </c>
      <c r="BB3207" s="434"/>
      <c r="BC3207" s="434"/>
      <c r="BD3207" s="308" t="s">
        <v>1844</v>
      </c>
      <c r="BE3207" s="436"/>
      <c r="BF3207" s="274" t="str">
        <f>IFERROR(__xludf.DUMMYFUNCTION("LOWER(Regexreplace(to_text(E3207),""[^A-Za-z0-9]"","""")&amp;""_""&amp;Regexreplace(to_text(F3207),""[^A-Za-z0-9]"",""""))"),"aquagen_evcbseries")</f>
        <v>aquagen_evcbseries</v>
      </c>
      <c r="BG3207" s="275" t="str">
        <f>IFERROR(__xludf.DUMMYFUNCTION("upper(Regexreplace(to_text(E3207),""[^A-Za-z0-9]"","""")&amp;""-""&amp;Regexreplace(to_text(F3207),""[^A-Za-z0-9]"",""""))"),"AQUAGEN-EVCBSERIES")</f>
        <v>AQUAGEN-EVCBSERIES</v>
      </c>
    </row>
    <row r="3208" ht="30.0" customHeight="1">
      <c r="A3208" s="258">
        <v>2690.0</v>
      </c>
      <c r="B3208" s="328" t="s">
        <v>670</v>
      </c>
      <c r="C3208" s="257" t="s">
        <v>9919</v>
      </c>
      <c r="D3208" s="173" t="s">
        <v>9920</v>
      </c>
      <c r="E3208" s="174" t="s">
        <v>9097</v>
      </c>
      <c r="F3208" s="173" t="s">
        <v>2862</v>
      </c>
      <c r="G3208" s="328" t="s">
        <v>673</v>
      </c>
      <c r="H3208" s="328" t="s">
        <v>2863</v>
      </c>
      <c r="I3208" s="258" t="s">
        <v>9445</v>
      </c>
      <c r="J3208" s="259" t="s">
        <v>1149</v>
      </c>
      <c r="K3208" s="260" t="s">
        <v>9908</v>
      </c>
      <c r="L3208" s="366"/>
      <c r="M3208" s="329"/>
      <c r="N3208" s="173" t="s">
        <v>679</v>
      </c>
      <c r="O3208" s="173" t="s">
        <v>225</v>
      </c>
      <c r="P3208" s="262" t="str">
        <f t="shared" si="1"/>
        <v>IN-BLR-ANANTA-FAN-156_6</v>
      </c>
      <c r="Q3208" s="173" t="s">
        <v>9921</v>
      </c>
      <c r="R3208" s="328" t="str">
        <f>IFS(C3208="","",C3208="n/a","N/A",LEN(C3208),Concatenate("{",char(34),"asset",char(34),":{",char(34),"guid",char(34),":",char(34),Q3208,char(34),",",char(34),"site",char(34),":",char(34),LOWER('2-Building'!$B$4),char(34),",",char(34),"name",char(34),":",char(34),LOWER(C3208),char(34),"}}"))</f>
        <v>{"asset":{"guid":"uuid://f9bf9ed3-e72f-44b8-b34e-0bd62538b344","site":"in-blr-ananta","name":"fan-156"}}</v>
      </c>
      <c r="S3208" s="369" t="s">
        <v>2866</v>
      </c>
      <c r="T3208" s="330"/>
      <c r="U3208" s="330"/>
      <c r="V3208" s="331"/>
      <c r="W3208" s="332"/>
      <c r="X3208" s="333"/>
      <c r="Y3208" s="33" t="s">
        <v>8076</v>
      </c>
      <c r="Z3208" s="368"/>
      <c r="AA3208" s="333"/>
      <c r="AB3208" s="258">
        <v>42.0</v>
      </c>
      <c r="AC3208" s="333"/>
      <c r="AD3208" s="329"/>
      <c r="AE3208" s="331"/>
      <c r="AF3208" s="336"/>
      <c r="AG3208" s="337" t="str">
        <f>IFS(LEN(AF3208)=17,LOWER('2-Building'!$B$4 &amp; "-" &amp; C3208), AF3208="N/A", "N/A", LEN(AF3208)=0,"")</f>
        <v/>
      </c>
      <c r="AH3208" s="333"/>
      <c r="AI3208" s="333"/>
      <c r="AJ3208" s="333"/>
      <c r="AK3208" s="333"/>
      <c r="AL3208" s="333"/>
      <c r="AM3208" s="338"/>
      <c r="AN3208" s="333"/>
      <c r="AO3208" s="333"/>
      <c r="AP3208" s="333"/>
      <c r="AQ3208" s="333"/>
      <c r="AR3208" s="333"/>
      <c r="AS3208" s="333"/>
      <c r="AT3208" s="333"/>
      <c r="AU3208" s="329"/>
      <c r="AV3208" s="341"/>
      <c r="AW3208" s="269" t="s">
        <v>1690</v>
      </c>
      <c r="AX3208" s="269" t="s">
        <v>2869</v>
      </c>
      <c r="AY3208" s="270" t="s">
        <v>695</v>
      </c>
      <c r="AZ3208" s="379"/>
      <c r="BA3208" s="173">
        <v>10.0</v>
      </c>
      <c r="BB3208" s="341"/>
      <c r="BC3208" s="341"/>
      <c r="BD3208" s="308" t="s">
        <v>1844</v>
      </c>
      <c r="BE3208" s="364"/>
      <c r="BF3208" s="274" t="str">
        <f>IFERROR(__xludf.DUMMYFUNCTION("LOWER(Regexreplace(to_text(E3208),""[^A-Za-z0-9]"","""")&amp;""_""&amp;Regexreplace(to_text(F3208),""[^A-Za-z0-9]"",""""))"),"aquagen_evcbseries")</f>
        <v>aquagen_evcbseries</v>
      </c>
      <c r="BG3208" s="275" t="str">
        <f>IFERROR(__xludf.DUMMYFUNCTION("upper(Regexreplace(to_text(E3208),""[^A-Za-z0-9]"","""")&amp;""-""&amp;Regexreplace(to_text(F3208),""[^A-Za-z0-9]"",""""))"),"AQUAGEN-EVCBSERIES")</f>
        <v>AQUAGEN-EVCBSERIES</v>
      </c>
    </row>
    <row r="3209" ht="30.0" customHeight="1">
      <c r="A3209" s="328">
        <v>2690.0</v>
      </c>
      <c r="B3209" s="425" t="s">
        <v>670</v>
      </c>
      <c r="C3209" s="257" t="s">
        <v>9922</v>
      </c>
      <c r="D3209" s="173" t="s">
        <v>9923</v>
      </c>
      <c r="E3209" s="174" t="s">
        <v>9097</v>
      </c>
      <c r="F3209" s="173" t="s">
        <v>2862</v>
      </c>
      <c r="G3209" s="425" t="s">
        <v>673</v>
      </c>
      <c r="H3209" s="425" t="s">
        <v>2863</v>
      </c>
      <c r="I3209" s="258" t="s">
        <v>9445</v>
      </c>
      <c r="J3209" s="259" t="s">
        <v>1149</v>
      </c>
      <c r="K3209" s="260" t="s">
        <v>9908</v>
      </c>
      <c r="L3209" s="442"/>
      <c r="M3209" s="426"/>
      <c r="N3209" s="173" t="s">
        <v>679</v>
      </c>
      <c r="O3209" s="173" t="s">
        <v>225</v>
      </c>
      <c r="P3209" s="262" t="str">
        <f t="shared" si="1"/>
        <v>IN-BLR-ANANTA-FAN-157_6</v>
      </c>
      <c r="Q3209" s="173" t="s">
        <v>9924</v>
      </c>
      <c r="R3209" s="433" t="str">
        <f>IFS(C3209="","",C3209="n/a","N/A",LEN(C3209),Concatenate("{",char(34),"asset",char(34),":{",char(34),"guid",char(34),":",char(34),Q3209,char(34),",",char(34),"site",char(34),":",char(34),LOWER('2-Building'!$B$4),char(34),",",char(34),"name",char(34),":",char(34),LOWER(C3209),char(34),"}}"))</f>
        <v>{"asset":{"guid":"uuid://afb4198a-a7a0-4b44-af30-2d11a0bba5b2","site":"in-blr-ananta","name":"fan-157"}}</v>
      </c>
      <c r="S3209" s="369" t="s">
        <v>2866</v>
      </c>
      <c r="T3209" s="427"/>
      <c r="U3209" s="427"/>
      <c r="V3209" s="428"/>
      <c r="W3209" s="429"/>
      <c r="X3209" s="430"/>
      <c r="Y3209" s="33" t="s">
        <v>8076</v>
      </c>
      <c r="Z3209" s="430"/>
      <c r="AA3209" s="430"/>
      <c r="AB3209" s="258">
        <v>43.0</v>
      </c>
      <c r="AC3209" s="430"/>
      <c r="AD3209" s="426"/>
      <c r="AE3209" s="428"/>
      <c r="AF3209" s="431"/>
      <c r="AG3209" s="432" t="str">
        <f>IFS(LEN(AF3209)=17,LOWER('2-Building'!$B$4 &amp; "-" &amp; C3209), AF3209="N/A", "N/A", LEN(AF3209)=0,"")</f>
        <v/>
      </c>
      <c r="AH3209" s="430"/>
      <c r="AI3209" s="430"/>
      <c r="AJ3209" s="430"/>
      <c r="AK3209" s="430"/>
      <c r="AL3209" s="430"/>
      <c r="AM3209" s="433"/>
      <c r="AN3209" s="430"/>
      <c r="AO3209" s="430"/>
      <c r="AP3209" s="430"/>
      <c r="AQ3209" s="430"/>
      <c r="AR3209" s="430"/>
      <c r="AS3209" s="430"/>
      <c r="AT3209" s="430"/>
      <c r="AU3209" s="426"/>
      <c r="AV3209" s="434"/>
      <c r="AW3209" s="269" t="s">
        <v>1690</v>
      </c>
      <c r="AX3209" s="269" t="s">
        <v>2869</v>
      </c>
      <c r="AY3209" s="270" t="s">
        <v>695</v>
      </c>
      <c r="AZ3209" s="435"/>
      <c r="BA3209" s="173">
        <v>10.0</v>
      </c>
      <c r="BB3209" s="434"/>
      <c r="BC3209" s="434"/>
      <c r="BD3209" s="308" t="s">
        <v>1844</v>
      </c>
      <c r="BE3209" s="436"/>
      <c r="BF3209" s="274" t="str">
        <f>IFERROR(__xludf.DUMMYFUNCTION("LOWER(Regexreplace(to_text(E3209),""[^A-Za-z0-9]"","""")&amp;""_""&amp;Regexreplace(to_text(F3209),""[^A-Za-z0-9]"",""""))"),"aquagen_evcbseries")</f>
        <v>aquagen_evcbseries</v>
      </c>
      <c r="BG3209" s="275" t="str">
        <f>IFERROR(__xludf.DUMMYFUNCTION("upper(Regexreplace(to_text(E3209),""[^A-Za-z0-9]"","""")&amp;""-""&amp;Regexreplace(to_text(F3209),""[^A-Za-z0-9]"",""""))"),"AQUAGEN-EVCBSERIES")</f>
        <v>AQUAGEN-EVCBSERIES</v>
      </c>
    </row>
    <row r="3210" ht="30.0" customHeight="1">
      <c r="A3210" s="328">
        <v>2690.0</v>
      </c>
      <c r="B3210" s="425" t="s">
        <v>670</v>
      </c>
      <c r="C3210" s="257" t="s">
        <v>9925</v>
      </c>
      <c r="D3210" s="173" t="s">
        <v>9926</v>
      </c>
      <c r="E3210" s="174" t="s">
        <v>9097</v>
      </c>
      <c r="F3210" s="173" t="s">
        <v>2862</v>
      </c>
      <c r="G3210" s="425" t="s">
        <v>673</v>
      </c>
      <c r="H3210" s="425" t="s">
        <v>2863</v>
      </c>
      <c r="I3210" s="258" t="s">
        <v>9445</v>
      </c>
      <c r="J3210" s="259" t="s">
        <v>1088</v>
      </c>
      <c r="K3210" s="260" t="s">
        <v>9898</v>
      </c>
      <c r="L3210" s="442"/>
      <c r="M3210" s="426"/>
      <c r="N3210" s="173" t="s">
        <v>679</v>
      </c>
      <c r="O3210" s="173" t="s">
        <v>225</v>
      </c>
      <c r="P3210" s="262" t="str">
        <f t="shared" si="1"/>
        <v>IN-BLR-ANANTA-FAN-158_5</v>
      </c>
      <c r="Q3210" s="173" t="s">
        <v>9927</v>
      </c>
      <c r="R3210" s="425" t="str">
        <f>IFS(C3210="","",C3210="n/a","N/A",LEN(C3210),Concatenate("{",char(34),"asset",char(34),":{",char(34),"guid",char(34),":",char(34),Q3210,char(34),",",char(34),"site",char(34),":",char(34),LOWER('2-Building'!$B$4),char(34),",",char(34),"name",char(34),":",char(34),LOWER(C3210),char(34),"}}"))</f>
        <v>{"asset":{"guid":"uuid://67ca421d-da4f-4978-9973-468cad12bbb1","site":"in-blr-ananta","name":"fan-158"}}</v>
      </c>
      <c r="S3210" s="369" t="s">
        <v>2866</v>
      </c>
      <c r="T3210" s="427"/>
      <c r="U3210" s="427"/>
      <c r="V3210" s="428"/>
      <c r="W3210" s="429"/>
      <c r="X3210" s="430"/>
      <c r="Y3210" s="33" t="s">
        <v>8076</v>
      </c>
      <c r="Z3210" s="430"/>
      <c r="AA3210" s="430"/>
      <c r="AB3210" s="258">
        <v>56.0</v>
      </c>
      <c r="AC3210" s="430"/>
      <c r="AD3210" s="426"/>
      <c r="AE3210" s="428"/>
      <c r="AF3210" s="431"/>
      <c r="AG3210" s="432" t="str">
        <f>IFS(LEN(AF3210)=17,LOWER('2-Building'!$B$4 &amp; "-" &amp; C3210), AF3210="N/A", "N/A", LEN(AF3210)=0,"")</f>
        <v/>
      </c>
      <c r="AH3210" s="430"/>
      <c r="AI3210" s="430"/>
      <c r="AJ3210" s="430"/>
      <c r="AK3210" s="430"/>
      <c r="AL3210" s="430"/>
      <c r="AM3210" s="433"/>
      <c r="AN3210" s="430"/>
      <c r="AO3210" s="430"/>
      <c r="AP3210" s="430"/>
      <c r="AQ3210" s="430"/>
      <c r="AR3210" s="430"/>
      <c r="AS3210" s="430"/>
      <c r="AT3210" s="430"/>
      <c r="AU3210" s="426"/>
      <c r="AV3210" s="434"/>
      <c r="AW3210" s="269" t="s">
        <v>1690</v>
      </c>
      <c r="AX3210" s="269" t="s">
        <v>2869</v>
      </c>
      <c r="AY3210" s="270" t="s">
        <v>695</v>
      </c>
      <c r="AZ3210" s="435"/>
      <c r="BA3210" s="173">
        <v>10.0</v>
      </c>
      <c r="BB3210" s="434"/>
      <c r="BC3210" s="434"/>
      <c r="BD3210" s="308" t="s">
        <v>1844</v>
      </c>
      <c r="BE3210" s="436"/>
      <c r="BF3210" s="274" t="str">
        <f>IFERROR(__xludf.DUMMYFUNCTION("LOWER(Regexreplace(to_text(E3210),""[^A-Za-z0-9]"","""")&amp;""_""&amp;Regexreplace(to_text(F3210),""[^A-Za-z0-9]"",""""))"),"aquagen_evcbseries")</f>
        <v>aquagen_evcbseries</v>
      </c>
      <c r="BG3210" s="275" t="str">
        <f>IFERROR(__xludf.DUMMYFUNCTION("upper(Regexreplace(to_text(E3210),""[^A-Za-z0-9]"","""")&amp;""-""&amp;Regexreplace(to_text(F3210),""[^A-Za-z0-9]"",""""))"),"AQUAGEN-EVCBSERIES")</f>
        <v>AQUAGEN-EVCBSERIES</v>
      </c>
    </row>
    <row r="3211" ht="30.0" customHeight="1">
      <c r="A3211" s="425">
        <v>2690.0</v>
      </c>
      <c r="B3211" s="425" t="s">
        <v>670</v>
      </c>
      <c r="C3211" s="257" t="s">
        <v>9928</v>
      </c>
      <c r="D3211" s="173" t="s">
        <v>9929</v>
      </c>
      <c r="E3211" s="174" t="s">
        <v>9097</v>
      </c>
      <c r="F3211" s="173" t="s">
        <v>2862</v>
      </c>
      <c r="G3211" s="425" t="s">
        <v>673</v>
      </c>
      <c r="H3211" s="425" t="s">
        <v>2863</v>
      </c>
      <c r="I3211" s="258" t="s">
        <v>9445</v>
      </c>
      <c r="J3211" s="259" t="s">
        <v>1088</v>
      </c>
      <c r="K3211" s="260" t="s">
        <v>9898</v>
      </c>
      <c r="L3211" s="442"/>
      <c r="M3211" s="426"/>
      <c r="N3211" s="173" t="s">
        <v>679</v>
      </c>
      <c r="O3211" s="173" t="s">
        <v>225</v>
      </c>
      <c r="P3211" s="262" t="str">
        <f t="shared" si="1"/>
        <v>IN-BLR-ANANTA-FAN-159_5</v>
      </c>
      <c r="Q3211" s="173" t="s">
        <v>9930</v>
      </c>
      <c r="R3211" s="433" t="str">
        <f>IFS(C3211="","",C3211="n/a","N/A",LEN(C3211),Concatenate("{",char(34),"asset",char(34),":{",char(34),"guid",char(34),":",char(34),Q3211,char(34),",",char(34),"site",char(34),":",char(34),LOWER('2-Building'!$B$4),char(34),",",char(34),"name",char(34),":",char(34),LOWER(C3211),char(34),"}}"))</f>
        <v>{"asset":{"guid":"uuid://ff95d52a-cb3f-48df-9d01-9057ae386869","site":"in-blr-ananta","name":"fan-159"}}</v>
      </c>
      <c r="S3211" s="369" t="s">
        <v>2866</v>
      </c>
      <c r="T3211" s="427"/>
      <c r="U3211" s="427"/>
      <c r="V3211" s="428"/>
      <c r="W3211" s="429"/>
      <c r="X3211" s="430"/>
      <c r="Y3211" s="33" t="s">
        <v>8076</v>
      </c>
      <c r="Z3211" s="430"/>
      <c r="AA3211" s="430"/>
      <c r="AB3211" s="258">
        <v>57.0</v>
      </c>
      <c r="AC3211" s="430"/>
      <c r="AD3211" s="426"/>
      <c r="AE3211" s="428"/>
      <c r="AF3211" s="431"/>
      <c r="AG3211" s="432" t="str">
        <f>IFS(LEN(AF3211)=17,LOWER('2-Building'!$B$4 &amp; "-" &amp; C3211), AF3211="N/A", "N/A", LEN(AF3211)=0,"")</f>
        <v/>
      </c>
      <c r="AH3211" s="430"/>
      <c r="AI3211" s="430"/>
      <c r="AJ3211" s="430"/>
      <c r="AK3211" s="430"/>
      <c r="AL3211" s="430"/>
      <c r="AM3211" s="433"/>
      <c r="AN3211" s="430"/>
      <c r="AO3211" s="430"/>
      <c r="AP3211" s="430"/>
      <c r="AQ3211" s="430"/>
      <c r="AR3211" s="430"/>
      <c r="AS3211" s="430"/>
      <c r="AT3211" s="430"/>
      <c r="AU3211" s="426"/>
      <c r="AV3211" s="434"/>
      <c r="AW3211" s="269" t="s">
        <v>1690</v>
      </c>
      <c r="AX3211" s="269" t="s">
        <v>2869</v>
      </c>
      <c r="AY3211" s="270" t="s">
        <v>695</v>
      </c>
      <c r="AZ3211" s="435"/>
      <c r="BA3211" s="173">
        <v>10.0</v>
      </c>
      <c r="BB3211" s="434"/>
      <c r="BC3211" s="434"/>
      <c r="BD3211" s="308" t="s">
        <v>1844</v>
      </c>
      <c r="BE3211" s="436"/>
      <c r="BF3211" s="274" t="str">
        <f>IFERROR(__xludf.DUMMYFUNCTION("LOWER(Regexreplace(to_text(E3211),""[^A-Za-z0-9]"","""")&amp;""_""&amp;Regexreplace(to_text(F3211),""[^A-Za-z0-9]"",""""))"),"aquagen_evcbseries")</f>
        <v>aquagen_evcbseries</v>
      </c>
      <c r="BG3211" s="275" t="str">
        <f>IFERROR(__xludf.DUMMYFUNCTION("upper(Regexreplace(to_text(E3211),""[^A-Za-z0-9]"","""")&amp;""-""&amp;Regexreplace(to_text(F3211),""[^A-Za-z0-9]"",""""))"),"AQUAGEN-EVCBSERIES")</f>
        <v>AQUAGEN-EVCBSERIES</v>
      </c>
    </row>
    <row r="3212" ht="30.0" customHeight="1">
      <c r="A3212" s="328">
        <v>2690.0</v>
      </c>
      <c r="B3212" s="425" t="s">
        <v>670</v>
      </c>
      <c r="C3212" s="257" t="s">
        <v>9931</v>
      </c>
      <c r="D3212" s="173" t="s">
        <v>9932</v>
      </c>
      <c r="E3212" s="174" t="s">
        <v>9097</v>
      </c>
      <c r="F3212" s="173" t="s">
        <v>2862</v>
      </c>
      <c r="G3212" s="425" t="s">
        <v>673</v>
      </c>
      <c r="H3212" s="425" t="s">
        <v>2863</v>
      </c>
      <c r="I3212" s="258" t="s">
        <v>9445</v>
      </c>
      <c r="J3212" s="259" t="s">
        <v>1088</v>
      </c>
      <c r="K3212" s="260" t="s">
        <v>9898</v>
      </c>
      <c r="L3212" s="442"/>
      <c r="M3212" s="426"/>
      <c r="N3212" s="173" t="s">
        <v>679</v>
      </c>
      <c r="O3212" s="173" t="s">
        <v>225</v>
      </c>
      <c r="P3212" s="262" t="str">
        <f t="shared" si="1"/>
        <v>IN-BLR-ANANTA-FAN-160_5</v>
      </c>
      <c r="Q3212" s="173" t="s">
        <v>9933</v>
      </c>
      <c r="R3212" s="425" t="str">
        <f>IFS(C3212="","",C3212="n/a","N/A",LEN(C3212),Concatenate("{",char(34),"asset",char(34),":{",char(34),"guid",char(34),":",char(34),Q3212,char(34),",",char(34),"site",char(34),":",char(34),LOWER('2-Building'!$B$4),char(34),",",char(34),"name",char(34),":",char(34),LOWER(C3212),char(34),"}}"))</f>
        <v>{"asset":{"guid":"uuid://d571bd11-f660-4678-8df0-38720d84c0f5","site":"in-blr-ananta","name":"fan-160"}}</v>
      </c>
      <c r="S3212" s="369" t="s">
        <v>2866</v>
      </c>
      <c r="T3212" s="427"/>
      <c r="U3212" s="427"/>
      <c r="V3212" s="428"/>
      <c r="W3212" s="429"/>
      <c r="X3212" s="430"/>
      <c r="Y3212" s="33" t="s">
        <v>8076</v>
      </c>
      <c r="Z3212" s="430"/>
      <c r="AA3212" s="430"/>
      <c r="AB3212" s="258">
        <v>58.0</v>
      </c>
      <c r="AC3212" s="430"/>
      <c r="AD3212" s="426"/>
      <c r="AE3212" s="428"/>
      <c r="AF3212" s="431"/>
      <c r="AG3212" s="432" t="str">
        <f>IFS(LEN(AF3212)=17,LOWER('2-Building'!$B$4 &amp; "-" &amp; C3212), AF3212="N/A", "N/A", LEN(AF3212)=0,"")</f>
        <v/>
      </c>
      <c r="AH3212" s="430"/>
      <c r="AI3212" s="430"/>
      <c r="AJ3212" s="430"/>
      <c r="AK3212" s="430"/>
      <c r="AL3212" s="430"/>
      <c r="AM3212" s="433"/>
      <c r="AN3212" s="430"/>
      <c r="AO3212" s="430"/>
      <c r="AP3212" s="430"/>
      <c r="AQ3212" s="430"/>
      <c r="AR3212" s="430"/>
      <c r="AS3212" s="430"/>
      <c r="AT3212" s="430"/>
      <c r="AU3212" s="426"/>
      <c r="AV3212" s="434"/>
      <c r="AW3212" s="269" t="s">
        <v>1690</v>
      </c>
      <c r="AX3212" s="269" t="s">
        <v>2869</v>
      </c>
      <c r="AY3212" s="270" t="s">
        <v>695</v>
      </c>
      <c r="AZ3212" s="435"/>
      <c r="BA3212" s="173">
        <v>10.0</v>
      </c>
      <c r="BB3212" s="434"/>
      <c r="BC3212" s="434"/>
      <c r="BD3212" s="308" t="s">
        <v>1844</v>
      </c>
      <c r="BE3212" s="436"/>
      <c r="BF3212" s="274" t="str">
        <f>IFERROR(__xludf.DUMMYFUNCTION("LOWER(Regexreplace(to_text(E3212),""[^A-Za-z0-9]"","""")&amp;""_""&amp;Regexreplace(to_text(F3212),""[^A-Za-z0-9]"",""""))"),"aquagen_evcbseries")</f>
        <v>aquagen_evcbseries</v>
      </c>
      <c r="BG3212" s="275" t="str">
        <f>IFERROR(__xludf.DUMMYFUNCTION("upper(Regexreplace(to_text(E3212),""[^A-Za-z0-9]"","""")&amp;""-""&amp;Regexreplace(to_text(F3212),""[^A-Za-z0-9]"",""""))"),"AQUAGEN-EVCBSERIES")</f>
        <v>AQUAGEN-EVCBSERIES</v>
      </c>
    </row>
    <row r="3213" ht="30.0" customHeight="1">
      <c r="A3213" s="173">
        <v>2689.0</v>
      </c>
      <c r="B3213" s="328" t="s">
        <v>670</v>
      </c>
      <c r="C3213" s="257" t="s">
        <v>9934</v>
      </c>
      <c r="D3213" s="173" t="s">
        <v>9935</v>
      </c>
      <c r="E3213" s="174" t="s">
        <v>9097</v>
      </c>
      <c r="F3213" s="173" t="s">
        <v>2862</v>
      </c>
      <c r="G3213" s="328" t="s">
        <v>673</v>
      </c>
      <c r="H3213" s="328" t="s">
        <v>2863</v>
      </c>
      <c r="I3213" s="258" t="s">
        <v>9445</v>
      </c>
      <c r="J3213" s="259" t="s">
        <v>1211</v>
      </c>
      <c r="K3213" s="260" t="s">
        <v>1720</v>
      </c>
      <c r="L3213" s="366"/>
      <c r="M3213" s="329"/>
      <c r="N3213" s="173" t="s">
        <v>679</v>
      </c>
      <c r="O3213" s="173" t="s">
        <v>225</v>
      </c>
      <c r="P3213" s="262" t="str">
        <f t="shared" si="1"/>
        <v>IN-BLR-ANANTA-FAN-161_7</v>
      </c>
      <c r="Q3213" s="173" t="s">
        <v>9936</v>
      </c>
      <c r="R3213" s="328" t="str">
        <f>IFS(C3213="","",C3213="n/a","N/A",LEN(C3213),Concatenate("{",char(34),"asset",char(34),":{",char(34),"guid",char(34),":",char(34),Q3213,char(34),",",char(34),"site",char(34),":",char(34),LOWER('2-Building'!$B$4),char(34),",",char(34),"name",char(34),":",char(34),LOWER(C3213),char(34),"}}"))</f>
        <v>{"asset":{"guid":"uuid://baa34a18-5ae1-4321-a21e-da889a6cdf3d","site":"in-blr-ananta","name":"fan-161"}}</v>
      </c>
      <c r="S3213" s="369" t="s">
        <v>2866</v>
      </c>
      <c r="T3213" s="330"/>
      <c r="U3213" s="330"/>
      <c r="V3213" s="331"/>
      <c r="W3213" s="332"/>
      <c r="X3213" s="333"/>
      <c r="Y3213" s="33" t="s">
        <v>8076</v>
      </c>
      <c r="Z3213" s="368"/>
      <c r="AA3213" s="333"/>
      <c r="AB3213" s="258">
        <v>124.0</v>
      </c>
      <c r="AC3213" s="333"/>
      <c r="AD3213" s="329"/>
      <c r="AE3213" s="331"/>
      <c r="AF3213" s="336"/>
      <c r="AG3213" s="337" t="str">
        <f>IFS(LEN(AF3213)=17,LOWER('2-Building'!$B$4 &amp; "-" &amp; C3213), AF3213="N/A", "N/A", LEN(AF3213)=0,"")</f>
        <v/>
      </c>
      <c r="AH3213" s="333"/>
      <c r="AI3213" s="333"/>
      <c r="AJ3213" s="333"/>
      <c r="AK3213" s="333"/>
      <c r="AL3213" s="333"/>
      <c r="AM3213" s="338"/>
      <c r="AN3213" s="333"/>
      <c r="AO3213" s="333"/>
      <c r="AP3213" s="333"/>
      <c r="AQ3213" s="333"/>
      <c r="AR3213" s="333"/>
      <c r="AS3213" s="333"/>
      <c r="AT3213" s="333"/>
      <c r="AU3213" s="329"/>
      <c r="AV3213" s="341"/>
      <c r="AW3213" s="269" t="s">
        <v>1690</v>
      </c>
      <c r="AX3213" s="269" t="s">
        <v>2869</v>
      </c>
      <c r="AY3213" s="270" t="s">
        <v>695</v>
      </c>
      <c r="AZ3213" s="379"/>
      <c r="BA3213" s="173">
        <v>10.0</v>
      </c>
      <c r="BB3213" s="341"/>
      <c r="BC3213" s="341"/>
      <c r="BD3213" s="308" t="s">
        <v>1844</v>
      </c>
      <c r="BE3213" s="364"/>
      <c r="BF3213" s="274" t="str">
        <f>IFERROR(__xludf.DUMMYFUNCTION("LOWER(Regexreplace(to_text(E3213),""[^A-Za-z0-9]"","""")&amp;""_""&amp;Regexreplace(to_text(F3213),""[^A-Za-z0-9]"",""""))"),"aquagen_evcbseries")</f>
        <v>aquagen_evcbseries</v>
      </c>
      <c r="BG3213" s="275" t="str">
        <f>IFERROR(__xludf.DUMMYFUNCTION("upper(Regexreplace(to_text(E3213),""[^A-Za-z0-9]"","""")&amp;""-""&amp;Regexreplace(to_text(F3213),""[^A-Za-z0-9]"",""""))"),"AQUAGEN-EVCBSERIES")</f>
        <v>AQUAGEN-EVCBSERIES</v>
      </c>
    </row>
    <row r="3214" ht="30.0" customHeight="1">
      <c r="A3214" s="173">
        <v>2691.0</v>
      </c>
      <c r="B3214" s="328" t="s">
        <v>670</v>
      </c>
      <c r="C3214" s="257" t="s">
        <v>9937</v>
      </c>
      <c r="D3214" s="173" t="s">
        <v>9938</v>
      </c>
      <c r="E3214" s="174" t="s">
        <v>9097</v>
      </c>
      <c r="F3214" s="173" t="s">
        <v>2862</v>
      </c>
      <c r="G3214" s="328" t="s">
        <v>673</v>
      </c>
      <c r="H3214" s="328" t="s">
        <v>2863</v>
      </c>
      <c r="I3214" s="258" t="s">
        <v>9445</v>
      </c>
      <c r="J3214" s="259" t="s">
        <v>1211</v>
      </c>
      <c r="K3214" s="260" t="s">
        <v>1720</v>
      </c>
      <c r="L3214" s="366"/>
      <c r="M3214" s="329"/>
      <c r="N3214" s="173" t="s">
        <v>679</v>
      </c>
      <c r="O3214" s="173" t="s">
        <v>225</v>
      </c>
      <c r="P3214" s="262" t="str">
        <f t="shared" si="1"/>
        <v>IN-BLR-ANANTA-FAN-162_7</v>
      </c>
      <c r="Q3214" s="173" t="s">
        <v>9939</v>
      </c>
      <c r="R3214" s="328" t="str">
        <f>IFS(C3214="","",C3214="n/a","N/A",LEN(C3214),Concatenate("{",char(34),"asset",char(34),":{",char(34),"guid",char(34),":",char(34),Q3214,char(34),",",char(34),"site",char(34),":",char(34),LOWER('2-Building'!$B$4),char(34),",",char(34),"name",char(34),":",char(34),LOWER(C3214),char(34),"}}"))</f>
        <v>{"asset":{"guid":"uuid://1d6e346b-5bae-4792-a1ab-b82cfad5fcbb","site":"in-blr-ananta","name":"fan-162"}}</v>
      </c>
      <c r="S3214" s="369" t="s">
        <v>2866</v>
      </c>
      <c r="T3214" s="330"/>
      <c r="U3214" s="330"/>
      <c r="V3214" s="331"/>
      <c r="W3214" s="332"/>
      <c r="X3214" s="333"/>
      <c r="Y3214" s="33" t="s">
        <v>8076</v>
      </c>
      <c r="Z3214" s="368"/>
      <c r="AA3214" s="333"/>
      <c r="AB3214" s="258">
        <v>125.0</v>
      </c>
      <c r="AC3214" s="333"/>
      <c r="AD3214" s="329"/>
      <c r="AE3214" s="331"/>
      <c r="AF3214" s="336"/>
      <c r="AG3214" s="337" t="str">
        <f>IFS(LEN(AF3214)=17,LOWER('2-Building'!$B$4 &amp; "-" &amp; C3214), AF3214="N/A", "N/A", LEN(AF3214)=0,"")</f>
        <v/>
      </c>
      <c r="AH3214" s="333"/>
      <c r="AI3214" s="333"/>
      <c r="AJ3214" s="333"/>
      <c r="AK3214" s="333"/>
      <c r="AL3214" s="333"/>
      <c r="AM3214" s="338"/>
      <c r="AN3214" s="333"/>
      <c r="AO3214" s="333"/>
      <c r="AP3214" s="333"/>
      <c r="AQ3214" s="333"/>
      <c r="AR3214" s="333"/>
      <c r="AS3214" s="333"/>
      <c r="AT3214" s="333"/>
      <c r="AU3214" s="329"/>
      <c r="AV3214" s="341"/>
      <c r="AW3214" s="269" t="s">
        <v>1690</v>
      </c>
      <c r="AX3214" s="269" t="s">
        <v>2869</v>
      </c>
      <c r="AY3214" s="270" t="s">
        <v>695</v>
      </c>
      <c r="AZ3214" s="379"/>
      <c r="BA3214" s="173">
        <v>10.0</v>
      </c>
      <c r="BB3214" s="341"/>
      <c r="BC3214" s="341"/>
      <c r="BD3214" s="308" t="s">
        <v>1844</v>
      </c>
      <c r="BE3214" s="364"/>
      <c r="BF3214" s="274" t="str">
        <f>IFERROR(__xludf.DUMMYFUNCTION("LOWER(Regexreplace(to_text(E3214),""[^A-Za-z0-9]"","""")&amp;""_""&amp;Regexreplace(to_text(F3214),""[^A-Za-z0-9]"",""""))"),"aquagen_evcbseries")</f>
        <v>aquagen_evcbseries</v>
      </c>
      <c r="BG3214" s="275" t="str">
        <f>IFERROR(__xludf.DUMMYFUNCTION("upper(Regexreplace(to_text(E3214),""[^A-Za-z0-9]"","""")&amp;""-""&amp;Regexreplace(to_text(F3214),""[^A-Za-z0-9]"",""""))"),"AQUAGEN-EVCBSERIES")</f>
        <v>AQUAGEN-EVCBSERIES</v>
      </c>
    </row>
    <row r="3215" ht="30.0" customHeight="1">
      <c r="A3215" s="258">
        <v>2690.0</v>
      </c>
      <c r="B3215" s="328" t="s">
        <v>670</v>
      </c>
      <c r="C3215" s="257" t="s">
        <v>9940</v>
      </c>
      <c r="D3215" s="173" t="s">
        <v>9941</v>
      </c>
      <c r="E3215" s="174" t="s">
        <v>9097</v>
      </c>
      <c r="F3215" s="173" t="s">
        <v>2862</v>
      </c>
      <c r="G3215" s="328" t="s">
        <v>673</v>
      </c>
      <c r="H3215" s="328" t="s">
        <v>2863</v>
      </c>
      <c r="I3215" s="258" t="s">
        <v>9445</v>
      </c>
      <c r="J3215" s="259" t="s">
        <v>1211</v>
      </c>
      <c r="K3215" s="260" t="s">
        <v>1720</v>
      </c>
      <c r="L3215" s="366"/>
      <c r="M3215" s="329"/>
      <c r="N3215" s="173" t="s">
        <v>679</v>
      </c>
      <c r="O3215" s="173" t="s">
        <v>225</v>
      </c>
      <c r="P3215" s="262" t="str">
        <f t="shared" si="1"/>
        <v>IN-BLR-ANANTA-FAN-163_7</v>
      </c>
      <c r="Q3215" s="173" t="s">
        <v>9942</v>
      </c>
      <c r="R3215" s="328" t="str">
        <f>IFS(C3215="","",C3215="n/a","N/A",LEN(C3215),Concatenate("{",char(34),"asset",char(34),":{",char(34),"guid",char(34),":",char(34),Q3215,char(34),",",char(34),"site",char(34),":",char(34),LOWER('2-Building'!$B$4),char(34),",",char(34),"name",char(34),":",char(34),LOWER(C3215),char(34),"}}"))</f>
        <v>{"asset":{"guid":"uuid://47ec8f3e-60a0-4aab-a7c4-fe072cbf8f4a","site":"in-blr-ananta","name":"fan-163"}}</v>
      </c>
      <c r="S3215" s="369" t="s">
        <v>2866</v>
      </c>
      <c r="T3215" s="330"/>
      <c r="U3215" s="330"/>
      <c r="V3215" s="331"/>
      <c r="W3215" s="332"/>
      <c r="X3215" s="333"/>
      <c r="Y3215" s="33" t="s">
        <v>8076</v>
      </c>
      <c r="Z3215" s="368"/>
      <c r="AA3215" s="333"/>
      <c r="AB3215" s="258">
        <v>126.0</v>
      </c>
      <c r="AC3215" s="333"/>
      <c r="AD3215" s="329"/>
      <c r="AE3215" s="331"/>
      <c r="AF3215" s="336"/>
      <c r="AG3215" s="337" t="str">
        <f>IFS(LEN(AF3215)=17,LOWER('2-Building'!$B$4 &amp; "-" &amp; C3215), AF3215="N/A", "N/A", LEN(AF3215)=0,"")</f>
        <v/>
      </c>
      <c r="AH3215" s="333"/>
      <c r="AI3215" s="333"/>
      <c r="AJ3215" s="333"/>
      <c r="AK3215" s="333"/>
      <c r="AL3215" s="333"/>
      <c r="AM3215" s="338"/>
      <c r="AN3215" s="333"/>
      <c r="AO3215" s="333"/>
      <c r="AP3215" s="333"/>
      <c r="AQ3215" s="333"/>
      <c r="AR3215" s="333"/>
      <c r="AS3215" s="333"/>
      <c r="AT3215" s="333"/>
      <c r="AU3215" s="329"/>
      <c r="AV3215" s="341"/>
      <c r="AW3215" s="269" t="s">
        <v>1690</v>
      </c>
      <c r="AX3215" s="269" t="s">
        <v>2869</v>
      </c>
      <c r="AY3215" s="270" t="s">
        <v>695</v>
      </c>
      <c r="AZ3215" s="379"/>
      <c r="BA3215" s="173">
        <v>10.0</v>
      </c>
      <c r="BB3215" s="341"/>
      <c r="BC3215" s="341"/>
      <c r="BD3215" s="308" t="s">
        <v>1844</v>
      </c>
      <c r="BE3215" s="364"/>
      <c r="BF3215" s="274" t="str">
        <f>IFERROR(__xludf.DUMMYFUNCTION("LOWER(Regexreplace(to_text(E3215),""[^A-Za-z0-9]"","""")&amp;""_""&amp;Regexreplace(to_text(F3215),""[^A-Za-z0-9]"",""""))"),"aquagen_evcbseries")</f>
        <v>aquagen_evcbseries</v>
      </c>
      <c r="BG3215" s="275" t="str">
        <f>IFERROR(__xludf.DUMMYFUNCTION("upper(Regexreplace(to_text(E3215),""[^A-Za-z0-9]"","""")&amp;""-""&amp;Regexreplace(to_text(F3215),""[^A-Za-z0-9]"",""""))"),"AQUAGEN-EVCBSERIES")</f>
        <v>AQUAGEN-EVCBSERIES</v>
      </c>
    </row>
    <row r="3216" ht="30.0" customHeight="1">
      <c r="A3216" s="328">
        <v>2690.0</v>
      </c>
      <c r="B3216" s="425" t="s">
        <v>670</v>
      </c>
      <c r="C3216" s="257" t="s">
        <v>9943</v>
      </c>
      <c r="D3216" s="173" t="s">
        <v>9944</v>
      </c>
      <c r="E3216" s="174" t="s">
        <v>9097</v>
      </c>
      <c r="F3216" s="173" t="s">
        <v>2862</v>
      </c>
      <c r="G3216" s="425" t="s">
        <v>673</v>
      </c>
      <c r="H3216" s="425" t="s">
        <v>2863</v>
      </c>
      <c r="I3216" s="258" t="s">
        <v>9445</v>
      </c>
      <c r="J3216" s="259" t="s">
        <v>1211</v>
      </c>
      <c r="K3216" s="260" t="s">
        <v>1720</v>
      </c>
      <c r="L3216" s="442"/>
      <c r="M3216" s="426"/>
      <c r="N3216" s="173" t="s">
        <v>679</v>
      </c>
      <c r="O3216" s="173" t="s">
        <v>225</v>
      </c>
      <c r="P3216" s="262" t="str">
        <f t="shared" si="1"/>
        <v>IN-BLR-ANANTA-FAN-164_7</v>
      </c>
      <c r="Q3216" s="173" t="s">
        <v>9945</v>
      </c>
      <c r="R3216" s="433" t="str">
        <f>IFS(C3216="","",C3216="n/a","N/A",LEN(C3216),Concatenate("{",char(34),"asset",char(34),":{",char(34),"guid",char(34),":",char(34),Q3216,char(34),",",char(34),"site",char(34),":",char(34),LOWER('2-Building'!$B$4),char(34),",",char(34),"name",char(34),":",char(34),LOWER(C3216),char(34),"}}"))</f>
        <v>{"asset":{"guid":"uuid://848f97e9-21e2-441a-ad46-6e57f4902943","site":"in-blr-ananta","name":"fan-164"}}</v>
      </c>
      <c r="S3216" s="369" t="s">
        <v>2866</v>
      </c>
      <c r="T3216" s="427"/>
      <c r="U3216" s="427"/>
      <c r="V3216" s="428"/>
      <c r="W3216" s="429"/>
      <c r="X3216" s="430"/>
      <c r="Y3216" s="33" t="s">
        <v>8076</v>
      </c>
      <c r="Z3216" s="430"/>
      <c r="AA3216" s="430"/>
      <c r="AB3216" s="258">
        <v>127.0</v>
      </c>
      <c r="AC3216" s="430"/>
      <c r="AD3216" s="426"/>
      <c r="AE3216" s="428"/>
      <c r="AF3216" s="431"/>
      <c r="AG3216" s="432" t="str">
        <f>IFS(LEN(AF3216)=17,LOWER('2-Building'!$B$4 &amp; "-" &amp; C3216), AF3216="N/A", "N/A", LEN(AF3216)=0,"")</f>
        <v/>
      </c>
      <c r="AH3216" s="430"/>
      <c r="AI3216" s="430"/>
      <c r="AJ3216" s="430"/>
      <c r="AK3216" s="430"/>
      <c r="AL3216" s="430"/>
      <c r="AM3216" s="433"/>
      <c r="AN3216" s="430"/>
      <c r="AO3216" s="430"/>
      <c r="AP3216" s="430"/>
      <c r="AQ3216" s="430"/>
      <c r="AR3216" s="430"/>
      <c r="AS3216" s="430"/>
      <c r="AT3216" s="430"/>
      <c r="AU3216" s="426"/>
      <c r="AV3216" s="434"/>
      <c r="AW3216" s="269" t="s">
        <v>1690</v>
      </c>
      <c r="AX3216" s="269" t="s">
        <v>2869</v>
      </c>
      <c r="AY3216" s="270" t="s">
        <v>695</v>
      </c>
      <c r="AZ3216" s="435"/>
      <c r="BA3216" s="173">
        <v>10.0</v>
      </c>
      <c r="BB3216" s="434"/>
      <c r="BC3216" s="434"/>
      <c r="BD3216" s="308" t="s">
        <v>1844</v>
      </c>
      <c r="BE3216" s="436"/>
      <c r="BF3216" s="274" t="str">
        <f>IFERROR(__xludf.DUMMYFUNCTION("LOWER(Regexreplace(to_text(E3216),""[^A-Za-z0-9]"","""")&amp;""_""&amp;Regexreplace(to_text(F3216),""[^A-Za-z0-9]"",""""))"),"aquagen_evcbseries")</f>
        <v>aquagen_evcbseries</v>
      </c>
      <c r="BG3216" s="275" t="str">
        <f>IFERROR(__xludf.DUMMYFUNCTION("upper(Regexreplace(to_text(E3216),""[^A-Za-z0-9]"","""")&amp;""-""&amp;Regexreplace(to_text(F3216),""[^A-Za-z0-9]"",""""))"),"AQUAGEN-EVCBSERIES")</f>
        <v>AQUAGEN-EVCBSERIES</v>
      </c>
    </row>
    <row r="3217" ht="30.0" customHeight="1">
      <c r="A3217" s="258">
        <v>2690.0</v>
      </c>
      <c r="B3217" s="328" t="s">
        <v>670</v>
      </c>
      <c r="C3217" s="257" t="s">
        <v>9946</v>
      </c>
      <c r="D3217" s="173" t="s">
        <v>9947</v>
      </c>
      <c r="E3217" s="174" t="s">
        <v>9097</v>
      </c>
      <c r="F3217" s="173" t="s">
        <v>2862</v>
      </c>
      <c r="G3217" s="328" t="s">
        <v>673</v>
      </c>
      <c r="H3217" s="328" t="s">
        <v>2863</v>
      </c>
      <c r="I3217" s="258" t="s">
        <v>9445</v>
      </c>
      <c r="J3217" s="259" t="s">
        <v>1211</v>
      </c>
      <c r="K3217" s="260" t="s">
        <v>1720</v>
      </c>
      <c r="L3217" s="366"/>
      <c r="M3217" s="329"/>
      <c r="N3217" s="173" t="s">
        <v>679</v>
      </c>
      <c r="O3217" s="173" t="s">
        <v>225</v>
      </c>
      <c r="P3217" s="262" t="str">
        <f t="shared" si="1"/>
        <v>IN-BLR-ANANTA-FAN-165_7</v>
      </c>
      <c r="Q3217" s="173" t="s">
        <v>9948</v>
      </c>
      <c r="R3217" s="328" t="str">
        <f>IFS(C3217="","",C3217="n/a","N/A",LEN(C3217),Concatenate("{",char(34),"asset",char(34),":{",char(34),"guid",char(34),":",char(34),Q3217,char(34),",",char(34),"site",char(34),":",char(34),LOWER('2-Building'!$B$4),char(34),",",char(34),"name",char(34),":",char(34),LOWER(C3217),char(34),"}}"))</f>
        <v>{"asset":{"guid":"uuid://eb5d5db8-bc2e-45a8-98fb-0a029831a591","site":"in-blr-ananta","name":"fan-165"}}</v>
      </c>
      <c r="S3217" s="369" t="s">
        <v>2866</v>
      </c>
      <c r="T3217" s="330"/>
      <c r="U3217" s="330"/>
      <c r="V3217" s="331"/>
      <c r="W3217" s="332"/>
      <c r="X3217" s="333"/>
      <c r="Y3217" s="33" t="s">
        <v>8076</v>
      </c>
      <c r="Z3217" s="368"/>
      <c r="AA3217" s="333"/>
      <c r="AB3217" s="258">
        <v>128.0</v>
      </c>
      <c r="AC3217" s="333"/>
      <c r="AD3217" s="329"/>
      <c r="AE3217" s="331"/>
      <c r="AF3217" s="336"/>
      <c r="AG3217" s="337" t="str">
        <f>IFS(LEN(AF3217)=17,LOWER('2-Building'!$B$4 &amp; "-" &amp; C3217), AF3217="N/A", "N/A", LEN(AF3217)=0,"")</f>
        <v/>
      </c>
      <c r="AH3217" s="333"/>
      <c r="AI3217" s="333"/>
      <c r="AJ3217" s="333"/>
      <c r="AK3217" s="333"/>
      <c r="AL3217" s="333"/>
      <c r="AM3217" s="338"/>
      <c r="AN3217" s="333"/>
      <c r="AO3217" s="333"/>
      <c r="AP3217" s="333"/>
      <c r="AQ3217" s="333"/>
      <c r="AR3217" s="333"/>
      <c r="AS3217" s="333"/>
      <c r="AT3217" s="333"/>
      <c r="AU3217" s="329"/>
      <c r="AV3217" s="341"/>
      <c r="AW3217" s="269" t="s">
        <v>1690</v>
      </c>
      <c r="AX3217" s="269" t="s">
        <v>2869</v>
      </c>
      <c r="AY3217" s="270" t="s">
        <v>695</v>
      </c>
      <c r="AZ3217" s="379"/>
      <c r="BA3217" s="173">
        <v>10.0</v>
      </c>
      <c r="BB3217" s="341"/>
      <c r="BC3217" s="341"/>
      <c r="BD3217" s="308" t="s">
        <v>1844</v>
      </c>
      <c r="BE3217" s="364"/>
      <c r="BF3217" s="274" t="str">
        <f>IFERROR(__xludf.DUMMYFUNCTION("LOWER(Regexreplace(to_text(E3217),""[^A-Za-z0-9]"","""")&amp;""_""&amp;Regexreplace(to_text(F3217),""[^A-Za-z0-9]"",""""))"),"aquagen_evcbseries")</f>
        <v>aquagen_evcbseries</v>
      </c>
      <c r="BG3217" s="275" t="str">
        <f>IFERROR(__xludf.DUMMYFUNCTION("upper(Regexreplace(to_text(E3217),""[^A-Za-z0-9]"","""")&amp;""-""&amp;Regexreplace(to_text(F3217),""[^A-Za-z0-9]"",""""))"),"AQUAGEN-EVCBSERIES")</f>
        <v>AQUAGEN-EVCBSERIES</v>
      </c>
    </row>
    <row r="3218" ht="30.0" customHeight="1">
      <c r="A3218" s="328">
        <v>2690.0</v>
      </c>
      <c r="B3218" s="425" t="s">
        <v>670</v>
      </c>
      <c r="C3218" s="257" t="s">
        <v>9949</v>
      </c>
      <c r="D3218" s="173" t="s">
        <v>9950</v>
      </c>
      <c r="E3218" s="174" t="s">
        <v>9097</v>
      </c>
      <c r="F3218" s="173" t="s">
        <v>2862</v>
      </c>
      <c r="G3218" s="425" t="s">
        <v>673</v>
      </c>
      <c r="H3218" s="425" t="s">
        <v>2863</v>
      </c>
      <c r="I3218" s="258" t="s">
        <v>9445</v>
      </c>
      <c r="J3218" s="259" t="s">
        <v>1211</v>
      </c>
      <c r="K3218" s="260" t="s">
        <v>1720</v>
      </c>
      <c r="L3218" s="442"/>
      <c r="M3218" s="426"/>
      <c r="N3218" s="173" t="s">
        <v>679</v>
      </c>
      <c r="O3218" s="173" t="s">
        <v>225</v>
      </c>
      <c r="P3218" s="262" t="str">
        <f t="shared" si="1"/>
        <v>IN-BLR-ANANTA-FAN-166_7</v>
      </c>
      <c r="Q3218" s="173" t="s">
        <v>9951</v>
      </c>
      <c r="R3218" s="433" t="str">
        <f>IFS(C3218="","",C3218="n/a","N/A",LEN(C3218),Concatenate("{",char(34),"asset",char(34),":{",char(34),"guid",char(34),":",char(34),Q3218,char(34),",",char(34),"site",char(34),":",char(34),LOWER('2-Building'!$B$4),char(34),",",char(34),"name",char(34),":",char(34),LOWER(C3218),char(34),"}}"))</f>
        <v>{"asset":{"guid":"uuid://318835b1-4bb9-45ec-9010-da527b3f258c","site":"in-blr-ananta","name":"fan-166"}}</v>
      </c>
      <c r="S3218" s="369" t="s">
        <v>2866</v>
      </c>
      <c r="T3218" s="427"/>
      <c r="U3218" s="427"/>
      <c r="V3218" s="428"/>
      <c r="W3218" s="429"/>
      <c r="X3218" s="430"/>
      <c r="Y3218" s="33" t="s">
        <v>8076</v>
      </c>
      <c r="Z3218" s="430"/>
      <c r="AA3218" s="430"/>
      <c r="AB3218" s="258">
        <v>129.0</v>
      </c>
      <c r="AC3218" s="430"/>
      <c r="AD3218" s="426"/>
      <c r="AE3218" s="428"/>
      <c r="AF3218" s="431"/>
      <c r="AG3218" s="432" t="str">
        <f>IFS(LEN(AF3218)=17,LOWER('2-Building'!$B$4 &amp; "-" &amp; C3218), AF3218="N/A", "N/A", LEN(AF3218)=0,"")</f>
        <v/>
      </c>
      <c r="AH3218" s="430"/>
      <c r="AI3218" s="430"/>
      <c r="AJ3218" s="430"/>
      <c r="AK3218" s="430"/>
      <c r="AL3218" s="430"/>
      <c r="AM3218" s="433"/>
      <c r="AN3218" s="430"/>
      <c r="AO3218" s="430"/>
      <c r="AP3218" s="430"/>
      <c r="AQ3218" s="430"/>
      <c r="AR3218" s="430"/>
      <c r="AS3218" s="430"/>
      <c r="AT3218" s="430"/>
      <c r="AU3218" s="426"/>
      <c r="AV3218" s="434"/>
      <c r="AW3218" s="269" t="s">
        <v>1690</v>
      </c>
      <c r="AX3218" s="269" t="s">
        <v>2869</v>
      </c>
      <c r="AY3218" s="270" t="s">
        <v>695</v>
      </c>
      <c r="AZ3218" s="435"/>
      <c r="BA3218" s="173">
        <v>10.0</v>
      </c>
      <c r="BB3218" s="434"/>
      <c r="BC3218" s="434"/>
      <c r="BD3218" s="308" t="s">
        <v>1844</v>
      </c>
      <c r="BE3218" s="436"/>
      <c r="BF3218" s="274" t="str">
        <f>IFERROR(__xludf.DUMMYFUNCTION("LOWER(Regexreplace(to_text(E3218),""[^A-Za-z0-9]"","""")&amp;""_""&amp;Regexreplace(to_text(F3218),""[^A-Za-z0-9]"",""""))"),"aquagen_evcbseries")</f>
        <v>aquagen_evcbseries</v>
      </c>
      <c r="BG3218" s="275" t="str">
        <f>IFERROR(__xludf.DUMMYFUNCTION("upper(Regexreplace(to_text(E3218),""[^A-Za-z0-9]"","""")&amp;""-""&amp;Regexreplace(to_text(F3218),""[^A-Za-z0-9]"",""""))"),"AQUAGEN-EVCBSERIES")</f>
        <v>AQUAGEN-EVCBSERIES</v>
      </c>
    </row>
    <row r="3219" ht="30.0" customHeight="1">
      <c r="A3219" s="328">
        <v>2690.0</v>
      </c>
      <c r="B3219" s="425" t="s">
        <v>670</v>
      </c>
      <c r="C3219" s="257" t="s">
        <v>9952</v>
      </c>
      <c r="D3219" s="173" t="s">
        <v>9953</v>
      </c>
      <c r="E3219" s="174" t="s">
        <v>9097</v>
      </c>
      <c r="F3219" s="173" t="s">
        <v>2862</v>
      </c>
      <c r="G3219" s="425" t="s">
        <v>673</v>
      </c>
      <c r="H3219" s="425" t="s">
        <v>2863</v>
      </c>
      <c r="I3219" s="258" t="s">
        <v>9445</v>
      </c>
      <c r="J3219" s="259" t="s">
        <v>1026</v>
      </c>
      <c r="K3219" s="260" t="s">
        <v>9954</v>
      </c>
      <c r="L3219" s="442"/>
      <c r="M3219" s="426"/>
      <c r="N3219" s="173" t="s">
        <v>679</v>
      </c>
      <c r="O3219" s="173" t="s">
        <v>225</v>
      </c>
      <c r="P3219" s="262" t="str">
        <f t="shared" si="1"/>
        <v>IN-BLR-ANANTA-FAN-167_4</v>
      </c>
      <c r="Q3219" s="173" t="s">
        <v>9955</v>
      </c>
      <c r="R3219" s="425" t="str">
        <f>IFS(C3219="","",C3219="n/a","N/A",LEN(C3219),Concatenate("{",char(34),"asset",char(34),":{",char(34),"guid",char(34),":",char(34),Q3219,char(34),",",char(34),"site",char(34),":",char(34),LOWER('2-Building'!$B$4),char(34),",",char(34),"name",char(34),":",char(34),LOWER(C3219),char(34),"}}"))</f>
        <v>{"asset":{"guid":"uuid://0d12319b-d3b5-44c7-8486-4d23ee639052","site":"in-blr-ananta","name":"fan-167"}}</v>
      </c>
      <c r="S3219" s="369" t="s">
        <v>2866</v>
      </c>
      <c r="T3219" s="427"/>
      <c r="U3219" s="427"/>
      <c r="V3219" s="428"/>
      <c r="W3219" s="429"/>
      <c r="X3219" s="430"/>
      <c r="Y3219" s="33" t="s">
        <v>8076</v>
      </c>
      <c r="Z3219" s="430"/>
      <c r="AA3219" s="430"/>
      <c r="AB3219" s="258">
        <v>56.0</v>
      </c>
      <c r="AC3219" s="430"/>
      <c r="AD3219" s="426"/>
      <c r="AE3219" s="428"/>
      <c r="AF3219" s="431"/>
      <c r="AG3219" s="432" t="str">
        <f>IFS(LEN(AF3219)=17,LOWER('2-Building'!$B$4 &amp; "-" &amp; C3219), AF3219="N/A", "N/A", LEN(AF3219)=0,"")</f>
        <v/>
      </c>
      <c r="AH3219" s="430"/>
      <c r="AI3219" s="430"/>
      <c r="AJ3219" s="430"/>
      <c r="AK3219" s="430"/>
      <c r="AL3219" s="430"/>
      <c r="AM3219" s="433"/>
      <c r="AN3219" s="430"/>
      <c r="AO3219" s="430"/>
      <c r="AP3219" s="430"/>
      <c r="AQ3219" s="430"/>
      <c r="AR3219" s="430"/>
      <c r="AS3219" s="430"/>
      <c r="AT3219" s="430"/>
      <c r="AU3219" s="426"/>
      <c r="AV3219" s="434"/>
      <c r="AW3219" s="269" t="s">
        <v>1700</v>
      </c>
      <c r="AX3219" s="269" t="s">
        <v>2869</v>
      </c>
      <c r="AY3219" s="270" t="s">
        <v>695</v>
      </c>
      <c r="AZ3219" s="435"/>
      <c r="BA3219" s="173">
        <v>10.0</v>
      </c>
      <c r="BB3219" s="434"/>
      <c r="BC3219" s="434"/>
      <c r="BD3219" s="308" t="s">
        <v>1844</v>
      </c>
      <c r="BE3219" s="436"/>
      <c r="BF3219" s="274" t="str">
        <f>IFERROR(__xludf.DUMMYFUNCTION("LOWER(Regexreplace(to_text(E3219),""[^A-Za-z0-9]"","""")&amp;""_""&amp;Regexreplace(to_text(F3219),""[^A-Za-z0-9]"",""""))"),"aquagen_evcbseries")</f>
        <v>aquagen_evcbseries</v>
      </c>
      <c r="BG3219" s="275" t="str">
        <f>IFERROR(__xludf.DUMMYFUNCTION("upper(Regexreplace(to_text(E3219),""[^A-Za-z0-9]"","""")&amp;""-""&amp;Regexreplace(to_text(F3219),""[^A-Za-z0-9]"",""""))"),"AQUAGEN-EVCBSERIES")</f>
        <v>AQUAGEN-EVCBSERIES</v>
      </c>
    </row>
    <row r="3220" ht="30.0" customHeight="1">
      <c r="A3220" s="425">
        <v>2690.0</v>
      </c>
      <c r="B3220" s="425" t="s">
        <v>670</v>
      </c>
      <c r="C3220" s="257" t="s">
        <v>9956</v>
      </c>
      <c r="D3220" s="173" t="s">
        <v>9957</v>
      </c>
      <c r="E3220" s="174" t="s">
        <v>9097</v>
      </c>
      <c r="F3220" s="173" t="s">
        <v>2862</v>
      </c>
      <c r="G3220" s="425" t="s">
        <v>673</v>
      </c>
      <c r="H3220" s="425" t="s">
        <v>2863</v>
      </c>
      <c r="I3220" s="258" t="s">
        <v>9445</v>
      </c>
      <c r="J3220" s="259" t="s">
        <v>1026</v>
      </c>
      <c r="K3220" s="260" t="s">
        <v>9954</v>
      </c>
      <c r="L3220" s="442"/>
      <c r="M3220" s="426"/>
      <c r="N3220" s="173" t="s">
        <v>679</v>
      </c>
      <c r="O3220" s="173" t="s">
        <v>225</v>
      </c>
      <c r="P3220" s="262" t="str">
        <f t="shared" si="1"/>
        <v>IN-BLR-ANANTA-FAN-168_4</v>
      </c>
      <c r="Q3220" s="173" t="s">
        <v>9958</v>
      </c>
      <c r="R3220" s="433" t="str">
        <f>IFS(C3220="","",C3220="n/a","N/A",LEN(C3220),Concatenate("{",char(34),"asset",char(34),":{",char(34),"guid",char(34),":",char(34),Q3220,char(34),",",char(34),"site",char(34),":",char(34),LOWER('2-Building'!$B$4),char(34),",",char(34),"name",char(34),":",char(34),LOWER(C3220),char(34),"}}"))</f>
        <v>{"asset":{"guid":"uuid://df20cd1a-f031-402d-a611-135db20ef014","site":"in-blr-ananta","name":"fan-168"}}</v>
      </c>
      <c r="S3220" s="369" t="s">
        <v>2866</v>
      </c>
      <c r="T3220" s="427"/>
      <c r="U3220" s="427"/>
      <c r="V3220" s="428"/>
      <c r="W3220" s="429"/>
      <c r="X3220" s="430"/>
      <c r="Y3220" s="33" t="s">
        <v>8076</v>
      </c>
      <c r="Z3220" s="430"/>
      <c r="AA3220" s="430"/>
      <c r="AB3220" s="258">
        <v>57.0</v>
      </c>
      <c r="AC3220" s="430"/>
      <c r="AD3220" s="426"/>
      <c r="AE3220" s="428"/>
      <c r="AF3220" s="431"/>
      <c r="AG3220" s="432" t="str">
        <f>IFS(LEN(AF3220)=17,LOWER('2-Building'!$B$4 &amp; "-" &amp; C3220), AF3220="N/A", "N/A", LEN(AF3220)=0,"")</f>
        <v/>
      </c>
      <c r="AH3220" s="430"/>
      <c r="AI3220" s="430"/>
      <c r="AJ3220" s="430"/>
      <c r="AK3220" s="430"/>
      <c r="AL3220" s="430"/>
      <c r="AM3220" s="433"/>
      <c r="AN3220" s="430"/>
      <c r="AO3220" s="430"/>
      <c r="AP3220" s="430"/>
      <c r="AQ3220" s="430"/>
      <c r="AR3220" s="430"/>
      <c r="AS3220" s="430"/>
      <c r="AT3220" s="430"/>
      <c r="AU3220" s="426"/>
      <c r="AV3220" s="434"/>
      <c r="AW3220" s="269" t="s">
        <v>1700</v>
      </c>
      <c r="AX3220" s="269" t="s">
        <v>2869</v>
      </c>
      <c r="AY3220" s="270" t="s">
        <v>695</v>
      </c>
      <c r="AZ3220" s="435"/>
      <c r="BA3220" s="173">
        <v>10.0</v>
      </c>
      <c r="BB3220" s="434"/>
      <c r="BC3220" s="434"/>
      <c r="BD3220" s="308" t="s">
        <v>1844</v>
      </c>
      <c r="BE3220" s="436"/>
      <c r="BF3220" s="274" t="str">
        <f>IFERROR(__xludf.DUMMYFUNCTION("LOWER(Regexreplace(to_text(E3220),""[^A-Za-z0-9]"","""")&amp;""_""&amp;Regexreplace(to_text(F3220),""[^A-Za-z0-9]"",""""))"),"aquagen_evcbseries")</f>
        <v>aquagen_evcbseries</v>
      </c>
      <c r="BG3220" s="275" t="str">
        <f>IFERROR(__xludf.DUMMYFUNCTION("upper(Regexreplace(to_text(E3220),""[^A-Za-z0-9]"","""")&amp;""-""&amp;Regexreplace(to_text(F3220),""[^A-Za-z0-9]"",""""))"),"AQUAGEN-EVCBSERIES")</f>
        <v>AQUAGEN-EVCBSERIES</v>
      </c>
    </row>
    <row r="3221" ht="30.0" customHeight="1">
      <c r="A3221" s="328">
        <v>2690.0</v>
      </c>
      <c r="B3221" s="425" t="s">
        <v>670</v>
      </c>
      <c r="C3221" s="257" t="s">
        <v>9959</v>
      </c>
      <c r="D3221" s="173" t="s">
        <v>9960</v>
      </c>
      <c r="E3221" s="174" t="s">
        <v>9097</v>
      </c>
      <c r="F3221" s="173" t="s">
        <v>2862</v>
      </c>
      <c r="G3221" s="425" t="s">
        <v>673</v>
      </c>
      <c r="H3221" s="425" t="s">
        <v>2863</v>
      </c>
      <c r="I3221" s="258" t="s">
        <v>9445</v>
      </c>
      <c r="J3221" s="259" t="s">
        <v>1026</v>
      </c>
      <c r="K3221" s="260" t="s">
        <v>9954</v>
      </c>
      <c r="L3221" s="442"/>
      <c r="M3221" s="426"/>
      <c r="N3221" s="173" t="s">
        <v>679</v>
      </c>
      <c r="O3221" s="173" t="s">
        <v>225</v>
      </c>
      <c r="P3221" s="262" t="str">
        <f t="shared" si="1"/>
        <v>IN-BLR-ANANTA-FAN-169_4</v>
      </c>
      <c r="Q3221" s="173" t="s">
        <v>9961</v>
      </c>
      <c r="R3221" s="425" t="str">
        <f>IFS(C3221="","",C3221="n/a","N/A",LEN(C3221),Concatenate("{",char(34),"asset",char(34),":{",char(34),"guid",char(34),":",char(34),Q3221,char(34),",",char(34),"site",char(34),":",char(34),LOWER('2-Building'!$B$4),char(34),",",char(34),"name",char(34),":",char(34),LOWER(C3221),char(34),"}}"))</f>
        <v>{"asset":{"guid":"uuid://74bd2788-3356-40c3-a966-eece4fd640ec","site":"in-blr-ananta","name":"fan-169"}}</v>
      </c>
      <c r="S3221" s="369" t="s">
        <v>2866</v>
      </c>
      <c r="T3221" s="427"/>
      <c r="U3221" s="427"/>
      <c r="V3221" s="428"/>
      <c r="W3221" s="429"/>
      <c r="X3221" s="430"/>
      <c r="Y3221" s="33" t="s">
        <v>8076</v>
      </c>
      <c r="Z3221" s="430"/>
      <c r="AA3221" s="430"/>
      <c r="AB3221" s="258">
        <v>58.0</v>
      </c>
      <c r="AC3221" s="430"/>
      <c r="AD3221" s="426"/>
      <c r="AE3221" s="428"/>
      <c r="AF3221" s="431"/>
      <c r="AG3221" s="432" t="str">
        <f>IFS(LEN(AF3221)=17,LOWER('2-Building'!$B$4 &amp; "-" &amp; C3221), AF3221="N/A", "N/A", LEN(AF3221)=0,"")</f>
        <v/>
      </c>
      <c r="AH3221" s="430"/>
      <c r="AI3221" s="430"/>
      <c r="AJ3221" s="430"/>
      <c r="AK3221" s="430"/>
      <c r="AL3221" s="430"/>
      <c r="AM3221" s="433"/>
      <c r="AN3221" s="430"/>
      <c r="AO3221" s="430"/>
      <c r="AP3221" s="430"/>
      <c r="AQ3221" s="430"/>
      <c r="AR3221" s="430"/>
      <c r="AS3221" s="430"/>
      <c r="AT3221" s="430"/>
      <c r="AU3221" s="426"/>
      <c r="AV3221" s="434"/>
      <c r="AW3221" s="269" t="s">
        <v>1700</v>
      </c>
      <c r="AX3221" s="269" t="s">
        <v>2869</v>
      </c>
      <c r="AY3221" s="270" t="s">
        <v>695</v>
      </c>
      <c r="AZ3221" s="435"/>
      <c r="BA3221" s="173">
        <v>10.0</v>
      </c>
      <c r="BB3221" s="434"/>
      <c r="BC3221" s="434"/>
      <c r="BD3221" s="308" t="s">
        <v>1844</v>
      </c>
      <c r="BE3221" s="436"/>
      <c r="BF3221" s="274" t="str">
        <f>IFERROR(__xludf.DUMMYFUNCTION("LOWER(Regexreplace(to_text(E3221),""[^A-Za-z0-9]"","""")&amp;""_""&amp;Regexreplace(to_text(F3221),""[^A-Za-z0-9]"",""""))"),"aquagen_evcbseries")</f>
        <v>aquagen_evcbseries</v>
      </c>
      <c r="BG3221" s="275" t="str">
        <f>IFERROR(__xludf.DUMMYFUNCTION("upper(Regexreplace(to_text(E3221),""[^A-Za-z0-9]"","""")&amp;""-""&amp;Regexreplace(to_text(F3221),""[^A-Za-z0-9]"",""""))"),"AQUAGEN-EVCBSERIES")</f>
        <v>AQUAGEN-EVCBSERIES</v>
      </c>
    </row>
    <row r="3222" ht="30.0" customHeight="1">
      <c r="A3222" s="328">
        <v>2690.0</v>
      </c>
      <c r="B3222" s="425" t="s">
        <v>670</v>
      </c>
      <c r="C3222" s="257" t="s">
        <v>9962</v>
      </c>
      <c r="D3222" s="173" t="s">
        <v>9963</v>
      </c>
      <c r="E3222" s="174" t="s">
        <v>9097</v>
      </c>
      <c r="F3222" s="173" t="s">
        <v>2862</v>
      </c>
      <c r="G3222" s="425" t="s">
        <v>673</v>
      </c>
      <c r="H3222" s="425" t="s">
        <v>2863</v>
      </c>
      <c r="I3222" s="258" t="s">
        <v>9445</v>
      </c>
      <c r="J3222" s="259" t="s">
        <v>1026</v>
      </c>
      <c r="K3222" s="260" t="s">
        <v>9954</v>
      </c>
      <c r="L3222" s="442"/>
      <c r="M3222" s="426"/>
      <c r="N3222" s="173" t="s">
        <v>679</v>
      </c>
      <c r="O3222" s="173" t="s">
        <v>225</v>
      </c>
      <c r="P3222" s="262" t="str">
        <f t="shared" si="1"/>
        <v>IN-BLR-ANANTA-FAN-170_4</v>
      </c>
      <c r="Q3222" s="173" t="s">
        <v>9964</v>
      </c>
      <c r="R3222" s="433" t="str">
        <f>IFS(C3222="","",C3222="n/a","N/A",LEN(C3222),Concatenate("{",char(34),"asset",char(34),":{",char(34),"guid",char(34),":",char(34),Q3222,char(34),",",char(34),"site",char(34),":",char(34),LOWER('2-Building'!$B$4),char(34),",",char(34),"name",char(34),":",char(34),LOWER(C3222),char(34),"}}"))</f>
        <v>{"asset":{"guid":"uuid://b24ca889-451d-4df5-adc2-f90c1d2632d2","site":"in-blr-ananta","name":"fan-170"}}</v>
      </c>
      <c r="S3222" s="369" t="s">
        <v>2866</v>
      </c>
      <c r="T3222" s="427"/>
      <c r="U3222" s="427"/>
      <c r="V3222" s="428"/>
      <c r="W3222" s="429"/>
      <c r="X3222" s="430"/>
      <c r="Y3222" s="33" t="s">
        <v>8076</v>
      </c>
      <c r="Z3222" s="430"/>
      <c r="AA3222" s="430"/>
      <c r="AB3222" s="258">
        <v>59.0</v>
      </c>
      <c r="AC3222" s="430"/>
      <c r="AD3222" s="426"/>
      <c r="AE3222" s="428"/>
      <c r="AF3222" s="431"/>
      <c r="AG3222" s="432" t="str">
        <f>IFS(LEN(AF3222)=17,LOWER('2-Building'!$B$4 &amp; "-" &amp; C3222), AF3222="N/A", "N/A", LEN(AF3222)=0,"")</f>
        <v/>
      </c>
      <c r="AH3222" s="430"/>
      <c r="AI3222" s="430"/>
      <c r="AJ3222" s="430"/>
      <c r="AK3222" s="430"/>
      <c r="AL3222" s="430"/>
      <c r="AM3222" s="433"/>
      <c r="AN3222" s="430"/>
      <c r="AO3222" s="430"/>
      <c r="AP3222" s="430"/>
      <c r="AQ3222" s="430"/>
      <c r="AR3222" s="430"/>
      <c r="AS3222" s="430"/>
      <c r="AT3222" s="430"/>
      <c r="AU3222" s="426"/>
      <c r="AV3222" s="434"/>
      <c r="AW3222" s="269" t="s">
        <v>1700</v>
      </c>
      <c r="AX3222" s="269" t="s">
        <v>2869</v>
      </c>
      <c r="AY3222" s="270" t="s">
        <v>695</v>
      </c>
      <c r="AZ3222" s="435"/>
      <c r="BA3222" s="173">
        <v>10.0</v>
      </c>
      <c r="BB3222" s="434"/>
      <c r="BC3222" s="434"/>
      <c r="BD3222" s="308" t="s">
        <v>1844</v>
      </c>
      <c r="BE3222" s="436"/>
      <c r="BF3222" s="274" t="str">
        <f>IFERROR(__xludf.DUMMYFUNCTION("LOWER(Regexreplace(to_text(E3222),""[^A-Za-z0-9]"","""")&amp;""_""&amp;Regexreplace(to_text(F3222),""[^A-Za-z0-9]"",""""))"),"aquagen_evcbseries")</f>
        <v>aquagen_evcbseries</v>
      </c>
      <c r="BG3222" s="275" t="str">
        <f>IFERROR(__xludf.DUMMYFUNCTION("upper(Regexreplace(to_text(E3222),""[^A-Za-z0-9]"","""")&amp;""-""&amp;Regexreplace(to_text(F3222),""[^A-Za-z0-9]"",""""))"),"AQUAGEN-EVCBSERIES")</f>
        <v>AQUAGEN-EVCBSERIES</v>
      </c>
    </row>
    <row r="3223" ht="30.0" customHeight="1">
      <c r="A3223" s="328">
        <v>2690.0</v>
      </c>
      <c r="B3223" s="425" t="s">
        <v>670</v>
      </c>
      <c r="C3223" s="257" t="s">
        <v>9965</v>
      </c>
      <c r="D3223" s="173" t="s">
        <v>9966</v>
      </c>
      <c r="E3223" s="174" t="s">
        <v>9097</v>
      </c>
      <c r="F3223" s="173" t="s">
        <v>2862</v>
      </c>
      <c r="G3223" s="425" t="s">
        <v>673</v>
      </c>
      <c r="H3223" s="425" t="s">
        <v>2863</v>
      </c>
      <c r="I3223" s="258" t="s">
        <v>9445</v>
      </c>
      <c r="J3223" s="259" t="s">
        <v>1026</v>
      </c>
      <c r="K3223" s="260" t="s">
        <v>9954</v>
      </c>
      <c r="L3223" s="442"/>
      <c r="M3223" s="426"/>
      <c r="N3223" s="173" t="s">
        <v>679</v>
      </c>
      <c r="O3223" s="173" t="s">
        <v>225</v>
      </c>
      <c r="P3223" s="262" t="str">
        <f t="shared" si="1"/>
        <v>IN-BLR-ANANTA-FAN-171_4</v>
      </c>
      <c r="Q3223" s="173" t="s">
        <v>9967</v>
      </c>
      <c r="R3223" s="425" t="str">
        <f>IFS(C3223="","",C3223="n/a","N/A",LEN(C3223),Concatenate("{",char(34),"asset",char(34),":{",char(34),"guid",char(34),":",char(34),Q3223,char(34),",",char(34),"site",char(34),":",char(34),LOWER('2-Building'!$B$4),char(34),",",char(34),"name",char(34),":",char(34),LOWER(C3223),char(34),"}}"))</f>
        <v>{"asset":{"guid":"uuid://102f90b9-0358-48c5-9011-526c7f23a9f4","site":"in-blr-ananta","name":"fan-171"}}</v>
      </c>
      <c r="S3223" s="369" t="s">
        <v>2866</v>
      </c>
      <c r="T3223" s="427"/>
      <c r="U3223" s="427"/>
      <c r="V3223" s="428"/>
      <c r="W3223" s="429"/>
      <c r="X3223" s="430"/>
      <c r="Y3223" s="33" t="s">
        <v>8076</v>
      </c>
      <c r="Z3223" s="430"/>
      <c r="AA3223" s="430"/>
      <c r="AB3223" s="258">
        <v>60.0</v>
      </c>
      <c r="AC3223" s="430"/>
      <c r="AD3223" s="426"/>
      <c r="AE3223" s="428"/>
      <c r="AF3223" s="431"/>
      <c r="AG3223" s="432" t="str">
        <f>IFS(LEN(AF3223)=17,LOWER('2-Building'!$B$4 &amp; "-" &amp; C3223), AF3223="N/A", "N/A", LEN(AF3223)=0,"")</f>
        <v/>
      </c>
      <c r="AH3223" s="430"/>
      <c r="AI3223" s="430"/>
      <c r="AJ3223" s="430"/>
      <c r="AK3223" s="430"/>
      <c r="AL3223" s="430"/>
      <c r="AM3223" s="433"/>
      <c r="AN3223" s="430"/>
      <c r="AO3223" s="430"/>
      <c r="AP3223" s="430"/>
      <c r="AQ3223" s="430"/>
      <c r="AR3223" s="430"/>
      <c r="AS3223" s="430"/>
      <c r="AT3223" s="430"/>
      <c r="AU3223" s="426"/>
      <c r="AV3223" s="434"/>
      <c r="AW3223" s="269" t="s">
        <v>1700</v>
      </c>
      <c r="AX3223" s="269" t="s">
        <v>2869</v>
      </c>
      <c r="AY3223" s="270" t="s">
        <v>695</v>
      </c>
      <c r="AZ3223" s="435"/>
      <c r="BA3223" s="173">
        <v>10.0</v>
      </c>
      <c r="BB3223" s="434"/>
      <c r="BC3223" s="434"/>
      <c r="BD3223" s="308" t="s">
        <v>1844</v>
      </c>
      <c r="BE3223" s="436"/>
      <c r="BF3223" s="274" t="str">
        <f>IFERROR(__xludf.DUMMYFUNCTION("LOWER(Regexreplace(to_text(E3223),""[^A-Za-z0-9]"","""")&amp;""_""&amp;Regexreplace(to_text(F3223),""[^A-Za-z0-9]"",""""))"),"aquagen_evcbseries")</f>
        <v>aquagen_evcbseries</v>
      </c>
      <c r="BG3223" s="275" t="str">
        <f>IFERROR(__xludf.DUMMYFUNCTION("upper(Regexreplace(to_text(E3223),""[^A-Za-z0-9]"","""")&amp;""-""&amp;Regexreplace(to_text(F3223),""[^A-Za-z0-9]"",""""))"),"AQUAGEN-EVCBSERIES")</f>
        <v>AQUAGEN-EVCBSERIES</v>
      </c>
    </row>
    <row r="3224" ht="30.0" customHeight="1">
      <c r="A3224" s="425">
        <v>2690.0</v>
      </c>
      <c r="B3224" s="425" t="s">
        <v>670</v>
      </c>
      <c r="C3224" s="257" t="s">
        <v>9968</v>
      </c>
      <c r="D3224" s="173" t="s">
        <v>9969</v>
      </c>
      <c r="E3224" s="174" t="s">
        <v>9097</v>
      </c>
      <c r="F3224" s="173" t="s">
        <v>2862</v>
      </c>
      <c r="G3224" s="425" t="s">
        <v>673</v>
      </c>
      <c r="H3224" s="425" t="s">
        <v>2863</v>
      </c>
      <c r="I3224" s="258" t="s">
        <v>9445</v>
      </c>
      <c r="J3224" s="259" t="s">
        <v>1026</v>
      </c>
      <c r="K3224" s="260" t="s">
        <v>9954</v>
      </c>
      <c r="L3224" s="442"/>
      <c r="M3224" s="426"/>
      <c r="N3224" s="173" t="s">
        <v>679</v>
      </c>
      <c r="O3224" s="173" t="s">
        <v>225</v>
      </c>
      <c r="P3224" s="262" t="str">
        <f t="shared" si="1"/>
        <v>IN-BLR-ANANTA-FAN-172_4</v>
      </c>
      <c r="Q3224" s="173" t="s">
        <v>9970</v>
      </c>
      <c r="R3224" s="433" t="str">
        <f>IFS(C3224="","",C3224="n/a","N/A",LEN(C3224),Concatenate("{",char(34),"asset",char(34),":{",char(34),"guid",char(34),":",char(34),Q3224,char(34),",",char(34),"site",char(34),":",char(34),LOWER('2-Building'!$B$4),char(34),",",char(34),"name",char(34),":",char(34),LOWER(C3224),char(34),"}}"))</f>
        <v>{"asset":{"guid":"uuid://01773e96-b00a-440e-b788-4d58dfa41a06","site":"in-blr-ananta","name":"fan-172"}}</v>
      </c>
      <c r="S3224" s="369" t="s">
        <v>2866</v>
      </c>
      <c r="T3224" s="427"/>
      <c r="U3224" s="427"/>
      <c r="V3224" s="428"/>
      <c r="W3224" s="429"/>
      <c r="X3224" s="430"/>
      <c r="Y3224" s="33" t="s">
        <v>8076</v>
      </c>
      <c r="Z3224" s="430"/>
      <c r="AA3224" s="430"/>
      <c r="AB3224" s="258">
        <v>61.0</v>
      </c>
      <c r="AC3224" s="430"/>
      <c r="AD3224" s="426"/>
      <c r="AE3224" s="428"/>
      <c r="AF3224" s="431"/>
      <c r="AG3224" s="432" t="str">
        <f>IFS(LEN(AF3224)=17,LOWER('2-Building'!$B$4 &amp; "-" &amp; C3224), AF3224="N/A", "N/A", LEN(AF3224)=0,"")</f>
        <v/>
      </c>
      <c r="AH3224" s="430"/>
      <c r="AI3224" s="430"/>
      <c r="AJ3224" s="430"/>
      <c r="AK3224" s="430"/>
      <c r="AL3224" s="430"/>
      <c r="AM3224" s="433"/>
      <c r="AN3224" s="430"/>
      <c r="AO3224" s="430"/>
      <c r="AP3224" s="430"/>
      <c r="AQ3224" s="430"/>
      <c r="AR3224" s="430"/>
      <c r="AS3224" s="430"/>
      <c r="AT3224" s="430"/>
      <c r="AU3224" s="426"/>
      <c r="AV3224" s="434"/>
      <c r="AW3224" s="269" t="s">
        <v>1700</v>
      </c>
      <c r="AX3224" s="269" t="s">
        <v>2869</v>
      </c>
      <c r="AY3224" s="270" t="s">
        <v>695</v>
      </c>
      <c r="AZ3224" s="435"/>
      <c r="BA3224" s="173">
        <v>10.0</v>
      </c>
      <c r="BB3224" s="434"/>
      <c r="BC3224" s="434"/>
      <c r="BD3224" s="308" t="s">
        <v>1844</v>
      </c>
      <c r="BE3224" s="436"/>
      <c r="BF3224" s="274" t="str">
        <f>IFERROR(__xludf.DUMMYFUNCTION("LOWER(Regexreplace(to_text(E3224),""[^A-Za-z0-9]"","""")&amp;""_""&amp;Regexreplace(to_text(F3224),""[^A-Za-z0-9]"",""""))"),"aquagen_evcbseries")</f>
        <v>aquagen_evcbseries</v>
      </c>
      <c r="BG3224" s="275" t="str">
        <f>IFERROR(__xludf.DUMMYFUNCTION("upper(Regexreplace(to_text(E3224),""[^A-Za-z0-9]"","""")&amp;""-""&amp;Regexreplace(to_text(F3224),""[^A-Za-z0-9]"",""""))"),"AQUAGEN-EVCBSERIES")</f>
        <v>AQUAGEN-EVCBSERIES</v>
      </c>
    </row>
    <row r="3225" ht="30.0" customHeight="1">
      <c r="A3225" s="328">
        <v>2690.0</v>
      </c>
      <c r="B3225" s="425" t="s">
        <v>670</v>
      </c>
      <c r="C3225" s="257" t="s">
        <v>9971</v>
      </c>
      <c r="D3225" s="173" t="s">
        <v>9972</v>
      </c>
      <c r="E3225" s="174" t="s">
        <v>9097</v>
      </c>
      <c r="F3225" s="173" t="s">
        <v>2862</v>
      </c>
      <c r="G3225" s="425" t="s">
        <v>673</v>
      </c>
      <c r="H3225" s="425" t="s">
        <v>2863</v>
      </c>
      <c r="I3225" s="258" t="s">
        <v>9445</v>
      </c>
      <c r="J3225" s="259" t="s">
        <v>965</v>
      </c>
      <c r="K3225" s="260" t="s">
        <v>9973</v>
      </c>
      <c r="L3225" s="442"/>
      <c r="M3225" s="426"/>
      <c r="N3225" s="173" t="s">
        <v>679</v>
      </c>
      <c r="O3225" s="173" t="s">
        <v>225</v>
      </c>
      <c r="P3225" s="262" t="str">
        <f t="shared" si="1"/>
        <v>IN-BLR-ANANTA-FAN-173_3</v>
      </c>
      <c r="Q3225" s="173" t="s">
        <v>9974</v>
      </c>
      <c r="R3225" s="425" t="str">
        <f>IFS(C3225="","",C3225="n/a","N/A",LEN(C3225),Concatenate("{",char(34),"asset",char(34),":{",char(34),"guid",char(34),":",char(34),Q3225,char(34),",",char(34),"site",char(34),":",char(34),LOWER('2-Building'!$B$4),char(34),",",char(34),"name",char(34),":",char(34),LOWER(C3225),char(34),"}}"))</f>
        <v>{"asset":{"guid":"uuid://07ebffa2-59af-4778-ba77-c2108c1f45cc","site":"in-blr-ananta","name":"fan-173"}}</v>
      </c>
      <c r="S3225" s="369" t="s">
        <v>2866</v>
      </c>
      <c r="T3225" s="427"/>
      <c r="U3225" s="427"/>
      <c r="V3225" s="428"/>
      <c r="W3225" s="429"/>
      <c r="X3225" s="430"/>
      <c r="Y3225" s="33" t="s">
        <v>8076</v>
      </c>
      <c r="Z3225" s="430"/>
      <c r="AA3225" s="430"/>
      <c r="AB3225" s="258">
        <v>74.0</v>
      </c>
      <c r="AC3225" s="430"/>
      <c r="AD3225" s="426"/>
      <c r="AE3225" s="428"/>
      <c r="AF3225" s="431"/>
      <c r="AG3225" s="432" t="str">
        <f>IFS(LEN(AF3225)=17,LOWER('2-Building'!$B$4 &amp; "-" &amp; C3225), AF3225="N/A", "N/A", LEN(AF3225)=0,"")</f>
        <v/>
      </c>
      <c r="AH3225" s="430"/>
      <c r="AI3225" s="430"/>
      <c r="AJ3225" s="430"/>
      <c r="AK3225" s="430"/>
      <c r="AL3225" s="430"/>
      <c r="AM3225" s="433"/>
      <c r="AN3225" s="430"/>
      <c r="AO3225" s="430"/>
      <c r="AP3225" s="430"/>
      <c r="AQ3225" s="430"/>
      <c r="AR3225" s="430"/>
      <c r="AS3225" s="430"/>
      <c r="AT3225" s="430"/>
      <c r="AU3225" s="426"/>
      <c r="AV3225" s="434"/>
      <c r="AW3225" s="269" t="s">
        <v>1700</v>
      </c>
      <c r="AX3225" s="269" t="s">
        <v>2869</v>
      </c>
      <c r="AY3225" s="270" t="s">
        <v>695</v>
      </c>
      <c r="AZ3225" s="435"/>
      <c r="BA3225" s="173">
        <v>10.0</v>
      </c>
      <c r="BB3225" s="434"/>
      <c r="BC3225" s="434"/>
      <c r="BD3225" s="308" t="s">
        <v>1844</v>
      </c>
      <c r="BE3225" s="436"/>
      <c r="BF3225" s="274" t="str">
        <f>IFERROR(__xludf.DUMMYFUNCTION("LOWER(Regexreplace(to_text(E3225),""[^A-Za-z0-9]"","""")&amp;""_""&amp;Regexreplace(to_text(F3225),""[^A-Za-z0-9]"",""""))"),"aquagen_evcbseries")</f>
        <v>aquagen_evcbseries</v>
      </c>
      <c r="BG3225" s="275" t="str">
        <f>IFERROR(__xludf.DUMMYFUNCTION("upper(Regexreplace(to_text(E3225),""[^A-Za-z0-9]"","""")&amp;""-""&amp;Regexreplace(to_text(F3225),""[^A-Za-z0-9]"",""""))"),"AQUAGEN-EVCBSERIES")</f>
        <v>AQUAGEN-EVCBSERIES</v>
      </c>
    </row>
    <row r="3226" ht="30.0" customHeight="1">
      <c r="A3226" s="328">
        <v>2690.0</v>
      </c>
      <c r="B3226" s="425" t="s">
        <v>670</v>
      </c>
      <c r="C3226" s="257" t="s">
        <v>9975</v>
      </c>
      <c r="D3226" s="173" t="s">
        <v>9976</v>
      </c>
      <c r="E3226" s="174" t="s">
        <v>9097</v>
      </c>
      <c r="F3226" s="173" t="s">
        <v>2862</v>
      </c>
      <c r="G3226" s="425" t="s">
        <v>673</v>
      </c>
      <c r="H3226" s="425" t="s">
        <v>2863</v>
      </c>
      <c r="I3226" s="258" t="s">
        <v>9445</v>
      </c>
      <c r="J3226" s="259" t="s">
        <v>965</v>
      </c>
      <c r="K3226" s="260" t="s">
        <v>9973</v>
      </c>
      <c r="L3226" s="442"/>
      <c r="M3226" s="426"/>
      <c r="N3226" s="173" t="s">
        <v>679</v>
      </c>
      <c r="O3226" s="173" t="s">
        <v>225</v>
      </c>
      <c r="P3226" s="262" t="str">
        <f t="shared" si="1"/>
        <v>IN-BLR-ANANTA-FAN-174_3</v>
      </c>
      <c r="Q3226" s="173" t="s">
        <v>9977</v>
      </c>
      <c r="R3226" s="425" t="str">
        <f>IFS(C3226="","",C3226="n/a","N/A",LEN(C3226),Concatenate("{",char(34),"asset",char(34),":{",char(34),"guid",char(34),":",char(34),Q3226,char(34),",",char(34),"site",char(34),":",char(34),LOWER('2-Building'!$B$4),char(34),",",char(34),"name",char(34),":",char(34),LOWER(C3226),char(34),"}}"))</f>
        <v>{"asset":{"guid":"uuid://92710b4a-65dc-4547-9268-ffc06686aee6","site":"in-blr-ananta","name":"fan-174"}}</v>
      </c>
      <c r="S3226" s="369" t="s">
        <v>2866</v>
      </c>
      <c r="T3226" s="427"/>
      <c r="U3226" s="427"/>
      <c r="V3226" s="428"/>
      <c r="W3226" s="429"/>
      <c r="X3226" s="430"/>
      <c r="Y3226" s="33" t="s">
        <v>8076</v>
      </c>
      <c r="Z3226" s="430"/>
      <c r="AA3226" s="430"/>
      <c r="AB3226" s="258">
        <v>75.0</v>
      </c>
      <c r="AC3226" s="430"/>
      <c r="AD3226" s="426"/>
      <c r="AE3226" s="428"/>
      <c r="AF3226" s="431"/>
      <c r="AG3226" s="432" t="str">
        <f>IFS(LEN(AF3226)=17,LOWER('2-Building'!$B$4 &amp; "-" &amp; C3226), AF3226="N/A", "N/A", LEN(AF3226)=0,"")</f>
        <v/>
      </c>
      <c r="AH3226" s="430"/>
      <c r="AI3226" s="430"/>
      <c r="AJ3226" s="430"/>
      <c r="AK3226" s="430"/>
      <c r="AL3226" s="430"/>
      <c r="AM3226" s="433"/>
      <c r="AN3226" s="430"/>
      <c r="AO3226" s="430"/>
      <c r="AP3226" s="430"/>
      <c r="AQ3226" s="430"/>
      <c r="AR3226" s="430"/>
      <c r="AS3226" s="430"/>
      <c r="AT3226" s="430"/>
      <c r="AU3226" s="426"/>
      <c r="AV3226" s="434"/>
      <c r="AW3226" s="269" t="s">
        <v>1700</v>
      </c>
      <c r="AX3226" s="269" t="s">
        <v>2869</v>
      </c>
      <c r="AY3226" s="270" t="s">
        <v>695</v>
      </c>
      <c r="AZ3226" s="435"/>
      <c r="BA3226" s="173">
        <v>10.0</v>
      </c>
      <c r="BB3226" s="434"/>
      <c r="BC3226" s="434"/>
      <c r="BD3226" s="308" t="s">
        <v>1844</v>
      </c>
      <c r="BE3226" s="436"/>
      <c r="BF3226" s="274" t="str">
        <f>IFERROR(__xludf.DUMMYFUNCTION("LOWER(Regexreplace(to_text(E3226),""[^A-Za-z0-9]"","""")&amp;""_""&amp;Regexreplace(to_text(F3226),""[^A-Za-z0-9]"",""""))"),"aquagen_evcbseries")</f>
        <v>aquagen_evcbseries</v>
      </c>
      <c r="BG3226" s="275" t="str">
        <f>IFERROR(__xludf.DUMMYFUNCTION("upper(Regexreplace(to_text(E3226),""[^A-Za-z0-9]"","""")&amp;""-""&amp;Regexreplace(to_text(F3226),""[^A-Za-z0-9]"",""""))"),"AQUAGEN-EVCBSERIES")</f>
        <v>AQUAGEN-EVCBSERIES</v>
      </c>
    </row>
    <row r="3227" ht="30.0" customHeight="1">
      <c r="A3227" s="425">
        <v>2690.0</v>
      </c>
      <c r="B3227" s="425" t="s">
        <v>670</v>
      </c>
      <c r="C3227" s="257" t="s">
        <v>9978</v>
      </c>
      <c r="D3227" s="173" t="s">
        <v>9979</v>
      </c>
      <c r="E3227" s="174" t="s">
        <v>9097</v>
      </c>
      <c r="F3227" s="173" t="s">
        <v>2862</v>
      </c>
      <c r="G3227" s="425" t="s">
        <v>673</v>
      </c>
      <c r="H3227" s="425" t="s">
        <v>2863</v>
      </c>
      <c r="I3227" s="258" t="s">
        <v>9445</v>
      </c>
      <c r="J3227" s="259" t="s">
        <v>965</v>
      </c>
      <c r="K3227" s="260" t="s">
        <v>9973</v>
      </c>
      <c r="L3227" s="442"/>
      <c r="M3227" s="426"/>
      <c r="N3227" s="173" t="s">
        <v>679</v>
      </c>
      <c r="O3227" s="173" t="s">
        <v>225</v>
      </c>
      <c r="P3227" s="262" t="str">
        <f t="shared" si="1"/>
        <v>IN-BLR-ANANTA-FAN-175_3</v>
      </c>
      <c r="Q3227" s="173" t="s">
        <v>9980</v>
      </c>
      <c r="R3227" s="433" t="str">
        <f>IFS(C3227="","",C3227="n/a","N/A",LEN(C3227),Concatenate("{",char(34),"asset",char(34),":{",char(34),"guid",char(34),":",char(34),Q3227,char(34),",",char(34),"site",char(34),":",char(34),LOWER('2-Building'!$B$4),char(34),",",char(34),"name",char(34),":",char(34),LOWER(C3227),char(34),"}}"))</f>
        <v>{"asset":{"guid":"uuid://49073e47-9f95-4ae7-9923-c99c2fbd0a55","site":"in-blr-ananta","name":"fan-175"}}</v>
      </c>
      <c r="S3227" s="369" t="s">
        <v>2866</v>
      </c>
      <c r="T3227" s="427"/>
      <c r="U3227" s="427"/>
      <c r="V3227" s="428"/>
      <c r="W3227" s="429"/>
      <c r="X3227" s="430"/>
      <c r="Y3227" s="33" t="s">
        <v>8076</v>
      </c>
      <c r="Z3227" s="430"/>
      <c r="AA3227" s="430"/>
      <c r="AB3227" s="258">
        <v>76.0</v>
      </c>
      <c r="AC3227" s="430"/>
      <c r="AD3227" s="426"/>
      <c r="AE3227" s="428"/>
      <c r="AF3227" s="431"/>
      <c r="AG3227" s="432" t="str">
        <f>IFS(LEN(AF3227)=17,LOWER('2-Building'!$B$4 &amp; "-" &amp; C3227), AF3227="N/A", "N/A", LEN(AF3227)=0,"")</f>
        <v/>
      </c>
      <c r="AH3227" s="430"/>
      <c r="AI3227" s="430"/>
      <c r="AJ3227" s="430"/>
      <c r="AK3227" s="430"/>
      <c r="AL3227" s="430"/>
      <c r="AM3227" s="433"/>
      <c r="AN3227" s="430"/>
      <c r="AO3227" s="430"/>
      <c r="AP3227" s="430"/>
      <c r="AQ3227" s="430"/>
      <c r="AR3227" s="430"/>
      <c r="AS3227" s="430"/>
      <c r="AT3227" s="430"/>
      <c r="AU3227" s="426"/>
      <c r="AV3227" s="434"/>
      <c r="AW3227" s="269" t="s">
        <v>1700</v>
      </c>
      <c r="AX3227" s="269" t="s">
        <v>2869</v>
      </c>
      <c r="AY3227" s="270" t="s">
        <v>695</v>
      </c>
      <c r="AZ3227" s="435"/>
      <c r="BA3227" s="173">
        <v>10.0</v>
      </c>
      <c r="BB3227" s="434"/>
      <c r="BC3227" s="434"/>
      <c r="BD3227" s="308" t="s">
        <v>1844</v>
      </c>
      <c r="BE3227" s="436"/>
      <c r="BF3227" s="274" t="str">
        <f>IFERROR(__xludf.DUMMYFUNCTION("LOWER(Regexreplace(to_text(E3227),""[^A-Za-z0-9]"","""")&amp;""_""&amp;Regexreplace(to_text(F3227),""[^A-Za-z0-9]"",""""))"),"aquagen_evcbseries")</f>
        <v>aquagen_evcbseries</v>
      </c>
      <c r="BG3227" s="275" t="str">
        <f>IFERROR(__xludf.DUMMYFUNCTION("upper(Regexreplace(to_text(E3227),""[^A-Za-z0-9]"","""")&amp;""-""&amp;Regexreplace(to_text(F3227),""[^A-Za-z0-9]"",""""))"),"AQUAGEN-EVCBSERIES")</f>
        <v>AQUAGEN-EVCBSERIES</v>
      </c>
    </row>
    <row r="3228" ht="30.0" customHeight="1">
      <c r="A3228" s="328">
        <v>2690.0</v>
      </c>
      <c r="B3228" s="425" t="s">
        <v>670</v>
      </c>
      <c r="C3228" s="257" t="s">
        <v>9981</v>
      </c>
      <c r="D3228" s="173" t="s">
        <v>9982</v>
      </c>
      <c r="E3228" s="174" t="s">
        <v>9097</v>
      </c>
      <c r="F3228" s="173" t="s">
        <v>2862</v>
      </c>
      <c r="G3228" s="425" t="s">
        <v>673</v>
      </c>
      <c r="H3228" s="425" t="s">
        <v>2863</v>
      </c>
      <c r="I3228" s="258" t="s">
        <v>9445</v>
      </c>
      <c r="J3228" s="259" t="s">
        <v>965</v>
      </c>
      <c r="K3228" s="260" t="s">
        <v>9973</v>
      </c>
      <c r="L3228" s="442"/>
      <c r="M3228" s="426"/>
      <c r="N3228" s="173" t="s">
        <v>679</v>
      </c>
      <c r="O3228" s="173" t="s">
        <v>225</v>
      </c>
      <c r="P3228" s="262" t="str">
        <f t="shared" si="1"/>
        <v>IN-BLR-ANANTA-FAN-176_3</v>
      </c>
      <c r="Q3228" s="173" t="s">
        <v>9983</v>
      </c>
      <c r="R3228" s="425" t="str">
        <f>IFS(C3228="","",C3228="n/a","N/A",LEN(C3228),Concatenate("{",char(34),"asset",char(34),":{",char(34),"guid",char(34),":",char(34),Q3228,char(34),",",char(34),"site",char(34),":",char(34),LOWER('2-Building'!$B$4),char(34),",",char(34),"name",char(34),":",char(34),LOWER(C3228),char(34),"}}"))</f>
        <v>{"asset":{"guid":"uuid://fae74b80-5e9e-4a55-bfde-fa5bd90dc9b5","site":"in-blr-ananta","name":"fan-176"}}</v>
      </c>
      <c r="S3228" s="369" t="s">
        <v>2866</v>
      </c>
      <c r="T3228" s="427"/>
      <c r="U3228" s="427"/>
      <c r="V3228" s="428"/>
      <c r="W3228" s="429"/>
      <c r="X3228" s="430"/>
      <c r="Y3228" s="33" t="s">
        <v>8076</v>
      </c>
      <c r="Z3228" s="430"/>
      <c r="AA3228" s="430"/>
      <c r="AB3228" s="258">
        <v>77.0</v>
      </c>
      <c r="AC3228" s="430"/>
      <c r="AD3228" s="426"/>
      <c r="AE3228" s="428"/>
      <c r="AF3228" s="431"/>
      <c r="AG3228" s="432" t="str">
        <f>IFS(LEN(AF3228)=17,LOWER('2-Building'!$B$4 &amp; "-" &amp; C3228), AF3228="N/A", "N/A", LEN(AF3228)=0,"")</f>
        <v/>
      </c>
      <c r="AH3228" s="430"/>
      <c r="AI3228" s="430"/>
      <c r="AJ3228" s="430"/>
      <c r="AK3228" s="430"/>
      <c r="AL3228" s="430"/>
      <c r="AM3228" s="433"/>
      <c r="AN3228" s="430"/>
      <c r="AO3228" s="430"/>
      <c r="AP3228" s="430"/>
      <c r="AQ3228" s="430"/>
      <c r="AR3228" s="430"/>
      <c r="AS3228" s="430"/>
      <c r="AT3228" s="430"/>
      <c r="AU3228" s="426"/>
      <c r="AV3228" s="434"/>
      <c r="AW3228" s="269" t="s">
        <v>1700</v>
      </c>
      <c r="AX3228" s="269" t="s">
        <v>2869</v>
      </c>
      <c r="AY3228" s="270" t="s">
        <v>695</v>
      </c>
      <c r="AZ3228" s="435"/>
      <c r="BA3228" s="173">
        <v>10.0</v>
      </c>
      <c r="BB3228" s="434"/>
      <c r="BC3228" s="434"/>
      <c r="BD3228" s="308" t="s">
        <v>1844</v>
      </c>
      <c r="BE3228" s="436"/>
      <c r="BF3228" s="274" t="str">
        <f>IFERROR(__xludf.DUMMYFUNCTION("LOWER(Regexreplace(to_text(E3228),""[^A-Za-z0-9]"","""")&amp;""_""&amp;Regexreplace(to_text(F3228),""[^A-Za-z0-9]"",""""))"),"aquagen_evcbseries")</f>
        <v>aquagen_evcbseries</v>
      </c>
      <c r="BG3228" s="275" t="str">
        <f>IFERROR(__xludf.DUMMYFUNCTION("upper(Regexreplace(to_text(E3228),""[^A-Za-z0-9]"","""")&amp;""-""&amp;Regexreplace(to_text(F3228),""[^A-Za-z0-9]"",""""))"),"AQUAGEN-EVCBSERIES")</f>
        <v>AQUAGEN-EVCBSERIES</v>
      </c>
    </row>
    <row r="3229" ht="30.0" customHeight="1">
      <c r="A3229" s="173">
        <v>2689.0</v>
      </c>
      <c r="B3229" s="328" t="s">
        <v>670</v>
      </c>
      <c r="C3229" s="257" t="s">
        <v>9984</v>
      </c>
      <c r="D3229" s="173" t="s">
        <v>9985</v>
      </c>
      <c r="E3229" s="174" t="s">
        <v>9097</v>
      </c>
      <c r="F3229" s="173" t="s">
        <v>2862</v>
      </c>
      <c r="G3229" s="328" t="s">
        <v>673</v>
      </c>
      <c r="H3229" s="328" t="s">
        <v>2863</v>
      </c>
      <c r="I3229" s="258" t="s">
        <v>9445</v>
      </c>
      <c r="J3229" s="259" t="s">
        <v>965</v>
      </c>
      <c r="K3229" s="260" t="s">
        <v>9973</v>
      </c>
      <c r="L3229" s="366"/>
      <c r="M3229" s="329"/>
      <c r="N3229" s="173" t="s">
        <v>679</v>
      </c>
      <c r="O3229" s="173" t="s">
        <v>225</v>
      </c>
      <c r="P3229" s="262" t="str">
        <f t="shared" si="1"/>
        <v>IN-BLR-ANANTA-FAN-177_3</v>
      </c>
      <c r="Q3229" s="173" t="s">
        <v>9986</v>
      </c>
      <c r="R3229" s="328" t="str">
        <f>IFS(C3229="","",C3229="n/a","N/A",LEN(C3229),Concatenate("{",char(34),"asset",char(34),":{",char(34),"guid",char(34),":",char(34),Q3229,char(34),",",char(34),"site",char(34),":",char(34),LOWER('2-Building'!$B$4),char(34),",",char(34),"name",char(34),":",char(34),LOWER(C3229),char(34),"}}"))</f>
        <v>{"asset":{"guid":"uuid://3f0fb3ba-0715-415b-94e3-c74c69adc702","site":"in-blr-ananta","name":"fan-177"}}</v>
      </c>
      <c r="S3229" s="369" t="s">
        <v>2866</v>
      </c>
      <c r="T3229" s="330"/>
      <c r="U3229" s="330"/>
      <c r="V3229" s="331"/>
      <c r="W3229" s="332"/>
      <c r="X3229" s="333"/>
      <c r="Y3229" s="33" t="s">
        <v>8076</v>
      </c>
      <c r="Z3229" s="368"/>
      <c r="AA3229" s="333"/>
      <c r="AB3229" s="258">
        <v>78.0</v>
      </c>
      <c r="AC3229" s="333"/>
      <c r="AD3229" s="329"/>
      <c r="AE3229" s="331"/>
      <c r="AF3229" s="336"/>
      <c r="AG3229" s="337" t="str">
        <f>IFS(LEN(AF3229)=17,LOWER('2-Building'!$B$4 &amp; "-" &amp; C3229), AF3229="N/A", "N/A", LEN(AF3229)=0,"")</f>
        <v/>
      </c>
      <c r="AH3229" s="333"/>
      <c r="AI3229" s="333"/>
      <c r="AJ3229" s="333"/>
      <c r="AK3229" s="333"/>
      <c r="AL3229" s="333"/>
      <c r="AM3229" s="338"/>
      <c r="AN3229" s="333"/>
      <c r="AO3229" s="333"/>
      <c r="AP3229" s="333"/>
      <c r="AQ3229" s="333"/>
      <c r="AR3229" s="333"/>
      <c r="AS3229" s="333"/>
      <c r="AT3229" s="333"/>
      <c r="AU3229" s="329"/>
      <c r="AV3229" s="341"/>
      <c r="AW3229" s="269" t="s">
        <v>1700</v>
      </c>
      <c r="AX3229" s="269" t="s">
        <v>2869</v>
      </c>
      <c r="AY3229" s="270" t="s">
        <v>695</v>
      </c>
      <c r="AZ3229" s="379"/>
      <c r="BA3229" s="173">
        <v>10.0</v>
      </c>
      <c r="BB3229" s="341"/>
      <c r="BC3229" s="341"/>
      <c r="BD3229" s="308" t="s">
        <v>1844</v>
      </c>
      <c r="BE3229" s="364"/>
      <c r="BF3229" s="274" t="str">
        <f>IFERROR(__xludf.DUMMYFUNCTION("LOWER(Regexreplace(to_text(E3229),""[^A-Za-z0-9]"","""")&amp;""_""&amp;Regexreplace(to_text(F3229),""[^A-Za-z0-9]"",""""))"),"aquagen_evcbseries")</f>
        <v>aquagen_evcbseries</v>
      </c>
      <c r="BG3229" s="275" t="str">
        <f>IFERROR(__xludf.DUMMYFUNCTION("upper(Regexreplace(to_text(E3229),""[^A-Za-z0-9]"","""")&amp;""-""&amp;Regexreplace(to_text(F3229),""[^A-Za-z0-9]"",""""))"),"AQUAGEN-EVCBSERIES")</f>
        <v>AQUAGEN-EVCBSERIES</v>
      </c>
    </row>
    <row r="3230" ht="30.0" customHeight="1">
      <c r="A3230" s="173">
        <v>2691.0</v>
      </c>
      <c r="B3230" s="328" t="s">
        <v>670</v>
      </c>
      <c r="C3230" s="257" t="s">
        <v>9987</v>
      </c>
      <c r="D3230" s="173" t="s">
        <v>9988</v>
      </c>
      <c r="E3230" s="174" t="s">
        <v>9097</v>
      </c>
      <c r="F3230" s="173" t="s">
        <v>2862</v>
      </c>
      <c r="G3230" s="328" t="s">
        <v>673</v>
      </c>
      <c r="H3230" s="328" t="s">
        <v>2863</v>
      </c>
      <c r="I3230" s="258" t="s">
        <v>9445</v>
      </c>
      <c r="J3230" s="259" t="s">
        <v>965</v>
      </c>
      <c r="K3230" s="260" t="s">
        <v>9973</v>
      </c>
      <c r="L3230" s="366"/>
      <c r="M3230" s="329"/>
      <c r="N3230" s="173" t="s">
        <v>679</v>
      </c>
      <c r="O3230" s="173" t="s">
        <v>225</v>
      </c>
      <c r="P3230" s="262" t="str">
        <f t="shared" si="1"/>
        <v>IN-BLR-ANANTA-FAN-178_3</v>
      </c>
      <c r="Q3230" s="173" t="s">
        <v>9989</v>
      </c>
      <c r="R3230" s="328" t="str">
        <f>IFS(C3230="","",C3230="n/a","N/A",LEN(C3230),Concatenate("{",char(34),"asset",char(34),":{",char(34),"guid",char(34),":",char(34),Q3230,char(34),",",char(34),"site",char(34),":",char(34),LOWER('2-Building'!$B$4),char(34),",",char(34),"name",char(34),":",char(34),LOWER(C3230),char(34),"}}"))</f>
        <v>{"asset":{"guid":"uuid://9a28ee41-0f63-4ab7-a61f-13a564f69ecd","site":"in-blr-ananta","name":"fan-178"}}</v>
      </c>
      <c r="S3230" s="369" t="s">
        <v>2866</v>
      </c>
      <c r="T3230" s="330"/>
      <c r="U3230" s="330"/>
      <c r="V3230" s="331"/>
      <c r="W3230" s="332"/>
      <c r="X3230" s="333"/>
      <c r="Y3230" s="33" t="s">
        <v>8076</v>
      </c>
      <c r="Z3230" s="368"/>
      <c r="AA3230" s="333"/>
      <c r="AB3230" s="258">
        <v>79.0</v>
      </c>
      <c r="AC3230" s="333"/>
      <c r="AD3230" s="329"/>
      <c r="AE3230" s="331"/>
      <c r="AF3230" s="336"/>
      <c r="AG3230" s="337" t="str">
        <f>IFS(LEN(AF3230)=17,LOWER('2-Building'!$B$4 &amp; "-" &amp; C3230), AF3230="N/A", "N/A", LEN(AF3230)=0,"")</f>
        <v/>
      </c>
      <c r="AH3230" s="333"/>
      <c r="AI3230" s="333"/>
      <c r="AJ3230" s="333"/>
      <c r="AK3230" s="333"/>
      <c r="AL3230" s="333"/>
      <c r="AM3230" s="338"/>
      <c r="AN3230" s="333"/>
      <c r="AO3230" s="333"/>
      <c r="AP3230" s="333"/>
      <c r="AQ3230" s="333"/>
      <c r="AR3230" s="333"/>
      <c r="AS3230" s="333"/>
      <c r="AT3230" s="333"/>
      <c r="AU3230" s="329"/>
      <c r="AV3230" s="341"/>
      <c r="AW3230" s="269" t="s">
        <v>1700</v>
      </c>
      <c r="AX3230" s="269" t="s">
        <v>2869</v>
      </c>
      <c r="AY3230" s="270" t="s">
        <v>695</v>
      </c>
      <c r="AZ3230" s="379"/>
      <c r="BA3230" s="173">
        <v>10.0</v>
      </c>
      <c r="BB3230" s="341"/>
      <c r="BC3230" s="341"/>
      <c r="BD3230" s="308" t="s">
        <v>1844</v>
      </c>
      <c r="BE3230" s="364"/>
      <c r="BF3230" s="274" t="str">
        <f>IFERROR(__xludf.DUMMYFUNCTION("LOWER(Regexreplace(to_text(E3230),""[^A-Za-z0-9]"","""")&amp;""_""&amp;Regexreplace(to_text(F3230),""[^A-Za-z0-9]"",""""))"),"aquagen_evcbseries")</f>
        <v>aquagen_evcbseries</v>
      </c>
      <c r="BG3230" s="275" t="str">
        <f>IFERROR(__xludf.DUMMYFUNCTION("upper(Regexreplace(to_text(E3230),""[^A-Za-z0-9]"","""")&amp;""-""&amp;Regexreplace(to_text(F3230),""[^A-Za-z0-9]"",""""))"),"AQUAGEN-EVCBSERIES")</f>
        <v>AQUAGEN-EVCBSERIES</v>
      </c>
    </row>
    <row r="3231" ht="30.0" customHeight="1">
      <c r="A3231" s="258">
        <v>2690.0</v>
      </c>
      <c r="B3231" s="328" t="s">
        <v>670</v>
      </c>
      <c r="C3231" s="257" t="s">
        <v>9990</v>
      </c>
      <c r="D3231" s="173" t="s">
        <v>9991</v>
      </c>
      <c r="E3231" s="174" t="s">
        <v>9097</v>
      </c>
      <c r="F3231" s="173" t="s">
        <v>2862</v>
      </c>
      <c r="G3231" s="328" t="s">
        <v>673</v>
      </c>
      <c r="H3231" s="328" t="s">
        <v>2863</v>
      </c>
      <c r="I3231" s="258" t="s">
        <v>9445</v>
      </c>
      <c r="J3231" s="259" t="s">
        <v>902</v>
      </c>
      <c r="K3231" s="260" t="s">
        <v>9992</v>
      </c>
      <c r="L3231" s="366"/>
      <c r="M3231" s="329"/>
      <c r="N3231" s="173" t="s">
        <v>679</v>
      </c>
      <c r="O3231" s="173" t="s">
        <v>225</v>
      </c>
      <c r="P3231" s="262" t="str">
        <f t="shared" si="1"/>
        <v>IN-BLR-ANANTA-FAN-179_2</v>
      </c>
      <c r="Q3231" s="173" t="s">
        <v>9993</v>
      </c>
      <c r="R3231" s="328" t="str">
        <f>IFS(C3231="","",C3231="n/a","N/A",LEN(C3231),Concatenate("{",char(34),"asset",char(34),":{",char(34),"guid",char(34),":",char(34),Q3231,char(34),",",char(34),"site",char(34),":",char(34),LOWER('2-Building'!$B$4),char(34),",",char(34),"name",char(34),":",char(34),LOWER(C3231),char(34),"}}"))</f>
        <v>{"asset":{"guid":"uuid://d817c928-903e-4f23-a4fa-d8701abc0063","site":"in-blr-ananta","name":"fan-179"}}</v>
      </c>
      <c r="S3231" s="369" t="s">
        <v>2866</v>
      </c>
      <c r="T3231" s="330"/>
      <c r="U3231" s="330"/>
      <c r="V3231" s="331"/>
      <c r="W3231" s="332"/>
      <c r="X3231" s="333"/>
      <c r="Y3231" s="33" t="s">
        <v>8076</v>
      </c>
      <c r="Z3231" s="368"/>
      <c r="AA3231" s="333"/>
      <c r="AB3231" s="258">
        <v>86.0</v>
      </c>
      <c r="AC3231" s="333"/>
      <c r="AD3231" s="329"/>
      <c r="AE3231" s="331"/>
      <c r="AF3231" s="336"/>
      <c r="AG3231" s="337" t="str">
        <f>IFS(LEN(AF3231)=17,LOWER('2-Building'!$B$4 &amp; "-" &amp; C3231), AF3231="N/A", "N/A", LEN(AF3231)=0,"")</f>
        <v/>
      </c>
      <c r="AH3231" s="333"/>
      <c r="AI3231" s="333"/>
      <c r="AJ3231" s="333"/>
      <c r="AK3231" s="333"/>
      <c r="AL3231" s="333"/>
      <c r="AM3231" s="338"/>
      <c r="AN3231" s="333"/>
      <c r="AO3231" s="333"/>
      <c r="AP3231" s="333"/>
      <c r="AQ3231" s="333"/>
      <c r="AR3231" s="333"/>
      <c r="AS3231" s="333"/>
      <c r="AT3231" s="333"/>
      <c r="AU3231" s="329"/>
      <c r="AV3231" s="341"/>
      <c r="AW3231" s="269" t="s">
        <v>1700</v>
      </c>
      <c r="AX3231" s="269" t="s">
        <v>2869</v>
      </c>
      <c r="AY3231" s="270" t="s">
        <v>695</v>
      </c>
      <c r="AZ3231" s="379"/>
      <c r="BA3231" s="173">
        <v>10.0</v>
      </c>
      <c r="BB3231" s="341"/>
      <c r="BC3231" s="341"/>
      <c r="BD3231" s="308" t="s">
        <v>1844</v>
      </c>
      <c r="BE3231" s="364"/>
      <c r="BF3231" s="274" t="str">
        <f>IFERROR(__xludf.DUMMYFUNCTION("LOWER(Regexreplace(to_text(E3231),""[^A-Za-z0-9]"","""")&amp;""_""&amp;Regexreplace(to_text(F3231),""[^A-Za-z0-9]"",""""))"),"aquagen_evcbseries")</f>
        <v>aquagen_evcbseries</v>
      </c>
      <c r="BG3231" s="275" t="str">
        <f>IFERROR(__xludf.DUMMYFUNCTION("upper(Regexreplace(to_text(E3231),""[^A-Za-z0-9]"","""")&amp;""-""&amp;Regexreplace(to_text(F3231),""[^A-Za-z0-9]"",""""))"),"AQUAGEN-EVCBSERIES")</f>
        <v>AQUAGEN-EVCBSERIES</v>
      </c>
    </row>
    <row r="3232" ht="30.0" customHeight="1">
      <c r="A3232" s="328">
        <v>2690.0</v>
      </c>
      <c r="B3232" s="425" t="s">
        <v>670</v>
      </c>
      <c r="C3232" s="257" t="s">
        <v>9994</v>
      </c>
      <c r="D3232" s="173" t="s">
        <v>9995</v>
      </c>
      <c r="E3232" s="174" t="s">
        <v>9097</v>
      </c>
      <c r="F3232" s="173" t="s">
        <v>2862</v>
      </c>
      <c r="G3232" s="425" t="s">
        <v>673</v>
      </c>
      <c r="H3232" s="425" t="s">
        <v>2863</v>
      </c>
      <c r="I3232" s="258" t="s">
        <v>9445</v>
      </c>
      <c r="J3232" s="259" t="s">
        <v>902</v>
      </c>
      <c r="K3232" s="260" t="s">
        <v>9992</v>
      </c>
      <c r="L3232" s="442"/>
      <c r="M3232" s="426"/>
      <c r="N3232" s="173" t="s">
        <v>679</v>
      </c>
      <c r="O3232" s="173" t="s">
        <v>225</v>
      </c>
      <c r="P3232" s="262" t="str">
        <f t="shared" si="1"/>
        <v>IN-BLR-ANANTA-FAN-180_2</v>
      </c>
      <c r="Q3232" s="173" t="s">
        <v>9996</v>
      </c>
      <c r="R3232" s="433" t="str">
        <f>IFS(C3232="","",C3232="n/a","N/A",LEN(C3232),Concatenate("{",char(34),"asset",char(34),":{",char(34),"guid",char(34),":",char(34),Q3232,char(34),",",char(34),"site",char(34),":",char(34),LOWER('2-Building'!$B$4),char(34),",",char(34),"name",char(34),":",char(34),LOWER(C3232),char(34),"}}"))</f>
        <v>{"asset":{"guid":"uuid://56013f10-abdb-4d35-a1ba-3e180d4b6fe2","site":"in-blr-ananta","name":"fan-180"}}</v>
      </c>
      <c r="S3232" s="369" t="s">
        <v>2866</v>
      </c>
      <c r="T3232" s="427"/>
      <c r="U3232" s="427"/>
      <c r="V3232" s="428"/>
      <c r="W3232" s="429"/>
      <c r="X3232" s="430"/>
      <c r="Y3232" s="33" t="s">
        <v>8076</v>
      </c>
      <c r="Z3232" s="430"/>
      <c r="AA3232" s="430"/>
      <c r="AB3232" s="258">
        <v>87.0</v>
      </c>
      <c r="AC3232" s="430"/>
      <c r="AD3232" s="426"/>
      <c r="AE3232" s="428"/>
      <c r="AF3232" s="431"/>
      <c r="AG3232" s="432" t="str">
        <f>IFS(LEN(AF3232)=17,LOWER('2-Building'!$B$4 &amp; "-" &amp; C3232), AF3232="N/A", "N/A", LEN(AF3232)=0,"")</f>
        <v/>
      </c>
      <c r="AH3232" s="430"/>
      <c r="AI3232" s="430"/>
      <c r="AJ3232" s="430"/>
      <c r="AK3232" s="430"/>
      <c r="AL3232" s="430"/>
      <c r="AM3232" s="433"/>
      <c r="AN3232" s="430"/>
      <c r="AO3232" s="430"/>
      <c r="AP3232" s="430"/>
      <c r="AQ3232" s="430"/>
      <c r="AR3232" s="430"/>
      <c r="AS3232" s="430"/>
      <c r="AT3232" s="430"/>
      <c r="AU3232" s="426"/>
      <c r="AV3232" s="434"/>
      <c r="AW3232" s="269" t="s">
        <v>1700</v>
      </c>
      <c r="AX3232" s="269" t="s">
        <v>2869</v>
      </c>
      <c r="AY3232" s="270" t="s">
        <v>695</v>
      </c>
      <c r="AZ3232" s="435"/>
      <c r="BA3232" s="173">
        <v>10.0</v>
      </c>
      <c r="BB3232" s="434"/>
      <c r="BC3232" s="434"/>
      <c r="BD3232" s="308" t="s">
        <v>1844</v>
      </c>
      <c r="BE3232" s="436"/>
      <c r="BF3232" s="274" t="str">
        <f>IFERROR(__xludf.DUMMYFUNCTION("LOWER(Regexreplace(to_text(E3232),""[^A-Za-z0-9]"","""")&amp;""_""&amp;Regexreplace(to_text(F3232),""[^A-Za-z0-9]"",""""))"),"aquagen_evcbseries")</f>
        <v>aquagen_evcbseries</v>
      </c>
      <c r="BG3232" s="275" t="str">
        <f>IFERROR(__xludf.DUMMYFUNCTION("upper(Regexreplace(to_text(E3232),""[^A-Za-z0-9]"","""")&amp;""-""&amp;Regexreplace(to_text(F3232),""[^A-Za-z0-9]"",""""))"),"AQUAGEN-EVCBSERIES")</f>
        <v>AQUAGEN-EVCBSERIES</v>
      </c>
    </row>
    <row r="3233" ht="30.0" customHeight="1">
      <c r="A3233" s="258">
        <v>2690.0</v>
      </c>
      <c r="B3233" s="328" t="s">
        <v>670</v>
      </c>
      <c r="C3233" s="257" t="s">
        <v>9997</v>
      </c>
      <c r="D3233" s="173" t="s">
        <v>9998</v>
      </c>
      <c r="E3233" s="174" t="s">
        <v>9097</v>
      </c>
      <c r="F3233" s="173" t="s">
        <v>2862</v>
      </c>
      <c r="G3233" s="328" t="s">
        <v>673</v>
      </c>
      <c r="H3233" s="328" t="s">
        <v>2863</v>
      </c>
      <c r="I3233" s="258" t="s">
        <v>9445</v>
      </c>
      <c r="J3233" s="259" t="s">
        <v>902</v>
      </c>
      <c r="K3233" s="260" t="s">
        <v>9992</v>
      </c>
      <c r="L3233" s="366"/>
      <c r="M3233" s="329"/>
      <c r="N3233" s="173" t="s">
        <v>679</v>
      </c>
      <c r="O3233" s="173" t="s">
        <v>225</v>
      </c>
      <c r="P3233" s="262" t="str">
        <f t="shared" si="1"/>
        <v>IN-BLR-ANANTA-FAN-181_2</v>
      </c>
      <c r="Q3233" s="173" t="s">
        <v>9999</v>
      </c>
      <c r="R3233" s="328" t="str">
        <f>IFS(C3233="","",C3233="n/a","N/A",LEN(C3233),Concatenate("{",char(34),"asset",char(34),":{",char(34),"guid",char(34),":",char(34),Q3233,char(34),",",char(34),"site",char(34),":",char(34),LOWER('2-Building'!$B$4),char(34),",",char(34),"name",char(34),":",char(34),LOWER(C3233),char(34),"}}"))</f>
        <v>{"asset":{"guid":"uuid://3012018e-eb3e-4fe3-849a-135bcda6be6f","site":"in-blr-ananta","name":"fan-181"}}</v>
      </c>
      <c r="S3233" s="369" t="s">
        <v>2866</v>
      </c>
      <c r="T3233" s="330"/>
      <c r="U3233" s="330"/>
      <c r="V3233" s="331"/>
      <c r="W3233" s="332"/>
      <c r="X3233" s="333"/>
      <c r="Y3233" s="33" t="s">
        <v>8076</v>
      </c>
      <c r="Z3233" s="368"/>
      <c r="AA3233" s="333"/>
      <c r="AB3233" s="258">
        <v>88.0</v>
      </c>
      <c r="AC3233" s="333"/>
      <c r="AD3233" s="329"/>
      <c r="AE3233" s="331"/>
      <c r="AF3233" s="336"/>
      <c r="AG3233" s="337" t="str">
        <f>IFS(LEN(AF3233)=17,LOWER('2-Building'!$B$4 &amp; "-" &amp; C3233), AF3233="N/A", "N/A", LEN(AF3233)=0,"")</f>
        <v/>
      </c>
      <c r="AH3233" s="333"/>
      <c r="AI3233" s="333"/>
      <c r="AJ3233" s="333"/>
      <c r="AK3233" s="333"/>
      <c r="AL3233" s="333"/>
      <c r="AM3233" s="338"/>
      <c r="AN3233" s="333"/>
      <c r="AO3233" s="333"/>
      <c r="AP3233" s="333"/>
      <c r="AQ3233" s="333"/>
      <c r="AR3233" s="333"/>
      <c r="AS3233" s="333"/>
      <c r="AT3233" s="333"/>
      <c r="AU3233" s="329"/>
      <c r="AV3233" s="341"/>
      <c r="AW3233" s="269" t="s">
        <v>1700</v>
      </c>
      <c r="AX3233" s="269" t="s">
        <v>2869</v>
      </c>
      <c r="AY3233" s="270" t="s">
        <v>695</v>
      </c>
      <c r="AZ3233" s="379"/>
      <c r="BA3233" s="173">
        <v>10.0</v>
      </c>
      <c r="BB3233" s="341"/>
      <c r="BC3233" s="341"/>
      <c r="BD3233" s="308" t="s">
        <v>1844</v>
      </c>
      <c r="BE3233" s="364"/>
      <c r="BF3233" s="274" t="str">
        <f>IFERROR(__xludf.DUMMYFUNCTION("LOWER(Regexreplace(to_text(E3233),""[^A-Za-z0-9]"","""")&amp;""_""&amp;Regexreplace(to_text(F3233),""[^A-Za-z0-9]"",""""))"),"aquagen_evcbseries")</f>
        <v>aquagen_evcbseries</v>
      </c>
      <c r="BG3233" s="275" t="str">
        <f>IFERROR(__xludf.DUMMYFUNCTION("upper(Regexreplace(to_text(E3233),""[^A-Za-z0-9]"","""")&amp;""-""&amp;Regexreplace(to_text(F3233),""[^A-Za-z0-9]"",""""))"),"AQUAGEN-EVCBSERIES")</f>
        <v>AQUAGEN-EVCBSERIES</v>
      </c>
    </row>
    <row r="3234" ht="30.0" customHeight="1">
      <c r="A3234" s="328">
        <v>2690.0</v>
      </c>
      <c r="B3234" s="425" t="s">
        <v>670</v>
      </c>
      <c r="C3234" s="257" t="s">
        <v>10000</v>
      </c>
      <c r="D3234" s="173" t="s">
        <v>10001</v>
      </c>
      <c r="E3234" s="174" t="s">
        <v>9097</v>
      </c>
      <c r="F3234" s="173" t="s">
        <v>2862</v>
      </c>
      <c r="G3234" s="425" t="s">
        <v>673</v>
      </c>
      <c r="H3234" s="425" t="s">
        <v>2863</v>
      </c>
      <c r="I3234" s="258" t="s">
        <v>9445</v>
      </c>
      <c r="J3234" s="259" t="s">
        <v>902</v>
      </c>
      <c r="K3234" s="260" t="s">
        <v>9992</v>
      </c>
      <c r="L3234" s="442"/>
      <c r="M3234" s="426"/>
      <c r="N3234" s="173" t="s">
        <v>679</v>
      </c>
      <c r="O3234" s="173" t="s">
        <v>225</v>
      </c>
      <c r="P3234" s="262" t="str">
        <f t="shared" si="1"/>
        <v>IN-BLR-ANANTA-FAN-182_2</v>
      </c>
      <c r="Q3234" s="173" t="s">
        <v>10002</v>
      </c>
      <c r="R3234" s="433" t="str">
        <f>IFS(C3234="","",C3234="n/a","N/A",LEN(C3234),Concatenate("{",char(34),"asset",char(34),":{",char(34),"guid",char(34),":",char(34),Q3234,char(34),",",char(34),"site",char(34),":",char(34),LOWER('2-Building'!$B$4),char(34),",",char(34),"name",char(34),":",char(34),LOWER(C3234),char(34),"}}"))</f>
        <v>{"asset":{"guid":"uuid://ae23699e-7aa6-4b1e-992e-01244ef9c2e4","site":"in-blr-ananta","name":"fan-182"}}</v>
      </c>
      <c r="S3234" s="369" t="s">
        <v>2866</v>
      </c>
      <c r="T3234" s="427"/>
      <c r="U3234" s="427"/>
      <c r="V3234" s="428"/>
      <c r="W3234" s="429"/>
      <c r="X3234" s="430"/>
      <c r="Y3234" s="33" t="s">
        <v>8076</v>
      </c>
      <c r="Z3234" s="430"/>
      <c r="AA3234" s="430"/>
      <c r="AB3234" s="258">
        <v>89.0</v>
      </c>
      <c r="AC3234" s="430"/>
      <c r="AD3234" s="426"/>
      <c r="AE3234" s="428"/>
      <c r="AF3234" s="431"/>
      <c r="AG3234" s="432" t="str">
        <f>IFS(LEN(AF3234)=17,LOWER('2-Building'!$B$4 &amp; "-" &amp; C3234), AF3234="N/A", "N/A", LEN(AF3234)=0,"")</f>
        <v/>
      </c>
      <c r="AH3234" s="430"/>
      <c r="AI3234" s="430"/>
      <c r="AJ3234" s="430"/>
      <c r="AK3234" s="430"/>
      <c r="AL3234" s="430"/>
      <c r="AM3234" s="433"/>
      <c r="AN3234" s="430"/>
      <c r="AO3234" s="430"/>
      <c r="AP3234" s="430"/>
      <c r="AQ3234" s="430"/>
      <c r="AR3234" s="430"/>
      <c r="AS3234" s="430"/>
      <c r="AT3234" s="430"/>
      <c r="AU3234" s="426"/>
      <c r="AV3234" s="434"/>
      <c r="AW3234" s="269" t="s">
        <v>1700</v>
      </c>
      <c r="AX3234" s="269" t="s">
        <v>2869</v>
      </c>
      <c r="AY3234" s="270" t="s">
        <v>695</v>
      </c>
      <c r="AZ3234" s="435"/>
      <c r="BA3234" s="173">
        <v>10.0</v>
      </c>
      <c r="BB3234" s="434"/>
      <c r="BC3234" s="434"/>
      <c r="BD3234" s="308" t="s">
        <v>1844</v>
      </c>
      <c r="BE3234" s="436"/>
      <c r="BF3234" s="274" t="str">
        <f>IFERROR(__xludf.DUMMYFUNCTION("LOWER(Regexreplace(to_text(E3234),""[^A-Za-z0-9]"","""")&amp;""_""&amp;Regexreplace(to_text(F3234),""[^A-Za-z0-9]"",""""))"),"aquagen_evcbseries")</f>
        <v>aquagen_evcbseries</v>
      </c>
      <c r="BG3234" s="275" t="str">
        <f>IFERROR(__xludf.DUMMYFUNCTION("upper(Regexreplace(to_text(E3234),""[^A-Za-z0-9]"","""")&amp;""-""&amp;Regexreplace(to_text(F3234),""[^A-Za-z0-9]"",""""))"),"AQUAGEN-EVCBSERIES")</f>
        <v>AQUAGEN-EVCBSERIES</v>
      </c>
    </row>
    <row r="3235" ht="30.0" customHeight="1">
      <c r="A3235" s="328">
        <v>2690.0</v>
      </c>
      <c r="B3235" s="425" t="s">
        <v>670</v>
      </c>
      <c r="C3235" s="257" t="s">
        <v>10003</v>
      </c>
      <c r="D3235" s="173" t="s">
        <v>10004</v>
      </c>
      <c r="E3235" s="174" t="s">
        <v>9097</v>
      </c>
      <c r="F3235" s="173" t="s">
        <v>2862</v>
      </c>
      <c r="G3235" s="425" t="s">
        <v>673</v>
      </c>
      <c r="H3235" s="425" t="s">
        <v>2863</v>
      </c>
      <c r="I3235" s="258" t="s">
        <v>9445</v>
      </c>
      <c r="J3235" s="259" t="s">
        <v>902</v>
      </c>
      <c r="K3235" s="260" t="s">
        <v>9992</v>
      </c>
      <c r="L3235" s="442"/>
      <c r="M3235" s="426"/>
      <c r="N3235" s="173" t="s">
        <v>679</v>
      </c>
      <c r="O3235" s="173" t="s">
        <v>225</v>
      </c>
      <c r="P3235" s="262" t="str">
        <f t="shared" si="1"/>
        <v>IN-BLR-ANANTA-FAN-183_2</v>
      </c>
      <c r="Q3235" s="173" t="s">
        <v>10005</v>
      </c>
      <c r="R3235" s="425" t="str">
        <f>IFS(C3235="","",C3235="n/a","N/A",LEN(C3235),Concatenate("{",char(34),"asset",char(34),":{",char(34),"guid",char(34),":",char(34),Q3235,char(34),",",char(34),"site",char(34),":",char(34),LOWER('2-Building'!$B$4),char(34),",",char(34),"name",char(34),":",char(34),LOWER(C3235),char(34),"}}"))</f>
        <v>{"asset":{"guid":"uuid://9a121900-bfed-4cf3-b443-83f7f94472bf","site":"in-blr-ananta","name":"fan-183"}}</v>
      </c>
      <c r="S3235" s="369" t="s">
        <v>2866</v>
      </c>
      <c r="T3235" s="427"/>
      <c r="U3235" s="427"/>
      <c r="V3235" s="428"/>
      <c r="W3235" s="429"/>
      <c r="X3235" s="430"/>
      <c r="Y3235" s="33" t="s">
        <v>8076</v>
      </c>
      <c r="Z3235" s="430"/>
      <c r="AA3235" s="430"/>
      <c r="AB3235" s="258">
        <v>90.0</v>
      </c>
      <c r="AC3235" s="430"/>
      <c r="AD3235" s="426"/>
      <c r="AE3235" s="428"/>
      <c r="AF3235" s="431"/>
      <c r="AG3235" s="432" t="str">
        <f>IFS(LEN(AF3235)=17,LOWER('2-Building'!$B$4 &amp; "-" &amp; C3235), AF3235="N/A", "N/A", LEN(AF3235)=0,"")</f>
        <v/>
      </c>
      <c r="AH3235" s="430"/>
      <c r="AI3235" s="430"/>
      <c r="AJ3235" s="430"/>
      <c r="AK3235" s="430"/>
      <c r="AL3235" s="430"/>
      <c r="AM3235" s="433"/>
      <c r="AN3235" s="430"/>
      <c r="AO3235" s="430"/>
      <c r="AP3235" s="430"/>
      <c r="AQ3235" s="430"/>
      <c r="AR3235" s="430"/>
      <c r="AS3235" s="430"/>
      <c r="AT3235" s="430"/>
      <c r="AU3235" s="426"/>
      <c r="AV3235" s="434"/>
      <c r="AW3235" s="269" t="s">
        <v>1700</v>
      </c>
      <c r="AX3235" s="269" t="s">
        <v>2869</v>
      </c>
      <c r="AY3235" s="270" t="s">
        <v>695</v>
      </c>
      <c r="AZ3235" s="435"/>
      <c r="BA3235" s="173">
        <v>10.0</v>
      </c>
      <c r="BB3235" s="434"/>
      <c r="BC3235" s="434"/>
      <c r="BD3235" s="308" t="s">
        <v>1844</v>
      </c>
      <c r="BE3235" s="436"/>
      <c r="BF3235" s="274" t="str">
        <f>IFERROR(__xludf.DUMMYFUNCTION("LOWER(Regexreplace(to_text(E3235),""[^A-Za-z0-9]"","""")&amp;""_""&amp;Regexreplace(to_text(F3235),""[^A-Za-z0-9]"",""""))"),"aquagen_evcbseries")</f>
        <v>aquagen_evcbseries</v>
      </c>
      <c r="BG3235" s="275" t="str">
        <f>IFERROR(__xludf.DUMMYFUNCTION("upper(Regexreplace(to_text(E3235),""[^A-Za-z0-9]"","""")&amp;""-""&amp;Regexreplace(to_text(F3235),""[^A-Za-z0-9]"",""""))"),"AQUAGEN-EVCBSERIES")</f>
        <v>AQUAGEN-EVCBSERIES</v>
      </c>
    </row>
    <row r="3236" ht="30.0" customHeight="1">
      <c r="A3236" s="425">
        <v>2690.0</v>
      </c>
      <c r="B3236" s="425" t="s">
        <v>670</v>
      </c>
      <c r="C3236" s="257" t="s">
        <v>10006</v>
      </c>
      <c r="D3236" s="173" t="s">
        <v>10007</v>
      </c>
      <c r="E3236" s="174" t="s">
        <v>9097</v>
      </c>
      <c r="F3236" s="173" t="s">
        <v>2862</v>
      </c>
      <c r="G3236" s="425" t="s">
        <v>673</v>
      </c>
      <c r="H3236" s="425" t="s">
        <v>2863</v>
      </c>
      <c r="I3236" s="258" t="s">
        <v>9445</v>
      </c>
      <c r="J3236" s="259" t="s">
        <v>902</v>
      </c>
      <c r="K3236" s="260" t="s">
        <v>9992</v>
      </c>
      <c r="L3236" s="442"/>
      <c r="M3236" s="426"/>
      <c r="N3236" s="173" t="s">
        <v>679</v>
      </c>
      <c r="O3236" s="173" t="s">
        <v>225</v>
      </c>
      <c r="P3236" s="262" t="str">
        <f t="shared" si="1"/>
        <v>IN-BLR-ANANTA-FAN-184_2</v>
      </c>
      <c r="Q3236" s="173" t="s">
        <v>10008</v>
      </c>
      <c r="R3236" s="425" t="str">
        <f>IFS(C3236="","",C3236="n/a","N/A",LEN(C3236),Concatenate("{",char(34),"asset",char(34),":{",char(34),"guid",char(34),":",char(34),Q3236,char(34),",",char(34),"site",char(34),":",char(34),LOWER('2-Building'!$B$4),char(34),",",char(34),"name",char(34),":",char(34),LOWER(C3236),char(34),"}}"))</f>
        <v>{"asset":{"guid":"uuid://de63c5a7-51b3-4b6b-92d6-11f75da976fe","site":"in-blr-ananta","name":"fan-184"}}</v>
      </c>
      <c r="S3236" s="369" t="s">
        <v>2866</v>
      </c>
      <c r="T3236" s="427"/>
      <c r="U3236" s="427"/>
      <c r="V3236" s="428"/>
      <c r="W3236" s="429"/>
      <c r="X3236" s="430"/>
      <c r="Y3236" s="33" t="s">
        <v>8076</v>
      </c>
      <c r="Z3236" s="430"/>
      <c r="AA3236" s="430"/>
      <c r="AB3236" s="258">
        <v>91.0</v>
      </c>
      <c r="AC3236" s="430"/>
      <c r="AD3236" s="426"/>
      <c r="AE3236" s="428"/>
      <c r="AF3236" s="431"/>
      <c r="AG3236" s="432"/>
      <c r="AH3236" s="430"/>
      <c r="AI3236" s="430"/>
      <c r="AJ3236" s="430"/>
      <c r="AK3236" s="430"/>
      <c r="AL3236" s="430"/>
      <c r="AM3236" s="433"/>
      <c r="AN3236" s="430"/>
      <c r="AO3236" s="430"/>
      <c r="AP3236" s="430"/>
      <c r="AQ3236" s="430"/>
      <c r="AR3236" s="430"/>
      <c r="AS3236" s="430"/>
      <c r="AT3236" s="430"/>
      <c r="AU3236" s="426"/>
      <c r="AV3236" s="434"/>
      <c r="AW3236" s="269" t="s">
        <v>1700</v>
      </c>
      <c r="AX3236" s="269" t="s">
        <v>2869</v>
      </c>
      <c r="AY3236" s="270" t="s">
        <v>695</v>
      </c>
      <c r="AZ3236" s="435"/>
      <c r="BA3236" s="173">
        <v>10.0</v>
      </c>
      <c r="BB3236" s="434"/>
      <c r="BC3236" s="434"/>
      <c r="BD3236" s="308" t="s">
        <v>1844</v>
      </c>
      <c r="BE3236" s="436"/>
      <c r="BF3236" s="274" t="str">
        <f>IFERROR(__xludf.DUMMYFUNCTION("LOWER(Regexreplace(to_text(E3236),""[^A-Za-z0-9]"","""")&amp;""_""&amp;Regexreplace(to_text(F3236),""[^A-Za-z0-9]"",""""))"),"aquagen_evcbseries")</f>
        <v>aquagen_evcbseries</v>
      </c>
      <c r="BG3236" s="275" t="str">
        <f>IFERROR(__xludf.DUMMYFUNCTION("upper(Regexreplace(to_text(E3236),""[^A-Za-z0-9]"","""")&amp;""-""&amp;Regexreplace(to_text(F3236),""[^A-Za-z0-9]"",""""))"),"AQUAGEN-EVCBSERIES")</f>
        <v>AQUAGEN-EVCBSERIES</v>
      </c>
    </row>
    <row r="3237" ht="30.0" customHeight="1">
      <c r="A3237" s="328">
        <v>2690.0</v>
      </c>
      <c r="B3237" s="425" t="s">
        <v>670</v>
      </c>
      <c r="C3237" s="257" t="s">
        <v>10009</v>
      </c>
      <c r="D3237" s="173" t="s">
        <v>10010</v>
      </c>
      <c r="E3237" s="174" t="s">
        <v>9097</v>
      </c>
      <c r="F3237" s="173" t="s">
        <v>2862</v>
      </c>
      <c r="G3237" s="425" t="s">
        <v>673</v>
      </c>
      <c r="H3237" s="425" t="s">
        <v>2863</v>
      </c>
      <c r="I3237" s="258" t="s">
        <v>9445</v>
      </c>
      <c r="J3237" s="259" t="s">
        <v>1149</v>
      </c>
      <c r="K3237" s="260" t="s">
        <v>10011</v>
      </c>
      <c r="L3237" s="442"/>
      <c r="M3237" s="426"/>
      <c r="N3237" s="173" t="s">
        <v>679</v>
      </c>
      <c r="O3237" s="173" t="s">
        <v>225</v>
      </c>
      <c r="P3237" s="262" t="str">
        <f t="shared" si="1"/>
        <v>IN-BLR-ANANTA-FAN-185_6</v>
      </c>
      <c r="Q3237" s="173" t="s">
        <v>10012</v>
      </c>
      <c r="R3237" s="425" t="str">
        <f>IFS(C3237="","",C3237="n/a","N/A",LEN(C3237),Concatenate("{",char(34),"asset",char(34),":{",char(34),"guid",char(34),":",char(34),Q3237,char(34),",",char(34),"site",char(34),":",char(34),LOWER('2-Building'!$B$4),char(34),",",char(34),"name",char(34),":",char(34),LOWER(C3237),char(34),"}}"))</f>
        <v>{"asset":{"guid":"uuid://d5fe0fcc-a2d2-4541-93cf-f7e356633eac","site":"in-blr-ananta","name":"fan-185"}}</v>
      </c>
      <c r="S3237" s="369" t="s">
        <v>2866</v>
      </c>
      <c r="T3237" s="427"/>
      <c r="U3237" s="427"/>
      <c r="V3237" s="428"/>
      <c r="W3237" s="429"/>
      <c r="X3237" s="430"/>
      <c r="Y3237" s="33" t="s">
        <v>8076</v>
      </c>
      <c r="Z3237" s="430"/>
      <c r="AA3237" s="430"/>
      <c r="AB3237" s="258">
        <v>2.0</v>
      </c>
      <c r="AC3237" s="430"/>
      <c r="AD3237" s="426"/>
      <c r="AE3237" s="428"/>
      <c r="AF3237" s="431"/>
      <c r="AG3237" s="432"/>
      <c r="AH3237" s="430"/>
      <c r="AI3237" s="430"/>
      <c r="AJ3237" s="430"/>
      <c r="AK3237" s="430"/>
      <c r="AL3237" s="430"/>
      <c r="AM3237" s="433"/>
      <c r="AN3237" s="430"/>
      <c r="AO3237" s="430"/>
      <c r="AP3237" s="430"/>
      <c r="AQ3237" s="430"/>
      <c r="AR3237" s="430"/>
      <c r="AS3237" s="430"/>
      <c r="AT3237" s="430"/>
      <c r="AU3237" s="426"/>
      <c r="AV3237" s="434"/>
      <c r="AW3237" s="269" t="s">
        <v>1700</v>
      </c>
      <c r="AX3237" s="269" t="s">
        <v>2869</v>
      </c>
      <c r="AY3237" s="270" t="s">
        <v>695</v>
      </c>
      <c r="AZ3237" s="435"/>
      <c r="BA3237" s="173">
        <v>10.0</v>
      </c>
      <c r="BB3237" s="434"/>
      <c r="BC3237" s="434"/>
      <c r="BD3237" s="308" t="s">
        <v>1844</v>
      </c>
      <c r="BE3237" s="436"/>
      <c r="BF3237" s="274" t="str">
        <f>IFERROR(__xludf.DUMMYFUNCTION("LOWER(Regexreplace(to_text(E3237),""[^A-Za-z0-9]"","""")&amp;""_""&amp;Regexreplace(to_text(F3237),""[^A-Za-z0-9]"",""""))"),"aquagen_evcbseries")</f>
        <v>aquagen_evcbseries</v>
      </c>
      <c r="BG3237" s="275" t="str">
        <f>IFERROR(__xludf.DUMMYFUNCTION("upper(Regexreplace(to_text(E3237),""[^A-Za-z0-9]"","""")&amp;""-""&amp;Regexreplace(to_text(F3237),""[^A-Za-z0-9]"",""""))"),"AQUAGEN-EVCBSERIES")</f>
        <v>AQUAGEN-EVCBSERIES</v>
      </c>
    </row>
    <row r="3238" ht="30.0" customHeight="1">
      <c r="A3238" s="328">
        <v>2690.0</v>
      </c>
      <c r="B3238" s="425" t="s">
        <v>670</v>
      </c>
      <c r="C3238" s="257" t="s">
        <v>10013</v>
      </c>
      <c r="D3238" s="173" t="s">
        <v>10014</v>
      </c>
      <c r="E3238" s="174" t="s">
        <v>9097</v>
      </c>
      <c r="F3238" s="173" t="s">
        <v>2862</v>
      </c>
      <c r="G3238" s="425" t="s">
        <v>673</v>
      </c>
      <c r="H3238" s="425" t="s">
        <v>2863</v>
      </c>
      <c r="I3238" s="258" t="s">
        <v>9445</v>
      </c>
      <c r="J3238" s="259" t="s">
        <v>1149</v>
      </c>
      <c r="K3238" s="260" t="s">
        <v>10011</v>
      </c>
      <c r="L3238" s="442"/>
      <c r="M3238" s="426"/>
      <c r="N3238" s="173" t="s">
        <v>679</v>
      </c>
      <c r="O3238" s="173" t="s">
        <v>225</v>
      </c>
      <c r="P3238" s="262" t="str">
        <f t="shared" si="1"/>
        <v>IN-BLR-ANANTA-FAN-186_6</v>
      </c>
      <c r="Q3238" s="173" t="s">
        <v>10015</v>
      </c>
      <c r="R3238" s="425" t="str">
        <f>IFS(C3238="","",C3238="n/a","N/A",LEN(C3238),Concatenate("{",char(34),"asset",char(34),":{",char(34),"guid",char(34),":",char(34),Q3238,char(34),",",char(34),"site",char(34),":",char(34),LOWER('2-Building'!$B$4),char(34),",",char(34),"name",char(34),":",char(34),LOWER(C3238),char(34),"}}"))</f>
        <v>{"asset":{"guid":"uuid://a8107e81-8732-4883-afa8-77c03df561ff","site":"in-blr-ananta","name":"fan-186"}}</v>
      </c>
      <c r="S3238" s="369" t="s">
        <v>2866</v>
      </c>
      <c r="T3238" s="427"/>
      <c r="U3238" s="427"/>
      <c r="V3238" s="428"/>
      <c r="W3238" s="429"/>
      <c r="X3238" s="430"/>
      <c r="Y3238" s="33" t="s">
        <v>8076</v>
      </c>
      <c r="Z3238" s="430"/>
      <c r="AA3238" s="430"/>
      <c r="AB3238" s="258">
        <v>3.0</v>
      </c>
      <c r="AC3238" s="430"/>
      <c r="AD3238" s="426"/>
      <c r="AE3238" s="428"/>
      <c r="AF3238" s="431"/>
      <c r="AG3238" s="432"/>
      <c r="AH3238" s="430"/>
      <c r="AI3238" s="430"/>
      <c r="AJ3238" s="430"/>
      <c r="AK3238" s="430"/>
      <c r="AL3238" s="430"/>
      <c r="AM3238" s="433"/>
      <c r="AN3238" s="430"/>
      <c r="AO3238" s="430"/>
      <c r="AP3238" s="430"/>
      <c r="AQ3238" s="430"/>
      <c r="AR3238" s="430"/>
      <c r="AS3238" s="430"/>
      <c r="AT3238" s="430"/>
      <c r="AU3238" s="426"/>
      <c r="AV3238" s="434"/>
      <c r="AW3238" s="269" t="s">
        <v>1700</v>
      </c>
      <c r="AX3238" s="269" t="s">
        <v>2869</v>
      </c>
      <c r="AY3238" s="270" t="s">
        <v>695</v>
      </c>
      <c r="AZ3238" s="435"/>
      <c r="BA3238" s="173">
        <v>10.0</v>
      </c>
      <c r="BB3238" s="434"/>
      <c r="BC3238" s="434"/>
      <c r="BD3238" s="308" t="s">
        <v>1844</v>
      </c>
      <c r="BE3238" s="436"/>
      <c r="BF3238" s="274" t="str">
        <f>IFERROR(__xludf.DUMMYFUNCTION("LOWER(Regexreplace(to_text(E3238),""[^A-Za-z0-9]"","""")&amp;""_""&amp;Regexreplace(to_text(F3238),""[^A-Za-z0-9]"",""""))"),"aquagen_evcbseries")</f>
        <v>aquagen_evcbseries</v>
      </c>
      <c r="BG3238" s="275" t="str">
        <f>IFERROR(__xludf.DUMMYFUNCTION("upper(Regexreplace(to_text(E3238),""[^A-Za-z0-9]"","""")&amp;""-""&amp;Regexreplace(to_text(F3238),""[^A-Za-z0-9]"",""""))"),"AQUAGEN-EVCBSERIES")</f>
        <v>AQUAGEN-EVCBSERIES</v>
      </c>
    </row>
    <row r="3239" ht="30.0" customHeight="1">
      <c r="A3239" s="328">
        <v>2690.0</v>
      </c>
      <c r="B3239" s="425" t="s">
        <v>670</v>
      </c>
      <c r="C3239" s="257" t="s">
        <v>10016</v>
      </c>
      <c r="D3239" s="173" t="s">
        <v>10017</v>
      </c>
      <c r="E3239" s="174" t="s">
        <v>9097</v>
      </c>
      <c r="F3239" s="173" t="s">
        <v>2862</v>
      </c>
      <c r="G3239" s="425" t="s">
        <v>673</v>
      </c>
      <c r="H3239" s="425" t="s">
        <v>2863</v>
      </c>
      <c r="I3239" s="258" t="s">
        <v>9445</v>
      </c>
      <c r="J3239" s="259" t="s">
        <v>1149</v>
      </c>
      <c r="K3239" s="260" t="s">
        <v>10011</v>
      </c>
      <c r="L3239" s="442"/>
      <c r="M3239" s="426"/>
      <c r="N3239" s="173" t="s">
        <v>679</v>
      </c>
      <c r="O3239" s="173" t="s">
        <v>225</v>
      </c>
      <c r="P3239" s="262" t="str">
        <f t="shared" si="1"/>
        <v>IN-BLR-ANANTA-FAN-187_6</v>
      </c>
      <c r="Q3239" s="173" t="s">
        <v>10018</v>
      </c>
      <c r="R3239" s="425" t="str">
        <f>IFS(C3239="","",C3239="n/a","N/A",LEN(C3239),Concatenate("{",char(34),"asset",char(34),":{",char(34),"guid",char(34),":",char(34),Q3239,char(34),",",char(34),"site",char(34),":",char(34),LOWER('2-Building'!$B$4),char(34),",",char(34),"name",char(34),":",char(34),LOWER(C3239),char(34),"}}"))</f>
        <v>{"asset":{"guid":"uuid://144cf5c4-8210-4acd-97a4-d1ef24e7815c","site":"in-blr-ananta","name":"fan-187"}}</v>
      </c>
      <c r="S3239" s="369" t="s">
        <v>2866</v>
      </c>
      <c r="T3239" s="427"/>
      <c r="U3239" s="427"/>
      <c r="V3239" s="428"/>
      <c r="W3239" s="429"/>
      <c r="X3239" s="430"/>
      <c r="Y3239" s="33" t="s">
        <v>8076</v>
      </c>
      <c r="Z3239" s="430"/>
      <c r="AA3239" s="430"/>
      <c r="AB3239" s="258">
        <v>4.0</v>
      </c>
      <c r="AC3239" s="430"/>
      <c r="AD3239" s="426"/>
      <c r="AE3239" s="428"/>
      <c r="AF3239" s="431"/>
      <c r="AG3239" s="432"/>
      <c r="AH3239" s="430"/>
      <c r="AI3239" s="430"/>
      <c r="AJ3239" s="430"/>
      <c r="AK3239" s="430"/>
      <c r="AL3239" s="430"/>
      <c r="AM3239" s="433"/>
      <c r="AN3239" s="430"/>
      <c r="AO3239" s="430"/>
      <c r="AP3239" s="430"/>
      <c r="AQ3239" s="430"/>
      <c r="AR3239" s="430"/>
      <c r="AS3239" s="430"/>
      <c r="AT3239" s="430"/>
      <c r="AU3239" s="426"/>
      <c r="AV3239" s="434"/>
      <c r="AW3239" s="269" t="s">
        <v>1700</v>
      </c>
      <c r="AX3239" s="269" t="s">
        <v>2869</v>
      </c>
      <c r="AY3239" s="270" t="s">
        <v>695</v>
      </c>
      <c r="AZ3239" s="435"/>
      <c r="BA3239" s="173">
        <v>10.0</v>
      </c>
      <c r="BB3239" s="434"/>
      <c r="BC3239" s="434"/>
      <c r="BD3239" s="308" t="s">
        <v>1844</v>
      </c>
      <c r="BE3239" s="436"/>
      <c r="BF3239" s="274" t="str">
        <f>IFERROR(__xludf.DUMMYFUNCTION("LOWER(Regexreplace(to_text(E3239),""[^A-Za-z0-9]"","""")&amp;""_""&amp;Regexreplace(to_text(F3239),""[^A-Za-z0-9]"",""""))"),"aquagen_evcbseries")</f>
        <v>aquagen_evcbseries</v>
      </c>
      <c r="BG3239" s="275" t="str">
        <f>IFERROR(__xludf.DUMMYFUNCTION("upper(Regexreplace(to_text(E3239),""[^A-Za-z0-9]"","""")&amp;""-""&amp;Regexreplace(to_text(F3239),""[^A-Za-z0-9]"",""""))"),"AQUAGEN-EVCBSERIES")</f>
        <v>AQUAGEN-EVCBSERIES</v>
      </c>
    </row>
    <row r="3240" ht="30.0" customHeight="1">
      <c r="A3240" s="425">
        <v>2690.0</v>
      </c>
      <c r="B3240" s="425" t="s">
        <v>670</v>
      </c>
      <c r="C3240" s="257" t="s">
        <v>10019</v>
      </c>
      <c r="D3240" s="173" t="s">
        <v>10020</v>
      </c>
      <c r="E3240" s="174" t="s">
        <v>9097</v>
      </c>
      <c r="F3240" s="173" t="s">
        <v>2862</v>
      </c>
      <c r="G3240" s="425" t="s">
        <v>673</v>
      </c>
      <c r="H3240" s="425" t="s">
        <v>2863</v>
      </c>
      <c r="I3240" s="258" t="s">
        <v>9445</v>
      </c>
      <c r="J3240" s="259" t="s">
        <v>1149</v>
      </c>
      <c r="K3240" s="260" t="s">
        <v>10011</v>
      </c>
      <c r="L3240" s="442"/>
      <c r="M3240" s="426"/>
      <c r="N3240" s="173" t="s">
        <v>679</v>
      </c>
      <c r="O3240" s="173" t="s">
        <v>225</v>
      </c>
      <c r="P3240" s="262" t="str">
        <f t="shared" si="1"/>
        <v>IN-BLR-ANANTA-FAN-188_6</v>
      </c>
      <c r="Q3240" s="173" t="s">
        <v>10021</v>
      </c>
      <c r="R3240" s="425" t="str">
        <f>IFS(C3240="","",C3240="n/a","N/A",LEN(C3240),Concatenate("{",char(34),"asset",char(34),":{",char(34),"guid",char(34),":",char(34),Q3240,char(34),",",char(34),"site",char(34),":",char(34),LOWER('2-Building'!$B$4),char(34),",",char(34),"name",char(34),":",char(34),LOWER(C3240),char(34),"}}"))</f>
        <v>{"asset":{"guid":"uuid://a4c459b7-8869-41fd-a4c0-17da01e6de6f","site":"in-blr-ananta","name":"fan-188"}}</v>
      </c>
      <c r="S3240" s="369" t="s">
        <v>2866</v>
      </c>
      <c r="T3240" s="427"/>
      <c r="U3240" s="427"/>
      <c r="V3240" s="428"/>
      <c r="W3240" s="429"/>
      <c r="X3240" s="430"/>
      <c r="Y3240" s="33" t="s">
        <v>8076</v>
      </c>
      <c r="Z3240" s="430"/>
      <c r="AA3240" s="430"/>
      <c r="AB3240" s="258">
        <v>5.0</v>
      </c>
      <c r="AC3240" s="430"/>
      <c r="AD3240" s="426"/>
      <c r="AE3240" s="428"/>
      <c r="AF3240" s="431"/>
      <c r="AG3240" s="432"/>
      <c r="AH3240" s="430"/>
      <c r="AI3240" s="430"/>
      <c r="AJ3240" s="430"/>
      <c r="AK3240" s="430"/>
      <c r="AL3240" s="430"/>
      <c r="AM3240" s="433"/>
      <c r="AN3240" s="430"/>
      <c r="AO3240" s="430"/>
      <c r="AP3240" s="430"/>
      <c r="AQ3240" s="430"/>
      <c r="AR3240" s="430"/>
      <c r="AS3240" s="430"/>
      <c r="AT3240" s="430"/>
      <c r="AU3240" s="426"/>
      <c r="AV3240" s="434"/>
      <c r="AW3240" s="269" t="s">
        <v>1700</v>
      </c>
      <c r="AX3240" s="269" t="s">
        <v>2869</v>
      </c>
      <c r="AY3240" s="270" t="s">
        <v>695</v>
      </c>
      <c r="AZ3240" s="435"/>
      <c r="BA3240" s="173">
        <v>10.0</v>
      </c>
      <c r="BB3240" s="434"/>
      <c r="BC3240" s="434"/>
      <c r="BD3240" s="308" t="s">
        <v>1844</v>
      </c>
      <c r="BE3240" s="436"/>
      <c r="BF3240" s="274" t="str">
        <f>IFERROR(__xludf.DUMMYFUNCTION("LOWER(Regexreplace(to_text(E3240),""[^A-Za-z0-9]"","""")&amp;""_""&amp;Regexreplace(to_text(F3240),""[^A-Za-z0-9]"",""""))"),"aquagen_evcbseries")</f>
        <v>aquagen_evcbseries</v>
      </c>
      <c r="BG3240" s="275" t="str">
        <f>IFERROR(__xludf.DUMMYFUNCTION("upper(Regexreplace(to_text(E3240),""[^A-Za-z0-9]"","""")&amp;""-""&amp;Regexreplace(to_text(F3240),""[^A-Za-z0-9]"",""""))"),"AQUAGEN-EVCBSERIES")</f>
        <v>AQUAGEN-EVCBSERIES</v>
      </c>
    </row>
    <row r="3241" ht="30.0" customHeight="1">
      <c r="A3241" s="328">
        <v>2690.0</v>
      </c>
      <c r="B3241" s="425" t="s">
        <v>670</v>
      </c>
      <c r="C3241" s="257" t="s">
        <v>10022</v>
      </c>
      <c r="D3241" s="173" t="s">
        <v>10023</v>
      </c>
      <c r="E3241" s="174" t="s">
        <v>9097</v>
      </c>
      <c r="F3241" s="173" t="s">
        <v>2862</v>
      </c>
      <c r="G3241" s="425" t="s">
        <v>673</v>
      </c>
      <c r="H3241" s="425" t="s">
        <v>2863</v>
      </c>
      <c r="I3241" s="258" t="s">
        <v>9445</v>
      </c>
      <c r="J3241" s="259" t="s">
        <v>1149</v>
      </c>
      <c r="K3241" s="260" t="s">
        <v>10011</v>
      </c>
      <c r="L3241" s="442"/>
      <c r="M3241" s="426"/>
      <c r="N3241" s="173" t="s">
        <v>679</v>
      </c>
      <c r="O3241" s="173" t="s">
        <v>225</v>
      </c>
      <c r="P3241" s="262" t="str">
        <f t="shared" si="1"/>
        <v>IN-BLR-ANANTA-FAN-189_6</v>
      </c>
      <c r="Q3241" s="173" t="s">
        <v>10024</v>
      </c>
      <c r="R3241" s="425" t="str">
        <f>IFS(C3241="","",C3241="n/a","N/A",LEN(C3241),Concatenate("{",char(34),"asset",char(34),":{",char(34),"guid",char(34),":",char(34),Q3241,char(34),",",char(34),"site",char(34),":",char(34),LOWER('2-Building'!$B$4),char(34),",",char(34),"name",char(34),":",char(34),LOWER(C3241),char(34),"}}"))</f>
        <v>{"asset":{"guid":"uuid://358a1942-6280-432b-8b2d-8a8c1c64dba9","site":"in-blr-ananta","name":"fan-189"}}</v>
      </c>
      <c r="S3241" s="369" t="s">
        <v>2866</v>
      </c>
      <c r="T3241" s="427"/>
      <c r="U3241" s="427"/>
      <c r="V3241" s="428"/>
      <c r="W3241" s="429"/>
      <c r="X3241" s="430"/>
      <c r="Y3241" s="33" t="s">
        <v>8076</v>
      </c>
      <c r="Z3241" s="430"/>
      <c r="AA3241" s="430"/>
      <c r="AB3241" s="258">
        <v>6.0</v>
      </c>
      <c r="AC3241" s="430"/>
      <c r="AD3241" s="426"/>
      <c r="AE3241" s="428"/>
      <c r="AF3241" s="431"/>
      <c r="AG3241" s="432"/>
      <c r="AH3241" s="430"/>
      <c r="AI3241" s="430"/>
      <c r="AJ3241" s="430"/>
      <c r="AK3241" s="430"/>
      <c r="AL3241" s="430"/>
      <c r="AM3241" s="433"/>
      <c r="AN3241" s="430"/>
      <c r="AO3241" s="430"/>
      <c r="AP3241" s="430"/>
      <c r="AQ3241" s="430"/>
      <c r="AR3241" s="430"/>
      <c r="AS3241" s="430"/>
      <c r="AT3241" s="430"/>
      <c r="AU3241" s="426"/>
      <c r="AV3241" s="434"/>
      <c r="AW3241" s="269" t="s">
        <v>1700</v>
      </c>
      <c r="AX3241" s="269" t="s">
        <v>2869</v>
      </c>
      <c r="AY3241" s="270" t="s">
        <v>695</v>
      </c>
      <c r="AZ3241" s="435"/>
      <c r="BA3241" s="173">
        <v>10.0</v>
      </c>
      <c r="BB3241" s="434"/>
      <c r="BC3241" s="434"/>
      <c r="BD3241" s="308" t="s">
        <v>1844</v>
      </c>
      <c r="BE3241" s="436"/>
      <c r="BF3241" s="274" t="str">
        <f>IFERROR(__xludf.DUMMYFUNCTION("LOWER(Regexreplace(to_text(E3241),""[^A-Za-z0-9]"","""")&amp;""_""&amp;Regexreplace(to_text(F3241),""[^A-Za-z0-9]"",""""))"),"aquagen_evcbseries")</f>
        <v>aquagen_evcbseries</v>
      </c>
      <c r="BG3241" s="275" t="str">
        <f>IFERROR(__xludf.DUMMYFUNCTION("upper(Regexreplace(to_text(E3241),""[^A-Za-z0-9]"","""")&amp;""-""&amp;Regexreplace(to_text(F3241),""[^A-Za-z0-9]"",""""))"),"AQUAGEN-EVCBSERIES")</f>
        <v>AQUAGEN-EVCBSERIES</v>
      </c>
    </row>
    <row r="3242" ht="30.0" customHeight="1">
      <c r="A3242" s="258">
        <v>2690.0</v>
      </c>
      <c r="B3242" s="328" t="s">
        <v>670</v>
      </c>
      <c r="C3242" s="257" t="s">
        <v>10025</v>
      </c>
      <c r="D3242" s="173" t="s">
        <v>10026</v>
      </c>
      <c r="E3242" s="174" t="s">
        <v>9097</v>
      </c>
      <c r="F3242" s="173" t="s">
        <v>2862</v>
      </c>
      <c r="G3242" s="328" t="s">
        <v>673</v>
      </c>
      <c r="H3242" s="328" t="s">
        <v>2863</v>
      </c>
      <c r="I3242" s="258" t="s">
        <v>9445</v>
      </c>
      <c r="J3242" s="259" t="s">
        <v>1149</v>
      </c>
      <c r="K3242" s="260" t="s">
        <v>10011</v>
      </c>
      <c r="L3242" s="366"/>
      <c r="M3242" s="329"/>
      <c r="N3242" s="173" t="s">
        <v>679</v>
      </c>
      <c r="O3242" s="173" t="s">
        <v>225</v>
      </c>
      <c r="P3242" s="262" t="str">
        <f t="shared" si="1"/>
        <v>IN-BLR-ANANTA-FAN-190_6</v>
      </c>
      <c r="Q3242" s="173" t="s">
        <v>10027</v>
      </c>
      <c r="R3242" s="328" t="str">
        <f>IFS(C3242="","",C3242="n/a","N/A",LEN(C3242),Concatenate("{",char(34),"asset",char(34),":{",char(34),"guid",char(34),":",char(34),Q3242,char(34),",",char(34),"site",char(34),":",char(34),LOWER('2-Building'!$B$4),char(34),",",char(34),"name",char(34),":",char(34),LOWER(C3242),char(34),"}}"))</f>
        <v>{"asset":{"guid":"uuid://a024b261-d79a-4f02-b7d9-14b33868aeac","site":"in-blr-ananta","name":"fan-190"}}</v>
      </c>
      <c r="S3242" s="369" t="s">
        <v>2866</v>
      </c>
      <c r="T3242" s="330"/>
      <c r="U3242" s="330"/>
      <c r="V3242" s="331"/>
      <c r="W3242" s="332"/>
      <c r="X3242" s="333"/>
      <c r="Y3242" s="33" t="s">
        <v>8076</v>
      </c>
      <c r="Z3242" s="368"/>
      <c r="AA3242" s="333"/>
      <c r="AB3242" s="258">
        <v>7.0</v>
      </c>
      <c r="AC3242" s="333"/>
      <c r="AD3242" s="329"/>
      <c r="AE3242" s="331"/>
      <c r="AF3242" s="336"/>
      <c r="AG3242" s="337" t="str">
        <f>IFS(LEN(AF3242)=17,LOWER('2-Building'!$B$4 &amp; "-" &amp; C3242), AF3242="N/A", "N/A", LEN(AF3242)=0,"")</f>
        <v/>
      </c>
      <c r="AH3242" s="333"/>
      <c r="AI3242" s="333"/>
      <c r="AJ3242" s="333"/>
      <c r="AK3242" s="333"/>
      <c r="AL3242" s="333"/>
      <c r="AM3242" s="338"/>
      <c r="AN3242" s="333"/>
      <c r="AO3242" s="333"/>
      <c r="AP3242" s="333"/>
      <c r="AQ3242" s="333"/>
      <c r="AR3242" s="333"/>
      <c r="AS3242" s="333"/>
      <c r="AT3242" s="333"/>
      <c r="AU3242" s="329"/>
      <c r="AV3242" s="341"/>
      <c r="AW3242" s="269" t="s">
        <v>1700</v>
      </c>
      <c r="AX3242" s="269" t="s">
        <v>2869</v>
      </c>
      <c r="AY3242" s="270" t="s">
        <v>695</v>
      </c>
      <c r="AZ3242" s="379"/>
      <c r="BA3242" s="173">
        <v>10.0</v>
      </c>
      <c r="BB3242" s="341"/>
      <c r="BC3242" s="341"/>
      <c r="BD3242" s="308" t="s">
        <v>1844</v>
      </c>
      <c r="BE3242" s="364"/>
      <c r="BF3242" s="274" t="str">
        <f>IFERROR(__xludf.DUMMYFUNCTION("LOWER(Regexreplace(to_text(E3242),""[^A-Za-z0-9]"","""")&amp;""_""&amp;Regexreplace(to_text(F3242),""[^A-Za-z0-9]"",""""))"),"aquagen_evcbseries")</f>
        <v>aquagen_evcbseries</v>
      </c>
      <c r="BG3242" s="275" t="str">
        <f>IFERROR(__xludf.DUMMYFUNCTION("upper(Regexreplace(to_text(E3242),""[^A-Za-z0-9]"","""")&amp;""-""&amp;Regexreplace(to_text(F3242),""[^A-Za-z0-9]"",""""))"),"AQUAGEN-EVCBSERIES")</f>
        <v>AQUAGEN-EVCBSERIES</v>
      </c>
    </row>
    <row r="3243" ht="30.0" customHeight="1">
      <c r="A3243" s="328">
        <v>2690.0</v>
      </c>
      <c r="B3243" s="425" t="s">
        <v>670</v>
      </c>
      <c r="C3243" s="257" t="s">
        <v>10028</v>
      </c>
      <c r="D3243" s="173" t="s">
        <v>10029</v>
      </c>
      <c r="E3243" s="174" t="s">
        <v>9097</v>
      </c>
      <c r="F3243" s="173" t="s">
        <v>2862</v>
      </c>
      <c r="G3243" s="425" t="s">
        <v>673</v>
      </c>
      <c r="H3243" s="425" t="s">
        <v>2863</v>
      </c>
      <c r="I3243" s="258" t="s">
        <v>9445</v>
      </c>
      <c r="J3243" s="259" t="s">
        <v>1088</v>
      </c>
      <c r="K3243" s="260">
        <v>533.0</v>
      </c>
      <c r="L3243" s="442"/>
      <c r="M3243" s="426"/>
      <c r="N3243" s="173" t="s">
        <v>679</v>
      </c>
      <c r="O3243" s="173" t="s">
        <v>225</v>
      </c>
      <c r="P3243" s="262" t="str">
        <f t="shared" si="1"/>
        <v>IN-BLR-ANANTA-FAN-191_5</v>
      </c>
      <c r="Q3243" s="173" t="s">
        <v>10030</v>
      </c>
      <c r="R3243" s="433" t="str">
        <f>IFS(C3243="","",C3243="n/a","N/A",LEN(C3243),Concatenate("{",char(34),"asset",char(34),":{",char(34),"guid",char(34),":",char(34),Q3243,char(34),",",char(34),"site",char(34),":",char(34),LOWER('2-Building'!$B$4),char(34),",",char(34),"name",char(34),":",char(34),LOWER(C3243),char(34),"}}"))</f>
        <v>{"asset":{"guid":"uuid://89d3573f-ceaa-4a26-92a7-a33bbacb0cce","site":"in-blr-ananta","name":"fan-191"}}</v>
      </c>
      <c r="S3243" s="369" t="s">
        <v>2866</v>
      </c>
      <c r="T3243" s="427"/>
      <c r="U3243" s="427"/>
      <c r="V3243" s="428"/>
      <c r="W3243" s="429"/>
      <c r="X3243" s="430"/>
      <c r="Y3243" s="33" t="s">
        <v>8076</v>
      </c>
      <c r="Z3243" s="430"/>
      <c r="AA3243" s="430"/>
      <c r="AB3243" s="258">
        <v>21.0</v>
      </c>
      <c r="AC3243" s="430"/>
      <c r="AD3243" s="426"/>
      <c r="AE3243" s="428"/>
      <c r="AF3243" s="431"/>
      <c r="AG3243" s="432" t="str">
        <f>IFS(LEN(AF3243)=17,LOWER('2-Building'!$B$4 &amp; "-" &amp; C3243), AF3243="N/A", "N/A", LEN(AF3243)=0,"")</f>
        <v/>
      </c>
      <c r="AH3243" s="430"/>
      <c r="AI3243" s="430"/>
      <c r="AJ3243" s="430"/>
      <c r="AK3243" s="430"/>
      <c r="AL3243" s="430"/>
      <c r="AM3243" s="433"/>
      <c r="AN3243" s="430"/>
      <c r="AO3243" s="430"/>
      <c r="AP3243" s="430"/>
      <c r="AQ3243" s="430"/>
      <c r="AR3243" s="430"/>
      <c r="AS3243" s="430"/>
      <c r="AT3243" s="430"/>
      <c r="AU3243" s="426"/>
      <c r="AV3243" s="434"/>
      <c r="AW3243" s="269" t="s">
        <v>1700</v>
      </c>
      <c r="AX3243" s="269" t="s">
        <v>2869</v>
      </c>
      <c r="AY3243" s="270" t="s">
        <v>695</v>
      </c>
      <c r="AZ3243" s="435"/>
      <c r="BA3243" s="173">
        <v>10.0</v>
      </c>
      <c r="BB3243" s="434"/>
      <c r="BC3243" s="434"/>
      <c r="BD3243" s="308" t="s">
        <v>1844</v>
      </c>
      <c r="BE3243" s="436"/>
      <c r="BF3243" s="274" t="str">
        <f>IFERROR(__xludf.DUMMYFUNCTION("LOWER(Regexreplace(to_text(E3243),""[^A-Za-z0-9]"","""")&amp;""_""&amp;Regexreplace(to_text(F3243),""[^A-Za-z0-9]"",""""))"),"aquagen_evcbseries")</f>
        <v>aquagen_evcbseries</v>
      </c>
      <c r="BG3243" s="275" t="str">
        <f>IFERROR(__xludf.DUMMYFUNCTION("upper(Regexreplace(to_text(E3243),""[^A-Za-z0-9]"","""")&amp;""-""&amp;Regexreplace(to_text(F3243),""[^A-Za-z0-9]"",""""))"),"AQUAGEN-EVCBSERIES")</f>
        <v>AQUAGEN-EVCBSERIES</v>
      </c>
    </row>
    <row r="3244" ht="30.0" customHeight="1">
      <c r="A3244" s="328">
        <v>2690.0</v>
      </c>
      <c r="B3244" s="425" t="s">
        <v>670</v>
      </c>
      <c r="C3244" s="257" t="s">
        <v>10031</v>
      </c>
      <c r="D3244" s="173" t="s">
        <v>10032</v>
      </c>
      <c r="E3244" s="174" t="s">
        <v>9097</v>
      </c>
      <c r="F3244" s="173" t="s">
        <v>2862</v>
      </c>
      <c r="G3244" s="425" t="s">
        <v>673</v>
      </c>
      <c r="H3244" s="425" t="s">
        <v>2863</v>
      </c>
      <c r="I3244" s="258" t="s">
        <v>9445</v>
      </c>
      <c r="J3244" s="259" t="s">
        <v>1088</v>
      </c>
      <c r="K3244" s="260">
        <v>533.0</v>
      </c>
      <c r="L3244" s="442"/>
      <c r="M3244" s="426"/>
      <c r="N3244" s="173" t="s">
        <v>679</v>
      </c>
      <c r="O3244" s="173" t="s">
        <v>225</v>
      </c>
      <c r="P3244" s="262" t="str">
        <f t="shared" si="1"/>
        <v>IN-BLR-ANANTA-FAN-192_5</v>
      </c>
      <c r="Q3244" s="173" t="s">
        <v>10033</v>
      </c>
      <c r="R3244" s="425" t="str">
        <f>IFS(C3244="","",C3244="n/a","N/A",LEN(C3244),Concatenate("{",char(34),"asset",char(34),":{",char(34),"guid",char(34),":",char(34),Q3244,char(34),",",char(34),"site",char(34),":",char(34),LOWER('2-Building'!$B$4),char(34),",",char(34),"name",char(34),":",char(34),LOWER(C3244),char(34),"}}"))</f>
        <v>{"asset":{"guid":"uuid://d6dabaae-0750-4bc2-950a-5d26032c5978","site":"in-blr-ananta","name":"fan-192"}}</v>
      </c>
      <c r="S3244" s="369" t="s">
        <v>2866</v>
      </c>
      <c r="T3244" s="427"/>
      <c r="U3244" s="427"/>
      <c r="V3244" s="428"/>
      <c r="W3244" s="429"/>
      <c r="X3244" s="430"/>
      <c r="Y3244" s="33" t="s">
        <v>8076</v>
      </c>
      <c r="Z3244" s="430"/>
      <c r="AA3244" s="430"/>
      <c r="AB3244" s="258">
        <v>22.0</v>
      </c>
      <c r="AC3244" s="430"/>
      <c r="AD3244" s="426"/>
      <c r="AE3244" s="428"/>
      <c r="AF3244" s="431"/>
      <c r="AG3244" s="432" t="str">
        <f>IFS(LEN(AF3244)=17,LOWER('2-Building'!$B$4 &amp; "-" &amp; C3244), AF3244="N/A", "N/A", LEN(AF3244)=0,"")</f>
        <v/>
      </c>
      <c r="AH3244" s="430"/>
      <c r="AI3244" s="430"/>
      <c r="AJ3244" s="430"/>
      <c r="AK3244" s="430"/>
      <c r="AL3244" s="430"/>
      <c r="AM3244" s="433"/>
      <c r="AN3244" s="430"/>
      <c r="AO3244" s="430"/>
      <c r="AP3244" s="430"/>
      <c r="AQ3244" s="430"/>
      <c r="AR3244" s="430"/>
      <c r="AS3244" s="430"/>
      <c r="AT3244" s="430"/>
      <c r="AU3244" s="426"/>
      <c r="AV3244" s="434"/>
      <c r="AW3244" s="269" t="s">
        <v>1700</v>
      </c>
      <c r="AX3244" s="269" t="s">
        <v>2869</v>
      </c>
      <c r="AY3244" s="270" t="s">
        <v>695</v>
      </c>
      <c r="AZ3244" s="435"/>
      <c r="BA3244" s="173">
        <v>10.0</v>
      </c>
      <c r="BB3244" s="434"/>
      <c r="BC3244" s="434"/>
      <c r="BD3244" s="308" t="s">
        <v>1844</v>
      </c>
      <c r="BE3244" s="436"/>
      <c r="BF3244" s="274" t="str">
        <f>IFERROR(__xludf.DUMMYFUNCTION("LOWER(Regexreplace(to_text(E3244),""[^A-Za-z0-9]"","""")&amp;""_""&amp;Regexreplace(to_text(F3244),""[^A-Za-z0-9]"",""""))"),"aquagen_evcbseries")</f>
        <v>aquagen_evcbseries</v>
      </c>
      <c r="BG3244" s="275" t="str">
        <f>IFERROR(__xludf.DUMMYFUNCTION("upper(Regexreplace(to_text(E3244),""[^A-Za-z0-9]"","""")&amp;""-""&amp;Regexreplace(to_text(F3244),""[^A-Za-z0-9]"",""""))"),"AQUAGEN-EVCBSERIES")</f>
        <v>AQUAGEN-EVCBSERIES</v>
      </c>
    </row>
    <row r="3245" ht="30.0" customHeight="1">
      <c r="A3245" s="425">
        <v>2690.0</v>
      </c>
      <c r="B3245" s="425" t="s">
        <v>670</v>
      </c>
      <c r="C3245" s="257" t="s">
        <v>10034</v>
      </c>
      <c r="D3245" s="173" t="s">
        <v>10035</v>
      </c>
      <c r="E3245" s="174" t="s">
        <v>9097</v>
      </c>
      <c r="F3245" s="173" t="s">
        <v>2862</v>
      </c>
      <c r="G3245" s="425" t="s">
        <v>673</v>
      </c>
      <c r="H3245" s="425" t="s">
        <v>2863</v>
      </c>
      <c r="I3245" s="258" t="s">
        <v>9445</v>
      </c>
      <c r="J3245" s="259" t="s">
        <v>1088</v>
      </c>
      <c r="K3245" s="260">
        <v>533.0</v>
      </c>
      <c r="L3245" s="442"/>
      <c r="M3245" s="426"/>
      <c r="N3245" s="173" t="s">
        <v>679</v>
      </c>
      <c r="O3245" s="173" t="s">
        <v>225</v>
      </c>
      <c r="P3245" s="262" t="str">
        <f t="shared" si="1"/>
        <v>IN-BLR-ANANTA-FAN-193_5</v>
      </c>
      <c r="Q3245" s="173" t="s">
        <v>10036</v>
      </c>
      <c r="R3245" s="425" t="str">
        <f>IFS(C3245="","",C3245="n/a","N/A",LEN(C3245),Concatenate("{",char(34),"asset",char(34),":{",char(34),"guid",char(34),":",char(34),Q3245,char(34),",",char(34),"site",char(34),":",char(34),LOWER('2-Building'!$B$4),char(34),",",char(34),"name",char(34),":",char(34),LOWER(C3245),char(34),"}}"))</f>
        <v>{"asset":{"guid":"uuid://7b8a6bb6-7da2-4b01-9c3b-4aa825d8b04c","site":"in-blr-ananta","name":"fan-193"}}</v>
      </c>
      <c r="S3245" s="369" t="s">
        <v>2866</v>
      </c>
      <c r="T3245" s="427"/>
      <c r="U3245" s="427"/>
      <c r="V3245" s="428"/>
      <c r="W3245" s="429"/>
      <c r="X3245" s="430"/>
      <c r="Y3245" s="33" t="s">
        <v>8076</v>
      </c>
      <c r="Z3245" s="430"/>
      <c r="AA3245" s="430"/>
      <c r="AB3245" s="258">
        <v>23.0</v>
      </c>
      <c r="AC3245" s="430"/>
      <c r="AD3245" s="426"/>
      <c r="AE3245" s="428"/>
      <c r="AF3245" s="431"/>
      <c r="AG3245" s="432"/>
      <c r="AH3245" s="430"/>
      <c r="AI3245" s="430"/>
      <c r="AJ3245" s="430"/>
      <c r="AK3245" s="430"/>
      <c r="AL3245" s="430"/>
      <c r="AM3245" s="433"/>
      <c r="AN3245" s="430"/>
      <c r="AO3245" s="430"/>
      <c r="AP3245" s="430"/>
      <c r="AQ3245" s="430"/>
      <c r="AR3245" s="430"/>
      <c r="AS3245" s="430"/>
      <c r="AT3245" s="430"/>
      <c r="AU3245" s="426"/>
      <c r="AV3245" s="434"/>
      <c r="AW3245" s="269" t="s">
        <v>1700</v>
      </c>
      <c r="AX3245" s="269" t="s">
        <v>2869</v>
      </c>
      <c r="AY3245" s="270" t="s">
        <v>695</v>
      </c>
      <c r="AZ3245" s="435"/>
      <c r="BA3245" s="173">
        <v>10.0</v>
      </c>
      <c r="BB3245" s="434"/>
      <c r="BC3245" s="434"/>
      <c r="BD3245" s="308" t="s">
        <v>1844</v>
      </c>
      <c r="BE3245" s="436"/>
      <c r="BF3245" s="274" t="str">
        <f>IFERROR(__xludf.DUMMYFUNCTION("LOWER(Regexreplace(to_text(E3245),""[^A-Za-z0-9]"","""")&amp;""_""&amp;Regexreplace(to_text(F3245),""[^A-Za-z0-9]"",""""))"),"aquagen_evcbseries")</f>
        <v>aquagen_evcbseries</v>
      </c>
      <c r="BG3245" s="275" t="str">
        <f>IFERROR(__xludf.DUMMYFUNCTION("upper(Regexreplace(to_text(E3245),""[^A-Za-z0-9]"","""")&amp;""-""&amp;Regexreplace(to_text(F3245),""[^A-Za-z0-9]"",""""))"),"AQUAGEN-EVCBSERIES")</f>
        <v>AQUAGEN-EVCBSERIES</v>
      </c>
    </row>
    <row r="3246" ht="30.0" customHeight="1">
      <c r="A3246" s="328">
        <v>2690.0</v>
      </c>
      <c r="B3246" s="425" t="s">
        <v>670</v>
      </c>
      <c r="C3246" s="257" t="s">
        <v>10037</v>
      </c>
      <c r="D3246" s="173" t="s">
        <v>10038</v>
      </c>
      <c r="E3246" s="174" t="s">
        <v>9097</v>
      </c>
      <c r="F3246" s="173" t="s">
        <v>2862</v>
      </c>
      <c r="G3246" s="425" t="s">
        <v>673</v>
      </c>
      <c r="H3246" s="425" t="s">
        <v>2863</v>
      </c>
      <c r="I3246" s="258" t="s">
        <v>9445</v>
      </c>
      <c r="J3246" s="259" t="s">
        <v>1088</v>
      </c>
      <c r="K3246" s="260">
        <v>533.0</v>
      </c>
      <c r="L3246" s="442"/>
      <c r="M3246" s="426"/>
      <c r="N3246" s="173" t="s">
        <v>679</v>
      </c>
      <c r="O3246" s="173" t="s">
        <v>225</v>
      </c>
      <c r="P3246" s="262" t="str">
        <f t="shared" si="1"/>
        <v>IN-BLR-ANANTA-FAN-194_5</v>
      </c>
      <c r="Q3246" s="173" t="s">
        <v>10039</v>
      </c>
      <c r="R3246" s="425" t="str">
        <f>IFS(C3246="","",C3246="n/a","N/A",LEN(C3246),Concatenate("{",char(34),"asset",char(34),":{",char(34),"guid",char(34),":",char(34),Q3246,char(34),",",char(34),"site",char(34),":",char(34),LOWER('2-Building'!$B$4),char(34),",",char(34),"name",char(34),":",char(34),LOWER(C3246),char(34),"}}"))</f>
        <v>{"asset":{"guid":"uuid://57b2783e-61de-41eb-942f-f5a375fefce7","site":"in-blr-ananta","name":"fan-194"}}</v>
      </c>
      <c r="S3246" s="369" t="s">
        <v>2866</v>
      </c>
      <c r="T3246" s="427"/>
      <c r="U3246" s="427"/>
      <c r="V3246" s="428"/>
      <c r="W3246" s="429"/>
      <c r="X3246" s="430"/>
      <c r="Y3246" s="33" t="s">
        <v>8076</v>
      </c>
      <c r="Z3246" s="430"/>
      <c r="AA3246" s="430"/>
      <c r="AB3246" s="258">
        <v>24.0</v>
      </c>
      <c r="AC3246" s="430"/>
      <c r="AD3246" s="426"/>
      <c r="AE3246" s="428"/>
      <c r="AF3246" s="431"/>
      <c r="AG3246" s="432"/>
      <c r="AH3246" s="430"/>
      <c r="AI3246" s="430"/>
      <c r="AJ3246" s="430"/>
      <c r="AK3246" s="430"/>
      <c r="AL3246" s="430"/>
      <c r="AM3246" s="433"/>
      <c r="AN3246" s="430"/>
      <c r="AO3246" s="430"/>
      <c r="AP3246" s="430"/>
      <c r="AQ3246" s="430"/>
      <c r="AR3246" s="430"/>
      <c r="AS3246" s="430"/>
      <c r="AT3246" s="430"/>
      <c r="AU3246" s="426"/>
      <c r="AV3246" s="434"/>
      <c r="AW3246" s="269" t="s">
        <v>1700</v>
      </c>
      <c r="AX3246" s="269" t="s">
        <v>2869</v>
      </c>
      <c r="AY3246" s="270" t="s">
        <v>695</v>
      </c>
      <c r="AZ3246" s="435"/>
      <c r="BA3246" s="173">
        <v>10.0</v>
      </c>
      <c r="BB3246" s="434"/>
      <c r="BC3246" s="434"/>
      <c r="BD3246" s="308" t="s">
        <v>1844</v>
      </c>
      <c r="BE3246" s="436"/>
      <c r="BF3246" s="274" t="str">
        <f>IFERROR(__xludf.DUMMYFUNCTION("LOWER(Regexreplace(to_text(E3246),""[^A-Za-z0-9]"","""")&amp;""_""&amp;Regexreplace(to_text(F3246),""[^A-Za-z0-9]"",""""))"),"aquagen_evcbseries")</f>
        <v>aquagen_evcbseries</v>
      </c>
      <c r="BG3246" s="275" t="str">
        <f>IFERROR(__xludf.DUMMYFUNCTION("upper(Regexreplace(to_text(E3246),""[^A-Za-z0-9]"","""")&amp;""-""&amp;Regexreplace(to_text(F3246),""[^A-Za-z0-9]"",""""))"),"AQUAGEN-EVCBSERIES")</f>
        <v>AQUAGEN-EVCBSERIES</v>
      </c>
    </row>
    <row r="3247" ht="30.0" customHeight="1">
      <c r="A3247" s="328">
        <v>2690.0</v>
      </c>
      <c r="B3247" s="425" t="s">
        <v>670</v>
      </c>
      <c r="C3247" s="257" t="s">
        <v>10040</v>
      </c>
      <c r="D3247" s="173" t="s">
        <v>10041</v>
      </c>
      <c r="E3247" s="174" t="s">
        <v>9097</v>
      </c>
      <c r="F3247" s="173" t="s">
        <v>2862</v>
      </c>
      <c r="G3247" s="425" t="s">
        <v>673</v>
      </c>
      <c r="H3247" s="425" t="s">
        <v>2863</v>
      </c>
      <c r="I3247" s="258" t="s">
        <v>9445</v>
      </c>
      <c r="J3247" s="259" t="s">
        <v>1088</v>
      </c>
      <c r="K3247" s="260">
        <v>533.0</v>
      </c>
      <c r="L3247" s="442"/>
      <c r="M3247" s="426"/>
      <c r="N3247" s="173" t="s">
        <v>679</v>
      </c>
      <c r="O3247" s="173" t="s">
        <v>225</v>
      </c>
      <c r="P3247" s="262" t="str">
        <f t="shared" si="1"/>
        <v>IN-BLR-ANANTA-FAN-195_5</v>
      </c>
      <c r="Q3247" s="173" t="s">
        <v>10042</v>
      </c>
      <c r="R3247" s="425" t="str">
        <f>IFS(C3247="","",C3247="n/a","N/A",LEN(C3247),Concatenate("{",char(34),"asset",char(34),":{",char(34),"guid",char(34),":",char(34),Q3247,char(34),",",char(34),"site",char(34),":",char(34),LOWER('2-Building'!$B$4),char(34),",",char(34),"name",char(34),":",char(34),LOWER(C3247),char(34),"}}"))</f>
        <v>{"asset":{"guid":"uuid://25957cd9-7c4a-4c41-8c84-8acc97513cf6","site":"in-blr-ananta","name":"fan-195"}}</v>
      </c>
      <c r="S3247" s="369" t="s">
        <v>2866</v>
      </c>
      <c r="T3247" s="427"/>
      <c r="U3247" s="427"/>
      <c r="V3247" s="428"/>
      <c r="W3247" s="429"/>
      <c r="X3247" s="430"/>
      <c r="Y3247" s="33" t="s">
        <v>8076</v>
      </c>
      <c r="Z3247" s="430"/>
      <c r="AA3247" s="430"/>
      <c r="AB3247" s="258">
        <v>25.0</v>
      </c>
      <c r="AC3247" s="430"/>
      <c r="AD3247" s="426"/>
      <c r="AE3247" s="428"/>
      <c r="AF3247" s="431"/>
      <c r="AG3247" s="432"/>
      <c r="AH3247" s="430"/>
      <c r="AI3247" s="430"/>
      <c r="AJ3247" s="430"/>
      <c r="AK3247" s="430"/>
      <c r="AL3247" s="430"/>
      <c r="AM3247" s="433"/>
      <c r="AN3247" s="430"/>
      <c r="AO3247" s="430"/>
      <c r="AP3247" s="430"/>
      <c r="AQ3247" s="430"/>
      <c r="AR3247" s="430"/>
      <c r="AS3247" s="430"/>
      <c r="AT3247" s="430"/>
      <c r="AU3247" s="426"/>
      <c r="AV3247" s="434"/>
      <c r="AW3247" s="269" t="s">
        <v>1700</v>
      </c>
      <c r="AX3247" s="269" t="s">
        <v>2869</v>
      </c>
      <c r="AY3247" s="270" t="s">
        <v>695</v>
      </c>
      <c r="AZ3247" s="435"/>
      <c r="BA3247" s="173">
        <v>10.0</v>
      </c>
      <c r="BB3247" s="434"/>
      <c r="BC3247" s="434"/>
      <c r="BD3247" s="308" t="s">
        <v>1844</v>
      </c>
      <c r="BE3247" s="436"/>
      <c r="BF3247" s="274" t="str">
        <f>IFERROR(__xludf.DUMMYFUNCTION("LOWER(Regexreplace(to_text(E3247),""[^A-Za-z0-9]"","""")&amp;""_""&amp;Regexreplace(to_text(F3247),""[^A-Za-z0-9]"",""""))"),"aquagen_evcbseries")</f>
        <v>aquagen_evcbseries</v>
      </c>
      <c r="BG3247" s="275" t="str">
        <f>IFERROR(__xludf.DUMMYFUNCTION("upper(Regexreplace(to_text(E3247),""[^A-Za-z0-9]"","""")&amp;""-""&amp;Regexreplace(to_text(F3247),""[^A-Za-z0-9]"",""""))"),"AQUAGEN-EVCBSERIES")</f>
        <v>AQUAGEN-EVCBSERIES</v>
      </c>
    </row>
    <row r="3248" ht="30.0" customHeight="1">
      <c r="A3248" s="328">
        <v>2690.0</v>
      </c>
      <c r="B3248" s="425" t="s">
        <v>670</v>
      </c>
      <c r="C3248" s="257" t="s">
        <v>10043</v>
      </c>
      <c r="D3248" s="173" t="s">
        <v>10044</v>
      </c>
      <c r="E3248" s="174" t="s">
        <v>9097</v>
      </c>
      <c r="F3248" s="173" t="s">
        <v>2862</v>
      </c>
      <c r="G3248" s="425" t="s">
        <v>673</v>
      </c>
      <c r="H3248" s="425" t="s">
        <v>2863</v>
      </c>
      <c r="I3248" s="258" t="s">
        <v>9445</v>
      </c>
      <c r="J3248" s="259" t="s">
        <v>1211</v>
      </c>
      <c r="K3248" s="260" t="s">
        <v>10045</v>
      </c>
      <c r="L3248" s="442"/>
      <c r="M3248" s="426"/>
      <c r="N3248" s="173" t="s">
        <v>679</v>
      </c>
      <c r="O3248" s="173" t="s">
        <v>225</v>
      </c>
      <c r="P3248" s="262" t="str">
        <f t="shared" si="1"/>
        <v>IN-BLR-ANANTA-FAN-196_7</v>
      </c>
      <c r="Q3248" s="173" t="s">
        <v>10046</v>
      </c>
      <c r="R3248" s="425" t="str">
        <f>IFS(C3248="","",C3248="n/a","N/A",LEN(C3248),Concatenate("{",char(34),"asset",char(34),":{",char(34),"guid",char(34),":",char(34),Q3248,char(34),",",char(34),"site",char(34),":",char(34),LOWER('2-Building'!$B$4),char(34),",",char(34),"name",char(34),":",char(34),LOWER(C3248),char(34),"}}"))</f>
        <v>{"asset":{"guid":"uuid://297bc689-ed0c-4b00-b756-6d6735301849","site":"in-blr-ananta","name":"fan-196"}}</v>
      </c>
      <c r="S3248" s="369" t="s">
        <v>2866</v>
      </c>
      <c r="T3248" s="427"/>
      <c r="U3248" s="427"/>
      <c r="V3248" s="428"/>
      <c r="W3248" s="429"/>
      <c r="X3248" s="430"/>
      <c r="Y3248" s="33" t="s">
        <v>8076</v>
      </c>
      <c r="Z3248" s="430"/>
      <c r="AA3248" s="430"/>
      <c r="AB3248" s="258">
        <v>108.0</v>
      </c>
      <c r="AC3248" s="430"/>
      <c r="AD3248" s="426"/>
      <c r="AE3248" s="428"/>
      <c r="AF3248" s="431"/>
      <c r="AG3248" s="432" t="str">
        <f>IFS(LEN(AF3248)=17,LOWER('2-Building'!$B$4 &amp; "-" &amp; C3248), AF3248="N/A", "N/A", LEN(AF3248)=0,"")</f>
        <v/>
      </c>
      <c r="AH3248" s="430"/>
      <c r="AI3248" s="430"/>
      <c r="AJ3248" s="430"/>
      <c r="AK3248" s="430"/>
      <c r="AL3248" s="430"/>
      <c r="AM3248" s="433"/>
      <c r="AN3248" s="430"/>
      <c r="AO3248" s="430"/>
      <c r="AP3248" s="430"/>
      <c r="AQ3248" s="430"/>
      <c r="AR3248" s="430"/>
      <c r="AS3248" s="430"/>
      <c r="AT3248" s="430"/>
      <c r="AU3248" s="426"/>
      <c r="AV3248" s="434"/>
      <c r="AW3248" s="269" t="s">
        <v>1700</v>
      </c>
      <c r="AX3248" s="269" t="s">
        <v>2869</v>
      </c>
      <c r="AY3248" s="270" t="s">
        <v>695</v>
      </c>
      <c r="AZ3248" s="435"/>
      <c r="BA3248" s="173">
        <v>10.0</v>
      </c>
      <c r="BB3248" s="434"/>
      <c r="BC3248" s="434"/>
      <c r="BD3248" s="308" t="s">
        <v>1844</v>
      </c>
      <c r="BE3248" s="436"/>
      <c r="BF3248" s="274" t="str">
        <f>IFERROR(__xludf.DUMMYFUNCTION("LOWER(Regexreplace(to_text(E3248),""[^A-Za-z0-9]"","""")&amp;""_""&amp;Regexreplace(to_text(F3248),""[^A-Za-z0-9]"",""""))"),"aquagen_evcbseries")</f>
        <v>aquagen_evcbseries</v>
      </c>
      <c r="BG3248" s="275" t="str">
        <f>IFERROR(__xludf.DUMMYFUNCTION("upper(Regexreplace(to_text(E3248),""[^A-Za-z0-9]"","""")&amp;""-""&amp;Regexreplace(to_text(F3248),""[^A-Za-z0-9]"",""""))"),"AQUAGEN-EVCBSERIES")</f>
        <v>AQUAGEN-EVCBSERIES</v>
      </c>
    </row>
    <row r="3249" ht="30.0" customHeight="1">
      <c r="A3249" s="425">
        <v>2690.0</v>
      </c>
      <c r="B3249" s="425" t="s">
        <v>670</v>
      </c>
      <c r="C3249" s="257" t="s">
        <v>10047</v>
      </c>
      <c r="D3249" s="173" t="s">
        <v>10048</v>
      </c>
      <c r="E3249" s="174" t="s">
        <v>9097</v>
      </c>
      <c r="F3249" s="173" t="s">
        <v>2862</v>
      </c>
      <c r="G3249" s="425" t="s">
        <v>673</v>
      </c>
      <c r="H3249" s="425" t="s">
        <v>2863</v>
      </c>
      <c r="I3249" s="258" t="s">
        <v>9445</v>
      </c>
      <c r="J3249" s="259" t="s">
        <v>1211</v>
      </c>
      <c r="K3249" s="260" t="s">
        <v>10045</v>
      </c>
      <c r="L3249" s="442"/>
      <c r="M3249" s="426"/>
      <c r="N3249" s="173" t="s">
        <v>679</v>
      </c>
      <c r="O3249" s="173" t="s">
        <v>225</v>
      </c>
      <c r="P3249" s="262" t="str">
        <f t="shared" si="1"/>
        <v>IN-BLR-ANANTA-FAN-197_7</v>
      </c>
      <c r="Q3249" s="173" t="s">
        <v>10049</v>
      </c>
      <c r="R3249" s="433" t="str">
        <f>IFS(C3249="","",C3249="n/a","N/A",LEN(C3249),Concatenate("{",char(34),"asset",char(34),":{",char(34),"guid",char(34),":",char(34),Q3249,char(34),",",char(34),"site",char(34),":",char(34),LOWER('2-Building'!$B$4),char(34),",",char(34),"name",char(34),":",char(34),LOWER(C3249),char(34),"}}"))</f>
        <v>{"asset":{"guid":"uuid://5e0ac090-64ff-46ff-83cf-e7167a0e048c","site":"in-blr-ananta","name":"fan-197"}}</v>
      </c>
      <c r="S3249" s="369" t="s">
        <v>2866</v>
      </c>
      <c r="T3249" s="427"/>
      <c r="U3249" s="427"/>
      <c r="V3249" s="428"/>
      <c r="W3249" s="429"/>
      <c r="X3249" s="430"/>
      <c r="Y3249" s="33" t="s">
        <v>8076</v>
      </c>
      <c r="Z3249" s="430"/>
      <c r="AA3249" s="430"/>
      <c r="AB3249" s="258">
        <v>109.0</v>
      </c>
      <c r="AC3249" s="430"/>
      <c r="AD3249" s="426"/>
      <c r="AE3249" s="428"/>
      <c r="AF3249" s="431"/>
      <c r="AG3249" s="432" t="str">
        <f>IFS(LEN(AF3249)=17,LOWER('2-Building'!$B$4 &amp; "-" &amp; C3249), AF3249="N/A", "N/A", LEN(AF3249)=0,"")</f>
        <v/>
      </c>
      <c r="AH3249" s="430"/>
      <c r="AI3249" s="430"/>
      <c r="AJ3249" s="430"/>
      <c r="AK3249" s="430"/>
      <c r="AL3249" s="430"/>
      <c r="AM3249" s="433"/>
      <c r="AN3249" s="430"/>
      <c r="AO3249" s="430"/>
      <c r="AP3249" s="430"/>
      <c r="AQ3249" s="430"/>
      <c r="AR3249" s="430"/>
      <c r="AS3249" s="430"/>
      <c r="AT3249" s="430"/>
      <c r="AU3249" s="426"/>
      <c r="AV3249" s="434"/>
      <c r="AW3249" s="269" t="s">
        <v>1700</v>
      </c>
      <c r="AX3249" s="269" t="s">
        <v>2869</v>
      </c>
      <c r="AY3249" s="270" t="s">
        <v>695</v>
      </c>
      <c r="AZ3249" s="435"/>
      <c r="BA3249" s="173">
        <v>10.0</v>
      </c>
      <c r="BB3249" s="434"/>
      <c r="BC3249" s="434"/>
      <c r="BD3249" s="308" t="s">
        <v>1844</v>
      </c>
      <c r="BE3249" s="436"/>
      <c r="BF3249" s="274" t="str">
        <f>IFERROR(__xludf.DUMMYFUNCTION("LOWER(Regexreplace(to_text(E3249),""[^A-Za-z0-9]"","""")&amp;""_""&amp;Regexreplace(to_text(F3249),""[^A-Za-z0-9]"",""""))"),"aquagen_evcbseries")</f>
        <v>aquagen_evcbseries</v>
      </c>
      <c r="BG3249" s="275" t="str">
        <f>IFERROR(__xludf.DUMMYFUNCTION("upper(Regexreplace(to_text(E3249),""[^A-Za-z0-9]"","""")&amp;""-""&amp;Regexreplace(to_text(F3249),""[^A-Za-z0-9]"",""""))"),"AQUAGEN-EVCBSERIES")</f>
        <v>AQUAGEN-EVCBSERIES</v>
      </c>
    </row>
    <row r="3250" ht="30.0" customHeight="1">
      <c r="A3250" s="328">
        <v>2690.0</v>
      </c>
      <c r="B3250" s="425" t="s">
        <v>670</v>
      </c>
      <c r="C3250" s="257" t="s">
        <v>10050</v>
      </c>
      <c r="D3250" s="173" t="s">
        <v>10051</v>
      </c>
      <c r="E3250" s="174" t="s">
        <v>9097</v>
      </c>
      <c r="F3250" s="173" t="s">
        <v>2862</v>
      </c>
      <c r="G3250" s="425" t="s">
        <v>673</v>
      </c>
      <c r="H3250" s="425" t="s">
        <v>2863</v>
      </c>
      <c r="I3250" s="258" t="s">
        <v>9445</v>
      </c>
      <c r="J3250" s="259" t="s">
        <v>1211</v>
      </c>
      <c r="K3250" s="260" t="s">
        <v>10045</v>
      </c>
      <c r="L3250" s="442"/>
      <c r="M3250" s="426"/>
      <c r="N3250" s="173" t="s">
        <v>679</v>
      </c>
      <c r="O3250" s="173" t="s">
        <v>225</v>
      </c>
      <c r="P3250" s="262" t="str">
        <f t="shared" si="1"/>
        <v>IN-BLR-ANANTA-FAN-198_7</v>
      </c>
      <c r="Q3250" s="173" t="s">
        <v>10052</v>
      </c>
      <c r="R3250" s="425" t="str">
        <f>IFS(C3250="","",C3250="n/a","N/A",LEN(C3250),Concatenate("{",char(34),"asset",char(34),":{",char(34),"guid",char(34),":",char(34),Q3250,char(34),",",char(34),"site",char(34),":",char(34),LOWER('2-Building'!$B$4),char(34),",",char(34),"name",char(34),":",char(34),LOWER(C3250),char(34),"}}"))</f>
        <v>{"asset":{"guid":"uuid://9adc5afd-249e-43d4-9cfd-7585f3d4685a","site":"in-blr-ananta","name":"fan-198"}}</v>
      </c>
      <c r="S3250" s="369" t="s">
        <v>2866</v>
      </c>
      <c r="T3250" s="427"/>
      <c r="U3250" s="427"/>
      <c r="V3250" s="428"/>
      <c r="W3250" s="429"/>
      <c r="X3250" s="430"/>
      <c r="Y3250" s="33" t="s">
        <v>8076</v>
      </c>
      <c r="Z3250" s="430"/>
      <c r="AA3250" s="430"/>
      <c r="AB3250" s="258">
        <v>110.0</v>
      </c>
      <c r="AC3250" s="430"/>
      <c r="AD3250" s="426"/>
      <c r="AE3250" s="428"/>
      <c r="AF3250" s="431"/>
      <c r="AG3250" s="432" t="str">
        <f>IFS(LEN(AF3250)=17,LOWER('2-Building'!$B$4 &amp; "-" &amp; C3250), AF3250="N/A", "N/A", LEN(AF3250)=0,"")</f>
        <v/>
      </c>
      <c r="AH3250" s="430"/>
      <c r="AI3250" s="430"/>
      <c r="AJ3250" s="430"/>
      <c r="AK3250" s="430"/>
      <c r="AL3250" s="430"/>
      <c r="AM3250" s="433"/>
      <c r="AN3250" s="430"/>
      <c r="AO3250" s="430"/>
      <c r="AP3250" s="430"/>
      <c r="AQ3250" s="430"/>
      <c r="AR3250" s="430"/>
      <c r="AS3250" s="430"/>
      <c r="AT3250" s="430"/>
      <c r="AU3250" s="426"/>
      <c r="AV3250" s="434"/>
      <c r="AW3250" s="269" t="s">
        <v>1700</v>
      </c>
      <c r="AX3250" s="269" t="s">
        <v>2869</v>
      </c>
      <c r="AY3250" s="270" t="s">
        <v>695</v>
      </c>
      <c r="AZ3250" s="435"/>
      <c r="BA3250" s="173">
        <v>10.0</v>
      </c>
      <c r="BB3250" s="434"/>
      <c r="BC3250" s="434"/>
      <c r="BD3250" s="308" t="s">
        <v>1844</v>
      </c>
      <c r="BE3250" s="436"/>
      <c r="BF3250" s="274" t="str">
        <f>IFERROR(__xludf.DUMMYFUNCTION("LOWER(Regexreplace(to_text(E3250),""[^A-Za-z0-9]"","""")&amp;""_""&amp;Regexreplace(to_text(F3250),""[^A-Za-z0-9]"",""""))"),"aquagen_evcbseries")</f>
        <v>aquagen_evcbseries</v>
      </c>
      <c r="BG3250" s="275" t="str">
        <f>IFERROR(__xludf.DUMMYFUNCTION("upper(Regexreplace(to_text(E3250),""[^A-Za-z0-9]"","""")&amp;""-""&amp;Regexreplace(to_text(F3250),""[^A-Za-z0-9]"",""""))"),"AQUAGEN-EVCBSERIES")</f>
        <v>AQUAGEN-EVCBSERIES</v>
      </c>
    </row>
    <row r="3251" ht="30.0" customHeight="1">
      <c r="A3251" s="173">
        <v>2689.0</v>
      </c>
      <c r="B3251" s="328" t="s">
        <v>670</v>
      </c>
      <c r="C3251" s="257" t="s">
        <v>10053</v>
      </c>
      <c r="D3251" s="173" t="s">
        <v>10054</v>
      </c>
      <c r="E3251" s="174" t="s">
        <v>2861</v>
      </c>
      <c r="F3251" s="173" t="s">
        <v>2862</v>
      </c>
      <c r="G3251" s="328" t="s">
        <v>673</v>
      </c>
      <c r="H3251" s="328" t="s">
        <v>2863</v>
      </c>
      <c r="I3251" s="258" t="s">
        <v>9445</v>
      </c>
      <c r="J3251" s="259" t="s">
        <v>1211</v>
      </c>
      <c r="K3251" s="260" t="s">
        <v>10045</v>
      </c>
      <c r="L3251" s="366"/>
      <c r="M3251" s="329"/>
      <c r="N3251" s="173" t="s">
        <v>679</v>
      </c>
      <c r="O3251" s="173" t="s">
        <v>225</v>
      </c>
      <c r="P3251" s="262" t="str">
        <f t="shared" si="1"/>
        <v>IN-BLR-ANANTA-FAN-199_7</v>
      </c>
      <c r="Q3251" s="173" t="s">
        <v>10055</v>
      </c>
      <c r="R3251" s="328" t="str">
        <f>IFS(C3251="","",C3251="n/a","N/A",LEN(C3251),Concatenate("{",char(34),"asset",char(34),":{",char(34),"guid",char(34),":",char(34),Q3251,char(34),",",char(34),"site",char(34),":",char(34),LOWER('2-Building'!$B$4),char(34),",",char(34),"name",char(34),":",char(34),LOWER(C3251),char(34),"}}"))</f>
        <v>{"asset":{"guid":"uuid://708b7783-8377-4062-bd89-8381c747c9e9","site":"in-blr-ananta","name":"fan-199"}}</v>
      </c>
      <c r="S3251" s="369" t="s">
        <v>2866</v>
      </c>
      <c r="T3251" s="330"/>
      <c r="U3251" s="330"/>
      <c r="V3251" s="331"/>
      <c r="W3251" s="332"/>
      <c r="X3251" s="333"/>
      <c r="Y3251" s="33" t="s">
        <v>8076</v>
      </c>
      <c r="Z3251" s="368"/>
      <c r="AA3251" s="333"/>
      <c r="AB3251" s="258">
        <v>111.0</v>
      </c>
      <c r="AC3251" s="333"/>
      <c r="AD3251" s="329"/>
      <c r="AE3251" s="331"/>
      <c r="AF3251" s="336"/>
      <c r="AG3251" s="337" t="str">
        <f>IFS(LEN(AF3251)=17,LOWER('2-Building'!$B$4 &amp; "-" &amp; C3251), AF3251="N/A", "N/A", LEN(AF3251)=0,"")</f>
        <v/>
      </c>
      <c r="AH3251" s="333"/>
      <c r="AI3251" s="333"/>
      <c r="AJ3251" s="333"/>
      <c r="AK3251" s="333"/>
      <c r="AL3251" s="333"/>
      <c r="AM3251" s="338"/>
      <c r="AN3251" s="333"/>
      <c r="AO3251" s="333"/>
      <c r="AP3251" s="333"/>
      <c r="AQ3251" s="333"/>
      <c r="AR3251" s="333"/>
      <c r="AS3251" s="333"/>
      <c r="AT3251" s="333"/>
      <c r="AU3251" s="329"/>
      <c r="AV3251" s="341"/>
      <c r="AW3251" s="269" t="s">
        <v>1700</v>
      </c>
      <c r="AX3251" s="269" t="s">
        <v>2869</v>
      </c>
      <c r="AY3251" s="270" t="s">
        <v>695</v>
      </c>
      <c r="AZ3251" s="379"/>
      <c r="BA3251" s="173">
        <v>10.0</v>
      </c>
      <c r="BB3251" s="341"/>
      <c r="BC3251" s="341"/>
      <c r="BD3251" s="308" t="s">
        <v>1844</v>
      </c>
      <c r="BE3251" s="364"/>
      <c r="BF3251" s="274" t="str">
        <f>IFERROR(__xludf.DUMMYFUNCTION("LOWER(Regexreplace(to_text(E3251),""[^A-Za-z0-9]"","""")&amp;""_""&amp;Regexreplace(to_text(F3251),""[^A-Za-z0-9]"",""""))"),"neptronic_evcbseries")</f>
        <v>neptronic_evcbseries</v>
      </c>
      <c r="BG3251" s="275" t="str">
        <f>IFERROR(__xludf.DUMMYFUNCTION("upper(Regexreplace(to_text(E3251),""[^A-Za-z0-9]"","""")&amp;""-""&amp;Regexreplace(to_text(F3251),""[^A-Za-z0-9]"",""""))"),"NEPTRONIC-EVCBSERIES")</f>
        <v>NEPTRONIC-EVCBSERIES</v>
      </c>
    </row>
    <row r="3252" ht="30.0" customHeight="1">
      <c r="A3252" s="173">
        <v>2691.0</v>
      </c>
      <c r="B3252" s="328" t="s">
        <v>670</v>
      </c>
      <c r="C3252" s="257" t="s">
        <v>10056</v>
      </c>
      <c r="D3252" s="173" t="s">
        <v>10057</v>
      </c>
      <c r="E3252" s="174" t="s">
        <v>2861</v>
      </c>
      <c r="F3252" s="173" t="s">
        <v>2862</v>
      </c>
      <c r="G3252" s="328" t="s">
        <v>673</v>
      </c>
      <c r="H3252" s="328" t="s">
        <v>2863</v>
      </c>
      <c r="I3252" s="258" t="s">
        <v>9445</v>
      </c>
      <c r="J3252" s="259" t="s">
        <v>1211</v>
      </c>
      <c r="K3252" s="260" t="s">
        <v>10045</v>
      </c>
      <c r="L3252" s="366"/>
      <c r="M3252" s="329"/>
      <c r="N3252" s="173" t="s">
        <v>679</v>
      </c>
      <c r="O3252" s="173" t="s">
        <v>225</v>
      </c>
      <c r="P3252" s="262" t="str">
        <f t="shared" si="1"/>
        <v>IN-BLR-ANANTA-FAN-200_7</v>
      </c>
      <c r="Q3252" s="173" t="s">
        <v>10058</v>
      </c>
      <c r="R3252" s="328" t="str">
        <f>IFS(C3252="","",C3252="n/a","N/A",LEN(C3252),Concatenate("{",char(34),"asset",char(34),":{",char(34),"guid",char(34),":",char(34),Q3252,char(34),",",char(34),"site",char(34),":",char(34),LOWER('2-Building'!$B$4),char(34),",",char(34),"name",char(34),":",char(34),LOWER(C3252),char(34),"}}"))</f>
        <v>{"asset":{"guid":"uuid://2ce6eaeb-2713-413f-adfc-eda6e3ec37a0","site":"in-blr-ananta","name":"fan-200"}}</v>
      </c>
      <c r="S3252" s="369" t="s">
        <v>2866</v>
      </c>
      <c r="T3252" s="330"/>
      <c r="U3252" s="330"/>
      <c r="V3252" s="331"/>
      <c r="W3252" s="332"/>
      <c r="X3252" s="333"/>
      <c r="Y3252" s="33" t="s">
        <v>8076</v>
      </c>
      <c r="Z3252" s="368"/>
      <c r="AA3252" s="333"/>
      <c r="AB3252" s="258">
        <v>112.0</v>
      </c>
      <c r="AC3252" s="333"/>
      <c r="AD3252" s="329"/>
      <c r="AE3252" s="331"/>
      <c r="AF3252" s="336"/>
      <c r="AG3252" s="337" t="str">
        <f>IFS(LEN(AF3252)=17,LOWER('2-Building'!$B$4 &amp; "-" &amp; C3252), AF3252="N/A", "N/A", LEN(AF3252)=0,"")</f>
        <v/>
      </c>
      <c r="AH3252" s="333"/>
      <c r="AI3252" s="333"/>
      <c r="AJ3252" s="333"/>
      <c r="AK3252" s="333"/>
      <c r="AL3252" s="333"/>
      <c r="AM3252" s="338"/>
      <c r="AN3252" s="333"/>
      <c r="AO3252" s="333"/>
      <c r="AP3252" s="333"/>
      <c r="AQ3252" s="333"/>
      <c r="AR3252" s="333"/>
      <c r="AS3252" s="333"/>
      <c r="AT3252" s="333"/>
      <c r="AU3252" s="329"/>
      <c r="AV3252" s="341"/>
      <c r="AW3252" s="269" t="s">
        <v>1700</v>
      </c>
      <c r="AX3252" s="269" t="s">
        <v>2869</v>
      </c>
      <c r="AY3252" s="270" t="s">
        <v>695</v>
      </c>
      <c r="AZ3252" s="379"/>
      <c r="BA3252" s="173">
        <v>10.0</v>
      </c>
      <c r="BB3252" s="341"/>
      <c r="BC3252" s="341"/>
      <c r="BD3252" s="308" t="s">
        <v>1844</v>
      </c>
      <c r="BE3252" s="364"/>
      <c r="BF3252" s="274" t="str">
        <f>IFERROR(__xludf.DUMMYFUNCTION("LOWER(Regexreplace(to_text(E3252),""[^A-Za-z0-9]"","""")&amp;""_""&amp;Regexreplace(to_text(F3252),""[^A-Za-z0-9]"",""""))"),"neptronic_evcbseries")</f>
        <v>neptronic_evcbseries</v>
      </c>
      <c r="BG3252" s="275" t="str">
        <f>IFERROR(__xludf.DUMMYFUNCTION("upper(Regexreplace(to_text(E3252),""[^A-Za-z0-9]"","""")&amp;""-""&amp;Regexreplace(to_text(F3252),""[^A-Za-z0-9]"",""""))"),"NEPTRONIC-EVCBSERIES")</f>
        <v>NEPTRONIC-EVCBSERIES</v>
      </c>
    </row>
    <row r="3253" ht="30.0" customHeight="1">
      <c r="A3253" s="258">
        <v>2690.0</v>
      </c>
      <c r="B3253" s="328" t="s">
        <v>670</v>
      </c>
      <c r="C3253" s="257" t="s">
        <v>10059</v>
      </c>
      <c r="D3253" s="173" t="s">
        <v>10060</v>
      </c>
      <c r="E3253" s="174" t="s">
        <v>2861</v>
      </c>
      <c r="F3253" s="173" t="s">
        <v>2862</v>
      </c>
      <c r="G3253" s="328" t="s">
        <v>673</v>
      </c>
      <c r="H3253" s="328" t="s">
        <v>2863</v>
      </c>
      <c r="I3253" s="258" t="s">
        <v>9445</v>
      </c>
      <c r="J3253" s="259" t="s">
        <v>1211</v>
      </c>
      <c r="K3253" s="260" t="s">
        <v>10045</v>
      </c>
      <c r="L3253" s="366"/>
      <c r="M3253" s="329"/>
      <c r="N3253" s="173" t="s">
        <v>679</v>
      </c>
      <c r="O3253" s="173" t="s">
        <v>225</v>
      </c>
      <c r="P3253" s="262" t="str">
        <f t="shared" si="1"/>
        <v>IN-BLR-ANANTA-FAN-201_7</v>
      </c>
      <c r="Q3253" s="173" t="s">
        <v>10061</v>
      </c>
      <c r="R3253" s="328" t="str">
        <f>IFS(C3253="","",C3253="n/a","N/A",LEN(C3253),Concatenate("{",char(34),"asset",char(34),":{",char(34),"guid",char(34),":",char(34),Q3253,char(34),",",char(34),"site",char(34),":",char(34),LOWER('2-Building'!$B$4),char(34),",",char(34),"name",char(34),":",char(34),LOWER(C3253),char(34),"}}"))</f>
        <v>{"asset":{"guid":"uuid://3dc8d9e3-810e-4cad-8049-60cf5ed28aaa","site":"in-blr-ananta","name":"fan-201"}}</v>
      </c>
      <c r="S3253" s="369" t="s">
        <v>2866</v>
      </c>
      <c r="T3253" s="330"/>
      <c r="U3253" s="330"/>
      <c r="V3253" s="331"/>
      <c r="W3253" s="332"/>
      <c r="X3253" s="333"/>
      <c r="Y3253" s="33" t="s">
        <v>8076</v>
      </c>
      <c r="Z3253" s="368"/>
      <c r="AA3253" s="333"/>
      <c r="AB3253" s="258">
        <v>113.0</v>
      </c>
      <c r="AC3253" s="333"/>
      <c r="AD3253" s="329"/>
      <c r="AE3253" s="331"/>
      <c r="AF3253" s="336"/>
      <c r="AG3253" s="337" t="str">
        <f>IFS(LEN(AF3253)=17,LOWER('2-Building'!$B$4 &amp; "-" &amp; C3253), AF3253="N/A", "N/A", LEN(AF3253)=0,"")</f>
        <v/>
      </c>
      <c r="AH3253" s="333"/>
      <c r="AI3253" s="333"/>
      <c r="AJ3253" s="333"/>
      <c r="AK3253" s="333"/>
      <c r="AL3253" s="333"/>
      <c r="AM3253" s="338"/>
      <c r="AN3253" s="333"/>
      <c r="AO3253" s="333"/>
      <c r="AP3253" s="333"/>
      <c r="AQ3253" s="333"/>
      <c r="AR3253" s="333"/>
      <c r="AS3253" s="333"/>
      <c r="AT3253" s="333"/>
      <c r="AU3253" s="329"/>
      <c r="AV3253" s="341"/>
      <c r="AW3253" s="269" t="s">
        <v>1700</v>
      </c>
      <c r="AX3253" s="269" t="s">
        <v>2869</v>
      </c>
      <c r="AY3253" s="270" t="s">
        <v>695</v>
      </c>
      <c r="AZ3253" s="379"/>
      <c r="BA3253" s="173">
        <v>10.0</v>
      </c>
      <c r="BB3253" s="341"/>
      <c r="BC3253" s="341"/>
      <c r="BD3253" s="308" t="s">
        <v>1844</v>
      </c>
      <c r="BE3253" s="364"/>
      <c r="BF3253" s="274" t="str">
        <f>IFERROR(__xludf.DUMMYFUNCTION("LOWER(Regexreplace(to_text(E3253),""[^A-Za-z0-9]"","""")&amp;""_""&amp;Regexreplace(to_text(F3253),""[^A-Za-z0-9]"",""""))"),"neptronic_evcbseries")</f>
        <v>neptronic_evcbseries</v>
      </c>
      <c r="BG3253" s="275" t="str">
        <f>IFERROR(__xludf.DUMMYFUNCTION("upper(Regexreplace(to_text(E3253),""[^A-Za-z0-9]"","""")&amp;""-""&amp;Regexreplace(to_text(F3253),""[^A-Za-z0-9]"",""""))"),"NEPTRONIC-EVCBSERIES")</f>
        <v>NEPTRONIC-EVCBSERIES</v>
      </c>
    </row>
    <row r="3254" ht="30.0" customHeight="1">
      <c r="A3254" s="328">
        <v>2690.0</v>
      </c>
      <c r="B3254" s="425" t="s">
        <v>670</v>
      </c>
      <c r="C3254" s="257" t="s">
        <v>10062</v>
      </c>
      <c r="D3254" s="173" t="s">
        <v>10063</v>
      </c>
      <c r="E3254" s="174" t="s">
        <v>2861</v>
      </c>
      <c r="F3254" s="173" t="s">
        <v>2862</v>
      </c>
      <c r="G3254" s="425" t="s">
        <v>673</v>
      </c>
      <c r="H3254" s="425" t="s">
        <v>2863</v>
      </c>
      <c r="I3254" s="258" t="s">
        <v>9445</v>
      </c>
      <c r="J3254" s="259" t="s">
        <v>965</v>
      </c>
      <c r="K3254" s="260" t="s">
        <v>1680</v>
      </c>
      <c r="L3254" s="442"/>
      <c r="M3254" s="426"/>
      <c r="N3254" s="173" t="s">
        <v>679</v>
      </c>
      <c r="O3254" s="173" t="s">
        <v>225</v>
      </c>
      <c r="P3254" s="262" t="str">
        <f t="shared" si="1"/>
        <v>IN-BLR-ANANTA-FAN-202_3</v>
      </c>
      <c r="Q3254" s="173" t="s">
        <v>10064</v>
      </c>
      <c r="R3254" s="433" t="str">
        <f>IFS(C3254="","",C3254="n/a","N/A",LEN(C3254),Concatenate("{",char(34),"asset",char(34),":{",char(34),"guid",char(34),":",char(34),Q3254,char(34),",",char(34),"site",char(34),":",char(34),LOWER('2-Building'!$B$4),char(34),",",char(34),"name",char(34),":",char(34),LOWER(C3254),char(34),"}}"))</f>
        <v>{"asset":{"guid":"uuid://d581d93c-1eef-4302-8b9d-f881b272aa1f","site":"in-blr-ananta","name":"fan-202"}}</v>
      </c>
      <c r="S3254" s="369" t="s">
        <v>2866</v>
      </c>
      <c r="T3254" s="427"/>
      <c r="U3254" s="427"/>
      <c r="V3254" s="428"/>
      <c r="W3254" s="429"/>
      <c r="X3254" s="430"/>
      <c r="Y3254" s="33" t="s">
        <v>8076</v>
      </c>
      <c r="Z3254" s="430"/>
      <c r="AA3254" s="430"/>
      <c r="AB3254" s="258">
        <v>211.0</v>
      </c>
      <c r="AC3254" s="430"/>
      <c r="AD3254" s="426"/>
      <c r="AE3254" s="428"/>
      <c r="AF3254" s="431"/>
      <c r="AG3254" s="432" t="str">
        <f>IFS(LEN(AF3254)=17,LOWER('2-Building'!$B$4 &amp; "-" &amp; C3254), AF3254="N/A", "N/A", LEN(AF3254)=0,"")</f>
        <v/>
      </c>
      <c r="AH3254" s="430"/>
      <c r="AI3254" s="430"/>
      <c r="AJ3254" s="430"/>
      <c r="AK3254" s="430"/>
      <c r="AL3254" s="430"/>
      <c r="AM3254" s="433"/>
      <c r="AN3254" s="430"/>
      <c r="AO3254" s="430"/>
      <c r="AP3254" s="430"/>
      <c r="AQ3254" s="430"/>
      <c r="AR3254" s="430"/>
      <c r="AS3254" s="430"/>
      <c r="AT3254" s="430"/>
      <c r="AU3254" s="426"/>
      <c r="AV3254" s="434"/>
      <c r="AW3254" s="269" t="s">
        <v>1710</v>
      </c>
      <c r="AX3254" s="269" t="s">
        <v>2869</v>
      </c>
      <c r="AY3254" s="270" t="s">
        <v>695</v>
      </c>
      <c r="AZ3254" s="435"/>
      <c r="BA3254" s="173">
        <v>10.0</v>
      </c>
      <c r="BB3254" s="434"/>
      <c r="BC3254" s="434"/>
      <c r="BD3254" s="308" t="s">
        <v>1844</v>
      </c>
      <c r="BE3254" s="436"/>
      <c r="BF3254" s="274" t="str">
        <f>IFERROR(__xludf.DUMMYFUNCTION("LOWER(Regexreplace(to_text(E3254),""[^A-Za-z0-9]"","""")&amp;""_""&amp;Regexreplace(to_text(F3254),""[^A-Za-z0-9]"",""""))"),"neptronic_evcbseries")</f>
        <v>neptronic_evcbseries</v>
      </c>
      <c r="BG3254" s="275" t="str">
        <f>IFERROR(__xludf.DUMMYFUNCTION("upper(Regexreplace(to_text(E3254),""[^A-Za-z0-9]"","""")&amp;""-""&amp;Regexreplace(to_text(F3254),""[^A-Za-z0-9]"",""""))"),"NEPTRONIC-EVCBSERIES")</f>
        <v>NEPTRONIC-EVCBSERIES</v>
      </c>
    </row>
    <row r="3255" ht="30.0" customHeight="1">
      <c r="A3255" s="258">
        <v>2690.0</v>
      </c>
      <c r="B3255" s="328" t="s">
        <v>670</v>
      </c>
      <c r="C3255" s="257" t="s">
        <v>10065</v>
      </c>
      <c r="D3255" s="173" t="s">
        <v>10066</v>
      </c>
      <c r="E3255" s="174" t="s">
        <v>2861</v>
      </c>
      <c r="F3255" s="173" t="s">
        <v>2862</v>
      </c>
      <c r="G3255" s="328" t="s">
        <v>673</v>
      </c>
      <c r="H3255" s="328" t="s">
        <v>2863</v>
      </c>
      <c r="I3255" s="258" t="s">
        <v>9445</v>
      </c>
      <c r="J3255" s="259" t="s">
        <v>965</v>
      </c>
      <c r="K3255" s="260" t="s">
        <v>1680</v>
      </c>
      <c r="L3255" s="366"/>
      <c r="M3255" s="329"/>
      <c r="N3255" s="173" t="s">
        <v>679</v>
      </c>
      <c r="O3255" s="173" t="s">
        <v>225</v>
      </c>
      <c r="P3255" s="262" t="str">
        <f t="shared" si="1"/>
        <v>IN-BLR-ANANTA-FAN-203_3</v>
      </c>
      <c r="Q3255" s="173" t="s">
        <v>10067</v>
      </c>
      <c r="R3255" s="328" t="str">
        <f>IFS(C3255="","",C3255="n/a","N/A",LEN(C3255),Concatenate("{",char(34),"asset",char(34),":{",char(34),"guid",char(34),":",char(34),Q3255,char(34),",",char(34),"site",char(34),":",char(34),LOWER('2-Building'!$B$4),char(34),",",char(34),"name",char(34),":",char(34),LOWER(C3255),char(34),"}}"))</f>
        <v>{"asset":{"guid":"uuid://0d47bdcc-9e3f-4e74-9b61-4bb2781beb8e","site":"in-blr-ananta","name":"fan-203"}}</v>
      </c>
      <c r="S3255" s="369" t="s">
        <v>2866</v>
      </c>
      <c r="T3255" s="330"/>
      <c r="U3255" s="330"/>
      <c r="V3255" s="331"/>
      <c r="W3255" s="332"/>
      <c r="X3255" s="333"/>
      <c r="Y3255" s="33" t="s">
        <v>8076</v>
      </c>
      <c r="Z3255" s="368"/>
      <c r="AA3255" s="333"/>
      <c r="AB3255" s="258">
        <v>212.0</v>
      </c>
      <c r="AC3255" s="333"/>
      <c r="AD3255" s="329"/>
      <c r="AE3255" s="331"/>
      <c r="AF3255" s="336"/>
      <c r="AG3255" s="337" t="str">
        <f>IFS(LEN(AF3255)=17,LOWER('2-Building'!$B$4 &amp; "-" &amp; C3255), AF3255="N/A", "N/A", LEN(AF3255)=0,"")</f>
        <v/>
      </c>
      <c r="AH3255" s="333"/>
      <c r="AI3255" s="333"/>
      <c r="AJ3255" s="333"/>
      <c r="AK3255" s="333"/>
      <c r="AL3255" s="333"/>
      <c r="AM3255" s="338"/>
      <c r="AN3255" s="333"/>
      <c r="AO3255" s="333"/>
      <c r="AP3255" s="333"/>
      <c r="AQ3255" s="333"/>
      <c r="AR3255" s="333"/>
      <c r="AS3255" s="333"/>
      <c r="AT3255" s="333"/>
      <c r="AU3255" s="329"/>
      <c r="AV3255" s="341"/>
      <c r="AW3255" s="269" t="s">
        <v>1710</v>
      </c>
      <c r="AX3255" s="269" t="s">
        <v>2869</v>
      </c>
      <c r="AY3255" s="270" t="s">
        <v>695</v>
      </c>
      <c r="AZ3255" s="379"/>
      <c r="BA3255" s="173">
        <v>10.0</v>
      </c>
      <c r="BB3255" s="341"/>
      <c r="BC3255" s="341"/>
      <c r="BD3255" s="308" t="s">
        <v>1844</v>
      </c>
      <c r="BE3255" s="364"/>
      <c r="BF3255" s="274" t="str">
        <f>IFERROR(__xludf.DUMMYFUNCTION("LOWER(Regexreplace(to_text(E3255),""[^A-Za-z0-9]"","""")&amp;""_""&amp;Regexreplace(to_text(F3255),""[^A-Za-z0-9]"",""""))"),"neptronic_evcbseries")</f>
        <v>neptronic_evcbseries</v>
      </c>
      <c r="BG3255" s="275" t="str">
        <f>IFERROR(__xludf.DUMMYFUNCTION("upper(Regexreplace(to_text(E3255),""[^A-Za-z0-9]"","""")&amp;""-""&amp;Regexreplace(to_text(F3255),""[^A-Za-z0-9]"",""""))"),"NEPTRONIC-EVCBSERIES")</f>
        <v>NEPTRONIC-EVCBSERIES</v>
      </c>
    </row>
    <row r="3256" ht="30.0" customHeight="1">
      <c r="A3256" s="328">
        <v>2690.0</v>
      </c>
      <c r="B3256" s="425" t="s">
        <v>670</v>
      </c>
      <c r="C3256" s="257" t="s">
        <v>10068</v>
      </c>
      <c r="D3256" s="173" t="s">
        <v>10069</v>
      </c>
      <c r="E3256" s="174" t="s">
        <v>2861</v>
      </c>
      <c r="F3256" s="173" t="s">
        <v>2862</v>
      </c>
      <c r="G3256" s="425" t="s">
        <v>673</v>
      </c>
      <c r="H3256" s="425" t="s">
        <v>2863</v>
      </c>
      <c r="I3256" s="258" t="s">
        <v>9445</v>
      </c>
      <c r="J3256" s="259" t="s">
        <v>965</v>
      </c>
      <c r="K3256" s="260" t="s">
        <v>1680</v>
      </c>
      <c r="L3256" s="442"/>
      <c r="M3256" s="426"/>
      <c r="N3256" s="173" t="s">
        <v>679</v>
      </c>
      <c r="O3256" s="173" t="s">
        <v>225</v>
      </c>
      <c r="P3256" s="262" t="str">
        <f t="shared" si="1"/>
        <v>IN-BLR-ANANTA-FAN-204_3</v>
      </c>
      <c r="Q3256" s="173" t="s">
        <v>10070</v>
      </c>
      <c r="R3256" s="433" t="str">
        <f>IFS(C3256="","",C3256="n/a","N/A",LEN(C3256),Concatenate("{",char(34),"asset",char(34),":{",char(34),"guid",char(34),":",char(34),Q3256,char(34),",",char(34),"site",char(34),":",char(34),LOWER('2-Building'!$B$4),char(34),",",char(34),"name",char(34),":",char(34),LOWER(C3256),char(34),"}}"))</f>
        <v>{"asset":{"guid":"uuid://acd50599-ef92-4561-a9d1-9e11f8a35811","site":"in-blr-ananta","name":"fan-204"}}</v>
      </c>
      <c r="S3256" s="369" t="s">
        <v>2866</v>
      </c>
      <c r="T3256" s="427"/>
      <c r="U3256" s="427"/>
      <c r="V3256" s="428"/>
      <c r="W3256" s="429"/>
      <c r="X3256" s="430"/>
      <c r="Y3256" s="33" t="s">
        <v>8076</v>
      </c>
      <c r="Z3256" s="430"/>
      <c r="AA3256" s="430"/>
      <c r="AB3256" s="258">
        <v>213.0</v>
      </c>
      <c r="AC3256" s="430"/>
      <c r="AD3256" s="426"/>
      <c r="AE3256" s="428"/>
      <c r="AF3256" s="431"/>
      <c r="AG3256" s="432" t="str">
        <f>IFS(LEN(AF3256)=17,LOWER('2-Building'!$B$4 &amp; "-" &amp; C3256), AF3256="N/A", "N/A", LEN(AF3256)=0,"")</f>
        <v/>
      </c>
      <c r="AH3256" s="430"/>
      <c r="AI3256" s="430"/>
      <c r="AJ3256" s="430"/>
      <c r="AK3256" s="430"/>
      <c r="AL3256" s="430"/>
      <c r="AM3256" s="433"/>
      <c r="AN3256" s="430"/>
      <c r="AO3256" s="430"/>
      <c r="AP3256" s="430"/>
      <c r="AQ3256" s="430"/>
      <c r="AR3256" s="430"/>
      <c r="AS3256" s="430"/>
      <c r="AT3256" s="430"/>
      <c r="AU3256" s="426"/>
      <c r="AV3256" s="434"/>
      <c r="AW3256" s="269" t="s">
        <v>1710</v>
      </c>
      <c r="AX3256" s="269" t="s">
        <v>2869</v>
      </c>
      <c r="AY3256" s="270" t="s">
        <v>695</v>
      </c>
      <c r="AZ3256" s="435"/>
      <c r="BA3256" s="173">
        <v>10.0</v>
      </c>
      <c r="BB3256" s="434"/>
      <c r="BC3256" s="434"/>
      <c r="BD3256" s="308" t="s">
        <v>1844</v>
      </c>
      <c r="BE3256" s="436"/>
      <c r="BF3256" s="274" t="str">
        <f>IFERROR(__xludf.DUMMYFUNCTION("LOWER(Regexreplace(to_text(E3256),""[^A-Za-z0-9]"","""")&amp;""_""&amp;Regexreplace(to_text(F3256),""[^A-Za-z0-9]"",""""))"),"neptronic_evcbseries")</f>
        <v>neptronic_evcbseries</v>
      </c>
      <c r="BG3256" s="275" t="str">
        <f>IFERROR(__xludf.DUMMYFUNCTION("upper(Regexreplace(to_text(E3256),""[^A-Za-z0-9]"","""")&amp;""-""&amp;Regexreplace(to_text(F3256),""[^A-Za-z0-9]"",""""))"),"NEPTRONIC-EVCBSERIES")</f>
        <v>NEPTRONIC-EVCBSERIES</v>
      </c>
    </row>
    <row r="3257" ht="30.0" customHeight="1">
      <c r="A3257" s="328">
        <v>2690.0</v>
      </c>
      <c r="B3257" s="425" t="s">
        <v>670</v>
      </c>
      <c r="C3257" s="257" t="s">
        <v>10071</v>
      </c>
      <c r="D3257" s="173" t="s">
        <v>10072</v>
      </c>
      <c r="E3257" s="174" t="s">
        <v>2861</v>
      </c>
      <c r="F3257" s="173" t="s">
        <v>2862</v>
      </c>
      <c r="G3257" s="425" t="s">
        <v>673</v>
      </c>
      <c r="H3257" s="425" t="s">
        <v>2863</v>
      </c>
      <c r="I3257" s="258" t="s">
        <v>9445</v>
      </c>
      <c r="J3257" s="259" t="s">
        <v>1026</v>
      </c>
      <c r="K3257" s="260" t="s">
        <v>10073</v>
      </c>
      <c r="L3257" s="442"/>
      <c r="M3257" s="426"/>
      <c r="N3257" s="173" t="s">
        <v>679</v>
      </c>
      <c r="O3257" s="173" t="s">
        <v>225</v>
      </c>
      <c r="P3257" s="262" t="str">
        <f t="shared" si="1"/>
        <v>IN-BLR-ANANTA-FAN-205_4</v>
      </c>
      <c r="Q3257" s="173" t="s">
        <v>10074</v>
      </c>
      <c r="R3257" s="425" t="str">
        <f>IFS(C3257="","",C3257="n/a","N/A",LEN(C3257),Concatenate("{",char(34),"asset",char(34),":{",char(34),"guid",char(34),":",char(34),Q3257,char(34),",",char(34),"site",char(34),":",char(34),LOWER('2-Building'!$B$4),char(34),",",char(34),"name",char(34),":",char(34),LOWER(C3257),char(34),"}}"))</f>
        <v>{"asset":{"guid":"uuid://2031482a-82b2-476a-b52b-ee18e1c6d5b7","site":"in-blr-ananta","name":"fan-205"}}</v>
      </c>
      <c r="S3257" s="369" t="s">
        <v>2866</v>
      </c>
      <c r="T3257" s="427"/>
      <c r="U3257" s="427"/>
      <c r="V3257" s="428"/>
      <c r="W3257" s="429"/>
      <c r="X3257" s="430"/>
      <c r="Y3257" s="33" t="s">
        <v>8076</v>
      </c>
      <c r="Z3257" s="430"/>
      <c r="AA3257" s="430"/>
      <c r="AB3257" s="258">
        <v>68.0</v>
      </c>
      <c r="AC3257" s="430"/>
      <c r="AD3257" s="426"/>
      <c r="AE3257" s="428"/>
      <c r="AF3257" s="431"/>
      <c r="AG3257" s="432" t="str">
        <f>IFS(LEN(AF3257)=17,LOWER('2-Building'!$B$4 &amp; "-" &amp; C3257), AF3257="N/A", "N/A", LEN(AF3257)=0,"")</f>
        <v/>
      </c>
      <c r="AH3257" s="430"/>
      <c r="AI3257" s="430"/>
      <c r="AJ3257" s="430"/>
      <c r="AK3257" s="430"/>
      <c r="AL3257" s="430"/>
      <c r="AM3257" s="433"/>
      <c r="AN3257" s="430"/>
      <c r="AO3257" s="430"/>
      <c r="AP3257" s="430"/>
      <c r="AQ3257" s="430"/>
      <c r="AR3257" s="430"/>
      <c r="AS3257" s="430"/>
      <c r="AT3257" s="430"/>
      <c r="AU3257" s="426"/>
      <c r="AV3257" s="434"/>
      <c r="AW3257" s="269" t="s">
        <v>1710</v>
      </c>
      <c r="AX3257" s="269" t="s">
        <v>2869</v>
      </c>
      <c r="AY3257" s="270" t="s">
        <v>695</v>
      </c>
      <c r="AZ3257" s="435"/>
      <c r="BA3257" s="173">
        <v>10.0</v>
      </c>
      <c r="BB3257" s="434"/>
      <c r="BC3257" s="434"/>
      <c r="BD3257" s="308" t="s">
        <v>1844</v>
      </c>
      <c r="BE3257" s="436"/>
      <c r="BF3257" s="274" t="str">
        <f>IFERROR(__xludf.DUMMYFUNCTION("LOWER(Regexreplace(to_text(E3257),""[^A-Za-z0-9]"","""")&amp;""_""&amp;Regexreplace(to_text(F3257),""[^A-Za-z0-9]"",""""))"),"neptronic_evcbseries")</f>
        <v>neptronic_evcbseries</v>
      </c>
      <c r="BG3257" s="275" t="str">
        <f>IFERROR(__xludf.DUMMYFUNCTION("upper(Regexreplace(to_text(E3257),""[^A-Za-z0-9]"","""")&amp;""-""&amp;Regexreplace(to_text(F3257),""[^A-Za-z0-9]"",""""))"),"NEPTRONIC-EVCBSERIES")</f>
        <v>NEPTRONIC-EVCBSERIES</v>
      </c>
    </row>
    <row r="3258" ht="30.0" customHeight="1">
      <c r="A3258" s="425">
        <v>2690.0</v>
      </c>
      <c r="B3258" s="425" t="s">
        <v>670</v>
      </c>
      <c r="C3258" s="257" t="s">
        <v>10075</v>
      </c>
      <c r="D3258" s="173" t="s">
        <v>10076</v>
      </c>
      <c r="E3258" s="174" t="s">
        <v>2861</v>
      </c>
      <c r="F3258" s="173" t="s">
        <v>2862</v>
      </c>
      <c r="G3258" s="425" t="s">
        <v>673</v>
      </c>
      <c r="H3258" s="425" t="s">
        <v>2863</v>
      </c>
      <c r="I3258" s="258" t="s">
        <v>9445</v>
      </c>
      <c r="J3258" s="259" t="s">
        <v>1026</v>
      </c>
      <c r="K3258" s="260" t="s">
        <v>10073</v>
      </c>
      <c r="L3258" s="442"/>
      <c r="M3258" s="426"/>
      <c r="N3258" s="173" t="s">
        <v>679</v>
      </c>
      <c r="O3258" s="173" t="s">
        <v>225</v>
      </c>
      <c r="P3258" s="262" t="str">
        <f t="shared" si="1"/>
        <v>IN-BLR-ANANTA-FAN-206_4</v>
      </c>
      <c r="Q3258" s="173" t="s">
        <v>10077</v>
      </c>
      <c r="R3258" s="425" t="str">
        <f>IFS(C3258="","",C3258="n/a","N/A",LEN(C3258),Concatenate("{",char(34),"asset",char(34),":{",char(34),"guid",char(34),":",char(34),Q3258,char(34),",",char(34),"site",char(34),":",char(34),LOWER('2-Building'!$B$4),char(34),",",char(34),"name",char(34),":",char(34),LOWER(C3258),char(34),"}}"))</f>
        <v>{"asset":{"guid":"uuid://474bf407-0bc3-4a0d-9384-223588d0e021","site":"in-blr-ananta","name":"fan-206"}}</v>
      </c>
      <c r="S3258" s="369" t="s">
        <v>2866</v>
      </c>
      <c r="T3258" s="427"/>
      <c r="U3258" s="427"/>
      <c r="V3258" s="428"/>
      <c r="W3258" s="429"/>
      <c r="X3258" s="430"/>
      <c r="Y3258" s="33" t="s">
        <v>8076</v>
      </c>
      <c r="Z3258" s="430"/>
      <c r="AA3258" s="430"/>
      <c r="AB3258" s="258">
        <v>69.0</v>
      </c>
      <c r="AC3258" s="430"/>
      <c r="AD3258" s="426"/>
      <c r="AE3258" s="428"/>
      <c r="AF3258" s="431"/>
      <c r="AG3258" s="432"/>
      <c r="AH3258" s="430"/>
      <c r="AI3258" s="430"/>
      <c r="AJ3258" s="430"/>
      <c r="AK3258" s="430"/>
      <c r="AL3258" s="430"/>
      <c r="AM3258" s="433"/>
      <c r="AN3258" s="430"/>
      <c r="AO3258" s="430"/>
      <c r="AP3258" s="430"/>
      <c r="AQ3258" s="430"/>
      <c r="AR3258" s="430"/>
      <c r="AS3258" s="430"/>
      <c r="AT3258" s="430"/>
      <c r="AU3258" s="426"/>
      <c r="AV3258" s="434"/>
      <c r="AW3258" s="269" t="s">
        <v>1710</v>
      </c>
      <c r="AX3258" s="269" t="s">
        <v>2869</v>
      </c>
      <c r="AY3258" s="270" t="s">
        <v>695</v>
      </c>
      <c r="AZ3258" s="435"/>
      <c r="BA3258" s="173">
        <v>10.0</v>
      </c>
      <c r="BB3258" s="434"/>
      <c r="BC3258" s="434"/>
      <c r="BD3258" s="308" t="s">
        <v>1844</v>
      </c>
      <c r="BE3258" s="436"/>
      <c r="BF3258" s="274" t="str">
        <f>IFERROR(__xludf.DUMMYFUNCTION("LOWER(Regexreplace(to_text(E3258),""[^A-Za-z0-9]"","""")&amp;""_""&amp;Regexreplace(to_text(F3258),""[^A-Za-z0-9]"",""""))"),"neptronic_evcbseries")</f>
        <v>neptronic_evcbseries</v>
      </c>
      <c r="BG3258" s="275" t="str">
        <f>IFERROR(__xludf.DUMMYFUNCTION("upper(Regexreplace(to_text(E3258),""[^A-Za-z0-9]"","""")&amp;""-""&amp;Regexreplace(to_text(F3258),""[^A-Za-z0-9]"",""""))"),"NEPTRONIC-EVCBSERIES")</f>
        <v>NEPTRONIC-EVCBSERIES</v>
      </c>
    </row>
    <row r="3259" ht="30.0" customHeight="1">
      <c r="A3259" s="328">
        <v>2690.0</v>
      </c>
      <c r="B3259" s="425" t="s">
        <v>670</v>
      </c>
      <c r="C3259" s="257" t="s">
        <v>10078</v>
      </c>
      <c r="D3259" s="173" t="s">
        <v>10079</v>
      </c>
      <c r="E3259" s="174" t="s">
        <v>2861</v>
      </c>
      <c r="F3259" s="173" t="s">
        <v>2862</v>
      </c>
      <c r="G3259" s="425" t="s">
        <v>673</v>
      </c>
      <c r="H3259" s="425" t="s">
        <v>2863</v>
      </c>
      <c r="I3259" s="258" t="s">
        <v>9445</v>
      </c>
      <c r="J3259" s="259" t="s">
        <v>1026</v>
      </c>
      <c r="K3259" s="260" t="s">
        <v>10073</v>
      </c>
      <c r="L3259" s="442"/>
      <c r="M3259" s="426"/>
      <c r="N3259" s="173" t="s">
        <v>679</v>
      </c>
      <c r="O3259" s="173" t="s">
        <v>225</v>
      </c>
      <c r="P3259" s="262" t="str">
        <f t="shared" si="1"/>
        <v>IN-BLR-ANANTA-FAN-207_4</v>
      </c>
      <c r="Q3259" s="173" t="s">
        <v>10080</v>
      </c>
      <c r="R3259" s="425" t="str">
        <f>IFS(C3259="","",C3259="n/a","N/A",LEN(C3259),Concatenate("{",char(34),"asset",char(34),":{",char(34),"guid",char(34),":",char(34),Q3259,char(34),",",char(34),"site",char(34),":",char(34),LOWER('2-Building'!$B$4),char(34),",",char(34),"name",char(34),":",char(34),LOWER(C3259),char(34),"}}"))</f>
        <v>{"asset":{"guid":"uuid://66c47712-ac88-4339-b4b3-94429d59a09c","site":"in-blr-ananta","name":"fan-207"}}</v>
      </c>
      <c r="S3259" s="369" t="s">
        <v>2866</v>
      </c>
      <c r="T3259" s="427"/>
      <c r="U3259" s="427"/>
      <c r="V3259" s="428"/>
      <c r="W3259" s="429"/>
      <c r="X3259" s="430"/>
      <c r="Y3259" s="33" t="s">
        <v>8076</v>
      </c>
      <c r="Z3259" s="430"/>
      <c r="AA3259" s="430"/>
      <c r="AB3259" s="258">
        <v>70.0</v>
      </c>
      <c r="AC3259" s="430"/>
      <c r="AD3259" s="426"/>
      <c r="AE3259" s="428"/>
      <c r="AF3259" s="431"/>
      <c r="AG3259" s="432"/>
      <c r="AH3259" s="430"/>
      <c r="AI3259" s="430"/>
      <c r="AJ3259" s="430"/>
      <c r="AK3259" s="430"/>
      <c r="AL3259" s="430"/>
      <c r="AM3259" s="433"/>
      <c r="AN3259" s="430"/>
      <c r="AO3259" s="430"/>
      <c r="AP3259" s="430"/>
      <c r="AQ3259" s="430"/>
      <c r="AR3259" s="430"/>
      <c r="AS3259" s="430"/>
      <c r="AT3259" s="430"/>
      <c r="AU3259" s="426"/>
      <c r="AV3259" s="434"/>
      <c r="AW3259" s="269" t="s">
        <v>1710</v>
      </c>
      <c r="AX3259" s="269" t="s">
        <v>2869</v>
      </c>
      <c r="AY3259" s="270" t="s">
        <v>695</v>
      </c>
      <c r="AZ3259" s="435"/>
      <c r="BA3259" s="173">
        <v>10.0</v>
      </c>
      <c r="BB3259" s="434"/>
      <c r="BC3259" s="434"/>
      <c r="BD3259" s="308" t="s">
        <v>1844</v>
      </c>
      <c r="BE3259" s="436"/>
      <c r="BF3259" s="274" t="str">
        <f>IFERROR(__xludf.DUMMYFUNCTION("LOWER(Regexreplace(to_text(E3259),""[^A-Za-z0-9]"","""")&amp;""_""&amp;Regexreplace(to_text(F3259),""[^A-Za-z0-9]"",""""))"),"neptronic_evcbseries")</f>
        <v>neptronic_evcbseries</v>
      </c>
      <c r="BG3259" s="275" t="str">
        <f>IFERROR(__xludf.DUMMYFUNCTION("upper(Regexreplace(to_text(E3259),""[^A-Za-z0-9]"","""")&amp;""-""&amp;Regexreplace(to_text(F3259),""[^A-Za-z0-9]"",""""))"),"NEPTRONIC-EVCBSERIES")</f>
        <v>NEPTRONIC-EVCBSERIES</v>
      </c>
    </row>
    <row r="3260" ht="30.0" customHeight="1">
      <c r="A3260" s="328">
        <v>2690.0</v>
      </c>
      <c r="B3260" s="425" t="s">
        <v>670</v>
      </c>
      <c r="C3260" s="257" t="s">
        <v>10081</v>
      </c>
      <c r="D3260" s="173" t="s">
        <v>10082</v>
      </c>
      <c r="E3260" s="174" t="s">
        <v>2861</v>
      </c>
      <c r="F3260" s="173" t="s">
        <v>2862</v>
      </c>
      <c r="G3260" s="425" t="s">
        <v>673</v>
      </c>
      <c r="H3260" s="425" t="s">
        <v>2863</v>
      </c>
      <c r="I3260" s="258" t="s">
        <v>9445</v>
      </c>
      <c r="J3260" s="259" t="s">
        <v>1026</v>
      </c>
      <c r="K3260" s="260" t="s">
        <v>10073</v>
      </c>
      <c r="L3260" s="442"/>
      <c r="M3260" s="426"/>
      <c r="N3260" s="173" t="s">
        <v>679</v>
      </c>
      <c r="O3260" s="173" t="s">
        <v>225</v>
      </c>
      <c r="P3260" s="262" t="str">
        <f t="shared" si="1"/>
        <v>IN-BLR-ANANTA-FAN-208_4</v>
      </c>
      <c r="Q3260" s="173" t="s">
        <v>10083</v>
      </c>
      <c r="R3260" s="425" t="str">
        <f>IFS(C3260="","",C3260="n/a","N/A",LEN(C3260),Concatenate("{",char(34),"asset",char(34),":{",char(34),"guid",char(34),":",char(34),Q3260,char(34),",",char(34),"site",char(34),":",char(34),LOWER('2-Building'!$B$4),char(34),",",char(34),"name",char(34),":",char(34),LOWER(C3260),char(34),"}}"))</f>
        <v>{"asset":{"guid":"uuid://cc22384d-61b4-4aa0-aa27-b19117bfd412","site":"in-blr-ananta","name":"fan-208"}}</v>
      </c>
      <c r="S3260" s="369" t="s">
        <v>2866</v>
      </c>
      <c r="T3260" s="427"/>
      <c r="U3260" s="427"/>
      <c r="V3260" s="428"/>
      <c r="W3260" s="429"/>
      <c r="X3260" s="430"/>
      <c r="Y3260" s="33" t="s">
        <v>8076</v>
      </c>
      <c r="Z3260" s="430"/>
      <c r="AA3260" s="430"/>
      <c r="AB3260" s="258">
        <v>71.0</v>
      </c>
      <c r="AC3260" s="430"/>
      <c r="AD3260" s="426"/>
      <c r="AE3260" s="428"/>
      <c r="AF3260" s="431"/>
      <c r="AG3260" s="432"/>
      <c r="AH3260" s="430"/>
      <c r="AI3260" s="430"/>
      <c r="AJ3260" s="430"/>
      <c r="AK3260" s="430"/>
      <c r="AL3260" s="430"/>
      <c r="AM3260" s="433"/>
      <c r="AN3260" s="430"/>
      <c r="AO3260" s="430"/>
      <c r="AP3260" s="430"/>
      <c r="AQ3260" s="430"/>
      <c r="AR3260" s="430"/>
      <c r="AS3260" s="430"/>
      <c r="AT3260" s="430"/>
      <c r="AU3260" s="426"/>
      <c r="AV3260" s="434"/>
      <c r="AW3260" s="269" t="s">
        <v>1710</v>
      </c>
      <c r="AX3260" s="269" t="s">
        <v>2869</v>
      </c>
      <c r="AY3260" s="270" t="s">
        <v>695</v>
      </c>
      <c r="AZ3260" s="435"/>
      <c r="BA3260" s="173">
        <v>10.0</v>
      </c>
      <c r="BB3260" s="434"/>
      <c r="BC3260" s="434"/>
      <c r="BD3260" s="308" t="s">
        <v>1844</v>
      </c>
      <c r="BE3260" s="436"/>
      <c r="BF3260" s="274" t="str">
        <f>IFERROR(__xludf.DUMMYFUNCTION("LOWER(Regexreplace(to_text(E3260),""[^A-Za-z0-9]"","""")&amp;""_""&amp;Regexreplace(to_text(F3260),""[^A-Za-z0-9]"",""""))"),"neptronic_evcbseries")</f>
        <v>neptronic_evcbseries</v>
      </c>
      <c r="BG3260" s="275" t="str">
        <f>IFERROR(__xludf.DUMMYFUNCTION("upper(Regexreplace(to_text(E3260),""[^A-Za-z0-9]"","""")&amp;""-""&amp;Regexreplace(to_text(F3260),""[^A-Za-z0-9]"",""""))"),"NEPTRONIC-EVCBSERIES")</f>
        <v>NEPTRONIC-EVCBSERIES</v>
      </c>
    </row>
    <row r="3261" ht="30.0" customHeight="1">
      <c r="A3261" s="328">
        <v>2690.0</v>
      </c>
      <c r="B3261" s="425" t="s">
        <v>670</v>
      </c>
      <c r="C3261" s="257" t="s">
        <v>10084</v>
      </c>
      <c r="D3261" s="173" t="s">
        <v>10085</v>
      </c>
      <c r="E3261" s="174" t="s">
        <v>2861</v>
      </c>
      <c r="F3261" s="173" t="s">
        <v>2862</v>
      </c>
      <c r="G3261" s="425" t="s">
        <v>673</v>
      </c>
      <c r="H3261" s="425" t="s">
        <v>2863</v>
      </c>
      <c r="I3261" s="258" t="s">
        <v>9445</v>
      </c>
      <c r="J3261" s="259" t="s">
        <v>1026</v>
      </c>
      <c r="K3261" s="260" t="s">
        <v>10073</v>
      </c>
      <c r="L3261" s="442"/>
      <c r="M3261" s="426"/>
      <c r="N3261" s="173" t="s">
        <v>679</v>
      </c>
      <c r="O3261" s="173" t="s">
        <v>225</v>
      </c>
      <c r="P3261" s="262" t="str">
        <f t="shared" si="1"/>
        <v>IN-BLR-ANANTA-FAN-209_4</v>
      </c>
      <c r="Q3261" s="173" t="s">
        <v>10086</v>
      </c>
      <c r="R3261" s="425" t="str">
        <f>IFS(C3261="","",C3261="n/a","N/A",LEN(C3261),Concatenate("{",char(34),"asset",char(34),":{",char(34),"guid",char(34),":",char(34),Q3261,char(34),",",char(34),"site",char(34),":",char(34),LOWER('2-Building'!$B$4),char(34),",",char(34),"name",char(34),":",char(34),LOWER(C3261),char(34),"}}"))</f>
        <v>{"asset":{"guid":"uuid://4082f561-0346-4805-b06b-150b2c312555","site":"in-blr-ananta","name":"fan-209"}}</v>
      </c>
      <c r="S3261" s="369" t="s">
        <v>2866</v>
      </c>
      <c r="T3261" s="427"/>
      <c r="U3261" s="427"/>
      <c r="V3261" s="428"/>
      <c r="W3261" s="429"/>
      <c r="X3261" s="430"/>
      <c r="Y3261" s="33" t="s">
        <v>8076</v>
      </c>
      <c r="Z3261" s="430"/>
      <c r="AA3261" s="430"/>
      <c r="AB3261" s="258">
        <v>72.0</v>
      </c>
      <c r="AC3261" s="430"/>
      <c r="AD3261" s="426"/>
      <c r="AE3261" s="428"/>
      <c r="AF3261" s="431"/>
      <c r="AG3261" s="432"/>
      <c r="AH3261" s="430"/>
      <c r="AI3261" s="430"/>
      <c r="AJ3261" s="430"/>
      <c r="AK3261" s="430"/>
      <c r="AL3261" s="430"/>
      <c r="AM3261" s="433"/>
      <c r="AN3261" s="430"/>
      <c r="AO3261" s="430"/>
      <c r="AP3261" s="430"/>
      <c r="AQ3261" s="430"/>
      <c r="AR3261" s="430"/>
      <c r="AS3261" s="430"/>
      <c r="AT3261" s="430"/>
      <c r="AU3261" s="426"/>
      <c r="AV3261" s="434"/>
      <c r="AW3261" s="269" t="s">
        <v>1710</v>
      </c>
      <c r="AX3261" s="269" t="s">
        <v>2869</v>
      </c>
      <c r="AY3261" s="270" t="s">
        <v>695</v>
      </c>
      <c r="AZ3261" s="435"/>
      <c r="BA3261" s="173">
        <v>10.0</v>
      </c>
      <c r="BB3261" s="434"/>
      <c r="BC3261" s="434"/>
      <c r="BD3261" s="308" t="s">
        <v>1844</v>
      </c>
      <c r="BE3261" s="436"/>
      <c r="BF3261" s="274" t="str">
        <f>IFERROR(__xludf.DUMMYFUNCTION("LOWER(Regexreplace(to_text(E3261),""[^A-Za-z0-9]"","""")&amp;""_""&amp;Regexreplace(to_text(F3261),""[^A-Za-z0-9]"",""""))"),"neptronic_evcbseries")</f>
        <v>neptronic_evcbseries</v>
      </c>
      <c r="BG3261" s="275" t="str">
        <f>IFERROR(__xludf.DUMMYFUNCTION("upper(Regexreplace(to_text(E3261),""[^A-Za-z0-9]"","""")&amp;""-""&amp;Regexreplace(to_text(F3261),""[^A-Za-z0-9]"",""""))"),"NEPTRONIC-EVCBSERIES")</f>
        <v>NEPTRONIC-EVCBSERIES</v>
      </c>
    </row>
    <row r="3262" ht="30.0" customHeight="1">
      <c r="A3262" s="425">
        <v>2690.0</v>
      </c>
      <c r="B3262" s="425" t="s">
        <v>670</v>
      </c>
      <c r="C3262" s="257" t="s">
        <v>10087</v>
      </c>
      <c r="D3262" s="173" t="s">
        <v>10088</v>
      </c>
      <c r="E3262" s="174" t="s">
        <v>2861</v>
      </c>
      <c r="F3262" s="173" t="s">
        <v>2862</v>
      </c>
      <c r="G3262" s="425" t="s">
        <v>673</v>
      </c>
      <c r="H3262" s="425" t="s">
        <v>2863</v>
      </c>
      <c r="I3262" s="258" t="s">
        <v>9445</v>
      </c>
      <c r="J3262" s="259" t="s">
        <v>1026</v>
      </c>
      <c r="K3262" s="260" t="s">
        <v>10073</v>
      </c>
      <c r="L3262" s="442"/>
      <c r="M3262" s="426"/>
      <c r="N3262" s="173" t="s">
        <v>679</v>
      </c>
      <c r="O3262" s="173" t="s">
        <v>225</v>
      </c>
      <c r="P3262" s="262" t="str">
        <f t="shared" si="1"/>
        <v>IN-BLR-ANANTA-FAN-210_4</v>
      </c>
      <c r="Q3262" s="173" t="s">
        <v>10089</v>
      </c>
      <c r="R3262" s="425" t="str">
        <f>IFS(C3262="","",C3262="n/a","N/A",LEN(C3262),Concatenate("{",char(34),"asset",char(34),":{",char(34),"guid",char(34),":",char(34),Q3262,char(34),",",char(34),"site",char(34),":",char(34),LOWER('2-Building'!$B$4),char(34),",",char(34),"name",char(34),":",char(34),LOWER(C3262),char(34),"}}"))</f>
        <v>{"asset":{"guid":"uuid://8a04c0b7-365d-4d6c-b84f-4edbf64e24c1","site":"in-blr-ananta","name":"fan-210"}}</v>
      </c>
      <c r="S3262" s="369" t="s">
        <v>2866</v>
      </c>
      <c r="T3262" s="427"/>
      <c r="U3262" s="427"/>
      <c r="V3262" s="428"/>
      <c r="W3262" s="429"/>
      <c r="X3262" s="430"/>
      <c r="Y3262" s="33" t="s">
        <v>8076</v>
      </c>
      <c r="Z3262" s="430"/>
      <c r="AA3262" s="430"/>
      <c r="AB3262" s="258">
        <v>73.0</v>
      </c>
      <c r="AC3262" s="430"/>
      <c r="AD3262" s="426"/>
      <c r="AE3262" s="428"/>
      <c r="AF3262" s="431"/>
      <c r="AG3262" s="432"/>
      <c r="AH3262" s="430"/>
      <c r="AI3262" s="430"/>
      <c r="AJ3262" s="430"/>
      <c r="AK3262" s="430"/>
      <c r="AL3262" s="430"/>
      <c r="AM3262" s="433"/>
      <c r="AN3262" s="430"/>
      <c r="AO3262" s="430"/>
      <c r="AP3262" s="430"/>
      <c r="AQ3262" s="430"/>
      <c r="AR3262" s="430"/>
      <c r="AS3262" s="430"/>
      <c r="AT3262" s="430"/>
      <c r="AU3262" s="426"/>
      <c r="AV3262" s="434"/>
      <c r="AW3262" s="269" t="s">
        <v>1710</v>
      </c>
      <c r="AX3262" s="269" t="s">
        <v>2869</v>
      </c>
      <c r="AY3262" s="270" t="s">
        <v>695</v>
      </c>
      <c r="AZ3262" s="435"/>
      <c r="BA3262" s="173">
        <v>10.0</v>
      </c>
      <c r="BB3262" s="434"/>
      <c r="BC3262" s="434"/>
      <c r="BD3262" s="308" t="s">
        <v>1844</v>
      </c>
      <c r="BE3262" s="436"/>
      <c r="BF3262" s="274" t="str">
        <f>IFERROR(__xludf.DUMMYFUNCTION("LOWER(Regexreplace(to_text(E3262),""[^A-Za-z0-9]"","""")&amp;""_""&amp;Regexreplace(to_text(F3262),""[^A-Za-z0-9]"",""""))"),"neptronic_evcbseries")</f>
        <v>neptronic_evcbseries</v>
      </c>
      <c r="BG3262" s="275" t="str">
        <f>IFERROR(__xludf.DUMMYFUNCTION("upper(Regexreplace(to_text(E3262),""[^A-Za-z0-9]"","""")&amp;""-""&amp;Regexreplace(to_text(F3262),""[^A-Za-z0-9]"",""""))"),"NEPTRONIC-EVCBSERIES")</f>
        <v>NEPTRONIC-EVCBSERIES</v>
      </c>
    </row>
    <row r="3263" ht="30.0" customHeight="1">
      <c r="A3263" s="328">
        <v>2690.0</v>
      </c>
      <c r="B3263" s="425" t="s">
        <v>670</v>
      </c>
      <c r="C3263" s="257" t="s">
        <v>10090</v>
      </c>
      <c r="D3263" s="173" t="s">
        <v>10091</v>
      </c>
      <c r="E3263" s="174" t="s">
        <v>2861</v>
      </c>
      <c r="F3263" s="173" t="s">
        <v>2862</v>
      </c>
      <c r="G3263" s="425" t="s">
        <v>673</v>
      </c>
      <c r="H3263" s="425" t="s">
        <v>2863</v>
      </c>
      <c r="I3263" s="258" t="s">
        <v>9445</v>
      </c>
      <c r="J3263" s="259" t="s">
        <v>1088</v>
      </c>
      <c r="K3263" s="260" t="s">
        <v>10092</v>
      </c>
      <c r="L3263" s="442"/>
      <c r="M3263" s="426"/>
      <c r="N3263" s="173" t="s">
        <v>679</v>
      </c>
      <c r="O3263" s="173" t="s">
        <v>225</v>
      </c>
      <c r="P3263" s="262" t="str">
        <f t="shared" si="1"/>
        <v>IN-BLR-ANANTA-FAN-211_5</v>
      </c>
      <c r="Q3263" s="173" t="s">
        <v>10093</v>
      </c>
      <c r="R3263" s="425" t="str">
        <f>IFS(C3263="","",C3263="n/a","N/A",LEN(C3263),Concatenate("{",char(34),"asset",char(34),":{",char(34),"guid",char(34),":",char(34),Q3263,char(34),",",char(34),"site",char(34),":",char(34),LOWER('2-Building'!$B$4),char(34),",",char(34),"name",char(34),":",char(34),LOWER(C3263),char(34),"}}"))</f>
        <v>{"asset":{"guid":"uuid://d21834a7-2c53-4943-98f4-1ce34c9e95de","site":"in-blr-ananta","name":"fan-211"}}</v>
      </c>
      <c r="S3263" s="369" t="s">
        <v>2866</v>
      </c>
      <c r="T3263" s="427"/>
      <c r="U3263" s="427"/>
      <c r="V3263" s="428"/>
      <c r="W3263" s="429"/>
      <c r="X3263" s="430"/>
      <c r="Y3263" s="33" t="s">
        <v>8076</v>
      </c>
      <c r="Z3263" s="430"/>
      <c r="AA3263" s="430"/>
      <c r="AB3263" s="258">
        <v>32.0</v>
      </c>
      <c r="AC3263" s="430"/>
      <c r="AD3263" s="426"/>
      <c r="AE3263" s="428"/>
      <c r="AF3263" s="431"/>
      <c r="AG3263" s="432"/>
      <c r="AH3263" s="430"/>
      <c r="AI3263" s="430"/>
      <c r="AJ3263" s="430"/>
      <c r="AK3263" s="430"/>
      <c r="AL3263" s="430"/>
      <c r="AM3263" s="433"/>
      <c r="AN3263" s="430"/>
      <c r="AO3263" s="430"/>
      <c r="AP3263" s="430"/>
      <c r="AQ3263" s="430"/>
      <c r="AR3263" s="430"/>
      <c r="AS3263" s="430"/>
      <c r="AT3263" s="430"/>
      <c r="AU3263" s="426"/>
      <c r="AV3263" s="434"/>
      <c r="AW3263" s="269" t="s">
        <v>1710</v>
      </c>
      <c r="AX3263" s="269" t="s">
        <v>2869</v>
      </c>
      <c r="AY3263" s="270" t="s">
        <v>695</v>
      </c>
      <c r="AZ3263" s="435"/>
      <c r="BA3263" s="173">
        <v>10.0</v>
      </c>
      <c r="BB3263" s="434"/>
      <c r="BC3263" s="434"/>
      <c r="BD3263" s="308" t="s">
        <v>1844</v>
      </c>
      <c r="BE3263" s="436"/>
      <c r="BF3263" s="274" t="str">
        <f>IFERROR(__xludf.DUMMYFUNCTION("LOWER(Regexreplace(to_text(E3263),""[^A-Za-z0-9]"","""")&amp;""_""&amp;Regexreplace(to_text(F3263),""[^A-Za-z0-9]"",""""))"),"neptronic_evcbseries")</f>
        <v>neptronic_evcbseries</v>
      </c>
      <c r="BG3263" s="275" t="str">
        <f>IFERROR(__xludf.DUMMYFUNCTION("upper(Regexreplace(to_text(E3263),""[^A-Za-z0-9]"","""")&amp;""-""&amp;Regexreplace(to_text(F3263),""[^A-Za-z0-9]"",""""))"),"NEPTRONIC-EVCBSERIES")</f>
        <v>NEPTRONIC-EVCBSERIES</v>
      </c>
    </row>
    <row r="3264" ht="30.0" customHeight="1">
      <c r="A3264" s="258">
        <v>2690.0</v>
      </c>
      <c r="B3264" s="328" t="s">
        <v>670</v>
      </c>
      <c r="C3264" s="257" t="s">
        <v>10094</v>
      </c>
      <c r="D3264" s="173" t="s">
        <v>10095</v>
      </c>
      <c r="E3264" s="174" t="s">
        <v>2861</v>
      </c>
      <c r="F3264" s="173" t="s">
        <v>2862</v>
      </c>
      <c r="G3264" s="328" t="s">
        <v>673</v>
      </c>
      <c r="H3264" s="328" t="s">
        <v>2863</v>
      </c>
      <c r="I3264" s="258" t="s">
        <v>9445</v>
      </c>
      <c r="J3264" s="259" t="s">
        <v>1088</v>
      </c>
      <c r="K3264" s="260" t="s">
        <v>10092</v>
      </c>
      <c r="L3264" s="366"/>
      <c r="M3264" s="329"/>
      <c r="N3264" s="173" t="s">
        <v>679</v>
      </c>
      <c r="O3264" s="173" t="s">
        <v>225</v>
      </c>
      <c r="P3264" s="262" t="str">
        <f t="shared" si="1"/>
        <v>IN-BLR-ANANTA-FAN-212_5</v>
      </c>
      <c r="Q3264" s="173" t="s">
        <v>10096</v>
      </c>
      <c r="R3264" s="328" t="str">
        <f>IFS(C3264="","",C3264="n/a","N/A",LEN(C3264),Concatenate("{",char(34),"asset",char(34),":{",char(34),"guid",char(34),":",char(34),Q3264,char(34),",",char(34),"site",char(34),":",char(34),LOWER('2-Building'!$B$4),char(34),",",char(34),"name",char(34),":",char(34),LOWER(C3264),char(34),"}}"))</f>
        <v>{"asset":{"guid":"uuid://ac65f06c-570f-4d76-b36a-ada2a9ff3d01","site":"in-blr-ananta","name":"fan-212"}}</v>
      </c>
      <c r="S3264" s="369" t="s">
        <v>2866</v>
      </c>
      <c r="T3264" s="330"/>
      <c r="U3264" s="330"/>
      <c r="V3264" s="331"/>
      <c r="W3264" s="332"/>
      <c r="X3264" s="333"/>
      <c r="Y3264" s="33" t="s">
        <v>8076</v>
      </c>
      <c r="Z3264" s="368"/>
      <c r="AA3264" s="333"/>
      <c r="AB3264" s="258">
        <v>33.0</v>
      </c>
      <c r="AC3264" s="333"/>
      <c r="AD3264" s="329"/>
      <c r="AE3264" s="331"/>
      <c r="AF3264" s="336"/>
      <c r="AG3264" s="337" t="str">
        <f>IFS(LEN(AF3264)=17,LOWER('2-Building'!$B$4 &amp; "-" &amp; C3264), AF3264="N/A", "N/A", LEN(AF3264)=0,"")</f>
        <v/>
      </c>
      <c r="AH3264" s="333"/>
      <c r="AI3264" s="333"/>
      <c r="AJ3264" s="333"/>
      <c r="AK3264" s="333"/>
      <c r="AL3264" s="333"/>
      <c r="AM3264" s="338"/>
      <c r="AN3264" s="333"/>
      <c r="AO3264" s="333"/>
      <c r="AP3264" s="333"/>
      <c r="AQ3264" s="333"/>
      <c r="AR3264" s="333"/>
      <c r="AS3264" s="333"/>
      <c r="AT3264" s="333"/>
      <c r="AU3264" s="329"/>
      <c r="AV3264" s="341"/>
      <c r="AW3264" s="269" t="s">
        <v>1710</v>
      </c>
      <c r="AX3264" s="269" t="s">
        <v>2869</v>
      </c>
      <c r="AY3264" s="270" t="s">
        <v>695</v>
      </c>
      <c r="AZ3264" s="379"/>
      <c r="BA3264" s="173">
        <v>10.0</v>
      </c>
      <c r="BB3264" s="341"/>
      <c r="BC3264" s="341"/>
      <c r="BD3264" s="308" t="s">
        <v>1844</v>
      </c>
      <c r="BE3264" s="364"/>
      <c r="BF3264" s="274" t="str">
        <f>IFERROR(__xludf.DUMMYFUNCTION("LOWER(Regexreplace(to_text(E3264),""[^A-Za-z0-9]"","""")&amp;""_""&amp;Regexreplace(to_text(F3264),""[^A-Za-z0-9]"",""""))"),"neptronic_evcbseries")</f>
        <v>neptronic_evcbseries</v>
      </c>
      <c r="BG3264" s="275" t="str">
        <f>IFERROR(__xludf.DUMMYFUNCTION("upper(Regexreplace(to_text(E3264),""[^A-Za-z0-9]"","""")&amp;""-""&amp;Regexreplace(to_text(F3264),""[^A-Za-z0-9]"",""""))"),"NEPTRONIC-EVCBSERIES")</f>
        <v>NEPTRONIC-EVCBSERIES</v>
      </c>
    </row>
    <row r="3265" ht="30.0" customHeight="1">
      <c r="A3265" s="328">
        <v>2690.0</v>
      </c>
      <c r="B3265" s="425" t="s">
        <v>670</v>
      </c>
      <c r="C3265" s="257" t="s">
        <v>10097</v>
      </c>
      <c r="D3265" s="173" t="s">
        <v>10098</v>
      </c>
      <c r="E3265" s="174" t="s">
        <v>2861</v>
      </c>
      <c r="F3265" s="173" t="s">
        <v>2862</v>
      </c>
      <c r="G3265" s="425" t="s">
        <v>673</v>
      </c>
      <c r="H3265" s="425" t="s">
        <v>2863</v>
      </c>
      <c r="I3265" s="258" t="s">
        <v>9445</v>
      </c>
      <c r="J3265" s="259" t="s">
        <v>1088</v>
      </c>
      <c r="K3265" s="260" t="s">
        <v>10092</v>
      </c>
      <c r="L3265" s="442"/>
      <c r="M3265" s="426"/>
      <c r="N3265" s="173" t="s">
        <v>679</v>
      </c>
      <c r="O3265" s="173" t="s">
        <v>225</v>
      </c>
      <c r="P3265" s="262" t="str">
        <f t="shared" si="1"/>
        <v>IN-BLR-ANANTA-FAN-213_5</v>
      </c>
      <c r="Q3265" s="173" t="s">
        <v>10099</v>
      </c>
      <c r="R3265" s="433" t="str">
        <f>IFS(C3265="","",C3265="n/a","N/A",LEN(C3265),Concatenate("{",char(34),"asset",char(34),":{",char(34),"guid",char(34),":",char(34),Q3265,char(34),",",char(34),"site",char(34),":",char(34),LOWER('2-Building'!$B$4),char(34),",",char(34),"name",char(34),":",char(34),LOWER(C3265),char(34),"}}"))</f>
        <v>{"asset":{"guid":"uuid://cc8f96d2-f976-4016-a504-26128aac1847","site":"in-blr-ananta","name":"fan-213"}}</v>
      </c>
      <c r="S3265" s="369" t="s">
        <v>2866</v>
      </c>
      <c r="T3265" s="427"/>
      <c r="U3265" s="427"/>
      <c r="V3265" s="428"/>
      <c r="W3265" s="429"/>
      <c r="X3265" s="430"/>
      <c r="Y3265" s="33" t="s">
        <v>8076</v>
      </c>
      <c r="Z3265" s="430"/>
      <c r="AA3265" s="430"/>
      <c r="AB3265" s="258">
        <v>34.0</v>
      </c>
      <c r="AC3265" s="430"/>
      <c r="AD3265" s="426"/>
      <c r="AE3265" s="428"/>
      <c r="AF3265" s="431"/>
      <c r="AG3265" s="432" t="str">
        <f>IFS(LEN(AF3265)=17,LOWER('2-Building'!$B$4 &amp; "-" &amp; C3265), AF3265="N/A", "N/A", LEN(AF3265)=0,"")</f>
        <v/>
      </c>
      <c r="AH3265" s="430"/>
      <c r="AI3265" s="430"/>
      <c r="AJ3265" s="430"/>
      <c r="AK3265" s="430"/>
      <c r="AL3265" s="430"/>
      <c r="AM3265" s="433"/>
      <c r="AN3265" s="430"/>
      <c r="AO3265" s="430"/>
      <c r="AP3265" s="430"/>
      <c r="AQ3265" s="430"/>
      <c r="AR3265" s="430"/>
      <c r="AS3265" s="430"/>
      <c r="AT3265" s="430"/>
      <c r="AU3265" s="426"/>
      <c r="AV3265" s="434"/>
      <c r="AW3265" s="269" t="s">
        <v>1710</v>
      </c>
      <c r="AX3265" s="269" t="s">
        <v>2869</v>
      </c>
      <c r="AY3265" s="270" t="s">
        <v>695</v>
      </c>
      <c r="AZ3265" s="435"/>
      <c r="BA3265" s="173">
        <v>10.0</v>
      </c>
      <c r="BB3265" s="434"/>
      <c r="BC3265" s="434"/>
      <c r="BD3265" s="308" t="s">
        <v>1844</v>
      </c>
      <c r="BE3265" s="436"/>
      <c r="BF3265" s="274" t="str">
        <f>IFERROR(__xludf.DUMMYFUNCTION("LOWER(Regexreplace(to_text(E3265),""[^A-Za-z0-9]"","""")&amp;""_""&amp;Regexreplace(to_text(F3265),""[^A-Za-z0-9]"",""""))"),"neptronic_evcbseries")</f>
        <v>neptronic_evcbseries</v>
      </c>
      <c r="BG3265" s="275" t="str">
        <f>IFERROR(__xludf.DUMMYFUNCTION("upper(Regexreplace(to_text(E3265),""[^A-Za-z0-9]"","""")&amp;""-""&amp;Regexreplace(to_text(F3265),""[^A-Za-z0-9]"",""""))"),"NEPTRONIC-EVCBSERIES")</f>
        <v>NEPTRONIC-EVCBSERIES</v>
      </c>
    </row>
    <row r="3266" ht="30.0" customHeight="1">
      <c r="A3266" s="328">
        <v>2690.0</v>
      </c>
      <c r="B3266" s="425" t="s">
        <v>670</v>
      </c>
      <c r="C3266" s="257" t="s">
        <v>10100</v>
      </c>
      <c r="D3266" s="173" t="s">
        <v>10101</v>
      </c>
      <c r="E3266" s="174" t="s">
        <v>2861</v>
      </c>
      <c r="F3266" s="173" t="s">
        <v>2862</v>
      </c>
      <c r="G3266" s="425" t="s">
        <v>673</v>
      </c>
      <c r="H3266" s="425" t="s">
        <v>2863</v>
      </c>
      <c r="I3266" s="258" t="s">
        <v>9445</v>
      </c>
      <c r="J3266" s="259" t="s">
        <v>1088</v>
      </c>
      <c r="K3266" s="260" t="s">
        <v>10092</v>
      </c>
      <c r="L3266" s="442"/>
      <c r="M3266" s="426"/>
      <c r="N3266" s="173" t="s">
        <v>679</v>
      </c>
      <c r="O3266" s="173" t="s">
        <v>225</v>
      </c>
      <c r="P3266" s="262" t="str">
        <f t="shared" si="1"/>
        <v>IN-BLR-ANANTA-FAN-214_5</v>
      </c>
      <c r="Q3266" s="173" t="s">
        <v>10102</v>
      </c>
      <c r="R3266" s="425" t="str">
        <f>IFS(C3266="","",C3266="n/a","N/A",LEN(C3266),Concatenate("{",char(34),"asset",char(34),":{",char(34),"guid",char(34),":",char(34),Q3266,char(34),",",char(34),"site",char(34),":",char(34),LOWER('2-Building'!$B$4),char(34),",",char(34),"name",char(34),":",char(34),LOWER(C3266),char(34),"}}"))</f>
        <v>{"asset":{"guid":"uuid://584b1192-b232-4c53-afc6-016dbdba0834","site":"in-blr-ananta","name":"fan-214"}}</v>
      </c>
      <c r="S3266" s="369" t="s">
        <v>2866</v>
      </c>
      <c r="T3266" s="427"/>
      <c r="U3266" s="427"/>
      <c r="V3266" s="428"/>
      <c r="W3266" s="429"/>
      <c r="X3266" s="430"/>
      <c r="Y3266" s="33" t="s">
        <v>8076</v>
      </c>
      <c r="Z3266" s="430"/>
      <c r="AA3266" s="430"/>
      <c r="AB3266" s="258">
        <v>35.0</v>
      </c>
      <c r="AC3266" s="430"/>
      <c r="AD3266" s="426"/>
      <c r="AE3266" s="428"/>
      <c r="AF3266" s="431"/>
      <c r="AG3266" s="432" t="str">
        <f>IFS(LEN(AF3266)=17,LOWER('2-Building'!$B$4 &amp; "-" &amp; C3266), AF3266="N/A", "N/A", LEN(AF3266)=0,"")</f>
        <v/>
      </c>
      <c r="AH3266" s="430"/>
      <c r="AI3266" s="430"/>
      <c r="AJ3266" s="430"/>
      <c r="AK3266" s="430"/>
      <c r="AL3266" s="430"/>
      <c r="AM3266" s="433"/>
      <c r="AN3266" s="430"/>
      <c r="AO3266" s="430"/>
      <c r="AP3266" s="430"/>
      <c r="AQ3266" s="430"/>
      <c r="AR3266" s="430"/>
      <c r="AS3266" s="430"/>
      <c r="AT3266" s="430"/>
      <c r="AU3266" s="426"/>
      <c r="AV3266" s="434"/>
      <c r="AW3266" s="269" t="s">
        <v>1710</v>
      </c>
      <c r="AX3266" s="269" t="s">
        <v>2869</v>
      </c>
      <c r="AY3266" s="270" t="s">
        <v>695</v>
      </c>
      <c r="AZ3266" s="435"/>
      <c r="BA3266" s="173">
        <v>10.0</v>
      </c>
      <c r="BB3266" s="434"/>
      <c r="BC3266" s="434"/>
      <c r="BD3266" s="308" t="s">
        <v>1844</v>
      </c>
      <c r="BE3266" s="436"/>
      <c r="BF3266" s="274" t="str">
        <f>IFERROR(__xludf.DUMMYFUNCTION("LOWER(Regexreplace(to_text(E3266),""[^A-Za-z0-9]"","""")&amp;""_""&amp;Regexreplace(to_text(F3266),""[^A-Za-z0-9]"",""""))"),"neptronic_evcbseries")</f>
        <v>neptronic_evcbseries</v>
      </c>
      <c r="BG3266" s="275" t="str">
        <f>IFERROR(__xludf.DUMMYFUNCTION("upper(Regexreplace(to_text(E3266),""[^A-Za-z0-9]"","""")&amp;""-""&amp;Regexreplace(to_text(F3266),""[^A-Za-z0-9]"",""""))"),"NEPTRONIC-EVCBSERIES")</f>
        <v>NEPTRONIC-EVCBSERIES</v>
      </c>
    </row>
    <row r="3267" ht="30.0" customHeight="1">
      <c r="A3267" s="258">
        <v>2690.0</v>
      </c>
      <c r="B3267" s="328" t="s">
        <v>670</v>
      </c>
      <c r="C3267" s="257" t="s">
        <v>10103</v>
      </c>
      <c r="D3267" s="173" t="s">
        <v>10104</v>
      </c>
      <c r="E3267" s="174" t="s">
        <v>2861</v>
      </c>
      <c r="F3267" s="173" t="s">
        <v>2862</v>
      </c>
      <c r="G3267" s="328" t="s">
        <v>673</v>
      </c>
      <c r="H3267" s="328" t="s">
        <v>2863</v>
      </c>
      <c r="I3267" s="258" t="s">
        <v>9445</v>
      </c>
      <c r="J3267" s="259" t="s">
        <v>1088</v>
      </c>
      <c r="K3267" s="260" t="s">
        <v>10092</v>
      </c>
      <c r="L3267" s="366"/>
      <c r="M3267" s="329"/>
      <c r="N3267" s="173" t="s">
        <v>679</v>
      </c>
      <c r="O3267" s="173" t="s">
        <v>225</v>
      </c>
      <c r="P3267" s="262" t="str">
        <f t="shared" si="1"/>
        <v>IN-BLR-ANANTA-FAN-215_5</v>
      </c>
      <c r="Q3267" s="173" t="s">
        <v>10105</v>
      </c>
      <c r="R3267" s="328" t="str">
        <f>IFS(C3267="","",C3267="n/a","N/A",LEN(C3267),Concatenate("{",char(34),"asset",char(34),":{",char(34),"guid",char(34),":",char(34),Q3267,char(34),",",char(34),"site",char(34),":",char(34),LOWER('2-Building'!$B$4),char(34),",",char(34),"name",char(34),":",char(34),LOWER(C3267),char(34),"}}"))</f>
        <v>{"asset":{"guid":"uuid://6bb32c3e-5a44-4531-82f8-b736be6c3712","site":"in-blr-ananta","name":"fan-215"}}</v>
      </c>
      <c r="S3267" s="369" t="s">
        <v>2866</v>
      </c>
      <c r="T3267" s="330"/>
      <c r="U3267" s="330"/>
      <c r="V3267" s="331"/>
      <c r="W3267" s="332"/>
      <c r="X3267" s="333"/>
      <c r="Y3267" s="33" t="s">
        <v>8076</v>
      </c>
      <c r="Z3267" s="368"/>
      <c r="AA3267" s="333"/>
      <c r="AB3267" s="258">
        <v>36.0</v>
      </c>
      <c r="AC3267" s="333"/>
      <c r="AD3267" s="329"/>
      <c r="AE3267" s="331"/>
      <c r="AF3267" s="336"/>
      <c r="AG3267" s="337" t="str">
        <f>IFS(LEN(AF3267)=17,LOWER('2-Building'!$B$4 &amp; "-" &amp; C3267), AF3267="N/A", "N/A", LEN(AF3267)=0,"")</f>
        <v/>
      </c>
      <c r="AH3267" s="333"/>
      <c r="AI3267" s="333"/>
      <c r="AJ3267" s="333"/>
      <c r="AK3267" s="333"/>
      <c r="AL3267" s="333"/>
      <c r="AM3267" s="338"/>
      <c r="AN3267" s="333"/>
      <c r="AO3267" s="333"/>
      <c r="AP3267" s="333"/>
      <c r="AQ3267" s="333"/>
      <c r="AR3267" s="333"/>
      <c r="AS3267" s="333"/>
      <c r="AT3267" s="333"/>
      <c r="AU3267" s="329"/>
      <c r="AV3267" s="341"/>
      <c r="AW3267" s="269" t="s">
        <v>1710</v>
      </c>
      <c r="AX3267" s="269" t="s">
        <v>2869</v>
      </c>
      <c r="AY3267" s="270" t="s">
        <v>695</v>
      </c>
      <c r="AZ3267" s="379"/>
      <c r="BA3267" s="173">
        <v>10.0</v>
      </c>
      <c r="BB3267" s="341"/>
      <c r="BC3267" s="341"/>
      <c r="BD3267" s="308" t="s">
        <v>1844</v>
      </c>
      <c r="BE3267" s="364"/>
      <c r="BF3267" s="274" t="str">
        <f>IFERROR(__xludf.DUMMYFUNCTION("LOWER(Regexreplace(to_text(E3267),""[^A-Za-z0-9]"","""")&amp;""_""&amp;Regexreplace(to_text(F3267),""[^A-Za-z0-9]"",""""))"),"neptronic_evcbseries")</f>
        <v>neptronic_evcbseries</v>
      </c>
      <c r="BG3267" s="275" t="str">
        <f>IFERROR(__xludf.DUMMYFUNCTION("upper(Regexreplace(to_text(E3267),""[^A-Za-z0-9]"","""")&amp;""-""&amp;Regexreplace(to_text(F3267),""[^A-Za-z0-9]"",""""))"),"NEPTRONIC-EVCBSERIES")</f>
        <v>NEPTRONIC-EVCBSERIES</v>
      </c>
    </row>
    <row r="3268" ht="30.0" customHeight="1">
      <c r="A3268" s="328">
        <v>2690.0</v>
      </c>
      <c r="B3268" s="425" t="s">
        <v>670</v>
      </c>
      <c r="C3268" s="257" t="s">
        <v>10106</v>
      </c>
      <c r="D3268" s="173" t="s">
        <v>10107</v>
      </c>
      <c r="E3268" s="174" t="s">
        <v>2861</v>
      </c>
      <c r="F3268" s="173" t="s">
        <v>2862</v>
      </c>
      <c r="G3268" s="425" t="s">
        <v>673</v>
      </c>
      <c r="H3268" s="425" t="s">
        <v>2863</v>
      </c>
      <c r="I3268" s="258" t="s">
        <v>9445</v>
      </c>
      <c r="J3268" s="259" t="s">
        <v>1088</v>
      </c>
      <c r="K3268" s="260" t="s">
        <v>10092</v>
      </c>
      <c r="L3268" s="442"/>
      <c r="M3268" s="426"/>
      <c r="N3268" s="173" t="s">
        <v>679</v>
      </c>
      <c r="O3268" s="173" t="s">
        <v>225</v>
      </c>
      <c r="P3268" s="262" t="str">
        <f t="shared" si="1"/>
        <v>IN-BLR-ANANTA-FAN-216_5</v>
      </c>
      <c r="Q3268" s="173" t="s">
        <v>10108</v>
      </c>
      <c r="R3268" s="433" t="str">
        <f>IFS(C3268="","",C3268="n/a","N/A",LEN(C3268),Concatenate("{",char(34),"asset",char(34),":{",char(34),"guid",char(34),":",char(34),Q3268,char(34),",",char(34),"site",char(34),":",char(34),LOWER('2-Building'!$B$4),char(34),",",char(34),"name",char(34),":",char(34),LOWER(C3268),char(34),"}}"))</f>
        <v>{"asset":{"guid":"uuid://fb02fa0b-10f8-41ea-83b7-881bd63b8f7a","site":"in-blr-ananta","name":"fan-216"}}</v>
      </c>
      <c r="S3268" s="369" t="s">
        <v>2866</v>
      </c>
      <c r="T3268" s="427"/>
      <c r="U3268" s="427"/>
      <c r="V3268" s="428"/>
      <c r="W3268" s="429"/>
      <c r="X3268" s="430"/>
      <c r="Y3268" s="33" t="s">
        <v>8076</v>
      </c>
      <c r="Z3268" s="430"/>
      <c r="AA3268" s="430"/>
      <c r="AB3268" s="258">
        <v>37.0</v>
      </c>
      <c r="AC3268" s="430"/>
      <c r="AD3268" s="426"/>
      <c r="AE3268" s="428"/>
      <c r="AF3268" s="431"/>
      <c r="AG3268" s="432" t="str">
        <f>IFS(LEN(AF3268)=17,LOWER('2-Building'!$B$4 &amp; "-" &amp; C3268), AF3268="N/A", "N/A", LEN(AF3268)=0,"")</f>
        <v/>
      </c>
      <c r="AH3268" s="430"/>
      <c r="AI3268" s="430"/>
      <c r="AJ3268" s="430"/>
      <c r="AK3268" s="430"/>
      <c r="AL3268" s="430"/>
      <c r="AM3268" s="433"/>
      <c r="AN3268" s="430"/>
      <c r="AO3268" s="430"/>
      <c r="AP3268" s="430"/>
      <c r="AQ3268" s="430"/>
      <c r="AR3268" s="430"/>
      <c r="AS3268" s="430"/>
      <c r="AT3268" s="430"/>
      <c r="AU3268" s="426"/>
      <c r="AV3268" s="434"/>
      <c r="AW3268" s="269" t="s">
        <v>1710</v>
      </c>
      <c r="AX3268" s="269" t="s">
        <v>2869</v>
      </c>
      <c r="AY3268" s="270" t="s">
        <v>695</v>
      </c>
      <c r="AZ3268" s="435"/>
      <c r="BA3268" s="173">
        <v>10.0</v>
      </c>
      <c r="BB3268" s="434"/>
      <c r="BC3268" s="434"/>
      <c r="BD3268" s="308" t="s">
        <v>1844</v>
      </c>
      <c r="BE3268" s="436"/>
      <c r="BF3268" s="274" t="str">
        <f>IFERROR(__xludf.DUMMYFUNCTION("LOWER(Regexreplace(to_text(E3268),""[^A-Za-z0-9]"","""")&amp;""_""&amp;Regexreplace(to_text(F3268),""[^A-Za-z0-9]"",""""))"),"neptronic_evcbseries")</f>
        <v>neptronic_evcbseries</v>
      </c>
      <c r="BG3268" s="275" t="str">
        <f>IFERROR(__xludf.DUMMYFUNCTION("upper(Regexreplace(to_text(E3268),""[^A-Za-z0-9]"","""")&amp;""-""&amp;Regexreplace(to_text(F3268),""[^A-Za-z0-9]"",""""))"),"NEPTRONIC-EVCBSERIES")</f>
        <v>NEPTRONIC-EVCBSERIES</v>
      </c>
    </row>
    <row r="3269" ht="30.0" customHeight="1">
      <c r="A3269" s="328">
        <v>2690.0</v>
      </c>
      <c r="B3269" s="425" t="s">
        <v>670</v>
      </c>
      <c r="C3269" s="257" t="s">
        <v>10109</v>
      </c>
      <c r="D3269" s="173" t="s">
        <v>10110</v>
      </c>
      <c r="E3269" s="174" t="s">
        <v>2861</v>
      </c>
      <c r="F3269" s="173" t="s">
        <v>2862</v>
      </c>
      <c r="G3269" s="425" t="s">
        <v>673</v>
      </c>
      <c r="H3269" s="425" t="s">
        <v>2863</v>
      </c>
      <c r="I3269" s="258" t="s">
        <v>9445</v>
      </c>
      <c r="J3269" s="259" t="s">
        <v>1149</v>
      </c>
      <c r="K3269" s="260">
        <v>663.0</v>
      </c>
      <c r="L3269" s="442"/>
      <c r="M3269" s="426"/>
      <c r="N3269" s="173" t="s">
        <v>679</v>
      </c>
      <c r="O3269" s="173" t="s">
        <v>225</v>
      </c>
      <c r="P3269" s="262" t="str">
        <f t="shared" si="1"/>
        <v>IN-BLR-ANANTA-FAN-217_6</v>
      </c>
      <c r="Q3269" s="173" t="s">
        <v>10111</v>
      </c>
      <c r="R3269" s="425" t="str">
        <f>IFS(C3269="","",C3269="n/a","N/A",LEN(C3269),Concatenate("{",char(34),"asset",char(34),":{",char(34),"guid",char(34),":",char(34),Q3269,char(34),",",char(34),"site",char(34),":",char(34),LOWER('2-Building'!$B$4),char(34),",",char(34),"name",char(34),":",char(34),LOWER(C3269),char(34),"}}"))</f>
        <v>{"asset":{"guid":"uuid://f49322f0-4733-4ab9-9bbd-9427f03a596d","site":"in-blr-ananta","name":"fan-217"}}</v>
      </c>
      <c r="S3269" s="369" t="s">
        <v>2866</v>
      </c>
      <c r="T3269" s="427"/>
      <c r="U3269" s="427"/>
      <c r="V3269" s="428"/>
      <c r="W3269" s="429"/>
      <c r="X3269" s="430"/>
      <c r="Y3269" s="33" t="s">
        <v>8076</v>
      </c>
      <c r="Z3269" s="430"/>
      <c r="AA3269" s="430"/>
      <c r="AB3269" s="258">
        <v>14.0</v>
      </c>
      <c r="AC3269" s="430"/>
      <c r="AD3269" s="426"/>
      <c r="AE3269" s="428"/>
      <c r="AF3269" s="431"/>
      <c r="AG3269" s="432" t="str">
        <f>IFS(LEN(AF3269)=17,LOWER('2-Building'!$B$4 &amp; "-" &amp; C3269), AF3269="N/A", "N/A", LEN(AF3269)=0,"")</f>
        <v/>
      </c>
      <c r="AH3269" s="430"/>
      <c r="AI3269" s="430"/>
      <c r="AJ3269" s="430"/>
      <c r="AK3269" s="430"/>
      <c r="AL3269" s="430"/>
      <c r="AM3269" s="433"/>
      <c r="AN3269" s="430"/>
      <c r="AO3269" s="430"/>
      <c r="AP3269" s="430"/>
      <c r="AQ3269" s="430"/>
      <c r="AR3269" s="430"/>
      <c r="AS3269" s="430"/>
      <c r="AT3269" s="430"/>
      <c r="AU3269" s="426"/>
      <c r="AV3269" s="434"/>
      <c r="AW3269" s="269" t="s">
        <v>1710</v>
      </c>
      <c r="AX3269" s="269" t="s">
        <v>2869</v>
      </c>
      <c r="AY3269" s="270" t="s">
        <v>695</v>
      </c>
      <c r="AZ3269" s="435"/>
      <c r="BA3269" s="173">
        <v>10.0</v>
      </c>
      <c r="BB3269" s="434"/>
      <c r="BC3269" s="434"/>
      <c r="BD3269" s="308" t="s">
        <v>1844</v>
      </c>
      <c r="BE3269" s="436"/>
      <c r="BF3269" s="274" t="str">
        <f>IFERROR(__xludf.DUMMYFUNCTION("LOWER(Regexreplace(to_text(E3269),""[^A-Za-z0-9]"","""")&amp;""_""&amp;Regexreplace(to_text(F3269),""[^A-Za-z0-9]"",""""))"),"neptronic_evcbseries")</f>
        <v>neptronic_evcbseries</v>
      </c>
      <c r="BG3269" s="275" t="str">
        <f>IFERROR(__xludf.DUMMYFUNCTION("upper(Regexreplace(to_text(E3269),""[^A-Za-z0-9]"","""")&amp;""-""&amp;Regexreplace(to_text(F3269),""[^A-Za-z0-9]"",""""))"),"NEPTRONIC-EVCBSERIES")</f>
        <v>NEPTRONIC-EVCBSERIES</v>
      </c>
    </row>
    <row r="3270" ht="30.0" customHeight="1">
      <c r="A3270" s="425">
        <v>2690.0</v>
      </c>
      <c r="B3270" s="425" t="s">
        <v>670</v>
      </c>
      <c r="C3270" s="257" t="s">
        <v>10112</v>
      </c>
      <c r="D3270" s="173" t="s">
        <v>10113</v>
      </c>
      <c r="E3270" s="174" t="s">
        <v>2861</v>
      </c>
      <c r="F3270" s="173" t="s">
        <v>2862</v>
      </c>
      <c r="G3270" s="425" t="s">
        <v>673</v>
      </c>
      <c r="H3270" s="425" t="s">
        <v>2863</v>
      </c>
      <c r="I3270" s="258" t="s">
        <v>9445</v>
      </c>
      <c r="J3270" s="259" t="s">
        <v>1149</v>
      </c>
      <c r="K3270" s="260">
        <v>663.0</v>
      </c>
      <c r="L3270" s="442"/>
      <c r="M3270" s="426"/>
      <c r="N3270" s="173" t="s">
        <v>679</v>
      </c>
      <c r="O3270" s="173" t="s">
        <v>225</v>
      </c>
      <c r="P3270" s="262" t="str">
        <f t="shared" si="1"/>
        <v>IN-BLR-ANANTA-FAN-218_6</v>
      </c>
      <c r="Q3270" s="173" t="s">
        <v>10114</v>
      </c>
      <c r="R3270" s="425" t="str">
        <f>IFS(C3270="","",C3270="n/a","N/A",LEN(C3270),Concatenate("{",char(34),"asset",char(34),":{",char(34),"guid",char(34),":",char(34),Q3270,char(34),",",char(34),"site",char(34),":",char(34),LOWER('2-Building'!$B$4),char(34),",",char(34),"name",char(34),":",char(34),LOWER(C3270),char(34),"}}"))</f>
        <v>{"asset":{"guid":"uuid://b954125f-f168-4c5e-9217-0bbb954d9831","site":"in-blr-ananta","name":"fan-218"}}</v>
      </c>
      <c r="S3270" s="369" t="s">
        <v>2866</v>
      </c>
      <c r="T3270" s="427"/>
      <c r="U3270" s="427"/>
      <c r="V3270" s="428"/>
      <c r="W3270" s="429"/>
      <c r="X3270" s="430"/>
      <c r="Y3270" s="33" t="s">
        <v>8076</v>
      </c>
      <c r="Z3270" s="430"/>
      <c r="AA3270" s="430"/>
      <c r="AB3270" s="258">
        <v>15.0</v>
      </c>
      <c r="AC3270" s="430"/>
      <c r="AD3270" s="426"/>
      <c r="AE3270" s="428"/>
      <c r="AF3270" s="431"/>
      <c r="AG3270" s="432"/>
      <c r="AH3270" s="430"/>
      <c r="AI3270" s="430"/>
      <c r="AJ3270" s="430"/>
      <c r="AK3270" s="430"/>
      <c r="AL3270" s="430"/>
      <c r="AM3270" s="433"/>
      <c r="AN3270" s="430"/>
      <c r="AO3270" s="430"/>
      <c r="AP3270" s="430"/>
      <c r="AQ3270" s="430"/>
      <c r="AR3270" s="430"/>
      <c r="AS3270" s="430"/>
      <c r="AT3270" s="430"/>
      <c r="AU3270" s="426"/>
      <c r="AV3270" s="434"/>
      <c r="AW3270" s="269" t="s">
        <v>1710</v>
      </c>
      <c r="AX3270" s="269" t="s">
        <v>2869</v>
      </c>
      <c r="AY3270" s="270" t="s">
        <v>695</v>
      </c>
      <c r="AZ3270" s="435"/>
      <c r="BA3270" s="173">
        <v>10.0</v>
      </c>
      <c r="BB3270" s="434"/>
      <c r="BC3270" s="434"/>
      <c r="BD3270" s="308" t="s">
        <v>1844</v>
      </c>
      <c r="BE3270" s="436"/>
      <c r="BF3270" s="274" t="str">
        <f>IFERROR(__xludf.DUMMYFUNCTION("LOWER(Regexreplace(to_text(E3270),""[^A-Za-z0-9]"","""")&amp;""_""&amp;Regexreplace(to_text(F3270),""[^A-Za-z0-9]"",""""))"),"neptronic_evcbseries")</f>
        <v>neptronic_evcbseries</v>
      </c>
      <c r="BG3270" s="275" t="str">
        <f>IFERROR(__xludf.DUMMYFUNCTION("upper(Regexreplace(to_text(E3270),""[^A-Za-z0-9]"","""")&amp;""-""&amp;Regexreplace(to_text(F3270),""[^A-Za-z0-9]"",""""))"),"NEPTRONIC-EVCBSERIES")</f>
        <v>NEPTRONIC-EVCBSERIES</v>
      </c>
    </row>
    <row r="3271" ht="30.0" customHeight="1">
      <c r="A3271" s="328">
        <v>2690.0</v>
      </c>
      <c r="B3271" s="425" t="s">
        <v>670</v>
      </c>
      <c r="C3271" s="257" t="s">
        <v>10115</v>
      </c>
      <c r="D3271" s="173" t="s">
        <v>10116</v>
      </c>
      <c r="E3271" s="174" t="s">
        <v>2861</v>
      </c>
      <c r="F3271" s="173" t="s">
        <v>2862</v>
      </c>
      <c r="G3271" s="425" t="s">
        <v>673</v>
      </c>
      <c r="H3271" s="425" t="s">
        <v>2863</v>
      </c>
      <c r="I3271" s="258" t="s">
        <v>9445</v>
      </c>
      <c r="J3271" s="259" t="s">
        <v>1149</v>
      </c>
      <c r="K3271" s="260">
        <v>663.0</v>
      </c>
      <c r="L3271" s="442"/>
      <c r="M3271" s="426"/>
      <c r="N3271" s="173" t="s">
        <v>679</v>
      </c>
      <c r="O3271" s="173" t="s">
        <v>225</v>
      </c>
      <c r="P3271" s="262" t="str">
        <f t="shared" si="1"/>
        <v>IN-BLR-ANANTA-FAN-219_6</v>
      </c>
      <c r="Q3271" s="173" t="s">
        <v>10117</v>
      </c>
      <c r="R3271" s="425" t="str">
        <f>IFS(C3271="","",C3271="n/a","N/A",LEN(C3271),Concatenate("{",char(34),"asset",char(34),":{",char(34),"guid",char(34),":",char(34),Q3271,char(34),",",char(34),"site",char(34),":",char(34),LOWER('2-Building'!$B$4),char(34),",",char(34),"name",char(34),":",char(34),LOWER(C3271),char(34),"}}"))</f>
        <v>{"asset":{"guid":"uuid://e0abab99-a535-4771-ac50-1b0471e4b8b4","site":"in-blr-ananta","name":"fan-219"}}</v>
      </c>
      <c r="S3271" s="369" t="s">
        <v>2866</v>
      </c>
      <c r="T3271" s="427"/>
      <c r="U3271" s="427"/>
      <c r="V3271" s="428"/>
      <c r="W3271" s="429"/>
      <c r="X3271" s="430"/>
      <c r="Y3271" s="33" t="s">
        <v>8076</v>
      </c>
      <c r="Z3271" s="430"/>
      <c r="AA3271" s="430"/>
      <c r="AB3271" s="258">
        <v>16.0</v>
      </c>
      <c r="AC3271" s="430"/>
      <c r="AD3271" s="426"/>
      <c r="AE3271" s="428"/>
      <c r="AF3271" s="431"/>
      <c r="AG3271" s="432"/>
      <c r="AH3271" s="430"/>
      <c r="AI3271" s="430"/>
      <c r="AJ3271" s="430"/>
      <c r="AK3271" s="430"/>
      <c r="AL3271" s="430"/>
      <c r="AM3271" s="433"/>
      <c r="AN3271" s="430"/>
      <c r="AO3271" s="430"/>
      <c r="AP3271" s="430"/>
      <c r="AQ3271" s="430"/>
      <c r="AR3271" s="430"/>
      <c r="AS3271" s="430"/>
      <c r="AT3271" s="430"/>
      <c r="AU3271" s="426"/>
      <c r="AV3271" s="434"/>
      <c r="AW3271" s="269" t="s">
        <v>1710</v>
      </c>
      <c r="AX3271" s="269" t="s">
        <v>2869</v>
      </c>
      <c r="AY3271" s="270" t="s">
        <v>695</v>
      </c>
      <c r="AZ3271" s="435"/>
      <c r="BA3271" s="173">
        <v>10.0</v>
      </c>
      <c r="BB3271" s="434"/>
      <c r="BC3271" s="434"/>
      <c r="BD3271" s="308" t="s">
        <v>1844</v>
      </c>
      <c r="BE3271" s="436"/>
      <c r="BF3271" s="274" t="str">
        <f>IFERROR(__xludf.DUMMYFUNCTION("LOWER(Regexreplace(to_text(E3271),""[^A-Za-z0-9]"","""")&amp;""_""&amp;Regexreplace(to_text(F3271),""[^A-Za-z0-9]"",""""))"),"neptronic_evcbseries")</f>
        <v>neptronic_evcbseries</v>
      </c>
      <c r="BG3271" s="275" t="str">
        <f>IFERROR(__xludf.DUMMYFUNCTION("upper(Regexreplace(to_text(E3271),""[^A-Za-z0-9]"","""")&amp;""-""&amp;Regexreplace(to_text(F3271),""[^A-Za-z0-9]"",""""))"),"NEPTRONIC-EVCBSERIES")</f>
        <v>NEPTRONIC-EVCBSERIES</v>
      </c>
    </row>
    <row r="3272" ht="30.0" customHeight="1">
      <c r="A3272" s="328">
        <v>2690.0</v>
      </c>
      <c r="B3272" s="425" t="s">
        <v>670</v>
      </c>
      <c r="C3272" s="257" t="s">
        <v>10118</v>
      </c>
      <c r="D3272" s="173" t="s">
        <v>10119</v>
      </c>
      <c r="E3272" s="174" t="s">
        <v>2861</v>
      </c>
      <c r="F3272" s="173" t="s">
        <v>2862</v>
      </c>
      <c r="G3272" s="425" t="s">
        <v>673</v>
      </c>
      <c r="H3272" s="425" t="s">
        <v>2863</v>
      </c>
      <c r="I3272" s="258" t="s">
        <v>9445</v>
      </c>
      <c r="J3272" s="259" t="s">
        <v>1149</v>
      </c>
      <c r="K3272" s="260">
        <v>663.0</v>
      </c>
      <c r="L3272" s="442"/>
      <c r="M3272" s="426"/>
      <c r="N3272" s="173" t="s">
        <v>679</v>
      </c>
      <c r="O3272" s="173" t="s">
        <v>225</v>
      </c>
      <c r="P3272" s="262" t="str">
        <f t="shared" si="1"/>
        <v>IN-BLR-ANANTA-FAN-220_6</v>
      </c>
      <c r="Q3272" s="173" t="s">
        <v>10120</v>
      </c>
      <c r="R3272" s="425" t="str">
        <f>IFS(C3272="","",C3272="n/a","N/A",LEN(C3272),Concatenate("{",char(34),"asset",char(34),":{",char(34),"guid",char(34),":",char(34),Q3272,char(34),",",char(34),"site",char(34),":",char(34),LOWER('2-Building'!$B$4),char(34),",",char(34),"name",char(34),":",char(34),LOWER(C3272),char(34),"}}"))</f>
        <v>{"asset":{"guid":"uuid://f0f63636-46a5-4619-8432-049e3de37061","site":"in-blr-ananta","name":"fan-220"}}</v>
      </c>
      <c r="S3272" s="369" t="s">
        <v>2866</v>
      </c>
      <c r="T3272" s="427"/>
      <c r="U3272" s="427"/>
      <c r="V3272" s="428"/>
      <c r="W3272" s="429"/>
      <c r="X3272" s="430"/>
      <c r="Y3272" s="33" t="s">
        <v>8076</v>
      </c>
      <c r="Z3272" s="430"/>
      <c r="AA3272" s="430"/>
      <c r="AB3272" s="258">
        <v>17.0</v>
      </c>
      <c r="AC3272" s="430"/>
      <c r="AD3272" s="426"/>
      <c r="AE3272" s="428"/>
      <c r="AF3272" s="431"/>
      <c r="AG3272" s="432"/>
      <c r="AH3272" s="430"/>
      <c r="AI3272" s="430"/>
      <c r="AJ3272" s="430"/>
      <c r="AK3272" s="430"/>
      <c r="AL3272" s="430"/>
      <c r="AM3272" s="433"/>
      <c r="AN3272" s="430"/>
      <c r="AO3272" s="430"/>
      <c r="AP3272" s="430"/>
      <c r="AQ3272" s="430"/>
      <c r="AR3272" s="430"/>
      <c r="AS3272" s="430"/>
      <c r="AT3272" s="430"/>
      <c r="AU3272" s="426"/>
      <c r="AV3272" s="434"/>
      <c r="AW3272" s="269" t="s">
        <v>1710</v>
      </c>
      <c r="AX3272" s="269" t="s">
        <v>2869</v>
      </c>
      <c r="AY3272" s="270" t="s">
        <v>695</v>
      </c>
      <c r="AZ3272" s="435"/>
      <c r="BA3272" s="173">
        <v>10.0</v>
      </c>
      <c r="BB3272" s="434"/>
      <c r="BC3272" s="434"/>
      <c r="BD3272" s="308" t="s">
        <v>1844</v>
      </c>
      <c r="BE3272" s="436"/>
      <c r="BF3272" s="274" t="str">
        <f>IFERROR(__xludf.DUMMYFUNCTION("LOWER(Regexreplace(to_text(E3272),""[^A-Za-z0-9]"","""")&amp;""_""&amp;Regexreplace(to_text(F3272),""[^A-Za-z0-9]"",""""))"),"neptronic_evcbseries")</f>
        <v>neptronic_evcbseries</v>
      </c>
      <c r="BG3272" s="275" t="str">
        <f>IFERROR(__xludf.DUMMYFUNCTION("upper(Regexreplace(to_text(E3272),""[^A-Za-z0-9]"","""")&amp;""-""&amp;Regexreplace(to_text(F3272),""[^A-Za-z0-9]"",""""))"),"NEPTRONIC-EVCBSERIES")</f>
        <v>NEPTRONIC-EVCBSERIES</v>
      </c>
    </row>
    <row r="3273" ht="30.0" customHeight="1">
      <c r="A3273" s="425">
        <v>2690.0</v>
      </c>
      <c r="B3273" s="425" t="s">
        <v>670</v>
      </c>
      <c r="C3273" s="257" t="s">
        <v>10121</v>
      </c>
      <c r="D3273" s="173" t="s">
        <v>10122</v>
      </c>
      <c r="E3273" s="174" t="s">
        <v>9267</v>
      </c>
      <c r="F3273" s="173" t="s">
        <v>9268</v>
      </c>
      <c r="G3273" s="425" t="s">
        <v>673</v>
      </c>
      <c r="H3273" s="425" t="s">
        <v>2863</v>
      </c>
      <c r="I3273" s="258" t="s">
        <v>9445</v>
      </c>
      <c r="J3273" s="259" t="s">
        <v>1149</v>
      </c>
      <c r="K3273" s="260">
        <v>663.0</v>
      </c>
      <c r="L3273" s="442"/>
      <c r="M3273" s="426"/>
      <c r="N3273" s="173" t="s">
        <v>679</v>
      </c>
      <c r="O3273" s="173" t="s">
        <v>225</v>
      </c>
      <c r="P3273" s="262" t="str">
        <f t="shared" si="1"/>
        <v>IN-BLR-ANANTA-FAN-221_6</v>
      </c>
      <c r="Q3273" s="173" t="s">
        <v>10123</v>
      </c>
      <c r="R3273" s="433" t="str">
        <f>IFS(C3273="","",C3273="n/a","N/A",LEN(C3273),Concatenate("{",char(34),"asset",char(34),":{",char(34),"guid",char(34),":",char(34),Q3273,char(34),",",char(34),"site",char(34),":",char(34),LOWER('2-Building'!$B$4),char(34),",",char(34),"name",char(34),":",char(34),LOWER(C3273),char(34),"}}"))</f>
        <v>{"asset":{"guid":"uuid://22ea85fb-b3d9-411a-9c67-a67611d7a015","site":"in-blr-ananta","name":"fan-221"}}</v>
      </c>
      <c r="S3273" s="369" t="s">
        <v>2866</v>
      </c>
      <c r="T3273" s="427"/>
      <c r="U3273" s="427"/>
      <c r="V3273" s="428"/>
      <c r="W3273" s="429"/>
      <c r="X3273" s="430"/>
      <c r="Y3273" s="33" t="s">
        <v>8076</v>
      </c>
      <c r="Z3273" s="430"/>
      <c r="AA3273" s="430"/>
      <c r="AB3273" s="258">
        <v>18.0</v>
      </c>
      <c r="AC3273" s="430"/>
      <c r="AD3273" s="426"/>
      <c r="AE3273" s="428"/>
      <c r="AF3273" s="431"/>
      <c r="AG3273" s="432" t="str">
        <f>IFS(LEN(AF3273)=17,LOWER('2-Building'!$B$4 &amp; "-" &amp; C3273), AF3273="N/A", "N/A", LEN(AF3273)=0,"")</f>
        <v/>
      </c>
      <c r="AH3273" s="430"/>
      <c r="AI3273" s="430"/>
      <c r="AJ3273" s="430"/>
      <c r="AK3273" s="430"/>
      <c r="AL3273" s="430"/>
      <c r="AM3273" s="433"/>
      <c r="AN3273" s="430"/>
      <c r="AO3273" s="430"/>
      <c r="AP3273" s="430"/>
      <c r="AQ3273" s="430"/>
      <c r="AR3273" s="430"/>
      <c r="AS3273" s="430"/>
      <c r="AT3273" s="430"/>
      <c r="AU3273" s="426"/>
      <c r="AV3273" s="434"/>
      <c r="AW3273" s="269" t="s">
        <v>1710</v>
      </c>
      <c r="AX3273" s="269" t="s">
        <v>2869</v>
      </c>
      <c r="AY3273" s="270" t="s">
        <v>695</v>
      </c>
      <c r="AZ3273" s="435"/>
      <c r="BA3273" s="173">
        <v>10.0</v>
      </c>
      <c r="BB3273" s="434"/>
      <c r="BC3273" s="434"/>
      <c r="BD3273" s="308" t="s">
        <v>1844</v>
      </c>
      <c r="BE3273" s="436"/>
      <c r="BF3273" s="274" t="str">
        <f>IFERROR(__xludf.DUMMYFUNCTION("LOWER(Regexreplace(to_text(E3273),""[^A-Za-z0-9]"","""")&amp;""_""&amp;Regexreplace(to_text(F3273),""[^A-Za-z0-9]"",""""))"),"nicotra_ddmp")</f>
        <v>nicotra_ddmp</v>
      </c>
      <c r="BG3273" s="275" t="str">
        <f>IFERROR(__xludf.DUMMYFUNCTION("upper(Regexreplace(to_text(E3273),""[^A-Za-z0-9]"","""")&amp;""-""&amp;Regexreplace(to_text(F3273),""[^A-Za-z0-9]"",""""))"),"NICOTRA-DDMP")</f>
        <v>NICOTRA-DDMP</v>
      </c>
    </row>
    <row r="3274" ht="30.0" customHeight="1">
      <c r="A3274" s="328">
        <v>2690.0</v>
      </c>
      <c r="B3274" s="425" t="s">
        <v>670</v>
      </c>
      <c r="C3274" s="257" t="s">
        <v>10124</v>
      </c>
      <c r="D3274" s="173" t="s">
        <v>10125</v>
      </c>
      <c r="E3274" s="174" t="s">
        <v>9267</v>
      </c>
      <c r="F3274" s="173" t="s">
        <v>9268</v>
      </c>
      <c r="G3274" s="425" t="s">
        <v>673</v>
      </c>
      <c r="H3274" s="425" t="s">
        <v>2863</v>
      </c>
      <c r="I3274" s="258" t="s">
        <v>9445</v>
      </c>
      <c r="J3274" s="259" t="s">
        <v>1149</v>
      </c>
      <c r="K3274" s="260">
        <v>663.0</v>
      </c>
      <c r="L3274" s="442"/>
      <c r="M3274" s="426"/>
      <c r="N3274" s="173" t="s">
        <v>679</v>
      </c>
      <c r="O3274" s="173" t="s">
        <v>225</v>
      </c>
      <c r="P3274" s="262" t="str">
        <f t="shared" si="1"/>
        <v>IN-BLR-ANANTA-FAN-222_6</v>
      </c>
      <c r="Q3274" s="173" t="s">
        <v>10126</v>
      </c>
      <c r="R3274" s="425" t="str">
        <f>IFS(C3274="","",C3274="n/a","N/A",LEN(C3274),Concatenate("{",char(34),"asset",char(34),":{",char(34),"guid",char(34),":",char(34),Q3274,char(34),",",char(34),"site",char(34),":",char(34),LOWER('2-Building'!$B$4),char(34),",",char(34),"name",char(34),":",char(34),LOWER(C3274),char(34),"}}"))</f>
        <v>{"asset":{"guid":"uuid://a6634478-8a34-4b74-b2e6-1685c8724ceb","site":"in-blr-ananta","name":"fan-222"}}</v>
      </c>
      <c r="S3274" s="369" t="s">
        <v>2866</v>
      </c>
      <c r="T3274" s="427"/>
      <c r="U3274" s="427"/>
      <c r="V3274" s="428"/>
      <c r="W3274" s="429"/>
      <c r="X3274" s="430"/>
      <c r="Y3274" s="33" t="s">
        <v>8076</v>
      </c>
      <c r="Z3274" s="430"/>
      <c r="AA3274" s="430"/>
      <c r="AB3274" s="258">
        <v>19.0</v>
      </c>
      <c r="AC3274" s="430"/>
      <c r="AD3274" s="426"/>
      <c r="AE3274" s="428"/>
      <c r="AF3274" s="431"/>
      <c r="AG3274" s="432" t="str">
        <f>IFS(LEN(AF3274)=17,LOWER('2-Building'!$B$4 &amp; "-" &amp; C3274), AF3274="N/A", "N/A", LEN(AF3274)=0,"")</f>
        <v/>
      </c>
      <c r="AH3274" s="430"/>
      <c r="AI3274" s="430"/>
      <c r="AJ3274" s="430"/>
      <c r="AK3274" s="430"/>
      <c r="AL3274" s="430"/>
      <c r="AM3274" s="433"/>
      <c r="AN3274" s="430"/>
      <c r="AO3274" s="430"/>
      <c r="AP3274" s="430"/>
      <c r="AQ3274" s="430"/>
      <c r="AR3274" s="430"/>
      <c r="AS3274" s="430"/>
      <c r="AT3274" s="430"/>
      <c r="AU3274" s="426"/>
      <c r="AV3274" s="434"/>
      <c r="AW3274" s="269" t="s">
        <v>1710</v>
      </c>
      <c r="AX3274" s="269" t="s">
        <v>2869</v>
      </c>
      <c r="AY3274" s="270" t="s">
        <v>695</v>
      </c>
      <c r="AZ3274" s="435"/>
      <c r="BA3274" s="173">
        <v>10.0</v>
      </c>
      <c r="BB3274" s="434"/>
      <c r="BC3274" s="434"/>
      <c r="BD3274" s="308" t="s">
        <v>1844</v>
      </c>
      <c r="BE3274" s="436"/>
      <c r="BF3274" s="274" t="str">
        <f>IFERROR(__xludf.DUMMYFUNCTION("LOWER(Regexreplace(to_text(E3274),""[^A-Za-z0-9]"","""")&amp;""_""&amp;Regexreplace(to_text(F3274),""[^A-Za-z0-9]"",""""))"),"nicotra_ddmp")</f>
        <v>nicotra_ddmp</v>
      </c>
      <c r="BG3274" s="275" t="str">
        <f>IFERROR(__xludf.DUMMYFUNCTION("upper(Regexreplace(to_text(E3274),""[^A-Za-z0-9]"","""")&amp;""-""&amp;Regexreplace(to_text(F3274),""[^A-Za-z0-9]"",""""))"),"NICOTRA-DDMP")</f>
        <v>NICOTRA-DDMP</v>
      </c>
    </row>
    <row r="3275" ht="30.0" customHeight="1">
      <c r="A3275" s="173">
        <v>2689.0</v>
      </c>
      <c r="B3275" s="328" t="s">
        <v>670</v>
      </c>
      <c r="C3275" s="257" t="s">
        <v>10127</v>
      </c>
      <c r="D3275" s="173" t="s">
        <v>10128</v>
      </c>
      <c r="E3275" s="174" t="s">
        <v>9267</v>
      </c>
      <c r="F3275" s="173" t="s">
        <v>9268</v>
      </c>
      <c r="G3275" s="328" t="s">
        <v>673</v>
      </c>
      <c r="H3275" s="328" t="s">
        <v>2863</v>
      </c>
      <c r="I3275" s="258" t="s">
        <v>9445</v>
      </c>
      <c r="J3275" s="259" t="s">
        <v>1211</v>
      </c>
      <c r="K3275" s="260" t="s">
        <v>10129</v>
      </c>
      <c r="L3275" s="366"/>
      <c r="M3275" s="329"/>
      <c r="N3275" s="173" t="s">
        <v>679</v>
      </c>
      <c r="O3275" s="173" t="s">
        <v>225</v>
      </c>
      <c r="P3275" s="262" t="str">
        <f t="shared" si="1"/>
        <v>IN-BLR-ANANTA-FAN-223_7</v>
      </c>
      <c r="Q3275" s="173" t="s">
        <v>10130</v>
      </c>
      <c r="R3275" s="328" t="str">
        <f>IFS(C3275="","",C3275="n/a","N/A",LEN(C3275),Concatenate("{",char(34),"asset",char(34),":{",char(34),"guid",char(34),":",char(34),Q3275,char(34),",",char(34),"site",char(34),":",char(34),LOWER('2-Building'!$B$4),char(34),",",char(34),"name",char(34),":",char(34),LOWER(C3275),char(34),"}}"))</f>
        <v>{"asset":{"guid":"uuid://47c6eb69-4fa0-42cb-821b-5961cf275d57","site":"in-blr-ananta","name":"fan-223"}}</v>
      </c>
      <c r="S3275" s="369" t="s">
        <v>2866</v>
      </c>
      <c r="T3275" s="330"/>
      <c r="U3275" s="330"/>
      <c r="V3275" s="331"/>
      <c r="W3275" s="332"/>
      <c r="X3275" s="333"/>
      <c r="Y3275" s="33" t="s">
        <v>8076</v>
      </c>
      <c r="Z3275" s="368"/>
      <c r="AA3275" s="333"/>
      <c r="AB3275" s="258">
        <v>120.0</v>
      </c>
      <c r="AC3275" s="333"/>
      <c r="AD3275" s="329"/>
      <c r="AE3275" s="331"/>
      <c r="AF3275" s="336"/>
      <c r="AG3275" s="337" t="str">
        <f>IFS(LEN(AF3275)=17,LOWER('2-Building'!$B$4 &amp; "-" &amp; C3275), AF3275="N/A", "N/A", LEN(AF3275)=0,"")</f>
        <v/>
      </c>
      <c r="AH3275" s="333"/>
      <c r="AI3275" s="333"/>
      <c r="AJ3275" s="333"/>
      <c r="AK3275" s="333"/>
      <c r="AL3275" s="333"/>
      <c r="AM3275" s="338"/>
      <c r="AN3275" s="333"/>
      <c r="AO3275" s="333"/>
      <c r="AP3275" s="333"/>
      <c r="AQ3275" s="333"/>
      <c r="AR3275" s="333"/>
      <c r="AS3275" s="333"/>
      <c r="AT3275" s="333"/>
      <c r="AU3275" s="329"/>
      <c r="AV3275" s="341"/>
      <c r="AW3275" s="269" t="s">
        <v>1710</v>
      </c>
      <c r="AX3275" s="269" t="s">
        <v>2869</v>
      </c>
      <c r="AY3275" s="270" t="s">
        <v>695</v>
      </c>
      <c r="AZ3275" s="379"/>
      <c r="BA3275" s="173">
        <v>10.0</v>
      </c>
      <c r="BB3275" s="341"/>
      <c r="BC3275" s="341"/>
      <c r="BD3275" s="308" t="s">
        <v>1844</v>
      </c>
      <c r="BE3275" s="364"/>
      <c r="BF3275" s="274" t="str">
        <f>IFERROR(__xludf.DUMMYFUNCTION("LOWER(Regexreplace(to_text(E3275),""[^A-Za-z0-9]"","""")&amp;""_""&amp;Regexreplace(to_text(F3275),""[^A-Za-z0-9]"",""""))"),"nicotra_ddmp")</f>
        <v>nicotra_ddmp</v>
      </c>
      <c r="BG3275" s="275" t="str">
        <f>IFERROR(__xludf.DUMMYFUNCTION("upper(Regexreplace(to_text(E3275),""[^A-Za-z0-9]"","""")&amp;""-""&amp;Regexreplace(to_text(F3275),""[^A-Za-z0-9]"",""""))"),"NICOTRA-DDMP")</f>
        <v>NICOTRA-DDMP</v>
      </c>
    </row>
    <row r="3276" ht="30.0" customHeight="1">
      <c r="A3276" s="173">
        <v>2691.0</v>
      </c>
      <c r="B3276" s="328" t="s">
        <v>670</v>
      </c>
      <c r="C3276" s="257" t="s">
        <v>10131</v>
      </c>
      <c r="D3276" s="173" t="s">
        <v>10132</v>
      </c>
      <c r="E3276" s="174" t="s">
        <v>9267</v>
      </c>
      <c r="F3276" s="173" t="s">
        <v>9268</v>
      </c>
      <c r="G3276" s="328" t="s">
        <v>673</v>
      </c>
      <c r="H3276" s="328" t="s">
        <v>2863</v>
      </c>
      <c r="I3276" s="258" t="s">
        <v>9445</v>
      </c>
      <c r="J3276" s="259" t="s">
        <v>1211</v>
      </c>
      <c r="K3276" s="260" t="s">
        <v>10129</v>
      </c>
      <c r="L3276" s="366"/>
      <c r="M3276" s="329"/>
      <c r="N3276" s="173" t="s">
        <v>679</v>
      </c>
      <c r="O3276" s="173" t="s">
        <v>225</v>
      </c>
      <c r="P3276" s="262" t="str">
        <f t="shared" si="1"/>
        <v>IN-BLR-ANANTA-FAN-224_7</v>
      </c>
      <c r="Q3276" s="173" t="s">
        <v>10133</v>
      </c>
      <c r="R3276" s="328" t="str">
        <f>IFS(C3276="","",C3276="n/a","N/A",LEN(C3276),Concatenate("{",char(34),"asset",char(34),":{",char(34),"guid",char(34),":",char(34),Q3276,char(34),",",char(34),"site",char(34),":",char(34),LOWER('2-Building'!$B$4),char(34),",",char(34),"name",char(34),":",char(34),LOWER(C3276),char(34),"}}"))</f>
        <v>{"asset":{"guid":"uuid://74a8deed-b5f6-4e59-99c6-8613d01ca007","site":"in-blr-ananta","name":"fan-224"}}</v>
      </c>
      <c r="S3276" s="369" t="s">
        <v>2866</v>
      </c>
      <c r="T3276" s="330"/>
      <c r="U3276" s="330"/>
      <c r="V3276" s="331"/>
      <c r="W3276" s="332"/>
      <c r="X3276" s="333"/>
      <c r="Y3276" s="33" t="s">
        <v>8076</v>
      </c>
      <c r="Z3276" s="368"/>
      <c r="AA3276" s="333"/>
      <c r="AB3276" s="258">
        <v>121.0</v>
      </c>
      <c r="AC3276" s="333"/>
      <c r="AD3276" s="329"/>
      <c r="AE3276" s="331"/>
      <c r="AF3276" s="336"/>
      <c r="AG3276" s="337" t="str">
        <f>IFS(LEN(AF3276)=17,LOWER('2-Building'!$B$4 &amp; "-" &amp; C3276), AF3276="N/A", "N/A", LEN(AF3276)=0,"")</f>
        <v/>
      </c>
      <c r="AH3276" s="333"/>
      <c r="AI3276" s="333"/>
      <c r="AJ3276" s="333"/>
      <c r="AK3276" s="333"/>
      <c r="AL3276" s="333"/>
      <c r="AM3276" s="338"/>
      <c r="AN3276" s="333"/>
      <c r="AO3276" s="333"/>
      <c r="AP3276" s="333"/>
      <c r="AQ3276" s="333"/>
      <c r="AR3276" s="333"/>
      <c r="AS3276" s="333"/>
      <c r="AT3276" s="333"/>
      <c r="AU3276" s="329"/>
      <c r="AV3276" s="341"/>
      <c r="AW3276" s="269" t="s">
        <v>1710</v>
      </c>
      <c r="AX3276" s="269" t="s">
        <v>2869</v>
      </c>
      <c r="AY3276" s="270" t="s">
        <v>695</v>
      </c>
      <c r="AZ3276" s="379"/>
      <c r="BA3276" s="173">
        <v>10.0</v>
      </c>
      <c r="BB3276" s="341"/>
      <c r="BC3276" s="341"/>
      <c r="BD3276" s="308" t="s">
        <v>1844</v>
      </c>
      <c r="BE3276" s="364"/>
      <c r="BF3276" s="274" t="str">
        <f>IFERROR(__xludf.DUMMYFUNCTION("LOWER(Regexreplace(to_text(E3276),""[^A-Za-z0-9]"","""")&amp;""_""&amp;Regexreplace(to_text(F3276),""[^A-Za-z0-9]"",""""))"),"nicotra_ddmp")</f>
        <v>nicotra_ddmp</v>
      </c>
      <c r="BG3276" s="275" t="str">
        <f>IFERROR(__xludf.DUMMYFUNCTION("upper(Regexreplace(to_text(E3276),""[^A-Za-z0-9]"","""")&amp;""-""&amp;Regexreplace(to_text(F3276),""[^A-Za-z0-9]"",""""))"),"NICOTRA-DDMP")</f>
        <v>NICOTRA-DDMP</v>
      </c>
    </row>
    <row r="3277" ht="30.0" customHeight="1">
      <c r="A3277" s="258">
        <v>2690.0</v>
      </c>
      <c r="B3277" s="328" t="s">
        <v>670</v>
      </c>
      <c r="C3277" s="257" t="s">
        <v>10134</v>
      </c>
      <c r="D3277" s="173" t="s">
        <v>10135</v>
      </c>
      <c r="E3277" s="174" t="s">
        <v>9267</v>
      </c>
      <c r="F3277" s="173" t="s">
        <v>9268</v>
      </c>
      <c r="G3277" s="328" t="s">
        <v>673</v>
      </c>
      <c r="H3277" s="328" t="s">
        <v>2863</v>
      </c>
      <c r="I3277" s="258" t="s">
        <v>9445</v>
      </c>
      <c r="J3277" s="259" t="s">
        <v>1211</v>
      </c>
      <c r="K3277" s="260" t="s">
        <v>10129</v>
      </c>
      <c r="L3277" s="366"/>
      <c r="M3277" s="329"/>
      <c r="N3277" s="173" t="s">
        <v>679</v>
      </c>
      <c r="O3277" s="173" t="s">
        <v>225</v>
      </c>
      <c r="P3277" s="262" t="str">
        <f t="shared" si="1"/>
        <v>IN-BLR-ANANTA-FAN-225_7</v>
      </c>
      <c r="Q3277" s="173" t="s">
        <v>10136</v>
      </c>
      <c r="R3277" s="328" t="str">
        <f>IFS(C3277="","",C3277="n/a","N/A",LEN(C3277),Concatenate("{",char(34),"asset",char(34),":{",char(34),"guid",char(34),":",char(34),Q3277,char(34),",",char(34),"site",char(34),":",char(34),LOWER('2-Building'!$B$4),char(34),",",char(34),"name",char(34),":",char(34),LOWER(C3277),char(34),"}}"))</f>
        <v>{"asset":{"guid":"uuid://84f0efdc-b961-48ae-b894-111481324c8d","site":"in-blr-ananta","name":"fan-225"}}</v>
      </c>
      <c r="S3277" s="369" t="s">
        <v>2866</v>
      </c>
      <c r="T3277" s="330"/>
      <c r="U3277" s="330"/>
      <c r="V3277" s="331"/>
      <c r="W3277" s="332"/>
      <c r="X3277" s="333"/>
      <c r="Y3277" s="33" t="s">
        <v>8076</v>
      </c>
      <c r="Z3277" s="368"/>
      <c r="AA3277" s="333"/>
      <c r="AB3277" s="258">
        <v>122.0</v>
      </c>
      <c r="AC3277" s="333"/>
      <c r="AD3277" s="329"/>
      <c r="AE3277" s="331"/>
      <c r="AF3277" s="336"/>
      <c r="AG3277" s="337" t="str">
        <f>IFS(LEN(AF3277)=17,LOWER('2-Building'!$B$4 &amp; "-" &amp; C3277), AF3277="N/A", "N/A", LEN(AF3277)=0,"")</f>
        <v/>
      </c>
      <c r="AH3277" s="333"/>
      <c r="AI3277" s="333"/>
      <c r="AJ3277" s="333"/>
      <c r="AK3277" s="333"/>
      <c r="AL3277" s="333"/>
      <c r="AM3277" s="338"/>
      <c r="AN3277" s="333"/>
      <c r="AO3277" s="333"/>
      <c r="AP3277" s="333"/>
      <c r="AQ3277" s="333"/>
      <c r="AR3277" s="333"/>
      <c r="AS3277" s="333"/>
      <c r="AT3277" s="333"/>
      <c r="AU3277" s="329"/>
      <c r="AV3277" s="341"/>
      <c r="AW3277" s="269" t="s">
        <v>1710</v>
      </c>
      <c r="AX3277" s="269" t="s">
        <v>2869</v>
      </c>
      <c r="AY3277" s="270" t="s">
        <v>695</v>
      </c>
      <c r="AZ3277" s="379"/>
      <c r="BA3277" s="173">
        <v>10.0</v>
      </c>
      <c r="BB3277" s="341"/>
      <c r="BC3277" s="341"/>
      <c r="BD3277" s="308" t="s">
        <v>1844</v>
      </c>
      <c r="BE3277" s="364"/>
      <c r="BF3277" s="274" t="str">
        <f>IFERROR(__xludf.DUMMYFUNCTION("LOWER(Regexreplace(to_text(E3277),""[^A-Za-z0-9]"","""")&amp;""_""&amp;Regexreplace(to_text(F3277),""[^A-Za-z0-9]"",""""))"),"nicotra_ddmp")</f>
        <v>nicotra_ddmp</v>
      </c>
      <c r="BG3277" s="275" t="str">
        <f>IFERROR(__xludf.DUMMYFUNCTION("upper(Regexreplace(to_text(E3277),""[^A-Za-z0-9]"","""")&amp;""-""&amp;Regexreplace(to_text(F3277),""[^A-Za-z0-9]"",""""))"),"NICOTRA-DDMP")</f>
        <v>NICOTRA-DDMP</v>
      </c>
    </row>
    <row r="3278" ht="30.0" customHeight="1">
      <c r="A3278" s="173">
        <v>2691.0</v>
      </c>
      <c r="B3278" s="328" t="s">
        <v>670</v>
      </c>
      <c r="C3278" s="257" t="s">
        <v>10137</v>
      </c>
      <c r="D3278" s="173" t="s">
        <v>10138</v>
      </c>
      <c r="E3278" s="174" t="s">
        <v>9267</v>
      </c>
      <c r="F3278" s="173" t="s">
        <v>9268</v>
      </c>
      <c r="G3278" s="328" t="s">
        <v>673</v>
      </c>
      <c r="H3278" s="328" t="s">
        <v>2863</v>
      </c>
      <c r="I3278" s="258" t="s">
        <v>9445</v>
      </c>
      <c r="J3278" s="259" t="s">
        <v>1211</v>
      </c>
      <c r="K3278" s="260" t="s">
        <v>10129</v>
      </c>
      <c r="L3278" s="366"/>
      <c r="M3278" s="329"/>
      <c r="N3278" s="173" t="s">
        <v>679</v>
      </c>
      <c r="O3278" s="173" t="s">
        <v>225</v>
      </c>
      <c r="P3278" s="262" t="str">
        <f t="shared" si="1"/>
        <v>IN-BLR-ANANTA-FAN-226_7</v>
      </c>
      <c r="Q3278" s="173" t="s">
        <v>10139</v>
      </c>
      <c r="R3278" s="328" t="str">
        <f>IFS(C3278="","",C3278="n/a","N/A",LEN(C3278),Concatenate("{",char(34),"asset",char(34),":{",char(34),"guid",char(34),":",char(34),Q3278,char(34),",",char(34),"site",char(34),":",char(34),LOWER('2-Building'!$B$4),char(34),",",char(34),"name",char(34),":",char(34),LOWER(C3278),char(34),"}}"))</f>
        <v>{"asset":{"guid":"uuid://3cf30495-80f7-4815-a555-3e289f61e90e","site":"in-blr-ananta","name":"fan-226"}}</v>
      </c>
      <c r="S3278" s="369" t="s">
        <v>2866</v>
      </c>
      <c r="T3278" s="330"/>
      <c r="U3278" s="330"/>
      <c r="V3278" s="331"/>
      <c r="W3278" s="332"/>
      <c r="X3278" s="333"/>
      <c r="Y3278" s="33" t="s">
        <v>8076</v>
      </c>
      <c r="Z3278" s="368"/>
      <c r="AA3278" s="333"/>
      <c r="AB3278" s="258">
        <v>123.0</v>
      </c>
      <c r="AC3278" s="333"/>
      <c r="AD3278" s="329"/>
      <c r="AE3278" s="331"/>
      <c r="AF3278" s="336"/>
      <c r="AG3278" s="337" t="str">
        <f>IFS(LEN(AF3278)=17,LOWER('2-Building'!$B$4 &amp; "-" &amp; C3278), AF3278="N/A", "N/A", LEN(AF3278)=0,"")</f>
        <v/>
      </c>
      <c r="AH3278" s="333"/>
      <c r="AI3278" s="333"/>
      <c r="AJ3278" s="333"/>
      <c r="AK3278" s="333"/>
      <c r="AL3278" s="333"/>
      <c r="AM3278" s="338"/>
      <c r="AN3278" s="333"/>
      <c r="AO3278" s="333"/>
      <c r="AP3278" s="333"/>
      <c r="AQ3278" s="333"/>
      <c r="AR3278" s="333"/>
      <c r="AS3278" s="333"/>
      <c r="AT3278" s="333"/>
      <c r="AU3278" s="329"/>
      <c r="AV3278" s="341"/>
      <c r="AW3278" s="269" t="s">
        <v>1710</v>
      </c>
      <c r="AX3278" s="269" t="s">
        <v>2869</v>
      </c>
      <c r="AY3278" s="270" t="s">
        <v>695</v>
      </c>
      <c r="AZ3278" s="379"/>
      <c r="BA3278" s="173">
        <v>10.0</v>
      </c>
      <c r="BB3278" s="341"/>
      <c r="BC3278" s="341"/>
      <c r="BD3278" s="308" t="s">
        <v>1844</v>
      </c>
      <c r="BE3278" s="364"/>
      <c r="BF3278" s="274" t="str">
        <f>IFERROR(__xludf.DUMMYFUNCTION("LOWER(Regexreplace(to_text(E3278),""[^A-Za-z0-9]"","""")&amp;""_""&amp;Regexreplace(to_text(F3278),""[^A-Za-z0-9]"",""""))"),"nicotra_ddmp")</f>
        <v>nicotra_ddmp</v>
      </c>
      <c r="BG3278" s="275" t="str">
        <f>IFERROR(__xludf.DUMMYFUNCTION("upper(Regexreplace(to_text(E3278),""[^A-Za-z0-9]"","""")&amp;""-""&amp;Regexreplace(to_text(F3278),""[^A-Za-z0-9]"",""""))"),"NICOTRA-DDMP")</f>
        <v>NICOTRA-DDMP</v>
      </c>
    </row>
    <row r="3279" ht="30.0" customHeight="1">
      <c r="A3279" s="258">
        <v>2690.0</v>
      </c>
      <c r="B3279" s="328" t="s">
        <v>670</v>
      </c>
      <c r="C3279" s="257" t="s">
        <v>10140</v>
      </c>
      <c r="D3279" s="173" t="s">
        <v>10141</v>
      </c>
      <c r="E3279" s="174" t="s">
        <v>9267</v>
      </c>
      <c r="F3279" s="173" t="s">
        <v>9268</v>
      </c>
      <c r="G3279" s="328" t="s">
        <v>673</v>
      </c>
      <c r="H3279" s="328" t="s">
        <v>2863</v>
      </c>
      <c r="I3279" s="258" t="s">
        <v>9445</v>
      </c>
      <c r="J3279" s="259" t="s">
        <v>1211</v>
      </c>
      <c r="K3279" s="260" t="s">
        <v>10129</v>
      </c>
      <c r="L3279" s="366"/>
      <c r="M3279" s="329"/>
      <c r="N3279" s="173" t="s">
        <v>679</v>
      </c>
      <c r="O3279" s="173" t="s">
        <v>225</v>
      </c>
      <c r="P3279" s="262" t="str">
        <f t="shared" si="1"/>
        <v>IN-BLR-ANANTA-FAN-227_7</v>
      </c>
      <c r="Q3279" s="173" t="s">
        <v>10142</v>
      </c>
      <c r="R3279" s="328" t="str">
        <f>IFS(C3279="","",C3279="n/a","N/A",LEN(C3279),Concatenate("{",char(34),"asset",char(34),":{",char(34),"guid",char(34),":",char(34),Q3279,char(34),",",char(34),"site",char(34),":",char(34),LOWER('2-Building'!$B$4),char(34),",",char(34),"name",char(34),":",char(34),LOWER(C3279),char(34),"}}"))</f>
        <v>{"asset":{"guid":"uuid://25146faa-fa4c-436f-8dee-b292ee7ef2c2","site":"in-blr-ananta","name":"fan-227"}}</v>
      </c>
      <c r="S3279" s="369" t="s">
        <v>2866</v>
      </c>
      <c r="T3279" s="330"/>
      <c r="U3279" s="330"/>
      <c r="V3279" s="331"/>
      <c r="W3279" s="332"/>
      <c r="X3279" s="333"/>
      <c r="Y3279" s="33" t="s">
        <v>8076</v>
      </c>
      <c r="Z3279" s="368"/>
      <c r="AA3279" s="333"/>
      <c r="AB3279" s="258">
        <v>124.0</v>
      </c>
      <c r="AC3279" s="333"/>
      <c r="AD3279" s="329"/>
      <c r="AE3279" s="331"/>
      <c r="AF3279" s="336"/>
      <c r="AG3279" s="337" t="str">
        <f>IFS(LEN(AF3279)=17,LOWER('2-Building'!$B$4 &amp; "-" &amp; C3279), AF3279="N/A", "N/A", LEN(AF3279)=0,"")</f>
        <v/>
      </c>
      <c r="AH3279" s="333"/>
      <c r="AI3279" s="333"/>
      <c r="AJ3279" s="333"/>
      <c r="AK3279" s="333"/>
      <c r="AL3279" s="333"/>
      <c r="AM3279" s="338"/>
      <c r="AN3279" s="333"/>
      <c r="AO3279" s="333"/>
      <c r="AP3279" s="333"/>
      <c r="AQ3279" s="333"/>
      <c r="AR3279" s="333"/>
      <c r="AS3279" s="333"/>
      <c r="AT3279" s="333"/>
      <c r="AU3279" s="329"/>
      <c r="AV3279" s="341"/>
      <c r="AW3279" s="269" t="s">
        <v>1710</v>
      </c>
      <c r="AX3279" s="269" t="s">
        <v>2869</v>
      </c>
      <c r="AY3279" s="270" t="s">
        <v>695</v>
      </c>
      <c r="AZ3279" s="379"/>
      <c r="BA3279" s="173">
        <v>10.0</v>
      </c>
      <c r="BB3279" s="341"/>
      <c r="BC3279" s="341"/>
      <c r="BD3279" s="308" t="s">
        <v>1844</v>
      </c>
      <c r="BE3279" s="364"/>
      <c r="BF3279" s="274" t="str">
        <f>IFERROR(__xludf.DUMMYFUNCTION("LOWER(Regexreplace(to_text(E3279),""[^A-Za-z0-9]"","""")&amp;""_""&amp;Regexreplace(to_text(F3279),""[^A-Za-z0-9]"",""""))"),"nicotra_ddmp")</f>
        <v>nicotra_ddmp</v>
      </c>
      <c r="BG3279" s="275" t="str">
        <f>IFERROR(__xludf.DUMMYFUNCTION("upper(Regexreplace(to_text(E3279),""[^A-Za-z0-9]"","""")&amp;""-""&amp;Regexreplace(to_text(F3279),""[^A-Za-z0-9]"",""""))"),"NICOTRA-DDMP")</f>
        <v>NICOTRA-DDMP</v>
      </c>
    </row>
    <row r="3280" ht="30.0" customHeight="1">
      <c r="A3280" s="328">
        <v>2690.0</v>
      </c>
      <c r="B3280" s="425" t="s">
        <v>670</v>
      </c>
      <c r="C3280" s="257" t="s">
        <v>10143</v>
      </c>
      <c r="D3280" s="173" t="s">
        <v>10144</v>
      </c>
      <c r="E3280" s="174" t="s">
        <v>9289</v>
      </c>
      <c r="F3280" s="173" t="s">
        <v>9709</v>
      </c>
      <c r="G3280" s="425" t="s">
        <v>673</v>
      </c>
      <c r="H3280" s="425" t="s">
        <v>2863</v>
      </c>
      <c r="I3280" s="258" t="s">
        <v>9445</v>
      </c>
      <c r="J3280" s="259" t="s">
        <v>1211</v>
      </c>
      <c r="K3280" s="260" t="s">
        <v>10129</v>
      </c>
      <c r="L3280" s="442"/>
      <c r="M3280" s="426"/>
      <c r="N3280" s="173" t="s">
        <v>679</v>
      </c>
      <c r="O3280" s="173" t="s">
        <v>225</v>
      </c>
      <c r="P3280" s="262" t="str">
        <f t="shared" si="1"/>
        <v>IN-BLR-ANANTA-FAN-228_7</v>
      </c>
      <c r="Q3280" s="173" t="s">
        <v>10145</v>
      </c>
      <c r="R3280" s="328" t="str">
        <f>IFS(C3280="","",C3280="n/a","N/A",LEN(C3280),Concatenate("{",char(34),"asset",char(34),":{",char(34),"guid",char(34),":",char(34),Q3280,char(34),",",char(34),"site",char(34),":",char(34),LOWER('2-Building'!$B$4),char(34),",",char(34),"name",char(34),":",char(34),LOWER(C3280),char(34),"}}"))</f>
        <v>{"asset":{"guid":"uuid://f78ecfd8-2e69-4b5e-8712-9a3ac77effb5","site":"in-blr-ananta","name":"fan-228"}}</v>
      </c>
      <c r="S3280" s="369" t="s">
        <v>2866</v>
      </c>
      <c r="T3280" s="427"/>
      <c r="U3280" s="427"/>
      <c r="V3280" s="428"/>
      <c r="W3280" s="429"/>
      <c r="X3280" s="430"/>
      <c r="Y3280" s="33" t="s">
        <v>8076</v>
      </c>
      <c r="Z3280" s="430"/>
      <c r="AA3280" s="430"/>
      <c r="AB3280" s="258">
        <v>125.0</v>
      </c>
      <c r="AC3280" s="430"/>
      <c r="AD3280" s="426"/>
      <c r="AE3280" s="428"/>
      <c r="AF3280" s="431"/>
      <c r="AG3280" s="432"/>
      <c r="AH3280" s="430"/>
      <c r="AI3280" s="430"/>
      <c r="AJ3280" s="430"/>
      <c r="AK3280" s="430"/>
      <c r="AL3280" s="430"/>
      <c r="AM3280" s="433"/>
      <c r="AN3280" s="430"/>
      <c r="AO3280" s="430"/>
      <c r="AP3280" s="430"/>
      <c r="AQ3280" s="430"/>
      <c r="AR3280" s="430"/>
      <c r="AS3280" s="430"/>
      <c r="AT3280" s="430"/>
      <c r="AU3280" s="426"/>
      <c r="AV3280" s="434"/>
      <c r="AW3280" s="269" t="s">
        <v>1710</v>
      </c>
      <c r="AX3280" s="269" t="s">
        <v>2869</v>
      </c>
      <c r="AY3280" s="270" t="s">
        <v>695</v>
      </c>
      <c r="AZ3280" s="435"/>
      <c r="BA3280" s="173">
        <v>10.0</v>
      </c>
      <c r="BB3280" s="434"/>
      <c r="BC3280" s="434"/>
      <c r="BD3280" s="308" t="s">
        <v>1844</v>
      </c>
      <c r="BE3280" s="436"/>
      <c r="BF3280" s="274" t="str">
        <f>IFERROR(__xludf.DUMMYFUNCTION("LOWER(Regexreplace(to_text(E3280),""[^A-Za-z0-9]"","""")&amp;""_""&amp;Regexreplace(to_text(F3280),""[^A-Za-z0-9]"",""""))"),"daikin_fxzq32bvm6")</f>
        <v>daikin_fxzq32bvm6</v>
      </c>
      <c r="BG3280" s="275" t="str">
        <f>IFERROR(__xludf.DUMMYFUNCTION("upper(Regexreplace(to_text(E3280),""[^A-Za-z0-9]"","""")&amp;""-""&amp;Regexreplace(to_text(F3280),""[^A-Za-z0-9]"",""""))"),"DAIKIN-FXZQ32BVM6")</f>
        <v>DAIKIN-FXZQ32BVM6</v>
      </c>
    </row>
    <row r="3281" ht="30.0" customHeight="1">
      <c r="A3281" s="425">
        <v>2690.0</v>
      </c>
      <c r="B3281" s="425" t="s">
        <v>670</v>
      </c>
      <c r="C3281" s="257" t="s">
        <v>10146</v>
      </c>
      <c r="D3281" s="173" t="s">
        <v>10147</v>
      </c>
      <c r="E3281" s="174" t="s">
        <v>9289</v>
      </c>
      <c r="F3281" s="173" t="s">
        <v>9709</v>
      </c>
      <c r="G3281" s="425" t="s">
        <v>673</v>
      </c>
      <c r="H3281" s="425" t="s">
        <v>2863</v>
      </c>
      <c r="I3281" s="258" t="s">
        <v>9445</v>
      </c>
      <c r="J3281" s="259" t="s">
        <v>1026</v>
      </c>
      <c r="K3281" s="260" t="s">
        <v>1696</v>
      </c>
      <c r="L3281" s="442"/>
      <c r="M3281" s="426"/>
      <c r="N3281" s="173" t="s">
        <v>679</v>
      </c>
      <c r="O3281" s="173" t="s">
        <v>225</v>
      </c>
      <c r="P3281" s="262" t="str">
        <f t="shared" si="1"/>
        <v>IN-BLR-ANANTA-FAN-229_4</v>
      </c>
      <c r="Q3281" s="173" t="s">
        <v>10148</v>
      </c>
      <c r="R3281" s="433" t="str">
        <f>IFS(C3281="","",C3281="n/a","N/A",LEN(C3281),Concatenate("{",char(34),"asset",char(34),":{",char(34),"guid",char(34),":",char(34),Q3281,char(34),",",char(34),"site",char(34),":",char(34),LOWER('2-Building'!$B$4),char(34),",",char(34),"name",char(34),":",char(34),LOWER(C3281),char(34),"}}"))</f>
        <v>{"asset":{"guid":"uuid://5947a102-c127-4ddf-b27e-4e1501615da6","site":"in-blr-ananta","name":"fan-229"}}</v>
      </c>
      <c r="S3281" s="369" t="s">
        <v>2866</v>
      </c>
      <c r="T3281" s="427"/>
      <c r="U3281" s="427"/>
      <c r="V3281" s="428"/>
      <c r="W3281" s="429"/>
      <c r="X3281" s="430"/>
      <c r="Y3281" s="33" t="s">
        <v>8076</v>
      </c>
      <c r="Z3281" s="430"/>
      <c r="AA3281" s="430"/>
      <c r="AB3281" s="258">
        <v>11.0</v>
      </c>
      <c r="AC3281" s="430"/>
      <c r="AD3281" s="426"/>
      <c r="AE3281" s="428"/>
      <c r="AF3281" s="431"/>
      <c r="AG3281" s="432" t="str">
        <f>IFS(LEN(AF3281)=17,LOWER('2-Building'!$B$4 &amp; "-" &amp; C3281), AF3281="N/A", "N/A", LEN(AF3281)=0,"")</f>
        <v/>
      </c>
      <c r="AH3281" s="430"/>
      <c r="AI3281" s="430"/>
      <c r="AJ3281" s="430"/>
      <c r="AK3281" s="430"/>
      <c r="AL3281" s="430"/>
      <c r="AM3281" s="433"/>
      <c r="AN3281" s="430"/>
      <c r="AO3281" s="430"/>
      <c r="AP3281" s="430"/>
      <c r="AQ3281" s="430"/>
      <c r="AR3281" s="430"/>
      <c r="AS3281" s="430"/>
      <c r="AT3281" s="430"/>
      <c r="AU3281" s="426"/>
      <c r="AV3281" s="434"/>
      <c r="AW3281" s="269" t="s">
        <v>1714</v>
      </c>
      <c r="AX3281" s="269" t="s">
        <v>2869</v>
      </c>
      <c r="AY3281" s="270" t="s">
        <v>695</v>
      </c>
      <c r="AZ3281" s="435"/>
      <c r="BA3281" s="173">
        <v>10.0</v>
      </c>
      <c r="BB3281" s="434"/>
      <c r="BC3281" s="434"/>
      <c r="BD3281" s="308" t="s">
        <v>1844</v>
      </c>
      <c r="BE3281" s="436"/>
      <c r="BF3281" s="274" t="str">
        <f>IFERROR(__xludf.DUMMYFUNCTION("LOWER(Regexreplace(to_text(E3281),""[^A-Za-z0-9]"","""")&amp;""_""&amp;Regexreplace(to_text(F3281),""[^A-Za-z0-9]"",""""))"),"daikin_fxzq32bvm6")</f>
        <v>daikin_fxzq32bvm6</v>
      </c>
      <c r="BG3281" s="275" t="str">
        <f>IFERROR(__xludf.DUMMYFUNCTION("upper(Regexreplace(to_text(E3281),""[^A-Za-z0-9]"","""")&amp;""-""&amp;Regexreplace(to_text(F3281),""[^A-Za-z0-9]"",""""))"),"DAIKIN-FXZQ32BVM6")</f>
        <v>DAIKIN-FXZQ32BVM6</v>
      </c>
    </row>
    <row r="3282" ht="30.0" customHeight="1">
      <c r="A3282" s="328">
        <v>2690.0</v>
      </c>
      <c r="B3282" s="425" t="s">
        <v>670</v>
      </c>
      <c r="C3282" s="257" t="s">
        <v>10149</v>
      </c>
      <c r="D3282" s="173" t="s">
        <v>10150</v>
      </c>
      <c r="E3282" s="174" t="s">
        <v>9289</v>
      </c>
      <c r="F3282" s="173" t="s">
        <v>9709</v>
      </c>
      <c r="G3282" s="425" t="s">
        <v>673</v>
      </c>
      <c r="H3282" s="425" t="s">
        <v>2863</v>
      </c>
      <c r="I3282" s="258" t="s">
        <v>9445</v>
      </c>
      <c r="J3282" s="259" t="s">
        <v>1026</v>
      </c>
      <c r="K3282" s="260" t="s">
        <v>1696</v>
      </c>
      <c r="L3282" s="442"/>
      <c r="M3282" s="426"/>
      <c r="N3282" s="173" t="s">
        <v>679</v>
      </c>
      <c r="O3282" s="173" t="s">
        <v>225</v>
      </c>
      <c r="P3282" s="262" t="str">
        <f t="shared" si="1"/>
        <v>IN-BLR-ANANTA-FAN-230_4</v>
      </c>
      <c r="Q3282" s="173" t="s">
        <v>10151</v>
      </c>
      <c r="R3282" s="425" t="str">
        <f>IFS(C3282="","",C3282="n/a","N/A",LEN(C3282),Concatenate("{",char(34),"asset",char(34),":{",char(34),"guid",char(34),":",char(34),Q3282,char(34),",",char(34),"site",char(34),":",char(34),LOWER('2-Building'!$B$4),char(34),",",char(34),"name",char(34),":",char(34),LOWER(C3282),char(34),"}}"))</f>
        <v>{"asset":{"guid":"uuid://92bb9399-a5ff-4d56-a42f-965b0d202032","site":"in-blr-ananta","name":"fan-230"}}</v>
      </c>
      <c r="S3282" s="369" t="s">
        <v>2866</v>
      </c>
      <c r="T3282" s="427"/>
      <c r="U3282" s="427"/>
      <c r="V3282" s="428"/>
      <c r="W3282" s="429"/>
      <c r="X3282" s="430"/>
      <c r="Y3282" s="33" t="s">
        <v>8076</v>
      </c>
      <c r="Z3282" s="430"/>
      <c r="AA3282" s="430"/>
      <c r="AB3282" s="258">
        <v>12.0</v>
      </c>
      <c r="AC3282" s="430"/>
      <c r="AD3282" s="426"/>
      <c r="AE3282" s="428"/>
      <c r="AF3282" s="431"/>
      <c r="AG3282" s="432" t="str">
        <f>IFS(LEN(AF3282)=17,LOWER('2-Building'!$B$4 &amp; "-" &amp; C3282), AF3282="N/A", "N/A", LEN(AF3282)=0,"")</f>
        <v/>
      </c>
      <c r="AH3282" s="430"/>
      <c r="AI3282" s="430"/>
      <c r="AJ3282" s="430"/>
      <c r="AK3282" s="430"/>
      <c r="AL3282" s="430"/>
      <c r="AM3282" s="433"/>
      <c r="AN3282" s="430"/>
      <c r="AO3282" s="430"/>
      <c r="AP3282" s="430"/>
      <c r="AQ3282" s="430"/>
      <c r="AR3282" s="430"/>
      <c r="AS3282" s="430"/>
      <c r="AT3282" s="430"/>
      <c r="AU3282" s="426"/>
      <c r="AV3282" s="434"/>
      <c r="AW3282" s="269" t="s">
        <v>1714</v>
      </c>
      <c r="AX3282" s="269" t="s">
        <v>2869</v>
      </c>
      <c r="AY3282" s="270" t="s">
        <v>695</v>
      </c>
      <c r="AZ3282" s="435"/>
      <c r="BA3282" s="173">
        <v>10.0</v>
      </c>
      <c r="BB3282" s="434"/>
      <c r="BC3282" s="434"/>
      <c r="BD3282" s="308" t="s">
        <v>1844</v>
      </c>
      <c r="BE3282" s="436"/>
      <c r="BF3282" s="274" t="str">
        <f>IFERROR(__xludf.DUMMYFUNCTION("LOWER(Regexreplace(to_text(E3282),""[^A-Za-z0-9]"","""")&amp;""_""&amp;Regexreplace(to_text(F3282),""[^A-Za-z0-9]"",""""))"),"daikin_fxzq32bvm6")</f>
        <v>daikin_fxzq32bvm6</v>
      </c>
      <c r="BG3282" s="275" t="str">
        <f>IFERROR(__xludf.DUMMYFUNCTION("upper(Regexreplace(to_text(E3282),""[^A-Za-z0-9]"","""")&amp;""-""&amp;Regexreplace(to_text(F3282),""[^A-Za-z0-9]"",""""))"),"DAIKIN-FXZQ32BVM6")</f>
        <v>DAIKIN-FXZQ32BVM6</v>
      </c>
    </row>
    <row r="3283" ht="30.0" customHeight="1">
      <c r="A3283" s="173">
        <v>2689.0</v>
      </c>
      <c r="B3283" s="328" t="s">
        <v>670</v>
      </c>
      <c r="C3283" s="257" t="s">
        <v>10152</v>
      </c>
      <c r="D3283" s="173" t="s">
        <v>10153</v>
      </c>
      <c r="E3283" s="174" t="s">
        <v>9289</v>
      </c>
      <c r="F3283" s="173" t="s">
        <v>9709</v>
      </c>
      <c r="G3283" s="328" t="s">
        <v>673</v>
      </c>
      <c r="H3283" s="328" t="s">
        <v>2863</v>
      </c>
      <c r="I3283" s="258" t="s">
        <v>9445</v>
      </c>
      <c r="J3283" s="259" t="s">
        <v>1026</v>
      </c>
      <c r="K3283" s="260" t="s">
        <v>1696</v>
      </c>
      <c r="L3283" s="366"/>
      <c r="M3283" s="329"/>
      <c r="N3283" s="173" t="s">
        <v>679</v>
      </c>
      <c r="O3283" s="173" t="s">
        <v>225</v>
      </c>
      <c r="P3283" s="262" t="str">
        <f t="shared" si="1"/>
        <v>IN-BLR-ANANTA-FAN-231_4</v>
      </c>
      <c r="Q3283" s="173" t="s">
        <v>10154</v>
      </c>
      <c r="R3283" s="328" t="str">
        <f>IFS(C3283="","",C3283="n/a","N/A",LEN(C3283),Concatenate("{",char(34),"asset",char(34),":{",char(34),"guid",char(34),":",char(34),Q3283,char(34),",",char(34),"site",char(34),":",char(34),LOWER('2-Building'!$B$4),char(34),",",char(34),"name",char(34),":",char(34),LOWER(C3283),char(34),"}}"))</f>
        <v>{"asset":{"guid":"uuid://cf2f83f3-9cad-4b6d-85c7-cddf510315e1","site":"in-blr-ananta","name":"fan-231"}}</v>
      </c>
      <c r="S3283" s="369" t="s">
        <v>2866</v>
      </c>
      <c r="T3283" s="330"/>
      <c r="U3283" s="330"/>
      <c r="V3283" s="331"/>
      <c r="W3283" s="332"/>
      <c r="X3283" s="333"/>
      <c r="Y3283" s="33" t="s">
        <v>8076</v>
      </c>
      <c r="Z3283" s="368"/>
      <c r="AA3283" s="333"/>
      <c r="AB3283" s="258">
        <v>13.0</v>
      </c>
      <c r="AC3283" s="333"/>
      <c r="AD3283" s="329"/>
      <c r="AE3283" s="331"/>
      <c r="AF3283" s="336"/>
      <c r="AG3283" s="337" t="str">
        <f>IFS(LEN(AF3283)=17,LOWER('2-Building'!$B$4 &amp; "-" &amp; C3283), AF3283="N/A", "N/A", LEN(AF3283)=0,"")</f>
        <v/>
      </c>
      <c r="AH3283" s="333"/>
      <c r="AI3283" s="333"/>
      <c r="AJ3283" s="333"/>
      <c r="AK3283" s="333"/>
      <c r="AL3283" s="333"/>
      <c r="AM3283" s="338"/>
      <c r="AN3283" s="333"/>
      <c r="AO3283" s="333"/>
      <c r="AP3283" s="333"/>
      <c r="AQ3283" s="333"/>
      <c r="AR3283" s="333"/>
      <c r="AS3283" s="333"/>
      <c r="AT3283" s="333"/>
      <c r="AU3283" s="329"/>
      <c r="AV3283" s="341"/>
      <c r="AW3283" s="269" t="s">
        <v>1714</v>
      </c>
      <c r="AX3283" s="269" t="s">
        <v>2869</v>
      </c>
      <c r="AY3283" s="270" t="s">
        <v>695</v>
      </c>
      <c r="AZ3283" s="379"/>
      <c r="BA3283" s="173">
        <v>10.0</v>
      </c>
      <c r="BB3283" s="341"/>
      <c r="BC3283" s="341"/>
      <c r="BD3283" s="308" t="s">
        <v>1844</v>
      </c>
      <c r="BE3283" s="364"/>
      <c r="BF3283" s="274" t="str">
        <f>IFERROR(__xludf.DUMMYFUNCTION("LOWER(Regexreplace(to_text(E3283),""[^A-Za-z0-9]"","""")&amp;""_""&amp;Regexreplace(to_text(F3283),""[^A-Za-z0-9]"",""""))"),"daikin_fxzq32bvm6")</f>
        <v>daikin_fxzq32bvm6</v>
      </c>
      <c r="BG3283" s="275" t="str">
        <f>IFERROR(__xludf.DUMMYFUNCTION("upper(Regexreplace(to_text(E3283),""[^A-Za-z0-9]"","""")&amp;""-""&amp;Regexreplace(to_text(F3283),""[^A-Za-z0-9]"",""""))"),"DAIKIN-FXZQ32BVM6")</f>
        <v>DAIKIN-FXZQ32BVM6</v>
      </c>
    </row>
    <row r="3284" ht="30.0" customHeight="1">
      <c r="A3284" s="173">
        <v>2691.0</v>
      </c>
      <c r="B3284" s="328" t="s">
        <v>670</v>
      </c>
      <c r="C3284" s="257" t="s">
        <v>10155</v>
      </c>
      <c r="D3284" s="173" t="s">
        <v>10156</v>
      </c>
      <c r="E3284" s="174" t="s">
        <v>9289</v>
      </c>
      <c r="F3284" s="173" t="s">
        <v>9709</v>
      </c>
      <c r="G3284" s="328" t="s">
        <v>673</v>
      </c>
      <c r="H3284" s="328" t="s">
        <v>2863</v>
      </c>
      <c r="I3284" s="258" t="s">
        <v>9445</v>
      </c>
      <c r="J3284" s="259" t="s">
        <v>1026</v>
      </c>
      <c r="K3284" s="260" t="s">
        <v>1696</v>
      </c>
      <c r="L3284" s="366"/>
      <c r="M3284" s="329"/>
      <c r="N3284" s="173" t="s">
        <v>679</v>
      </c>
      <c r="O3284" s="173" t="s">
        <v>225</v>
      </c>
      <c r="P3284" s="262" t="str">
        <f t="shared" si="1"/>
        <v>IN-BLR-ANANTA-FAN-232_4</v>
      </c>
      <c r="Q3284" s="173" t="s">
        <v>10157</v>
      </c>
      <c r="R3284" s="328" t="str">
        <f>IFS(C3284="","",C3284="n/a","N/A",LEN(C3284),Concatenate("{",char(34),"asset",char(34),":{",char(34),"guid",char(34),":",char(34),Q3284,char(34),",",char(34),"site",char(34),":",char(34),LOWER('2-Building'!$B$4),char(34),",",char(34),"name",char(34),":",char(34),LOWER(C3284),char(34),"}}"))</f>
        <v>{"asset":{"guid":"uuid://c21de8ab-e881-4b77-b778-ff3b880431a0","site":"in-blr-ananta","name":"fan-232"}}</v>
      </c>
      <c r="S3284" s="369" t="s">
        <v>2866</v>
      </c>
      <c r="T3284" s="330"/>
      <c r="U3284" s="330"/>
      <c r="V3284" s="331"/>
      <c r="W3284" s="332"/>
      <c r="X3284" s="333"/>
      <c r="Y3284" s="33" t="s">
        <v>8076</v>
      </c>
      <c r="Z3284" s="368"/>
      <c r="AA3284" s="333"/>
      <c r="AB3284" s="258">
        <v>14.0</v>
      </c>
      <c r="AC3284" s="333"/>
      <c r="AD3284" s="329"/>
      <c r="AE3284" s="331"/>
      <c r="AF3284" s="336"/>
      <c r="AG3284" s="337" t="str">
        <f>IFS(LEN(AF3284)=17,LOWER('2-Building'!$B$4 &amp; "-" &amp; C3284), AF3284="N/A", "N/A", LEN(AF3284)=0,"")</f>
        <v/>
      </c>
      <c r="AH3284" s="333"/>
      <c r="AI3284" s="333"/>
      <c r="AJ3284" s="333"/>
      <c r="AK3284" s="333"/>
      <c r="AL3284" s="333"/>
      <c r="AM3284" s="338"/>
      <c r="AN3284" s="333"/>
      <c r="AO3284" s="333"/>
      <c r="AP3284" s="333"/>
      <c r="AQ3284" s="333"/>
      <c r="AR3284" s="333"/>
      <c r="AS3284" s="333"/>
      <c r="AT3284" s="333"/>
      <c r="AU3284" s="329"/>
      <c r="AV3284" s="341"/>
      <c r="AW3284" s="269" t="s">
        <v>1714</v>
      </c>
      <c r="AX3284" s="269" t="s">
        <v>2869</v>
      </c>
      <c r="AY3284" s="270" t="s">
        <v>695</v>
      </c>
      <c r="AZ3284" s="379"/>
      <c r="BA3284" s="173">
        <v>10.0</v>
      </c>
      <c r="BB3284" s="341"/>
      <c r="BC3284" s="341"/>
      <c r="BD3284" s="308" t="s">
        <v>1844</v>
      </c>
      <c r="BE3284" s="364"/>
      <c r="BF3284" s="274" t="str">
        <f>IFERROR(__xludf.DUMMYFUNCTION("LOWER(Regexreplace(to_text(E3284),""[^A-Za-z0-9]"","""")&amp;""_""&amp;Regexreplace(to_text(F3284),""[^A-Za-z0-9]"",""""))"),"daikin_fxzq32bvm6")</f>
        <v>daikin_fxzq32bvm6</v>
      </c>
      <c r="BG3284" s="275" t="str">
        <f>IFERROR(__xludf.DUMMYFUNCTION("upper(Regexreplace(to_text(E3284),""[^A-Za-z0-9]"","""")&amp;""-""&amp;Regexreplace(to_text(F3284),""[^A-Za-z0-9]"",""""))"),"DAIKIN-FXZQ32BVM6")</f>
        <v>DAIKIN-FXZQ32BVM6</v>
      </c>
    </row>
    <row r="3285" ht="30.0" customHeight="1">
      <c r="A3285" s="258">
        <v>2690.0</v>
      </c>
      <c r="B3285" s="328" t="s">
        <v>670</v>
      </c>
      <c r="C3285" s="257" t="s">
        <v>10158</v>
      </c>
      <c r="D3285" s="173" t="s">
        <v>10159</v>
      </c>
      <c r="E3285" s="174" t="s">
        <v>9289</v>
      </c>
      <c r="F3285" s="173" t="s">
        <v>9709</v>
      </c>
      <c r="G3285" s="328" t="s">
        <v>673</v>
      </c>
      <c r="H3285" s="328" t="s">
        <v>2863</v>
      </c>
      <c r="I3285" s="258" t="s">
        <v>9445</v>
      </c>
      <c r="J3285" s="259" t="s">
        <v>1026</v>
      </c>
      <c r="K3285" s="260" t="s">
        <v>1696</v>
      </c>
      <c r="L3285" s="366"/>
      <c r="M3285" s="329"/>
      <c r="N3285" s="173" t="s">
        <v>679</v>
      </c>
      <c r="O3285" s="173" t="s">
        <v>225</v>
      </c>
      <c r="P3285" s="262" t="str">
        <f t="shared" si="1"/>
        <v>IN-BLR-ANANTA-FAN-233_4</v>
      </c>
      <c r="Q3285" s="173" t="s">
        <v>10160</v>
      </c>
      <c r="R3285" s="328" t="str">
        <f>IFS(C3285="","",C3285="n/a","N/A",LEN(C3285),Concatenate("{",char(34),"asset",char(34),":{",char(34),"guid",char(34),":",char(34),Q3285,char(34),",",char(34),"site",char(34),":",char(34),LOWER('2-Building'!$B$4),char(34),",",char(34),"name",char(34),":",char(34),LOWER(C3285),char(34),"}}"))</f>
        <v>{"asset":{"guid":"uuid://1064a0de-1d07-48c6-ae19-1a77ea3d9d40","site":"in-blr-ananta","name":"fan-233"}}</v>
      </c>
      <c r="S3285" s="369" t="s">
        <v>2866</v>
      </c>
      <c r="T3285" s="330"/>
      <c r="U3285" s="330"/>
      <c r="V3285" s="331"/>
      <c r="W3285" s="332"/>
      <c r="X3285" s="333"/>
      <c r="Y3285" s="33" t="s">
        <v>8076</v>
      </c>
      <c r="Z3285" s="368"/>
      <c r="AA3285" s="333"/>
      <c r="AB3285" s="258">
        <v>15.0</v>
      </c>
      <c r="AC3285" s="333"/>
      <c r="AD3285" s="329"/>
      <c r="AE3285" s="331"/>
      <c r="AF3285" s="336"/>
      <c r="AG3285" s="337" t="str">
        <f>IFS(LEN(AF3285)=17,LOWER('2-Building'!$B$4 &amp; "-" &amp; C3285), AF3285="N/A", "N/A", LEN(AF3285)=0,"")</f>
        <v/>
      </c>
      <c r="AH3285" s="333"/>
      <c r="AI3285" s="333"/>
      <c r="AJ3285" s="333"/>
      <c r="AK3285" s="333"/>
      <c r="AL3285" s="333"/>
      <c r="AM3285" s="338"/>
      <c r="AN3285" s="333"/>
      <c r="AO3285" s="333"/>
      <c r="AP3285" s="333"/>
      <c r="AQ3285" s="333"/>
      <c r="AR3285" s="333"/>
      <c r="AS3285" s="333"/>
      <c r="AT3285" s="333"/>
      <c r="AU3285" s="329"/>
      <c r="AV3285" s="341"/>
      <c r="AW3285" s="269" t="s">
        <v>1714</v>
      </c>
      <c r="AX3285" s="269" t="s">
        <v>2869</v>
      </c>
      <c r="AY3285" s="270" t="s">
        <v>695</v>
      </c>
      <c r="AZ3285" s="379"/>
      <c r="BA3285" s="173">
        <v>10.0</v>
      </c>
      <c r="BB3285" s="341"/>
      <c r="BC3285" s="341"/>
      <c r="BD3285" s="308" t="s">
        <v>1844</v>
      </c>
      <c r="BE3285" s="364"/>
      <c r="BF3285" s="274" t="str">
        <f>IFERROR(__xludf.DUMMYFUNCTION("LOWER(Regexreplace(to_text(E3285),""[^A-Za-z0-9]"","""")&amp;""_""&amp;Regexreplace(to_text(F3285),""[^A-Za-z0-9]"",""""))"),"daikin_fxzq32bvm6")</f>
        <v>daikin_fxzq32bvm6</v>
      </c>
      <c r="BG3285" s="275" t="str">
        <f>IFERROR(__xludf.DUMMYFUNCTION("upper(Regexreplace(to_text(E3285),""[^A-Za-z0-9]"","""")&amp;""-""&amp;Regexreplace(to_text(F3285),""[^A-Za-z0-9]"",""""))"),"DAIKIN-FXZQ32BVM6")</f>
        <v>DAIKIN-FXZQ32BVM6</v>
      </c>
    </row>
    <row r="3286" ht="30.0" customHeight="1">
      <c r="A3286" s="173">
        <v>2691.0</v>
      </c>
      <c r="B3286" s="328" t="s">
        <v>670</v>
      </c>
      <c r="C3286" s="257" t="s">
        <v>10161</v>
      </c>
      <c r="D3286" s="173" t="s">
        <v>10162</v>
      </c>
      <c r="E3286" s="174" t="s">
        <v>9289</v>
      </c>
      <c r="F3286" s="173" t="s">
        <v>9709</v>
      </c>
      <c r="G3286" s="328" t="s">
        <v>673</v>
      </c>
      <c r="H3286" s="328" t="s">
        <v>2863</v>
      </c>
      <c r="I3286" s="258" t="s">
        <v>9445</v>
      </c>
      <c r="J3286" s="259" t="s">
        <v>1026</v>
      </c>
      <c r="K3286" s="260" t="s">
        <v>1696</v>
      </c>
      <c r="L3286" s="366"/>
      <c r="M3286" s="329"/>
      <c r="N3286" s="173" t="s">
        <v>679</v>
      </c>
      <c r="O3286" s="173" t="s">
        <v>225</v>
      </c>
      <c r="P3286" s="262" t="str">
        <f t="shared" si="1"/>
        <v>IN-BLR-ANANTA-FAN-234_4</v>
      </c>
      <c r="Q3286" s="173" t="s">
        <v>10163</v>
      </c>
      <c r="R3286" s="328" t="str">
        <f>IFS(C3286="","",C3286="n/a","N/A",LEN(C3286),Concatenate("{",char(34),"asset",char(34),":{",char(34),"guid",char(34),":",char(34),Q3286,char(34),",",char(34),"site",char(34),":",char(34),LOWER('2-Building'!$B$4),char(34),",",char(34),"name",char(34),":",char(34),LOWER(C3286),char(34),"}}"))</f>
        <v>{"asset":{"guid":"uuid://bf922179-b81a-4c4f-9729-08a6cd2516da","site":"in-blr-ananta","name":"fan-234"}}</v>
      </c>
      <c r="S3286" s="369" t="s">
        <v>2866</v>
      </c>
      <c r="T3286" s="330"/>
      <c r="U3286" s="330"/>
      <c r="V3286" s="331"/>
      <c r="W3286" s="332"/>
      <c r="X3286" s="333"/>
      <c r="Y3286" s="33" t="s">
        <v>8076</v>
      </c>
      <c r="Z3286" s="368"/>
      <c r="AA3286" s="333"/>
      <c r="AB3286" s="258">
        <v>16.0</v>
      </c>
      <c r="AC3286" s="333"/>
      <c r="AD3286" s="329"/>
      <c r="AE3286" s="331"/>
      <c r="AF3286" s="336"/>
      <c r="AG3286" s="337" t="str">
        <f>IFS(LEN(AF3286)=17,LOWER('2-Building'!$B$4 &amp; "-" &amp; C3286), AF3286="N/A", "N/A", LEN(AF3286)=0,"")</f>
        <v/>
      </c>
      <c r="AH3286" s="333"/>
      <c r="AI3286" s="333"/>
      <c r="AJ3286" s="333"/>
      <c r="AK3286" s="333"/>
      <c r="AL3286" s="333"/>
      <c r="AM3286" s="338"/>
      <c r="AN3286" s="333"/>
      <c r="AO3286" s="333"/>
      <c r="AP3286" s="333"/>
      <c r="AQ3286" s="333"/>
      <c r="AR3286" s="333"/>
      <c r="AS3286" s="333"/>
      <c r="AT3286" s="333"/>
      <c r="AU3286" s="329"/>
      <c r="AV3286" s="341"/>
      <c r="AW3286" s="269" t="s">
        <v>1714</v>
      </c>
      <c r="AX3286" s="269" t="s">
        <v>2869</v>
      </c>
      <c r="AY3286" s="270" t="s">
        <v>695</v>
      </c>
      <c r="AZ3286" s="379"/>
      <c r="BA3286" s="173">
        <v>10.0</v>
      </c>
      <c r="BB3286" s="341"/>
      <c r="BC3286" s="341"/>
      <c r="BD3286" s="308" t="s">
        <v>1844</v>
      </c>
      <c r="BE3286" s="364"/>
      <c r="BF3286" s="274" t="str">
        <f>IFERROR(__xludf.DUMMYFUNCTION("LOWER(Regexreplace(to_text(E3286),""[^A-Za-z0-9]"","""")&amp;""_""&amp;Regexreplace(to_text(F3286),""[^A-Za-z0-9]"",""""))"),"daikin_fxzq32bvm6")</f>
        <v>daikin_fxzq32bvm6</v>
      </c>
      <c r="BG3286" s="275" t="str">
        <f>IFERROR(__xludf.DUMMYFUNCTION("upper(Regexreplace(to_text(E3286),""[^A-Za-z0-9]"","""")&amp;""-""&amp;Regexreplace(to_text(F3286),""[^A-Za-z0-9]"",""""))"),"DAIKIN-FXZQ32BVM6")</f>
        <v>DAIKIN-FXZQ32BVM6</v>
      </c>
    </row>
    <row r="3287" ht="30.0" customHeight="1">
      <c r="A3287" s="258">
        <v>2690.0</v>
      </c>
      <c r="B3287" s="328" t="s">
        <v>670</v>
      </c>
      <c r="C3287" s="257" t="s">
        <v>10164</v>
      </c>
      <c r="D3287" s="173" t="s">
        <v>10165</v>
      </c>
      <c r="E3287" s="174" t="s">
        <v>9289</v>
      </c>
      <c r="F3287" s="173" t="s">
        <v>9709</v>
      </c>
      <c r="G3287" s="328" t="s">
        <v>673</v>
      </c>
      <c r="H3287" s="328" t="s">
        <v>2863</v>
      </c>
      <c r="I3287" s="258" t="s">
        <v>9445</v>
      </c>
      <c r="J3287" s="259" t="s">
        <v>1088</v>
      </c>
      <c r="K3287" s="260" t="s">
        <v>10166</v>
      </c>
      <c r="L3287" s="366"/>
      <c r="M3287" s="329"/>
      <c r="N3287" s="173" t="s">
        <v>679</v>
      </c>
      <c r="O3287" s="173" t="s">
        <v>225</v>
      </c>
      <c r="P3287" s="262" t="str">
        <f t="shared" si="1"/>
        <v>IN-BLR-ANANTA-FAN-235_5</v>
      </c>
      <c r="Q3287" s="173" t="s">
        <v>10167</v>
      </c>
      <c r="R3287" s="328" t="str">
        <f>IFS(C3287="","",C3287="n/a","N/A",LEN(C3287),Concatenate("{",char(34),"asset",char(34),":{",char(34),"guid",char(34),":",char(34),Q3287,char(34),",",char(34),"site",char(34),":",char(34),LOWER('2-Building'!$B$4),char(34),",",char(34),"name",char(34),":",char(34),LOWER(C3287),char(34),"}}"))</f>
        <v>{"asset":{"guid":"uuid://ed79b1fb-3524-49f5-b5ac-8fe46f50cef4","site":"in-blr-ananta","name":"fan-235"}}</v>
      </c>
      <c r="S3287" s="369" t="s">
        <v>2866</v>
      </c>
      <c r="T3287" s="330"/>
      <c r="U3287" s="330"/>
      <c r="V3287" s="331"/>
      <c r="W3287" s="332"/>
      <c r="X3287" s="333"/>
      <c r="Y3287" s="33" t="s">
        <v>8076</v>
      </c>
      <c r="Z3287" s="368"/>
      <c r="AA3287" s="333"/>
      <c r="AB3287" s="258">
        <v>29.0</v>
      </c>
      <c r="AC3287" s="333"/>
      <c r="AD3287" s="329"/>
      <c r="AE3287" s="331"/>
      <c r="AF3287" s="336"/>
      <c r="AG3287" s="337" t="str">
        <f>IFS(LEN(AF3287)=17,LOWER('2-Building'!$B$4 &amp; "-" &amp; C3287), AF3287="N/A", "N/A", LEN(AF3287)=0,"")</f>
        <v/>
      </c>
      <c r="AH3287" s="333"/>
      <c r="AI3287" s="333"/>
      <c r="AJ3287" s="333"/>
      <c r="AK3287" s="333"/>
      <c r="AL3287" s="333"/>
      <c r="AM3287" s="338"/>
      <c r="AN3287" s="333"/>
      <c r="AO3287" s="333"/>
      <c r="AP3287" s="333"/>
      <c r="AQ3287" s="333"/>
      <c r="AR3287" s="333"/>
      <c r="AS3287" s="333"/>
      <c r="AT3287" s="333"/>
      <c r="AU3287" s="329"/>
      <c r="AV3287" s="341"/>
      <c r="AW3287" s="269" t="s">
        <v>1714</v>
      </c>
      <c r="AX3287" s="269" t="s">
        <v>2869</v>
      </c>
      <c r="AY3287" s="270" t="s">
        <v>695</v>
      </c>
      <c r="AZ3287" s="379"/>
      <c r="BA3287" s="173">
        <v>10.0</v>
      </c>
      <c r="BB3287" s="341"/>
      <c r="BC3287" s="341"/>
      <c r="BD3287" s="308" t="s">
        <v>1844</v>
      </c>
      <c r="BE3287" s="364"/>
      <c r="BF3287" s="274" t="str">
        <f>IFERROR(__xludf.DUMMYFUNCTION("LOWER(Regexreplace(to_text(E3287),""[^A-Za-z0-9]"","""")&amp;""_""&amp;Regexreplace(to_text(F3287),""[^A-Za-z0-9]"",""""))"),"daikin_fxzq32bvm6")</f>
        <v>daikin_fxzq32bvm6</v>
      </c>
      <c r="BG3287" s="275" t="str">
        <f>IFERROR(__xludf.DUMMYFUNCTION("upper(Regexreplace(to_text(E3287),""[^A-Za-z0-9]"","""")&amp;""-""&amp;Regexreplace(to_text(F3287),""[^A-Za-z0-9]"",""""))"),"DAIKIN-FXZQ32BVM6")</f>
        <v>DAIKIN-FXZQ32BVM6</v>
      </c>
    </row>
    <row r="3288" ht="30.0" customHeight="1">
      <c r="A3288" s="173">
        <v>2691.0</v>
      </c>
      <c r="B3288" s="328" t="s">
        <v>670</v>
      </c>
      <c r="C3288" s="257" t="s">
        <v>10168</v>
      </c>
      <c r="D3288" s="173" t="s">
        <v>10169</v>
      </c>
      <c r="E3288" s="174" t="s">
        <v>9289</v>
      </c>
      <c r="F3288" s="173" t="s">
        <v>9709</v>
      </c>
      <c r="G3288" s="328" t="s">
        <v>673</v>
      </c>
      <c r="H3288" s="328" t="s">
        <v>2863</v>
      </c>
      <c r="I3288" s="258" t="s">
        <v>9445</v>
      </c>
      <c r="J3288" s="259" t="s">
        <v>1088</v>
      </c>
      <c r="K3288" s="260" t="s">
        <v>10166</v>
      </c>
      <c r="L3288" s="366"/>
      <c r="M3288" s="329"/>
      <c r="N3288" s="173" t="s">
        <v>679</v>
      </c>
      <c r="O3288" s="173" t="s">
        <v>225</v>
      </c>
      <c r="P3288" s="262" t="str">
        <f t="shared" si="1"/>
        <v>IN-BLR-ANANTA-FAN-236_5</v>
      </c>
      <c r="Q3288" s="173" t="s">
        <v>10170</v>
      </c>
      <c r="R3288" s="328" t="str">
        <f>IFS(C3288="","",C3288="n/a","N/A",LEN(C3288),Concatenate("{",char(34),"asset",char(34),":{",char(34),"guid",char(34),":",char(34),Q3288,char(34),",",char(34),"site",char(34),":",char(34),LOWER('2-Building'!$B$4),char(34),",",char(34),"name",char(34),":",char(34),LOWER(C3288),char(34),"}}"))</f>
        <v>{"asset":{"guid":"uuid://0716cc77-04b4-4047-b74a-f998ce787640","site":"in-blr-ananta","name":"fan-236"}}</v>
      </c>
      <c r="S3288" s="369" t="s">
        <v>2866</v>
      </c>
      <c r="T3288" s="330"/>
      <c r="U3288" s="330"/>
      <c r="V3288" s="331"/>
      <c r="W3288" s="332"/>
      <c r="X3288" s="333"/>
      <c r="Y3288" s="33" t="s">
        <v>8076</v>
      </c>
      <c r="Z3288" s="368"/>
      <c r="AA3288" s="333"/>
      <c r="AB3288" s="258">
        <v>30.0</v>
      </c>
      <c r="AC3288" s="333"/>
      <c r="AD3288" s="329"/>
      <c r="AE3288" s="331"/>
      <c r="AF3288" s="336"/>
      <c r="AG3288" s="337" t="str">
        <f>IFS(LEN(AF3288)=17,LOWER('2-Building'!$B$4 &amp; "-" &amp; C3288), AF3288="N/A", "N/A", LEN(AF3288)=0,"")</f>
        <v/>
      </c>
      <c r="AH3288" s="333"/>
      <c r="AI3288" s="333"/>
      <c r="AJ3288" s="333"/>
      <c r="AK3288" s="333"/>
      <c r="AL3288" s="333"/>
      <c r="AM3288" s="338"/>
      <c r="AN3288" s="333"/>
      <c r="AO3288" s="333"/>
      <c r="AP3288" s="333"/>
      <c r="AQ3288" s="333"/>
      <c r="AR3288" s="333"/>
      <c r="AS3288" s="333"/>
      <c r="AT3288" s="333"/>
      <c r="AU3288" s="329"/>
      <c r="AV3288" s="341"/>
      <c r="AW3288" s="269" t="s">
        <v>1714</v>
      </c>
      <c r="AX3288" s="269" t="s">
        <v>2869</v>
      </c>
      <c r="AY3288" s="270" t="s">
        <v>695</v>
      </c>
      <c r="AZ3288" s="379"/>
      <c r="BA3288" s="173">
        <v>10.0</v>
      </c>
      <c r="BB3288" s="341"/>
      <c r="BC3288" s="341"/>
      <c r="BD3288" s="308" t="s">
        <v>1844</v>
      </c>
      <c r="BE3288" s="364"/>
      <c r="BF3288" s="274" t="str">
        <f>IFERROR(__xludf.DUMMYFUNCTION("LOWER(Regexreplace(to_text(E3288),""[^A-Za-z0-9]"","""")&amp;""_""&amp;Regexreplace(to_text(F3288),""[^A-Za-z0-9]"",""""))"),"daikin_fxzq32bvm6")</f>
        <v>daikin_fxzq32bvm6</v>
      </c>
      <c r="BG3288" s="275" t="str">
        <f>IFERROR(__xludf.DUMMYFUNCTION("upper(Regexreplace(to_text(E3288),""[^A-Za-z0-9]"","""")&amp;""-""&amp;Regexreplace(to_text(F3288),""[^A-Za-z0-9]"",""""))"),"DAIKIN-FXZQ32BVM6")</f>
        <v>DAIKIN-FXZQ32BVM6</v>
      </c>
    </row>
    <row r="3289" ht="30.0" customHeight="1">
      <c r="A3289" s="258">
        <v>2690.0</v>
      </c>
      <c r="B3289" s="328" t="s">
        <v>670</v>
      </c>
      <c r="C3289" s="257" t="s">
        <v>10171</v>
      </c>
      <c r="D3289" s="173" t="s">
        <v>10172</v>
      </c>
      <c r="E3289" s="174" t="s">
        <v>9289</v>
      </c>
      <c r="F3289" s="173" t="s">
        <v>9709</v>
      </c>
      <c r="G3289" s="328" t="s">
        <v>673</v>
      </c>
      <c r="H3289" s="328" t="s">
        <v>2863</v>
      </c>
      <c r="I3289" s="258" t="s">
        <v>9445</v>
      </c>
      <c r="J3289" s="259" t="s">
        <v>1088</v>
      </c>
      <c r="K3289" s="260" t="s">
        <v>10166</v>
      </c>
      <c r="L3289" s="366"/>
      <c r="M3289" s="329"/>
      <c r="N3289" s="173" t="s">
        <v>679</v>
      </c>
      <c r="O3289" s="173" t="s">
        <v>225</v>
      </c>
      <c r="P3289" s="262" t="str">
        <f t="shared" si="1"/>
        <v>IN-BLR-ANANTA-FAN-237_5</v>
      </c>
      <c r="Q3289" s="173" t="s">
        <v>10173</v>
      </c>
      <c r="R3289" s="328" t="str">
        <f>IFS(C3289="","",C3289="n/a","N/A",LEN(C3289),Concatenate("{",char(34),"asset",char(34),":{",char(34),"guid",char(34),":",char(34),Q3289,char(34),",",char(34),"site",char(34),":",char(34),LOWER('2-Building'!$B$4),char(34),",",char(34),"name",char(34),":",char(34),LOWER(C3289),char(34),"}}"))</f>
        <v>{"asset":{"guid":"uuid://aa156599-3a61-48e6-97c9-ac859b589412","site":"in-blr-ananta","name":"fan-237"}}</v>
      </c>
      <c r="S3289" s="369" t="s">
        <v>2866</v>
      </c>
      <c r="T3289" s="330"/>
      <c r="U3289" s="330"/>
      <c r="V3289" s="331"/>
      <c r="W3289" s="332"/>
      <c r="X3289" s="333"/>
      <c r="Y3289" s="33" t="s">
        <v>8076</v>
      </c>
      <c r="Z3289" s="368"/>
      <c r="AA3289" s="333"/>
      <c r="AB3289" s="258">
        <v>31.0</v>
      </c>
      <c r="AC3289" s="333"/>
      <c r="AD3289" s="329"/>
      <c r="AE3289" s="331"/>
      <c r="AF3289" s="336"/>
      <c r="AG3289" s="337" t="str">
        <f>IFS(LEN(AF3289)=17,LOWER('2-Building'!$B$4 &amp; "-" &amp; C3289), AF3289="N/A", "N/A", LEN(AF3289)=0,"")</f>
        <v/>
      </c>
      <c r="AH3289" s="333"/>
      <c r="AI3289" s="333"/>
      <c r="AJ3289" s="333"/>
      <c r="AK3289" s="333"/>
      <c r="AL3289" s="333"/>
      <c r="AM3289" s="338"/>
      <c r="AN3289" s="333"/>
      <c r="AO3289" s="333"/>
      <c r="AP3289" s="333"/>
      <c r="AQ3289" s="333"/>
      <c r="AR3289" s="333"/>
      <c r="AS3289" s="333"/>
      <c r="AT3289" s="333"/>
      <c r="AU3289" s="329"/>
      <c r="AV3289" s="341"/>
      <c r="AW3289" s="269" t="s">
        <v>1714</v>
      </c>
      <c r="AX3289" s="269" t="s">
        <v>2869</v>
      </c>
      <c r="AY3289" s="270" t="s">
        <v>695</v>
      </c>
      <c r="AZ3289" s="379"/>
      <c r="BA3289" s="173">
        <v>10.0</v>
      </c>
      <c r="BB3289" s="341"/>
      <c r="BC3289" s="341"/>
      <c r="BD3289" s="308" t="s">
        <v>1844</v>
      </c>
      <c r="BE3289" s="364"/>
      <c r="BF3289" s="274" t="str">
        <f>IFERROR(__xludf.DUMMYFUNCTION("LOWER(Regexreplace(to_text(E3289),""[^A-Za-z0-9]"","""")&amp;""_""&amp;Regexreplace(to_text(F3289),""[^A-Za-z0-9]"",""""))"),"daikin_fxzq32bvm6")</f>
        <v>daikin_fxzq32bvm6</v>
      </c>
      <c r="BG3289" s="275" t="str">
        <f>IFERROR(__xludf.DUMMYFUNCTION("upper(Regexreplace(to_text(E3289),""[^A-Za-z0-9]"","""")&amp;""-""&amp;Regexreplace(to_text(F3289),""[^A-Za-z0-9]"",""""))"),"DAIKIN-FXZQ32BVM6")</f>
        <v>DAIKIN-FXZQ32BVM6</v>
      </c>
    </row>
    <row r="3290" ht="30.0" customHeight="1">
      <c r="A3290" s="173">
        <v>2691.0</v>
      </c>
      <c r="B3290" s="328" t="s">
        <v>670</v>
      </c>
      <c r="C3290" s="257" t="s">
        <v>10174</v>
      </c>
      <c r="D3290" s="173" t="s">
        <v>10175</v>
      </c>
      <c r="E3290" s="174" t="s">
        <v>9289</v>
      </c>
      <c r="F3290" s="173" t="s">
        <v>9709</v>
      </c>
      <c r="G3290" s="328" t="s">
        <v>673</v>
      </c>
      <c r="H3290" s="328" t="s">
        <v>2863</v>
      </c>
      <c r="I3290" s="258" t="s">
        <v>9445</v>
      </c>
      <c r="J3290" s="259" t="s">
        <v>1088</v>
      </c>
      <c r="K3290" s="260" t="s">
        <v>10166</v>
      </c>
      <c r="L3290" s="366"/>
      <c r="M3290" s="329"/>
      <c r="N3290" s="173" t="s">
        <v>679</v>
      </c>
      <c r="O3290" s="173" t="s">
        <v>225</v>
      </c>
      <c r="P3290" s="262" t="str">
        <f t="shared" si="1"/>
        <v>IN-BLR-ANANTA-FAN-238_5</v>
      </c>
      <c r="Q3290" s="173" t="s">
        <v>10176</v>
      </c>
      <c r="R3290" s="328" t="str">
        <f>IFS(C3290="","",C3290="n/a","N/A",LEN(C3290),Concatenate("{",char(34),"asset",char(34),":{",char(34),"guid",char(34),":",char(34),Q3290,char(34),",",char(34),"site",char(34),":",char(34),LOWER('2-Building'!$B$4),char(34),",",char(34),"name",char(34),":",char(34),LOWER(C3290),char(34),"}}"))</f>
        <v>{"asset":{"guid":"uuid://65aba770-29eb-4a99-8220-466e87c7b481","site":"in-blr-ananta","name":"fan-238"}}</v>
      </c>
      <c r="S3290" s="369" t="s">
        <v>2866</v>
      </c>
      <c r="T3290" s="330"/>
      <c r="U3290" s="330"/>
      <c r="V3290" s="331"/>
      <c r="W3290" s="332"/>
      <c r="X3290" s="333"/>
      <c r="Y3290" s="33" t="s">
        <v>8076</v>
      </c>
      <c r="Z3290" s="368"/>
      <c r="AA3290" s="333"/>
      <c r="AB3290" s="258">
        <v>32.0</v>
      </c>
      <c r="AC3290" s="333"/>
      <c r="AD3290" s="329"/>
      <c r="AE3290" s="331"/>
      <c r="AF3290" s="336"/>
      <c r="AG3290" s="337" t="str">
        <f>IFS(LEN(AF3290)=17,LOWER('2-Building'!$B$4 &amp; "-" &amp; C3290), AF3290="N/A", "N/A", LEN(AF3290)=0,"")</f>
        <v/>
      </c>
      <c r="AH3290" s="333"/>
      <c r="AI3290" s="333"/>
      <c r="AJ3290" s="333"/>
      <c r="AK3290" s="333"/>
      <c r="AL3290" s="333"/>
      <c r="AM3290" s="338"/>
      <c r="AN3290" s="333"/>
      <c r="AO3290" s="333"/>
      <c r="AP3290" s="333"/>
      <c r="AQ3290" s="333"/>
      <c r="AR3290" s="333"/>
      <c r="AS3290" s="333"/>
      <c r="AT3290" s="333"/>
      <c r="AU3290" s="329"/>
      <c r="AV3290" s="341"/>
      <c r="AW3290" s="269" t="s">
        <v>1714</v>
      </c>
      <c r="AX3290" s="269" t="s">
        <v>2869</v>
      </c>
      <c r="AY3290" s="270" t="s">
        <v>695</v>
      </c>
      <c r="AZ3290" s="379"/>
      <c r="BA3290" s="173">
        <v>10.0</v>
      </c>
      <c r="BB3290" s="341"/>
      <c r="BC3290" s="341"/>
      <c r="BD3290" s="308" t="s">
        <v>1844</v>
      </c>
      <c r="BE3290" s="364"/>
      <c r="BF3290" s="274" t="str">
        <f>IFERROR(__xludf.DUMMYFUNCTION("LOWER(Regexreplace(to_text(E3290),""[^A-Za-z0-9]"","""")&amp;""_""&amp;Regexreplace(to_text(F3290),""[^A-Za-z0-9]"",""""))"),"daikin_fxzq32bvm6")</f>
        <v>daikin_fxzq32bvm6</v>
      </c>
      <c r="BG3290" s="275" t="str">
        <f>IFERROR(__xludf.DUMMYFUNCTION("upper(Regexreplace(to_text(E3290),""[^A-Za-z0-9]"","""")&amp;""-""&amp;Regexreplace(to_text(F3290),""[^A-Za-z0-9]"",""""))"),"DAIKIN-FXZQ32BVM6")</f>
        <v>DAIKIN-FXZQ32BVM6</v>
      </c>
    </row>
    <row r="3291" ht="30.0" customHeight="1">
      <c r="A3291" s="258">
        <v>2690.0</v>
      </c>
      <c r="B3291" s="328" t="s">
        <v>670</v>
      </c>
      <c r="C3291" s="257" t="s">
        <v>10177</v>
      </c>
      <c r="D3291" s="173" t="s">
        <v>10178</v>
      </c>
      <c r="E3291" s="174" t="s">
        <v>9289</v>
      </c>
      <c r="F3291" s="173" t="s">
        <v>9709</v>
      </c>
      <c r="G3291" s="328" t="s">
        <v>673</v>
      </c>
      <c r="H3291" s="328" t="s">
        <v>2863</v>
      </c>
      <c r="I3291" s="258" t="s">
        <v>9445</v>
      </c>
      <c r="J3291" s="259" t="s">
        <v>1088</v>
      </c>
      <c r="K3291" s="260" t="s">
        <v>10166</v>
      </c>
      <c r="L3291" s="366"/>
      <c r="M3291" s="329"/>
      <c r="N3291" s="173" t="s">
        <v>679</v>
      </c>
      <c r="O3291" s="173" t="s">
        <v>225</v>
      </c>
      <c r="P3291" s="262" t="str">
        <f t="shared" si="1"/>
        <v>IN-BLR-ANANTA-FAN-239_5</v>
      </c>
      <c r="Q3291" s="173" t="s">
        <v>10179</v>
      </c>
      <c r="R3291" s="328" t="str">
        <f>IFS(C3291="","",C3291="n/a","N/A",LEN(C3291),Concatenate("{",char(34),"asset",char(34),":{",char(34),"guid",char(34),":",char(34),Q3291,char(34),",",char(34),"site",char(34),":",char(34),LOWER('2-Building'!$B$4),char(34),",",char(34),"name",char(34),":",char(34),LOWER(C3291),char(34),"}}"))</f>
        <v>{"asset":{"guid":"uuid://60e2e95a-ac42-43f9-86f5-441c8d8b0848","site":"in-blr-ananta","name":"fan-239"}}</v>
      </c>
      <c r="S3291" s="369" t="s">
        <v>2866</v>
      </c>
      <c r="T3291" s="330"/>
      <c r="U3291" s="330"/>
      <c r="V3291" s="331"/>
      <c r="W3291" s="332"/>
      <c r="X3291" s="333"/>
      <c r="Y3291" s="33" t="s">
        <v>8076</v>
      </c>
      <c r="Z3291" s="368"/>
      <c r="AA3291" s="333"/>
      <c r="AB3291" s="258">
        <v>33.0</v>
      </c>
      <c r="AC3291" s="333"/>
      <c r="AD3291" s="329"/>
      <c r="AE3291" s="331"/>
      <c r="AF3291" s="336"/>
      <c r="AG3291" s="337" t="str">
        <f>IFS(LEN(AF3291)=17,LOWER('2-Building'!$B$4 &amp; "-" &amp; C3291), AF3291="N/A", "N/A", LEN(AF3291)=0,"")</f>
        <v/>
      </c>
      <c r="AH3291" s="333"/>
      <c r="AI3291" s="333"/>
      <c r="AJ3291" s="333"/>
      <c r="AK3291" s="333"/>
      <c r="AL3291" s="333"/>
      <c r="AM3291" s="338"/>
      <c r="AN3291" s="333"/>
      <c r="AO3291" s="333"/>
      <c r="AP3291" s="333"/>
      <c r="AQ3291" s="333"/>
      <c r="AR3291" s="333"/>
      <c r="AS3291" s="333"/>
      <c r="AT3291" s="333"/>
      <c r="AU3291" s="329"/>
      <c r="AV3291" s="341"/>
      <c r="AW3291" s="269" t="s">
        <v>1714</v>
      </c>
      <c r="AX3291" s="269" t="s">
        <v>2869</v>
      </c>
      <c r="AY3291" s="270" t="s">
        <v>695</v>
      </c>
      <c r="AZ3291" s="379"/>
      <c r="BA3291" s="173">
        <v>10.0</v>
      </c>
      <c r="BB3291" s="341"/>
      <c r="BC3291" s="341"/>
      <c r="BD3291" s="308" t="s">
        <v>1844</v>
      </c>
      <c r="BE3291" s="364"/>
      <c r="BF3291" s="274" t="str">
        <f>IFERROR(__xludf.DUMMYFUNCTION("LOWER(Regexreplace(to_text(E3291),""[^A-Za-z0-9]"","""")&amp;""_""&amp;Regexreplace(to_text(F3291),""[^A-Za-z0-9]"",""""))"),"daikin_fxzq32bvm6")</f>
        <v>daikin_fxzq32bvm6</v>
      </c>
      <c r="BG3291" s="275" t="str">
        <f>IFERROR(__xludf.DUMMYFUNCTION("upper(Regexreplace(to_text(E3291),""[^A-Za-z0-9]"","""")&amp;""-""&amp;Regexreplace(to_text(F3291),""[^A-Za-z0-9]"",""""))"),"DAIKIN-FXZQ32BVM6")</f>
        <v>DAIKIN-FXZQ32BVM6</v>
      </c>
    </row>
    <row r="3292" ht="30.0" customHeight="1">
      <c r="A3292" s="258">
        <v>2690.0</v>
      </c>
      <c r="B3292" s="328" t="s">
        <v>670</v>
      </c>
      <c r="C3292" s="257" t="s">
        <v>10180</v>
      </c>
      <c r="D3292" s="173" t="s">
        <v>10181</v>
      </c>
      <c r="E3292" s="174" t="s">
        <v>9289</v>
      </c>
      <c r="F3292" s="173" t="s">
        <v>9709</v>
      </c>
      <c r="G3292" s="328" t="s">
        <v>673</v>
      </c>
      <c r="H3292" s="328" t="s">
        <v>2863</v>
      </c>
      <c r="I3292" s="258" t="s">
        <v>9445</v>
      </c>
      <c r="J3292" s="259" t="s">
        <v>1088</v>
      </c>
      <c r="K3292" s="260" t="s">
        <v>10166</v>
      </c>
      <c r="L3292" s="366"/>
      <c r="M3292" s="329"/>
      <c r="N3292" s="173" t="s">
        <v>679</v>
      </c>
      <c r="O3292" s="173" t="s">
        <v>225</v>
      </c>
      <c r="P3292" s="262" t="str">
        <f t="shared" si="1"/>
        <v>IN-BLR-ANANTA-FAN-240_5</v>
      </c>
      <c r="Q3292" s="173" t="s">
        <v>10182</v>
      </c>
      <c r="R3292" s="328" t="str">
        <f>IFS(C3292="","",C3292="n/a","N/A",LEN(C3292),Concatenate("{",char(34),"asset",char(34),":{",char(34),"guid",char(34),":",char(34),Q3292,char(34),",",char(34),"site",char(34),":",char(34),LOWER('2-Building'!$B$4),char(34),",",char(34),"name",char(34),":",char(34),LOWER(C3292),char(34),"}}"))</f>
        <v>{"asset":{"guid":"uuid://f32ad115-1f7c-4b20-a754-014d4e19177d","site":"in-blr-ananta","name":"fan-240"}}</v>
      </c>
      <c r="S3292" s="369" t="s">
        <v>2866</v>
      </c>
      <c r="T3292" s="330"/>
      <c r="U3292" s="330"/>
      <c r="V3292" s="331"/>
      <c r="W3292" s="332"/>
      <c r="X3292" s="333"/>
      <c r="Y3292" s="33" t="s">
        <v>8076</v>
      </c>
      <c r="Z3292" s="368"/>
      <c r="AA3292" s="333"/>
      <c r="AB3292" s="258">
        <v>34.0</v>
      </c>
      <c r="AC3292" s="333"/>
      <c r="AD3292" s="329"/>
      <c r="AE3292" s="331"/>
      <c r="AF3292" s="336"/>
      <c r="AG3292" s="337" t="str">
        <f>IFS(LEN(AF3292)=17,LOWER('2-Building'!$B$4 &amp; "-" &amp; C3292), AF3292="N/A", "N/A", LEN(AF3292)=0,"")</f>
        <v/>
      </c>
      <c r="AH3292" s="333"/>
      <c r="AI3292" s="333"/>
      <c r="AJ3292" s="333"/>
      <c r="AK3292" s="333"/>
      <c r="AL3292" s="333"/>
      <c r="AM3292" s="338"/>
      <c r="AN3292" s="333"/>
      <c r="AO3292" s="333"/>
      <c r="AP3292" s="333"/>
      <c r="AQ3292" s="333"/>
      <c r="AR3292" s="333"/>
      <c r="AS3292" s="333"/>
      <c r="AT3292" s="333"/>
      <c r="AU3292" s="329"/>
      <c r="AV3292" s="341"/>
      <c r="AW3292" s="269" t="s">
        <v>1714</v>
      </c>
      <c r="AX3292" s="269" t="s">
        <v>2869</v>
      </c>
      <c r="AY3292" s="270" t="s">
        <v>695</v>
      </c>
      <c r="AZ3292" s="379"/>
      <c r="BA3292" s="173">
        <v>10.0</v>
      </c>
      <c r="BB3292" s="341"/>
      <c r="BC3292" s="341"/>
      <c r="BD3292" s="308" t="s">
        <v>1844</v>
      </c>
      <c r="BE3292" s="364"/>
      <c r="BF3292" s="274" t="str">
        <f>IFERROR(__xludf.DUMMYFUNCTION("LOWER(Regexreplace(to_text(E3292),""[^A-Za-z0-9]"","""")&amp;""_""&amp;Regexreplace(to_text(F3292),""[^A-Za-z0-9]"",""""))"),"daikin_fxzq32bvm6")</f>
        <v>daikin_fxzq32bvm6</v>
      </c>
      <c r="BG3292" s="275" t="str">
        <f>IFERROR(__xludf.DUMMYFUNCTION("upper(Regexreplace(to_text(E3292),""[^A-Za-z0-9]"","""")&amp;""-""&amp;Regexreplace(to_text(F3292),""[^A-Za-z0-9]"",""""))"),"DAIKIN-FXZQ32BVM6")</f>
        <v>DAIKIN-FXZQ32BVM6</v>
      </c>
    </row>
    <row r="3293" ht="30.0" customHeight="1">
      <c r="A3293" s="425">
        <v>2690.0</v>
      </c>
      <c r="B3293" s="425" t="s">
        <v>670</v>
      </c>
      <c r="C3293" s="257" t="s">
        <v>10183</v>
      </c>
      <c r="D3293" s="173" t="s">
        <v>10184</v>
      </c>
      <c r="E3293" s="174" t="s">
        <v>9097</v>
      </c>
      <c r="F3293" s="173" t="s">
        <v>2862</v>
      </c>
      <c r="G3293" s="425" t="s">
        <v>673</v>
      </c>
      <c r="H3293" s="425" t="s">
        <v>2863</v>
      </c>
      <c r="I3293" s="258" t="s">
        <v>9445</v>
      </c>
      <c r="J3293" s="259" t="s">
        <v>1149</v>
      </c>
      <c r="K3293" s="260">
        <v>675.0</v>
      </c>
      <c r="L3293" s="442"/>
      <c r="M3293" s="426"/>
      <c r="N3293" s="173" t="s">
        <v>679</v>
      </c>
      <c r="O3293" s="173" t="s">
        <v>225</v>
      </c>
      <c r="P3293" s="262" t="str">
        <f t="shared" si="1"/>
        <v>IN-BLR-ANANTA-FAN-241_6</v>
      </c>
      <c r="Q3293" s="173" t="s">
        <v>10185</v>
      </c>
      <c r="R3293" s="433" t="str">
        <f>IFS(C3293="","",C3293="n/a","N/A",LEN(C3293),Concatenate("{",char(34),"asset",char(34),":{",char(34),"guid",char(34),":",char(34),Q3293,char(34),",",char(34),"site",char(34),":",char(34),LOWER('2-Building'!$B$4),char(34),",",char(34),"name",char(34),":",char(34),LOWER(C3293),char(34),"}}"))</f>
        <v>{"asset":{"guid":"uuid://c150aba2-52d0-45f5-948f-3aaa5a249dee","site":"in-blr-ananta","name":"fan-241"}}</v>
      </c>
      <c r="S3293" s="369" t="s">
        <v>2866</v>
      </c>
      <c r="T3293" s="427"/>
      <c r="U3293" s="427"/>
      <c r="V3293" s="428"/>
      <c r="W3293" s="429"/>
      <c r="X3293" s="430"/>
      <c r="Y3293" s="33" t="s">
        <v>8076</v>
      </c>
      <c r="Z3293" s="430"/>
      <c r="AA3293" s="430"/>
      <c r="AB3293" s="258">
        <v>50.0</v>
      </c>
      <c r="AC3293" s="430"/>
      <c r="AD3293" s="426"/>
      <c r="AE3293" s="428"/>
      <c r="AF3293" s="431"/>
      <c r="AG3293" s="432" t="str">
        <f>IFS(LEN(AF3293)=17,LOWER('2-Building'!$B$4 &amp; "-" &amp; C3293), AF3293="N/A", "N/A", LEN(AF3293)=0,"")</f>
        <v/>
      </c>
      <c r="AH3293" s="430"/>
      <c r="AI3293" s="430"/>
      <c r="AJ3293" s="430"/>
      <c r="AK3293" s="430"/>
      <c r="AL3293" s="430"/>
      <c r="AM3293" s="433"/>
      <c r="AN3293" s="430"/>
      <c r="AO3293" s="430"/>
      <c r="AP3293" s="430"/>
      <c r="AQ3293" s="430"/>
      <c r="AR3293" s="430"/>
      <c r="AS3293" s="430"/>
      <c r="AT3293" s="430"/>
      <c r="AU3293" s="426"/>
      <c r="AV3293" s="434"/>
      <c r="AW3293" s="269" t="s">
        <v>1714</v>
      </c>
      <c r="AX3293" s="269" t="s">
        <v>2869</v>
      </c>
      <c r="AY3293" s="270" t="s">
        <v>695</v>
      </c>
      <c r="AZ3293" s="435"/>
      <c r="BA3293" s="173">
        <v>10.0</v>
      </c>
      <c r="BB3293" s="434"/>
      <c r="BC3293" s="434"/>
      <c r="BD3293" s="308" t="s">
        <v>1844</v>
      </c>
      <c r="BE3293" s="436"/>
      <c r="BF3293" s="274" t="str">
        <f>IFERROR(__xludf.DUMMYFUNCTION("LOWER(Regexreplace(to_text(E3293),""[^A-Za-z0-9]"","""")&amp;""_""&amp;Regexreplace(to_text(F3293),""[^A-Za-z0-9]"",""""))"),"aquagen_evcbseries")</f>
        <v>aquagen_evcbseries</v>
      </c>
      <c r="BG3293" s="275" t="str">
        <f>IFERROR(__xludf.DUMMYFUNCTION("upper(Regexreplace(to_text(E3293),""[^A-Za-z0-9]"","""")&amp;""-""&amp;Regexreplace(to_text(F3293),""[^A-Za-z0-9]"",""""))"),"AQUAGEN-EVCBSERIES")</f>
        <v>AQUAGEN-EVCBSERIES</v>
      </c>
    </row>
    <row r="3294" ht="30.0" customHeight="1">
      <c r="A3294" s="328">
        <v>2690.0</v>
      </c>
      <c r="B3294" s="425" t="s">
        <v>670</v>
      </c>
      <c r="C3294" s="257" t="s">
        <v>10186</v>
      </c>
      <c r="D3294" s="173" t="s">
        <v>10187</v>
      </c>
      <c r="E3294" s="174" t="s">
        <v>9097</v>
      </c>
      <c r="F3294" s="173" t="s">
        <v>2862</v>
      </c>
      <c r="G3294" s="425" t="s">
        <v>673</v>
      </c>
      <c r="H3294" s="425" t="s">
        <v>2863</v>
      </c>
      <c r="I3294" s="258" t="s">
        <v>9445</v>
      </c>
      <c r="J3294" s="259" t="s">
        <v>1149</v>
      </c>
      <c r="K3294" s="260">
        <v>675.0</v>
      </c>
      <c r="L3294" s="442"/>
      <c r="M3294" s="426"/>
      <c r="N3294" s="173" t="s">
        <v>679</v>
      </c>
      <c r="O3294" s="173" t="s">
        <v>225</v>
      </c>
      <c r="P3294" s="262" t="str">
        <f t="shared" si="1"/>
        <v>IN-BLR-ANANTA-FAN-242_6</v>
      </c>
      <c r="Q3294" s="173" t="s">
        <v>10188</v>
      </c>
      <c r="R3294" s="425" t="str">
        <f>IFS(C3294="","",C3294="n/a","N/A",LEN(C3294),Concatenate("{",char(34),"asset",char(34),":{",char(34),"guid",char(34),":",char(34),Q3294,char(34),",",char(34),"site",char(34),":",char(34),LOWER('2-Building'!$B$4),char(34),",",char(34),"name",char(34),":",char(34),LOWER(C3294),char(34),"}}"))</f>
        <v>{"asset":{"guid":"uuid://1d21ad08-44cd-4154-8ccb-1328dcda91e8","site":"in-blr-ananta","name":"fan-242"}}</v>
      </c>
      <c r="S3294" s="369" t="s">
        <v>2866</v>
      </c>
      <c r="T3294" s="427"/>
      <c r="U3294" s="427"/>
      <c r="V3294" s="428"/>
      <c r="W3294" s="429"/>
      <c r="X3294" s="430"/>
      <c r="Y3294" s="33" t="s">
        <v>8076</v>
      </c>
      <c r="Z3294" s="430"/>
      <c r="AA3294" s="430"/>
      <c r="AB3294" s="258">
        <v>51.0</v>
      </c>
      <c r="AC3294" s="430"/>
      <c r="AD3294" s="426"/>
      <c r="AE3294" s="428"/>
      <c r="AF3294" s="431"/>
      <c r="AG3294" s="432" t="str">
        <f>IFS(LEN(AF3294)=17,LOWER('2-Building'!$B$4 &amp; "-" &amp; C3294), AF3294="N/A", "N/A", LEN(AF3294)=0,"")</f>
        <v/>
      </c>
      <c r="AH3294" s="430"/>
      <c r="AI3294" s="430"/>
      <c r="AJ3294" s="430"/>
      <c r="AK3294" s="430"/>
      <c r="AL3294" s="430"/>
      <c r="AM3294" s="433"/>
      <c r="AN3294" s="430"/>
      <c r="AO3294" s="430"/>
      <c r="AP3294" s="430"/>
      <c r="AQ3294" s="430"/>
      <c r="AR3294" s="430"/>
      <c r="AS3294" s="430"/>
      <c r="AT3294" s="430"/>
      <c r="AU3294" s="426"/>
      <c r="AV3294" s="434"/>
      <c r="AW3294" s="269" t="s">
        <v>1714</v>
      </c>
      <c r="AX3294" s="269" t="s">
        <v>2869</v>
      </c>
      <c r="AY3294" s="270" t="s">
        <v>695</v>
      </c>
      <c r="AZ3294" s="435"/>
      <c r="BA3294" s="173">
        <v>10.0</v>
      </c>
      <c r="BB3294" s="434"/>
      <c r="BC3294" s="434"/>
      <c r="BD3294" s="308" t="s">
        <v>1844</v>
      </c>
      <c r="BE3294" s="436"/>
      <c r="BF3294" s="274" t="str">
        <f>IFERROR(__xludf.DUMMYFUNCTION("LOWER(Regexreplace(to_text(E3294),""[^A-Za-z0-9]"","""")&amp;""_""&amp;Regexreplace(to_text(F3294),""[^A-Za-z0-9]"",""""))"),"aquagen_evcbseries")</f>
        <v>aquagen_evcbseries</v>
      </c>
      <c r="BG3294" s="275" t="str">
        <f>IFERROR(__xludf.DUMMYFUNCTION("upper(Regexreplace(to_text(E3294),""[^A-Za-z0-9]"","""")&amp;""-""&amp;Regexreplace(to_text(F3294),""[^A-Za-z0-9]"",""""))"),"AQUAGEN-EVCBSERIES")</f>
        <v>AQUAGEN-EVCBSERIES</v>
      </c>
    </row>
    <row r="3295" ht="30.0" customHeight="1">
      <c r="A3295" s="173">
        <v>2689.0</v>
      </c>
      <c r="B3295" s="328" t="s">
        <v>670</v>
      </c>
      <c r="C3295" s="257" t="s">
        <v>10189</v>
      </c>
      <c r="D3295" s="173" t="s">
        <v>10190</v>
      </c>
      <c r="E3295" s="174" t="s">
        <v>2861</v>
      </c>
      <c r="F3295" s="173" t="s">
        <v>2862</v>
      </c>
      <c r="G3295" s="328" t="s">
        <v>673</v>
      </c>
      <c r="H3295" s="328" t="s">
        <v>2863</v>
      </c>
      <c r="I3295" s="258" t="s">
        <v>9445</v>
      </c>
      <c r="J3295" s="259" t="s">
        <v>1149</v>
      </c>
      <c r="K3295" s="260">
        <v>675.0</v>
      </c>
      <c r="L3295" s="366"/>
      <c r="M3295" s="329"/>
      <c r="N3295" s="173" t="s">
        <v>679</v>
      </c>
      <c r="O3295" s="173" t="s">
        <v>225</v>
      </c>
      <c r="P3295" s="262" t="str">
        <f t="shared" si="1"/>
        <v>IN-BLR-ANANTA-FAN-243_6</v>
      </c>
      <c r="Q3295" s="173" t="s">
        <v>10191</v>
      </c>
      <c r="R3295" s="328" t="str">
        <f>IFS(C3295="","",C3295="n/a","N/A",LEN(C3295),Concatenate("{",char(34),"asset",char(34),":{",char(34),"guid",char(34),":",char(34),Q3295,char(34),",",char(34),"site",char(34),":",char(34),LOWER('2-Building'!$B$4),char(34),",",char(34),"name",char(34),":",char(34),LOWER(C3295),char(34),"}}"))</f>
        <v>{"asset":{"guid":"uuid://6685d619-ac4c-40b4-9cc1-299c287f403f","site":"in-blr-ananta","name":"fan-243"}}</v>
      </c>
      <c r="S3295" s="369" t="s">
        <v>2866</v>
      </c>
      <c r="T3295" s="330"/>
      <c r="U3295" s="330"/>
      <c r="V3295" s="331"/>
      <c r="W3295" s="332"/>
      <c r="X3295" s="333"/>
      <c r="Y3295" s="33" t="s">
        <v>8076</v>
      </c>
      <c r="Z3295" s="368"/>
      <c r="AA3295" s="333"/>
      <c r="AB3295" s="258">
        <v>52.0</v>
      </c>
      <c r="AC3295" s="333"/>
      <c r="AD3295" s="329"/>
      <c r="AE3295" s="331"/>
      <c r="AF3295" s="336"/>
      <c r="AG3295" s="337" t="str">
        <f>IFS(LEN(AF3295)=17,LOWER('2-Building'!$B$4 &amp; "-" &amp; C3295), AF3295="N/A", "N/A", LEN(AF3295)=0,"")</f>
        <v/>
      </c>
      <c r="AH3295" s="333"/>
      <c r="AI3295" s="333"/>
      <c r="AJ3295" s="333"/>
      <c r="AK3295" s="333"/>
      <c r="AL3295" s="333"/>
      <c r="AM3295" s="338"/>
      <c r="AN3295" s="333"/>
      <c r="AO3295" s="333"/>
      <c r="AP3295" s="333"/>
      <c r="AQ3295" s="333"/>
      <c r="AR3295" s="333"/>
      <c r="AS3295" s="333"/>
      <c r="AT3295" s="333"/>
      <c r="AU3295" s="329"/>
      <c r="AV3295" s="341"/>
      <c r="AW3295" s="269" t="s">
        <v>1714</v>
      </c>
      <c r="AX3295" s="269" t="s">
        <v>2869</v>
      </c>
      <c r="AY3295" s="270" t="s">
        <v>695</v>
      </c>
      <c r="AZ3295" s="379"/>
      <c r="BA3295" s="173">
        <v>10.0</v>
      </c>
      <c r="BB3295" s="341"/>
      <c r="BC3295" s="341"/>
      <c r="BD3295" s="308" t="s">
        <v>1844</v>
      </c>
      <c r="BE3295" s="364"/>
      <c r="BF3295" s="274" t="str">
        <f>IFERROR(__xludf.DUMMYFUNCTION("LOWER(Regexreplace(to_text(E3295),""[^A-Za-z0-9]"","""")&amp;""_""&amp;Regexreplace(to_text(F3295),""[^A-Za-z0-9]"",""""))"),"neptronic_evcbseries")</f>
        <v>neptronic_evcbseries</v>
      </c>
      <c r="BG3295" s="275" t="str">
        <f>IFERROR(__xludf.DUMMYFUNCTION("upper(Regexreplace(to_text(E3295),""[^A-Za-z0-9]"","""")&amp;""-""&amp;Regexreplace(to_text(F3295),""[^A-Za-z0-9]"",""""))"),"NEPTRONIC-EVCBSERIES")</f>
        <v>NEPTRONIC-EVCBSERIES</v>
      </c>
    </row>
    <row r="3296" ht="30.0" customHeight="1">
      <c r="A3296" s="173">
        <v>2691.0</v>
      </c>
      <c r="B3296" s="328" t="s">
        <v>670</v>
      </c>
      <c r="C3296" s="257" t="s">
        <v>10192</v>
      </c>
      <c r="D3296" s="173" t="s">
        <v>10193</v>
      </c>
      <c r="E3296" s="174" t="s">
        <v>2861</v>
      </c>
      <c r="F3296" s="173" t="s">
        <v>2862</v>
      </c>
      <c r="G3296" s="328" t="s">
        <v>673</v>
      </c>
      <c r="H3296" s="328" t="s">
        <v>2863</v>
      </c>
      <c r="I3296" s="258" t="s">
        <v>9445</v>
      </c>
      <c r="J3296" s="259" t="s">
        <v>1149</v>
      </c>
      <c r="K3296" s="260">
        <v>675.0</v>
      </c>
      <c r="L3296" s="366"/>
      <c r="M3296" s="329"/>
      <c r="N3296" s="173" t="s">
        <v>679</v>
      </c>
      <c r="O3296" s="173" t="s">
        <v>225</v>
      </c>
      <c r="P3296" s="262" t="str">
        <f t="shared" si="1"/>
        <v>IN-BLR-ANANTA-FAN-244_6</v>
      </c>
      <c r="Q3296" s="173" t="s">
        <v>10194</v>
      </c>
      <c r="R3296" s="328" t="str">
        <f>IFS(C3296="","",C3296="n/a","N/A",LEN(C3296),Concatenate("{",char(34),"asset",char(34),":{",char(34),"guid",char(34),":",char(34),Q3296,char(34),",",char(34),"site",char(34),":",char(34),LOWER('2-Building'!$B$4),char(34),",",char(34),"name",char(34),":",char(34),LOWER(C3296),char(34),"}}"))</f>
        <v>{"asset":{"guid":"uuid://ebaf07f7-b52b-4bcd-9f35-680b90d495c5","site":"in-blr-ananta","name":"fan-244"}}</v>
      </c>
      <c r="S3296" s="369" t="s">
        <v>2866</v>
      </c>
      <c r="T3296" s="330"/>
      <c r="U3296" s="330"/>
      <c r="V3296" s="331"/>
      <c r="W3296" s="332"/>
      <c r="X3296" s="333"/>
      <c r="Y3296" s="33" t="s">
        <v>8076</v>
      </c>
      <c r="Z3296" s="368"/>
      <c r="AA3296" s="333"/>
      <c r="AB3296" s="258">
        <v>53.0</v>
      </c>
      <c r="AC3296" s="333"/>
      <c r="AD3296" s="329"/>
      <c r="AE3296" s="331"/>
      <c r="AF3296" s="336"/>
      <c r="AG3296" s="337" t="str">
        <f>IFS(LEN(AF3296)=17,LOWER('2-Building'!$B$4 &amp; "-" &amp; C3296), AF3296="N/A", "N/A", LEN(AF3296)=0,"")</f>
        <v/>
      </c>
      <c r="AH3296" s="333"/>
      <c r="AI3296" s="333"/>
      <c r="AJ3296" s="333"/>
      <c r="AK3296" s="333"/>
      <c r="AL3296" s="333"/>
      <c r="AM3296" s="338"/>
      <c r="AN3296" s="333"/>
      <c r="AO3296" s="333"/>
      <c r="AP3296" s="333"/>
      <c r="AQ3296" s="333"/>
      <c r="AR3296" s="333"/>
      <c r="AS3296" s="333"/>
      <c r="AT3296" s="333"/>
      <c r="AU3296" s="329"/>
      <c r="AV3296" s="341"/>
      <c r="AW3296" s="269" t="s">
        <v>1714</v>
      </c>
      <c r="AX3296" s="269" t="s">
        <v>2869</v>
      </c>
      <c r="AY3296" s="270" t="s">
        <v>695</v>
      </c>
      <c r="AZ3296" s="379"/>
      <c r="BA3296" s="173">
        <v>10.0</v>
      </c>
      <c r="BB3296" s="341"/>
      <c r="BC3296" s="341"/>
      <c r="BD3296" s="308" t="s">
        <v>1844</v>
      </c>
      <c r="BE3296" s="364"/>
      <c r="BF3296" s="274" t="str">
        <f>IFERROR(__xludf.DUMMYFUNCTION("LOWER(Regexreplace(to_text(E3296),""[^A-Za-z0-9]"","""")&amp;""_""&amp;Regexreplace(to_text(F3296),""[^A-Za-z0-9]"",""""))"),"neptronic_evcbseries")</f>
        <v>neptronic_evcbseries</v>
      </c>
      <c r="BG3296" s="275" t="str">
        <f>IFERROR(__xludf.DUMMYFUNCTION("upper(Regexreplace(to_text(E3296),""[^A-Za-z0-9]"","""")&amp;""-""&amp;Regexreplace(to_text(F3296),""[^A-Za-z0-9]"",""""))"),"NEPTRONIC-EVCBSERIES")</f>
        <v>NEPTRONIC-EVCBSERIES</v>
      </c>
    </row>
    <row r="3297" ht="30.0" customHeight="1">
      <c r="A3297" s="258">
        <v>2690.0</v>
      </c>
      <c r="B3297" s="328" t="s">
        <v>670</v>
      </c>
      <c r="C3297" s="257" t="s">
        <v>10195</v>
      </c>
      <c r="D3297" s="173" t="s">
        <v>10196</v>
      </c>
      <c r="E3297" s="174" t="s">
        <v>2861</v>
      </c>
      <c r="F3297" s="173" t="s">
        <v>2862</v>
      </c>
      <c r="G3297" s="328" t="s">
        <v>673</v>
      </c>
      <c r="H3297" s="328" t="s">
        <v>2863</v>
      </c>
      <c r="I3297" s="258" t="s">
        <v>9445</v>
      </c>
      <c r="J3297" s="259" t="s">
        <v>1149</v>
      </c>
      <c r="K3297" s="260">
        <v>675.0</v>
      </c>
      <c r="L3297" s="366"/>
      <c r="M3297" s="329"/>
      <c r="N3297" s="173" t="s">
        <v>679</v>
      </c>
      <c r="O3297" s="173" t="s">
        <v>225</v>
      </c>
      <c r="P3297" s="262" t="str">
        <f t="shared" si="1"/>
        <v>IN-BLR-ANANTA-FAN-245_6</v>
      </c>
      <c r="Q3297" s="173" t="s">
        <v>10197</v>
      </c>
      <c r="R3297" s="328" t="str">
        <f>IFS(C3297="","",C3297="n/a","N/A",LEN(C3297),Concatenate("{",char(34),"asset",char(34),":{",char(34),"guid",char(34),":",char(34),Q3297,char(34),",",char(34),"site",char(34),":",char(34),LOWER('2-Building'!$B$4),char(34),",",char(34),"name",char(34),":",char(34),LOWER(C3297),char(34),"}}"))</f>
        <v>{"asset":{"guid":"uuid://f3b445e6-514d-45a3-b779-1f408b59a4dc","site":"in-blr-ananta","name":"fan-245"}}</v>
      </c>
      <c r="S3297" s="369" t="s">
        <v>2866</v>
      </c>
      <c r="T3297" s="330"/>
      <c r="U3297" s="330"/>
      <c r="V3297" s="331"/>
      <c r="W3297" s="332"/>
      <c r="X3297" s="333"/>
      <c r="Y3297" s="33" t="s">
        <v>8076</v>
      </c>
      <c r="Z3297" s="368"/>
      <c r="AA3297" s="333"/>
      <c r="AB3297" s="258">
        <v>54.0</v>
      </c>
      <c r="AC3297" s="333"/>
      <c r="AD3297" s="329"/>
      <c r="AE3297" s="331"/>
      <c r="AF3297" s="336"/>
      <c r="AG3297" s="337" t="str">
        <f>IFS(LEN(AF3297)=17,LOWER('2-Building'!$B$4 &amp; "-" &amp; C3297), AF3297="N/A", "N/A", LEN(AF3297)=0,"")</f>
        <v/>
      </c>
      <c r="AH3297" s="333"/>
      <c r="AI3297" s="333"/>
      <c r="AJ3297" s="333"/>
      <c r="AK3297" s="333"/>
      <c r="AL3297" s="333"/>
      <c r="AM3297" s="338"/>
      <c r="AN3297" s="333"/>
      <c r="AO3297" s="333"/>
      <c r="AP3297" s="333"/>
      <c r="AQ3297" s="333"/>
      <c r="AR3297" s="333"/>
      <c r="AS3297" s="333"/>
      <c r="AT3297" s="333"/>
      <c r="AU3297" s="329"/>
      <c r="AV3297" s="341"/>
      <c r="AW3297" s="269" t="s">
        <v>1714</v>
      </c>
      <c r="AX3297" s="269" t="s">
        <v>2869</v>
      </c>
      <c r="AY3297" s="270" t="s">
        <v>695</v>
      </c>
      <c r="AZ3297" s="379"/>
      <c r="BA3297" s="173">
        <v>10.0</v>
      </c>
      <c r="BB3297" s="341"/>
      <c r="BC3297" s="341"/>
      <c r="BD3297" s="308" t="s">
        <v>1844</v>
      </c>
      <c r="BE3297" s="364"/>
      <c r="BF3297" s="274" t="str">
        <f>IFERROR(__xludf.DUMMYFUNCTION("LOWER(Regexreplace(to_text(E3297),""[^A-Za-z0-9]"","""")&amp;""_""&amp;Regexreplace(to_text(F3297),""[^A-Za-z0-9]"",""""))"),"neptronic_evcbseries")</f>
        <v>neptronic_evcbseries</v>
      </c>
      <c r="BG3297" s="275" t="str">
        <f>IFERROR(__xludf.DUMMYFUNCTION("upper(Regexreplace(to_text(E3297),""[^A-Za-z0-9]"","""")&amp;""-""&amp;Regexreplace(to_text(F3297),""[^A-Za-z0-9]"",""""))"),"NEPTRONIC-EVCBSERIES")</f>
        <v>NEPTRONIC-EVCBSERIES</v>
      </c>
    </row>
    <row r="3298" ht="30.0" customHeight="1">
      <c r="A3298" s="328">
        <v>2690.0</v>
      </c>
      <c r="B3298" s="425" t="s">
        <v>670</v>
      </c>
      <c r="C3298" s="257" t="s">
        <v>10198</v>
      </c>
      <c r="D3298" s="173" t="s">
        <v>10199</v>
      </c>
      <c r="E3298" s="174" t="s">
        <v>2861</v>
      </c>
      <c r="F3298" s="173" t="s">
        <v>2862</v>
      </c>
      <c r="G3298" s="425" t="s">
        <v>673</v>
      </c>
      <c r="H3298" s="425" t="s">
        <v>2863</v>
      </c>
      <c r="I3298" s="258" t="s">
        <v>9445</v>
      </c>
      <c r="J3298" s="259" t="s">
        <v>1149</v>
      </c>
      <c r="K3298" s="260">
        <v>675.0</v>
      </c>
      <c r="L3298" s="442"/>
      <c r="M3298" s="426"/>
      <c r="N3298" s="173" t="s">
        <v>679</v>
      </c>
      <c r="O3298" s="173" t="s">
        <v>225</v>
      </c>
      <c r="P3298" s="262" t="str">
        <f t="shared" si="1"/>
        <v>IN-BLR-ANANTA-FAN-246_6</v>
      </c>
      <c r="Q3298" s="173" t="s">
        <v>10200</v>
      </c>
      <c r="R3298" s="433" t="str">
        <f>IFS(C3298="","",C3298="n/a","N/A",LEN(C3298),Concatenate("{",char(34),"asset",char(34),":{",char(34),"guid",char(34),":",char(34),Q3298,char(34),",",char(34),"site",char(34),":",char(34),LOWER('2-Building'!$B$4),char(34),",",char(34),"name",char(34),":",char(34),LOWER(C3298),char(34),"}}"))</f>
        <v>{"asset":{"guid":"uuid://1bef8c65-1ee2-4f3b-a2c0-3bd47f0402ea","site":"in-blr-ananta","name":"fan-246"}}</v>
      </c>
      <c r="S3298" s="369" t="s">
        <v>2866</v>
      </c>
      <c r="T3298" s="427"/>
      <c r="U3298" s="427"/>
      <c r="V3298" s="428"/>
      <c r="W3298" s="429"/>
      <c r="X3298" s="430"/>
      <c r="Y3298" s="33" t="s">
        <v>8076</v>
      </c>
      <c r="Z3298" s="430"/>
      <c r="AA3298" s="430"/>
      <c r="AB3298" s="258">
        <v>55.0</v>
      </c>
      <c r="AC3298" s="430"/>
      <c r="AD3298" s="426"/>
      <c r="AE3298" s="428"/>
      <c r="AF3298" s="431"/>
      <c r="AG3298" s="432" t="str">
        <f>IFS(LEN(AF3298)=17,LOWER('2-Building'!$B$4 &amp; "-" &amp; C3298), AF3298="N/A", "N/A", LEN(AF3298)=0,"")</f>
        <v/>
      </c>
      <c r="AH3298" s="430"/>
      <c r="AI3298" s="430"/>
      <c r="AJ3298" s="430"/>
      <c r="AK3298" s="430"/>
      <c r="AL3298" s="430"/>
      <c r="AM3298" s="433"/>
      <c r="AN3298" s="430"/>
      <c r="AO3298" s="430"/>
      <c r="AP3298" s="430"/>
      <c r="AQ3298" s="430"/>
      <c r="AR3298" s="430"/>
      <c r="AS3298" s="430"/>
      <c r="AT3298" s="430"/>
      <c r="AU3298" s="426"/>
      <c r="AV3298" s="434"/>
      <c r="AW3298" s="269" t="s">
        <v>1714</v>
      </c>
      <c r="AX3298" s="269" t="s">
        <v>2869</v>
      </c>
      <c r="AY3298" s="270" t="s">
        <v>695</v>
      </c>
      <c r="AZ3298" s="435"/>
      <c r="BA3298" s="173">
        <v>10.0</v>
      </c>
      <c r="BB3298" s="434"/>
      <c r="BC3298" s="434"/>
      <c r="BD3298" s="308" t="s">
        <v>1844</v>
      </c>
      <c r="BE3298" s="436"/>
      <c r="BF3298" s="274" t="str">
        <f>IFERROR(__xludf.DUMMYFUNCTION("LOWER(Regexreplace(to_text(E3298),""[^A-Za-z0-9]"","""")&amp;""_""&amp;Regexreplace(to_text(F3298),""[^A-Za-z0-9]"",""""))"),"neptronic_evcbseries")</f>
        <v>neptronic_evcbseries</v>
      </c>
      <c r="BG3298" s="275" t="str">
        <f>IFERROR(__xludf.DUMMYFUNCTION("upper(Regexreplace(to_text(E3298),""[^A-Za-z0-9]"","""")&amp;""-""&amp;Regexreplace(to_text(F3298),""[^A-Za-z0-9]"",""""))"),"NEPTRONIC-EVCBSERIES")</f>
        <v>NEPTRONIC-EVCBSERIES</v>
      </c>
    </row>
    <row r="3299" ht="30.0" customHeight="1">
      <c r="A3299" s="258">
        <v>2690.0</v>
      </c>
      <c r="B3299" s="328" t="s">
        <v>670</v>
      </c>
      <c r="C3299" s="257" t="s">
        <v>10201</v>
      </c>
      <c r="D3299" s="173" t="s">
        <v>10202</v>
      </c>
      <c r="E3299" s="174" t="s">
        <v>2861</v>
      </c>
      <c r="F3299" s="173" t="s">
        <v>2862</v>
      </c>
      <c r="G3299" s="328" t="s">
        <v>673</v>
      </c>
      <c r="H3299" s="328" t="s">
        <v>2863</v>
      </c>
      <c r="I3299" s="258" t="s">
        <v>9445</v>
      </c>
      <c r="J3299" s="259" t="s">
        <v>1211</v>
      </c>
      <c r="K3299" s="260" t="s">
        <v>10203</v>
      </c>
      <c r="L3299" s="366"/>
      <c r="M3299" s="329"/>
      <c r="N3299" s="173" t="s">
        <v>679</v>
      </c>
      <c r="O3299" s="173" t="s">
        <v>225</v>
      </c>
      <c r="P3299" s="262" t="str">
        <f t="shared" si="1"/>
        <v>IN-BLR-ANANTA-FAN-247_7</v>
      </c>
      <c r="Q3299" s="173" t="s">
        <v>10204</v>
      </c>
      <c r="R3299" s="328" t="str">
        <f>IFS(C3299="","",C3299="n/a","N/A",LEN(C3299),Concatenate("{",char(34),"asset",char(34),":{",char(34),"guid",char(34),":",char(34),Q3299,char(34),",",char(34),"site",char(34),":",char(34),LOWER('2-Building'!$B$4),char(34),",",char(34),"name",char(34),":",char(34),LOWER(C3299),char(34),"}}"))</f>
        <v>{"asset":{"guid":"uuid://76a52a44-1452-429e-aead-45fd1050e7fc","site":"in-blr-ananta","name":"fan-247"}}</v>
      </c>
      <c r="S3299" s="369" t="s">
        <v>2866</v>
      </c>
      <c r="T3299" s="330"/>
      <c r="U3299" s="330"/>
      <c r="V3299" s="331"/>
      <c r="W3299" s="332"/>
      <c r="X3299" s="333"/>
      <c r="Y3299" s="33" t="s">
        <v>8076</v>
      </c>
      <c r="Z3299" s="368"/>
      <c r="AA3299" s="333"/>
      <c r="AB3299" s="258">
        <v>130.0</v>
      </c>
      <c r="AC3299" s="333"/>
      <c r="AD3299" s="329"/>
      <c r="AE3299" s="331"/>
      <c r="AF3299" s="336"/>
      <c r="AG3299" s="337" t="str">
        <f>IFS(LEN(AF3299)=17,LOWER('2-Building'!$B$4 &amp; "-" &amp; C3299), AF3299="N/A", "N/A", LEN(AF3299)=0,"")</f>
        <v/>
      </c>
      <c r="AH3299" s="333"/>
      <c r="AI3299" s="333"/>
      <c r="AJ3299" s="333"/>
      <c r="AK3299" s="333"/>
      <c r="AL3299" s="333"/>
      <c r="AM3299" s="338"/>
      <c r="AN3299" s="333"/>
      <c r="AO3299" s="333"/>
      <c r="AP3299" s="333"/>
      <c r="AQ3299" s="333"/>
      <c r="AR3299" s="333"/>
      <c r="AS3299" s="333"/>
      <c r="AT3299" s="333"/>
      <c r="AU3299" s="329"/>
      <c r="AV3299" s="341"/>
      <c r="AW3299" s="269" t="s">
        <v>1714</v>
      </c>
      <c r="AX3299" s="269" t="s">
        <v>2869</v>
      </c>
      <c r="AY3299" s="270" t="s">
        <v>695</v>
      </c>
      <c r="AZ3299" s="379"/>
      <c r="BA3299" s="173">
        <v>10.0</v>
      </c>
      <c r="BB3299" s="341"/>
      <c r="BC3299" s="341"/>
      <c r="BD3299" s="308" t="s">
        <v>1844</v>
      </c>
      <c r="BE3299" s="364"/>
      <c r="BF3299" s="274" t="str">
        <f>IFERROR(__xludf.DUMMYFUNCTION("LOWER(Regexreplace(to_text(E3299),""[^A-Za-z0-9]"","""")&amp;""_""&amp;Regexreplace(to_text(F3299),""[^A-Za-z0-9]"",""""))"),"neptronic_evcbseries")</f>
        <v>neptronic_evcbseries</v>
      </c>
      <c r="BG3299" s="275" t="str">
        <f>IFERROR(__xludf.DUMMYFUNCTION("upper(Regexreplace(to_text(E3299),""[^A-Za-z0-9]"","""")&amp;""-""&amp;Regexreplace(to_text(F3299),""[^A-Za-z0-9]"",""""))"),"NEPTRONIC-EVCBSERIES")</f>
        <v>NEPTRONIC-EVCBSERIES</v>
      </c>
    </row>
    <row r="3300" ht="30.0" customHeight="1">
      <c r="A3300" s="328">
        <v>2690.0</v>
      </c>
      <c r="B3300" s="425" t="s">
        <v>670</v>
      </c>
      <c r="C3300" s="257" t="s">
        <v>10205</v>
      </c>
      <c r="D3300" s="173" t="s">
        <v>10206</v>
      </c>
      <c r="E3300" s="174" t="s">
        <v>2861</v>
      </c>
      <c r="F3300" s="173" t="s">
        <v>2862</v>
      </c>
      <c r="G3300" s="425" t="s">
        <v>673</v>
      </c>
      <c r="H3300" s="425" t="s">
        <v>2863</v>
      </c>
      <c r="I3300" s="258" t="s">
        <v>9445</v>
      </c>
      <c r="J3300" s="259" t="s">
        <v>1211</v>
      </c>
      <c r="K3300" s="260" t="s">
        <v>10203</v>
      </c>
      <c r="L3300" s="442"/>
      <c r="M3300" s="426"/>
      <c r="N3300" s="173" t="s">
        <v>679</v>
      </c>
      <c r="O3300" s="173" t="s">
        <v>225</v>
      </c>
      <c r="P3300" s="262" t="str">
        <f t="shared" si="1"/>
        <v>IN-BLR-ANANTA-FAN-248_7</v>
      </c>
      <c r="Q3300" s="173" t="s">
        <v>10207</v>
      </c>
      <c r="R3300" s="433" t="str">
        <f>IFS(C3300="","",C3300="n/a","N/A",LEN(C3300),Concatenate("{",char(34),"asset",char(34),":{",char(34),"guid",char(34),":",char(34),Q3300,char(34),",",char(34),"site",char(34),":",char(34),LOWER('2-Building'!$B$4),char(34),",",char(34),"name",char(34),":",char(34),LOWER(C3300),char(34),"}}"))</f>
        <v>{"asset":{"guid":"uuid://224bd96c-bce1-4301-a811-c34d6c3dfeb8","site":"in-blr-ananta","name":"fan-248"}}</v>
      </c>
      <c r="S3300" s="369" t="s">
        <v>2866</v>
      </c>
      <c r="T3300" s="427"/>
      <c r="U3300" s="427"/>
      <c r="V3300" s="428"/>
      <c r="W3300" s="429"/>
      <c r="X3300" s="430"/>
      <c r="Y3300" s="33" t="s">
        <v>8076</v>
      </c>
      <c r="Z3300" s="430"/>
      <c r="AA3300" s="430"/>
      <c r="AB3300" s="258">
        <v>131.0</v>
      </c>
      <c r="AC3300" s="430"/>
      <c r="AD3300" s="426"/>
      <c r="AE3300" s="428"/>
      <c r="AF3300" s="431"/>
      <c r="AG3300" s="432" t="str">
        <f>IFS(LEN(AF3300)=17,LOWER('2-Building'!$B$4 &amp; "-" &amp; C3300), AF3300="N/A", "N/A", LEN(AF3300)=0,"")</f>
        <v/>
      </c>
      <c r="AH3300" s="430"/>
      <c r="AI3300" s="430"/>
      <c r="AJ3300" s="430"/>
      <c r="AK3300" s="430"/>
      <c r="AL3300" s="430"/>
      <c r="AM3300" s="433"/>
      <c r="AN3300" s="430"/>
      <c r="AO3300" s="430"/>
      <c r="AP3300" s="430"/>
      <c r="AQ3300" s="430"/>
      <c r="AR3300" s="430"/>
      <c r="AS3300" s="430"/>
      <c r="AT3300" s="430"/>
      <c r="AU3300" s="426"/>
      <c r="AV3300" s="434"/>
      <c r="AW3300" s="269" t="s">
        <v>1714</v>
      </c>
      <c r="AX3300" s="269" t="s">
        <v>2869</v>
      </c>
      <c r="AY3300" s="270" t="s">
        <v>695</v>
      </c>
      <c r="AZ3300" s="435"/>
      <c r="BA3300" s="173">
        <v>10.0</v>
      </c>
      <c r="BB3300" s="434"/>
      <c r="BC3300" s="434"/>
      <c r="BD3300" s="308" t="s">
        <v>1844</v>
      </c>
      <c r="BE3300" s="436"/>
      <c r="BF3300" s="274" t="str">
        <f>IFERROR(__xludf.DUMMYFUNCTION("LOWER(Regexreplace(to_text(E3300),""[^A-Za-z0-9]"","""")&amp;""_""&amp;Regexreplace(to_text(F3300),""[^A-Za-z0-9]"",""""))"),"neptronic_evcbseries")</f>
        <v>neptronic_evcbseries</v>
      </c>
      <c r="BG3300" s="275" t="str">
        <f>IFERROR(__xludf.DUMMYFUNCTION("upper(Regexreplace(to_text(E3300),""[^A-Za-z0-9]"","""")&amp;""-""&amp;Regexreplace(to_text(F3300),""[^A-Za-z0-9]"",""""))"),"NEPTRONIC-EVCBSERIES")</f>
        <v>NEPTRONIC-EVCBSERIES</v>
      </c>
    </row>
    <row r="3301" ht="30.0" customHeight="1">
      <c r="A3301" s="328">
        <v>2690.0</v>
      </c>
      <c r="B3301" s="425" t="s">
        <v>670</v>
      </c>
      <c r="C3301" s="257" t="s">
        <v>10208</v>
      </c>
      <c r="D3301" s="173" t="s">
        <v>10209</v>
      </c>
      <c r="E3301" s="174" t="s">
        <v>2861</v>
      </c>
      <c r="F3301" s="173" t="s">
        <v>2862</v>
      </c>
      <c r="G3301" s="425" t="s">
        <v>673</v>
      </c>
      <c r="H3301" s="425" t="s">
        <v>2863</v>
      </c>
      <c r="I3301" s="258" t="s">
        <v>9445</v>
      </c>
      <c r="J3301" s="259" t="s">
        <v>1211</v>
      </c>
      <c r="K3301" s="260" t="s">
        <v>10203</v>
      </c>
      <c r="L3301" s="442"/>
      <c r="M3301" s="426"/>
      <c r="N3301" s="173" t="s">
        <v>679</v>
      </c>
      <c r="O3301" s="173" t="s">
        <v>225</v>
      </c>
      <c r="P3301" s="262" t="str">
        <f t="shared" si="1"/>
        <v>IN-BLR-ANANTA-FAN-249_7</v>
      </c>
      <c r="Q3301" s="173" t="s">
        <v>10210</v>
      </c>
      <c r="R3301" s="425" t="str">
        <f>IFS(C3301="","",C3301="n/a","N/A",LEN(C3301),Concatenate("{",char(34),"asset",char(34),":{",char(34),"guid",char(34),":",char(34),Q3301,char(34),",",char(34),"site",char(34),":",char(34),LOWER('2-Building'!$B$4),char(34),",",char(34),"name",char(34),":",char(34),LOWER(C3301),char(34),"}}"))</f>
        <v>{"asset":{"guid":"uuid://773967fb-653d-4986-ad9c-cbe05392518c","site":"in-blr-ananta","name":"fan-249"}}</v>
      </c>
      <c r="S3301" s="369" t="s">
        <v>2866</v>
      </c>
      <c r="T3301" s="427"/>
      <c r="U3301" s="427"/>
      <c r="V3301" s="428"/>
      <c r="W3301" s="429"/>
      <c r="X3301" s="430"/>
      <c r="Y3301" s="33" t="s">
        <v>8076</v>
      </c>
      <c r="Z3301" s="430"/>
      <c r="AA3301" s="430"/>
      <c r="AB3301" s="258">
        <v>132.0</v>
      </c>
      <c r="AC3301" s="430"/>
      <c r="AD3301" s="426"/>
      <c r="AE3301" s="428"/>
      <c r="AF3301" s="431"/>
      <c r="AG3301" s="432" t="str">
        <f>IFS(LEN(AF3301)=17,LOWER('2-Building'!$B$4 &amp; "-" &amp; C3301), AF3301="N/A", "N/A", LEN(AF3301)=0,"")</f>
        <v/>
      </c>
      <c r="AH3301" s="430"/>
      <c r="AI3301" s="430"/>
      <c r="AJ3301" s="430"/>
      <c r="AK3301" s="430"/>
      <c r="AL3301" s="430"/>
      <c r="AM3301" s="433"/>
      <c r="AN3301" s="430"/>
      <c r="AO3301" s="430"/>
      <c r="AP3301" s="430"/>
      <c r="AQ3301" s="430"/>
      <c r="AR3301" s="430"/>
      <c r="AS3301" s="430"/>
      <c r="AT3301" s="430"/>
      <c r="AU3301" s="426"/>
      <c r="AV3301" s="434"/>
      <c r="AW3301" s="269" t="s">
        <v>1714</v>
      </c>
      <c r="AX3301" s="269" t="s">
        <v>2869</v>
      </c>
      <c r="AY3301" s="270" t="s">
        <v>695</v>
      </c>
      <c r="AZ3301" s="435"/>
      <c r="BA3301" s="173">
        <v>10.0</v>
      </c>
      <c r="BB3301" s="434"/>
      <c r="BC3301" s="434"/>
      <c r="BD3301" s="308" t="s">
        <v>1844</v>
      </c>
      <c r="BE3301" s="436"/>
      <c r="BF3301" s="274" t="str">
        <f>IFERROR(__xludf.DUMMYFUNCTION("LOWER(Regexreplace(to_text(E3301),""[^A-Za-z0-9]"","""")&amp;""_""&amp;Regexreplace(to_text(F3301),""[^A-Za-z0-9]"",""""))"),"neptronic_evcbseries")</f>
        <v>neptronic_evcbseries</v>
      </c>
      <c r="BG3301" s="275" t="str">
        <f>IFERROR(__xludf.DUMMYFUNCTION("upper(Regexreplace(to_text(E3301),""[^A-Za-z0-9]"","""")&amp;""-""&amp;Regexreplace(to_text(F3301),""[^A-Za-z0-9]"",""""))"),"NEPTRONIC-EVCBSERIES")</f>
        <v>NEPTRONIC-EVCBSERIES</v>
      </c>
    </row>
    <row r="3302" ht="30.0" customHeight="1">
      <c r="A3302" s="425">
        <v>2690.0</v>
      </c>
      <c r="B3302" s="425" t="s">
        <v>670</v>
      </c>
      <c r="C3302" s="257" t="s">
        <v>10211</v>
      </c>
      <c r="D3302" s="173" t="s">
        <v>10212</v>
      </c>
      <c r="E3302" s="174" t="s">
        <v>2861</v>
      </c>
      <c r="F3302" s="173" t="s">
        <v>2862</v>
      </c>
      <c r="G3302" s="425" t="s">
        <v>673</v>
      </c>
      <c r="H3302" s="425" t="s">
        <v>2863</v>
      </c>
      <c r="I3302" s="258" t="s">
        <v>9445</v>
      </c>
      <c r="J3302" s="259" t="s">
        <v>1211</v>
      </c>
      <c r="K3302" s="260" t="s">
        <v>10203</v>
      </c>
      <c r="L3302" s="442"/>
      <c r="M3302" s="426"/>
      <c r="N3302" s="173" t="s">
        <v>679</v>
      </c>
      <c r="O3302" s="173" t="s">
        <v>225</v>
      </c>
      <c r="P3302" s="262" t="str">
        <f t="shared" si="1"/>
        <v>IN-BLR-ANANTA-FAN-250_7</v>
      </c>
      <c r="Q3302" s="173" t="s">
        <v>10213</v>
      </c>
      <c r="R3302" s="425" t="str">
        <f>IFS(C3302="","",C3302="n/a","N/A",LEN(C3302),Concatenate("{",char(34),"asset",char(34),":{",char(34),"guid",char(34),":",char(34),Q3302,char(34),",",char(34),"site",char(34),":",char(34),LOWER('2-Building'!$B$4),char(34),",",char(34),"name",char(34),":",char(34),LOWER(C3302),char(34),"}}"))</f>
        <v>{"asset":{"guid":"uuid://f902a17b-69db-4b4c-b042-e6861b3fa4f1","site":"in-blr-ananta","name":"fan-250"}}</v>
      </c>
      <c r="S3302" s="369" t="s">
        <v>2866</v>
      </c>
      <c r="T3302" s="427"/>
      <c r="U3302" s="427"/>
      <c r="V3302" s="428"/>
      <c r="W3302" s="429"/>
      <c r="X3302" s="430"/>
      <c r="Y3302" s="33" t="s">
        <v>8076</v>
      </c>
      <c r="Z3302" s="430"/>
      <c r="AA3302" s="430"/>
      <c r="AB3302" s="258">
        <v>133.0</v>
      </c>
      <c r="AC3302" s="430"/>
      <c r="AD3302" s="426"/>
      <c r="AE3302" s="428"/>
      <c r="AF3302" s="431"/>
      <c r="AG3302" s="432"/>
      <c r="AH3302" s="430"/>
      <c r="AI3302" s="430"/>
      <c r="AJ3302" s="430"/>
      <c r="AK3302" s="430"/>
      <c r="AL3302" s="430"/>
      <c r="AM3302" s="433"/>
      <c r="AN3302" s="430"/>
      <c r="AO3302" s="430"/>
      <c r="AP3302" s="430"/>
      <c r="AQ3302" s="430"/>
      <c r="AR3302" s="430"/>
      <c r="AS3302" s="430"/>
      <c r="AT3302" s="430"/>
      <c r="AU3302" s="426"/>
      <c r="AV3302" s="434"/>
      <c r="AW3302" s="269" t="s">
        <v>1714</v>
      </c>
      <c r="AX3302" s="269" t="s">
        <v>2869</v>
      </c>
      <c r="AY3302" s="270" t="s">
        <v>695</v>
      </c>
      <c r="AZ3302" s="435"/>
      <c r="BA3302" s="173">
        <v>10.0</v>
      </c>
      <c r="BB3302" s="434"/>
      <c r="BC3302" s="434"/>
      <c r="BD3302" s="308" t="s">
        <v>1844</v>
      </c>
      <c r="BE3302" s="436"/>
      <c r="BF3302" s="274" t="str">
        <f>IFERROR(__xludf.DUMMYFUNCTION("LOWER(Regexreplace(to_text(E3302),""[^A-Za-z0-9]"","""")&amp;""_""&amp;Regexreplace(to_text(F3302),""[^A-Za-z0-9]"",""""))"),"neptronic_evcbseries")</f>
        <v>neptronic_evcbseries</v>
      </c>
      <c r="BG3302" s="275" t="str">
        <f>IFERROR(__xludf.DUMMYFUNCTION("upper(Regexreplace(to_text(E3302),""[^A-Za-z0-9]"","""")&amp;""-""&amp;Regexreplace(to_text(F3302),""[^A-Za-z0-9]"",""""))"),"NEPTRONIC-EVCBSERIES")</f>
        <v>NEPTRONIC-EVCBSERIES</v>
      </c>
    </row>
    <row r="3303" ht="30.0" customHeight="1">
      <c r="A3303" s="328">
        <v>2690.0</v>
      </c>
      <c r="B3303" s="425" t="s">
        <v>670</v>
      </c>
      <c r="C3303" s="257" t="s">
        <v>10214</v>
      </c>
      <c r="D3303" s="173" t="s">
        <v>10215</v>
      </c>
      <c r="E3303" s="174" t="s">
        <v>2861</v>
      </c>
      <c r="F3303" s="173" t="s">
        <v>2862</v>
      </c>
      <c r="G3303" s="425" t="s">
        <v>673</v>
      </c>
      <c r="H3303" s="425" t="s">
        <v>2863</v>
      </c>
      <c r="I3303" s="258" t="s">
        <v>9445</v>
      </c>
      <c r="J3303" s="259" t="s">
        <v>1211</v>
      </c>
      <c r="K3303" s="260" t="s">
        <v>10203</v>
      </c>
      <c r="L3303" s="442"/>
      <c r="M3303" s="426"/>
      <c r="N3303" s="173" t="s">
        <v>679</v>
      </c>
      <c r="O3303" s="173" t="s">
        <v>225</v>
      </c>
      <c r="P3303" s="262" t="str">
        <f t="shared" si="1"/>
        <v>IN-BLR-ANANTA-FAN-251_7</v>
      </c>
      <c r="Q3303" s="173" t="s">
        <v>10216</v>
      </c>
      <c r="R3303" s="425" t="str">
        <f>IFS(C3303="","",C3303="n/a","N/A",LEN(C3303),Concatenate("{",char(34),"asset",char(34),":{",char(34),"guid",char(34),":",char(34),Q3303,char(34),",",char(34),"site",char(34),":",char(34),LOWER('2-Building'!$B$4),char(34),",",char(34),"name",char(34),":",char(34),LOWER(C3303),char(34),"}}"))</f>
        <v>{"asset":{"guid":"uuid://73a7cdd9-2033-444d-8c20-fbff08ff446e","site":"in-blr-ananta","name":"fan-251"}}</v>
      </c>
      <c r="S3303" s="369" t="s">
        <v>2866</v>
      </c>
      <c r="T3303" s="427"/>
      <c r="U3303" s="427"/>
      <c r="V3303" s="428"/>
      <c r="W3303" s="429"/>
      <c r="X3303" s="430"/>
      <c r="Y3303" s="33" t="s">
        <v>8076</v>
      </c>
      <c r="Z3303" s="430"/>
      <c r="AA3303" s="430"/>
      <c r="AB3303" s="258">
        <v>134.0</v>
      </c>
      <c r="AC3303" s="430"/>
      <c r="AD3303" s="426"/>
      <c r="AE3303" s="428"/>
      <c r="AF3303" s="431"/>
      <c r="AG3303" s="432"/>
      <c r="AH3303" s="430"/>
      <c r="AI3303" s="430"/>
      <c r="AJ3303" s="430"/>
      <c r="AK3303" s="430"/>
      <c r="AL3303" s="430"/>
      <c r="AM3303" s="433"/>
      <c r="AN3303" s="430"/>
      <c r="AO3303" s="430"/>
      <c r="AP3303" s="430"/>
      <c r="AQ3303" s="430"/>
      <c r="AR3303" s="430"/>
      <c r="AS3303" s="430"/>
      <c r="AT3303" s="430"/>
      <c r="AU3303" s="426"/>
      <c r="AV3303" s="434"/>
      <c r="AW3303" s="269" t="s">
        <v>1714</v>
      </c>
      <c r="AX3303" s="269" t="s">
        <v>2869</v>
      </c>
      <c r="AY3303" s="270" t="s">
        <v>695</v>
      </c>
      <c r="AZ3303" s="435"/>
      <c r="BA3303" s="173">
        <v>10.0</v>
      </c>
      <c r="BB3303" s="434"/>
      <c r="BC3303" s="434"/>
      <c r="BD3303" s="308" t="s">
        <v>1844</v>
      </c>
      <c r="BE3303" s="436"/>
      <c r="BF3303" s="274" t="str">
        <f>IFERROR(__xludf.DUMMYFUNCTION("LOWER(Regexreplace(to_text(E3303),""[^A-Za-z0-9]"","""")&amp;""_""&amp;Regexreplace(to_text(F3303),""[^A-Za-z0-9]"",""""))"),"neptronic_evcbseries")</f>
        <v>neptronic_evcbseries</v>
      </c>
      <c r="BG3303" s="275" t="str">
        <f>IFERROR(__xludf.DUMMYFUNCTION("upper(Regexreplace(to_text(E3303),""[^A-Za-z0-9]"","""")&amp;""-""&amp;Regexreplace(to_text(F3303),""[^A-Za-z0-9]"",""""))"),"NEPTRONIC-EVCBSERIES")</f>
        <v>NEPTRONIC-EVCBSERIES</v>
      </c>
    </row>
    <row r="3304" ht="30.0" customHeight="1">
      <c r="A3304" s="328">
        <v>2690.0</v>
      </c>
      <c r="B3304" s="425" t="s">
        <v>670</v>
      </c>
      <c r="C3304" s="257" t="s">
        <v>10217</v>
      </c>
      <c r="D3304" s="173" t="s">
        <v>10218</v>
      </c>
      <c r="E3304" s="174" t="s">
        <v>2861</v>
      </c>
      <c r="F3304" s="173" t="s">
        <v>2862</v>
      </c>
      <c r="G3304" s="425" t="s">
        <v>673</v>
      </c>
      <c r="H3304" s="425" t="s">
        <v>2863</v>
      </c>
      <c r="I3304" s="258" t="s">
        <v>9445</v>
      </c>
      <c r="J3304" s="259" t="s">
        <v>1211</v>
      </c>
      <c r="K3304" s="260" t="s">
        <v>10203</v>
      </c>
      <c r="L3304" s="442"/>
      <c r="M3304" s="426"/>
      <c r="N3304" s="173" t="s">
        <v>679</v>
      </c>
      <c r="O3304" s="173" t="s">
        <v>225</v>
      </c>
      <c r="P3304" s="262" t="str">
        <f t="shared" si="1"/>
        <v>IN-BLR-ANANTA-FAN-252_7</v>
      </c>
      <c r="Q3304" s="173" t="s">
        <v>10219</v>
      </c>
      <c r="R3304" s="425" t="str">
        <f>IFS(C3304="","",C3304="n/a","N/A",LEN(C3304),Concatenate("{",char(34),"asset",char(34),":{",char(34),"guid",char(34),":",char(34),Q3304,char(34),",",char(34),"site",char(34),":",char(34),LOWER('2-Building'!$B$4),char(34),",",char(34),"name",char(34),":",char(34),LOWER(C3304),char(34),"}}"))</f>
        <v>{"asset":{"guid":"uuid://81973464-621b-4807-b17b-258d481d698d","site":"in-blr-ananta","name":"fan-252"}}</v>
      </c>
      <c r="S3304" s="369" t="s">
        <v>2866</v>
      </c>
      <c r="T3304" s="427"/>
      <c r="U3304" s="427"/>
      <c r="V3304" s="428"/>
      <c r="W3304" s="429"/>
      <c r="X3304" s="430"/>
      <c r="Y3304" s="33" t="s">
        <v>8076</v>
      </c>
      <c r="Z3304" s="430"/>
      <c r="AA3304" s="430"/>
      <c r="AB3304" s="258">
        <v>135.0</v>
      </c>
      <c r="AC3304" s="430"/>
      <c r="AD3304" s="426"/>
      <c r="AE3304" s="428"/>
      <c r="AF3304" s="431"/>
      <c r="AG3304" s="432"/>
      <c r="AH3304" s="430"/>
      <c r="AI3304" s="430"/>
      <c r="AJ3304" s="430"/>
      <c r="AK3304" s="430"/>
      <c r="AL3304" s="430"/>
      <c r="AM3304" s="433"/>
      <c r="AN3304" s="430"/>
      <c r="AO3304" s="430"/>
      <c r="AP3304" s="430"/>
      <c r="AQ3304" s="430"/>
      <c r="AR3304" s="430"/>
      <c r="AS3304" s="430"/>
      <c r="AT3304" s="430"/>
      <c r="AU3304" s="426"/>
      <c r="AV3304" s="434"/>
      <c r="AW3304" s="269" t="s">
        <v>1714</v>
      </c>
      <c r="AX3304" s="269" t="s">
        <v>2869</v>
      </c>
      <c r="AY3304" s="270" t="s">
        <v>695</v>
      </c>
      <c r="AZ3304" s="435"/>
      <c r="BA3304" s="173">
        <v>10.0</v>
      </c>
      <c r="BB3304" s="434"/>
      <c r="BC3304" s="434"/>
      <c r="BD3304" s="308" t="s">
        <v>1844</v>
      </c>
      <c r="BE3304" s="436"/>
      <c r="BF3304" s="274" t="str">
        <f>IFERROR(__xludf.DUMMYFUNCTION("LOWER(Regexreplace(to_text(E3304),""[^A-Za-z0-9]"","""")&amp;""_""&amp;Regexreplace(to_text(F3304),""[^A-Za-z0-9]"",""""))"),"neptronic_evcbseries")</f>
        <v>neptronic_evcbseries</v>
      </c>
      <c r="BG3304" s="275" t="str">
        <f>IFERROR(__xludf.DUMMYFUNCTION("upper(Regexreplace(to_text(E3304),""[^A-Za-z0-9]"","""")&amp;""-""&amp;Regexreplace(to_text(F3304),""[^A-Za-z0-9]"",""""))"),"NEPTRONIC-EVCBSERIES")</f>
        <v>NEPTRONIC-EVCBSERIES</v>
      </c>
    </row>
    <row r="3305" ht="30.0" customHeight="1">
      <c r="A3305" s="328">
        <v>2690.0</v>
      </c>
      <c r="B3305" s="425" t="s">
        <v>670</v>
      </c>
      <c r="C3305" s="257" t="s">
        <v>10220</v>
      </c>
      <c r="D3305" s="173" t="s">
        <v>10221</v>
      </c>
      <c r="E3305" s="174" t="s">
        <v>2861</v>
      </c>
      <c r="F3305" s="173" t="s">
        <v>2862</v>
      </c>
      <c r="G3305" s="425" t="s">
        <v>673</v>
      </c>
      <c r="H3305" s="425" t="s">
        <v>2863</v>
      </c>
      <c r="I3305" s="258" t="s">
        <v>9445</v>
      </c>
      <c r="J3305" s="259" t="s">
        <v>1149</v>
      </c>
      <c r="K3305" s="260" t="s">
        <v>10222</v>
      </c>
      <c r="L3305" s="442"/>
      <c r="M3305" s="426"/>
      <c r="N3305" s="173" t="s">
        <v>679</v>
      </c>
      <c r="O3305" s="173" t="s">
        <v>225</v>
      </c>
      <c r="P3305" s="262" t="str">
        <f t="shared" si="1"/>
        <v>IN-BLR-ANANTA-FAN-253_6</v>
      </c>
      <c r="Q3305" s="173" t="s">
        <v>10223</v>
      </c>
      <c r="R3305" s="425" t="str">
        <f>IFS(C3305="","",C3305="n/a","N/A",LEN(C3305),Concatenate("{",char(34),"asset",char(34),":{",char(34),"guid",char(34),":",char(34),Q3305,char(34),",",char(34),"site",char(34),":",char(34),LOWER('2-Building'!$B$4),char(34),",",char(34),"name",char(34),":",char(34),LOWER(C3305),char(34),"}}"))</f>
        <v>{"asset":{"guid":"uuid://12ae5eef-9d5e-4452-bf53-36498768c5e1","site":"in-blr-ananta","name":"fan-253"}}</v>
      </c>
      <c r="S3305" s="369" t="s">
        <v>2866</v>
      </c>
      <c r="T3305" s="427"/>
      <c r="U3305" s="427"/>
      <c r="V3305" s="428"/>
      <c r="W3305" s="429"/>
      <c r="X3305" s="430"/>
      <c r="Y3305" s="33" t="s">
        <v>8076</v>
      </c>
      <c r="Z3305" s="430"/>
      <c r="AA3305" s="430"/>
      <c r="AB3305" s="258">
        <v>44.0</v>
      </c>
      <c r="AC3305" s="430"/>
      <c r="AD3305" s="426"/>
      <c r="AE3305" s="428"/>
      <c r="AF3305" s="431"/>
      <c r="AG3305" s="432"/>
      <c r="AH3305" s="430"/>
      <c r="AI3305" s="430"/>
      <c r="AJ3305" s="430"/>
      <c r="AK3305" s="430"/>
      <c r="AL3305" s="430"/>
      <c r="AM3305" s="433"/>
      <c r="AN3305" s="430"/>
      <c r="AO3305" s="430"/>
      <c r="AP3305" s="430"/>
      <c r="AQ3305" s="430"/>
      <c r="AR3305" s="430"/>
      <c r="AS3305" s="430"/>
      <c r="AT3305" s="430"/>
      <c r="AU3305" s="426"/>
      <c r="AV3305" s="434"/>
      <c r="AW3305" s="269" t="s">
        <v>1724</v>
      </c>
      <c r="AX3305" s="269" t="s">
        <v>2869</v>
      </c>
      <c r="AY3305" s="270" t="s">
        <v>695</v>
      </c>
      <c r="AZ3305" s="435"/>
      <c r="BA3305" s="173">
        <v>10.0</v>
      </c>
      <c r="BB3305" s="434"/>
      <c r="BC3305" s="434"/>
      <c r="BD3305" s="308" t="s">
        <v>1844</v>
      </c>
      <c r="BE3305" s="436"/>
      <c r="BF3305" s="274" t="str">
        <f>IFERROR(__xludf.DUMMYFUNCTION("LOWER(Regexreplace(to_text(E3305),""[^A-Za-z0-9]"","""")&amp;""_""&amp;Regexreplace(to_text(F3305),""[^A-Za-z0-9]"",""""))"),"neptronic_evcbseries")</f>
        <v>neptronic_evcbseries</v>
      </c>
      <c r="BG3305" s="275" t="str">
        <f>IFERROR(__xludf.DUMMYFUNCTION("upper(Regexreplace(to_text(E3305),""[^A-Za-z0-9]"","""")&amp;""-""&amp;Regexreplace(to_text(F3305),""[^A-Za-z0-9]"",""""))"),"NEPTRONIC-EVCBSERIES")</f>
        <v>NEPTRONIC-EVCBSERIES</v>
      </c>
    </row>
    <row r="3306" ht="30.0" customHeight="1">
      <c r="A3306" s="425">
        <v>2690.0</v>
      </c>
      <c r="B3306" s="425" t="s">
        <v>670</v>
      </c>
      <c r="C3306" s="257" t="s">
        <v>10224</v>
      </c>
      <c r="D3306" s="173" t="s">
        <v>10225</v>
      </c>
      <c r="E3306" s="174" t="s">
        <v>2861</v>
      </c>
      <c r="F3306" s="173" t="s">
        <v>2862</v>
      </c>
      <c r="G3306" s="425" t="s">
        <v>673</v>
      </c>
      <c r="H3306" s="425" t="s">
        <v>2863</v>
      </c>
      <c r="I3306" s="258" t="s">
        <v>9445</v>
      </c>
      <c r="J3306" s="259" t="s">
        <v>1149</v>
      </c>
      <c r="K3306" s="260" t="s">
        <v>10222</v>
      </c>
      <c r="L3306" s="442"/>
      <c r="M3306" s="426"/>
      <c r="N3306" s="173" t="s">
        <v>679</v>
      </c>
      <c r="O3306" s="173" t="s">
        <v>225</v>
      </c>
      <c r="P3306" s="262" t="str">
        <f t="shared" si="1"/>
        <v>IN-BLR-ANANTA-FAN-254_6</v>
      </c>
      <c r="Q3306" s="173" t="s">
        <v>10226</v>
      </c>
      <c r="R3306" s="425" t="str">
        <f>IFS(C3306="","",C3306="n/a","N/A",LEN(C3306),Concatenate("{",char(34),"asset",char(34),":{",char(34),"guid",char(34),":",char(34),Q3306,char(34),",",char(34),"site",char(34),":",char(34),LOWER('2-Building'!$B$4),char(34),",",char(34),"name",char(34),":",char(34),LOWER(C3306),char(34),"}}"))</f>
        <v>{"asset":{"guid":"uuid://21cc5a56-914f-45b0-a615-d61004bb6c8b","site":"in-blr-ananta","name":"fan-254"}}</v>
      </c>
      <c r="S3306" s="369" t="s">
        <v>2866</v>
      </c>
      <c r="T3306" s="427"/>
      <c r="U3306" s="427"/>
      <c r="V3306" s="428"/>
      <c r="W3306" s="429"/>
      <c r="X3306" s="430"/>
      <c r="Y3306" s="33" t="s">
        <v>8076</v>
      </c>
      <c r="Z3306" s="430"/>
      <c r="AA3306" s="430"/>
      <c r="AB3306" s="258">
        <v>45.0</v>
      </c>
      <c r="AC3306" s="430"/>
      <c r="AD3306" s="426"/>
      <c r="AE3306" s="428"/>
      <c r="AF3306" s="431"/>
      <c r="AG3306" s="432"/>
      <c r="AH3306" s="430"/>
      <c r="AI3306" s="430"/>
      <c r="AJ3306" s="430"/>
      <c r="AK3306" s="430"/>
      <c r="AL3306" s="430"/>
      <c r="AM3306" s="433"/>
      <c r="AN3306" s="430"/>
      <c r="AO3306" s="430"/>
      <c r="AP3306" s="430"/>
      <c r="AQ3306" s="430"/>
      <c r="AR3306" s="430"/>
      <c r="AS3306" s="430"/>
      <c r="AT3306" s="430"/>
      <c r="AU3306" s="426"/>
      <c r="AV3306" s="434"/>
      <c r="AW3306" s="269" t="s">
        <v>1724</v>
      </c>
      <c r="AX3306" s="269" t="s">
        <v>2869</v>
      </c>
      <c r="AY3306" s="270" t="s">
        <v>695</v>
      </c>
      <c r="AZ3306" s="435"/>
      <c r="BA3306" s="173">
        <v>10.0</v>
      </c>
      <c r="BB3306" s="434"/>
      <c r="BC3306" s="434"/>
      <c r="BD3306" s="308" t="s">
        <v>1844</v>
      </c>
      <c r="BE3306" s="436"/>
      <c r="BF3306" s="274" t="str">
        <f>IFERROR(__xludf.DUMMYFUNCTION("LOWER(Regexreplace(to_text(E3306),""[^A-Za-z0-9]"","""")&amp;""_""&amp;Regexreplace(to_text(F3306),""[^A-Za-z0-9]"",""""))"),"neptronic_evcbseries")</f>
        <v>neptronic_evcbseries</v>
      </c>
      <c r="BG3306" s="275" t="str">
        <f>IFERROR(__xludf.DUMMYFUNCTION("upper(Regexreplace(to_text(E3306),""[^A-Za-z0-9]"","""")&amp;""-""&amp;Regexreplace(to_text(F3306),""[^A-Za-z0-9]"",""""))"),"NEPTRONIC-EVCBSERIES")</f>
        <v>NEPTRONIC-EVCBSERIES</v>
      </c>
    </row>
    <row r="3307" ht="30.0" customHeight="1">
      <c r="A3307" s="328">
        <v>2690.0</v>
      </c>
      <c r="B3307" s="425" t="s">
        <v>670</v>
      </c>
      <c r="C3307" s="257" t="s">
        <v>10227</v>
      </c>
      <c r="D3307" s="173" t="s">
        <v>10228</v>
      </c>
      <c r="E3307" s="174" t="s">
        <v>2861</v>
      </c>
      <c r="F3307" s="173" t="s">
        <v>2862</v>
      </c>
      <c r="G3307" s="425" t="s">
        <v>673</v>
      </c>
      <c r="H3307" s="425" t="s">
        <v>2863</v>
      </c>
      <c r="I3307" s="258" t="s">
        <v>9445</v>
      </c>
      <c r="J3307" s="259" t="s">
        <v>1149</v>
      </c>
      <c r="K3307" s="260" t="s">
        <v>10222</v>
      </c>
      <c r="L3307" s="442"/>
      <c r="M3307" s="426"/>
      <c r="N3307" s="173" t="s">
        <v>679</v>
      </c>
      <c r="O3307" s="173" t="s">
        <v>225</v>
      </c>
      <c r="P3307" s="262" t="str">
        <f t="shared" si="1"/>
        <v>IN-BLR-ANANTA-FAN-255_6</v>
      </c>
      <c r="Q3307" s="173" t="s">
        <v>10229</v>
      </c>
      <c r="R3307" s="425" t="str">
        <f>IFS(C3307="","",C3307="n/a","N/A",LEN(C3307),Concatenate("{",char(34),"asset",char(34),":{",char(34),"guid",char(34),":",char(34),Q3307,char(34),",",char(34),"site",char(34),":",char(34),LOWER('2-Building'!$B$4),char(34),",",char(34),"name",char(34),":",char(34),LOWER(C3307),char(34),"}}"))</f>
        <v>{"asset":{"guid":"uuid://52408713-e425-4d08-aae1-15c69694b36b","site":"in-blr-ananta","name":"fan-255"}}</v>
      </c>
      <c r="S3307" s="369" t="s">
        <v>2866</v>
      </c>
      <c r="T3307" s="427"/>
      <c r="U3307" s="427"/>
      <c r="V3307" s="428"/>
      <c r="W3307" s="429"/>
      <c r="X3307" s="430"/>
      <c r="Y3307" s="33" t="s">
        <v>8076</v>
      </c>
      <c r="Z3307" s="430"/>
      <c r="AA3307" s="430"/>
      <c r="AB3307" s="258">
        <v>46.0</v>
      </c>
      <c r="AC3307" s="430"/>
      <c r="AD3307" s="426"/>
      <c r="AE3307" s="428"/>
      <c r="AF3307" s="431"/>
      <c r="AG3307" s="432"/>
      <c r="AH3307" s="430"/>
      <c r="AI3307" s="430"/>
      <c r="AJ3307" s="430"/>
      <c r="AK3307" s="430"/>
      <c r="AL3307" s="430"/>
      <c r="AM3307" s="433"/>
      <c r="AN3307" s="430"/>
      <c r="AO3307" s="430"/>
      <c r="AP3307" s="430"/>
      <c r="AQ3307" s="430"/>
      <c r="AR3307" s="430"/>
      <c r="AS3307" s="430"/>
      <c r="AT3307" s="430"/>
      <c r="AU3307" s="426"/>
      <c r="AV3307" s="434"/>
      <c r="AW3307" s="269" t="s">
        <v>1724</v>
      </c>
      <c r="AX3307" s="269" t="s">
        <v>2869</v>
      </c>
      <c r="AY3307" s="270" t="s">
        <v>695</v>
      </c>
      <c r="AZ3307" s="435"/>
      <c r="BA3307" s="173">
        <v>10.0</v>
      </c>
      <c r="BB3307" s="434"/>
      <c r="BC3307" s="434"/>
      <c r="BD3307" s="308" t="s">
        <v>1844</v>
      </c>
      <c r="BE3307" s="436"/>
      <c r="BF3307" s="274" t="str">
        <f>IFERROR(__xludf.DUMMYFUNCTION("LOWER(Regexreplace(to_text(E3307),""[^A-Za-z0-9]"","""")&amp;""_""&amp;Regexreplace(to_text(F3307),""[^A-Za-z0-9]"",""""))"),"neptronic_evcbseries")</f>
        <v>neptronic_evcbseries</v>
      </c>
      <c r="BG3307" s="275" t="str">
        <f>IFERROR(__xludf.DUMMYFUNCTION("upper(Regexreplace(to_text(E3307),""[^A-Za-z0-9]"","""")&amp;""-""&amp;Regexreplace(to_text(F3307),""[^A-Za-z0-9]"",""""))"),"NEPTRONIC-EVCBSERIES")</f>
        <v>NEPTRONIC-EVCBSERIES</v>
      </c>
    </row>
    <row r="3308" ht="30.0" customHeight="1">
      <c r="A3308" s="258">
        <v>2690.0</v>
      </c>
      <c r="B3308" s="328" t="s">
        <v>670</v>
      </c>
      <c r="C3308" s="257" t="s">
        <v>10230</v>
      </c>
      <c r="D3308" s="173" t="s">
        <v>10231</v>
      </c>
      <c r="E3308" s="174" t="s">
        <v>2861</v>
      </c>
      <c r="F3308" s="173" t="s">
        <v>2862</v>
      </c>
      <c r="G3308" s="328" t="s">
        <v>673</v>
      </c>
      <c r="H3308" s="328" t="s">
        <v>2863</v>
      </c>
      <c r="I3308" s="258" t="s">
        <v>9445</v>
      </c>
      <c r="J3308" s="259" t="s">
        <v>1149</v>
      </c>
      <c r="K3308" s="260" t="s">
        <v>10222</v>
      </c>
      <c r="L3308" s="366"/>
      <c r="M3308" s="329"/>
      <c r="N3308" s="173" t="s">
        <v>679</v>
      </c>
      <c r="O3308" s="173" t="s">
        <v>225</v>
      </c>
      <c r="P3308" s="262" t="str">
        <f t="shared" si="1"/>
        <v>IN-BLR-ANANTA-FAN-256_6</v>
      </c>
      <c r="Q3308" s="173" t="s">
        <v>10232</v>
      </c>
      <c r="R3308" s="328" t="str">
        <f>IFS(C3308="","",C3308="n/a","N/A",LEN(C3308),Concatenate("{",char(34),"asset",char(34),":{",char(34),"guid",char(34),":",char(34),Q3308,char(34),",",char(34),"site",char(34),":",char(34),LOWER('2-Building'!$B$4),char(34),",",char(34),"name",char(34),":",char(34),LOWER(C3308),char(34),"}}"))</f>
        <v>{"asset":{"guid":"uuid://68e2dade-7c11-4796-9a12-84ae798e4082","site":"in-blr-ananta","name":"fan-256"}}</v>
      </c>
      <c r="S3308" s="369" t="s">
        <v>2866</v>
      </c>
      <c r="T3308" s="330"/>
      <c r="U3308" s="330"/>
      <c r="V3308" s="331"/>
      <c r="W3308" s="332"/>
      <c r="X3308" s="333"/>
      <c r="Y3308" s="33" t="s">
        <v>8076</v>
      </c>
      <c r="Z3308" s="368"/>
      <c r="AA3308" s="333"/>
      <c r="AB3308" s="258">
        <v>47.0</v>
      </c>
      <c r="AC3308" s="333"/>
      <c r="AD3308" s="329"/>
      <c r="AE3308" s="331"/>
      <c r="AF3308" s="336"/>
      <c r="AG3308" s="337" t="str">
        <f>IFS(LEN(AF3308)=17,LOWER('2-Building'!$B$4 &amp; "-" &amp; C3308), AF3308="N/A", "N/A", LEN(AF3308)=0,"")</f>
        <v/>
      </c>
      <c r="AH3308" s="333"/>
      <c r="AI3308" s="333"/>
      <c r="AJ3308" s="333"/>
      <c r="AK3308" s="333"/>
      <c r="AL3308" s="333"/>
      <c r="AM3308" s="338"/>
      <c r="AN3308" s="333"/>
      <c r="AO3308" s="333"/>
      <c r="AP3308" s="333"/>
      <c r="AQ3308" s="333"/>
      <c r="AR3308" s="333"/>
      <c r="AS3308" s="333"/>
      <c r="AT3308" s="333"/>
      <c r="AU3308" s="329"/>
      <c r="AV3308" s="341"/>
      <c r="AW3308" s="269" t="s">
        <v>1724</v>
      </c>
      <c r="AX3308" s="269" t="s">
        <v>2869</v>
      </c>
      <c r="AY3308" s="270" t="s">
        <v>695</v>
      </c>
      <c r="AZ3308" s="379"/>
      <c r="BA3308" s="173">
        <v>10.0</v>
      </c>
      <c r="BB3308" s="341"/>
      <c r="BC3308" s="341"/>
      <c r="BD3308" s="308" t="s">
        <v>1844</v>
      </c>
      <c r="BE3308" s="364"/>
      <c r="BF3308" s="274" t="str">
        <f>IFERROR(__xludf.DUMMYFUNCTION("LOWER(Regexreplace(to_text(E3308),""[^A-Za-z0-9]"","""")&amp;""_""&amp;Regexreplace(to_text(F3308),""[^A-Za-z0-9]"",""""))"),"neptronic_evcbseries")</f>
        <v>neptronic_evcbseries</v>
      </c>
      <c r="BG3308" s="275" t="str">
        <f>IFERROR(__xludf.DUMMYFUNCTION("upper(Regexreplace(to_text(E3308),""[^A-Za-z0-9]"","""")&amp;""-""&amp;Regexreplace(to_text(F3308),""[^A-Za-z0-9]"",""""))"),"NEPTRONIC-EVCBSERIES")</f>
        <v>NEPTRONIC-EVCBSERIES</v>
      </c>
    </row>
    <row r="3309" ht="30.0" customHeight="1">
      <c r="A3309" s="328">
        <v>2690.0</v>
      </c>
      <c r="B3309" s="425" t="s">
        <v>670</v>
      </c>
      <c r="C3309" s="257" t="s">
        <v>10233</v>
      </c>
      <c r="D3309" s="173" t="s">
        <v>10234</v>
      </c>
      <c r="E3309" s="174" t="s">
        <v>2861</v>
      </c>
      <c r="F3309" s="173" t="s">
        <v>2862</v>
      </c>
      <c r="G3309" s="425" t="s">
        <v>673</v>
      </c>
      <c r="H3309" s="425" t="s">
        <v>2863</v>
      </c>
      <c r="I3309" s="258" t="s">
        <v>9445</v>
      </c>
      <c r="J3309" s="259" t="s">
        <v>1149</v>
      </c>
      <c r="K3309" s="260" t="s">
        <v>10222</v>
      </c>
      <c r="L3309" s="442"/>
      <c r="M3309" s="426"/>
      <c r="N3309" s="173" t="s">
        <v>679</v>
      </c>
      <c r="O3309" s="173" t="s">
        <v>225</v>
      </c>
      <c r="P3309" s="262" t="str">
        <f t="shared" si="1"/>
        <v>IN-BLR-ANANTA-FAN-257_6</v>
      </c>
      <c r="Q3309" s="173" t="s">
        <v>10235</v>
      </c>
      <c r="R3309" s="433" t="str">
        <f>IFS(C3309="","",C3309="n/a","N/A",LEN(C3309),Concatenate("{",char(34),"asset",char(34),":{",char(34),"guid",char(34),":",char(34),Q3309,char(34),",",char(34),"site",char(34),":",char(34),LOWER('2-Building'!$B$4),char(34),",",char(34),"name",char(34),":",char(34),LOWER(C3309),char(34),"}}"))</f>
        <v>{"asset":{"guid":"uuid://943ab03f-ea8b-4385-aad1-817d734656e5","site":"in-blr-ananta","name":"fan-257"}}</v>
      </c>
      <c r="S3309" s="369" t="s">
        <v>2866</v>
      </c>
      <c r="T3309" s="427"/>
      <c r="U3309" s="427"/>
      <c r="V3309" s="428"/>
      <c r="W3309" s="429"/>
      <c r="X3309" s="430"/>
      <c r="Y3309" s="33" t="s">
        <v>8076</v>
      </c>
      <c r="Z3309" s="430"/>
      <c r="AA3309" s="430"/>
      <c r="AB3309" s="258">
        <v>48.0</v>
      </c>
      <c r="AC3309" s="430"/>
      <c r="AD3309" s="426"/>
      <c r="AE3309" s="428"/>
      <c r="AF3309" s="431"/>
      <c r="AG3309" s="432" t="str">
        <f>IFS(LEN(AF3309)=17,LOWER('2-Building'!$B$4 &amp; "-" &amp; C3309), AF3309="N/A", "N/A", LEN(AF3309)=0,"")</f>
        <v/>
      </c>
      <c r="AH3309" s="430"/>
      <c r="AI3309" s="430"/>
      <c r="AJ3309" s="430"/>
      <c r="AK3309" s="430"/>
      <c r="AL3309" s="430"/>
      <c r="AM3309" s="433"/>
      <c r="AN3309" s="430"/>
      <c r="AO3309" s="430"/>
      <c r="AP3309" s="430"/>
      <c r="AQ3309" s="430"/>
      <c r="AR3309" s="430"/>
      <c r="AS3309" s="430"/>
      <c r="AT3309" s="430"/>
      <c r="AU3309" s="426"/>
      <c r="AV3309" s="434"/>
      <c r="AW3309" s="269" t="s">
        <v>1724</v>
      </c>
      <c r="AX3309" s="269" t="s">
        <v>2869</v>
      </c>
      <c r="AY3309" s="270" t="s">
        <v>695</v>
      </c>
      <c r="AZ3309" s="435"/>
      <c r="BA3309" s="173">
        <v>10.0</v>
      </c>
      <c r="BB3309" s="434"/>
      <c r="BC3309" s="434"/>
      <c r="BD3309" s="308" t="s">
        <v>1844</v>
      </c>
      <c r="BE3309" s="436"/>
      <c r="BF3309" s="274" t="str">
        <f>IFERROR(__xludf.DUMMYFUNCTION("LOWER(Regexreplace(to_text(E3309),""[^A-Za-z0-9]"","""")&amp;""_""&amp;Regexreplace(to_text(F3309),""[^A-Za-z0-9]"",""""))"),"neptronic_evcbseries")</f>
        <v>neptronic_evcbseries</v>
      </c>
      <c r="BG3309" s="275" t="str">
        <f>IFERROR(__xludf.DUMMYFUNCTION("upper(Regexreplace(to_text(E3309),""[^A-Za-z0-9]"","""")&amp;""-""&amp;Regexreplace(to_text(F3309),""[^A-Za-z0-9]"",""""))"),"NEPTRONIC-EVCBSERIES")</f>
        <v>NEPTRONIC-EVCBSERIES</v>
      </c>
    </row>
    <row r="3310" ht="30.0" customHeight="1">
      <c r="A3310" s="328">
        <v>2690.0</v>
      </c>
      <c r="B3310" s="425" t="s">
        <v>670</v>
      </c>
      <c r="C3310" s="257" t="s">
        <v>10236</v>
      </c>
      <c r="D3310" s="173" t="s">
        <v>10237</v>
      </c>
      <c r="E3310" s="174" t="s">
        <v>2861</v>
      </c>
      <c r="F3310" s="173" t="s">
        <v>2862</v>
      </c>
      <c r="G3310" s="425" t="s">
        <v>673</v>
      </c>
      <c r="H3310" s="425" t="s">
        <v>2863</v>
      </c>
      <c r="I3310" s="258" t="s">
        <v>9445</v>
      </c>
      <c r="J3310" s="259" t="s">
        <v>1149</v>
      </c>
      <c r="K3310" s="260" t="s">
        <v>10222</v>
      </c>
      <c r="L3310" s="442"/>
      <c r="M3310" s="426"/>
      <c r="N3310" s="173" t="s">
        <v>679</v>
      </c>
      <c r="O3310" s="173" t="s">
        <v>225</v>
      </c>
      <c r="P3310" s="262" t="str">
        <f t="shared" si="1"/>
        <v>IN-BLR-ANANTA-FAN-258_6</v>
      </c>
      <c r="Q3310" s="173" t="s">
        <v>10238</v>
      </c>
      <c r="R3310" s="425" t="str">
        <f>IFS(C3310="","",C3310="n/a","N/A",LEN(C3310),Concatenate("{",char(34),"asset",char(34),":{",char(34),"guid",char(34),":",char(34),Q3310,char(34),",",char(34),"site",char(34),":",char(34),LOWER('2-Building'!$B$4),char(34),",",char(34),"name",char(34),":",char(34),LOWER(C3310),char(34),"}}"))</f>
        <v>{"asset":{"guid":"uuid://ba4f646c-53c5-4e24-8910-cca6e9c2fa36","site":"in-blr-ananta","name":"fan-258"}}</v>
      </c>
      <c r="S3310" s="369" t="s">
        <v>2866</v>
      </c>
      <c r="T3310" s="427"/>
      <c r="U3310" s="427"/>
      <c r="V3310" s="428"/>
      <c r="W3310" s="429"/>
      <c r="X3310" s="430"/>
      <c r="Y3310" s="33" t="s">
        <v>8076</v>
      </c>
      <c r="Z3310" s="430"/>
      <c r="AA3310" s="430"/>
      <c r="AB3310" s="258">
        <v>49.0</v>
      </c>
      <c r="AC3310" s="430"/>
      <c r="AD3310" s="426"/>
      <c r="AE3310" s="428"/>
      <c r="AF3310" s="431"/>
      <c r="AG3310" s="432" t="str">
        <f>IFS(LEN(AF3310)=17,LOWER('2-Building'!$B$4 &amp; "-" &amp; C3310), AF3310="N/A", "N/A", LEN(AF3310)=0,"")</f>
        <v/>
      </c>
      <c r="AH3310" s="430"/>
      <c r="AI3310" s="430"/>
      <c r="AJ3310" s="430"/>
      <c r="AK3310" s="430"/>
      <c r="AL3310" s="430"/>
      <c r="AM3310" s="433"/>
      <c r="AN3310" s="430"/>
      <c r="AO3310" s="430"/>
      <c r="AP3310" s="430"/>
      <c r="AQ3310" s="430"/>
      <c r="AR3310" s="430"/>
      <c r="AS3310" s="430"/>
      <c r="AT3310" s="430"/>
      <c r="AU3310" s="426"/>
      <c r="AV3310" s="434"/>
      <c r="AW3310" s="269" t="s">
        <v>1724</v>
      </c>
      <c r="AX3310" s="269" t="s">
        <v>2869</v>
      </c>
      <c r="AY3310" s="270" t="s">
        <v>695</v>
      </c>
      <c r="AZ3310" s="435"/>
      <c r="BA3310" s="173">
        <v>10.0</v>
      </c>
      <c r="BB3310" s="434"/>
      <c r="BC3310" s="434"/>
      <c r="BD3310" s="308" t="s">
        <v>1844</v>
      </c>
      <c r="BE3310" s="436"/>
      <c r="BF3310" s="274" t="str">
        <f>IFERROR(__xludf.DUMMYFUNCTION("LOWER(Regexreplace(to_text(E3310),""[^A-Za-z0-9]"","""")&amp;""_""&amp;Regexreplace(to_text(F3310),""[^A-Za-z0-9]"",""""))"),"neptronic_evcbseries")</f>
        <v>neptronic_evcbseries</v>
      </c>
      <c r="BG3310" s="275" t="str">
        <f>IFERROR(__xludf.DUMMYFUNCTION("upper(Regexreplace(to_text(E3310),""[^A-Za-z0-9]"","""")&amp;""-""&amp;Regexreplace(to_text(F3310),""[^A-Za-z0-9]"",""""))"),"NEPTRONIC-EVCBSERIES")</f>
        <v>NEPTRONIC-EVCBSERIES</v>
      </c>
    </row>
    <row r="3311" ht="30.0" customHeight="1">
      <c r="A3311" s="258">
        <v>2690.0</v>
      </c>
      <c r="B3311" s="328" t="s">
        <v>670</v>
      </c>
      <c r="C3311" s="257" t="s">
        <v>10239</v>
      </c>
      <c r="D3311" s="173" t="s">
        <v>10240</v>
      </c>
      <c r="E3311" s="174" t="s">
        <v>2861</v>
      </c>
      <c r="F3311" s="173" t="s">
        <v>2862</v>
      </c>
      <c r="G3311" s="328" t="s">
        <v>673</v>
      </c>
      <c r="H3311" s="328" t="s">
        <v>2863</v>
      </c>
      <c r="I3311" s="258" t="s">
        <v>9445</v>
      </c>
      <c r="J3311" s="259" t="s">
        <v>1088</v>
      </c>
      <c r="K3311" s="260" t="s">
        <v>1706</v>
      </c>
      <c r="L3311" s="366"/>
      <c r="M3311" s="329"/>
      <c r="N3311" s="173" t="s">
        <v>679</v>
      </c>
      <c r="O3311" s="173" t="s">
        <v>225</v>
      </c>
      <c r="P3311" s="262" t="str">
        <f t="shared" si="1"/>
        <v>IN-BLR-ANANTA-FAN-259_5</v>
      </c>
      <c r="Q3311" s="173" t="s">
        <v>10241</v>
      </c>
      <c r="R3311" s="328" t="str">
        <f>IFS(C3311="","",C3311="n/a","N/A",LEN(C3311),Concatenate("{",char(34),"asset",char(34),":{",char(34),"guid",char(34),":",char(34),Q3311,char(34),",",char(34),"site",char(34),":",char(34),LOWER('2-Building'!$B$4),char(34),",",char(34),"name",char(34),":",char(34),LOWER(C3311),char(34),"}}"))</f>
        <v>{"asset":{"guid":"uuid://26e364b0-a8b8-4f23-9d92-1e636b2b8ddf","site":"in-blr-ananta","name":"fan-259"}}</v>
      </c>
      <c r="S3311" s="369" t="s">
        <v>2866</v>
      </c>
      <c r="T3311" s="330"/>
      <c r="U3311" s="330"/>
      <c r="V3311" s="331"/>
      <c r="W3311" s="332"/>
      <c r="X3311" s="333"/>
      <c r="Y3311" s="33" t="s">
        <v>8076</v>
      </c>
      <c r="Z3311" s="368"/>
      <c r="AA3311" s="333"/>
      <c r="AB3311" s="258">
        <v>59.0</v>
      </c>
      <c r="AC3311" s="333"/>
      <c r="AD3311" s="329"/>
      <c r="AE3311" s="331"/>
      <c r="AF3311" s="336"/>
      <c r="AG3311" s="337" t="str">
        <f>IFS(LEN(AF3311)=17,LOWER('2-Building'!$B$4 &amp; "-" &amp; C3311), AF3311="N/A", "N/A", LEN(AF3311)=0,"")</f>
        <v/>
      </c>
      <c r="AH3311" s="333"/>
      <c r="AI3311" s="333"/>
      <c r="AJ3311" s="333"/>
      <c r="AK3311" s="333"/>
      <c r="AL3311" s="333"/>
      <c r="AM3311" s="338"/>
      <c r="AN3311" s="333"/>
      <c r="AO3311" s="333"/>
      <c r="AP3311" s="333"/>
      <c r="AQ3311" s="333"/>
      <c r="AR3311" s="333"/>
      <c r="AS3311" s="333"/>
      <c r="AT3311" s="333"/>
      <c r="AU3311" s="329"/>
      <c r="AV3311" s="341"/>
      <c r="AW3311" s="269" t="s">
        <v>1724</v>
      </c>
      <c r="AX3311" s="269" t="s">
        <v>2869</v>
      </c>
      <c r="AY3311" s="270" t="s">
        <v>695</v>
      </c>
      <c r="AZ3311" s="379"/>
      <c r="BA3311" s="173">
        <v>10.0</v>
      </c>
      <c r="BB3311" s="341"/>
      <c r="BC3311" s="341"/>
      <c r="BD3311" s="308" t="s">
        <v>1844</v>
      </c>
      <c r="BE3311" s="364"/>
      <c r="BF3311" s="274" t="str">
        <f>IFERROR(__xludf.DUMMYFUNCTION("LOWER(Regexreplace(to_text(E3311),""[^A-Za-z0-9]"","""")&amp;""_""&amp;Regexreplace(to_text(F3311),""[^A-Za-z0-9]"",""""))"),"neptronic_evcbseries")</f>
        <v>neptronic_evcbseries</v>
      </c>
      <c r="BG3311" s="275" t="str">
        <f>IFERROR(__xludf.DUMMYFUNCTION("upper(Regexreplace(to_text(E3311),""[^A-Za-z0-9]"","""")&amp;""-""&amp;Regexreplace(to_text(F3311),""[^A-Za-z0-9]"",""""))"),"NEPTRONIC-EVCBSERIES")</f>
        <v>NEPTRONIC-EVCBSERIES</v>
      </c>
    </row>
    <row r="3312" ht="30.0" customHeight="1">
      <c r="A3312" s="328">
        <v>2690.0</v>
      </c>
      <c r="B3312" s="425" t="s">
        <v>670</v>
      </c>
      <c r="C3312" s="257" t="s">
        <v>10242</v>
      </c>
      <c r="D3312" s="173" t="s">
        <v>10243</v>
      </c>
      <c r="E3312" s="174" t="s">
        <v>2861</v>
      </c>
      <c r="F3312" s="173" t="s">
        <v>2862</v>
      </c>
      <c r="G3312" s="425" t="s">
        <v>673</v>
      </c>
      <c r="H3312" s="425" t="s">
        <v>2863</v>
      </c>
      <c r="I3312" s="258" t="s">
        <v>9445</v>
      </c>
      <c r="J3312" s="259" t="s">
        <v>1088</v>
      </c>
      <c r="K3312" s="260" t="s">
        <v>1706</v>
      </c>
      <c r="L3312" s="442"/>
      <c r="M3312" s="426"/>
      <c r="N3312" s="173" t="s">
        <v>679</v>
      </c>
      <c r="O3312" s="173" t="s">
        <v>225</v>
      </c>
      <c r="P3312" s="262" t="str">
        <f t="shared" si="1"/>
        <v>IN-BLR-ANANTA-FAN-260_5</v>
      </c>
      <c r="Q3312" s="173" t="s">
        <v>10244</v>
      </c>
      <c r="R3312" s="433" t="str">
        <f>IFS(C3312="","",C3312="n/a","N/A",LEN(C3312),Concatenate("{",char(34),"asset",char(34),":{",char(34),"guid",char(34),":",char(34),Q3312,char(34),",",char(34),"site",char(34),":",char(34),LOWER('2-Building'!$B$4),char(34),",",char(34),"name",char(34),":",char(34),LOWER(C3312),char(34),"}}"))</f>
        <v>{"asset":{"guid":"uuid://e06e1eb3-c29e-4c75-ac2f-182bab0b9170","site":"in-blr-ananta","name":"fan-260"}}</v>
      </c>
      <c r="S3312" s="369" t="s">
        <v>2866</v>
      </c>
      <c r="T3312" s="427"/>
      <c r="U3312" s="427"/>
      <c r="V3312" s="428"/>
      <c r="W3312" s="429"/>
      <c r="X3312" s="430"/>
      <c r="Y3312" s="33" t="s">
        <v>8076</v>
      </c>
      <c r="Z3312" s="430"/>
      <c r="AA3312" s="430"/>
      <c r="AB3312" s="258">
        <v>60.0</v>
      </c>
      <c r="AC3312" s="430"/>
      <c r="AD3312" s="426"/>
      <c r="AE3312" s="428"/>
      <c r="AF3312" s="431"/>
      <c r="AG3312" s="432" t="str">
        <f>IFS(LEN(AF3312)=17,LOWER('2-Building'!$B$4 &amp; "-" &amp; C3312), AF3312="N/A", "N/A", LEN(AF3312)=0,"")</f>
        <v/>
      </c>
      <c r="AH3312" s="430"/>
      <c r="AI3312" s="430"/>
      <c r="AJ3312" s="430"/>
      <c r="AK3312" s="430"/>
      <c r="AL3312" s="430"/>
      <c r="AM3312" s="433"/>
      <c r="AN3312" s="430"/>
      <c r="AO3312" s="430"/>
      <c r="AP3312" s="430"/>
      <c r="AQ3312" s="430"/>
      <c r="AR3312" s="430"/>
      <c r="AS3312" s="430"/>
      <c r="AT3312" s="430"/>
      <c r="AU3312" s="426"/>
      <c r="AV3312" s="434"/>
      <c r="AW3312" s="269" t="s">
        <v>1724</v>
      </c>
      <c r="AX3312" s="269" t="s">
        <v>2869</v>
      </c>
      <c r="AY3312" s="270" t="s">
        <v>695</v>
      </c>
      <c r="AZ3312" s="435"/>
      <c r="BA3312" s="173">
        <v>10.0</v>
      </c>
      <c r="BB3312" s="434"/>
      <c r="BC3312" s="434"/>
      <c r="BD3312" s="308" t="s">
        <v>1844</v>
      </c>
      <c r="BE3312" s="436"/>
      <c r="BF3312" s="274" t="str">
        <f>IFERROR(__xludf.DUMMYFUNCTION("LOWER(Regexreplace(to_text(E3312),""[^A-Za-z0-9]"","""")&amp;""_""&amp;Regexreplace(to_text(F3312),""[^A-Za-z0-9]"",""""))"),"neptronic_evcbseries")</f>
        <v>neptronic_evcbseries</v>
      </c>
      <c r="BG3312" s="275" t="str">
        <f>IFERROR(__xludf.DUMMYFUNCTION("upper(Regexreplace(to_text(E3312),""[^A-Za-z0-9]"","""")&amp;""-""&amp;Regexreplace(to_text(F3312),""[^A-Za-z0-9]"",""""))"),"NEPTRONIC-EVCBSERIES")</f>
        <v>NEPTRONIC-EVCBSERIES</v>
      </c>
    </row>
    <row r="3313" ht="30.0" customHeight="1">
      <c r="A3313" s="328">
        <v>2690.0</v>
      </c>
      <c r="B3313" s="425" t="s">
        <v>670</v>
      </c>
      <c r="C3313" s="257" t="s">
        <v>10245</v>
      </c>
      <c r="D3313" s="173" t="s">
        <v>10246</v>
      </c>
      <c r="E3313" s="174" t="s">
        <v>2861</v>
      </c>
      <c r="F3313" s="173" t="s">
        <v>2862</v>
      </c>
      <c r="G3313" s="425" t="s">
        <v>673</v>
      </c>
      <c r="H3313" s="425" t="s">
        <v>2863</v>
      </c>
      <c r="I3313" s="258" t="s">
        <v>9445</v>
      </c>
      <c r="J3313" s="259" t="s">
        <v>1088</v>
      </c>
      <c r="K3313" s="260" t="s">
        <v>1706</v>
      </c>
      <c r="L3313" s="442"/>
      <c r="M3313" s="426"/>
      <c r="N3313" s="173" t="s">
        <v>679</v>
      </c>
      <c r="O3313" s="173" t="s">
        <v>225</v>
      </c>
      <c r="P3313" s="262" t="str">
        <f t="shared" si="1"/>
        <v>IN-BLR-ANANTA-FAN-261_5</v>
      </c>
      <c r="Q3313" s="173" t="s">
        <v>10247</v>
      </c>
      <c r="R3313" s="425" t="str">
        <f>IFS(C3313="","",C3313="n/a","N/A",LEN(C3313),Concatenate("{",char(34),"asset",char(34),":{",char(34),"guid",char(34),":",char(34),Q3313,char(34),",",char(34),"site",char(34),":",char(34),LOWER('2-Building'!$B$4),char(34),",",char(34),"name",char(34),":",char(34),LOWER(C3313),char(34),"}}"))</f>
        <v>{"asset":{"guid":"uuid://5ae6fdaa-f6a1-48cc-904e-60a35b7f6d4b","site":"in-blr-ananta","name":"fan-261"}}</v>
      </c>
      <c r="S3313" s="369" t="s">
        <v>2866</v>
      </c>
      <c r="T3313" s="427"/>
      <c r="U3313" s="427"/>
      <c r="V3313" s="428"/>
      <c r="W3313" s="429"/>
      <c r="X3313" s="430"/>
      <c r="Y3313" s="33" t="s">
        <v>8076</v>
      </c>
      <c r="Z3313" s="430"/>
      <c r="AA3313" s="430"/>
      <c r="AB3313" s="258">
        <v>61.0</v>
      </c>
      <c r="AC3313" s="430"/>
      <c r="AD3313" s="426"/>
      <c r="AE3313" s="428"/>
      <c r="AF3313" s="431"/>
      <c r="AG3313" s="432" t="str">
        <f>IFS(LEN(AF3313)=17,LOWER('2-Building'!$B$4 &amp; "-" &amp; C3313), AF3313="N/A", "N/A", LEN(AF3313)=0,"")</f>
        <v/>
      </c>
      <c r="AH3313" s="430"/>
      <c r="AI3313" s="430"/>
      <c r="AJ3313" s="430"/>
      <c r="AK3313" s="430"/>
      <c r="AL3313" s="430"/>
      <c r="AM3313" s="433"/>
      <c r="AN3313" s="430"/>
      <c r="AO3313" s="430"/>
      <c r="AP3313" s="430"/>
      <c r="AQ3313" s="430"/>
      <c r="AR3313" s="430"/>
      <c r="AS3313" s="430"/>
      <c r="AT3313" s="430"/>
      <c r="AU3313" s="426"/>
      <c r="AV3313" s="434"/>
      <c r="AW3313" s="269" t="s">
        <v>1724</v>
      </c>
      <c r="AX3313" s="269" t="s">
        <v>2869</v>
      </c>
      <c r="AY3313" s="270" t="s">
        <v>695</v>
      </c>
      <c r="AZ3313" s="435"/>
      <c r="BA3313" s="173">
        <v>10.0</v>
      </c>
      <c r="BB3313" s="434"/>
      <c r="BC3313" s="434"/>
      <c r="BD3313" s="308" t="s">
        <v>1844</v>
      </c>
      <c r="BE3313" s="436"/>
      <c r="BF3313" s="274" t="str">
        <f>IFERROR(__xludf.DUMMYFUNCTION("LOWER(Regexreplace(to_text(E3313),""[^A-Za-z0-9]"","""")&amp;""_""&amp;Regexreplace(to_text(F3313),""[^A-Za-z0-9]"",""""))"),"neptronic_evcbseries")</f>
        <v>neptronic_evcbseries</v>
      </c>
      <c r="BG3313" s="275" t="str">
        <f>IFERROR(__xludf.DUMMYFUNCTION("upper(Regexreplace(to_text(E3313),""[^A-Za-z0-9]"","""")&amp;""-""&amp;Regexreplace(to_text(F3313),""[^A-Za-z0-9]"",""""))"),"NEPTRONIC-EVCBSERIES")</f>
        <v>NEPTRONIC-EVCBSERIES</v>
      </c>
    </row>
    <row r="3314" ht="30.0" customHeight="1">
      <c r="A3314" s="425">
        <v>2690.0</v>
      </c>
      <c r="B3314" s="425" t="s">
        <v>670</v>
      </c>
      <c r="C3314" s="257" t="s">
        <v>10248</v>
      </c>
      <c r="D3314" s="173" t="s">
        <v>10249</v>
      </c>
      <c r="E3314" s="174" t="s">
        <v>2861</v>
      </c>
      <c r="F3314" s="173" t="s">
        <v>2862</v>
      </c>
      <c r="G3314" s="425" t="s">
        <v>673</v>
      </c>
      <c r="H3314" s="425" t="s">
        <v>2863</v>
      </c>
      <c r="I3314" s="258" t="s">
        <v>9445</v>
      </c>
      <c r="J3314" s="259" t="s">
        <v>1088</v>
      </c>
      <c r="K3314" s="260" t="s">
        <v>1706</v>
      </c>
      <c r="L3314" s="442"/>
      <c r="M3314" s="426"/>
      <c r="N3314" s="173" t="s">
        <v>679</v>
      </c>
      <c r="O3314" s="173" t="s">
        <v>225</v>
      </c>
      <c r="P3314" s="262" t="str">
        <f t="shared" si="1"/>
        <v>IN-BLR-ANANTA-FAN-262_5</v>
      </c>
      <c r="Q3314" s="173" t="s">
        <v>10250</v>
      </c>
      <c r="R3314" s="425" t="str">
        <f>IFS(C3314="","",C3314="n/a","N/A",LEN(C3314),Concatenate("{",char(34),"asset",char(34),":{",char(34),"guid",char(34),":",char(34),Q3314,char(34),",",char(34),"site",char(34),":",char(34),LOWER('2-Building'!$B$4),char(34),",",char(34),"name",char(34),":",char(34),LOWER(C3314),char(34),"}}"))</f>
        <v>{"asset":{"guid":"uuid://787c789e-3695-4820-a23e-1e16d5595186","site":"in-blr-ananta","name":"fan-262"}}</v>
      </c>
      <c r="S3314" s="369" t="s">
        <v>2866</v>
      </c>
      <c r="T3314" s="427"/>
      <c r="U3314" s="427"/>
      <c r="V3314" s="428"/>
      <c r="W3314" s="429"/>
      <c r="X3314" s="430"/>
      <c r="Y3314" s="33" t="s">
        <v>8076</v>
      </c>
      <c r="Z3314" s="430"/>
      <c r="AA3314" s="430"/>
      <c r="AB3314" s="258">
        <v>62.0</v>
      </c>
      <c r="AC3314" s="430"/>
      <c r="AD3314" s="426"/>
      <c r="AE3314" s="428"/>
      <c r="AF3314" s="431"/>
      <c r="AG3314" s="432"/>
      <c r="AH3314" s="430"/>
      <c r="AI3314" s="430"/>
      <c r="AJ3314" s="430"/>
      <c r="AK3314" s="430"/>
      <c r="AL3314" s="430"/>
      <c r="AM3314" s="433"/>
      <c r="AN3314" s="430"/>
      <c r="AO3314" s="430"/>
      <c r="AP3314" s="430"/>
      <c r="AQ3314" s="430"/>
      <c r="AR3314" s="430"/>
      <c r="AS3314" s="430"/>
      <c r="AT3314" s="430"/>
      <c r="AU3314" s="426"/>
      <c r="AV3314" s="434"/>
      <c r="AW3314" s="269" t="s">
        <v>1724</v>
      </c>
      <c r="AX3314" s="269" t="s">
        <v>2869</v>
      </c>
      <c r="AY3314" s="270" t="s">
        <v>695</v>
      </c>
      <c r="AZ3314" s="435"/>
      <c r="BA3314" s="173">
        <v>10.0</v>
      </c>
      <c r="BB3314" s="434"/>
      <c r="BC3314" s="434"/>
      <c r="BD3314" s="308" t="s">
        <v>1844</v>
      </c>
      <c r="BE3314" s="436"/>
      <c r="BF3314" s="274" t="str">
        <f>IFERROR(__xludf.DUMMYFUNCTION("LOWER(Regexreplace(to_text(E3314),""[^A-Za-z0-9]"","""")&amp;""_""&amp;Regexreplace(to_text(F3314),""[^A-Za-z0-9]"",""""))"),"neptronic_evcbseries")</f>
        <v>neptronic_evcbseries</v>
      </c>
      <c r="BG3314" s="275" t="str">
        <f>IFERROR(__xludf.DUMMYFUNCTION("upper(Regexreplace(to_text(E3314),""[^A-Za-z0-9]"","""")&amp;""-""&amp;Regexreplace(to_text(F3314),""[^A-Za-z0-9]"",""""))"),"NEPTRONIC-EVCBSERIES")</f>
        <v>NEPTRONIC-EVCBSERIES</v>
      </c>
    </row>
    <row r="3315" ht="30.0" customHeight="1">
      <c r="A3315" s="328">
        <v>2690.0</v>
      </c>
      <c r="B3315" s="425" t="s">
        <v>670</v>
      </c>
      <c r="C3315" s="257" t="s">
        <v>10251</v>
      </c>
      <c r="D3315" s="173" t="s">
        <v>10252</v>
      </c>
      <c r="E3315" s="174" t="s">
        <v>2861</v>
      </c>
      <c r="F3315" s="173" t="s">
        <v>2862</v>
      </c>
      <c r="G3315" s="425" t="s">
        <v>673</v>
      </c>
      <c r="H3315" s="425" t="s">
        <v>2863</v>
      </c>
      <c r="I3315" s="258" t="s">
        <v>9445</v>
      </c>
      <c r="J3315" s="259" t="s">
        <v>1088</v>
      </c>
      <c r="K3315" s="260" t="s">
        <v>1706</v>
      </c>
      <c r="L3315" s="442"/>
      <c r="M3315" s="426"/>
      <c r="N3315" s="173" t="s">
        <v>679</v>
      </c>
      <c r="O3315" s="173" t="s">
        <v>225</v>
      </c>
      <c r="P3315" s="262" t="str">
        <f t="shared" si="1"/>
        <v>IN-BLR-ANANTA-FAN-263_5</v>
      </c>
      <c r="Q3315" s="173" t="s">
        <v>10253</v>
      </c>
      <c r="R3315" s="425" t="str">
        <f>IFS(C3315="","",C3315="n/a","N/A",LEN(C3315),Concatenate("{",char(34),"asset",char(34),":{",char(34),"guid",char(34),":",char(34),Q3315,char(34),",",char(34),"site",char(34),":",char(34),LOWER('2-Building'!$B$4),char(34),",",char(34),"name",char(34),":",char(34),LOWER(C3315),char(34),"}}"))</f>
        <v>{"asset":{"guid":"uuid://6a42a9a5-344a-41ba-8e7e-06d49eb2eaf9","site":"in-blr-ananta","name":"fan-263"}}</v>
      </c>
      <c r="S3315" s="369" t="s">
        <v>2866</v>
      </c>
      <c r="T3315" s="427"/>
      <c r="U3315" s="427"/>
      <c r="V3315" s="428"/>
      <c r="W3315" s="429"/>
      <c r="X3315" s="430"/>
      <c r="Y3315" s="33" t="s">
        <v>8076</v>
      </c>
      <c r="Z3315" s="430"/>
      <c r="AA3315" s="430"/>
      <c r="AB3315" s="258">
        <v>63.0</v>
      </c>
      <c r="AC3315" s="430"/>
      <c r="AD3315" s="426"/>
      <c r="AE3315" s="428"/>
      <c r="AF3315" s="431"/>
      <c r="AG3315" s="432"/>
      <c r="AH3315" s="430"/>
      <c r="AI3315" s="430"/>
      <c r="AJ3315" s="430"/>
      <c r="AK3315" s="430"/>
      <c r="AL3315" s="430"/>
      <c r="AM3315" s="433"/>
      <c r="AN3315" s="430"/>
      <c r="AO3315" s="430"/>
      <c r="AP3315" s="430"/>
      <c r="AQ3315" s="430"/>
      <c r="AR3315" s="430"/>
      <c r="AS3315" s="430"/>
      <c r="AT3315" s="430"/>
      <c r="AU3315" s="426"/>
      <c r="AV3315" s="434"/>
      <c r="AW3315" s="269" t="s">
        <v>1724</v>
      </c>
      <c r="AX3315" s="269" t="s">
        <v>2869</v>
      </c>
      <c r="AY3315" s="270" t="s">
        <v>695</v>
      </c>
      <c r="AZ3315" s="435"/>
      <c r="BA3315" s="173">
        <v>10.0</v>
      </c>
      <c r="BB3315" s="434"/>
      <c r="BC3315" s="434"/>
      <c r="BD3315" s="308" t="s">
        <v>1844</v>
      </c>
      <c r="BE3315" s="436"/>
      <c r="BF3315" s="274" t="str">
        <f>IFERROR(__xludf.DUMMYFUNCTION("LOWER(Regexreplace(to_text(E3315),""[^A-Za-z0-9]"","""")&amp;""_""&amp;Regexreplace(to_text(F3315),""[^A-Za-z0-9]"",""""))"),"neptronic_evcbseries")</f>
        <v>neptronic_evcbseries</v>
      </c>
      <c r="BG3315" s="275" t="str">
        <f>IFERROR(__xludf.DUMMYFUNCTION("upper(Regexreplace(to_text(E3315),""[^A-Za-z0-9]"","""")&amp;""-""&amp;Regexreplace(to_text(F3315),""[^A-Za-z0-9]"",""""))"),"NEPTRONIC-EVCBSERIES")</f>
        <v>NEPTRONIC-EVCBSERIES</v>
      </c>
    </row>
    <row r="3316" ht="30.0" customHeight="1">
      <c r="A3316" s="328">
        <v>2690.0</v>
      </c>
      <c r="B3316" s="425" t="s">
        <v>670</v>
      </c>
      <c r="C3316" s="257" t="s">
        <v>10254</v>
      </c>
      <c r="D3316" s="173" t="s">
        <v>10255</v>
      </c>
      <c r="E3316" s="174" t="s">
        <v>2861</v>
      </c>
      <c r="F3316" s="173" t="s">
        <v>2862</v>
      </c>
      <c r="G3316" s="425" t="s">
        <v>673</v>
      </c>
      <c r="H3316" s="425" t="s">
        <v>2863</v>
      </c>
      <c r="I3316" s="258" t="s">
        <v>9445</v>
      </c>
      <c r="J3316" s="259" t="s">
        <v>1088</v>
      </c>
      <c r="K3316" s="260" t="s">
        <v>1706</v>
      </c>
      <c r="L3316" s="442"/>
      <c r="M3316" s="426"/>
      <c r="N3316" s="173" t="s">
        <v>679</v>
      </c>
      <c r="O3316" s="173" t="s">
        <v>225</v>
      </c>
      <c r="P3316" s="262" t="str">
        <f t="shared" si="1"/>
        <v>IN-BLR-ANANTA-FAN-264_5</v>
      </c>
      <c r="Q3316" s="173" t="s">
        <v>10256</v>
      </c>
      <c r="R3316" s="425" t="str">
        <f>IFS(C3316="","",C3316="n/a","N/A",LEN(C3316),Concatenate("{",char(34),"asset",char(34),":{",char(34),"guid",char(34),":",char(34),Q3316,char(34),",",char(34),"site",char(34),":",char(34),LOWER('2-Building'!$B$4),char(34),",",char(34),"name",char(34),":",char(34),LOWER(C3316),char(34),"}}"))</f>
        <v>{"asset":{"guid":"uuid://3b9cfd0c-fdd3-4bae-aaeb-97e23aaa30f9","site":"in-blr-ananta","name":"fan-264"}}</v>
      </c>
      <c r="S3316" s="369" t="s">
        <v>2866</v>
      </c>
      <c r="T3316" s="427"/>
      <c r="U3316" s="427"/>
      <c r="V3316" s="428"/>
      <c r="W3316" s="429"/>
      <c r="X3316" s="430"/>
      <c r="Y3316" s="33" t="s">
        <v>8076</v>
      </c>
      <c r="Z3316" s="430"/>
      <c r="AA3316" s="430"/>
      <c r="AB3316" s="258">
        <v>64.0</v>
      </c>
      <c r="AC3316" s="430"/>
      <c r="AD3316" s="426"/>
      <c r="AE3316" s="428"/>
      <c r="AF3316" s="431"/>
      <c r="AG3316" s="432"/>
      <c r="AH3316" s="430"/>
      <c r="AI3316" s="430"/>
      <c r="AJ3316" s="430"/>
      <c r="AK3316" s="430"/>
      <c r="AL3316" s="430"/>
      <c r="AM3316" s="433"/>
      <c r="AN3316" s="430"/>
      <c r="AO3316" s="430"/>
      <c r="AP3316" s="430"/>
      <c r="AQ3316" s="430"/>
      <c r="AR3316" s="430"/>
      <c r="AS3316" s="430"/>
      <c r="AT3316" s="430"/>
      <c r="AU3316" s="426"/>
      <c r="AV3316" s="434"/>
      <c r="AW3316" s="269" t="s">
        <v>1724</v>
      </c>
      <c r="AX3316" s="269" t="s">
        <v>2869</v>
      </c>
      <c r="AY3316" s="270" t="s">
        <v>695</v>
      </c>
      <c r="AZ3316" s="435"/>
      <c r="BA3316" s="173">
        <v>10.0</v>
      </c>
      <c r="BB3316" s="434"/>
      <c r="BC3316" s="434"/>
      <c r="BD3316" s="308" t="s">
        <v>1844</v>
      </c>
      <c r="BE3316" s="436"/>
      <c r="BF3316" s="274" t="str">
        <f>IFERROR(__xludf.DUMMYFUNCTION("LOWER(Regexreplace(to_text(E3316),""[^A-Za-z0-9]"","""")&amp;""_""&amp;Regexreplace(to_text(F3316),""[^A-Za-z0-9]"",""""))"),"neptronic_evcbseries")</f>
        <v>neptronic_evcbseries</v>
      </c>
      <c r="BG3316" s="275" t="str">
        <f>IFERROR(__xludf.DUMMYFUNCTION("upper(Regexreplace(to_text(E3316),""[^A-Za-z0-9]"","""")&amp;""-""&amp;Regexreplace(to_text(F3316),""[^A-Za-z0-9]"",""""))"),"NEPTRONIC-EVCBSERIES")</f>
        <v>NEPTRONIC-EVCBSERIES</v>
      </c>
    </row>
    <row r="3317" ht="30.0" customHeight="1">
      <c r="A3317" s="425">
        <v>2690.0</v>
      </c>
      <c r="B3317" s="425" t="s">
        <v>670</v>
      </c>
      <c r="C3317" s="257" t="s">
        <v>10257</v>
      </c>
      <c r="D3317" s="173" t="s">
        <v>10258</v>
      </c>
      <c r="E3317" s="174" t="s">
        <v>9267</v>
      </c>
      <c r="F3317" s="173" t="s">
        <v>9268</v>
      </c>
      <c r="G3317" s="425" t="s">
        <v>673</v>
      </c>
      <c r="H3317" s="425" t="s">
        <v>2863</v>
      </c>
      <c r="I3317" s="258" t="s">
        <v>9445</v>
      </c>
      <c r="J3317" s="259" t="s">
        <v>1211</v>
      </c>
      <c r="K3317" s="260">
        <v>734.0</v>
      </c>
      <c r="L3317" s="442"/>
      <c r="M3317" s="426"/>
      <c r="N3317" s="173" t="s">
        <v>679</v>
      </c>
      <c r="O3317" s="173" t="s">
        <v>225</v>
      </c>
      <c r="P3317" s="262" t="str">
        <f t="shared" si="1"/>
        <v>IN-BLR-ANANTA-FAN-265_7</v>
      </c>
      <c r="Q3317" s="173" t="s">
        <v>10259</v>
      </c>
      <c r="R3317" s="433" t="str">
        <f>IFS(C3317="","",C3317="n/a","N/A",LEN(C3317),Concatenate("{",char(34),"asset",char(34),":{",char(34),"guid",char(34),":",char(34),Q3317,char(34),",",char(34),"site",char(34),":",char(34),LOWER('2-Building'!$B$4),char(34),",",char(34),"name",char(34),":",char(34),LOWER(C3317),char(34),"}}"))</f>
        <v>{"asset":{"guid":"uuid://c84449d4-855a-4c9c-a50b-6990257dd60a","site":"in-blr-ananta","name":"fan-265"}}</v>
      </c>
      <c r="S3317" s="369" t="s">
        <v>2866</v>
      </c>
      <c r="T3317" s="427"/>
      <c r="U3317" s="427"/>
      <c r="V3317" s="428"/>
      <c r="W3317" s="429"/>
      <c r="X3317" s="430"/>
      <c r="Y3317" s="33" t="s">
        <v>8076</v>
      </c>
      <c r="Z3317" s="430"/>
      <c r="AA3317" s="430"/>
      <c r="AB3317" s="258">
        <v>118.0</v>
      </c>
      <c r="AC3317" s="430"/>
      <c r="AD3317" s="426"/>
      <c r="AE3317" s="428"/>
      <c r="AF3317" s="431"/>
      <c r="AG3317" s="432" t="str">
        <f>IFS(LEN(AF3317)=17,LOWER('2-Building'!$B$4 &amp; "-" &amp; C3317), AF3317="N/A", "N/A", LEN(AF3317)=0,"")</f>
        <v/>
      </c>
      <c r="AH3317" s="430"/>
      <c r="AI3317" s="430"/>
      <c r="AJ3317" s="430"/>
      <c r="AK3317" s="430"/>
      <c r="AL3317" s="430"/>
      <c r="AM3317" s="433"/>
      <c r="AN3317" s="430"/>
      <c r="AO3317" s="430"/>
      <c r="AP3317" s="430"/>
      <c r="AQ3317" s="430"/>
      <c r="AR3317" s="430"/>
      <c r="AS3317" s="430"/>
      <c r="AT3317" s="430"/>
      <c r="AU3317" s="426"/>
      <c r="AV3317" s="434"/>
      <c r="AW3317" s="269" t="s">
        <v>1724</v>
      </c>
      <c r="AX3317" s="269" t="s">
        <v>2869</v>
      </c>
      <c r="AY3317" s="270" t="s">
        <v>695</v>
      </c>
      <c r="AZ3317" s="435"/>
      <c r="BA3317" s="173">
        <v>10.0</v>
      </c>
      <c r="BB3317" s="434"/>
      <c r="BC3317" s="434"/>
      <c r="BD3317" s="308" t="s">
        <v>1844</v>
      </c>
      <c r="BE3317" s="436"/>
      <c r="BF3317" s="274" t="str">
        <f>IFERROR(__xludf.DUMMYFUNCTION("LOWER(Regexreplace(to_text(E3317),""[^A-Za-z0-9]"","""")&amp;""_""&amp;Regexreplace(to_text(F3317),""[^A-Za-z0-9]"",""""))"),"nicotra_ddmp")</f>
        <v>nicotra_ddmp</v>
      </c>
      <c r="BG3317" s="275" t="str">
        <f>IFERROR(__xludf.DUMMYFUNCTION("upper(Regexreplace(to_text(E3317),""[^A-Za-z0-9]"","""")&amp;""-""&amp;Regexreplace(to_text(F3317),""[^A-Za-z0-9]"",""""))"),"NICOTRA-DDMP")</f>
        <v>NICOTRA-DDMP</v>
      </c>
    </row>
    <row r="3318" ht="30.0" customHeight="1">
      <c r="A3318" s="328">
        <v>2690.0</v>
      </c>
      <c r="B3318" s="425" t="s">
        <v>670</v>
      </c>
      <c r="C3318" s="257" t="s">
        <v>10260</v>
      </c>
      <c r="D3318" s="173" t="s">
        <v>10261</v>
      </c>
      <c r="E3318" s="174" t="s">
        <v>9267</v>
      </c>
      <c r="F3318" s="173" t="s">
        <v>9268</v>
      </c>
      <c r="G3318" s="425" t="s">
        <v>673</v>
      </c>
      <c r="H3318" s="425" t="s">
        <v>2863</v>
      </c>
      <c r="I3318" s="258" t="s">
        <v>9445</v>
      </c>
      <c r="J3318" s="259" t="s">
        <v>1211</v>
      </c>
      <c r="K3318" s="260">
        <v>734.0</v>
      </c>
      <c r="L3318" s="442"/>
      <c r="M3318" s="426"/>
      <c r="N3318" s="173" t="s">
        <v>679</v>
      </c>
      <c r="O3318" s="173" t="s">
        <v>225</v>
      </c>
      <c r="P3318" s="262" t="str">
        <f t="shared" si="1"/>
        <v>IN-BLR-ANANTA-FAN-266_7</v>
      </c>
      <c r="Q3318" s="173" t="s">
        <v>10262</v>
      </c>
      <c r="R3318" s="425" t="str">
        <f>IFS(C3318="","",C3318="n/a","N/A",LEN(C3318),Concatenate("{",char(34),"asset",char(34),":{",char(34),"guid",char(34),":",char(34),Q3318,char(34),",",char(34),"site",char(34),":",char(34),LOWER('2-Building'!$B$4),char(34),",",char(34),"name",char(34),":",char(34),LOWER(C3318),char(34),"}}"))</f>
        <v>{"asset":{"guid":"uuid://8d318680-c47d-4a57-98cd-8cdf297a490a","site":"in-blr-ananta","name":"fan-266"}}</v>
      </c>
      <c r="S3318" s="369" t="s">
        <v>2866</v>
      </c>
      <c r="T3318" s="427"/>
      <c r="U3318" s="427"/>
      <c r="V3318" s="428"/>
      <c r="W3318" s="429"/>
      <c r="X3318" s="430"/>
      <c r="Y3318" s="33" t="s">
        <v>8076</v>
      </c>
      <c r="Z3318" s="430"/>
      <c r="AA3318" s="430"/>
      <c r="AB3318" s="258">
        <v>119.0</v>
      </c>
      <c r="AC3318" s="430"/>
      <c r="AD3318" s="426"/>
      <c r="AE3318" s="428"/>
      <c r="AF3318" s="431"/>
      <c r="AG3318" s="432" t="str">
        <f>IFS(LEN(AF3318)=17,LOWER('2-Building'!$B$4 &amp; "-" &amp; C3318), AF3318="N/A", "N/A", LEN(AF3318)=0,"")</f>
        <v/>
      </c>
      <c r="AH3318" s="430"/>
      <c r="AI3318" s="430"/>
      <c r="AJ3318" s="430"/>
      <c r="AK3318" s="430"/>
      <c r="AL3318" s="430"/>
      <c r="AM3318" s="433"/>
      <c r="AN3318" s="430"/>
      <c r="AO3318" s="430"/>
      <c r="AP3318" s="430"/>
      <c r="AQ3318" s="430"/>
      <c r="AR3318" s="430"/>
      <c r="AS3318" s="430"/>
      <c r="AT3318" s="430"/>
      <c r="AU3318" s="426"/>
      <c r="AV3318" s="434"/>
      <c r="AW3318" s="269" t="s">
        <v>1724</v>
      </c>
      <c r="AX3318" s="269" t="s">
        <v>2869</v>
      </c>
      <c r="AY3318" s="270" t="s">
        <v>695</v>
      </c>
      <c r="AZ3318" s="435"/>
      <c r="BA3318" s="173">
        <v>10.0</v>
      </c>
      <c r="BB3318" s="434"/>
      <c r="BC3318" s="434"/>
      <c r="BD3318" s="308" t="s">
        <v>1844</v>
      </c>
      <c r="BE3318" s="436"/>
      <c r="BF3318" s="274" t="str">
        <f>IFERROR(__xludf.DUMMYFUNCTION("LOWER(Regexreplace(to_text(E3318),""[^A-Za-z0-9]"","""")&amp;""_""&amp;Regexreplace(to_text(F3318),""[^A-Za-z0-9]"",""""))"),"nicotra_ddmp")</f>
        <v>nicotra_ddmp</v>
      </c>
      <c r="BG3318" s="275" t="str">
        <f>IFERROR(__xludf.DUMMYFUNCTION("upper(Regexreplace(to_text(E3318),""[^A-Za-z0-9]"","""")&amp;""-""&amp;Regexreplace(to_text(F3318),""[^A-Za-z0-9]"",""""))"),"NICOTRA-DDMP")</f>
        <v>NICOTRA-DDMP</v>
      </c>
    </row>
    <row r="3319" ht="30.0" customHeight="1">
      <c r="A3319" s="173">
        <v>2689.0</v>
      </c>
      <c r="B3319" s="328" t="s">
        <v>670</v>
      </c>
      <c r="C3319" s="257" t="s">
        <v>10263</v>
      </c>
      <c r="D3319" s="173" t="s">
        <v>10264</v>
      </c>
      <c r="E3319" s="174" t="s">
        <v>9267</v>
      </c>
      <c r="F3319" s="173" t="s">
        <v>9268</v>
      </c>
      <c r="G3319" s="328" t="s">
        <v>673</v>
      </c>
      <c r="H3319" s="328" t="s">
        <v>2863</v>
      </c>
      <c r="I3319" s="258" t="s">
        <v>9445</v>
      </c>
      <c r="J3319" s="259" t="s">
        <v>1211</v>
      </c>
      <c r="K3319" s="260">
        <v>734.0</v>
      </c>
      <c r="L3319" s="366"/>
      <c r="M3319" s="329"/>
      <c r="N3319" s="173" t="s">
        <v>679</v>
      </c>
      <c r="O3319" s="173" t="s">
        <v>225</v>
      </c>
      <c r="P3319" s="262" t="str">
        <f t="shared" si="1"/>
        <v>IN-BLR-ANANTA-FAN-267_7</v>
      </c>
      <c r="Q3319" s="173" t="s">
        <v>10265</v>
      </c>
      <c r="R3319" s="328" t="str">
        <f>IFS(C3319="","",C3319="n/a","N/A",LEN(C3319),Concatenate("{",char(34),"asset",char(34),":{",char(34),"guid",char(34),":",char(34),Q3319,char(34),",",char(34),"site",char(34),":",char(34),LOWER('2-Building'!$B$4),char(34),",",char(34),"name",char(34),":",char(34),LOWER(C3319),char(34),"}}"))</f>
        <v>{"asset":{"guid":"uuid://f6d7a2b4-b524-4c92-805e-0de51a3ef278","site":"in-blr-ananta","name":"fan-267"}}</v>
      </c>
      <c r="S3319" s="369" t="s">
        <v>2866</v>
      </c>
      <c r="T3319" s="330"/>
      <c r="U3319" s="330"/>
      <c r="V3319" s="331"/>
      <c r="W3319" s="332"/>
      <c r="X3319" s="333"/>
      <c r="Y3319" s="33" t="s">
        <v>8076</v>
      </c>
      <c r="Z3319" s="368"/>
      <c r="AA3319" s="333"/>
      <c r="AB3319" s="258">
        <v>120.0</v>
      </c>
      <c r="AC3319" s="333"/>
      <c r="AD3319" s="329"/>
      <c r="AE3319" s="331"/>
      <c r="AF3319" s="336"/>
      <c r="AG3319" s="337" t="str">
        <f>IFS(LEN(AF3319)=17,LOWER('2-Building'!$B$4 &amp; "-" &amp; C3319), AF3319="N/A", "N/A", LEN(AF3319)=0,"")</f>
        <v/>
      </c>
      <c r="AH3319" s="333"/>
      <c r="AI3319" s="333"/>
      <c r="AJ3319" s="333"/>
      <c r="AK3319" s="333"/>
      <c r="AL3319" s="333"/>
      <c r="AM3319" s="338"/>
      <c r="AN3319" s="333"/>
      <c r="AO3319" s="333"/>
      <c r="AP3319" s="333"/>
      <c r="AQ3319" s="333"/>
      <c r="AR3319" s="333"/>
      <c r="AS3319" s="333"/>
      <c r="AT3319" s="333"/>
      <c r="AU3319" s="329"/>
      <c r="AV3319" s="341"/>
      <c r="AW3319" s="269" t="s">
        <v>1724</v>
      </c>
      <c r="AX3319" s="269" t="s">
        <v>2869</v>
      </c>
      <c r="AY3319" s="270" t="s">
        <v>695</v>
      </c>
      <c r="AZ3319" s="379"/>
      <c r="BA3319" s="173">
        <v>10.0</v>
      </c>
      <c r="BB3319" s="341"/>
      <c r="BC3319" s="341"/>
      <c r="BD3319" s="308" t="s">
        <v>1844</v>
      </c>
      <c r="BE3319" s="364"/>
      <c r="BF3319" s="274" t="str">
        <f>IFERROR(__xludf.DUMMYFUNCTION("LOWER(Regexreplace(to_text(E3319),""[^A-Za-z0-9]"","""")&amp;""_""&amp;Regexreplace(to_text(F3319),""[^A-Za-z0-9]"",""""))"),"nicotra_ddmp")</f>
        <v>nicotra_ddmp</v>
      </c>
      <c r="BG3319" s="275" t="str">
        <f>IFERROR(__xludf.DUMMYFUNCTION("upper(Regexreplace(to_text(E3319),""[^A-Za-z0-9]"","""")&amp;""-""&amp;Regexreplace(to_text(F3319),""[^A-Za-z0-9]"",""""))"),"NICOTRA-DDMP")</f>
        <v>NICOTRA-DDMP</v>
      </c>
    </row>
    <row r="3320" ht="30.0" customHeight="1">
      <c r="A3320" s="173">
        <v>2691.0</v>
      </c>
      <c r="B3320" s="328" t="s">
        <v>670</v>
      </c>
      <c r="C3320" s="257" t="s">
        <v>10266</v>
      </c>
      <c r="D3320" s="173" t="s">
        <v>10267</v>
      </c>
      <c r="E3320" s="174" t="s">
        <v>9267</v>
      </c>
      <c r="F3320" s="173" t="s">
        <v>9268</v>
      </c>
      <c r="G3320" s="328" t="s">
        <v>673</v>
      </c>
      <c r="H3320" s="328" t="s">
        <v>2863</v>
      </c>
      <c r="I3320" s="258" t="s">
        <v>9445</v>
      </c>
      <c r="J3320" s="259" t="s">
        <v>1211</v>
      </c>
      <c r="K3320" s="260">
        <v>734.0</v>
      </c>
      <c r="L3320" s="366"/>
      <c r="M3320" s="329"/>
      <c r="N3320" s="173" t="s">
        <v>679</v>
      </c>
      <c r="O3320" s="173" t="s">
        <v>225</v>
      </c>
      <c r="P3320" s="262" t="str">
        <f t="shared" si="1"/>
        <v>IN-BLR-ANANTA-FAN-268_7</v>
      </c>
      <c r="Q3320" s="173" t="s">
        <v>10268</v>
      </c>
      <c r="R3320" s="328" t="str">
        <f>IFS(C3320="","",C3320="n/a","N/A",LEN(C3320),Concatenate("{",char(34),"asset",char(34),":{",char(34),"guid",char(34),":",char(34),Q3320,char(34),",",char(34),"site",char(34),":",char(34),LOWER('2-Building'!$B$4),char(34),",",char(34),"name",char(34),":",char(34),LOWER(C3320),char(34),"}}"))</f>
        <v>{"asset":{"guid":"uuid://06e6b501-c571-4ee4-8ad3-261fa9c399cb","site":"in-blr-ananta","name":"fan-268"}}</v>
      </c>
      <c r="S3320" s="369" t="s">
        <v>2866</v>
      </c>
      <c r="T3320" s="330"/>
      <c r="U3320" s="330"/>
      <c r="V3320" s="331"/>
      <c r="W3320" s="332"/>
      <c r="X3320" s="333"/>
      <c r="Y3320" s="33" t="s">
        <v>8076</v>
      </c>
      <c r="Z3320" s="368"/>
      <c r="AA3320" s="333"/>
      <c r="AB3320" s="258">
        <v>121.0</v>
      </c>
      <c r="AC3320" s="333"/>
      <c r="AD3320" s="329"/>
      <c r="AE3320" s="331"/>
      <c r="AF3320" s="336"/>
      <c r="AG3320" s="337" t="str">
        <f>IFS(LEN(AF3320)=17,LOWER('2-Building'!$B$4 &amp; "-" &amp; C3320), AF3320="N/A", "N/A", LEN(AF3320)=0,"")</f>
        <v/>
      </c>
      <c r="AH3320" s="333"/>
      <c r="AI3320" s="333"/>
      <c r="AJ3320" s="333"/>
      <c r="AK3320" s="333"/>
      <c r="AL3320" s="333"/>
      <c r="AM3320" s="338"/>
      <c r="AN3320" s="333"/>
      <c r="AO3320" s="333"/>
      <c r="AP3320" s="333"/>
      <c r="AQ3320" s="333"/>
      <c r="AR3320" s="333"/>
      <c r="AS3320" s="333"/>
      <c r="AT3320" s="333"/>
      <c r="AU3320" s="329"/>
      <c r="AV3320" s="341"/>
      <c r="AW3320" s="269" t="s">
        <v>1724</v>
      </c>
      <c r="AX3320" s="269" t="s">
        <v>2869</v>
      </c>
      <c r="AY3320" s="270" t="s">
        <v>695</v>
      </c>
      <c r="AZ3320" s="379"/>
      <c r="BA3320" s="173">
        <v>10.0</v>
      </c>
      <c r="BB3320" s="341"/>
      <c r="BC3320" s="341"/>
      <c r="BD3320" s="308" t="s">
        <v>1844</v>
      </c>
      <c r="BE3320" s="364"/>
      <c r="BF3320" s="274" t="str">
        <f>IFERROR(__xludf.DUMMYFUNCTION("LOWER(Regexreplace(to_text(E3320),""[^A-Za-z0-9]"","""")&amp;""_""&amp;Regexreplace(to_text(F3320),""[^A-Za-z0-9]"",""""))"),"nicotra_ddmp")</f>
        <v>nicotra_ddmp</v>
      </c>
      <c r="BG3320" s="275" t="str">
        <f>IFERROR(__xludf.DUMMYFUNCTION("upper(Regexreplace(to_text(E3320),""[^A-Za-z0-9]"","""")&amp;""-""&amp;Regexreplace(to_text(F3320),""[^A-Za-z0-9]"",""""))"),"NICOTRA-DDMP")</f>
        <v>NICOTRA-DDMP</v>
      </c>
    </row>
    <row r="3321" ht="30.0" customHeight="1">
      <c r="A3321" s="258">
        <v>2690.0</v>
      </c>
      <c r="B3321" s="328" t="s">
        <v>670</v>
      </c>
      <c r="C3321" s="257" t="s">
        <v>10269</v>
      </c>
      <c r="D3321" s="173" t="s">
        <v>10270</v>
      </c>
      <c r="E3321" s="174" t="s">
        <v>9267</v>
      </c>
      <c r="F3321" s="173" t="s">
        <v>9268</v>
      </c>
      <c r="G3321" s="328" t="s">
        <v>673</v>
      </c>
      <c r="H3321" s="328" t="s">
        <v>2863</v>
      </c>
      <c r="I3321" s="258" t="s">
        <v>9445</v>
      </c>
      <c r="J3321" s="259" t="s">
        <v>1211</v>
      </c>
      <c r="K3321" s="260">
        <v>734.0</v>
      </c>
      <c r="L3321" s="366"/>
      <c r="M3321" s="329"/>
      <c r="N3321" s="173" t="s">
        <v>679</v>
      </c>
      <c r="O3321" s="173" t="s">
        <v>225</v>
      </c>
      <c r="P3321" s="262" t="str">
        <f t="shared" si="1"/>
        <v>IN-BLR-ANANTA-FAN-269_7</v>
      </c>
      <c r="Q3321" s="173" t="s">
        <v>10271</v>
      </c>
      <c r="R3321" s="328" t="str">
        <f>IFS(C3321="","",C3321="n/a","N/A",LEN(C3321),Concatenate("{",char(34),"asset",char(34),":{",char(34),"guid",char(34),":",char(34),Q3321,char(34),",",char(34),"site",char(34),":",char(34),LOWER('2-Building'!$B$4),char(34),",",char(34),"name",char(34),":",char(34),LOWER(C3321),char(34),"}}"))</f>
        <v>{"asset":{"guid":"uuid://a1d695bf-20bd-4336-bef6-7b485372cbd2","site":"in-blr-ananta","name":"fan-269"}}</v>
      </c>
      <c r="S3321" s="369" t="s">
        <v>2866</v>
      </c>
      <c r="T3321" s="330"/>
      <c r="U3321" s="330"/>
      <c r="V3321" s="331"/>
      <c r="W3321" s="332"/>
      <c r="X3321" s="333"/>
      <c r="Y3321" s="33" t="s">
        <v>8076</v>
      </c>
      <c r="Z3321" s="368"/>
      <c r="AA3321" s="333"/>
      <c r="AB3321" s="258">
        <v>122.0</v>
      </c>
      <c r="AC3321" s="333"/>
      <c r="AD3321" s="329"/>
      <c r="AE3321" s="331"/>
      <c r="AF3321" s="336"/>
      <c r="AG3321" s="337" t="str">
        <f>IFS(LEN(AF3321)=17,LOWER('2-Building'!$B$4 &amp; "-" &amp; C3321), AF3321="N/A", "N/A", LEN(AF3321)=0,"")</f>
        <v/>
      </c>
      <c r="AH3321" s="333"/>
      <c r="AI3321" s="333"/>
      <c r="AJ3321" s="333"/>
      <c r="AK3321" s="333"/>
      <c r="AL3321" s="333"/>
      <c r="AM3321" s="338"/>
      <c r="AN3321" s="333"/>
      <c r="AO3321" s="333"/>
      <c r="AP3321" s="333"/>
      <c r="AQ3321" s="333"/>
      <c r="AR3321" s="333"/>
      <c r="AS3321" s="333"/>
      <c r="AT3321" s="333"/>
      <c r="AU3321" s="329"/>
      <c r="AV3321" s="341"/>
      <c r="AW3321" s="269" t="s">
        <v>1724</v>
      </c>
      <c r="AX3321" s="269" t="s">
        <v>2869</v>
      </c>
      <c r="AY3321" s="270" t="s">
        <v>695</v>
      </c>
      <c r="AZ3321" s="379"/>
      <c r="BA3321" s="173">
        <v>10.0</v>
      </c>
      <c r="BB3321" s="341"/>
      <c r="BC3321" s="341"/>
      <c r="BD3321" s="308" t="s">
        <v>1844</v>
      </c>
      <c r="BE3321" s="364"/>
      <c r="BF3321" s="274" t="str">
        <f>IFERROR(__xludf.DUMMYFUNCTION("LOWER(Regexreplace(to_text(E3321),""[^A-Za-z0-9]"","""")&amp;""_""&amp;Regexreplace(to_text(F3321),""[^A-Za-z0-9]"",""""))"),"nicotra_ddmp")</f>
        <v>nicotra_ddmp</v>
      </c>
      <c r="BG3321" s="275" t="str">
        <f>IFERROR(__xludf.DUMMYFUNCTION("upper(Regexreplace(to_text(E3321),""[^A-Za-z0-9]"","""")&amp;""-""&amp;Regexreplace(to_text(F3321),""[^A-Za-z0-9]"",""""))"),"NICOTRA-DDMP")</f>
        <v>NICOTRA-DDMP</v>
      </c>
    </row>
    <row r="3322" ht="30.0" customHeight="1">
      <c r="A3322" s="173">
        <v>2691.0</v>
      </c>
      <c r="B3322" s="328" t="s">
        <v>670</v>
      </c>
      <c r="C3322" s="257" t="s">
        <v>10272</v>
      </c>
      <c r="D3322" s="173" t="s">
        <v>10273</v>
      </c>
      <c r="E3322" s="174" t="s">
        <v>9267</v>
      </c>
      <c r="F3322" s="173" t="s">
        <v>9268</v>
      </c>
      <c r="G3322" s="328" t="s">
        <v>673</v>
      </c>
      <c r="H3322" s="328" t="s">
        <v>2863</v>
      </c>
      <c r="I3322" s="258" t="s">
        <v>9445</v>
      </c>
      <c r="J3322" s="259" t="s">
        <v>1211</v>
      </c>
      <c r="K3322" s="260">
        <v>734.0</v>
      </c>
      <c r="L3322" s="366"/>
      <c r="M3322" s="329"/>
      <c r="N3322" s="173" t="s">
        <v>679</v>
      </c>
      <c r="O3322" s="173" t="s">
        <v>225</v>
      </c>
      <c r="P3322" s="262" t="str">
        <f t="shared" si="1"/>
        <v>IN-BLR-ANANTA-FAN-270_7</v>
      </c>
      <c r="Q3322" s="173" t="s">
        <v>10274</v>
      </c>
      <c r="R3322" s="328" t="str">
        <f>IFS(C3322="","",C3322="n/a","N/A",LEN(C3322),Concatenate("{",char(34),"asset",char(34),":{",char(34),"guid",char(34),":",char(34),Q3322,char(34),",",char(34),"site",char(34),":",char(34),LOWER('2-Building'!$B$4),char(34),",",char(34),"name",char(34),":",char(34),LOWER(C3322),char(34),"}}"))</f>
        <v>{"asset":{"guid":"uuid://8ace0434-196c-4082-a6f8-6b569df2d657","site":"in-blr-ananta","name":"fan-270"}}</v>
      </c>
      <c r="S3322" s="369" t="s">
        <v>2866</v>
      </c>
      <c r="T3322" s="330"/>
      <c r="U3322" s="330"/>
      <c r="V3322" s="331"/>
      <c r="W3322" s="332"/>
      <c r="X3322" s="333"/>
      <c r="Y3322" s="33" t="s">
        <v>8076</v>
      </c>
      <c r="Z3322" s="368"/>
      <c r="AA3322" s="333"/>
      <c r="AB3322" s="258">
        <v>123.0</v>
      </c>
      <c r="AC3322" s="333"/>
      <c r="AD3322" s="329"/>
      <c r="AE3322" s="331"/>
      <c r="AF3322" s="336"/>
      <c r="AG3322" s="337" t="str">
        <f>IFS(LEN(AF3322)=17,LOWER('2-Building'!$B$4 &amp; "-" &amp; C3322), AF3322="N/A", "N/A", LEN(AF3322)=0,"")</f>
        <v/>
      </c>
      <c r="AH3322" s="333"/>
      <c r="AI3322" s="333"/>
      <c r="AJ3322" s="333"/>
      <c r="AK3322" s="333"/>
      <c r="AL3322" s="333"/>
      <c r="AM3322" s="338"/>
      <c r="AN3322" s="333"/>
      <c r="AO3322" s="333"/>
      <c r="AP3322" s="333"/>
      <c r="AQ3322" s="333"/>
      <c r="AR3322" s="333"/>
      <c r="AS3322" s="333"/>
      <c r="AT3322" s="333"/>
      <c r="AU3322" s="329"/>
      <c r="AV3322" s="341"/>
      <c r="AW3322" s="269" t="s">
        <v>1724</v>
      </c>
      <c r="AX3322" s="269" t="s">
        <v>2869</v>
      </c>
      <c r="AY3322" s="270" t="s">
        <v>695</v>
      </c>
      <c r="AZ3322" s="379"/>
      <c r="BA3322" s="173">
        <v>10.0</v>
      </c>
      <c r="BB3322" s="341"/>
      <c r="BC3322" s="341"/>
      <c r="BD3322" s="308" t="s">
        <v>1844</v>
      </c>
      <c r="BE3322" s="364"/>
      <c r="BF3322" s="274" t="str">
        <f>IFERROR(__xludf.DUMMYFUNCTION("LOWER(Regexreplace(to_text(E3322),""[^A-Za-z0-9]"","""")&amp;""_""&amp;Regexreplace(to_text(F3322),""[^A-Za-z0-9]"",""""))"),"nicotra_ddmp")</f>
        <v>nicotra_ddmp</v>
      </c>
      <c r="BG3322" s="275" t="str">
        <f>IFERROR(__xludf.DUMMYFUNCTION("upper(Regexreplace(to_text(E3322),""[^A-Za-z0-9]"","""")&amp;""-""&amp;Regexreplace(to_text(F3322),""[^A-Za-z0-9]"",""""))"),"NICOTRA-DDMP")</f>
        <v>NICOTRA-DDMP</v>
      </c>
    </row>
    <row r="3323" ht="30.0" customHeight="1">
      <c r="A3323" s="258">
        <v>2690.0</v>
      </c>
      <c r="B3323" s="328" t="s">
        <v>670</v>
      </c>
      <c r="C3323" s="257" t="s">
        <v>10275</v>
      </c>
      <c r="D3323" s="173" t="s">
        <v>10276</v>
      </c>
      <c r="E3323" s="174" t="s">
        <v>9267</v>
      </c>
      <c r="F3323" s="173" t="s">
        <v>9268</v>
      </c>
      <c r="G3323" s="328" t="s">
        <v>673</v>
      </c>
      <c r="H3323" s="328" t="s">
        <v>2863</v>
      </c>
      <c r="I3323" s="258" t="s">
        <v>9445</v>
      </c>
      <c r="J3323" s="259" t="s">
        <v>1272</v>
      </c>
      <c r="K3323" s="260" t="s">
        <v>10277</v>
      </c>
      <c r="L3323" s="366"/>
      <c r="M3323" s="329"/>
      <c r="N3323" s="173" t="s">
        <v>679</v>
      </c>
      <c r="O3323" s="173" t="s">
        <v>225</v>
      </c>
      <c r="P3323" s="262" t="str">
        <f t="shared" si="1"/>
        <v>IN-BLR-ANANTA-FAN-271_8</v>
      </c>
      <c r="Q3323" s="173" t="s">
        <v>10278</v>
      </c>
      <c r="R3323" s="328" t="str">
        <f>IFS(C3323="","",C3323="n/a","N/A",LEN(C3323),Concatenate("{",char(34),"asset",char(34),":{",char(34),"guid",char(34),":",char(34),Q3323,char(34),",",char(34),"site",char(34),":",char(34),LOWER('2-Building'!$B$4),char(34),",",char(34),"name",char(34),":",char(34),LOWER(C3323),char(34),"}}"))</f>
        <v>{"asset":{"guid":"uuid://1af57b1a-14b3-42f5-a7fd-c667d286f7d1","site":"in-blr-ananta","name":"fan-271"}}</v>
      </c>
      <c r="S3323" s="369" t="s">
        <v>2866</v>
      </c>
      <c r="T3323" s="330"/>
      <c r="U3323" s="330"/>
      <c r="V3323" s="331"/>
      <c r="W3323" s="332"/>
      <c r="X3323" s="333"/>
      <c r="Y3323" s="33" t="s">
        <v>8076</v>
      </c>
      <c r="Z3323" s="368"/>
      <c r="AA3323" s="333"/>
      <c r="AB3323" s="258">
        <v>136.0</v>
      </c>
      <c r="AC3323" s="333"/>
      <c r="AD3323" s="329"/>
      <c r="AE3323" s="331"/>
      <c r="AF3323" s="336"/>
      <c r="AG3323" s="337" t="str">
        <f>IFS(LEN(AF3323)=17,LOWER('2-Building'!$B$4 &amp; "-" &amp; C3323), AF3323="N/A", "N/A", LEN(AF3323)=0,"")</f>
        <v/>
      </c>
      <c r="AH3323" s="333"/>
      <c r="AI3323" s="333"/>
      <c r="AJ3323" s="333"/>
      <c r="AK3323" s="333"/>
      <c r="AL3323" s="333"/>
      <c r="AM3323" s="338"/>
      <c r="AN3323" s="333"/>
      <c r="AO3323" s="333"/>
      <c r="AP3323" s="333"/>
      <c r="AQ3323" s="333"/>
      <c r="AR3323" s="333"/>
      <c r="AS3323" s="333"/>
      <c r="AT3323" s="333"/>
      <c r="AU3323" s="329"/>
      <c r="AV3323" s="341"/>
      <c r="AW3323" s="269" t="s">
        <v>1724</v>
      </c>
      <c r="AX3323" s="269" t="s">
        <v>2869</v>
      </c>
      <c r="AY3323" s="270" t="s">
        <v>695</v>
      </c>
      <c r="AZ3323" s="379"/>
      <c r="BA3323" s="173">
        <v>10.0</v>
      </c>
      <c r="BB3323" s="341"/>
      <c r="BC3323" s="341"/>
      <c r="BD3323" s="308" t="s">
        <v>1844</v>
      </c>
      <c r="BE3323" s="364"/>
      <c r="BF3323" s="274" t="str">
        <f>IFERROR(__xludf.DUMMYFUNCTION("LOWER(Regexreplace(to_text(E3323),""[^A-Za-z0-9]"","""")&amp;""_""&amp;Regexreplace(to_text(F3323),""[^A-Za-z0-9]"",""""))"),"nicotra_ddmp")</f>
        <v>nicotra_ddmp</v>
      </c>
      <c r="BG3323" s="275" t="str">
        <f>IFERROR(__xludf.DUMMYFUNCTION("upper(Regexreplace(to_text(E3323),""[^A-Za-z0-9]"","""")&amp;""-""&amp;Regexreplace(to_text(F3323),""[^A-Za-z0-9]"",""""))"),"NICOTRA-DDMP")</f>
        <v>NICOTRA-DDMP</v>
      </c>
    </row>
    <row r="3324" ht="30.0" customHeight="1">
      <c r="A3324" s="328">
        <v>2690.0</v>
      </c>
      <c r="B3324" s="425" t="s">
        <v>670</v>
      </c>
      <c r="C3324" s="257" t="s">
        <v>10279</v>
      </c>
      <c r="D3324" s="173" t="s">
        <v>10280</v>
      </c>
      <c r="E3324" s="174" t="s">
        <v>9289</v>
      </c>
      <c r="F3324" s="173" t="s">
        <v>9709</v>
      </c>
      <c r="G3324" s="425" t="s">
        <v>673</v>
      </c>
      <c r="H3324" s="425" t="s">
        <v>2863</v>
      </c>
      <c r="I3324" s="258" t="s">
        <v>9445</v>
      </c>
      <c r="J3324" s="259" t="s">
        <v>1272</v>
      </c>
      <c r="K3324" s="260" t="s">
        <v>10277</v>
      </c>
      <c r="L3324" s="442"/>
      <c r="M3324" s="426"/>
      <c r="N3324" s="173" t="s">
        <v>679</v>
      </c>
      <c r="O3324" s="173" t="s">
        <v>225</v>
      </c>
      <c r="P3324" s="262" t="str">
        <f t="shared" si="1"/>
        <v>IN-BLR-ANANTA-FAN-272_8</v>
      </c>
      <c r="Q3324" s="173" t="s">
        <v>10281</v>
      </c>
      <c r="R3324" s="328" t="str">
        <f>IFS(C3324="","",C3324="n/a","N/A",LEN(C3324),Concatenate("{",char(34),"asset",char(34),":{",char(34),"guid",char(34),":",char(34),Q3324,char(34),",",char(34),"site",char(34),":",char(34),LOWER('2-Building'!$B$4),char(34),",",char(34),"name",char(34),":",char(34),LOWER(C3324),char(34),"}}"))</f>
        <v>{"asset":{"guid":"uuid://0a232627-a38a-4e6f-8e36-a09537662c96","site":"in-blr-ananta","name":"fan-272"}}</v>
      </c>
      <c r="S3324" s="369" t="s">
        <v>2866</v>
      </c>
      <c r="T3324" s="427"/>
      <c r="U3324" s="427"/>
      <c r="V3324" s="428"/>
      <c r="W3324" s="429"/>
      <c r="X3324" s="430"/>
      <c r="Y3324" s="33" t="s">
        <v>8076</v>
      </c>
      <c r="Z3324" s="430"/>
      <c r="AA3324" s="430"/>
      <c r="AB3324" s="258">
        <v>137.0</v>
      </c>
      <c r="AC3324" s="430"/>
      <c r="AD3324" s="426"/>
      <c r="AE3324" s="428"/>
      <c r="AF3324" s="431"/>
      <c r="AG3324" s="432"/>
      <c r="AH3324" s="430"/>
      <c r="AI3324" s="430"/>
      <c r="AJ3324" s="430"/>
      <c r="AK3324" s="430"/>
      <c r="AL3324" s="430"/>
      <c r="AM3324" s="433"/>
      <c r="AN3324" s="430"/>
      <c r="AO3324" s="430"/>
      <c r="AP3324" s="430"/>
      <c r="AQ3324" s="430"/>
      <c r="AR3324" s="430"/>
      <c r="AS3324" s="430"/>
      <c r="AT3324" s="430"/>
      <c r="AU3324" s="426"/>
      <c r="AV3324" s="434"/>
      <c r="AW3324" s="269" t="s">
        <v>1724</v>
      </c>
      <c r="AX3324" s="269" t="s">
        <v>2869</v>
      </c>
      <c r="AY3324" s="270" t="s">
        <v>695</v>
      </c>
      <c r="AZ3324" s="435"/>
      <c r="BA3324" s="173">
        <v>10.0</v>
      </c>
      <c r="BB3324" s="434"/>
      <c r="BC3324" s="434"/>
      <c r="BD3324" s="308" t="s">
        <v>1844</v>
      </c>
      <c r="BE3324" s="436"/>
      <c r="BF3324" s="274" t="str">
        <f>IFERROR(__xludf.DUMMYFUNCTION("LOWER(Regexreplace(to_text(E3324),""[^A-Za-z0-9]"","""")&amp;""_""&amp;Regexreplace(to_text(F3324),""[^A-Za-z0-9]"",""""))"),"daikin_fxzq32bvm6")</f>
        <v>daikin_fxzq32bvm6</v>
      </c>
      <c r="BG3324" s="275" t="str">
        <f>IFERROR(__xludf.DUMMYFUNCTION("upper(Regexreplace(to_text(E3324),""[^A-Za-z0-9]"","""")&amp;""-""&amp;Regexreplace(to_text(F3324),""[^A-Za-z0-9]"",""""))"),"DAIKIN-FXZQ32BVM6")</f>
        <v>DAIKIN-FXZQ32BVM6</v>
      </c>
    </row>
    <row r="3325" ht="30.0" customHeight="1">
      <c r="A3325" s="425">
        <v>2690.0</v>
      </c>
      <c r="B3325" s="425" t="s">
        <v>670</v>
      </c>
      <c r="C3325" s="257" t="s">
        <v>10282</v>
      </c>
      <c r="D3325" s="173" t="s">
        <v>10283</v>
      </c>
      <c r="E3325" s="174" t="s">
        <v>9289</v>
      </c>
      <c r="F3325" s="173" t="s">
        <v>9709</v>
      </c>
      <c r="G3325" s="425" t="s">
        <v>673</v>
      </c>
      <c r="H3325" s="425" t="s">
        <v>2863</v>
      </c>
      <c r="I3325" s="258" t="s">
        <v>9445</v>
      </c>
      <c r="J3325" s="259" t="s">
        <v>1272</v>
      </c>
      <c r="K3325" s="260" t="s">
        <v>10277</v>
      </c>
      <c r="L3325" s="442"/>
      <c r="M3325" s="426"/>
      <c r="N3325" s="173" t="s">
        <v>679</v>
      </c>
      <c r="O3325" s="173" t="s">
        <v>225</v>
      </c>
      <c r="P3325" s="262" t="str">
        <f t="shared" si="1"/>
        <v>IN-BLR-ANANTA-FAN-273_8</v>
      </c>
      <c r="Q3325" s="173" t="s">
        <v>10284</v>
      </c>
      <c r="R3325" s="433" t="str">
        <f>IFS(C3325="","",C3325="n/a","N/A",LEN(C3325),Concatenate("{",char(34),"asset",char(34),":{",char(34),"guid",char(34),":",char(34),Q3325,char(34),",",char(34),"site",char(34),":",char(34),LOWER('2-Building'!$B$4),char(34),",",char(34),"name",char(34),":",char(34),LOWER(C3325),char(34),"}}"))</f>
        <v>{"asset":{"guid":"uuid://108f64a6-801d-47f3-8a70-2db96ce42dae","site":"in-blr-ananta","name":"fan-273"}}</v>
      </c>
      <c r="S3325" s="369" t="s">
        <v>2866</v>
      </c>
      <c r="T3325" s="427"/>
      <c r="U3325" s="427"/>
      <c r="V3325" s="428"/>
      <c r="W3325" s="429"/>
      <c r="X3325" s="430"/>
      <c r="Y3325" s="33" t="s">
        <v>8076</v>
      </c>
      <c r="Z3325" s="430"/>
      <c r="AA3325" s="430"/>
      <c r="AB3325" s="258">
        <v>138.0</v>
      </c>
      <c r="AC3325" s="430"/>
      <c r="AD3325" s="426"/>
      <c r="AE3325" s="428"/>
      <c r="AF3325" s="431"/>
      <c r="AG3325" s="432" t="str">
        <f>IFS(LEN(AF3325)=17,LOWER('2-Building'!$B$4 &amp; "-" &amp; C3325), AF3325="N/A", "N/A", LEN(AF3325)=0,"")</f>
        <v/>
      </c>
      <c r="AH3325" s="430"/>
      <c r="AI3325" s="430"/>
      <c r="AJ3325" s="430"/>
      <c r="AK3325" s="430"/>
      <c r="AL3325" s="430"/>
      <c r="AM3325" s="433"/>
      <c r="AN3325" s="430"/>
      <c r="AO3325" s="430"/>
      <c r="AP3325" s="430"/>
      <c r="AQ3325" s="430"/>
      <c r="AR3325" s="430"/>
      <c r="AS3325" s="430"/>
      <c r="AT3325" s="430"/>
      <c r="AU3325" s="426"/>
      <c r="AV3325" s="434"/>
      <c r="AW3325" s="269" t="s">
        <v>1724</v>
      </c>
      <c r="AX3325" s="269" t="s">
        <v>2869</v>
      </c>
      <c r="AY3325" s="270" t="s">
        <v>695</v>
      </c>
      <c r="AZ3325" s="435"/>
      <c r="BA3325" s="173">
        <v>10.0</v>
      </c>
      <c r="BB3325" s="434"/>
      <c r="BC3325" s="434"/>
      <c r="BD3325" s="308" t="s">
        <v>1844</v>
      </c>
      <c r="BE3325" s="436"/>
      <c r="BF3325" s="274" t="str">
        <f>IFERROR(__xludf.DUMMYFUNCTION("LOWER(Regexreplace(to_text(E3325),""[^A-Za-z0-9]"","""")&amp;""_""&amp;Regexreplace(to_text(F3325),""[^A-Za-z0-9]"",""""))"),"daikin_fxzq32bvm6")</f>
        <v>daikin_fxzq32bvm6</v>
      </c>
      <c r="BG3325" s="275" t="str">
        <f>IFERROR(__xludf.DUMMYFUNCTION("upper(Regexreplace(to_text(E3325),""[^A-Za-z0-9]"","""")&amp;""-""&amp;Regexreplace(to_text(F3325),""[^A-Za-z0-9]"",""""))"),"DAIKIN-FXZQ32BVM6")</f>
        <v>DAIKIN-FXZQ32BVM6</v>
      </c>
    </row>
    <row r="3326" ht="30.0" customHeight="1">
      <c r="A3326" s="328">
        <v>2690.0</v>
      </c>
      <c r="B3326" s="425" t="s">
        <v>670</v>
      </c>
      <c r="C3326" s="257" t="s">
        <v>10285</v>
      </c>
      <c r="D3326" s="173" t="s">
        <v>10286</v>
      </c>
      <c r="E3326" s="174" t="s">
        <v>9289</v>
      </c>
      <c r="F3326" s="173" t="s">
        <v>9709</v>
      </c>
      <c r="G3326" s="425" t="s">
        <v>673</v>
      </c>
      <c r="H3326" s="425" t="s">
        <v>2863</v>
      </c>
      <c r="I3326" s="258" t="s">
        <v>9445</v>
      </c>
      <c r="J3326" s="259" t="s">
        <v>1272</v>
      </c>
      <c r="K3326" s="260" t="s">
        <v>10277</v>
      </c>
      <c r="L3326" s="442"/>
      <c r="M3326" s="426"/>
      <c r="N3326" s="173" t="s">
        <v>679</v>
      </c>
      <c r="O3326" s="173" t="s">
        <v>225</v>
      </c>
      <c r="P3326" s="262" t="str">
        <f t="shared" si="1"/>
        <v>IN-BLR-ANANTA-FAN-274_8</v>
      </c>
      <c r="Q3326" s="173" t="s">
        <v>10287</v>
      </c>
      <c r="R3326" s="425" t="str">
        <f>IFS(C3326="","",C3326="n/a","N/A",LEN(C3326),Concatenate("{",char(34),"asset",char(34),":{",char(34),"guid",char(34),":",char(34),Q3326,char(34),",",char(34),"site",char(34),":",char(34),LOWER('2-Building'!$B$4),char(34),",",char(34),"name",char(34),":",char(34),LOWER(C3326),char(34),"}}"))</f>
        <v>{"asset":{"guid":"uuid://9025f95a-ee14-4642-ac5c-3dacb4e98b10","site":"in-blr-ananta","name":"fan-274"}}</v>
      </c>
      <c r="S3326" s="369" t="s">
        <v>2866</v>
      </c>
      <c r="T3326" s="427"/>
      <c r="U3326" s="427"/>
      <c r="V3326" s="428"/>
      <c r="W3326" s="429"/>
      <c r="X3326" s="430"/>
      <c r="Y3326" s="33" t="s">
        <v>8076</v>
      </c>
      <c r="Z3326" s="430"/>
      <c r="AA3326" s="430"/>
      <c r="AB3326" s="258">
        <v>139.0</v>
      </c>
      <c r="AC3326" s="430"/>
      <c r="AD3326" s="426"/>
      <c r="AE3326" s="428"/>
      <c r="AF3326" s="431"/>
      <c r="AG3326" s="432" t="str">
        <f>IFS(LEN(AF3326)=17,LOWER('2-Building'!$B$4 &amp; "-" &amp; C3326), AF3326="N/A", "N/A", LEN(AF3326)=0,"")</f>
        <v/>
      </c>
      <c r="AH3326" s="430"/>
      <c r="AI3326" s="430"/>
      <c r="AJ3326" s="430"/>
      <c r="AK3326" s="430"/>
      <c r="AL3326" s="430"/>
      <c r="AM3326" s="433"/>
      <c r="AN3326" s="430"/>
      <c r="AO3326" s="430"/>
      <c r="AP3326" s="430"/>
      <c r="AQ3326" s="430"/>
      <c r="AR3326" s="430"/>
      <c r="AS3326" s="430"/>
      <c r="AT3326" s="430"/>
      <c r="AU3326" s="426"/>
      <c r="AV3326" s="434"/>
      <c r="AW3326" s="269" t="s">
        <v>1724</v>
      </c>
      <c r="AX3326" s="269" t="s">
        <v>2869</v>
      </c>
      <c r="AY3326" s="270" t="s">
        <v>695</v>
      </c>
      <c r="AZ3326" s="435"/>
      <c r="BA3326" s="173">
        <v>10.0</v>
      </c>
      <c r="BB3326" s="434"/>
      <c r="BC3326" s="434"/>
      <c r="BD3326" s="308" t="s">
        <v>1844</v>
      </c>
      <c r="BE3326" s="436"/>
      <c r="BF3326" s="274" t="str">
        <f>IFERROR(__xludf.DUMMYFUNCTION("LOWER(Regexreplace(to_text(E3326),""[^A-Za-z0-9]"","""")&amp;""_""&amp;Regexreplace(to_text(F3326),""[^A-Za-z0-9]"",""""))"),"daikin_fxzq32bvm6")</f>
        <v>daikin_fxzq32bvm6</v>
      </c>
      <c r="BG3326" s="275" t="str">
        <f>IFERROR(__xludf.DUMMYFUNCTION("upper(Regexreplace(to_text(E3326),""[^A-Za-z0-9]"","""")&amp;""-""&amp;Regexreplace(to_text(F3326),""[^A-Za-z0-9]"",""""))"),"DAIKIN-FXZQ32BVM6")</f>
        <v>DAIKIN-FXZQ32BVM6</v>
      </c>
    </row>
    <row r="3327" ht="30.0" customHeight="1">
      <c r="A3327" s="173">
        <v>2689.0</v>
      </c>
      <c r="B3327" s="328" t="s">
        <v>670</v>
      </c>
      <c r="C3327" s="257" t="s">
        <v>10288</v>
      </c>
      <c r="D3327" s="173" t="s">
        <v>10289</v>
      </c>
      <c r="E3327" s="174" t="s">
        <v>9289</v>
      </c>
      <c r="F3327" s="173" t="s">
        <v>9709</v>
      </c>
      <c r="G3327" s="328" t="s">
        <v>673</v>
      </c>
      <c r="H3327" s="328" t="s">
        <v>2863</v>
      </c>
      <c r="I3327" s="258" t="s">
        <v>9445</v>
      </c>
      <c r="J3327" s="259" t="s">
        <v>1272</v>
      </c>
      <c r="K3327" s="260" t="s">
        <v>10277</v>
      </c>
      <c r="L3327" s="366"/>
      <c r="M3327" s="329"/>
      <c r="N3327" s="173" t="s">
        <v>679</v>
      </c>
      <c r="O3327" s="173" t="s">
        <v>225</v>
      </c>
      <c r="P3327" s="262" t="str">
        <f t="shared" si="1"/>
        <v>IN-BLR-ANANTA-FAN-275_8</v>
      </c>
      <c r="Q3327" s="173" t="s">
        <v>10290</v>
      </c>
      <c r="R3327" s="328" t="str">
        <f>IFS(C3327="","",C3327="n/a","N/A",LEN(C3327),Concatenate("{",char(34),"asset",char(34),":{",char(34),"guid",char(34),":",char(34),Q3327,char(34),",",char(34),"site",char(34),":",char(34),LOWER('2-Building'!$B$4),char(34),",",char(34),"name",char(34),":",char(34),LOWER(C3327),char(34),"}}"))</f>
        <v>{"asset":{"guid":"uuid://24527aa9-3b88-437c-b31d-e823b9baa72c","site":"in-blr-ananta","name":"fan-275"}}</v>
      </c>
      <c r="S3327" s="369" t="s">
        <v>2866</v>
      </c>
      <c r="T3327" s="330"/>
      <c r="U3327" s="330"/>
      <c r="V3327" s="331"/>
      <c r="W3327" s="332"/>
      <c r="X3327" s="333"/>
      <c r="Y3327" s="33" t="s">
        <v>8076</v>
      </c>
      <c r="Z3327" s="368"/>
      <c r="AA3327" s="333"/>
      <c r="AB3327" s="258">
        <v>140.0</v>
      </c>
      <c r="AC3327" s="333"/>
      <c r="AD3327" s="329"/>
      <c r="AE3327" s="331"/>
      <c r="AF3327" s="336"/>
      <c r="AG3327" s="337" t="str">
        <f>IFS(LEN(AF3327)=17,LOWER('2-Building'!$B$4 &amp; "-" &amp; C3327), AF3327="N/A", "N/A", LEN(AF3327)=0,"")</f>
        <v/>
      </c>
      <c r="AH3327" s="333"/>
      <c r="AI3327" s="333"/>
      <c r="AJ3327" s="333"/>
      <c r="AK3327" s="333"/>
      <c r="AL3327" s="333"/>
      <c r="AM3327" s="338"/>
      <c r="AN3327" s="333"/>
      <c r="AO3327" s="333"/>
      <c r="AP3327" s="333"/>
      <c r="AQ3327" s="333"/>
      <c r="AR3327" s="333"/>
      <c r="AS3327" s="333"/>
      <c r="AT3327" s="333"/>
      <c r="AU3327" s="329"/>
      <c r="AV3327" s="341"/>
      <c r="AW3327" s="269" t="s">
        <v>1724</v>
      </c>
      <c r="AX3327" s="269" t="s">
        <v>2869</v>
      </c>
      <c r="AY3327" s="270" t="s">
        <v>695</v>
      </c>
      <c r="AZ3327" s="379"/>
      <c r="BA3327" s="173">
        <v>10.0</v>
      </c>
      <c r="BB3327" s="341"/>
      <c r="BC3327" s="341"/>
      <c r="BD3327" s="308" t="s">
        <v>1844</v>
      </c>
      <c r="BE3327" s="364"/>
      <c r="BF3327" s="274" t="str">
        <f>IFERROR(__xludf.DUMMYFUNCTION("LOWER(Regexreplace(to_text(E3327),""[^A-Za-z0-9]"","""")&amp;""_""&amp;Regexreplace(to_text(F3327),""[^A-Za-z0-9]"",""""))"),"daikin_fxzq32bvm6")</f>
        <v>daikin_fxzq32bvm6</v>
      </c>
      <c r="BG3327" s="275" t="str">
        <f>IFERROR(__xludf.DUMMYFUNCTION("upper(Regexreplace(to_text(E3327),""[^A-Za-z0-9]"","""")&amp;""-""&amp;Regexreplace(to_text(F3327),""[^A-Za-z0-9]"",""""))"),"DAIKIN-FXZQ32BVM6")</f>
        <v>DAIKIN-FXZQ32BVM6</v>
      </c>
    </row>
    <row r="3328" ht="30.0" customHeight="1">
      <c r="A3328" s="173">
        <v>2691.0</v>
      </c>
      <c r="B3328" s="328" t="s">
        <v>670</v>
      </c>
      <c r="C3328" s="257" t="s">
        <v>10291</v>
      </c>
      <c r="D3328" s="173" t="s">
        <v>10292</v>
      </c>
      <c r="E3328" s="174" t="s">
        <v>9289</v>
      </c>
      <c r="F3328" s="173" t="s">
        <v>9709</v>
      </c>
      <c r="G3328" s="328" t="s">
        <v>673</v>
      </c>
      <c r="H3328" s="328" t="s">
        <v>2863</v>
      </c>
      <c r="I3328" s="258" t="s">
        <v>9445</v>
      </c>
      <c r="J3328" s="259" t="s">
        <v>1272</v>
      </c>
      <c r="K3328" s="260" t="s">
        <v>10277</v>
      </c>
      <c r="L3328" s="366"/>
      <c r="M3328" s="329"/>
      <c r="N3328" s="173" t="s">
        <v>679</v>
      </c>
      <c r="O3328" s="173" t="s">
        <v>225</v>
      </c>
      <c r="P3328" s="262" t="str">
        <f t="shared" si="1"/>
        <v>IN-BLR-ANANTA-FAN-276_8</v>
      </c>
      <c r="Q3328" s="173" t="s">
        <v>10293</v>
      </c>
      <c r="R3328" s="328" t="str">
        <f>IFS(C3328="","",C3328="n/a","N/A",LEN(C3328),Concatenate("{",char(34),"asset",char(34),":{",char(34),"guid",char(34),":",char(34),Q3328,char(34),",",char(34),"site",char(34),":",char(34),LOWER('2-Building'!$B$4),char(34),",",char(34),"name",char(34),":",char(34),LOWER(C3328),char(34),"}}"))</f>
        <v>{"asset":{"guid":"uuid://e5414beb-0cdf-48f3-9513-63ce2c168762","site":"in-blr-ananta","name":"fan-276"}}</v>
      </c>
      <c r="S3328" s="369" t="s">
        <v>2866</v>
      </c>
      <c r="T3328" s="330"/>
      <c r="U3328" s="330"/>
      <c r="V3328" s="331"/>
      <c r="W3328" s="332"/>
      <c r="X3328" s="333"/>
      <c r="Y3328" s="33" t="s">
        <v>8076</v>
      </c>
      <c r="Z3328" s="368"/>
      <c r="AA3328" s="333"/>
      <c r="AB3328" s="258">
        <v>141.0</v>
      </c>
      <c r="AC3328" s="333"/>
      <c r="AD3328" s="329"/>
      <c r="AE3328" s="331"/>
      <c r="AF3328" s="336"/>
      <c r="AG3328" s="337" t="str">
        <f>IFS(LEN(AF3328)=17,LOWER('2-Building'!$B$4 &amp; "-" &amp; C3328), AF3328="N/A", "N/A", LEN(AF3328)=0,"")</f>
        <v/>
      </c>
      <c r="AH3328" s="333"/>
      <c r="AI3328" s="333"/>
      <c r="AJ3328" s="333"/>
      <c r="AK3328" s="333"/>
      <c r="AL3328" s="333"/>
      <c r="AM3328" s="338"/>
      <c r="AN3328" s="333"/>
      <c r="AO3328" s="333"/>
      <c r="AP3328" s="333"/>
      <c r="AQ3328" s="333"/>
      <c r="AR3328" s="333"/>
      <c r="AS3328" s="333"/>
      <c r="AT3328" s="333"/>
      <c r="AU3328" s="329"/>
      <c r="AV3328" s="341"/>
      <c r="AW3328" s="269" t="s">
        <v>1724</v>
      </c>
      <c r="AX3328" s="269" t="s">
        <v>2869</v>
      </c>
      <c r="AY3328" s="270" t="s">
        <v>695</v>
      </c>
      <c r="AZ3328" s="379"/>
      <c r="BA3328" s="173">
        <v>10.0</v>
      </c>
      <c r="BB3328" s="341"/>
      <c r="BC3328" s="341"/>
      <c r="BD3328" s="308" t="s">
        <v>1844</v>
      </c>
      <c r="BE3328" s="364"/>
      <c r="BF3328" s="274" t="str">
        <f>IFERROR(__xludf.DUMMYFUNCTION("LOWER(Regexreplace(to_text(E3328),""[^A-Za-z0-9]"","""")&amp;""_""&amp;Regexreplace(to_text(F3328),""[^A-Za-z0-9]"",""""))"),"daikin_fxzq32bvm6")</f>
        <v>daikin_fxzq32bvm6</v>
      </c>
      <c r="BG3328" s="275" t="str">
        <f>IFERROR(__xludf.DUMMYFUNCTION("upper(Regexreplace(to_text(E3328),""[^A-Za-z0-9]"","""")&amp;""-""&amp;Regexreplace(to_text(F3328),""[^A-Za-z0-9]"",""""))"),"DAIKIN-FXZQ32BVM6")</f>
        <v>DAIKIN-FXZQ32BVM6</v>
      </c>
    </row>
    <row r="3329" ht="30.0" customHeight="1">
      <c r="A3329" s="258">
        <v>2690.0</v>
      </c>
      <c r="B3329" s="328" t="s">
        <v>670</v>
      </c>
      <c r="C3329" s="257" t="s">
        <v>10294</v>
      </c>
      <c r="D3329" s="173" t="s">
        <v>10295</v>
      </c>
      <c r="E3329" s="174" t="s">
        <v>9289</v>
      </c>
      <c r="F3329" s="173" t="s">
        <v>9709</v>
      </c>
      <c r="G3329" s="328" t="s">
        <v>673</v>
      </c>
      <c r="H3329" s="328" t="s">
        <v>2863</v>
      </c>
      <c r="I3329" s="258" t="s">
        <v>9445</v>
      </c>
      <c r="J3329" s="259" t="s">
        <v>1333</v>
      </c>
      <c r="K3329" s="260" t="s">
        <v>10296</v>
      </c>
      <c r="L3329" s="366"/>
      <c r="M3329" s="329"/>
      <c r="N3329" s="173" t="s">
        <v>679</v>
      </c>
      <c r="O3329" s="173" t="s">
        <v>225</v>
      </c>
      <c r="P3329" s="262" t="str">
        <f t="shared" si="1"/>
        <v>IN-BLR-ANANTA-FAN-277_9</v>
      </c>
      <c r="Q3329" s="173" t="s">
        <v>10297</v>
      </c>
      <c r="R3329" s="328" t="str">
        <f>IFS(C3329="","",C3329="n/a","N/A",LEN(C3329),Concatenate("{",char(34),"asset",char(34),":{",char(34),"guid",char(34),":",char(34),Q3329,char(34),",",char(34),"site",char(34),":",char(34),LOWER('2-Building'!$B$4),char(34),",",char(34),"name",char(34),":",char(34),LOWER(C3329),char(34),"}}"))</f>
        <v>{"asset":{"guid":"uuid://656d1b37-1afd-4c51-b77f-1ddcd97312ce","site":"in-blr-ananta","name":"fan-277"}}</v>
      </c>
      <c r="S3329" s="369" t="s">
        <v>2866</v>
      </c>
      <c r="T3329" s="330"/>
      <c r="U3329" s="330"/>
      <c r="V3329" s="331"/>
      <c r="W3329" s="332"/>
      <c r="X3329" s="333"/>
      <c r="Y3329" s="33" t="s">
        <v>8076</v>
      </c>
      <c r="Z3329" s="368"/>
      <c r="AA3329" s="333"/>
      <c r="AB3329" s="258">
        <v>166.0</v>
      </c>
      <c r="AC3329" s="333"/>
      <c r="AD3329" s="329"/>
      <c r="AE3329" s="331"/>
      <c r="AF3329" s="336"/>
      <c r="AG3329" s="337" t="str">
        <f>IFS(LEN(AF3329)=17,LOWER('2-Building'!$B$4 &amp; "-" &amp; C3329), AF3329="N/A", "N/A", LEN(AF3329)=0,"")</f>
        <v/>
      </c>
      <c r="AH3329" s="333"/>
      <c r="AI3329" s="333"/>
      <c r="AJ3329" s="333"/>
      <c r="AK3329" s="333"/>
      <c r="AL3329" s="333"/>
      <c r="AM3329" s="338"/>
      <c r="AN3329" s="333"/>
      <c r="AO3329" s="333"/>
      <c r="AP3329" s="333"/>
      <c r="AQ3329" s="333"/>
      <c r="AR3329" s="333"/>
      <c r="AS3329" s="333"/>
      <c r="AT3329" s="333"/>
      <c r="AU3329" s="329"/>
      <c r="AV3329" s="341"/>
      <c r="AW3329" s="269" t="s">
        <v>1724</v>
      </c>
      <c r="AX3329" s="269" t="s">
        <v>2869</v>
      </c>
      <c r="AY3329" s="270" t="s">
        <v>695</v>
      </c>
      <c r="AZ3329" s="379"/>
      <c r="BA3329" s="173">
        <v>10.0</v>
      </c>
      <c r="BB3329" s="341"/>
      <c r="BC3329" s="341"/>
      <c r="BD3329" s="308" t="s">
        <v>1844</v>
      </c>
      <c r="BE3329" s="364"/>
      <c r="BF3329" s="274" t="str">
        <f>IFERROR(__xludf.DUMMYFUNCTION("LOWER(Regexreplace(to_text(E3329),""[^A-Za-z0-9]"","""")&amp;""_""&amp;Regexreplace(to_text(F3329),""[^A-Za-z0-9]"",""""))"),"daikin_fxzq32bvm6")</f>
        <v>daikin_fxzq32bvm6</v>
      </c>
      <c r="BG3329" s="275" t="str">
        <f>IFERROR(__xludf.DUMMYFUNCTION("upper(Regexreplace(to_text(E3329),""[^A-Za-z0-9]"","""")&amp;""-""&amp;Regexreplace(to_text(F3329),""[^A-Za-z0-9]"",""""))"),"DAIKIN-FXZQ32BVM6")</f>
        <v>DAIKIN-FXZQ32BVM6</v>
      </c>
    </row>
    <row r="3330" ht="30.0" customHeight="1">
      <c r="A3330" s="173">
        <v>2691.0</v>
      </c>
      <c r="B3330" s="328" t="s">
        <v>670</v>
      </c>
      <c r="C3330" s="257" t="s">
        <v>10298</v>
      </c>
      <c r="D3330" s="173" t="s">
        <v>10299</v>
      </c>
      <c r="E3330" s="174" t="s">
        <v>9289</v>
      </c>
      <c r="F3330" s="173" t="s">
        <v>9709</v>
      </c>
      <c r="G3330" s="328" t="s">
        <v>673</v>
      </c>
      <c r="H3330" s="328" t="s">
        <v>2863</v>
      </c>
      <c r="I3330" s="258" t="s">
        <v>9445</v>
      </c>
      <c r="J3330" s="259" t="s">
        <v>1333</v>
      </c>
      <c r="K3330" s="260" t="s">
        <v>10296</v>
      </c>
      <c r="L3330" s="366"/>
      <c r="M3330" s="329"/>
      <c r="N3330" s="173" t="s">
        <v>679</v>
      </c>
      <c r="O3330" s="173" t="s">
        <v>225</v>
      </c>
      <c r="P3330" s="262" t="str">
        <f t="shared" si="1"/>
        <v>IN-BLR-ANANTA-FAN-278_9</v>
      </c>
      <c r="Q3330" s="173" t="s">
        <v>10300</v>
      </c>
      <c r="R3330" s="328" t="str">
        <f>IFS(C3330="","",C3330="n/a","N/A",LEN(C3330),Concatenate("{",char(34),"asset",char(34),":{",char(34),"guid",char(34),":",char(34),Q3330,char(34),",",char(34),"site",char(34),":",char(34),LOWER('2-Building'!$B$4),char(34),",",char(34),"name",char(34),":",char(34),LOWER(C3330),char(34),"}}"))</f>
        <v>{"asset":{"guid":"uuid://6712e217-dc38-4314-b132-2b0a1f462a13","site":"in-blr-ananta","name":"fan-278"}}</v>
      </c>
      <c r="S3330" s="369" t="s">
        <v>2866</v>
      </c>
      <c r="T3330" s="330"/>
      <c r="U3330" s="330"/>
      <c r="V3330" s="331"/>
      <c r="W3330" s="332"/>
      <c r="X3330" s="333"/>
      <c r="Y3330" s="33" t="s">
        <v>8076</v>
      </c>
      <c r="Z3330" s="368"/>
      <c r="AA3330" s="333"/>
      <c r="AB3330" s="258">
        <v>167.0</v>
      </c>
      <c r="AC3330" s="333"/>
      <c r="AD3330" s="329"/>
      <c r="AE3330" s="331"/>
      <c r="AF3330" s="336"/>
      <c r="AG3330" s="337" t="str">
        <f>IFS(LEN(AF3330)=17,LOWER('2-Building'!$B$4 &amp; "-" &amp; C3330), AF3330="N/A", "N/A", LEN(AF3330)=0,"")</f>
        <v/>
      </c>
      <c r="AH3330" s="333"/>
      <c r="AI3330" s="333"/>
      <c r="AJ3330" s="333"/>
      <c r="AK3330" s="333"/>
      <c r="AL3330" s="333"/>
      <c r="AM3330" s="338"/>
      <c r="AN3330" s="333"/>
      <c r="AO3330" s="333"/>
      <c r="AP3330" s="333"/>
      <c r="AQ3330" s="333"/>
      <c r="AR3330" s="333"/>
      <c r="AS3330" s="333"/>
      <c r="AT3330" s="333"/>
      <c r="AU3330" s="329"/>
      <c r="AV3330" s="341"/>
      <c r="AW3330" s="269" t="s">
        <v>1724</v>
      </c>
      <c r="AX3330" s="269" t="s">
        <v>2869</v>
      </c>
      <c r="AY3330" s="270" t="s">
        <v>695</v>
      </c>
      <c r="AZ3330" s="379"/>
      <c r="BA3330" s="173">
        <v>10.0</v>
      </c>
      <c r="BB3330" s="341"/>
      <c r="BC3330" s="341"/>
      <c r="BD3330" s="308" t="s">
        <v>1844</v>
      </c>
      <c r="BE3330" s="364"/>
      <c r="BF3330" s="274" t="str">
        <f>IFERROR(__xludf.DUMMYFUNCTION("LOWER(Regexreplace(to_text(E3330),""[^A-Za-z0-9]"","""")&amp;""_""&amp;Regexreplace(to_text(F3330),""[^A-Za-z0-9]"",""""))"),"daikin_fxzq32bvm6")</f>
        <v>daikin_fxzq32bvm6</v>
      </c>
      <c r="BG3330" s="275" t="str">
        <f>IFERROR(__xludf.DUMMYFUNCTION("upper(Regexreplace(to_text(E3330),""[^A-Za-z0-9]"","""")&amp;""-""&amp;Regexreplace(to_text(F3330),""[^A-Za-z0-9]"",""""))"),"DAIKIN-FXZQ32BVM6")</f>
        <v>DAIKIN-FXZQ32BVM6</v>
      </c>
    </row>
    <row r="3331" ht="30.0" customHeight="1">
      <c r="A3331" s="258">
        <v>2690.0</v>
      </c>
      <c r="B3331" s="328" t="s">
        <v>670</v>
      </c>
      <c r="C3331" s="257" t="s">
        <v>10301</v>
      </c>
      <c r="D3331" s="173" t="s">
        <v>10302</v>
      </c>
      <c r="E3331" s="174" t="s">
        <v>9289</v>
      </c>
      <c r="F3331" s="173" t="s">
        <v>9709</v>
      </c>
      <c r="G3331" s="328" t="s">
        <v>673</v>
      </c>
      <c r="H3331" s="328" t="s">
        <v>2863</v>
      </c>
      <c r="I3331" s="258" t="s">
        <v>9445</v>
      </c>
      <c r="J3331" s="259" t="s">
        <v>1333</v>
      </c>
      <c r="K3331" s="260" t="s">
        <v>10296</v>
      </c>
      <c r="L3331" s="366"/>
      <c r="M3331" s="329"/>
      <c r="N3331" s="173" t="s">
        <v>679</v>
      </c>
      <c r="O3331" s="173" t="s">
        <v>225</v>
      </c>
      <c r="P3331" s="262" t="str">
        <f t="shared" si="1"/>
        <v>IN-BLR-ANANTA-FAN-279_9</v>
      </c>
      <c r="Q3331" s="173" t="s">
        <v>10303</v>
      </c>
      <c r="R3331" s="328" t="str">
        <f>IFS(C3331="","",C3331="n/a","N/A",LEN(C3331),Concatenate("{",char(34),"asset",char(34),":{",char(34),"guid",char(34),":",char(34),Q3331,char(34),",",char(34),"site",char(34),":",char(34),LOWER('2-Building'!$B$4),char(34),",",char(34),"name",char(34),":",char(34),LOWER(C3331),char(34),"}}"))</f>
        <v>{"asset":{"guid":"uuid://317127d6-5e28-4970-912e-556a25dafa6c","site":"in-blr-ananta","name":"fan-279"}}</v>
      </c>
      <c r="S3331" s="369" t="s">
        <v>2866</v>
      </c>
      <c r="T3331" s="330"/>
      <c r="U3331" s="330"/>
      <c r="V3331" s="331"/>
      <c r="W3331" s="332"/>
      <c r="X3331" s="333"/>
      <c r="Y3331" s="33" t="s">
        <v>8076</v>
      </c>
      <c r="Z3331" s="368"/>
      <c r="AA3331" s="333"/>
      <c r="AB3331" s="258">
        <v>168.0</v>
      </c>
      <c r="AC3331" s="333"/>
      <c r="AD3331" s="329"/>
      <c r="AE3331" s="331"/>
      <c r="AF3331" s="336"/>
      <c r="AG3331" s="337" t="str">
        <f>IFS(LEN(AF3331)=17,LOWER('2-Building'!$B$4 &amp; "-" &amp; C3331), AF3331="N/A", "N/A", LEN(AF3331)=0,"")</f>
        <v/>
      </c>
      <c r="AH3331" s="333"/>
      <c r="AI3331" s="333"/>
      <c r="AJ3331" s="333"/>
      <c r="AK3331" s="333"/>
      <c r="AL3331" s="333"/>
      <c r="AM3331" s="338"/>
      <c r="AN3331" s="333"/>
      <c r="AO3331" s="333"/>
      <c r="AP3331" s="333"/>
      <c r="AQ3331" s="333"/>
      <c r="AR3331" s="333"/>
      <c r="AS3331" s="333"/>
      <c r="AT3331" s="333"/>
      <c r="AU3331" s="329"/>
      <c r="AV3331" s="341"/>
      <c r="AW3331" s="269" t="s">
        <v>1724</v>
      </c>
      <c r="AX3331" s="269" t="s">
        <v>2869</v>
      </c>
      <c r="AY3331" s="270" t="s">
        <v>695</v>
      </c>
      <c r="AZ3331" s="379"/>
      <c r="BA3331" s="173">
        <v>10.0</v>
      </c>
      <c r="BB3331" s="341"/>
      <c r="BC3331" s="341"/>
      <c r="BD3331" s="308" t="s">
        <v>1844</v>
      </c>
      <c r="BE3331" s="364"/>
      <c r="BF3331" s="274" t="str">
        <f>IFERROR(__xludf.DUMMYFUNCTION("LOWER(Regexreplace(to_text(E3331),""[^A-Za-z0-9]"","""")&amp;""_""&amp;Regexreplace(to_text(F3331),""[^A-Za-z0-9]"",""""))"),"daikin_fxzq32bvm6")</f>
        <v>daikin_fxzq32bvm6</v>
      </c>
      <c r="BG3331" s="275" t="str">
        <f>IFERROR(__xludf.DUMMYFUNCTION("upper(Regexreplace(to_text(E3331),""[^A-Za-z0-9]"","""")&amp;""-""&amp;Regexreplace(to_text(F3331),""[^A-Za-z0-9]"",""""))"),"DAIKIN-FXZQ32BVM6")</f>
        <v>DAIKIN-FXZQ32BVM6</v>
      </c>
    </row>
    <row r="3332" ht="30.0" customHeight="1">
      <c r="A3332" s="173">
        <v>2691.0</v>
      </c>
      <c r="B3332" s="328" t="s">
        <v>670</v>
      </c>
      <c r="C3332" s="257" t="s">
        <v>10304</v>
      </c>
      <c r="D3332" s="173" t="s">
        <v>10305</v>
      </c>
      <c r="E3332" s="174" t="s">
        <v>9289</v>
      </c>
      <c r="F3332" s="173" t="s">
        <v>9709</v>
      </c>
      <c r="G3332" s="328" t="s">
        <v>673</v>
      </c>
      <c r="H3332" s="328" t="s">
        <v>2863</v>
      </c>
      <c r="I3332" s="258" t="s">
        <v>9445</v>
      </c>
      <c r="J3332" s="259" t="s">
        <v>1333</v>
      </c>
      <c r="K3332" s="260" t="s">
        <v>10296</v>
      </c>
      <c r="L3332" s="366"/>
      <c r="M3332" s="329"/>
      <c r="N3332" s="173" t="s">
        <v>679</v>
      </c>
      <c r="O3332" s="173" t="s">
        <v>225</v>
      </c>
      <c r="P3332" s="262" t="str">
        <f t="shared" si="1"/>
        <v>IN-BLR-ANANTA-FAN-280_9</v>
      </c>
      <c r="Q3332" s="173" t="s">
        <v>10306</v>
      </c>
      <c r="R3332" s="328" t="str">
        <f>IFS(C3332="","",C3332="n/a","N/A",LEN(C3332),Concatenate("{",char(34),"asset",char(34),":{",char(34),"guid",char(34),":",char(34),Q3332,char(34),",",char(34),"site",char(34),":",char(34),LOWER('2-Building'!$B$4),char(34),",",char(34),"name",char(34),":",char(34),LOWER(C3332),char(34),"}}"))</f>
        <v>{"asset":{"guid":"uuid://7ee893dd-5962-4729-9ef5-8b70d3f0690b","site":"in-blr-ananta","name":"fan-280"}}</v>
      </c>
      <c r="S3332" s="369" t="s">
        <v>2866</v>
      </c>
      <c r="T3332" s="330"/>
      <c r="U3332" s="330"/>
      <c r="V3332" s="331"/>
      <c r="W3332" s="332"/>
      <c r="X3332" s="333"/>
      <c r="Y3332" s="33" t="s">
        <v>8076</v>
      </c>
      <c r="Z3332" s="368"/>
      <c r="AA3332" s="333"/>
      <c r="AB3332" s="258">
        <v>169.0</v>
      </c>
      <c r="AC3332" s="333"/>
      <c r="AD3332" s="329"/>
      <c r="AE3332" s="331"/>
      <c r="AF3332" s="336"/>
      <c r="AG3332" s="337" t="str">
        <f>IFS(LEN(AF3332)=17,LOWER('2-Building'!$B$4 &amp; "-" &amp; C3332), AF3332="N/A", "N/A", LEN(AF3332)=0,"")</f>
        <v/>
      </c>
      <c r="AH3332" s="333"/>
      <c r="AI3332" s="333"/>
      <c r="AJ3332" s="333"/>
      <c r="AK3332" s="333"/>
      <c r="AL3332" s="333"/>
      <c r="AM3332" s="338"/>
      <c r="AN3332" s="333"/>
      <c r="AO3332" s="333"/>
      <c r="AP3332" s="333"/>
      <c r="AQ3332" s="333"/>
      <c r="AR3332" s="333"/>
      <c r="AS3332" s="333"/>
      <c r="AT3332" s="333"/>
      <c r="AU3332" s="329"/>
      <c r="AV3332" s="341"/>
      <c r="AW3332" s="269" t="s">
        <v>1724</v>
      </c>
      <c r="AX3332" s="269" t="s">
        <v>2869</v>
      </c>
      <c r="AY3332" s="270" t="s">
        <v>695</v>
      </c>
      <c r="AZ3332" s="379"/>
      <c r="BA3332" s="173">
        <v>10.0</v>
      </c>
      <c r="BB3332" s="341"/>
      <c r="BC3332" s="341"/>
      <c r="BD3332" s="308" t="s">
        <v>1844</v>
      </c>
      <c r="BE3332" s="364"/>
      <c r="BF3332" s="274" t="str">
        <f>IFERROR(__xludf.DUMMYFUNCTION("LOWER(Regexreplace(to_text(E3332),""[^A-Za-z0-9]"","""")&amp;""_""&amp;Regexreplace(to_text(F3332),""[^A-Za-z0-9]"",""""))"),"daikin_fxzq32bvm6")</f>
        <v>daikin_fxzq32bvm6</v>
      </c>
      <c r="BG3332" s="275" t="str">
        <f>IFERROR(__xludf.DUMMYFUNCTION("upper(Regexreplace(to_text(E3332),""[^A-Za-z0-9]"","""")&amp;""-""&amp;Regexreplace(to_text(F3332),""[^A-Za-z0-9]"",""""))"),"DAIKIN-FXZQ32BVM6")</f>
        <v>DAIKIN-FXZQ32BVM6</v>
      </c>
    </row>
    <row r="3333" ht="30.0" customHeight="1">
      <c r="A3333" s="328">
        <v>2690.0</v>
      </c>
      <c r="B3333" s="425" t="s">
        <v>670</v>
      </c>
      <c r="C3333" s="257" t="s">
        <v>10307</v>
      </c>
      <c r="D3333" s="173" t="s">
        <v>10308</v>
      </c>
      <c r="E3333" s="174" t="s">
        <v>9056</v>
      </c>
      <c r="F3333" s="173" t="s">
        <v>9057</v>
      </c>
      <c r="G3333" s="425" t="s">
        <v>673</v>
      </c>
      <c r="H3333" s="425" t="s">
        <v>2863</v>
      </c>
      <c r="I3333" s="258" t="s">
        <v>9445</v>
      </c>
      <c r="J3333" s="259" t="s">
        <v>1333</v>
      </c>
      <c r="K3333" s="260" t="s">
        <v>10296</v>
      </c>
      <c r="L3333" s="442"/>
      <c r="M3333" s="426"/>
      <c r="N3333" s="173" t="s">
        <v>679</v>
      </c>
      <c r="O3333" s="173" t="s">
        <v>225</v>
      </c>
      <c r="P3333" s="262" t="str">
        <f t="shared" si="1"/>
        <v>IN-BLR-ANANTA-FAN-281_9</v>
      </c>
      <c r="Q3333" s="173" t="s">
        <v>10309</v>
      </c>
      <c r="R3333" s="425" t="str">
        <f>IFS(C3333="","",C3333="n/a","N/A",LEN(C3333),Concatenate("{",char(34),"asset",char(34),":{",char(34),"guid",char(34),":",char(34),Q3333,char(34),",",char(34),"site",char(34),":",char(34),LOWER('2-Building'!$B$4),char(34),",",char(34),"name",char(34),":",char(34),LOWER(C3333),char(34),"}}"))</f>
        <v>{"asset":{"guid":"uuid://985dad8a-6bfc-4c68-abce-e29d98847daf","site":"in-blr-ananta","name":"fan-281"}}</v>
      </c>
      <c r="S3333" s="369" t="s">
        <v>2866</v>
      </c>
      <c r="T3333" s="427"/>
      <c r="U3333" s="427"/>
      <c r="V3333" s="428"/>
      <c r="W3333" s="429"/>
      <c r="X3333" s="430"/>
      <c r="Y3333" s="33" t="s">
        <v>8076</v>
      </c>
      <c r="Z3333" s="430"/>
      <c r="AA3333" s="430"/>
      <c r="AB3333" s="258">
        <v>170.0</v>
      </c>
      <c r="AC3333" s="430"/>
      <c r="AD3333" s="426"/>
      <c r="AE3333" s="428"/>
      <c r="AF3333" s="431"/>
      <c r="AG3333" s="432" t="str">
        <f>IFS(LEN(AF3333)=17,LOWER('2-Building'!$B$4 &amp; "-" &amp; C3333), AF3333="N/A", "N/A", LEN(AF3333)=0,"")</f>
        <v/>
      </c>
      <c r="AH3333" s="430"/>
      <c r="AI3333" s="430"/>
      <c r="AJ3333" s="430"/>
      <c r="AK3333" s="430"/>
      <c r="AL3333" s="430"/>
      <c r="AM3333" s="433"/>
      <c r="AN3333" s="430"/>
      <c r="AO3333" s="430"/>
      <c r="AP3333" s="430"/>
      <c r="AQ3333" s="430"/>
      <c r="AR3333" s="430"/>
      <c r="AS3333" s="430"/>
      <c r="AT3333" s="430"/>
      <c r="AU3333" s="426"/>
      <c r="AV3333" s="434"/>
      <c r="AW3333" s="269" t="s">
        <v>1724</v>
      </c>
      <c r="AX3333" s="269" t="s">
        <v>2869</v>
      </c>
      <c r="AY3333" s="270" t="s">
        <v>695</v>
      </c>
      <c r="AZ3333" s="435"/>
      <c r="BA3333" s="173">
        <v>10.0</v>
      </c>
      <c r="BB3333" s="434"/>
      <c r="BC3333" s="434"/>
      <c r="BD3333" s="308" t="s">
        <v>1844</v>
      </c>
      <c r="BE3333" s="436"/>
      <c r="BF3333" s="274" t="str">
        <f>IFERROR(__xludf.DUMMYFUNCTION("LOWER(Regexreplace(to_text(E3333),""[^A-Za-z0-9]"","""")&amp;""_""&amp;Regexreplace(to_text(F3333),""[^A-Za-z0-9]"",""""))"),"eaton_93pr")</f>
        <v>eaton_93pr</v>
      </c>
      <c r="BG3333" s="275" t="str">
        <f>IFERROR(__xludf.DUMMYFUNCTION("upper(Regexreplace(to_text(E3333),""[^A-Za-z0-9]"","""")&amp;""-""&amp;Regexreplace(to_text(F3333),""[^A-Za-z0-9]"",""""))"),"EATON-93PR")</f>
        <v>EATON-93PR</v>
      </c>
    </row>
    <row r="3334" ht="30.0" customHeight="1">
      <c r="A3334" s="425">
        <v>2690.0</v>
      </c>
      <c r="B3334" s="425" t="s">
        <v>670</v>
      </c>
      <c r="C3334" s="257" t="s">
        <v>10310</v>
      </c>
      <c r="D3334" s="173" t="s">
        <v>10311</v>
      </c>
      <c r="E3334" s="174" t="s">
        <v>9056</v>
      </c>
      <c r="F3334" s="173" t="s">
        <v>9057</v>
      </c>
      <c r="G3334" s="425" t="s">
        <v>673</v>
      </c>
      <c r="H3334" s="425" t="s">
        <v>2863</v>
      </c>
      <c r="I3334" s="258" t="s">
        <v>9445</v>
      </c>
      <c r="J3334" s="259" t="s">
        <v>1333</v>
      </c>
      <c r="K3334" s="260" t="s">
        <v>10296</v>
      </c>
      <c r="L3334" s="442"/>
      <c r="M3334" s="426"/>
      <c r="N3334" s="173" t="s">
        <v>679</v>
      </c>
      <c r="O3334" s="173" t="s">
        <v>225</v>
      </c>
      <c r="P3334" s="262" t="str">
        <f t="shared" si="1"/>
        <v>IN-BLR-ANANTA-FAN-282_9</v>
      </c>
      <c r="Q3334" s="173" t="s">
        <v>10312</v>
      </c>
      <c r="R3334" s="433" t="str">
        <f>IFS(C3334="","",C3334="n/a","N/A",LEN(C3334),Concatenate("{",char(34),"asset",char(34),":{",char(34),"guid",char(34),":",char(34),Q3334,char(34),",",char(34),"site",char(34),":",char(34),LOWER('2-Building'!$B$4),char(34),",",char(34),"name",char(34),":",char(34),LOWER(C3334),char(34),"}}"))</f>
        <v>{"asset":{"guid":"uuid://13fb1db0-c265-4494-b28d-33c14bfac233","site":"in-blr-ananta","name":"fan-282"}}</v>
      </c>
      <c r="S3334" s="369" t="s">
        <v>2866</v>
      </c>
      <c r="T3334" s="427"/>
      <c r="U3334" s="427"/>
      <c r="V3334" s="428"/>
      <c r="W3334" s="429"/>
      <c r="X3334" s="430"/>
      <c r="Y3334" s="33" t="s">
        <v>8076</v>
      </c>
      <c r="Z3334" s="430"/>
      <c r="AA3334" s="430"/>
      <c r="AB3334" s="258">
        <v>171.0</v>
      </c>
      <c r="AC3334" s="430"/>
      <c r="AD3334" s="426"/>
      <c r="AE3334" s="428"/>
      <c r="AF3334" s="431"/>
      <c r="AG3334" s="432" t="str">
        <f>IFS(LEN(AF3334)=17,LOWER('2-Building'!$B$4 &amp; "-" &amp; C3334), AF3334="N/A", "N/A", LEN(AF3334)=0,"")</f>
        <v/>
      </c>
      <c r="AH3334" s="430"/>
      <c r="AI3334" s="430"/>
      <c r="AJ3334" s="430"/>
      <c r="AK3334" s="430"/>
      <c r="AL3334" s="430"/>
      <c r="AM3334" s="433"/>
      <c r="AN3334" s="430"/>
      <c r="AO3334" s="430"/>
      <c r="AP3334" s="430"/>
      <c r="AQ3334" s="430"/>
      <c r="AR3334" s="430"/>
      <c r="AS3334" s="430"/>
      <c r="AT3334" s="430"/>
      <c r="AU3334" s="426"/>
      <c r="AV3334" s="434"/>
      <c r="AW3334" s="269" t="s">
        <v>1724</v>
      </c>
      <c r="AX3334" s="269" t="s">
        <v>2869</v>
      </c>
      <c r="AY3334" s="270" t="s">
        <v>695</v>
      </c>
      <c r="AZ3334" s="435"/>
      <c r="BA3334" s="173">
        <v>10.0</v>
      </c>
      <c r="BB3334" s="434"/>
      <c r="BC3334" s="434"/>
      <c r="BD3334" s="308" t="s">
        <v>1844</v>
      </c>
      <c r="BE3334" s="436"/>
      <c r="BF3334" s="274" t="str">
        <f>IFERROR(__xludf.DUMMYFUNCTION("LOWER(Regexreplace(to_text(E3334),""[^A-Za-z0-9]"","""")&amp;""_""&amp;Regexreplace(to_text(F3334),""[^A-Za-z0-9]"",""""))"),"eaton_93pr")</f>
        <v>eaton_93pr</v>
      </c>
      <c r="BG3334" s="275" t="str">
        <f>IFERROR(__xludf.DUMMYFUNCTION("upper(Regexreplace(to_text(E3334),""[^A-Za-z0-9]"","""")&amp;""-""&amp;Regexreplace(to_text(F3334),""[^A-Za-z0-9]"",""""))"),"EATON-93PR")</f>
        <v>EATON-93PR</v>
      </c>
    </row>
    <row r="3335" ht="30.0" customHeight="1">
      <c r="A3335" s="425">
        <v>2690.0</v>
      </c>
      <c r="B3335" s="425" t="s">
        <v>670</v>
      </c>
      <c r="C3335" s="257" t="s">
        <v>10313</v>
      </c>
      <c r="D3335" s="173" t="s">
        <v>10314</v>
      </c>
      <c r="E3335" s="174" t="s">
        <v>9056</v>
      </c>
      <c r="F3335" s="173" t="s">
        <v>9057</v>
      </c>
      <c r="G3335" s="425" t="s">
        <v>673</v>
      </c>
      <c r="H3335" s="425" t="s">
        <v>2863</v>
      </c>
      <c r="I3335" s="258" t="s">
        <v>9445</v>
      </c>
      <c r="J3335" s="259" t="s">
        <v>1211</v>
      </c>
      <c r="K3335" s="260" t="s">
        <v>10315</v>
      </c>
      <c r="L3335" s="442"/>
      <c r="M3335" s="426"/>
      <c r="N3335" s="173" t="s">
        <v>679</v>
      </c>
      <c r="O3335" s="173" t="s">
        <v>225</v>
      </c>
      <c r="P3335" s="262" t="str">
        <f t="shared" si="1"/>
        <v>IN-BLR-ANANTA-FAN-283_7</v>
      </c>
      <c r="Q3335" s="173" t="s">
        <v>10316</v>
      </c>
      <c r="R3335" s="425" t="str">
        <f>IFS(C3335="","",C3335="n/a","N/A",LEN(C3335),Concatenate("{",char(34),"asset",char(34),":{",char(34),"guid",char(34),":",char(34),Q3335,char(34),",",char(34),"site",char(34),":",char(34),LOWER('2-Building'!$B$4),char(34),",",char(34),"name",char(34),":",char(34),LOWER(C3335),char(34),"}}"))</f>
        <v>{"asset":{"guid":"uuid://f9cab069-9cb1-463b-9a0b-b247c56d2887","site":"in-blr-ananta","name":"fan-283"}}</v>
      </c>
      <c r="S3335" s="369" t="s">
        <v>2866</v>
      </c>
      <c r="T3335" s="427"/>
      <c r="U3335" s="427"/>
      <c r="V3335" s="428"/>
      <c r="W3335" s="429"/>
      <c r="X3335" s="430"/>
      <c r="Y3335" s="33" t="s">
        <v>8076</v>
      </c>
      <c r="Z3335" s="430"/>
      <c r="AA3335" s="430"/>
      <c r="AB3335" s="258">
        <v>114.0</v>
      </c>
      <c r="AC3335" s="430"/>
      <c r="AD3335" s="426"/>
      <c r="AE3335" s="428"/>
      <c r="AF3335" s="431"/>
      <c r="AG3335" s="432" t="str">
        <f>IFS(LEN(AF3335)=17,LOWER('2-Building'!$B$4 &amp; "-" &amp; C3335), AF3335="N/A", "N/A", LEN(AF3335)=0,"")</f>
        <v/>
      </c>
      <c r="AH3335" s="430"/>
      <c r="AI3335" s="430"/>
      <c r="AJ3335" s="430"/>
      <c r="AK3335" s="430"/>
      <c r="AL3335" s="430"/>
      <c r="AM3335" s="433"/>
      <c r="AN3335" s="430"/>
      <c r="AO3335" s="430"/>
      <c r="AP3335" s="430"/>
      <c r="AQ3335" s="430"/>
      <c r="AR3335" s="430"/>
      <c r="AS3335" s="430"/>
      <c r="AT3335" s="430"/>
      <c r="AU3335" s="426"/>
      <c r="AV3335" s="434"/>
      <c r="AW3335" s="269" t="s">
        <v>1745</v>
      </c>
      <c r="AX3335" s="269" t="s">
        <v>2869</v>
      </c>
      <c r="AY3335" s="270" t="s">
        <v>695</v>
      </c>
      <c r="AZ3335" s="435"/>
      <c r="BA3335" s="173">
        <v>10.0</v>
      </c>
      <c r="BB3335" s="434"/>
      <c r="BC3335" s="434"/>
      <c r="BD3335" s="308" t="s">
        <v>1844</v>
      </c>
      <c r="BE3335" s="436"/>
      <c r="BF3335" s="274" t="str">
        <f>IFERROR(__xludf.DUMMYFUNCTION("LOWER(Regexreplace(to_text(E3335),""[^A-Za-z0-9]"","""")&amp;""_""&amp;Regexreplace(to_text(F3335),""[^A-Za-z0-9]"",""""))"),"eaton_93pr")</f>
        <v>eaton_93pr</v>
      </c>
      <c r="BG3335" s="275" t="str">
        <f>IFERROR(__xludf.DUMMYFUNCTION("upper(Regexreplace(to_text(E3335),""[^A-Za-z0-9]"","""")&amp;""-""&amp;Regexreplace(to_text(F3335),""[^A-Za-z0-9]"",""""))"),"EATON-93PR")</f>
        <v>EATON-93PR</v>
      </c>
    </row>
    <row r="3336" ht="30.0" customHeight="1">
      <c r="A3336" s="425">
        <v>2690.0</v>
      </c>
      <c r="B3336" s="425" t="s">
        <v>670</v>
      </c>
      <c r="C3336" s="257" t="s">
        <v>10317</v>
      </c>
      <c r="D3336" s="173" t="s">
        <v>10318</v>
      </c>
      <c r="E3336" s="174" t="s">
        <v>9056</v>
      </c>
      <c r="F3336" s="173" t="s">
        <v>9057</v>
      </c>
      <c r="G3336" s="425" t="s">
        <v>673</v>
      </c>
      <c r="H3336" s="425" t="s">
        <v>2863</v>
      </c>
      <c r="I3336" s="258" t="s">
        <v>9445</v>
      </c>
      <c r="J3336" s="259" t="s">
        <v>1211</v>
      </c>
      <c r="K3336" s="260" t="s">
        <v>10315</v>
      </c>
      <c r="L3336" s="442"/>
      <c r="M3336" s="426"/>
      <c r="N3336" s="173" t="s">
        <v>679</v>
      </c>
      <c r="O3336" s="173" t="s">
        <v>225</v>
      </c>
      <c r="P3336" s="262" t="str">
        <f t="shared" si="1"/>
        <v>IN-BLR-ANANTA-FAN-284_7</v>
      </c>
      <c r="Q3336" s="173" t="s">
        <v>10319</v>
      </c>
      <c r="R3336" s="433" t="str">
        <f>IFS(C3336="","",C3336="n/a","N/A",LEN(C3336),Concatenate("{",char(34),"asset",char(34),":{",char(34),"guid",char(34),":",char(34),Q3336,char(34),",",char(34),"site",char(34),":",char(34),LOWER('2-Building'!$B$4),char(34),",",char(34),"name",char(34),":",char(34),LOWER(C3336),char(34),"}}"))</f>
        <v>{"asset":{"guid":"uuid://7da00fe8-74b1-435d-8508-076a53e6be35","site":"in-blr-ananta","name":"fan-284"}}</v>
      </c>
      <c r="S3336" s="369" t="s">
        <v>2866</v>
      </c>
      <c r="T3336" s="427"/>
      <c r="U3336" s="427"/>
      <c r="V3336" s="428"/>
      <c r="W3336" s="429"/>
      <c r="X3336" s="430"/>
      <c r="Y3336" s="33" t="s">
        <v>8076</v>
      </c>
      <c r="Z3336" s="430"/>
      <c r="AA3336" s="430"/>
      <c r="AB3336" s="258">
        <v>115.0</v>
      </c>
      <c r="AC3336" s="430"/>
      <c r="AD3336" s="426"/>
      <c r="AE3336" s="428"/>
      <c r="AF3336" s="431"/>
      <c r="AG3336" s="432" t="str">
        <f>IFS(LEN(AF3336)=17,LOWER('2-Building'!$B$4 &amp; "-" &amp; C3336), AF3336="N/A", "N/A", LEN(AF3336)=0,"")</f>
        <v/>
      </c>
      <c r="AH3336" s="430"/>
      <c r="AI3336" s="430"/>
      <c r="AJ3336" s="430"/>
      <c r="AK3336" s="430"/>
      <c r="AL3336" s="430"/>
      <c r="AM3336" s="433"/>
      <c r="AN3336" s="430"/>
      <c r="AO3336" s="430"/>
      <c r="AP3336" s="430"/>
      <c r="AQ3336" s="430"/>
      <c r="AR3336" s="430"/>
      <c r="AS3336" s="430"/>
      <c r="AT3336" s="430"/>
      <c r="AU3336" s="426"/>
      <c r="AV3336" s="434"/>
      <c r="AW3336" s="269" t="s">
        <v>1745</v>
      </c>
      <c r="AX3336" s="269" t="s">
        <v>2869</v>
      </c>
      <c r="AY3336" s="270" t="s">
        <v>695</v>
      </c>
      <c r="AZ3336" s="435"/>
      <c r="BA3336" s="173">
        <v>10.0</v>
      </c>
      <c r="BB3336" s="434"/>
      <c r="BC3336" s="434"/>
      <c r="BD3336" s="308" t="s">
        <v>1844</v>
      </c>
      <c r="BE3336" s="436"/>
      <c r="BF3336" s="274" t="str">
        <f>IFERROR(__xludf.DUMMYFUNCTION("LOWER(Regexreplace(to_text(E3336),""[^A-Za-z0-9]"","""")&amp;""_""&amp;Regexreplace(to_text(F3336),""[^A-Za-z0-9]"",""""))"),"eaton_93pr")</f>
        <v>eaton_93pr</v>
      </c>
      <c r="BG3336" s="275" t="str">
        <f>IFERROR(__xludf.DUMMYFUNCTION("upper(Regexreplace(to_text(E3336),""[^A-Za-z0-9]"","""")&amp;""-""&amp;Regexreplace(to_text(F3336),""[^A-Za-z0-9]"",""""))"),"EATON-93PR")</f>
        <v>EATON-93PR</v>
      </c>
    </row>
    <row r="3337" ht="30.0" customHeight="1">
      <c r="A3337" s="425">
        <v>2690.0</v>
      </c>
      <c r="B3337" s="425" t="s">
        <v>670</v>
      </c>
      <c r="C3337" s="257" t="s">
        <v>10320</v>
      </c>
      <c r="D3337" s="173" t="s">
        <v>10321</v>
      </c>
      <c r="E3337" s="174" t="s">
        <v>9056</v>
      </c>
      <c r="F3337" s="173" t="s">
        <v>9057</v>
      </c>
      <c r="G3337" s="425" t="s">
        <v>673</v>
      </c>
      <c r="H3337" s="425" t="s">
        <v>2863</v>
      </c>
      <c r="I3337" s="258" t="s">
        <v>9445</v>
      </c>
      <c r="J3337" s="259" t="s">
        <v>1211</v>
      </c>
      <c r="K3337" s="260" t="s">
        <v>10315</v>
      </c>
      <c r="L3337" s="442"/>
      <c r="M3337" s="426"/>
      <c r="N3337" s="173" t="s">
        <v>679</v>
      </c>
      <c r="O3337" s="173" t="s">
        <v>225</v>
      </c>
      <c r="P3337" s="262" t="str">
        <f t="shared" si="1"/>
        <v>IN-BLR-ANANTA-FAN-285_7</v>
      </c>
      <c r="Q3337" s="173" t="s">
        <v>10322</v>
      </c>
      <c r="R3337" s="425" t="str">
        <f>IFS(C3337="","",C3337="n/a","N/A",LEN(C3337),Concatenate("{",char(34),"asset",char(34),":{",char(34),"guid",char(34),":",char(34),Q3337,char(34),",",char(34),"site",char(34),":",char(34),LOWER('2-Building'!$B$4),char(34),",",char(34),"name",char(34),":",char(34),LOWER(C3337),char(34),"}}"))</f>
        <v>{"asset":{"guid":"uuid://537787fd-8629-49f4-98a1-af1e518e42fc","site":"in-blr-ananta","name":"fan-285"}}</v>
      </c>
      <c r="S3337" s="369" t="s">
        <v>2866</v>
      </c>
      <c r="T3337" s="427"/>
      <c r="U3337" s="427"/>
      <c r="V3337" s="428"/>
      <c r="W3337" s="429"/>
      <c r="X3337" s="430"/>
      <c r="Y3337" s="33" t="s">
        <v>8076</v>
      </c>
      <c r="Z3337" s="430"/>
      <c r="AA3337" s="430"/>
      <c r="AB3337" s="258">
        <v>116.0</v>
      </c>
      <c r="AC3337" s="430"/>
      <c r="AD3337" s="426"/>
      <c r="AE3337" s="428"/>
      <c r="AF3337" s="431"/>
      <c r="AG3337" s="432" t="str">
        <f>IFS(LEN(AF3337)=17,LOWER('2-Building'!$B$4 &amp; "-" &amp; C3337), AF3337="N/A", "N/A", LEN(AF3337)=0,"")</f>
        <v/>
      </c>
      <c r="AH3337" s="430"/>
      <c r="AI3337" s="430"/>
      <c r="AJ3337" s="430"/>
      <c r="AK3337" s="430"/>
      <c r="AL3337" s="430"/>
      <c r="AM3337" s="433"/>
      <c r="AN3337" s="430"/>
      <c r="AO3337" s="430"/>
      <c r="AP3337" s="430"/>
      <c r="AQ3337" s="430"/>
      <c r="AR3337" s="430"/>
      <c r="AS3337" s="430"/>
      <c r="AT3337" s="430"/>
      <c r="AU3337" s="426"/>
      <c r="AV3337" s="434"/>
      <c r="AW3337" s="269" t="s">
        <v>1745</v>
      </c>
      <c r="AX3337" s="269" t="s">
        <v>2869</v>
      </c>
      <c r="AY3337" s="270" t="s">
        <v>695</v>
      </c>
      <c r="AZ3337" s="435"/>
      <c r="BA3337" s="173">
        <v>10.0</v>
      </c>
      <c r="BB3337" s="434"/>
      <c r="BC3337" s="434"/>
      <c r="BD3337" s="308" t="s">
        <v>1844</v>
      </c>
      <c r="BE3337" s="436"/>
      <c r="BF3337" s="274" t="str">
        <f>IFERROR(__xludf.DUMMYFUNCTION("LOWER(Regexreplace(to_text(E3337),""[^A-Za-z0-9]"","""")&amp;""_""&amp;Regexreplace(to_text(F3337),""[^A-Za-z0-9]"",""""))"),"eaton_93pr")</f>
        <v>eaton_93pr</v>
      </c>
      <c r="BG3337" s="275" t="str">
        <f>IFERROR(__xludf.DUMMYFUNCTION("upper(Regexreplace(to_text(E3337),""[^A-Za-z0-9]"","""")&amp;""-""&amp;Regexreplace(to_text(F3337),""[^A-Za-z0-9]"",""""))"),"EATON-93PR")</f>
        <v>EATON-93PR</v>
      </c>
    </row>
    <row r="3338" ht="30.0" customHeight="1">
      <c r="A3338" s="237">
        <v>2683.0</v>
      </c>
      <c r="B3338" s="425" t="s">
        <v>670</v>
      </c>
      <c r="C3338" s="257" t="s">
        <v>10323</v>
      </c>
      <c r="D3338" s="173" t="s">
        <v>10324</v>
      </c>
      <c r="E3338" s="174" t="s">
        <v>9097</v>
      </c>
      <c r="F3338" s="173" t="s">
        <v>2862</v>
      </c>
      <c r="G3338" s="425" t="s">
        <v>673</v>
      </c>
      <c r="H3338" s="425" t="s">
        <v>2863</v>
      </c>
      <c r="I3338" s="258" t="s">
        <v>9445</v>
      </c>
      <c r="J3338" s="259" t="s">
        <v>1211</v>
      </c>
      <c r="K3338" s="260" t="s">
        <v>10315</v>
      </c>
      <c r="L3338" s="442"/>
      <c r="M3338" s="426"/>
      <c r="N3338" s="173" t="s">
        <v>679</v>
      </c>
      <c r="O3338" s="173" t="s">
        <v>225</v>
      </c>
      <c r="P3338" s="262" t="str">
        <f t="shared" si="1"/>
        <v>IN-BLR-ANANTA-FAN-286_7</v>
      </c>
      <c r="Q3338" s="173" t="s">
        <v>10325</v>
      </c>
      <c r="R3338" s="425" t="str">
        <f>IFS(C3338="","",C3338="n/a","N/A",LEN(C3338),Concatenate("{",char(34),"asset",char(34),":{",char(34),"guid",char(34),":",char(34),Q3338,char(34),",",char(34),"site",char(34),":",char(34),LOWER('2-Building'!$B$4),char(34),",",char(34),"name",char(34),":",char(34),LOWER(C3338),char(34),"}}"))</f>
        <v>{"asset":{"guid":"uuid://4936e47d-a625-4e0e-b034-6cefb635b036","site":"in-blr-ananta","name":"fan-286"}}</v>
      </c>
      <c r="S3338" s="369" t="s">
        <v>2866</v>
      </c>
      <c r="T3338" s="427"/>
      <c r="U3338" s="427"/>
      <c r="V3338" s="428"/>
      <c r="W3338" s="429"/>
      <c r="X3338" s="430"/>
      <c r="Y3338" s="33" t="s">
        <v>8076</v>
      </c>
      <c r="Z3338" s="430"/>
      <c r="AA3338" s="430"/>
      <c r="AB3338" s="258">
        <v>117.0</v>
      </c>
      <c r="AC3338" s="430"/>
      <c r="AD3338" s="426"/>
      <c r="AE3338" s="428"/>
      <c r="AF3338" s="431"/>
      <c r="AG3338" s="432" t="str">
        <f>IFS(LEN(AF3338)=17,LOWER('2-Building'!$B$4 &amp; "-" &amp; C3338), AF3338="N/A", "N/A", LEN(AF3338)=0,"")</f>
        <v/>
      </c>
      <c r="AH3338" s="430"/>
      <c r="AI3338" s="430"/>
      <c r="AJ3338" s="430"/>
      <c r="AK3338" s="430"/>
      <c r="AL3338" s="430"/>
      <c r="AM3338" s="433"/>
      <c r="AN3338" s="430"/>
      <c r="AO3338" s="430"/>
      <c r="AP3338" s="430"/>
      <c r="AQ3338" s="430"/>
      <c r="AR3338" s="430"/>
      <c r="AS3338" s="430"/>
      <c r="AT3338" s="430"/>
      <c r="AU3338" s="426"/>
      <c r="AV3338" s="434"/>
      <c r="AW3338" s="269" t="s">
        <v>1745</v>
      </c>
      <c r="AX3338" s="269" t="s">
        <v>2869</v>
      </c>
      <c r="AY3338" s="270" t="s">
        <v>695</v>
      </c>
      <c r="AZ3338" s="435"/>
      <c r="BA3338" s="173">
        <v>10.0</v>
      </c>
      <c r="BB3338" s="434"/>
      <c r="BC3338" s="434"/>
      <c r="BD3338" s="308" t="s">
        <v>1844</v>
      </c>
      <c r="BE3338" s="436"/>
      <c r="BF3338" s="274" t="str">
        <f>IFERROR(__xludf.DUMMYFUNCTION("LOWER(Regexreplace(to_text(E3338),""[^A-Za-z0-9]"","""")&amp;""_""&amp;Regexreplace(to_text(F3338),""[^A-Za-z0-9]"",""""))"),"aquagen_evcbseries")</f>
        <v>aquagen_evcbseries</v>
      </c>
      <c r="BG3338" s="275" t="str">
        <f>IFERROR(__xludf.DUMMYFUNCTION("upper(Regexreplace(to_text(E3338),""[^A-Za-z0-9]"","""")&amp;""-""&amp;Regexreplace(to_text(F3338),""[^A-Za-z0-9]"",""""))"),"AQUAGEN-EVCBSERIES")</f>
        <v>AQUAGEN-EVCBSERIES</v>
      </c>
    </row>
    <row r="3339" ht="30.0" customHeight="1">
      <c r="A3339" s="328">
        <v>2684.0</v>
      </c>
      <c r="B3339" s="425" t="s">
        <v>670</v>
      </c>
      <c r="C3339" s="257" t="s">
        <v>10326</v>
      </c>
      <c r="D3339" s="173" t="s">
        <v>10327</v>
      </c>
      <c r="E3339" s="174" t="s">
        <v>9097</v>
      </c>
      <c r="F3339" s="173" t="s">
        <v>2862</v>
      </c>
      <c r="G3339" s="425" t="s">
        <v>673</v>
      </c>
      <c r="H3339" s="425" t="s">
        <v>2863</v>
      </c>
      <c r="I3339" s="258" t="s">
        <v>9445</v>
      </c>
      <c r="J3339" s="259" t="s">
        <v>1211</v>
      </c>
      <c r="K3339" s="260" t="s">
        <v>10315</v>
      </c>
      <c r="L3339" s="442"/>
      <c r="M3339" s="426"/>
      <c r="N3339" s="173" t="s">
        <v>679</v>
      </c>
      <c r="O3339" s="173" t="s">
        <v>225</v>
      </c>
      <c r="P3339" s="262" t="str">
        <f t="shared" si="1"/>
        <v>IN-BLR-ANANTA-FAN-287_7</v>
      </c>
      <c r="Q3339" s="173" t="s">
        <v>10328</v>
      </c>
      <c r="R3339" s="425" t="str">
        <f>IFS(C3339="","",C3339="n/a","N/A",LEN(C3339),Concatenate("{",char(34),"asset",char(34),":{",char(34),"guid",char(34),":",char(34),Q3339,char(34),",",char(34),"site",char(34),":",char(34),LOWER('2-Building'!$B$4),char(34),",",char(34),"name",char(34),":",char(34),LOWER(C3339),char(34),"}}"))</f>
        <v>{"asset":{"guid":"uuid://99daf871-cc2e-448d-bcc2-a408f34adaf3","site":"in-blr-ananta","name":"fan-287"}}</v>
      </c>
      <c r="S3339" s="369" t="s">
        <v>2866</v>
      </c>
      <c r="T3339" s="427"/>
      <c r="U3339" s="427"/>
      <c r="V3339" s="428"/>
      <c r="W3339" s="429"/>
      <c r="X3339" s="430"/>
      <c r="Y3339" s="33" t="s">
        <v>8076</v>
      </c>
      <c r="Z3339" s="430"/>
      <c r="AA3339" s="430"/>
      <c r="AB3339" s="258">
        <v>118.0</v>
      </c>
      <c r="AC3339" s="430"/>
      <c r="AD3339" s="426"/>
      <c r="AE3339" s="428"/>
      <c r="AF3339" s="431"/>
      <c r="AG3339" s="432" t="str">
        <f>IFS(LEN(AF3339)=17,LOWER('2-Building'!$B$4 &amp; "-" &amp; C3339), AF3339="N/A", "N/A", LEN(AF3339)=0,"")</f>
        <v/>
      </c>
      <c r="AH3339" s="430"/>
      <c r="AI3339" s="430"/>
      <c r="AJ3339" s="430"/>
      <c r="AK3339" s="430"/>
      <c r="AL3339" s="430"/>
      <c r="AM3339" s="433"/>
      <c r="AN3339" s="430"/>
      <c r="AO3339" s="430"/>
      <c r="AP3339" s="430"/>
      <c r="AQ3339" s="430"/>
      <c r="AR3339" s="430"/>
      <c r="AS3339" s="430"/>
      <c r="AT3339" s="430"/>
      <c r="AU3339" s="426"/>
      <c r="AV3339" s="434"/>
      <c r="AW3339" s="269" t="s">
        <v>1745</v>
      </c>
      <c r="AX3339" s="269" t="s">
        <v>2869</v>
      </c>
      <c r="AY3339" s="270" t="s">
        <v>695</v>
      </c>
      <c r="AZ3339" s="435"/>
      <c r="BA3339" s="173">
        <v>10.0</v>
      </c>
      <c r="BB3339" s="434"/>
      <c r="BC3339" s="434"/>
      <c r="BD3339" s="308" t="s">
        <v>1844</v>
      </c>
      <c r="BE3339" s="436"/>
      <c r="BF3339" s="274" t="str">
        <f>IFERROR(__xludf.DUMMYFUNCTION("LOWER(Regexreplace(to_text(E3339),""[^A-Za-z0-9]"","""")&amp;""_""&amp;Regexreplace(to_text(F3339),""[^A-Za-z0-9]"",""""))"),"aquagen_evcbseries")</f>
        <v>aquagen_evcbseries</v>
      </c>
      <c r="BG3339" s="275" t="str">
        <f>IFERROR(__xludf.DUMMYFUNCTION("upper(Regexreplace(to_text(E3339),""[^A-Za-z0-9]"","""")&amp;""-""&amp;Regexreplace(to_text(F3339),""[^A-Za-z0-9]"",""""))"),"AQUAGEN-EVCBSERIES")</f>
        <v>AQUAGEN-EVCBSERIES</v>
      </c>
    </row>
    <row r="3340" ht="30.0" customHeight="1">
      <c r="A3340" s="237">
        <v>2685.0</v>
      </c>
      <c r="B3340" s="425" t="s">
        <v>670</v>
      </c>
      <c r="C3340" s="257" t="s">
        <v>10329</v>
      </c>
      <c r="D3340" s="173" t="s">
        <v>10330</v>
      </c>
      <c r="E3340" s="174" t="s">
        <v>9097</v>
      </c>
      <c r="F3340" s="173" t="s">
        <v>2862</v>
      </c>
      <c r="G3340" s="425" t="s">
        <v>673</v>
      </c>
      <c r="H3340" s="425" t="s">
        <v>2863</v>
      </c>
      <c r="I3340" s="258" t="s">
        <v>9445</v>
      </c>
      <c r="J3340" s="259" t="s">
        <v>1211</v>
      </c>
      <c r="K3340" s="260" t="s">
        <v>10315</v>
      </c>
      <c r="L3340" s="442"/>
      <c r="M3340" s="426"/>
      <c r="N3340" s="173" t="s">
        <v>679</v>
      </c>
      <c r="O3340" s="173" t="s">
        <v>225</v>
      </c>
      <c r="P3340" s="262" t="str">
        <f t="shared" si="1"/>
        <v>IN-BLR-ANANTA-FAN-288_7</v>
      </c>
      <c r="Q3340" s="173" t="s">
        <v>10331</v>
      </c>
      <c r="R3340" s="425" t="str">
        <f>IFS(C3340="","",C3340="n/a","N/A",LEN(C3340),Concatenate("{",char(34),"asset",char(34),":{",char(34),"guid",char(34),":",char(34),Q3340,char(34),",",char(34),"site",char(34),":",char(34),LOWER('2-Building'!$B$4),char(34),",",char(34),"name",char(34),":",char(34),LOWER(C3340),char(34),"}}"))</f>
        <v>{"asset":{"guid":"uuid://431a7d14-077b-43d0-bea9-093d1364d2f8","site":"in-blr-ananta","name":"fan-288"}}</v>
      </c>
      <c r="S3340" s="369" t="s">
        <v>2866</v>
      </c>
      <c r="T3340" s="427"/>
      <c r="U3340" s="427"/>
      <c r="V3340" s="428"/>
      <c r="W3340" s="429"/>
      <c r="X3340" s="430"/>
      <c r="Y3340" s="33" t="s">
        <v>8076</v>
      </c>
      <c r="Z3340" s="430"/>
      <c r="AA3340" s="430"/>
      <c r="AB3340" s="258">
        <v>119.0</v>
      </c>
      <c r="AC3340" s="430"/>
      <c r="AD3340" s="426"/>
      <c r="AE3340" s="428"/>
      <c r="AF3340" s="431"/>
      <c r="AG3340" s="432" t="str">
        <f>IFS(LEN(AF3340)=17,LOWER('2-Building'!$B$4 &amp; "-" &amp; C3340), AF3340="N/A", "N/A", LEN(AF3340)=0,"")</f>
        <v/>
      </c>
      <c r="AH3340" s="430"/>
      <c r="AI3340" s="430"/>
      <c r="AJ3340" s="430"/>
      <c r="AK3340" s="430"/>
      <c r="AL3340" s="430"/>
      <c r="AM3340" s="433"/>
      <c r="AN3340" s="430"/>
      <c r="AO3340" s="430"/>
      <c r="AP3340" s="430"/>
      <c r="AQ3340" s="430"/>
      <c r="AR3340" s="430"/>
      <c r="AS3340" s="430"/>
      <c r="AT3340" s="430"/>
      <c r="AU3340" s="426"/>
      <c r="AV3340" s="434"/>
      <c r="AW3340" s="269" t="s">
        <v>1745</v>
      </c>
      <c r="AX3340" s="269" t="s">
        <v>2869</v>
      </c>
      <c r="AY3340" s="270" t="s">
        <v>695</v>
      </c>
      <c r="AZ3340" s="435"/>
      <c r="BA3340" s="173">
        <v>10.0</v>
      </c>
      <c r="BB3340" s="434"/>
      <c r="BC3340" s="434"/>
      <c r="BD3340" s="308" t="s">
        <v>1844</v>
      </c>
      <c r="BE3340" s="436"/>
      <c r="BF3340" s="274" t="str">
        <f>IFERROR(__xludf.DUMMYFUNCTION("LOWER(Regexreplace(to_text(E3340),""[^A-Za-z0-9]"","""")&amp;""_""&amp;Regexreplace(to_text(F3340),""[^A-Za-z0-9]"",""""))"),"aquagen_evcbseries")</f>
        <v>aquagen_evcbseries</v>
      </c>
      <c r="BG3340" s="275" t="str">
        <f>IFERROR(__xludf.DUMMYFUNCTION("upper(Regexreplace(to_text(E3340),""[^A-Za-z0-9]"","""")&amp;""-""&amp;Regexreplace(to_text(F3340),""[^A-Za-z0-9]"",""""))"),"AQUAGEN-EVCBSERIES")</f>
        <v>AQUAGEN-EVCBSERIES</v>
      </c>
    </row>
    <row r="3341" ht="30.0" customHeight="1">
      <c r="A3341" s="328">
        <v>2686.0</v>
      </c>
      <c r="B3341" s="425" t="s">
        <v>670</v>
      </c>
      <c r="C3341" s="257" t="s">
        <v>10332</v>
      </c>
      <c r="D3341" s="173" t="s">
        <v>10333</v>
      </c>
      <c r="E3341" s="174" t="s">
        <v>9097</v>
      </c>
      <c r="F3341" s="173" t="s">
        <v>2862</v>
      </c>
      <c r="G3341" s="425" t="s">
        <v>673</v>
      </c>
      <c r="H3341" s="425" t="s">
        <v>2863</v>
      </c>
      <c r="I3341" s="258" t="s">
        <v>9445</v>
      </c>
      <c r="J3341" s="259" t="s">
        <v>1272</v>
      </c>
      <c r="K3341" s="260" t="s">
        <v>1736</v>
      </c>
      <c r="L3341" s="442"/>
      <c r="M3341" s="426"/>
      <c r="N3341" s="173" t="s">
        <v>679</v>
      </c>
      <c r="O3341" s="173" t="s">
        <v>225</v>
      </c>
      <c r="P3341" s="262" t="str">
        <f t="shared" si="1"/>
        <v>IN-BLR-ANANTA-FAN-289_8</v>
      </c>
      <c r="Q3341" s="173" t="s">
        <v>10334</v>
      </c>
      <c r="R3341" s="425" t="str">
        <f>IFS(C3341="","",C3341="n/a","N/A",LEN(C3341),Concatenate("{",char(34),"asset",char(34),":{",char(34),"guid",char(34),":",char(34),Q3341,char(34),",",char(34),"site",char(34),":",char(34),LOWER('2-Building'!$B$4),char(34),",",char(34),"name",char(34),":",char(34),LOWER(C3341),char(34),"}}"))</f>
        <v>{"asset":{"guid":"uuid://622de91e-ad51-413d-bc43-0ff964f23e10","site":"in-blr-ananta","name":"fan-289"}}</v>
      </c>
      <c r="S3341" s="369" t="s">
        <v>2866</v>
      </c>
      <c r="T3341" s="427"/>
      <c r="U3341" s="427"/>
      <c r="V3341" s="428"/>
      <c r="W3341" s="429"/>
      <c r="X3341" s="430"/>
      <c r="Y3341" s="33" t="s">
        <v>8076</v>
      </c>
      <c r="Z3341" s="430"/>
      <c r="AA3341" s="430"/>
      <c r="AB3341" s="258">
        <v>132.0</v>
      </c>
      <c r="AC3341" s="430"/>
      <c r="AD3341" s="426"/>
      <c r="AE3341" s="428"/>
      <c r="AF3341" s="431"/>
      <c r="AG3341" s="432" t="str">
        <f>IFS(LEN(AF3341)=17,LOWER('2-Building'!$B$4 &amp; "-" &amp; C3341), AF3341="N/A", "N/A", LEN(AF3341)=0,"")</f>
        <v/>
      </c>
      <c r="AH3341" s="430"/>
      <c r="AI3341" s="430"/>
      <c r="AJ3341" s="430"/>
      <c r="AK3341" s="430"/>
      <c r="AL3341" s="430"/>
      <c r="AM3341" s="433"/>
      <c r="AN3341" s="430"/>
      <c r="AO3341" s="430"/>
      <c r="AP3341" s="430"/>
      <c r="AQ3341" s="430"/>
      <c r="AR3341" s="430"/>
      <c r="AS3341" s="430"/>
      <c r="AT3341" s="430"/>
      <c r="AU3341" s="426"/>
      <c r="AV3341" s="434"/>
      <c r="AW3341" s="269" t="s">
        <v>1745</v>
      </c>
      <c r="AX3341" s="269" t="s">
        <v>2869</v>
      </c>
      <c r="AY3341" s="270" t="s">
        <v>695</v>
      </c>
      <c r="AZ3341" s="435"/>
      <c r="BA3341" s="173">
        <v>10.0</v>
      </c>
      <c r="BB3341" s="434"/>
      <c r="BC3341" s="434"/>
      <c r="BD3341" s="308" t="s">
        <v>1844</v>
      </c>
      <c r="BE3341" s="436"/>
      <c r="BF3341" s="274" t="str">
        <f>IFERROR(__xludf.DUMMYFUNCTION("LOWER(Regexreplace(to_text(E3341),""[^A-Za-z0-9]"","""")&amp;""_""&amp;Regexreplace(to_text(F3341),""[^A-Za-z0-9]"",""""))"),"aquagen_evcbseries")</f>
        <v>aquagen_evcbseries</v>
      </c>
      <c r="BG3341" s="275" t="str">
        <f>IFERROR(__xludf.DUMMYFUNCTION("upper(Regexreplace(to_text(E3341),""[^A-Za-z0-9]"","""")&amp;""-""&amp;Regexreplace(to_text(F3341),""[^A-Za-z0-9]"",""""))"),"AQUAGEN-EVCBSERIES")</f>
        <v>AQUAGEN-EVCBSERIES</v>
      </c>
    </row>
    <row r="3342" ht="30.0" customHeight="1">
      <c r="A3342" s="237">
        <v>2687.0</v>
      </c>
      <c r="B3342" s="425" t="s">
        <v>670</v>
      </c>
      <c r="C3342" s="257" t="s">
        <v>10335</v>
      </c>
      <c r="D3342" s="173" t="s">
        <v>10336</v>
      </c>
      <c r="E3342" s="174" t="s">
        <v>9097</v>
      </c>
      <c r="F3342" s="173" t="s">
        <v>2862</v>
      </c>
      <c r="G3342" s="425" t="s">
        <v>673</v>
      </c>
      <c r="H3342" s="425" t="s">
        <v>2863</v>
      </c>
      <c r="I3342" s="258" t="s">
        <v>9445</v>
      </c>
      <c r="J3342" s="259" t="s">
        <v>1272</v>
      </c>
      <c r="K3342" s="260" t="s">
        <v>1736</v>
      </c>
      <c r="L3342" s="442"/>
      <c r="M3342" s="426"/>
      <c r="N3342" s="173" t="s">
        <v>679</v>
      </c>
      <c r="O3342" s="173" t="s">
        <v>225</v>
      </c>
      <c r="P3342" s="262" t="str">
        <f t="shared" si="1"/>
        <v>IN-BLR-ANANTA-FAN-290_8</v>
      </c>
      <c r="Q3342" s="173" t="s">
        <v>10337</v>
      </c>
      <c r="R3342" s="425" t="str">
        <f>IFS(C3342="","",C3342="n/a","N/A",LEN(C3342),Concatenate("{",char(34),"asset",char(34),":{",char(34),"guid",char(34),":",char(34),Q3342,char(34),",",char(34),"site",char(34),":",char(34),LOWER('2-Building'!$B$4),char(34),",",char(34),"name",char(34),":",char(34),LOWER(C3342),char(34),"}}"))</f>
        <v>{"asset":{"guid":"uuid://09e409f3-6e8e-4c56-b9ad-ae3c154359bf","site":"in-blr-ananta","name":"fan-290"}}</v>
      </c>
      <c r="S3342" s="369" t="s">
        <v>2866</v>
      </c>
      <c r="T3342" s="427"/>
      <c r="U3342" s="427"/>
      <c r="V3342" s="428"/>
      <c r="W3342" s="429"/>
      <c r="X3342" s="430"/>
      <c r="Y3342" s="33" t="s">
        <v>8076</v>
      </c>
      <c r="Z3342" s="430"/>
      <c r="AA3342" s="430"/>
      <c r="AB3342" s="258">
        <v>133.0</v>
      </c>
      <c r="AC3342" s="430"/>
      <c r="AD3342" s="426"/>
      <c r="AE3342" s="428"/>
      <c r="AF3342" s="431"/>
      <c r="AG3342" s="432" t="str">
        <f>IFS(LEN(AF3342)=17,LOWER('2-Building'!$B$4 &amp; "-" &amp; C3342), AF3342="N/A", "N/A", LEN(AF3342)=0,"")</f>
        <v/>
      </c>
      <c r="AH3342" s="430"/>
      <c r="AI3342" s="430"/>
      <c r="AJ3342" s="430"/>
      <c r="AK3342" s="430"/>
      <c r="AL3342" s="430"/>
      <c r="AM3342" s="433"/>
      <c r="AN3342" s="430"/>
      <c r="AO3342" s="430"/>
      <c r="AP3342" s="430"/>
      <c r="AQ3342" s="430"/>
      <c r="AR3342" s="430"/>
      <c r="AS3342" s="430"/>
      <c r="AT3342" s="430"/>
      <c r="AU3342" s="426"/>
      <c r="AV3342" s="434"/>
      <c r="AW3342" s="269" t="s">
        <v>1745</v>
      </c>
      <c r="AX3342" s="269" t="s">
        <v>2869</v>
      </c>
      <c r="AY3342" s="270" t="s">
        <v>695</v>
      </c>
      <c r="AZ3342" s="435"/>
      <c r="BA3342" s="173">
        <v>10.0</v>
      </c>
      <c r="BB3342" s="434"/>
      <c r="BC3342" s="434"/>
      <c r="BD3342" s="308" t="s">
        <v>1844</v>
      </c>
      <c r="BE3342" s="436"/>
      <c r="BF3342" s="274" t="str">
        <f>IFERROR(__xludf.DUMMYFUNCTION("LOWER(Regexreplace(to_text(E3342),""[^A-Za-z0-9]"","""")&amp;""_""&amp;Regexreplace(to_text(F3342),""[^A-Za-z0-9]"",""""))"),"aquagen_evcbseries")</f>
        <v>aquagen_evcbseries</v>
      </c>
      <c r="BG3342" s="275" t="str">
        <f>IFERROR(__xludf.DUMMYFUNCTION("upper(Regexreplace(to_text(E3342),""[^A-Za-z0-9]"","""")&amp;""-""&amp;Regexreplace(to_text(F3342),""[^A-Za-z0-9]"",""""))"),"AQUAGEN-EVCBSERIES")</f>
        <v>AQUAGEN-EVCBSERIES</v>
      </c>
    </row>
    <row r="3343" ht="30.0" customHeight="1">
      <c r="A3343" s="328">
        <v>2688.0</v>
      </c>
      <c r="B3343" s="425" t="s">
        <v>670</v>
      </c>
      <c r="C3343" s="257" t="s">
        <v>10338</v>
      </c>
      <c r="D3343" s="173" t="s">
        <v>10339</v>
      </c>
      <c r="E3343" s="174" t="s">
        <v>9097</v>
      </c>
      <c r="F3343" s="173" t="s">
        <v>2862</v>
      </c>
      <c r="G3343" s="425" t="s">
        <v>673</v>
      </c>
      <c r="H3343" s="425" t="s">
        <v>2863</v>
      </c>
      <c r="I3343" s="258" t="s">
        <v>9445</v>
      </c>
      <c r="J3343" s="259" t="s">
        <v>1272</v>
      </c>
      <c r="K3343" s="260" t="s">
        <v>1736</v>
      </c>
      <c r="L3343" s="442"/>
      <c r="M3343" s="426"/>
      <c r="N3343" s="173" t="s">
        <v>679</v>
      </c>
      <c r="O3343" s="173" t="s">
        <v>225</v>
      </c>
      <c r="P3343" s="262" t="str">
        <f t="shared" si="1"/>
        <v>IN-BLR-ANANTA-FAN-291_8</v>
      </c>
      <c r="Q3343" s="173" t="s">
        <v>10340</v>
      </c>
      <c r="R3343" s="425" t="str">
        <f>IFS(C3343="","",C3343="n/a","N/A",LEN(C3343),Concatenate("{",char(34),"asset",char(34),":{",char(34),"guid",char(34),":",char(34),Q3343,char(34),",",char(34),"site",char(34),":",char(34),LOWER('2-Building'!$B$4),char(34),",",char(34),"name",char(34),":",char(34),LOWER(C3343),char(34),"}}"))</f>
        <v>{"asset":{"guid":"uuid://20b9c68b-6adf-4f19-98f7-e5f1b9aa748c","site":"in-blr-ananta","name":"fan-291"}}</v>
      </c>
      <c r="S3343" s="369" t="s">
        <v>2866</v>
      </c>
      <c r="T3343" s="427"/>
      <c r="U3343" s="427"/>
      <c r="V3343" s="428"/>
      <c r="W3343" s="429"/>
      <c r="X3343" s="430"/>
      <c r="Y3343" s="33" t="s">
        <v>8076</v>
      </c>
      <c r="Z3343" s="430"/>
      <c r="AA3343" s="430"/>
      <c r="AB3343" s="258">
        <v>134.0</v>
      </c>
      <c r="AC3343" s="430"/>
      <c r="AD3343" s="426"/>
      <c r="AE3343" s="428"/>
      <c r="AF3343" s="431"/>
      <c r="AG3343" s="432" t="str">
        <f>IFS(LEN(AF3343)=17,LOWER('2-Building'!$B$4 &amp; "-" &amp; C3343), AF3343="N/A", "N/A", LEN(AF3343)=0,"")</f>
        <v/>
      </c>
      <c r="AH3343" s="430"/>
      <c r="AI3343" s="430"/>
      <c r="AJ3343" s="430"/>
      <c r="AK3343" s="430"/>
      <c r="AL3343" s="430"/>
      <c r="AM3343" s="433"/>
      <c r="AN3343" s="430"/>
      <c r="AO3343" s="430"/>
      <c r="AP3343" s="430"/>
      <c r="AQ3343" s="430"/>
      <c r="AR3343" s="430"/>
      <c r="AS3343" s="430"/>
      <c r="AT3343" s="430"/>
      <c r="AU3343" s="426"/>
      <c r="AV3343" s="434"/>
      <c r="AW3343" s="269" t="s">
        <v>1745</v>
      </c>
      <c r="AX3343" s="269" t="s">
        <v>2869</v>
      </c>
      <c r="AY3343" s="270" t="s">
        <v>695</v>
      </c>
      <c r="AZ3343" s="435"/>
      <c r="BA3343" s="173">
        <v>10.0</v>
      </c>
      <c r="BB3343" s="434"/>
      <c r="BC3343" s="434"/>
      <c r="BD3343" s="308" t="s">
        <v>1844</v>
      </c>
      <c r="BE3343" s="436"/>
      <c r="BF3343" s="274" t="str">
        <f>IFERROR(__xludf.DUMMYFUNCTION("LOWER(Regexreplace(to_text(E3343),""[^A-Za-z0-9]"","""")&amp;""_""&amp;Regexreplace(to_text(F3343),""[^A-Za-z0-9]"",""""))"),"aquagen_evcbseries")</f>
        <v>aquagen_evcbseries</v>
      </c>
      <c r="BG3343" s="275" t="str">
        <f>IFERROR(__xludf.DUMMYFUNCTION("upper(Regexreplace(to_text(E3343),""[^A-Za-z0-9]"","""")&amp;""-""&amp;Regexreplace(to_text(F3343),""[^A-Za-z0-9]"",""""))"),"AQUAGEN-EVCBSERIES")</f>
        <v>AQUAGEN-EVCBSERIES</v>
      </c>
    </row>
    <row r="3344" ht="30.0" customHeight="1">
      <c r="A3344" s="237">
        <v>2689.0</v>
      </c>
      <c r="B3344" s="425" t="s">
        <v>670</v>
      </c>
      <c r="C3344" s="257" t="s">
        <v>10341</v>
      </c>
      <c r="D3344" s="173" t="s">
        <v>10342</v>
      </c>
      <c r="E3344" s="174" t="s">
        <v>9097</v>
      </c>
      <c r="F3344" s="173" t="s">
        <v>2862</v>
      </c>
      <c r="G3344" s="425" t="s">
        <v>673</v>
      </c>
      <c r="H3344" s="425" t="s">
        <v>2863</v>
      </c>
      <c r="I3344" s="258" t="s">
        <v>9445</v>
      </c>
      <c r="J3344" s="259" t="s">
        <v>1272</v>
      </c>
      <c r="K3344" s="260" t="s">
        <v>1736</v>
      </c>
      <c r="L3344" s="442"/>
      <c r="M3344" s="426"/>
      <c r="N3344" s="173" t="s">
        <v>679</v>
      </c>
      <c r="O3344" s="173" t="s">
        <v>225</v>
      </c>
      <c r="P3344" s="262" t="str">
        <f t="shared" si="1"/>
        <v>IN-BLR-ANANTA-FAN-292_8</v>
      </c>
      <c r="Q3344" s="173" t="s">
        <v>10343</v>
      </c>
      <c r="R3344" s="425" t="str">
        <f>IFS(C3344="","",C3344="n/a","N/A",LEN(C3344),Concatenate("{",char(34),"asset",char(34),":{",char(34),"guid",char(34),":",char(34),Q3344,char(34),",",char(34),"site",char(34),":",char(34),LOWER('2-Building'!$B$4),char(34),",",char(34),"name",char(34),":",char(34),LOWER(C3344),char(34),"}}"))</f>
        <v>{"asset":{"guid":"uuid://b43fe899-062d-4307-9057-eb4ac55c9441","site":"in-blr-ananta","name":"fan-292"}}</v>
      </c>
      <c r="S3344" s="369" t="s">
        <v>2866</v>
      </c>
      <c r="T3344" s="427"/>
      <c r="U3344" s="427"/>
      <c r="V3344" s="428"/>
      <c r="W3344" s="429"/>
      <c r="X3344" s="430"/>
      <c r="Y3344" s="33" t="s">
        <v>8076</v>
      </c>
      <c r="Z3344" s="430"/>
      <c r="AA3344" s="430"/>
      <c r="AB3344" s="258">
        <v>135.0</v>
      </c>
      <c r="AC3344" s="430"/>
      <c r="AD3344" s="426"/>
      <c r="AE3344" s="428"/>
      <c r="AF3344" s="431"/>
      <c r="AG3344" s="432" t="str">
        <f>IFS(LEN(AF3344)=17,LOWER('2-Building'!$B$4 &amp; "-" &amp; C3344), AF3344="N/A", "N/A", LEN(AF3344)=0,"")</f>
        <v/>
      </c>
      <c r="AH3344" s="430"/>
      <c r="AI3344" s="430"/>
      <c r="AJ3344" s="430"/>
      <c r="AK3344" s="430"/>
      <c r="AL3344" s="430"/>
      <c r="AM3344" s="433"/>
      <c r="AN3344" s="430"/>
      <c r="AO3344" s="430"/>
      <c r="AP3344" s="430"/>
      <c r="AQ3344" s="430"/>
      <c r="AR3344" s="430"/>
      <c r="AS3344" s="430"/>
      <c r="AT3344" s="430"/>
      <c r="AU3344" s="426"/>
      <c r="AV3344" s="434"/>
      <c r="AW3344" s="269" t="s">
        <v>1745</v>
      </c>
      <c r="AX3344" s="269" t="s">
        <v>2869</v>
      </c>
      <c r="AY3344" s="270" t="s">
        <v>695</v>
      </c>
      <c r="AZ3344" s="435"/>
      <c r="BA3344" s="173">
        <v>10.0</v>
      </c>
      <c r="BB3344" s="434"/>
      <c r="BC3344" s="434"/>
      <c r="BD3344" s="308" t="s">
        <v>1844</v>
      </c>
      <c r="BE3344" s="436"/>
      <c r="BF3344" s="274" t="str">
        <f>IFERROR(__xludf.DUMMYFUNCTION("LOWER(Regexreplace(to_text(E3344),""[^A-Za-z0-9]"","""")&amp;""_""&amp;Regexreplace(to_text(F3344),""[^A-Za-z0-9]"",""""))"),"aquagen_evcbseries")</f>
        <v>aquagen_evcbseries</v>
      </c>
      <c r="BG3344" s="275" t="str">
        <f>IFERROR(__xludf.DUMMYFUNCTION("upper(Regexreplace(to_text(E3344),""[^A-Za-z0-9]"","""")&amp;""-""&amp;Regexreplace(to_text(F3344),""[^A-Za-z0-9]"",""""))"),"AQUAGEN-EVCBSERIES")</f>
        <v>AQUAGEN-EVCBSERIES</v>
      </c>
    </row>
    <row r="3345" ht="30.0" customHeight="1">
      <c r="A3345" s="237">
        <v>2691.0</v>
      </c>
      <c r="B3345" s="425" t="s">
        <v>670</v>
      </c>
      <c r="C3345" s="257" t="s">
        <v>10344</v>
      </c>
      <c r="D3345" s="173" t="s">
        <v>10345</v>
      </c>
      <c r="E3345" s="174" t="s">
        <v>9097</v>
      </c>
      <c r="F3345" s="173" t="s">
        <v>2862</v>
      </c>
      <c r="G3345" s="425" t="s">
        <v>673</v>
      </c>
      <c r="H3345" s="425" t="s">
        <v>2863</v>
      </c>
      <c r="I3345" s="258" t="s">
        <v>9445</v>
      </c>
      <c r="J3345" s="259" t="s">
        <v>1272</v>
      </c>
      <c r="K3345" s="260" t="s">
        <v>1736</v>
      </c>
      <c r="L3345" s="442"/>
      <c r="M3345" s="426"/>
      <c r="N3345" s="173" t="s">
        <v>679</v>
      </c>
      <c r="O3345" s="173" t="s">
        <v>225</v>
      </c>
      <c r="P3345" s="262" t="str">
        <f t="shared" si="1"/>
        <v>IN-BLR-ANANTA-FAN-293_8</v>
      </c>
      <c r="Q3345" s="173" t="s">
        <v>10346</v>
      </c>
      <c r="R3345" s="425" t="str">
        <f>IFS(C3345="","",C3345="n/a","N/A",LEN(C3345),Concatenate("{",char(34),"asset",char(34),":{",char(34),"guid",char(34),":",char(34),Q3345,char(34),",",char(34),"site",char(34),":",char(34),LOWER('2-Building'!$B$4),char(34),",",char(34),"name",char(34),":",char(34),LOWER(C3345),char(34),"}}"))</f>
        <v>{"asset":{"guid":"uuid://e68794e7-121c-4567-bc86-4538f0f73b7a","site":"in-blr-ananta","name":"fan-293"}}</v>
      </c>
      <c r="S3345" s="369" t="s">
        <v>2866</v>
      </c>
      <c r="T3345" s="427"/>
      <c r="U3345" s="427"/>
      <c r="V3345" s="428"/>
      <c r="W3345" s="429"/>
      <c r="X3345" s="430"/>
      <c r="Y3345" s="33" t="s">
        <v>8076</v>
      </c>
      <c r="Z3345" s="430"/>
      <c r="AA3345" s="430"/>
      <c r="AB3345" s="258">
        <v>136.0</v>
      </c>
      <c r="AC3345" s="430"/>
      <c r="AD3345" s="426"/>
      <c r="AE3345" s="428"/>
      <c r="AF3345" s="431"/>
      <c r="AG3345" s="432" t="str">
        <f>IFS(LEN(AF3345)=17,LOWER('2-Building'!$B$4 &amp; "-" &amp; C3345), AF3345="N/A", "N/A", LEN(AF3345)=0,"")</f>
        <v/>
      </c>
      <c r="AH3345" s="430"/>
      <c r="AI3345" s="430"/>
      <c r="AJ3345" s="430"/>
      <c r="AK3345" s="430"/>
      <c r="AL3345" s="430"/>
      <c r="AM3345" s="433"/>
      <c r="AN3345" s="430"/>
      <c r="AO3345" s="430"/>
      <c r="AP3345" s="430"/>
      <c r="AQ3345" s="430"/>
      <c r="AR3345" s="430"/>
      <c r="AS3345" s="430"/>
      <c r="AT3345" s="430"/>
      <c r="AU3345" s="426"/>
      <c r="AV3345" s="434"/>
      <c r="AW3345" s="269" t="s">
        <v>1745</v>
      </c>
      <c r="AX3345" s="269" t="s">
        <v>2869</v>
      </c>
      <c r="AY3345" s="270" t="s">
        <v>695</v>
      </c>
      <c r="AZ3345" s="435"/>
      <c r="BA3345" s="173">
        <v>10.0</v>
      </c>
      <c r="BB3345" s="434"/>
      <c r="BC3345" s="434"/>
      <c r="BD3345" s="308" t="s">
        <v>1844</v>
      </c>
      <c r="BE3345" s="436"/>
      <c r="BF3345" s="274" t="str">
        <f>IFERROR(__xludf.DUMMYFUNCTION("LOWER(Regexreplace(to_text(E3345),""[^A-Za-z0-9]"","""")&amp;""_""&amp;Regexreplace(to_text(F3345),""[^A-Za-z0-9]"",""""))"),"aquagen_evcbseries")</f>
        <v>aquagen_evcbseries</v>
      </c>
      <c r="BG3345" s="275" t="str">
        <f>IFERROR(__xludf.DUMMYFUNCTION("upper(Regexreplace(to_text(E3345),""[^A-Za-z0-9]"","""")&amp;""-""&amp;Regexreplace(to_text(F3345),""[^A-Za-z0-9]"",""""))"),"AQUAGEN-EVCBSERIES")</f>
        <v>AQUAGEN-EVCBSERIES</v>
      </c>
    </row>
    <row r="3346" ht="30.0" customHeight="1">
      <c r="A3346" s="328">
        <v>2690.0</v>
      </c>
      <c r="B3346" s="425" t="s">
        <v>670</v>
      </c>
      <c r="C3346" s="257" t="s">
        <v>10347</v>
      </c>
      <c r="D3346" s="173" t="s">
        <v>10348</v>
      </c>
      <c r="E3346" s="174" t="s">
        <v>9097</v>
      </c>
      <c r="F3346" s="173" t="s">
        <v>2862</v>
      </c>
      <c r="G3346" s="425" t="s">
        <v>673</v>
      </c>
      <c r="H3346" s="425" t="s">
        <v>2863</v>
      </c>
      <c r="I3346" s="258" t="s">
        <v>9445</v>
      </c>
      <c r="J3346" s="259" t="s">
        <v>1272</v>
      </c>
      <c r="K3346" s="260" t="s">
        <v>1736</v>
      </c>
      <c r="L3346" s="442"/>
      <c r="M3346" s="426"/>
      <c r="N3346" s="173" t="s">
        <v>679</v>
      </c>
      <c r="O3346" s="173" t="s">
        <v>225</v>
      </c>
      <c r="P3346" s="262" t="str">
        <f t="shared" si="1"/>
        <v>IN-BLR-ANANTA-FAN-294_8</v>
      </c>
      <c r="Q3346" s="173" t="s">
        <v>10349</v>
      </c>
      <c r="R3346" s="425" t="str">
        <f>IFS(C3346="","",C3346="n/a","N/A",LEN(C3346),Concatenate("{",char(34),"asset",char(34),":{",char(34),"guid",char(34),":",char(34),Q3346,char(34),",",char(34),"site",char(34),":",char(34),LOWER('2-Building'!$B$4),char(34),",",char(34),"name",char(34),":",char(34),LOWER(C3346),char(34),"}}"))</f>
        <v>{"asset":{"guid":"uuid://fb80bbab-2326-4152-9a27-6ff0831a5669","site":"in-blr-ananta","name":"fan-294"}}</v>
      </c>
      <c r="S3346" s="369" t="s">
        <v>2866</v>
      </c>
      <c r="T3346" s="427"/>
      <c r="U3346" s="427"/>
      <c r="V3346" s="428"/>
      <c r="W3346" s="429"/>
      <c r="X3346" s="430"/>
      <c r="Y3346" s="33" t="s">
        <v>8076</v>
      </c>
      <c r="Z3346" s="430"/>
      <c r="AA3346" s="430"/>
      <c r="AB3346" s="258">
        <v>137.0</v>
      </c>
      <c r="AC3346" s="430"/>
      <c r="AD3346" s="426"/>
      <c r="AE3346" s="428"/>
      <c r="AF3346" s="431"/>
      <c r="AG3346" s="432" t="str">
        <f>IFS(LEN(AF3346)=17,LOWER('2-Building'!$B$4 &amp; "-" &amp; C3346), AF3346="N/A", "N/A", LEN(AF3346)=0,"")</f>
        <v/>
      </c>
      <c r="AH3346" s="430"/>
      <c r="AI3346" s="430"/>
      <c r="AJ3346" s="430"/>
      <c r="AK3346" s="430"/>
      <c r="AL3346" s="430"/>
      <c r="AM3346" s="433"/>
      <c r="AN3346" s="430"/>
      <c r="AO3346" s="430"/>
      <c r="AP3346" s="430"/>
      <c r="AQ3346" s="430"/>
      <c r="AR3346" s="430"/>
      <c r="AS3346" s="430"/>
      <c r="AT3346" s="430"/>
      <c r="AU3346" s="426"/>
      <c r="AV3346" s="434"/>
      <c r="AW3346" s="269" t="s">
        <v>1745</v>
      </c>
      <c r="AX3346" s="269" t="s">
        <v>2869</v>
      </c>
      <c r="AY3346" s="270" t="s">
        <v>695</v>
      </c>
      <c r="AZ3346" s="435"/>
      <c r="BA3346" s="173">
        <v>10.0</v>
      </c>
      <c r="BB3346" s="434"/>
      <c r="BC3346" s="434"/>
      <c r="BD3346" s="308" t="s">
        <v>1844</v>
      </c>
      <c r="BE3346" s="436"/>
      <c r="BF3346" s="274" t="str">
        <f>IFERROR(__xludf.DUMMYFUNCTION("LOWER(Regexreplace(to_text(E3346),""[^A-Za-z0-9]"","""")&amp;""_""&amp;Regexreplace(to_text(F3346),""[^A-Za-z0-9]"",""""))"),"aquagen_evcbseries")</f>
        <v>aquagen_evcbseries</v>
      </c>
      <c r="BG3346" s="275" t="str">
        <f>IFERROR(__xludf.DUMMYFUNCTION("upper(Regexreplace(to_text(E3346),""[^A-Za-z0-9]"","""")&amp;""-""&amp;Regexreplace(to_text(F3346),""[^A-Za-z0-9]"",""""))"),"AQUAGEN-EVCBSERIES")</f>
        <v>AQUAGEN-EVCBSERIES</v>
      </c>
    </row>
    <row r="3347" ht="30.0" customHeight="1">
      <c r="A3347" s="425">
        <v>2690.0</v>
      </c>
      <c r="B3347" s="425" t="s">
        <v>670</v>
      </c>
      <c r="C3347" s="257" t="s">
        <v>10350</v>
      </c>
      <c r="D3347" s="173" t="s">
        <v>10351</v>
      </c>
      <c r="E3347" s="174" t="s">
        <v>9097</v>
      </c>
      <c r="F3347" s="173" t="s">
        <v>2862</v>
      </c>
      <c r="G3347" s="425" t="s">
        <v>673</v>
      </c>
      <c r="H3347" s="425" t="s">
        <v>2863</v>
      </c>
      <c r="I3347" s="258" t="s">
        <v>9445</v>
      </c>
      <c r="J3347" s="259" t="s">
        <v>1333</v>
      </c>
      <c r="K3347" s="260">
        <v>919.0</v>
      </c>
      <c r="L3347" s="442"/>
      <c r="M3347" s="426"/>
      <c r="N3347" s="173" t="s">
        <v>679</v>
      </c>
      <c r="O3347" s="173" t="s">
        <v>225</v>
      </c>
      <c r="P3347" s="262" t="str">
        <f t="shared" si="1"/>
        <v>IN-BLR-ANANTA-FAN-295_9</v>
      </c>
      <c r="Q3347" s="173" t="s">
        <v>10352</v>
      </c>
      <c r="R3347" s="433" t="str">
        <f>IFS(C3347="","",C3347="n/a","N/A",LEN(C3347),Concatenate("{",char(34),"asset",char(34),":{",char(34),"guid",char(34),":",char(34),Q3347,char(34),",",char(34),"site",char(34),":",char(34),LOWER('2-Building'!$B$4),char(34),",",char(34),"name",char(34),":",char(34),LOWER(C3347),char(34),"}}"))</f>
        <v>{"asset":{"guid":"uuid://ee760ba9-b44b-4c4e-8032-5b7650e576ed","site":"in-blr-ananta","name":"fan-295"}}</v>
      </c>
      <c r="S3347" s="369" t="s">
        <v>2866</v>
      </c>
      <c r="T3347" s="427"/>
      <c r="U3347" s="427"/>
      <c r="V3347" s="428"/>
      <c r="W3347" s="429"/>
      <c r="X3347" s="430"/>
      <c r="Y3347" s="33" t="s">
        <v>8076</v>
      </c>
      <c r="Z3347" s="430"/>
      <c r="AA3347" s="430"/>
      <c r="AB3347" s="258">
        <v>150.0</v>
      </c>
      <c r="AC3347" s="430"/>
      <c r="AD3347" s="426"/>
      <c r="AE3347" s="428"/>
      <c r="AF3347" s="431"/>
      <c r="AG3347" s="432" t="str">
        <f>IFS(LEN(AF3347)=17,LOWER('2-Building'!$B$4 &amp; "-" &amp; C3347), AF3347="N/A", "N/A", LEN(AF3347)=0,"")</f>
        <v/>
      </c>
      <c r="AH3347" s="430"/>
      <c r="AI3347" s="430"/>
      <c r="AJ3347" s="430"/>
      <c r="AK3347" s="430"/>
      <c r="AL3347" s="430"/>
      <c r="AM3347" s="433"/>
      <c r="AN3347" s="430"/>
      <c r="AO3347" s="430"/>
      <c r="AP3347" s="430"/>
      <c r="AQ3347" s="430"/>
      <c r="AR3347" s="430"/>
      <c r="AS3347" s="430"/>
      <c r="AT3347" s="430"/>
      <c r="AU3347" s="426"/>
      <c r="AV3347" s="434"/>
      <c r="AW3347" s="269" t="s">
        <v>1745</v>
      </c>
      <c r="AX3347" s="269" t="s">
        <v>2869</v>
      </c>
      <c r="AY3347" s="270" t="s">
        <v>695</v>
      </c>
      <c r="AZ3347" s="435"/>
      <c r="BA3347" s="173">
        <v>10.0</v>
      </c>
      <c r="BB3347" s="434"/>
      <c r="BC3347" s="434"/>
      <c r="BD3347" s="308" t="s">
        <v>1844</v>
      </c>
      <c r="BE3347" s="436"/>
      <c r="BF3347" s="274" t="str">
        <f>IFERROR(__xludf.DUMMYFUNCTION("LOWER(Regexreplace(to_text(E3347),""[^A-Za-z0-9]"","""")&amp;""_""&amp;Regexreplace(to_text(F3347),""[^A-Za-z0-9]"",""""))"),"aquagen_evcbseries")</f>
        <v>aquagen_evcbseries</v>
      </c>
      <c r="BG3347" s="275" t="str">
        <f>IFERROR(__xludf.DUMMYFUNCTION("upper(Regexreplace(to_text(E3347),""[^A-Za-z0-9]"","""")&amp;""-""&amp;Regexreplace(to_text(F3347),""[^A-Za-z0-9]"",""""))"),"AQUAGEN-EVCBSERIES")</f>
        <v>AQUAGEN-EVCBSERIES</v>
      </c>
    </row>
    <row r="3348" ht="30.0" customHeight="1">
      <c r="A3348" s="328">
        <v>2690.0</v>
      </c>
      <c r="B3348" s="425" t="s">
        <v>670</v>
      </c>
      <c r="C3348" s="257" t="s">
        <v>10353</v>
      </c>
      <c r="D3348" s="173" t="s">
        <v>10354</v>
      </c>
      <c r="E3348" s="174" t="s">
        <v>9097</v>
      </c>
      <c r="F3348" s="173" t="s">
        <v>2862</v>
      </c>
      <c r="G3348" s="425" t="s">
        <v>673</v>
      </c>
      <c r="H3348" s="425" t="s">
        <v>2863</v>
      </c>
      <c r="I3348" s="258" t="s">
        <v>9445</v>
      </c>
      <c r="J3348" s="259" t="s">
        <v>1333</v>
      </c>
      <c r="K3348" s="260">
        <v>919.0</v>
      </c>
      <c r="L3348" s="442"/>
      <c r="M3348" s="426"/>
      <c r="N3348" s="173" t="s">
        <v>679</v>
      </c>
      <c r="O3348" s="173" t="s">
        <v>225</v>
      </c>
      <c r="P3348" s="262" t="str">
        <f t="shared" si="1"/>
        <v>IN-BLR-ANANTA-FAN-296_9</v>
      </c>
      <c r="Q3348" s="173" t="s">
        <v>10355</v>
      </c>
      <c r="R3348" s="425" t="str">
        <f>IFS(C3348="","",C3348="n/a","N/A",LEN(C3348),Concatenate("{",char(34),"asset",char(34),":{",char(34),"guid",char(34),":",char(34),Q3348,char(34),",",char(34),"site",char(34),":",char(34),LOWER('2-Building'!$B$4),char(34),",",char(34),"name",char(34),":",char(34),LOWER(C3348),char(34),"}}"))</f>
        <v>{"asset":{"guid":"uuid://c06fef8b-0b4b-4005-80aa-de1662ad703a","site":"in-blr-ananta","name":"fan-296"}}</v>
      </c>
      <c r="S3348" s="369" t="s">
        <v>2866</v>
      </c>
      <c r="T3348" s="427"/>
      <c r="U3348" s="427"/>
      <c r="V3348" s="428"/>
      <c r="W3348" s="429"/>
      <c r="X3348" s="430"/>
      <c r="Y3348" s="33" t="s">
        <v>8076</v>
      </c>
      <c r="Z3348" s="430"/>
      <c r="AA3348" s="430"/>
      <c r="AB3348" s="258">
        <v>151.0</v>
      </c>
      <c r="AC3348" s="430"/>
      <c r="AD3348" s="426"/>
      <c r="AE3348" s="428"/>
      <c r="AF3348" s="431"/>
      <c r="AG3348" s="432" t="str">
        <f>IFS(LEN(AF3348)=17,LOWER('2-Building'!$B$4 &amp; "-" &amp; C3348), AF3348="N/A", "N/A", LEN(AF3348)=0,"")</f>
        <v/>
      </c>
      <c r="AH3348" s="430"/>
      <c r="AI3348" s="430"/>
      <c r="AJ3348" s="430"/>
      <c r="AK3348" s="430"/>
      <c r="AL3348" s="430"/>
      <c r="AM3348" s="433"/>
      <c r="AN3348" s="430"/>
      <c r="AO3348" s="430"/>
      <c r="AP3348" s="430"/>
      <c r="AQ3348" s="430"/>
      <c r="AR3348" s="430"/>
      <c r="AS3348" s="430"/>
      <c r="AT3348" s="430"/>
      <c r="AU3348" s="426"/>
      <c r="AV3348" s="434"/>
      <c r="AW3348" s="269" t="s">
        <v>1745</v>
      </c>
      <c r="AX3348" s="269" t="s">
        <v>2869</v>
      </c>
      <c r="AY3348" s="270" t="s">
        <v>695</v>
      </c>
      <c r="AZ3348" s="435"/>
      <c r="BA3348" s="173">
        <v>10.0</v>
      </c>
      <c r="BB3348" s="434"/>
      <c r="BC3348" s="434"/>
      <c r="BD3348" s="308" t="s">
        <v>1844</v>
      </c>
      <c r="BE3348" s="436"/>
      <c r="BF3348" s="274" t="str">
        <f>IFERROR(__xludf.DUMMYFUNCTION("LOWER(Regexreplace(to_text(E3348),""[^A-Za-z0-9]"","""")&amp;""_""&amp;Regexreplace(to_text(F3348),""[^A-Za-z0-9]"",""""))"),"aquagen_evcbseries")</f>
        <v>aquagen_evcbseries</v>
      </c>
      <c r="BG3348" s="275" t="str">
        <f>IFERROR(__xludf.DUMMYFUNCTION("upper(Regexreplace(to_text(E3348),""[^A-Za-z0-9]"","""")&amp;""-""&amp;Regexreplace(to_text(F3348),""[^A-Za-z0-9]"",""""))"),"AQUAGEN-EVCBSERIES")</f>
        <v>AQUAGEN-EVCBSERIES</v>
      </c>
    </row>
    <row r="3349" ht="30.0" customHeight="1">
      <c r="A3349" s="425">
        <v>2690.0</v>
      </c>
      <c r="B3349" s="425" t="s">
        <v>670</v>
      </c>
      <c r="C3349" s="257" t="s">
        <v>10356</v>
      </c>
      <c r="D3349" s="173" t="s">
        <v>10357</v>
      </c>
      <c r="E3349" s="174" t="s">
        <v>9097</v>
      </c>
      <c r="F3349" s="173" t="s">
        <v>2862</v>
      </c>
      <c r="G3349" s="425" t="s">
        <v>673</v>
      </c>
      <c r="H3349" s="425" t="s">
        <v>2863</v>
      </c>
      <c r="I3349" s="258" t="s">
        <v>9445</v>
      </c>
      <c r="J3349" s="259" t="s">
        <v>1333</v>
      </c>
      <c r="K3349" s="260">
        <v>919.0</v>
      </c>
      <c r="L3349" s="442"/>
      <c r="M3349" s="426"/>
      <c r="N3349" s="173" t="s">
        <v>679</v>
      </c>
      <c r="O3349" s="173" t="s">
        <v>225</v>
      </c>
      <c r="P3349" s="262" t="str">
        <f t="shared" si="1"/>
        <v>IN-BLR-ANANTA-FAN-297_9</v>
      </c>
      <c r="Q3349" s="173" t="s">
        <v>10358</v>
      </c>
      <c r="R3349" s="433" t="str">
        <f>IFS(C3349="","",C3349="n/a","N/A",LEN(C3349),Concatenate("{",char(34),"asset",char(34),":{",char(34),"guid",char(34),":",char(34),Q3349,char(34),",",char(34),"site",char(34),":",char(34),LOWER('2-Building'!$B$4),char(34),",",char(34),"name",char(34),":",char(34),LOWER(C3349),char(34),"}}"))</f>
        <v>{"asset":{"guid":"uuid://3b69dd96-b9f1-4bfc-a9fb-84299b0ea3fc","site":"in-blr-ananta","name":"fan-297"}}</v>
      </c>
      <c r="S3349" s="369" t="s">
        <v>2866</v>
      </c>
      <c r="T3349" s="427"/>
      <c r="U3349" s="427"/>
      <c r="V3349" s="428"/>
      <c r="W3349" s="429"/>
      <c r="X3349" s="430"/>
      <c r="Y3349" s="33" t="s">
        <v>8076</v>
      </c>
      <c r="Z3349" s="430"/>
      <c r="AA3349" s="430"/>
      <c r="AB3349" s="258">
        <v>152.0</v>
      </c>
      <c r="AC3349" s="430"/>
      <c r="AD3349" s="426"/>
      <c r="AE3349" s="428"/>
      <c r="AF3349" s="431"/>
      <c r="AG3349" s="432" t="str">
        <f>IFS(LEN(AF3349)=17,LOWER('2-Building'!$B$4 &amp; "-" &amp; C3349), AF3349="N/A", "N/A", LEN(AF3349)=0,"")</f>
        <v/>
      </c>
      <c r="AH3349" s="430"/>
      <c r="AI3349" s="430"/>
      <c r="AJ3349" s="430"/>
      <c r="AK3349" s="430"/>
      <c r="AL3349" s="430"/>
      <c r="AM3349" s="433"/>
      <c r="AN3349" s="430"/>
      <c r="AO3349" s="430"/>
      <c r="AP3349" s="430"/>
      <c r="AQ3349" s="430"/>
      <c r="AR3349" s="430"/>
      <c r="AS3349" s="430"/>
      <c r="AT3349" s="430"/>
      <c r="AU3349" s="426"/>
      <c r="AV3349" s="434"/>
      <c r="AW3349" s="269" t="s">
        <v>1745</v>
      </c>
      <c r="AX3349" s="269" t="s">
        <v>2869</v>
      </c>
      <c r="AY3349" s="270" t="s">
        <v>695</v>
      </c>
      <c r="AZ3349" s="435"/>
      <c r="BA3349" s="173">
        <v>10.0</v>
      </c>
      <c r="BB3349" s="434"/>
      <c r="BC3349" s="434"/>
      <c r="BD3349" s="308" t="s">
        <v>1844</v>
      </c>
      <c r="BE3349" s="436"/>
      <c r="BF3349" s="274" t="str">
        <f>IFERROR(__xludf.DUMMYFUNCTION("LOWER(Regexreplace(to_text(E3349),""[^A-Za-z0-9]"","""")&amp;""_""&amp;Regexreplace(to_text(F3349),""[^A-Za-z0-9]"",""""))"),"aquagen_evcbseries")</f>
        <v>aquagen_evcbseries</v>
      </c>
      <c r="BG3349" s="275" t="str">
        <f>IFERROR(__xludf.DUMMYFUNCTION("upper(Regexreplace(to_text(E3349),""[^A-Za-z0-9]"","""")&amp;""-""&amp;Regexreplace(to_text(F3349),""[^A-Za-z0-9]"",""""))"),"AQUAGEN-EVCBSERIES")</f>
        <v>AQUAGEN-EVCBSERIES</v>
      </c>
    </row>
    <row r="3350" ht="30.0" customHeight="1">
      <c r="A3350" s="425">
        <v>2690.0</v>
      </c>
      <c r="B3350" s="425" t="s">
        <v>670</v>
      </c>
      <c r="C3350" s="257" t="s">
        <v>10359</v>
      </c>
      <c r="D3350" s="173" t="s">
        <v>10360</v>
      </c>
      <c r="E3350" s="174" t="s">
        <v>9097</v>
      </c>
      <c r="F3350" s="173" t="s">
        <v>2862</v>
      </c>
      <c r="G3350" s="425" t="s">
        <v>673</v>
      </c>
      <c r="H3350" s="425" t="s">
        <v>2863</v>
      </c>
      <c r="I3350" s="258" t="s">
        <v>9445</v>
      </c>
      <c r="J3350" s="259" t="s">
        <v>1333</v>
      </c>
      <c r="K3350" s="260">
        <v>919.0</v>
      </c>
      <c r="L3350" s="442"/>
      <c r="M3350" s="426"/>
      <c r="N3350" s="173" t="s">
        <v>679</v>
      </c>
      <c r="O3350" s="173" t="s">
        <v>225</v>
      </c>
      <c r="P3350" s="262" t="str">
        <f t="shared" si="1"/>
        <v>IN-BLR-ANANTA-FAN-298_9</v>
      </c>
      <c r="Q3350" s="173" t="s">
        <v>10361</v>
      </c>
      <c r="R3350" s="425" t="str">
        <f>IFS(C3350="","",C3350="n/a","N/A",LEN(C3350),Concatenate("{",char(34),"asset",char(34),":{",char(34),"guid",char(34),":",char(34),Q3350,char(34),",",char(34),"site",char(34),":",char(34),LOWER('2-Building'!$B$4),char(34),",",char(34),"name",char(34),":",char(34),LOWER(C3350),char(34),"}}"))</f>
        <v>{"asset":{"guid":"uuid://814cb19c-ce7f-44bd-b469-69977039ed98","site":"in-blr-ananta","name":"fan-298"}}</v>
      </c>
      <c r="S3350" s="369" t="s">
        <v>2866</v>
      </c>
      <c r="T3350" s="427"/>
      <c r="U3350" s="427"/>
      <c r="V3350" s="428"/>
      <c r="W3350" s="429"/>
      <c r="X3350" s="430"/>
      <c r="Y3350" s="33" t="s">
        <v>8076</v>
      </c>
      <c r="Z3350" s="430"/>
      <c r="AA3350" s="430"/>
      <c r="AB3350" s="258">
        <v>153.0</v>
      </c>
      <c r="AC3350" s="430"/>
      <c r="AD3350" s="426"/>
      <c r="AE3350" s="428"/>
      <c r="AF3350" s="431"/>
      <c r="AG3350" s="432" t="str">
        <f>IFS(LEN(AF3350)=17,LOWER('2-Building'!$B$4 &amp; "-" &amp; C3350), AF3350="N/A", "N/A", LEN(AF3350)=0,"")</f>
        <v/>
      </c>
      <c r="AH3350" s="430"/>
      <c r="AI3350" s="430"/>
      <c r="AJ3350" s="430"/>
      <c r="AK3350" s="430"/>
      <c r="AL3350" s="430"/>
      <c r="AM3350" s="433"/>
      <c r="AN3350" s="430"/>
      <c r="AO3350" s="430"/>
      <c r="AP3350" s="430"/>
      <c r="AQ3350" s="430"/>
      <c r="AR3350" s="430"/>
      <c r="AS3350" s="430"/>
      <c r="AT3350" s="430"/>
      <c r="AU3350" s="426"/>
      <c r="AV3350" s="434"/>
      <c r="AW3350" s="269" t="s">
        <v>1745</v>
      </c>
      <c r="AX3350" s="269" t="s">
        <v>2869</v>
      </c>
      <c r="AY3350" s="270" t="s">
        <v>695</v>
      </c>
      <c r="AZ3350" s="435"/>
      <c r="BA3350" s="173">
        <v>10.0</v>
      </c>
      <c r="BB3350" s="434"/>
      <c r="BC3350" s="434"/>
      <c r="BD3350" s="308" t="s">
        <v>1844</v>
      </c>
      <c r="BE3350" s="436"/>
      <c r="BF3350" s="274" t="str">
        <f>IFERROR(__xludf.DUMMYFUNCTION("LOWER(Regexreplace(to_text(E3350),""[^A-Za-z0-9]"","""")&amp;""_""&amp;Regexreplace(to_text(F3350),""[^A-Za-z0-9]"",""""))"),"aquagen_evcbseries")</f>
        <v>aquagen_evcbseries</v>
      </c>
      <c r="BG3350" s="275" t="str">
        <f>IFERROR(__xludf.DUMMYFUNCTION("upper(Regexreplace(to_text(E3350),""[^A-Za-z0-9]"","""")&amp;""-""&amp;Regexreplace(to_text(F3350),""[^A-Za-z0-9]"",""""))"),"AQUAGEN-EVCBSERIES")</f>
        <v>AQUAGEN-EVCBSERIES</v>
      </c>
    </row>
    <row r="3351" ht="30.0" customHeight="1">
      <c r="A3351" s="425">
        <v>2690.0</v>
      </c>
      <c r="B3351" s="425" t="s">
        <v>670</v>
      </c>
      <c r="C3351" s="257" t="s">
        <v>10362</v>
      </c>
      <c r="D3351" s="173" t="s">
        <v>10363</v>
      </c>
      <c r="E3351" s="174" t="s">
        <v>9097</v>
      </c>
      <c r="F3351" s="173" t="s">
        <v>2862</v>
      </c>
      <c r="G3351" s="425" t="s">
        <v>673</v>
      </c>
      <c r="H3351" s="425" t="s">
        <v>2863</v>
      </c>
      <c r="I3351" s="258" t="s">
        <v>9445</v>
      </c>
      <c r="J3351" s="259" t="s">
        <v>1333</v>
      </c>
      <c r="K3351" s="260">
        <v>919.0</v>
      </c>
      <c r="L3351" s="442"/>
      <c r="M3351" s="426"/>
      <c r="N3351" s="173" t="s">
        <v>679</v>
      </c>
      <c r="O3351" s="173" t="s">
        <v>225</v>
      </c>
      <c r="P3351" s="262" t="str">
        <f t="shared" si="1"/>
        <v>IN-BLR-ANANTA-FAN-299_9</v>
      </c>
      <c r="Q3351" s="173" t="s">
        <v>10364</v>
      </c>
      <c r="R3351" s="433" t="str">
        <f>IFS(C3351="","",C3351="n/a","N/A",LEN(C3351),Concatenate("{",char(34),"asset",char(34),":{",char(34),"guid",char(34),":",char(34),Q3351,char(34),",",char(34),"site",char(34),":",char(34),LOWER('2-Building'!$B$4),char(34),",",char(34),"name",char(34),":",char(34),LOWER(C3351),char(34),"}}"))</f>
        <v>{"asset":{"guid":"uuid://fa6af5a0-a21b-46ac-900a-80aa3d865179","site":"in-blr-ananta","name":"fan-299"}}</v>
      </c>
      <c r="S3351" s="369" t="s">
        <v>2866</v>
      </c>
      <c r="T3351" s="427"/>
      <c r="U3351" s="427"/>
      <c r="V3351" s="428"/>
      <c r="W3351" s="429"/>
      <c r="X3351" s="430"/>
      <c r="Y3351" s="33" t="s">
        <v>8076</v>
      </c>
      <c r="Z3351" s="430"/>
      <c r="AA3351" s="430"/>
      <c r="AB3351" s="258">
        <v>154.0</v>
      </c>
      <c r="AC3351" s="430"/>
      <c r="AD3351" s="426"/>
      <c r="AE3351" s="428"/>
      <c r="AF3351" s="431"/>
      <c r="AG3351" s="432" t="str">
        <f>IFS(LEN(AF3351)=17,LOWER('2-Building'!$B$4 &amp; "-" &amp; C3351), AF3351="N/A", "N/A", LEN(AF3351)=0,"")</f>
        <v/>
      </c>
      <c r="AH3351" s="430"/>
      <c r="AI3351" s="430"/>
      <c r="AJ3351" s="430"/>
      <c r="AK3351" s="430"/>
      <c r="AL3351" s="430"/>
      <c r="AM3351" s="433"/>
      <c r="AN3351" s="430"/>
      <c r="AO3351" s="430"/>
      <c r="AP3351" s="430"/>
      <c r="AQ3351" s="430"/>
      <c r="AR3351" s="430"/>
      <c r="AS3351" s="430"/>
      <c r="AT3351" s="430"/>
      <c r="AU3351" s="426"/>
      <c r="AV3351" s="434"/>
      <c r="AW3351" s="269" t="s">
        <v>1745</v>
      </c>
      <c r="AX3351" s="269" t="s">
        <v>2869</v>
      </c>
      <c r="AY3351" s="270" t="s">
        <v>695</v>
      </c>
      <c r="AZ3351" s="435"/>
      <c r="BA3351" s="173">
        <v>10.0</v>
      </c>
      <c r="BB3351" s="434"/>
      <c r="BC3351" s="434"/>
      <c r="BD3351" s="308" t="s">
        <v>1844</v>
      </c>
      <c r="BE3351" s="436"/>
      <c r="BF3351" s="274" t="str">
        <f>IFERROR(__xludf.DUMMYFUNCTION("LOWER(Regexreplace(to_text(E3351),""[^A-Za-z0-9]"","""")&amp;""_""&amp;Regexreplace(to_text(F3351),""[^A-Za-z0-9]"",""""))"),"aquagen_evcbseries")</f>
        <v>aquagen_evcbseries</v>
      </c>
      <c r="BG3351" s="275" t="str">
        <f>IFERROR(__xludf.DUMMYFUNCTION("upper(Regexreplace(to_text(E3351),""[^A-Za-z0-9]"","""")&amp;""-""&amp;Regexreplace(to_text(F3351),""[^A-Za-z0-9]"",""""))"),"AQUAGEN-EVCBSERIES")</f>
        <v>AQUAGEN-EVCBSERIES</v>
      </c>
    </row>
    <row r="3352" ht="30.0" customHeight="1">
      <c r="A3352" s="425">
        <v>2690.0</v>
      </c>
      <c r="B3352" s="425" t="s">
        <v>670</v>
      </c>
      <c r="C3352" s="257" t="s">
        <v>10365</v>
      </c>
      <c r="D3352" s="173" t="s">
        <v>10366</v>
      </c>
      <c r="E3352" s="174" t="s">
        <v>9097</v>
      </c>
      <c r="F3352" s="173" t="s">
        <v>2862</v>
      </c>
      <c r="G3352" s="425" t="s">
        <v>673</v>
      </c>
      <c r="H3352" s="425" t="s">
        <v>2863</v>
      </c>
      <c r="I3352" s="258" t="s">
        <v>9445</v>
      </c>
      <c r="J3352" s="259" t="s">
        <v>1333</v>
      </c>
      <c r="K3352" s="260">
        <v>919.0</v>
      </c>
      <c r="L3352" s="442"/>
      <c r="M3352" s="426"/>
      <c r="N3352" s="173" t="s">
        <v>679</v>
      </c>
      <c r="O3352" s="173" t="s">
        <v>225</v>
      </c>
      <c r="P3352" s="262" t="str">
        <f t="shared" si="1"/>
        <v>IN-BLR-ANANTA-FAN-300_9</v>
      </c>
      <c r="Q3352" s="173" t="s">
        <v>10367</v>
      </c>
      <c r="R3352" s="425" t="str">
        <f>IFS(C3352="","",C3352="n/a","N/A",LEN(C3352),Concatenate("{",char(34),"asset",char(34),":{",char(34),"guid",char(34),":",char(34),Q3352,char(34),",",char(34),"site",char(34),":",char(34),LOWER('2-Building'!$B$4),char(34),",",char(34),"name",char(34),":",char(34),LOWER(C3352),char(34),"}}"))</f>
        <v>{"asset":{"guid":"uuid://640e3259-1998-4652-912b-7ea2557440e6","site":"in-blr-ananta","name":"fan-300"}}</v>
      </c>
      <c r="S3352" s="369" t="s">
        <v>2866</v>
      </c>
      <c r="T3352" s="427"/>
      <c r="U3352" s="427"/>
      <c r="V3352" s="428"/>
      <c r="W3352" s="429"/>
      <c r="X3352" s="430"/>
      <c r="Y3352" s="33" t="s">
        <v>8076</v>
      </c>
      <c r="Z3352" s="430"/>
      <c r="AA3352" s="430"/>
      <c r="AB3352" s="258">
        <v>155.0</v>
      </c>
      <c r="AC3352" s="430"/>
      <c r="AD3352" s="426"/>
      <c r="AE3352" s="428"/>
      <c r="AF3352" s="431"/>
      <c r="AG3352" s="432" t="str">
        <f>IFS(LEN(AF3352)=17,LOWER('2-Building'!$B$4 &amp; "-" &amp; C3352), AF3352="N/A", "N/A", LEN(AF3352)=0,"")</f>
        <v/>
      </c>
      <c r="AH3352" s="430"/>
      <c r="AI3352" s="430"/>
      <c r="AJ3352" s="430"/>
      <c r="AK3352" s="430"/>
      <c r="AL3352" s="430"/>
      <c r="AM3352" s="433"/>
      <c r="AN3352" s="430"/>
      <c r="AO3352" s="430"/>
      <c r="AP3352" s="430"/>
      <c r="AQ3352" s="430"/>
      <c r="AR3352" s="430"/>
      <c r="AS3352" s="430"/>
      <c r="AT3352" s="430"/>
      <c r="AU3352" s="426"/>
      <c r="AV3352" s="434"/>
      <c r="AW3352" s="269" t="s">
        <v>1745</v>
      </c>
      <c r="AX3352" s="269" t="s">
        <v>2869</v>
      </c>
      <c r="AY3352" s="270" t="s">
        <v>695</v>
      </c>
      <c r="AZ3352" s="435"/>
      <c r="BA3352" s="173">
        <v>10.0</v>
      </c>
      <c r="BB3352" s="434"/>
      <c r="BC3352" s="434"/>
      <c r="BD3352" s="308" t="s">
        <v>1844</v>
      </c>
      <c r="BE3352" s="436"/>
      <c r="BF3352" s="274" t="str">
        <f>IFERROR(__xludf.DUMMYFUNCTION("LOWER(Regexreplace(to_text(E3352),""[^A-Za-z0-9]"","""")&amp;""_""&amp;Regexreplace(to_text(F3352),""[^A-Za-z0-9]"",""""))"),"aquagen_evcbseries")</f>
        <v>aquagen_evcbseries</v>
      </c>
      <c r="BG3352" s="275" t="str">
        <f>IFERROR(__xludf.DUMMYFUNCTION("upper(Regexreplace(to_text(E3352),""[^A-Za-z0-9]"","""")&amp;""-""&amp;Regexreplace(to_text(F3352),""[^A-Za-z0-9]"",""""))"),"AQUAGEN-EVCBSERIES")</f>
        <v>AQUAGEN-EVCBSERIES</v>
      </c>
    </row>
    <row r="3353" ht="30.0" customHeight="1">
      <c r="A3353" s="237">
        <v>2689.0</v>
      </c>
      <c r="B3353" s="425" t="s">
        <v>670</v>
      </c>
      <c r="C3353" s="257" t="s">
        <v>10368</v>
      </c>
      <c r="D3353" s="173" t="s">
        <v>10369</v>
      </c>
      <c r="E3353" s="174" t="s">
        <v>9097</v>
      </c>
      <c r="F3353" s="173" t="s">
        <v>2862</v>
      </c>
      <c r="G3353" s="425" t="s">
        <v>673</v>
      </c>
      <c r="H3353" s="425" t="s">
        <v>2863</v>
      </c>
      <c r="I3353" s="258" t="s">
        <v>9445</v>
      </c>
      <c r="J3353" s="259" t="s">
        <v>1393</v>
      </c>
      <c r="K3353" s="260" t="s">
        <v>9341</v>
      </c>
      <c r="L3353" s="442"/>
      <c r="M3353" s="426"/>
      <c r="N3353" s="173" t="s">
        <v>679</v>
      </c>
      <c r="O3353" s="173" t="s">
        <v>225</v>
      </c>
      <c r="P3353" s="262" t="str">
        <f t="shared" si="1"/>
        <v>IN-BLR-ANANTA-FAN-301_10</v>
      </c>
      <c r="Q3353" s="173" t="s">
        <v>10370</v>
      </c>
      <c r="R3353" s="425" t="str">
        <f>IFS(C3353="","",C3353="n/a","N/A",LEN(C3353),Concatenate("{",char(34),"asset",char(34),":{",char(34),"guid",char(34),":",char(34),Q3353,char(34),",",char(34),"site",char(34),":",char(34),LOWER('2-Building'!$B$4),char(34),",",char(34),"name",char(34),":",char(34),LOWER(C3353),char(34),"}}"))</f>
        <v>{"asset":{"guid":"uuid://69a776ed-232a-46dc-ae9f-13c2c15954d9","site":"in-blr-ananta","name":"fan-301"}}</v>
      </c>
      <c r="S3353" s="369" t="s">
        <v>2866</v>
      </c>
      <c r="T3353" s="427"/>
      <c r="U3353" s="427"/>
      <c r="V3353" s="428"/>
      <c r="W3353" s="429"/>
      <c r="X3353" s="430"/>
      <c r="Y3353" s="33" t="s">
        <v>8076</v>
      </c>
      <c r="Z3353" s="430"/>
      <c r="AA3353" s="430"/>
      <c r="AB3353" s="258">
        <v>168.0</v>
      </c>
      <c r="AC3353" s="430"/>
      <c r="AD3353" s="426"/>
      <c r="AE3353" s="428"/>
      <c r="AF3353" s="431"/>
      <c r="AG3353" s="432" t="str">
        <f>IFS(LEN(AF3353)=17,LOWER('2-Building'!$B$4 &amp; "-" &amp; C3353), AF3353="N/A", "N/A", LEN(AF3353)=0,"")</f>
        <v/>
      </c>
      <c r="AH3353" s="430"/>
      <c r="AI3353" s="430"/>
      <c r="AJ3353" s="430"/>
      <c r="AK3353" s="430"/>
      <c r="AL3353" s="430"/>
      <c r="AM3353" s="433"/>
      <c r="AN3353" s="430"/>
      <c r="AO3353" s="430"/>
      <c r="AP3353" s="430"/>
      <c r="AQ3353" s="430"/>
      <c r="AR3353" s="430"/>
      <c r="AS3353" s="430"/>
      <c r="AT3353" s="430"/>
      <c r="AU3353" s="426"/>
      <c r="AV3353" s="434"/>
      <c r="AW3353" s="269" t="s">
        <v>1745</v>
      </c>
      <c r="AX3353" s="269" t="s">
        <v>2869</v>
      </c>
      <c r="AY3353" s="270" t="s">
        <v>695</v>
      </c>
      <c r="AZ3353" s="435"/>
      <c r="BA3353" s="173">
        <v>10.0</v>
      </c>
      <c r="BB3353" s="434"/>
      <c r="BC3353" s="434"/>
      <c r="BD3353" s="308" t="s">
        <v>1844</v>
      </c>
      <c r="BE3353" s="436"/>
      <c r="BF3353" s="274" t="str">
        <f>IFERROR(__xludf.DUMMYFUNCTION("LOWER(Regexreplace(to_text(E3353),""[^A-Za-z0-9]"","""")&amp;""_""&amp;Regexreplace(to_text(F3353),""[^A-Za-z0-9]"",""""))"),"aquagen_evcbseries")</f>
        <v>aquagen_evcbseries</v>
      </c>
      <c r="BG3353" s="275" t="str">
        <f>IFERROR(__xludf.DUMMYFUNCTION("upper(Regexreplace(to_text(E3353),""[^A-Za-z0-9]"","""")&amp;""-""&amp;Regexreplace(to_text(F3353),""[^A-Za-z0-9]"",""""))"),"AQUAGEN-EVCBSERIES")</f>
        <v>AQUAGEN-EVCBSERIES</v>
      </c>
    </row>
    <row r="3354" ht="30.0" customHeight="1">
      <c r="A3354" s="237">
        <v>2691.0</v>
      </c>
      <c r="B3354" s="425" t="s">
        <v>670</v>
      </c>
      <c r="C3354" s="257" t="s">
        <v>10371</v>
      </c>
      <c r="D3354" s="173" t="s">
        <v>10372</v>
      </c>
      <c r="E3354" s="174" t="s">
        <v>9097</v>
      </c>
      <c r="F3354" s="173" t="s">
        <v>2862</v>
      </c>
      <c r="G3354" s="425" t="s">
        <v>673</v>
      </c>
      <c r="H3354" s="425" t="s">
        <v>2863</v>
      </c>
      <c r="I3354" s="258" t="s">
        <v>9445</v>
      </c>
      <c r="J3354" s="259" t="s">
        <v>1393</v>
      </c>
      <c r="K3354" s="260" t="s">
        <v>9341</v>
      </c>
      <c r="L3354" s="442"/>
      <c r="M3354" s="426"/>
      <c r="N3354" s="173" t="s">
        <v>679</v>
      </c>
      <c r="O3354" s="173" t="s">
        <v>225</v>
      </c>
      <c r="P3354" s="262" t="str">
        <f t="shared" si="1"/>
        <v>IN-BLR-ANANTA-FAN-302_10</v>
      </c>
      <c r="Q3354" s="173" t="s">
        <v>10373</v>
      </c>
      <c r="R3354" s="425" t="str">
        <f>IFS(C3354="","",C3354="n/a","N/A",LEN(C3354),Concatenate("{",char(34),"asset",char(34),":{",char(34),"guid",char(34),":",char(34),Q3354,char(34),",",char(34),"site",char(34),":",char(34),LOWER('2-Building'!$B$4),char(34),",",char(34),"name",char(34),":",char(34),LOWER(C3354),char(34),"}}"))</f>
        <v>{"asset":{"guid":"uuid://970cb644-1487-4436-be0b-75ccd1425e37","site":"in-blr-ananta","name":"fan-302"}}</v>
      </c>
      <c r="S3354" s="369" t="s">
        <v>2866</v>
      </c>
      <c r="T3354" s="427"/>
      <c r="U3354" s="427"/>
      <c r="V3354" s="428"/>
      <c r="W3354" s="429"/>
      <c r="X3354" s="430"/>
      <c r="Y3354" s="33" t="s">
        <v>8076</v>
      </c>
      <c r="Z3354" s="430"/>
      <c r="AA3354" s="430"/>
      <c r="AB3354" s="258">
        <v>169.0</v>
      </c>
      <c r="AC3354" s="430"/>
      <c r="AD3354" s="426"/>
      <c r="AE3354" s="428"/>
      <c r="AF3354" s="431"/>
      <c r="AG3354" s="432" t="str">
        <f>IFS(LEN(AF3354)=17,LOWER('2-Building'!$B$4 &amp; "-" &amp; C3354), AF3354="N/A", "N/A", LEN(AF3354)=0,"")</f>
        <v/>
      </c>
      <c r="AH3354" s="430"/>
      <c r="AI3354" s="430"/>
      <c r="AJ3354" s="430"/>
      <c r="AK3354" s="430"/>
      <c r="AL3354" s="430"/>
      <c r="AM3354" s="433"/>
      <c r="AN3354" s="430"/>
      <c r="AO3354" s="430"/>
      <c r="AP3354" s="430"/>
      <c r="AQ3354" s="430"/>
      <c r="AR3354" s="430"/>
      <c r="AS3354" s="430"/>
      <c r="AT3354" s="430"/>
      <c r="AU3354" s="426"/>
      <c r="AV3354" s="434"/>
      <c r="AW3354" s="269" t="s">
        <v>1745</v>
      </c>
      <c r="AX3354" s="269" t="s">
        <v>2869</v>
      </c>
      <c r="AY3354" s="270" t="s">
        <v>695</v>
      </c>
      <c r="AZ3354" s="435"/>
      <c r="BA3354" s="173">
        <v>10.0</v>
      </c>
      <c r="BB3354" s="434"/>
      <c r="BC3354" s="434"/>
      <c r="BD3354" s="308" t="s">
        <v>1844</v>
      </c>
      <c r="BE3354" s="436"/>
      <c r="BF3354" s="274" t="str">
        <f>IFERROR(__xludf.DUMMYFUNCTION("LOWER(Regexreplace(to_text(E3354),""[^A-Za-z0-9]"","""")&amp;""_""&amp;Regexreplace(to_text(F3354),""[^A-Za-z0-9]"",""""))"),"aquagen_evcbseries")</f>
        <v>aquagen_evcbseries</v>
      </c>
      <c r="BG3354" s="275" t="str">
        <f>IFERROR(__xludf.DUMMYFUNCTION("upper(Regexreplace(to_text(E3354),""[^A-Za-z0-9]"","""")&amp;""-""&amp;Regexreplace(to_text(F3354),""[^A-Za-z0-9]"",""""))"),"AQUAGEN-EVCBSERIES")</f>
        <v>AQUAGEN-EVCBSERIES</v>
      </c>
    </row>
    <row r="3355" ht="30.0" customHeight="1">
      <c r="A3355" s="328">
        <v>2690.0</v>
      </c>
      <c r="B3355" s="425" t="s">
        <v>670</v>
      </c>
      <c r="C3355" s="257" t="s">
        <v>10374</v>
      </c>
      <c r="D3355" s="173" t="s">
        <v>10375</v>
      </c>
      <c r="E3355" s="174" t="s">
        <v>9097</v>
      </c>
      <c r="F3355" s="173" t="s">
        <v>2862</v>
      </c>
      <c r="G3355" s="425" t="s">
        <v>673</v>
      </c>
      <c r="H3355" s="425" t="s">
        <v>2863</v>
      </c>
      <c r="I3355" s="258" t="s">
        <v>9445</v>
      </c>
      <c r="J3355" s="259" t="s">
        <v>1393</v>
      </c>
      <c r="K3355" s="260" t="s">
        <v>9341</v>
      </c>
      <c r="L3355" s="442"/>
      <c r="M3355" s="426"/>
      <c r="N3355" s="173" t="s">
        <v>679</v>
      </c>
      <c r="O3355" s="173" t="s">
        <v>225</v>
      </c>
      <c r="P3355" s="262" t="str">
        <f t="shared" si="1"/>
        <v>IN-BLR-ANANTA-FAN-303_10</v>
      </c>
      <c r="Q3355" s="173" t="s">
        <v>10376</v>
      </c>
      <c r="R3355" s="425" t="str">
        <f>IFS(C3355="","",C3355="n/a","N/A",LEN(C3355),Concatenate("{",char(34),"asset",char(34),":{",char(34),"guid",char(34),":",char(34),Q3355,char(34),",",char(34),"site",char(34),":",char(34),LOWER('2-Building'!$B$4),char(34),",",char(34),"name",char(34),":",char(34),LOWER(C3355),char(34),"}}"))</f>
        <v>{"asset":{"guid":"uuid://08c6ac8a-6db1-4463-86db-df4c46fa39d3","site":"in-blr-ananta","name":"fan-303"}}</v>
      </c>
      <c r="S3355" s="369" t="s">
        <v>2866</v>
      </c>
      <c r="T3355" s="427"/>
      <c r="U3355" s="427"/>
      <c r="V3355" s="428"/>
      <c r="W3355" s="429"/>
      <c r="X3355" s="430"/>
      <c r="Y3355" s="33" t="s">
        <v>8076</v>
      </c>
      <c r="Z3355" s="430"/>
      <c r="AA3355" s="430"/>
      <c r="AB3355" s="258">
        <v>170.0</v>
      </c>
      <c r="AC3355" s="430"/>
      <c r="AD3355" s="426"/>
      <c r="AE3355" s="428"/>
      <c r="AF3355" s="431"/>
      <c r="AG3355" s="432" t="str">
        <f>IFS(LEN(AF3355)=17,LOWER('2-Building'!$B$4 &amp; "-" &amp; C3355), AF3355="N/A", "N/A", LEN(AF3355)=0,"")</f>
        <v/>
      </c>
      <c r="AH3355" s="430"/>
      <c r="AI3355" s="430"/>
      <c r="AJ3355" s="430"/>
      <c r="AK3355" s="430"/>
      <c r="AL3355" s="430"/>
      <c r="AM3355" s="433"/>
      <c r="AN3355" s="430"/>
      <c r="AO3355" s="430"/>
      <c r="AP3355" s="430"/>
      <c r="AQ3355" s="430"/>
      <c r="AR3355" s="430"/>
      <c r="AS3355" s="430"/>
      <c r="AT3355" s="430"/>
      <c r="AU3355" s="426"/>
      <c r="AV3355" s="434"/>
      <c r="AW3355" s="269" t="s">
        <v>1745</v>
      </c>
      <c r="AX3355" s="269" t="s">
        <v>2869</v>
      </c>
      <c r="AY3355" s="270" t="s">
        <v>695</v>
      </c>
      <c r="AZ3355" s="435"/>
      <c r="BA3355" s="173">
        <v>10.0</v>
      </c>
      <c r="BB3355" s="434"/>
      <c r="BC3355" s="434"/>
      <c r="BD3355" s="308" t="s">
        <v>1844</v>
      </c>
      <c r="BE3355" s="436"/>
      <c r="BF3355" s="274" t="str">
        <f>IFERROR(__xludf.DUMMYFUNCTION("LOWER(Regexreplace(to_text(E3355),""[^A-Za-z0-9]"","""")&amp;""_""&amp;Regexreplace(to_text(F3355),""[^A-Za-z0-9]"",""""))"),"aquagen_evcbseries")</f>
        <v>aquagen_evcbseries</v>
      </c>
      <c r="BG3355" s="275" t="str">
        <f>IFERROR(__xludf.DUMMYFUNCTION("upper(Regexreplace(to_text(E3355),""[^A-Za-z0-9]"","""")&amp;""-""&amp;Regexreplace(to_text(F3355),""[^A-Za-z0-9]"",""""))"),"AQUAGEN-EVCBSERIES")</f>
        <v>AQUAGEN-EVCBSERIES</v>
      </c>
    </row>
    <row r="3356" ht="30.0" customHeight="1">
      <c r="A3356" s="425">
        <v>2690.0</v>
      </c>
      <c r="B3356" s="425" t="s">
        <v>670</v>
      </c>
      <c r="C3356" s="257" t="s">
        <v>10377</v>
      </c>
      <c r="D3356" s="173" t="s">
        <v>10378</v>
      </c>
      <c r="E3356" s="174" t="s">
        <v>9097</v>
      </c>
      <c r="F3356" s="173" t="s">
        <v>2862</v>
      </c>
      <c r="G3356" s="425" t="s">
        <v>673</v>
      </c>
      <c r="H3356" s="425" t="s">
        <v>2863</v>
      </c>
      <c r="I3356" s="258" t="s">
        <v>9445</v>
      </c>
      <c r="J3356" s="259" t="s">
        <v>1393</v>
      </c>
      <c r="K3356" s="260" t="s">
        <v>9341</v>
      </c>
      <c r="L3356" s="442"/>
      <c r="M3356" s="426"/>
      <c r="N3356" s="173" t="s">
        <v>679</v>
      </c>
      <c r="O3356" s="173" t="s">
        <v>225</v>
      </c>
      <c r="P3356" s="262" t="str">
        <f t="shared" si="1"/>
        <v>IN-BLR-ANANTA-FAN-304_10</v>
      </c>
      <c r="Q3356" s="173" t="s">
        <v>10379</v>
      </c>
      <c r="R3356" s="433" t="str">
        <f>IFS(C3356="","",C3356="n/a","N/A",LEN(C3356),Concatenate("{",char(34),"asset",char(34),":{",char(34),"guid",char(34),":",char(34),Q3356,char(34),",",char(34),"site",char(34),":",char(34),LOWER('2-Building'!$B$4),char(34),",",char(34),"name",char(34),":",char(34),LOWER(C3356),char(34),"}}"))</f>
        <v>{"asset":{"guid":"uuid://825d49b9-baf4-470a-9686-d434f7658da9","site":"in-blr-ananta","name":"fan-304"}}</v>
      </c>
      <c r="S3356" s="369" t="s">
        <v>2866</v>
      </c>
      <c r="T3356" s="427"/>
      <c r="U3356" s="427"/>
      <c r="V3356" s="428"/>
      <c r="W3356" s="429"/>
      <c r="X3356" s="430"/>
      <c r="Y3356" s="33" t="s">
        <v>8076</v>
      </c>
      <c r="Z3356" s="430"/>
      <c r="AA3356" s="430"/>
      <c r="AB3356" s="258">
        <v>171.0</v>
      </c>
      <c r="AC3356" s="430"/>
      <c r="AD3356" s="426"/>
      <c r="AE3356" s="428"/>
      <c r="AF3356" s="431"/>
      <c r="AG3356" s="432" t="str">
        <f>IFS(LEN(AF3356)=17,LOWER('2-Building'!$B$4 &amp; "-" &amp; C3356), AF3356="N/A", "N/A", LEN(AF3356)=0,"")</f>
        <v/>
      </c>
      <c r="AH3356" s="430"/>
      <c r="AI3356" s="430"/>
      <c r="AJ3356" s="430"/>
      <c r="AK3356" s="430"/>
      <c r="AL3356" s="430"/>
      <c r="AM3356" s="433"/>
      <c r="AN3356" s="430"/>
      <c r="AO3356" s="430"/>
      <c r="AP3356" s="430"/>
      <c r="AQ3356" s="430"/>
      <c r="AR3356" s="430"/>
      <c r="AS3356" s="430"/>
      <c r="AT3356" s="430"/>
      <c r="AU3356" s="426"/>
      <c r="AV3356" s="434"/>
      <c r="AW3356" s="269" t="s">
        <v>1745</v>
      </c>
      <c r="AX3356" s="269" t="s">
        <v>2869</v>
      </c>
      <c r="AY3356" s="270" t="s">
        <v>695</v>
      </c>
      <c r="AZ3356" s="435"/>
      <c r="BA3356" s="173">
        <v>10.0</v>
      </c>
      <c r="BB3356" s="434"/>
      <c r="BC3356" s="434"/>
      <c r="BD3356" s="308" t="s">
        <v>1844</v>
      </c>
      <c r="BE3356" s="436"/>
      <c r="BF3356" s="274" t="str">
        <f>IFERROR(__xludf.DUMMYFUNCTION("LOWER(Regexreplace(to_text(E3356),""[^A-Za-z0-9]"","""")&amp;""_""&amp;Regexreplace(to_text(F3356),""[^A-Za-z0-9]"",""""))"),"aquagen_evcbseries")</f>
        <v>aquagen_evcbseries</v>
      </c>
      <c r="BG3356" s="275" t="str">
        <f>IFERROR(__xludf.DUMMYFUNCTION("upper(Regexreplace(to_text(E3356),""[^A-Za-z0-9]"","""")&amp;""-""&amp;Regexreplace(to_text(F3356),""[^A-Za-z0-9]"",""""))"),"AQUAGEN-EVCBSERIES")</f>
        <v>AQUAGEN-EVCBSERIES</v>
      </c>
    </row>
    <row r="3357" ht="30.0" customHeight="1">
      <c r="A3357" s="328">
        <v>2690.0</v>
      </c>
      <c r="B3357" s="425" t="s">
        <v>670</v>
      </c>
      <c r="C3357" s="257" t="s">
        <v>10380</v>
      </c>
      <c r="D3357" s="173" t="s">
        <v>10381</v>
      </c>
      <c r="E3357" s="174" t="s">
        <v>9097</v>
      </c>
      <c r="F3357" s="173" t="s">
        <v>2862</v>
      </c>
      <c r="G3357" s="425" t="s">
        <v>673</v>
      </c>
      <c r="H3357" s="425" t="s">
        <v>2863</v>
      </c>
      <c r="I3357" s="258" t="s">
        <v>9445</v>
      </c>
      <c r="J3357" s="259" t="s">
        <v>1393</v>
      </c>
      <c r="K3357" s="260" t="s">
        <v>9341</v>
      </c>
      <c r="L3357" s="442"/>
      <c r="M3357" s="426"/>
      <c r="N3357" s="173" t="s">
        <v>679</v>
      </c>
      <c r="O3357" s="173" t="s">
        <v>225</v>
      </c>
      <c r="P3357" s="262" t="str">
        <f t="shared" si="1"/>
        <v>IN-BLR-ANANTA-FAN-305_10</v>
      </c>
      <c r="Q3357" s="173" t="s">
        <v>10382</v>
      </c>
      <c r="R3357" s="425" t="str">
        <f>IFS(C3357="","",C3357="n/a","N/A",LEN(C3357),Concatenate("{",char(34),"asset",char(34),":{",char(34),"guid",char(34),":",char(34),Q3357,char(34),",",char(34),"site",char(34),":",char(34),LOWER('2-Building'!$B$4),char(34),",",char(34),"name",char(34),":",char(34),LOWER(C3357),char(34),"}}"))</f>
        <v>{"asset":{"guid":"uuid://5b5edcf2-a6f9-41cf-8f5b-dfcf98536675","site":"in-blr-ananta","name":"fan-305"}}</v>
      </c>
      <c r="S3357" s="369" t="s">
        <v>2866</v>
      </c>
      <c r="T3357" s="427"/>
      <c r="U3357" s="427"/>
      <c r="V3357" s="428"/>
      <c r="W3357" s="429"/>
      <c r="X3357" s="430"/>
      <c r="Y3357" s="33" t="s">
        <v>8076</v>
      </c>
      <c r="Z3357" s="430"/>
      <c r="AA3357" s="430"/>
      <c r="AB3357" s="258">
        <v>172.0</v>
      </c>
      <c r="AC3357" s="430"/>
      <c r="AD3357" s="426"/>
      <c r="AE3357" s="428"/>
      <c r="AF3357" s="431"/>
      <c r="AG3357" s="432" t="str">
        <f>IFS(LEN(AF3357)=17,LOWER('2-Building'!$B$4 &amp; "-" &amp; C3357), AF3357="N/A", "N/A", LEN(AF3357)=0,"")</f>
        <v/>
      </c>
      <c r="AH3357" s="430"/>
      <c r="AI3357" s="430"/>
      <c r="AJ3357" s="430"/>
      <c r="AK3357" s="430"/>
      <c r="AL3357" s="430"/>
      <c r="AM3357" s="433"/>
      <c r="AN3357" s="430"/>
      <c r="AO3357" s="430"/>
      <c r="AP3357" s="430"/>
      <c r="AQ3357" s="430"/>
      <c r="AR3357" s="430"/>
      <c r="AS3357" s="430"/>
      <c r="AT3357" s="430"/>
      <c r="AU3357" s="426"/>
      <c r="AV3357" s="434"/>
      <c r="AW3357" s="269" t="s">
        <v>1745</v>
      </c>
      <c r="AX3357" s="269" t="s">
        <v>2869</v>
      </c>
      <c r="AY3357" s="270" t="s">
        <v>695</v>
      </c>
      <c r="AZ3357" s="435"/>
      <c r="BA3357" s="173">
        <v>10.0</v>
      </c>
      <c r="BB3357" s="434"/>
      <c r="BC3357" s="434"/>
      <c r="BD3357" s="308" t="s">
        <v>1844</v>
      </c>
      <c r="BE3357" s="436"/>
      <c r="BF3357" s="274" t="str">
        <f>IFERROR(__xludf.DUMMYFUNCTION("LOWER(Regexreplace(to_text(E3357),""[^A-Za-z0-9]"","""")&amp;""_""&amp;Regexreplace(to_text(F3357),""[^A-Za-z0-9]"",""""))"),"aquagen_evcbseries")</f>
        <v>aquagen_evcbseries</v>
      </c>
      <c r="BG3357" s="275" t="str">
        <f>IFERROR(__xludf.DUMMYFUNCTION("upper(Regexreplace(to_text(E3357),""[^A-Za-z0-9]"","""")&amp;""-""&amp;Regexreplace(to_text(F3357),""[^A-Za-z0-9]"",""""))"),"AQUAGEN-EVCBSERIES")</f>
        <v>AQUAGEN-EVCBSERIES</v>
      </c>
    </row>
    <row r="3358" ht="30.0" customHeight="1">
      <c r="A3358" s="425">
        <v>2690.0</v>
      </c>
      <c r="B3358" s="425" t="s">
        <v>670</v>
      </c>
      <c r="C3358" s="257" t="s">
        <v>10383</v>
      </c>
      <c r="D3358" s="173" t="s">
        <v>10384</v>
      </c>
      <c r="E3358" s="174" t="s">
        <v>9097</v>
      </c>
      <c r="F3358" s="173" t="s">
        <v>2862</v>
      </c>
      <c r="G3358" s="425" t="s">
        <v>673</v>
      </c>
      <c r="H3358" s="425" t="s">
        <v>2863</v>
      </c>
      <c r="I3358" s="258" t="s">
        <v>9445</v>
      </c>
      <c r="J3358" s="259" t="s">
        <v>1393</v>
      </c>
      <c r="K3358" s="260" t="s">
        <v>9341</v>
      </c>
      <c r="L3358" s="442"/>
      <c r="M3358" s="426"/>
      <c r="N3358" s="173" t="s">
        <v>679</v>
      </c>
      <c r="O3358" s="173" t="s">
        <v>225</v>
      </c>
      <c r="P3358" s="262" t="str">
        <f t="shared" si="1"/>
        <v>IN-BLR-ANANTA-FAN-306_10</v>
      </c>
      <c r="Q3358" s="173" t="s">
        <v>10385</v>
      </c>
      <c r="R3358" s="433" t="str">
        <f>IFS(C3358="","",C3358="n/a","N/A",LEN(C3358),Concatenate("{",char(34),"asset",char(34),":{",char(34),"guid",char(34),":",char(34),Q3358,char(34),",",char(34),"site",char(34),":",char(34),LOWER('2-Building'!$B$4),char(34),",",char(34),"name",char(34),":",char(34),LOWER(C3358),char(34),"}}"))</f>
        <v>{"asset":{"guid":"uuid://12a33508-1c3f-4ec5-bfcd-de0948a60b64","site":"in-blr-ananta","name":"fan-306"}}</v>
      </c>
      <c r="S3358" s="369" t="s">
        <v>2866</v>
      </c>
      <c r="T3358" s="427"/>
      <c r="U3358" s="427"/>
      <c r="V3358" s="428"/>
      <c r="W3358" s="429"/>
      <c r="X3358" s="430"/>
      <c r="Y3358" s="33" t="s">
        <v>8076</v>
      </c>
      <c r="Z3358" s="430"/>
      <c r="AA3358" s="430"/>
      <c r="AB3358" s="258">
        <v>173.0</v>
      </c>
      <c r="AC3358" s="430"/>
      <c r="AD3358" s="426"/>
      <c r="AE3358" s="428"/>
      <c r="AF3358" s="431"/>
      <c r="AG3358" s="432" t="str">
        <f>IFS(LEN(AF3358)=17,LOWER('2-Building'!$B$4 &amp; "-" &amp; C3358), AF3358="N/A", "N/A", LEN(AF3358)=0,"")</f>
        <v/>
      </c>
      <c r="AH3358" s="430"/>
      <c r="AI3358" s="430"/>
      <c r="AJ3358" s="430"/>
      <c r="AK3358" s="430"/>
      <c r="AL3358" s="430"/>
      <c r="AM3358" s="433"/>
      <c r="AN3358" s="430"/>
      <c r="AO3358" s="430"/>
      <c r="AP3358" s="430"/>
      <c r="AQ3358" s="430"/>
      <c r="AR3358" s="430"/>
      <c r="AS3358" s="430"/>
      <c r="AT3358" s="430"/>
      <c r="AU3358" s="426"/>
      <c r="AV3358" s="434"/>
      <c r="AW3358" s="269" t="s">
        <v>1745</v>
      </c>
      <c r="AX3358" s="269" t="s">
        <v>2869</v>
      </c>
      <c r="AY3358" s="270" t="s">
        <v>695</v>
      </c>
      <c r="AZ3358" s="435"/>
      <c r="BA3358" s="173">
        <v>10.0</v>
      </c>
      <c r="BB3358" s="434"/>
      <c r="BC3358" s="434"/>
      <c r="BD3358" s="308" t="s">
        <v>1844</v>
      </c>
      <c r="BE3358" s="436"/>
      <c r="BF3358" s="274" t="str">
        <f>IFERROR(__xludf.DUMMYFUNCTION("LOWER(Regexreplace(to_text(E3358),""[^A-Za-z0-9]"","""")&amp;""_""&amp;Regexreplace(to_text(F3358),""[^A-Za-z0-9]"",""""))"),"aquagen_evcbseries")</f>
        <v>aquagen_evcbseries</v>
      </c>
      <c r="BG3358" s="275" t="str">
        <f>IFERROR(__xludf.DUMMYFUNCTION("upper(Regexreplace(to_text(E3358),""[^A-Za-z0-9]"","""")&amp;""-""&amp;Regexreplace(to_text(F3358),""[^A-Za-z0-9]"",""""))"),"AQUAGEN-EVCBSERIES")</f>
        <v>AQUAGEN-EVCBSERIES</v>
      </c>
    </row>
    <row r="3359" ht="30.0" customHeight="1">
      <c r="A3359" s="425">
        <v>2690.0</v>
      </c>
      <c r="B3359" s="425" t="s">
        <v>670</v>
      </c>
      <c r="C3359" s="257" t="s">
        <v>10386</v>
      </c>
      <c r="D3359" s="173" t="s">
        <v>10387</v>
      </c>
      <c r="E3359" s="174" t="s">
        <v>9097</v>
      </c>
      <c r="F3359" s="173" t="s">
        <v>2862</v>
      </c>
      <c r="G3359" s="425" t="s">
        <v>673</v>
      </c>
      <c r="H3359" s="425" t="s">
        <v>2863</v>
      </c>
      <c r="I3359" s="258" t="s">
        <v>9445</v>
      </c>
      <c r="J3359" s="259" t="s">
        <v>1453</v>
      </c>
      <c r="K3359" s="260" t="s">
        <v>1476</v>
      </c>
      <c r="L3359" s="442"/>
      <c r="M3359" s="426"/>
      <c r="N3359" s="173" t="s">
        <v>679</v>
      </c>
      <c r="O3359" s="173" t="s">
        <v>225</v>
      </c>
      <c r="P3359" s="262" t="str">
        <f t="shared" si="1"/>
        <v>IN-BLR-ANANTA-FAN-307_11</v>
      </c>
      <c r="Q3359" s="173" t="s">
        <v>10388</v>
      </c>
      <c r="R3359" s="425" t="str">
        <f>IFS(C3359="","",C3359="n/a","N/A",LEN(C3359),Concatenate("{",char(34),"asset",char(34),":{",char(34),"guid",char(34),":",char(34),Q3359,char(34),",",char(34),"site",char(34),":",char(34),LOWER('2-Building'!$B$4),char(34),",",char(34),"name",char(34),":",char(34),LOWER(C3359),char(34),"}}"))</f>
        <v>{"asset":{"guid":"uuid://d76d72d0-7fd6-4ff6-8c04-53d809bb1a7c","site":"in-blr-ananta","name":"fan-307"}}</v>
      </c>
      <c r="S3359" s="369" t="s">
        <v>2866</v>
      </c>
      <c r="T3359" s="427"/>
      <c r="U3359" s="427"/>
      <c r="V3359" s="428"/>
      <c r="W3359" s="429"/>
      <c r="X3359" s="430"/>
      <c r="Y3359" s="33" t="s">
        <v>8076</v>
      </c>
      <c r="Z3359" s="430"/>
      <c r="AA3359" s="430"/>
      <c r="AB3359" s="258">
        <v>186.0</v>
      </c>
      <c r="AC3359" s="430"/>
      <c r="AD3359" s="426"/>
      <c r="AE3359" s="428"/>
      <c r="AF3359" s="431"/>
      <c r="AG3359" s="432" t="str">
        <f>IFS(LEN(AF3359)=17,LOWER('2-Building'!$B$4 &amp; "-" &amp; C3359), AF3359="N/A", "N/A", LEN(AF3359)=0,"")</f>
        <v/>
      </c>
      <c r="AH3359" s="430"/>
      <c r="AI3359" s="430"/>
      <c r="AJ3359" s="430"/>
      <c r="AK3359" s="430"/>
      <c r="AL3359" s="430"/>
      <c r="AM3359" s="433"/>
      <c r="AN3359" s="430"/>
      <c r="AO3359" s="430"/>
      <c r="AP3359" s="430"/>
      <c r="AQ3359" s="430"/>
      <c r="AR3359" s="430"/>
      <c r="AS3359" s="430"/>
      <c r="AT3359" s="430"/>
      <c r="AU3359" s="426"/>
      <c r="AV3359" s="434"/>
      <c r="AW3359" s="269" t="s">
        <v>1745</v>
      </c>
      <c r="AX3359" s="269" t="s">
        <v>2869</v>
      </c>
      <c r="AY3359" s="270" t="s">
        <v>695</v>
      </c>
      <c r="AZ3359" s="435"/>
      <c r="BA3359" s="173">
        <v>10.0</v>
      </c>
      <c r="BB3359" s="434"/>
      <c r="BC3359" s="434"/>
      <c r="BD3359" s="308" t="s">
        <v>1844</v>
      </c>
      <c r="BE3359" s="436"/>
      <c r="BF3359" s="274" t="str">
        <f>IFERROR(__xludf.DUMMYFUNCTION("LOWER(Regexreplace(to_text(E3359),""[^A-Za-z0-9]"","""")&amp;""_""&amp;Regexreplace(to_text(F3359),""[^A-Za-z0-9]"",""""))"),"aquagen_evcbseries")</f>
        <v>aquagen_evcbseries</v>
      </c>
      <c r="BG3359" s="275" t="str">
        <f>IFERROR(__xludf.DUMMYFUNCTION("upper(Regexreplace(to_text(E3359),""[^A-Za-z0-9]"","""")&amp;""-""&amp;Regexreplace(to_text(F3359),""[^A-Za-z0-9]"",""""))"),"AQUAGEN-EVCBSERIES")</f>
        <v>AQUAGEN-EVCBSERIES</v>
      </c>
    </row>
    <row r="3360" ht="30.0" customHeight="1">
      <c r="A3360" s="425">
        <v>2690.0</v>
      </c>
      <c r="B3360" s="425" t="s">
        <v>670</v>
      </c>
      <c r="C3360" s="257" t="s">
        <v>10389</v>
      </c>
      <c r="D3360" s="173" t="s">
        <v>10390</v>
      </c>
      <c r="E3360" s="174" t="s">
        <v>9097</v>
      </c>
      <c r="F3360" s="173" t="s">
        <v>2862</v>
      </c>
      <c r="G3360" s="425" t="s">
        <v>673</v>
      </c>
      <c r="H3360" s="425" t="s">
        <v>2863</v>
      </c>
      <c r="I3360" s="258" t="s">
        <v>9445</v>
      </c>
      <c r="J3360" s="259" t="s">
        <v>1453</v>
      </c>
      <c r="K3360" s="260" t="s">
        <v>1476</v>
      </c>
      <c r="L3360" s="442"/>
      <c r="M3360" s="426"/>
      <c r="N3360" s="173" t="s">
        <v>679</v>
      </c>
      <c r="O3360" s="173" t="s">
        <v>225</v>
      </c>
      <c r="P3360" s="262" t="str">
        <f t="shared" si="1"/>
        <v>IN-BLR-ANANTA-FAN-308_11</v>
      </c>
      <c r="Q3360" s="173" t="s">
        <v>10391</v>
      </c>
      <c r="R3360" s="433" t="str">
        <f>IFS(C3360="","",C3360="n/a","N/A",LEN(C3360),Concatenate("{",char(34),"asset",char(34),":{",char(34),"guid",char(34),":",char(34),Q3360,char(34),",",char(34),"site",char(34),":",char(34),LOWER('2-Building'!$B$4),char(34),",",char(34),"name",char(34),":",char(34),LOWER(C3360),char(34),"}}"))</f>
        <v>{"asset":{"guid":"uuid://813b890c-b8b2-432a-bffa-020febb5f0a6","site":"in-blr-ananta","name":"fan-308"}}</v>
      </c>
      <c r="S3360" s="369" t="s">
        <v>2866</v>
      </c>
      <c r="T3360" s="427"/>
      <c r="U3360" s="427"/>
      <c r="V3360" s="428"/>
      <c r="W3360" s="429"/>
      <c r="X3360" s="430"/>
      <c r="Y3360" s="33" t="s">
        <v>8076</v>
      </c>
      <c r="Z3360" s="430"/>
      <c r="AA3360" s="430"/>
      <c r="AB3360" s="258">
        <v>187.0</v>
      </c>
      <c r="AC3360" s="430"/>
      <c r="AD3360" s="426"/>
      <c r="AE3360" s="428"/>
      <c r="AF3360" s="431"/>
      <c r="AG3360" s="432" t="str">
        <f>IFS(LEN(AF3360)=17,LOWER('2-Building'!$B$4 &amp; "-" &amp; C3360), AF3360="N/A", "N/A", LEN(AF3360)=0,"")</f>
        <v/>
      </c>
      <c r="AH3360" s="430"/>
      <c r="AI3360" s="430"/>
      <c r="AJ3360" s="430"/>
      <c r="AK3360" s="430"/>
      <c r="AL3360" s="430"/>
      <c r="AM3360" s="433"/>
      <c r="AN3360" s="430"/>
      <c r="AO3360" s="430"/>
      <c r="AP3360" s="430"/>
      <c r="AQ3360" s="430"/>
      <c r="AR3360" s="430"/>
      <c r="AS3360" s="430"/>
      <c r="AT3360" s="430"/>
      <c r="AU3360" s="426"/>
      <c r="AV3360" s="434"/>
      <c r="AW3360" s="269" t="s">
        <v>1745</v>
      </c>
      <c r="AX3360" s="269" t="s">
        <v>2869</v>
      </c>
      <c r="AY3360" s="270" t="s">
        <v>695</v>
      </c>
      <c r="AZ3360" s="435"/>
      <c r="BA3360" s="173">
        <v>10.0</v>
      </c>
      <c r="BB3360" s="434"/>
      <c r="BC3360" s="434"/>
      <c r="BD3360" s="308" t="s">
        <v>1844</v>
      </c>
      <c r="BE3360" s="436"/>
      <c r="BF3360" s="274" t="str">
        <f>IFERROR(__xludf.DUMMYFUNCTION("LOWER(Regexreplace(to_text(E3360),""[^A-Za-z0-9]"","""")&amp;""_""&amp;Regexreplace(to_text(F3360),""[^A-Za-z0-9]"",""""))"),"aquagen_evcbseries")</f>
        <v>aquagen_evcbseries</v>
      </c>
      <c r="BG3360" s="275" t="str">
        <f>IFERROR(__xludf.DUMMYFUNCTION("upper(Regexreplace(to_text(E3360),""[^A-Za-z0-9]"","""")&amp;""-""&amp;Regexreplace(to_text(F3360),""[^A-Za-z0-9]"",""""))"),"AQUAGEN-EVCBSERIES")</f>
        <v>AQUAGEN-EVCBSERIES</v>
      </c>
    </row>
    <row r="3361" ht="30.0" customHeight="1">
      <c r="A3361" s="425">
        <v>2690.0</v>
      </c>
      <c r="B3361" s="425" t="s">
        <v>670</v>
      </c>
      <c r="C3361" s="257" t="s">
        <v>10392</v>
      </c>
      <c r="D3361" s="173" t="s">
        <v>10393</v>
      </c>
      <c r="E3361" s="174" t="s">
        <v>9097</v>
      </c>
      <c r="F3361" s="173" t="s">
        <v>2862</v>
      </c>
      <c r="G3361" s="425" t="s">
        <v>673</v>
      </c>
      <c r="H3361" s="425" t="s">
        <v>2863</v>
      </c>
      <c r="I3361" s="258" t="s">
        <v>9445</v>
      </c>
      <c r="J3361" s="259" t="s">
        <v>1453</v>
      </c>
      <c r="K3361" s="260" t="s">
        <v>1476</v>
      </c>
      <c r="L3361" s="442"/>
      <c r="M3361" s="426"/>
      <c r="N3361" s="173" t="s">
        <v>679</v>
      </c>
      <c r="O3361" s="173" t="s">
        <v>225</v>
      </c>
      <c r="P3361" s="262" t="str">
        <f t="shared" si="1"/>
        <v>IN-BLR-ANANTA-FAN-309_11</v>
      </c>
      <c r="Q3361" s="173" t="s">
        <v>10394</v>
      </c>
      <c r="R3361" s="425" t="str">
        <f>IFS(C3361="","",C3361="n/a","N/A",LEN(C3361),Concatenate("{",char(34),"asset",char(34),":{",char(34),"guid",char(34),":",char(34),Q3361,char(34),",",char(34),"site",char(34),":",char(34),LOWER('2-Building'!$B$4),char(34),",",char(34),"name",char(34),":",char(34),LOWER(C3361),char(34),"}}"))</f>
        <v>{"asset":{"guid":"uuid://f060b4a7-535c-4502-a8a4-b10527a4b4b9","site":"in-blr-ananta","name":"fan-309"}}</v>
      </c>
      <c r="S3361" s="369" t="s">
        <v>2866</v>
      </c>
      <c r="T3361" s="427"/>
      <c r="U3361" s="427"/>
      <c r="V3361" s="428"/>
      <c r="W3361" s="429"/>
      <c r="X3361" s="430"/>
      <c r="Y3361" s="33" t="s">
        <v>8076</v>
      </c>
      <c r="Z3361" s="430"/>
      <c r="AA3361" s="430"/>
      <c r="AB3361" s="258">
        <v>188.0</v>
      </c>
      <c r="AC3361" s="430"/>
      <c r="AD3361" s="426"/>
      <c r="AE3361" s="428"/>
      <c r="AF3361" s="431"/>
      <c r="AG3361" s="432" t="str">
        <f>IFS(LEN(AF3361)=17,LOWER('2-Building'!$B$4 &amp; "-" &amp; C3361), AF3361="N/A", "N/A", LEN(AF3361)=0,"")</f>
        <v/>
      </c>
      <c r="AH3361" s="430"/>
      <c r="AI3361" s="430"/>
      <c r="AJ3361" s="430"/>
      <c r="AK3361" s="430"/>
      <c r="AL3361" s="430"/>
      <c r="AM3361" s="433"/>
      <c r="AN3361" s="430"/>
      <c r="AO3361" s="430"/>
      <c r="AP3361" s="430"/>
      <c r="AQ3361" s="430"/>
      <c r="AR3361" s="430"/>
      <c r="AS3361" s="430"/>
      <c r="AT3361" s="430"/>
      <c r="AU3361" s="426"/>
      <c r="AV3361" s="434"/>
      <c r="AW3361" s="269" t="s">
        <v>1745</v>
      </c>
      <c r="AX3361" s="269" t="s">
        <v>2869</v>
      </c>
      <c r="AY3361" s="270" t="s">
        <v>695</v>
      </c>
      <c r="AZ3361" s="435"/>
      <c r="BA3361" s="173">
        <v>10.0</v>
      </c>
      <c r="BB3361" s="434"/>
      <c r="BC3361" s="434"/>
      <c r="BD3361" s="308" t="s">
        <v>1844</v>
      </c>
      <c r="BE3361" s="436"/>
      <c r="BF3361" s="274" t="str">
        <f>IFERROR(__xludf.DUMMYFUNCTION("LOWER(Regexreplace(to_text(E3361),""[^A-Za-z0-9]"","""")&amp;""_""&amp;Regexreplace(to_text(F3361),""[^A-Za-z0-9]"",""""))"),"aquagen_evcbseries")</f>
        <v>aquagen_evcbseries</v>
      </c>
      <c r="BG3361" s="275" t="str">
        <f>IFERROR(__xludf.DUMMYFUNCTION("upper(Regexreplace(to_text(E3361),""[^A-Za-z0-9]"","""")&amp;""-""&amp;Regexreplace(to_text(F3361),""[^A-Za-z0-9]"",""""))"),"AQUAGEN-EVCBSERIES")</f>
        <v>AQUAGEN-EVCBSERIES</v>
      </c>
    </row>
    <row r="3362" ht="30.0" customHeight="1">
      <c r="A3362" s="425">
        <v>2690.0</v>
      </c>
      <c r="B3362" s="425" t="s">
        <v>670</v>
      </c>
      <c r="C3362" s="257" t="s">
        <v>10395</v>
      </c>
      <c r="D3362" s="173" t="s">
        <v>10396</v>
      </c>
      <c r="E3362" s="174" t="s">
        <v>9097</v>
      </c>
      <c r="F3362" s="173" t="s">
        <v>2862</v>
      </c>
      <c r="G3362" s="425" t="s">
        <v>673</v>
      </c>
      <c r="H3362" s="425" t="s">
        <v>2863</v>
      </c>
      <c r="I3362" s="258" t="s">
        <v>9445</v>
      </c>
      <c r="J3362" s="259" t="s">
        <v>1453</v>
      </c>
      <c r="K3362" s="260" t="s">
        <v>1476</v>
      </c>
      <c r="L3362" s="442"/>
      <c r="M3362" s="426"/>
      <c r="N3362" s="173" t="s">
        <v>679</v>
      </c>
      <c r="O3362" s="173" t="s">
        <v>225</v>
      </c>
      <c r="P3362" s="262" t="str">
        <f t="shared" si="1"/>
        <v>IN-BLR-ANANTA-FAN-310_11</v>
      </c>
      <c r="Q3362" s="173" t="s">
        <v>10397</v>
      </c>
      <c r="R3362" s="433" t="str">
        <f>IFS(C3362="","",C3362="n/a","N/A",LEN(C3362),Concatenate("{",char(34),"asset",char(34),":{",char(34),"guid",char(34),":",char(34),Q3362,char(34),",",char(34),"site",char(34),":",char(34),LOWER('2-Building'!$B$4),char(34),",",char(34),"name",char(34),":",char(34),LOWER(C3362),char(34),"}}"))</f>
        <v>{"asset":{"guid":"uuid://dc0f8011-7a30-4ea9-8e3c-e830627e335b","site":"in-blr-ananta","name":"fan-310"}}</v>
      </c>
      <c r="S3362" s="369" t="s">
        <v>2866</v>
      </c>
      <c r="T3362" s="427"/>
      <c r="U3362" s="427"/>
      <c r="V3362" s="428"/>
      <c r="W3362" s="429"/>
      <c r="X3362" s="430"/>
      <c r="Y3362" s="33" t="s">
        <v>8076</v>
      </c>
      <c r="Z3362" s="430"/>
      <c r="AA3362" s="430"/>
      <c r="AB3362" s="258">
        <v>189.0</v>
      </c>
      <c r="AC3362" s="430"/>
      <c r="AD3362" s="426"/>
      <c r="AE3362" s="428"/>
      <c r="AF3362" s="431"/>
      <c r="AG3362" s="432" t="str">
        <f>IFS(LEN(AF3362)=17,LOWER('2-Building'!$B$4 &amp; "-" &amp; C3362), AF3362="N/A", "N/A", LEN(AF3362)=0,"")</f>
        <v/>
      </c>
      <c r="AH3362" s="430"/>
      <c r="AI3362" s="430"/>
      <c r="AJ3362" s="430"/>
      <c r="AK3362" s="430"/>
      <c r="AL3362" s="430"/>
      <c r="AM3362" s="433"/>
      <c r="AN3362" s="430"/>
      <c r="AO3362" s="430"/>
      <c r="AP3362" s="430"/>
      <c r="AQ3362" s="430"/>
      <c r="AR3362" s="430"/>
      <c r="AS3362" s="430"/>
      <c r="AT3362" s="430"/>
      <c r="AU3362" s="426"/>
      <c r="AV3362" s="434"/>
      <c r="AW3362" s="269" t="s">
        <v>1745</v>
      </c>
      <c r="AX3362" s="269" t="s">
        <v>2869</v>
      </c>
      <c r="AY3362" s="270" t="s">
        <v>695</v>
      </c>
      <c r="AZ3362" s="435"/>
      <c r="BA3362" s="173">
        <v>10.0</v>
      </c>
      <c r="BB3362" s="434"/>
      <c r="BC3362" s="434"/>
      <c r="BD3362" s="308" t="s">
        <v>1844</v>
      </c>
      <c r="BE3362" s="436"/>
      <c r="BF3362" s="274" t="str">
        <f>IFERROR(__xludf.DUMMYFUNCTION("LOWER(Regexreplace(to_text(E3362),""[^A-Za-z0-9]"","""")&amp;""_""&amp;Regexreplace(to_text(F3362),""[^A-Za-z0-9]"",""""))"),"aquagen_evcbseries")</f>
        <v>aquagen_evcbseries</v>
      </c>
      <c r="BG3362" s="275" t="str">
        <f>IFERROR(__xludf.DUMMYFUNCTION("upper(Regexreplace(to_text(E3362),""[^A-Za-z0-9]"","""")&amp;""-""&amp;Regexreplace(to_text(F3362),""[^A-Za-z0-9]"",""""))"),"AQUAGEN-EVCBSERIES")</f>
        <v>AQUAGEN-EVCBSERIES</v>
      </c>
    </row>
    <row r="3363" ht="30.0" customHeight="1">
      <c r="A3363" s="425">
        <v>2690.0</v>
      </c>
      <c r="B3363" s="425" t="s">
        <v>670</v>
      </c>
      <c r="C3363" s="257" t="s">
        <v>10398</v>
      </c>
      <c r="D3363" s="173" t="s">
        <v>10399</v>
      </c>
      <c r="E3363" s="174" t="s">
        <v>9097</v>
      </c>
      <c r="F3363" s="173" t="s">
        <v>2862</v>
      </c>
      <c r="G3363" s="425" t="s">
        <v>673</v>
      </c>
      <c r="H3363" s="425" t="s">
        <v>2863</v>
      </c>
      <c r="I3363" s="258" t="s">
        <v>9445</v>
      </c>
      <c r="J3363" s="259" t="s">
        <v>1453</v>
      </c>
      <c r="K3363" s="260" t="s">
        <v>1476</v>
      </c>
      <c r="L3363" s="442"/>
      <c r="M3363" s="426"/>
      <c r="N3363" s="173" t="s">
        <v>679</v>
      </c>
      <c r="O3363" s="173" t="s">
        <v>225</v>
      </c>
      <c r="P3363" s="262" t="str">
        <f t="shared" si="1"/>
        <v>IN-BLR-ANANTA-FAN-311_11</v>
      </c>
      <c r="Q3363" s="173" t="s">
        <v>10400</v>
      </c>
      <c r="R3363" s="425" t="str">
        <f>IFS(C3363="","",C3363="n/a","N/A",LEN(C3363),Concatenate("{",char(34),"asset",char(34),":{",char(34),"guid",char(34),":",char(34),Q3363,char(34),",",char(34),"site",char(34),":",char(34),LOWER('2-Building'!$B$4),char(34),",",char(34),"name",char(34),":",char(34),LOWER(C3363),char(34),"}}"))</f>
        <v>{"asset":{"guid":"uuid://cab48813-8bc6-4f3e-9f59-bdbac47ff9c3","site":"in-blr-ananta","name":"fan-311"}}</v>
      </c>
      <c r="S3363" s="369" t="s">
        <v>2866</v>
      </c>
      <c r="T3363" s="427"/>
      <c r="U3363" s="427"/>
      <c r="V3363" s="428"/>
      <c r="W3363" s="429"/>
      <c r="X3363" s="430"/>
      <c r="Y3363" s="33" t="s">
        <v>8076</v>
      </c>
      <c r="Z3363" s="430"/>
      <c r="AA3363" s="430"/>
      <c r="AB3363" s="258">
        <v>190.0</v>
      </c>
      <c r="AC3363" s="430"/>
      <c r="AD3363" s="426"/>
      <c r="AE3363" s="428"/>
      <c r="AF3363" s="431"/>
      <c r="AG3363" s="432" t="str">
        <f>IFS(LEN(AF3363)=17,LOWER('2-Building'!$B$4 &amp; "-" &amp; C3363), AF3363="N/A", "N/A", LEN(AF3363)=0,"")</f>
        <v/>
      </c>
      <c r="AH3363" s="430"/>
      <c r="AI3363" s="430"/>
      <c r="AJ3363" s="430"/>
      <c r="AK3363" s="430"/>
      <c r="AL3363" s="430"/>
      <c r="AM3363" s="433"/>
      <c r="AN3363" s="430"/>
      <c r="AO3363" s="430"/>
      <c r="AP3363" s="430"/>
      <c r="AQ3363" s="430"/>
      <c r="AR3363" s="430"/>
      <c r="AS3363" s="430"/>
      <c r="AT3363" s="430"/>
      <c r="AU3363" s="426"/>
      <c r="AV3363" s="434"/>
      <c r="AW3363" s="269" t="s">
        <v>1745</v>
      </c>
      <c r="AX3363" s="269" t="s">
        <v>2869</v>
      </c>
      <c r="AY3363" s="270" t="s">
        <v>695</v>
      </c>
      <c r="AZ3363" s="435"/>
      <c r="BA3363" s="173">
        <v>10.0</v>
      </c>
      <c r="BB3363" s="434"/>
      <c r="BC3363" s="434"/>
      <c r="BD3363" s="308" t="s">
        <v>1844</v>
      </c>
      <c r="BE3363" s="436"/>
      <c r="BF3363" s="274" t="str">
        <f>IFERROR(__xludf.DUMMYFUNCTION("LOWER(Regexreplace(to_text(E3363),""[^A-Za-z0-9]"","""")&amp;""_""&amp;Regexreplace(to_text(F3363),""[^A-Za-z0-9]"",""""))"),"aquagen_evcbseries")</f>
        <v>aquagen_evcbseries</v>
      </c>
      <c r="BG3363" s="275" t="str">
        <f>IFERROR(__xludf.DUMMYFUNCTION("upper(Regexreplace(to_text(E3363),""[^A-Za-z0-9]"","""")&amp;""-""&amp;Regexreplace(to_text(F3363),""[^A-Za-z0-9]"",""""))"),"AQUAGEN-EVCBSERIES")</f>
        <v>AQUAGEN-EVCBSERIES</v>
      </c>
    </row>
    <row r="3364" ht="30.0" customHeight="1">
      <c r="A3364" s="425">
        <v>2690.0</v>
      </c>
      <c r="B3364" s="425" t="s">
        <v>670</v>
      </c>
      <c r="C3364" s="257" t="s">
        <v>10401</v>
      </c>
      <c r="D3364" s="173" t="s">
        <v>10402</v>
      </c>
      <c r="E3364" s="174" t="s">
        <v>9097</v>
      </c>
      <c r="F3364" s="173" t="s">
        <v>2862</v>
      </c>
      <c r="G3364" s="425" t="s">
        <v>673</v>
      </c>
      <c r="H3364" s="425" t="s">
        <v>2863</v>
      </c>
      <c r="I3364" s="258" t="s">
        <v>9445</v>
      </c>
      <c r="J3364" s="259" t="s">
        <v>1453</v>
      </c>
      <c r="K3364" s="260" t="s">
        <v>1476</v>
      </c>
      <c r="L3364" s="442"/>
      <c r="M3364" s="426"/>
      <c r="N3364" s="173" t="s">
        <v>679</v>
      </c>
      <c r="O3364" s="173" t="s">
        <v>225</v>
      </c>
      <c r="P3364" s="262" t="str">
        <f t="shared" si="1"/>
        <v>IN-BLR-ANANTA-FAN-312_11</v>
      </c>
      <c r="Q3364" s="173" t="s">
        <v>10403</v>
      </c>
      <c r="R3364" s="433" t="str">
        <f>IFS(C3364="","",C3364="n/a","N/A",LEN(C3364),Concatenate("{",char(34),"asset",char(34),":{",char(34),"guid",char(34),":",char(34),Q3364,char(34),",",char(34),"site",char(34),":",char(34),LOWER('2-Building'!$B$4),char(34),",",char(34),"name",char(34),":",char(34),LOWER(C3364),char(34),"}}"))</f>
        <v>{"asset":{"guid":"uuid://a9eeb873-b7cf-40ec-873e-906fe072bf50","site":"in-blr-ananta","name":"fan-312"}}</v>
      </c>
      <c r="S3364" s="369" t="s">
        <v>2866</v>
      </c>
      <c r="T3364" s="427"/>
      <c r="U3364" s="427"/>
      <c r="V3364" s="428"/>
      <c r="W3364" s="429"/>
      <c r="X3364" s="430"/>
      <c r="Y3364" s="33" t="s">
        <v>8076</v>
      </c>
      <c r="Z3364" s="430"/>
      <c r="AA3364" s="430"/>
      <c r="AB3364" s="258">
        <v>191.0</v>
      </c>
      <c r="AC3364" s="430"/>
      <c r="AD3364" s="426"/>
      <c r="AE3364" s="428"/>
      <c r="AF3364" s="431"/>
      <c r="AG3364" s="432" t="str">
        <f>IFS(LEN(AF3364)=17,LOWER('2-Building'!$B$4 &amp; "-" &amp; C3364), AF3364="N/A", "N/A", LEN(AF3364)=0,"")</f>
        <v/>
      </c>
      <c r="AH3364" s="430"/>
      <c r="AI3364" s="430"/>
      <c r="AJ3364" s="430"/>
      <c r="AK3364" s="430"/>
      <c r="AL3364" s="430"/>
      <c r="AM3364" s="433"/>
      <c r="AN3364" s="430"/>
      <c r="AO3364" s="430"/>
      <c r="AP3364" s="430"/>
      <c r="AQ3364" s="430"/>
      <c r="AR3364" s="430"/>
      <c r="AS3364" s="430"/>
      <c r="AT3364" s="430"/>
      <c r="AU3364" s="426"/>
      <c r="AV3364" s="434"/>
      <c r="AW3364" s="269" t="s">
        <v>1745</v>
      </c>
      <c r="AX3364" s="269" t="s">
        <v>2869</v>
      </c>
      <c r="AY3364" s="270" t="s">
        <v>695</v>
      </c>
      <c r="AZ3364" s="435"/>
      <c r="BA3364" s="173">
        <v>10.0</v>
      </c>
      <c r="BB3364" s="434"/>
      <c r="BC3364" s="434"/>
      <c r="BD3364" s="308" t="s">
        <v>1844</v>
      </c>
      <c r="BE3364" s="436"/>
      <c r="BF3364" s="274" t="str">
        <f>IFERROR(__xludf.DUMMYFUNCTION("LOWER(Regexreplace(to_text(E3364),""[^A-Za-z0-9]"","""")&amp;""_""&amp;Regexreplace(to_text(F3364),""[^A-Za-z0-9]"",""""))"),"aquagen_evcbseries")</f>
        <v>aquagen_evcbseries</v>
      </c>
      <c r="BG3364" s="275" t="str">
        <f>IFERROR(__xludf.DUMMYFUNCTION("upper(Regexreplace(to_text(E3364),""[^A-Za-z0-9]"","""")&amp;""-""&amp;Regexreplace(to_text(F3364),""[^A-Za-z0-9]"",""""))"),"AQUAGEN-EVCBSERIES")</f>
        <v>AQUAGEN-EVCBSERIES</v>
      </c>
    </row>
    <row r="3365" ht="30.0" customHeight="1">
      <c r="A3365" s="437">
        <v>2690.0</v>
      </c>
      <c r="B3365" s="437" t="s">
        <v>670</v>
      </c>
      <c r="C3365" s="257" t="s">
        <v>10404</v>
      </c>
      <c r="D3365" s="173" t="s">
        <v>10405</v>
      </c>
      <c r="E3365" s="174" t="s">
        <v>9097</v>
      </c>
      <c r="F3365" s="173" t="s">
        <v>2862</v>
      </c>
      <c r="G3365" s="437" t="s">
        <v>673</v>
      </c>
      <c r="H3365" s="437" t="s">
        <v>2863</v>
      </c>
      <c r="I3365" s="258" t="s">
        <v>9445</v>
      </c>
      <c r="J3365" s="259" t="s">
        <v>1272</v>
      </c>
      <c r="K3365" s="260" t="s">
        <v>10406</v>
      </c>
      <c r="L3365" s="447"/>
      <c r="M3365" s="448"/>
      <c r="N3365" s="173" t="s">
        <v>679</v>
      </c>
      <c r="O3365" s="173" t="s">
        <v>225</v>
      </c>
      <c r="P3365" s="283" t="str">
        <f t="shared" si="1"/>
        <v>IN-BLR-ANANTA-FAN-313_8</v>
      </c>
      <c r="Q3365" s="173" t="s">
        <v>10407</v>
      </c>
      <c r="R3365" s="437" t="str">
        <f>IFS(C3365="","",C3365="n/a","N/A",LEN(C3365),Concatenate("{",char(34),"asset",char(34),":{",char(34),"guid",char(34),":",char(34),Q3365,char(34),",",char(34),"site",char(34),":",char(34),LOWER('2-Building'!$B$4),char(34),",",char(34),"name",char(34),":",char(34),LOWER(C3365),char(34),"}}"))</f>
        <v>{"asset":{"guid":"uuid://7b6c62fa-502f-4c38-b567-3c8b341df40c","site":"in-blr-ananta","name":"fan-313"}}</v>
      </c>
      <c r="S3365" s="369" t="s">
        <v>2866</v>
      </c>
      <c r="T3365" s="449"/>
      <c r="U3365" s="449"/>
      <c r="V3365" s="450"/>
      <c r="W3365" s="451"/>
      <c r="X3365" s="452"/>
      <c r="Y3365" s="33" t="s">
        <v>8076</v>
      </c>
      <c r="Z3365" s="452"/>
      <c r="AA3365" s="452"/>
      <c r="AB3365" s="258">
        <v>142.0</v>
      </c>
      <c r="AC3365" s="452"/>
      <c r="AD3365" s="448"/>
      <c r="AE3365" s="450"/>
      <c r="AF3365" s="453"/>
      <c r="AG3365" s="452" t="str">
        <f>IFS(LEN(AF3365)=17,LOWER('2-Building'!$B$4 &amp; "-" &amp; C3365), AF3365="N/A", "N/A", LEN(AF3365)=0,"")</f>
        <v/>
      </c>
      <c r="AH3365" s="452"/>
      <c r="AI3365" s="452"/>
      <c r="AJ3365" s="452"/>
      <c r="AK3365" s="452"/>
      <c r="AL3365" s="452"/>
      <c r="AM3365" s="452"/>
      <c r="AN3365" s="452"/>
      <c r="AO3365" s="452"/>
      <c r="AP3365" s="452"/>
      <c r="AQ3365" s="452"/>
      <c r="AR3365" s="452"/>
      <c r="AS3365" s="452"/>
      <c r="AT3365" s="452"/>
      <c r="AU3365" s="448"/>
      <c r="AV3365" s="454"/>
      <c r="AW3365" s="269" t="s">
        <v>1750</v>
      </c>
      <c r="AX3365" s="269" t="s">
        <v>2869</v>
      </c>
      <c r="AY3365" s="270" t="s">
        <v>695</v>
      </c>
      <c r="AZ3365" s="455"/>
      <c r="BA3365" s="173">
        <v>10.0</v>
      </c>
      <c r="BB3365" s="454"/>
      <c r="BC3365" s="454"/>
      <c r="BD3365" s="308" t="s">
        <v>1844</v>
      </c>
      <c r="BE3365" s="456"/>
      <c r="BF3365" s="274" t="str">
        <f>IFERROR(__xludf.DUMMYFUNCTION("LOWER(Regexreplace(to_text(E3365),""[^A-Za-z0-9]"","""")&amp;""_""&amp;Regexreplace(to_text(F3365),""[^A-Za-z0-9]"",""""))"),"aquagen_evcbseries")</f>
        <v>aquagen_evcbseries</v>
      </c>
      <c r="BG3365" s="275" t="str">
        <f>IFERROR(__xludf.DUMMYFUNCTION("upper(Regexreplace(to_text(E3365),""[^A-Za-z0-9]"","""")&amp;""-""&amp;Regexreplace(to_text(F3365),""[^A-Za-z0-9]"",""""))"),"AQUAGEN-EVCBSERIES")</f>
        <v>AQUAGEN-EVCBSERIES</v>
      </c>
    </row>
    <row r="3366" ht="30.0" customHeight="1">
      <c r="A3366" s="425">
        <v>2690.0</v>
      </c>
      <c r="B3366" s="425" t="s">
        <v>670</v>
      </c>
      <c r="C3366" s="257" t="s">
        <v>10408</v>
      </c>
      <c r="D3366" s="173" t="s">
        <v>10409</v>
      </c>
      <c r="E3366" s="174" t="s">
        <v>9097</v>
      </c>
      <c r="F3366" s="173" t="s">
        <v>2862</v>
      </c>
      <c r="G3366" s="425" t="s">
        <v>673</v>
      </c>
      <c r="H3366" s="425" t="s">
        <v>2863</v>
      </c>
      <c r="I3366" s="258" t="s">
        <v>9445</v>
      </c>
      <c r="J3366" s="259" t="s">
        <v>1272</v>
      </c>
      <c r="K3366" s="260" t="s">
        <v>10406</v>
      </c>
      <c r="L3366" s="442"/>
      <c r="M3366" s="426"/>
      <c r="N3366" s="173" t="s">
        <v>679</v>
      </c>
      <c r="O3366" s="173" t="s">
        <v>225</v>
      </c>
      <c r="P3366" s="262" t="str">
        <f t="shared" si="1"/>
        <v>IN-BLR-ANANTA-FAN-314_8</v>
      </c>
      <c r="Q3366" s="173" t="s">
        <v>10410</v>
      </c>
      <c r="R3366" s="425" t="str">
        <f>IFS(C3366="","",C3366="n/a","N/A",LEN(C3366),Concatenate("{",char(34),"asset",char(34),":{",char(34),"guid",char(34),":",char(34),Q3366,char(34),",",char(34),"site",char(34),":",char(34),LOWER('2-Building'!$B$4),char(34),",",char(34),"name",char(34),":",char(34),LOWER(C3366),char(34),"}}"))</f>
        <v>{"asset":{"guid":"uuid://2e86feb5-9ca2-46e7-a1b5-03a9e46c43fc","site":"in-blr-ananta","name":"fan-314"}}</v>
      </c>
      <c r="S3366" s="369" t="s">
        <v>2866</v>
      </c>
      <c r="T3366" s="427"/>
      <c r="U3366" s="427"/>
      <c r="V3366" s="428"/>
      <c r="W3366" s="429"/>
      <c r="X3366" s="430"/>
      <c r="Y3366" s="33" t="s">
        <v>8076</v>
      </c>
      <c r="Z3366" s="430"/>
      <c r="AA3366" s="430"/>
      <c r="AB3366" s="258">
        <v>143.0</v>
      </c>
      <c r="AC3366" s="430"/>
      <c r="AD3366" s="426"/>
      <c r="AE3366" s="428"/>
      <c r="AF3366" s="431"/>
      <c r="AG3366" s="432" t="str">
        <f>IFS(LEN(AF3366)=17,LOWER('2-Building'!$B$4 &amp; "-" &amp; C3366), AF3366="N/A", "N/A", LEN(AF3366)=0,"")</f>
        <v/>
      </c>
      <c r="AH3366" s="430"/>
      <c r="AI3366" s="430"/>
      <c r="AJ3366" s="430"/>
      <c r="AK3366" s="430"/>
      <c r="AL3366" s="430"/>
      <c r="AM3366" s="433"/>
      <c r="AN3366" s="430"/>
      <c r="AO3366" s="430"/>
      <c r="AP3366" s="430"/>
      <c r="AQ3366" s="430"/>
      <c r="AR3366" s="430"/>
      <c r="AS3366" s="430"/>
      <c r="AT3366" s="430"/>
      <c r="AU3366" s="426"/>
      <c r="AV3366" s="434"/>
      <c r="AW3366" s="269" t="s">
        <v>1750</v>
      </c>
      <c r="AX3366" s="269" t="s">
        <v>2869</v>
      </c>
      <c r="AY3366" s="270" t="s">
        <v>695</v>
      </c>
      <c r="AZ3366" s="435"/>
      <c r="BA3366" s="173">
        <v>10.0</v>
      </c>
      <c r="BB3366" s="434"/>
      <c r="BC3366" s="434"/>
      <c r="BD3366" s="308" t="s">
        <v>1844</v>
      </c>
      <c r="BE3366" s="436"/>
      <c r="BF3366" s="274" t="str">
        <f>IFERROR(__xludf.DUMMYFUNCTION("LOWER(Regexreplace(to_text(E3366),""[^A-Za-z0-9]"","""")&amp;""_""&amp;Regexreplace(to_text(F3366),""[^A-Za-z0-9]"",""""))"),"aquagen_evcbseries")</f>
        <v>aquagen_evcbseries</v>
      </c>
      <c r="BG3366" s="275" t="str">
        <f>IFERROR(__xludf.DUMMYFUNCTION("upper(Regexreplace(to_text(E3366),""[^A-Za-z0-9]"","""")&amp;""-""&amp;Regexreplace(to_text(F3366),""[^A-Za-z0-9]"",""""))"),"AQUAGEN-EVCBSERIES")</f>
        <v>AQUAGEN-EVCBSERIES</v>
      </c>
    </row>
    <row r="3367" ht="30.0" customHeight="1">
      <c r="A3367" s="425">
        <v>2690.0</v>
      </c>
      <c r="B3367" s="425" t="s">
        <v>670</v>
      </c>
      <c r="C3367" s="257" t="s">
        <v>10411</v>
      </c>
      <c r="D3367" s="173" t="s">
        <v>10412</v>
      </c>
      <c r="E3367" s="174" t="s">
        <v>9097</v>
      </c>
      <c r="F3367" s="173" t="s">
        <v>2862</v>
      </c>
      <c r="G3367" s="425" t="s">
        <v>673</v>
      </c>
      <c r="H3367" s="425" t="s">
        <v>2863</v>
      </c>
      <c r="I3367" s="258" t="s">
        <v>9445</v>
      </c>
      <c r="J3367" s="259" t="s">
        <v>1272</v>
      </c>
      <c r="K3367" s="260" t="s">
        <v>10406</v>
      </c>
      <c r="L3367" s="442"/>
      <c r="M3367" s="426"/>
      <c r="N3367" s="173" t="s">
        <v>679</v>
      </c>
      <c r="O3367" s="173" t="s">
        <v>225</v>
      </c>
      <c r="P3367" s="262" t="str">
        <f t="shared" si="1"/>
        <v>IN-BLR-ANANTA-FAN-315_8</v>
      </c>
      <c r="Q3367" s="173" t="s">
        <v>10413</v>
      </c>
      <c r="R3367" s="433" t="str">
        <f>IFS(C3367="","",C3367="n/a","N/A",LEN(C3367),Concatenate("{",char(34),"asset",char(34),":{",char(34),"guid",char(34),":",char(34),Q3367,char(34),",",char(34),"site",char(34),":",char(34),LOWER('2-Building'!$B$4),char(34),",",char(34),"name",char(34),":",char(34),LOWER(C3367),char(34),"}}"))</f>
        <v>{"asset":{"guid":"uuid://9e60e849-b839-4f91-9854-d747deb94303","site":"in-blr-ananta","name":"fan-315"}}</v>
      </c>
      <c r="S3367" s="369" t="s">
        <v>2866</v>
      </c>
      <c r="T3367" s="427"/>
      <c r="U3367" s="427"/>
      <c r="V3367" s="428"/>
      <c r="W3367" s="429"/>
      <c r="X3367" s="430"/>
      <c r="Y3367" s="33" t="s">
        <v>8076</v>
      </c>
      <c r="Z3367" s="430"/>
      <c r="AA3367" s="430"/>
      <c r="AB3367" s="258">
        <v>144.0</v>
      </c>
      <c r="AC3367" s="430"/>
      <c r="AD3367" s="426"/>
      <c r="AE3367" s="428"/>
      <c r="AF3367" s="431"/>
      <c r="AG3367" s="432" t="str">
        <f>IFS(LEN(AF3367)=17,LOWER('2-Building'!$B$4 &amp; "-" &amp; C3367), AF3367="N/A", "N/A", LEN(AF3367)=0,"")</f>
        <v/>
      </c>
      <c r="AH3367" s="430"/>
      <c r="AI3367" s="430"/>
      <c r="AJ3367" s="430"/>
      <c r="AK3367" s="430"/>
      <c r="AL3367" s="430"/>
      <c r="AM3367" s="433"/>
      <c r="AN3367" s="430"/>
      <c r="AO3367" s="430"/>
      <c r="AP3367" s="430"/>
      <c r="AQ3367" s="430"/>
      <c r="AR3367" s="430"/>
      <c r="AS3367" s="430"/>
      <c r="AT3367" s="430"/>
      <c r="AU3367" s="426"/>
      <c r="AV3367" s="434"/>
      <c r="AW3367" s="269" t="s">
        <v>1750</v>
      </c>
      <c r="AX3367" s="269" t="s">
        <v>2869</v>
      </c>
      <c r="AY3367" s="270" t="s">
        <v>695</v>
      </c>
      <c r="AZ3367" s="435"/>
      <c r="BA3367" s="173">
        <v>10.0</v>
      </c>
      <c r="BB3367" s="434"/>
      <c r="BC3367" s="434"/>
      <c r="BD3367" s="308" t="s">
        <v>1844</v>
      </c>
      <c r="BE3367" s="436"/>
      <c r="BF3367" s="274" t="str">
        <f>IFERROR(__xludf.DUMMYFUNCTION("LOWER(Regexreplace(to_text(E3367),""[^A-Za-z0-9]"","""")&amp;""_""&amp;Regexreplace(to_text(F3367),""[^A-Za-z0-9]"",""""))"),"aquagen_evcbseries")</f>
        <v>aquagen_evcbseries</v>
      </c>
      <c r="BG3367" s="275" t="str">
        <f>IFERROR(__xludf.DUMMYFUNCTION("upper(Regexreplace(to_text(E3367),""[^A-Za-z0-9]"","""")&amp;""-""&amp;Regexreplace(to_text(F3367),""[^A-Za-z0-9]"",""""))"),"AQUAGEN-EVCBSERIES")</f>
        <v>AQUAGEN-EVCBSERIES</v>
      </c>
    </row>
    <row r="3368" ht="30.0" customHeight="1">
      <c r="A3368" s="425">
        <v>2690.0</v>
      </c>
      <c r="B3368" s="425" t="s">
        <v>670</v>
      </c>
      <c r="C3368" s="257" t="s">
        <v>10414</v>
      </c>
      <c r="D3368" s="173" t="s">
        <v>10415</v>
      </c>
      <c r="E3368" s="174" t="s">
        <v>9097</v>
      </c>
      <c r="F3368" s="173" t="s">
        <v>2862</v>
      </c>
      <c r="G3368" s="425" t="s">
        <v>673</v>
      </c>
      <c r="H3368" s="425" t="s">
        <v>2863</v>
      </c>
      <c r="I3368" s="258" t="s">
        <v>9445</v>
      </c>
      <c r="J3368" s="259" t="s">
        <v>1272</v>
      </c>
      <c r="K3368" s="260" t="s">
        <v>10406</v>
      </c>
      <c r="L3368" s="442"/>
      <c r="M3368" s="426"/>
      <c r="N3368" s="173" t="s">
        <v>679</v>
      </c>
      <c r="O3368" s="173" t="s">
        <v>225</v>
      </c>
      <c r="P3368" s="262" t="str">
        <f t="shared" si="1"/>
        <v>IN-BLR-ANANTA-FAN-316_8</v>
      </c>
      <c r="Q3368" s="173" t="s">
        <v>10416</v>
      </c>
      <c r="R3368" s="425" t="str">
        <f>IFS(C3368="","",C3368="n/a","N/A",LEN(C3368),Concatenate("{",char(34),"asset",char(34),":{",char(34),"guid",char(34),":",char(34),Q3368,char(34),",",char(34),"site",char(34),":",char(34),LOWER('2-Building'!$B$4),char(34),",",char(34),"name",char(34),":",char(34),LOWER(C3368),char(34),"}}"))</f>
        <v>{"asset":{"guid":"uuid://a1706700-cd5f-427b-a159-05f99d2eff97","site":"in-blr-ananta","name":"fan-316"}}</v>
      </c>
      <c r="S3368" s="369" t="s">
        <v>2866</v>
      </c>
      <c r="T3368" s="427"/>
      <c r="U3368" s="427"/>
      <c r="V3368" s="428"/>
      <c r="W3368" s="429"/>
      <c r="X3368" s="430"/>
      <c r="Y3368" s="33" t="s">
        <v>8076</v>
      </c>
      <c r="Z3368" s="430"/>
      <c r="AA3368" s="430"/>
      <c r="AB3368" s="258">
        <v>145.0</v>
      </c>
      <c r="AC3368" s="430"/>
      <c r="AD3368" s="426"/>
      <c r="AE3368" s="428"/>
      <c r="AF3368" s="431"/>
      <c r="AG3368" s="432" t="str">
        <f>IFS(LEN(AF3368)=17,LOWER('2-Building'!$B$4 &amp; "-" &amp; C3368), AF3368="N/A", "N/A", LEN(AF3368)=0,"")</f>
        <v/>
      </c>
      <c r="AH3368" s="430"/>
      <c r="AI3368" s="430"/>
      <c r="AJ3368" s="430"/>
      <c r="AK3368" s="430"/>
      <c r="AL3368" s="430"/>
      <c r="AM3368" s="433"/>
      <c r="AN3368" s="430"/>
      <c r="AO3368" s="430"/>
      <c r="AP3368" s="430"/>
      <c r="AQ3368" s="430"/>
      <c r="AR3368" s="430"/>
      <c r="AS3368" s="430"/>
      <c r="AT3368" s="430"/>
      <c r="AU3368" s="426"/>
      <c r="AV3368" s="434"/>
      <c r="AW3368" s="269" t="s">
        <v>1750</v>
      </c>
      <c r="AX3368" s="269" t="s">
        <v>2869</v>
      </c>
      <c r="AY3368" s="270" t="s">
        <v>695</v>
      </c>
      <c r="AZ3368" s="435"/>
      <c r="BA3368" s="173">
        <v>10.0</v>
      </c>
      <c r="BB3368" s="434"/>
      <c r="BC3368" s="434"/>
      <c r="BD3368" s="308" t="s">
        <v>1844</v>
      </c>
      <c r="BE3368" s="436"/>
      <c r="BF3368" s="274" t="str">
        <f>IFERROR(__xludf.DUMMYFUNCTION("LOWER(Regexreplace(to_text(E3368),""[^A-Za-z0-9]"","""")&amp;""_""&amp;Regexreplace(to_text(F3368),""[^A-Za-z0-9]"",""""))"),"aquagen_evcbseries")</f>
        <v>aquagen_evcbseries</v>
      </c>
      <c r="BG3368" s="275" t="str">
        <f>IFERROR(__xludf.DUMMYFUNCTION("upper(Regexreplace(to_text(E3368),""[^A-Za-z0-9]"","""")&amp;""-""&amp;Regexreplace(to_text(F3368),""[^A-Za-z0-9]"",""""))"),"AQUAGEN-EVCBSERIES")</f>
        <v>AQUAGEN-EVCBSERIES</v>
      </c>
    </row>
    <row r="3369" ht="30.0" customHeight="1">
      <c r="A3369" s="237">
        <v>2689.0</v>
      </c>
      <c r="B3369" s="425" t="s">
        <v>670</v>
      </c>
      <c r="C3369" s="257" t="s">
        <v>10417</v>
      </c>
      <c r="D3369" s="173" t="s">
        <v>10418</v>
      </c>
      <c r="E3369" s="174" t="s">
        <v>9097</v>
      </c>
      <c r="F3369" s="173" t="s">
        <v>2862</v>
      </c>
      <c r="G3369" s="425" t="s">
        <v>673</v>
      </c>
      <c r="H3369" s="425" t="s">
        <v>2863</v>
      </c>
      <c r="I3369" s="258" t="s">
        <v>9445</v>
      </c>
      <c r="J3369" s="259" t="s">
        <v>1272</v>
      </c>
      <c r="K3369" s="260" t="s">
        <v>10406</v>
      </c>
      <c r="L3369" s="442"/>
      <c r="M3369" s="426"/>
      <c r="N3369" s="173" t="s">
        <v>679</v>
      </c>
      <c r="O3369" s="173" t="s">
        <v>225</v>
      </c>
      <c r="P3369" s="262" t="str">
        <f t="shared" si="1"/>
        <v>IN-BLR-ANANTA-FAN-317_8</v>
      </c>
      <c r="Q3369" s="173" t="s">
        <v>10419</v>
      </c>
      <c r="R3369" s="425" t="str">
        <f>IFS(C3369="","",C3369="n/a","N/A",LEN(C3369),Concatenate("{",char(34),"asset",char(34),":{",char(34),"guid",char(34),":",char(34),Q3369,char(34),",",char(34),"site",char(34),":",char(34),LOWER('2-Building'!$B$4),char(34),",",char(34),"name",char(34),":",char(34),LOWER(C3369),char(34),"}}"))</f>
        <v>{"asset":{"guid":"uuid://5f44814a-2140-45c5-b150-dc4f16e510c9","site":"in-blr-ananta","name":"fan-317"}}</v>
      </c>
      <c r="S3369" s="369" t="s">
        <v>2866</v>
      </c>
      <c r="T3369" s="427"/>
      <c r="U3369" s="427"/>
      <c r="V3369" s="428"/>
      <c r="W3369" s="429"/>
      <c r="X3369" s="430"/>
      <c r="Y3369" s="33" t="s">
        <v>8076</v>
      </c>
      <c r="Z3369" s="430"/>
      <c r="AA3369" s="430"/>
      <c r="AB3369" s="258">
        <v>146.0</v>
      </c>
      <c r="AC3369" s="430"/>
      <c r="AD3369" s="426"/>
      <c r="AE3369" s="428"/>
      <c r="AF3369" s="431"/>
      <c r="AG3369" s="432" t="str">
        <f>IFS(LEN(AF3369)=17,LOWER('2-Building'!$B$4 &amp; "-" &amp; C3369), AF3369="N/A", "N/A", LEN(AF3369)=0,"")</f>
        <v/>
      </c>
      <c r="AH3369" s="430"/>
      <c r="AI3369" s="430"/>
      <c r="AJ3369" s="430"/>
      <c r="AK3369" s="430"/>
      <c r="AL3369" s="430"/>
      <c r="AM3369" s="433"/>
      <c r="AN3369" s="430"/>
      <c r="AO3369" s="430"/>
      <c r="AP3369" s="430"/>
      <c r="AQ3369" s="430"/>
      <c r="AR3369" s="430"/>
      <c r="AS3369" s="430"/>
      <c r="AT3369" s="430"/>
      <c r="AU3369" s="426"/>
      <c r="AV3369" s="434"/>
      <c r="AW3369" s="269" t="s">
        <v>1750</v>
      </c>
      <c r="AX3369" s="269" t="s">
        <v>2869</v>
      </c>
      <c r="AY3369" s="270" t="s">
        <v>695</v>
      </c>
      <c r="AZ3369" s="435"/>
      <c r="BA3369" s="173">
        <v>10.0</v>
      </c>
      <c r="BB3369" s="434"/>
      <c r="BC3369" s="434"/>
      <c r="BD3369" s="308" t="s">
        <v>1844</v>
      </c>
      <c r="BE3369" s="436"/>
      <c r="BF3369" s="274" t="str">
        <f>IFERROR(__xludf.DUMMYFUNCTION("LOWER(Regexreplace(to_text(E3369),""[^A-Za-z0-9]"","""")&amp;""_""&amp;Regexreplace(to_text(F3369),""[^A-Za-z0-9]"",""""))"),"aquagen_evcbseries")</f>
        <v>aquagen_evcbseries</v>
      </c>
      <c r="BG3369" s="275" t="str">
        <f>IFERROR(__xludf.DUMMYFUNCTION("upper(Regexreplace(to_text(E3369),""[^A-Za-z0-9]"","""")&amp;""-""&amp;Regexreplace(to_text(F3369),""[^A-Za-z0-9]"",""""))"),"AQUAGEN-EVCBSERIES")</f>
        <v>AQUAGEN-EVCBSERIES</v>
      </c>
    </row>
    <row r="3370" ht="30.0" customHeight="1">
      <c r="A3370" s="237">
        <v>2691.0</v>
      </c>
      <c r="B3370" s="425" t="s">
        <v>670</v>
      </c>
      <c r="C3370" s="257" t="s">
        <v>10420</v>
      </c>
      <c r="D3370" s="173" t="s">
        <v>10421</v>
      </c>
      <c r="E3370" s="174" t="s">
        <v>9097</v>
      </c>
      <c r="F3370" s="173" t="s">
        <v>2862</v>
      </c>
      <c r="G3370" s="425" t="s">
        <v>673</v>
      </c>
      <c r="H3370" s="425" t="s">
        <v>2863</v>
      </c>
      <c r="I3370" s="258" t="s">
        <v>9445</v>
      </c>
      <c r="J3370" s="259" t="s">
        <v>1272</v>
      </c>
      <c r="K3370" s="260" t="s">
        <v>10406</v>
      </c>
      <c r="L3370" s="442"/>
      <c r="M3370" s="426"/>
      <c r="N3370" s="173" t="s">
        <v>679</v>
      </c>
      <c r="O3370" s="173" t="s">
        <v>225</v>
      </c>
      <c r="P3370" s="262" t="str">
        <f t="shared" si="1"/>
        <v>IN-BLR-ANANTA-FAN-318_8</v>
      </c>
      <c r="Q3370" s="173" t="s">
        <v>10422</v>
      </c>
      <c r="R3370" s="425" t="str">
        <f>IFS(C3370="","",C3370="n/a","N/A",LEN(C3370),Concatenate("{",char(34),"asset",char(34),":{",char(34),"guid",char(34),":",char(34),Q3370,char(34),",",char(34),"site",char(34),":",char(34),LOWER('2-Building'!$B$4),char(34),",",char(34),"name",char(34),":",char(34),LOWER(C3370),char(34),"}}"))</f>
        <v>{"asset":{"guid":"uuid://40c8f94c-29b6-4a26-a9d2-29d1f5290c52","site":"in-blr-ananta","name":"fan-318"}}</v>
      </c>
      <c r="S3370" s="369" t="s">
        <v>2866</v>
      </c>
      <c r="T3370" s="427"/>
      <c r="U3370" s="427"/>
      <c r="V3370" s="428"/>
      <c r="W3370" s="429"/>
      <c r="X3370" s="430"/>
      <c r="Y3370" s="33" t="s">
        <v>8076</v>
      </c>
      <c r="Z3370" s="430"/>
      <c r="AA3370" s="430"/>
      <c r="AB3370" s="258">
        <v>147.0</v>
      </c>
      <c r="AC3370" s="430"/>
      <c r="AD3370" s="426"/>
      <c r="AE3370" s="428"/>
      <c r="AF3370" s="431"/>
      <c r="AG3370" s="432" t="str">
        <f>IFS(LEN(AF3370)=17,LOWER('2-Building'!$B$4 &amp; "-" &amp; C3370), AF3370="N/A", "N/A", LEN(AF3370)=0,"")</f>
        <v/>
      </c>
      <c r="AH3370" s="430"/>
      <c r="AI3370" s="430"/>
      <c r="AJ3370" s="430"/>
      <c r="AK3370" s="430"/>
      <c r="AL3370" s="430"/>
      <c r="AM3370" s="433"/>
      <c r="AN3370" s="430"/>
      <c r="AO3370" s="430"/>
      <c r="AP3370" s="430"/>
      <c r="AQ3370" s="430"/>
      <c r="AR3370" s="430"/>
      <c r="AS3370" s="430"/>
      <c r="AT3370" s="430"/>
      <c r="AU3370" s="426"/>
      <c r="AV3370" s="434"/>
      <c r="AW3370" s="269" t="s">
        <v>1750</v>
      </c>
      <c r="AX3370" s="269" t="s">
        <v>2869</v>
      </c>
      <c r="AY3370" s="270" t="s">
        <v>695</v>
      </c>
      <c r="AZ3370" s="435"/>
      <c r="BA3370" s="173">
        <v>10.0</v>
      </c>
      <c r="BB3370" s="434"/>
      <c r="BC3370" s="434"/>
      <c r="BD3370" s="308" t="s">
        <v>1844</v>
      </c>
      <c r="BE3370" s="436"/>
      <c r="BF3370" s="274" t="str">
        <f>IFERROR(__xludf.DUMMYFUNCTION("LOWER(Regexreplace(to_text(E3370),""[^A-Za-z0-9]"","""")&amp;""_""&amp;Regexreplace(to_text(F3370),""[^A-Za-z0-9]"",""""))"),"aquagen_evcbseries")</f>
        <v>aquagen_evcbseries</v>
      </c>
      <c r="BG3370" s="275" t="str">
        <f>IFERROR(__xludf.DUMMYFUNCTION("upper(Regexreplace(to_text(E3370),""[^A-Za-z0-9]"","""")&amp;""-""&amp;Regexreplace(to_text(F3370),""[^A-Za-z0-9]"",""""))"),"AQUAGEN-EVCBSERIES")</f>
        <v>AQUAGEN-EVCBSERIES</v>
      </c>
    </row>
    <row r="3371" ht="30.0" customHeight="1">
      <c r="A3371" s="328">
        <v>2690.0</v>
      </c>
      <c r="B3371" s="425" t="s">
        <v>670</v>
      </c>
      <c r="C3371" s="257" t="s">
        <v>10423</v>
      </c>
      <c r="D3371" s="173" t="s">
        <v>10424</v>
      </c>
      <c r="E3371" s="174" t="s">
        <v>9097</v>
      </c>
      <c r="F3371" s="173" t="s">
        <v>2862</v>
      </c>
      <c r="G3371" s="425" t="s">
        <v>673</v>
      </c>
      <c r="H3371" s="425" t="s">
        <v>2863</v>
      </c>
      <c r="I3371" s="258" t="s">
        <v>9445</v>
      </c>
      <c r="J3371" s="259" t="s">
        <v>1333</v>
      </c>
      <c r="K3371" s="260">
        <v>948.0</v>
      </c>
      <c r="L3371" s="442"/>
      <c r="M3371" s="426"/>
      <c r="N3371" s="173" t="s">
        <v>679</v>
      </c>
      <c r="O3371" s="173" t="s">
        <v>225</v>
      </c>
      <c r="P3371" s="262" t="str">
        <f t="shared" si="1"/>
        <v>IN-BLR-ANANTA-FAN-319_9</v>
      </c>
      <c r="Q3371" s="173" t="s">
        <v>10425</v>
      </c>
      <c r="R3371" s="425" t="str">
        <f>IFS(C3371="","",C3371="n/a","N/A",LEN(C3371),Concatenate("{",char(34),"asset",char(34),":{",char(34),"guid",char(34),":",char(34),Q3371,char(34),",",char(34),"site",char(34),":",char(34),LOWER('2-Building'!$B$4),char(34),",",char(34),"name",char(34),":",char(34),LOWER(C3371),char(34),"}}"))</f>
        <v>{"asset":{"guid":"uuid://4676c6e7-0e39-4126-9e9b-06503c95c384","site":"in-blr-ananta","name":"fan-319"}}</v>
      </c>
      <c r="S3371" s="369" t="s">
        <v>2866</v>
      </c>
      <c r="T3371" s="427"/>
      <c r="U3371" s="427"/>
      <c r="V3371" s="428"/>
      <c r="W3371" s="429"/>
      <c r="X3371" s="430"/>
      <c r="Y3371" s="33" t="s">
        <v>8076</v>
      </c>
      <c r="Z3371" s="430"/>
      <c r="AA3371" s="430"/>
      <c r="AB3371" s="258">
        <v>160.0</v>
      </c>
      <c r="AC3371" s="430"/>
      <c r="AD3371" s="426"/>
      <c r="AE3371" s="428"/>
      <c r="AF3371" s="431"/>
      <c r="AG3371" s="432" t="str">
        <f>IFS(LEN(AF3371)=17,LOWER('2-Building'!$B$4 &amp; "-" &amp; C3371), AF3371="N/A", "N/A", LEN(AF3371)=0,"")</f>
        <v/>
      </c>
      <c r="AH3371" s="430"/>
      <c r="AI3371" s="430"/>
      <c r="AJ3371" s="430"/>
      <c r="AK3371" s="430"/>
      <c r="AL3371" s="430"/>
      <c r="AM3371" s="433"/>
      <c r="AN3371" s="430"/>
      <c r="AO3371" s="430"/>
      <c r="AP3371" s="430"/>
      <c r="AQ3371" s="430"/>
      <c r="AR3371" s="430"/>
      <c r="AS3371" s="430"/>
      <c r="AT3371" s="430"/>
      <c r="AU3371" s="426"/>
      <c r="AV3371" s="434"/>
      <c r="AW3371" s="269" t="s">
        <v>1750</v>
      </c>
      <c r="AX3371" s="269" t="s">
        <v>2869</v>
      </c>
      <c r="AY3371" s="270" t="s">
        <v>695</v>
      </c>
      <c r="AZ3371" s="435"/>
      <c r="BA3371" s="173">
        <v>10.0</v>
      </c>
      <c r="BB3371" s="434"/>
      <c r="BC3371" s="434"/>
      <c r="BD3371" s="308" t="s">
        <v>1844</v>
      </c>
      <c r="BE3371" s="436"/>
      <c r="BF3371" s="274" t="str">
        <f>IFERROR(__xludf.DUMMYFUNCTION("LOWER(Regexreplace(to_text(E3371),""[^A-Za-z0-9]"","""")&amp;""_""&amp;Regexreplace(to_text(F3371),""[^A-Za-z0-9]"",""""))"),"aquagen_evcbseries")</f>
        <v>aquagen_evcbseries</v>
      </c>
      <c r="BG3371" s="275" t="str">
        <f>IFERROR(__xludf.DUMMYFUNCTION("upper(Regexreplace(to_text(E3371),""[^A-Za-z0-9]"","""")&amp;""-""&amp;Regexreplace(to_text(F3371),""[^A-Za-z0-9]"",""""))"),"AQUAGEN-EVCBSERIES")</f>
        <v>AQUAGEN-EVCBSERIES</v>
      </c>
    </row>
    <row r="3372" ht="30.0" customHeight="1">
      <c r="A3372" s="425">
        <v>2690.0</v>
      </c>
      <c r="B3372" s="425" t="s">
        <v>670</v>
      </c>
      <c r="C3372" s="257" t="s">
        <v>10426</v>
      </c>
      <c r="D3372" s="173" t="s">
        <v>10427</v>
      </c>
      <c r="E3372" s="174" t="s">
        <v>9097</v>
      </c>
      <c r="F3372" s="173" t="s">
        <v>2862</v>
      </c>
      <c r="G3372" s="425" t="s">
        <v>673</v>
      </c>
      <c r="H3372" s="425" t="s">
        <v>2863</v>
      </c>
      <c r="I3372" s="258" t="s">
        <v>9445</v>
      </c>
      <c r="J3372" s="259" t="s">
        <v>1333</v>
      </c>
      <c r="K3372" s="260">
        <v>948.0</v>
      </c>
      <c r="L3372" s="442"/>
      <c r="M3372" s="426"/>
      <c r="N3372" s="173" t="s">
        <v>679</v>
      </c>
      <c r="O3372" s="173" t="s">
        <v>225</v>
      </c>
      <c r="P3372" s="262" t="str">
        <f t="shared" si="1"/>
        <v>IN-BLR-ANANTA-FAN-320_9</v>
      </c>
      <c r="Q3372" s="173" t="s">
        <v>10428</v>
      </c>
      <c r="R3372" s="433" t="str">
        <f>IFS(C3372="","",C3372="n/a","N/A",LEN(C3372),Concatenate("{",char(34),"asset",char(34),":{",char(34),"guid",char(34),":",char(34),Q3372,char(34),",",char(34),"site",char(34),":",char(34),LOWER('2-Building'!$B$4),char(34),",",char(34),"name",char(34),":",char(34),LOWER(C3372),char(34),"}}"))</f>
        <v>{"asset":{"guid":"uuid://2c6f7365-eca1-465c-ba5d-4857098d6f7d","site":"in-blr-ananta","name":"fan-320"}}</v>
      </c>
      <c r="S3372" s="369" t="s">
        <v>2866</v>
      </c>
      <c r="T3372" s="427"/>
      <c r="U3372" s="427"/>
      <c r="V3372" s="428"/>
      <c r="W3372" s="429"/>
      <c r="X3372" s="430"/>
      <c r="Y3372" s="33" t="s">
        <v>8076</v>
      </c>
      <c r="Z3372" s="430"/>
      <c r="AA3372" s="430"/>
      <c r="AB3372" s="258">
        <v>161.0</v>
      </c>
      <c r="AC3372" s="430"/>
      <c r="AD3372" s="426"/>
      <c r="AE3372" s="428"/>
      <c r="AF3372" s="431"/>
      <c r="AG3372" s="432" t="str">
        <f>IFS(LEN(AF3372)=17,LOWER('2-Building'!$B$4 &amp; "-" &amp; C3372), AF3372="N/A", "N/A", LEN(AF3372)=0,"")</f>
        <v/>
      </c>
      <c r="AH3372" s="430"/>
      <c r="AI3372" s="430"/>
      <c r="AJ3372" s="430"/>
      <c r="AK3372" s="430"/>
      <c r="AL3372" s="430"/>
      <c r="AM3372" s="433"/>
      <c r="AN3372" s="430"/>
      <c r="AO3372" s="430"/>
      <c r="AP3372" s="430"/>
      <c r="AQ3372" s="430"/>
      <c r="AR3372" s="430"/>
      <c r="AS3372" s="430"/>
      <c r="AT3372" s="430"/>
      <c r="AU3372" s="426"/>
      <c r="AV3372" s="434"/>
      <c r="AW3372" s="269" t="s">
        <v>1750</v>
      </c>
      <c r="AX3372" s="269" t="s">
        <v>2869</v>
      </c>
      <c r="AY3372" s="270" t="s">
        <v>695</v>
      </c>
      <c r="AZ3372" s="435"/>
      <c r="BA3372" s="173">
        <v>10.0</v>
      </c>
      <c r="BB3372" s="434"/>
      <c r="BC3372" s="434"/>
      <c r="BD3372" s="308" t="s">
        <v>1844</v>
      </c>
      <c r="BE3372" s="436"/>
      <c r="BF3372" s="274" t="str">
        <f>IFERROR(__xludf.DUMMYFUNCTION("LOWER(Regexreplace(to_text(E3372),""[^A-Za-z0-9]"","""")&amp;""_""&amp;Regexreplace(to_text(F3372),""[^A-Za-z0-9]"",""""))"),"aquagen_evcbseries")</f>
        <v>aquagen_evcbseries</v>
      </c>
      <c r="BG3372" s="275" t="str">
        <f>IFERROR(__xludf.DUMMYFUNCTION("upper(Regexreplace(to_text(E3372),""[^A-Za-z0-9]"","""")&amp;""-""&amp;Regexreplace(to_text(F3372),""[^A-Za-z0-9]"",""""))"),"AQUAGEN-EVCBSERIES")</f>
        <v>AQUAGEN-EVCBSERIES</v>
      </c>
    </row>
    <row r="3373" ht="30.0" customHeight="1">
      <c r="A3373" s="328">
        <v>2690.0</v>
      </c>
      <c r="B3373" s="425" t="s">
        <v>670</v>
      </c>
      <c r="C3373" s="257" t="s">
        <v>10429</v>
      </c>
      <c r="D3373" s="173" t="s">
        <v>10430</v>
      </c>
      <c r="E3373" s="174" t="s">
        <v>9097</v>
      </c>
      <c r="F3373" s="173" t="s">
        <v>2862</v>
      </c>
      <c r="G3373" s="425" t="s">
        <v>673</v>
      </c>
      <c r="H3373" s="425" t="s">
        <v>2863</v>
      </c>
      <c r="I3373" s="258" t="s">
        <v>9445</v>
      </c>
      <c r="J3373" s="259" t="s">
        <v>1333</v>
      </c>
      <c r="K3373" s="260">
        <v>948.0</v>
      </c>
      <c r="L3373" s="442"/>
      <c r="M3373" s="426"/>
      <c r="N3373" s="173" t="s">
        <v>679</v>
      </c>
      <c r="O3373" s="173" t="s">
        <v>225</v>
      </c>
      <c r="P3373" s="262" t="str">
        <f t="shared" si="1"/>
        <v>IN-BLR-ANANTA-FAN-321_9</v>
      </c>
      <c r="Q3373" s="173" t="s">
        <v>10431</v>
      </c>
      <c r="R3373" s="425" t="str">
        <f>IFS(C3373="","",C3373="n/a","N/A",LEN(C3373),Concatenate("{",char(34),"asset",char(34),":{",char(34),"guid",char(34),":",char(34),Q3373,char(34),",",char(34),"site",char(34),":",char(34),LOWER('2-Building'!$B$4),char(34),",",char(34),"name",char(34),":",char(34),LOWER(C3373),char(34),"}}"))</f>
        <v>{"asset":{"guid":"uuid://61e7999d-77fb-41b7-9633-52d9513041d8","site":"in-blr-ananta","name":"fan-321"}}</v>
      </c>
      <c r="S3373" s="369" t="s">
        <v>2866</v>
      </c>
      <c r="T3373" s="427"/>
      <c r="U3373" s="427"/>
      <c r="V3373" s="428"/>
      <c r="W3373" s="429"/>
      <c r="X3373" s="430"/>
      <c r="Y3373" s="33" t="s">
        <v>8076</v>
      </c>
      <c r="Z3373" s="430"/>
      <c r="AA3373" s="430"/>
      <c r="AB3373" s="258">
        <v>162.0</v>
      </c>
      <c r="AC3373" s="430"/>
      <c r="AD3373" s="426"/>
      <c r="AE3373" s="428"/>
      <c r="AF3373" s="431"/>
      <c r="AG3373" s="432" t="str">
        <f>IFS(LEN(AF3373)=17,LOWER('2-Building'!$B$4 &amp; "-" &amp; C3373), AF3373="N/A", "N/A", LEN(AF3373)=0,"")</f>
        <v/>
      </c>
      <c r="AH3373" s="430"/>
      <c r="AI3373" s="430"/>
      <c r="AJ3373" s="430"/>
      <c r="AK3373" s="430"/>
      <c r="AL3373" s="430"/>
      <c r="AM3373" s="433"/>
      <c r="AN3373" s="430"/>
      <c r="AO3373" s="430"/>
      <c r="AP3373" s="430"/>
      <c r="AQ3373" s="430"/>
      <c r="AR3373" s="430"/>
      <c r="AS3373" s="430"/>
      <c r="AT3373" s="430"/>
      <c r="AU3373" s="426"/>
      <c r="AV3373" s="434"/>
      <c r="AW3373" s="269" t="s">
        <v>1750</v>
      </c>
      <c r="AX3373" s="269" t="s">
        <v>2869</v>
      </c>
      <c r="AY3373" s="270" t="s">
        <v>695</v>
      </c>
      <c r="AZ3373" s="435"/>
      <c r="BA3373" s="173">
        <v>10.0</v>
      </c>
      <c r="BB3373" s="434"/>
      <c r="BC3373" s="434"/>
      <c r="BD3373" s="308" t="s">
        <v>1844</v>
      </c>
      <c r="BE3373" s="436"/>
      <c r="BF3373" s="274" t="str">
        <f>IFERROR(__xludf.DUMMYFUNCTION("LOWER(Regexreplace(to_text(E3373),""[^A-Za-z0-9]"","""")&amp;""_""&amp;Regexreplace(to_text(F3373),""[^A-Za-z0-9]"",""""))"),"aquagen_evcbseries")</f>
        <v>aquagen_evcbseries</v>
      </c>
      <c r="BG3373" s="275" t="str">
        <f>IFERROR(__xludf.DUMMYFUNCTION("upper(Regexreplace(to_text(E3373),""[^A-Za-z0-9]"","""")&amp;""-""&amp;Regexreplace(to_text(F3373),""[^A-Za-z0-9]"",""""))"),"AQUAGEN-EVCBSERIES")</f>
        <v>AQUAGEN-EVCBSERIES</v>
      </c>
    </row>
    <row r="3374" ht="30.0" customHeight="1">
      <c r="A3374" s="425">
        <v>2690.0</v>
      </c>
      <c r="B3374" s="425" t="s">
        <v>670</v>
      </c>
      <c r="C3374" s="257" t="s">
        <v>10432</v>
      </c>
      <c r="D3374" s="173" t="s">
        <v>10433</v>
      </c>
      <c r="E3374" s="174" t="s">
        <v>9097</v>
      </c>
      <c r="F3374" s="173" t="s">
        <v>2862</v>
      </c>
      <c r="G3374" s="425" t="s">
        <v>673</v>
      </c>
      <c r="H3374" s="425" t="s">
        <v>2863</v>
      </c>
      <c r="I3374" s="258" t="s">
        <v>9445</v>
      </c>
      <c r="J3374" s="259" t="s">
        <v>1333</v>
      </c>
      <c r="K3374" s="260">
        <v>948.0</v>
      </c>
      <c r="L3374" s="442"/>
      <c r="M3374" s="426"/>
      <c r="N3374" s="173" t="s">
        <v>679</v>
      </c>
      <c r="O3374" s="173" t="s">
        <v>225</v>
      </c>
      <c r="P3374" s="262" t="str">
        <f t="shared" si="1"/>
        <v>IN-BLR-ANANTA-FAN-322_9</v>
      </c>
      <c r="Q3374" s="173" t="s">
        <v>10434</v>
      </c>
      <c r="R3374" s="433" t="str">
        <f>IFS(C3374="","",C3374="n/a","N/A",LEN(C3374),Concatenate("{",char(34),"asset",char(34),":{",char(34),"guid",char(34),":",char(34),Q3374,char(34),",",char(34),"site",char(34),":",char(34),LOWER('2-Building'!$B$4),char(34),",",char(34),"name",char(34),":",char(34),LOWER(C3374),char(34),"}}"))</f>
        <v>{"asset":{"guid":"uuid://2d359290-00c4-4201-8f2d-7e0f963bcb1c","site":"in-blr-ananta","name":"fan-322"}}</v>
      </c>
      <c r="S3374" s="369" t="s">
        <v>2866</v>
      </c>
      <c r="T3374" s="427"/>
      <c r="U3374" s="427"/>
      <c r="V3374" s="428"/>
      <c r="W3374" s="429"/>
      <c r="X3374" s="430"/>
      <c r="Y3374" s="33" t="s">
        <v>8076</v>
      </c>
      <c r="Z3374" s="430"/>
      <c r="AA3374" s="430"/>
      <c r="AB3374" s="258">
        <v>163.0</v>
      </c>
      <c r="AC3374" s="430"/>
      <c r="AD3374" s="426"/>
      <c r="AE3374" s="428"/>
      <c r="AF3374" s="431"/>
      <c r="AG3374" s="432" t="str">
        <f>IFS(LEN(AF3374)=17,LOWER('2-Building'!$B$4 &amp; "-" &amp; C3374), AF3374="N/A", "N/A", LEN(AF3374)=0,"")</f>
        <v/>
      </c>
      <c r="AH3374" s="430"/>
      <c r="AI3374" s="430"/>
      <c r="AJ3374" s="430"/>
      <c r="AK3374" s="430"/>
      <c r="AL3374" s="430"/>
      <c r="AM3374" s="433"/>
      <c r="AN3374" s="430"/>
      <c r="AO3374" s="430"/>
      <c r="AP3374" s="430"/>
      <c r="AQ3374" s="430"/>
      <c r="AR3374" s="430"/>
      <c r="AS3374" s="430"/>
      <c r="AT3374" s="430"/>
      <c r="AU3374" s="426"/>
      <c r="AV3374" s="434"/>
      <c r="AW3374" s="269" t="s">
        <v>1750</v>
      </c>
      <c r="AX3374" s="269" t="s">
        <v>2869</v>
      </c>
      <c r="AY3374" s="270" t="s">
        <v>695</v>
      </c>
      <c r="AZ3374" s="435"/>
      <c r="BA3374" s="173">
        <v>10.0</v>
      </c>
      <c r="BB3374" s="434"/>
      <c r="BC3374" s="434"/>
      <c r="BD3374" s="308" t="s">
        <v>1844</v>
      </c>
      <c r="BE3374" s="436"/>
      <c r="BF3374" s="274" t="str">
        <f>IFERROR(__xludf.DUMMYFUNCTION("LOWER(Regexreplace(to_text(E3374),""[^A-Za-z0-9]"","""")&amp;""_""&amp;Regexreplace(to_text(F3374),""[^A-Za-z0-9]"",""""))"),"aquagen_evcbseries")</f>
        <v>aquagen_evcbseries</v>
      </c>
      <c r="BG3374" s="275" t="str">
        <f>IFERROR(__xludf.DUMMYFUNCTION("upper(Regexreplace(to_text(E3374),""[^A-Za-z0-9]"","""")&amp;""-""&amp;Regexreplace(to_text(F3374),""[^A-Za-z0-9]"",""""))"),"AQUAGEN-EVCBSERIES")</f>
        <v>AQUAGEN-EVCBSERIES</v>
      </c>
    </row>
    <row r="3375" ht="30.0" customHeight="1">
      <c r="A3375" s="425">
        <v>2690.0</v>
      </c>
      <c r="B3375" s="425" t="s">
        <v>670</v>
      </c>
      <c r="C3375" s="257" t="s">
        <v>10435</v>
      </c>
      <c r="D3375" s="173" t="s">
        <v>10436</v>
      </c>
      <c r="E3375" s="174" t="s">
        <v>9097</v>
      </c>
      <c r="F3375" s="173" t="s">
        <v>2862</v>
      </c>
      <c r="G3375" s="425" t="s">
        <v>673</v>
      </c>
      <c r="H3375" s="425" t="s">
        <v>2863</v>
      </c>
      <c r="I3375" s="258" t="s">
        <v>9445</v>
      </c>
      <c r="J3375" s="259" t="s">
        <v>1333</v>
      </c>
      <c r="K3375" s="260">
        <v>948.0</v>
      </c>
      <c r="L3375" s="442"/>
      <c r="M3375" s="426"/>
      <c r="N3375" s="173" t="s">
        <v>679</v>
      </c>
      <c r="O3375" s="173" t="s">
        <v>225</v>
      </c>
      <c r="P3375" s="262" t="str">
        <f t="shared" si="1"/>
        <v>IN-BLR-ANANTA-FAN-323_9</v>
      </c>
      <c r="Q3375" s="173" t="s">
        <v>10437</v>
      </c>
      <c r="R3375" s="425" t="str">
        <f>IFS(C3375="","",C3375="n/a","N/A",LEN(C3375),Concatenate("{",char(34),"asset",char(34),":{",char(34),"guid",char(34),":",char(34),Q3375,char(34),",",char(34),"site",char(34),":",char(34),LOWER('2-Building'!$B$4),char(34),",",char(34),"name",char(34),":",char(34),LOWER(C3375),char(34),"}}"))</f>
        <v>{"asset":{"guid":"uuid://9842d113-1add-4568-9325-d92f46a0d6ab","site":"in-blr-ananta","name":"fan-323"}}</v>
      </c>
      <c r="S3375" s="369" t="s">
        <v>2866</v>
      </c>
      <c r="T3375" s="427"/>
      <c r="U3375" s="427"/>
      <c r="V3375" s="428"/>
      <c r="W3375" s="429"/>
      <c r="X3375" s="430"/>
      <c r="Y3375" s="33" t="s">
        <v>8076</v>
      </c>
      <c r="Z3375" s="430"/>
      <c r="AA3375" s="430"/>
      <c r="AB3375" s="258">
        <v>164.0</v>
      </c>
      <c r="AC3375" s="430"/>
      <c r="AD3375" s="426"/>
      <c r="AE3375" s="428"/>
      <c r="AF3375" s="431"/>
      <c r="AG3375" s="432" t="str">
        <f>IFS(LEN(AF3375)=17,LOWER('2-Building'!$B$4 &amp; "-" &amp; C3375), AF3375="N/A", "N/A", LEN(AF3375)=0,"")</f>
        <v/>
      </c>
      <c r="AH3375" s="430"/>
      <c r="AI3375" s="430"/>
      <c r="AJ3375" s="430"/>
      <c r="AK3375" s="430"/>
      <c r="AL3375" s="430"/>
      <c r="AM3375" s="433"/>
      <c r="AN3375" s="430"/>
      <c r="AO3375" s="430"/>
      <c r="AP3375" s="430"/>
      <c r="AQ3375" s="430"/>
      <c r="AR3375" s="430"/>
      <c r="AS3375" s="430"/>
      <c r="AT3375" s="430"/>
      <c r="AU3375" s="426"/>
      <c r="AV3375" s="434"/>
      <c r="AW3375" s="269" t="s">
        <v>1750</v>
      </c>
      <c r="AX3375" s="269" t="s">
        <v>2869</v>
      </c>
      <c r="AY3375" s="270" t="s">
        <v>695</v>
      </c>
      <c r="AZ3375" s="435"/>
      <c r="BA3375" s="173">
        <v>10.0</v>
      </c>
      <c r="BB3375" s="434"/>
      <c r="BC3375" s="434"/>
      <c r="BD3375" s="308" t="s">
        <v>1844</v>
      </c>
      <c r="BE3375" s="436"/>
      <c r="BF3375" s="274" t="str">
        <f>IFERROR(__xludf.DUMMYFUNCTION("LOWER(Regexreplace(to_text(E3375),""[^A-Za-z0-9]"","""")&amp;""_""&amp;Regexreplace(to_text(F3375),""[^A-Za-z0-9]"",""""))"),"aquagen_evcbseries")</f>
        <v>aquagen_evcbseries</v>
      </c>
      <c r="BG3375" s="275" t="str">
        <f>IFERROR(__xludf.DUMMYFUNCTION("upper(Regexreplace(to_text(E3375),""[^A-Za-z0-9]"","""")&amp;""-""&amp;Regexreplace(to_text(F3375),""[^A-Za-z0-9]"",""""))"),"AQUAGEN-EVCBSERIES")</f>
        <v>AQUAGEN-EVCBSERIES</v>
      </c>
    </row>
    <row r="3376" ht="30.0" customHeight="1">
      <c r="A3376" s="425">
        <v>2690.0</v>
      </c>
      <c r="B3376" s="425" t="s">
        <v>670</v>
      </c>
      <c r="C3376" s="257" t="s">
        <v>10438</v>
      </c>
      <c r="D3376" s="173" t="s">
        <v>10439</v>
      </c>
      <c r="E3376" s="174" t="s">
        <v>9097</v>
      </c>
      <c r="F3376" s="173" t="s">
        <v>2862</v>
      </c>
      <c r="G3376" s="425" t="s">
        <v>673</v>
      </c>
      <c r="H3376" s="425" t="s">
        <v>2863</v>
      </c>
      <c r="I3376" s="258" t="s">
        <v>9445</v>
      </c>
      <c r="J3376" s="259" t="s">
        <v>1333</v>
      </c>
      <c r="K3376" s="260">
        <v>948.0</v>
      </c>
      <c r="L3376" s="442"/>
      <c r="M3376" s="426"/>
      <c r="N3376" s="173" t="s">
        <v>679</v>
      </c>
      <c r="O3376" s="173" t="s">
        <v>225</v>
      </c>
      <c r="P3376" s="262" t="str">
        <f t="shared" si="1"/>
        <v>IN-BLR-ANANTA-FAN-324_9</v>
      </c>
      <c r="Q3376" s="173" t="s">
        <v>10440</v>
      </c>
      <c r="R3376" s="425" t="str">
        <f>IFS(C3376="","",C3376="n/a","N/A",LEN(C3376),Concatenate("{",char(34),"asset",char(34),":{",char(34),"guid",char(34),":",char(34),Q3376,char(34),",",char(34),"site",char(34),":",char(34),LOWER('2-Building'!$B$4),char(34),",",char(34),"name",char(34),":",char(34),LOWER(C3376),char(34),"}}"))</f>
        <v>{"asset":{"guid":"uuid://1404d46f-e261-4847-820b-334dc6548e60","site":"in-blr-ananta","name":"fan-324"}}</v>
      </c>
      <c r="S3376" s="369" t="s">
        <v>2866</v>
      </c>
      <c r="T3376" s="427"/>
      <c r="U3376" s="427"/>
      <c r="V3376" s="428"/>
      <c r="W3376" s="429"/>
      <c r="X3376" s="430"/>
      <c r="Y3376" s="33" t="s">
        <v>8076</v>
      </c>
      <c r="Z3376" s="430"/>
      <c r="AA3376" s="430"/>
      <c r="AB3376" s="258">
        <v>165.0</v>
      </c>
      <c r="AC3376" s="430"/>
      <c r="AD3376" s="426"/>
      <c r="AE3376" s="428"/>
      <c r="AF3376" s="431"/>
      <c r="AG3376" s="432"/>
      <c r="AH3376" s="430"/>
      <c r="AI3376" s="430"/>
      <c r="AJ3376" s="430"/>
      <c r="AK3376" s="430"/>
      <c r="AL3376" s="430"/>
      <c r="AM3376" s="433"/>
      <c r="AN3376" s="430"/>
      <c r="AO3376" s="430"/>
      <c r="AP3376" s="430"/>
      <c r="AQ3376" s="430"/>
      <c r="AR3376" s="430"/>
      <c r="AS3376" s="430"/>
      <c r="AT3376" s="430"/>
      <c r="AU3376" s="426"/>
      <c r="AV3376" s="434"/>
      <c r="AW3376" s="269" t="s">
        <v>1750</v>
      </c>
      <c r="AX3376" s="269" t="s">
        <v>2869</v>
      </c>
      <c r="AY3376" s="270" t="s">
        <v>695</v>
      </c>
      <c r="AZ3376" s="435"/>
      <c r="BA3376" s="173">
        <v>10.0</v>
      </c>
      <c r="BB3376" s="434"/>
      <c r="BC3376" s="434"/>
      <c r="BD3376" s="308" t="s">
        <v>1844</v>
      </c>
      <c r="BE3376" s="436"/>
      <c r="BF3376" s="274" t="str">
        <f>IFERROR(__xludf.DUMMYFUNCTION("LOWER(Regexreplace(to_text(E3376),""[^A-Za-z0-9]"","""")&amp;""_""&amp;Regexreplace(to_text(F3376),""[^A-Za-z0-9]"",""""))"),"aquagen_evcbseries")</f>
        <v>aquagen_evcbseries</v>
      </c>
      <c r="BG3376" s="275" t="str">
        <f>IFERROR(__xludf.DUMMYFUNCTION("upper(Regexreplace(to_text(E3376),""[^A-Za-z0-9]"","""")&amp;""-""&amp;Regexreplace(to_text(F3376),""[^A-Za-z0-9]"",""""))"),"AQUAGEN-EVCBSERIES")</f>
        <v>AQUAGEN-EVCBSERIES</v>
      </c>
    </row>
    <row r="3377" ht="30.0" customHeight="1">
      <c r="A3377" s="425">
        <v>2690.0</v>
      </c>
      <c r="B3377" s="425" t="s">
        <v>670</v>
      </c>
      <c r="C3377" s="257" t="s">
        <v>10441</v>
      </c>
      <c r="D3377" s="173" t="s">
        <v>10442</v>
      </c>
      <c r="E3377" s="174" t="s">
        <v>9097</v>
      </c>
      <c r="F3377" s="173" t="s">
        <v>2862</v>
      </c>
      <c r="G3377" s="425" t="s">
        <v>673</v>
      </c>
      <c r="H3377" s="425" t="s">
        <v>2863</v>
      </c>
      <c r="I3377" s="258" t="s">
        <v>9445</v>
      </c>
      <c r="J3377" s="259" t="s">
        <v>1393</v>
      </c>
      <c r="K3377" s="260" t="s">
        <v>9438</v>
      </c>
      <c r="L3377" s="442"/>
      <c r="M3377" s="426"/>
      <c r="N3377" s="173" t="s">
        <v>679</v>
      </c>
      <c r="O3377" s="173" t="s">
        <v>225</v>
      </c>
      <c r="P3377" s="262" t="str">
        <f t="shared" si="1"/>
        <v>IN-BLR-ANANTA-FAN-325_10</v>
      </c>
      <c r="Q3377" s="173" t="s">
        <v>10443</v>
      </c>
      <c r="R3377" s="425" t="str">
        <f>IFS(C3377="","",C3377="n/a","N/A",LEN(C3377),Concatenate("{",char(34),"asset",char(34),":{",char(34),"guid",char(34),":",char(34),Q3377,char(34),",",char(34),"site",char(34),":",char(34),LOWER('2-Building'!$B$4),char(34),",",char(34),"name",char(34),":",char(34),LOWER(C3377),char(34),"}}"))</f>
        <v>{"asset":{"guid":"uuid://1140dc57-ba56-410b-9949-e28127cf28c0","site":"in-blr-ananta","name":"fan-325"}}</v>
      </c>
      <c r="S3377" s="369" t="s">
        <v>2866</v>
      </c>
      <c r="T3377" s="427"/>
      <c r="U3377" s="427"/>
      <c r="V3377" s="428"/>
      <c r="W3377" s="429"/>
      <c r="X3377" s="430"/>
      <c r="Y3377" s="33" t="s">
        <v>8076</v>
      </c>
      <c r="Z3377" s="430"/>
      <c r="AA3377" s="430"/>
      <c r="AB3377" s="258">
        <v>178.0</v>
      </c>
      <c r="AC3377" s="430"/>
      <c r="AD3377" s="426"/>
      <c r="AE3377" s="428"/>
      <c r="AF3377" s="431"/>
      <c r="AG3377" s="432"/>
      <c r="AH3377" s="430"/>
      <c r="AI3377" s="430"/>
      <c r="AJ3377" s="430"/>
      <c r="AK3377" s="430"/>
      <c r="AL3377" s="430"/>
      <c r="AM3377" s="433"/>
      <c r="AN3377" s="430"/>
      <c r="AO3377" s="430"/>
      <c r="AP3377" s="430"/>
      <c r="AQ3377" s="430"/>
      <c r="AR3377" s="430"/>
      <c r="AS3377" s="430"/>
      <c r="AT3377" s="430"/>
      <c r="AU3377" s="426"/>
      <c r="AV3377" s="434"/>
      <c r="AW3377" s="269" t="s">
        <v>1750</v>
      </c>
      <c r="AX3377" s="269" t="s">
        <v>2869</v>
      </c>
      <c r="AY3377" s="270" t="s">
        <v>695</v>
      </c>
      <c r="AZ3377" s="435"/>
      <c r="BA3377" s="173">
        <v>10.0</v>
      </c>
      <c r="BB3377" s="434"/>
      <c r="BC3377" s="434"/>
      <c r="BD3377" s="308" t="s">
        <v>1844</v>
      </c>
      <c r="BE3377" s="436"/>
      <c r="BF3377" s="274" t="str">
        <f>IFERROR(__xludf.DUMMYFUNCTION("LOWER(Regexreplace(to_text(E3377),""[^A-Za-z0-9]"","""")&amp;""_""&amp;Regexreplace(to_text(F3377),""[^A-Za-z0-9]"",""""))"),"aquagen_evcbseries")</f>
        <v>aquagen_evcbseries</v>
      </c>
      <c r="BG3377" s="275" t="str">
        <f>IFERROR(__xludf.DUMMYFUNCTION("upper(Regexreplace(to_text(E3377),""[^A-Za-z0-9]"","""")&amp;""-""&amp;Regexreplace(to_text(F3377),""[^A-Za-z0-9]"",""""))"),"AQUAGEN-EVCBSERIES")</f>
        <v>AQUAGEN-EVCBSERIES</v>
      </c>
    </row>
    <row r="3378" ht="30.0" customHeight="1">
      <c r="A3378" s="425">
        <v>2690.0</v>
      </c>
      <c r="B3378" s="425" t="s">
        <v>670</v>
      </c>
      <c r="C3378" s="257" t="s">
        <v>10444</v>
      </c>
      <c r="D3378" s="173" t="s">
        <v>10445</v>
      </c>
      <c r="E3378" s="174" t="s">
        <v>9097</v>
      </c>
      <c r="F3378" s="173" t="s">
        <v>2862</v>
      </c>
      <c r="G3378" s="425" t="s">
        <v>673</v>
      </c>
      <c r="H3378" s="425" t="s">
        <v>2863</v>
      </c>
      <c r="I3378" s="258" t="s">
        <v>9445</v>
      </c>
      <c r="J3378" s="259" t="s">
        <v>1393</v>
      </c>
      <c r="K3378" s="260" t="s">
        <v>9438</v>
      </c>
      <c r="L3378" s="442"/>
      <c r="M3378" s="426"/>
      <c r="N3378" s="173" t="s">
        <v>679</v>
      </c>
      <c r="O3378" s="173" t="s">
        <v>225</v>
      </c>
      <c r="P3378" s="262" t="str">
        <f t="shared" si="1"/>
        <v>IN-BLR-ANANTA-FAN-326_10</v>
      </c>
      <c r="Q3378" s="173" t="s">
        <v>10446</v>
      </c>
      <c r="R3378" s="425" t="str">
        <f>IFS(C3378="","",C3378="n/a","N/A",LEN(C3378),Concatenate("{",char(34),"asset",char(34),":{",char(34),"guid",char(34),":",char(34),Q3378,char(34),",",char(34),"site",char(34),":",char(34),LOWER('2-Building'!$B$4),char(34),",",char(34),"name",char(34),":",char(34),LOWER(C3378),char(34),"}}"))</f>
        <v>{"asset":{"guid":"uuid://c7c89cc2-6cf2-433c-9177-6ee18120780b","site":"in-blr-ananta","name":"fan-326"}}</v>
      </c>
      <c r="S3378" s="369" t="s">
        <v>2866</v>
      </c>
      <c r="T3378" s="427"/>
      <c r="U3378" s="427"/>
      <c r="V3378" s="428"/>
      <c r="W3378" s="429"/>
      <c r="X3378" s="430"/>
      <c r="Y3378" s="33" t="s">
        <v>8076</v>
      </c>
      <c r="Z3378" s="430"/>
      <c r="AA3378" s="430"/>
      <c r="AB3378" s="258">
        <v>179.0</v>
      </c>
      <c r="AC3378" s="430"/>
      <c r="AD3378" s="426"/>
      <c r="AE3378" s="428"/>
      <c r="AF3378" s="431"/>
      <c r="AG3378" s="432"/>
      <c r="AH3378" s="430"/>
      <c r="AI3378" s="430"/>
      <c r="AJ3378" s="430"/>
      <c r="AK3378" s="430"/>
      <c r="AL3378" s="430"/>
      <c r="AM3378" s="433"/>
      <c r="AN3378" s="430"/>
      <c r="AO3378" s="430"/>
      <c r="AP3378" s="430"/>
      <c r="AQ3378" s="430"/>
      <c r="AR3378" s="430"/>
      <c r="AS3378" s="430"/>
      <c r="AT3378" s="430"/>
      <c r="AU3378" s="426"/>
      <c r="AV3378" s="434"/>
      <c r="AW3378" s="269" t="s">
        <v>1750</v>
      </c>
      <c r="AX3378" s="269" t="s">
        <v>2869</v>
      </c>
      <c r="AY3378" s="270" t="s">
        <v>695</v>
      </c>
      <c r="AZ3378" s="435"/>
      <c r="BA3378" s="173">
        <v>10.0</v>
      </c>
      <c r="BB3378" s="434"/>
      <c r="BC3378" s="434"/>
      <c r="BD3378" s="308" t="s">
        <v>1844</v>
      </c>
      <c r="BE3378" s="436"/>
      <c r="BF3378" s="274" t="str">
        <f>IFERROR(__xludf.DUMMYFUNCTION("LOWER(Regexreplace(to_text(E3378),""[^A-Za-z0-9]"","""")&amp;""_""&amp;Regexreplace(to_text(F3378),""[^A-Za-z0-9]"",""""))"),"aquagen_evcbseries")</f>
        <v>aquagen_evcbseries</v>
      </c>
      <c r="BG3378" s="275" t="str">
        <f>IFERROR(__xludf.DUMMYFUNCTION("upper(Regexreplace(to_text(E3378),""[^A-Za-z0-9]"","""")&amp;""-""&amp;Regexreplace(to_text(F3378),""[^A-Za-z0-9]"",""""))"),"AQUAGEN-EVCBSERIES")</f>
        <v>AQUAGEN-EVCBSERIES</v>
      </c>
    </row>
    <row r="3379" ht="30.0" customHeight="1">
      <c r="A3379" s="425">
        <v>2690.0</v>
      </c>
      <c r="B3379" s="425" t="s">
        <v>670</v>
      </c>
      <c r="C3379" s="257" t="s">
        <v>10447</v>
      </c>
      <c r="D3379" s="173" t="s">
        <v>10448</v>
      </c>
      <c r="E3379" s="174" t="s">
        <v>9097</v>
      </c>
      <c r="F3379" s="173" t="s">
        <v>2862</v>
      </c>
      <c r="G3379" s="425" t="s">
        <v>673</v>
      </c>
      <c r="H3379" s="425" t="s">
        <v>2863</v>
      </c>
      <c r="I3379" s="258" t="s">
        <v>9445</v>
      </c>
      <c r="J3379" s="259" t="s">
        <v>1393</v>
      </c>
      <c r="K3379" s="260" t="s">
        <v>9438</v>
      </c>
      <c r="L3379" s="442"/>
      <c r="M3379" s="426"/>
      <c r="N3379" s="173" t="s">
        <v>679</v>
      </c>
      <c r="O3379" s="173" t="s">
        <v>225</v>
      </c>
      <c r="P3379" s="262" t="str">
        <f t="shared" si="1"/>
        <v>IN-BLR-ANANTA-FAN-327_10</v>
      </c>
      <c r="Q3379" s="173" t="s">
        <v>10449</v>
      </c>
      <c r="R3379" s="425" t="str">
        <f>IFS(C3379="","",C3379="n/a","N/A",LEN(C3379),Concatenate("{",char(34),"asset",char(34),":{",char(34),"guid",char(34),":",char(34),Q3379,char(34),",",char(34),"site",char(34),":",char(34),LOWER('2-Building'!$B$4),char(34),",",char(34),"name",char(34),":",char(34),LOWER(C3379),char(34),"}}"))</f>
        <v>{"asset":{"guid":"uuid://6c5fde22-0121-47b5-9b25-3a1d172c69c6","site":"in-blr-ananta","name":"fan-327"}}</v>
      </c>
      <c r="S3379" s="369" t="s">
        <v>2866</v>
      </c>
      <c r="T3379" s="427"/>
      <c r="U3379" s="427"/>
      <c r="V3379" s="428"/>
      <c r="W3379" s="429"/>
      <c r="X3379" s="430"/>
      <c r="Y3379" s="33" t="s">
        <v>8076</v>
      </c>
      <c r="Z3379" s="430"/>
      <c r="AA3379" s="430"/>
      <c r="AB3379" s="258">
        <v>180.0</v>
      </c>
      <c r="AC3379" s="430"/>
      <c r="AD3379" s="426"/>
      <c r="AE3379" s="428"/>
      <c r="AF3379" s="431"/>
      <c r="AG3379" s="432"/>
      <c r="AH3379" s="430"/>
      <c r="AI3379" s="430"/>
      <c r="AJ3379" s="430"/>
      <c r="AK3379" s="430"/>
      <c r="AL3379" s="430"/>
      <c r="AM3379" s="433"/>
      <c r="AN3379" s="430"/>
      <c r="AO3379" s="430"/>
      <c r="AP3379" s="430"/>
      <c r="AQ3379" s="430"/>
      <c r="AR3379" s="430"/>
      <c r="AS3379" s="430"/>
      <c r="AT3379" s="430"/>
      <c r="AU3379" s="426"/>
      <c r="AV3379" s="434"/>
      <c r="AW3379" s="269" t="s">
        <v>1750</v>
      </c>
      <c r="AX3379" s="269" t="s">
        <v>2869</v>
      </c>
      <c r="AY3379" s="270" t="s">
        <v>695</v>
      </c>
      <c r="AZ3379" s="435"/>
      <c r="BA3379" s="173">
        <v>10.0</v>
      </c>
      <c r="BB3379" s="434"/>
      <c r="BC3379" s="434"/>
      <c r="BD3379" s="308" t="s">
        <v>1844</v>
      </c>
      <c r="BE3379" s="436"/>
      <c r="BF3379" s="274" t="str">
        <f>IFERROR(__xludf.DUMMYFUNCTION("LOWER(Regexreplace(to_text(E3379),""[^A-Za-z0-9]"","""")&amp;""_""&amp;Regexreplace(to_text(F3379),""[^A-Za-z0-9]"",""""))"),"aquagen_evcbseries")</f>
        <v>aquagen_evcbseries</v>
      </c>
      <c r="BG3379" s="275" t="str">
        <f>IFERROR(__xludf.DUMMYFUNCTION("upper(Regexreplace(to_text(E3379),""[^A-Za-z0-9]"","""")&amp;""-""&amp;Regexreplace(to_text(F3379),""[^A-Za-z0-9]"",""""))"),"AQUAGEN-EVCBSERIES")</f>
        <v>AQUAGEN-EVCBSERIES</v>
      </c>
    </row>
    <row r="3380" ht="30.0" customHeight="1">
      <c r="A3380" s="425">
        <v>2690.0</v>
      </c>
      <c r="B3380" s="425" t="s">
        <v>670</v>
      </c>
      <c r="C3380" s="257" t="s">
        <v>10450</v>
      </c>
      <c r="D3380" s="173" t="s">
        <v>10451</v>
      </c>
      <c r="E3380" s="174" t="s">
        <v>9097</v>
      </c>
      <c r="F3380" s="173" t="s">
        <v>2862</v>
      </c>
      <c r="G3380" s="425" t="s">
        <v>673</v>
      </c>
      <c r="H3380" s="425" t="s">
        <v>2863</v>
      </c>
      <c r="I3380" s="258" t="s">
        <v>9445</v>
      </c>
      <c r="J3380" s="259" t="s">
        <v>1393</v>
      </c>
      <c r="K3380" s="260" t="s">
        <v>9438</v>
      </c>
      <c r="L3380" s="442"/>
      <c r="M3380" s="426"/>
      <c r="N3380" s="173" t="s">
        <v>679</v>
      </c>
      <c r="O3380" s="173" t="s">
        <v>225</v>
      </c>
      <c r="P3380" s="262" t="str">
        <f t="shared" si="1"/>
        <v>IN-BLR-ANANTA-FAN-328_10</v>
      </c>
      <c r="Q3380" s="173" t="s">
        <v>10452</v>
      </c>
      <c r="R3380" s="425" t="str">
        <f>IFS(C3380="","",C3380="n/a","N/A",LEN(C3380),Concatenate("{",char(34),"asset",char(34),":{",char(34),"guid",char(34),":",char(34),Q3380,char(34),",",char(34),"site",char(34),":",char(34),LOWER('2-Building'!$B$4),char(34),",",char(34),"name",char(34),":",char(34),LOWER(C3380),char(34),"}}"))</f>
        <v>{"asset":{"guid":"uuid://c29b123a-54a0-4849-b1ac-d7a11e8fafe9","site":"in-blr-ananta","name":"fan-328"}}</v>
      </c>
      <c r="S3380" s="369" t="s">
        <v>2866</v>
      </c>
      <c r="T3380" s="427"/>
      <c r="U3380" s="427"/>
      <c r="V3380" s="428"/>
      <c r="W3380" s="429"/>
      <c r="X3380" s="430"/>
      <c r="Y3380" s="33" t="s">
        <v>8076</v>
      </c>
      <c r="Z3380" s="430"/>
      <c r="AA3380" s="430"/>
      <c r="AB3380" s="258">
        <v>181.0</v>
      </c>
      <c r="AC3380" s="430"/>
      <c r="AD3380" s="426"/>
      <c r="AE3380" s="428"/>
      <c r="AF3380" s="431"/>
      <c r="AG3380" s="432"/>
      <c r="AH3380" s="430"/>
      <c r="AI3380" s="430"/>
      <c r="AJ3380" s="430"/>
      <c r="AK3380" s="430"/>
      <c r="AL3380" s="430"/>
      <c r="AM3380" s="433"/>
      <c r="AN3380" s="430"/>
      <c r="AO3380" s="430"/>
      <c r="AP3380" s="430"/>
      <c r="AQ3380" s="430"/>
      <c r="AR3380" s="430"/>
      <c r="AS3380" s="430"/>
      <c r="AT3380" s="430"/>
      <c r="AU3380" s="426"/>
      <c r="AV3380" s="434"/>
      <c r="AW3380" s="269" t="s">
        <v>1750</v>
      </c>
      <c r="AX3380" s="269" t="s">
        <v>2869</v>
      </c>
      <c r="AY3380" s="270" t="s">
        <v>695</v>
      </c>
      <c r="AZ3380" s="435"/>
      <c r="BA3380" s="173">
        <v>10.0</v>
      </c>
      <c r="BB3380" s="434"/>
      <c r="BC3380" s="434"/>
      <c r="BD3380" s="308" t="s">
        <v>1844</v>
      </c>
      <c r="BE3380" s="436"/>
      <c r="BF3380" s="274" t="str">
        <f>IFERROR(__xludf.DUMMYFUNCTION("LOWER(Regexreplace(to_text(E3380),""[^A-Za-z0-9]"","""")&amp;""_""&amp;Regexreplace(to_text(F3380),""[^A-Za-z0-9]"",""""))"),"aquagen_evcbseries")</f>
        <v>aquagen_evcbseries</v>
      </c>
      <c r="BG3380" s="275" t="str">
        <f>IFERROR(__xludf.DUMMYFUNCTION("upper(Regexreplace(to_text(E3380),""[^A-Za-z0-9]"","""")&amp;""-""&amp;Regexreplace(to_text(F3380),""[^A-Za-z0-9]"",""""))"),"AQUAGEN-EVCBSERIES")</f>
        <v>AQUAGEN-EVCBSERIES</v>
      </c>
    </row>
    <row r="3381" ht="30.0" customHeight="1">
      <c r="A3381" s="425">
        <v>2690.0</v>
      </c>
      <c r="B3381" s="425" t="s">
        <v>670</v>
      </c>
      <c r="C3381" s="257" t="s">
        <v>10453</v>
      </c>
      <c r="D3381" s="173" t="s">
        <v>10454</v>
      </c>
      <c r="E3381" s="174" t="s">
        <v>9097</v>
      </c>
      <c r="F3381" s="173" t="s">
        <v>2862</v>
      </c>
      <c r="G3381" s="425" t="s">
        <v>673</v>
      </c>
      <c r="H3381" s="425" t="s">
        <v>2863</v>
      </c>
      <c r="I3381" s="258" t="s">
        <v>9445</v>
      </c>
      <c r="J3381" s="259" t="s">
        <v>1393</v>
      </c>
      <c r="K3381" s="260" t="s">
        <v>9438</v>
      </c>
      <c r="L3381" s="442"/>
      <c r="M3381" s="426"/>
      <c r="N3381" s="173" t="s">
        <v>679</v>
      </c>
      <c r="O3381" s="173" t="s">
        <v>225</v>
      </c>
      <c r="P3381" s="262" t="str">
        <f t="shared" si="1"/>
        <v>IN-BLR-ANANTA-FAN-329_10</v>
      </c>
      <c r="Q3381" s="173" t="s">
        <v>10455</v>
      </c>
      <c r="R3381" s="425" t="str">
        <f>IFS(C3381="","",C3381="n/a","N/A",LEN(C3381),Concatenate("{",char(34),"asset",char(34),":{",char(34),"guid",char(34),":",char(34),Q3381,char(34),",",char(34),"site",char(34),":",char(34),LOWER('2-Building'!$B$4),char(34),",",char(34),"name",char(34),":",char(34),LOWER(C3381),char(34),"}}"))</f>
        <v>{"asset":{"guid":"uuid://6e97681e-23a0-4813-8a8c-deac02d5a4de","site":"in-blr-ananta","name":"fan-329"}}</v>
      </c>
      <c r="S3381" s="369" t="s">
        <v>2866</v>
      </c>
      <c r="T3381" s="427"/>
      <c r="U3381" s="427"/>
      <c r="V3381" s="428"/>
      <c r="W3381" s="429"/>
      <c r="X3381" s="430"/>
      <c r="Y3381" s="33" t="s">
        <v>8076</v>
      </c>
      <c r="Z3381" s="430"/>
      <c r="AA3381" s="430"/>
      <c r="AB3381" s="258">
        <v>182.0</v>
      </c>
      <c r="AC3381" s="430"/>
      <c r="AD3381" s="426"/>
      <c r="AE3381" s="428"/>
      <c r="AF3381" s="431"/>
      <c r="AG3381" s="432"/>
      <c r="AH3381" s="430"/>
      <c r="AI3381" s="430"/>
      <c r="AJ3381" s="430"/>
      <c r="AK3381" s="430"/>
      <c r="AL3381" s="430"/>
      <c r="AM3381" s="433"/>
      <c r="AN3381" s="430"/>
      <c r="AO3381" s="430"/>
      <c r="AP3381" s="430"/>
      <c r="AQ3381" s="430"/>
      <c r="AR3381" s="430"/>
      <c r="AS3381" s="430"/>
      <c r="AT3381" s="430"/>
      <c r="AU3381" s="426"/>
      <c r="AV3381" s="434"/>
      <c r="AW3381" s="269" t="s">
        <v>1750</v>
      </c>
      <c r="AX3381" s="269" t="s">
        <v>2869</v>
      </c>
      <c r="AY3381" s="270" t="s">
        <v>695</v>
      </c>
      <c r="AZ3381" s="435"/>
      <c r="BA3381" s="173">
        <v>10.0</v>
      </c>
      <c r="BB3381" s="434"/>
      <c r="BC3381" s="434"/>
      <c r="BD3381" s="308" t="s">
        <v>1844</v>
      </c>
      <c r="BE3381" s="436"/>
      <c r="BF3381" s="274" t="str">
        <f>IFERROR(__xludf.DUMMYFUNCTION("LOWER(Regexreplace(to_text(E3381),""[^A-Za-z0-9]"","""")&amp;""_""&amp;Regexreplace(to_text(F3381),""[^A-Za-z0-9]"",""""))"),"aquagen_evcbseries")</f>
        <v>aquagen_evcbseries</v>
      </c>
      <c r="BG3381" s="275" t="str">
        <f>IFERROR(__xludf.DUMMYFUNCTION("upper(Regexreplace(to_text(E3381),""[^A-Za-z0-9]"","""")&amp;""-""&amp;Regexreplace(to_text(F3381),""[^A-Za-z0-9]"",""""))"),"AQUAGEN-EVCBSERIES")</f>
        <v>AQUAGEN-EVCBSERIES</v>
      </c>
    </row>
    <row r="3382" ht="30.0" customHeight="1">
      <c r="A3382" s="328">
        <v>2690.0</v>
      </c>
      <c r="B3382" s="425" t="s">
        <v>670</v>
      </c>
      <c r="C3382" s="257" t="s">
        <v>10456</v>
      </c>
      <c r="D3382" s="173" t="s">
        <v>10457</v>
      </c>
      <c r="E3382" s="174" t="s">
        <v>9097</v>
      </c>
      <c r="F3382" s="173" t="s">
        <v>2862</v>
      </c>
      <c r="G3382" s="425" t="s">
        <v>673</v>
      </c>
      <c r="H3382" s="425" t="s">
        <v>2863</v>
      </c>
      <c r="I3382" s="258" t="s">
        <v>9445</v>
      </c>
      <c r="J3382" s="259" t="s">
        <v>1393</v>
      </c>
      <c r="K3382" s="260" t="s">
        <v>9438</v>
      </c>
      <c r="L3382" s="442"/>
      <c r="M3382" s="426"/>
      <c r="N3382" s="173" t="s">
        <v>679</v>
      </c>
      <c r="O3382" s="173" t="s">
        <v>225</v>
      </c>
      <c r="P3382" s="262" t="str">
        <f t="shared" si="1"/>
        <v>IN-BLR-ANANTA-FAN-330_10</v>
      </c>
      <c r="Q3382" s="173" t="s">
        <v>10458</v>
      </c>
      <c r="R3382" s="425" t="str">
        <f>IFS(C3382="","",C3382="n/a","N/A",LEN(C3382),Concatenate("{",char(34),"asset",char(34),":{",char(34),"guid",char(34),":",char(34),Q3382,char(34),",",char(34),"site",char(34),":",char(34),LOWER('2-Building'!$B$4),char(34),",",char(34),"name",char(34),":",char(34),LOWER(C3382),char(34),"}}"))</f>
        <v>{"asset":{"guid":"uuid://8fee2f07-b557-4a71-8db0-0e9960bbed63","site":"in-blr-ananta","name":"fan-330"}}</v>
      </c>
      <c r="S3382" s="369" t="s">
        <v>2866</v>
      </c>
      <c r="T3382" s="427"/>
      <c r="U3382" s="427"/>
      <c r="V3382" s="428"/>
      <c r="W3382" s="429"/>
      <c r="X3382" s="430"/>
      <c r="Y3382" s="33" t="s">
        <v>8076</v>
      </c>
      <c r="Z3382" s="430"/>
      <c r="AA3382" s="430"/>
      <c r="AB3382" s="258">
        <v>183.0</v>
      </c>
      <c r="AC3382" s="430"/>
      <c r="AD3382" s="426"/>
      <c r="AE3382" s="428"/>
      <c r="AF3382" s="431"/>
      <c r="AG3382" s="432" t="str">
        <f>IFS(LEN(AF3382)=17,LOWER('2-Building'!$B$4 &amp; "-" &amp; C3382), AF3382="N/A", "N/A", LEN(AF3382)=0,"")</f>
        <v/>
      </c>
      <c r="AH3382" s="430"/>
      <c r="AI3382" s="430"/>
      <c r="AJ3382" s="430"/>
      <c r="AK3382" s="430"/>
      <c r="AL3382" s="430"/>
      <c r="AM3382" s="433"/>
      <c r="AN3382" s="430"/>
      <c r="AO3382" s="430"/>
      <c r="AP3382" s="430"/>
      <c r="AQ3382" s="430"/>
      <c r="AR3382" s="430"/>
      <c r="AS3382" s="430"/>
      <c r="AT3382" s="430"/>
      <c r="AU3382" s="426"/>
      <c r="AV3382" s="434"/>
      <c r="AW3382" s="269" t="s">
        <v>1750</v>
      </c>
      <c r="AX3382" s="269" t="s">
        <v>2869</v>
      </c>
      <c r="AY3382" s="270" t="s">
        <v>695</v>
      </c>
      <c r="AZ3382" s="435"/>
      <c r="BA3382" s="173">
        <v>10.0</v>
      </c>
      <c r="BB3382" s="434"/>
      <c r="BC3382" s="434"/>
      <c r="BD3382" s="308" t="s">
        <v>1844</v>
      </c>
      <c r="BE3382" s="436"/>
      <c r="BF3382" s="274" t="str">
        <f>IFERROR(__xludf.DUMMYFUNCTION("LOWER(Regexreplace(to_text(E3382),""[^A-Za-z0-9]"","""")&amp;""_""&amp;Regexreplace(to_text(F3382),""[^A-Za-z0-9]"",""""))"),"aquagen_evcbseries")</f>
        <v>aquagen_evcbseries</v>
      </c>
      <c r="BG3382" s="275" t="str">
        <f>IFERROR(__xludf.DUMMYFUNCTION("upper(Regexreplace(to_text(E3382),""[^A-Za-z0-9]"","""")&amp;""-""&amp;Regexreplace(to_text(F3382),""[^A-Za-z0-9]"",""""))"),"AQUAGEN-EVCBSERIES")</f>
        <v>AQUAGEN-EVCBSERIES</v>
      </c>
    </row>
    <row r="3383" ht="30.0" customHeight="1">
      <c r="A3383" s="425">
        <v>2690.0</v>
      </c>
      <c r="B3383" s="425" t="s">
        <v>670</v>
      </c>
      <c r="C3383" s="257" t="s">
        <v>10459</v>
      </c>
      <c r="D3383" s="173" t="s">
        <v>10460</v>
      </c>
      <c r="E3383" s="174" t="s">
        <v>9097</v>
      </c>
      <c r="F3383" s="173" t="s">
        <v>2862</v>
      </c>
      <c r="G3383" s="425" t="s">
        <v>673</v>
      </c>
      <c r="H3383" s="425" t="s">
        <v>2863</v>
      </c>
      <c r="I3383" s="258" t="s">
        <v>9445</v>
      </c>
      <c r="J3383" s="259" t="s">
        <v>1453</v>
      </c>
      <c r="K3383" s="260" t="s">
        <v>1487</v>
      </c>
      <c r="L3383" s="442"/>
      <c r="M3383" s="426"/>
      <c r="N3383" s="173" t="s">
        <v>679</v>
      </c>
      <c r="O3383" s="173" t="s">
        <v>225</v>
      </c>
      <c r="P3383" s="262" t="str">
        <f t="shared" si="1"/>
        <v>IN-BLR-ANANTA-FAN-331_11</v>
      </c>
      <c r="Q3383" s="173" t="s">
        <v>10461</v>
      </c>
      <c r="R3383" s="433" t="str">
        <f>IFS(C3383="","",C3383="n/a","N/A",LEN(C3383),Concatenate("{",char(34),"asset",char(34),":{",char(34),"guid",char(34),":",char(34),Q3383,char(34),",",char(34),"site",char(34),":",char(34),LOWER('2-Building'!$B$4),char(34),",",char(34),"name",char(34),":",char(34),LOWER(C3383),char(34),"}}"))</f>
        <v>{"asset":{"guid":"uuid://07d08094-f7d2-4c6e-b97d-08c786a536f9","site":"in-blr-ananta","name":"fan-331"}}</v>
      </c>
      <c r="S3383" s="369" t="s">
        <v>2866</v>
      </c>
      <c r="T3383" s="427"/>
      <c r="U3383" s="427"/>
      <c r="V3383" s="428"/>
      <c r="W3383" s="429"/>
      <c r="X3383" s="430"/>
      <c r="Y3383" s="33" t="s">
        <v>8076</v>
      </c>
      <c r="Z3383" s="430"/>
      <c r="AA3383" s="430"/>
      <c r="AB3383" s="258">
        <v>202.0</v>
      </c>
      <c r="AC3383" s="430"/>
      <c r="AD3383" s="426"/>
      <c r="AE3383" s="428"/>
      <c r="AF3383" s="431"/>
      <c r="AG3383" s="432" t="str">
        <f>IFS(LEN(AF3383)=17,LOWER('2-Building'!$B$4 &amp; "-" &amp; C3383), AF3383="N/A", "N/A", LEN(AF3383)=0,"")</f>
        <v/>
      </c>
      <c r="AH3383" s="430"/>
      <c r="AI3383" s="430"/>
      <c r="AJ3383" s="430"/>
      <c r="AK3383" s="430"/>
      <c r="AL3383" s="430"/>
      <c r="AM3383" s="433"/>
      <c r="AN3383" s="430"/>
      <c r="AO3383" s="430"/>
      <c r="AP3383" s="430"/>
      <c r="AQ3383" s="430"/>
      <c r="AR3383" s="430"/>
      <c r="AS3383" s="430"/>
      <c r="AT3383" s="430"/>
      <c r="AU3383" s="426"/>
      <c r="AV3383" s="434"/>
      <c r="AW3383" s="269" t="s">
        <v>1750</v>
      </c>
      <c r="AX3383" s="269" t="s">
        <v>2869</v>
      </c>
      <c r="AY3383" s="270" t="s">
        <v>695</v>
      </c>
      <c r="AZ3383" s="435"/>
      <c r="BA3383" s="173">
        <v>10.0</v>
      </c>
      <c r="BB3383" s="434"/>
      <c r="BC3383" s="434"/>
      <c r="BD3383" s="308" t="s">
        <v>1844</v>
      </c>
      <c r="BE3383" s="436"/>
      <c r="BF3383" s="274" t="str">
        <f>IFERROR(__xludf.DUMMYFUNCTION("LOWER(Regexreplace(to_text(E3383),""[^A-Za-z0-9]"","""")&amp;""_""&amp;Regexreplace(to_text(F3383),""[^A-Za-z0-9]"",""""))"),"aquagen_evcbseries")</f>
        <v>aquagen_evcbseries</v>
      </c>
      <c r="BG3383" s="275" t="str">
        <f>IFERROR(__xludf.DUMMYFUNCTION("upper(Regexreplace(to_text(E3383),""[^A-Za-z0-9]"","""")&amp;""-""&amp;Regexreplace(to_text(F3383),""[^A-Za-z0-9]"",""""))"),"AQUAGEN-EVCBSERIES")</f>
        <v>AQUAGEN-EVCBSERIES</v>
      </c>
    </row>
    <row r="3384" ht="30.0" customHeight="1">
      <c r="A3384" s="425">
        <v>2690.0</v>
      </c>
      <c r="B3384" s="425" t="s">
        <v>670</v>
      </c>
      <c r="C3384" s="257" t="s">
        <v>10462</v>
      </c>
      <c r="D3384" s="173" t="s">
        <v>10463</v>
      </c>
      <c r="E3384" s="174" t="s">
        <v>9097</v>
      </c>
      <c r="F3384" s="173" t="s">
        <v>2862</v>
      </c>
      <c r="G3384" s="425" t="s">
        <v>673</v>
      </c>
      <c r="H3384" s="425" t="s">
        <v>2863</v>
      </c>
      <c r="I3384" s="258" t="s">
        <v>9445</v>
      </c>
      <c r="J3384" s="259" t="s">
        <v>1453</v>
      </c>
      <c r="K3384" s="260" t="s">
        <v>1487</v>
      </c>
      <c r="L3384" s="442"/>
      <c r="M3384" s="426"/>
      <c r="N3384" s="173" t="s">
        <v>679</v>
      </c>
      <c r="O3384" s="173" t="s">
        <v>225</v>
      </c>
      <c r="P3384" s="262" t="str">
        <f t="shared" si="1"/>
        <v>IN-BLR-ANANTA-FAN-332_11</v>
      </c>
      <c r="Q3384" s="173" t="s">
        <v>10464</v>
      </c>
      <c r="R3384" s="425" t="str">
        <f>IFS(C3384="","",C3384="n/a","N/A",LEN(C3384),Concatenate("{",char(34),"asset",char(34),":{",char(34),"guid",char(34),":",char(34),Q3384,char(34),",",char(34),"site",char(34),":",char(34),LOWER('2-Building'!$B$4),char(34),",",char(34),"name",char(34),":",char(34),LOWER(C3384),char(34),"}}"))</f>
        <v>{"asset":{"guid":"uuid://09cdc64c-83b5-44db-bb55-81853bb53057","site":"in-blr-ananta","name":"fan-332"}}</v>
      </c>
      <c r="S3384" s="369" t="s">
        <v>2866</v>
      </c>
      <c r="T3384" s="427"/>
      <c r="U3384" s="427"/>
      <c r="V3384" s="428"/>
      <c r="W3384" s="429"/>
      <c r="X3384" s="430"/>
      <c r="Y3384" s="33" t="s">
        <v>8076</v>
      </c>
      <c r="Z3384" s="430"/>
      <c r="AA3384" s="430"/>
      <c r="AB3384" s="258">
        <v>203.0</v>
      </c>
      <c r="AC3384" s="430"/>
      <c r="AD3384" s="426"/>
      <c r="AE3384" s="428"/>
      <c r="AF3384" s="431"/>
      <c r="AG3384" s="432" t="str">
        <f>IFS(LEN(AF3384)=17,LOWER('2-Building'!$B$4 &amp; "-" &amp; C3384), AF3384="N/A", "N/A", LEN(AF3384)=0,"")</f>
        <v/>
      </c>
      <c r="AH3384" s="430"/>
      <c r="AI3384" s="430"/>
      <c r="AJ3384" s="430"/>
      <c r="AK3384" s="430"/>
      <c r="AL3384" s="430"/>
      <c r="AM3384" s="433"/>
      <c r="AN3384" s="430"/>
      <c r="AO3384" s="430"/>
      <c r="AP3384" s="430"/>
      <c r="AQ3384" s="430"/>
      <c r="AR3384" s="430"/>
      <c r="AS3384" s="430"/>
      <c r="AT3384" s="430"/>
      <c r="AU3384" s="426"/>
      <c r="AV3384" s="434"/>
      <c r="AW3384" s="269" t="s">
        <v>1750</v>
      </c>
      <c r="AX3384" s="269" t="s">
        <v>2869</v>
      </c>
      <c r="AY3384" s="270" t="s">
        <v>695</v>
      </c>
      <c r="AZ3384" s="435"/>
      <c r="BA3384" s="173">
        <v>10.0</v>
      </c>
      <c r="BB3384" s="434"/>
      <c r="BC3384" s="434"/>
      <c r="BD3384" s="308" t="s">
        <v>1844</v>
      </c>
      <c r="BE3384" s="436"/>
      <c r="BF3384" s="274" t="str">
        <f>IFERROR(__xludf.DUMMYFUNCTION("LOWER(Regexreplace(to_text(E3384),""[^A-Za-z0-9]"","""")&amp;""_""&amp;Regexreplace(to_text(F3384),""[^A-Za-z0-9]"",""""))"),"aquagen_evcbseries")</f>
        <v>aquagen_evcbseries</v>
      </c>
      <c r="BG3384" s="275" t="str">
        <f>IFERROR(__xludf.DUMMYFUNCTION("upper(Regexreplace(to_text(E3384),""[^A-Za-z0-9]"","""")&amp;""-""&amp;Regexreplace(to_text(F3384),""[^A-Za-z0-9]"",""""))"),"AQUAGEN-EVCBSERIES")</f>
        <v>AQUAGEN-EVCBSERIES</v>
      </c>
    </row>
    <row r="3385" ht="30.0" customHeight="1">
      <c r="A3385" s="425">
        <v>2690.0</v>
      </c>
      <c r="B3385" s="425" t="s">
        <v>670</v>
      </c>
      <c r="C3385" s="257" t="s">
        <v>10465</v>
      </c>
      <c r="D3385" s="173" t="s">
        <v>10466</v>
      </c>
      <c r="E3385" s="174" t="s">
        <v>9097</v>
      </c>
      <c r="F3385" s="173" t="s">
        <v>2862</v>
      </c>
      <c r="G3385" s="425" t="s">
        <v>673</v>
      </c>
      <c r="H3385" s="425" t="s">
        <v>2863</v>
      </c>
      <c r="I3385" s="258" t="s">
        <v>9445</v>
      </c>
      <c r="J3385" s="259" t="s">
        <v>1453</v>
      </c>
      <c r="K3385" s="260" t="s">
        <v>1487</v>
      </c>
      <c r="L3385" s="442"/>
      <c r="M3385" s="426"/>
      <c r="N3385" s="173" t="s">
        <v>679</v>
      </c>
      <c r="O3385" s="173" t="s">
        <v>225</v>
      </c>
      <c r="P3385" s="262" t="str">
        <f t="shared" si="1"/>
        <v>IN-BLR-ANANTA-FAN-333_11</v>
      </c>
      <c r="Q3385" s="173" t="s">
        <v>10467</v>
      </c>
      <c r="R3385" s="425" t="str">
        <f>IFS(C3385="","",C3385="n/a","N/A",LEN(C3385),Concatenate("{",char(34),"asset",char(34),":{",char(34),"guid",char(34),":",char(34),Q3385,char(34),",",char(34),"site",char(34),":",char(34),LOWER('2-Building'!$B$4),char(34),",",char(34),"name",char(34),":",char(34),LOWER(C3385),char(34),"}}"))</f>
        <v>{"asset":{"guid":"uuid://f064b181-5048-445d-a867-b7f1197c4810","site":"in-blr-ananta","name":"fan-333"}}</v>
      </c>
      <c r="S3385" s="369" t="s">
        <v>2866</v>
      </c>
      <c r="T3385" s="427"/>
      <c r="U3385" s="427"/>
      <c r="V3385" s="428"/>
      <c r="W3385" s="429"/>
      <c r="X3385" s="430"/>
      <c r="Y3385" s="33" t="s">
        <v>8076</v>
      </c>
      <c r="Z3385" s="430"/>
      <c r="AA3385" s="430"/>
      <c r="AB3385" s="258">
        <v>204.0</v>
      </c>
      <c r="AC3385" s="430"/>
      <c r="AD3385" s="426"/>
      <c r="AE3385" s="428"/>
      <c r="AF3385" s="431"/>
      <c r="AG3385" s="432"/>
      <c r="AH3385" s="430"/>
      <c r="AI3385" s="430"/>
      <c r="AJ3385" s="430"/>
      <c r="AK3385" s="430"/>
      <c r="AL3385" s="430"/>
      <c r="AM3385" s="433"/>
      <c r="AN3385" s="430"/>
      <c r="AO3385" s="430"/>
      <c r="AP3385" s="430"/>
      <c r="AQ3385" s="430"/>
      <c r="AR3385" s="430"/>
      <c r="AS3385" s="430"/>
      <c r="AT3385" s="430"/>
      <c r="AU3385" s="426"/>
      <c r="AV3385" s="434"/>
      <c r="AW3385" s="269" t="s">
        <v>1750</v>
      </c>
      <c r="AX3385" s="269" t="s">
        <v>2869</v>
      </c>
      <c r="AY3385" s="270" t="s">
        <v>695</v>
      </c>
      <c r="AZ3385" s="435"/>
      <c r="BA3385" s="173">
        <v>10.0</v>
      </c>
      <c r="BB3385" s="434"/>
      <c r="BC3385" s="434"/>
      <c r="BD3385" s="308" t="s">
        <v>1844</v>
      </c>
      <c r="BE3385" s="436"/>
      <c r="BF3385" s="274" t="str">
        <f>IFERROR(__xludf.DUMMYFUNCTION("LOWER(Regexreplace(to_text(E3385),""[^A-Za-z0-9]"","""")&amp;""_""&amp;Regexreplace(to_text(F3385),""[^A-Za-z0-9]"",""""))"),"aquagen_evcbseries")</f>
        <v>aquagen_evcbseries</v>
      </c>
      <c r="BG3385" s="275" t="str">
        <f>IFERROR(__xludf.DUMMYFUNCTION("upper(Regexreplace(to_text(E3385),""[^A-Za-z0-9]"","""")&amp;""-""&amp;Regexreplace(to_text(F3385),""[^A-Za-z0-9]"",""""))"),"AQUAGEN-EVCBSERIES")</f>
        <v>AQUAGEN-EVCBSERIES</v>
      </c>
    </row>
    <row r="3386" ht="30.0" customHeight="1">
      <c r="A3386" s="425">
        <v>2690.0</v>
      </c>
      <c r="B3386" s="425" t="s">
        <v>670</v>
      </c>
      <c r="C3386" s="257" t="s">
        <v>10468</v>
      </c>
      <c r="D3386" s="173" t="s">
        <v>10469</v>
      </c>
      <c r="E3386" s="174" t="s">
        <v>9097</v>
      </c>
      <c r="F3386" s="173" t="s">
        <v>2862</v>
      </c>
      <c r="G3386" s="425" t="s">
        <v>673</v>
      </c>
      <c r="H3386" s="425" t="s">
        <v>2863</v>
      </c>
      <c r="I3386" s="258" t="s">
        <v>9445</v>
      </c>
      <c r="J3386" s="259" t="s">
        <v>1453</v>
      </c>
      <c r="K3386" s="260" t="s">
        <v>1487</v>
      </c>
      <c r="L3386" s="442"/>
      <c r="M3386" s="426"/>
      <c r="N3386" s="173" t="s">
        <v>679</v>
      </c>
      <c r="O3386" s="173" t="s">
        <v>225</v>
      </c>
      <c r="P3386" s="262" t="str">
        <f t="shared" si="1"/>
        <v>IN-BLR-ANANTA-FAN-334_11</v>
      </c>
      <c r="Q3386" s="173" t="s">
        <v>10470</v>
      </c>
      <c r="R3386" s="425" t="str">
        <f>IFS(C3386="","",C3386="n/a","N/A",LEN(C3386),Concatenate("{",char(34),"asset",char(34),":{",char(34),"guid",char(34),":",char(34),Q3386,char(34),",",char(34),"site",char(34),":",char(34),LOWER('2-Building'!$B$4),char(34),",",char(34),"name",char(34),":",char(34),LOWER(C3386),char(34),"}}"))</f>
        <v>{"asset":{"guid":"uuid://fb6c141a-aff3-407f-9759-5d0c2e07b243","site":"in-blr-ananta","name":"fan-334"}}</v>
      </c>
      <c r="S3386" s="369" t="s">
        <v>2866</v>
      </c>
      <c r="T3386" s="427"/>
      <c r="U3386" s="427"/>
      <c r="V3386" s="428"/>
      <c r="W3386" s="429"/>
      <c r="X3386" s="430"/>
      <c r="Y3386" s="33" t="s">
        <v>8076</v>
      </c>
      <c r="Z3386" s="430"/>
      <c r="AA3386" s="430"/>
      <c r="AB3386" s="258">
        <v>205.0</v>
      </c>
      <c r="AC3386" s="430"/>
      <c r="AD3386" s="426"/>
      <c r="AE3386" s="428"/>
      <c r="AF3386" s="431"/>
      <c r="AG3386" s="432"/>
      <c r="AH3386" s="430"/>
      <c r="AI3386" s="430"/>
      <c r="AJ3386" s="430"/>
      <c r="AK3386" s="430"/>
      <c r="AL3386" s="430"/>
      <c r="AM3386" s="433"/>
      <c r="AN3386" s="430"/>
      <c r="AO3386" s="430"/>
      <c r="AP3386" s="430"/>
      <c r="AQ3386" s="430"/>
      <c r="AR3386" s="430"/>
      <c r="AS3386" s="430"/>
      <c r="AT3386" s="430"/>
      <c r="AU3386" s="426"/>
      <c r="AV3386" s="434"/>
      <c r="AW3386" s="269" t="s">
        <v>1750</v>
      </c>
      <c r="AX3386" s="269" t="s">
        <v>2869</v>
      </c>
      <c r="AY3386" s="270" t="s">
        <v>695</v>
      </c>
      <c r="AZ3386" s="435"/>
      <c r="BA3386" s="173">
        <v>10.0</v>
      </c>
      <c r="BB3386" s="434"/>
      <c r="BC3386" s="434"/>
      <c r="BD3386" s="308" t="s">
        <v>1844</v>
      </c>
      <c r="BE3386" s="436"/>
      <c r="BF3386" s="274" t="str">
        <f>IFERROR(__xludf.DUMMYFUNCTION("LOWER(Regexreplace(to_text(E3386),""[^A-Za-z0-9]"","""")&amp;""_""&amp;Regexreplace(to_text(F3386),""[^A-Za-z0-9]"",""""))"),"aquagen_evcbseries")</f>
        <v>aquagen_evcbseries</v>
      </c>
      <c r="BG3386" s="275" t="str">
        <f>IFERROR(__xludf.DUMMYFUNCTION("upper(Regexreplace(to_text(E3386),""[^A-Za-z0-9]"","""")&amp;""-""&amp;Regexreplace(to_text(F3386),""[^A-Za-z0-9]"",""""))"),"AQUAGEN-EVCBSERIES")</f>
        <v>AQUAGEN-EVCBSERIES</v>
      </c>
    </row>
    <row r="3387" ht="30.0" customHeight="1">
      <c r="A3387" s="425">
        <v>2690.0</v>
      </c>
      <c r="B3387" s="425" t="s">
        <v>670</v>
      </c>
      <c r="C3387" s="257" t="s">
        <v>10471</v>
      </c>
      <c r="D3387" s="173" t="s">
        <v>10472</v>
      </c>
      <c r="E3387" s="174" t="s">
        <v>9097</v>
      </c>
      <c r="F3387" s="173" t="s">
        <v>2862</v>
      </c>
      <c r="G3387" s="425" t="s">
        <v>673</v>
      </c>
      <c r="H3387" s="425" t="s">
        <v>2863</v>
      </c>
      <c r="I3387" s="258" t="s">
        <v>9445</v>
      </c>
      <c r="J3387" s="259" t="s">
        <v>1453</v>
      </c>
      <c r="K3387" s="260" t="s">
        <v>1487</v>
      </c>
      <c r="L3387" s="442"/>
      <c r="M3387" s="426"/>
      <c r="N3387" s="173" t="s">
        <v>679</v>
      </c>
      <c r="O3387" s="173" t="s">
        <v>225</v>
      </c>
      <c r="P3387" s="262" t="str">
        <f t="shared" si="1"/>
        <v>IN-BLR-ANANTA-FAN-335_11</v>
      </c>
      <c r="Q3387" s="173" t="s">
        <v>10473</v>
      </c>
      <c r="R3387" s="425" t="str">
        <f>IFS(C3387="","",C3387="n/a","N/A",LEN(C3387),Concatenate("{",char(34),"asset",char(34),":{",char(34),"guid",char(34),":",char(34),Q3387,char(34),",",char(34),"site",char(34),":",char(34),LOWER('2-Building'!$B$4),char(34),",",char(34),"name",char(34),":",char(34),LOWER(C3387),char(34),"}}"))</f>
        <v>{"asset":{"guid":"uuid://920e8ce6-a7d9-49c8-a88a-65b6a5aa9880","site":"in-blr-ananta","name":"fan-335"}}</v>
      </c>
      <c r="S3387" s="369" t="s">
        <v>2866</v>
      </c>
      <c r="T3387" s="427"/>
      <c r="U3387" s="427"/>
      <c r="V3387" s="428"/>
      <c r="W3387" s="429"/>
      <c r="X3387" s="430"/>
      <c r="Y3387" s="33" t="s">
        <v>8076</v>
      </c>
      <c r="Z3387" s="430"/>
      <c r="AA3387" s="430"/>
      <c r="AB3387" s="258">
        <v>206.0</v>
      </c>
      <c r="AC3387" s="430"/>
      <c r="AD3387" s="426"/>
      <c r="AE3387" s="428"/>
      <c r="AF3387" s="431"/>
      <c r="AG3387" s="432"/>
      <c r="AH3387" s="430"/>
      <c r="AI3387" s="430"/>
      <c r="AJ3387" s="430"/>
      <c r="AK3387" s="430"/>
      <c r="AL3387" s="430"/>
      <c r="AM3387" s="433"/>
      <c r="AN3387" s="430"/>
      <c r="AO3387" s="430"/>
      <c r="AP3387" s="430"/>
      <c r="AQ3387" s="430"/>
      <c r="AR3387" s="430"/>
      <c r="AS3387" s="430"/>
      <c r="AT3387" s="430"/>
      <c r="AU3387" s="426"/>
      <c r="AV3387" s="434"/>
      <c r="AW3387" s="269" t="s">
        <v>1750</v>
      </c>
      <c r="AX3387" s="269" t="s">
        <v>2869</v>
      </c>
      <c r="AY3387" s="270" t="s">
        <v>695</v>
      </c>
      <c r="AZ3387" s="435"/>
      <c r="BA3387" s="173">
        <v>10.0</v>
      </c>
      <c r="BB3387" s="434"/>
      <c r="BC3387" s="434"/>
      <c r="BD3387" s="308" t="s">
        <v>1844</v>
      </c>
      <c r="BE3387" s="436"/>
      <c r="BF3387" s="274" t="str">
        <f>IFERROR(__xludf.DUMMYFUNCTION("LOWER(Regexreplace(to_text(E3387),""[^A-Za-z0-9]"","""")&amp;""_""&amp;Regexreplace(to_text(F3387),""[^A-Za-z0-9]"",""""))"),"aquagen_evcbseries")</f>
        <v>aquagen_evcbseries</v>
      </c>
      <c r="BG3387" s="275" t="str">
        <f>IFERROR(__xludf.DUMMYFUNCTION("upper(Regexreplace(to_text(E3387),""[^A-Za-z0-9]"","""")&amp;""-""&amp;Regexreplace(to_text(F3387),""[^A-Za-z0-9]"",""""))"),"AQUAGEN-EVCBSERIES")</f>
        <v>AQUAGEN-EVCBSERIES</v>
      </c>
    </row>
    <row r="3388" ht="30.0" customHeight="1">
      <c r="A3388" s="425">
        <v>2690.0</v>
      </c>
      <c r="B3388" s="425" t="s">
        <v>670</v>
      </c>
      <c r="C3388" s="257" t="s">
        <v>10474</v>
      </c>
      <c r="D3388" s="173" t="s">
        <v>10475</v>
      </c>
      <c r="E3388" s="174" t="s">
        <v>9097</v>
      </c>
      <c r="F3388" s="173" t="s">
        <v>2862</v>
      </c>
      <c r="G3388" s="425" t="s">
        <v>673</v>
      </c>
      <c r="H3388" s="425" t="s">
        <v>2863</v>
      </c>
      <c r="I3388" s="258" t="s">
        <v>9445</v>
      </c>
      <c r="J3388" s="259" t="s">
        <v>1453</v>
      </c>
      <c r="K3388" s="260" t="s">
        <v>1487</v>
      </c>
      <c r="L3388" s="442"/>
      <c r="M3388" s="426"/>
      <c r="N3388" s="173" t="s">
        <v>679</v>
      </c>
      <c r="O3388" s="173" t="s">
        <v>225</v>
      </c>
      <c r="P3388" s="262" t="str">
        <f t="shared" si="1"/>
        <v>IN-BLR-ANANTA-FAN-336_11</v>
      </c>
      <c r="Q3388" s="173" t="s">
        <v>10476</v>
      </c>
      <c r="R3388" s="425" t="str">
        <f>IFS(C3388="","",C3388="n/a","N/A",LEN(C3388),Concatenate("{",char(34),"asset",char(34),":{",char(34),"guid",char(34),":",char(34),Q3388,char(34),",",char(34),"site",char(34),":",char(34),LOWER('2-Building'!$B$4),char(34),",",char(34),"name",char(34),":",char(34),LOWER(C3388),char(34),"}}"))</f>
        <v>{"asset":{"guid":"uuid://45ebde05-7d1a-4bef-aec0-d3c70529cbc4","site":"in-blr-ananta","name":"fan-336"}}</v>
      </c>
      <c r="S3388" s="369" t="s">
        <v>2866</v>
      </c>
      <c r="T3388" s="427"/>
      <c r="U3388" s="427"/>
      <c r="V3388" s="428"/>
      <c r="W3388" s="429"/>
      <c r="X3388" s="430"/>
      <c r="Y3388" s="33" t="s">
        <v>8076</v>
      </c>
      <c r="Z3388" s="430"/>
      <c r="AA3388" s="430"/>
      <c r="AB3388" s="258">
        <v>207.0</v>
      </c>
      <c r="AC3388" s="430"/>
      <c r="AD3388" s="426"/>
      <c r="AE3388" s="428"/>
      <c r="AF3388" s="431"/>
      <c r="AG3388" s="432" t="str">
        <f>IFS(LEN(AF3388)=17,LOWER('2-Building'!$B$4 &amp; "-" &amp; C3388), AF3388="N/A", "N/A", LEN(AF3388)=0,"")</f>
        <v/>
      </c>
      <c r="AH3388" s="430"/>
      <c r="AI3388" s="430"/>
      <c r="AJ3388" s="430"/>
      <c r="AK3388" s="430"/>
      <c r="AL3388" s="430"/>
      <c r="AM3388" s="433"/>
      <c r="AN3388" s="430"/>
      <c r="AO3388" s="430"/>
      <c r="AP3388" s="430"/>
      <c r="AQ3388" s="430"/>
      <c r="AR3388" s="430"/>
      <c r="AS3388" s="430"/>
      <c r="AT3388" s="430"/>
      <c r="AU3388" s="426"/>
      <c r="AV3388" s="434"/>
      <c r="AW3388" s="269" t="s">
        <v>1750</v>
      </c>
      <c r="AX3388" s="269" t="s">
        <v>2869</v>
      </c>
      <c r="AY3388" s="270" t="s">
        <v>695</v>
      </c>
      <c r="AZ3388" s="435"/>
      <c r="BA3388" s="173">
        <v>10.0</v>
      </c>
      <c r="BB3388" s="434"/>
      <c r="BC3388" s="434"/>
      <c r="BD3388" s="308" t="s">
        <v>1844</v>
      </c>
      <c r="BE3388" s="436"/>
      <c r="BF3388" s="274" t="str">
        <f>IFERROR(__xludf.DUMMYFUNCTION("LOWER(Regexreplace(to_text(E3388),""[^A-Za-z0-9]"","""")&amp;""_""&amp;Regexreplace(to_text(F3388),""[^A-Za-z0-9]"",""""))"),"aquagen_evcbseries")</f>
        <v>aquagen_evcbseries</v>
      </c>
      <c r="BG3388" s="275" t="str">
        <f>IFERROR(__xludf.DUMMYFUNCTION("upper(Regexreplace(to_text(E3388),""[^A-Za-z0-9]"","""")&amp;""-""&amp;Regexreplace(to_text(F3388),""[^A-Za-z0-9]"",""""))"),"AQUAGEN-EVCBSERIES")</f>
        <v>AQUAGEN-EVCBSERIES</v>
      </c>
    </row>
    <row r="3389" ht="30.0" customHeight="1">
      <c r="A3389" s="425">
        <v>2690.0</v>
      </c>
      <c r="B3389" s="425" t="s">
        <v>670</v>
      </c>
      <c r="C3389" s="257" t="s">
        <v>10477</v>
      </c>
      <c r="D3389" s="173" t="s">
        <v>10478</v>
      </c>
      <c r="E3389" s="174" t="s">
        <v>9097</v>
      </c>
      <c r="F3389" s="173" t="s">
        <v>2862</v>
      </c>
      <c r="G3389" s="425" t="s">
        <v>673</v>
      </c>
      <c r="H3389" s="425" t="s">
        <v>2863</v>
      </c>
      <c r="I3389" s="258" t="s">
        <v>9445</v>
      </c>
      <c r="J3389" s="259" t="s">
        <v>1272</v>
      </c>
      <c r="K3389" s="260" t="s">
        <v>1730</v>
      </c>
      <c r="L3389" s="442"/>
      <c r="M3389" s="426"/>
      <c r="N3389" s="173" t="s">
        <v>679</v>
      </c>
      <c r="O3389" s="173" t="s">
        <v>225</v>
      </c>
      <c r="P3389" s="262" t="str">
        <f t="shared" si="1"/>
        <v>IN-BLR-ANANTA-FAN-337_8</v>
      </c>
      <c r="Q3389" s="173" t="s">
        <v>10479</v>
      </c>
      <c r="R3389" s="433" t="str">
        <f>IFS(C3389="","",C3389="n/a","N/A",LEN(C3389),Concatenate("{",char(34),"asset",char(34),":{",char(34),"guid",char(34),":",char(34),Q3389,char(34),",",char(34),"site",char(34),":",char(34),LOWER('2-Building'!$B$4),char(34),",",char(34),"name",char(34),":",char(34),LOWER(C3389),char(34),"}}"))</f>
        <v>{"asset":{"guid":"uuid://3f93b87d-71d9-40bc-be88-6f04ea5c919d","site":"in-blr-ananta","name":"fan-337"}}</v>
      </c>
      <c r="S3389" s="369" t="s">
        <v>2866</v>
      </c>
      <c r="T3389" s="427"/>
      <c r="U3389" s="427"/>
      <c r="V3389" s="428"/>
      <c r="W3389" s="429"/>
      <c r="X3389" s="430"/>
      <c r="Y3389" s="33" t="s">
        <v>8076</v>
      </c>
      <c r="Z3389" s="430"/>
      <c r="AA3389" s="430"/>
      <c r="AB3389" s="258">
        <v>138.0</v>
      </c>
      <c r="AC3389" s="430"/>
      <c r="AD3389" s="426"/>
      <c r="AE3389" s="428"/>
      <c r="AF3389" s="431"/>
      <c r="AG3389" s="432" t="str">
        <f>IFS(LEN(AF3389)=17,LOWER('2-Building'!$B$4 &amp; "-" &amp; C3389), AF3389="N/A", "N/A", LEN(AF3389)=0,"")</f>
        <v/>
      </c>
      <c r="AH3389" s="430"/>
      <c r="AI3389" s="430"/>
      <c r="AJ3389" s="430"/>
      <c r="AK3389" s="430"/>
      <c r="AL3389" s="430"/>
      <c r="AM3389" s="433"/>
      <c r="AN3389" s="430"/>
      <c r="AO3389" s="430"/>
      <c r="AP3389" s="430"/>
      <c r="AQ3389" s="430"/>
      <c r="AR3389" s="430"/>
      <c r="AS3389" s="430"/>
      <c r="AT3389" s="430"/>
      <c r="AU3389" s="426"/>
      <c r="AV3389" s="434"/>
      <c r="AW3389" s="269" t="s">
        <v>1755</v>
      </c>
      <c r="AX3389" s="269" t="s">
        <v>2869</v>
      </c>
      <c r="AY3389" s="270" t="s">
        <v>695</v>
      </c>
      <c r="AZ3389" s="435"/>
      <c r="BA3389" s="173">
        <v>10.0</v>
      </c>
      <c r="BB3389" s="434"/>
      <c r="BC3389" s="434"/>
      <c r="BD3389" s="308" t="s">
        <v>1844</v>
      </c>
      <c r="BE3389" s="436"/>
      <c r="BF3389" s="274" t="str">
        <f>IFERROR(__xludf.DUMMYFUNCTION("LOWER(Regexreplace(to_text(E3389),""[^A-Za-z0-9]"","""")&amp;""_""&amp;Regexreplace(to_text(F3389),""[^A-Za-z0-9]"",""""))"),"aquagen_evcbseries")</f>
        <v>aquagen_evcbseries</v>
      </c>
      <c r="BG3389" s="275" t="str">
        <f>IFERROR(__xludf.DUMMYFUNCTION("upper(Regexreplace(to_text(E3389),""[^A-Za-z0-9]"","""")&amp;""-""&amp;Regexreplace(to_text(F3389),""[^A-Za-z0-9]"",""""))"),"AQUAGEN-EVCBSERIES")</f>
        <v>AQUAGEN-EVCBSERIES</v>
      </c>
    </row>
    <row r="3390" ht="30.0" customHeight="1">
      <c r="A3390" s="425">
        <v>2690.0</v>
      </c>
      <c r="B3390" s="425" t="s">
        <v>670</v>
      </c>
      <c r="C3390" s="257" t="s">
        <v>10480</v>
      </c>
      <c r="D3390" s="173" t="s">
        <v>10481</v>
      </c>
      <c r="E3390" s="174" t="s">
        <v>9097</v>
      </c>
      <c r="F3390" s="173" t="s">
        <v>2862</v>
      </c>
      <c r="G3390" s="425" t="s">
        <v>673</v>
      </c>
      <c r="H3390" s="425" t="s">
        <v>2863</v>
      </c>
      <c r="I3390" s="258" t="s">
        <v>9445</v>
      </c>
      <c r="J3390" s="259" t="s">
        <v>1272</v>
      </c>
      <c r="K3390" s="260" t="s">
        <v>1730</v>
      </c>
      <c r="L3390" s="442"/>
      <c r="M3390" s="426"/>
      <c r="N3390" s="173" t="s">
        <v>679</v>
      </c>
      <c r="O3390" s="173" t="s">
        <v>225</v>
      </c>
      <c r="P3390" s="262" t="str">
        <f t="shared" si="1"/>
        <v>IN-BLR-ANANTA-FAN-338_8</v>
      </c>
      <c r="Q3390" s="173" t="s">
        <v>10482</v>
      </c>
      <c r="R3390" s="425" t="str">
        <f>IFS(C3390="","",C3390="n/a","N/A",LEN(C3390),Concatenate("{",char(34),"asset",char(34),":{",char(34),"guid",char(34),":",char(34),Q3390,char(34),",",char(34),"site",char(34),":",char(34),LOWER('2-Building'!$B$4),char(34),",",char(34),"name",char(34),":",char(34),LOWER(C3390),char(34),"}}"))</f>
        <v>{"asset":{"guid":"uuid://b0dad265-8ba7-4541-a1c8-b8d8448b04ed","site":"in-blr-ananta","name":"fan-338"}}</v>
      </c>
      <c r="S3390" s="369" t="s">
        <v>2866</v>
      </c>
      <c r="T3390" s="427"/>
      <c r="U3390" s="427"/>
      <c r="V3390" s="428"/>
      <c r="W3390" s="429"/>
      <c r="X3390" s="430"/>
      <c r="Y3390" s="33" t="s">
        <v>8076</v>
      </c>
      <c r="Z3390" s="430"/>
      <c r="AA3390" s="430"/>
      <c r="AB3390" s="258">
        <v>139.0</v>
      </c>
      <c r="AC3390" s="430"/>
      <c r="AD3390" s="426"/>
      <c r="AE3390" s="428"/>
      <c r="AF3390" s="431"/>
      <c r="AG3390" s="432" t="str">
        <f>IFS(LEN(AF3390)=17,LOWER('2-Building'!$B$4 &amp; "-" &amp; C3390), AF3390="N/A", "N/A", LEN(AF3390)=0,"")</f>
        <v/>
      </c>
      <c r="AH3390" s="430"/>
      <c r="AI3390" s="430"/>
      <c r="AJ3390" s="430"/>
      <c r="AK3390" s="430"/>
      <c r="AL3390" s="430"/>
      <c r="AM3390" s="433"/>
      <c r="AN3390" s="430"/>
      <c r="AO3390" s="430"/>
      <c r="AP3390" s="430"/>
      <c r="AQ3390" s="430"/>
      <c r="AR3390" s="430"/>
      <c r="AS3390" s="430"/>
      <c r="AT3390" s="430"/>
      <c r="AU3390" s="426"/>
      <c r="AV3390" s="434"/>
      <c r="AW3390" s="269" t="s">
        <v>1755</v>
      </c>
      <c r="AX3390" s="269" t="s">
        <v>2869</v>
      </c>
      <c r="AY3390" s="270" t="s">
        <v>695</v>
      </c>
      <c r="AZ3390" s="435"/>
      <c r="BA3390" s="173">
        <v>10.0</v>
      </c>
      <c r="BB3390" s="434"/>
      <c r="BC3390" s="434"/>
      <c r="BD3390" s="308" t="s">
        <v>1844</v>
      </c>
      <c r="BE3390" s="436"/>
      <c r="BF3390" s="274" t="str">
        <f>IFERROR(__xludf.DUMMYFUNCTION("LOWER(Regexreplace(to_text(E3390),""[^A-Za-z0-9]"","""")&amp;""_""&amp;Regexreplace(to_text(F3390),""[^A-Za-z0-9]"",""""))"),"aquagen_evcbseries")</f>
        <v>aquagen_evcbseries</v>
      </c>
      <c r="BG3390" s="275" t="str">
        <f>IFERROR(__xludf.DUMMYFUNCTION("upper(Regexreplace(to_text(E3390),""[^A-Za-z0-9]"","""")&amp;""-""&amp;Regexreplace(to_text(F3390),""[^A-Za-z0-9]"",""""))"),"AQUAGEN-EVCBSERIES")</f>
        <v>AQUAGEN-EVCBSERIES</v>
      </c>
    </row>
    <row r="3391" ht="30.0" customHeight="1">
      <c r="A3391" s="237">
        <v>2689.0</v>
      </c>
      <c r="B3391" s="425" t="s">
        <v>670</v>
      </c>
      <c r="C3391" s="257" t="s">
        <v>10483</v>
      </c>
      <c r="D3391" s="173" t="s">
        <v>10484</v>
      </c>
      <c r="E3391" s="174" t="s">
        <v>2861</v>
      </c>
      <c r="F3391" s="173" t="s">
        <v>2862</v>
      </c>
      <c r="G3391" s="425" t="s">
        <v>673</v>
      </c>
      <c r="H3391" s="425" t="s">
        <v>2863</v>
      </c>
      <c r="I3391" s="258" t="s">
        <v>9445</v>
      </c>
      <c r="J3391" s="259" t="s">
        <v>1272</v>
      </c>
      <c r="K3391" s="260" t="s">
        <v>1730</v>
      </c>
      <c r="L3391" s="442"/>
      <c r="M3391" s="426"/>
      <c r="N3391" s="173" t="s">
        <v>679</v>
      </c>
      <c r="O3391" s="173" t="s">
        <v>225</v>
      </c>
      <c r="P3391" s="262" t="str">
        <f t="shared" si="1"/>
        <v>IN-BLR-ANANTA-FAN-339_8</v>
      </c>
      <c r="Q3391" s="173" t="s">
        <v>10485</v>
      </c>
      <c r="R3391" s="425" t="str">
        <f>IFS(C3391="","",C3391="n/a","N/A",LEN(C3391),Concatenate("{",char(34),"asset",char(34),":{",char(34),"guid",char(34),":",char(34),Q3391,char(34),",",char(34),"site",char(34),":",char(34),LOWER('2-Building'!$B$4),char(34),",",char(34),"name",char(34),":",char(34),LOWER(C3391),char(34),"}}"))</f>
        <v>{"asset":{"guid":"uuid://3a51a6b6-765c-4cf3-82cb-cd381d53acc4","site":"in-blr-ananta","name":"fan-339"}}</v>
      </c>
      <c r="S3391" s="369" t="s">
        <v>2866</v>
      </c>
      <c r="T3391" s="427"/>
      <c r="U3391" s="427"/>
      <c r="V3391" s="428"/>
      <c r="W3391" s="429"/>
      <c r="X3391" s="430"/>
      <c r="Y3391" s="33" t="s">
        <v>8076</v>
      </c>
      <c r="Z3391" s="430"/>
      <c r="AA3391" s="430"/>
      <c r="AB3391" s="258">
        <v>140.0</v>
      </c>
      <c r="AC3391" s="430"/>
      <c r="AD3391" s="426"/>
      <c r="AE3391" s="428"/>
      <c r="AF3391" s="431"/>
      <c r="AG3391" s="432" t="str">
        <f>IFS(LEN(AF3391)=17,LOWER('2-Building'!$B$4 &amp; "-" &amp; C3391), AF3391="N/A", "N/A", LEN(AF3391)=0,"")</f>
        <v/>
      </c>
      <c r="AH3391" s="430"/>
      <c r="AI3391" s="430"/>
      <c r="AJ3391" s="430"/>
      <c r="AK3391" s="430"/>
      <c r="AL3391" s="430"/>
      <c r="AM3391" s="433"/>
      <c r="AN3391" s="430"/>
      <c r="AO3391" s="430"/>
      <c r="AP3391" s="430"/>
      <c r="AQ3391" s="430"/>
      <c r="AR3391" s="430"/>
      <c r="AS3391" s="430"/>
      <c r="AT3391" s="430"/>
      <c r="AU3391" s="426"/>
      <c r="AV3391" s="434"/>
      <c r="AW3391" s="269" t="s">
        <v>1755</v>
      </c>
      <c r="AX3391" s="269" t="s">
        <v>2869</v>
      </c>
      <c r="AY3391" s="270" t="s">
        <v>695</v>
      </c>
      <c r="AZ3391" s="435"/>
      <c r="BA3391" s="173">
        <v>10.0</v>
      </c>
      <c r="BB3391" s="434"/>
      <c r="BC3391" s="434"/>
      <c r="BD3391" s="308" t="s">
        <v>1844</v>
      </c>
      <c r="BE3391" s="436"/>
      <c r="BF3391" s="274" t="str">
        <f>IFERROR(__xludf.DUMMYFUNCTION("LOWER(Regexreplace(to_text(E3391),""[^A-Za-z0-9]"","""")&amp;""_""&amp;Regexreplace(to_text(F3391),""[^A-Za-z0-9]"",""""))"),"neptronic_evcbseries")</f>
        <v>neptronic_evcbseries</v>
      </c>
      <c r="BG3391" s="275" t="str">
        <f>IFERROR(__xludf.DUMMYFUNCTION("upper(Regexreplace(to_text(E3391),""[^A-Za-z0-9]"","""")&amp;""-""&amp;Regexreplace(to_text(F3391),""[^A-Za-z0-9]"",""""))"),"NEPTRONIC-EVCBSERIES")</f>
        <v>NEPTRONIC-EVCBSERIES</v>
      </c>
    </row>
    <row r="3392" ht="30.0" customHeight="1">
      <c r="A3392" s="237">
        <v>2691.0</v>
      </c>
      <c r="B3392" s="425" t="s">
        <v>670</v>
      </c>
      <c r="C3392" s="257" t="s">
        <v>10486</v>
      </c>
      <c r="D3392" s="173" t="s">
        <v>10487</v>
      </c>
      <c r="E3392" s="174" t="s">
        <v>2861</v>
      </c>
      <c r="F3392" s="173" t="s">
        <v>2862</v>
      </c>
      <c r="G3392" s="425" t="s">
        <v>673</v>
      </c>
      <c r="H3392" s="425" t="s">
        <v>2863</v>
      </c>
      <c r="I3392" s="258" t="s">
        <v>9445</v>
      </c>
      <c r="J3392" s="259" t="s">
        <v>1272</v>
      </c>
      <c r="K3392" s="260" t="s">
        <v>1730</v>
      </c>
      <c r="L3392" s="442"/>
      <c r="M3392" s="426"/>
      <c r="N3392" s="173" t="s">
        <v>679</v>
      </c>
      <c r="O3392" s="173" t="s">
        <v>225</v>
      </c>
      <c r="P3392" s="262" t="str">
        <f t="shared" si="1"/>
        <v>IN-BLR-ANANTA-FAN-340_8</v>
      </c>
      <c r="Q3392" s="173" t="s">
        <v>10488</v>
      </c>
      <c r="R3392" s="425" t="str">
        <f>IFS(C3392="","",C3392="n/a","N/A",LEN(C3392),Concatenate("{",char(34),"asset",char(34),":{",char(34),"guid",char(34),":",char(34),Q3392,char(34),",",char(34),"site",char(34),":",char(34),LOWER('2-Building'!$B$4),char(34),",",char(34),"name",char(34),":",char(34),LOWER(C3392),char(34),"}}"))</f>
        <v>{"asset":{"guid":"uuid://d5c80f85-abd0-4f4b-b808-5774b93b483d","site":"in-blr-ananta","name":"fan-340"}}</v>
      </c>
      <c r="S3392" s="369" t="s">
        <v>2866</v>
      </c>
      <c r="T3392" s="427"/>
      <c r="U3392" s="427"/>
      <c r="V3392" s="428"/>
      <c r="W3392" s="429"/>
      <c r="X3392" s="430"/>
      <c r="Y3392" s="33" t="s">
        <v>8076</v>
      </c>
      <c r="Z3392" s="430"/>
      <c r="AA3392" s="430"/>
      <c r="AB3392" s="258">
        <v>141.0</v>
      </c>
      <c r="AC3392" s="430"/>
      <c r="AD3392" s="426"/>
      <c r="AE3392" s="428"/>
      <c r="AF3392" s="431"/>
      <c r="AG3392" s="432" t="str">
        <f>IFS(LEN(AF3392)=17,LOWER('2-Building'!$B$4 &amp; "-" &amp; C3392), AF3392="N/A", "N/A", LEN(AF3392)=0,"")</f>
        <v/>
      </c>
      <c r="AH3392" s="430"/>
      <c r="AI3392" s="430"/>
      <c r="AJ3392" s="430"/>
      <c r="AK3392" s="430"/>
      <c r="AL3392" s="430"/>
      <c r="AM3392" s="433"/>
      <c r="AN3392" s="430"/>
      <c r="AO3392" s="430"/>
      <c r="AP3392" s="430"/>
      <c r="AQ3392" s="430"/>
      <c r="AR3392" s="430"/>
      <c r="AS3392" s="430"/>
      <c r="AT3392" s="430"/>
      <c r="AU3392" s="426"/>
      <c r="AV3392" s="434"/>
      <c r="AW3392" s="269" t="s">
        <v>1755</v>
      </c>
      <c r="AX3392" s="269" t="s">
        <v>2869</v>
      </c>
      <c r="AY3392" s="270" t="s">
        <v>695</v>
      </c>
      <c r="AZ3392" s="435"/>
      <c r="BA3392" s="173">
        <v>10.0</v>
      </c>
      <c r="BB3392" s="434"/>
      <c r="BC3392" s="434"/>
      <c r="BD3392" s="308" t="s">
        <v>1844</v>
      </c>
      <c r="BE3392" s="436"/>
      <c r="BF3392" s="274" t="str">
        <f>IFERROR(__xludf.DUMMYFUNCTION("LOWER(Regexreplace(to_text(E3392),""[^A-Za-z0-9]"","""")&amp;""_""&amp;Regexreplace(to_text(F3392),""[^A-Za-z0-9]"",""""))"),"neptronic_evcbseries")</f>
        <v>neptronic_evcbseries</v>
      </c>
      <c r="BG3392" s="275" t="str">
        <f>IFERROR(__xludf.DUMMYFUNCTION("upper(Regexreplace(to_text(E3392),""[^A-Za-z0-9]"","""")&amp;""-""&amp;Regexreplace(to_text(F3392),""[^A-Za-z0-9]"",""""))"),"NEPTRONIC-EVCBSERIES")</f>
        <v>NEPTRONIC-EVCBSERIES</v>
      </c>
    </row>
    <row r="3393" ht="30.0" customHeight="1">
      <c r="A3393" s="328">
        <v>2690.0</v>
      </c>
      <c r="B3393" s="425" t="s">
        <v>670</v>
      </c>
      <c r="C3393" s="257" t="s">
        <v>10489</v>
      </c>
      <c r="D3393" s="173" t="s">
        <v>10490</v>
      </c>
      <c r="E3393" s="174" t="s">
        <v>2861</v>
      </c>
      <c r="F3393" s="173" t="s">
        <v>2862</v>
      </c>
      <c r="G3393" s="425" t="s">
        <v>673</v>
      </c>
      <c r="H3393" s="425" t="s">
        <v>2863</v>
      </c>
      <c r="I3393" s="258" t="s">
        <v>9445</v>
      </c>
      <c r="J3393" s="259" t="s">
        <v>1272</v>
      </c>
      <c r="K3393" s="260" t="s">
        <v>1730</v>
      </c>
      <c r="L3393" s="442"/>
      <c r="M3393" s="426"/>
      <c r="N3393" s="173" t="s">
        <v>679</v>
      </c>
      <c r="O3393" s="173" t="s">
        <v>225</v>
      </c>
      <c r="P3393" s="262" t="str">
        <f t="shared" si="1"/>
        <v>IN-BLR-ANANTA-FAN-341_8</v>
      </c>
      <c r="Q3393" s="173" t="s">
        <v>10491</v>
      </c>
      <c r="R3393" s="425" t="str">
        <f>IFS(C3393="","",C3393="n/a","N/A",LEN(C3393),Concatenate("{",char(34),"asset",char(34),":{",char(34),"guid",char(34),":",char(34),Q3393,char(34),",",char(34),"site",char(34),":",char(34),LOWER('2-Building'!$B$4),char(34),",",char(34),"name",char(34),":",char(34),LOWER(C3393),char(34),"}}"))</f>
        <v>{"asset":{"guid":"uuid://961e212d-b5c2-47f6-a0db-7a2b64ea0310","site":"in-blr-ananta","name":"fan-341"}}</v>
      </c>
      <c r="S3393" s="369" t="s">
        <v>2866</v>
      </c>
      <c r="T3393" s="427"/>
      <c r="U3393" s="427"/>
      <c r="V3393" s="428"/>
      <c r="W3393" s="429"/>
      <c r="X3393" s="430"/>
      <c r="Y3393" s="33" t="s">
        <v>8076</v>
      </c>
      <c r="Z3393" s="430"/>
      <c r="AA3393" s="430"/>
      <c r="AB3393" s="258">
        <v>142.0</v>
      </c>
      <c r="AC3393" s="430"/>
      <c r="AD3393" s="426"/>
      <c r="AE3393" s="428"/>
      <c r="AF3393" s="431"/>
      <c r="AG3393" s="432" t="str">
        <f>IFS(LEN(AF3393)=17,LOWER('2-Building'!$B$4 &amp; "-" &amp; C3393), AF3393="N/A", "N/A", LEN(AF3393)=0,"")</f>
        <v/>
      </c>
      <c r="AH3393" s="430"/>
      <c r="AI3393" s="430"/>
      <c r="AJ3393" s="430"/>
      <c r="AK3393" s="430"/>
      <c r="AL3393" s="430"/>
      <c r="AM3393" s="433"/>
      <c r="AN3393" s="430"/>
      <c r="AO3393" s="430"/>
      <c r="AP3393" s="430"/>
      <c r="AQ3393" s="430"/>
      <c r="AR3393" s="430"/>
      <c r="AS3393" s="430"/>
      <c r="AT3393" s="430"/>
      <c r="AU3393" s="426"/>
      <c r="AV3393" s="434"/>
      <c r="AW3393" s="269" t="s">
        <v>1755</v>
      </c>
      <c r="AX3393" s="269" t="s">
        <v>2869</v>
      </c>
      <c r="AY3393" s="270" t="s">
        <v>695</v>
      </c>
      <c r="AZ3393" s="435"/>
      <c r="BA3393" s="173">
        <v>10.0</v>
      </c>
      <c r="BB3393" s="434"/>
      <c r="BC3393" s="434"/>
      <c r="BD3393" s="308" t="s">
        <v>1844</v>
      </c>
      <c r="BE3393" s="436"/>
      <c r="BF3393" s="274" t="str">
        <f>IFERROR(__xludf.DUMMYFUNCTION("LOWER(Regexreplace(to_text(E3393),""[^A-Za-z0-9]"","""")&amp;""_""&amp;Regexreplace(to_text(F3393),""[^A-Za-z0-9]"",""""))"),"neptronic_evcbseries")</f>
        <v>neptronic_evcbseries</v>
      </c>
      <c r="BG3393" s="275" t="str">
        <f>IFERROR(__xludf.DUMMYFUNCTION("upper(Regexreplace(to_text(E3393),""[^A-Za-z0-9]"","""")&amp;""-""&amp;Regexreplace(to_text(F3393),""[^A-Za-z0-9]"",""""))"),"NEPTRONIC-EVCBSERIES")</f>
        <v>NEPTRONIC-EVCBSERIES</v>
      </c>
    </row>
    <row r="3394" ht="30.0" customHeight="1">
      <c r="A3394" s="425">
        <v>2690.0</v>
      </c>
      <c r="B3394" s="425" t="s">
        <v>670</v>
      </c>
      <c r="C3394" s="257" t="s">
        <v>10492</v>
      </c>
      <c r="D3394" s="173" t="s">
        <v>10493</v>
      </c>
      <c r="E3394" s="174" t="s">
        <v>2861</v>
      </c>
      <c r="F3394" s="173" t="s">
        <v>2862</v>
      </c>
      <c r="G3394" s="425" t="s">
        <v>673</v>
      </c>
      <c r="H3394" s="425" t="s">
        <v>2863</v>
      </c>
      <c r="I3394" s="258" t="s">
        <v>9445</v>
      </c>
      <c r="J3394" s="259" t="s">
        <v>1272</v>
      </c>
      <c r="K3394" s="260" t="s">
        <v>1730</v>
      </c>
      <c r="L3394" s="442"/>
      <c r="M3394" s="426"/>
      <c r="N3394" s="173" t="s">
        <v>679</v>
      </c>
      <c r="O3394" s="173" t="s">
        <v>225</v>
      </c>
      <c r="P3394" s="262" t="str">
        <f t="shared" si="1"/>
        <v>IN-BLR-ANANTA-FAN-342_8</v>
      </c>
      <c r="Q3394" s="173" t="s">
        <v>10494</v>
      </c>
      <c r="R3394" s="433" t="str">
        <f>IFS(C3394="","",C3394="n/a","N/A",LEN(C3394),Concatenate("{",char(34),"asset",char(34),":{",char(34),"guid",char(34),":",char(34),Q3394,char(34),",",char(34),"site",char(34),":",char(34),LOWER('2-Building'!$B$4),char(34),",",char(34),"name",char(34),":",char(34),LOWER(C3394),char(34),"}}"))</f>
        <v>{"asset":{"guid":"uuid://c17c70b8-74b0-4351-94ae-837e839f8c39","site":"in-blr-ananta","name":"fan-342"}}</v>
      </c>
      <c r="S3394" s="369" t="s">
        <v>2866</v>
      </c>
      <c r="T3394" s="427"/>
      <c r="U3394" s="427"/>
      <c r="V3394" s="428"/>
      <c r="W3394" s="429"/>
      <c r="X3394" s="430"/>
      <c r="Y3394" s="33" t="s">
        <v>8076</v>
      </c>
      <c r="Z3394" s="430"/>
      <c r="AA3394" s="430"/>
      <c r="AB3394" s="258">
        <v>143.0</v>
      </c>
      <c r="AC3394" s="430"/>
      <c r="AD3394" s="426"/>
      <c r="AE3394" s="428"/>
      <c r="AF3394" s="431"/>
      <c r="AG3394" s="432" t="str">
        <f>IFS(LEN(AF3394)=17,LOWER('2-Building'!$B$4 &amp; "-" &amp; C3394), AF3394="N/A", "N/A", LEN(AF3394)=0,"")</f>
        <v/>
      </c>
      <c r="AH3394" s="430"/>
      <c r="AI3394" s="430"/>
      <c r="AJ3394" s="430"/>
      <c r="AK3394" s="430"/>
      <c r="AL3394" s="430"/>
      <c r="AM3394" s="433"/>
      <c r="AN3394" s="430"/>
      <c r="AO3394" s="430"/>
      <c r="AP3394" s="430"/>
      <c r="AQ3394" s="430"/>
      <c r="AR3394" s="430"/>
      <c r="AS3394" s="430"/>
      <c r="AT3394" s="430"/>
      <c r="AU3394" s="426"/>
      <c r="AV3394" s="434"/>
      <c r="AW3394" s="269" t="s">
        <v>1755</v>
      </c>
      <c r="AX3394" s="269" t="s">
        <v>2869</v>
      </c>
      <c r="AY3394" s="270" t="s">
        <v>695</v>
      </c>
      <c r="AZ3394" s="435"/>
      <c r="BA3394" s="173">
        <v>10.0</v>
      </c>
      <c r="BB3394" s="434"/>
      <c r="BC3394" s="434"/>
      <c r="BD3394" s="308" t="s">
        <v>1844</v>
      </c>
      <c r="BE3394" s="436"/>
      <c r="BF3394" s="274" t="str">
        <f>IFERROR(__xludf.DUMMYFUNCTION("LOWER(Regexreplace(to_text(E3394),""[^A-Za-z0-9]"","""")&amp;""_""&amp;Regexreplace(to_text(F3394),""[^A-Za-z0-9]"",""""))"),"neptronic_evcbseries")</f>
        <v>neptronic_evcbseries</v>
      </c>
      <c r="BG3394" s="275" t="str">
        <f>IFERROR(__xludf.DUMMYFUNCTION("upper(Regexreplace(to_text(E3394),""[^A-Za-z0-9]"","""")&amp;""-""&amp;Regexreplace(to_text(F3394),""[^A-Za-z0-9]"",""""))"),"NEPTRONIC-EVCBSERIES")</f>
        <v>NEPTRONIC-EVCBSERIES</v>
      </c>
    </row>
    <row r="3395" ht="30.0" customHeight="1">
      <c r="A3395" s="328">
        <v>2690.0</v>
      </c>
      <c r="B3395" s="425" t="s">
        <v>670</v>
      </c>
      <c r="C3395" s="257" t="s">
        <v>10495</v>
      </c>
      <c r="D3395" s="173" t="s">
        <v>10496</v>
      </c>
      <c r="E3395" s="174" t="s">
        <v>2861</v>
      </c>
      <c r="F3395" s="173" t="s">
        <v>2862</v>
      </c>
      <c r="G3395" s="425" t="s">
        <v>673</v>
      </c>
      <c r="H3395" s="425" t="s">
        <v>2863</v>
      </c>
      <c r="I3395" s="258" t="s">
        <v>9445</v>
      </c>
      <c r="J3395" s="259" t="s">
        <v>1333</v>
      </c>
      <c r="K3395" s="260" t="s">
        <v>10497</v>
      </c>
      <c r="L3395" s="442"/>
      <c r="M3395" s="426"/>
      <c r="N3395" s="173" t="s">
        <v>679</v>
      </c>
      <c r="O3395" s="173" t="s">
        <v>225</v>
      </c>
      <c r="P3395" s="262" t="str">
        <f t="shared" si="1"/>
        <v>IN-BLR-ANANTA-FAN-343_9</v>
      </c>
      <c r="Q3395" s="173" t="s">
        <v>10498</v>
      </c>
      <c r="R3395" s="425" t="str">
        <f>IFS(C3395="","",C3395="n/a","N/A",LEN(C3395),Concatenate("{",char(34),"asset",char(34),":{",char(34),"guid",char(34),":",char(34),Q3395,char(34),",",char(34),"site",char(34),":",char(34),LOWER('2-Building'!$B$4),char(34),",",char(34),"name",char(34),":",char(34),LOWER(C3395),char(34),"}}"))</f>
        <v>{"asset":{"guid":"uuid://2e857b73-8b49-48b2-9e78-f140b5ffe448","site":"in-blr-ananta","name":"fan-343"}}</v>
      </c>
      <c r="S3395" s="369" t="s">
        <v>2866</v>
      </c>
      <c r="T3395" s="427"/>
      <c r="U3395" s="427"/>
      <c r="V3395" s="428"/>
      <c r="W3395" s="429"/>
      <c r="X3395" s="430"/>
      <c r="Y3395" s="33" t="s">
        <v>8076</v>
      </c>
      <c r="Z3395" s="430"/>
      <c r="AA3395" s="430"/>
      <c r="AB3395" s="258">
        <v>156.0</v>
      </c>
      <c r="AC3395" s="430"/>
      <c r="AD3395" s="426"/>
      <c r="AE3395" s="428"/>
      <c r="AF3395" s="431"/>
      <c r="AG3395" s="432" t="str">
        <f>IFS(LEN(AF3395)=17,LOWER('2-Building'!$B$4 &amp; "-" &amp; C3395), AF3395="N/A", "N/A", LEN(AF3395)=0,"")</f>
        <v/>
      </c>
      <c r="AH3395" s="430"/>
      <c r="AI3395" s="430"/>
      <c r="AJ3395" s="430"/>
      <c r="AK3395" s="430"/>
      <c r="AL3395" s="430"/>
      <c r="AM3395" s="433"/>
      <c r="AN3395" s="430"/>
      <c r="AO3395" s="430"/>
      <c r="AP3395" s="430"/>
      <c r="AQ3395" s="430"/>
      <c r="AR3395" s="430"/>
      <c r="AS3395" s="430"/>
      <c r="AT3395" s="430"/>
      <c r="AU3395" s="426"/>
      <c r="AV3395" s="434"/>
      <c r="AW3395" s="269" t="s">
        <v>1755</v>
      </c>
      <c r="AX3395" s="269" t="s">
        <v>2869</v>
      </c>
      <c r="AY3395" s="270" t="s">
        <v>695</v>
      </c>
      <c r="AZ3395" s="435"/>
      <c r="BA3395" s="173">
        <v>10.0</v>
      </c>
      <c r="BB3395" s="434"/>
      <c r="BC3395" s="434"/>
      <c r="BD3395" s="308" t="s">
        <v>1844</v>
      </c>
      <c r="BE3395" s="436"/>
      <c r="BF3395" s="274" t="str">
        <f>IFERROR(__xludf.DUMMYFUNCTION("LOWER(Regexreplace(to_text(E3395),""[^A-Za-z0-9]"","""")&amp;""_""&amp;Regexreplace(to_text(F3395),""[^A-Za-z0-9]"",""""))"),"neptronic_evcbseries")</f>
        <v>neptronic_evcbseries</v>
      </c>
      <c r="BG3395" s="275" t="str">
        <f>IFERROR(__xludf.DUMMYFUNCTION("upper(Regexreplace(to_text(E3395),""[^A-Za-z0-9]"","""")&amp;""-""&amp;Regexreplace(to_text(F3395),""[^A-Za-z0-9]"",""""))"),"NEPTRONIC-EVCBSERIES")</f>
        <v>NEPTRONIC-EVCBSERIES</v>
      </c>
    </row>
    <row r="3396" ht="30.0" customHeight="1">
      <c r="A3396" s="425">
        <v>2690.0</v>
      </c>
      <c r="B3396" s="425" t="s">
        <v>670</v>
      </c>
      <c r="C3396" s="257" t="s">
        <v>10499</v>
      </c>
      <c r="D3396" s="173" t="s">
        <v>10500</v>
      </c>
      <c r="E3396" s="174" t="s">
        <v>2861</v>
      </c>
      <c r="F3396" s="173" t="s">
        <v>2862</v>
      </c>
      <c r="G3396" s="425" t="s">
        <v>673</v>
      </c>
      <c r="H3396" s="425" t="s">
        <v>2863</v>
      </c>
      <c r="I3396" s="258" t="s">
        <v>9445</v>
      </c>
      <c r="J3396" s="259" t="s">
        <v>1333</v>
      </c>
      <c r="K3396" s="260" t="s">
        <v>10497</v>
      </c>
      <c r="L3396" s="442"/>
      <c r="M3396" s="426"/>
      <c r="N3396" s="173" t="s">
        <v>679</v>
      </c>
      <c r="O3396" s="173" t="s">
        <v>225</v>
      </c>
      <c r="P3396" s="262" t="str">
        <f t="shared" si="1"/>
        <v>IN-BLR-ANANTA-FAN-344_9</v>
      </c>
      <c r="Q3396" s="173" t="s">
        <v>10501</v>
      </c>
      <c r="R3396" s="433" t="str">
        <f>IFS(C3396="","",C3396="n/a","N/A",LEN(C3396),Concatenate("{",char(34),"asset",char(34),":{",char(34),"guid",char(34),":",char(34),Q3396,char(34),",",char(34),"site",char(34),":",char(34),LOWER('2-Building'!$B$4),char(34),",",char(34),"name",char(34),":",char(34),LOWER(C3396),char(34),"}}"))</f>
        <v>{"asset":{"guid":"uuid://9d0ac074-e93c-4d0f-aed2-ebed87692d28","site":"in-blr-ananta","name":"fan-344"}}</v>
      </c>
      <c r="S3396" s="369" t="s">
        <v>2866</v>
      </c>
      <c r="T3396" s="427"/>
      <c r="U3396" s="427"/>
      <c r="V3396" s="428"/>
      <c r="W3396" s="429"/>
      <c r="X3396" s="430"/>
      <c r="Y3396" s="33" t="s">
        <v>8076</v>
      </c>
      <c r="Z3396" s="430"/>
      <c r="AA3396" s="430"/>
      <c r="AB3396" s="258">
        <v>157.0</v>
      </c>
      <c r="AC3396" s="430"/>
      <c r="AD3396" s="426"/>
      <c r="AE3396" s="428"/>
      <c r="AF3396" s="431"/>
      <c r="AG3396" s="432" t="str">
        <f>IFS(LEN(AF3396)=17,LOWER('2-Building'!$B$4 &amp; "-" &amp; C3396), AF3396="N/A", "N/A", LEN(AF3396)=0,"")</f>
        <v/>
      </c>
      <c r="AH3396" s="430"/>
      <c r="AI3396" s="430"/>
      <c r="AJ3396" s="430"/>
      <c r="AK3396" s="430"/>
      <c r="AL3396" s="430"/>
      <c r="AM3396" s="433"/>
      <c r="AN3396" s="430"/>
      <c r="AO3396" s="430"/>
      <c r="AP3396" s="430"/>
      <c r="AQ3396" s="430"/>
      <c r="AR3396" s="430"/>
      <c r="AS3396" s="430"/>
      <c r="AT3396" s="430"/>
      <c r="AU3396" s="426"/>
      <c r="AV3396" s="434"/>
      <c r="AW3396" s="269" t="s">
        <v>1755</v>
      </c>
      <c r="AX3396" s="269" t="s">
        <v>2869</v>
      </c>
      <c r="AY3396" s="270" t="s">
        <v>695</v>
      </c>
      <c r="AZ3396" s="435"/>
      <c r="BA3396" s="173">
        <v>10.0</v>
      </c>
      <c r="BB3396" s="434"/>
      <c r="BC3396" s="434"/>
      <c r="BD3396" s="308" t="s">
        <v>1844</v>
      </c>
      <c r="BE3396" s="436"/>
      <c r="BF3396" s="274" t="str">
        <f>IFERROR(__xludf.DUMMYFUNCTION("LOWER(Regexreplace(to_text(E3396),""[^A-Za-z0-9]"","""")&amp;""_""&amp;Regexreplace(to_text(F3396),""[^A-Za-z0-9]"",""""))"),"neptronic_evcbseries")</f>
        <v>neptronic_evcbseries</v>
      </c>
      <c r="BG3396" s="275" t="str">
        <f>IFERROR(__xludf.DUMMYFUNCTION("upper(Regexreplace(to_text(E3396),""[^A-Za-z0-9]"","""")&amp;""-""&amp;Regexreplace(to_text(F3396),""[^A-Za-z0-9]"",""""))"),"NEPTRONIC-EVCBSERIES")</f>
        <v>NEPTRONIC-EVCBSERIES</v>
      </c>
    </row>
    <row r="3397" ht="30.0" customHeight="1">
      <c r="A3397" s="425">
        <v>2690.0</v>
      </c>
      <c r="B3397" s="425" t="s">
        <v>670</v>
      </c>
      <c r="C3397" s="257" t="s">
        <v>10502</v>
      </c>
      <c r="D3397" s="173" t="s">
        <v>10503</v>
      </c>
      <c r="E3397" s="174" t="s">
        <v>2861</v>
      </c>
      <c r="F3397" s="173" t="s">
        <v>2862</v>
      </c>
      <c r="G3397" s="425" t="s">
        <v>673</v>
      </c>
      <c r="H3397" s="425" t="s">
        <v>2863</v>
      </c>
      <c r="I3397" s="258" t="s">
        <v>9445</v>
      </c>
      <c r="J3397" s="259" t="s">
        <v>1333</v>
      </c>
      <c r="K3397" s="260" t="s">
        <v>10497</v>
      </c>
      <c r="L3397" s="442"/>
      <c r="M3397" s="426"/>
      <c r="N3397" s="173" t="s">
        <v>679</v>
      </c>
      <c r="O3397" s="173" t="s">
        <v>225</v>
      </c>
      <c r="P3397" s="262" t="str">
        <f t="shared" si="1"/>
        <v>IN-BLR-ANANTA-FAN-345_9</v>
      </c>
      <c r="Q3397" s="173" t="s">
        <v>10504</v>
      </c>
      <c r="R3397" s="425" t="str">
        <f>IFS(C3397="","",C3397="n/a","N/A",LEN(C3397),Concatenate("{",char(34),"asset",char(34),":{",char(34),"guid",char(34),":",char(34),Q3397,char(34),",",char(34),"site",char(34),":",char(34),LOWER('2-Building'!$B$4),char(34),",",char(34),"name",char(34),":",char(34),LOWER(C3397),char(34),"}}"))</f>
        <v>{"asset":{"guid":"uuid://de1934e9-7b11-4642-b0f2-5b8bce05300a","site":"in-blr-ananta","name":"fan-345"}}</v>
      </c>
      <c r="S3397" s="369" t="s">
        <v>2866</v>
      </c>
      <c r="T3397" s="427"/>
      <c r="U3397" s="427"/>
      <c r="V3397" s="428"/>
      <c r="W3397" s="429"/>
      <c r="X3397" s="430"/>
      <c r="Y3397" s="33" t="s">
        <v>8076</v>
      </c>
      <c r="Z3397" s="430"/>
      <c r="AA3397" s="430"/>
      <c r="AB3397" s="258">
        <v>158.0</v>
      </c>
      <c r="AC3397" s="430"/>
      <c r="AD3397" s="426"/>
      <c r="AE3397" s="428"/>
      <c r="AF3397" s="431"/>
      <c r="AG3397" s="432" t="str">
        <f>IFS(LEN(AF3397)=17,LOWER('2-Building'!$B$4 &amp; "-" &amp; C3397), AF3397="N/A", "N/A", LEN(AF3397)=0,"")</f>
        <v/>
      </c>
      <c r="AH3397" s="430"/>
      <c r="AI3397" s="430"/>
      <c r="AJ3397" s="430"/>
      <c r="AK3397" s="430"/>
      <c r="AL3397" s="430"/>
      <c r="AM3397" s="433"/>
      <c r="AN3397" s="430"/>
      <c r="AO3397" s="430"/>
      <c r="AP3397" s="430"/>
      <c r="AQ3397" s="430"/>
      <c r="AR3397" s="430"/>
      <c r="AS3397" s="430"/>
      <c r="AT3397" s="430"/>
      <c r="AU3397" s="426"/>
      <c r="AV3397" s="434"/>
      <c r="AW3397" s="269" t="s">
        <v>1755</v>
      </c>
      <c r="AX3397" s="269" t="s">
        <v>2869</v>
      </c>
      <c r="AY3397" s="270" t="s">
        <v>695</v>
      </c>
      <c r="AZ3397" s="435"/>
      <c r="BA3397" s="173">
        <v>10.0</v>
      </c>
      <c r="BB3397" s="434"/>
      <c r="BC3397" s="434"/>
      <c r="BD3397" s="308" t="s">
        <v>1844</v>
      </c>
      <c r="BE3397" s="436"/>
      <c r="BF3397" s="274" t="str">
        <f>IFERROR(__xludf.DUMMYFUNCTION("LOWER(Regexreplace(to_text(E3397),""[^A-Za-z0-9]"","""")&amp;""_""&amp;Regexreplace(to_text(F3397),""[^A-Za-z0-9]"",""""))"),"neptronic_evcbseries")</f>
        <v>neptronic_evcbseries</v>
      </c>
      <c r="BG3397" s="275" t="str">
        <f>IFERROR(__xludf.DUMMYFUNCTION("upper(Regexreplace(to_text(E3397),""[^A-Za-z0-9]"","""")&amp;""-""&amp;Regexreplace(to_text(F3397),""[^A-Za-z0-9]"",""""))"),"NEPTRONIC-EVCBSERIES")</f>
        <v>NEPTRONIC-EVCBSERIES</v>
      </c>
    </row>
    <row r="3398" ht="30.0" customHeight="1">
      <c r="A3398" s="425">
        <v>2690.0</v>
      </c>
      <c r="B3398" s="425" t="s">
        <v>670</v>
      </c>
      <c r="C3398" s="257" t="s">
        <v>10505</v>
      </c>
      <c r="D3398" s="173" t="s">
        <v>10506</v>
      </c>
      <c r="E3398" s="174" t="s">
        <v>2861</v>
      </c>
      <c r="F3398" s="173" t="s">
        <v>2862</v>
      </c>
      <c r="G3398" s="425" t="s">
        <v>673</v>
      </c>
      <c r="H3398" s="425" t="s">
        <v>2863</v>
      </c>
      <c r="I3398" s="258" t="s">
        <v>9445</v>
      </c>
      <c r="J3398" s="259" t="s">
        <v>1333</v>
      </c>
      <c r="K3398" s="260" t="s">
        <v>10497</v>
      </c>
      <c r="L3398" s="442"/>
      <c r="M3398" s="426"/>
      <c r="N3398" s="173" t="s">
        <v>679</v>
      </c>
      <c r="O3398" s="173" t="s">
        <v>225</v>
      </c>
      <c r="P3398" s="262" t="str">
        <f t="shared" si="1"/>
        <v>IN-BLR-ANANTA-FAN-346_9</v>
      </c>
      <c r="Q3398" s="173" t="s">
        <v>10507</v>
      </c>
      <c r="R3398" s="425" t="str">
        <f>IFS(C3398="","",C3398="n/a","N/A",LEN(C3398),Concatenate("{",char(34),"asset",char(34),":{",char(34),"guid",char(34),":",char(34),Q3398,char(34),",",char(34),"site",char(34),":",char(34),LOWER('2-Building'!$B$4),char(34),",",char(34),"name",char(34),":",char(34),LOWER(C3398),char(34),"}}"))</f>
        <v>{"asset":{"guid":"uuid://cd213695-eed1-4925-b4fb-0a5a412d3fcc","site":"in-blr-ananta","name":"fan-346"}}</v>
      </c>
      <c r="S3398" s="369" t="s">
        <v>2866</v>
      </c>
      <c r="T3398" s="427"/>
      <c r="U3398" s="427"/>
      <c r="V3398" s="428"/>
      <c r="W3398" s="429"/>
      <c r="X3398" s="430"/>
      <c r="Y3398" s="33" t="s">
        <v>8076</v>
      </c>
      <c r="Z3398" s="430"/>
      <c r="AA3398" s="430"/>
      <c r="AB3398" s="258">
        <v>159.0</v>
      </c>
      <c r="AC3398" s="430"/>
      <c r="AD3398" s="426"/>
      <c r="AE3398" s="428"/>
      <c r="AF3398" s="431"/>
      <c r="AG3398" s="432"/>
      <c r="AH3398" s="430"/>
      <c r="AI3398" s="430"/>
      <c r="AJ3398" s="430"/>
      <c r="AK3398" s="430"/>
      <c r="AL3398" s="430"/>
      <c r="AM3398" s="433"/>
      <c r="AN3398" s="430"/>
      <c r="AO3398" s="430"/>
      <c r="AP3398" s="430"/>
      <c r="AQ3398" s="430"/>
      <c r="AR3398" s="430"/>
      <c r="AS3398" s="430"/>
      <c r="AT3398" s="430"/>
      <c r="AU3398" s="426"/>
      <c r="AV3398" s="434"/>
      <c r="AW3398" s="269" t="s">
        <v>1755</v>
      </c>
      <c r="AX3398" s="269" t="s">
        <v>2869</v>
      </c>
      <c r="AY3398" s="270" t="s">
        <v>695</v>
      </c>
      <c r="AZ3398" s="435"/>
      <c r="BA3398" s="173">
        <v>10.0</v>
      </c>
      <c r="BB3398" s="434"/>
      <c r="BC3398" s="434"/>
      <c r="BD3398" s="308" t="s">
        <v>1844</v>
      </c>
      <c r="BE3398" s="436"/>
      <c r="BF3398" s="274" t="str">
        <f>IFERROR(__xludf.DUMMYFUNCTION("LOWER(Regexreplace(to_text(E3398),""[^A-Za-z0-9]"","""")&amp;""_""&amp;Regexreplace(to_text(F3398),""[^A-Za-z0-9]"",""""))"),"neptronic_evcbseries")</f>
        <v>neptronic_evcbseries</v>
      </c>
      <c r="BG3398" s="275" t="str">
        <f>IFERROR(__xludf.DUMMYFUNCTION("upper(Regexreplace(to_text(E3398),""[^A-Za-z0-9]"","""")&amp;""-""&amp;Regexreplace(to_text(F3398),""[^A-Za-z0-9]"",""""))"),"NEPTRONIC-EVCBSERIES")</f>
        <v>NEPTRONIC-EVCBSERIES</v>
      </c>
    </row>
    <row r="3399" ht="30.0" customHeight="1">
      <c r="A3399" s="425">
        <v>2690.0</v>
      </c>
      <c r="B3399" s="425" t="s">
        <v>670</v>
      </c>
      <c r="C3399" s="257" t="s">
        <v>10508</v>
      </c>
      <c r="D3399" s="173" t="s">
        <v>10509</v>
      </c>
      <c r="E3399" s="174" t="s">
        <v>2861</v>
      </c>
      <c r="F3399" s="173" t="s">
        <v>2862</v>
      </c>
      <c r="G3399" s="425" t="s">
        <v>673</v>
      </c>
      <c r="H3399" s="425" t="s">
        <v>2863</v>
      </c>
      <c r="I3399" s="258" t="s">
        <v>9445</v>
      </c>
      <c r="J3399" s="259" t="s">
        <v>1333</v>
      </c>
      <c r="K3399" s="260" t="s">
        <v>10497</v>
      </c>
      <c r="L3399" s="442"/>
      <c r="M3399" s="426"/>
      <c r="N3399" s="173" t="s">
        <v>679</v>
      </c>
      <c r="O3399" s="173" t="s">
        <v>225</v>
      </c>
      <c r="P3399" s="262" t="str">
        <f t="shared" si="1"/>
        <v>IN-BLR-ANANTA-FAN-347_9</v>
      </c>
      <c r="Q3399" s="173" t="s">
        <v>10510</v>
      </c>
      <c r="R3399" s="425" t="str">
        <f>IFS(C3399="","",C3399="n/a","N/A",LEN(C3399),Concatenate("{",char(34),"asset",char(34),":{",char(34),"guid",char(34),":",char(34),Q3399,char(34),",",char(34),"site",char(34),":",char(34),LOWER('2-Building'!$B$4),char(34),",",char(34),"name",char(34),":",char(34),LOWER(C3399),char(34),"}}"))</f>
        <v>{"asset":{"guid":"uuid://3a9f85b6-ea9f-4142-9a40-4a4a9be80db8","site":"in-blr-ananta","name":"fan-347"}}</v>
      </c>
      <c r="S3399" s="369" t="s">
        <v>2866</v>
      </c>
      <c r="T3399" s="427"/>
      <c r="U3399" s="427"/>
      <c r="V3399" s="428"/>
      <c r="W3399" s="429"/>
      <c r="X3399" s="430"/>
      <c r="Y3399" s="33" t="s">
        <v>8076</v>
      </c>
      <c r="Z3399" s="430"/>
      <c r="AA3399" s="430"/>
      <c r="AB3399" s="258">
        <v>160.0</v>
      </c>
      <c r="AC3399" s="430"/>
      <c r="AD3399" s="426"/>
      <c r="AE3399" s="428"/>
      <c r="AF3399" s="431"/>
      <c r="AG3399" s="432"/>
      <c r="AH3399" s="430"/>
      <c r="AI3399" s="430"/>
      <c r="AJ3399" s="430"/>
      <c r="AK3399" s="430"/>
      <c r="AL3399" s="430"/>
      <c r="AM3399" s="433"/>
      <c r="AN3399" s="430"/>
      <c r="AO3399" s="430"/>
      <c r="AP3399" s="430"/>
      <c r="AQ3399" s="430"/>
      <c r="AR3399" s="430"/>
      <c r="AS3399" s="430"/>
      <c r="AT3399" s="430"/>
      <c r="AU3399" s="426"/>
      <c r="AV3399" s="434"/>
      <c r="AW3399" s="269" t="s">
        <v>1755</v>
      </c>
      <c r="AX3399" s="269" t="s">
        <v>2869</v>
      </c>
      <c r="AY3399" s="270" t="s">
        <v>695</v>
      </c>
      <c r="AZ3399" s="435"/>
      <c r="BA3399" s="173">
        <v>10.0</v>
      </c>
      <c r="BB3399" s="434"/>
      <c r="BC3399" s="434"/>
      <c r="BD3399" s="308" t="s">
        <v>1844</v>
      </c>
      <c r="BE3399" s="436"/>
      <c r="BF3399" s="274" t="str">
        <f>IFERROR(__xludf.DUMMYFUNCTION("LOWER(Regexreplace(to_text(E3399),""[^A-Za-z0-9]"","""")&amp;""_""&amp;Regexreplace(to_text(F3399),""[^A-Za-z0-9]"",""""))"),"neptronic_evcbseries")</f>
        <v>neptronic_evcbseries</v>
      </c>
      <c r="BG3399" s="275" t="str">
        <f>IFERROR(__xludf.DUMMYFUNCTION("upper(Regexreplace(to_text(E3399),""[^A-Za-z0-9]"","""")&amp;""-""&amp;Regexreplace(to_text(F3399),""[^A-Za-z0-9]"",""""))"),"NEPTRONIC-EVCBSERIES")</f>
        <v>NEPTRONIC-EVCBSERIES</v>
      </c>
    </row>
    <row r="3400" ht="30.0" customHeight="1">
      <c r="A3400" s="425">
        <v>2690.0</v>
      </c>
      <c r="B3400" s="425" t="s">
        <v>670</v>
      </c>
      <c r="C3400" s="257" t="s">
        <v>10511</v>
      </c>
      <c r="D3400" s="173" t="s">
        <v>10512</v>
      </c>
      <c r="E3400" s="174" t="s">
        <v>2861</v>
      </c>
      <c r="F3400" s="173" t="s">
        <v>2862</v>
      </c>
      <c r="G3400" s="425" t="s">
        <v>673</v>
      </c>
      <c r="H3400" s="425" t="s">
        <v>2863</v>
      </c>
      <c r="I3400" s="258" t="s">
        <v>9445</v>
      </c>
      <c r="J3400" s="259" t="s">
        <v>1333</v>
      </c>
      <c r="K3400" s="260" t="s">
        <v>10497</v>
      </c>
      <c r="L3400" s="442"/>
      <c r="M3400" s="426"/>
      <c r="N3400" s="173" t="s">
        <v>679</v>
      </c>
      <c r="O3400" s="173" t="s">
        <v>225</v>
      </c>
      <c r="P3400" s="262" t="str">
        <f t="shared" si="1"/>
        <v>IN-BLR-ANANTA-FAN-348_9</v>
      </c>
      <c r="Q3400" s="173" t="s">
        <v>10513</v>
      </c>
      <c r="R3400" s="425" t="str">
        <f>IFS(C3400="","",C3400="n/a","N/A",LEN(C3400),Concatenate("{",char(34),"asset",char(34),":{",char(34),"guid",char(34),":",char(34),Q3400,char(34),",",char(34),"site",char(34),":",char(34),LOWER('2-Building'!$B$4),char(34),",",char(34),"name",char(34),":",char(34),LOWER(C3400),char(34),"}}"))</f>
        <v>{"asset":{"guid":"uuid://f7c1f0a2-82de-438f-ae73-b15512f93152","site":"in-blr-ananta","name":"fan-348"}}</v>
      </c>
      <c r="S3400" s="369" t="s">
        <v>2866</v>
      </c>
      <c r="T3400" s="427"/>
      <c r="U3400" s="427"/>
      <c r="V3400" s="428"/>
      <c r="W3400" s="429"/>
      <c r="X3400" s="430"/>
      <c r="Y3400" s="33" t="s">
        <v>8076</v>
      </c>
      <c r="Z3400" s="430"/>
      <c r="AA3400" s="430"/>
      <c r="AB3400" s="258">
        <v>161.0</v>
      </c>
      <c r="AC3400" s="430"/>
      <c r="AD3400" s="426"/>
      <c r="AE3400" s="428"/>
      <c r="AF3400" s="431"/>
      <c r="AG3400" s="432"/>
      <c r="AH3400" s="430"/>
      <c r="AI3400" s="430"/>
      <c r="AJ3400" s="430"/>
      <c r="AK3400" s="430"/>
      <c r="AL3400" s="430"/>
      <c r="AM3400" s="433"/>
      <c r="AN3400" s="430"/>
      <c r="AO3400" s="430"/>
      <c r="AP3400" s="430"/>
      <c r="AQ3400" s="430"/>
      <c r="AR3400" s="430"/>
      <c r="AS3400" s="430"/>
      <c r="AT3400" s="430"/>
      <c r="AU3400" s="426"/>
      <c r="AV3400" s="434"/>
      <c r="AW3400" s="269" t="s">
        <v>1755</v>
      </c>
      <c r="AX3400" s="269" t="s">
        <v>2869</v>
      </c>
      <c r="AY3400" s="270" t="s">
        <v>695</v>
      </c>
      <c r="AZ3400" s="435"/>
      <c r="BA3400" s="173">
        <v>10.0</v>
      </c>
      <c r="BB3400" s="434"/>
      <c r="BC3400" s="434"/>
      <c r="BD3400" s="308" t="s">
        <v>1844</v>
      </c>
      <c r="BE3400" s="436"/>
      <c r="BF3400" s="274" t="str">
        <f>IFERROR(__xludf.DUMMYFUNCTION("LOWER(Regexreplace(to_text(E3400),""[^A-Za-z0-9]"","""")&amp;""_""&amp;Regexreplace(to_text(F3400),""[^A-Za-z0-9]"",""""))"),"neptronic_evcbseries")</f>
        <v>neptronic_evcbseries</v>
      </c>
      <c r="BG3400" s="275" t="str">
        <f>IFERROR(__xludf.DUMMYFUNCTION("upper(Regexreplace(to_text(E3400),""[^A-Za-z0-9]"","""")&amp;""-""&amp;Regexreplace(to_text(F3400),""[^A-Za-z0-9]"",""""))"),"NEPTRONIC-EVCBSERIES")</f>
        <v>NEPTRONIC-EVCBSERIES</v>
      </c>
    </row>
    <row r="3401" ht="30.0" customHeight="1">
      <c r="A3401" s="425">
        <v>2690.0</v>
      </c>
      <c r="B3401" s="425" t="s">
        <v>670</v>
      </c>
      <c r="C3401" s="257" t="s">
        <v>10514</v>
      </c>
      <c r="D3401" s="173" t="s">
        <v>10515</v>
      </c>
      <c r="E3401" s="174" t="s">
        <v>2861</v>
      </c>
      <c r="F3401" s="173" t="s">
        <v>2862</v>
      </c>
      <c r="G3401" s="425" t="s">
        <v>673</v>
      </c>
      <c r="H3401" s="425" t="s">
        <v>2863</v>
      </c>
      <c r="I3401" s="258" t="s">
        <v>9445</v>
      </c>
      <c r="J3401" s="259" t="s">
        <v>1393</v>
      </c>
      <c r="K3401" s="260" t="s">
        <v>1394</v>
      </c>
      <c r="L3401" s="442"/>
      <c r="M3401" s="426"/>
      <c r="N3401" s="173" t="s">
        <v>679</v>
      </c>
      <c r="O3401" s="173" t="s">
        <v>225</v>
      </c>
      <c r="P3401" s="262" t="str">
        <f t="shared" si="1"/>
        <v>IN-BLR-ANANTA-FAN-349_10</v>
      </c>
      <c r="Q3401" s="173" t="s">
        <v>10516</v>
      </c>
      <c r="R3401" s="425" t="str">
        <f>IFS(C3401="","",C3401="n/a","N/A",LEN(C3401),Concatenate("{",char(34),"asset",char(34),":{",char(34),"guid",char(34),":",char(34),Q3401,char(34),",",char(34),"site",char(34),":",char(34),LOWER('2-Building'!$B$4),char(34),",",char(34),"name",char(34),":",char(34),LOWER(C3401),char(34),"}}"))</f>
        <v>{"asset":{"guid":"uuid://83dc623e-02cd-4d62-bd21-835d6d2d4b35","site":"in-blr-ananta","name":"fan-349"}}</v>
      </c>
      <c r="S3401" s="369" t="s">
        <v>2866</v>
      </c>
      <c r="T3401" s="427"/>
      <c r="U3401" s="427"/>
      <c r="V3401" s="428"/>
      <c r="W3401" s="429"/>
      <c r="X3401" s="430"/>
      <c r="Y3401" s="33" t="s">
        <v>8076</v>
      </c>
      <c r="Z3401" s="430"/>
      <c r="AA3401" s="430"/>
      <c r="AB3401" s="258">
        <v>174.0</v>
      </c>
      <c r="AC3401" s="430"/>
      <c r="AD3401" s="426"/>
      <c r="AE3401" s="428"/>
      <c r="AF3401" s="431"/>
      <c r="AG3401" s="432"/>
      <c r="AH3401" s="430"/>
      <c r="AI3401" s="430"/>
      <c r="AJ3401" s="430"/>
      <c r="AK3401" s="430"/>
      <c r="AL3401" s="430"/>
      <c r="AM3401" s="433"/>
      <c r="AN3401" s="430"/>
      <c r="AO3401" s="430"/>
      <c r="AP3401" s="430"/>
      <c r="AQ3401" s="430"/>
      <c r="AR3401" s="430"/>
      <c r="AS3401" s="430"/>
      <c r="AT3401" s="430"/>
      <c r="AU3401" s="426"/>
      <c r="AV3401" s="434"/>
      <c r="AW3401" s="269" t="s">
        <v>1755</v>
      </c>
      <c r="AX3401" s="269" t="s">
        <v>2869</v>
      </c>
      <c r="AY3401" s="270" t="s">
        <v>695</v>
      </c>
      <c r="AZ3401" s="435"/>
      <c r="BA3401" s="173">
        <v>10.0</v>
      </c>
      <c r="BB3401" s="434"/>
      <c r="BC3401" s="434"/>
      <c r="BD3401" s="308" t="s">
        <v>1844</v>
      </c>
      <c r="BE3401" s="436"/>
      <c r="BF3401" s="274" t="str">
        <f>IFERROR(__xludf.DUMMYFUNCTION("LOWER(Regexreplace(to_text(E3401),""[^A-Za-z0-9]"","""")&amp;""_""&amp;Regexreplace(to_text(F3401),""[^A-Za-z0-9]"",""""))"),"neptronic_evcbseries")</f>
        <v>neptronic_evcbseries</v>
      </c>
      <c r="BG3401" s="275" t="str">
        <f>IFERROR(__xludf.DUMMYFUNCTION("upper(Regexreplace(to_text(E3401),""[^A-Za-z0-9]"","""")&amp;""-""&amp;Regexreplace(to_text(F3401),""[^A-Za-z0-9]"",""""))"),"NEPTRONIC-EVCBSERIES")</f>
        <v>NEPTRONIC-EVCBSERIES</v>
      </c>
    </row>
    <row r="3402" ht="30.0" customHeight="1">
      <c r="A3402" s="425">
        <v>2690.0</v>
      </c>
      <c r="B3402" s="425" t="s">
        <v>670</v>
      </c>
      <c r="C3402" s="257" t="s">
        <v>10517</v>
      </c>
      <c r="D3402" s="173" t="s">
        <v>10518</v>
      </c>
      <c r="E3402" s="174" t="s">
        <v>2861</v>
      </c>
      <c r="F3402" s="173" t="s">
        <v>2862</v>
      </c>
      <c r="G3402" s="425" t="s">
        <v>673</v>
      </c>
      <c r="H3402" s="425" t="s">
        <v>2863</v>
      </c>
      <c r="I3402" s="258" t="s">
        <v>9445</v>
      </c>
      <c r="J3402" s="259" t="s">
        <v>1393</v>
      </c>
      <c r="K3402" s="260" t="s">
        <v>1394</v>
      </c>
      <c r="L3402" s="442"/>
      <c r="M3402" s="426"/>
      <c r="N3402" s="173" t="s">
        <v>679</v>
      </c>
      <c r="O3402" s="173" t="s">
        <v>225</v>
      </c>
      <c r="P3402" s="262" t="str">
        <f t="shared" si="1"/>
        <v>IN-BLR-ANANTA-FAN-350_10</v>
      </c>
      <c r="Q3402" s="173" t="s">
        <v>10519</v>
      </c>
      <c r="R3402" s="425" t="str">
        <f>IFS(C3402="","",C3402="n/a","N/A",LEN(C3402),Concatenate("{",char(34),"asset",char(34),":{",char(34),"guid",char(34),":",char(34),Q3402,char(34),",",char(34),"site",char(34),":",char(34),LOWER('2-Building'!$B$4),char(34),",",char(34),"name",char(34),":",char(34),LOWER(C3402),char(34),"}}"))</f>
        <v>{"asset":{"guid":"uuid://e61c437d-1c70-4899-beea-a8c128b97b80","site":"in-blr-ananta","name":"fan-350"}}</v>
      </c>
      <c r="S3402" s="369" t="s">
        <v>2866</v>
      </c>
      <c r="T3402" s="427"/>
      <c r="U3402" s="427"/>
      <c r="V3402" s="428"/>
      <c r="W3402" s="429"/>
      <c r="X3402" s="430"/>
      <c r="Y3402" s="33" t="s">
        <v>8076</v>
      </c>
      <c r="Z3402" s="430"/>
      <c r="AA3402" s="430"/>
      <c r="AB3402" s="258">
        <v>175.0</v>
      </c>
      <c r="AC3402" s="430"/>
      <c r="AD3402" s="426"/>
      <c r="AE3402" s="428"/>
      <c r="AF3402" s="431"/>
      <c r="AG3402" s="432"/>
      <c r="AH3402" s="430"/>
      <c r="AI3402" s="430"/>
      <c r="AJ3402" s="430"/>
      <c r="AK3402" s="430"/>
      <c r="AL3402" s="430"/>
      <c r="AM3402" s="433"/>
      <c r="AN3402" s="430"/>
      <c r="AO3402" s="430"/>
      <c r="AP3402" s="430"/>
      <c r="AQ3402" s="430"/>
      <c r="AR3402" s="430"/>
      <c r="AS3402" s="430"/>
      <c r="AT3402" s="430"/>
      <c r="AU3402" s="426"/>
      <c r="AV3402" s="434"/>
      <c r="AW3402" s="269" t="s">
        <v>1755</v>
      </c>
      <c r="AX3402" s="269" t="s">
        <v>2869</v>
      </c>
      <c r="AY3402" s="270" t="s">
        <v>695</v>
      </c>
      <c r="AZ3402" s="435"/>
      <c r="BA3402" s="173">
        <v>10.0</v>
      </c>
      <c r="BB3402" s="434"/>
      <c r="BC3402" s="434"/>
      <c r="BD3402" s="308" t="s">
        <v>1844</v>
      </c>
      <c r="BE3402" s="436"/>
      <c r="BF3402" s="274" t="str">
        <f>IFERROR(__xludf.DUMMYFUNCTION("LOWER(Regexreplace(to_text(E3402),""[^A-Za-z0-9]"","""")&amp;""_""&amp;Regexreplace(to_text(F3402),""[^A-Za-z0-9]"",""""))"),"neptronic_evcbseries")</f>
        <v>neptronic_evcbseries</v>
      </c>
      <c r="BG3402" s="275" t="str">
        <f>IFERROR(__xludf.DUMMYFUNCTION("upper(Regexreplace(to_text(E3402),""[^A-Za-z0-9]"","""")&amp;""-""&amp;Regexreplace(to_text(F3402),""[^A-Za-z0-9]"",""""))"),"NEPTRONIC-EVCBSERIES")</f>
        <v>NEPTRONIC-EVCBSERIES</v>
      </c>
    </row>
    <row r="3403" ht="30.0" customHeight="1">
      <c r="A3403" s="425">
        <v>2690.0</v>
      </c>
      <c r="B3403" s="425" t="s">
        <v>670</v>
      </c>
      <c r="C3403" s="257" t="s">
        <v>10520</v>
      </c>
      <c r="D3403" s="173" t="s">
        <v>10521</v>
      </c>
      <c r="E3403" s="174" t="s">
        <v>2861</v>
      </c>
      <c r="F3403" s="173" t="s">
        <v>2862</v>
      </c>
      <c r="G3403" s="425" t="s">
        <v>673</v>
      </c>
      <c r="H3403" s="425" t="s">
        <v>2863</v>
      </c>
      <c r="I3403" s="258" t="s">
        <v>9445</v>
      </c>
      <c r="J3403" s="259" t="s">
        <v>1393</v>
      </c>
      <c r="K3403" s="260" t="s">
        <v>1394</v>
      </c>
      <c r="L3403" s="442"/>
      <c r="M3403" s="426"/>
      <c r="N3403" s="173" t="s">
        <v>679</v>
      </c>
      <c r="O3403" s="173" t="s">
        <v>225</v>
      </c>
      <c r="P3403" s="262" t="str">
        <f t="shared" si="1"/>
        <v>IN-BLR-ANANTA-FAN-351_10</v>
      </c>
      <c r="Q3403" s="173" t="s">
        <v>10522</v>
      </c>
      <c r="R3403" s="425" t="str">
        <f>IFS(C3403="","",C3403="n/a","N/A",LEN(C3403),Concatenate("{",char(34),"asset",char(34),":{",char(34),"guid",char(34),":",char(34),Q3403,char(34),",",char(34),"site",char(34),":",char(34),LOWER('2-Building'!$B$4),char(34),",",char(34),"name",char(34),":",char(34),LOWER(C3403),char(34),"}}"))</f>
        <v>{"asset":{"guid":"uuid://d63b01a4-0417-481e-bbc6-aa5990621db3","site":"in-blr-ananta","name":"fan-351"}}</v>
      </c>
      <c r="S3403" s="369" t="s">
        <v>2866</v>
      </c>
      <c r="T3403" s="427"/>
      <c r="U3403" s="427"/>
      <c r="V3403" s="428"/>
      <c r="W3403" s="429"/>
      <c r="X3403" s="430"/>
      <c r="Y3403" s="33" t="s">
        <v>8076</v>
      </c>
      <c r="Z3403" s="430"/>
      <c r="AA3403" s="430"/>
      <c r="AB3403" s="258">
        <v>176.0</v>
      </c>
      <c r="AC3403" s="430"/>
      <c r="AD3403" s="426"/>
      <c r="AE3403" s="428"/>
      <c r="AF3403" s="431"/>
      <c r="AG3403" s="432"/>
      <c r="AH3403" s="430"/>
      <c r="AI3403" s="430"/>
      <c r="AJ3403" s="430"/>
      <c r="AK3403" s="430"/>
      <c r="AL3403" s="430"/>
      <c r="AM3403" s="433"/>
      <c r="AN3403" s="430"/>
      <c r="AO3403" s="430"/>
      <c r="AP3403" s="430"/>
      <c r="AQ3403" s="430"/>
      <c r="AR3403" s="430"/>
      <c r="AS3403" s="430"/>
      <c r="AT3403" s="430"/>
      <c r="AU3403" s="426"/>
      <c r="AV3403" s="434"/>
      <c r="AW3403" s="269" t="s">
        <v>1755</v>
      </c>
      <c r="AX3403" s="269" t="s">
        <v>2869</v>
      </c>
      <c r="AY3403" s="270" t="s">
        <v>695</v>
      </c>
      <c r="AZ3403" s="435"/>
      <c r="BA3403" s="173">
        <v>10.0</v>
      </c>
      <c r="BB3403" s="434"/>
      <c r="BC3403" s="434"/>
      <c r="BD3403" s="308" t="s">
        <v>1844</v>
      </c>
      <c r="BE3403" s="436"/>
      <c r="BF3403" s="274" t="str">
        <f>IFERROR(__xludf.DUMMYFUNCTION("LOWER(Regexreplace(to_text(E3403),""[^A-Za-z0-9]"","""")&amp;""_""&amp;Regexreplace(to_text(F3403),""[^A-Za-z0-9]"",""""))"),"neptronic_evcbseries")</f>
        <v>neptronic_evcbseries</v>
      </c>
      <c r="BG3403" s="275" t="str">
        <f>IFERROR(__xludf.DUMMYFUNCTION("upper(Regexreplace(to_text(E3403),""[^A-Za-z0-9]"","""")&amp;""-""&amp;Regexreplace(to_text(F3403),""[^A-Za-z0-9]"",""""))"),"NEPTRONIC-EVCBSERIES")</f>
        <v>NEPTRONIC-EVCBSERIES</v>
      </c>
    </row>
    <row r="3404" ht="30.0" customHeight="1">
      <c r="A3404" s="328">
        <v>2690.0</v>
      </c>
      <c r="B3404" s="425" t="s">
        <v>670</v>
      </c>
      <c r="C3404" s="257" t="s">
        <v>10523</v>
      </c>
      <c r="D3404" s="173" t="s">
        <v>10524</v>
      </c>
      <c r="E3404" s="174" t="s">
        <v>2861</v>
      </c>
      <c r="F3404" s="173" t="s">
        <v>2862</v>
      </c>
      <c r="G3404" s="425" t="s">
        <v>673</v>
      </c>
      <c r="H3404" s="425" t="s">
        <v>2863</v>
      </c>
      <c r="I3404" s="258" t="s">
        <v>9445</v>
      </c>
      <c r="J3404" s="259" t="s">
        <v>1393</v>
      </c>
      <c r="K3404" s="260" t="s">
        <v>1394</v>
      </c>
      <c r="L3404" s="442"/>
      <c r="M3404" s="426"/>
      <c r="N3404" s="173" t="s">
        <v>679</v>
      </c>
      <c r="O3404" s="173" t="s">
        <v>225</v>
      </c>
      <c r="P3404" s="262" t="str">
        <f t="shared" si="1"/>
        <v>IN-BLR-ANANTA-FAN-352_10</v>
      </c>
      <c r="Q3404" s="173" t="s">
        <v>10525</v>
      </c>
      <c r="R3404" s="425" t="str">
        <f>IFS(C3404="","",C3404="n/a","N/A",LEN(C3404),Concatenate("{",char(34),"asset",char(34),":{",char(34),"guid",char(34),":",char(34),Q3404,char(34),",",char(34),"site",char(34),":",char(34),LOWER('2-Building'!$B$4),char(34),",",char(34),"name",char(34),":",char(34),LOWER(C3404),char(34),"}}"))</f>
        <v>{"asset":{"guid":"uuid://0ff398db-f967-4e8a-b0e7-996502adda19","site":"in-blr-ananta","name":"fan-352"}}</v>
      </c>
      <c r="S3404" s="369" t="s">
        <v>2866</v>
      </c>
      <c r="T3404" s="427"/>
      <c r="U3404" s="427"/>
      <c r="V3404" s="428"/>
      <c r="W3404" s="429"/>
      <c r="X3404" s="430"/>
      <c r="Y3404" s="33" t="s">
        <v>8076</v>
      </c>
      <c r="Z3404" s="430"/>
      <c r="AA3404" s="430"/>
      <c r="AB3404" s="258">
        <v>177.0</v>
      </c>
      <c r="AC3404" s="430"/>
      <c r="AD3404" s="426"/>
      <c r="AE3404" s="428"/>
      <c r="AF3404" s="431"/>
      <c r="AG3404" s="432" t="str">
        <f>IFS(LEN(AF3404)=17,LOWER('2-Building'!$B$4 &amp; "-" &amp; C3404), AF3404="N/A", "N/A", LEN(AF3404)=0,"")</f>
        <v/>
      </c>
      <c r="AH3404" s="430"/>
      <c r="AI3404" s="430"/>
      <c r="AJ3404" s="430"/>
      <c r="AK3404" s="430"/>
      <c r="AL3404" s="430"/>
      <c r="AM3404" s="433"/>
      <c r="AN3404" s="430"/>
      <c r="AO3404" s="430"/>
      <c r="AP3404" s="430"/>
      <c r="AQ3404" s="430"/>
      <c r="AR3404" s="430"/>
      <c r="AS3404" s="430"/>
      <c r="AT3404" s="430"/>
      <c r="AU3404" s="426"/>
      <c r="AV3404" s="434"/>
      <c r="AW3404" s="269" t="s">
        <v>1755</v>
      </c>
      <c r="AX3404" s="269" t="s">
        <v>2869</v>
      </c>
      <c r="AY3404" s="270" t="s">
        <v>695</v>
      </c>
      <c r="AZ3404" s="435"/>
      <c r="BA3404" s="173">
        <v>10.0</v>
      </c>
      <c r="BB3404" s="434"/>
      <c r="BC3404" s="434"/>
      <c r="BD3404" s="308" t="s">
        <v>1844</v>
      </c>
      <c r="BE3404" s="436"/>
      <c r="BF3404" s="274" t="str">
        <f>IFERROR(__xludf.DUMMYFUNCTION("LOWER(Regexreplace(to_text(E3404),""[^A-Za-z0-9]"","""")&amp;""_""&amp;Regexreplace(to_text(F3404),""[^A-Za-z0-9]"",""""))"),"neptronic_evcbseries")</f>
        <v>neptronic_evcbseries</v>
      </c>
      <c r="BG3404" s="275" t="str">
        <f>IFERROR(__xludf.DUMMYFUNCTION("upper(Regexreplace(to_text(E3404),""[^A-Za-z0-9]"","""")&amp;""-""&amp;Regexreplace(to_text(F3404),""[^A-Za-z0-9]"",""""))"),"NEPTRONIC-EVCBSERIES")</f>
        <v>NEPTRONIC-EVCBSERIES</v>
      </c>
    </row>
    <row r="3405" ht="30.0" customHeight="1">
      <c r="A3405" s="425">
        <v>2690.0</v>
      </c>
      <c r="B3405" s="425" t="s">
        <v>670</v>
      </c>
      <c r="C3405" s="257" t="s">
        <v>10526</v>
      </c>
      <c r="D3405" s="173" t="s">
        <v>10527</v>
      </c>
      <c r="E3405" s="174" t="s">
        <v>2861</v>
      </c>
      <c r="F3405" s="173" t="s">
        <v>2862</v>
      </c>
      <c r="G3405" s="425" t="s">
        <v>673</v>
      </c>
      <c r="H3405" s="425" t="s">
        <v>2863</v>
      </c>
      <c r="I3405" s="258" t="s">
        <v>9445</v>
      </c>
      <c r="J3405" s="259" t="s">
        <v>1393</v>
      </c>
      <c r="K3405" s="260" t="s">
        <v>1394</v>
      </c>
      <c r="L3405" s="442"/>
      <c r="M3405" s="426"/>
      <c r="N3405" s="173" t="s">
        <v>679</v>
      </c>
      <c r="O3405" s="173" t="s">
        <v>225</v>
      </c>
      <c r="P3405" s="262" t="str">
        <f t="shared" si="1"/>
        <v>IN-BLR-ANANTA-FAN-353_10</v>
      </c>
      <c r="Q3405" s="173" t="s">
        <v>10528</v>
      </c>
      <c r="R3405" s="433" t="str">
        <f>IFS(C3405="","",C3405="n/a","N/A",LEN(C3405),Concatenate("{",char(34),"asset",char(34),":{",char(34),"guid",char(34),":",char(34),Q3405,char(34),",",char(34),"site",char(34),":",char(34),LOWER('2-Building'!$B$4),char(34),",",char(34),"name",char(34),":",char(34),LOWER(C3405),char(34),"}}"))</f>
        <v>{"asset":{"guid":"uuid://ed32fe79-5688-41b7-94e0-4662c2905956","site":"in-blr-ananta","name":"fan-353"}}</v>
      </c>
      <c r="S3405" s="369" t="s">
        <v>2866</v>
      </c>
      <c r="T3405" s="427"/>
      <c r="U3405" s="427"/>
      <c r="V3405" s="428"/>
      <c r="W3405" s="429"/>
      <c r="X3405" s="430"/>
      <c r="Y3405" s="33" t="s">
        <v>8076</v>
      </c>
      <c r="Z3405" s="430"/>
      <c r="AA3405" s="430"/>
      <c r="AB3405" s="258">
        <v>178.0</v>
      </c>
      <c r="AC3405" s="430"/>
      <c r="AD3405" s="426"/>
      <c r="AE3405" s="428"/>
      <c r="AF3405" s="431"/>
      <c r="AG3405" s="432" t="str">
        <f>IFS(LEN(AF3405)=17,LOWER('2-Building'!$B$4 &amp; "-" &amp; C3405), AF3405="N/A", "N/A", LEN(AF3405)=0,"")</f>
        <v/>
      </c>
      <c r="AH3405" s="430"/>
      <c r="AI3405" s="430"/>
      <c r="AJ3405" s="430"/>
      <c r="AK3405" s="430"/>
      <c r="AL3405" s="430"/>
      <c r="AM3405" s="433"/>
      <c r="AN3405" s="430"/>
      <c r="AO3405" s="430"/>
      <c r="AP3405" s="430"/>
      <c r="AQ3405" s="430"/>
      <c r="AR3405" s="430"/>
      <c r="AS3405" s="430"/>
      <c r="AT3405" s="430"/>
      <c r="AU3405" s="426"/>
      <c r="AV3405" s="434"/>
      <c r="AW3405" s="269" t="s">
        <v>1755</v>
      </c>
      <c r="AX3405" s="269" t="s">
        <v>2869</v>
      </c>
      <c r="AY3405" s="270" t="s">
        <v>695</v>
      </c>
      <c r="AZ3405" s="435"/>
      <c r="BA3405" s="173">
        <v>10.0</v>
      </c>
      <c r="BB3405" s="434"/>
      <c r="BC3405" s="434"/>
      <c r="BD3405" s="308" t="s">
        <v>1844</v>
      </c>
      <c r="BE3405" s="436"/>
      <c r="BF3405" s="274" t="str">
        <f>IFERROR(__xludf.DUMMYFUNCTION("LOWER(Regexreplace(to_text(E3405),""[^A-Za-z0-9]"","""")&amp;""_""&amp;Regexreplace(to_text(F3405),""[^A-Za-z0-9]"",""""))"),"neptronic_evcbseries")</f>
        <v>neptronic_evcbseries</v>
      </c>
      <c r="BG3405" s="275" t="str">
        <f>IFERROR(__xludf.DUMMYFUNCTION("upper(Regexreplace(to_text(E3405),""[^A-Za-z0-9]"","""")&amp;""-""&amp;Regexreplace(to_text(F3405),""[^A-Za-z0-9]"",""""))"),"NEPTRONIC-EVCBSERIES")</f>
        <v>NEPTRONIC-EVCBSERIES</v>
      </c>
    </row>
    <row r="3406" ht="30.0" customHeight="1">
      <c r="A3406" s="425">
        <v>2690.0</v>
      </c>
      <c r="B3406" s="425" t="s">
        <v>670</v>
      </c>
      <c r="C3406" s="257" t="s">
        <v>10529</v>
      </c>
      <c r="D3406" s="173" t="s">
        <v>10530</v>
      </c>
      <c r="E3406" s="174" t="s">
        <v>2861</v>
      </c>
      <c r="F3406" s="173" t="s">
        <v>2862</v>
      </c>
      <c r="G3406" s="425" t="s">
        <v>673</v>
      </c>
      <c r="H3406" s="425" t="s">
        <v>2863</v>
      </c>
      <c r="I3406" s="258" t="s">
        <v>9445</v>
      </c>
      <c r="J3406" s="259" t="s">
        <v>1393</v>
      </c>
      <c r="K3406" s="260" t="s">
        <v>1394</v>
      </c>
      <c r="L3406" s="442"/>
      <c r="M3406" s="426"/>
      <c r="N3406" s="173" t="s">
        <v>679</v>
      </c>
      <c r="O3406" s="173" t="s">
        <v>225</v>
      </c>
      <c r="P3406" s="262" t="str">
        <f t="shared" si="1"/>
        <v>IN-BLR-ANANTA-FAN-354_10</v>
      </c>
      <c r="Q3406" s="173" t="s">
        <v>10531</v>
      </c>
      <c r="R3406" s="425" t="str">
        <f>IFS(C3406="","",C3406="n/a","N/A",LEN(C3406),Concatenate("{",char(34),"asset",char(34),":{",char(34),"guid",char(34),":",char(34),Q3406,char(34),",",char(34),"site",char(34),":",char(34),LOWER('2-Building'!$B$4),char(34),",",char(34),"name",char(34),":",char(34),LOWER(C3406),char(34),"}}"))</f>
        <v>{"asset":{"guid":"uuid://73ad56fb-6603-4d76-8a8a-dae1ce0c8f3e","site":"in-blr-ananta","name":"fan-354"}}</v>
      </c>
      <c r="S3406" s="369" t="s">
        <v>2866</v>
      </c>
      <c r="T3406" s="427"/>
      <c r="U3406" s="427"/>
      <c r="V3406" s="428"/>
      <c r="W3406" s="429"/>
      <c r="X3406" s="430"/>
      <c r="Y3406" s="33" t="s">
        <v>8076</v>
      </c>
      <c r="Z3406" s="430"/>
      <c r="AA3406" s="430"/>
      <c r="AB3406" s="258">
        <v>179.0</v>
      </c>
      <c r="AC3406" s="430"/>
      <c r="AD3406" s="426"/>
      <c r="AE3406" s="428"/>
      <c r="AF3406" s="431"/>
      <c r="AG3406" s="432" t="str">
        <f>IFS(LEN(AF3406)=17,LOWER('2-Building'!$B$4 &amp; "-" &amp; C3406), AF3406="N/A", "N/A", LEN(AF3406)=0,"")</f>
        <v/>
      </c>
      <c r="AH3406" s="430"/>
      <c r="AI3406" s="430"/>
      <c r="AJ3406" s="430"/>
      <c r="AK3406" s="430"/>
      <c r="AL3406" s="430"/>
      <c r="AM3406" s="433"/>
      <c r="AN3406" s="430"/>
      <c r="AO3406" s="430"/>
      <c r="AP3406" s="430"/>
      <c r="AQ3406" s="430"/>
      <c r="AR3406" s="430"/>
      <c r="AS3406" s="430"/>
      <c r="AT3406" s="430"/>
      <c r="AU3406" s="426"/>
      <c r="AV3406" s="434"/>
      <c r="AW3406" s="269" t="s">
        <v>1755</v>
      </c>
      <c r="AX3406" s="269" t="s">
        <v>2869</v>
      </c>
      <c r="AY3406" s="270" t="s">
        <v>695</v>
      </c>
      <c r="AZ3406" s="435"/>
      <c r="BA3406" s="173">
        <v>10.0</v>
      </c>
      <c r="BB3406" s="434"/>
      <c r="BC3406" s="434"/>
      <c r="BD3406" s="308" t="s">
        <v>1844</v>
      </c>
      <c r="BE3406" s="436"/>
      <c r="BF3406" s="274" t="str">
        <f>IFERROR(__xludf.DUMMYFUNCTION("LOWER(Regexreplace(to_text(E3406),""[^A-Za-z0-9]"","""")&amp;""_""&amp;Regexreplace(to_text(F3406),""[^A-Za-z0-9]"",""""))"),"neptronic_evcbseries")</f>
        <v>neptronic_evcbseries</v>
      </c>
      <c r="BG3406" s="275" t="str">
        <f>IFERROR(__xludf.DUMMYFUNCTION("upper(Regexreplace(to_text(E3406),""[^A-Za-z0-9]"","""")&amp;""-""&amp;Regexreplace(to_text(F3406),""[^A-Za-z0-9]"",""""))"),"NEPTRONIC-EVCBSERIES")</f>
        <v>NEPTRONIC-EVCBSERIES</v>
      </c>
    </row>
    <row r="3407" ht="30.0" customHeight="1">
      <c r="A3407" s="328">
        <v>2690.0</v>
      </c>
      <c r="B3407" s="425" t="s">
        <v>670</v>
      </c>
      <c r="C3407" s="257" t="s">
        <v>10532</v>
      </c>
      <c r="D3407" s="173" t="s">
        <v>10533</v>
      </c>
      <c r="E3407" s="174" t="s">
        <v>2861</v>
      </c>
      <c r="F3407" s="173" t="s">
        <v>2862</v>
      </c>
      <c r="G3407" s="425" t="s">
        <v>673</v>
      </c>
      <c r="H3407" s="425" t="s">
        <v>2863</v>
      </c>
      <c r="I3407" s="258" t="s">
        <v>9445</v>
      </c>
      <c r="J3407" s="259" t="s">
        <v>1453</v>
      </c>
      <c r="K3407" s="260" t="s">
        <v>1454</v>
      </c>
      <c r="L3407" s="442"/>
      <c r="M3407" s="426"/>
      <c r="N3407" s="173" t="s">
        <v>679</v>
      </c>
      <c r="O3407" s="173" t="s">
        <v>225</v>
      </c>
      <c r="P3407" s="262" t="str">
        <f t="shared" si="1"/>
        <v>IN-BLR-ANANTA-FAN-355_11</v>
      </c>
      <c r="Q3407" s="173" t="s">
        <v>10534</v>
      </c>
      <c r="R3407" s="425" t="str">
        <f>IFS(C3407="","",C3407="n/a","N/A",LEN(C3407),Concatenate("{",char(34),"asset",char(34),":{",char(34),"guid",char(34),":",char(34),Q3407,char(34),",",char(34),"site",char(34),":",char(34),LOWER('2-Building'!$B$4),char(34),",",char(34),"name",char(34),":",char(34),LOWER(C3407),char(34),"}}"))</f>
        <v>{"asset":{"guid":"uuid://255231eb-9bff-49f5-b888-f97beb620c7e","site":"in-blr-ananta","name":"fan-355"}}</v>
      </c>
      <c r="S3407" s="369" t="s">
        <v>2866</v>
      </c>
      <c r="T3407" s="427"/>
      <c r="U3407" s="427"/>
      <c r="V3407" s="428"/>
      <c r="W3407" s="429"/>
      <c r="X3407" s="430"/>
      <c r="Y3407" s="33" t="s">
        <v>8076</v>
      </c>
      <c r="Z3407" s="430"/>
      <c r="AA3407" s="430"/>
      <c r="AB3407" s="258">
        <v>192.0</v>
      </c>
      <c r="AC3407" s="430"/>
      <c r="AD3407" s="426"/>
      <c r="AE3407" s="428"/>
      <c r="AF3407" s="431"/>
      <c r="AG3407" s="432" t="str">
        <f>IFS(LEN(AF3407)=17,LOWER('2-Building'!$B$4 &amp; "-" &amp; C3407), AF3407="N/A", "N/A", LEN(AF3407)=0,"")</f>
        <v/>
      </c>
      <c r="AH3407" s="430"/>
      <c r="AI3407" s="430"/>
      <c r="AJ3407" s="430"/>
      <c r="AK3407" s="430"/>
      <c r="AL3407" s="430"/>
      <c r="AM3407" s="433"/>
      <c r="AN3407" s="430"/>
      <c r="AO3407" s="430"/>
      <c r="AP3407" s="430"/>
      <c r="AQ3407" s="430"/>
      <c r="AR3407" s="430"/>
      <c r="AS3407" s="430"/>
      <c r="AT3407" s="430"/>
      <c r="AU3407" s="426"/>
      <c r="AV3407" s="434"/>
      <c r="AW3407" s="269" t="s">
        <v>1755</v>
      </c>
      <c r="AX3407" s="269" t="s">
        <v>2869</v>
      </c>
      <c r="AY3407" s="270" t="s">
        <v>695</v>
      </c>
      <c r="AZ3407" s="435"/>
      <c r="BA3407" s="173">
        <v>10.0</v>
      </c>
      <c r="BB3407" s="434"/>
      <c r="BC3407" s="434"/>
      <c r="BD3407" s="308" t="s">
        <v>1844</v>
      </c>
      <c r="BE3407" s="436"/>
      <c r="BF3407" s="274" t="str">
        <f>IFERROR(__xludf.DUMMYFUNCTION("LOWER(Regexreplace(to_text(E3407),""[^A-Za-z0-9]"","""")&amp;""_""&amp;Regexreplace(to_text(F3407),""[^A-Za-z0-9]"",""""))"),"neptronic_evcbseries")</f>
        <v>neptronic_evcbseries</v>
      </c>
      <c r="BG3407" s="275" t="str">
        <f>IFERROR(__xludf.DUMMYFUNCTION("upper(Regexreplace(to_text(E3407),""[^A-Za-z0-9]"","""")&amp;""-""&amp;Regexreplace(to_text(F3407),""[^A-Za-z0-9]"",""""))"),"NEPTRONIC-EVCBSERIES")</f>
        <v>NEPTRONIC-EVCBSERIES</v>
      </c>
    </row>
    <row r="3408" ht="30.0" customHeight="1">
      <c r="A3408" s="425">
        <v>2690.0</v>
      </c>
      <c r="B3408" s="425" t="s">
        <v>670</v>
      </c>
      <c r="C3408" s="257" t="s">
        <v>10535</v>
      </c>
      <c r="D3408" s="173" t="s">
        <v>10536</v>
      </c>
      <c r="E3408" s="174" t="s">
        <v>2861</v>
      </c>
      <c r="F3408" s="173" t="s">
        <v>2862</v>
      </c>
      <c r="G3408" s="425" t="s">
        <v>673</v>
      </c>
      <c r="H3408" s="425" t="s">
        <v>2863</v>
      </c>
      <c r="I3408" s="258" t="s">
        <v>9445</v>
      </c>
      <c r="J3408" s="259" t="s">
        <v>1453</v>
      </c>
      <c r="K3408" s="260" t="s">
        <v>1454</v>
      </c>
      <c r="L3408" s="442"/>
      <c r="M3408" s="426"/>
      <c r="N3408" s="173" t="s">
        <v>679</v>
      </c>
      <c r="O3408" s="173" t="s">
        <v>225</v>
      </c>
      <c r="P3408" s="262" t="str">
        <f t="shared" si="1"/>
        <v>IN-BLR-ANANTA-FAN-356_11</v>
      </c>
      <c r="Q3408" s="173" t="s">
        <v>10537</v>
      </c>
      <c r="R3408" s="433" t="str">
        <f>IFS(C3408="","",C3408="n/a","N/A",LEN(C3408),Concatenate("{",char(34),"asset",char(34),":{",char(34),"guid",char(34),":",char(34),Q3408,char(34),",",char(34),"site",char(34),":",char(34),LOWER('2-Building'!$B$4),char(34),",",char(34),"name",char(34),":",char(34),LOWER(C3408),char(34),"}}"))</f>
        <v>{"asset":{"guid":"uuid://eba177f2-6f8b-4ea4-ba4a-c9b617172f1b","site":"in-blr-ananta","name":"fan-356"}}</v>
      </c>
      <c r="S3408" s="369" t="s">
        <v>2866</v>
      </c>
      <c r="T3408" s="427"/>
      <c r="U3408" s="427"/>
      <c r="V3408" s="428"/>
      <c r="W3408" s="429"/>
      <c r="X3408" s="430"/>
      <c r="Y3408" s="33" t="s">
        <v>8076</v>
      </c>
      <c r="Z3408" s="430"/>
      <c r="AA3408" s="430"/>
      <c r="AB3408" s="258">
        <v>193.0</v>
      </c>
      <c r="AC3408" s="430"/>
      <c r="AD3408" s="426"/>
      <c r="AE3408" s="428"/>
      <c r="AF3408" s="431"/>
      <c r="AG3408" s="432" t="str">
        <f>IFS(LEN(AF3408)=17,LOWER('2-Building'!$B$4 &amp; "-" &amp; C3408), AF3408="N/A", "N/A", LEN(AF3408)=0,"")</f>
        <v/>
      </c>
      <c r="AH3408" s="430"/>
      <c r="AI3408" s="430"/>
      <c r="AJ3408" s="430"/>
      <c r="AK3408" s="430"/>
      <c r="AL3408" s="430"/>
      <c r="AM3408" s="433"/>
      <c r="AN3408" s="430"/>
      <c r="AO3408" s="430"/>
      <c r="AP3408" s="430"/>
      <c r="AQ3408" s="430"/>
      <c r="AR3408" s="430"/>
      <c r="AS3408" s="430"/>
      <c r="AT3408" s="430"/>
      <c r="AU3408" s="426"/>
      <c r="AV3408" s="434"/>
      <c r="AW3408" s="269" t="s">
        <v>1755</v>
      </c>
      <c r="AX3408" s="269" t="s">
        <v>2869</v>
      </c>
      <c r="AY3408" s="270" t="s">
        <v>695</v>
      </c>
      <c r="AZ3408" s="435"/>
      <c r="BA3408" s="173">
        <v>10.0</v>
      </c>
      <c r="BB3408" s="434"/>
      <c r="BC3408" s="434"/>
      <c r="BD3408" s="308" t="s">
        <v>1844</v>
      </c>
      <c r="BE3408" s="436"/>
      <c r="BF3408" s="274" t="str">
        <f>IFERROR(__xludf.DUMMYFUNCTION("LOWER(Regexreplace(to_text(E3408),""[^A-Za-z0-9]"","""")&amp;""_""&amp;Regexreplace(to_text(F3408),""[^A-Za-z0-9]"",""""))"),"neptronic_evcbseries")</f>
        <v>neptronic_evcbseries</v>
      </c>
      <c r="BG3408" s="275" t="str">
        <f>IFERROR(__xludf.DUMMYFUNCTION("upper(Regexreplace(to_text(E3408),""[^A-Za-z0-9]"","""")&amp;""-""&amp;Regexreplace(to_text(F3408),""[^A-Za-z0-9]"",""""))"),"NEPTRONIC-EVCBSERIES")</f>
        <v>NEPTRONIC-EVCBSERIES</v>
      </c>
    </row>
    <row r="3409" ht="30.0" customHeight="1">
      <c r="A3409" s="425">
        <v>2690.0</v>
      </c>
      <c r="B3409" s="425" t="s">
        <v>670</v>
      </c>
      <c r="C3409" s="257" t="s">
        <v>10538</v>
      </c>
      <c r="D3409" s="173" t="s">
        <v>10539</v>
      </c>
      <c r="E3409" s="174" t="s">
        <v>2861</v>
      </c>
      <c r="F3409" s="173" t="s">
        <v>2862</v>
      </c>
      <c r="G3409" s="425" t="s">
        <v>673</v>
      </c>
      <c r="H3409" s="425" t="s">
        <v>2863</v>
      </c>
      <c r="I3409" s="258" t="s">
        <v>9445</v>
      </c>
      <c r="J3409" s="259" t="s">
        <v>1453</v>
      </c>
      <c r="K3409" s="260" t="s">
        <v>1454</v>
      </c>
      <c r="L3409" s="442"/>
      <c r="M3409" s="426"/>
      <c r="N3409" s="173" t="s">
        <v>679</v>
      </c>
      <c r="O3409" s="173" t="s">
        <v>225</v>
      </c>
      <c r="P3409" s="262" t="str">
        <f t="shared" si="1"/>
        <v>IN-BLR-ANANTA-FAN-357_11</v>
      </c>
      <c r="Q3409" s="173" t="s">
        <v>10540</v>
      </c>
      <c r="R3409" s="425" t="str">
        <f>IFS(C3409="","",C3409="n/a","N/A",LEN(C3409),Concatenate("{",char(34),"asset",char(34),":{",char(34),"guid",char(34),":",char(34),Q3409,char(34),",",char(34),"site",char(34),":",char(34),LOWER('2-Building'!$B$4),char(34),",",char(34),"name",char(34),":",char(34),LOWER(C3409),char(34),"}}"))</f>
        <v>{"asset":{"guid":"uuid://1b6c6869-2ba1-49bc-b9be-26a4740668f5","site":"in-blr-ananta","name":"fan-357"}}</v>
      </c>
      <c r="S3409" s="369" t="s">
        <v>2866</v>
      </c>
      <c r="T3409" s="427"/>
      <c r="U3409" s="427"/>
      <c r="V3409" s="428"/>
      <c r="W3409" s="429"/>
      <c r="X3409" s="430"/>
      <c r="Y3409" s="33" t="s">
        <v>8076</v>
      </c>
      <c r="Z3409" s="430"/>
      <c r="AA3409" s="430"/>
      <c r="AB3409" s="258">
        <v>194.0</v>
      </c>
      <c r="AC3409" s="430"/>
      <c r="AD3409" s="426"/>
      <c r="AE3409" s="428"/>
      <c r="AF3409" s="431"/>
      <c r="AG3409" s="432" t="str">
        <f>IFS(LEN(AF3409)=17,LOWER('2-Building'!$B$4 &amp; "-" &amp; C3409), AF3409="N/A", "N/A", LEN(AF3409)=0,"")</f>
        <v/>
      </c>
      <c r="AH3409" s="430"/>
      <c r="AI3409" s="430"/>
      <c r="AJ3409" s="430"/>
      <c r="AK3409" s="430"/>
      <c r="AL3409" s="430"/>
      <c r="AM3409" s="433"/>
      <c r="AN3409" s="430"/>
      <c r="AO3409" s="430"/>
      <c r="AP3409" s="430"/>
      <c r="AQ3409" s="430"/>
      <c r="AR3409" s="430"/>
      <c r="AS3409" s="430"/>
      <c r="AT3409" s="430"/>
      <c r="AU3409" s="426"/>
      <c r="AV3409" s="434"/>
      <c r="AW3409" s="269" t="s">
        <v>1755</v>
      </c>
      <c r="AX3409" s="269" t="s">
        <v>2869</v>
      </c>
      <c r="AY3409" s="270" t="s">
        <v>695</v>
      </c>
      <c r="AZ3409" s="435"/>
      <c r="BA3409" s="173">
        <v>10.0</v>
      </c>
      <c r="BB3409" s="434"/>
      <c r="BC3409" s="434"/>
      <c r="BD3409" s="308" t="s">
        <v>1844</v>
      </c>
      <c r="BE3409" s="436"/>
      <c r="BF3409" s="274" t="str">
        <f>IFERROR(__xludf.DUMMYFUNCTION("LOWER(Regexreplace(to_text(E3409),""[^A-Za-z0-9]"","""")&amp;""_""&amp;Regexreplace(to_text(F3409),""[^A-Za-z0-9]"",""""))"),"neptronic_evcbseries")</f>
        <v>neptronic_evcbseries</v>
      </c>
      <c r="BG3409" s="275" t="str">
        <f>IFERROR(__xludf.DUMMYFUNCTION("upper(Regexreplace(to_text(E3409),""[^A-Za-z0-9]"","""")&amp;""-""&amp;Regexreplace(to_text(F3409),""[^A-Za-z0-9]"",""""))"),"NEPTRONIC-EVCBSERIES")</f>
        <v>NEPTRONIC-EVCBSERIES</v>
      </c>
    </row>
    <row r="3410" ht="30.0" customHeight="1">
      <c r="A3410" s="425">
        <v>2690.0</v>
      </c>
      <c r="B3410" s="425" t="s">
        <v>670</v>
      </c>
      <c r="C3410" s="257" t="s">
        <v>10541</v>
      </c>
      <c r="D3410" s="173" t="s">
        <v>10542</v>
      </c>
      <c r="E3410" s="174" t="s">
        <v>2861</v>
      </c>
      <c r="F3410" s="173" t="s">
        <v>2862</v>
      </c>
      <c r="G3410" s="425" t="s">
        <v>673</v>
      </c>
      <c r="H3410" s="425" t="s">
        <v>2863</v>
      </c>
      <c r="I3410" s="258" t="s">
        <v>9445</v>
      </c>
      <c r="J3410" s="259" t="s">
        <v>1453</v>
      </c>
      <c r="K3410" s="260" t="s">
        <v>1454</v>
      </c>
      <c r="L3410" s="442"/>
      <c r="M3410" s="426"/>
      <c r="N3410" s="173" t="s">
        <v>679</v>
      </c>
      <c r="O3410" s="173" t="s">
        <v>225</v>
      </c>
      <c r="P3410" s="262" t="str">
        <f t="shared" si="1"/>
        <v>IN-BLR-ANANTA-FAN-358_11</v>
      </c>
      <c r="Q3410" s="173" t="s">
        <v>10543</v>
      </c>
      <c r="R3410" s="425" t="str">
        <f>IFS(C3410="","",C3410="n/a","N/A",LEN(C3410),Concatenate("{",char(34),"asset",char(34),":{",char(34),"guid",char(34),":",char(34),Q3410,char(34),",",char(34),"site",char(34),":",char(34),LOWER('2-Building'!$B$4),char(34),",",char(34),"name",char(34),":",char(34),LOWER(C3410),char(34),"}}"))</f>
        <v>{"asset":{"guid":"uuid://db281ff0-cb50-4804-aa6c-89ac4a16afc5","site":"in-blr-ananta","name":"fan-358"}}</v>
      </c>
      <c r="S3410" s="369" t="s">
        <v>2866</v>
      </c>
      <c r="T3410" s="427"/>
      <c r="U3410" s="427"/>
      <c r="V3410" s="428"/>
      <c r="W3410" s="429"/>
      <c r="X3410" s="430"/>
      <c r="Y3410" s="33" t="s">
        <v>8076</v>
      </c>
      <c r="Z3410" s="430"/>
      <c r="AA3410" s="430"/>
      <c r="AB3410" s="258">
        <v>195.0</v>
      </c>
      <c r="AC3410" s="430"/>
      <c r="AD3410" s="426"/>
      <c r="AE3410" s="428"/>
      <c r="AF3410" s="431"/>
      <c r="AG3410" s="432"/>
      <c r="AH3410" s="430"/>
      <c r="AI3410" s="430"/>
      <c r="AJ3410" s="430"/>
      <c r="AK3410" s="430"/>
      <c r="AL3410" s="430"/>
      <c r="AM3410" s="433"/>
      <c r="AN3410" s="430"/>
      <c r="AO3410" s="430"/>
      <c r="AP3410" s="430"/>
      <c r="AQ3410" s="430"/>
      <c r="AR3410" s="430"/>
      <c r="AS3410" s="430"/>
      <c r="AT3410" s="430"/>
      <c r="AU3410" s="426"/>
      <c r="AV3410" s="434"/>
      <c r="AW3410" s="269" t="s">
        <v>1755</v>
      </c>
      <c r="AX3410" s="269" t="s">
        <v>2869</v>
      </c>
      <c r="AY3410" s="270" t="s">
        <v>695</v>
      </c>
      <c r="AZ3410" s="435"/>
      <c r="BA3410" s="173">
        <v>10.0</v>
      </c>
      <c r="BB3410" s="434"/>
      <c r="BC3410" s="434"/>
      <c r="BD3410" s="308" t="s">
        <v>1844</v>
      </c>
      <c r="BE3410" s="436"/>
      <c r="BF3410" s="274" t="str">
        <f>IFERROR(__xludf.DUMMYFUNCTION("LOWER(Regexreplace(to_text(E3410),""[^A-Za-z0-9]"","""")&amp;""_""&amp;Regexreplace(to_text(F3410),""[^A-Za-z0-9]"",""""))"),"neptronic_evcbseries")</f>
        <v>neptronic_evcbseries</v>
      </c>
      <c r="BG3410" s="275" t="str">
        <f>IFERROR(__xludf.DUMMYFUNCTION("upper(Regexreplace(to_text(E3410),""[^A-Za-z0-9]"","""")&amp;""-""&amp;Regexreplace(to_text(F3410),""[^A-Za-z0-9]"",""""))"),"NEPTRONIC-EVCBSERIES")</f>
        <v>NEPTRONIC-EVCBSERIES</v>
      </c>
    </row>
    <row r="3411" ht="30.0" customHeight="1">
      <c r="A3411" s="425">
        <v>2690.0</v>
      </c>
      <c r="B3411" s="425" t="s">
        <v>670</v>
      </c>
      <c r="C3411" s="257" t="s">
        <v>10544</v>
      </c>
      <c r="D3411" s="173" t="s">
        <v>10545</v>
      </c>
      <c r="E3411" s="174" t="s">
        <v>2861</v>
      </c>
      <c r="F3411" s="173" t="s">
        <v>2862</v>
      </c>
      <c r="G3411" s="425" t="s">
        <v>673</v>
      </c>
      <c r="H3411" s="425" t="s">
        <v>2863</v>
      </c>
      <c r="I3411" s="258" t="s">
        <v>9445</v>
      </c>
      <c r="J3411" s="259" t="s">
        <v>1453</v>
      </c>
      <c r="K3411" s="260" t="s">
        <v>1454</v>
      </c>
      <c r="L3411" s="442"/>
      <c r="M3411" s="426"/>
      <c r="N3411" s="173" t="s">
        <v>679</v>
      </c>
      <c r="O3411" s="173" t="s">
        <v>225</v>
      </c>
      <c r="P3411" s="262" t="str">
        <f t="shared" si="1"/>
        <v>IN-BLR-ANANTA-FAN-359_11</v>
      </c>
      <c r="Q3411" s="173" t="s">
        <v>10546</v>
      </c>
      <c r="R3411" s="425" t="str">
        <f>IFS(C3411="","",C3411="n/a","N/A",LEN(C3411),Concatenate("{",char(34),"asset",char(34),":{",char(34),"guid",char(34),":",char(34),Q3411,char(34),",",char(34),"site",char(34),":",char(34),LOWER('2-Building'!$B$4),char(34),",",char(34),"name",char(34),":",char(34),LOWER(C3411),char(34),"}}"))</f>
        <v>{"asset":{"guid":"uuid://f9e7470d-6bda-4317-9cc6-ce07fcf1e945","site":"in-blr-ananta","name":"fan-359"}}</v>
      </c>
      <c r="S3411" s="369" t="s">
        <v>2866</v>
      </c>
      <c r="T3411" s="427"/>
      <c r="U3411" s="427"/>
      <c r="V3411" s="428"/>
      <c r="W3411" s="429"/>
      <c r="X3411" s="430"/>
      <c r="Y3411" s="33" t="s">
        <v>8076</v>
      </c>
      <c r="Z3411" s="430"/>
      <c r="AA3411" s="430"/>
      <c r="AB3411" s="258">
        <v>196.0</v>
      </c>
      <c r="AC3411" s="430"/>
      <c r="AD3411" s="426"/>
      <c r="AE3411" s="428"/>
      <c r="AF3411" s="431"/>
      <c r="AG3411" s="432"/>
      <c r="AH3411" s="430"/>
      <c r="AI3411" s="430"/>
      <c r="AJ3411" s="430"/>
      <c r="AK3411" s="430"/>
      <c r="AL3411" s="430"/>
      <c r="AM3411" s="433"/>
      <c r="AN3411" s="430"/>
      <c r="AO3411" s="430"/>
      <c r="AP3411" s="430"/>
      <c r="AQ3411" s="430"/>
      <c r="AR3411" s="430"/>
      <c r="AS3411" s="430"/>
      <c r="AT3411" s="430"/>
      <c r="AU3411" s="426"/>
      <c r="AV3411" s="174"/>
      <c r="AW3411" s="269" t="s">
        <v>1755</v>
      </c>
      <c r="AX3411" s="269" t="s">
        <v>2869</v>
      </c>
      <c r="AY3411" s="270" t="s">
        <v>695</v>
      </c>
      <c r="AZ3411" s="435"/>
      <c r="BA3411" s="173">
        <v>10.0</v>
      </c>
      <c r="BB3411" s="434"/>
      <c r="BC3411" s="434"/>
      <c r="BD3411" s="308" t="s">
        <v>1844</v>
      </c>
      <c r="BE3411" s="436"/>
      <c r="BF3411" s="274" t="str">
        <f>IFERROR(__xludf.DUMMYFUNCTION("LOWER(Regexreplace(to_text(E3411),""[^A-Za-z0-9]"","""")&amp;""_""&amp;Regexreplace(to_text(F3411),""[^A-Za-z0-9]"",""""))"),"neptronic_evcbseries")</f>
        <v>neptronic_evcbseries</v>
      </c>
      <c r="BG3411" s="275" t="str">
        <f>IFERROR(__xludf.DUMMYFUNCTION("upper(Regexreplace(to_text(E3411),""[^A-Za-z0-9]"","""")&amp;""-""&amp;Regexreplace(to_text(F3411),""[^A-Za-z0-9]"",""""))"),"NEPTRONIC-EVCBSERIES")</f>
        <v>NEPTRONIC-EVCBSERIES</v>
      </c>
    </row>
    <row r="3412" ht="30.0" customHeight="1">
      <c r="A3412" s="425">
        <v>2690.0</v>
      </c>
      <c r="B3412" s="425" t="s">
        <v>670</v>
      </c>
      <c r="C3412" s="257" t="s">
        <v>10547</v>
      </c>
      <c r="D3412" s="173" t="s">
        <v>10548</v>
      </c>
      <c r="E3412" s="174" t="s">
        <v>2861</v>
      </c>
      <c r="F3412" s="173" t="s">
        <v>2862</v>
      </c>
      <c r="G3412" s="425" t="s">
        <v>673</v>
      </c>
      <c r="H3412" s="425" t="s">
        <v>2863</v>
      </c>
      <c r="I3412" s="258" t="s">
        <v>9445</v>
      </c>
      <c r="J3412" s="259" t="s">
        <v>1453</v>
      </c>
      <c r="K3412" s="260" t="s">
        <v>1454</v>
      </c>
      <c r="L3412" s="442"/>
      <c r="M3412" s="426"/>
      <c r="N3412" s="173" t="s">
        <v>679</v>
      </c>
      <c r="O3412" s="173" t="s">
        <v>225</v>
      </c>
      <c r="P3412" s="262" t="str">
        <f t="shared" si="1"/>
        <v>IN-BLR-ANANTA-FAN-360_11</v>
      </c>
      <c r="Q3412" s="173" t="s">
        <v>10549</v>
      </c>
      <c r="R3412" s="425" t="str">
        <f>IFS(C3412="","",C3412="n/a","N/A",LEN(C3412),Concatenate("{",char(34),"asset",char(34),":{",char(34),"guid",char(34),":",char(34),Q3412,char(34),",",char(34),"site",char(34),":",char(34),LOWER('2-Building'!$B$4),char(34),",",char(34),"name",char(34),":",char(34),LOWER(C3412),char(34),"}}"))</f>
        <v>{"asset":{"guid":"uuid://aa14fd5d-77f2-4aeb-8f48-4e920924022f","site":"in-blr-ananta","name":"fan-360"}}</v>
      </c>
      <c r="S3412" s="369" t="s">
        <v>2866</v>
      </c>
      <c r="T3412" s="427"/>
      <c r="U3412" s="427"/>
      <c r="V3412" s="428"/>
      <c r="W3412" s="429"/>
      <c r="X3412" s="430"/>
      <c r="Y3412" s="33" t="s">
        <v>8076</v>
      </c>
      <c r="Z3412" s="430"/>
      <c r="AA3412" s="430"/>
      <c r="AB3412" s="258">
        <v>197.0</v>
      </c>
      <c r="AC3412" s="430"/>
      <c r="AD3412" s="426"/>
      <c r="AE3412" s="428"/>
      <c r="AF3412" s="431"/>
      <c r="AG3412" s="432"/>
      <c r="AH3412" s="430"/>
      <c r="AI3412" s="430"/>
      <c r="AJ3412" s="430"/>
      <c r="AK3412" s="430"/>
      <c r="AL3412" s="430"/>
      <c r="AM3412" s="433"/>
      <c r="AN3412" s="430"/>
      <c r="AO3412" s="430"/>
      <c r="AP3412" s="430"/>
      <c r="AQ3412" s="430"/>
      <c r="AR3412" s="430"/>
      <c r="AS3412" s="430"/>
      <c r="AT3412" s="430"/>
      <c r="AU3412" s="426"/>
      <c r="AV3412" s="174"/>
      <c r="AW3412" s="269" t="s">
        <v>1755</v>
      </c>
      <c r="AX3412" s="269" t="s">
        <v>2869</v>
      </c>
      <c r="AY3412" s="270" t="s">
        <v>695</v>
      </c>
      <c r="AZ3412" s="435"/>
      <c r="BA3412" s="173">
        <v>10.0</v>
      </c>
      <c r="BB3412" s="434"/>
      <c r="BC3412" s="434"/>
      <c r="BD3412" s="308" t="s">
        <v>1844</v>
      </c>
      <c r="BE3412" s="436"/>
      <c r="BF3412" s="274" t="str">
        <f>IFERROR(__xludf.DUMMYFUNCTION("LOWER(Regexreplace(to_text(E3412),""[^A-Za-z0-9]"","""")&amp;""_""&amp;Regexreplace(to_text(F3412),""[^A-Za-z0-9]"",""""))"),"neptronic_evcbseries")</f>
        <v>neptronic_evcbseries</v>
      </c>
      <c r="BG3412" s="275" t="str">
        <f>IFERROR(__xludf.DUMMYFUNCTION("upper(Regexreplace(to_text(E3412),""[^A-Za-z0-9]"","""")&amp;""-""&amp;Regexreplace(to_text(F3412),""[^A-Za-z0-9]"",""""))"),"NEPTRONIC-EVCBSERIES")</f>
        <v>NEPTRONIC-EVCBSERIES</v>
      </c>
    </row>
    <row r="3413" ht="30.0" customHeight="1">
      <c r="A3413" s="425">
        <v>2690.0</v>
      </c>
      <c r="B3413" s="425" t="s">
        <v>670</v>
      </c>
      <c r="C3413" s="257" t="s">
        <v>10550</v>
      </c>
      <c r="D3413" s="173" t="s">
        <v>10551</v>
      </c>
      <c r="E3413" s="174" t="s">
        <v>9267</v>
      </c>
      <c r="F3413" s="173" t="s">
        <v>9268</v>
      </c>
      <c r="G3413" s="425" t="s">
        <v>673</v>
      </c>
      <c r="H3413" s="425" t="s">
        <v>2863</v>
      </c>
      <c r="I3413" s="258" t="s">
        <v>9445</v>
      </c>
      <c r="J3413" s="259" t="s">
        <v>1272</v>
      </c>
      <c r="K3413" s="260" t="s">
        <v>1741</v>
      </c>
      <c r="L3413" s="442"/>
      <c r="M3413" s="426"/>
      <c r="N3413" s="173" t="s">
        <v>679</v>
      </c>
      <c r="O3413" s="173" t="s">
        <v>225</v>
      </c>
      <c r="P3413" s="262" t="str">
        <f t="shared" si="1"/>
        <v>IN-BLR-ANANTA-FAN-361_8</v>
      </c>
      <c r="Q3413" s="173" t="s">
        <v>10552</v>
      </c>
      <c r="R3413" s="433" t="str">
        <f>IFS(C3413="","",C3413="n/a","N/A",LEN(C3413),Concatenate("{",char(34),"asset",char(34),":{",char(34),"guid",char(34),":",char(34),Q3413,char(34),",",char(34),"site",char(34),":",char(34),LOWER('2-Building'!$B$4),char(34),",",char(34),"name",char(34),":",char(34),LOWER(C3413),char(34),"}}"))</f>
        <v>{"asset":{"guid":"uuid://5f21fcb5-1188-40a2-8e83-65806c5315cb","site":"in-blr-ananta","name":"fan-361"}}</v>
      </c>
      <c r="S3413" s="369" t="s">
        <v>2866</v>
      </c>
      <c r="T3413" s="427"/>
      <c r="U3413" s="427"/>
      <c r="V3413" s="428"/>
      <c r="W3413" s="429"/>
      <c r="X3413" s="430"/>
      <c r="Y3413" s="33" t="s">
        <v>8076</v>
      </c>
      <c r="Z3413" s="430"/>
      <c r="AA3413" s="430"/>
      <c r="AB3413" s="258">
        <v>126.0</v>
      </c>
      <c r="AC3413" s="430"/>
      <c r="AD3413" s="426"/>
      <c r="AE3413" s="428"/>
      <c r="AF3413" s="431"/>
      <c r="AG3413" s="432" t="str">
        <f>IFS(LEN(AF3413)=17,LOWER('2-Building'!$B$4 &amp; "-" &amp; C3413), AF3413="N/A", "N/A", LEN(AF3413)=0,"")</f>
        <v/>
      </c>
      <c r="AH3413" s="430"/>
      <c r="AI3413" s="430"/>
      <c r="AJ3413" s="430"/>
      <c r="AK3413" s="430"/>
      <c r="AL3413" s="430"/>
      <c r="AM3413" s="433"/>
      <c r="AN3413" s="430"/>
      <c r="AO3413" s="430"/>
      <c r="AP3413" s="430"/>
      <c r="AQ3413" s="430"/>
      <c r="AR3413" s="430"/>
      <c r="AS3413" s="430"/>
      <c r="AT3413" s="430"/>
      <c r="AU3413" s="426"/>
      <c r="AV3413" s="174"/>
      <c r="AW3413" s="269" t="s">
        <v>1759</v>
      </c>
      <c r="AX3413" s="269" t="s">
        <v>2869</v>
      </c>
      <c r="AY3413" s="270" t="s">
        <v>695</v>
      </c>
      <c r="AZ3413" s="435"/>
      <c r="BA3413" s="173">
        <v>10.0</v>
      </c>
      <c r="BB3413" s="434"/>
      <c r="BC3413" s="434"/>
      <c r="BD3413" s="308" t="s">
        <v>1844</v>
      </c>
      <c r="BE3413" s="436"/>
      <c r="BF3413" s="274" t="str">
        <f>IFERROR(__xludf.DUMMYFUNCTION("LOWER(Regexreplace(to_text(E3413),""[^A-Za-z0-9]"","""")&amp;""_""&amp;Regexreplace(to_text(F3413),""[^A-Za-z0-9]"",""""))"),"nicotra_ddmp")</f>
        <v>nicotra_ddmp</v>
      </c>
      <c r="BG3413" s="275" t="str">
        <f>IFERROR(__xludf.DUMMYFUNCTION("upper(Regexreplace(to_text(E3413),""[^A-Za-z0-9]"","""")&amp;""-""&amp;Regexreplace(to_text(F3413),""[^A-Za-z0-9]"",""""))"),"NICOTRA-DDMP")</f>
        <v>NICOTRA-DDMP</v>
      </c>
    </row>
    <row r="3414" ht="30.0" customHeight="1">
      <c r="A3414" s="425">
        <v>2690.0</v>
      </c>
      <c r="B3414" s="425" t="s">
        <v>670</v>
      </c>
      <c r="C3414" s="257" t="s">
        <v>10553</v>
      </c>
      <c r="D3414" s="173" t="s">
        <v>10554</v>
      </c>
      <c r="E3414" s="174" t="s">
        <v>9267</v>
      </c>
      <c r="F3414" s="173" t="s">
        <v>9268</v>
      </c>
      <c r="G3414" s="425" t="s">
        <v>673</v>
      </c>
      <c r="H3414" s="425" t="s">
        <v>2863</v>
      </c>
      <c r="I3414" s="258" t="s">
        <v>9445</v>
      </c>
      <c r="J3414" s="259" t="s">
        <v>1272</v>
      </c>
      <c r="K3414" s="260" t="s">
        <v>1741</v>
      </c>
      <c r="L3414" s="442"/>
      <c r="M3414" s="426"/>
      <c r="N3414" s="173" t="s">
        <v>679</v>
      </c>
      <c r="O3414" s="173" t="s">
        <v>225</v>
      </c>
      <c r="P3414" s="262" t="str">
        <f t="shared" si="1"/>
        <v>IN-BLR-ANANTA-FAN-362_8</v>
      </c>
      <c r="Q3414" s="173" t="s">
        <v>10555</v>
      </c>
      <c r="R3414" s="425" t="str">
        <f>IFS(C3414="","",C3414="n/a","N/A",LEN(C3414),Concatenate("{",char(34),"asset",char(34),":{",char(34),"guid",char(34),":",char(34),Q3414,char(34),",",char(34),"site",char(34),":",char(34),LOWER('2-Building'!$B$4),char(34),",",char(34),"name",char(34),":",char(34),LOWER(C3414),char(34),"}}"))</f>
        <v>{"asset":{"guid":"uuid://65f480b4-329b-466e-b534-60f1a3a13b47","site":"in-blr-ananta","name":"fan-362"}}</v>
      </c>
      <c r="S3414" s="369" t="s">
        <v>2866</v>
      </c>
      <c r="T3414" s="427"/>
      <c r="U3414" s="427"/>
      <c r="V3414" s="428"/>
      <c r="W3414" s="429"/>
      <c r="X3414" s="430"/>
      <c r="Y3414" s="33" t="s">
        <v>8076</v>
      </c>
      <c r="Z3414" s="430"/>
      <c r="AA3414" s="430"/>
      <c r="AB3414" s="258">
        <v>127.0</v>
      </c>
      <c r="AC3414" s="430"/>
      <c r="AD3414" s="426"/>
      <c r="AE3414" s="428"/>
      <c r="AF3414" s="431"/>
      <c r="AG3414" s="432" t="str">
        <f>IFS(LEN(AF3414)=17,LOWER('2-Building'!$B$4 &amp; "-" &amp; C3414), AF3414="N/A", "N/A", LEN(AF3414)=0,"")</f>
        <v/>
      </c>
      <c r="AH3414" s="430"/>
      <c r="AI3414" s="430"/>
      <c r="AJ3414" s="430"/>
      <c r="AK3414" s="430"/>
      <c r="AL3414" s="430"/>
      <c r="AM3414" s="433"/>
      <c r="AN3414" s="430"/>
      <c r="AO3414" s="430"/>
      <c r="AP3414" s="430"/>
      <c r="AQ3414" s="430"/>
      <c r="AR3414" s="430"/>
      <c r="AS3414" s="430"/>
      <c r="AT3414" s="430"/>
      <c r="AU3414" s="426"/>
      <c r="AV3414" s="174"/>
      <c r="AW3414" s="269" t="s">
        <v>1759</v>
      </c>
      <c r="AX3414" s="269" t="s">
        <v>2869</v>
      </c>
      <c r="AY3414" s="270" t="s">
        <v>695</v>
      </c>
      <c r="AZ3414" s="435"/>
      <c r="BA3414" s="173">
        <v>10.0</v>
      </c>
      <c r="BB3414" s="434"/>
      <c r="BC3414" s="434"/>
      <c r="BD3414" s="308" t="s">
        <v>1844</v>
      </c>
      <c r="BE3414" s="436"/>
      <c r="BF3414" s="274" t="str">
        <f>IFERROR(__xludf.DUMMYFUNCTION("LOWER(Regexreplace(to_text(E3414),""[^A-Za-z0-9]"","""")&amp;""_""&amp;Regexreplace(to_text(F3414),""[^A-Za-z0-9]"",""""))"),"nicotra_ddmp")</f>
        <v>nicotra_ddmp</v>
      </c>
      <c r="BG3414" s="275" t="str">
        <f>IFERROR(__xludf.DUMMYFUNCTION("upper(Regexreplace(to_text(E3414),""[^A-Za-z0-9]"","""")&amp;""-""&amp;Regexreplace(to_text(F3414),""[^A-Za-z0-9]"",""""))"),"NICOTRA-DDMP")</f>
        <v>NICOTRA-DDMP</v>
      </c>
    </row>
    <row r="3415" ht="30.0" customHeight="1">
      <c r="A3415" s="237">
        <v>2689.0</v>
      </c>
      <c r="B3415" s="425" t="s">
        <v>670</v>
      </c>
      <c r="C3415" s="257" t="s">
        <v>10556</v>
      </c>
      <c r="D3415" s="173" t="s">
        <v>10557</v>
      </c>
      <c r="E3415" s="174" t="s">
        <v>9267</v>
      </c>
      <c r="F3415" s="173" t="s">
        <v>9268</v>
      </c>
      <c r="G3415" s="425" t="s">
        <v>673</v>
      </c>
      <c r="H3415" s="425" t="s">
        <v>2863</v>
      </c>
      <c r="I3415" s="258" t="s">
        <v>9445</v>
      </c>
      <c r="J3415" s="259" t="s">
        <v>1272</v>
      </c>
      <c r="K3415" s="260" t="s">
        <v>1741</v>
      </c>
      <c r="L3415" s="442"/>
      <c r="M3415" s="426"/>
      <c r="N3415" s="173" t="s">
        <v>679</v>
      </c>
      <c r="O3415" s="173" t="s">
        <v>225</v>
      </c>
      <c r="P3415" s="262" t="str">
        <f t="shared" si="1"/>
        <v>IN-BLR-ANANTA-FAN-363_8</v>
      </c>
      <c r="Q3415" s="173" t="s">
        <v>10558</v>
      </c>
      <c r="R3415" s="425" t="str">
        <f>IFS(C3415="","",C3415="n/a","N/A",LEN(C3415),Concatenate("{",char(34),"asset",char(34),":{",char(34),"guid",char(34),":",char(34),Q3415,char(34),",",char(34),"site",char(34),":",char(34),LOWER('2-Building'!$B$4),char(34),",",char(34),"name",char(34),":",char(34),LOWER(C3415),char(34),"}}"))</f>
        <v>{"asset":{"guid":"uuid://5a1daaa4-a759-4d23-ba1a-a9dbe0945085","site":"in-blr-ananta","name":"fan-363"}}</v>
      </c>
      <c r="S3415" s="369" t="s">
        <v>2866</v>
      </c>
      <c r="T3415" s="427"/>
      <c r="U3415" s="427"/>
      <c r="V3415" s="428"/>
      <c r="W3415" s="429"/>
      <c r="X3415" s="430"/>
      <c r="Y3415" s="33" t="s">
        <v>8076</v>
      </c>
      <c r="Z3415" s="430"/>
      <c r="AA3415" s="430"/>
      <c r="AB3415" s="258">
        <v>128.0</v>
      </c>
      <c r="AC3415" s="430"/>
      <c r="AD3415" s="426"/>
      <c r="AE3415" s="428"/>
      <c r="AF3415" s="431"/>
      <c r="AG3415" s="432" t="str">
        <f>IFS(LEN(AF3415)=17,LOWER('2-Building'!$B$4 &amp; "-" &amp; C3415), AF3415="N/A", "N/A", LEN(AF3415)=0,"")</f>
        <v/>
      </c>
      <c r="AH3415" s="430"/>
      <c r="AI3415" s="430"/>
      <c r="AJ3415" s="430"/>
      <c r="AK3415" s="430"/>
      <c r="AL3415" s="430"/>
      <c r="AM3415" s="433"/>
      <c r="AN3415" s="430"/>
      <c r="AO3415" s="430"/>
      <c r="AP3415" s="430"/>
      <c r="AQ3415" s="430"/>
      <c r="AR3415" s="430"/>
      <c r="AS3415" s="430"/>
      <c r="AT3415" s="430"/>
      <c r="AU3415" s="426"/>
      <c r="AV3415" s="174"/>
      <c r="AW3415" s="269" t="s">
        <v>1759</v>
      </c>
      <c r="AX3415" s="269" t="s">
        <v>2869</v>
      </c>
      <c r="AY3415" s="270" t="s">
        <v>695</v>
      </c>
      <c r="AZ3415" s="435"/>
      <c r="BA3415" s="173">
        <v>10.0</v>
      </c>
      <c r="BB3415" s="434"/>
      <c r="BC3415" s="434"/>
      <c r="BD3415" s="308" t="s">
        <v>1844</v>
      </c>
      <c r="BE3415" s="436"/>
      <c r="BF3415" s="274" t="str">
        <f>IFERROR(__xludf.DUMMYFUNCTION("LOWER(Regexreplace(to_text(E3415),""[^A-Za-z0-9]"","""")&amp;""_""&amp;Regexreplace(to_text(F3415),""[^A-Za-z0-9]"",""""))"),"nicotra_ddmp")</f>
        <v>nicotra_ddmp</v>
      </c>
      <c r="BG3415" s="275" t="str">
        <f>IFERROR(__xludf.DUMMYFUNCTION("upper(Regexreplace(to_text(E3415),""[^A-Za-z0-9]"","""")&amp;""-""&amp;Regexreplace(to_text(F3415),""[^A-Za-z0-9]"",""""))"),"NICOTRA-DDMP")</f>
        <v>NICOTRA-DDMP</v>
      </c>
    </row>
    <row r="3416" ht="30.0" customHeight="1">
      <c r="A3416" s="237">
        <v>2691.0</v>
      </c>
      <c r="B3416" s="425" t="s">
        <v>670</v>
      </c>
      <c r="C3416" s="257" t="s">
        <v>10559</v>
      </c>
      <c r="D3416" s="173" t="s">
        <v>10560</v>
      </c>
      <c r="E3416" s="174" t="s">
        <v>9267</v>
      </c>
      <c r="F3416" s="173" t="s">
        <v>9268</v>
      </c>
      <c r="G3416" s="425" t="s">
        <v>673</v>
      </c>
      <c r="H3416" s="425" t="s">
        <v>2863</v>
      </c>
      <c r="I3416" s="258" t="s">
        <v>9445</v>
      </c>
      <c r="J3416" s="259" t="s">
        <v>1272</v>
      </c>
      <c r="K3416" s="260" t="s">
        <v>1741</v>
      </c>
      <c r="L3416" s="442"/>
      <c r="M3416" s="426"/>
      <c r="N3416" s="173" t="s">
        <v>679</v>
      </c>
      <c r="O3416" s="173" t="s">
        <v>225</v>
      </c>
      <c r="P3416" s="262" t="str">
        <f t="shared" si="1"/>
        <v>IN-BLR-ANANTA-FAN-364_8</v>
      </c>
      <c r="Q3416" s="173" t="s">
        <v>10561</v>
      </c>
      <c r="R3416" s="425" t="str">
        <f>IFS(C3416="","",C3416="n/a","N/A",LEN(C3416),Concatenate("{",char(34),"asset",char(34),":{",char(34),"guid",char(34),":",char(34),Q3416,char(34),",",char(34),"site",char(34),":",char(34),LOWER('2-Building'!$B$4),char(34),",",char(34),"name",char(34),":",char(34),LOWER(C3416),char(34),"}}"))</f>
        <v>{"asset":{"guid":"uuid://c7963880-48a4-4e1e-a549-20416fcb455e","site":"in-blr-ananta","name":"fan-364"}}</v>
      </c>
      <c r="S3416" s="369" t="s">
        <v>2866</v>
      </c>
      <c r="T3416" s="427"/>
      <c r="U3416" s="427"/>
      <c r="V3416" s="428"/>
      <c r="W3416" s="429"/>
      <c r="X3416" s="430"/>
      <c r="Y3416" s="33" t="s">
        <v>8076</v>
      </c>
      <c r="Z3416" s="430"/>
      <c r="AA3416" s="430"/>
      <c r="AB3416" s="258">
        <v>129.0</v>
      </c>
      <c r="AC3416" s="430"/>
      <c r="AD3416" s="426"/>
      <c r="AE3416" s="428"/>
      <c r="AF3416" s="431"/>
      <c r="AG3416" s="432" t="str">
        <f>IFS(LEN(AF3416)=17,LOWER('2-Building'!$B$4 &amp; "-" &amp; C3416), AF3416="N/A", "N/A", LEN(AF3416)=0,"")</f>
        <v/>
      </c>
      <c r="AH3416" s="430"/>
      <c r="AI3416" s="430"/>
      <c r="AJ3416" s="430"/>
      <c r="AK3416" s="430"/>
      <c r="AL3416" s="430"/>
      <c r="AM3416" s="433"/>
      <c r="AN3416" s="430"/>
      <c r="AO3416" s="430"/>
      <c r="AP3416" s="430"/>
      <c r="AQ3416" s="430"/>
      <c r="AR3416" s="430"/>
      <c r="AS3416" s="430"/>
      <c r="AT3416" s="430"/>
      <c r="AU3416" s="426"/>
      <c r="AV3416" s="174"/>
      <c r="AW3416" s="269" t="s">
        <v>1759</v>
      </c>
      <c r="AX3416" s="269" t="s">
        <v>2869</v>
      </c>
      <c r="AY3416" s="270" t="s">
        <v>695</v>
      </c>
      <c r="AZ3416" s="435"/>
      <c r="BA3416" s="173">
        <v>10.0</v>
      </c>
      <c r="BB3416" s="434"/>
      <c r="BC3416" s="434"/>
      <c r="BD3416" s="308" t="s">
        <v>1844</v>
      </c>
      <c r="BE3416" s="436"/>
      <c r="BF3416" s="274" t="str">
        <f>IFERROR(__xludf.DUMMYFUNCTION("LOWER(Regexreplace(to_text(E3416),""[^A-Za-z0-9]"","""")&amp;""_""&amp;Regexreplace(to_text(F3416),""[^A-Za-z0-9]"",""""))"),"nicotra_ddmp")</f>
        <v>nicotra_ddmp</v>
      </c>
      <c r="BG3416" s="275" t="str">
        <f>IFERROR(__xludf.DUMMYFUNCTION("upper(Regexreplace(to_text(E3416),""[^A-Za-z0-9]"","""")&amp;""-""&amp;Regexreplace(to_text(F3416),""[^A-Za-z0-9]"",""""))"),"NICOTRA-DDMP")</f>
        <v>NICOTRA-DDMP</v>
      </c>
    </row>
    <row r="3417" ht="30.0" customHeight="1">
      <c r="A3417" s="328">
        <v>2690.0</v>
      </c>
      <c r="B3417" s="425" t="s">
        <v>670</v>
      </c>
      <c r="C3417" s="257" t="s">
        <v>10562</v>
      </c>
      <c r="D3417" s="173" t="s">
        <v>10563</v>
      </c>
      <c r="E3417" s="174" t="s">
        <v>9267</v>
      </c>
      <c r="F3417" s="173" t="s">
        <v>9268</v>
      </c>
      <c r="G3417" s="425" t="s">
        <v>673</v>
      </c>
      <c r="H3417" s="425" t="s">
        <v>2863</v>
      </c>
      <c r="I3417" s="258" t="s">
        <v>9445</v>
      </c>
      <c r="J3417" s="259" t="s">
        <v>1272</v>
      </c>
      <c r="K3417" s="260" t="s">
        <v>1741</v>
      </c>
      <c r="L3417" s="442"/>
      <c r="M3417" s="426"/>
      <c r="N3417" s="173" t="s">
        <v>679</v>
      </c>
      <c r="O3417" s="173" t="s">
        <v>225</v>
      </c>
      <c r="P3417" s="262" t="str">
        <f t="shared" si="1"/>
        <v>IN-BLR-ANANTA-FAN-365_8</v>
      </c>
      <c r="Q3417" s="173" t="s">
        <v>10564</v>
      </c>
      <c r="R3417" s="425" t="str">
        <f>IFS(C3417="","",C3417="n/a","N/A",LEN(C3417),Concatenate("{",char(34),"asset",char(34),":{",char(34),"guid",char(34),":",char(34),Q3417,char(34),",",char(34),"site",char(34),":",char(34),LOWER('2-Building'!$B$4),char(34),",",char(34),"name",char(34),":",char(34),LOWER(C3417),char(34),"}}"))</f>
        <v>{"asset":{"guid":"uuid://c4ec0f0a-4071-45d7-a8c4-59eba5491ddd","site":"in-blr-ananta","name":"fan-365"}}</v>
      </c>
      <c r="S3417" s="369" t="s">
        <v>2866</v>
      </c>
      <c r="T3417" s="427"/>
      <c r="U3417" s="427"/>
      <c r="V3417" s="428"/>
      <c r="W3417" s="429"/>
      <c r="X3417" s="430"/>
      <c r="Y3417" s="33" t="s">
        <v>8076</v>
      </c>
      <c r="Z3417" s="430"/>
      <c r="AA3417" s="430"/>
      <c r="AB3417" s="258">
        <v>130.0</v>
      </c>
      <c r="AC3417" s="430"/>
      <c r="AD3417" s="426"/>
      <c r="AE3417" s="428"/>
      <c r="AF3417" s="431"/>
      <c r="AG3417" s="432" t="str">
        <f>IFS(LEN(AF3417)=17,LOWER('2-Building'!$B$4 &amp; "-" &amp; C3417), AF3417="N/A", "N/A", LEN(AF3417)=0,"")</f>
        <v/>
      </c>
      <c r="AH3417" s="430"/>
      <c r="AI3417" s="430"/>
      <c r="AJ3417" s="430"/>
      <c r="AK3417" s="430"/>
      <c r="AL3417" s="430"/>
      <c r="AM3417" s="433"/>
      <c r="AN3417" s="430"/>
      <c r="AO3417" s="430"/>
      <c r="AP3417" s="430"/>
      <c r="AQ3417" s="430"/>
      <c r="AR3417" s="430"/>
      <c r="AS3417" s="430"/>
      <c r="AT3417" s="430"/>
      <c r="AU3417" s="426"/>
      <c r="AV3417" s="174"/>
      <c r="AW3417" s="269" t="s">
        <v>1759</v>
      </c>
      <c r="AX3417" s="269" t="s">
        <v>2869</v>
      </c>
      <c r="AY3417" s="270" t="s">
        <v>695</v>
      </c>
      <c r="AZ3417" s="435"/>
      <c r="BA3417" s="173">
        <v>10.0</v>
      </c>
      <c r="BB3417" s="434"/>
      <c r="BC3417" s="434"/>
      <c r="BD3417" s="308" t="s">
        <v>1844</v>
      </c>
      <c r="BE3417" s="436"/>
      <c r="BF3417" s="274" t="str">
        <f>IFERROR(__xludf.DUMMYFUNCTION("LOWER(Regexreplace(to_text(E3417),""[^A-Za-z0-9]"","""")&amp;""_""&amp;Regexreplace(to_text(F3417),""[^A-Za-z0-9]"",""""))"),"nicotra_ddmp")</f>
        <v>nicotra_ddmp</v>
      </c>
      <c r="BG3417" s="275" t="str">
        <f>IFERROR(__xludf.DUMMYFUNCTION("upper(Regexreplace(to_text(E3417),""[^A-Za-z0-9]"","""")&amp;""-""&amp;Regexreplace(to_text(F3417),""[^A-Za-z0-9]"",""""))"),"NICOTRA-DDMP")</f>
        <v>NICOTRA-DDMP</v>
      </c>
    </row>
    <row r="3418" ht="30.0" customHeight="1">
      <c r="A3418" s="237">
        <v>2691.0</v>
      </c>
      <c r="B3418" s="425" t="s">
        <v>670</v>
      </c>
      <c r="C3418" s="257" t="s">
        <v>10565</v>
      </c>
      <c r="D3418" s="173" t="s">
        <v>10566</v>
      </c>
      <c r="E3418" s="174" t="s">
        <v>9267</v>
      </c>
      <c r="F3418" s="173" t="s">
        <v>9268</v>
      </c>
      <c r="G3418" s="425" t="s">
        <v>673</v>
      </c>
      <c r="H3418" s="425" t="s">
        <v>2863</v>
      </c>
      <c r="I3418" s="258" t="s">
        <v>9445</v>
      </c>
      <c r="J3418" s="259" t="s">
        <v>1272</v>
      </c>
      <c r="K3418" s="260" t="s">
        <v>1741</v>
      </c>
      <c r="L3418" s="442"/>
      <c r="M3418" s="426"/>
      <c r="N3418" s="173" t="s">
        <v>679</v>
      </c>
      <c r="O3418" s="173" t="s">
        <v>225</v>
      </c>
      <c r="P3418" s="262" t="str">
        <f t="shared" si="1"/>
        <v>IN-BLR-ANANTA-FAN-366_8</v>
      </c>
      <c r="Q3418" s="173" t="s">
        <v>10567</v>
      </c>
      <c r="R3418" s="425" t="str">
        <f>IFS(C3418="","",C3418="n/a","N/A",LEN(C3418),Concatenate("{",char(34),"asset",char(34),":{",char(34),"guid",char(34),":",char(34),Q3418,char(34),",",char(34),"site",char(34),":",char(34),LOWER('2-Building'!$B$4),char(34),",",char(34),"name",char(34),":",char(34),LOWER(C3418),char(34),"}}"))</f>
        <v>{"asset":{"guid":"uuid://c2a0bc18-8181-4482-9206-30e0d45c5f1c","site":"in-blr-ananta","name":"fan-366"}}</v>
      </c>
      <c r="S3418" s="369" t="s">
        <v>2866</v>
      </c>
      <c r="T3418" s="427"/>
      <c r="U3418" s="427"/>
      <c r="V3418" s="428"/>
      <c r="W3418" s="429"/>
      <c r="X3418" s="430"/>
      <c r="Y3418" s="33" t="s">
        <v>8076</v>
      </c>
      <c r="Z3418" s="430"/>
      <c r="AA3418" s="430"/>
      <c r="AB3418" s="258">
        <v>131.0</v>
      </c>
      <c r="AC3418" s="430"/>
      <c r="AD3418" s="426"/>
      <c r="AE3418" s="428"/>
      <c r="AF3418" s="431"/>
      <c r="AG3418" s="432" t="str">
        <f>IFS(LEN(AF3418)=17,LOWER('2-Building'!$B$4 &amp; "-" &amp; C3418), AF3418="N/A", "N/A", LEN(AF3418)=0,"")</f>
        <v/>
      </c>
      <c r="AH3418" s="430"/>
      <c r="AI3418" s="430"/>
      <c r="AJ3418" s="430"/>
      <c r="AK3418" s="430"/>
      <c r="AL3418" s="430"/>
      <c r="AM3418" s="433"/>
      <c r="AN3418" s="430"/>
      <c r="AO3418" s="430"/>
      <c r="AP3418" s="430"/>
      <c r="AQ3418" s="430"/>
      <c r="AR3418" s="430"/>
      <c r="AS3418" s="430"/>
      <c r="AT3418" s="430"/>
      <c r="AU3418" s="426"/>
      <c r="AV3418" s="174"/>
      <c r="AW3418" s="269" t="s">
        <v>1759</v>
      </c>
      <c r="AX3418" s="269" t="s">
        <v>2869</v>
      </c>
      <c r="AY3418" s="270" t="s">
        <v>695</v>
      </c>
      <c r="AZ3418" s="435"/>
      <c r="BA3418" s="173">
        <v>10.0</v>
      </c>
      <c r="BB3418" s="434"/>
      <c r="BC3418" s="434"/>
      <c r="BD3418" s="308" t="s">
        <v>1844</v>
      </c>
      <c r="BE3418" s="436"/>
      <c r="BF3418" s="274" t="str">
        <f>IFERROR(__xludf.DUMMYFUNCTION("LOWER(Regexreplace(to_text(E3418),""[^A-Za-z0-9]"","""")&amp;""_""&amp;Regexreplace(to_text(F3418),""[^A-Za-z0-9]"",""""))"),"nicotra_ddmp")</f>
        <v>nicotra_ddmp</v>
      </c>
      <c r="BG3418" s="275" t="str">
        <f>IFERROR(__xludf.DUMMYFUNCTION("upper(Regexreplace(to_text(E3418),""[^A-Za-z0-9]"","""")&amp;""-""&amp;Regexreplace(to_text(F3418),""[^A-Za-z0-9]"",""""))"),"NICOTRA-DDMP")</f>
        <v>NICOTRA-DDMP</v>
      </c>
    </row>
    <row r="3419" ht="30.0" customHeight="1">
      <c r="A3419" s="328">
        <v>2690.0</v>
      </c>
      <c r="B3419" s="425" t="s">
        <v>670</v>
      </c>
      <c r="C3419" s="257" t="s">
        <v>10568</v>
      </c>
      <c r="D3419" s="173" t="s">
        <v>10569</v>
      </c>
      <c r="E3419" s="174" t="s">
        <v>9267</v>
      </c>
      <c r="F3419" s="173" t="s">
        <v>9268</v>
      </c>
      <c r="G3419" s="425" t="s">
        <v>673</v>
      </c>
      <c r="H3419" s="425" t="s">
        <v>2863</v>
      </c>
      <c r="I3419" s="258" t="s">
        <v>9445</v>
      </c>
      <c r="J3419" s="259" t="s">
        <v>1333</v>
      </c>
      <c r="K3419" s="260" t="s">
        <v>10570</v>
      </c>
      <c r="L3419" s="442"/>
      <c r="M3419" s="426"/>
      <c r="N3419" s="173" t="s">
        <v>679</v>
      </c>
      <c r="O3419" s="173" t="s">
        <v>225</v>
      </c>
      <c r="P3419" s="262" t="str">
        <f t="shared" si="1"/>
        <v>IN-BLR-ANANTA-FAN-367_9</v>
      </c>
      <c r="Q3419" s="173" t="s">
        <v>10571</v>
      </c>
      <c r="R3419" s="425" t="str">
        <f>IFS(C3419="","",C3419="n/a","N/A",LEN(C3419),Concatenate("{",char(34),"asset",char(34),":{",char(34),"guid",char(34),":",char(34),Q3419,char(34),",",char(34),"site",char(34),":",char(34),LOWER('2-Building'!$B$4),char(34),",",char(34),"name",char(34),":",char(34),LOWER(C3419),char(34),"}}"))</f>
        <v>{"asset":{"guid":"uuid://f2300c76-13ae-4984-9955-9681ee00eb0e","site":"in-blr-ananta","name":"fan-367"}}</v>
      </c>
      <c r="S3419" s="369" t="s">
        <v>2866</v>
      </c>
      <c r="T3419" s="427"/>
      <c r="U3419" s="427"/>
      <c r="V3419" s="428"/>
      <c r="W3419" s="429"/>
      <c r="X3419" s="430"/>
      <c r="Y3419" s="33" t="s">
        <v>8076</v>
      </c>
      <c r="Z3419" s="430"/>
      <c r="AA3419" s="430"/>
      <c r="AB3419" s="258">
        <v>144.0</v>
      </c>
      <c r="AC3419" s="430"/>
      <c r="AD3419" s="426"/>
      <c r="AE3419" s="428"/>
      <c r="AF3419" s="431"/>
      <c r="AG3419" s="432" t="str">
        <f>IFS(LEN(AF3419)=17,LOWER('2-Building'!$B$4 &amp; "-" &amp; C3419), AF3419="N/A", "N/A", LEN(AF3419)=0,"")</f>
        <v/>
      </c>
      <c r="AH3419" s="430"/>
      <c r="AI3419" s="430"/>
      <c r="AJ3419" s="430"/>
      <c r="AK3419" s="430"/>
      <c r="AL3419" s="430"/>
      <c r="AM3419" s="433"/>
      <c r="AN3419" s="430"/>
      <c r="AO3419" s="430"/>
      <c r="AP3419" s="430"/>
      <c r="AQ3419" s="430"/>
      <c r="AR3419" s="430"/>
      <c r="AS3419" s="430"/>
      <c r="AT3419" s="430"/>
      <c r="AU3419" s="426"/>
      <c r="AV3419" s="174"/>
      <c r="AW3419" s="269" t="s">
        <v>1759</v>
      </c>
      <c r="AX3419" s="269" t="s">
        <v>2869</v>
      </c>
      <c r="AY3419" s="270" t="s">
        <v>695</v>
      </c>
      <c r="AZ3419" s="435"/>
      <c r="BA3419" s="173">
        <v>10.0</v>
      </c>
      <c r="BB3419" s="434"/>
      <c r="BC3419" s="434"/>
      <c r="BD3419" s="308" t="s">
        <v>1844</v>
      </c>
      <c r="BE3419" s="436"/>
      <c r="BF3419" s="274" t="str">
        <f>IFERROR(__xludf.DUMMYFUNCTION("LOWER(Regexreplace(to_text(E3419),""[^A-Za-z0-9]"","""")&amp;""_""&amp;Regexreplace(to_text(F3419),""[^A-Za-z0-9]"",""""))"),"nicotra_ddmp")</f>
        <v>nicotra_ddmp</v>
      </c>
      <c r="BG3419" s="275" t="str">
        <f>IFERROR(__xludf.DUMMYFUNCTION("upper(Regexreplace(to_text(E3419),""[^A-Za-z0-9]"","""")&amp;""-""&amp;Regexreplace(to_text(F3419),""[^A-Za-z0-9]"",""""))"),"NICOTRA-DDMP")</f>
        <v>NICOTRA-DDMP</v>
      </c>
    </row>
    <row r="3420" ht="30.0" customHeight="1">
      <c r="A3420" s="425">
        <v>2690.0</v>
      </c>
      <c r="B3420" s="425" t="s">
        <v>670</v>
      </c>
      <c r="C3420" s="257" t="s">
        <v>10572</v>
      </c>
      <c r="D3420" s="173" t="s">
        <v>10573</v>
      </c>
      <c r="E3420" s="174" t="s">
        <v>9289</v>
      </c>
      <c r="F3420" s="173" t="s">
        <v>9709</v>
      </c>
      <c r="G3420" s="425" t="s">
        <v>673</v>
      </c>
      <c r="H3420" s="425" t="s">
        <v>2863</v>
      </c>
      <c r="I3420" s="258" t="s">
        <v>9445</v>
      </c>
      <c r="J3420" s="259" t="s">
        <v>1333</v>
      </c>
      <c r="K3420" s="260" t="s">
        <v>10570</v>
      </c>
      <c r="L3420" s="442"/>
      <c r="M3420" s="426"/>
      <c r="N3420" s="173" t="s">
        <v>679</v>
      </c>
      <c r="O3420" s="173" t="s">
        <v>225</v>
      </c>
      <c r="P3420" s="262" t="str">
        <f t="shared" si="1"/>
        <v>IN-BLR-ANANTA-FAN-368_9</v>
      </c>
      <c r="Q3420" s="173" t="s">
        <v>10574</v>
      </c>
      <c r="R3420" s="425" t="str">
        <f>IFS(C3420="","",C3420="n/a","N/A",LEN(C3420),Concatenate("{",char(34),"asset",char(34),":{",char(34),"guid",char(34),":",char(34),Q3420,char(34),",",char(34),"site",char(34),":",char(34),LOWER('2-Building'!$B$4),char(34),",",char(34),"name",char(34),":",char(34),LOWER(C3420),char(34),"}}"))</f>
        <v>{"asset":{"guid":"uuid://9163355a-5e8f-4ee3-86fb-026e6a963e7f","site":"in-blr-ananta","name":"fan-368"}}</v>
      </c>
      <c r="S3420" s="369" t="s">
        <v>2866</v>
      </c>
      <c r="T3420" s="427"/>
      <c r="U3420" s="427"/>
      <c r="V3420" s="428"/>
      <c r="W3420" s="429"/>
      <c r="X3420" s="430"/>
      <c r="Y3420" s="33" t="s">
        <v>8076</v>
      </c>
      <c r="Z3420" s="430"/>
      <c r="AA3420" s="430"/>
      <c r="AB3420" s="258">
        <v>145.0</v>
      </c>
      <c r="AC3420" s="430"/>
      <c r="AD3420" s="426"/>
      <c r="AE3420" s="428"/>
      <c r="AF3420" s="431"/>
      <c r="AG3420" s="432"/>
      <c r="AH3420" s="430"/>
      <c r="AI3420" s="430"/>
      <c r="AJ3420" s="430"/>
      <c r="AK3420" s="430"/>
      <c r="AL3420" s="430"/>
      <c r="AM3420" s="433"/>
      <c r="AN3420" s="430"/>
      <c r="AO3420" s="430"/>
      <c r="AP3420" s="430"/>
      <c r="AQ3420" s="430"/>
      <c r="AR3420" s="430"/>
      <c r="AS3420" s="430"/>
      <c r="AT3420" s="430"/>
      <c r="AU3420" s="426"/>
      <c r="AV3420" s="174"/>
      <c r="AW3420" s="269" t="s">
        <v>1759</v>
      </c>
      <c r="AX3420" s="269" t="s">
        <v>2869</v>
      </c>
      <c r="AY3420" s="270" t="s">
        <v>695</v>
      </c>
      <c r="AZ3420" s="435"/>
      <c r="BA3420" s="173">
        <v>10.0</v>
      </c>
      <c r="BB3420" s="434"/>
      <c r="BC3420" s="434"/>
      <c r="BD3420" s="308" t="s">
        <v>1844</v>
      </c>
      <c r="BE3420" s="436"/>
      <c r="BF3420" s="274" t="str">
        <f>IFERROR(__xludf.DUMMYFUNCTION("LOWER(Regexreplace(to_text(E3420),""[^A-Za-z0-9]"","""")&amp;""_""&amp;Regexreplace(to_text(F3420),""[^A-Za-z0-9]"",""""))"),"daikin_fxzq32bvm6")</f>
        <v>daikin_fxzq32bvm6</v>
      </c>
      <c r="BG3420" s="275" t="str">
        <f>IFERROR(__xludf.DUMMYFUNCTION("upper(Regexreplace(to_text(E3420),""[^A-Za-z0-9]"","""")&amp;""-""&amp;Regexreplace(to_text(F3420),""[^A-Za-z0-9]"",""""))"),"DAIKIN-FXZQ32BVM6")</f>
        <v>DAIKIN-FXZQ32BVM6</v>
      </c>
    </row>
    <row r="3421" ht="30.0" customHeight="1">
      <c r="A3421" s="425">
        <v>2690.0</v>
      </c>
      <c r="B3421" s="425" t="s">
        <v>670</v>
      </c>
      <c r="C3421" s="257" t="s">
        <v>10575</v>
      </c>
      <c r="D3421" s="173" t="s">
        <v>10576</v>
      </c>
      <c r="E3421" s="174" t="s">
        <v>9289</v>
      </c>
      <c r="F3421" s="173" t="s">
        <v>9709</v>
      </c>
      <c r="G3421" s="425" t="s">
        <v>673</v>
      </c>
      <c r="H3421" s="425" t="s">
        <v>2863</v>
      </c>
      <c r="I3421" s="258" t="s">
        <v>9445</v>
      </c>
      <c r="J3421" s="259" t="s">
        <v>1333</v>
      </c>
      <c r="K3421" s="260" t="s">
        <v>10570</v>
      </c>
      <c r="L3421" s="442"/>
      <c r="M3421" s="426"/>
      <c r="N3421" s="173" t="s">
        <v>679</v>
      </c>
      <c r="O3421" s="173" t="s">
        <v>225</v>
      </c>
      <c r="P3421" s="262" t="str">
        <f t="shared" si="1"/>
        <v>IN-BLR-ANANTA-FAN-369_9</v>
      </c>
      <c r="Q3421" s="173" t="s">
        <v>10577</v>
      </c>
      <c r="R3421" s="433" t="str">
        <f>IFS(C3421="","",C3421="n/a","N/A",LEN(C3421),Concatenate("{",char(34),"asset",char(34),":{",char(34),"guid",char(34),":",char(34),Q3421,char(34),",",char(34),"site",char(34),":",char(34),LOWER('2-Building'!$B$4),char(34),",",char(34),"name",char(34),":",char(34),LOWER(C3421),char(34),"}}"))</f>
        <v>{"asset":{"guid":"uuid://ca99b0de-76e1-49fe-b9aa-153943b16362","site":"in-blr-ananta","name":"fan-369"}}</v>
      </c>
      <c r="S3421" s="369" t="s">
        <v>2866</v>
      </c>
      <c r="T3421" s="427"/>
      <c r="U3421" s="427"/>
      <c r="V3421" s="428"/>
      <c r="W3421" s="429"/>
      <c r="X3421" s="430"/>
      <c r="Y3421" s="33" t="s">
        <v>8076</v>
      </c>
      <c r="Z3421" s="430"/>
      <c r="AA3421" s="430"/>
      <c r="AB3421" s="258">
        <v>146.0</v>
      </c>
      <c r="AC3421" s="430"/>
      <c r="AD3421" s="426"/>
      <c r="AE3421" s="428"/>
      <c r="AF3421" s="431"/>
      <c r="AG3421" s="432" t="str">
        <f>IFS(LEN(AF3421)=17,LOWER('2-Building'!$B$4 &amp; "-" &amp; C3421), AF3421="N/A", "N/A", LEN(AF3421)=0,"")</f>
        <v/>
      </c>
      <c r="AH3421" s="430"/>
      <c r="AI3421" s="430"/>
      <c r="AJ3421" s="430"/>
      <c r="AK3421" s="430"/>
      <c r="AL3421" s="430"/>
      <c r="AM3421" s="433"/>
      <c r="AN3421" s="430"/>
      <c r="AO3421" s="430"/>
      <c r="AP3421" s="430"/>
      <c r="AQ3421" s="430"/>
      <c r="AR3421" s="430"/>
      <c r="AS3421" s="430"/>
      <c r="AT3421" s="430"/>
      <c r="AU3421" s="426"/>
      <c r="AV3421" s="174"/>
      <c r="AW3421" s="269" t="s">
        <v>1759</v>
      </c>
      <c r="AX3421" s="269" t="s">
        <v>2869</v>
      </c>
      <c r="AY3421" s="270" t="s">
        <v>695</v>
      </c>
      <c r="AZ3421" s="435"/>
      <c r="BA3421" s="173">
        <v>10.0</v>
      </c>
      <c r="BB3421" s="434"/>
      <c r="BC3421" s="434"/>
      <c r="BD3421" s="308" t="s">
        <v>1844</v>
      </c>
      <c r="BE3421" s="436"/>
      <c r="BF3421" s="274" t="str">
        <f>IFERROR(__xludf.DUMMYFUNCTION("LOWER(Regexreplace(to_text(E3421),""[^A-Za-z0-9]"","""")&amp;""_""&amp;Regexreplace(to_text(F3421),""[^A-Za-z0-9]"",""""))"),"daikin_fxzq32bvm6")</f>
        <v>daikin_fxzq32bvm6</v>
      </c>
      <c r="BG3421" s="275" t="str">
        <f>IFERROR(__xludf.DUMMYFUNCTION("upper(Regexreplace(to_text(E3421),""[^A-Za-z0-9]"","""")&amp;""-""&amp;Regexreplace(to_text(F3421),""[^A-Za-z0-9]"",""""))"),"DAIKIN-FXZQ32BVM6")</f>
        <v>DAIKIN-FXZQ32BVM6</v>
      </c>
    </row>
    <row r="3422" ht="30.0" customHeight="1">
      <c r="A3422" s="425">
        <v>2690.0</v>
      </c>
      <c r="B3422" s="425" t="s">
        <v>670</v>
      </c>
      <c r="C3422" s="257" t="s">
        <v>10578</v>
      </c>
      <c r="D3422" s="173" t="s">
        <v>10579</v>
      </c>
      <c r="E3422" s="174" t="s">
        <v>9289</v>
      </c>
      <c r="F3422" s="173" t="s">
        <v>9709</v>
      </c>
      <c r="G3422" s="425" t="s">
        <v>673</v>
      </c>
      <c r="H3422" s="425" t="s">
        <v>2863</v>
      </c>
      <c r="I3422" s="258" t="s">
        <v>9445</v>
      </c>
      <c r="J3422" s="259" t="s">
        <v>1333</v>
      </c>
      <c r="K3422" s="260" t="s">
        <v>10570</v>
      </c>
      <c r="L3422" s="442"/>
      <c r="M3422" s="426"/>
      <c r="N3422" s="173" t="s">
        <v>679</v>
      </c>
      <c r="O3422" s="173" t="s">
        <v>225</v>
      </c>
      <c r="P3422" s="262" t="str">
        <f t="shared" si="1"/>
        <v>IN-BLR-ANANTA-FAN-370_9</v>
      </c>
      <c r="Q3422" s="173" t="s">
        <v>10580</v>
      </c>
      <c r="R3422" s="425" t="str">
        <f>IFS(C3422="","",C3422="n/a","N/A",LEN(C3422),Concatenate("{",char(34),"asset",char(34),":{",char(34),"guid",char(34),":",char(34),Q3422,char(34),",",char(34),"site",char(34),":",char(34),LOWER('2-Building'!$B$4),char(34),",",char(34),"name",char(34),":",char(34),LOWER(C3422),char(34),"}}"))</f>
        <v>{"asset":{"guid":"uuid://fae426f6-7dcd-4615-8ee8-9807a962dd9d","site":"in-blr-ananta","name":"fan-370"}}</v>
      </c>
      <c r="S3422" s="369" t="s">
        <v>2866</v>
      </c>
      <c r="T3422" s="427"/>
      <c r="U3422" s="427"/>
      <c r="V3422" s="428"/>
      <c r="W3422" s="429"/>
      <c r="X3422" s="430"/>
      <c r="Y3422" s="33" t="s">
        <v>8076</v>
      </c>
      <c r="Z3422" s="430"/>
      <c r="AA3422" s="430"/>
      <c r="AB3422" s="258">
        <v>147.0</v>
      </c>
      <c r="AC3422" s="430"/>
      <c r="AD3422" s="426"/>
      <c r="AE3422" s="428"/>
      <c r="AF3422" s="431"/>
      <c r="AG3422" s="432" t="str">
        <f>IFS(LEN(AF3422)=17,LOWER('2-Building'!$B$4 &amp; "-" &amp; C3422), AF3422="N/A", "N/A", LEN(AF3422)=0,"")</f>
        <v/>
      </c>
      <c r="AH3422" s="430"/>
      <c r="AI3422" s="430"/>
      <c r="AJ3422" s="430"/>
      <c r="AK3422" s="430"/>
      <c r="AL3422" s="430"/>
      <c r="AM3422" s="433"/>
      <c r="AN3422" s="430"/>
      <c r="AO3422" s="430"/>
      <c r="AP3422" s="430"/>
      <c r="AQ3422" s="430"/>
      <c r="AR3422" s="430"/>
      <c r="AS3422" s="430"/>
      <c r="AT3422" s="430"/>
      <c r="AU3422" s="426"/>
      <c r="AV3422" s="174"/>
      <c r="AW3422" s="269" t="s">
        <v>1759</v>
      </c>
      <c r="AX3422" s="269" t="s">
        <v>2869</v>
      </c>
      <c r="AY3422" s="270" t="s">
        <v>695</v>
      </c>
      <c r="AZ3422" s="435"/>
      <c r="BA3422" s="173">
        <v>10.0</v>
      </c>
      <c r="BB3422" s="434"/>
      <c r="BC3422" s="434"/>
      <c r="BD3422" s="308" t="s">
        <v>1844</v>
      </c>
      <c r="BE3422" s="436"/>
      <c r="BF3422" s="274" t="str">
        <f>IFERROR(__xludf.DUMMYFUNCTION("LOWER(Regexreplace(to_text(E3422),""[^A-Za-z0-9]"","""")&amp;""_""&amp;Regexreplace(to_text(F3422),""[^A-Za-z0-9]"",""""))"),"daikin_fxzq32bvm6")</f>
        <v>daikin_fxzq32bvm6</v>
      </c>
      <c r="BG3422" s="275" t="str">
        <f>IFERROR(__xludf.DUMMYFUNCTION("upper(Regexreplace(to_text(E3422),""[^A-Za-z0-9]"","""")&amp;""-""&amp;Regexreplace(to_text(F3422),""[^A-Za-z0-9]"",""""))"),"DAIKIN-FXZQ32BVM6")</f>
        <v>DAIKIN-FXZQ32BVM6</v>
      </c>
    </row>
    <row r="3423" ht="30.0" customHeight="1">
      <c r="A3423" s="237">
        <v>2689.0</v>
      </c>
      <c r="B3423" s="425" t="s">
        <v>670</v>
      </c>
      <c r="C3423" s="257" t="s">
        <v>10581</v>
      </c>
      <c r="D3423" s="173" t="s">
        <v>10582</v>
      </c>
      <c r="E3423" s="174" t="s">
        <v>9289</v>
      </c>
      <c r="F3423" s="173" t="s">
        <v>9709</v>
      </c>
      <c r="G3423" s="425" t="s">
        <v>673</v>
      </c>
      <c r="H3423" s="425" t="s">
        <v>2863</v>
      </c>
      <c r="I3423" s="258" t="s">
        <v>9445</v>
      </c>
      <c r="J3423" s="259" t="s">
        <v>1333</v>
      </c>
      <c r="K3423" s="260" t="s">
        <v>10570</v>
      </c>
      <c r="L3423" s="442"/>
      <c r="M3423" s="426"/>
      <c r="N3423" s="173" t="s">
        <v>679</v>
      </c>
      <c r="O3423" s="173" t="s">
        <v>225</v>
      </c>
      <c r="P3423" s="262" t="str">
        <f t="shared" si="1"/>
        <v>IN-BLR-ANANTA-FAN-371_9</v>
      </c>
      <c r="Q3423" s="173" t="s">
        <v>10583</v>
      </c>
      <c r="R3423" s="425" t="str">
        <f>IFS(C3423="","",C3423="n/a","N/A",LEN(C3423),Concatenate("{",char(34),"asset",char(34),":{",char(34),"guid",char(34),":",char(34),Q3423,char(34),",",char(34),"site",char(34),":",char(34),LOWER('2-Building'!$B$4),char(34),",",char(34),"name",char(34),":",char(34),LOWER(C3423),char(34),"}}"))</f>
        <v>{"asset":{"guid":"uuid://75c629c1-610d-4506-a1ba-7ae7c67567d0","site":"in-blr-ananta","name":"fan-371"}}</v>
      </c>
      <c r="S3423" s="369" t="s">
        <v>2866</v>
      </c>
      <c r="T3423" s="427"/>
      <c r="U3423" s="427"/>
      <c r="V3423" s="428"/>
      <c r="W3423" s="429"/>
      <c r="X3423" s="430"/>
      <c r="Y3423" s="33" t="s">
        <v>8076</v>
      </c>
      <c r="Z3423" s="430"/>
      <c r="AA3423" s="430"/>
      <c r="AB3423" s="258">
        <v>148.0</v>
      </c>
      <c r="AC3423" s="430"/>
      <c r="AD3423" s="426"/>
      <c r="AE3423" s="428"/>
      <c r="AF3423" s="431"/>
      <c r="AG3423" s="432" t="str">
        <f>IFS(LEN(AF3423)=17,LOWER('2-Building'!$B$4 &amp; "-" &amp; C3423), AF3423="N/A", "N/A", LEN(AF3423)=0,"")</f>
        <v/>
      </c>
      <c r="AH3423" s="430"/>
      <c r="AI3423" s="430"/>
      <c r="AJ3423" s="430"/>
      <c r="AK3423" s="430"/>
      <c r="AL3423" s="430"/>
      <c r="AM3423" s="433"/>
      <c r="AN3423" s="430"/>
      <c r="AO3423" s="430"/>
      <c r="AP3423" s="430"/>
      <c r="AQ3423" s="430"/>
      <c r="AR3423" s="430"/>
      <c r="AS3423" s="430"/>
      <c r="AT3423" s="430"/>
      <c r="AU3423" s="426"/>
      <c r="AV3423" s="174"/>
      <c r="AW3423" s="269" t="s">
        <v>1759</v>
      </c>
      <c r="AX3423" s="269" t="s">
        <v>2869</v>
      </c>
      <c r="AY3423" s="270" t="s">
        <v>695</v>
      </c>
      <c r="AZ3423" s="435"/>
      <c r="BA3423" s="173">
        <v>10.0</v>
      </c>
      <c r="BB3423" s="434"/>
      <c r="BC3423" s="434"/>
      <c r="BD3423" s="308" t="s">
        <v>1844</v>
      </c>
      <c r="BE3423" s="436"/>
      <c r="BF3423" s="274" t="str">
        <f>IFERROR(__xludf.DUMMYFUNCTION("LOWER(Regexreplace(to_text(E3423),""[^A-Za-z0-9]"","""")&amp;""_""&amp;Regexreplace(to_text(F3423),""[^A-Za-z0-9]"",""""))"),"daikin_fxzq32bvm6")</f>
        <v>daikin_fxzq32bvm6</v>
      </c>
      <c r="BG3423" s="275" t="str">
        <f>IFERROR(__xludf.DUMMYFUNCTION("upper(Regexreplace(to_text(E3423),""[^A-Za-z0-9]"","""")&amp;""-""&amp;Regexreplace(to_text(F3423),""[^A-Za-z0-9]"",""""))"),"DAIKIN-FXZQ32BVM6")</f>
        <v>DAIKIN-FXZQ32BVM6</v>
      </c>
    </row>
    <row r="3424" ht="30.0" customHeight="1">
      <c r="A3424" s="237">
        <v>2691.0</v>
      </c>
      <c r="B3424" s="425" t="s">
        <v>670</v>
      </c>
      <c r="C3424" s="257" t="s">
        <v>10584</v>
      </c>
      <c r="D3424" s="173" t="s">
        <v>10585</v>
      </c>
      <c r="E3424" s="174" t="s">
        <v>9289</v>
      </c>
      <c r="F3424" s="173" t="s">
        <v>9709</v>
      </c>
      <c r="G3424" s="425" t="s">
        <v>673</v>
      </c>
      <c r="H3424" s="425" t="s">
        <v>2863</v>
      </c>
      <c r="I3424" s="258" t="s">
        <v>9445</v>
      </c>
      <c r="J3424" s="259" t="s">
        <v>1333</v>
      </c>
      <c r="K3424" s="260" t="s">
        <v>10570</v>
      </c>
      <c r="L3424" s="442"/>
      <c r="M3424" s="426"/>
      <c r="N3424" s="173" t="s">
        <v>679</v>
      </c>
      <c r="O3424" s="173" t="s">
        <v>225</v>
      </c>
      <c r="P3424" s="262" t="str">
        <f t="shared" si="1"/>
        <v>IN-BLR-ANANTA-FAN-372_9</v>
      </c>
      <c r="Q3424" s="173" t="s">
        <v>10586</v>
      </c>
      <c r="R3424" s="425" t="str">
        <f>IFS(C3424="","",C3424="n/a","N/A",LEN(C3424),Concatenate("{",char(34),"asset",char(34),":{",char(34),"guid",char(34),":",char(34),Q3424,char(34),",",char(34),"site",char(34),":",char(34),LOWER('2-Building'!$B$4),char(34),",",char(34),"name",char(34),":",char(34),LOWER(C3424),char(34),"}}"))</f>
        <v>{"asset":{"guid":"uuid://894c1aa8-6b2f-41ae-8b97-468124e0111d","site":"in-blr-ananta","name":"fan-372"}}</v>
      </c>
      <c r="S3424" s="369" t="s">
        <v>2866</v>
      </c>
      <c r="T3424" s="427"/>
      <c r="U3424" s="427"/>
      <c r="V3424" s="428"/>
      <c r="W3424" s="429"/>
      <c r="X3424" s="430"/>
      <c r="Y3424" s="33" t="s">
        <v>8076</v>
      </c>
      <c r="Z3424" s="430"/>
      <c r="AA3424" s="430"/>
      <c r="AB3424" s="258">
        <v>149.0</v>
      </c>
      <c r="AC3424" s="430"/>
      <c r="AD3424" s="426"/>
      <c r="AE3424" s="428"/>
      <c r="AF3424" s="431"/>
      <c r="AG3424" s="432" t="str">
        <f>IFS(LEN(AF3424)=17,LOWER('2-Building'!$B$4 &amp; "-" &amp; C3424), AF3424="N/A", "N/A", LEN(AF3424)=0,"")</f>
        <v/>
      </c>
      <c r="AH3424" s="430"/>
      <c r="AI3424" s="430"/>
      <c r="AJ3424" s="430"/>
      <c r="AK3424" s="430"/>
      <c r="AL3424" s="430"/>
      <c r="AM3424" s="433"/>
      <c r="AN3424" s="430"/>
      <c r="AO3424" s="430"/>
      <c r="AP3424" s="430"/>
      <c r="AQ3424" s="430"/>
      <c r="AR3424" s="430"/>
      <c r="AS3424" s="430"/>
      <c r="AT3424" s="430"/>
      <c r="AU3424" s="426"/>
      <c r="AV3424" s="174"/>
      <c r="AW3424" s="269" t="s">
        <v>1759</v>
      </c>
      <c r="AX3424" s="269" t="s">
        <v>2869</v>
      </c>
      <c r="AY3424" s="270" t="s">
        <v>695</v>
      </c>
      <c r="AZ3424" s="435"/>
      <c r="BA3424" s="173">
        <v>10.0</v>
      </c>
      <c r="BB3424" s="434"/>
      <c r="BC3424" s="434"/>
      <c r="BD3424" s="308" t="s">
        <v>1844</v>
      </c>
      <c r="BE3424" s="436"/>
      <c r="BF3424" s="274" t="str">
        <f>IFERROR(__xludf.DUMMYFUNCTION("LOWER(Regexreplace(to_text(E3424),""[^A-Za-z0-9]"","""")&amp;""_""&amp;Regexreplace(to_text(F3424),""[^A-Za-z0-9]"",""""))"),"daikin_fxzq32bvm6")</f>
        <v>daikin_fxzq32bvm6</v>
      </c>
      <c r="BG3424" s="275" t="str">
        <f>IFERROR(__xludf.DUMMYFUNCTION("upper(Regexreplace(to_text(E3424),""[^A-Za-z0-9]"","""")&amp;""-""&amp;Regexreplace(to_text(F3424),""[^A-Za-z0-9]"",""""))"),"DAIKIN-FXZQ32BVM6")</f>
        <v>DAIKIN-FXZQ32BVM6</v>
      </c>
    </row>
    <row r="3425" ht="30.0" customHeight="1">
      <c r="A3425" s="328">
        <v>2690.0</v>
      </c>
      <c r="B3425" s="425" t="s">
        <v>670</v>
      </c>
      <c r="C3425" s="257" t="s">
        <v>10587</v>
      </c>
      <c r="D3425" s="173" t="s">
        <v>10588</v>
      </c>
      <c r="E3425" s="174" t="s">
        <v>9289</v>
      </c>
      <c r="F3425" s="173" t="s">
        <v>9709</v>
      </c>
      <c r="G3425" s="425" t="s">
        <v>673</v>
      </c>
      <c r="H3425" s="425" t="s">
        <v>2863</v>
      </c>
      <c r="I3425" s="258" t="s">
        <v>9445</v>
      </c>
      <c r="J3425" s="259" t="s">
        <v>1393</v>
      </c>
      <c r="K3425" s="260" t="s">
        <v>9366</v>
      </c>
      <c r="L3425" s="442"/>
      <c r="M3425" s="426"/>
      <c r="N3425" s="173" t="s">
        <v>679</v>
      </c>
      <c r="O3425" s="173" t="s">
        <v>225</v>
      </c>
      <c r="P3425" s="262" t="str">
        <f t="shared" si="1"/>
        <v>IN-BLR-ANANTA-FAN-373_10</v>
      </c>
      <c r="Q3425" s="173" t="s">
        <v>10589</v>
      </c>
      <c r="R3425" s="425" t="str">
        <f>IFS(C3425="","",C3425="n/a","N/A",LEN(C3425),Concatenate("{",char(34),"asset",char(34),":{",char(34),"guid",char(34),":",char(34),Q3425,char(34),",",char(34),"site",char(34),":",char(34),LOWER('2-Building'!$B$4),char(34),",",char(34),"name",char(34),":",char(34),LOWER(C3425),char(34),"}}"))</f>
        <v>{"asset":{"guid":"uuid://09fb9f68-48d8-43fc-bdf7-5ddfcc9f1a3e","site":"in-blr-ananta","name":"fan-373"}}</v>
      </c>
      <c r="S3425" s="369" t="s">
        <v>2866</v>
      </c>
      <c r="T3425" s="427"/>
      <c r="U3425" s="427"/>
      <c r="V3425" s="428"/>
      <c r="W3425" s="429"/>
      <c r="X3425" s="430"/>
      <c r="Y3425" s="33" t="s">
        <v>8076</v>
      </c>
      <c r="Z3425" s="430"/>
      <c r="AA3425" s="430"/>
      <c r="AB3425" s="258">
        <v>162.0</v>
      </c>
      <c r="AC3425" s="430"/>
      <c r="AD3425" s="426"/>
      <c r="AE3425" s="428"/>
      <c r="AF3425" s="431"/>
      <c r="AG3425" s="432" t="str">
        <f>IFS(LEN(AF3425)=17,LOWER('2-Building'!$B$4 &amp; "-" &amp; C3425), AF3425="N/A", "N/A", LEN(AF3425)=0,"")</f>
        <v/>
      </c>
      <c r="AH3425" s="430"/>
      <c r="AI3425" s="430"/>
      <c r="AJ3425" s="430"/>
      <c r="AK3425" s="430"/>
      <c r="AL3425" s="430"/>
      <c r="AM3425" s="433"/>
      <c r="AN3425" s="430"/>
      <c r="AO3425" s="430"/>
      <c r="AP3425" s="430"/>
      <c r="AQ3425" s="430"/>
      <c r="AR3425" s="430"/>
      <c r="AS3425" s="430"/>
      <c r="AT3425" s="430"/>
      <c r="AU3425" s="426"/>
      <c r="AV3425" s="174"/>
      <c r="AW3425" s="269" t="s">
        <v>1759</v>
      </c>
      <c r="AX3425" s="269" t="s">
        <v>2869</v>
      </c>
      <c r="AY3425" s="270" t="s">
        <v>695</v>
      </c>
      <c r="AZ3425" s="435"/>
      <c r="BA3425" s="173">
        <v>10.0</v>
      </c>
      <c r="BB3425" s="434"/>
      <c r="BC3425" s="434"/>
      <c r="BD3425" s="308" t="s">
        <v>1844</v>
      </c>
      <c r="BE3425" s="436"/>
      <c r="BF3425" s="274" t="str">
        <f>IFERROR(__xludf.DUMMYFUNCTION("LOWER(Regexreplace(to_text(E3425),""[^A-Za-z0-9]"","""")&amp;""_""&amp;Regexreplace(to_text(F3425),""[^A-Za-z0-9]"",""""))"),"daikin_fxzq32bvm6")</f>
        <v>daikin_fxzq32bvm6</v>
      </c>
      <c r="BG3425" s="275" t="str">
        <f>IFERROR(__xludf.DUMMYFUNCTION("upper(Regexreplace(to_text(E3425),""[^A-Za-z0-9]"","""")&amp;""-""&amp;Regexreplace(to_text(F3425),""[^A-Za-z0-9]"",""""))"),"DAIKIN-FXZQ32BVM6")</f>
        <v>DAIKIN-FXZQ32BVM6</v>
      </c>
    </row>
    <row r="3426" ht="30.0" customHeight="1">
      <c r="A3426" s="237">
        <v>2691.0</v>
      </c>
      <c r="B3426" s="425" t="s">
        <v>670</v>
      </c>
      <c r="C3426" s="257" t="s">
        <v>10590</v>
      </c>
      <c r="D3426" s="173" t="s">
        <v>10591</v>
      </c>
      <c r="E3426" s="174" t="s">
        <v>9289</v>
      </c>
      <c r="F3426" s="173" t="s">
        <v>9709</v>
      </c>
      <c r="G3426" s="425" t="s">
        <v>673</v>
      </c>
      <c r="H3426" s="425" t="s">
        <v>2863</v>
      </c>
      <c r="I3426" s="258" t="s">
        <v>9445</v>
      </c>
      <c r="J3426" s="259" t="s">
        <v>1393</v>
      </c>
      <c r="K3426" s="260" t="s">
        <v>9366</v>
      </c>
      <c r="L3426" s="442"/>
      <c r="M3426" s="426"/>
      <c r="N3426" s="173" t="s">
        <v>679</v>
      </c>
      <c r="O3426" s="173" t="s">
        <v>225</v>
      </c>
      <c r="P3426" s="262" t="str">
        <f t="shared" si="1"/>
        <v>IN-BLR-ANANTA-FAN-374_10</v>
      </c>
      <c r="Q3426" s="173" t="s">
        <v>10592</v>
      </c>
      <c r="R3426" s="425" t="str">
        <f>IFS(C3426="","",C3426="n/a","N/A",LEN(C3426),Concatenate("{",char(34),"asset",char(34),":{",char(34),"guid",char(34),":",char(34),Q3426,char(34),",",char(34),"site",char(34),":",char(34),LOWER('2-Building'!$B$4),char(34),",",char(34),"name",char(34),":",char(34),LOWER(C3426),char(34),"}}"))</f>
        <v>{"asset":{"guid":"uuid://6139612b-9f61-4d47-b42f-a5c99813ec39","site":"in-blr-ananta","name":"fan-374"}}</v>
      </c>
      <c r="S3426" s="369" t="s">
        <v>2866</v>
      </c>
      <c r="T3426" s="427"/>
      <c r="U3426" s="427"/>
      <c r="V3426" s="428"/>
      <c r="W3426" s="429"/>
      <c r="X3426" s="430"/>
      <c r="Y3426" s="33" t="s">
        <v>8076</v>
      </c>
      <c r="Z3426" s="430"/>
      <c r="AA3426" s="430"/>
      <c r="AB3426" s="258">
        <v>163.0</v>
      </c>
      <c r="AC3426" s="430"/>
      <c r="AD3426" s="426"/>
      <c r="AE3426" s="428"/>
      <c r="AF3426" s="431"/>
      <c r="AG3426" s="432" t="str">
        <f>IFS(LEN(AF3426)=17,LOWER('2-Building'!$B$4 &amp; "-" &amp; C3426), AF3426="N/A", "N/A", LEN(AF3426)=0,"")</f>
        <v/>
      </c>
      <c r="AH3426" s="430"/>
      <c r="AI3426" s="430"/>
      <c r="AJ3426" s="430"/>
      <c r="AK3426" s="430"/>
      <c r="AL3426" s="430"/>
      <c r="AM3426" s="433"/>
      <c r="AN3426" s="430"/>
      <c r="AO3426" s="430"/>
      <c r="AP3426" s="430"/>
      <c r="AQ3426" s="430"/>
      <c r="AR3426" s="430"/>
      <c r="AS3426" s="430"/>
      <c r="AT3426" s="430"/>
      <c r="AU3426" s="426"/>
      <c r="AV3426" s="174"/>
      <c r="AW3426" s="269" t="s">
        <v>1759</v>
      </c>
      <c r="AX3426" s="269" t="s">
        <v>2869</v>
      </c>
      <c r="AY3426" s="270" t="s">
        <v>695</v>
      </c>
      <c r="AZ3426" s="435"/>
      <c r="BA3426" s="173">
        <v>10.0</v>
      </c>
      <c r="BB3426" s="434"/>
      <c r="BC3426" s="434"/>
      <c r="BD3426" s="308" t="s">
        <v>1844</v>
      </c>
      <c r="BE3426" s="436"/>
      <c r="BF3426" s="274" t="str">
        <f>IFERROR(__xludf.DUMMYFUNCTION("LOWER(Regexreplace(to_text(E3426),""[^A-Za-z0-9]"","""")&amp;""_""&amp;Regexreplace(to_text(F3426),""[^A-Za-z0-9]"",""""))"),"daikin_fxzq32bvm6")</f>
        <v>daikin_fxzq32bvm6</v>
      </c>
      <c r="BG3426" s="275" t="str">
        <f>IFERROR(__xludf.DUMMYFUNCTION("upper(Regexreplace(to_text(E3426),""[^A-Za-z0-9]"","""")&amp;""-""&amp;Regexreplace(to_text(F3426),""[^A-Za-z0-9]"",""""))"),"DAIKIN-FXZQ32BVM6")</f>
        <v>DAIKIN-FXZQ32BVM6</v>
      </c>
    </row>
    <row r="3427" ht="30.0" customHeight="1">
      <c r="A3427" s="328">
        <v>2690.0</v>
      </c>
      <c r="B3427" s="425" t="s">
        <v>670</v>
      </c>
      <c r="C3427" s="257" t="s">
        <v>10593</v>
      </c>
      <c r="D3427" s="173" t="s">
        <v>10594</v>
      </c>
      <c r="E3427" s="174" t="s">
        <v>9289</v>
      </c>
      <c r="F3427" s="173" t="s">
        <v>9709</v>
      </c>
      <c r="G3427" s="425" t="s">
        <v>673</v>
      </c>
      <c r="H3427" s="425" t="s">
        <v>2863</v>
      </c>
      <c r="I3427" s="258" t="s">
        <v>9445</v>
      </c>
      <c r="J3427" s="259" t="s">
        <v>1393</v>
      </c>
      <c r="K3427" s="260" t="s">
        <v>9366</v>
      </c>
      <c r="L3427" s="442"/>
      <c r="M3427" s="426"/>
      <c r="N3427" s="173" t="s">
        <v>679</v>
      </c>
      <c r="O3427" s="173" t="s">
        <v>225</v>
      </c>
      <c r="P3427" s="262" t="str">
        <f t="shared" si="1"/>
        <v>IN-BLR-ANANTA-FAN-375_10</v>
      </c>
      <c r="Q3427" s="173" t="s">
        <v>10595</v>
      </c>
      <c r="R3427" s="425" t="str">
        <f>IFS(C3427="","",C3427="n/a","N/A",LEN(C3427),Concatenate("{",char(34),"asset",char(34),":{",char(34),"guid",char(34),":",char(34),Q3427,char(34),",",char(34),"site",char(34),":",char(34),LOWER('2-Building'!$B$4),char(34),",",char(34),"name",char(34),":",char(34),LOWER(C3427),char(34),"}}"))</f>
        <v>{"asset":{"guid":"uuid://a31cdbfb-0bf9-4b14-8b13-5c43e3063d91","site":"in-blr-ananta","name":"fan-375"}}</v>
      </c>
      <c r="S3427" s="369" t="s">
        <v>2866</v>
      </c>
      <c r="T3427" s="427"/>
      <c r="U3427" s="427"/>
      <c r="V3427" s="428"/>
      <c r="W3427" s="429"/>
      <c r="X3427" s="430"/>
      <c r="Y3427" s="33" t="s">
        <v>8076</v>
      </c>
      <c r="Z3427" s="430"/>
      <c r="AA3427" s="430"/>
      <c r="AB3427" s="258">
        <v>164.0</v>
      </c>
      <c r="AC3427" s="430"/>
      <c r="AD3427" s="426"/>
      <c r="AE3427" s="428"/>
      <c r="AF3427" s="431"/>
      <c r="AG3427" s="432" t="str">
        <f>IFS(LEN(AF3427)=17,LOWER('2-Building'!$B$4 &amp; "-" &amp; C3427), AF3427="N/A", "N/A", LEN(AF3427)=0,"")</f>
        <v/>
      </c>
      <c r="AH3427" s="430"/>
      <c r="AI3427" s="430"/>
      <c r="AJ3427" s="430"/>
      <c r="AK3427" s="430"/>
      <c r="AL3427" s="430"/>
      <c r="AM3427" s="433"/>
      <c r="AN3427" s="430"/>
      <c r="AO3427" s="430"/>
      <c r="AP3427" s="430"/>
      <c r="AQ3427" s="430"/>
      <c r="AR3427" s="430"/>
      <c r="AS3427" s="430"/>
      <c r="AT3427" s="430"/>
      <c r="AU3427" s="426"/>
      <c r="AV3427" s="174"/>
      <c r="AW3427" s="269" t="s">
        <v>1759</v>
      </c>
      <c r="AX3427" s="269" t="s">
        <v>2869</v>
      </c>
      <c r="AY3427" s="270" t="s">
        <v>695</v>
      </c>
      <c r="AZ3427" s="435"/>
      <c r="BA3427" s="173">
        <v>10.0</v>
      </c>
      <c r="BB3427" s="434"/>
      <c r="BC3427" s="434"/>
      <c r="BD3427" s="308" t="s">
        <v>1844</v>
      </c>
      <c r="BE3427" s="436"/>
      <c r="BF3427" s="274" t="str">
        <f>IFERROR(__xludf.DUMMYFUNCTION("LOWER(Regexreplace(to_text(E3427),""[^A-Za-z0-9]"","""")&amp;""_""&amp;Regexreplace(to_text(F3427),""[^A-Za-z0-9]"",""""))"),"daikin_fxzq32bvm6")</f>
        <v>daikin_fxzq32bvm6</v>
      </c>
      <c r="BG3427" s="275" t="str">
        <f>IFERROR(__xludf.DUMMYFUNCTION("upper(Regexreplace(to_text(E3427),""[^A-Za-z0-9]"","""")&amp;""-""&amp;Regexreplace(to_text(F3427),""[^A-Za-z0-9]"",""""))"),"DAIKIN-FXZQ32BVM6")</f>
        <v>DAIKIN-FXZQ32BVM6</v>
      </c>
    </row>
    <row r="3428" ht="30.0" customHeight="1">
      <c r="A3428" s="237">
        <v>2691.0</v>
      </c>
      <c r="B3428" s="425" t="s">
        <v>670</v>
      </c>
      <c r="C3428" s="257" t="s">
        <v>10596</v>
      </c>
      <c r="D3428" s="173" t="s">
        <v>10597</v>
      </c>
      <c r="E3428" s="174" t="s">
        <v>9289</v>
      </c>
      <c r="F3428" s="173" t="s">
        <v>9709</v>
      </c>
      <c r="G3428" s="425" t="s">
        <v>673</v>
      </c>
      <c r="H3428" s="425" t="s">
        <v>2863</v>
      </c>
      <c r="I3428" s="258" t="s">
        <v>9445</v>
      </c>
      <c r="J3428" s="259" t="s">
        <v>1393</v>
      </c>
      <c r="K3428" s="260" t="s">
        <v>9366</v>
      </c>
      <c r="L3428" s="442"/>
      <c r="M3428" s="426"/>
      <c r="N3428" s="173" t="s">
        <v>679</v>
      </c>
      <c r="O3428" s="173" t="s">
        <v>225</v>
      </c>
      <c r="P3428" s="262" t="str">
        <f t="shared" si="1"/>
        <v>IN-BLR-ANANTA-FAN-376_10</v>
      </c>
      <c r="Q3428" s="173" t="s">
        <v>10598</v>
      </c>
      <c r="R3428" s="425" t="str">
        <f>IFS(C3428="","",C3428="n/a","N/A",LEN(C3428),Concatenate("{",char(34),"asset",char(34),":{",char(34),"guid",char(34),":",char(34),Q3428,char(34),",",char(34),"site",char(34),":",char(34),LOWER('2-Building'!$B$4),char(34),",",char(34),"name",char(34),":",char(34),LOWER(C3428),char(34),"}}"))</f>
        <v>{"asset":{"guid":"uuid://b7064509-016c-42ed-bd5c-28b56072bd86","site":"in-blr-ananta","name":"fan-376"}}</v>
      </c>
      <c r="S3428" s="369" t="s">
        <v>2866</v>
      </c>
      <c r="T3428" s="427"/>
      <c r="U3428" s="427"/>
      <c r="V3428" s="428"/>
      <c r="W3428" s="429"/>
      <c r="X3428" s="430"/>
      <c r="Y3428" s="33" t="s">
        <v>8076</v>
      </c>
      <c r="Z3428" s="430"/>
      <c r="AA3428" s="430"/>
      <c r="AB3428" s="258">
        <v>165.0</v>
      </c>
      <c r="AC3428" s="430"/>
      <c r="AD3428" s="426"/>
      <c r="AE3428" s="428"/>
      <c r="AF3428" s="431"/>
      <c r="AG3428" s="432" t="str">
        <f>IFS(LEN(AF3428)=17,LOWER('2-Building'!$B$4 &amp; "-" &amp; C3428), AF3428="N/A", "N/A", LEN(AF3428)=0,"")</f>
        <v/>
      </c>
      <c r="AH3428" s="430"/>
      <c r="AI3428" s="430"/>
      <c r="AJ3428" s="430"/>
      <c r="AK3428" s="430"/>
      <c r="AL3428" s="430"/>
      <c r="AM3428" s="433"/>
      <c r="AN3428" s="430"/>
      <c r="AO3428" s="430"/>
      <c r="AP3428" s="430"/>
      <c r="AQ3428" s="430"/>
      <c r="AR3428" s="430"/>
      <c r="AS3428" s="430"/>
      <c r="AT3428" s="430"/>
      <c r="AU3428" s="426"/>
      <c r="AV3428" s="174"/>
      <c r="AW3428" s="269" t="s">
        <v>1759</v>
      </c>
      <c r="AX3428" s="269" t="s">
        <v>2869</v>
      </c>
      <c r="AY3428" s="270" t="s">
        <v>695</v>
      </c>
      <c r="AZ3428" s="435"/>
      <c r="BA3428" s="173">
        <v>10.0</v>
      </c>
      <c r="BB3428" s="434"/>
      <c r="BC3428" s="434"/>
      <c r="BD3428" s="308" t="s">
        <v>1844</v>
      </c>
      <c r="BE3428" s="436"/>
      <c r="BF3428" s="274" t="str">
        <f>IFERROR(__xludf.DUMMYFUNCTION("LOWER(Regexreplace(to_text(E3428),""[^A-Za-z0-9]"","""")&amp;""_""&amp;Regexreplace(to_text(F3428),""[^A-Za-z0-9]"",""""))"),"daikin_fxzq32bvm6")</f>
        <v>daikin_fxzq32bvm6</v>
      </c>
      <c r="BG3428" s="275" t="str">
        <f>IFERROR(__xludf.DUMMYFUNCTION("upper(Regexreplace(to_text(E3428),""[^A-Za-z0-9]"","""")&amp;""-""&amp;Regexreplace(to_text(F3428),""[^A-Za-z0-9]"",""""))"),"DAIKIN-FXZQ32BVM6")</f>
        <v>DAIKIN-FXZQ32BVM6</v>
      </c>
    </row>
    <row r="3429" ht="30.0" customHeight="1">
      <c r="A3429" s="328">
        <v>2690.0</v>
      </c>
      <c r="B3429" s="425" t="s">
        <v>670</v>
      </c>
      <c r="C3429" s="257" t="s">
        <v>10599</v>
      </c>
      <c r="D3429" s="173" t="s">
        <v>10600</v>
      </c>
      <c r="E3429" s="174" t="s">
        <v>9289</v>
      </c>
      <c r="F3429" s="173" t="s">
        <v>9709</v>
      </c>
      <c r="G3429" s="425" t="s">
        <v>673</v>
      </c>
      <c r="H3429" s="425" t="s">
        <v>2863</v>
      </c>
      <c r="I3429" s="258" t="s">
        <v>9445</v>
      </c>
      <c r="J3429" s="259" t="s">
        <v>1393</v>
      </c>
      <c r="K3429" s="260" t="s">
        <v>9366</v>
      </c>
      <c r="L3429" s="442"/>
      <c r="M3429" s="426"/>
      <c r="N3429" s="173" t="s">
        <v>679</v>
      </c>
      <c r="O3429" s="173" t="s">
        <v>225</v>
      </c>
      <c r="P3429" s="262" t="str">
        <f t="shared" si="1"/>
        <v>IN-BLR-ANANTA-FAN-377_10</v>
      </c>
      <c r="Q3429" s="173" t="s">
        <v>10601</v>
      </c>
      <c r="R3429" s="425" t="str">
        <f>IFS(C3429="","",C3429="n/a","N/A",LEN(C3429),Concatenate("{",char(34),"asset",char(34),":{",char(34),"guid",char(34),":",char(34),Q3429,char(34),",",char(34),"site",char(34),":",char(34),LOWER('2-Building'!$B$4),char(34),",",char(34),"name",char(34),":",char(34),LOWER(C3429),char(34),"}}"))</f>
        <v>{"asset":{"guid":"uuid://3e341e00-62d5-414a-a253-adecb5e33c54","site":"in-blr-ananta","name":"fan-377"}}</v>
      </c>
      <c r="S3429" s="369" t="s">
        <v>2866</v>
      </c>
      <c r="T3429" s="427"/>
      <c r="U3429" s="427"/>
      <c r="V3429" s="428"/>
      <c r="W3429" s="429"/>
      <c r="X3429" s="430"/>
      <c r="Y3429" s="33" t="s">
        <v>8076</v>
      </c>
      <c r="Z3429" s="430"/>
      <c r="AA3429" s="430"/>
      <c r="AB3429" s="258">
        <v>166.0</v>
      </c>
      <c r="AC3429" s="430"/>
      <c r="AD3429" s="426"/>
      <c r="AE3429" s="428"/>
      <c r="AF3429" s="431"/>
      <c r="AG3429" s="432" t="str">
        <f>IFS(LEN(AF3429)=17,LOWER('2-Building'!$B$4 &amp; "-" &amp; C3429), AF3429="N/A", "N/A", LEN(AF3429)=0,"")</f>
        <v/>
      </c>
      <c r="AH3429" s="430"/>
      <c r="AI3429" s="430"/>
      <c r="AJ3429" s="430"/>
      <c r="AK3429" s="430"/>
      <c r="AL3429" s="430"/>
      <c r="AM3429" s="433"/>
      <c r="AN3429" s="430"/>
      <c r="AO3429" s="430"/>
      <c r="AP3429" s="430"/>
      <c r="AQ3429" s="430"/>
      <c r="AR3429" s="430"/>
      <c r="AS3429" s="430"/>
      <c r="AT3429" s="430"/>
      <c r="AU3429" s="426"/>
      <c r="AV3429" s="174"/>
      <c r="AW3429" s="269" t="s">
        <v>1759</v>
      </c>
      <c r="AX3429" s="269" t="s">
        <v>2869</v>
      </c>
      <c r="AY3429" s="270" t="s">
        <v>695</v>
      </c>
      <c r="AZ3429" s="435"/>
      <c r="BA3429" s="173">
        <v>10.0</v>
      </c>
      <c r="BB3429" s="434"/>
      <c r="BC3429" s="434"/>
      <c r="BD3429" s="308" t="s">
        <v>1844</v>
      </c>
      <c r="BE3429" s="436"/>
      <c r="BF3429" s="274" t="str">
        <f>IFERROR(__xludf.DUMMYFUNCTION("LOWER(Regexreplace(to_text(E3429),""[^A-Za-z0-9]"","""")&amp;""_""&amp;Regexreplace(to_text(F3429),""[^A-Za-z0-9]"",""""))"),"daikin_fxzq32bvm6")</f>
        <v>daikin_fxzq32bvm6</v>
      </c>
      <c r="BG3429" s="275" t="str">
        <f>IFERROR(__xludf.DUMMYFUNCTION("upper(Regexreplace(to_text(E3429),""[^A-Za-z0-9]"","""")&amp;""-""&amp;Regexreplace(to_text(F3429),""[^A-Za-z0-9]"",""""))"),"DAIKIN-FXZQ32BVM6")</f>
        <v>DAIKIN-FXZQ32BVM6</v>
      </c>
    </row>
    <row r="3430" ht="30.0" customHeight="1">
      <c r="A3430" s="237">
        <v>2691.0</v>
      </c>
      <c r="B3430" s="425" t="s">
        <v>670</v>
      </c>
      <c r="C3430" s="257" t="s">
        <v>10602</v>
      </c>
      <c r="D3430" s="173" t="s">
        <v>10603</v>
      </c>
      <c r="E3430" s="174" t="s">
        <v>9289</v>
      </c>
      <c r="F3430" s="173" t="s">
        <v>9709</v>
      </c>
      <c r="G3430" s="425" t="s">
        <v>673</v>
      </c>
      <c r="H3430" s="425" t="s">
        <v>2863</v>
      </c>
      <c r="I3430" s="258" t="s">
        <v>9445</v>
      </c>
      <c r="J3430" s="259" t="s">
        <v>1393</v>
      </c>
      <c r="K3430" s="260" t="s">
        <v>9366</v>
      </c>
      <c r="L3430" s="442"/>
      <c r="M3430" s="426"/>
      <c r="N3430" s="173" t="s">
        <v>679</v>
      </c>
      <c r="O3430" s="173" t="s">
        <v>225</v>
      </c>
      <c r="P3430" s="262" t="str">
        <f t="shared" si="1"/>
        <v>IN-BLR-ANANTA-FAN-378_10</v>
      </c>
      <c r="Q3430" s="173" t="s">
        <v>10604</v>
      </c>
      <c r="R3430" s="425" t="str">
        <f>IFS(C3430="","",C3430="n/a","N/A",LEN(C3430),Concatenate("{",char(34),"asset",char(34),":{",char(34),"guid",char(34),":",char(34),Q3430,char(34),",",char(34),"site",char(34),":",char(34),LOWER('2-Building'!$B$4),char(34),",",char(34),"name",char(34),":",char(34),LOWER(C3430),char(34),"}}"))</f>
        <v>{"asset":{"guid":"uuid://c25c9578-a594-4566-82cb-52dbf7b2eb67","site":"in-blr-ananta","name":"fan-378"}}</v>
      </c>
      <c r="S3430" s="369" t="s">
        <v>2866</v>
      </c>
      <c r="T3430" s="427"/>
      <c r="U3430" s="427"/>
      <c r="V3430" s="428"/>
      <c r="W3430" s="429"/>
      <c r="X3430" s="430"/>
      <c r="Y3430" s="33" t="s">
        <v>8076</v>
      </c>
      <c r="Z3430" s="430"/>
      <c r="AA3430" s="430"/>
      <c r="AB3430" s="258">
        <v>167.0</v>
      </c>
      <c r="AC3430" s="430"/>
      <c r="AD3430" s="426"/>
      <c r="AE3430" s="428"/>
      <c r="AF3430" s="431"/>
      <c r="AG3430" s="432" t="str">
        <f>IFS(LEN(AF3430)=17,LOWER('2-Building'!$B$4 &amp; "-" &amp; C3430), AF3430="N/A", "N/A", LEN(AF3430)=0,"")</f>
        <v/>
      </c>
      <c r="AH3430" s="430"/>
      <c r="AI3430" s="430"/>
      <c r="AJ3430" s="430"/>
      <c r="AK3430" s="430"/>
      <c r="AL3430" s="430"/>
      <c r="AM3430" s="433"/>
      <c r="AN3430" s="430"/>
      <c r="AO3430" s="430"/>
      <c r="AP3430" s="430"/>
      <c r="AQ3430" s="430"/>
      <c r="AR3430" s="430"/>
      <c r="AS3430" s="430"/>
      <c r="AT3430" s="430"/>
      <c r="AU3430" s="426"/>
      <c r="AV3430" s="174"/>
      <c r="AW3430" s="269" t="s">
        <v>1759</v>
      </c>
      <c r="AX3430" s="269" t="s">
        <v>2869</v>
      </c>
      <c r="AY3430" s="270" t="s">
        <v>695</v>
      </c>
      <c r="AZ3430" s="435"/>
      <c r="BA3430" s="173">
        <v>10.0</v>
      </c>
      <c r="BB3430" s="434"/>
      <c r="BC3430" s="434"/>
      <c r="BD3430" s="308" t="s">
        <v>1844</v>
      </c>
      <c r="BE3430" s="436"/>
      <c r="BF3430" s="274" t="str">
        <f>IFERROR(__xludf.DUMMYFUNCTION("LOWER(Regexreplace(to_text(E3430),""[^A-Za-z0-9]"","""")&amp;""_""&amp;Regexreplace(to_text(F3430),""[^A-Za-z0-9]"",""""))"),"daikin_fxzq32bvm6")</f>
        <v>daikin_fxzq32bvm6</v>
      </c>
      <c r="BG3430" s="275" t="str">
        <f>IFERROR(__xludf.DUMMYFUNCTION("upper(Regexreplace(to_text(E3430),""[^A-Za-z0-9]"","""")&amp;""-""&amp;Regexreplace(to_text(F3430),""[^A-Za-z0-9]"",""""))"),"DAIKIN-FXZQ32BVM6")</f>
        <v>DAIKIN-FXZQ32BVM6</v>
      </c>
    </row>
    <row r="3431" ht="30.0" customHeight="1">
      <c r="A3431" s="328">
        <v>2690.0</v>
      </c>
      <c r="B3431" s="425" t="s">
        <v>670</v>
      </c>
      <c r="C3431" s="257" t="s">
        <v>10605</v>
      </c>
      <c r="D3431" s="173" t="s">
        <v>10606</v>
      </c>
      <c r="E3431" s="174" t="s">
        <v>9289</v>
      </c>
      <c r="F3431" s="173" t="s">
        <v>9709</v>
      </c>
      <c r="G3431" s="425" t="s">
        <v>673</v>
      </c>
      <c r="H3431" s="425" t="s">
        <v>2863</v>
      </c>
      <c r="I3431" s="258" t="s">
        <v>9445</v>
      </c>
      <c r="J3431" s="259" t="s">
        <v>1453</v>
      </c>
      <c r="K3431" s="260" t="s">
        <v>1509</v>
      </c>
      <c r="L3431" s="442"/>
      <c r="M3431" s="426"/>
      <c r="N3431" s="173" t="s">
        <v>679</v>
      </c>
      <c r="O3431" s="173" t="s">
        <v>225</v>
      </c>
      <c r="P3431" s="262" t="str">
        <f t="shared" si="1"/>
        <v>IN-BLR-ANANTA-FAN-379_11</v>
      </c>
      <c r="Q3431" s="173" t="s">
        <v>10607</v>
      </c>
      <c r="R3431" s="425" t="str">
        <f>IFS(C3431="","",C3431="n/a","N/A",LEN(C3431),Concatenate("{",char(34),"asset",char(34),":{",char(34),"guid",char(34),":",char(34),Q3431,char(34),",",char(34),"site",char(34),":",char(34),LOWER('2-Building'!$B$4),char(34),",",char(34),"name",char(34),":",char(34),LOWER(C3431),char(34),"}}"))</f>
        <v>{"asset":{"guid":"uuid://d87a33e6-5f30-49d2-9e6f-b7dbbbd8b515","site":"in-blr-ananta","name":"fan-379"}}</v>
      </c>
      <c r="S3431" s="369" t="s">
        <v>2866</v>
      </c>
      <c r="T3431" s="427"/>
      <c r="U3431" s="427"/>
      <c r="V3431" s="428"/>
      <c r="W3431" s="429"/>
      <c r="X3431" s="430"/>
      <c r="Y3431" s="33" t="s">
        <v>8076</v>
      </c>
      <c r="Z3431" s="430"/>
      <c r="AA3431" s="430"/>
      <c r="AB3431" s="258">
        <v>180.0</v>
      </c>
      <c r="AC3431" s="430"/>
      <c r="AD3431" s="426"/>
      <c r="AE3431" s="428"/>
      <c r="AF3431" s="431"/>
      <c r="AG3431" s="432" t="str">
        <f>IFS(LEN(AF3431)=17,LOWER('2-Building'!$B$4 &amp; "-" &amp; C3431), AF3431="N/A", "N/A", LEN(AF3431)=0,"")</f>
        <v/>
      </c>
      <c r="AH3431" s="430"/>
      <c r="AI3431" s="430"/>
      <c r="AJ3431" s="430"/>
      <c r="AK3431" s="430"/>
      <c r="AL3431" s="430"/>
      <c r="AM3431" s="433"/>
      <c r="AN3431" s="430"/>
      <c r="AO3431" s="430"/>
      <c r="AP3431" s="430"/>
      <c r="AQ3431" s="430"/>
      <c r="AR3431" s="430"/>
      <c r="AS3431" s="430"/>
      <c r="AT3431" s="430"/>
      <c r="AU3431" s="426"/>
      <c r="AV3431" s="174"/>
      <c r="AW3431" s="269" t="s">
        <v>1759</v>
      </c>
      <c r="AX3431" s="269" t="s">
        <v>2869</v>
      </c>
      <c r="AY3431" s="270" t="s">
        <v>695</v>
      </c>
      <c r="AZ3431" s="435"/>
      <c r="BA3431" s="173">
        <v>10.0</v>
      </c>
      <c r="BB3431" s="434"/>
      <c r="BC3431" s="434"/>
      <c r="BD3431" s="308" t="s">
        <v>1844</v>
      </c>
      <c r="BE3431" s="436"/>
      <c r="BF3431" s="274" t="str">
        <f>IFERROR(__xludf.DUMMYFUNCTION("LOWER(Regexreplace(to_text(E3431),""[^A-Za-z0-9]"","""")&amp;""_""&amp;Regexreplace(to_text(F3431),""[^A-Za-z0-9]"",""""))"),"daikin_fxzq32bvm6")</f>
        <v>daikin_fxzq32bvm6</v>
      </c>
      <c r="BG3431" s="275" t="str">
        <f>IFERROR(__xludf.DUMMYFUNCTION("upper(Regexreplace(to_text(E3431),""[^A-Za-z0-9]"","""")&amp;""-""&amp;Regexreplace(to_text(F3431),""[^A-Za-z0-9]"",""""))"),"DAIKIN-FXZQ32BVM6")</f>
        <v>DAIKIN-FXZQ32BVM6</v>
      </c>
    </row>
    <row r="3432" ht="30.0" customHeight="1">
      <c r="A3432" s="328">
        <v>2690.0</v>
      </c>
      <c r="B3432" s="425" t="s">
        <v>670</v>
      </c>
      <c r="C3432" s="257" t="s">
        <v>10608</v>
      </c>
      <c r="D3432" s="173" t="s">
        <v>10609</v>
      </c>
      <c r="E3432" s="174" t="s">
        <v>9289</v>
      </c>
      <c r="F3432" s="173" t="s">
        <v>9709</v>
      </c>
      <c r="G3432" s="425" t="s">
        <v>673</v>
      </c>
      <c r="H3432" s="425" t="s">
        <v>2863</v>
      </c>
      <c r="I3432" s="258" t="s">
        <v>9445</v>
      </c>
      <c r="J3432" s="259" t="s">
        <v>1453</v>
      </c>
      <c r="K3432" s="260" t="s">
        <v>1509</v>
      </c>
      <c r="L3432" s="442"/>
      <c r="M3432" s="426"/>
      <c r="N3432" s="173" t="s">
        <v>679</v>
      </c>
      <c r="O3432" s="173" t="s">
        <v>225</v>
      </c>
      <c r="P3432" s="262" t="str">
        <f t="shared" si="1"/>
        <v>IN-BLR-ANANTA-FAN-380_11</v>
      </c>
      <c r="Q3432" s="173" t="s">
        <v>10610</v>
      </c>
      <c r="R3432" s="425" t="str">
        <f>IFS(C3432="","",C3432="n/a","N/A",LEN(C3432),Concatenate("{",char(34),"asset",char(34),":{",char(34),"guid",char(34),":",char(34),Q3432,char(34),",",char(34),"site",char(34),":",char(34),LOWER('2-Building'!$B$4),char(34),",",char(34),"name",char(34),":",char(34),LOWER(C3432),char(34),"}}"))</f>
        <v>{"asset":{"guid":"uuid://f16894da-c444-419e-8859-75de83ea27a8","site":"in-blr-ananta","name":"fan-380"}}</v>
      </c>
      <c r="S3432" s="369" t="s">
        <v>2866</v>
      </c>
      <c r="T3432" s="427"/>
      <c r="U3432" s="427"/>
      <c r="V3432" s="428"/>
      <c r="W3432" s="429"/>
      <c r="X3432" s="430"/>
      <c r="Y3432" s="33" t="s">
        <v>8076</v>
      </c>
      <c r="Z3432" s="430"/>
      <c r="AA3432" s="430"/>
      <c r="AB3432" s="258">
        <v>181.0</v>
      </c>
      <c r="AC3432" s="430"/>
      <c r="AD3432" s="426"/>
      <c r="AE3432" s="428"/>
      <c r="AF3432" s="431"/>
      <c r="AG3432" s="432" t="str">
        <f>IFS(LEN(AF3432)=17,LOWER('2-Building'!$B$4 &amp; "-" &amp; C3432), AF3432="N/A", "N/A", LEN(AF3432)=0,"")</f>
        <v/>
      </c>
      <c r="AH3432" s="430"/>
      <c r="AI3432" s="430"/>
      <c r="AJ3432" s="430"/>
      <c r="AK3432" s="430"/>
      <c r="AL3432" s="430"/>
      <c r="AM3432" s="433"/>
      <c r="AN3432" s="430"/>
      <c r="AO3432" s="430"/>
      <c r="AP3432" s="430"/>
      <c r="AQ3432" s="430"/>
      <c r="AR3432" s="430"/>
      <c r="AS3432" s="430"/>
      <c r="AT3432" s="430"/>
      <c r="AU3432" s="426"/>
      <c r="AV3432" s="174"/>
      <c r="AW3432" s="269" t="s">
        <v>1759</v>
      </c>
      <c r="AX3432" s="269" t="s">
        <v>2869</v>
      </c>
      <c r="AY3432" s="270" t="s">
        <v>695</v>
      </c>
      <c r="AZ3432" s="435"/>
      <c r="BA3432" s="173">
        <v>10.0</v>
      </c>
      <c r="BB3432" s="434"/>
      <c r="BC3432" s="434"/>
      <c r="BD3432" s="308" t="s">
        <v>1844</v>
      </c>
      <c r="BE3432" s="436"/>
      <c r="BF3432" s="274" t="str">
        <f>IFERROR(__xludf.DUMMYFUNCTION("LOWER(Regexreplace(to_text(E3432),""[^A-Za-z0-9]"","""")&amp;""_""&amp;Regexreplace(to_text(F3432),""[^A-Za-z0-9]"",""""))"),"daikin_fxzq32bvm6")</f>
        <v>daikin_fxzq32bvm6</v>
      </c>
      <c r="BG3432" s="275" t="str">
        <f>IFERROR(__xludf.DUMMYFUNCTION("upper(Regexreplace(to_text(E3432),""[^A-Za-z0-9]"","""")&amp;""-""&amp;Regexreplace(to_text(F3432),""[^A-Za-z0-9]"",""""))"),"DAIKIN-FXZQ32BVM6")</f>
        <v>DAIKIN-FXZQ32BVM6</v>
      </c>
    </row>
    <row r="3433" ht="30.0" customHeight="1">
      <c r="A3433" s="425">
        <v>2690.0</v>
      </c>
      <c r="B3433" s="425" t="s">
        <v>670</v>
      </c>
      <c r="C3433" s="257" t="s">
        <v>10611</v>
      </c>
      <c r="D3433" s="173" t="s">
        <v>10612</v>
      </c>
      <c r="E3433" s="174" t="s">
        <v>9097</v>
      </c>
      <c r="F3433" s="173" t="s">
        <v>2862</v>
      </c>
      <c r="G3433" s="425" t="s">
        <v>673</v>
      </c>
      <c r="H3433" s="425" t="s">
        <v>2863</v>
      </c>
      <c r="I3433" s="258" t="s">
        <v>9445</v>
      </c>
      <c r="J3433" s="259" t="s">
        <v>1453</v>
      </c>
      <c r="K3433" s="260" t="s">
        <v>1509</v>
      </c>
      <c r="L3433" s="442"/>
      <c r="M3433" s="426"/>
      <c r="N3433" s="173" t="s">
        <v>679</v>
      </c>
      <c r="O3433" s="173" t="s">
        <v>225</v>
      </c>
      <c r="P3433" s="262" t="str">
        <f t="shared" si="1"/>
        <v>IN-BLR-ANANTA-FAN-381_11</v>
      </c>
      <c r="Q3433" s="173" t="s">
        <v>10613</v>
      </c>
      <c r="R3433" s="433" t="str">
        <f>IFS(C3433="","",C3433="n/a","N/A",LEN(C3433),Concatenate("{",char(34),"asset",char(34),":{",char(34),"guid",char(34),":",char(34),Q3433,char(34),",",char(34),"site",char(34),":",char(34),LOWER('2-Building'!$B$4),char(34),",",char(34),"name",char(34),":",char(34),LOWER(C3433),char(34),"}}"))</f>
        <v>{"asset":{"guid":"uuid://b1b107af-ede4-40d7-a2a8-e89c6cefb85e","site":"in-blr-ananta","name":"fan-381"}}</v>
      </c>
      <c r="S3433" s="369" t="s">
        <v>2866</v>
      </c>
      <c r="T3433" s="427"/>
      <c r="U3433" s="427"/>
      <c r="V3433" s="428"/>
      <c r="W3433" s="429"/>
      <c r="X3433" s="430"/>
      <c r="Y3433" s="33" t="s">
        <v>8076</v>
      </c>
      <c r="Z3433" s="430"/>
      <c r="AA3433" s="430"/>
      <c r="AB3433" s="258">
        <v>182.0</v>
      </c>
      <c r="AC3433" s="430"/>
      <c r="AD3433" s="426"/>
      <c r="AE3433" s="428"/>
      <c r="AF3433" s="431"/>
      <c r="AG3433" s="432" t="str">
        <f>IFS(LEN(AF3433)=17,LOWER('2-Building'!$B$4 &amp; "-" &amp; C3433), AF3433="N/A", "N/A", LEN(AF3433)=0,"")</f>
        <v/>
      </c>
      <c r="AH3433" s="430"/>
      <c r="AI3433" s="430"/>
      <c r="AJ3433" s="430"/>
      <c r="AK3433" s="430"/>
      <c r="AL3433" s="430"/>
      <c r="AM3433" s="433"/>
      <c r="AN3433" s="430"/>
      <c r="AO3433" s="430"/>
      <c r="AP3433" s="430"/>
      <c r="AQ3433" s="430"/>
      <c r="AR3433" s="430"/>
      <c r="AS3433" s="430"/>
      <c r="AT3433" s="430"/>
      <c r="AU3433" s="426"/>
      <c r="AV3433" s="174"/>
      <c r="AW3433" s="269" t="s">
        <v>1759</v>
      </c>
      <c r="AX3433" s="269" t="s">
        <v>2869</v>
      </c>
      <c r="AY3433" s="270" t="s">
        <v>695</v>
      </c>
      <c r="AZ3433" s="435"/>
      <c r="BA3433" s="173">
        <v>10.0</v>
      </c>
      <c r="BB3433" s="434"/>
      <c r="BC3433" s="434"/>
      <c r="BD3433" s="308" t="s">
        <v>1844</v>
      </c>
      <c r="BE3433" s="436"/>
      <c r="BF3433" s="274" t="str">
        <f>IFERROR(__xludf.DUMMYFUNCTION("LOWER(Regexreplace(to_text(E3433),""[^A-Za-z0-9]"","""")&amp;""_""&amp;Regexreplace(to_text(F3433),""[^A-Za-z0-9]"",""""))"),"aquagen_evcbseries")</f>
        <v>aquagen_evcbseries</v>
      </c>
      <c r="BG3433" s="275" t="str">
        <f>IFERROR(__xludf.DUMMYFUNCTION("upper(Regexreplace(to_text(E3433),""[^A-Za-z0-9]"","""")&amp;""-""&amp;Regexreplace(to_text(F3433),""[^A-Za-z0-9]"",""""))"),"AQUAGEN-EVCBSERIES")</f>
        <v>AQUAGEN-EVCBSERIES</v>
      </c>
    </row>
    <row r="3434" ht="30.0" customHeight="1">
      <c r="A3434" s="425">
        <v>2690.0</v>
      </c>
      <c r="B3434" s="425" t="s">
        <v>670</v>
      </c>
      <c r="C3434" s="257" t="s">
        <v>10614</v>
      </c>
      <c r="D3434" s="173" t="s">
        <v>10615</v>
      </c>
      <c r="E3434" s="174" t="s">
        <v>9097</v>
      </c>
      <c r="F3434" s="173" t="s">
        <v>2862</v>
      </c>
      <c r="G3434" s="425" t="s">
        <v>673</v>
      </c>
      <c r="H3434" s="425" t="s">
        <v>2863</v>
      </c>
      <c r="I3434" s="258" t="s">
        <v>9445</v>
      </c>
      <c r="J3434" s="259" t="s">
        <v>1453</v>
      </c>
      <c r="K3434" s="260" t="s">
        <v>1509</v>
      </c>
      <c r="L3434" s="442"/>
      <c r="M3434" s="426"/>
      <c r="N3434" s="173" t="s">
        <v>679</v>
      </c>
      <c r="O3434" s="173" t="s">
        <v>225</v>
      </c>
      <c r="P3434" s="262" t="str">
        <f t="shared" si="1"/>
        <v>IN-BLR-ANANTA-FAN-382_11</v>
      </c>
      <c r="Q3434" s="173" t="s">
        <v>10616</v>
      </c>
      <c r="R3434" s="425" t="str">
        <f>IFS(C3434="","",C3434="n/a","N/A",LEN(C3434),Concatenate("{",char(34),"asset",char(34),":{",char(34),"guid",char(34),":",char(34),Q3434,char(34),",",char(34),"site",char(34),":",char(34),LOWER('2-Building'!$B$4),char(34),",",char(34),"name",char(34),":",char(34),LOWER(C3434),char(34),"}}"))</f>
        <v>{"asset":{"guid":"uuid://fa83c43b-8f7a-417b-b420-046d9ff8318e","site":"in-blr-ananta","name":"fan-382"}}</v>
      </c>
      <c r="S3434" s="369" t="s">
        <v>2866</v>
      </c>
      <c r="T3434" s="427"/>
      <c r="U3434" s="427"/>
      <c r="V3434" s="428"/>
      <c r="W3434" s="429"/>
      <c r="X3434" s="430"/>
      <c r="Y3434" s="33" t="s">
        <v>8076</v>
      </c>
      <c r="Z3434" s="430"/>
      <c r="AA3434" s="430"/>
      <c r="AB3434" s="258">
        <v>183.0</v>
      </c>
      <c r="AC3434" s="430"/>
      <c r="AD3434" s="426"/>
      <c r="AE3434" s="428"/>
      <c r="AF3434" s="431"/>
      <c r="AG3434" s="432" t="str">
        <f>IFS(LEN(AF3434)=17,LOWER('2-Building'!$B$4 &amp; "-" &amp; C3434), AF3434="N/A", "N/A", LEN(AF3434)=0,"")</f>
        <v/>
      </c>
      <c r="AH3434" s="430"/>
      <c r="AI3434" s="430"/>
      <c r="AJ3434" s="430"/>
      <c r="AK3434" s="430"/>
      <c r="AL3434" s="430"/>
      <c r="AM3434" s="433"/>
      <c r="AN3434" s="430"/>
      <c r="AO3434" s="430"/>
      <c r="AP3434" s="430"/>
      <c r="AQ3434" s="430"/>
      <c r="AR3434" s="430"/>
      <c r="AS3434" s="430"/>
      <c r="AT3434" s="430"/>
      <c r="AU3434" s="426"/>
      <c r="AV3434" s="174"/>
      <c r="AW3434" s="269" t="s">
        <v>1759</v>
      </c>
      <c r="AX3434" s="269" t="s">
        <v>2869</v>
      </c>
      <c r="AY3434" s="270" t="s">
        <v>695</v>
      </c>
      <c r="AZ3434" s="435"/>
      <c r="BA3434" s="173">
        <v>10.0</v>
      </c>
      <c r="BB3434" s="434"/>
      <c r="BC3434" s="434"/>
      <c r="BD3434" s="308" t="s">
        <v>1844</v>
      </c>
      <c r="BE3434" s="436"/>
      <c r="BF3434" s="274" t="str">
        <f>IFERROR(__xludf.DUMMYFUNCTION("LOWER(Regexreplace(to_text(E3434),""[^A-Za-z0-9]"","""")&amp;""_""&amp;Regexreplace(to_text(F3434),""[^A-Za-z0-9]"",""""))"),"aquagen_evcbseries")</f>
        <v>aquagen_evcbseries</v>
      </c>
      <c r="BG3434" s="275" t="str">
        <f>IFERROR(__xludf.DUMMYFUNCTION("upper(Regexreplace(to_text(E3434),""[^A-Za-z0-9]"","""")&amp;""-""&amp;Regexreplace(to_text(F3434),""[^A-Za-z0-9]"",""""))"),"AQUAGEN-EVCBSERIES")</f>
        <v>AQUAGEN-EVCBSERIES</v>
      </c>
    </row>
    <row r="3435" ht="30.0" customHeight="1">
      <c r="A3435" s="237">
        <v>2689.0</v>
      </c>
      <c r="B3435" s="425" t="s">
        <v>670</v>
      </c>
      <c r="C3435" s="257" t="s">
        <v>10617</v>
      </c>
      <c r="D3435" s="173" t="s">
        <v>10618</v>
      </c>
      <c r="E3435" s="174" t="s">
        <v>2861</v>
      </c>
      <c r="F3435" s="173" t="s">
        <v>2862</v>
      </c>
      <c r="G3435" s="425" t="s">
        <v>673</v>
      </c>
      <c r="H3435" s="425" t="s">
        <v>2863</v>
      </c>
      <c r="I3435" s="258" t="s">
        <v>9445</v>
      </c>
      <c r="J3435" s="259" t="s">
        <v>1453</v>
      </c>
      <c r="K3435" s="260" t="s">
        <v>1509</v>
      </c>
      <c r="L3435" s="442"/>
      <c r="M3435" s="426"/>
      <c r="N3435" s="173" t="s">
        <v>679</v>
      </c>
      <c r="O3435" s="173" t="s">
        <v>225</v>
      </c>
      <c r="P3435" s="262" t="str">
        <f t="shared" si="1"/>
        <v>IN-BLR-ANANTA-FAN-383_11</v>
      </c>
      <c r="Q3435" s="173" t="s">
        <v>10619</v>
      </c>
      <c r="R3435" s="425" t="str">
        <f>IFS(C3435="","",C3435="n/a","N/A",LEN(C3435),Concatenate("{",char(34),"asset",char(34),":{",char(34),"guid",char(34),":",char(34),Q3435,char(34),",",char(34),"site",char(34),":",char(34),LOWER('2-Building'!$B$4),char(34),",",char(34),"name",char(34),":",char(34),LOWER(C3435),char(34),"}}"))</f>
        <v>{"asset":{"guid":"uuid://e3e612e0-7e85-4511-8618-7803809e2860","site":"in-blr-ananta","name":"fan-383"}}</v>
      </c>
      <c r="S3435" s="369" t="s">
        <v>2866</v>
      </c>
      <c r="T3435" s="427"/>
      <c r="U3435" s="427"/>
      <c r="V3435" s="428"/>
      <c r="W3435" s="429"/>
      <c r="X3435" s="430"/>
      <c r="Y3435" s="33" t="s">
        <v>8076</v>
      </c>
      <c r="Z3435" s="430"/>
      <c r="AA3435" s="430"/>
      <c r="AB3435" s="258">
        <v>184.0</v>
      </c>
      <c r="AC3435" s="430"/>
      <c r="AD3435" s="426"/>
      <c r="AE3435" s="428"/>
      <c r="AF3435" s="431"/>
      <c r="AG3435" s="432" t="str">
        <f>IFS(LEN(AF3435)=17,LOWER('2-Building'!$B$4 &amp; "-" &amp; C3435), AF3435="N/A", "N/A", LEN(AF3435)=0,"")</f>
        <v/>
      </c>
      <c r="AH3435" s="430"/>
      <c r="AI3435" s="430"/>
      <c r="AJ3435" s="430"/>
      <c r="AK3435" s="430"/>
      <c r="AL3435" s="430"/>
      <c r="AM3435" s="433"/>
      <c r="AN3435" s="430"/>
      <c r="AO3435" s="430"/>
      <c r="AP3435" s="430"/>
      <c r="AQ3435" s="430"/>
      <c r="AR3435" s="430"/>
      <c r="AS3435" s="430"/>
      <c r="AT3435" s="430"/>
      <c r="AU3435" s="426"/>
      <c r="AV3435" s="174"/>
      <c r="AW3435" s="269" t="s">
        <v>1759</v>
      </c>
      <c r="AX3435" s="269" t="s">
        <v>2869</v>
      </c>
      <c r="AY3435" s="270" t="s">
        <v>695</v>
      </c>
      <c r="AZ3435" s="435"/>
      <c r="BA3435" s="173">
        <v>10.0</v>
      </c>
      <c r="BB3435" s="434"/>
      <c r="BC3435" s="434"/>
      <c r="BD3435" s="308" t="s">
        <v>1844</v>
      </c>
      <c r="BE3435" s="436"/>
      <c r="BF3435" s="274" t="str">
        <f>IFERROR(__xludf.DUMMYFUNCTION("LOWER(Regexreplace(to_text(E3435),""[^A-Za-z0-9]"","""")&amp;""_""&amp;Regexreplace(to_text(F3435),""[^A-Za-z0-9]"",""""))"),"neptronic_evcbseries")</f>
        <v>neptronic_evcbseries</v>
      </c>
      <c r="BG3435" s="275" t="str">
        <f>IFERROR(__xludf.DUMMYFUNCTION("upper(Regexreplace(to_text(E3435),""[^A-Za-z0-9]"","""")&amp;""-""&amp;Regexreplace(to_text(F3435),""[^A-Za-z0-9]"",""""))"),"NEPTRONIC-EVCBSERIES")</f>
        <v>NEPTRONIC-EVCBSERIES</v>
      </c>
    </row>
    <row r="3436" ht="30.0" customHeight="1">
      <c r="A3436" s="237">
        <v>2691.0</v>
      </c>
      <c r="B3436" s="425" t="s">
        <v>670</v>
      </c>
      <c r="C3436" s="257" t="s">
        <v>10620</v>
      </c>
      <c r="D3436" s="173" t="s">
        <v>10621</v>
      </c>
      <c r="E3436" s="174" t="s">
        <v>2861</v>
      </c>
      <c r="F3436" s="173" t="s">
        <v>2862</v>
      </c>
      <c r="G3436" s="425" t="s">
        <v>673</v>
      </c>
      <c r="H3436" s="425" t="s">
        <v>2863</v>
      </c>
      <c r="I3436" s="258" t="s">
        <v>9445</v>
      </c>
      <c r="J3436" s="259" t="s">
        <v>1453</v>
      </c>
      <c r="K3436" s="260" t="s">
        <v>1509</v>
      </c>
      <c r="L3436" s="442"/>
      <c r="M3436" s="426"/>
      <c r="N3436" s="173" t="s">
        <v>679</v>
      </c>
      <c r="O3436" s="173" t="s">
        <v>225</v>
      </c>
      <c r="P3436" s="262" t="str">
        <f t="shared" si="1"/>
        <v>IN-BLR-ANANTA-FAN-384_11</v>
      </c>
      <c r="Q3436" s="173" t="s">
        <v>10622</v>
      </c>
      <c r="R3436" s="425" t="str">
        <f>IFS(C3436="","",C3436="n/a","N/A",LEN(C3436),Concatenate("{",char(34),"asset",char(34),":{",char(34),"guid",char(34),":",char(34),Q3436,char(34),",",char(34),"site",char(34),":",char(34),LOWER('2-Building'!$B$4),char(34),",",char(34),"name",char(34),":",char(34),LOWER(C3436),char(34),"}}"))</f>
        <v>{"asset":{"guid":"uuid://fabb3899-f5d6-4e1a-90c1-cc4be8423848","site":"in-blr-ananta","name":"fan-384"}}</v>
      </c>
      <c r="S3436" s="369" t="s">
        <v>2866</v>
      </c>
      <c r="T3436" s="427"/>
      <c r="U3436" s="427"/>
      <c r="V3436" s="428"/>
      <c r="W3436" s="429"/>
      <c r="X3436" s="430"/>
      <c r="Y3436" s="33" t="s">
        <v>8076</v>
      </c>
      <c r="Z3436" s="430"/>
      <c r="AA3436" s="430"/>
      <c r="AB3436" s="258">
        <v>185.0</v>
      </c>
      <c r="AC3436" s="430"/>
      <c r="AD3436" s="426"/>
      <c r="AE3436" s="428"/>
      <c r="AF3436" s="431"/>
      <c r="AG3436" s="432" t="str">
        <f>IFS(LEN(AF3436)=17,LOWER('2-Building'!$B$4 &amp; "-" &amp; C3436), AF3436="N/A", "N/A", LEN(AF3436)=0,"")</f>
        <v/>
      </c>
      <c r="AH3436" s="430"/>
      <c r="AI3436" s="430"/>
      <c r="AJ3436" s="430"/>
      <c r="AK3436" s="430"/>
      <c r="AL3436" s="430"/>
      <c r="AM3436" s="433"/>
      <c r="AN3436" s="430"/>
      <c r="AO3436" s="430"/>
      <c r="AP3436" s="430"/>
      <c r="AQ3436" s="430"/>
      <c r="AR3436" s="430"/>
      <c r="AS3436" s="430"/>
      <c r="AT3436" s="430"/>
      <c r="AU3436" s="426"/>
      <c r="AV3436" s="174"/>
      <c r="AW3436" s="269" t="s">
        <v>1759</v>
      </c>
      <c r="AX3436" s="269" t="s">
        <v>2869</v>
      </c>
      <c r="AY3436" s="270" t="s">
        <v>695</v>
      </c>
      <c r="AZ3436" s="435"/>
      <c r="BA3436" s="173">
        <v>10.0</v>
      </c>
      <c r="BB3436" s="434"/>
      <c r="BC3436" s="434"/>
      <c r="BD3436" s="308" t="s">
        <v>1844</v>
      </c>
      <c r="BE3436" s="436"/>
      <c r="BF3436" s="274" t="str">
        <f>IFERROR(__xludf.DUMMYFUNCTION("LOWER(Regexreplace(to_text(E3436),""[^A-Za-z0-9]"","""")&amp;""_""&amp;Regexreplace(to_text(F3436),""[^A-Za-z0-9]"",""""))"),"neptronic_evcbseries")</f>
        <v>neptronic_evcbseries</v>
      </c>
      <c r="BG3436" s="275" t="str">
        <f>IFERROR(__xludf.DUMMYFUNCTION("upper(Regexreplace(to_text(E3436),""[^A-Za-z0-9]"","""")&amp;""-""&amp;Regexreplace(to_text(F3436),""[^A-Za-z0-9]"",""""))"),"NEPTRONIC-EVCBSERIES")</f>
        <v>NEPTRONIC-EVCBSERIES</v>
      </c>
    </row>
    <row r="3437" ht="30.0" customHeight="1">
      <c r="A3437" s="328">
        <v>2690.0</v>
      </c>
      <c r="B3437" s="425" t="s">
        <v>670</v>
      </c>
      <c r="C3437" s="257" t="s">
        <v>10623</v>
      </c>
      <c r="D3437" s="173" t="s">
        <v>10624</v>
      </c>
      <c r="E3437" s="174" t="s">
        <v>2861</v>
      </c>
      <c r="F3437" s="173" t="s">
        <v>2862</v>
      </c>
      <c r="G3437" s="425" t="s">
        <v>673</v>
      </c>
      <c r="H3437" s="425" t="s">
        <v>2863</v>
      </c>
      <c r="I3437" s="258" t="s">
        <v>9445</v>
      </c>
      <c r="J3437" s="259" t="s">
        <v>1272</v>
      </c>
      <c r="K3437" s="260" t="s">
        <v>10625</v>
      </c>
      <c r="L3437" s="442"/>
      <c r="M3437" s="426"/>
      <c r="N3437" s="173" t="s">
        <v>679</v>
      </c>
      <c r="O3437" s="173" t="s">
        <v>225</v>
      </c>
      <c r="P3437" s="262" t="str">
        <f t="shared" si="1"/>
        <v>IN-BLR-ANANTA-FAN-385_8</v>
      </c>
      <c r="Q3437" s="173" t="s">
        <v>10626</v>
      </c>
      <c r="R3437" s="425" t="str">
        <f>IFS(C3437="","",C3437="n/a","N/A",LEN(C3437),Concatenate("{",char(34),"asset",char(34),":{",char(34),"guid",char(34),":",char(34),Q3437,char(34),",",char(34),"site",char(34),":",char(34),LOWER('2-Building'!$B$4),char(34),",",char(34),"name",char(34),":",char(34),LOWER(C3437),char(34),"}}"))</f>
        <v>{"asset":{"guid":"uuid://1a0e8429-d096-4f87-82c7-46a8a61cb568","site":"in-blr-ananta","name":"fan-385"}}</v>
      </c>
      <c r="S3437" s="369" t="s">
        <v>2866</v>
      </c>
      <c r="T3437" s="427"/>
      <c r="U3437" s="427"/>
      <c r="V3437" s="428"/>
      <c r="W3437" s="429"/>
      <c r="X3437" s="430"/>
      <c r="Y3437" s="33" t="s">
        <v>8076</v>
      </c>
      <c r="Z3437" s="430"/>
      <c r="AA3437" s="430"/>
      <c r="AB3437" s="258">
        <v>148.0</v>
      </c>
      <c r="AC3437" s="430"/>
      <c r="AD3437" s="426"/>
      <c r="AE3437" s="428"/>
      <c r="AF3437" s="431"/>
      <c r="AG3437" s="432" t="str">
        <f>IFS(LEN(AF3437)=17,LOWER('2-Building'!$B$4 &amp; "-" &amp; C3437), AF3437="N/A", "N/A", LEN(AF3437)=0,"")</f>
        <v/>
      </c>
      <c r="AH3437" s="430"/>
      <c r="AI3437" s="430"/>
      <c r="AJ3437" s="430"/>
      <c r="AK3437" s="430"/>
      <c r="AL3437" s="430"/>
      <c r="AM3437" s="433"/>
      <c r="AN3437" s="430"/>
      <c r="AO3437" s="430"/>
      <c r="AP3437" s="430"/>
      <c r="AQ3437" s="430"/>
      <c r="AR3437" s="430"/>
      <c r="AS3437" s="430"/>
      <c r="AT3437" s="430"/>
      <c r="AU3437" s="426"/>
      <c r="AV3437" s="174"/>
      <c r="AW3437" s="269" t="s">
        <v>1763</v>
      </c>
      <c r="AX3437" s="269" t="s">
        <v>2869</v>
      </c>
      <c r="AY3437" s="270" t="s">
        <v>695</v>
      </c>
      <c r="AZ3437" s="435"/>
      <c r="BA3437" s="173">
        <v>10.0</v>
      </c>
      <c r="BB3437" s="434"/>
      <c r="BC3437" s="434"/>
      <c r="BD3437" s="308" t="s">
        <v>1844</v>
      </c>
      <c r="BE3437" s="436"/>
      <c r="BF3437" s="274" t="str">
        <f>IFERROR(__xludf.DUMMYFUNCTION("LOWER(Regexreplace(to_text(E3437),""[^A-Za-z0-9]"","""")&amp;""_""&amp;Regexreplace(to_text(F3437),""[^A-Za-z0-9]"",""""))"),"neptronic_evcbseries")</f>
        <v>neptronic_evcbseries</v>
      </c>
      <c r="BG3437" s="275" t="str">
        <f>IFERROR(__xludf.DUMMYFUNCTION("upper(Regexreplace(to_text(E3437),""[^A-Za-z0-9]"","""")&amp;""-""&amp;Regexreplace(to_text(F3437),""[^A-Za-z0-9]"",""""))"),"NEPTRONIC-EVCBSERIES")</f>
        <v>NEPTRONIC-EVCBSERIES</v>
      </c>
    </row>
    <row r="3438" ht="30.0" customHeight="1">
      <c r="A3438" s="425">
        <v>2690.0</v>
      </c>
      <c r="B3438" s="425" t="s">
        <v>670</v>
      </c>
      <c r="C3438" s="257" t="s">
        <v>10627</v>
      </c>
      <c r="D3438" s="173" t="s">
        <v>10628</v>
      </c>
      <c r="E3438" s="174" t="s">
        <v>2861</v>
      </c>
      <c r="F3438" s="173" t="s">
        <v>2862</v>
      </c>
      <c r="G3438" s="425" t="s">
        <v>673</v>
      </c>
      <c r="H3438" s="425" t="s">
        <v>2863</v>
      </c>
      <c r="I3438" s="258" t="s">
        <v>9445</v>
      </c>
      <c r="J3438" s="259" t="s">
        <v>1272</v>
      </c>
      <c r="K3438" s="260" t="s">
        <v>10625</v>
      </c>
      <c r="L3438" s="442"/>
      <c r="M3438" s="426"/>
      <c r="N3438" s="173" t="s">
        <v>679</v>
      </c>
      <c r="O3438" s="173" t="s">
        <v>225</v>
      </c>
      <c r="P3438" s="262" t="str">
        <f t="shared" si="1"/>
        <v>IN-BLR-ANANTA-FAN-386_8</v>
      </c>
      <c r="Q3438" s="173" t="s">
        <v>10629</v>
      </c>
      <c r="R3438" s="433" t="str">
        <f>IFS(C3438="","",C3438="n/a","N/A",LEN(C3438),Concatenate("{",char(34),"asset",char(34),":{",char(34),"guid",char(34),":",char(34),Q3438,char(34),",",char(34),"site",char(34),":",char(34),LOWER('2-Building'!$B$4),char(34),",",char(34),"name",char(34),":",char(34),LOWER(C3438),char(34),"}}"))</f>
        <v>{"asset":{"guid":"uuid://b284c95e-2516-45c9-9423-a35b91e9a74d","site":"in-blr-ananta","name":"fan-386"}}</v>
      </c>
      <c r="S3438" s="369" t="s">
        <v>2866</v>
      </c>
      <c r="T3438" s="427"/>
      <c r="U3438" s="427"/>
      <c r="V3438" s="428"/>
      <c r="W3438" s="429"/>
      <c r="X3438" s="430"/>
      <c r="Y3438" s="33" t="s">
        <v>8076</v>
      </c>
      <c r="Z3438" s="430"/>
      <c r="AA3438" s="430"/>
      <c r="AB3438" s="258">
        <v>149.0</v>
      </c>
      <c r="AC3438" s="430"/>
      <c r="AD3438" s="426"/>
      <c r="AE3438" s="428"/>
      <c r="AF3438" s="431"/>
      <c r="AG3438" s="432" t="str">
        <f>IFS(LEN(AF3438)=17,LOWER('2-Building'!$B$4 &amp; "-" &amp; C3438), AF3438="N/A", "N/A", LEN(AF3438)=0,"")</f>
        <v/>
      </c>
      <c r="AH3438" s="430"/>
      <c r="AI3438" s="430"/>
      <c r="AJ3438" s="430"/>
      <c r="AK3438" s="430"/>
      <c r="AL3438" s="430"/>
      <c r="AM3438" s="433"/>
      <c r="AN3438" s="430"/>
      <c r="AO3438" s="430"/>
      <c r="AP3438" s="430"/>
      <c r="AQ3438" s="430"/>
      <c r="AR3438" s="430"/>
      <c r="AS3438" s="430"/>
      <c r="AT3438" s="430"/>
      <c r="AU3438" s="426"/>
      <c r="AV3438" s="174"/>
      <c r="AW3438" s="269" t="s">
        <v>1763</v>
      </c>
      <c r="AX3438" s="269" t="s">
        <v>2869</v>
      </c>
      <c r="AY3438" s="270" t="s">
        <v>695</v>
      </c>
      <c r="AZ3438" s="435"/>
      <c r="BA3438" s="173">
        <v>10.0</v>
      </c>
      <c r="BB3438" s="434"/>
      <c r="BC3438" s="434"/>
      <c r="BD3438" s="308" t="s">
        <v>1844</v>
      </c>
      <c r="BE3438" s="436"/>
      <c r="BF3438" s="274" t="str">
        <f>IFERROR(__xludf.DUMMYFUNCTION("LOWER(Regexreplace(to_text(E3438),""[^A-Za-z0-9]"","""")&amp;""_""&amp;Regexreplace(to_text(F3438),""[^A-Za-z0-9]"",""""))"),"neptronic_evcbseries")</f>
        <v>neptronic_evcbseries</v>
      </c>
      <c r="BG3438" s="275" t="str">
        <f>IFERROR(__xludf.DUMMYFUNCTION("upper(Regexreplace(to_text(E3438),""[^A-Za-z0-9]"","""")&amp;""-""&amp;Regexreplace(to_text(F3438),""[^A-Za-z0-9]"",""""))"),"NEPTRONIC-EVCBSERIES")</f>
        <v>NEPTRONIC-EVCBSERIES</v>
      </c>
    </row>
    <row r="3439" ht="30.0" customHeight="1">
      <c r="A3439" s="328">
        <v>2690.0</v>
      </c>
      <c r="B3439" s="425" t="s">
        <v>670</v>
      </c>
      <c r="C3439" s="257" t="s">
        <v>10630</v>
      </c>
      <c r="D3439" s="173" t="s">
        <v>10631</v>
      </c>
      <c r="E3439" s="174" t="s">
        <v>2861</v>
      </c>
      <c r="F3439" s="173" t="s">
        <v>2862</v>
      </c>
      <c r="G3439" s="425" t="s">
        <v>673</v>
      </c>
      <c r="H3439" s="425" t="s">
        <v>2863</v>
      </c>
      <c r="I3439" s="258" t="s">
        <v>9445</v>
      </c>
      <c r="J3439" s="259" t="s">
        <v>1272</v>
      </c>
      <c r="K3439" s="260" t="s">
        <v>10625</v>
      </c>
      <c r="L3439" s="442"/>
      <c r="M3439" s="426"/>
      <c r="N3439" s="173" t="s">
        <v>679</v>
      </c>
      <c r="O3439" s="173" t="s">
        <v>225</v>
      </c>
      <c r="P3439" s="262" t="str">
        <f t="shared" si="1"/>
        <v>IN-BLR-ANANTA-FAN-387_8</v>
      </c>
      <c r="Q3439" s="173" t="s">
        <v>10632</v>
      </c>
      <c r="R3439" s="425" t="str">
        <f>IFS(C3439="","",C3439="n/a","N/A",LEN(C3439),Concatenate("{",char(34),"asset",char(34),":{",char(34),"guid",char(34),":",char(34),Q3439,char(34),",",char(34),"site",char(34),":",char(34),LOWER('2-Building'!$B$4),char(34),",",char(34),"name",char(34),":",char(34),LOWER(C3439),char(34),"}}"))</f>
        <v>{"asset":{"guid":"uuid://5c6a48bf-438c-45cf-8dd2-4e60dc0362e9","site":"in-blr-ananta","name":"fan-387"}}</v>
      </c>
      <c r="S3439" s="369" t="s">
        <v>2866</v>
      </c>
      <c r="T3439" s="427"/>
      <c r="U3439" s="427"/>
      <c r="V3439" s="428"/>
      <c r="W3439" s="429"/>
      <c r="X3439" s="430"/>
      <c r="Y3439" s="33" t="s">
        <v>8076</v>
      </c>
      <c r="Z3439" s="430"/>
      <c r="AA3439" s="430"/>
      <c r="AB3439" s="258">
        <v>150.0</v>
      </c>
      <c r="AC3439" s="430"/>
      <c r="AD3439" s="426"/>
      <c r="AE3439" s="428"/>
      <c r="AF3439" s="431"/>
      <c r="AG3439" s="432" t="str">
        <f>IFS(LEN(AF3439)=17,LOWER('2-Building'!$B$4 &amp; "-" &amp; C3439), AF3439="N/A", "N/A", LEN(AF3439)=0,"")</f>
        <v/>
      </c>
      <c r="AH3439" s="430"/>
      <c r="AI3439" s="430"/>
      <c r="AJ3439" s="430"/>
      <c r="AK3439" s="430"/>
      <c r="AL3439" s="430"/>
      <c r="AM3439" s="433"/>
      <c r="AN3439" s="430"/>
      <c r="AO3439" s="430"/>
      <c r="AP3439" s="430"/>
      <c r="AQ3439" s="430"/>
      <c r="AR3439" s="430"/>
      <c r="AS3439" s="430"/>
      <c r="AT3439" s="430"/>
      <c r="AU3439" s="426"/>
      <c r="AV3439" s="174"/>
      <c r="AW3439" s="269" t="s">
        <v>1763</v>
      </c>
      <c r="AX3439" s="269" t="s">
        <v>2869</v>
      </c>
      <c r="AY3439" s="270" t="s">
        <v>695</v>
      </c>
      <c r="AZ3439" s="435"/>
      <c r="BA3439" s="173">
        <v>10.0</v>
      </c>
      <c r="BB3439" s="434"/>
      <c r="BC3439" s="434"/>
      <c r="BD3439" s="308" t="s">
        <v>1844</v>
      </c>
      <c r="BE3439" s="436"/>
      <c r="BF3439" s="274" t="str">
        <f>IFERROR(__xludf.DUMMYFUNCTION("LOWER(Regexreplace(to_text(E3439),""[^A-Za-z0-9]"","""")&amp;""_""&amp;Regexreplace(to_text(F3439),""[^A-Za-z0-9]"",""""))"),"neptronic_evcbseries")</f>
        <v>neptronic_evcbseries</v>
      </c>
      <c r="BG3439" s="275" t="str">
        <f>IFERROR(__xludf.DUMMYFUNCTION("upper(Regexreplace(to_text(E3439),""[^A-Za-z0-9]"","""")&amp;""-""&amp;Regexreplace(to_text(F3439),""[^A-Za-z0-9]"",""""))"),"NEPTRONIC-EVCBSERIES")</f>
        <v>NEPTRONIC-EVCBSERIES</v>
      </c>
    </row>
    <row r="3440" ht="30.0" customHeight="1">
      <c r="A3440" s="425">
        <v>2690.0</v>
      </c>
      <c r="B3440" s="425" t="s">
        <v>670</v>
      </c>
      <c r="C3440" s="257" t="s">
        <v>10633</v>
      </c>
      <c r="D3440" s="173" t="s">
        <v>10634</v>
      </c>
      <c r="E3440" s="174" t="s">
        <v>2861</v>
      </c>
      <c r="F3440" s="173" t="s">
        <v>2862</v>
      </c>
      <c r="G3440" s="425" t="s">
        <v>673</v>
      </c>
      <c r="H3440" s="425" t="s">
        <v>2863</v>
      </c>
      <c r="I3440" s="258" t="s">
        <v>9445</v>
      </c>
      <c r="J3440" s="259" t="s">
        <v>1272</v>
      </c>
      <c r="K3440" s="260" t="s">
        <v>10625</v>
      </c>
      <c r="L3440" s="442"/>
      <c r="M3440" s="426"/>
      <c r="N3440" s="173" t="s">
        <v>679</v>
      </c>
      <c r="O3440" s="173" t="s">
        <v>225</v>
      </c>
      <c r="P3440" s="262" t="str">
        <f t="shared" si="1"/>
        <v>IN-BLR-ANANTA-FAN-388_8</v>
      </c>
      <c r="Q3440" s="173" t="s">
        <v>10635</v>
      </c>
      <c r="R3440" s="433" t="str">
        <f>IFS(C3440="","",C3440="n/a","N/A",LEN(C3440),Concatenate("{",char(34),"asset",char(34),":{",char(34),"guid",char(34),":",char(34),Q3440,char(34),",",char(34),"site",char(34),":",char(34),LOWER('2-Building'!$B$4),char(34),",",char(34),"name",char(34),":",char(34),LOWER(C3440),char(34),"}}"))</f>
        <v>{"asset":{"guid":"uuid://e770d2b2-a038-4d31-846d-0be2b387d47b","site":"in-blr-ananta","name":"fan-388"}}</v>
      </c>
      <c r="S3440" s="369" t="s">
        <v>2866</v>
      </c>
      <c r="T3440" s="427"/>
      <c r="U3440" s="427"/>
      <c r="V3440" s="428"/>
      <c r="W3440" s="429"/>
      <c r="X3440" s="430"/>
      <c r="Y3440" s="33" t="s">
        <v>8076</v>
      </c>
      <c r="Z3440" s="430"/>
      <c r="AA3440" s="430"/>
      <c r="AB3440" s="258">
        <v>151.0</v>
      </c>
      <c r="AC3440" s="430"/>
      <c r="AD3440" s="426"/>
      <c r="AE3440" s="428"/>
      <c r="AF3440" s="431"/>
      <c r="AG3440" s="432" t="str">
        <f>IFS(LEN(AF3440)=17,LOWER('2-Building'!$B$4 &amp; "-" &amp; C3440), AF3440="N/A", "N/A", LEN(AF3440)=0,"")</f>
        <v/>
      </c>
      <c r="AH3440" s="430"/>
      <c r="AI3440" s="430"/>
      <c r="AJ3440" s="430"/>
      <c r="AK3440" s="430"/>
      <c r="AL3440" s="430"/>
      <c r="AM3440" s="433"/>
      <c r="AN3440" s="430"/>
      <c r="AO3440" s="430"/>
      <c r="AP3440" s="430"/>
      <c r="AQ3440" s="430"/>
      <c r="AR3440" s="430"/>
      <c r="AS3440" s="430"/>
      <c r="AT3440" s="430"/>
      <c r="AU3440" s="426"/>
      <c r="AV3440" s="174"/>
      <c r="AW3440" s="269" t="s">
        <v>1763</v>
      </c>
      <c r="AX3440" s="269" t="s">
        <v>2869</v>
      </c>
      <c r="AY3440" s="270" t="s">
        <v>695</v>
      </c>
      <c r="AZ3440" s="435"/>
      <c r="BA3440" s="173">
        <v>10.0</v>
      </c>
      <c r="BB3440" s="434"/>
      <c r="BC3440" s="434"/>
      <c r="BD3440" s="308" t="s">
        <v>1844</v>
      </c>
      <c r="BE3440" s="436"/>
      <c r="BF3440" s="274" t="str">
        <f>IFERROR(__xludf.DUMMYFUNCTION("LOWER(Regexreplace(to_text(E3440),""[^A-Za-z0-9]"","""")&amp;""_""&amp;Regexreplace(to_text(F3440),""[^A-Za-z0-9]"",""""))"),"neptronic_evcbseries")</f>
        <v>neptronic_evcbseries</v>
      </c>
      <c r="BG3440" s="275" t="str">
        <f>IFERROR(__xludf.DUMMYFUNCTION("upper(Regexreplace(to_text(E3440),""[^A-Za-z0-9]"","""")&amp;""-""&amp;Regexreplace(to_text(F3440),""[^A-Za-z0-9]"",""""))"),"NEPTRONIC-EVCBSERIES")</f>
        <v>NEPTRONIC-EVCBSERIES</v>
      </c>
    </row>
    <row r="3441" ht="30.0" customHeight="1">
      <c r="A3441" s="425">
        <v>2690.0</v>
      </c>
      <c r="B3441" s="425" t="s">
        <v>670</v>
      </c>
      <c r="C3441" s="257" t="s">
        <v>10636</v>
      </c>
      <c r="D3441" s="173" t="s">
        <v>10637</v>
      </c>
      <c r="E3441" s="174" t="s">
        <v>2861</v>
      </c>
      <c r="F3441" s="173" t="s">
        <v>2862</v>
      </c>
      <c r="G3441" s="425" t="s">
        <v>673</v>
      </c>
      <c r="H3441" s="425" t="s">
        <v>2863</v>
      </c>
      <c r="I3441" s="258" t="s">
        <v>9445</v>
      </c>
      <c r="J3441" s="259" t="s">
        <v>1272</v>
      </c>
      <c r="K3441" s="260" t="s">
        <v>10625</v>
      </c>
      <c r="L3441" s="442"/>
      <c r="M3441" s="426"/>
      <c r="N3441" s="173" t="s">
        <v>679</v>
      </c>
      <c r="O3441" s="173" t="s">
        <v>225</v>
      </c>
      <c r="P3441" s="262" t="str">
        <f t="shared" si="1"/>
        <v>IN-BLR-ANANTA-FAN-389_8</v>
      </c>
      <c r="Q3441" s="173" t="s">
        <v>10638</v>
      </c>
      <c r="R3441" s="425" t="str">
        <f>IFS(C3441="","",C3441="n/a","N/A",LEN(C3441),Concatenate("{",char(34),"asset",char(34),":{",char(34),"guid",char(34),":",char(34),Q3441,char(34),",",char(34),"site",char(34),":",char(34),LOWER('2-Building'!$B$4),char(34),",",char(34),"name",char(34),":",char(34),LOWER(C3441),char(34),"}}"))</f>
        <v>{"asset":{"guid":"uuid://cf93fc2b-69dc-43b2-9d64-70149d8e0aa3","site":"in-blr-ananta","name":"fan-389"}}</v>
      </c>
      <c r="S3441" s="369" t="s">
        <v>2866</v>
      </c>
      <c r="T3441" s="427"/>
      <c r="U3441" s="427"/>
      <c r="V3441" s="428"/>
      <c r="W3441" s="429"/>
      <c r="X3441" s="430"/>
      <c r="Y3441" s="33" t="s">
        <v>8076</v>
      </c>
      <c r="Z3441" s="430"/>
      <c r="AA3441" s="430"/>
      <c r="AB3441" s="258">
        <v>152.0</v>
      </c>
      <c r="AC3441" s="430"/>
      <c r="AD3441" s="426"/>
      <c r="AE3441" s="428"/>
      <c r="AF3441" s="431"/>
      <c r="AG3441" s="432" t="str">
        <f>IFS(LEN(AF3441)=17,LOWER('2-Building'!$B$4 &amp; "-" &amp; C3441), AF3441="N/A", "N/A", LEN(AF3441)=0,"")</f>
        <v/>
      </c>
      <c r="AH3441" s="430"/>
      <c r="AI3441" s="430"/>
      <c r="AJ3441" s="430"/>
      <c r="AK3441" s="430"/>
      <c r="AL3441" s="430"/>
      <c r="AM3441" s="433"/>
      <c r="AN3441" s="430"/>
      <c r="AO3441" s="430"/>
      <c r="AP3441" s="430"/>
      <c r="AQ3441" s="430"/>
      <c r="AR3441" s="430"/>
      <c r="AS3441" s="430"/>
      <c r="AT3441" s="430"/>
      <c r="AU3441" s="426"/>
      <c r="AV3441" s="174"/>
      <c r="AW3441" s="269" t="s">
        <v>1763</v>
      </c>
      <c r="AX3441" s="269" t="s">
        <v>2869</v>
      </c>
      <c r="AY3441" s="270" t="s">
        <v>695</v>
      </c>
      <c r="AZ3441" s="435"/>
      <c r="BA3441" s="173">
        <v>10.0</v>
      </c>
      <c r="BB3441" s="434"/>
      <c r="BC3441" s="434"/>
      <c r="BD3441" s="308" t="s">
        <v>1844</v>
      </c>
      <c r="BE3441" s="436"/>
      <c r="BF3441" s="274" t="str">
        <f>IFERROR(__xludf.DUMMYFUNCTION("LOWER(Regexreplace(to_text(E3441),""[^A-Za-z0-9]"","""")&amp;""_""&amp;Regexreplace(to_text(F3441),""[^A-Za-z0-9]"",""""))"),"neptronic_evcbseries")</f>
        <v>neptronic_evcbseries</v>
      </c>
      <c r="BG3441" s="275" t="str">
        <f>IFERROR(__xludf.DUMMYFUNCTION("upper(Regexreplace(to_text(E3441),""[^A-Za-z0-9]"","""")&amp;""-""&amp;Regexreplace(to_text(F3441),""[^A-Za-z0-9]"",""""))"),"NEPTRONIC-EVCBSERIES")</f>
        <v>NEPTRONIC-EVCBSERIES</v>
      </c>
    </row>
    <row r="3442" ht="30.0" customHeight="1">
      <c r="A3442" s="425">
        <v>2690.0</v>
      </c>
      <c r="B3442" s="425" t="s">
        <v>670</v>
      </c>
      <c r="C3442" s="257" t="s">
        <v>10639</v>
      </c>
      <c r="D3442" s="173" t="s">
        <v>10640</v>
      </c>
      <c r="E3442" s="174" t="s">
        <v>2861</v>
      </c>
      <c r="F3442" s="173" t="s">
        <v>2862</v>
      </c>
      <c r="G3442" s="425" t="s">
        <v>673</v>
      </c>
      <c r="H3442" s="425" t="s">
        <v>2863</v>
      </c>
      <c r="I3442" s="258" t="s">
        <v>9445</v>
      </c>
      <c r="J3442" s="259" t="s">
        <v>1272</v>
      </c>
      <c r="K3442" s="260" t="s">
        <v>10625</v>
      </c>
      <c r="L3442" s="442"/>
      <c r="M3442" s="426"/>
      <c r="N3442" s="173" t="s">
        <v>679</v>
      </c>
      <c r="O3442" s="173" t="s">
        <v>225</v>
      </c>
      <c r="P3442" s="262" t="str">
        <f t="shared" si="1"/>
        <v>IN-BLR-ANANTA-FAN-390_8</v>
      </c>
      <c r="Q3442" s="173" t="s">
        <v>10641</v>
      </c>
      <c r="R3442" s="425" t="str">
        <f>IFS(C3442="","",C3442="n/a","N/A",LEN(C3442),Concatenate("{",char(34),"asset",char(34),":{",char(34),"guid",char(34),":",char(34),Q3442,char(34),",",char(34),"site",char(34),":",char(34),LOWER('2-Building'!$B$4),char(34),",",char(34),"name",char(34),":",char(34),LOWER(C3442),char(34),"}}"))</f>
        <v>{"asset":{"guid":"uuid://0dd54f91-831b-43a8-8fda-4efd83822c6b","site":"in-blr-ananta","name":"fan-390"}}</v>
      </c>
      <c r="S3442" s="369" t="s">
        <v>2866</v>
      </c>
      <c r="T3442" s="427"/>
      <c r="U3442" s="427"/>
      <c r="V3442" s="428"/>
      <c r="W3442" s="429"/>
      <c r="X3442" s="430"/>
      <c r="Y3442" s="33" t="s">
        <v>8076</v>
      </c>
      <c r="Z3442" s="430"/>
      <c r="AA3442" s="430"/>
      <c r="AB3442" s="258">
        <v>153.0</v>
      </c>
      <c r="AC3442" s="430"/>
      <c r="AD3442" s="426"/>
      <c r="AE3442" s="428"/>
      <c r="AF3442" s="431"/>
      <c r="AG3442" s="432"/>
      <c r="AH3442" s="430"/>
      <c r="AI3442" s="430"/>
      <c r="AJ3442" s="430"/>
      <c r="AK3442" s="430"/>
      <c r="AL3442" s="430"/>
      <c r="AM3442" s="433"/>
      <c r="AN3442" s="430"/>
      <c r="AO3442" s="430"/>
      <c r="AP3442" s="430"/>
      <c r="AQ3442" s="430"/>
      <c r="AR3442" s="430"/>
      <c r="AS3442" s="430"/>
      <c r="AT3442" s="430"/>
      <c r="AU3442" s="426"/>
      <c r="AV3442" s="174"/>
      <c r="AW3442" s="269" t="s">
        <v>1763</v>
      </c>
      <c r="AX3442" s="269" t="s">
        <v>2869</v>
      </c>
      <c r="AY3442" s="270" t="s">
        <v>695</v>
      </c>
      <c r="AZ3442" s="435"/>
      <c r="BA3442" s="173">
        <v>10.0</v>
      </c>
      <c r="BB3442" s="434"/>
      <c r="BC3442" s="434"/>
      <c r="BD3442" s="308" t="s">
        <v>1844</v>
      </c>
      <c r="BE3442" s="436"/>
      <c r="BF3442" s="274" t="str">
        <f>IFERROR(__xludf.DUMMYFUNCTION("LOWER(Regexreplace(to_text(E3442),""[^A-Za-z0-9]"","""")&amp;""_""&amp;Regexreplace(to_text(F3442),""[^A-Za-z0-9]"",""""))"),"neptronic_evcbseries")</f>
        <v>neptronic_evcbseries</v>
      </c>
      <c r="BG3442" s="275" t="str">
        <f>IFERROR(__xludf.DUMMYFUNCTION("upper(Regexreplace(to_text(E3442),""[^A-Za-z0-9]"","""")&amp;""-""&amp;Regexreplace(to_text(F3442),""[^A-Za-z0-9]"",""""))"),"NEPTRONIC-EVCBSERIES")</f>
        <v>NEPTRONIC-EVCBSERIES</v>
      </c>
    </row>
    <row r="3443" ht="30.0" customHeight="1">
      <c r="A3443" s="425">
        <v>2690.0</v>
      </c>
      <c r="B3443" s="425" t="s">
        <v>670</v>
      </c>
      <c r="C3443" s="257" t="s">
        <v>10642</v>
      </c>
      <c r="D3443" s="173" t="s">
        <v>10643</v>
      </c>
      <c r="E3443" s="174" t="s">
        <v>2861</v>
      </c>
      <c r="F3443" s="173" t="s">
        <v>2862</v>
      </c>
      <c r="G3443" s="425" t="s">
        <v>673</v>
      </c>
      <c r="H3443" s="425" t="s">
        <v>2863</v>
      </c>
      <c r="I3443" s="258" t="s">
        <v>9445</v>
      </c>
      <c r="J3443" s="259" t="s">
        <v>1333</v>
      </c>
      <c r="K3443" s="260" t="s">
        <v>10644</v>
      </c>
      <c r="L3443" s="442"/>
      <c r="M3443" s="426"/>
      <c r="N3443" s="173" t="s">
        <v>679</v>
      </c>
      <c r="O3443" s="173" t="s">
        <v>225</v>
      </c>
      <c r="P3443" s="262" t="str">
        <f t="shared" si="1"/>
        <v>IN-BLR-ANANTA-FAN-391_9</v>
      </c>
      <c r="Q3443" s="173" t="s">
        <v>10645</v>
      </c>
      <c r="R3443" s="425" t="str">
        <f>IFS(C3443="","",C3443="n/a","N/A",LEN(C3443),Concatenate("{",char(34),"asset",char(34),":{",char(34),"guid",char(34),":",char(34),Q3443,char(34),",",char(34),"site",char(34),":",char(34),LOWER('2-Building'!$B$4),char(34),",",char(34),"name",char(34),":",char(34),LOWER(C3443),char(34),"}}"))</f>
        <v>{"asset":{"guid":"uuid://903b5d5a-fc60-4e4a-8d06-502d9a22b00f","site":"in-blr-ananta","name":"fan-391"}}</v>
      </c>
      <c r="S3443" s="369" t="s">
        <v>2866</v>
      </c>
      <c r="T3443" s="427"/>
      <c r="U3443" s="427"/>
      <c r="V3443" s="428"/>
      <c r="W3443" s="429"/>
      <c r="X3443" s="430"/>
      <c r="Y3443" s="33" t="s">
        <v>8076</v>
      </c>
      <c r="Z3443" s="430"/>
      <c r="AA3443" s="430"/>
      <c r="AB3443" s="258">
        <v>154.0</v>
      </c>
      <c r="AC3443" s="430"/>
      <c r="AD3443" s="426"/>
      <c r="AE3443" s="428"/>
      <c r="AF3443" s="431"/>
      <c r="AG3443" s="432"/>
      <c r="AH3443" s="430"/>
      <c r="AI3443" s="430"/>
      <c r="AJ3443" s="430"/>
      <c r="AK3443" s="430"/>
      <c r="AL3443" s="430"/>
      <c r="AM3443" s="433"/>
      <c r="AN3443" s="430"/>
      <c r="AO3443" s="430"/>
      <c r="AP3443" s="430"/>
      <c r="AQ3443" s="430"/>
      <c r="AR3443" s="430"/>
      <c r="AS3443" s="430"/>
      <c r="AT3443" s="430"/>
      <c r="AU3443" s="426"/>
      <c r="AV3443" s="174"/>
      <c r="AW3443" s="269" t="s">
        <v>1763</v>
      </c>
      <c r="AX3443" s="269" t="s">
        <v>2869</v>
      </c>
      <c r="AY3443" s="270" t="s">
        <v>695</v>
      </c>
      <c r="AZ3443" s="435"/>
      <c r="BA3443" s="173">
        <v>10.0</v>
      </c>
      <c r="BB3443" s="434"/>
      <c r="BC3443" s="434"/>
      <c r="BD3443" s="308" t="s">
        <v>1844</v>
      </c>
      <c r="BE3443" s="436"/>
      <c r="BF3443" s="274" t="str">
        <f>IFERROR(__xludf.DUMMYFUNCTION("LOWER(Regexreplace(to_text(E3443),""[^A-Za-z0-9]"","""")&amp;""_""&amp;Regexreplace(to_text(F3443),""[^A-Za-z0-9]"",""""))"),"neptronic_evcbseries")</f>
        <v>neptronic_evcbseries</v>
      </c>
      <c r="BG3443" s="275" t="str">
        <f>IFERROR(__xludf.DUMMYFUNCTION("upper(Regexreplace(to_text(E3443),""[^A-Za-z0-9]"","""")&amp;""-""&amp;Regexreplace(to_text(F3443),""[^A-Za-z0-9]"",""""))"),"NEPTRONIC-EVCBSERIES")</f>
        <v>NEPTRONIC-EVCBSERIES</v>
      </c>
    </row>
    <row r="3444" ht="30.0" customHeight="1">
      <c r="A3444" s="425">
        <v>2690.0</v>
      </c>
      <c r="B3444" s="425" t="s">
        <v>670</v>
      </c>
      <c r="C3444" s="257" t="s">
        <v>10646</v>
      </c>
      <c r="D3444" s="173" t="s">
        <v>10647</v>
      </c>
      <c r="E3444" s="174" t="s">
        <v>2861</v>
      </c>
      <c r="F3444" s="173" t="s">
        <v>2862</v>
      </c>
      <c r="G3444" s="425" t="s">
        <v>673</v>
      </c>
      <c r="H3444" s="425" t="s">
        <v>2863</v>
      </c>
      <c r="I3444" s="258" t="s">
        <v>9445</v>
      </c>
      <c r="J3444" s="259" t="s">
        <v>1333</v>
      </c>
      <c r="K3444" s="260" t="s">
        <v>10644</v>
      </c>
      <c r="L3444" s="442"/>
      <c r="M3444" s="426"/>
      <c r="N3444" s="173" t="s">
        <v>679</v>
      </c>
      <c r="O3444" s="173" t="s">
        <v>225</v>
      </c>
      <c r="P3444" s="262" t="str">
        <f t="shared" si="1"/>
        <v>IN-BLR-ANANTA-FAN-392_9</v>
      </c>
      <c r="Q3444" s="173" t="s">
        <v>10648</v>
      </c>
      <c r="R3444" s="425" t="str">
        <f>IFS(C3444="","",C3444="n/a","N/A",LEN(C3444),Concatenate("{",char(34),"asset",char(34),":{",char(34),"guid",char(34),":",char(34),Q3444,char(34),",",char(34),"site",char(34),":",char(34),LOWER('2-Building'!$B$4),char(34),",",char(34),"name",char(34),":",char(34),LOWER(C3444),char(34),"}}"))</f>
        <v>{"asset":{"guid":"uuid://43dc5318-a86f-4397-a0a4-b49731a66710","site":"in-blr-ananta","name":"fan-392"}}</v>
      </c>
      <c r="S3444" s="369" t="s">
        <v>2866</v>
      </c>
      <c r="T3444" s="427"/>
      <c r="U3444" s="427"/>
      <c r="V3444" s="428"/>
      <c r="W3444" s="429"/>
      <c r="X3444" s="430"/>
      <c r="Y3444" s="33" t="s">
        <v>8076</v>
      </c>
      <c r="Z3444" s="430"/>
      <c r="AA3444" s="430"/>
      <c r="AB3444" s="258">
        <v>155.0</v>
      </c>
      <c r="AC3444" s="430"/>
      <c r="AD3444" s="426"/>
      <c r="AE3444" s="428"/>
      <c r="AF3444" s="431"/>
      <c r="AG3444" s="432"/>
      <c r="AH3444" s="430"/>
      <c r="AI3444" s="430"/>
      <c r="AJ3444" s="430"/>
      <c r="AK3444" s="430"/>
      <c r="AL3444" s="430"/>
      <c r="AM3444" s="433"/>
      <c r="AN3444" s="430"/>
      <c r="AO3444" s="430"/>
      <c r="AP3444" s="430"/>
      <c r="AQ3444" s="430"/>
      <c r="AR3444" s="430"/>
      <c r="AS3444" s="430"/>
      <c r="AT3444" s="430"/>
      <c r="AU3444" s="426"/>
      <c r="AV3444" s="174"/>
      <c r="AW3444" s="269" t="s">
        <v>1763</v>
      </c>
      <c r="AX3444" s="269" t="s">
        <v>2869</v>
      </c>
      <c r="AY3444" s="270" t="s">
        <v>695</v>
      </c>
      <c r="AZ3444" s="435"/>
      <c r="BA3444" s="173">
        <v>10.0</v>
      </c>
      <c r="BB3444" s="434"/>
      <c r="BC3444" s="434"/>
      <c r="BD3444" s="308" t="s">
        <v>1844</v>
      </c>
      <c r="BE3444" s="436"/>
      <c r="BF3444" s="274" t="str">
        <f>IFERROR(__xludf.DUMMYFUNCTION("LOWER(Regexreplace(to_text(E3444),""[^A-Za-z0-9]"","""")&amp;""_""&amp;Regexreplace(to_text(F3444),""[^A-Za-z0-9]"",""""))"),"neptronic_evcbseries")</f>
        <v>neptronic_evcbseries</v>
      </c>
      <c r="BG3444" s="275" t="str">
        <f>IFERROR(__xludf.DUMMYFUNCTION("upper(Regexreplace(to_text(E3444),""[^A-Za-z0-9]"","""")&amp;""-""&amp;Regexreplace(to_text(F3444),""[^A-Za-z0-9]"",""""))"),"NEPTRONIC-EVCBSERIES")</f>
        <v>NEPTRONIC-EVCBSERIES</v>
      </c>
    </row>
    <row r="3445" ht="30.0" customHeight="1">
      <c r="A3445" s="425">
        <v>2690.0</v>
      </c>
      <c r="B3445" s="425" t="s">
        <v>670</v>
      </c>
      <c r="C3445" s="257" t="s">
        <v>10649</v>
      </c>
      <c r="D3445" s="173" t="s">
        <v>10650</v>
      </c>
      <c r="E3445" s="174" t="s">
        <v>2861</v>
      </c>
      <c r="F3445" s="173" t="s">
        <v>2862</v>
      </c>
      <c r="G3445" s="425" t="s">
        <v>673</v>
      </c>
      <c r="H3445" s="425" t="s">
        <v>2863</v>
      </c>
      <c r="I3445" s="258" t="s">
        <v>9445</v>
      </c>
      <c r="J3445" s="259" t="s">
        <v>1333</v>
      </c>
      <c r="K3445" s="260" t="s">
        <v>10644</v>
      </c>
      <c r="L3445" s="442"/>
      <c r="M3445" s="426"/>
      <c r="N3445" s="173" t="s">
        <v>679</v>
      </c>
      <c r="O3445" s="173" t="s">
        <v>225</v>
      </c>
      <c r="P3445" s="262" t="str">
        <f t="shared" si="1"/>
        <v>IN-BLR-ANANTA-FAN-393_9</v>
      </c>
      <c r="Q3445" s="173" t="s">
        <v>10651</v>
      </c>
      <c r="R3445" s="425" t="str">
        <f>IFS(C3445="","",C3445="n/a","N/A",LEN(C3445),Concatenate("{",char(34),"asset",char(34),":{",char(34),"guid",char(34),":",char(34),Q3445,char(34),",",char(34),"site",char(34),":",char(34),LOWER('2-Building'!$B$4),char(34),",",char(34),"name",char(34),":",char(34),LOWER(C3445),char(34),"}}"))</f>
        <v>{"asset":{"guid":"uuid://9eee83d4-4fe6-45df-8334-1668f3cd8744","site":"in-blr-ananta","name":"fan-393"}}</v>
      </c>
      <c r="S3445" s="369" t="s">
        <v>2866</v>
      </c>
      <c r="T3445" s="427"/>
      <c r="U3445" s="427"/>
      <c r="V3445" s="428"/>
      <c r="W3445" s="429"/>
      <c r="X3445" s="430"/>
      <c r="Y3445" s="33" t="s">
        <v>8076</v>
      </c>
      <c r="Z3445" s="430"/>
      <c r="AA3445" s="430"/>
      <c r="AB3445" s="258">
        <v>156.0</v>
      </c>
      <c r="AC3445" s="430"/>
      <c r="AD3445" s="426"/>
      <c r="AE3445" s="428"/>
      <c r="AF3445" s="431"/>
      <c r="AG3445" s="432"/>
      <c r="AH3445" s="430"/>
      <c r="AI3445" s="430"/>
      <c r="AJ3445" s="430"/>
      <c r="AK3445" s="430"/>
      <c r="AL3445" s="430"/>
      <c r="AM3445" s="433"/>
      <c r="AN3445" s="430"/>
      <c r="AO3445" s="430"/>
      <c r="AP3445" s="430"/>
      <c r="AQ3445" s="430"/>
      <c r="AR3445" s="430"/>
      <c r="AS3445" s="430"/>
      <c r="AT3445" s="430"/>
      <c r="AU3445" s="426"/>
      <c r="AV3445" s="174"/>
      <c r="AW3445" s="269" t="s">
        <v>1763</v>
      </c>
      <c r="AX3445" s="269" t="s">
        <v>2869</v>
      </c>
      <c r="AY3445" s="270" t="s">
        <v>695</v>
      </c>
      <c r="AZ3445" s="435"/>
      <c r="BA3445" s="173">
        <v>10.0</v>
      </c>
      <c r="BB3445" s="434"/>
      <c r="BC3445" s="434"/>
      <c r="BD3445" s="308" t="s">
        <v>1844</v>
      </c>
      <c r="BE3445" s="436"/>
      <c r="BF3445" s="274" t="str">
        <f>IFERROR(__xludf.DUMMYFUNCTION("LOWER(Regexreplace(to_text(E3445),""[^A-Za-z0-9]"","""")&amp;""_""&amp;Regexreplace(to_text(F3445),""[^A-Za-z0-9]"",""""))"),"neptronic_evcbseries")</f>
        <v>neptronic_evcbseries</v>
      </c>
      <c r="BG3445" s="275" t="str">
        <f>IFERROR(__xludf.DUMMYFUNCTION("upper(Regexreplace(to_text(E3445),""[^A-Za-z0-9]"","""")&amp;""-""&amp;Regexreplace(to_text(F3445),""[^A-Za-z0-9]"",""""))"),"NEPTRONIC-EVCBSERIES")</f>
        <v>NEPTRONIC-EVCBSERIES</v>
      </c>
    </row>
    <row r="3446" ht="30.0" customHeight="1">
      <c r="A3446" s="425">
        <v>2690.0</v>
      </c>
      <c r="B3446" s="425" t="s">
        <v>670</v>
      </c>
      <c r="C3446" s="257" t="s">
        <v>10652</v>
      </c>
      <c r="D3446" s="173" t="s">
        <v>10653</v>
      </c>
      <c r="E3446" s="174" t="s">
        <v>2861</v>
      </c>
      <c r="F3446" s="173" t="s">
        <v>2862</v>
      </c>
      <c r="G3446" s="425" t="s">
        <v>673</v>
      </c>
      <c r="H3446" s="425" t="s">
        <v>2863</v>
      </c>
      <c r="I3446" s="258" t="s">
        <v>9445</v>
      </c>
      <c r="J3446" s="259" t="s">
        <v>1333</v>
      </c>
      <c r="K3446" s="260" t="s">
        <v>10644</v>
      </c>
      <c r="L3446" s="442"/>
      <c r="M3446" s="426"/>
      <c r="N3446" s="173" t="s">
        <v>679</v>
      </c>
      <c r="O3446" s="173" t="s">
        <v>225</v>
      </c>
      <c r="P3446" s="262" t="str">
        <f t="shared" si="1"/>
        <v>IN-BLR-ANANTA-FAN-394_9</v>
      </c>
      <c r="Q3446" s="173" t="s">
        <v>10654</v>
      </c>
      <c r="R3446" s="425" t="str">
        <f>IFS(C3446="","",C3446="n/a","N/A",LEN(C3446),Concatenate("{",char(34),"asset",char(34),":{",char(34),"guid",char(34),":",char(34),Q3446,char(34),",",char(34),"site",char(34),":",char(34),LOWER('2-Building'!$B$4),char(34),",",char(34),"name",char(34),":",char(34),LOWER(C3446),char(34),"}}"))</f>
        <v>{"asset":{"guid":"uuid://a6d5f883-51ff-4e95-aa11-40af52f8936d","site":"in-blr-ananta","name":"fan-394"}}</v>
      </c>
      <c r="S3446" s="369" t="s">
        <v>2866</v>
      </c>
      <c r="T3446" s="427"/>
      <c r="U3446" s="427"/>
      <c r="V3446" s="428"/>
      <c r="W3446" s="429"/>
      <c r="X3446" s="430"/>
      <c r="Y3446" s="33" t="s">
        <v>8076</v>
      </c>
      <c r="Z3446" s="430"/>
      <c r="AA3446" s="430"/>
      <c r="AB3446" s="258">
        <v>157.0</v>
      </c>
      <c r="AC3446" s="430"/>
      <c r="AD3446" s="426"/>
      <c r="AE3446" s="428"/>
      <c r="AF3446" s="431"/>
      <c r="AG3446" s="432"/>
      <c r="AH3446" s="430"/>
      <c r="AI3446" s="430"/>
      <c r="AJ3446" s="430"/>
      <c r="AK3446" s="430"/>
      <c r="AL3446" s="430"/>
      <c r="AM3446" s="433"/>
      <c r="AN3446" s="430"/>
      <c r="AO3446" s="430"/>
      <c r="AP3446" s="430"/>
      <c r="AQ3446" s="430"/>
      <c r="AR3446" s="430"/>
      <c r="AS3446" s="430"/>
      <c r="AT3446" s="430"/>
      <c r="AU3446" s="426"/>
      <c r="AV3446" s="174"/>
      <c r="AW3446" s="269" t="s">
        <v>1763</v>
      </c>
      <c r="AX3446" s="269" t="s">
        <v>2869</v>
      </c>
      <c r="AY3446" s="270" t="s">
        <v>695</v>
      </c>
      <c r="AZ3446" s="435"/>
      <c r="BA3446" s="173">
        <v>10.0</v>
      </c>
      <c r="BB3446" s="434"/>
      <c r="BC3446" s="434"/>
      <c r="BD3446" s="308" t="s">
        <v>1844</v>
      </c>
      <c r="BE3446" s="436"/>
      <c r="BF3446" s="274" t="str">
        <f>IFERROR(__xludf.DUMMYFUNCTION("LOWER(Regexreplace(to_text(E3446),""[^A-Za-z0-9]"","""")&amp;""_""&amp;Regexreplace(to_text(F3446),""[^A-Za-z0-9]"",""""))"),"neptronic_evcbseries")</f>
        <v>neptronic_evcbseries</v>
      </c>
      <c r="BG3446" s="275" t="str">
        <f>IFERROR(__xludf.DUMMYFUNCTION("upper(Regexreplace(to_text(E3446),""[^A-Za-z0-9]"","""")&amp;""-""&amp;Regexreplace(to_text(F3446),""[^A-Za-z0-9]"",""""))"),"NEPTRONIC-EVCBSERIES")</f>
        <v>NEPTRONIC-EVCBSERIES</v>
      </c>
    </row>
    <row r="3447" ht="30.0" customHeight="1">
      <c r="A3447" s="425">
        <v>2690.0</v>
      </c>
      <c r="B3447" s="425" t="s">
        <v>670</v>
      </c>
      <c r="C3447" s="257" t="s">
        <v>10655</v>
      </c>
      <c r="D3447" s="173" t="s">
        <v>10656</v>
      </c>
      <c r="E3447" s="174" t="s">
        <v>2861</v>
      </c>
      <c r="F3447" s="173" t="s">
        <v>2862</v>
      </c>
      <c r="G3447" s="425" t="s">
        <v>673</v>
      </c>
      <c r="H3447" s="425" t="s">
        <v>2863</v>
      </c>
      <c r="I3447" s="258" t="s">
        <v>9445</v>
      </c>
      <c r="J3447" s="259" t="s">
        <v>1333</v>
      </c>
      <c r="K3447" s="260" t="s">
        <v>10644</v>
      </c>
      <c r="L3447" s="442"/>
      <c r="M3447" s="426"/>
      <c r="N3447" s="173" t="s">
        <v>679</v>
      </c>
      <c r="O3447" s="173" t="s">
        <v>225</v>
      </c>
      <c r="P3447" s="262" t="str">
        <f t="shared" si="1"/>
        <v>IN-BLR-ANANTA-FAN-395_9</v>
      </c>
      <c r="Q3447" s="173" t="s">
        <v>10657</v>
      </c>
      <c r="R3447" s="425" t="str">
        <f>IFS(C3447="","",C3447="n/a","N/A",LEN(C3447),Concatenate("{",char(34),"asset",char(34),":{",char(34),"guid",char(34),":",char(34),Q3447,char(34),",",char(34),"site",char(34),":",char(34),LOWER('2-Building'!$B$4),char(34),",",char(34),"name",char(34),":",char(34),LOWER(C3447),char(34),"}}"))</f>
        <v>{"asset":{"guid":"uuid://66519dca-253f-4fea-89c5-e93ba943a42b","site":"in-blr-ananta","name":"fan-395"}}</v>
      </c>
      <c r="S3447" s="369" t="s">
        <v>2866</v>
      </c>
      <c r="T3447" s="427"/>
      <c r="U3447" s="427"/>
      <c r="V3447" s="428"/>
      <c r="W3447" s="429"/>
      <c r="X3447" s="430"/>
      <c r="Y3447" s="33" t="s">
        <v>8076</v>
      </c>
      <c r="Z3447" s="430"/>
      <c r="AA3447" s="430"/>
      <c r="AB3447" s="258">
        <v>158.0</v>
      </c>
      <c r="AC3447" s="430"/>
      <c r="AD3447" s="426"/>
      <c r="AE3447" s="428"/>
      <c r="AF3447" s="431"/>
      <c r="AG3447" s="432"/>
      <c r="AH3447" s="430"/>
      <c r="AI3447" s="430"/>
      <c r="AJ3447" s="430"/>
      <c r="AK3447" s="430"/>
      <c r="AL3447" s="430"/>
      <c r="AM3447" s="433"/>
      <c r="AN3447" s="430"/>
      <c r="AO3447" s="430"/>
      <c r="AP3447" s="430"/>
      <c r="AQ3447" s="430"/>
      <c r="AR3447" s="430"/>
      <c r="AS3447" s="430"/>
      <c r="AT3447" s="430"/>
      <c r="AU3447" s="426"/>
      <c r="AV3447" s="174"/>
      <c r="AW3447" s="269" t="s">
        <v>1763</v>
      </c>
      <c r="AX3447" s="269" t="s">
        <v>2869</v>
      </c>
      <c r="AY3447" s="270" t="s">
        <v>695</v>
      </c>
      <c r="AZ3447" s="435"/>
      <c r="BA3447" s="173">
        <v>10.0</v>
      </c>
      <c r="BB3447" s="434"/>
      <c r="BC3447" s="434"/>
      <c r="BD3447" s="308" t="s">
        <v>1844</v>
      </c>
      <c r="BE3447" s="436"/>
      <c r="BF3447" s="274" t="str">
        <f>IFERROR(__xludf.DUMMYFUNCTION("LOWER(Regexreplace(to_text(E3447),""[^A-Za-z0-9]"","""")&amp;""_""&amp;Regexreplace(to_text(F3447),""[^A-Za-z0-9]"",""""))"),"neptronic_evcbseries")</f>
        <v>neptronic_evcbseries</v>
      </c>
      <c r="BG3447" s="275" t="str">
        <f>IFERROR(__xludf.DUMMYFUNCTION("upper(Regexreplace(to_text(E3447),""[^A-Za-z0-9]"","""")&amp;""-""&amp;Regexreplace(to_text(F3447),""[^A-Za-z0-9]"",""""))"),"NEPTRONIC-EVCBSERIES")</f>
        <v>NEPTRONIC-EVCBSERIES</v>
      </c>
    </row>
    <row r="3448" ht="30.0" customHeight="1">
      <c r="A3448" s="328">
        <v>2690.0</v>
      </c>
      <c r="B3448" s="425" t="s">
        <v>670</v>
      </c>
      <c r="C3448" s="257" t="s">
        <v>10658</v>
      </c>
      <c r="D3448" s="173" t="s">
        <v>10659</v>
      </c>
      <c r="E3448" s="174" t="s">
        <v>2861</v>
      </c>
      <c r="F3448" s="173" t="s">
        <v>2862</v>
      </c>
      <c r="G3448" s="425" t="s">
        <v>673</v>
      </c>
      <c r="H3448" s="425" t="s">
        <v>2863</v>
      </c>
      <c r="I3448" s="258" t="s">
        <v>9445</v>
      </c>
      <c r="J3448" s="259" t="s">
        <v>1333</v>
      </c>
      <c r="K3448" s="260" t="s">
        <v>10644</v>
      </c>
      <c r="L3448" s="442"/>
      <c r="M3448" s="426"/>
      <c r="N3448" s="173" t="s">
        <v>679</v>
      </c>
      <c r="O3448" s="173" t="s">
        <v>225</v>
      </c>
      <c r="P3448" s="262" t="str">
        <f t="shared" si="1"/>
        <v>IN-BLR-ANANTA-FAN-396_9</v>
      </c>
      <c r="Q3448" s="173" t="s">
        <v>10660</v>
      </c>
      <c r="R3448" s="425" t="str">
        <f>IFS(C3448="","",C3448="n/a","N/A",LEN(C3448),Concatenate("{",char(34),"asset",char(34),":{",char(34),"guid",char(34),":",char(34),Q3448,char(34),",",char(34),"site",char(34),":",char(34),LOWER('2-Building'!$B$4),char(34),",",char(34),"name",char(34),":",char(34),LOWER(C3448),char(34),"}}"))</f>
        <v>{"asset":{"guid":"uuid://be46dd60-0e60-44b9-af20-c272704282d2","site":"in-blr-ananta","name":"fan-396"}}</v>
      </c>
      <c r="S3448" s="369" t="s">
        <v>2866</v>
      </c>
      <c r="T3448" s="427"/>
      <c r="U3448" s="427"/>
      <c r="V3448" s="428"/>
      <c r="W3448" s="429"/>
      <c r="X3448" s="430"/>
      <c r="Y3448" s="33" t="s">
        <v>8076</v>
      </c>
      <c r="Z3448" s="430"/>
      <c r="AA3448" s="430"/>
      <c r="AB3448" s="258">
        <v>159.0</v>
      </c>
      <c r="AC3448" s="430"/>
      <c r="AD3448" s="426"/>
      <c r="AE3448" s="428"/>
      <c r="AF3448" s="431"/>
      <c r="AG3448" s="432" t="str">
        <f>IFS(LEN(AF3448)=17,LOWER('2-Building'!$B$4 &amp; "-" &amp; C3448), AF3448="N/A", "N/A", LEN(AF3448)=0,"")</f>
        <v/>
      </c>
      <c r="AH3448" s="430"/>
      <c r="AI3448" s="430"/>
      <c r="AJ3448" s="430"/>
      <c r="AK3448" s="430"/>
      <c r="AL3448" s="430"/>
      <c r="AM3448" s="433"/>
      <c r="AN3448" s="430"/>
      <c r="AO3448" s="430"/>
      <c r="AP3448" s="430"/>
      <c r="AQ3448" s="430"/>
      <c r="AR3448" s="430"/>
      <c r="AS3448" s="430"/>
      <c r="AT3448" s="430"/>
      <c r="AU3448" s="426"/>
      <c r="AV3448" s="174"/>
      <c r="AW3448" s="269" t="s">
        <v>1763</v>
      </c>
      <c r="AX3448" s="269" t="s">
        <v>2869</v>
      </c>
      <c r="AY3448" s="270" t="s">
        <v>695</v>
      </c>
      <c r="AZ3448" s="435"/>
      <c r="BA3448" s="173">
        <v>10.0</v>
      </c>
      <c r="BB3448" s="434"/>
      <c r="BC3448" s="434"/>
      <c r="BD3448" s="308" t="s">
        <v>1844</v>
      </c>
      <c r="BE3448" s="436"/>
      <c r="BF3448" s="274" t="str">
        <f>IFERROR(__xludf.DUMMYFUNCTION("LOWER(Regexreplace(to_text(E3448),""[^A-Za-z0-9]"","""")&amp;""_""&amp;Regexreplace(to_text(F3448),""[^A-Za-z0-9]"",""""))"),"neptronic_evcbseries")</f>
        <v>neptronic_evcbseries</v>
      </c>
      <c r="BG3448" s="275" t="str">
        <f>IFERROR(__xludf.DUMMYFUNCTION("upper(Regexreplace(to_text(E3448),""[^A-Za-z0-9]"","""")&amp;""-""&amp;Regexreplace(to_text(F3448),""[^A-Za-z0-9]"",""""))"),"NEPTRONIC-EVCBSERIES")</f>
        <v>NEPTRONIC-EVCBSERIES</v>
      </c>
    </row>
    <row r="3449" ht="30.0" customHeight="1">
      <c r="A3449" s="425">
        <v>2690.0</v>
      </c>
      <c r="B3449" s="425" t="s">
        <v>670</v>
      </c>
      <c r="C3449" s="257" t="s">
        <v>10661</v>
      </c>
      <c r="D3449" s="173" t="s">
        <v>10662</v>
      </c>
      <c r="E3449" s="174" t="s">
        <v>2861</v>
      </c>
      <c r="F3449" s="173" t="s">
        <v>2862</v>
      </c>
      <c r="G3449" s="425" t="s">
        <v>673</v>
      </c>
      <c r="H3449" s="425" t="s">
        <v>2863</v>
      </c>
      <c r="I3449" s="258" t="s">
        <v>9445</v>
      </c>
      <c r="J3449" s="259" t="s">
        <v>1393</v>
      </c>
      <c r="K3449" s="260" t="s">
        <v>8447</v>
      </c>
      <c r="L3449" s="442"/>
      <c r="M3449" s="426"/>
      <c r="N3449" s="173" t="s">
        <v>679</v>
      </c>
      <c r="O3449" s="173" t="s">
        <v>225</v>
      </c>
      <c r="P3449" s="262" t="str">
        <f t="shared" si="1"/>
        <v>IN-BLR-ANANTA-FAN-397_10</v>
      </c>
      <c r="Q3449" s="173" t="s">
        <v>10663</v>
      </c>
      <c r="R3449" s="433" t="str">
        <f>IFS(C3449="","",C3449="n/a","N/A",LEN(C3449),Concatenate("{",char(34),"asset",char(34),":{",char(34),"guid",char(34),":",char(34),Q3449,char(34),",",char(34),"site",char(34),":",char(34),LOWER('2-Building'!$B$4),char(34),",",char(34),"name",char(34),":",char(34),LOWER(C3449),char(34),"}}"))</f>
        <v>{"asset":{"guid":"uuid://af89e986-4ada-45f9-b1b7-663be1630420","site":"in-blr-ananta","name":"fan-397"}}</v>
      </c>
      <c r="S3449" s="369" t="s">
        <v>2866</v>
      </c>
      <c r="T3449" s="427"/>
      <c r="U3449" s="427"/>
      <c r="V3449" s="428"/>
      <c r="W3449" s="429"/>
      <c r="X3449" s="430"/>
      <c r="Y3449" s="33" t="s">
        <v>8076</v>
      </c>
      <c r="Z3449" s="430"/>
      <c r="AA3449" s="430"/>
      <c r="AB3449" s="258">
        <v>184.0</v>
      </c>
      <c r="AC3449" s="430"/>
      <c r="AD3449" s="426"/>
      <c r="AE3449" s="428"/>
      <c r="AF3449" s="431"/>
      <c r="AG3449" s="432" t="str">
        <f>IFS(LEN(AF3449)=17,LOWER('2-Building'!$B$4 &amp; "-" &amp; C3449), AF3449="N/A", "N/A", LEN(AF3449)=0,"")</f>
        <v/>
      </c>
      <c r="AH3449" s="430"/>
      <c r="AI3449" s="430"/>
      <c r="AJ3449" s="430"/>
      <c r="AK3449" s="430"/>
      <c r="AL3449" s="430"/>
      <c r="AM3449" s="433"/>
      <c r="AN3449" s="430"/>
      <c r="AO3449" s="430"/>
      <c r="AP3449" s="430"/>
      <c r="AQ3449" s="430"/>
      <c r="AR3449" s="430"/>
      <c r="AS3449" s="430"/>
      <c r="AT3449" s="430"/>
      <c r="AU3449" s="426"/>
      <c r="AV3449" s="174"/>
      <c r="AW3449" s="269" t="s">
        <v>1763</v>
      </c>
      <c r="AX3449" s="269" t="s">
        <v>2869</v>
      </c>
      <c r="AY3449" s="270" t="s">
        <v>695</v>
      </c>
      <c r="AZ3449" s="435"/>
      <c r="BA3449" s="173">
        <v>10.0</v>
      </c>
      <c r="BB3449" s="434"/>
      <c r="BC3449" s="434"/>
      <c r="BD3449" s="308" t="s">
        <v>1844</v>
      </c>
      <c r="BE3449" s="436"/>
      <c r="BF3449" s="274" t="str">
        <f>IFERROR(__xludf.DUMMYFUNCTION("LOWER(Regexreplace(to_text(E3449),""[^A-Za-z0-9]"","""")&amp;""_""&amp;Regexreplace(to_text(F3449),""[^A-Za-z0-9]"",""""))"),"neptronic_evcbseries")</f>
        <v>neptronic_evcbseries</v>
      </c>
      <c r="BG3449" s="275" t="str">
        <f>IFERROR(__xludf.DUMMYFUNCTION("upper(Regexreplace(to_text(E3449),""[^A-Za-z0-9]"","""")&amp;""-""&amp;Regexreplace(to_text(F3449),""[^A-Za-z0-9]"",""""))"),"NEPTRONIC-EVCBSERIES")</f>
        <v>NEPTRONIC-EVCBSERIES</v>
      </c>
    </row>
    <row r="3450" ht="30.0" customHeight="1">
      <c r="A3450" s="425">
        <v>2690.0</v>
      </c>
      <c r="B3450" s="425" t="s">
        <v>670</v>
      </c>
      <c r="C3450" s="257" t="s">
        <v>10664</v>
      </c>
      <c r="D3450" s="173" t="s">
        <v>10665</v>
      </c>
      <c r="E3450" s="174" t="s">
        <v>2861</v>
      </c>
      <c r="F3450" s="173" t="s">
        <v>2862</v>
      </c>
      <c r="G3450" s="425" t="s">
        <v>673</v>
      </c>
      <c r="H3450" s="425" t="s">
        <v>2863</v>
      </c>
      <c r="I3450" s="258" t="s">
        <v>9445</v>
      </c>
      <c r="J3450" s="259" t="s">
        <v>1393</v>
      </c>
      <c r="K3450" s="260" t="s">
        <v>8447</v>
      </c>
      <c r="L3450" s="442"/>
      <c r="M3450" s="426"/>
      <c r="N3450" s="173" t="s">
        <v>679</v>
      </c>
      <c r="O3450" s="173" t="s">
        <v>225</v>
      </c>
      <c r="P3450" s="262" t="str">
        <f t="shared" si="1"/>
        <v>IN-BLR-ANANTA-FAN-398_10</v>
      </c>
      <c r="Q3450" s="173" t="s">
        <v>10666</v>
      </c>
      <c r="R3450" s="425" t="str">
        <f>IFS(C3450="","",C3450="n/a","N/A",LEN(C3450),Concatenate("{",char(34),"asset",char(34),":{",char(34),"guid",char(34),":",char(34),Q3450,char(34),",",char(34),"site",char(34),":",char(34),LOWER('2-Building'!$B$4),char(34),",",char(34),"name",char(34),":",char(34),LOWER(C3450),char(34),"}}"))</f>
        <v>{"asset":{"guid":"uuid://ae52f52d-db4e-4fd3-a1a0-20d789c08432","site":"in-blr-ananta","name":"fan-398"}}</v>
      </c>
      <c r="S3450" s="369" t="s">
        <v>2866</v>
      </c>
      <c r="T3450" s="427"/>
      <c r="U3450" s="427"/>
      <c r="V3450" s="428"/>
      <c r="W3450" s="429"/>
      <c r="X3450" s="430"/>
      <c r="Y3450" s="33" t="s">
        <v>8076</v>
      </c>
      <c r="Z3450" s="430"/>
      <c r="AA3450" s="430"/>
      <c r="AB3450" s="258">
        <v>185.0</v>
      </c>
      <c r="AC3450" s="430"/>
      <c r="AD3450" s="426"/>
      <c r="AE3450" s="428"/>
      <c r="AF3450" s="431"/>
      <c r="AG3450" s="432" t="str">
        <f>IFS(LEN(AF3450)=17,LOWER('2-Building'!$B$4 &amp; "-" &amp; C3450), AF3450="N/A", "N/A", LEN(AF3450)=0,"")</f>
        <v/>
      </c>
      <c r="AH3450" s="430"/>
      <c r="AI3450" s="430"/>
      <c r="AJ3450" s="430"/>
      <c r="AK3450" s="430"/>
      <c r="AL3450" s="430"/>
      <c r="AM3450" s="433"/>
      <c r="AN3450" s="430"/>
      <c r="AO3450" s="430"/>
      <c r="AP3450" s="430"/>
      <c r="AQ3450" s="430"/>
      <c r="AR3450" s="430"/>
      <c r="AS3450" s="430"/>
      <c r="AT3450" s="430"/>
      <c r="AU3450" s="426"/>
      <c r="AV3450" s="174"/>
      <c r="AW3450" s="269" t="s">
        <v>1763</v>
      </c>
      <c r="AX3450" s="269" t="s">
        <v>2869</v>
      </c>
      <c r="AY3450" s="270" t="s">
        <v>695</v>
      </c>
      <c r="AZ3450" s="435"/>
      <c r="BA3450" s="173">
        <v>10.0</v>
      </c>
      <c r="BB3450" s="434"/>
      <c r="BC3450" s="434"/>
      <c r="BD3450" s="308" t="s">
        <v>1844</v>
      </c>
      <c r="BE3450" s="436"/>
      <c r="BF3450" s="274" t="str">
        <f>IFERROR(__xludf.DUMMYFUNCTION("LOWER(Regexreplace(to_text(E3450),""[^A-Za-z0-9]"","""")&amp;""_""&amp;Regexreplace(to_text(F3450),""[^A-Za-z0-9]"",""""))"),"neptronic_evcbseries")</f>
        <v>neptronic_evcbseries</v>
      </c>
      <c r="BG3450" s="275" t="str">
        <f>IFERROR(__xludf.DUMMYFUNCTION("upper(Regexreplace(to_text(E3450),""[^A-Za-z0-9]"","""")&amp;""-""&amp;Regexreplace(to_text(F3450),""[^A-Za-z0-9]"",""""))"),"NEPTRONIC-EVCBSERIES")</f>
        <v>NEPTRONIC-EVCBSERIES</v>
      </c>
    </row>
    <row r="3451" ht="30.0" customHeight="1">
      <c r="A3451" s="328">
        <v>2690.0</v>
      </c>
      <c r="B3451" s="425" t="s">
        <v>670</v>
      </c>
      <c r="C3451" s="257" t="s">
        <v>10667</v>
      </c>
      <c r="D3451" s="173" t="s">
        <v>10668</v>
      </c>
      <c r="E3451" s="174" t="s">
        <v>2861</v>
      </c>
      <c r="F3451" s="173" t="s">
        <v>2862</v>
      </c>
      <c r="G3451" s="425" t="s">
        <v>673</v>
      </c>
      <c r="H3451" s="425" t="s">
        <v>2863</v>
      </c>
      <c r="I3451" s="258" t="s">
        <v>9445</v>
      </c>
      <c r="J3451" s="259" t="s">
        <v>1393</v>
      </c>
      <c r="K3451" s="260" t="s">
        <v>8447</v>
      </c>
      <c r="L3451" s="442"/>
      <c r="M3451" s="426"/>
      <c r="N3451" s="173" t="s">
        <v>679</v>
      </c>
      <c r="O3451" s="173" t="s">
        <v>225</v>
      </c>
      <c r="P3451" s="262" t="str">
        <f t="shared" si="1"/>
        <v>IN-BLR-ANANTA-FAN-399_10</v>
      </c>
      <c r="Q3451" s="173" t="s">
        <v>10669</v>
      </c>
      <c r="R3451" s="425" t="str">
        <f>IFS(C3451="","",C3451="n/a","N/A",LEN(C3451),Concatenate("{",char(34),"asset",char(34),":{",char(34),"guid",char(34),":",char(34),Q3451,char(34),",",char(34),"site",char(34),":",char(34),LOWER('2-Building'!$B$4),char(34),",",char(34),"name",char(34),":",char(34),LOWER(C3451),char(34),"}}"))</f>
        <v>{"asset":{"guid":"uuid://85dc5c0a-cdf1-45c3-8a10-1434a7a12b66","site":"in-blr-ananta","name":"fan-399"}}</v>
      </c>
      <c r="S3451" s="369" t="s">
        <v>2866</v>
      </c>
      <c r="T3451" s="427"/>
      <c r="U3451" s="427"/>
      <c r="V3451" s="428"/>
      <c r="W3451" s="429"/>
      <c r="X3451" s="430"/>
      <c r="Y3451" s="33" t="s">
        <v>8076</v>
      </c>
      <c r="Z3451" s="430"/>
      <c r="AA3451" s="430"/>
      <c r="AB3451" s="258">
        <v>186.0</v>
      </c>
      <c r="AC3451" s="430"/>
      <c r="AD3451" s="426"/>
      <c r="AE3451" s="428"/>
      <c r="AF3451" s="431"/>
      <c r="AG3451" s="432" t="str">
        <f>IFS(LEN(AF3451)=17,LOWER('2-Building'!$B$4 &amp; "-" &amp; C3451), AF3451="N/A", "N/A", LEN(AF3451)=0,"")</f>
        <v/>
      </c>
      <c r="AH3451" s="430"/>
      <c r="AI3451" s="430"/>
      <c r="AJ3451" s="430"/>
      <c r="AK3451" s="430"/>
      <c r="AL3451" s="430"/>
      <c r="AM3451" s="433"/>
      <c r="AN3451" s="430"/>
      <c r="AO3451" s="430"/>
      <c r="AP3451" s="430"/>
      <c r="AQ3451" s="430"/>
      <c r="AR3451" s="430"/>
      <c r="AS3451" s="430"/>
      <c r="AT3451" s="430"/>
      <c r="AU3451" s="426"/>
      <c r="AV3451" s="174"/>
      <c r="AW3451" s="269" t="s">
        <v>1763</v>
      </c>
      <c r="AX3451" s="269" t="s">
        <v>2869</v>
      </c>
      <c r="AY3451" s="270" t="s">
        <v>695</v>
      </c>
      <c r="AZ3451" s="435"/>
      <c r="BA3451" s="173">
        <v>10.0</v>
      </c>
      <c r="BB3451" s="434"/>
      <c r="BC3451" s="434"/>
      <c r="BD3451" s="308" t="s">
        <v>1844</v>
      </c>
      <c r="BE3451" s="436"/>
      <c r="BF3451" s="274" t="str">
        <f>IFERROR(__xludf.DUMMYFUNCTION("LOWER(Regexreplace(to_text(E3451),""[^A-Za-z0-9]"","""")&amp;""_""&amp;Regexreplace(to_text(F3451),""[^A-Za-z0-9]"",""""))"),"neptronic_evcbseries")</f>
        <v>neptronic_evcbseries</v>
      </c>
      <c r="BG3451" s="275" t="str">
        <f>IFERROR(__xludf.DUMMYFUNCTION("upper(Regexreplace(to_text(E3451),""[^A-Za-z0-9]"","""")&amp;""-""&amp;Regexreplace(to_text(F3451),""[^A-Za-z0-9]"",""""))"),"NEPTRONIC-EVCBSERIES")</f>
        <v>NEPTRONIC-EVCBSERIES</v>
      </c>
    </row>
    <row r="3452" ht="30.0" customHeight="1">
      <c r="A3452" s="425">
        <v>2690.0</v>
      </c>
      <c r="B3452" s="425" t="s">
        <v>670</v>
      </c>
      <c r="C3452" s="257" t="s">
        <v>10670</v>
      </c>
      <c r="D3452" s="173" t="s">
        <v>10671</v>
      </c>
      <c r="E3452" s="174" t="s">
        <v>2861</v>
      </c>
      <c r="F3452" s="173" t="s">
        <v>2862</v>
      </c>
      <c r="G3452" s="425" t="s">
        <v>673</v>
      </c>
      <c r="H3452" s="425" t="s">
        <v>2863</v>
      </c>
      <c r="I3452" s="258" t="s">
        <v>9445</v>
      </c>
      <c r="J3452" s="259" t="s">
        <v>1393</v>
      </c>
      <c r="K3452" s="260" t="s">
        <v>8447</v>
      </c>
      <c r="L3452" s="442"/>
      <c r="M3452" s="426"/>
      <c r="N3452" s="173" t="s">
        <v>679</v>
      </c>
      <c r="O3452" s="173" t="s">
        <v>225</v>
      </c>
      <c r="P3452" s="262" t="str">
        <f t="shared" si="1"/>
        <v>IN-BLR-ANANTA-FAN-400_10</v>
      </c>
      <c r="Q3452" s="173" t="s">
        <v>10672</v>
      </c>
      <c r="R3452" s="433" t="str">
        <f>IFS(C3452="","",C3452="n/a","N/A",LEN(C3452),Concatenate("{",char(34),"asset",char(34),":{",char(34),"guid",char(34),":",char(34),Q3452,char(34),",",char(34),"site",char(34),":",char(34),LOWER('2-Building'!$B$4),char(34),",",char(34),"name",char(34),":",char(34),LOWER(C3452),char(34),"}}"))</f>
        <v>{"asset":{"guid":"uuid://f024fefd-4657-491f-ba6c-df002a8e6060","site":"in-blr-ananta","name":"fan-400"}}</v>
      </c>
      <c r="S3452" s="369" t="s">
        <v>2866</v>
      </c>
      <c r="T3452" s="427"/>
      <c r="U3452" s="427"/>
      <c r="V3452" s="428"/>
      <c r="W3452" s="429"/>
      <c r="X3452" s="430"/>
      <c r="Y3452" s="33" t="s">
        <v>8076</v>
      </c>
      <c r="Z3452" s="430"/>
      <c r="AA3452" s="430"/>
      <c r="AB3452" s="258">
        <v>187.0</v>
      </c>
      <c r="AC3452" s="430"/>
      <c r="AD3452" s="426"/>
      <c r="AE3452" s="428"/>
      <c r="AF3452" s="431"/>
      <c r="AG3452" s="432" t="str">
        <f>IFS(LEN(AF3452)=17,LOWER('2-Building'!$B$4 &amp; "-" &amp; C3452), AF3452="N/A", "N/A", LEN(AF3452)=0,"")</f>
        <v/>
      </c>
      <c r="AH3452" s="430"/>
      <c r="AI3452" s="430"/>
      <c r="AJ3452" s="430"/>
      <c r="AK3452" s="430"/>
      <c r="AL3452" s="430"/>
      <c r="AM3452" s="433"/>
      <c r="AN3452" s="430"/>
      <c r="AO3452" s="430"/>
      <c r="AP3452" s="430"/>
      <c r="AQ3452" s="430"/>
      <c r="AR3452" s="430"/>
      <c r="AS3452" s="430"/>
      <c r="AT3452" s="430"/>
      <c r="AU3452" s="426"/>
      <c r="AV3452" s="174"/>
      <c r="AW3452" s="269" t="s">
        <v>1763</v>
      </c>
      <c r="AX3452" s="269" t="s">
        <v>2869</v>
      </c>
      <c r="AY3452" s="270" t="s">
        <v>695</v>
      </c>
      <c r="AZ3452" s="435"/>
      <c r="BA3452" s="173">
        <v>10.0</v>
      </c>
      <c r="BB3452" s="434"/>
      <c r="BC3452" s="434"/>
      <c r="BD3452" s="308" t="s">
        <v>1844</v>
      </c>
      <c r="BE3452" s="436"/>
      <c r="BF3452" s="274" t="str">
        <f>IFERROR(__xludf.DUMMYFUNCTION("LOWER(Regexreplace(to_text(E3452),""[^A-Za-z0-9]"","""")&amp;""_""&amp;Regexreplace(to_text(F3452),""[^A-Za-z0-9]"",""""))"),"neptronic_evcbseries")</f>
        <v>neptronic_evcbseries</v>
      </c>
      <c r="BG3452" s="275" t="str">
        <f>IFERROR(__xludf.DUMMYFUNCTION("upper(Regexreplace(to_text(E3452),""[^A-Za-z0-9]"","""")&amp;""-""&amp;Regexreplace(to_text(F3452),""[^A-Za-z0-9]"",""""))"),"NEPTRONIC-EVCBSERIES")</f>
        <v>NEPTRONIC-EVCBSERIES</v>
      </c>
    </row>
    <row r="3453" ht="30.0" customHeight="1">
      <c r="A3453" s="425">
        <v>2690.0</v>
      </c>
      <c r="B3453" s="425" t="s">
        <v>670</v>
      </c>
      <c r="C3453" s="257" t="s">
        <v>10673</v>
      </c>
      <c r="D3453" s="173" t="s">
        <v>10674</v>
      </c>
      <c r="E3453" s="174" t="s">
        <v>2861</v>
      </c>
      <c r="F3453" s="173" t="s">
        <v>2862</v>
      </c>
      <c r="G3453" s="425" t="s">
        <v>673</v>
      </c>
      <c r="H3453" s="425" t="s">
        <v>2863</v>
      </c>
      <c r="I3453" s="258" t="s">
        <v>9445</v>
      </c>
      <c r="J3453" s="259" t="s">
        <v>1393</v>
      </c>
      <c r="K3453" s="260" t="s">
        <v>8447</v>
      </c>
      <c r="L3453" s="442"/>
      <c r="M3453" s="426"/>
      <c r="N3453" s="173" t="s">
        <v>679</v>
      </c>
      <c r="O3453" s="173" t="s">
        <v>225</v>
      </c>
      <c r="P3453" s="262" t="str">
        <f t="shared" si="1"/>
        <v>IN-BLR-ANANTA-FAN-401_10</v>
      </c>
      <c r="Q3453" s="173" t="s">
        <v>10675</v>
      </c>
      <c r="R3453" s="425" t="str">
        <f>IFS(C3453="","",C3453="n/a","N/A",LEN(C3453),Concatenate("{",char(34),"asset",char(34),":{",char(34),"guid",char(34),":",char(34),Q3453,char(34),",",char(34),"site",char(34),":",char(34),LOWER('2-Building'!$B$4),char(34),",",char(34),"name",char(34),":",char(34),LOWER(C3453),char(34),"}}"))</f>
        <v>{"asset":{"guid":"uuid://30b148bd-4f4a-40a2-942d-198efbdd54fd","site":"in-blr-ananta","name":"fan-401"}}</v>
      </c>
      <c r="S3453" s="369" t="s">
        <v>2866</v>
      </c>
      <c r="T3453" s="427"/>
      <c r="U3453" s="427"/>
      <c r="V3453" s="428"/>
      <c r="W3453" s="429"/>
      <c r="X3453" s="430"/>
      <c r="Y3453" s="33" t="s">
        <v>8076</v>
      </c>
      <c r="Z3453" s="430"/>
      <c r="AA3453" s="430"/>
      <c r="AB3453" s="258">
        <v>188.0</v>
      </c>
      <c r="AC3453" s="430"/>
      <c r="AD3453" s="426"/>
      <c r="AE3453" s="428"/>
      <c r="AF3453" s="431"/>
      <c r="AG3453" s="432" t="str">
        <f>IFS(LEN(AF3453)=17,LOWER('2-Building'!$B$4 &amp; "-" &amp; C3453), AF3453="N/A", "N/A", LEN(AF3453)=0,"")</f>
        <v/>
      </c>
      <c r="AH3453" s="430"/>
      <c r="AI3453" s="430"/>
      <c r="AJ3453" s="430"/>
      <c r="AK3453" s="430"/>
      <c r="AL3453" s="430"/>
      <c r="AM3453" s="433"/>
      <c r="AN3453" s="430"/>
      <c r="AO3453" s="430"/>
      <c r="AP3453" s="430"/>
      <c r="AQ3453" s="430"/>
      <c r="AR3453" s="430"/>
      <c r="AS3453" s="430"/>
      <c r="AT3453" s="430"/>
      <c r="AU3453" s="426"/>
      <c r="AV3453" s="174"/>
      <c r="AW3453" s="269" t="s">
        <v>1763</v>
      </c>
      <c r="AX3453" s="269" t="s">
        <v>2869</v>
      </c>
      <c r="AY3453" s="270" t="s">
        <v>695</v>
      </c>
      <c r="AZ3453" s="435"/>
      <c r="BA3453" s="173">
        <v>10.0</v>
      </c>
      <c r="BB3453" s="434"/>
      <c r="BC3453" s="434"/>
      <c r="BD3453" s="308" t="s">
        <v>1844</v>
      </c>
      <c r="BE3453" s="436"/>
      <c r="BF3453" s="274" t="str">
        <f>IFERROR(__xludf.DUMMYFUNCTION("LOWER(Regexreplace(to_text(E3453),""[^A-Za-z0-9]"","""")&amp;""_""&amp;Regexreplace(to_text(F3453),""[^A-Za-z0-9]"",""""))"),"neptronic_evcbseries")</f>
        <v>neptronic_evcbseries</v>
      </c>
      <c r="BG3453" s="275" t="str">
        <f>IFERROR(__xludf.DUMMYFUNCTION("upper(Regexreplace(to_text(E3453),""[^A-Za-z0-9]"","""")&amp;""-""&amp;Regexreplace(to_text(F3453),""[^A-Za-z0-9]"",""""))"),"NEPTRONIC-EVCBSERIES")</f>
        <v>NEPTRONIC-EVCBSERIES</v>
      </c>
    </row>
    <row r="3454" ht="30.0" customHeight="1">
      <c r="A3454" s="425">
        <v>2690.0</v>
      </c>
      <c r="B3454" s="425" t="s">
        <v>670</v>
      </c>
      <c r="C3454" s="257" t="s">
        <v>10676</v>
      </c>
      <c r="D3454" s="173" t="s">
        <v>10677</v>
      </c>
      <c r="E3454" s="174" t="s">
        <v>2861</v>
      </c>
      <c r="F3454" s="173" t="s">
        <v>2862</v>
      </c>
      <c r="G3454" s="425" t="s">
        <v>673</v>
      </c>
      <c r="H3454" s="425" t="s">
        <v>2863</v>
      </c>
      <c r="I3454" s="258" t="s">
        <v>9445</v>
      </c>
      <c r="J3454" s="259" t="s">
        <v>1393</v>
      </c>
      <c r="K3454" s="260" t="s">
        <v>8447</v>
      </c>
      <c r="L3454" s="442"/>
      <c r="M3454" s="426"/>
      <c r="N3454" s="173" t="s">
        <v>679</v>
      </c>
      <c r="O3454" s="173" t="s">
        <v>225</v>
      </c>
      <c r="P3454" s="262" t="str">
        <f t="shared" si="1"/>
        <v>IN-BLR-ANANTA-FAN-402_10</v>
      </c>
      <c r="Q3454" s="173" t="s">
        <v>10678</v>
      </c>
      <c r="R3454" s="425" t="str">
        <f>IFS(C3454="","",C3454="n/a","N/A",LEN(C3454),Concatenate("{",char(34),"asset",char(34),":{",char(34),"guid",char(34),":",char(34),Q3454,char(34),",",char(34),"site",char(34),":",char(34),LOWER('2-Building'!$B$4),char(34),",",char(34),"name",char(34),":",char(34),LOWER(C3454),char(34),"}}"))</f>
        <v>{"asset":{"guid":"uuid://2bfdd52d-0cc6-4f92-8372-b54c6071adb6","site":"in-blr-ananta","name":"fan-402"}}</v>
      </c>
      <c r="S3454" s="369" t="s">
        <v>2866</v>
      </c>
      <c r="T3454" s="427"/>
      <c r="U3454" s="427"/>
      <c r="V3454" s="428"/>
      <c r="W3454" s="429"/>
      <c r="X3454" s="430"/>
      <c r="Y3454" s="33" t="s">
        <v>8076</v>
      </c>
      <c r="Z3454" s="430"/>
      <c r="AA3454" s="430"/>
      <c r="AB3454" s="258">
        <v>189.0</v>
      </c>
      <c r="AC3454" s="430"/>
      <c r="AD3454" s="426"/>
      <c r="AE3454" s="428"/>
      <c r="AF3454" s="431"/>
      <c r="AG3454" s="432"/>
      <c r="AH3454" s="430"/>
      <c r="AI3454" s="430"/>
      <c r="AJ3454" s="430"/>
      <c r="AK3454" s="430"/>
      <c r="AL3454" s="430"/>
      <c r="AM3454" s="433"/>
      <c r="AN3454" s="430"/>
      <c r="AO3454" s="430"/>
      <c r="AP3454" s="430"/>
      <c r="AQ3454" s="430"/>
      <c r="AR3454" s="430"/>
      <c r="AS3454" s="430"/>
      <c r="AT3454" s="430"/>
      <c r="AU3454" s="426"/>
      <c r="AV3454" s="174"/>
      <c r="AW3454" s="269" t="s">
        <v>1763</v>
      </c>
      <c r="AX3454" s="269" t="s">
        <v>2869</v>
      </c>
      <c r="AY3454" s="270" t="s">
        <v>695</v>
      </c>
      <c r="AZ3454" s="435"/>
      <c r="BA3454" s="173">
        <v>10.0</v>
      </c>
      <c r="BB3454" s="434"/>
      <c r="BC3454" s="434"/>
      <c r="BD3454" s="308" t="s">
        <v>1844</v>
      </c>
      <c r="BE3454" s="436"/>
      <c r="BF3454" s="274" t="str">
        <f>IFERROR(__xludf.DUMMYFUNCTION("LOWER(Regexreplace(to_text(E3454),""[^A-Za-z0-9]"","""")&amp;""_""&amp;Regexreplace(to_text(F3454),""[^A-Za-z0-9]"",""""))"),"neptronic_evcbseries")</f>
        <v>neptronic_evcbseries</v>
      </c>
      <c r="BG3454" s="275" t="str">
        <f>IFERROR(__xludf.DUMMYFUNCTION("upper(Regexreplace(to_text(E3454),""[^A-Za-z0-9]"","""")&amp;""-""&amp;Regexreplace(to_text(F3454),""[^A-Za-z0-9]"",""""))"),"NEPTRONIC-EVCBSERIES")</f>
        <v>NEPTRONIC-EVCBSERIES</v>
      </c>
    </row>
    <row r="3455" ht="30.0" customHeight="1">
      <c r="A3455" s="425">
        <v>2690.0</v>
      </c>
      <c r="B3455" s="425" t="s">
        <v>670</v>
      </c>
      <c r="C3455" s="257" t="s">
        <v>10679</v>
      </c>
      <c r="D3455" s="173" t="s">
        <v>10680</v>
      </c>
      <c r="E3455" s="174" t="s">
        <v>2861</v>
      </c>
      <c r="F3455" s="173" t="s">
        <v>2862</v>
      </c>
      <c r="G3455" s="425" t="s">
        <v>673</v>
      </c>
      <c r="H3455" s="425" t="s">
        <v>2863</v>
      </c>
      <c r="I3455" s="258" t="s">
        <v>9445</v>
      </c>
      <c r="J3455" s="259" t="s">
        <v>1453</v>
      </c>
      <c r="K3455" s="260" t="s">
        <v>1465</v>
      </c>
      <c r="L3455" s="442"/>
      <c r="M3455" s="426"/>
      <c r="N3455" s="173" t="s">
        <v>679</v>
      </c>
      <c r="O3455" s="173" t="s">
        <v>225</v>
      </c>
      <c r="P3455" s="262" t="str">
        <f t="shared" si="1"/>
        <v>IN-BLR-ANANTA-FAN-403_11</v>
      </c>
      <c r="Q3455" s="173" t="s">
        <v>10681</v>
      </c>
      <c r="R3455" s="425" t="str">
        <f>IFS(C3455="","",C3455="n/a","N/A",LEN(C3455),Concatenate("{",char(34),"asset",char(34),":{",char(34),"guid",char(34),":",char(34),Q3455,char(34),",",char(34),"site",char(34),":",char(34),LOWER('2-Building'!$B$4),char(34),",",char(34),"name",char(34),":",char(34),LOWER(C3455),char(34),"}}"))</f>
        <v>{"asset":{"guid":"uuid://d4afb4d5-2ff4-46f4-b797-a1750d47e049","site":"in-blr-ananta","name":"fan-403"}}</v>
      </c>
      <c r="S3455" s="369" t="s">
        <v>2866</v>
      </c>
      <c r="T3455" s="427"/>
      <c r="U3455" s="427"/>
      <c r="V3455" s="428"/>
      <c r="W3455" s="429"/>
      <c r="X3455" s="430"/>
      <c r="Y3455" s="33" t="s">
        <v>8076</v>
      </c>
      <c r="Z3455" s="430"/>
      <c r="AA3455" s="430"/>
      <c r="AB3455" s="258">
        <v>190.0</v>
      </c>
      <c r="AC3455" s="430"/>
      <c r="AD3455" s="426"/>
      <c r="AE3455" s="428"/>
      <c r="AF3455" s="431"/>
      <c r="AG3455" s="432"/>
      <c r="AH3455" s="430"/>
      <c r="AI3455" s="430"/>
      <c r="AJ3455" s="430"/>
      <c r="AK3455" s="430"/>
      <c r="AL3455" s="430"/>
      <c r="AM3455" s="433"/>
      <c r="AN3455" s="430"/>
      <c r="AO3455" s="430"/>
      <c r="AP3455" s="430"/>
      <c r="AQ3455" s="430"/>
      <c r="AR3455" s="430"/>
      <c r="AS3455" s="430"/>
      <c r="AT3455" s="430"/>
      <c r="AU3455" s="426"/>
      <c r="AV3455" s="174"/>
      <c r="AW3455" s="269" t="s">
        <v>1763</v>
      </c>
      <c r="AX3455" s="269" t="s">
        <v>2869</v>
      </c>
      <c r="AY3455" s="270" t="s">
        <v>695</v>
      </c>
      <c r="AZ3455" s="435"/>
      <c r="BA3455" s="173">
        <v>10.0</v>
      </c>
      <c r="BB3455" s="434"/>
      <c r="BC3455" s="434"/>
      <c r="BD3455" s="308" t="s">
        <v>1844</v>
      </c>
      <c r="BE3455" s="436"/>
      <c r="BF3455" s="274" t="str">
        <f>IFERROR(__xludf.DUMMYFUNCTION("LOWER(Regexreplace(to_text(E3455),""[^A-Za-z0-9]"","""")&amp;""_""&amp;Regexreplace(to_text(F3455),""[^A-Za-z0-9]"",""""))"),"neptronic_evcbseries")</f>
        <v>neptronic_evcbseries</v>
      </c>
      <c r="BG3455" s="275" t="str">
        <f>IFERROR(__xludf.DUMMYFUNCTION("upper(Regexreplace(to_text(E3455),""[^A-Za-z0-9]"","""")&amp;""-""&amp;Regexreplace(to_text(F3455),""[^A-Za-z0-9]"",""""))"),"NEPTRONIC-EVCBSERIES")</f>
        <v>NEPTRONIC-EVCBSERIES</v>
      </c>
    </row>
    <row r="3456" ht="30.0" customHeight="1">
      <c r="A3456" s="425">
        <v>2690.0</v>
      </c>
      <c r="B3456" s="425" t="s">
        <v>670</v>
      </c>
      <c r="C3456" s="257" t="s">
        <v>10682</v>
      </c>
      <c r="D3456" s="173" t="s">
        <v>10683</v>
      </c>
      <c r="E3456" s="174" t="s">
        <v>2861</v>
      </c>
      <c r="F3456" s="173" t="s">
        <v>2862</v>
      </c>
      <c r="G3456" s="425" t="s">
        <v>673</v>
      </c>
      <c r="H3456" s="425" t="s">
        <v>2863</v>
      </c>
      <c r="I3456" s="258" t="s">
        <v>9445</v>
      </c>
      <c r="J3456" s="259" t="s">
        <v>1453</v>
      </c>
      <c r="K3456" s="260" t="s">
        <v>1465</v>
      </c>
      <c r="L3456" s="442"/>
      <c r="M3456" s="426"/>
      <c r="N3456" s="173" t="s">
        <v>679</v>
      </c>
      <c r="O3456" s="173" t="s">
        <v>225</v>
      </c>
      <c r="P3456" s="262" t="str">
        <f t="shared" si="1"/>
        <v>IN-BLR-ANANTA-FAN-404_11</v>
      </c>
      <c r="Q3456" s="173" t="s">
        <v>10684</v>
      </c>
      <c r="R3456" s="425" t="str">
        <f>IFS(C3456="","",C3456="n/a","N/A",LEN(C3456),Concatenate("{",char(34),"asset",char(34),":{",char(34),"guid",char(34),":",char(34),Q3456,char(34),",",char(34),"site",char(34),":",char(34),LOWER('2-Building'!$B$4),char(34),",",char(34),"name",char(34),":",char(34),LOWER(C3456),char(34),"}}"))</f>
        <v>{"asset":{"guid":"uuid://2971e60d-709b-4328-a01e-48079250072e","site":"in-blr-ananta","name":"fan-404"}}</v>
      </c>
      <c r="S3456" s="369" t="s">
        <v>2866</v>
      </c>
      <c r="T3456" s="427"/>
      <c r="U3456" s="427"/>
      <c r="V3456" s="428"/>
      <c r="W3456" s="429"/>
      <c r="X3456" s="430"/>
      <c r="Y3456" s="33" t="s">
        <v>8076</v>
      </c>
      <c r="Z3456" s="430"/>
      <c r="AA3456" s="430"/>
      <c r="AB3456" s="258">
        <v>191.0</v>
      </c>
      <c r="AC3456" s="430"/>
      <c r="AD3456" s="426"/>
      <c r="AE3456" s="428"/>
      <c r="AF3456" s="431"/>
      <c r="AG3456" s="432"/>
      <c r="AH3456" s="430"/>
      <c r="AI3456" s="430"/>
      <c r="AJ3456" s="430"/>
      <c r="AK3456" s="430"/>
      <c r="AL3456" s="430"/>
      <c r="AM3456" s="433"/>
      <c r="AN3456" s="430"/>
      <c r="AO3456" s="430"/>
      <c r="AP3456" s="430"/>
      <c r="AQ3456" s="430"/>
      <c r="AR3456" s="430"/>
      <c r="AS3456" s="430"/>
      <c r="AT3456" s="430"/>
      <c r="AU3456" s="426"/>
      <c r="AV3456" s="174"/>
      <c r="AW3456" s="269" t="s">
        <v>1763</v>
      </c>
      <c r="AX3456" s="269" t="s">
        <v>2869</v>
      </c>
      <c r="AY3456" s="270" t="s">
        <v>695</v>
      </c>
      <c r="AZ3456" s="435"/>
      <c r="BA3456" s="173">
        <v>10.0</v>
      </c>
      <c r="BB3456" s="434"/>
      <c r="BC3456" s="434"/>
      <c r="BD3456" s="308" t="s">
        <v>1844</v>
      </c>
      <c r="BE3456" s="436"/>
      <c r="BF3456" s="274" t="str">
        <f>IFERROR(__xludf.DUMMYFUNCTION("LOWER(Regexreplace(to_text(E3456),""[^A-Za-z0-9]"","""")&amp;""_""&amp;Regexreplace(to_text(F3456),""[^A-Za-z0-9]"",""""))"),"neptronic_evcbseries")</f>
        <v>neptronic_evcbseries</v>
      </c>
      <c r="BG3456" s="275" t="str">
        <f>IFERROR(__xludf.DUMMYFUNCTION("upper(Regexreplace(to_text(E3456),""[^A-Za-z0-9]"","""")&amp;""-""&amp;Regexreplace(to_text(F3456),""[^A-Za-z0-9]"",""""))"),"NEPTRONIC-EVCBSERIES")</f>
        <v>NEPTRONIC-EVCBSERIES</v>
      </c>
    </row>
    <row r="3457" ht="30.0" customHeight="1">
      <c r="A3457" s="425">
        <v>2690.0</v>
      </c>
      <c r="B3457" s="425" t="s">
        <v>670</v>
      </c>
      <c r="C3457" s="257" t="s">
        <v>10685</v>
      </c>
      <c r="D3457" s="173" t="s">
        <v>10686</v>
      </c>
      <c r="E3457" s="174" t="s">
        <v>9267</v>
      </c>
      <c r="F3457" s="173" t="s">
        <v>9268</v>
      </c>
      <c r="G3457" s="425" t="s">
        <v>673</v>
      </c>
      <c r="H3457" s="425" t="s">
        <v>2863</v>
      </c>
      <c r="I3457" s="258" t="s">
        <v>9445</v>
      </c>
      <c r="J3457" s="259" t="s">
        <v>1453</v>
      </c>
      <c r="K3457" s="260" t="s">
        <v>1465</v>
      </c>
      <c r="L3457" s="442"/>
      <c r="M3457" s="426"/>
      <c r="N3457" s="173" t="s">
        <v>679</v>
      </c>
      <c r="O3457" s="173" t="s">
        <v>225</v>
      </c>
      <c r="P3457" s="262" t="str">
        <f t="shared" si="1"/>
        <v>IN-BLR-ANANTA-FAN-405_11</v>
      </c>
      <c r="Q3457" s="173" t="s">
        <v>10687</v>
      </c>
      <c r="R3457" s="433" t="str">
        <f>IFS(C3457="","",C3457="n/a","N/A",LEN(C3457),Concatenate("{",char(34),"asset",char(34),":{",char(34),"guid",char(34),":",char(34),Q3457,char(34),",",char(34),"site",char(34),":",char(34),LOWER('2-Building'!$B$4),char(34),",",char(34),"name",char(34),":",char(34),LOWER(C3457),char(34),"}}"))</f>
        <v>{"asset":{"guid":"uuid://44c2bcb7-cda5-4305-baa4-d816fb7bc434","site":"in-blr-ananta","name":"fan-405"}}</v>
      </c>
      <c r="S3457" s="369" t="s">
        <v>2866</v>
      </c>
      <c r="T3457" s="427"/>
      <c r="U3457" s="427"/>
      <c r="V3457" s="428"/>
      <c r="W3457" s="429"/>
      <c r="X3457" s="430"/>
      <c r="Y3457" s="33" t="s">
        <v>8076</v>
      </c>
      <c r="Z3457" s="430"/>
      <c r="AA3457" s="430"/>
      <c r="AB3457" s="258">
        <v>192.0</v>
      </c>
      <c r="AC3457" s="430"/>
      <c r="AD3457" s="426"/>
      <c r="AE3457" s="428"/>
      <c r="AF3457" s="431"/>
      <c r="AG3457" s="432" t="str">
        <f>IFS(LEN(AF3457)=17,LOWER('2-Building'!$B$4 &amp; "-" &amp; C3457), AF3457="N/A", "N/A", LEN(AF3457)=0,"")</f>
        <v/>
      </c>
      <c r="AH3457" s="430"/>
      <c r="AI3457" s="430"/>
      <c r="AJ3457" s="430"/>
      <c r="AK3457" s="430"/>
      <c r="AL3457" s="430"/>
      <c r="AM3457" s="433"/>
      <c r="AN3457" s="430"/>
      <c r="AO3457" s="430"/>
      <c r="AP3457" s="430"/>
      <c r="AQ3457" s="430"/>
      <c r="AR3457" s="430"/>
      <c r="AS3457" s="430"/>
      <c r="AT3457" s="430"/>
      <c r="AU3457" s="426"/>
      <c r="AV3457" s="174"/>
      <c r="AW3457" s="269" t="s">
        <v>1763</v>
      </c>
      <c r="AX3457" s="269" t="s">
        <v>2869</v>
      </c>
      <c r="AY3457" s="270" t="s">
        <v>695</v>
      </c>
      <c r="AZ3457" s="435"/>
      <c r="BA3457" s="173">
        <v>10.0</v>
      </c>
      <c r="BB3457" s="434"/>
      <c r="BC3457" s="434"/>
      <c r="BD3457" s="308" t="s">
        <v>1844</v>
      </c>
      <c r="BE3457" s="436"/>
      <c r="BF3457" s="274" t="str">
        <f>IFERROR(__xludf.DUMMYFUNCTION("LOWER(Regexreplace(to_text(E3457),""[^A-Za-z0-9]"","""")&amp;""_""&amp;Regexreplace(to_text(F3457),""[^A-Za-z0-9]"",""""))"),"nicotra_ddmp")</f>
        <v>nicotra_ddmp</v>
      </c>
      <c r="BG3457" s="275" t="str">
        <f>IFERROR(__xludf.DUMMYFUNCTION("upper(Regexreplace(to_text(E3457),""[^A-Za-z0-9]"","""")&amp;""-""&amp;Regexreplace(to_text(F3457),""[^A-Za-z0-9]"",""""))"),"NICOTRA-DDMP")</f>
        <v>NICOTRA-DDMP</v>
      </c>
    </row>
    <row r="3458" ht="30.0" customHeight="1">
      <c r="A3458" s="425">
        <v>2690.0</v>
      </c>
      <c r="B3458" s="425" t="s">
        <v>670</v>
      </c>
      <c r="C3458" s="257" t="s">
        <v>10688</v>
      </c>
      <c r="D3458" s="173" t="s">
        <v>10689</v>
      </c>
      <c r="E3458" s="174" t="s">
        <v>9267</v>
      </c>
      <c r="F3458" s="173" t="s">
        <v>9268</v>
      </c>
      <c r="G3458" s="425" t="s">
        <v>673</v>
      </c>
      <c r="H3458" s="425" t="s">
        <v>2863</v>
      </c>
      <c r="I3458" s="258" t="s">
        <v>9445</v>
      </c>
      <c r="J3458" s="259" t="s">
        <v>1453</v>
      </c>
      <c r="K3458" s="260" t="s">
        <v>1465</v>
      </c>
      <c r="L3458" s="442"/>
      <c r="M3458" s="426"/>
      <c r="N3458" s="173" t="s">
        <v>679</v>
      </c>
      <c r="O3458" s="173" t="s">
        <v>225</v>
      </c>
      <c r="P3458" s="262" t="str">
        <f t="shared" si="1"/>
        <v>IN-BLR-ANANTA-FAN-406_11</v>
      </c>
      <c r="Q3458" s="173" t="s">
        <v>10690</v>
      </c>
      <c r="R3458" s="425" t="str">
        <f>IFS(C3458="","",C3458="n/a","N/A",LEN(C3458),Concatenate("{",char(34),"asset",char(34),":{",char(34),"guid",char(34),":",char(34),Q3458,char(34),",",char(34),"site",char(34),":",char(34),LOWER('2-Building'!$B$4),char(34),",",char(34),"name",char(34),":",char(34),LOWER(C3458),char(34),"}}"))</f>
        <v>{"asset":{"guid":"uuid://5254cced-7f16-48fb-87ff-25b1898d8ee4","site":"in-blr-ananta","name":"fan-406"}}</v>
      </c>
      <c r="S3458" s="369" t="s">
        <v>2866</v>
      </c>
      <c r="T3458" s="427"/>
      <c r="U3458" s="427"/>
      <c r="V3458" s="428"/>
      <c r="W3458" s="429"/>
      <c r="X3458" s="430"/>
      <c r="Y3458" s="33" t="s">
        <v>8076</v>
      </c>
      <c r="Z3458" s="430"/>
      <c r="AA3458" s="430"/>
      <c r="AB3458" s="258">
        <v>193.0</v>
      </c>
      <c r="AC3458" s="430"/>
      <c r="AD3458" s="426"/>
      <c r="AE3458" s="428"/>
      <c r="AF3458" s="431"/>
      <c r="AG3458" s="432" t="str">
        <f>IFS(LEN(AF3458)=17,LOWER('2-Building'!$B$4 &amp; "-" &amp; C3458), AF3458="N/A", "N/A", LEN(AF3458)=0,"")</f>
        <v/>
      </c>
      <c r="AH3458" s="430"/>
      <c r="AI3458" s="430"/>
      <c r="AJ3458" s="430"/>
      <c r="AK3458" s="430"/>
      <c r="AL3458" s="430"/>
      <c r="AM3458" s="433"/>
      <c r="AN3458" s="430"/>
      <c r="AO3458" s="430"/>
      <c r="AP3458" s="430"/>
      <c r="AQ3458" s="430"/>
      <c r="AR3458" s="430"/>
      <c r="AS3458" s="430"/>
      <c r="AT3458" s="430"/>
      <c r="AU3458" s="426"/>
      <c r="AV3458" s="174"/>
      <c r="AW3458" s="269" t="s">
        <v>1763</v>
      </c>
      <c r="AX3458" s="269" t="s">
        <v>2869</v>
      </c>
      <c r="AY3458" s="270" t="s">
        <v>695</v>
      </c>
      <c r="AZ3458" s="435"/>
      <c r="BA3458" s="173">
        <v>10.0</v>
      </c>
      <c r="BB3458" s="434"/>
      <c r="BC3458" s="434"/>
      <c r="BD3458" s="308" t="s">
        <v>1844</v>
      </c>
      <c r="BE3458" s="436"/>
      <c r="BF3458" s="274" t="str">
        <f>IFERROR(__xludf.DUMMYFUNCTION("LOWER(Regexreplace(to_text(E3458),""[^A-Za-z0-9]"","""")&amp;""_""&amp;Regexreplace(to_text(F3458),""[^A-Za-z0-9]"",""""))"),"nicotra_ddmp")</f>
        <v>nicotra_ddmp</v>
      </c>
      <c r="BG3458" s="275" t="str">
        <f>IFERROR(__xludf.DUMMYFUNCTION("upper(Regexreplace(to_text(E3458),""[^A-Za-z0-9]"","""")&amp;""-""&amp;Regexreplace(to_text(F3458),""[^A-Za-z0-9]"",""""))"),"NICOTRA-DDMP")</f>
        <v>NICOTRA-DDMP</v>
      </c>
    </row>
    <row r="3459" ht="30.0" customHeight="1">
      <c r="A3459" s="237">
        <v>2689.0</v>
      </c>
      <c r="B3459" s="425" t="s">
        <v>670</v>
      </c>
      <c r="C3459" s="257" t="s">
        <v>10691</v>
      </c>
      <c r="D3459" s="173" t="s">
        <v>10692</v>
      </c>
      <c r="E3459" s="174" t="s">
        <v>9267</v>
      </c>
      <c r="F3459" s="173" t="s">
        <v>9268</v>
      </c>
      <c r="G3459" s="425" t="s">
        <v>673</v>
      </c>
      <c r="H3459" s="425" t="s">
        <v>2863</v>
      </c>
      <c r="I3459" s="258" t="s">
        <v>9445</v>
      </c>
      <c r="J3459" s="259" t="s">
        <v>1453</v>
      </c>
      <c r="K3459" s="260" t="s">
        <v>1465</v>
      </c>
      <c r="L3459" s="442"/>
      <c r="M3459" s="426"/>
      <c r="N3459" s="173" t="s">
        <v>679</v>
      </c>
      <c r="O3459" s="173" t="s">
        <v>225</v>
      </c>
      <c r="P3459" s="262" t="str">
        <f t="shared" si="1"/>
        <v>IN-BLR-ANANTA-FAN-407_11</v>
      </c>
      <c r="Q3459" s="173" t="s">
        <v>10693</v>
      </c>
      <c r="R3459" s="425" t="str">
        <f>IFS(C3459="","",C3459="n/a","N/A",LEN(C3459),Concatenate("{",char(34),"asset",char(34),":{",char(34),"guid",char(34),":",char(34),Q3459,char(34),",",char(34),"site",char(34),":",char(34),LOWER('2-Building'!$B$4),char(34),",",char(34),"name",char(34),":",char(34),LOWER(C3459),char(34),"}}"))</f>
        <v>{"asset":{"guid":"uuid://a11b6ad4-1834-48a1-86bb-8a971bf6fdd6","site":"in-blr-ananta","name":"fan-407"}}</v>
      </c>
      <c r="S3459" s="369" t="s">
        <v>2866</v>
      </c>
      <c r="T3459" s="427"/>
      <c r="U3459" s="427"/>
      <c r="V3459" s="428"/>
      <c r="W3459" s="429"/>
      <c r="X3459" s="430"/>
      <c r="Y3459" s="33" t="s">
        <v>8076</v>
      </c>
      <c r="Z3459" s="430"/>
      <c r="AA3459" s="430"/>
      <c r="AB3459" s="258">
        <v>194.0</v>
      </c>
      <c r="AC3459" s="430"/>
      <c r="AD3459" s="426"/>
      <c r="AE3459" s="428"/>
      <c r="AF3459" s="431"/>
      <c r="AG3459" s="432" t="str">
        <f>IFS(LEN(AF3459)=17,LOWER('2-Building'!$B$4 &amp; "-" &amp; C3459), AF3459="N/A", "N/A", LEN(AF3459)=0,"")</f>
        <v/>
      </c>
      <c r="AH3459" s="430"/>
      <c r="AI3459" s="430"/>
      <c r="AJ3459" s="430"/>
      <c r="AK3459" s="430"/>
      <c r="AL3459" s="430"/>
      <c r="AM3459" s="433"/>
      <c r="AN3459" s="430"/>
      <c r="AO3459" s="430"/>
      <c r="AP3459" s="430"/>
      <c r="AQ3459" s="430"/>
      <c r="AR3459" s="430"/>
      <c r="AS3459" s="430"/>
      <c r="AT3459" s="430"/>
      <c r="AU3459" s="426"/>
      <c r="AV3459" s="174"/>
      <c r="AW3459" s="269" t="s">
        <v>1763</v>
      </c>
      <c r="AX3459" s="269" t="s">
        <v>2869</v>
      </c>
      <c r="AY3459" s="270" t="s">
        <v>695</v>
      </c>
      <c r="AZ3459" s="435"/>
      <c r="BA3459" s="173">
        <v>10.0</v>
      </c>
      <c r="BB3459" s="434"/>
      <c r="BC3459" s="434"/>
      <c r="BD3459" s="308" t="s">
        <v>1844</v>
      </c>
      <c r="BE3459" s="436"/>
      <c r="BF3459" s="274" t="str">
        <f>IFERROR(__xludf.DUMMYFUNCTION("LOWER(Regexreplace(to_text(E3459),""[^A-Za-z0-9]"","""")&amp;""_""&amp;Regexreplace(to_text(F3459),""[^A-Za-z0-9]"",""""))"),"nicotra_ddmp")</f>
        <v>nicotra_ddmp</v>
      </c>
      <c r="BG3459" s="275" t="str">
        <f>IFERROR(__xludf.DUMMYFUNCTION("upper(Regexreplace(to_text(E3459),""[^A-Za-z0-9]"","""")&amp;""-""&amp;Regexreplace(to_text(F3459),""[^A-Za-z0-9]"",""""))"),"NICOTRA-DDMP")</f>
        <v>NICOTRA-DDMP</v>
      </c>
    </row>
    <row r="3460" ht="30.0" customHeight="1">
      <c r="A3460" s="237">
        <v>2691.0</v>
      </c>
      <c r="B3460" s="425" t="s">
        <v>670</v>
      </c>
      <c r="C3460" s="257" t="s">
        <v>10694</v>
      </c>
      <c r="D3460" s="173" t="s">
        <v>10695</v>
      </c>
      <c r="E3460" s="174" t="s">
        <v>9267</v>
      </c>
      <c r="F3460" s="173" t="s">
        <v>9268</v>
      </c>
      <c r="G3460" s="425" t="s">
        <v>673</v>
      </c>
      <c r="H3460" s="425" t="s">
        <v>2863</v>
      </c>
      <c r="I3460" s="258" t="s">
        <v>9445</v>
      </c>
      <c r="J3460" s="259" t="s">
        <v>1453</v>
      </c>
      <c r="K3460" s="260" t="s">
        <v>1465</v>
      </c>
      <c r="L3460" s="442"/>
      <c r="M3460" s="426"/>
      <c r="N3460" s="173" t="s">
        <v>679</v>
      </c>
      <c r="O3460" s="173" t="s">
        <v>225</v>
      </c>
      <c r="P3460" s="262" t="str">
        <f t="shared" si="1"/>
        <v>IN-BLR-ANANTA-FAN-408_11</v>
      </c>
      <c r="Q3460" s="173" t="s">
        <v>10696</v>
      </c>
      <c r="R3460" s="425" t="str">
        <f>IFS(C3460="","",C3460="n/a","N/A",LEN(C3460),Concatenate("{",char(34),"asset",char(34),":{",char(34),"guid",char(34),":",char(34),Q3460,char(34),",",char(34),"site",char(34),":",char(34),LOWER('2-Building'!$B$4),char(34),",",char(34),"name",char(34),":",char(34),LOWER(C3460),char(34),"}}"))</f>
        <v>{"asset":{"guid":"uuid://78bce4e4-9532-4983-bc59-d543f8a0f7a6","site":"in-blr-ananta","name":"fan-408"}}</v>
      </c>
      <c r="S3460" s="369" t="s">
        <v>2866</v>
      </c>
      <c r="T3460" s="427"/>
      <c r="U3460" s="427"/>
      <c r="V3460" s="428"/>
      <c r="W3460" s="429"/>
      <c r="X3460" s="430"/>
      <c r="Y3460" s="33" t="s">
        <v>8076</v>
      </c>
      <c r="Z3460" s="430"/>
      <c r="AA3460" s="430"/>
      <c r="AB3460" s="258">
        <v>195.0</v>
      </c>
      <c r="AC3460" s="430"/>
      <c r="AD3460" s="426"/>
      <c r="AE3460" s="428"/>
      <c r="AF3460" s="431"/>
      <c r="AG3460" s="432" t="str">
        <f>IFS(LEN(AF3460)=17,LOWER('2-Building'!$B$4 &amp; "-" &amp; C3460), AF3460="N/A", "N/A", LEN(AF3460)=0,"")</f>
        <v/>
      </c>
      <c r="AH3460" s="430"/>
      <c r="AI3460" s="430"/>
      <c r="AJ3460" s="430"/>
      <c r="AK3460" s="430"/>
      <c r="AL3460" s="430"/>
      <c r="AM3460" s="433"/>
      <c r="AN3460" s="430"/>
      <c r="AO3460" s="430"/>
      <c r="AP3460" s="430"/>
      <c r="AQ3460" s="430"/>
      <c r="AR3460" s="430"/>
      <c r="AS3460" s="430"/>
      <c r="AT3460" s="430"/>
      <c r="AU3460" s="426"/>
      <c r="AV3460" s="174"/>
      <c r="AW3460" s="269" t="s">
        <v>1763</v>
      </c>
      <c r="AX3460" s="269" t="s">
        <v>2869</v>
      </c>
      <c r="AY3460" s="270" t="s">
        <v>695</v>
      </c>
      <c r="AZ3460" s="435"/>
      <c r="BA3460" s="173">
        <v>10.0</v>
      </c>
      <c r="BB3460" s="434"/>
      <c r="BC3460" s="434"/>
      <c r="BD3460" s="308" t="s">
        <v>1844</v>
      </c>
      <c r="BE3460" s="436"/>
      <c r="BF3460" s="274" t="str">
        <f>IFERROR(__xludf.DUMMYFUNCTION("LOWER(Regexreplace(to_text(E3460),""[^A-Za-z0-9]"","""")&amp;""_""&amp;Regexreplace(to_text(F3460),""[^A-Za-z0-9]"",""""))"),"nicotra_ddmp")</f>
        <v>nicotra_ddmp</v>
      </c>
      <c r="BG3460" s="275" t="str">
        <f>IFERROR(__xludf.DUMMYFUNCTION("upper(Regexreplace(to_text(E3460),""[^A-Za-z0-9]"","""")&amp;""-""&amp;Regexreplace(to_text(F3460),""[^A-Za-z0-9]"",""""))"),"NICOTRA-DDMP")</f>
        <v>NICOTRA-DDMP</v>
      </c>
    </row>
    <row r="3461" ht="30.0" customHeight="1">
      <c r="A3461" s="328">
        <v>2690.0</v>
      </c>
      <c r="B3461" s="425" t="s">
        <v>670</v>
      </c>
      <c r="C3461" s="257" t="s">
        <v>10697</v>
      </c>
      <c r="D3461" s="173" t="s">
        <v>10698</v>
      </c>
      <c r="E3461" s="174" t="s">
        <v>9267</v>
      </c>
      <c r="F3461" s="173" t="s">
        <v>9268</v>
      </c>
      <c r="G3461" s="425" t="s">
        <v>673</v>
      </c>
      <c r="H3461" s="425" t="s">
        <v>2863</v>
      </c>
      <c r="I3461" s="258" t="s">
        <v>9445</v>
      </c>
      <c r="J3461" s="259" t="s">
        <v>1393</v>
      </c>
      <c r="K3461" s="260" t="s">
        <v>9391</v>
      </c>
      <c r="L3461" s="442"/>
      <c r="M3461" s="426"/>
      <c r="N3461" s="173" t="s">
        <v>679</v>
      </c>
      <c r="O3461" s="173" t="s">
        <v>225</v>
      </c>
      <c r="P3461" s="262" t="str">
        <f t="shared" si="1"/>
        <v>IN-BLR-ANANTA-FAN-409_10</v>
      </c>
      <c r="Q3461" s="173" t="s">
        <v>10699</v>
      </c>
      <c r="R3461" s="425" t="str">
        <f>IFS(C3461="","",C3461="n/a","N/A",LEN(C3461),Concatenate("{",char(34),"asset",char(34),":{",char(34),"guid",char(34),":",char(34),Q3461,char(34),",",char(34),"site",char(34),":",char(34),LOWER('2-Building'!$B$4),char(34),",",char(34),"name",char(34),":",char(34),LOWER(C3461),char(34),"}}"))</f>
        <v>{"asset":{"guid":"uuid://0c7adae0-eea3-4da9-862f-1dd8ba49611f","site":"in-blr-ananta","name":"fan-409"}}</v>
      </c>
      <c r="S3461" s="369" t="s">
        <v>2866</v>
      </c>
      <c r="T3461" s="427"/>
      <c r="U3461" s="427"/>
      <c r="V3461" s="428"/>
      <c r="W3461" s="429"/>
      <c r="X3461" s="430"/>
      <c r="Y3461" s="33" t="s">
        <v>8076</v>
      </c>
      <c r="Z3461" s="430"/>
      <c r="AA3461" s="430"/>
      <c r="AB3461" s="258">
        <v>172.0</v>
      </c>
      <c r="AC3461" s="430"/>
      <c r="AD3461" s="426"/>
      <c r="AE3461" s="428"/>
      <c r="AF3461" s="431"/>
      <c r="AG3461" s="432" t="str">
        <f>IFS(LEN(AF3461)=17,LOWER('2-Building'!$B$4 &amp; "-" &amp; C3461), AF3461="N/A", "N/A", LEN(AF3461)=0,"")</f>
        <v/>
      </c>
      <c r="AH3461" s="430"/>
      <c r="AI3461" s="430"/>
      <c r="AJ3461" s="430"/>
      <c r="AK3461" s="430"/>
      <c r="AL3461" s="430"/>
      <c r="AM3461" s="433"/>
      <c r="AN3461" s="430"/>
      <c r="AO3461" s="430"/>
      <c r="AP3461" s="430"/>
      <c r="AQ3461" s="430"/>
      <c r="AR3461" s="430"/>
      <c r="AS3461" s="430"/>
      <c r="AT3461" s="430"/>
      <c r="AU3461" s="426"/>
      <c r="AV3461" s="174"/>
      <c r="AW3461" s="269" t="s">
        <v>1771</v>
      </c>
      <c r="AX3461" s="269" t="s">
        <v>2869</v>
      </c>
      <c r="AY3461" s="270" t="s">
        <v>695</v>
      </c>
      <c r="AZ3461" s="435"/>
      <c r="BA3461" s="173">
        <v>10.0</v>
      </c>
      <c r="BB3461" s="434"/>
      <c r="BC3461" s="434"/>
      <c r="BD3461" s="308" t="s">
        <v>1844</v>
      </c>
      <c r="BE3461" s="436"/>
      <c r="BF3461" s="274" t="str">
        <f>IFERROR(__xludf.DUMMYFUNCTION("LOWER(Regexreplace(to_text(E3461),""[^A-Za-z0-9]"","""")&amp;""_""&amp;Regexreplace(to_text(F3461),""[^A-Za-z0-9]"",""""))"),"nicotra_ddmp")</f>
        <v>nicotra_ddmp</v>
      </c>
      <c r="BG3461" s="275" t="str">
        <f>IFERROR(__xludf.DUMMYFUNCTION("upper(Regexreplace(to_text(E3461),""[^A-Za-z0-9]"","""")&amp;""-""&amp;Regexreplace(to_text(F3461),""[^A-Za-z0-9]"",""""))"),"NICOTRA-DDMP")</f>
        <v>NICOTRA-DDMP</v>
      </c>
    </row>
    <row r="3462" ht="30.0" customHeight="1">
      <c r="A3462" s="237">
        <v>2691.0</v>
      </c>
      <c r="B3462" s="425" t="s">
        <v>670</v>
      </c>
      <c r="C3462" s="257" t="s">
        <v>10700</v>
      </c>
      <c r="D3462" s="173" t="s">
        <v>10701</v>
      </c>
      <c r="E3462" s="174" t="s">
        <v>9267</v>
      </c>
      <c r="F3462" s="173" t="s">
        <v>9268</v>
      </c>
      <c r="G3462" s="425" t="s">
        <v>673</v>
      </c>
      <c r="H3462" s="425" t="s">
        <v>2863</v>
      </c>
      <c r="I3462" s="258" t="s">
        <v>9445</v>
      </c>
      <c r="J3462" s="259" t="s">
        <v>1393</v>
      </c>
      <c r="K3462" s="260" t="s">
        <v>9391</v>
      </c>
      <c r="L3462" s="442"/>
      <c r="M3462" s="426"/>
      <c r="N3462" s="173" t="s">
        <v>679</v>
      </c>
      <c r="O3462" s="173" t="s">
        <v>225</v>
      </c>
      <c r="P3462" s="262" t="str">
        <f t="shared" si="1"/>
        <v>IN-BLR-ANANTA-FAN-410_10</v>
      </c>
      <c r="Q3462" s="173" t="s">
        <v>10702</v>
      </c>
      <c r="R3462" s="425" t="str">
        <f>IFS(C3462="","",C3462="n/a","N/A",LEN(C3462),Concatenate("{",char(34),"asset",char(34),":{",char(34),"guid",char(34),":",char(34),Q3462,char(34),",",char(34),"site",char(34),":",char(34),LOWER('2-Building'!$B$4),char(34),",",char(34),"name",char(34),":",char(34),LOWER(C3462),char(34),"}}"))</f>
        <v>{"asset":{"guid":"uuid://4fd1414a-ace1-4398-a21b-8d7693c56921","site":"in-blr-ananta","name":"fan-410"}}</v>
      </c>
      <c r="S3462" s="369" t="s">
        <v>2866</v>
      </c>
      <c r="T3462" s="427"/>
      <c r="U3462" s="427"/>
      <c r="V3462" s="428"/>
      <c r="W3462" s="429"/>
      <c r="X3462" s="430"/>
      <c r="Y3462" s="33" t="s">
        <v>8076</v>
      </c>
      <c r="Z3462" s="430"/>
      <c r="AA3462" s="430"/>
      <c r="AB3462" s="258">
        <v>173.0</v>
      </c>
      <c r="AC3462" s="430"/>
      <c r="AD3462" s="426"/>
      <c r="AE3462" s="428"/>
      <c r="AF3462" s="431"/>
      <c r="AG3462" s="432" t="str">
        <f>IFS(LEN(AF3462)=17,LOWER('2-Building'!$B$4 &amp; "-" &amp; C3462), AF3462="N/A", "N/A", LEN(AF3462)=0,"")</f>
        <v/>
      </c>
      <c r="AH3462" s="430"/>
      <c r="AI3462" s="430"/>
      <c r="AJ3462" s="430"/>
      <c r="AK3462" s="430"/>
      <c r="AL3462" s="430"/>
      <c r="AM3462" s="433"/>
      <c r="AN3462" s="430"/>
      <c r="AO3462" s="430"/>
      <c r="AP3462" s="430"/>
      <c r="AQ3462" s="430"/>
      <c r="AR3462" s="430"/>
      <c r="AS3462" s="430"/>
      <c r="AT3462" s="430"/>
      <c r="AU3462" s="426"/>
      <c r="AV3462" s="174"/>
      <c r="AW3462" s="269" t="s">
        <v>1771</v>
      </c>
      <c r="AX3462" s="269" t="s">
        <v>2869</v>
      </c>
      <c r="AY3462" s="270" t="s">
        <v>695</v>
      </c>
      <c r="AZ3462" s="435"/>
      <c r="BA3462" s="173">
        <v>10.0</v>
      </c>
      <c r="BB3462" s="434"/>
      <c r="BC3462" s="434"/>
      <c r="BD3462" s="308" t="s">
        <v>1844</v>
      </c>
      <c r="BE3462" s="436"/>
      <c r="BF3462" s="274" t="str">
        <f>IFERROR(__xludf.DUMMYFUNCTION("LOWER(Regexreplace(to_text(E3462),""[^A-Za-z0-9]"","""")&amp;""_""&amp;Regexreplace(to_text(F3462),""[^A-Za-z0-9]"",""""))"),"nicotra_ddmp")</f>
        <v>nicotra_ddmp</v>
      </c>
      <c r="BG3462" s="275" t="str">
        <f>IFERROR(__xludf.DUMMYFUNCTION("upper(Regexreplace(to_text(E3462),""[^A-Za-z0-9]"","""")&amp;""-""&amp;Regexreplace(to_text(F3462),""[^A-Za-z0-9]"",""""))"),"NICOTRA-DDMP")</f>
        <v>NICOTRA-DDMP</v>
      </c>
    </row>
    <row r="3463" ht="30.0" customHeight="1">
      <c r="A3463" s="328">
        <v>2690.0</v>
      </c>
      <c r="B3463" s="425" t="s">
        <v>670</v>
      </c>
      <c r="C3463" s="257" t="s">
        <v>10703</v>
      </c>
      <c r="D3463" s="173" t="s">
        <v>10704</v>
      </c>
      <c r="E3463" s="174" t="s">
        <v>9267</v>
      </c>
      <c r="F3463" s="173" t="s">
        <v>9268</v>
      </c>
      <c r="G3463" s="425" t="s">
        <v>673</v>
      </c>
      <c r="H3463" s="425" t="s">
        <v>2863</v>
      </c>
      <c r="I3463" s="258" t="s">
        <v>9445</v>
      </c>
      <c r="J3463" s="259" t="s">
        <v>1393</v>
      </c>
      <c r="K3463" s="260" t="s">
        <v>9391</v>
      </c>
      <c r="L3463" s="442"/>
      <c r="M3463" s="426"/>
      <c r="N3463" s="173" t="s">
        <v>679</v>
      </c>
      <c r="O3463" s="173" t="s">
        <v>225</v>
      </c>
      <c r="P3463" s="262" t="str">
        <f t="shared" si="1"/>
        <v>IN-BLR-ANANTA-FAN-411_10</v>
      </c>
      <c r="Q3463" s="173" t="s">
        <v>10705</v>
      </c>
      <c r="R3463" s="425" t="str">
        <f>IFS(C3463="","",C3463="n/a","N/A",LEN(C3463),Concatenate("{",char(34),"asset",char(34),":{",char(34),"guid",char(34),":",char(34),Q3463,char(34),",",char(34),"site",char(34),":",char(34),LOWER('2-Building'!$B$4),char(34),",",char(34),"name",char(34),":",char(34),LOWER(C3463),char(34),"}}"))</f>
        <v>{"asset":{"guid":"uuid://a2cdd119-575a-45d6-80ce-78e5b422cb50","site":"in-blr-ananta","name":"fan-411"}}</v>
      </c>
      <c r="S3463" s="369" t="s">
        <v>2866</v>
      </c>
      <c r="T3463" s="427"/>
      <c r="U3463" s="427"/>
      <c r="V3463" s="428"/>
      <c r="W3463" s="429"/>
      <c r="X3463" s="430"/>
      <c r="Y3463" s="33" t="s">
        <v>8076</v>
      </c>
      <c r="Z3463" s="430"/>
      <c r="AA3463" s="430"/>
      <c r="AB3463" s="258">
        <v>174.0</v>
      </c>
      <c r="AC3463" s="430"/>
      <c r="AD3463" s="426"/>
      <c r="AE3463" s="428"/>
      <c r="AF3463" s="431"/>
      <c r="AG3463" s="432" t="str">
        <f>IFS(LEN(AF3463)=17,LOWER('2-Building'!$B$4 &amp; "-" &amp; C3463), AF3463="N/A", "N/A", LEN(AF3463)=0,"")</f>
        <v/>
      </c>
      <c r="AH3463" s="430"/>
      <c r="AI3463" s="430"/>
      <c r="AJ3463" s="430"/>
      <c r="AK3463" s="430"/>
      <c r="AL3463" s="430"/>
      <c r="AM3463" s="433"/>
      <c r="AN3463" s="430"/>
      <c r="AO3463" s="430"/>
      <c r="AP3463" s="430"/>
      <c r="AQ3463" s="430"/>
      <c r="AR3463" s="430"/>
      <c r="AS3463" s="430"/>
      <c r="AT3463" s="430"/>
      <c r="AU3463" s="426"/>
      <c r="AV3463" s="174"/>
      <c r="AW3463" s="269" t="s">
        <v>1771</v>
      </c>
      <c r="AX3463" s="269" t="s">
        <v>2869</v>
      </c>
      <c r="AY3463" s="270" t="s">
        <v>695</v>
      </c>
      <c r="AZ3463" s="435"/>
      <c r="BA3463" s="173">
        <v>10.0</v>
      </c>
      <c r="BB3463" s="434"/>
      <c r="BC3463" s="434"/>
      <c r="BD3463" s="308" t="s">
        <v>1844</v>
      </c>
      <c r="BE3463" s="436"/>
      <c r="BF3463" s="274" t="str">
        <f>IFERROR(__xludf.DUMMYFUNCTION("LOWER(Regexreplace(to_text(E3463),""[^A-Za-z0-9]"","""")&amp;""_""&amp;Regexreplace(to_text(F3463),""[^A-Za-z0-9]"",""""))"),"nicotra_ddmp")</f>
        <v>nicotra_ddmp</v>
      </c>
      <c r="BG3463" s="275" t="str">
        <f>IFERROR(__xludf.DUMMYFUNCTION("upper(Regexreplace(to_text(E3463),""[^A-Za-z0-9]"","""")&amp;""-""&amp;Regexreplace(to_text(F3463),""[^A-Za-z0-9]"",""""))"),"NICOTRA-DDMP")</f>
        <v>NICOTRA-DDMP</v>
      </c>
    </row>
    <row r="3464" ht="30.0" customHeight="1">
      <c r="A3464" s="425">
        <v>2690.0</v>
      </c>
      <c r="B3464" s="425" t="s">
        <v>670</v>
      </c>
      <c r="C3464" s="257" t="s">
        <v>10706</v>
      </c>
      <c r="D3464" s="173" t="s">
        <v>10707</v>
      </c>
      <c r="E3464" s="174" t="s">
        <v>9289</v>
      </c>
      <c r="F3464" s="173" t="s">
        <v>9709</v>
      </c>
      <c r="G3464" s="425" t="s">
        <v>673</v>
      </c>
      <c r="H3464" s="425" t="s">
        <v>2863</v>
      </c>
      <c r="I3464" s="258" t="s">
        <v>9445</v>
      </c>
      <c r="J3464" s="259" t="s">
        <v>1393</v>
      </c>
      <c r="K3464" s="260" t="s">
        <v>9391</v>
      </c>
      <c r="L3464" s="442"/>
      <c r="M3464" s="426"/>
      <c r="N3464" s="173" t="s">
        <v>679</v>
      </c>
      <c r="O3464" s="173" t="s">
        <v>225</v>
      </c>
      <c r="P3464" s="262" t="str">
        <f t="shared" si="1"/>
        <v>IN-BLR-ANANTA-FAN-412_10</v>
      </c>
      <c r="Q3464" s="173" t="s">
        <v>10708</v>
      </c>
      <c r="R3464" s="425" t="str">
        <f>IFS(C3464="","",C3464="n/a","N/A",LEN(C3464),Concatenate("{",char(34),"asset",char(34),":{",char(34),"guid",char(34),":",char(34),Q3464,char(34),",",char(34),"site",char(34),":",char(34),LOWER('2-Building'!$B$4),char(34),",",char(34),"name",char(34),":",char(34),LOWER(C3464),char(34),"}}"))</f>
        <v>{"asset":{"guid":"uuid://f72be7d8-9bdf-4dac-843b-fe251f51a6fd","site":"in-blr-ananta","name":"fan-412"}}</v>
      </c>
      <c r="S3464" s="369" t="s">
        <v>2866</v>
      </c>
      <c r="T3464" s="427"/>
      <c r="U3464" s="427"/>
      <c r="V3464" s="428"/>
      <c r="W3464" s="429"/>
      <c r="X3464" s="430"/>
      <c r="Y3464" s="33" t="s">
        <v>8076</v>
      </c>
      <c r="Z3464" s="430"/>
      <c r="AA3464" s="430"/>
      <c r="AB3464" s="258">
        <v>175.0</v>
      </c>
      <c r="AC3464" s="430"/>
      <c r="AD3464" s="426"/>
      <c r="AE3464" s="428"/>
      <c r="AF3464" s="431"/>
      <c r="AG3464" s="432"/>
      <c r="AH3464" s="430"/>
      <c r="AI3464" s="430"/>
      <c r="AJ3464" s="430"/>
      <c r="AK3464" s="430"/>
      <c r="AL3464" s="430"/>
      <c r="AM3464" s="433"/>
      <c r="AN3464" s="430"/>
      <c r="AO3464" s="430"/>
      <c r="AP3464" s="430"/>
      <c r="AQ3464" s="430"/>
      <c r="AR3464" s="430"/>
      <c r="AS3464" s="430"/>
      <c r="AT3464" s="430"/>
      <c r="AU3464" s="426"/>
      <c r="AV3464" s="174"/>
      <c r="AW3464" s="269" t="s">
        <v>1771</v>
      </c>
      <c r="AX3464" s="269" t="s">
        <v>2869</v>
      </c>
      <c r="AY3464" s="270" t="s">
        <v>695</v>
      </c>
      <c r="AZ3464" s="435"/>
      <c r="BA3464" s="173">
        <v>10.0</v>
      </c>
      <c r="BB3464" s="434"/>
      <c r="BC3464" s="434"/>
      <c r="BD3464" s="308" t="s">
        <v>1844</v>
      </c>
      <c r="BE3464" s="436"/>
      <c r="BF3464" s="274" t="str">
        <f>IFERROR(__xludf.DUMMYFUNCTION("LOWER(Regexreplace(to_text(E3464),""[^A-Za-z0-9]"","""")&amp;""_""&amp;Regexreplace(to_text(F3464),""[^A-Za-z0-9]"",""""))"),"daikin_fxzq32bvm6")</f>
        <v>daikin_fxzq32bvm6</v>
      </c>
      <c r="BG3464" s="275" t="str">
        <f>IFERROR(__xludf.DUMMYFUNCTION("upper(Regexreplace(to_text(E3464),""[^A-Za-z0-9]"","""")&amp;""-""&amp;Regexreplace(to_text(F3464),""[^A-Za-z0-9]"",""""))"),"DAIKIN-FXZQ32BVM6")</f>
        <v>DAIKIN-FXZQ32BVM6</v>
      </c>
    </row>
    <row r="3465" ht="30.0" customHeight="1">
      <c r="A3465" s="425">
        <v>2690.0</v>
      </c>
      <c r="B3465" s="425" t="s">
        <v>670</v>
      </c>
      <c r="C3465" s="257" t="s">
        <v>10709</v>
      </c>
      <c r="D3465" s="173" t="s">
        <v>10710</v>
      </c>
      <c r="E3465" s="174" t="s">
        <v>9289</v>
      </c>
      <c r="F3465" s="173" t="s">
        <v>9709</v>
      </c>
      <c r="G3465" s="425" t="s">
        <v>673</v>
      </c>
      <c r="H3465" s="425" t="s">
        <v>2863</v>
      </c>
      <c r="I3465" s="258" t="s">
        <v>9445</v>
      </c>
      <c r="J3465" s="259" t="s">
        <v>1393</v>
      </c>
      <c r="K3465" s="260" t="s">
        <v>9391</v>
      </c>
      <c r="L3465" s="442"/>
      <c r="M3465" s="426"/>
      <c r="N3465" s="173" t="s">
        <v>679</v>
      </c>
      <c r="O3465" s="173" t="s">
        <v>225</v>
      </c>
      <c r="P3465" s="262" t="str">
        <f t="shared" si="1"/>
        <v>IN-BLR-ANANTA-FAN-413_10</v>
      </c>
      <c r="Q3465" s="173" t="s">
        <v>10711</v>
      </c>
      <c r="R3465" s="433" t="str">
        <f>IFS(C3465="","",C3465="n/a","N/A",LEN(C3465),Concatenate("{",char(34),"asset",char(34),":{",char(34),"guid",char(34),":",char(34),Q3465,char(34),",",char(34),"site",char(34),":",char(34),LOWER('2-Building'!$B$4),char(34),",",char(34),"name",char(34),":",char(34),LOWER(C3465),char(34),"}}"))</f>
        <v>{"asset":{"guid":"uuid://cf1b7ae1-68d1-4247-85f4-744d554d4e79","site":"in-blr-ananta","name":"fan-413"}}</v>
      </c>
      <c r="S3465" s="369" t="s">
        <v>2866</v>
      </c>
      <c r="T3465" s="427"/>
      <c r="U3465" s="427"/>
      <c r="V3465" s="428"/>
      <c r="W3465" s="429"/>
      <c r="X3465" s="430"/>
      <c r="Y3465" s="33" t="s">
        <v>8076</v>
      </c>
      <c r="Z3465" s="430"/>
      <c r="AA3465" s="430"/>
      <c r="AB3465" s="258">
        <v>176.0</v>
      </c>
      <c r="AC3465" s="430"/>
      <c r="AD3465" s="426"/>
      <c r="AE3465" s="428"/>
      <c r="AF3465" s="431"/>
      <c r="AG3465" s="432" t="str">
        <f>IFS(LEN(AF3465)=17,LOWER('2-Building'!$B$4 &amp; "-" &amp; C3465), AF3465="N/A", "N/A", LEN(AF3465)=0,"")</f>
        <v/>
      </c>
      <c r="AH3465" s="430"/>
      <c r="AI3465" s="430"/>
      <c r="AJ3465" s="430"/>
      <c r="AK3465" s="430"/>
      <c r="AL3465" s="430"/>
      <c r="AM3465" s="433"/>
      <c r="AN3465" s="430"/>
      <c r="AO3465" s="430"/>
      <c r="AP3465" s="430"/>
      <c r="AQ3465" s="430"/>
      <c r="AR3465" s="430"/>
      <c r="AS3465" s="430"/>
      <c r="AT3465" s="430"/>
      <c r="AU3465" s="426"/>
      <c r="AV3465" s="174"/>
      <c r="AW3465" s="269" t="s">
        <v>1771</v>
      </c>
      <c r="AX3465" s="269" t="s">
        <v>2869</v>
      </c>
      <c r="AY3465" s="270" t="s">
        <v>695</v>
      </c>
      <c r="AZ3465" s="435"/>
      <c r="BA3465" s="173">
        <v>10.0</v>
      </c>
      <c r="BB3465" s="434"/>
      <c r="BC3465" s="434"/>
      <c r="BD3465" s="308" t="s">
        <v>1844</v>
      </c>
      <c r="BE3465" s="436"/>
      <c r="BF3465" s="274" t="str">
        <f>IFERROR(__xludf.DUMMYFUNCTION("LOWER(Regexreplace(to_text(E3465),""[^A-Za-z0-9]"","""")&amp;""_""&amp;Regexreplace(to_text(F3465),""[^A-Za-z0-9]"",""""))"),"daikin_fxzq32bvm6")</f>
        <v>daikin_fxzq32bvm6</v>
      </c>
      <c r="BG3465" s="275" t="str">
        <f>IFERROR(__xludf.DUMMYFUNCTION("upper(Regexreplace(to_text(E3465),""[^A-Za-z0-9]"","""")&amp;""-""&amp;Regexreplace(to_text(F3465),""[^A-Za-z0-9]"",""""))"),"DAIKIN-FXZQ32BVM6")</f>
        <v>DAIKIN-FXZQ32BVM6</v>
      </c>
    </row>
    <row r="3466" ht="30.0" customHeight="1">
      <c r="A3466" s="425">
        <v>2690.0</v>
      </c>
      <c r="B3466" s="425" t="s">
        <v>670</v>
      </c>
      <c r="C3466" s="257" t="s">
        <v>10712</v>
      </c>
      <c r="D3466" s="173" t="s">
        <v>10713</v>
      </c>
      <c r="E3466" s="174" t="s">
        <v>9289</v>
      </c>
      <c r="F3466" s="173" t="s">
        <v>9709</v>
      </c>
      <c r="G3466" s="425" t="s">
        <v>673</v>
      </c>
      <c r="H3466" s="425" t="s">
        <v>2863</v>
      </c>
      <c r="I3466" s="258" t="s">
        <v>9445</v>
      </c>
      <c r="J3466" s="259" t="s">
        <v>1393</v>
      </c>
      <c r="K3466" s="260" t="s">
        <v>9391</v>
      </c>
      <c r="L3466" s="442"/>
      <c r="M3466" s="426"/>
      <c r="N3466" s="173" t="s">
        <v>679</v>
      </c>
      <c r="O3466" s="173" t="s">
        <v>225</v>
      </c>
      <c r="P3466" s="262" t="str">
        <f t="shared" si="1"/>
        <v>IN-BLR-ANANTA-FAN-414_10</v>
      </c>
      <c r="Q3466" s="173" t="s">
        <v>10714</v>
      </c>
      <c r="R3466" s="425" t="str">
        <f>IFS(C3466="","",C3466="n/a","N/A",LEN(C3466),Concatenate("{",char(34),"asset",char(34),":{",char(34),"guid",char(34),":",char(34),Q3466,char(34),",",char(34),"site",char(34),":",char(34),LOWER('2-Building'!$B$4),char(34),",",char(34),"name",char(34),":",char(34),LOWER(C3466),char(34),"}}"))</f>
        <v>{"asset":{"guid":"uuid://13f7228d-f399-493a-9b43-660794d446bd","site":"in-blr-ananta","name":"fan-414"}}</v>
      </c>
      <c r="S3466" s="369" t="s">
        <v>2866</v>
      </c>
      <c r="T3466" s="427"/>
      <c r="U3466" s="427"/>
      <c r="V3466" s="428"/>
      <c r="W3466" s="429"/>
      <c r="X3466" s="430"/>
      <c r="Y3466" s="33" t="s">
        <v>8076</v>
      </c>
      <c r="Z3466" s="430"/>
      <c r="AA3466" s="430"/>
      <c r="AB3466" s="258">
        <v>177.0</v>
      </c>
      <c r="AC3466" s="430"/>
      <c r="AD3466" s="426"/>
      <c r="AE3466" s="428"/>
      <c r="AF3466" s="431"/>
      <c r="AG3466" s="432" t="str">
        <f>IFS(LEN(AF3466)=17,LOWER('2-Building'!$B$4 &amp; "-" &amp; C3466), AF3466="N/A", "N/A", LEN(AF3466)=0,"")</f>
        <v/>
      </c>
      <c r="AH3466" s="430"/>
      <c r="AI3466" s="430"/>
      <c r="AJ3466" s="430"/>
      <c r="AK3466" s="430"/>
      <c r="AL3466" s="430"/>
      <c r="AM3466" s="433"/>
      <c r="AN3466" s="430"/>
      <c r="AO3466" s="430"/>
      <c r="AP3466" s="430"/>
      <c r="AQ3466" s="430"/>
      <c r="AR3466" s="430"/>
      <c r="AS3466" s="430"/>
      <c r="AT3466" s="430"/>
      <c r="AU3466" s="426"/>
      <c r="AV3466" s="174"/>
      <c r="AW3466" s="269" t="s">
        <v>1771</v>
      </c>
      <c r="AX3466" s="269" t="s">
        <v>2869</v>
      </c>
      <c r="AY3466" s="270" t="s">
        <v>695</v>
      </c>
      <c r="AZ3466" s="435"/>
      <c r="BA3466" s="173">
        <v>10.0</v>
      </c>
      <c r="BB3466" s="434"/>
      <c r="BC3466" s="434"/>
      <c r="BD3466" s="308" t="s">
        <v>1844</v>
      </c>
      <c r="BE3466" s="436"/>
      <c r="BF3466" s="274" t="str">
        <f>IFERROR(__xludf.DUMMYFUNCTION("LOWER(Regexreplace(to_text(E3466),""[^A-Za-z0-9]"","""")&amp;""_""&amp;Regexreplace(to_text(F3466),""[^A-Za-z0-9]"",""""))"),"daikin_fxzq32bvm6")</f>
        <v>daikin_fxzq32bvm6</v>
      </c>
      <c r="BG3466" s="275" t="str">
        <f>IFERROR(__xludf.DUMMYFUNCTION("upper(Regexreplace(to_text(E3466),""[^A-Za-z0-9]"","""")&amp;""-""&amp;Regexreplace(to_text(F3466),""[^A-Za-z0-9]"",""""))"),"DAIKIN-FXZQ32BVM6")</f>
        <v>DAIKIN-FXZQ32BVM6</v>
      </c>
    </row>
    <row r="3467" ht="30.0" customHeight="1">
      <c r="A3467" s="237">
        <v>2689.0</v>
      </c>
      <c r="B3467" s="425" t="s">
        <v>670</v>
      </c>
      <c r="C3467" s="257" t="s">
        <v>10715</v>
      </c>
      <c r="D3467" s="173" t="s">
        <v>10716</v>
      </c>
      <c r="E3467" s="174" t="s">
        <v>9289</v>
      </c>
      <c r="F3467" s="173" t="s">
        <v>9709</v>
      </c>
      <c r="G3467" s="425" t="s">
        <v>673</v>
      </c>
      <c r="H3467" s="425" t="s">
        <v>2863</v>
      </c>
      <c r="I3467" s="258" t="s">
        <v>9445</v>
      </c>
      <c r="J3467" s="259" t="s">
        <v>1453</v>
      </c>
      <c r="K3467" s="260" t="s">
        <v>1509</v>
      </c>
      <c r="L3467" s="442"/>
      <c r="M3467" s="426"/>
      <c r="N3467" s="173" t="s">
        <v>679</v>
      </c>
      <c r="O3467" s="173" t="s">
        <v>225</v>
      </c>
      <c r="P3467" s="262" t="str">
        <f t="shared" si="1"/>
        <v>IN-BLR-ANANTA-FAN-415_11</v>
      </c>
      <c r="Q3467" s="173" t="s">
        <v>10717</v>
      </c>
      <c r="R3467" s="425" t="str">
        <f>IFS(C3467="","",C3467="n/a","N/A",LEN(C3467),Concatenate("{",char(34),"asset",char(34),":{",char(34),"guid",char(34),":",char(34),Q3467,char(34),",",char(34),"site",char(34),":",char(34),LOWER('2-Building'!$B$4),char(34),",",char(34),"name",char(34),":",char(34),LOWER(C3467),char(34),"}}"))</f>
        <v>{"asset":{"guid":"uuid://188ccb24-7c22-4173-94c5-4d38b4081e3f","site":"in-blr-ananta","name":"fan-415"}}</v>
      </c>
      <c r="S3467" s="369" t="s">
        <v>2866</v>
      </c>
      <c r="T3467" s="427"/>
      <c r="U3467" s="427"/>
      <c r="V3467" s="428"/>
      <c r="W3467" s="429"/>
      <c r="X3467" s="430"/>
      <c r="Y3467" s="33" t="s">
        <v>8076</v>
      </c>
      <c r="Z3467" s="430"/>
      <c r="AA3467" s="430"/>
      <c r="AB3467" s="258">
        <v>196.0</v>
      </c>
      <c r="AC3467" s="430"/>
      <c r="AD3467" s="426"/>
      <c r="AE3467" s="428"/>
      <c r="AF3467" s="431"/>
      <c r="AG3467" s="432" t="str">
        <f>IFS(LEN(AF3467)=17,LOWER('2-Building'!$B$4 &amp; "-" &amp; C3467), AF3467="N/A", "N/A", LEN(AF3467)=0,"")</f>
        <v/>
      </c>
      <c r="AH3467" s="430"/>
      <c r="AI3467" s="430"/>
      <c r="AJ3467" s="430"/>
      <c r="AK3467" s="430"/>
      <c r="AL3467" s="430"/>
      <c r="AM3467" s="433"/>
      <c r="AN3467" s="430"/>
      <c r="AO3467" s="430"/>
      <c r="AP3467" s="430"/>
      <c r="AQ3467" s="430"/>
      <c r="AR3467" s="430"/>
      <c r="AS3467" s="430"/>
      <c r="AT3467" s="430"/>
      <c r="AU3467" s="426"/>
      <c r="AV3467" s="174"/>
      <c r="AW3467" s="269" t="s">
        <v>1771</v>
      </c>
      <c r="AX3467" s="269" t="s">
        <v>2869</v>
      </c>
      <c r="AY3467" s="270" t="s">
        <v>695</v>
      </c>
      <c r="AZ3467" s="435"/>
      <c r="BA3467" s="173">
        <v>10.0</v>
      </c>
      <c r="BB3467" s="434"/>
      <c r="BC3467" s="434"/>
      <c r="BD3467" s="308" t="s">
        <v>1844</v>
      </c>
      <c r="BE3467" s="436"/>
      <c r="BF3467" s="274" t="str">
        <f>IFERROR(__xludf.DUMMYFUNCTION("LOWER(Regexreplace(to_text(E3467),""[^A-Za-z0-9]"","""")&amp;""_""&amp;Regexreplace(to_text(F3467),""[^A-Za-z0-9]"",""""))"),"daikin_fxzq32bvm6")</f>
        <v>daikin_fxzq32bvm6</v>
      </c>
      <c r="BG3467" s="275" t="str">
        <f>IFERROR(__xludf.DUMMYFUNCTION("upper(Regexreplace(to_text(E3467),""[^A-Za-z0-9]"","""")&amp;""-""&amp;Regexreplace(to_text(F3467),""[^A-Za-z0-9]"",""""))"),"DAIKIN-FXZQ32BVM6")</f>
        <v>DAIKIN-FXZQ32BVM6</v>
      </c>
    </row>
    <row r="3468" ht="30.0" customHeight="1">
      <c r="A3468" s="237">
        <v>2691.0</v>
      </c>
      <c r="B3468" s="425" t="s">
        <v>670</v>
      </c>
      <c r="C3468" s="257" t="s">
        <v>10718</v>
      </c>
      <c r="D3468" s="173" t="s">
        <v>10719</v>
      </c>
      <c r="E3468" s="174" t="s">
        <v>9289</v>
      </c>
      <c r="F3468" s="173" t="s">
        <v>9709</v>
      </c>
      <c r="G3468" s="425" t="s">
        <v>673</v>
      </c>
      <c r="H3468" s="425" t="s">
        <v>2863</v>
      </c>
      <c r="I3468" s="258" t="s">
        <v>9445</v>
      </c>
      <c r="J3468" s="259" t="s">
        <v>1453</v>
      </c>
      <c r="K3468" s="260" t="s">
        <v>1509</v>
      </c>
      <c r="L3468" s="442"/>
      <c r="M3468" s="426"/>
      <c r="N3468" s="173" t="s">
        <v>679</v>
      </c>
      <c r="O3468" s="173" t="s">
        <v>225</v>
      </c>
      <c r="P3468" s="262" t="str">
        <f t="shared" si="1"/>
        <v>IN-BLR-ANANTA-FAN-416_11</v>
      </c>
      <c r="Q3468" s="173" t="s">
        <v>10720</v>
      </c>
      <c r="R3468" s="425" t="str">
        <f>IFS(C3468="","",C3468="n/a","N/A",LEN(C3468),Concatenate("{",char(34),"asset",char(34),":{",char(34),"guid",char(34),":",char(34),Q3468,char(34),",",char(34),"site",char(34),":",char(34),LOWER('2-Building'!$B$4),char(34),",",char(34),"name",char(34),":",char(34),LOWER(C3468),char(34),"}}"))</f>
        <v>{"asset":{"guid":"uuid://7eacec09-225f-4ad1-8cb7-a1d814073821","site":"in-blr-ananta","name":"fan-416"}}</v>
      </c>
      <c r="S3468" s="369" t="s">
        <v>2866</v>
      </c>
      <c r="T3468" s="427"/>
      <c r="U3468" s="427"/>
      <c r="V3468" s="428"/>
      <c r="W3468" s="429"/>
      <c r="X3468" s="430"/>
      <c r="Y3468" s="33" t="s">
        <v>8076</v>
      </c>
      <c r="Z3468" s="430"/>
      <c r="AA3468" s="430"/>
      <c r="AB3468" s="258">
        <v>197.0</v>
      </c>
      <c r="AC3468" s="430"/>
      <c r="AD3468" s="426"/>
      <c r="AE3468" s="428"/>
      <c r="AF3468" s="431"/>
      <c r="AG3468" s="432" t="str">
        <f>IFS(LEN(AF3468)=17,LOWER('2-Building'!$B$4 &amp; "-" &amp; C3468), AF3468="N/A", "N/A", LEN(AF3468)=0,"")</f>
        <v/>
      </c>
      <c r="AH3468" s="430"/>
      <c r="AI3468" s="430"/>
      <c r="AJ3468" s="430"/>
      <c r="AK3468" s="430"/>
      <c r="AL3468" s="430"/>
      <c r="AM3468" s="433"/>
      <c r="AN3468" s="430"/>
      <c r="AO3468" s="430"/>
      <c r="AP3468" s="430"/>
      <c r="AQ3468" s="430"/>
      <c r="AR3468" s="430"/>
      <c r="AS3468" s="430"/>
      <c r="AT3468" s="430"/>
      <c r="AU3468" s="426"/>
      <c r="AV3468" s="174"/>
      <c r="AW3468" s="269" t="s">
        <v>1771</v>
      </c>
      <c r="AX3468" s="269" t="s">
        <v>2869</v>
      </c>
      <c r="AY3468" s="270" t="s">
        <v>695</v>
      </c>
      <c r="AZ3468" s="435"/>
      <c r="BA3468" s="173">
        <v>10.0</v>
      </c>
      <c r="BB3468" s="434"/>
      <c r="BC3468" s="434"/>
      <c r="BD3468" s="308" t="s">
        <v>1844</v>
      </c>
      <c r="BE3468" s="436"/>
      <c r="BF3468" s="274" t="str">
        <f>IFERROR(__xludf.DUMMYFUNCTION("LOWER(Regexreplace(to_text(E3468),""[^A-Za-z0-9]"","""")&amp;""_""&amp;Regexreplace(to_text(F3468),""[^A-Za-z0-9]"",""""))"),"daikin_fxzq32bvm6")</f>
        <v>daikin_fxzq32bvm6</v>
      </c>
      <c r="BG3468" s="275" t="str">
        <f>IFERROR(__xludf.DUMMYFUNCTION("upper(Regexreplace(to_text(E3468),""[^A-Za-z0-9]"","""")&amp;""-""&amp;Regexreplace(to_text(F3468),""[^A-Za-z0-9]"",""""))"),"DAIKIN-FXZQ32BVM6")</f>
        <v>DAIKIN-FXZQ32BVM6</v>
      </c>
    </row>
    <row r="3469" ht="30.0" customHeight="1">
      <c r="A3469" s="328">
        <v>2690.0</v>
      </c>
      <c r="B3469" s="425" t="s">
        <v>670</v>
      </c>
      <c r="C3469" s="257" t="s">
        <v>10721</v>
      </c>
      <c r="D3469" s="173" t="s">
        <v>10722</v>
      </c>
      <c r="E3469" s="174" t="s">
        <v>9289</v>
      </c>
      <c r="F3469" s="173" t="s">
        <v>9709</v>
      </c>
      <c r="G3469" s="425" t="s">
        <v>673</v>
      </c>
      <c r="H3469" s="425" t="s">
        <v>2863</v>
      </c>
      <c r="I3469" s="258" t="s">
        <v>9445</v>
      </c>
      <c r="J3469" s="259" t="s">
        <v>1453</v>
      </c>
      <c r="K3469" s="260" t="s">
        <v>1509</v>
      </c>
      <c r="L3469" s="442"/>
      <c r="M3469" s="426"/>
      <c r="N3469" s="173" t="s">
        <v>679</v>
      </c>
      <c r="O3469" s="173" t="s">
        <v>225</v>
      </c>
      <c r="P3469" s="262" t="str">
        <f t="shared" si="1"/>
        <v>IN-BLR-ANANTA-FAN-417_11</v>
      </c>
      <c r="Q3469" s="173" t="s">
        <v>10723</v>
      </c>
      <c r="R3469" s="425" t="str">
        <f>IFS(C3469="","",C3469="n/a","N/A",LEN(C3469),Concatenate("{",char(34),"asset",char(34),":{",char(34),"guid",char(34),":",char(34),Q3469,char(34),",",char(34),"site",char(34),":",char(34),LOWER('2-Building'!$B$4),char(34),",",char(34),"name",char(34),":",char(34),LOWER(C3469),char(34),"}}"))</f>
        <v>{"asset":{"guid":"uuid://0fb13cbf-74ba-4a93-9a09-d3c0b8916c2b","site":"in-blr-ananta","name":"fan-417"}}</v>
      </c>
      <c r="S3469" s="369" t="s">
        <v>2866</v>
      </c>
      <c r="T3469" s="427"/>
      <c r="U3469" s="427"/>
      <c r="V3469" s="428"/>
      <c r="W3469" s="429"/>
      <c r="X3469" s="430"/>
      <c r="Y3469" s="33" t="s">
        <v>8076</v>
      </c>
      <c r="Z3469" s="430"/>
      <c r="AA3469" s="430"/>
      <c r="AB3469" s="258">
        <v>198.0</v>
      </c>
      <c r="AC3469" s="430"/>
      <c r="AD3469" s="426"/>
      <c r="AE3469" s="428"/>
      <c r="AF3469" s="431"/>
      <c r="AG3469" s="432" t="str">
        <f>IFS(LEN(AF3469)=17,LOWER('2-Building'!$B$4 &amp; "-" &amp; C3469), AF3469="N/A", "N/A", LEN(AF3469)=0,"")</f>
        <v/>
      </c>
      <c r="AH3469" s="430"/>
      <c r="AI3469" s="430"/>
      <c r="AJ3469" s="430"/>
      <c r="AK3469" s="430"/>
      <c r="AL3469" s="430"/>
      <c r="AM3469" s="433"/>
      <c r="AN3469" s="430"/>
      <c r="AO3469" s="430"/>
      <c r="AP3469" s="430"/>
      <c r="AQ3469" s="430"/>
      <c r="AR3469" s="430"/>
      <c r="AS3469" s="430"/>
      <c r="AT3469" s="430"/>
      <c r="AU3469" s="426"/>
      <c r="AV3469" s="174"/>
      <c r="AW3469" s="269" t="s">
        <v>1771</v>
      </c>
      <c r="AX3469" s="269" t="s">
        <v>2869</v>
      </c>
      <c r="AY3469" s="270" t="s">
        <v>695</v>
      </c>
      <c r="AZ3469" s="435"/>
      <c r="BA3469" s="173">
        <v>10.0</v>
      </c>
      <c r="BB3469" s="434"/>
      <c r="BC3469" s="434"/>
      <c r="BD3469" s="308" t="s">
        <v>1844</v>
      </c>
      <c r="BE3469" s="436"/>
      <c r="BF3469" s="274" t="str">
        <f>IFERROR(__xludf.DUMMYFUNCTION("LOWER(Regexreplace(to_text(E3469),""[^A-Za-z0-9]"","""")&amp;""_""&amp;Regexreplace(to_text(F3469),""[^A-Za-z0-9]"",""""))"),"daikin_fxzq32bvm6")</f>
        <v>daikin_fxzq32bvm6</v>
      </c>
      <c r="BG3469" s="275" t="str">
        <f>IFERROR(__xludf.DUMMYFUNCTION("upper(Regexreplace(to_text(E3469),""[^A-Za-z0-9]"","""")&amp;""-""&amp;Regexreplace(to_text(F3469),""[^A-Za-z0-9]"",""""))"),"DAIKIN-FXZQ32BVM6")</f>
        <v>DAIKIN-FXZQ32BVM6</v>
      </c>
    </row>
    <row r="3470" ht="30.0" customHeight="1">
      <c r="A3470" s="237">
        <v>2691.0</v>
      </c>
      <c r="B3470" s="425" t="s">
        <v>670</v>
      </c>
      <c r="C3470" s="257" t="s">
        <v>10724</v>
      </c>
      <c r="D3470" s="173" t="s">
        <v>10725</v>
      </c>
      <c r="E3470" s="174" t="s">
        <v>9289</v>
      </c>
      <c r="F3470" s="173" t="s">
        <v>9709</v>
      </c>
      <c r="G3470" s="425" t="s">
        <v>673</v>
      </c>
      <c r="H3470" s="425" t="s">
        <v>2863</v>
      </c>
      <c r="I3470" s="258" t="s">
        <v>9445</v>
      </c>
      <c r="J3470" s="259" t="s">
        <v>1453</v>
      </c>
      <c r="K3470" s="260" t="s">
        <v>1509</v>
      </c>
      <c r="L3470" s="442"/>
      <c r="M3470" s="426"/>
      <c r="N3470" s="173" t="s">
        <v>679</v>
      </c>
      <c r="O3470" s="173" t="s">
        <v>225</v>
      </c>
      <c r="P3470" s="262" t="str">
        <f t="shared" si="1"/>
        <v>IN-BLR-ANANTA-FAN-418_11</v>
      </c>
      <c r="Q3470" s="173" t="s">
        <v>10726</v>
      </c>
      <c r="R3470" s="425" t="str">
        <f>IFS(C3470="","",C3470="n/a","N/A",LEN(C3470),Concatenate("{",char(34),"asset",char(34),":{",char(34),"guid",char(34),":",char(34),Q3470,char(34),",",char(34),"site",char(34),":",char(34),LOWER('2-Building'!$B$4),char(34),",",char(34),"name",char(34),":",char(34),LOWER(C3470),char(34),"}}"))</f>
        <v>{"asset":{"guid":"uuid://8568f1d1-51e5-4714-8fbd-3901b226e071","site":"in-blr-ananta","name":"fan-418"}}</v>
      </c>
      <c r="S3470" s="369" t="s">
        <v>2866</v>
      </c>
      <c r="T3470" s="427"/>
      <c r="U3470" s="427"/>
      <c r="V3470" s="428"/>
      <c r="W3470" s="429"/>
      <c r="X3470" s="430"/>
      <c r="Y3470" s="33" t="s">
        <v>8076</v>
      </c>
      <c r="Z3470" s="430"/>
      <c r="AA3470" s="430"/>
      <c r="AB3470" s="258">
        <v>199.0</v>
      </c>
      <c r="AC3470" s="430"/>
      <c r="AD3470" s="426"/>
      <c r="AE3470" s="428"/>
      <c r="AF3470" s="431"/>
      <c r="AG3470" s="432" t="str">
        <f>IFS(LEN(AF3470)=17,LOWER('2-Building'!$B$4 &amp; "-" &amp; C3470), AF3470="N/A", "N/A", LEN(AF3470)=0,"")</f>
        <v/>
      </c>
      <c r="AH3470" s="430"/>
      <c r="AI3470" s="430"/>
      <c r="AJ3470" s="430"/>
      <c r="AK3470" s="430"/>
      <c r="AL3470" s="430"/>
      <c r="AM3470" s="433"/>
      <c r="AN3470" s="430"/>
      <c r="AO3470" s="430"/>
      <c r="AP3470" s="430"/>
      <c r="AQ3470" s="430"/>
      <c r="AR3470" s="430"/>
      <c r="AS3470" s="430"/>
      <c r="AT3470" s="430"/>
      <c r="AU3470" s="426"/>
      <c r="AV3470" s="174"/>
      <c r="AW3470" s="269" t="s">
        <v>1771</v>
      </c>
      <c r="AX3470" s="269" t="s">
        <v>2869</v>
      </c>
      <c r="AY3470" s="270" t="s">
        <v>695</v>
      </c>
      <c r="AZ3470" s="435"/>
      <c r="BA3470" s="173">
        <v>10.0</v>
      </c>
      <c r="BB3470" s="434"/>
      <c r="BC3470" s="434"/>
      <c r="BD3470" s="308" t="s">
        <v>1844</v>
      </c>
      <c r="BE3470" s="436"/>
      <c r="BF3470" s="274" t="str">
        <f>IFERROR(__xludf.DUMMYFUNCTION("LOWER(Regexreplace(to_text(E3470),""[^A-Za-z0-9]"","""")&amp;""_""&amp;Regexreplace(to_text(F3470),""[^A-Za-z0-9]"",""""))"),"daikin_fxzq32bvm6")</f>
        <v>daikin_fxzq32bvm6</v>
      </c>
      <c r="BG3470" s="275" t="str">
        <f>IFERROR(__xludf.DUMMYFUNCTION("upper(Regexreplace(to_text(E3470),""[^A-Za-z0-9]"","""")&amp;""-""&amp;Regexreplace(to_text(F3470),""[^A-Za-z0-9]"",""""))"),"DAIKIN-FXZQ32BVM6")</f>
        <v>DAIKIN-FXZQ32BVM6</v>
      </c>
    </row>
    <row r="3471" ht="30.0" customHeight="1">
      <c r="A3471" s="328">
        <v>2690.0</v>
      </c>
      <c r="B3471" s="425" t="s">
        <v>670</v>
      </c>
      <c r="C3471" s="257" t="s">
        <v>10727</v>
      </c>
      <c r="D3471" s="173" t="s">
        <v>10728</v>
      </c>
      <c r="E3471" s="174" t="s">
        <v>9289</v>
      </c>
      <c r="F3471" s="173" t="s">
        <v>9709</v>
      </c>
      <c r="G3471" s="425" t="s">
        <v>673</v>
      </c>
      <c r="H3471" s="425" t="s">
        <v>2863</v>
      </c>
      <c r="I3471" s="258" t="s">
        <v>9445</v>
      </c>
      <c r="J3471" s="259" t="s">
        <v>1453</v>
      </c>
      <c r="K3471" s="260" t="s">
        <v>1509</v>
      </c>
      <c r="L3471" s="442"/>
      <c r="M3471" s="426"/>
      <c r="N3471" s="173" t="s">
        <v>679</v>
      </c>
      <c r="O3471" s="173" t="s">
        <v>225</v>
      </c>
      <c r="P3471" s="262" t="str">
        <f t="shared" si="1"/>
        <v>IN-BLR-ANANTA-FAN-419_11</v>
      </c>
      <c r="Q3471" s="173" t="s">
        <v>10729</v>
      </c>
      <c r="R3471" s="425" t="str">
        <f>IFS(C3471="","",C3471="n/a","N/A",LEN(C3471),Concatenate("{",char(34),"asset",char(34),":{",char(34),"guid",char(34),":",char(34),Q3471,char(34),",",char(34),"site",char(34),":",char(34),LOWER('2-Building'!$B$4),char(34),",",char(34),"name",char(34),":",char(34),LOWER(C3471),char(34),"}}"))</f>
        <v>{"asset":{"guid":"uuid://500fe65b-336b-4a33-bcef-cb6c29394ab1","site":"in-blr-ananta","name":"fan-419"}}</v>
      </c>
      <c r="S3471" s="369" t="s">
        <v>2866</v>
      </c>
      <c r="T3471" s="427"/>
      <c r="U3471" s="427"/>
      <c r="V3471" s="428"/>
      <c r="W3471" s="429"/>
      <c r="X3471" s="430"/>
      <c r="Y3471" s="33" t="s">
        <v>8076</v>
      </c>
      <c r="Z3471" s="430"/>
      <c r="AA3471" s="430"/>
      <c r="AB3471" s="258">
        <v>200.0</v>
      </c>
      <c r="AC3471" s="430"/>
      <c r="AD3471" s="426"/>
      <c r="AE3471" s="428"/>
      <c r="AF3471" s="431"/>
      <c r="AG3471" s="432" t="str">
        <f>IFS(LEN(AF3471)=17,LOWER('2-Building'!$B$4 &amp; "-" &amp; C3471), AF3471="N/A", "N/A", LEN(AF3471)=0,"")</f>
        <v/>
      </c>
      <c r="AH3471" s="430"/>
      <c r="AI3471" s="430"/>
      <c r="AJ3471" s="430"/>
      <c r="AK3471" s="430"/>
      <c r="AL3471" s="430"/>
      <c r="AM3471" s="433"/>
      <c r="AN3471" s="430"/>
      <c r="AO3471" s="430"/>
      <c r="AP3471" s="430"/>
      <c r="AQ3471" s="430"/>
      <c r="AR3471" s="430"/>
      <c r="AS3471" s="430"/>
      <c r="AT3471" s="430"/>
      <c r="AU3471" s="426"/>
      <c r="AV3471" s="174"/>
      <c r="AW3471" s="269" t="s">
        <v>1771</v>
      </c>
      <c r="AX3471" s="269" t="s">
        <v>2869</v>
      </c>
      <c r="AY3471" s="270" t="s">
        <v>695</v>
      </c>
      <c r="AZ3471" s="435"/>
      <c r="BA3471" s="173">
        <v>10.0</v>
      </c>
      <c r="BB3471" s="434"/>
      <c r="BC3471" s="434"/>
      <c r="BD3471" s="308" t="s">
        <v>1844</v>
      </c>
      <c r="BE3471" s="436"/>
      <c r="BF3471" s="274" t="str">
        <f>IFERROR(__xludf.DUMMYFUNCTION("LOWER(Regexreplace(to_text(E3471),""[^A-Za-z0-9]"","""")&amp;""_""&amp;Regexreplace(to_text(F3471),""[^A-Za-z0-9]"",""""))"),"daikin_fxzq32bvm6")</f>
        <v>daikin_fxzq32bvm6</v>
      </c>
      <c r="BG3471" s="275" t="str">
        <f>IFERROR(__xludf.DUMMYFUNCTION("upper(Regexreplace(to_text(E3471),""[^A-Za-z0-9]"","""")&amp;""-""&amp;Regexreplace(to_text(F3471),""[^A-Za-z0-9]"",""""))"),"DAIKIN-FXZQ32BVM6")</f>
        <v>DAIKIN-FXZQ32BVM6</v>
      </c>
    </row>
    <row r="3472" ht="30.0" customHeight="1">
      <c r="A3472" s="237">
        <v>2691.0</v>
      </c>
      <c r="B3472" s="425" t="s">
        <v>670</v>
      </c>
      <c r="C3472" s="257" t="s">
        <v>10730</v>
      </c>
      <c r="D3472" s="173" t="s">
        <v>10731</v>
      </c>
      <c r="E3472" s="174" t="s">
        <v>9289</v>
      </c>
      <c r="F3472" s="173" t="s">
        <v>9709</v>
      </c>
      <c r="G3472" s="425" t="s">
        <v>673</v>
      </c>
      <c r="H3472" s="425" t="s">
        <v>2863</v>
      </c>
      <c r="I3472" s="258" t="s">
        <v>9445</v>
      </c>
      <c r="J3472" s="259" t="s">
        <v>1453</v>
      </c>
      <c r="K3472" s="260" t="s">
        <v>1509</v>
      </c>
      <c r="L3472" s="442"/>
      <c r="M3472" s="426"/>
      <c r="N3472" s="173" t="s">
        <v>679</v>
      </c>
      <c r="O3472" s="173" t="s">
        <v>225</v>
      </c>
      <c r="P3472" s="262" t="str">
        <f t="shared" si="1"/>
        <v>IN-BLR-ANANTA-FAN-420_11</v>
      </c>
      <c r="Q3472" s="173" t="s">
        <v>10732</v>
      </c>
      <c r="R3472" s="425" t="str">
        <f>IFS(C3472="","",C3472="n/a","N/A",LEN(C3472),Concatenate("{",char(34),"asset",char(34),":{",char(34),"guid",char(34),":",char(34),Q3472,char(34),",",char(34),"site",char(34),":",char(34),LOWER('2-Building'!$B$4),char(34),",",char(34),"name",char(34),":",char(34),LOWER(C3472),char(34),"}}"))</f>
        <v>{"asset":{"guid":"uuid://35792bab-a6d4-40e2-9dec-2aa44f628d92","site":"in-blr-ananta","name":"fan-420"}}</v>
      </c>
      <c r="S3472" s="369" t="s">
        <v>2866</v>
      </c>
      <c r="T3472" s="427"/>
      <c r="U3472" s="427"/>
      <c r="V3472" s="428"/>
      <c r="W3472" s="429"/>
      <c r="X3472" s="430"/>
      <c r="Y3472" s="33" t="s">
        <v>8076</v>
      </c>
      <c r="Z3472" s="430"/>
      <c r="AA3472" s="430"/>
      <c r="AB3472" s="258">
        <v>201.0</v>
      </c>
      <c r="AC3472" s="430"/>
      <c r="AD3472" s="426"/>
      <c r="AE3472" s="428"/>
      <c r="AF3472" s="431"/>
      <c r="AG3472" s="432" t="str">
        <f>IFS(LEN(AF3472)=17,LOWER('2-Building'!$B$4 &amp; "-" &amp; C3472), AF3472="N/A", "N/A", LEN(AF3472)=0,"")</f>
        <v/>
      </c>
      <c r="AH3472" s="430"/>
      <c r="AI3472" s="430"/>
      <c r="AJ3472" s="430"/>
      <c r="AK3472" s="430"/>
      <c r="AL3472" s="430"/>
      <c r="AM3472" s="433"/>
      <c r="AN3472" s="430"/>
      <c r="AO3472" s="430"/>
      <c r="AP3472" s="430"/>
      <c r="AQ3472" s="430"/>
      <c r="AR3472" s="430"/>
      <c r="AS3472" s="430"/>
      <c r="AT3472" s="430"/>
      <c r="AU3472" s="426"/>
      <c r="AV3472" s="174"/>
      <c r="AW3472" s="269" t="s">
        <v>1771</v>
      </c>
      <c r="AX3472" s="269" t="s">
        <v>2869</v>
      </c>
      <c r="AY3472" s="270" t="s">
        <v>695</v>
      </c>
      <c r="AZ3472" s="435"/>
      <c r="BA3472" s="173">
        <v>10.0</v>
      </c>
      <c r="BB3472" s="434"/>
      <c r="BC3472" s="434"/>
      <c r="BD3472" s="308" t="s">
        <v>1844</v>
      </c>
      <c r="BE3472" s="436"/>
      <c r="BF3472" s="274" t="str">
        <f>IFERROR(__xludf.DUMMYFUNCTION("LOWER(Regexreplace(to_text(E3472),""[^A-Za-z0-9]"","""")&amp;""_""&amp;Regexreplace(to_text(F3472),""[^A-Za-z0-9]"",""""))"),"daikin_fxzq32bvm6")</f>
        <v>daikin_fxzq32bvm6</v>
      </c>
      <c r="BG3472" s="275" t="str">
        <f>IFERROR(__xludf.DUMMYFUNCTION("upper(Regexreplace(to_text(E3472),""[^A-Za-z0-9]"","""")&amp;""-""&amp;Regexreplace(to_text(F3472),""[^A-Za-z0-9]"",""""))"),"DAIKIN-FXZQ32BVM6")</f>
        <v>DAIKIN-FXZQ32BVM6</v>
      </c>
    </row>
    <row r="3473" ht="30.0" customHeight="1">
      <c r="A3473" s="237"/>
      <c r="B3473" s="425"/>
      <c r="C3473" s="257"/>
      <c r="D3473" s="173"/>
      <c r="E3473" s="174"/>
      <c r="F3473" s="173"/>
      <c r="G3473" s="425"/>
      <c r="H3473" s="425"/>
      <c r="I3473" s="258"/>
      <c r="J3473" s="259"/>
      <c r="K3473" s="260"/>
      <c r="L3473" s="442"/>
      <c r="M3473" s="426"/>
      <c r="N3473" s="173" t="s">
        <v>679</v>
      </c>
      <c r="O3473" s="173" t="s">
        <v>225</v>
      </c>
      <c r="P3473" s="262" t="str">
        <f t="shared" si="1"/>
        <v>IN-BLR-ANANTA-_</v>
      </c>
      <c r="Q3473" s="173" t="s">
        <v>10733</v>
      </c>
      <c r="R3473" s="425" t="str">
        <f>IFS(C3473="","",C3473="n/a","N/A",LEN(C3473),Concatenate("{",char(34),"asset",char(34),":{",char(34),"guid",char(34),":",char(34),Q3473,char(34),",",char(34),"site",char(34),":",char(34),LOWER('2-Building'!$B$4),char(34),",",char(34),"name",char(34),":",char(34),LOWER(C3473),char(34),"}}"))</f>
        <v/>
      </c>
      <c r="S3473" s="339" t="s">
        <v>2866</v>
      </c>
      <c r="T3473" s="427"/>
      <c r="U3473" s="427"/>
      <c r="V3473" s="428"/>
      <c r="W3473" s="429"/>
      <c r="X3473" s="430"/>
      <c r="Y3473" s="33" t="s">
        <v>8076</v>
      </c>
      <c r="Z3473" s="430"/>
      <c r="AA3473" s="430"/>
      <c r="AB3473" s="258"/>
      <c r="AC3473" s="430"/>
      <c r="AD3473" s="426"/>
      <c r="AE3473" s="428"/>
      <c r="AF3473" s="431"/>
      <c r="AG3473" s="432" t="str">
        <f>IFS(LEN(AF3473)=17,LOWER('2-Building'!$B$4 &amp; "-" &amp; C3473), AF3473="N/A", "N/A", LEN(AF3473)=0,"")</f>
        <v/>
      </c>
      <c r="AH3473" s="430"/>
      <c r="AI3473" s="430"/>
      <c r="AJ3473" s="430"/>
      <c r="AK3473" s="430"/>
      <c r="AL3473" s="430"/>
      <c r="AM3473" s="433"/>
      <c r="AN3473" s="430"/>
      <c r="AO3473" s="430"/>
      <c r="AP3473" s="430"/>
      <c r="AQ3473" s="430"/>
      <c r="AR3473" s="430"/>
      <c r="AS3473" s="430"/>
      <c r="AT3473" s="430"/>
      <c r="AU3473" s="426"/>
      <c r="AV3473" s="174"/>
      <c r="AW3473" s="269" t="s">
        <v>1796</v>
      </c>
      <c r="AX3473" s="269"/>
      <c r="AY3473" s="270"/>
      <c r="AZ3473" s="435"/>
      <c r="BA3473" s="173"/>
      <c r="BB3473" s="434"/>
      <c r="BC3473" s="434"/>
      <c r="BD3473" s="308"/>
      <c r="BE3473" s="436"/>
      <c r="BF3473" s="274" t="str">
        <f>IFERROR(__xludf.DUMMYFUNCTION("LOWER(Regexreplace(to_text(E3473),""[^A-Za-z0-9]"","""")&amp;""_""&amp;Regexreplace(to_text(F3473),""[^A-Za-z0-9]"",""""))"),"_")</f>
        <v>_</v>
      </c>
      <c r="BG3473" s="275" t="str">
        <f>IFERROR(__xludf.DUMMYFUNCTION("upper(Regexreplace(to_text(E3473),""[^A-Za-z0-9]"","""")&amp;""-""&amp;Regexreplace(to_text(F3473),""[^A-Za-z0-9]"",""""))"),"-")</f>
        <v>-</v>
      </c>
    </row>
    <row r="3474" ht="30.0" customHeight="1">
      <c r="A3474" s="237"/>
      <c r="B3474" s="425"/>
      <c r="C3474" s="257"/>
      <c r="D3474" s="173"/>
      <c r="E3474" s="174"/>
      <c r="F3474" s="173"/>
      <c r="G3474" s="425"/>
      <c r="H3474" s="425"/>
      <c r="I3474" s="258"/>
      <c r="J3474" s="259"/>
      <c r="K3474" s="260"/>
      <c r="L3474" s="442"/>
      <c r="M3474" s="426"/>
      <c r="N3474" s="173"/>
      <c r="O3474" s="173" t="s">
        <v>225</v>
      </c>
      <c r="P3474" s="262"/>
      <c r="Q3474" s="173"/>
      <c r="R3474" s="425"/>
      <c r="S3474" s="339"/>
      <c r="T3474" s="427"/>
      <c r="U3474" s="427"/>
      <c r="V3474" s="428"/>
      <c r="W3474" s="429"/>
      <c r="X3474" s="430"/>
      <c r="Y3474" s="33"/>
      <c r="Z3474" s="430"/>
      <c r="AA3474" s="430"/>
      <c r="AB3474" s="258"/>
      <c r="AC3474" s="430"/>
      <c r="AD3474" s="426"/>
      <c r="AE3474" s="428"/>
      <c r="AF3474" s="431"/>
      <c r="AG3474" s="432"/>
      <c r="AH3474" s="430"/>
      <c r="AI3474" s="430"/>
      <c r="AJ3474" s="430"/>
      <c r="AK3474" s="430"/>
      <c r="AL3474" s="430"/>
      <c r="AM3474" s="433"/>
      <c r="AN3474" s="430"/>
      <c r="AO3474" s="430"/>
      <c r="AP3474" s="430"/>
      <c r="AQ3474" s="430"/>
      <c r="AR3474" s="430"/>
      <c r="AS3474" s="430"/>
      <c r="AT3474" s="430"/>
      <c r="AU3474" s="426"/>
      <c r="AV3474" s="174"/>
      <c r="AW3474" s="269"/>
      <c r="AX3474" s="269"/>
      <c r="AY3474" s="270"/>
      <c r="AZ3474" s="435"/>
      <c r="BA3474" s="173"/>
      <c r="BB3474" s="434"/>
      <c r="BC3474" s="434"/>
      <c r="BD3474" s="308"/>
      <c r="BE3474" s="436"/>
      <c r="BF3474" s="274" t="str">
        <f>IFERROR(__xludf.DUMMYFUNCTION("LOWER(Regexreplace(to_text(E3474),""[^A-Za-z0-9]"","""")&amp;""_""&amp;Regexreplace(to_text(F3474),""[^A-Za-z0-9]"",""""))"),"_")</f>
        <v>_</v>
      </c>
      <c r="BG3474" s="275" t="str">
        <f>IFERROR(__xludf.DUMMYFUNCTION("upper(Regexreplace(to_text(E3474),""[^A-Za-z0-9]"","""")&amp;""-""&amp;Regexreplace(to_text(F3474),""[^A-Za-z0-9]"",""""))"),"-")</f>
        <v>-</v>
      </c>
    </row>
    <row r="3475" ht="30.0" customHeight="1">
      <c r="A3475" s="237"/>
      <c r="B3475" s="425"/>
      <c r="C3475" s="257"/>
      <c r="D3475" s="173"/>
      <c r="E3475" s="174"/>
      <c r="F3475" s="173"/>
      <c r="G3475" s="425"/>
      <c r="H3475" s="425"/>
      <c r="I3475" s="258"/>
      <c r="J3475" s="259"/>
      <c r="K3475" s="260"/>
      <c r="L3475" s="442"/>
      <c r="M3475" s="426"/>
      <c r="N3475" s="173"/>
      <c r="O3475" s="173"/>
      <c r="P3475" s="262"/>
      <c r="Q3475" s="173"/>
      <c r="R3475" s="425"/>
      <c r="S3475" s="339"/>
      <c r="T3475" s="427"/>
      <c r="U3475" s="427"/>
      <c r="V3475" s="428"/>
      <c r="W3475" s="429"/>
      <c r="X3475" s="430"/>
      <c r="Y3475" s="33"/>
      <c r="Z3475" s="430"/>
      <c r="AA3475" s="430"/>
      <c r="AB3475" s="258"/>
      <c r="AC3475" s="430"/>
      <c r="AD3475" s="426"/>
      <c r="AE3475" s="428"/>
      <c r="AF3475" s="431"/>
      <c r="AG3475" s="432"/>
      <c r="AH3475" s="430"/>
      <c r="AI3475" s="430"/>
      <c r="AJ3475" s="430"/>
      <c r="AK3475" s="430"/>
      <c r="AL3475" s="430"/>
      <c r="AM3475" s="433"/>
      <c r="AN3475" s="430"/>
      <c r="AO3475" s="430"/>
      <c r="AP3475" s="430"/>
      <c r="AQ3475" s="430"/>
      <c r="AR3475" s="430"/>
      <c r="AS3475" s="430"/>
      <c r="AT3475" s="430"/>
      <c r="AU3475" s="426"/>
      <c r="AV3475" s="174"/>
      <c r="AW3475" s="269"/>
      <c r="AX3475" s="269"/>
      <c r="AY3475" s="270"/>
      <c r="AZ3475" s="435"/>
      <c r="BA3475" s="173"/>
      <c r="BB3475" s="434"/>
      <c r="BC3475" s="434"/>
      <c r="BD3475" s="308"/>
      <c r="BE3475" s="436"/>
      <c r="BF3475" s="274" t="str">
        <f>IFERROR(__xludf.DUMMYFUNCTION("LOWER(Regexreplace(to_text(E3475),""[^A-Za-z0-9]"","""")&amp;""_""&amp;Regexreplace(to_text(F3475),""[^A-Za-z0-9]"",""""))"),"_")</f>
        <v>_</v>
      </c>
      <c r="BG3475" s="275" t="str">
        <f>IFERROR(__xludf.DUMMYFUNCTION("upper(Regexreplace(to_text(E3475),""[^A-Za-z0-9]"","""")&amp;""-""&amp;Regexreplace(to_text(F3475),""[^A-Za-z0-9]"",""""))"),"-")</f>
        <v>-</v>
      </c>
    </row>
    <row r="3476" ht="30.0" customHeight="1">
      <c r="A3476" s="237"/>
      <c r="B3476" s="425"/>
      <c r="C3476" s="257"/>
      <c r="D3476" s="173"/>
      <c r="E3476" s="174"/>
      <c r="F3476" s="173"/>
      <c r="G3476" s="425"/>
      <c r="H3476" s="425"/>
      <c r="I3476" s="258"/>
      <c r="J3476" s="259"/>
      <c r="K3476" s="260"/>
      <c r="L3476" s="442"/>
      <c r="M3476" s="426"/>
      <c r="N3476" s="173"/>
      <c r="O3476" s="173" t="s">
        <v>225</v>
      </c>
      <c r="P3476" s="262"/>
      <c r="Q3476" s="173"/>
      <c r="R3476" s="425"/>
      <c r="S3476" s="339"/>
      <c r="T3476" s="427"/>
      <c r="U3476" s="427"/>
      <c r="V3476" s="428"/>
      <c r="W3476" s="429"/>
      <c r="X3476" s="430"/>
      <c r="Y3476" s="33"/>
      <c r="Z3476" s="430"/>
      <c r="AA3476" s="430"/>
      <c r="AB3476" s="258"/>
      <c r="AC3476" s="430"/>
      <c r="AD3476" s="426"/>
      <c r="AE3476" s="428"/>
      <c r="AF3476" s="431"/>
      <c r="AG3476" s="432"/>
      <c r="AH3476" s="430"/>
      <c r="AI3476" s="430"/>
      <c r="AJ3476" s="430"/>
      <c r="AK3476" s="430"/>
      <c r="AL3476" s="430"/>
      <c r="AM3476" s="433"/>
      <c r="AN3476" s="430"/>
      <c r="AO3476" s="430"/>
      <c r="AP3476" s="430"/>
      <c r="AQ3476" s="430"/>
      <c r="AR3476" s="430"/>
      <c r="AS3476" s="430"/>
      <c r="AT3476" s="430"/>
      <c r="AU3476" s="426"/>
      <c r="AV3476" s="174"/>
      <c r="AW3476" s="269"/>
      <c r="AX3476" s="269"/>
      <c r="AY3476" s="270"/>
      <c r="AZ3476" s="435"/>
      <c r="BA3476" s="173"/>
      <c r="BB3476" s="434"/>
      <c r="BC3476" s="434"/>
      <c r="BD3476" s="308"/>
      <c r="BE3476" s="436"/>
      <c r="BF3476" s="274" t="str">
        <f>IFERROR(__xludf.DUMMYFUNCTION("LOWER(Regexreplace(to_text(E3476),""[^A-Za-z0-9]"","""")&amp;""_""&amp;Regexreplace(to_text(F3476),""[^A-Za-z0-9]"",""""))"),"_")</f>
        <v>_</v>
      </c>
      <c r="BG3476" s="275" t="str">
        <f>IFERROR(__xludf.DUMMYFUNCTION("upper(Regexreplace(to_text(E3476),""[^A-Za-z0-9]"","""")&amp;""-""&amp;Regexreplace(to_text(F3476),""[^A-Za-z0-9]"",""""))"),"-")</f>
        <v>-</v>
      </c>
    </row>
    <row r="3477" ht="30.0" customHeight="1">
      <c r="A3477" s="237"/>
      <c r="B3477" s="425"/>
      <c r="C3477" s="257"/>
      <c r="D3477" s="173"/>
      <c r="E3477" s="174"/>
      <c r="F3477" s="173"/>
      <c r="G3477" s="425"/>
      <c r="H3477" s="425"/>
      <c r="I3477" s="258"/>
      <c r="J3477" s="259"/>
      <c r="K3477" s="260"/>
      <c r="L3477" s="442"/>
      <c r="M3477" s="426"/>
      <c r="N3477" s="173" t="s">
        <v>679</v>
      </c>
      <c r="O3477" s="173" t="s">
        <v>225</v>
      </c>
      <c r="P3477" s="262" t="str">
        <f t="shared" ref="P3477:P3487" si="2">CONCATENATE("IN-BLR-ANANTA-",C3477,"_",J3477)</f>
        <v>IN-BLR-ANANTA-_</v>
      </c>
      <c r="Q3477" s="173" t="s">
        <v>10734</v>
      </c>
      <c r="R3477" s="425" t="str">
        <f>IFS(C3477="","",C3477="n/a","N/A",LEN(C3477),Concatenate("{",char(34),"asset",char(34),":{",char(34),"guid",char(34),":",char(34),Q3477,char(34),",",char(34),"site",char(34),":",char(34),LOWER('2-Building'!$B$4),char(34),",",char(34),"name",char(34),":",char(34),LOWER(C3477),char(34),"}}"))</f>
        <v/>
      </c>
      <c r="S3477" s="339" t="s">
        <v>2866</v>
      </c>
      <c r="T3477" s="427"/>
      <c r="U3477" s="427"/>
      <c r="V3477" s="428"/>
      <c r="W3477" s="429"/>
      <c r="X3477" s="430"/>
      <c r="Y3477" s="33" t="s">
        <v>8076</v>
      </c>
      <c r="Z3477" s="430"/>
      <c r="AA3477" s="430"/>
      <c r="AB3477" s="258"/>
      <c r="AC3477" s="430"/>
      <c r="AD3477" s="426"/>
      <c r="AE3477" s="428"/>
      <c r="AF3477" s="431"/>
      <c r="AG3477" s="432" t="str">
        <f>IFS(LEN(AF3477)=17,LOWER('2-Building'!$B$4 &amp; "-" &amp; C3477), AF3477="N/A", "N/A", LEN(AF3477)=0,"")</f>
        <v/>
      </c>
      <c r="AH3477" s="430"/>
      <c r="AI3477" s="430"/>
      <c r="AJ3477" s="430"/>
      <c r="AK3477" s="430"/>
      <c r="AL3477" s="430"/>
      <c r="AM3477" s="433"/>
      <c r="AN3477" s="430"/>
      <c r="AO3477" s="430"/>
      <c r="AP3477" s="430"/>
      <c r="AQ3477" s="430"/>
      <c r="AR3477" s="430"/>
      <c r="AS3477" s="430"/>
      <c r="AT3477" s="430"/>
      <c r="AU3477" s="426"/>
      <c r="AV3477" s="174"/>
      <c r="AW3477" s="269" t="s">
        <v>1796</v>
      </c>
      <c r="AX3477" s="269"/>
      <c r="AY3477" s="270"/>
      <c r="AZ3477" s="435"/>
      <c r="BA3477" s="173"/>
      <c r="BB3477" s="434"/>
      <c r="BC3477" s="434"/>
      <c r="BD3477" s="308"/>
      <c r="BE3477" s="436"/>
      <c r="BF3477" s="274" t="str">
        <f>IFERROR(__xludf.DUMMYFUNCTION("LOWER(Regexreplace(to_text(E3477),""[^A-Za-z0-9]"","""")&amp;""_""&amp;Regexreplace(to_text(F3477),""[^A-Za-z0-9]"",""""))"),"_")</f>
        <v>_</v>
      </c>
      <c r="BG3477" s="275" t="str">
        <f>IFERROR(__xludf.DUMMYFUNCTION("upper(Regexreplace(to_text(E3477),""[^A-Za-z0-9]"","""")&amp;""-""&amp;Regexreplace(to_text(F3477),""[^A-Za-z0-9]"",""""))"),"-")</f>
        <v>-</v>
      </c>
    </row>
    <row r="3478" ht="30.0" customHeight="1">
      <c r="A3478" s="237"/>
      <c r="B3478" s="425"/>
      <c r="C3478" s="257"/>
      <c r="D3478" s="173"/>
      <c r="E3478" s="174"/>
      <c r="F3478" s="173"/>
      <c r="G3478" s="425"/>
      <c r="H3478" s="425"/>
      <c r="I3478" s="258"/>
      <c r="J3478" s="259"/>
      <c r="K3478" s="260"/>
      <c r="L3478" s="442"/>
      <c r="M3478" s="426"/>
      <c r="N3478" s="173" t="s">
        <v>679</v>
      </c>
      <c r="O3478" s="173" t="s">
        <v>225</v>
      </c>
      <c r="P3478" s="262" t="str">
        <f t="shared" si="2"/>
        <v>IN-BLR-ANANTA-_</v>
      </c>
      <c r="Q3478" s="173" t="s">
        <v>10735</v>
      </c>
      <c r="R3478" s="425" t="str">
        <f>IFS(C3478="","",C3478="n/a","N/A",LEN(C3478),Concatenate("{",char(34),"asset",char(34),":{",char(34),"guid",char(34),":",char(34),Q3478,char(34),",",char(34),"site",char(34),":",char(34),LOWER('2-Building'!$B$4),char(34),",",char(34),"name",char(34),":",char(34),LOWER(C3478),char(34),"}}"))</f>
        <v/>
      </c>
      <c r="S3478" s="339" t="s">
        <v>2866</v>
      </c>
      <c r="T3478" s="427"/>
      <c r="U3478" s="427"/>
      <c r="V3478" s="428"/>
      <c r="W3478" s="429"/>
      <c r="X3478" s="430"/>
      <c r="Y3478" s="33" t="s">
        <v>8076</v>
      </c>
      <c r="Z3478" s="430"/>
      <c r="AA3478" s="430"/>
      <c r="AB3478" s="258"/>
      <c r="AC3478" s="430"/>
      <c r="AD3478" s="426"/>
      <c r="AE3478" s="428"/>
      <c r="AF3478" s="431"/>
      <c r="AG3478" s="432" t="str">
        <f>IFS(LEN(AF3478)=17,LOWER('2-Building'!$B$4 &amp; "-" &amp; C3478), AF3478="N/A", "N/A", LEN(AF3478)=0,"")</f>
        <v/>
      </c>
      <c r="AH3478" s="430"/>
      <c r="AI3478" s="430"/>
      <c r="AJ3478" s="430"/>
      <c r="AK3478" s="430"/>
      <c r="AL3478" s="430"/>
      <c r="AM3478" s="433"/>
      <c r="AN3478" s="430"/>
      <c r="AO3478" s="430"/>
      <c r="AP3478" s="430"/>
      <c r="AQ3478" s="430"/>
      <c r="AR3478" s="430"/>
      <c r="AS3478" s="430"/>
      <c r="AT3478" s="430"/>
      <c r="AU3478" s="426"/>
      <c r="AV3478" s="174"/>
      <c r="AW3478" s="269" t="s">
        <v>1796</v>
      </c>
      <c r="AX3478" s="269"/>
      <c r="AY3478" s="270"/>
      <c r="AZ3478" s="435"/>
      <c r="BA3478" s="173"/>
      <c r="BB3478" s="434"/>
      <c r="BC3478" s="434"/>
      <c r="BD3478" s="308"/>
      <c r="BE3478" s="436"/>
      <c r="BF3478" s="274" t="str">
        <f>IFERROR(__xludf.DUMMYFUNCTION("LOWER(Regexreplace(to_text(E3478),""[^A-Za-z0-9]"","""")&amp;""_""&amp;Regexreplace(to_text(F3478),""[^A-Za-z0-9]"",""""))"),"_")</f>
        <v>_</v>
      </c>
      <c r="BG3478" s="275" t="str">
        <f>IFERROR(__xludf.DUMMYFUNCTION("upper(Regexreplace(to_text(E3478),""[^A-Za-z0-9]"","""")&amp;""-""&amp;Regexreplace(to_text(F3478),""[^A-Za-z0-9]"",""""))"),"-")</f>
        <v>-</v>
      </c>
    </row>
    <row r="3479" ht="30.0" customHeight="1">
      <c r="A3479" s="237"/>
      <c r="B3479" s="425"/>
      <c r="C3479" s="257"/>
      <c r="D3479" s="173"/>
      <c r="E3479" s="174"/>
      <c r="F3479" s="173"/>
      <c r="G3479" s="425"/>
      <c r="H3479" s="425"/>
      <c r="I3479" s="258"/>
      <c r="J3479" s="259"/>
      <c r="K3479" s="260"/>
      <c r="L3479" s="442"/>
      <c r="M3479" s="426"/>
      <c r="N3479" s="173" t="s">
        <v>679</v>
      </c>
      <c r="O3479" s="173" t="s">
        <v>225</v>
      </c>
      <c r="P3479" s="262" t="str">
        <f t="shared" si="2"/>
        <v>IN-BLR-ANANTA-_</v>
      </c>
      <c r="Q3479" s="173" t="s">
        <v>10736</v>
      </c>
      <c r="R3479" s="425" t="str">
        <f>IFS(C3479="","",C3479="n/a","N/A",LEN(C3479),Concatenate("{",char(34),"asset",char(34),":{",char(34),"guid",char(34),":",char(34),Q3479,char(34),",",char(34),"site",char(34),":",char(34),LOWER('2-Building'!$B$4),char(34),",",char(34),"name",char(34),":",char(34),LOWER(C3479),char(34),"}}"))</f>
        <v/>
      </c>
      <c r="S3479" s="339" t="s">
        <v>2866</v>
      </c>
      <c r="T3479" s="427"/>
      <c r="U3479" s="427"/>
      <c r="V3479" s="428"/>
      <c r="W3479" s="429"/>
      <c r="X3479" s="430"/>
      <c r="Y3479" s="33" t="s">
        <v>8076</v>
      </c>
      <c r="Z3479" s="430"/>
      <c r="AA3479" s="430"/>
      <c r="AB3479" s="258"/>
      <c r="AC3479" s="430"/>
      <c r="AD3479" s="426"/>
      <c r="AE3479" s="428"/>
      <c r="AF3479" s="431"/>
      <c r="AG3479" s="432" t="str">
        <f>IFS(LEN(AF3479)=17,LOWER('2-Building'!$B$4 &amp; "-" &amp; C3479), AF3479="N/A", "N/A", LEN(AF3479)=0,"")</f>
        <v/>
      </c>
      <c r="AH3479" s="430"/>
      <c r="AI3479" s="430"/>
      <c r="AJ3479" s="430"/>
      <c r="AK3479" s="430"/>
      <c r="AL3479" s="430"/>
      <c r="AM3479" s="433"/>
      <c r="AN3479" s="430"/>
      <c r="AO3479" s="430"/>
      <c r="AP3479" s="430"/>
      <c r="AQ3479" s="430"/>
      <c r="AR3479" s="430"/>
      <c r="AS3479" s="430"/>
      <c r="AT3479" s="430"/>
      <c r="AU3479" s="426"/>
      <c r="AV3479" s="174"/>
      <c r="AW3479" s="269" t="s">
        <v>1796</v>
      </c>
      <c r="AX3479" s="269"/>
      <c r="AY3479" s="270"/>
      <c r="AZ3479" s="435"/>
      <c r="BA3479" s="173"/>
      <c r="BB3479" s="434"/>
      <c r="BC3479" s="434"/>
      <c r="BD3479" s="308"/>
      <c r="BE3479" s="436"/>
      <c r="BF3479" s="274" t="str">
        <f>IFERROR(__xludf.DUMMYFUNCTION("LOWER(Regexreplace(to_text(E3479),""[^A-Za-z0-9]"","""")&amp;""_""&amp;Regexreplace(to_text(F3479),""[^A-Za-z0-9]"",""""))"),"_")</f>
        <v>_</v>
      </c>
      <c r="BG3479" s="275" t="str">
        <f>IFERROR(__xludf.DUMMYFUNCTION("upper(Regexreplace(to_text(E3479),""[^A-Za-z0-9]"","""")&amp;""-""&amp;Regexreplace(to_text(F3479),""[^A-Za-z0-9]"",""""))"),"-")</f>
        <v>-</v>
      </c>
    </row>
    <row r="3480" ht="30.0" customHeight="1">
      <c r="A3480" s="237"/>
      <c r="B3480" s="425"/>
      <c r="C3480" s="257"/>
      <c r="D3480" s="173"/>
      <c r="E3480" s="174"/>
      <c r="F3480" s="173"/>
      <c r="G3480" s="425"/>
      <c r="H3480" s="425"/>
      <c r="I3480" s="258"/>
      <c r="J3480" s="259"/>
      <c r="K3480" s="260"/>
      <c r="L3480" s="442"/>
      <c r="M3480" s="426"/>
      <c r="N3480" s="173" t="s">
        <v>679</v>
      </c>
      <c r="O3480" s="173" t="s">
        <v>225</v>
      </c>
      <c r="P3480" s="262" t="str">
        <f t="shared" si="2"/>
        <v>IN-BLR-ANANTA-_</v>
      </c>
      <c r="Q3480" s="173" t="s">
        <v>10737</v>
      </c>
      <c r="R3480" s="425" t="str">
        <f>IFS(C3480="","",C3480="n/a","N/A",LEN(C3480),Concatenate("{",char(34),"asset",char(34),":{",char(34),"guid",char(34),":",char(34),Q3480,char(34),",",char(34),"site",char(34),":",char(34),LOWER('2-Building'!$B$4),char(34),",",char(34),"name",char(34),":",char(34),LOWER(C3480),char(34),"}}"))</f>
        <v/>
      </c>
      <c r="S3480" s="339" t="s">
        <v>2866</v>
      </c>
      <c r="T3480" s="427"/>
      <c r="U3480" s="427"/>
      <c r="V3480" s="428"/>
      <c r="W3480" s="429"/>
      <c r="X3480" s="430"/>
      <c r="Y3480" s="33" t="s">
        <v>8076</v>
      </c>
      <c r="Z3480" s="430"/>
      <c r="AA3480" s="430"/>
      <c r="AB3480" s="258"/>
      <c r="AC3480" s="430"/>
      <c r="AD3480" s="426"/>
      <c r="AE3480" s="428"/>
      <c r="AF3480" s="431"/>
      <c r="AG3480" s="432" t="str">
        <f>IFS(LEN(AF3480)=17,LOWER('2-Building'!$B$4 &amp; "-" &amp; C3480), AF3480="N/A", "N/A", LEN(AF3480)=0,"")</f>
        <v/>
      </c>
      <c r="AH3480" s="430"/>
      <c r="AI3480" s="430"/>
      <c r="AJ3480" s="430"/>
      <c r="AK3480" s="430"/>
      <c r="AL3480" s="430"/>
      <c r="AM3480" s="433"/>
      <c r="AN3480" s="430"/>
      <c r="AO3480" s="430"/>
      <c r="AP3480" s="430"/>
      <c r="AQ3480" s="430"/>
      <c r="AR3480" s="430"/>
      <c r="AS3480" s="430"/>
      <c r="AT3480" s="430"/>
      <c r="AU3480" s="426"/>
      <c r="AV3480" s="174"/>
      <c r="AW3480" s="269" t="s">
        <v>1796</v>
      </c>
      <c r="AX3480" s="269"/>
      <c r="AY3480" s="270"/>
      <c r="AZ3480" s="435"/>
      <c r="BA3480" s="173"/>
      <c r="BB3480" s="434"/>
      <c r="BC3480" s="434"/>
      <c r="BD3480" s="308"/>
      <c r="BE3480" s="436"/>
      <c r="BF3480" s="274" t="str">
        <f>IFERROR(__xludf.DUMMYFUNCTION("LOWER(Regexreplace(to_text(E3480),""[^A-Za-z0-9]"","""")&amp;""_""&amp;Regexreplace(to_text(F3480),""[^A-Za-z0-9]"",""""))"),"_")</f>
        <v>_</v>
      </c>
      <c r="BG3480" s="275" t="str">
        <f>IFERROR(__xludf.DUMMYFUNCTION("upper(Regexreplace(to_text(E3480),""[^A-Za-z0-9]"","""")&amp;""-""&amp;Regexreplace(to_text(F3480),""[^A-Za-z0-9]"",""""))"),"-")</f>
        <v>-</v>
      </c>
    </row>
    <row r="3481" ht="30.0" customHeight="1">
      <c r="A3481" s="237"/>
      <c r="B3481" s="425"/>
      <c r="C3481" s="257"/>
      <c r="D3481" s="173"/>
      <c r="E3481" s="174"/>
      <c r="F3481" s="173"/>
      <c r="G3481" s="425"/>
      <c r="H3481" s="425"/>
      <c r="I3481" s="258"/>
      <c r="J3481" s="259"/>
      <c r="K3481" s="260"/>
      <c r="L3481" s="442"/>
      <c r="M3481" s="426"/>
      <c r="N3481" s="173" t="s">
        <v>679</v>
      </c>
      <c r="O3481" s="173" t="s">
        <v>225</v>
      </c>
      <c r="P3481" s="262" t="str">
        <f t="shared" si="2"/>
        <v>IN-BLR-ANANTA-_</v>
      </c>
      <c r="Q3481" s="173" t="s">
        <v>10738</v>
      </c>
      <c r="R3481" s="425" t="str">
        <f>IFS(C3481="","",C3481="n/a","N/A",LEN(C3481),Concatenate("{",char(34),"asset",char(34),":{",char(34),"guid",char(34),":",char(34),Q3481,char(34),",",char(34),"site",char(34),":",char(34),LOWER('2-Building'!$B$4),char(34),",",char(34),"name",char(34),":",char(34),LOWER(C3481),char(34),"}}"))</f>
        <v/>
      </c>
      <c r="S3481" s="339" t="s">
        <v>2866</v>
      </c>
      <c r="T3481" s="427"/>
      <c r="U3481" s="427"/>
      <c r="V3481" s="428"/>
      <c r="W3481" s="429"/>
      <c r="X3481" s="430"/>
      <c r="Y3481" s="33" t="s">
        <v>8076</v>
      </c>
      <c r="Z3481" s="430"/>
      <c r="AA3481" s="430"/>
      <c r="AB3481" s="258"/>
      <c r="AC3481" s="430"/>
      <c r="AD3481" s="426"/>
      <c r="AE3481" s="428"/>
      <c r="AF3481" s="431"/>
      <c r="AG3481" s="432" t="str">
        <f>IFS(LEN(AF3481)=17,LOWER('2-Building'!$B$4 &amp; "-" &amp; C3481), AF3481="N/A", "N/A", LEN(AF3481)=0,"")</f>
        <v/>
      </c>
      <c r="AH3481" s="430"/>
      <c r="AI3481" s="430"/>
      <c r="AJ3481" s="430"/>
      <c r="AK3481" s="430"/>
      <c r="AL3481" s="430"/>
      <c r="AM3481" s="433"/>
      <c r="AN3481" s="430"/>
      <c r="AO3481" s="430"/>
      <c r="AP3481" s="430"/>
      <c r="AQ3481" s="430"/>
      <c r="AR3481" s="430"/>
      <c r="AS3481" s="430"/>
      <c r="AT3481" s="430"/>
      <c r="AU3481" s="426"/>
      <c r="AV3481" s="174"/>
      <c r="AW3481" s="269" t="s">
        <v>1796</v>
      </c>
      <c r="AX3481" s="269"/>
      <c r="AY3481" s="270"/>
      <c r="AZ3481" s="435"/>
      <c r="BA3481" s="173"/>
      <c r="BB3481" s="434"/>
      <c r="BC3481" s="434"/>
      <c r="BD3481" s="308"/>
      <c r="BE3481" s="436"/>
      <c r="BF3481" s="274" t="str">
        <f>IFERROR(__xludf.DUMMYFUNCTION("LOWER(Regexreplace(to_text(E3481),""[^A-Za-z0-9]"","""")&amp;""_""&amp;Regexreplace(to_text(F3481),""[^A-Za-z0-9]"",""""))"),"_")</f>
        <v>_</v>
      </c>
      <c r="BG3481" s="275" t="str">
        <f>IFERROR(__xludf.DUMMYFUNCTION("upper(Regexreplace(to_text(E3481),""[^A-Za-z0-9]"","""")&amp;""-""&amp;Regexreplace(to_text(F3481),""[^A-Za-z0-9]"",""""))"),"-")</f>
        <v>-</v>
      </c>
    </row>
    <row r="3482" ht="30.0" customHeight="1">
      <c r="A3482" s="237"/>
      <c r="B3482" s="425"/>
      <c r="C3482" s="257"/>
      <c r="D3482" s="173"/>
      <c r="E3482" s="174"/>
      <c r="F3482" s="173"/>
      <c r="G3482" s="425"/>
      <c r="H3482" s="425"/>
      <c r="I3482" s="258"/>
      <c r="J3482" s="259"/>
      <c r="K3482" s="260"/>
      <c r="L3482" s="442"/>
      <c r="M3482" s="426"/>
      <c r="N3482" s="173" t="s">
        <v>679</v>
      </c>
      <c r="O3482" s="173" t="s">
        <v>225</v>
      </c>
      <c r="P3482" s="262" t="str">
        <f t="shared" si="2"/>
        <v>IN-BLR-ANANTA-_</v>
      </c>
      <c r="Q3482" s="173" t="s">
        <v>10739</v>
      </c>
      <c r="R3482" s="425" t="str">
        <f>IFS(C3482="","",C3482="n/a","N/A",LEN(C3482),Concatenate("{",char(34),"asset",char(34),":{",char(34),"guid",char(34),":",char(34),Q3482,char(34),",",char(34),"site",char(34),":",char(34),LOWER('2-Building'!$B$4),char(34),",",char(34),"name",char(34),":",char(34),LOWER(C3482),char(34),"}}"))</f>
        <v/>
      </c>
      <c r="S3482" s="339" t="s">
        <v>2866</v>
      </c>
      <c r="T3482" s="427"/>
      <c r="U3482" s="427"/>
      <c r="V3482" s="428"/>
      <c r="W3482" s="429"/>
      <c r="X3482" s="430"/>
      <c r="Y3482" s="33" t="s">
        <v>8076</v>
      </c>
      <c r="Z3482" s="430"/>
      <c r="AA3482" s="430"/>
      <c r="AB3482" s="258"/>
      <c r="AC3482" s="430"/>
      <c r="AD3482" s="426"/>
      <c r="AE3482" s="428"/>
      <c r="AF3482" s="431"/>
      <c r="AG3482" s="432" t="str">
        <f>IFS(LEN(AF3482)=17,LOWER('2-Building'!$B$4 &amp; "-" &amp; C3482), AF3482="N/A", "N/A", LEN(AF3482)=0,"")</f>
        <v/>
      </c>
      <c r="AH3482" s="430"/>
      <c r="AI3482" s="430"/>
      <c r="AJ3482" s="430"/>
      <c r="AK3482" s="430"/>
      <c r="AL3482" s="430"/>
      <c r="AM3482" s="433"/>
      <c r="AN3482" s="430"/>
      <c r="AO3482" s="430"/>
      <c r="AP3482" s="430"/>
      <c r="AQ3482" s="430"/>
      <c r="AR3482" s="430"/>
      <c r="AS3482" s="430"/>
      <c r="AT3482" s="430"/>
      <c r="AU3482" s="426"/>
      <c r="AV3482" s="174"/>
      <c r="AW3482" s="269" t="s">
        <v>1796</v>
      </c>
      <c r="AX3482" s="269"/>
      <c r="AY3482" s="270"/>
      <c r="AZ3482" s="435"/>
      <c r="BA3482" s="173"/>
      <c r="BB3482" s="434"/>
      <c r="BC3482" s="434"/>
      <c r="BD3482" s="308"/>
      <c r="BE3482" s="436"/>
      <c r="BF3482" s="274" t="str">
        <f>IFERROR(__xludf.DUMMYFUNCTION("LOWER(Regexreplace(to_text(E3482),""[^A-Za-z0-9]"","""")&amp;""_""&amp;Regexreplace(to_text(F3482),""[^A-Za-z0-9]"",""""))"),"_")</f>
        <v>_</v>
      </c>
      <c r="BG3482" s="275" t="str">
        <f>IFERROR(__xludf.DUMMYFUNCTION("upper(Regexreplace(to_text(E3482),""[^A-Za-z0-9]"","""")&amp;""-""&amp;Regexreplace(to_text(F3482),""[^A-Za-z0-9]"",""""))"),"-")</f>
        <v>-</v>
      </c>
    </row>
    <row r="3483" ht="30.0" customHeight="1">
      <c r="A3483" s="237"/>
      <c r="B3483" s="425"/>
      <c r="C3483" s="257"/>
      <c r="D3483" s="173"/>
      <c r="E3483" s="174"/>
      <c r="F3483" s="173"/>
      <c r="G3483" s="425"/>
      <c r="H3483" s="425"/>
      <c r="I3483" s="258"/>
      <c r="J3483" s="259"/>
      <c r="K3483" s="260"/>
      <c r="L3483" s="442"/>
      <c r="M3483" s="426"/>
      <c r="N3483" s="173" t="s">
        <v>679</v>
      </c>
      <c r="O3483" s="173" t="s">
        <v>225</v>
      </c>
      <c r="P3483" s="262" t="str">
        <f t="shared" si="2"/>
        <v>IN-BLR-ANANTA-_</v>
      </c>
      <c r="Q3483" s="173" t="s">
        <v>10740</v>
      </c>
      <c r="R3483" s="425" t="str">
        <f>IFS(C3483="","",C3483="n/a","N/A",LEN(C3483),Concatenate("{",char(34),"asset",char(34),":{",char(34),"guid",char(34),":",char(34),Q3483,char(34),",",char(34),"site",char(34),":",char(34),LOWER('2-Building'!$B$4),char(34),",",char(34),"name",char(34),":",char(34),LOWER(C3483),char(34),"}}"))</f>
        <v/>
      </c>
      <c r="S3483" s="339" t="s">
        <v>2866</v>
      </c>
      <c r="T3483" s="427"/>
      <c r="U3483" s="427"/>
      <c r="V3483" s="428"/>
      <c r="W3483" s="429"/>
      <c r="X3483" s="430"/>
      <c r="Y3483" s="33" t="s">
        <v>8076</v>
      </c>
      <c r="Z3483" s="430"/>
      <c r="AA3483" s="430"/>
      <c r="AB3483" s="258"/>
      <c r="AC3483" s="430"/>
      <c r="AD3483" s="426"/>
      <c r="AE3483" s="428"/>
      <c r="AF3483" s="431"/>
      <c r="AG3483" s="432" t="str">
        <f>IFS(LEN(AF3483)=17,LOWER('2-Building'!$B$4 &amp; "-" &amp; C3483), AF3483="N/A", "N/A", LEN(AF3483)=0,"")</f>
        <v/>
      </c>
      <c r="AH3483" s="430"/>
      <c r="AI3483" s="430"/>
      <c r="AJ3483" s="430"/>
      <c r="AK3483" s="430"/>
      <c r="AL3483" s="430"/>
      <c r="AM3483" s="433"/>
      <c r="AN3483" s="430"/>
      <c r="AO3483" s="430"/>
      <c r="AP3483" s="430"/>
      <c r="AQ3483" s="430"/>
      <c r="AR3483" s="430"/>
      <c r="AS3483" s="430"/>
      <c r="AT3483" s="430"/>
      <c r="AU3483" s="426"/>
      <c r="AV3483" s="174"/>
      <c r="AW3483" s="269" t="s">
        <v>1796</v>
      </c>
      <c r="AX3483" s="269"/>
      <c r="AY3483" s="270"/>
      <c r="AZ3483" s="435"/>
      <c r="BA3483" s="173"/>
      <c r="BB3483" s="434"/>
      <c r="BC3483" s="434"/>
      <c r="BD3483" s="308"/>
      <c r="BE3483" s="436"/>
      <c r="BF3483" s="274" t="str">
        <f>IFERROR(__xludf.DUMMYFUNCTION("LOWER(Regexreplace(to_text(E3483),""[^A-Za-z0-9]"","""")&amp;""_""&amp;Regexreplace(to_text(F3483),""[^A-Za-z0-9]"",""""))"),"_")</f>
        <v>_</v>
      </c>
      <c r="BG3483" s="275" t="str">
        <f>IFERROR(__xludf.DUMMYFUNCTION("upper(Regexreplace(to_text(E3483),""[^A-Za-z0-9]"","""")&amp;""-""&amp;Regexreplace(to_text(F3483),""[^A-Za-z0-9]"",""""))"),"-")</f>
        <v>-</v>
      </c>
    </row>
    <row r="3484" ht="30.0" customHeight="1">
      <c r="A3484" s="237"/>
      <c r="B3484" s="425"/>
      <c r="C3484" s="257"/>
      <c r="D3484" s="173"/>
      <c r="E3484" s="174"/>
      <c r="F3484" s="173"/>
      <c r="G3484" s="425"/>
      <c r="H3484" s="425"/>
      <c r="I3484" s="258"/>
      <c r="J3484" s="259"/>
      <c r="K3484" s="260"/>
      <c r="L3484" s="442"/>
      <c r="M3484" s="426"/>
      <c r="N3484" s="173" t="s">
        <v>679</v>
      </c>
      <c r="O3484" s="173" t="s">
        <v>225</v>
      </c>
      <c r="P3484" s="262" t="str">
        <f t="shared" si="2"/>
        <v>IN-BLR-ANANTA-_</v>
      </c>
      <c r="Q3484" s="173" t="s">
        <v>10741</v>
      </c>
      <c r="R3484" s="425" t="str">
        <f>IFS(C3484="","",C3484="n/a","N/A",LEN(C3484),Concatenate("{",char(34),"asset",char(34),":{",char(34),"guid",char(34),":",char(34),Q3484,char(34),",",char(34),"site",char(34),":",char(34),LOWER('2-Building'!$B$4),char(34),",",char(34),"name",char(34),":",char(34),LOWER(C3484),char(34),"}}"))</f>
        <v/>
      </c>
      <c r="S3484" s="339" t="s">
        <v>2866</v>
      </c>
      <c r="T3484" s="427"/>
      <c r="U3484" s="427"/>
      <c r="V3484" s="428"/>
      <c r="W3484" s="429"/>
      <c r="X3484" s="430"/>
      <c r="Y3484" s="33" t="s">
        <v>8076</v>
      </c>
      <c r="Z3484" s="430"/>
      <c r="AA3484" s="430"/>
      <c r="AB3484" s="258"/>
      <c r="AC3484" s="430"/>
      <c r="AD3484" s="426"/>
      <c r="AE3484" s="428"/>
      <c r="AF3484" s="431"/>
      <c r="AG3484" s="432" t="str">
        <f>IFS(LEN(AF3484)=17,LOWER('2-Building'!$B$4 &amp; "-" &amp; C3484), AF3484="N/A", "N/A", LEN(AF3484)=0,"")</f>
        <v/>
      </c>
      <c r="AH3484" s="430"/>
      <c r="AI3484" s="430"/>
      <c r="AJ3484" s="430"/>
      <c r="AK3484" s="430"/>
      <c r="AL3484" s="430"/>
      <c r="AM3484" s="433"/>
      <c r="AN3484" s="430"/>
      <c r="AO3484" s="430"/>
      <c r="AP3484" s="430"/>
      <c r="AQ3484" s="430"/>
      <c r="AR3484" s="430"/>
      <c r="AS3484" s="430"/>
      <c r="AT3484" s="430"/>
      <c r="AU3484" s="426"/>
      <c r="AV3484" s="174"/>
      <c r="AW3484" s="269" t="s">
        <v>1796</v>
      </c>
      <c r="AX3484" s="269"/>
      <c r="AY3484" s="270"/>
      <c r="AZ3484" s="435"/>
      <c r="BA3484" s="173"/>
      <c r="BB3484" s="434"/>
      <c r="BC3484" s="434"/>
      <c r="BD3484" s="308"/>
      <c r="BE3484" s="436"/>
      <c r="BF3484" s="274" t="str">
        <f>IFERROR(__xludf.DUMMYFUNCTION("LOWER(Regexreplace(to_text(E3484),""[^A-Za-z0-9]"","""")&amp;""_""&amp;Regexreplace(to_text(F3484),""[^A-Za-z0-9]"",""""))"),"_")</f>
        <v>_</v>
      </c>
      <c r="BG3484" s="275" t="str">
        <f>IFERROR(__xludf.DUMMYFUNCTION("upper(Regexreplace(to_text(E3484),""[^A-Za-z0-9]"","""")&amp;""-""&amp;Regexreplace(to_text(F3484),""[^A-Za-z0-9]"",""""))"),"-")</f>
        <v>-</v>
      </c>
    </row>
    <row r="3485" ht="30.0" customHeight="1">
      <c r="A3485" s="237"/>
      <c r="B3485" s="425"/>
      <c r="C3485" s="257"/>
      <c r="D3485" s="173"/>
      <c r="E3485" s="174"/>
      <c r="F3485" s="173"/>
      <c r="G3485" s="425"/>
      <c r="H3485" s="425"/>
      <c r="I3485" s="258"/>
      <c r="J3485" s="259"/>
      <c r="K3485" s="260"/>
      <c r="L3485" s="442"/>
      <c r="M3485" s="426"/>
      <c r="N3485" s="173" t="s">
        <v>679</v>
      </c>
      <c r="O3485" s="173" t="s">
        <v>225</v>
      </c>
      <c r="P3485" s="262" t="str">
        <f t="shared" si="2"/>
        <v>IN-BLR-ANANTA-_</v>
      </c>
      <c r="Q3485" s="173" t="s">
        <v>10742</v>
      </c>
      <c r="R3485" s="425" t="str">
        <f>IFS(C3485="","",C3485="n/a","N/A",LEN(C3485),Concatenate("{",char(34),"asset",char(34),":{",char(34),"guid",char(34),":",char(34),Q3485,char(34),",",char(34),"site",char(34),":",char(34),LOWER('2-Building'!$B$4),char(34),",",char(34),"name",char(34),":",char(34),LOWER(C3485),char(34),"}}"))</f>
        <v/>
      </c>
      <c r="S3485" s="339" t="s">
        <v>2866</v>
      </c>
      <c r="T3485" s="427"/>
      <c r="U3485" s="427"/>
      <c r="V3485" s="428"/>
      <c r="W3485" s="429"/>
      <c r="X3485" s="430"/>
      <c r="Y3485" s="33" t="s">
        <v>8076</v>
      </c>
      <c r="Z3485" s="430"/>
      <c r="AA3485" s="430"/>
      <c r="AB3485" s="258"/>
      <c r="AC3485" s="430"/>
      <c r="AD3485" s="426"/>
      <c r="AE3485" s="428"/>
      <c r="AF3485" s="431"/>
      <c r="AG3485" s="432" t="str">
        <f>IFS(LEN(AF3485)=17,LOWER('2-Building'!$B$4 &amp; "-" &amp; C3485), AF3485="N/A", "N/A", LEN(AF3485)=0,"")</f>
        <v/>
      </c>
      <c r="AH3485" s="430"/>
      <c r="AI3485" s="430"/>
      <c r="AJ3485" s="430"/>
      <c r="AK3485" s="430"/>
      <c r="AL3485" s="430"/>
      <c r="AM3485" s="433"/>
      <c r="AN3485" s="430"/>
      <c r="AO3485" s="430"/>
      <c r="AP3485" s="430"/>
      <c r="AQ3485" s="430"/>
      <c r="AR3485" s="430"/>
      <c r="AS3485" s="430"/>
      <c r="AT3485" s="430"/>
      <c r="AU3485" s="426"/>
      <c r="AV3485" s="174"/>
      <c r="AW3485" s="269" t="s">
        <v>1796</v>
      </c>
      <c r="AX3485" s="269"/>
      <c r="AY3485" s="270"/>
      <c r="AZ3485" s="435"/>
      <c r="BA3485" s="173"/>
      <c r="BB3485" s="434"/>
      <c r="BC3485" s="434"/>
      <c r="BD3485" s="308"/>
      <c r="BE3485" s="436"/>
      <c r="BF3485" s="274" t="str">
        <f>IFERROR(__xludf.DUMMYFUNCTION("LOWER(Regexreplace(to_text(E3485),""[^A-Za-z0-9]"","""")&amp;""_""&amp;Regexreplace(to_text(F3485),""[^A-Za-z0-9]"",""""))"),"_")</f>
        <v>_</v>
      </c>
      <c r="BG3485" s="275" t="str">
        <f>IFERROR(__xludf.DUMMYFUNCTION("upper(Regexreplace(to_text(E3485),""[^A-Za-z0-9]"","""")&amp;""-""&amp;Regexreplace(to_text(F3485),""[^A-Za-z0-9]"",""""))"),"-")</f>
        <v>-</v>
      </c>
    </row>
    <row r="3486" ht="30.0" customHeight="1">
      <c r="A3486" s="237"/>
      <c r="B3486" s="425"/>
      <c r="C3486" s="257"/>
      <c r="D3486" s="173"/>
      <c r="E3486" s="174"/>
      <c r="F3486" s="173"/>
      <c r="G3486" s="425"/>
      <c r="H3486" s="425"/>
      <c r="I3486" s="258"/>
      <c r="J3486" s="259"/>
      <c r="K3486" s="260"/>
      <c r="L3486" s="442"/>
      <c r="M3486" s="426"/>
      <c r="N3486" s="173" t="s">
        <v>679</v>
      </c>
      <c r="O3486" s="173" t="s">
        <v>225</v>
      </c>
      <c r="P3486" s="262" t="str">
        <f t="shared" si="2"/>
        <v>IN-BLR-ANANTA-_</v>
      </c>
      <c r="Q3486" s="173" t="s">
        <v>10743</v>
      </c>
      <c r="R3486" s="425" t="str">
        <f>IFS(C3486="","",C3486="n/a","N/A",LEN(C3486),Concatenate("{",char(34),"asset",char(34),":{",char(34),"guid",char(34),":",char(34),Q3486,char(34),",",char(34),"site",char(34),":",char(34),LOWER('2-Building'!$B$4),char(34),",",char(34),"name",char(34),":",char(34),LOWER(C3486),char(34),"}}"))</f>
        <v/>
      </c>
      <c r="S3486" s="339" t="s">
        <v>2866</v>
      </c>
      <c r="T3486" s="427"/>
      <c r="U3486" s="427"/>
      <c r="V3486" s="428"/>
      <c r="W3486" s="429"/>
      <c r="X3486" s="430"/>
      <c r="Y3486" s="33" t="s">
        <v>8076</v>
      </c>
      <c r="Z3486" s="430"/>
      <c r="AA3486" s="430"/>
      <c r="AB3486" s="258"/>
      <c r="AC3486" s="430"/>
      <c r="AD3486" s="426"/>
      <c r="AE3486" s="428"/>
      <c r="AF3486" s="431"/>
      <c r="AG3486" s="432" t="str">
        <f>IFS(LEN(AF3486)=17,LOWER('2-Building'!$B$4 &amp; "-" &amp; C3486), AF3486="N/A", "N/A", LEN(AF3486)=0,"")</f>
        <v/>
      </c>
      <c r="AH3486" s="430"/>
      <c r="AI3486" s="430"/>
      <c r="AJ3486" s="430"/>
      <c r="AK3486" s="430"/>
      <c r="AL3486" s="430"/>
      <c r="AM3486" s="433"/>
      <c r="AN3486" s="430"/>
      <c r="AO3486" s="430"/>
      <c r="AP3486" s="430"/>
      <c r="AQ3486" s="430"/>
      <c r="AR3486" s="430"/>
      <c r="AS3486" s="430"/>
      <c r="AT3486" s="430"/>
      <c r="AU3486" s="426"/>
      <c r="AV3486" s="174"/>
      <c r="AW3486" s="269" t="s">
        <v>1796</v>
      </c>
      <c r="AX3486" s="269"/>
      <c r="AY3486" s="270"/>
      <c r="AZ3486" s="435"/>
      <c r="BA3486" s="173"/>
      <c r="BB3486" s="434"/>
      <c r="BC3486" s="434"/>
      <c r="BD3486" s="308"/>
      <c r="BE3486" s="436"/>
      <c r="BF3486" s="274" t="str">
        <f>IFERROR(__xludf.DUMMYFUNCTION("LOWER(Regexreplace(to_text(E3486),""[^A-Za-z0-9]"","""")&amp;""_""&amp;Regexreplace(to_text(F3486),""[^A-Za-z0-9]"",""""))"),"_")</f>
        <v>_</v>
      </c>
      <c r="BG3486" s="275" t="str">
        <f>IFERROR(__xludf.DUMMYFUNCTION("upper(Regexreplace(to_text(E3486),""[^A-Za-z0-9]"","""")&amp;""-""&amp;Regexreplace(to_text(F3486),""[^A-Za-z0-9]"",""""))"),"-")</f>
        <v>-</v>
      </c>
    </row>
    <row r="3487" ht="30.0" customHeight="1">
      <c r="A3487" s="237"/>
      <c r="B3487" s="425"/>
      <c r="C3487" s="257"/>
      <c r="D3487" s="173"/>
      <c r="E3487" s="174"/>
      <c r="F3487" s="173"/>
      <c r="G3487" s="425"/>
      <c r="H3487" s="425"/>
      <c r="I3487" s="258"/>
      <c r="J3487" s="259"/>
      <c r="K3487" s="260"/>
      <c r="L3487" s="442"/>
      <c r="M3487" s="426"/>
      <c r="N3487" s="173" t="s">
        <v>679</v>
      </c>
      <c r="O3487" s="173" t="s">
        <v>225</v>
      </c>
      <c r="P3487" s="262" t="str">
        <f t="shared" si="2"/>
        <v>IN-BLR-ANANTA-_</v>
      </c>
      <c r="Q3487" s="173" t="s">
        <v>10744</v>
      </c>
      <c r="R3487" s="425" t="str">
        <f>IFS(C3487="","",C3487="n/a","N/A",LEN(C3487),Concatenate("{",char(34),"asset",char(34),":{",char(34),"guid",char(34),":",char(34),Q3487,char(34),",",char(34),"site",char(34),":",char(34),LOWER('2-Building'!$B$4),char(34),",",char(34),"name",char(34),":",char(34),LOWER(C3487),char(34),"}}"))</f>
        <v/>
      </c>
      <c r="S3487" s="339" t="s">
        <v>2866</v>
      </c>
      <c r="T3487" s="427"/>
      <c r="U3487" s="427"/>
      <c r="V3487" s="428"/>
      <c r="W3487" s="429"/>
      <c r="X3487" s="430"/>
      <c r="Y3487" s="33" t="s">
        <v>8076</v>
      </c>
      <c r="Z3487" s="430"/>
      <c r="AA3487" s="430"/>
      <c r="AB3487" s="258"/>
      <c r="AC3487" s="430"/>
      <c r="AD3487" s="426"/>
      <c r="AE3487" s="428"/>
      <c r="AF3487" s="431"/>
      <c r="AG3487" s="432" t="str">
        <f>IFS(LEN(AF3487)=17,LOWER('2-Building'!$B$4 &amp; "-" &amp; C3487), AF3487="N/A", "N/A", LEN(AF3487)=0,"")</f>
        <v/>
      </c>
      <c r="AH3487" s="430"/>
      <c r="AI3487" s="430"/>
      <c r="AJ3487" s="430"/>
      <c r="AK3487" s="430"/>
      <c r="AL3487" s="430"/>
      <c r="AM3487" s="433"/>
      <c r="AN3487" s="430"/>
      <c r="AO3487" s="430"/>
      <c r="AP3487" s="430"/>
      <c r="AQ3487" s="430"/>
      <c r="AR3487" s="430"/>
      <c r="AS3487" s="430"/>
      <c r="AT3487" s="430"/>
      <c r="AU3487" s="426"/>
      <c r="AV3487" s="174"/>
      <c r="AW3487" s="269" t="s">
        <v>1796</v>
      </c>
      <c r="AX3487" s="269"/>
      <c r="AY3487" s="270"/>
      <c r="AZ3487" s="435"/>
      <c r="BA3487" s="173"/>
      <c r="BB3487" s="434"/>
      <c r="BC3487" s="434"/>
      <c r="BD3487" s="308"/>
      <c r="BE3487" s="436"/>
      <c r="BF3487" s="274" t="str">
        <f>IFERROR(__xludf.DUMMYFUNCTION("LOWER(Regexreplace(to_text(E3487),""[^A-Za-z0-9]"","""")&amp;""_""&amp;Regexreplace(to_text(F3487),""[^A-Za-z0-9]"",""""))"),"_")</f>
        <v>_</v>
      </c>
      <c r="BG3487" s="275" t="str">
        <f>IFERROR(__xludf.DUMMYFUNCTION("upper(Regexreplace(to_text(E3487),""[^A-Za-z0-9]"","""")&amp;""-""&amp;Regexreplace(to_text(F3487),""[^A-Za-z0-9]"",""""))"),"-")</f>
        <v>-</v>
      </c>
    </row>
    <row r="3488" ht="30.0" customHeight="1">
      <c r="A3488" s="237"/>
      <c r="B3488" s="425"/>
      <c r="C3488" s="257"/>
      <c r="D3488" s="173"/>
      <c r="E3488" s="174"/>
      <c r="F3488" s="173"/>
      <c r="G3488" s="425"/>
      <c r="H3488" s="425"/>
      <c r="I3488" s="258"/>
      <c r="J3488" s="259"/>
      <c r="K3488" s="260"/>
      <c r="L3488" s="442"/>
      <c r="M3488" s="426"/>
      <c r="N3488" s="173"/>
      <c r="O3488" s="173"/>
      <c r="P3488" s="262"/>
      <c r="Q3488" s="173"/>
      <c r="R3488" s="425"/>
      <c r="S3488" s="339"/>
      <c r="T3488" s="427"/>
      <c r="U3488" s="427"/>
      <c r="V3488" s="428"/>
      <c r="W3488" s="429"/>
      <c r="X3488" s="430"/>
      <c r="Y3488" s="33"/>
      <c r="Z3488" s="430"/>
      <c r="AA3488" s="430"/>
      <c r="AB3488" s="258"/>
      <c r="AC3488" s="430"/>
      <c r="AD3488" s="426"/>
      <c r="AE3488" s="428"/>
      <c r="AF3488" s="431"/>
      <c r="AG3488" s="432"/>
      <c r="AH3488" s="430"/>
      <c r="AI3488" s="430"/>
      <c r="AJ3488" s="430"/>
      <c r="AK3488" s="430"/>
      <c r="AL3488" s="430"/>
      <c r="AM3488" s="433"/>
      <c r="AN3488" s="430"/>
      <c r="AO3488" s="430"/>
      <c r="AP3488" s="430"/>
      <c r="AQ3488" s="430"/>
      <c r="AR3488" s="430"/>
      <c r="AS3488" s="430"/>
      <c r="AT3488" s="430"/>
      <c r="AU3488" s="426"/>
      <c r="AV3488" s="174"/>
      <c r="AW3488" s="269"/>
      <c r="AX3488" s="269"/>
      <c r="AY3488" s="270"/>
      <c r="AZ3488" s="435"/>
      <c r="BA3488" s="173"/>
      <c r="BB3488" s="434"/>
      <c r="BC3488" s="434"/>
      <c r="BD3488" s="308"/>
      <c r="BE3488" s="436"/>
      <c r="BF3488" s="274" t="str">
        <f>IFERROR(__xludf.DUMMYFUNCTION("LOWER(Regexreplace(to_text(E3488),""[^A-Za-z0-9]"","""")&amp;""_""&amp;Regexreplace(to_text(F3488),""[^A-Za-z0-9]"",""""))"),"_")</f>
        <v>_</v>
      </c>
      <c r="BG3488" s="275" t="str">
        <f>IFERROR(__xludf.DUMMYFUNCTION("upper(Regexreplace(to_text(E3488),""[^A-Za-z0-9]"","""")&amp;""-""&amp;Regexreplace(to_text(F3488),""[^A-Za-z0-9]"",""""))"),"-")</f>
        <v>-</v>
      </c>
    </row>
    <row r="3489" ht="30.0" customHeight="1">
      <c r="A3489" s="237"/>
      <c r="B3489" s="425"/>
      <c r="C3489" s="257"/>
      <c r="D3489" s="173"/>
      <c r="E3489" s="174"/>
      <c r="F3489" s="173"/>
      <c r="G3489" s="425"/>
      <c r="H3489" s="425"/>
      <c r="I3489" s="258"/>
      <c r="J3489" s="259"/>
      <c r="K3489" s="260"/>
      <c r="L3489" s="442"/>
      <c r="M3489" s="426"/>
      <c r="N3489" s="173"/>
      <c r="O3489" s="173"/>
      <c r="P3489" s="262"/>
      <c r="Q3489" s="173"/>
      <c r="R3489" s="425"/>
      <c r="S3489" s="339"/>
      <c r="T3489" s="427"/>
      <c r="U3489" s="427"/>
      <c r="V3489" s="428"/>
      <c r="W3489" s="429"/>
      <c r="X3489" s="430"/>
      <c r="Y3489" s="33"/>
      <c r="Z3489" s="430"/>
      <c r="AA3489" s="430"/>
      <c r="AB3489" s="258"/>
      <c r="AC3489" s="430"/>
      <c r="AD3489" s="426"/>
      <c r="AE3489" s="428"/>
      <c r="AF3489" s="431"/>
      <c r="AG3489" s="432"/>
      <c r="AH3489" s="430"/>
      <c r="AI3489" s="430"/>
      <c r="AJ3489" s="430"/>
      <c r="AK3489" s="430"/>
      <c r="AL3489" s="430"/>
      <c r="AM3489" s="433"/>
      <c r="AN3489" s="430"/>
      <c r="AO3489" s="430"/>
      <c r="AP3489" s="430"/>
      <c r="AQ3489" s="430"/>
      <c r="AR3489" s="430"/>
      <c r="AS3489" s="430"/>
      <c r="AT3489" s="430"/>
      <c r="AU3489" s="426"/>
      <c r="AV3489" s="174"/>
      <c r="AW3489" s="269"/>
      <c r="AX3489" s="269"/>
      <c r="AY3489" s="270"/>
      <c r="AZ3489" s="435"/>
      <c r="BA3489" s="173"/>
      <c r="BB3489" s="434"/>
      <c r="BC3489" s="434"/>
      <c r="BD3489" s="308"/>
      <c r="BE3489" s="436"/>
      <c r="BF3489" s="274" t="str">
        <f>IFERROR(__xludf.DUMMYFUNCTION("LOWER(Regexreplace(to_text(E3489),""[^A-Za-z0-9]"","""")&amp;""_""&amp;Regexreplace(to_text(F3489),""[^A-Za-z0-9]"",""""))"),"_")</f>
        <v>_</v>
      </c>
      <c r="BG3489" s="275" t="str">
        <f>IFERROR(__xludf.DUMMYFUNCTION("upper(Regexreplace(to_text(E3489),""[^A-Za-z0-9]"","""")&amp;""-""&amp;Regexreplace(to_text(F3489),""[^A-Za-z0-9]"",""""))"),"-")</f>
        <v>-</v>
      </c>
    </row>
    <row r="3490" ht="30.0" customHeight="1">
      <c r="A3490" s="237"/>
      <c r="B3490" s="425"/>
      <c r="C3490" s="257"/>
      <c r="D3490" s="173"/>
      <c r="E3490" s="174"/>
      <c r="F3490" s="173"/>
      <c r="G3490" s="425"/>
      <c r="H3490" s="425"/>
      <c r="I3490" s="258"/>
      <c r="J3490" s="259"/>
      <c r="K3490" s="260"/>
      <c r="L3490" s="442"/>
      <c r="M3490" s="426"/>
      <c r="N3490" s="173"/>
      <c r="O3490" s="173"/>
      <c r="P3490" s="262"/>
      <c r="Q3490" s="173"/>
      <c r="R3490" s="425"/>
      <c r="S3490" s="339"/>
      <c r="T3490" s="427"/>
      <c r="U3490" s="427"/>
      <c r="V3490" s="428"/>
      <c r="W3490" s="429"/>
      <c r="X3490" s="430"/>
      <c r="Y3490" s="33"/>
      <c r="Z3490" s="430"/>
      <c r="AA3490" s="430"/>
      <c r="AB3490" s="258"/>
      <c r="AC3490" s="430"/>
      <c r="AD3490" s="426"/>
      <c r="AE3490" s="428"/>
      <c r="AF3490" s="431"/>
      <c r="AG3490" s="432"/>
      <c r="AH3490" s="430"/>
      <c r="AI3490" s="430"/>
      <c r="AJ3490" s="430"/>
      <c r="AK3490" s="430"/>
      <c r="AL3490" s="430"/>
      <c r="AM3490" s="433"/>
      <c r="AN3490" s="430"/>
      <c r="AO3490" s="430"/>
      <c r="AP3490" s="430"/>
      <c r="AQ3490" s="430"/>
      <c r="AR3490" s="430"/>
      <c r="AS3490" s="430"/>
      <c r="AT3490" s="430"/>
      <c r="AU3490" s="426"/>
      <c r="AV3490" s="174"/>
      <c r="AW3490" s="269"/>
      <c r="AX3490" s="269"/>
      <c r="AY3490" s="270"/>
      <c r="AZ3490" s="435"/>
      <c r="BA3490" s="173"/>
      <c r="BB3490" s="434"/>
      <c r="BC3490" s="434"/>
      <c r="BD3490" s="308"/>
      <c r="BE3490" s="436"/>
      <c r="BF3490" s="274" t="str">
        <f>IFERROR(__xludf.DUMMYFUNCTION("LOWER(Regexreplace(to_text(E3490),""[^A-Za-z0-9]"","""")&amp;""_""&amp;Regexreplace(to_text(F3490),""[^A-Za-z0-9]"",""""))"),"_")</f>
        <v>_</v>
      </c>
      <c r="BG3490" s="275" t="str">
        <f>IFERROR(__xludf.DUMMYFUNCTION("upper(Regexreplace(to_text(E3490),""[^A-Za-z0-9]"","""")&amp;""-""&amp;Regexreplace(to_text(F3490),""[^A-Za-z0-9]"",""""))"),"-")</f>
        <v>-</v>
      </c>
    </row>
    <row r="3491" ht="30.0" customHeight="1">
      <c r="A3491" s="237"/>
      <c r="B3491" s="425"/>
      <c r="C3491" s="257"/>
      <c r="D3491" s="173"/>
      <c r="E3491" s="174"/>
      <c r="F3491" s="173"/>
      <c r="G3491" s="425"/>
      <c r="H3491" s="425"/>
      <c r="I3491" s="258"/>
      <c r="J3491" s="259"/>
      <c r="K3491" s="260"/>
      <c r="L3491" s="442"/>
      <c r="M3491" s="426"/>
      <c r="N3491" s="173"/>
      <c r="O3491" s="173"/>
      <c r="P3491" s="262"/>
      <c r="Q3491" s="173"/>
      <c r="R3491" s="425"/>
      <c r="S3491" s="339"/>
      <c r="T3491" s="427"/>
      <c r="U3491" s="427"/>
      <c r="V3491" s="428"/>
      <c r="W3491" s="429"/>
      <c r="X3491" s="430"/>
      <c r="Y3491" s="33"/>
      <c r="Z3491" s="430"/>
      <c r="AA3491" s="430"/>
      <c r="AB3491" s="258"/>
      <c r="AC3491" s="430"/>
      <c r="AD3491" s="426"/>
      <c r="AE3491" s="428"/>
      <c r="AF3491" s="431"/>
      <c r="AG3491" s="432"/>
      <c r="AH3491" s="430"/>
      <c r="AI3491" s="430"/>
      <c r="AJ3491" s="430"/>
      <c r="AK3491" s="430"/>
      <c r="AL3491" s="430"/>
      <c r="AM3491" s="433"/>
      <c r="AN3491" s="430"/>
      <c r="AO3491" s="430"/>
      <c r="AP3491" s="430"/>
      <c r="AQ3491" s="430"/>
      <c r="AR3491" s="430"/>
      <c r="AS3491" s="430"/>
      <c r="AT3491" s="430"/>
      <c r="AU3491" s="426"/>
      <c r="AV3491" s="174"/>
      <c r="AW3491" s="269"/>
      <c r="AX3491" s="269"/>
      <c r="AY3491" s="270"/>
      <c r="AZ3491" s="435"/>
      <c r="BA3491" s="173"/>
      <c r="BB3491" s="434"/>
      <c r="BC3491" s="434"/>
      <c r="BD3491" s="308"/>
      <c r="BE3491" s="436"/>
      <c r="BF3491" s="274" t="str">
        <f>IFERROR(__xludf.DUMMYFUNCTION("LOWER(Regexreplace(to_text(E3491),""[^A-Za-z0-9]"","""")&amp;""_""&amp;Regexreplace(to_text(F3491),""[^A-Za-z0-9]"",""""))"),"_")</f>
        <v>_</v>
      </c>
      <c r="BG3491" s="275" t="str">
        <f>IFERROR(__xludf.DUMMYFUNCTION("upper(Regexreplace(to_text(E3491),""[^A-Za-z0-9]"","""")&amp;""-""&amp;Regexreplace(to_text(F3491),""[^A-Za-z0-9]"",""""))"),"-")</f>
        <v>-</v>
      </c>
    </row>
    <row r="3492" ht="30.0" customHeight="1">
      <c r="A3492" s="237"/>
      <c r="B3492" s="425"/>
      <c r="C3492" s="257"/>
      <c r="D3492" s="173"/>
      <c r="E3492" s="174"/>
      <c r="F3492" s="173"/>
      <c r="G3492" s="425"/>
      <c r="H3492" s="425"/>
      <c r="I3492" s="258"/>
      <c r="J3492" s="259"/>
      <c r="K3492" s="260"/>
      <c r="L3492" s="442"/>
      <c r="M3492" s="426"/>
      <c r="N3492" s="173"/>
      <c r="O3492" s="173"/>
      <c r="P3492" s="262"/>
      <c r="Q3492" s="173"/>
      <c r="R3492" s="425"/>
      <c r="S3492" s="339"/>
      <c r="T3492" s="427"/>
      <c r="U3492" s="427"/>
      <c r="V3492" s="428"/>
      <c r="W3492" s="429"/>
      <c r="X3492" s="430"/>
      <c r="Y3492" s="33"/>
      <c r="Z3492" s="430"/>
      <c r="AA3492" s="430"/>
      <c r="AB3492" s="258"/>
      <c r="AC3492" s="430"/>
      <c r="AD3492" s="426"/>
      <c r="AE3492" s="428"/>
      <c r="AF3492" s="431"/>
      <c r="AG3492" s="432"/>
      <c r="AH3492" s="430"/>
      <c r="AI3492" s="430"/>
      <c r="AJ3492" s="430"/>
      <c r="AK3492" s="430"/>
      <c r="AL3492" s="430"/>
      <c r="AM3492" s="433"/>
      <c r="AN3492" s="430"/>
      <c r="AO3492" s="430"/>
      <c r="AP3492" s="430"/>
      <c r="AQ3492" s="430"/>
      <c r="AR3492" s="430"/>
      <c r="AS3492" s="430"/>
      <c r="AT3492" s="430"/>
      <c r="AU3492" s="426"/>
      <c r="AV3492" s="174"/>
      <c r="AW3492" s="269"/>
      <c r="AX3492" s="269"/>
      <c r="AY3492" s="270"/>
      <c r="AZ3492" s="435"/>
      <c r="BA3492" s="173"/>
      <c r="BB3492" s="434"/>
      <c r="BC3492" s="434"/>
      <c r="BD3492" s="308"/>
      <c r="BE3492" s="436"/>
      <c r="BF3492" s="274" t="str">
        <f>IFERROR(__xludf.DUMMYFUNCTION("LOWER(Regexreplace(to_text(E3492),""[^A-Za-z0-9]"","""")&amp;""_""&amp;Regexreplace(to_text(F3492),""[^A-Za-z0-9]"",""""))"),"_")</f>
        <v>_</v>
      </c>
      <c r="BG3492" s="275" t="str">
        <f>IFERROR(__xludf.DUMMYFUNCTION("upper(Regexreplace(to_text(E3492),""[^A-Za-z0-9]"","""")&amp;""-""&amp;Regexreplace(to_text(F3492),""[^A-Za-z0-9]"",""""))"),"-")</f>
        <v>-</v>
      </c>
    </row>
    <row r="3493" ht="30.0" customHeight="1">
      <c r="A3493" s="237"/>
      <c r="B3493" s="425"/>
      <c r="C3493" s="257"/>
      <c r="D3493" s="173"/>
      <c r="E3493" s="174"/>
      <c r="F3493" s="173"/>
      <c r="G3493" s="425"/>
      <c r="H3493" s="425"/>
      <c r="I3493" s="258"/>
      <c r="J3493" s="259"/>
      <c r="K3493" s="260"/>
      <c r="L3493" s="442"/>
      <c r="M3493" s="426"/>
      <c r="N3493" s="173"/>
      <c r="O3493" s="173"/>
      <c r="P3493" s="262"/>
      <c r="Q3493" s="173"/>
      <c r="R3493" s="425"/>
      <c r="S3493" s="339"/>
      <c r="T3493" s="427"/>
      <c r="U3493" s="427"/>
      <c r="V3493" s="428"/>
      <c r="W3493" s="429"/>
      <c r="X3493" s="430"/>
      <c r="Y3493" s="33"/>
      <c r="Z3493" s="430"/>
      <c r="AA3493" s="430"/>
      <c r="AB3493" s="258"/>
      <c r="AC3493" s="430"/>
      <c r="AD3493" s="426"/>
      <c r="AE3493" s="428"/>
      <c r="AF3493" s="431"/>
      <c r="AG3493" s="432"/>
      <c r="AH3493" s="430"/>
      <c r="AI3493" s="430"/>
      <c r="AJ3493" s="430"/>
      <c r="AK3493" s="430"/>
      <c r="AL3493" s="430"/>
      <c r="AM3493" s="433"/>
      <c r="AN3493" s="430"/>
      <c r="AO3493" s="430"/>
      <c r="AP3493" s="430"/>
      <c r="AQ3493" s="430"/>
      <c r="AR3493" s="430"/>
      <c r="AS3493" s="430"/>
      <c r="AT3493" s="430"/>
      <c r="AU3493" s="426"/>
      <c r="AV3493" s="174"/>
      <c r="AW3493" s="269"/>
      <c r="AX3493" s="269"/>
      <c r="AY3493" s="270"/>
      <c r="AZ3493" s="435"/>
      <c r="BA3493" s="173"/>
      <c r="BB3493" s="434"/>
      <c r="BC3493" s="434"/>
      <c r="BD3493" s="308"/>
      <c r="BE3493" s="436"/>
      <c r="BF3493" s="274" t="str">
        <f>IFERROR(__xludf.DUMMYFUNCTION("LOWER(Regexreplace(to_text(E3493),""[^A-Za-z0-9]"","""")&amp;""_""&amp;Regexreplace(to_text(F3493),""[^A-Za-z0-9]"",""""))"),"_")</f>
        <v>_</v>
      </c>
      <c r="BG3493" s="275" t="str">
        <f>IFERROR(__xludf.DUMMYFUNCTION("upper(Regexreplace(to_text(E3493),""[^A-Za-z0-9]"","""")&amp;""-""&amp;Regexreplace(to_text(F3493),""[^A-Za-z0-9]"",""""))"),"-")</f>
        <v>-</v>
      </c>
    </row>
    <row r="3494" ht="30.0" customHeight="1">
      <c r="A3494" s="237"/>
      <c r="B3494" s="425"/>
      <c r="C3494" s="257"/>
      <c r="D3494" s="173"/>
      <c r="E3494" s="174"/>
      <c r="F3494" s="173"/>
      <c r="G3494" s="425"/>
      <c r="H3494" s="425"/>
      <c r="I3494" s="258"/>
      <c r="J3494" s="259"/>
      <c r="K3494" s="260"/>
      <c r="L3494" s="442"/>
      <c r="M3494" s="426"/>
      <c r="N3494" s="173"/>
      <c r="O3494" s="173"/>
      <c r="P3494" s="262"/>
      <c r="Q3494" s="173"/>
      <c r="R3494" s="425"/>
      <c r="S3494" s="339"/>
      <c r="T3494" s="427"/>
      <c r="U3494" s="427"/>
      <c r="V3494" s="428"/>
      <c r="W3494" s="429"/>
      <c r="X3494" s="430"/>
      <c r="Y3494" s="33"/>
      <c r="Z3494" s="430"/>
      <c r="AA3494" s="430"/>
      <c r="AB3494" s="258"/>
      <c r="AC3494" s="430"/>
      <c r="AD3494" s="426"/>
      <c r="AE3494" s="428"/>
      <c r="AF3494" s="431"/>
      <c r="AG3494" s="432"/>
      <c r="AH3494" s="430"/>
      <c r="AI3494" s="430"/>
      <c r="AJ3494" s="430"/>
      <c r="AK3494" s="430"/>
      <c r="AL3494" s="430"/>
      <c r="AM3494" s="433"/>
      <c r="AN3494" s="430"/>
      <c r="AO3494" s="430"/>
      <c r="AP3494" s="430"/>
      <c r="AQ3494" s="430"/>
      <c r="AR3494" s="430"/>
      <c r="AS3494" s="430"/>
      <c r="AT3494" s="430"/>
      <c r="AU3494" s="426"/>
      <c r="AV3494" s="174"/>
      <c r="AW3494" s="269"/>
      <c r="AX3494" s="269"/>
      <c r="AY3494" s="270"/>
      <c r="AZ3494" s="435"/>
      <c r="BA3494" s="173"/>
      <c r="BB3494" s="434"/>
      <c r="BC3494" s="434"/>
      <c r="BD3494" s="308"/>
      <c r="BE3494" s="436"/>
      <c r="BF3494" s="274" t="str">
        <f>IFERROR(__xludf.DUMMYFUNCTION("LOWER(Regexreplace(to_text(E3494),""[^A-Za-z0-9]"","""")&amp;""_""&amp;Regexreplace(to_text(F3494),""[^A-Za-z0-9]"",""""))"),"_")</f>
        <v>_</v>
      </c>
      <c r="BG3494" s="275" t="str">
        <f>IFERROR(__xludf.DUMMYFUNCTION("upper(Regexreplace(to_text(E3494),""[^A-Za-z0-9]"","""")&amp;""-""&amp;Regexreplace(to_text(F3494),""[^A-Za-z0-9]"",""""))"),"-")</f>
        <v>-</v>
      </c>
    </row>
    <row r="3495" ht="30.0" customHeight="1">
      <c r="A3495" s="237"/>
      <c r="B3495" s="425"/>
      <c r="C3495" s="257"/>
      <c r="D3495" s="173"/>
      <c r="E3495" s="174"/>
      <c r="F3495" s="173"/>
      <c r="G3495" s="425"/>
      <c r="H3495" s="425"/>
      <c r="I3495" s="258"/>
      <c r="J3495" s="259"/>
      <c r="K3495" s="260"/>
      <c r="L3495" s="442"/>
      <c r="M3495" s="426"/>
      <c r="N3495" s="173"/>
      <c r="O3495" s="173"/>
      <c r="P3495" s="262"/>
      <c r="Q3495" s="173"/>
      <c r="R3495" s="425"/>
      <c r="S3495" s="339"/>
      <c r="T3495" s="427"/>
      <c r="U3495" s="427"/>
      <c r="V3495" s="428"/>
      <c r="W3495" s="429"/>
      <c r="X3495" s="430"/>
      <c r="Y3495" s="33"/>
      <c r="Z3495" s="430"/>
      <c r="AA3495" s="430"/>
      <c r="AB3495" s="258"/>
      <c r="AC3495" s="430"/>
      <c r="AD3495" s="426"/>
      <c r="AE3495" s="428"/>
      <c r="AF3495" s="431"/>
      <c r="AG3495" s="432"/>
      <c r="AH3495" s="430"/>
      <c r="AI3495" s="430"/>
      <c r="AJ3495" s="430"/>
      <c r="AK3495" s="430"/>
      <c r="AL3495" s="430"/>
      <c r="AM3495" s="433"/>
      <c r="AN3495" s="430"/>
      <c r="AO3495" s="430"/>
      <c r="AP3495" s="430"/>
      <c r="AQ3495" s="430"/>
      <c r="AR3495" s="430"/>
      <c r="AS3495" s="430"/>
      <c r="AT3495" s="430"/>
      <c r="AU3495" s="426"/>
      <c r="AV3495" s="174"/>
      <c r="AW3495" s="269"/>
      <c r="AX3495" s="269"/>
      <c r="AY3495" s="270"/>
      <c r="AZ3495" s="435"/>
      <c r="BA3495" s="173"/>
      <c r="BB3495" s="434"/>
      <c r="BC3495" s="434"/>
      <c r="BD3495" s="308"/>
      <c r="BE3495" s="436"/>
      <c r="BF3495" s="274" t="str">
        <f>IFERROR(__xludf.DUMMYFUNCTION("LOWER(Regexreplace(to_text(E3495),""[^A-Za-z0-9]"","""")&amp;""_""&amp;Regexreplace(to_text(F3495),""[^A-Za-z0-9]"",""""))"),"_")</f>
        <v>_</v>
      </c>
      <c r="BG3495" s="275" t="str">
        <f>IFERROR(__xludf.DUMMYFUNCTION("upper(Regexreplace(to_text(E3495),""[^A-Za-z0-9]"","""")&amp;""-""&amp;Regexreplace(to_text(F3495),""[^A-Za-z0-9]"",""""))"),"-")</f>
        <v>-</v>
      </c>
    </row>
    <row r="3496" ht="30.0" customHeight="1">
      <c r="A3496" s="237"/>
      <c r="B3496" s="425"/>
      <c r="C3496" s="257"/>
      <c r="D3496" s="173"/>
      <c r="E3496" s="174"/>
      <c r="F3496" s="173"/>
      <c r="G3496" s="425"/>
      <c r="H3496" s="425"/>
      <c r="I3496" s="258"/>
      <c r="J3496" s="259"/>
      <c r="K3496" s="260"/>
      <c r="L3496" s="442"/>
      <c r="M3496" s="426"/>
      <c r="N3496" s="173"/>
      <c r="O3496" s="173"/>
      <c r="P3496" s="262"/>
      <c r="Q3496" s="173"/>
      <c r="R3496" s="425"/>
      <c r="S3496" s="339"/>
      <c r="T3496" s="427"/>
      <c r="U3496" s="427"/>
      <c r="V3496" s="428"/>
      <c r="W3496" s="429"/>
      <c r="X3496" s="430"/>
      <c r="Y3496" s="33"/>
      <c r="Z3496" s="430"/>
      <c r="AA3496" s="430"/>
      <c r="AB3496" s="258"/>
      <c r="AC3496" s="430"/>
      <c r="AD3496" s="426"/>
      <c r="AE3496" s="428"/>
      <c r="AF3496" s="431"/>
      <c r="AG3496" s="432"/>
      <c r="AH3496" s="430"/>
      <c r="AI3496" s="430"/>
      <c r="AJ3496" s="430"/>
      <c r="AK3496" s="430"/>
      <c r="AL3496" s="430"/>
      <c r="AM3496" s="433"/>
      <c r="AN3496" s="430"/>
      <c r="AO3496" s="430"/>
      <c r="AP3496" s="430"/>
      <c r="AQ3496" s="430"/>
      <c r="AR3496" s="430"/>
      <c r="AS3496" s="430"/>
      <c r="AT3496" s="430"/>
      <c r="AU3496" s="426"/>
      <c r="AV3496" s="174"/>
      <c r="AW3496" s="269"/>
      <c r="AX3496" s="269"/>
      <c r="AY3496" s="270"/>
      <c r="AZ3496" s="435"/>
      <c r="BA3496" s="173"/>
      <c r="BB3496" s="434"/>
      <c r="BC3496" s="434"/>
      <c r="BD3496" s="308"/>
      <c r="BE3496" s="436"/>
      <c r="BF3496" s="274" t="str">
        <f>IFERROR(__xludf.DUMMYFUNCTION("LOWER(Regexreplace(to_text(E3496),""[^A-Za-z0-9]"","""")&amp;""_""&amp;Regexreplace(to_text(F3496),""[^A-Za-z0-9]"",""""))"),"_")</f>
        <v>_</v>
      </c>
      <c r="BG3496" s="275" t="str">
        <f>IFERROR(__xludf.DUMMYFUNCTION("upper(Regexreplace(to_text(E3496),""[^A-Za-z0-9]"","""")&amp;""-""&amp;Regexreplace(to_text(F3496),""[^A-Za-z0-9]"",""""))"),"-")</f>
        <v>-</v>
      </c>
    </row>
    <row r="3497" ht="30.0" customHeight="1">
      <c r="A3497" s="237"/>
      <c r="B3497" s="425"/>
      <c r="C3497" s="257"/>
      <c r="D3497" s="173"/>
      <c r="E3497" s="174"/>
      <c r="F3497" s="173"/>
      <c r="G3497" s="425"/>
      <c r="H3497" s="425"/>
      <c r="I3497" s="258"/>
      <c r="J3497" s="259"/>
      <c r="K3497" s="260"/>
      <c r="L3497" s="442"/>
      <c r="M3497" s="426"/>
      <c r="N3497" s="173"/>
      <c r="O3497" s="173"/>
      <c r="P3497" s="262"/>
      <c r="Q3497" s="173"/>
      <c r="R3497" s="425"/>
      <c r="S3497" s="339"/>
      <c r="T3497" s="427"/>
      <c r="U3497" s="427"/>
      <c r="V3497" s="428"/>
      <c r="W3497" s="429"/>
      <c r="X3497" s="430"/>
      <c r="Y3497" s="33"/>
      <c r="Z3497" s="430"/>
      <c r="AA3497" s="430"/>
      <c r="AB3497" s="258"/>
      <c r="AC3497" s="430"/>
      <c r="AD3497" s="426"/>
      <c r="AE3497" s="428"/>
      <c r="AF3497" s="431"/>
      <c r="AG3497" s="432"/>
      <c r="AH3497" s="430"/>
      <c r="AI3497" s="430"/>
      <c r="AJ3497" s="430"/>
      <c r="AK3497" s="430"/>
      <c r="AL3497" s="430"/>
      <c r="AM3497" s="433"/>
      <c r="AN3497" s="430"/>
      <c r="AO3497" s="430"/>
      <c r="AP3497" s="430"/>
      <c r="AQ3497" s="430"/>
      <c r="AR3497" s="430"/>
      <c r="AS3497" s="430"/>
      <c r="AT3497" s="430"/>
      <c r="AU3497" s="426"/>
      <c r="AV3497" s="174"/>
      <c r="AW3497" s="269"/>
      <c r="AX3497" s="269"/>
      <c r="AY3497" s="270"/>
      <c r="AZ3497" s="435"/>
      <c r="BA3497" s="173"/>
      <c r="BB3497" s="434"/>
      <c r="BC3497" s="434"/>
      <c r="BD3497" s="308"/>
      <c r="BE3497" s="436"/>
      <c r="BF3497" s="274" t="str">
        <f>IFERROR(__xludf.DUMMYFUNCTION("LOWER(Regexreplace(to_text(E3497),""[^A-Za-z0-9]"","""")&amp;""_""&amp;Regexreplace(to_text(F3497),""[^A-Za-z0-9]"",""""))"),"_")</f>
        <v>_</v>
      </c>
      <c r="BG3497" s="275" t="str">
        <f>IFERROR(__xludf.DUMMYFUNCTION("upper(Regexreplace(to_text(E3497),""[^A-Za-z0-9]"","""")&amp;""-""&amp;Regexreplace(to_text(F3497),""[^A-Za-z0-9]"",""""))"),"-")</f>
        <v>-</v>
      </c>
    </row>
    <row r="3498" ht="30.0" customHeight="1">
      <c r="A3498" s="237"/>
      <c r="B3498" s="425"/>
      <c r="C3498" s="257"/>
      <c r="D3498" s="173"/>
      <c r="E3498" s="174"/>
      <c r="F3498" s="173"/>
      <c r="G3498" s="425"/>
      <c r="H3498" s="425"/>
      <c r="I3498" s="258"/>
      <c r="J3498" s="259"/>
      <c r="K3498" s="260"/>
      <c r="L3498" s="442"/>
      <c r="M3498" s="426"/>
      <c r="N3498" s="173"/>
      <c r="O3498" s="173"/>
      <c r="P3498" s="262"/>
      <c r="Q3498" s="173"/>
      <c r="R3498" s="425"/>
      <c r="S3498" s="339"/>
      <c r="T3498" s="427"/>
      <c r="U3498" s="427"/>
      <c r="V3498" s="428"/>
      <c r="W3498" s="429"/>
      <c r="X3498" s="430"/>
      <c r="Y3498" s="33"/>
      <c r="Z3498" s="430"/>
      <c r="AA3498" s="430"/>
      <c r="AB3498" s="258"/>
      <c r="AC3498" s="430"/>
      <c r="AD3498" s="426"/>
      <c r="AE3498" s="428"/>
      <c r="AF3498" s="431"/>
      <c r="AG3498" s="432"/>
      <c r="AH3498" s="430"/>
      <c r="AI3498" s="430"/>
      <c r="AJ3498" s="430"/>
      <c r="AK3498" s="430"/>
      <c r="AL3498" s="430"/>
      <c r="AM3498" s="433"/>
      <c r="AN3498" s="430"/>
      <c r="AO3498" s="430"/>
      <c r="AP3498" s="430"/>
      <c r="AQ3498" s="430"/>
      <c r="AR3498" s="430"/>
      <c r="AS3498" s="430"/>
      <c r="AT3498" s="430"/>
      <c r="AU3498" s="426"/>
      <c r="AV3498" s="174"/>
      <c r="AW3498" s="269"/>
      <c r="AX3498" s="269"/>
      <c r="AY3498" s="270"/>
      <c r="AZ3498" s="435"/>
      <c r="BA3498" s="173"/>
      <c r="BB3498" s="434"/>
      <c r="BC3498" s="434"/>
      <c r="BD3498" s="308"/>
      <c r="BE3498" s="436"/>
      <c r="BF3498" s="274" t="str">
        <f>IFERROR(__xludf.DUMMYFUNCTION("LOWER(Regexreplace(to_text(E3498),""[^A-Za-z0-9]"","""")&amp;""_""&amp;Regexreplace(to_text(F3498),""[^A-Za-z0-9]"",""""))"),"_")</f>
        <v>_</v>
      </c>
      <c r="BG3498" s="275" t="str">
        <f>IFERROR(__xludf.DUMMYFUNCTION("upper(Regexreplace(to_text(E3498),""[^A-Za-z0-9]"","""")&amp;""-""&amp;Regexreplace(to_text(F3498),""[^A-Za-z0-9]"",""""))"),"-")</f>
        <v>-</v>
      </c>
    </row>
    <row r="3499" ht="30.0" customHeight="1">
      <c r="A3499" s="237"/>
      <c r="B3499" s="425"/>
      <c r="C3499" s="257"/>
      <c r="D3499" s="173"/>
      <c r="E3499" s="174"/>
      <c r="F3499" s="173"/>
      <c r="G3499" s="425"/>
      <c r="H3499" s="425"/>
      <c r="I3499" s="258"/>
      <c r="J3499" s="259"/>
      <c r="K3499" s="260"/>
      <c r="L3499" s="442"/>
      <c r="M3499" s="426"/>
      <c r="N3499" s="173"/>
      <c r="O3499" s="173"/>
      <c r="P3499" s="262"/>
      <c r="Q3499" s="173"/>
      <c r="R3499" s="425"/>
      <c r="S3499" s="339"/>
      <c r="T3499" s="427"/>
      <c r="U3499" s="427"/>
      <c r="V3499" s="428"/>
      <c r="W3499" s="429"/>
      <c r="X3499" s="430"/>
      <c r="Y3499" s="33"/>
      <c r="Z3499" s="430"/>
      <c r="AA3499" s="430"/>
      <c r="AB3499" s="258"/>
      <c r="AC3499" s="430"/>
      <c r="AD3499" s="426"/>
      <c r="AE3499" s="428"/>
      <c r="AF3499" s="431"/>
      <c r="AG3499" s="432"/>
      <c r="AH3499" s="430"/>
      <c r="AI3499" s="430"/>
      <c r="AJ3499" s="430"/>
      <c r="AK3499" s="430"/>
      <c r="AL3499" s="430"/>
      <c r="AM3499" s="433"/>
      <c r="AN3499" s="430"/>
      <c r="AO3499" s="430"/>
      <c r="AP3499" s="430"/>
      <c r="AQ3499" s="430"/>
      <c r="AR3499" s="430"/>
      <c r="AS3499" s="430"/>
      <c r="AT3499" s="430"/>
      <c r="AU3499" s="426"/>
      <c r="AV3499" s="174"/>
      <c r="AW3499" s="269"/>
      <c r="AX3499" s="269"/>
      <c r="AY3499" s="270"/>
      <c r="AZ3499" s="435"/>
      <c r="BA3499" s="173"/>
      <c r="BB3499" s="434"/>
      <c r="BC3499" s="434"/>
      <c r="BD3499" s="308"/>
      <c r="BE3499" s="436"/>
      <c r="BF3499" s="274" t="str">
        <f>IFERROR(__xludf.DUMMYFUNCTION("LOWER(Regexreplace(to_text(E3499),""[^A-Za-z0-9]"","""")&amp;""_""&amp;Regexreplace(to_text(F3499),""[^A-Za-z0-9]"",""""))"),"_")</f>
        <v>_</v>
      </c>
      <c r="BG3499" s="275" t="str">
        <f>IFERROR(__xludf.DUMMYFUNCTION("upper(Regexreplace(to_text(E3499),""[^A-Za-z0-9]"","""")&amp;""-""&amp;Regexreplace(to_text(F3499),""[^A-Za-z0-9]"",""""))"),"-")</f>
        <v>-</v>
      </c>
    </row>
    <row r="3500" ht="30.0" customHeight="1">
      <c r="A3500" s="237"/>
      <c r="B3500" s="425"/>
      <c r="C3500" s="257"/>
      <c r="D3500" s="173"/>
      <c r="E3500" s="174"/>
      <c r="F3500" s="173"/>
      <c r="G3500" s="425"/>
      <c r="H3500" s="425"/>
      <c r="I3500" s="258"/>
      <c r="J3500" s="259"/>
      <c r="K3500" s="260"/>
      <c r="L3500" s="442"/>
      <c r="M3500" s="426"/>
      <c r="N3500" s="173"/>
      <c r="O3500" s="173"/>
      <c r="P3500" s="262"/>
      <c r="Q3500" s="173"/>
      <c r="R3500" s="425"/>
      <c r="S3500" s="339"/>
      <c r="T3500" s="427"/>
      <c r="U3500" s="427"/>
      <c r="V3500" s="428"/>
      <c r="W3500" s="429"/>
      <c r="X3500" s="430"/>
      <c r="Y3500" s="33"/>
      <c r="Z3500" s="430"/>
      <c r="AA3500" s="430"/>
      <c r="AB3500" s="258"/>
      <c r="AC3500" s="430"/>
      <c r="AD3500" s="426"/>
      <c r="AE3500" s="428"/>
      <c r="AF3500" s="431"/>
      <c r="AG3500" s="432"/>
      <c r="AH3500" s="430"/>
      <c r="AI3500" s="430"/>
      <c r="AJ3500" s="430"/>
      <c r="AK3500" s="430"/>
      <c r="AL3500" s="430"/>
      <c r="AM3500" s="433"/>
      <c r="AN3500" s="430"/>
      <c r="AO3500" s="430"/>
      <c r="AP3500" s="430"/>
      <c r="AQ3500" s="430"/>
      <c r="AR3500" s="430"/>
      <c r="AS3500" s="430"/>
      <c r="AT3500" s="430"/>
      <c r="AU3500" s="426"/>
      <c r="AV3500" s="174"/>
      <c r="AW3500" s="269"/>
      <c r="AX3500" s="269"/>
      <c r="AY3500" s="270"/>
      <c r="AZ3500" s="435"/>
      <c r="BA3500" s="173"/>
      <c r="BB3500" s="434"/>
      <c r="BC3500" s="434"/>
      <c r="BD3500" s="308"/>
      <c r="BE3500" s="436"/>
      <c r="BF3500" s="274" t="str">
        <f>IFERROR(__xludf.DUMMYFUNCTION("LOWER(Regexreplace(to_text(E3500),""[^A-Za-z0-9]"","""")&amp;""_""&amp;Regexreplace(to_text(F3500),""[^A-Za-z0-9]"",""""))"),"_")</f>
        <v>_</v>
      </c>
      <c r="BG3500" s="275" t="str">
        <f>IFERROR(__xludf.DUMMYFUNCTION("upper(Regexreplace(to_text(E3500),""[^A-Za-z0-9]"","""")&amp;""-""&amp;Regexreplace(to_text(F3500),""[^A-Za-z0-9]"",""""))"),"-")</f>
        <v>-</v>
      </c>
    </row>
    <row r="3501" ht="30.0" customHeight="1">
      <c r="A3501" s="237"/>
      <c r="B3501" s="425"/>
      <c r="C3501" s="257"/>
      <c r="D3501" s="173"/>
      <c r="E3501" s="174"/>
      <c r="F3501" s="173"/>
      <c r="G3501" s="425"/>
      <c r="H3501" s="425"/>
      <c r="I3501" s="258"/>
      <c r="J3501" s="259"/>
      <c r="K3501" s="260"/>
      <c r="L3501" s="442"/>
      <c r="M3501" s="426"/>
      <c r="N3501" s="173"/>
      <c r="O3501" s="173"/>
      <c r="P3501" s="262"/>
      <c r="Q3501" s="173"/>
      <c r="R3501" s="425"/>
      <c r="S3501" s="339"/>
      <c r="T3501" s="427"/>
      <c r="U3501" s="427"/>
      <c r="V3501" s="428"/>
      <c r="W3501" s="429"/>
      <c r="X3501" s="430"/>
      <c r="Y3501" s="33"/>
      <c r="Z3501" s="430"/>
      <c r="AA3501" s="430"/>
      <c r="AB3501" s="258"/>
      <c r="AC3501" s="430"/>
      <c r="AD3501" s="426"/>
      <c r="AE3501" s="428"/>
      <c r="AF3501" s="431"/>
      <c r="AG3501" s="432"/>
      <c r="AH3501" s="430"/>
      <c r="AI3501" s="430"/>
      <c r="AJ3501" s="430"/>
      <c r="AK3501" s="430"/>
      <c r="AL3501" s="430"/>
      <c r="AM3501" s="433"/>
      <c r="AN3501" s="430"/>
      <c r="AO3501" s="430"/>
      <c r="AP3501" s="430"/>
      <c r="AQ3501" s="430"/>
      <c r="AR3501" s="430"/>
      <c r="AS3501" s="430"/>
      <c r="AT3501" s="430"/>
      <c r="AU3501" s="426"/>
      <c r="AV3501" s="174"/>
      <c r="AW3501" s="269"/>
      <c r="AX3501" s="269"/>
      <c r="AY3501" s="270"/>
      <c r="AZ3501" s="435"/>
      <c r="BA3501" s="173"/>
      <c r="BB3501" s="434"/>
      <c r="BC3501" s="434"/>
      <c r="BD3501" s="308"/>
      <c r="BE3501" s="436"/>
      <c r="BF3501" s="274" t="str">
        <f>IFERROR(__xludf.DUMMYFUNCTION("LOWER(Regexreplace(to_text(E3501),""[^A-Za-z0-9]"","""")&amp;""_""&amp;Regexreplace(to_text(F3501),""[^A-Za-z0-9]"",""""))"),"_")</f>
        <v>_</v>
      </c>
      <c r="BG3501" s="275" t="str">
        <f>IFERROR(__xludf.DUMMYFUNCTION("upper(Regexreplace(to_text(E3501),""[^A-Za-z0-9]"","""")&amp;""-""&amp;Regexreplace(to_text(F3501),""[^A-Za-z0-9]"",""""))"),"-")</f>
        <v>-</v>
      </c>
    </row>
    <row r="3502" ht="30.0" customHeight="1">
      <c r="A3502" s="237"/>
      <c r="B3502" s="425"/>
      <c r="C3502" s="257"/>
      <c r="D3502" s="173"/>
      <c r="E3502" s="174"/>
      <c r="F3502" s="173"/>
      <c r="G3502" s="425"/>
      <c r="H3502" s="425"/>
      <c r="I3502" s="258"/>
      <c r="J3502" s="259"/>
      <c r="K3502" s="260"/>
      <c r="L3502" s="442"/>
      <c r="M3502" s="426"/>
      <c r="N3502" s="173"/>
      <c r="O3502" s="173"/>
      <c r="P3502" s="262"/>
      <c r="Q3502" s="173"/>
      <c r="R3502" s="425"/>
      <c r="S3502" s="339"/>
      <c r="T3502" s="427"/>
      <c r="U3502" s="427"/>
      <c r="V3502" s="428"/>
      <c r="W3502" s="429"/>
      <c r="X3502" s="430"/>
      <c r="Y3502" s="33"/>
      <c r="Z3502" s="430"/>
      <c r="AA3502" s="430"/>
      <c r="AB3502" s="258"/>
      <c r="AC3502" s="430"/>
      <c r="AD3502" s="426"/>
      <c r="AE3502" s="428"/>
      <c r="AF3502" s="431"/>
      <c r="AG3502" s="432"/>
      <c r="AH3502" s="430"/>
      <c r="AI3502" s="430"/>
      <c r="AJ3502" s="430"/>
      <c r="AK3502" s="430"/>
      <c r="AL3502" s="430"/>
      <c r="AM3502" s="433"/>
      <c r="AN3502" s="430"/>
      <c r="AO3502" s="430"/>
      <c r="AP3502" s="430"/>
      <c r="AQ3502" s="430"/>
      <c r="AR3502" s="430"/>
      <c r="AS3502" s="430"/>
      <c r="AT3502" s="430"/>
      <c r="AU3502" s="426"/>
      <c r="AV3502" s="174"/>
      <c r="AW3502" s="269"/>
      <c r="AX3502" s="269"/>
      <c r="AY3502" s="270"/>
      <c r="AZ3502" s="435"/>
      <c r="BA3502" s="173"/>
      <c r="BB3502" s="434"/>
      <c r="BC3502" s="434"/>
      <c r="BD3502" s="308"/>
      <c r="BE3502" s="436"/>
      <c r="BF3502" s="274" t="str">
        <f>IFERROR(__xludf.DUMMYFUNCTION("LOWER(Regexreplace(to_text(E3502),""[^A-Za-z0-9]"","""")&amp;""_""&amp;Regexreplace(to_text(F3502),""[^A-Za-z0-9]"",""""))"),"_")</f>
        <v>_</v>
      </c>
      <c r="BG3502" s="275" t="str">
        <f>IFERROR(__xludf.DUMMYFUNCTION("upper(Regexreplace(to_text(E3502),""[^A-Za-z0-9]"","""")&amp;""-""&amp;Regexreplace(to_text(F3502),""[^A-Za-z0-9]"",""""))"),"-")</f>
        <v>-</v>
      </c>
    </row>
    <row r="3503" ht="30.0" customHeight="1">
      <c r="A3503" s="237"/>
      <c r="B3503" s="425"/>
      <c r="C3503" s="257"/>
      <c r="D3503" s="173"/>
      <c r="E3503" s="174"/>
      <c r="F3503" s="173"/>
      <c r="G3503" s="425"/>
      <c r="H3503" s="425"/>
      <c r="I3503" s="258"/>
      <c r="J3503" s="259"/>
      <c r="K3503" s="260"/>
      <c r="L3503" s="442"/>
      <c r="M3503" s="426"/>
      <c r="N3503" s="173"/>
      <c r="O3503" s="173"/>
      <c r="P3503" s="262"/>
      <c r="Q3503" s="173"/>
      <c r="R3503" s="425"/>
      <c r="S3503" s="339"/>
      <c r="T3503" s="427"/>
      <c r="U3503" s="427"/>
      <c r="V3503" s="428"/>
      <c r="W3503" s="429"/>
      <c r="X3503" s="430"/>
      <c r="Y3503" s="33"/>
      <c r="Z3503" s="430"/>
      <c r="AA3503" s="430"/>
      <c r="AB3503" s="258"/>
      <c r="AC3503" s="430"/>
      <c r="AD3503" s="426"/>
      <c r="AE3503" s="428"/>
      <c r="AF3503" s="431"/>
      <c r="AG3503" s="432"/>
      <c r="AH3503" s="430"/>
      <c r="AI3503" s="430"/>
      <c r="AJ3503" s="430"/>
      <c r="AK3503" s="430"/>
      <c r="AL3503" s="430"/>
      <c r="AM3503" s="433"/>
      <c r="AN3503" s="430"/>
      <c r="AO3503" s="430"/>
      <c r="AP3503" s="430"/>
      <c r="AQ3503" s="430"/>
      <c r="AR3503" s="430"/>
      <c r="AS3503" s="430"/>
      <c r="AT3503" s="430"/>
      <c r="AU3503" s="426"/>
      <c r="AV3503" s="174"/>
      <c r="AW3503" s="269"/>
      <c r="AX3503" s="269"/>
      <c r="AY3503" s="270"/>
      <c r="AZ3503" s="435"/>
      <c r="BA3503" s="173"/>
      <c r="BB3503" s="434"/>
      <c r="BC3503" s="434"/>
      <c r="BD3503" s="308"/>
      <c r="BE3503" s="436"/>
      <c r="BF3503" s="274" t="str">
        <f>IFERROR(__xludf.DUMMYFUNCTION("LOWER(Regexreplace(to_text(E3503),""[^A-Za-z0-9]"","""")&amp;""_""&amp;Regexreplace(to_text(F3503),""[^A-Za-z0-9]"",""""))"),"_")</f>
        <v>_</v>
      </c>
      <c r="BG3503" s="275" t="str">
        <f>IFERROR(__xludf.DUMMYFUNCTION("upper(Regexreplace(to_text(E3503),""[^A-Za-z0-9]"","""")&amp;""-""&amp;Regexreplace(to_text(F3503),""[^A-Za-z0-9]"",""""))"),"-")</f>
        <v>-</v>
      </c>
    </row>
    <row r="3504" ht="30.0" customHeight="1">
      <c r="A3504" s="237"/>
      <c r="B3504" s="425"/>
      <c r="C3504" s="257"/>
      <c r="D3504" s="173"/>
      <c r="E3504" s="174"/>
      <c r="F3504" s="173"/>
      <c r="G3504" s="425"/>
      <c r="H3504" s="425"/>
      <c r="I3504" s="258"/>
      <c r="J3504" s="259"/>
      <c r="K3504" s="260"/>
      <c r="L3504" s="442"/>
      <c r="M3504" s="426"/>
      <c r="N3504" s="173"/>
      <c r="O3504" s="173"/>
      <c r="P3504" s="262"/>
      <c r="Q3504" s="173"/>
      <c r="R3504" s="425"/>
      <c r="S3504" s="339"/>
      <c r="T3504" s="427"/>
      <c r="U3504" s="427"/>
      <c r="V3504" s="428"/>
      <c r="W3504" s="429"/>
      <c r="X3504" s="430"/>
      <c r="Y3504" s="33"/>
      <c r="Z3504" s="430"/>
      <c r="AA3504" s="430"/>
      <c r="AB3504" s="258"/>
      <c r="AC3504" s="430"/>
      <c r="AD3504" s="426"/>
      <c r="AE3504" s="428"/>
      <c r="AF3504" s="431"/>
      <c r="AG3504" s="432"/>
      <c r="AH3504" s="430"/>
      <c r="AI3504" s="430"/>
      <c r="AJ3504" s="430"/>
      <c r="AK3504" s="430"/>
      <c r="AL3504" s="430"/>
      <c r="AM3504" s="433"/>
      <c r="AN3504" s="430"/>
      <c r="AO3504" s="430"/>
      <c r="AP3504" s="430"/>
      <c r="AQ3504" s="430"/>
      <c r="AR3504" s="430"/>
      <c r="AS3504" s="430"/>
      <c r="AT3504" s="430"/>
      <c r="AU3504" s="426"/>
      <c r="AV3504" s="174"/>
      <c r="AW3504" s="269"/>
      <c r="AX3504" s="269"/>
      <c r="AY3504" s="270"/>
      <c r="AZ3504" s="435"/>
      <c r="BA3504" s="173"/>
      <c r="BB3504" s="434"/>
      <c r="BC3504" s="434"/>
      <c r="BD3504" s="308"/>
      <c r="BE3504" s="436"/>
      <c r="BF3504" s="274" t="str">
        <f>IFERROR(__xludf.DUMMYFUNCTION("LOWER(Regexreplace(to_text(E3504),""[^A-Za-z0-9]"","""")&amp;""_""&amp;Regexreplace(to_text(F3504),""[^A-Za-z0-9]"",""""))"),"_")</f>
        <v>_</v>
      </c>
      <c r="BG3504" s="275" t="str">
        <f>IFERROR(__xludf.DUMMYFUNCTION("upper(Regexreplace(to_text(E3504),""[^A-Za-z0-9]"","""")&amp;""-""&amp;Regexreplace(to_text(F3504),""[^A-Za-z0-9]"",""""))"),"-")</f>
        <v>-</v>
      </c>
    </row>
    <row r="3505" ht="30.0" customHeight="1">
      <c r="A3505" s="237"/>
      <c r="B3505" s="425"/>
      <c r="C3505" s="257"/>
      <c r="D3505" s="173"/>
      <c r="E3505" s="174"/>
      <c r="F3505" s="173"/>
      <c r="G3505" s="425"/>
      <c r="H3505" s="425"/>
      <c r="I3505" s="258"/>
      <c r="J3505" s="259"/>
      <c r="K3505" s="260"/>
      <c r="L3505" s="442"/>
      <c r="M3505" s="426"/>
      <c r="N3505" s="173"/>
      <c r="O3505" s="173"/>
      <c r="P3505" s="262"/>
      <c r="Q3505" s="173"/>
      <c r="R3505" s="425"/>
      <c r="S3505" s="339"/>
      <c r="T3505" s="427"/>
      <c r="U3505" s="427"/>
      <c r="V3505" s="428"/>
      <c r="W3505" s="429"/>
      <c r="X3505" s="430"/>
      <c r="Y3505" s="33"/>
      <c r="Z3505" s="430"/>
      <c r="AA3505" s="430"/>
      <c r="AB3505" s="258"/>
      <c r="AC3505" s="430"/>
      <c r="AD3505" s="426"/>
      <c r="AE3505" s="428"/>
      <c r="AF3505" s="431"/>
      <c r="AG3505" s="432"/>
      <c r="AH3505" s="430"/>
      <c r="AI3505" s="430"/>
      <c r="AJ3505" s="430"/>
      <c r="AK3505" s="430"/>
      <c r="AL3505" s="430"/>
      <c r="AM3505" s="433"/>
      <c r="AN3505" s="430"/>
      <c r="AO3505" s="430"/>
      <c r="AP3505" s="430"/>
      <c r="AQ3505" s="430"/>
      <c r="AR3505" s="430"/>
      <c r="AS3505" s="430"/>
      <c r="AT3505" s="430"/>
      <c r="AU3505" s="426"/>
      <c r="AV3505" s="174"/>
      <c r="AW3505" s="269"/>
      <c r="AX3505" s="269"/>
      <c r="AY3505" s="270"/>
      <c r="AZ3505" s="435"/>
      <c r="BA3505" s="173"/>
      <c r="BB3505" s="434"/>
      <c r="BC3505" s="434"/>
      <c r="BD3505" s="308"/>
      <c r="BE3505" s="436"/>
      <c r="BF3505" s="274" t="str">
        <f>IFERROR(__xludf.DUMMYFUNCTION("LOWER(Regexreplace(to_text(E3505),""[^A-Za-z0-9]"","""")&amp;""_""&amp;Regexreplace(to_text(F3505),""[^A-Za-z0-9]"",""""))"),"_")</f>
        <v>_</v>
      </c>
      <c r="BG3505" s="275" t="str">
        <f>IFERROR(__xludf.DUMMYFUNCTION("upper(Regexreplace(to_text(E3505),""[^A-Za-z0-9]"","""")&amp;""-""&amp;Regexreplace(to_text(F3505),""[^A-Za-z0-9]"",""""))"),"-")</f>
        <v>-</v>
      </c>
    </row>
    <row r="3506" ht="30.0" customHeight="1">
      <c r="A3506" s="237"/>
      <c r="B3506" s="425"/>
      <c r="C3506" s="257"/>
      <c r="D3506" s="173"/>
      <c r="E3506" s="174"/>
      <c r="F3506" s="173"/>
      <c r="G3506" s="425"/>
      <c r="H3506" s="425"/>
      <c r="I3506" s="258"/>
      <c r="J3506" s="259"/>
      <c r="K3506" s="260"/>
      <c r="L3506" s="442"/>
      <c r="M3506" s="426"/>
      <c r="N3506" s="173"/>
      <c r="O3506" s="173"/>
      <c r="P3506" s="262"/>
      <c r="Q3506" s="173"/>
      <c r="R3506" s="425"/>
      <c r="S3506" s="339"/>
      <c r="T3506" s="427"/>
      <c r="U3506" s="427"/>
      <c r="V3506" s="428"/>
      <c r="W3506" s="429"/>
      <c r="X3506" s="430"/>
      <c r="Y3506" s="33"/>
      <c r="Z3506" s="430"/>
      <c r="AA3506" s="430"/>
      <c r="AB3506" s="258"/>
      <c r="AC3506" s="430"/>
      <c r="AD3506" s="426"/>
      <c r="AE3506" s="428"/>
      <c r="AF3506" s="431"/>
      <c r="AG3506" s="432"/>
      <c r="AH3506" s="430"/>
      <c r="AI3506" s="430"/>
      <c r="AJ3506" s="430"/>
      <c r="AK3506" s="430"/>
      <c r="AL3506" s="430"/>
      <c r="AM3506" s="433"/>
      <c r="AN3506" s="430"/>
      <c r="AO3506" s="430"/>
      <c r="AP3506" s="430"/>
      <c r="AQ3506" s="430"/>
      <c r="AR3506" s="430"/>
      <c r="AS3506" s="430"/>
      <c r="AT3506" s="430"/>
      <c r="AU3506" s="426"/>
      <c r="AV3506" s="174"/>
      <c r="AW3506" s="269"/>
      <c r="AX3506" s="269"/>
      <c r="AY3506" s="270"/>
      <c r="AZ3506" s="435"/>
      <c r="BA3506" s="173"/>
      <c r="BB3506" s="434"/>
      <c r="BC3506" s="434"/>
      <c r="BD3506" s="308"/>
      <c r="BE3506" s="436"/>
      <c r="BF3506" s="274" t="str">
        <f>IFERROR(__xludf.DUMMYFUNCTION("LOWER(Regexreplace(to_text(E3506),""[^A-Za-z0-9]"","""")&amp;""_""&amp;Regexreplace(to_text(F3506),""[^A-Za-z0-9]"",""""))"),"_")</f>
        <v>_</v>
      </c>
      <c r="BG3506" s="275" t="str">
        <f>IFERROR(__xludf.DUMMYFUNCTION("upper(Regexreplace(to_text(E3506),""[^A-Za-z0-9]"","""")&amp;""-""&amp;Regexreplace(to_text(F3506),""[^A-Za-z0-9]"",""""))"),"-")</f>
        <v>-</v>
      </c>
    </row>
    <row r="3507" ht="30.0" customHeight="1">
      <c r="A3507" s="237"/>
      <c r="B3507" s="425"/>
      <c r="C3507" s="257"/>
      <c r="D3507" s="173"/>
      <c r="E3507" s="174"/>
      <c r="F3507" s="173"/>
      <c r="G3507" s="425"/>
      <c r="H3507" s="425"/>
      <c r="I3507" s="258"/>
      <c r="J3507" s="259"/>
      <c r="K3507" s="260"/>
      <c r="L3507" s="442"/>
      <c r="M3507" s="426"/>
      <c r="N3507" s="173"/>
      <c r="O3507" s="173"/>
      <c r="P3507" s="262"/>
      <c r="Q3507" s="173"/>
      <c r="R3507" s="425"/>
      <c r="S3507" s="339"/>
      <c r="T3507" s="427"/>
      <c r="U3507" s="427"/>
      <c r="V3507" s="428"/>
      <c r="W3507" s="429"/>
      <c r="X3507" s="430"/>
      <c r="Y3507" s="33"/>
      <c r="Z3507" s="430"/>
      <c r="AA3507" s="430"/>
      <c r="AB3507" s="258"/>
      <c r="AC3507" s="430"/>
      <c r="AD3507" s="426"/>
      <c r="AE3507" s="428"/>
      <c r="AF3507" s="431"/>
      <c r="AG3507" s="432"/>
      <c r="AH3507" s="430"/>
      <c r="AI3507" s="430"/>
      <c r="AJ3507" s="430"/>
      <c r="AK3507" s="430"/>
      <c r="AL3507" s="430"/>
      <c r="AM3507" s="433"/>
      <c r="AN3507" s="430"/>
      <c r="AO3507" s="430"/>
      <c r="AP3507" s="430"/>
      <c r="AQ3507" s="430"/>
      <c r="AR3507" s="430"/>
      <c r="AS3507" s="430"/>
      <c r="AT3507" s="430"/>
      <c r="AU3507" s="426"/>
      <c r="AV3507" s="174"/>
      <c r="AW3507" s="269"/>
      <c r="AX3507" s="269"/>
      <c r="AY3507" s="270"/>
      <c r="AZ3507" s="435"/>
      <c r="BA3507" s="173"/>
      <c r="BB3507" s="434"/>
      <c r="BC3507" s="434"/>
      <c r="BD3507" s="308"/>
      <c r="BE3507" s="436"/>
      <c r="BF3507" s="274" t="str">
        <f>IFERROR(__xludf.DUMMYFUNCTION("LOWER(Regexreplace(to_text(E3507),""[^A-Za-z0-9]"","""")&amp;""_""&amp;Regexreplace(to_text(F3507),""[^A-Za-z0-9]"",""""))"),"_")</f>
        <v>_</v>
      </c>
      <c r="BG3507" s="275" t="str">
        <f>IFERROR(__xludf.DUMMYFUNCTION("upper(Regexreplace(to_text(E3507),""[^A-Za-z0-9]"","""")&amp;""-""&amp;Regexreplace(to_text(F3507),""[^A-Za-z0-9]"",""""))"),"-")</f>
        <v>-</v>
      </c>
    </row>
    <row r="3508" ht="30.0" customHeight="1">
      <c r="A3508" s="237"/>
      <c r="B3508" s="425"/>
      <c r="C3508" s="257"/>
      <c r="D3508" s="173"/>
      <c r="E3508" s="174"/>
      <c r="F3508" s="173"/>
      <c r="G3508" s="425"/>
      <c r="H3508" s="425"/>
      <c r="I3508" s="258"/>
      <c r="J3508" s="259"/>
      <c r="K3508" s="260"/>
      <c r="L3508" s="442"/>
      <c r="M3508" s="426"/>
      <c r="N3508" s="173"/>
      <c r="O3508" s="173"/>
      <c r="P3508" s="262"/>
      <c r="Q3508" s="173"/>
      <c r="R3508" s="425"/>
      <c r="S3508" s="339"/>
      <c r="T3508" s="427"/>
      <c r="U3508" s="427"/>
      <c r="V3508" s="428"/>
      <c r="W3508" s="429"/>
      <c r="X3508" s="430"/>
      <c r="Y3508" s="33"/>
      <c r="Z3508" s="430"/>
      <c r="AA3508" s="430"/>
      <c r="AB3508" s="258"/>
      <c r="AC3508" s="430"/>
      <c r="AD3508" s="426"/>
      <c r="AE3508" s="428"/>
      <c r="AF3508" s="431"/>
      <c r="AG3508" s="432"/>
      <c r="AH3508" s="430"/>
      <c r="AI3508" s="430"/>
      <c r="AJ3508" s="430"/>
      <c r="AK3508" s="430"/>
      <c r="AL3508" s="430"/>
      <c r="AM3508" s="433"/>
      <c r="AN3508" s="430"/>
      <c r="AO3508" s="430"/>
      <c r="AP3508" s="430"/>
      <c r="AQ3508" s="430"/>
      <c r="AR3508" s="430"/>
      <c r="AS3508" s="430"/>
      <c r="AT3508" s="430"/>
      <c r="AU3508" s="426"/>
      <c r="AV3508" s="174"/>
      <c r="AW3508" s="269"/>
      <c r="AX3508" s="269"/>
      <c r="AY3508" s="270"/>
      <c r="AZ3508" s="435"/>
      <c r="BA3508" s="173"/>
      <c r="BB3508" s="434"/>
      <c r="BC3508" s="434"/>
      <c r="BD3508" s="308"/>
      <c r="BE3508" s="436"/>
      <c r="BF3508" s="274" t="str">
        <f>IFERROR(__xludf.DUMMYFUNCTION("LOWER(Regexreplace(to_text(E3508),""[^A-Za-z0-9]"","""")&amp;""_""&amp;Regexreplace(to_text(F3508),""[^A-Za-z0-9]"",""""))"),"_")</f>
        <v>_</v>
      </c>
      <c r="BG3508" s="275" t="str">
        <f>IFERROR(__xludf.DUMMYFUNCTION("upper(Regexreplace(to_text(E3508),""[^A-Za-z0-9]"","""")&amp;""-""&amp;Regexreplace(to_text(F3508),""[^A-Za-z0-9]"",""""))"),"-")</f>
        <v>-</v>
      </c>
    </row>
    <row r="3509" ht="30.0" customHeight="1">
      <c r="A3509" s="237"/>
      <c r="B3509" s="425"/>
      <c r="C3509" s="257"/>
      <c r="D3509" s="173"/>
      <c r="E3509" s="174"/>
      <c r="F3509" s="173"/>
      <c r="G3509" s="425"/>
      <c r="H3509" s="425"/>
      <c r="I3509" s="258"/>
      <c r="J3509" s="259"/>
      <c r="K3509" s="260"/>
      <c r="L3509" s="442"/>
      <c r="M3509" s="426"/>
      <c r="N3509" s="173"/>
      <c r="O3509" s="173"/>
      <c r="P3509" s="262"/>
      <c r="Q3509" s="173"/>
      <c r="R3509" s="425"/>
      <c r="S3509" s="339"/>
      <c r="T3509" s="427"/>
      <c r="U3509" s="427"/>
      <c r="V3509" s="428"/>
      <c r="W3509" s="429"/>
      <c r="X3509" s="430"/>
      <c r="Y3509" s="33"/>
      <c r="Z3509" s="430"/>
      <c r="AA3509" s="430"/>
      <c r="AB3509" s="258"/>
      <c r="AC3509" s="430"/>
      <c r="AD3509" s="426"/>
      <c r="AE3509" s="428"/>
      <c r="AF3509" s="431"/>
      <c r="AG3509" s="432"/>
      <c r="AH3509" s="430"/>
      <c r="AI3509" s="430"/>
      <c r="AJ3509" s="430"/>
      <c r="AK3509" s="430"/>
      <c r="AL3509" s="430"/>
      <c r="AM3509" s="433"/>
      <c r="AN3509" s="430"/>
      <c r="AO3509" s="430"/>
      <c r="AP3509" s="430"/>
      <c r="AQ3509" s="430"/>
      <c r="AR3509" s="430"/>
      <c r="AS3509" s="430"/>
      <c r="AT3509" s="430"/>
      <c r="AU3509" s="426"/>
      <c r="AV3509" s="174"/>
      <c r="AW3509" s="269"/>
      <c r="AX3509" s="269"/>
      <c r="AY3509" s="270"/>
      <c r="AZ3509" s="435"/>
      <c r="BA3509" s="173"/>
      <c r="BB3509" s="434"/>
      <c r="BC3509" s="434"/>
      <c r="BD3509" s="308"/>
      <c r="BE3509" s="436"/>
      <c r="BF3509" s="274" t="str">
        <f>IFERROR(__xludf.DUMMYFUNCTION("LOWER(Regexreplace(to_text(E3509),""[^A-Za-z0-9]"","""")&amp;""_""&amp;Regexreplace(to_text(F3509),""[^A-Za-z0-9]"",""""))"),"_")</f>
        <v>_</v>
      </c>
      <c r="BG3509" s="275" t="str">
        <f>IFERROR(__xludf.DUMMYFUNCTION("upper(Regexreplace(to_text(E3509),""[^A-Za-z0-9]"","""")&amp;""-""&amp;Regexreplace(to_text(F3509),""[^A-Za-z0-9]"",""""))"),"-")</f>
        <v>-</v>
      </c>
    </row>
    <row r="3510" ht="30.0" customHeight="1">
      <c r="A3510" s="237"/>
      <c r="B3510" s="425"/>
      <c r="C3510" s="257"/>
      <c r="D3510" s="173"/>
      <c r="E3510" s="174"/>
      <c r="F3510" s="173"/>
      <c r="G3510" s="425"/>
      <c r="H3510" s="425"/>
      <c r="I3510" s="258"/>
      <c r="J3510" s="259"/>
      <c r="K3510" s="260"/>
      <c r="L3510" s="442"/>
      <c r="M3510" s="426"/>
      <c r="N3510" s="173"/>
      <c r="O3510" s="173"/>
      <c r="P3510" s="262"/>
      <c r="Q3510" s="173"/>
      <c r="R3510" s="425"/>
      <c r="S3510" s="339"/>
      <c r="T3510" s="427"/>
      <c r="U3510" s="427"/>
      <c r="V3510" s="428"/>
      <c r="W3510" s="429"/>
      <c r="X3510" s="430"/>
      <c r="Y3510" s="33"/>
      <c r="Z3510" s="430"/>
      <c r="AA3510" s="430"/>
      <c r="AB3510" s="258"/>
      <c r="AC3510" s="430"/>
      <c r="AD3510" s="426"/>
      <c r="AE3510" s="428"/>
      <c r="AF3510" s="431"/>
      <c r="AG3510" s="432"/>
      <c r="AH3510" s="430"/>
      <c r="AI3510" s="430"/>
      <c r="AJ3510" s="430"/>
      <c r="AK3510" s="430"/>
      <c r="AL3510" s="430"/>
      <c r="AM3510" s="433"/>
      <c r="AN3510" s="430"/>
      <c r="AO3510" s="430"/>
      <c r="AP3510" s="430"/>
      <c r="AQ3510" s="430"/>
      <c r="AR3510" s="430"/>
      <c r="AS3510" s="430"/>
      <c r="AT3510" s="430"/>
      <c r="AU3510" s="426"/>
      <c r="AV3510" s="174"/>
      <c r="AW3510" s="269"/>
      <c r="AX3510" s="269"/>
      <c r="AY3510" s="270"/>
      <c r="AZ3510" s="435"/>
      <c r="BA3510" s="173"/>
      <c r="BB3510" s="434"/>
      <c r="BC3510" s="434"/>
      <c r="BD3510" s="308"/>
      <c r="BE3510" s="436"/>
      <c r="BF3510" s="274" t="str">
        <f>IFERROR(__xludf.DUMMYFUNCTION("LOWER(Regexreplace(to_text(E3510),""[^A-Za-z0-9]"","""")&amp;""_""&amp;Regexreplace(to_text(F3510),""[^A-Za-z0-9]"",""""))"),"_")</f>
        <v>_</v>
      </c>
      <c r="BG3510" s="275" t="str">
        <f>IFERROR(__xludf.DUMMYFUNCTION("upper(Regexreplace(to_text(E3510),""[^A-Za-z0-9]"","""")&amp;""-""&amp;Regexreplace(to_text(F3510),""[^A-Za-z0-9]"",""""))"),"-")</f>
        <v>-</v>
      </c>
    </row>
    <row r="3511" ht="30.0" customHeight="1">
      <c r="A3511" s="237"/>
      <c r="B3511" s="425"/>
      <c r="C3511" s="257"/>
      <c r="D3511" s="173"/>
      <c r="E3511" s="174"/>
      <c r="F3511" s="173"/>
      <c r="G3511" s="425"/>
      <c r="H3511" s="425"/>
      <c r="I3511" s="258"/>
      <c r="J3511" s="259"/>
      <c r="K3511" s="260"/>
      <c r="L3511" s="442"/>
      <c r="M3511" s="426"/>
      <c r="N3511" s="173"/>
      <c r="O3511" s="173"/>
      <c r="P3511" s="262"/>
      <c r="Q3511" s="173"/>
      <c r="R3511" s="425"/>
      <c r="S3511" s="339"/>
      <c r="T3511" s="427"/>
      <c r="U3511" s="427"/>
      <c r="V3511" s="428"/>
      <c r="W3511" s="429"/>
      <c r="X3511" s="430"/>
      <c r="Y3511" s="33"/>
      <c r="Z3511" s="430"/>
      <c r="AA3511" s="430"/>
      <c r="AB3511" s="258"/>
      <c r="AC3511" s="430"/>
      <c r="AD3511" s="426"/>
      <c r="AE3511" s="428"/>
      <c r="AF3511" s="431"/>
      <c r="AG3511" s="432"/>
      <c r="AH3511" s="430"/>
      <c r="AI3511" s="430"/>
      <c r="AJ3511" s="430"/>
      <c r="AK3511" s="430"/>
      <c r="AL3511" s="430"/>
      <c r="AM3511" s="433"/>
      <c r="AN3511" s="430"/>
      <c r="AO3511" s="430"/>
      <c r="AP3511" s="430"/>
      <c r="AQ3511" s="430"/>
      <c r="AR3511" s="430"/>
      <c r="AS3511" s="430"/>
      <c r="AT3511" s="430"/>
      <c r="AU3511" s="426"/>
      <c r="AV3511" s="174"/>
      <c r="AW3511" s="269"/>
      <c r="AX3511" s="269"/>
      <c r="AY3511" s="270"/>
      <c r="AZ3511" s="435"/>
      <c r="BA3511" s="173"/>
      <c r="BB3511" s="434"/>
      <c r="BC3511" s="434"/>
      <c r="BD3511" s="308"/>
      <c r="BE3511" s="436"/>
      <c r="BF3511" s="274" t="str">
        <f>IFERROR(__xludf.DUMMYFUNCTION("LOWER(Regexreplace(to_text(E3511),""[^A-Za-z0-9]"","""")&amp;""_""&amp;Regexreplace(to_text(F3511),""[^A-Za-z0-9]"",""""))"),"_")</f>
        <v>_</v>
      </c>
      <c r="BG3511" s="275" t="str">
        <f>IFERROR(__xludf.DUMMYFUNCTION("upper(Regexreplace(to_text(E3511),""[^A-Za-z0-9]"","""")&amp;""-""&amp;Regexreplace(to_text(F3511),""[^A-Za-z0-9]"",""""))"),"-")</f>
        <v>-</v>
      </c>
    </row>
    <row r="3512" ht="30.0" customHeight="1">
      <c r="A3512" s="237"/>
      <c r="B3512" s="425"/>
      <c r="C3512" s="257"/>
      <c r="D3512" s="173"/>
      <c r="E3512" s="174"/>
      <c r="F3512" s="173"/>
      <c r="G3512" s="425"/>
      <c r="H3512" s="425"/>
      <c r="I3512" s="258"/>
      <c r="J3512" s="259"/>
      <c r="K3512" s="260"/>
      <c r="L3512" s="442"/>
      <c r="M3512" s="426"/>
      <c r="N3512" s="173"/>
      <c r="O3512" s="173"/>
      <c r="P3512" s="262"/>
      <c r="Q3512" s="173"/>
      <c r="R3512" s="425"/>
      <c r="S3512" s="339"/>
      <c r="T3512" s="427"/>
      <c r="U3512" s="427"/>
      <c r="V3512" s="428"/>
      <c r="W3512" s="429"/>
      <c r="X3512" s="430"/>
      <c r="Y3512" s="33"/>
      <c r="Z3512" s="430"/>
      <c r="AA3512" s="430"/>
      <c r="AB3512" s="258"/>
      <c r="AC3512" s="430"/>
      <c r="AD3512" s="426"/>
      <c r="AE3512" s="428"/>
      <c r="AF3512" s="431"/>
      <c r="AG3512" s="432"/>
      <c r="AH3512" s="430"/>
      <c r="AI3512" s="430"/>
      <c r="AJ3512" s="430"/>
      <c r="AK3512" s="430"/>
      <c r="AL3512" s="430"/>
      <c r="AM3512" s="433"/>
      <c r="AN3512" s="430"/>
      <c r="AO3512" s="430"/>
      <c r="AP3512" s="430"/>
      <c r="AQ3512" s="430"/>
      <c r="AR3512" s="430"/>
      <c r="AS3512" s="430"/>
      <c r="AT3512" s="430"/>
      <c r="AU3512" s="426"/>
      <c r="AV3512" s="174"/>
      <c r="AW3512" s="269"/>
      <c r="AX3512" s="269"/>
      <c r="AY3512" s="270"/>
      <c r="AZ3512" s="435"/>
      <c r="BA3512" s="173"/>
      <c r="BB3512" s="434"/>
      <c r="BC3512" s="434"/>
      <c r="BD3512" s="308"/>
      <c r="BE3512" s="436"/>
      <c r="BF3512" s="274" t="str">
        <f>IFERROR(__xludf.DUMMYFUNCTION("LOWER(Regexreplace(to_text(E3512),""[^A-Za-z0-9]"","""")&amp;""_""&amp;Regexreplace(to_text(F3512),""[^A-Za-z0-9]"",""""))"),"_")</f>
        <v>_</v>
      </c>
      <c r="BG3512" s="275" t="str">
        <f>IFERROR(__xludf.DUMMYFUNCTION("upper(Regexreplace(to_text(E3512),""[^A-Za-z0-9]"","""")&amp;""-""&amp;Regexreplace(to_text(F3512),""[^A-Za-z0-9]"",""""))"),"-")</f>
        <v>-</v>
      </c>
    </row>
    <row r="3513" ht="30.0" customHeight="1">
      <c r="A3513" s="237"/>
      <c r="B3513" s="425"/>
      <c r="C3513" s="257"/>
      <c r="D3513" s="173"/>
      <c r="E3513" s="174"/>
      <c r="F3513" s="173"/>
      <c r="G3513" s="425"/>
      <c r="H3513" s="425"/>
      <c r="I3513" s="258"/>
      <c r="J3513" s="259"/>
      <c r="K3513" s="260"/>
      <c r="L3513" s="442"/>
      <c r="M3513" s="426"/>
      <c r="N3513" s="173"/>
      <c r="O3513" s="173"/>
      <c r="P3513" s="262"/>
      <c r="Q3513" s="173"/>
      <c r="R3513" s="425"/>
      <c r="S3513" s="339"/>
      <c r="T3513" s="427"/>
      <c r="U3513" s="427"/>
      <c r="V3513" s="428"/>
      <c r="W3513" s="429"/>
      <c r="X3513" s="430"/>
      <c r="Y3513" s="33"/>
      <c r="Z3513" s="430"/>
      <c r="AA3513" s="430"/>
      <c r="AB3513" s="258"/>
      <c r="AC3513" s="430"/>
      <c r="AD3513" s="426"/>
      <c r="AE3513" s="428"/>
      <c r="AF3513" s="431"/>
      <c r="AG3513" s="432"/>
      <c r="AH3513" s="430"/>
      <c r="AI3513" s="430"/>
      <c r="AJ3513" s="430"/>
      <c r="AK3513" s="430"/>
      <c r="AL3513" s="430"/>
      <c r="AM3513" s="433"/>
      <c r="AN3513" s="430"/>
      <c r="AO3513" s="430"/>
      <c r="AP3513" s="430"/>
      <c r="AQ3513" s="430"/>
      <c r="AR3513" s="430"/>
      <c r="AS3513" s="430"/>
      <c r="AT3513" s="430"/>
      <c r="AU3513" s="426"/>
      <c r="AV3513" s="174"/>
      <c r="AW3513" s="269"/>
      <c r="AX3513" s="269"/>
      <c r="AY3513" s="270"/>
      <c r="AZ3513" s="435"/>
      <c r="BA3513" s="173"/>
      <c r="BB3513" s="434"/>
      <c r="BC3513" s="434"/>
      <c r="BD3513" s="308"/>
      <c r="BE3513" s="436"/>
      <c r="BF3513" s="274" t="str">
        <f>IFERROR(__xludf.DUMMYFUNCTION("LOWER(Regexreplace(to_text(E3513),""[^A-Za-z0-9]"","""")&amp;""_""&amp;Regexreplace(to_text(F3513),""[^A-Za-z0-9]"",""""))"),"_")</f>
        <v>_</v>
      </c>
      <c r="BG3513" s="275" t="str">
        <f>IFERROR(__xludf.DUMMYFUNCTION("upper(Regexreplace(to_text(E3513),""[^A-Za-z0-9]"","""")&amp;""-""&amp;Regexreplace(to_text(F3513),""[^A-Za-z0-9]"",""""))"),"-")</f>
        <v>-</v>
      </c>
    </row>
    <row r="3514" ht="30.0" customHeight="1">
      <c r="A3514" s="237"/>
      <c r="B3514" s="425"/>
      <c r="C3514" s="257"/>
      <c r="D3514" s="173"/>
      <c r="E3514" s="174"/>
      <c r="F3514" s="173"/>
      <c r="G3514" s="425"/>
      <c r="H3514" s="425"/>
      <c r="I3514" s="258"/>
      <c r="J3514" s="259"/>
      <c r="K3514" s="260"/>
      <c r="L3514" s="442"/>
      <c r="M3514" s="426"/>
      <c r="N3514" s="173"/>
      <c r="O3514" s="173"/>
      <c r="P3514" s="262"/>
      <c r="Q3514" s="173"/>
      <c r="R3514" s="425"/>
      <c r="S3514" s="339"/>
      <c r="T3514" s="427"/>
      <c r="U3514" s="427"/>
      <c r="V3514" s="428"/>
      <c r="W3514" s="429"/>
      <c r="X3514" s="430"/>
      <c r="Y3514" s="33"/>
      <c r="Z3514" s="430"/>
      <c r="AA3514" s="430"/>
      <c r="AB3514" s="258"/>
      <c r="AC3514" s="430"/>
      <c r="AD3514" s="426"/>
      <c r="AE3514" s="428"/>
      <c r="AF3514" s="431"/>
      <c r="AG3514" s="432"/>
      <c r="AH3514" s="430"/>
      <c r="AI3514" s="430"/>
      <c r="AJ3514" s="430"/>
      <c r="AK3514" s="430"/>
      <c r="AL3514" s="430"/>
      <c r="AM3514" s="433"/>
      <c r="AN3514" s="430"/>
      <c r="AO3514" s="430"/>
      <c r="AP3514" s="430"/>
      <c r="AQ3514" s="430"/>
      <c r="AR3514" s="430"/>
      <c r="AS3514" s="430"/>
      <c r="AT3514" s="430"/>
      <c r="AU3514" s="426"/>
      <c r="AV3514" s="174"/>
      <c r="AW3514" s="269"/>
      <c r="AX3514" s="269"/>
      <c r="AY3514" s="270"/>
      <c r="AZ3514" s="435"/>
      <c r="BA3514" s="173"/>
      <c r="BB3514" s="434"/>
      <c r="BC3514" s="434"/>
      <c r="BD3514" s="308"/>
      <c r="BE3514" s="436"/>
      <c r="BF3514" s="274" t="str">
        <f>IFERROR(__xludf.DUMMYFUNCTION("LOWER(Regexreplace(to_text(E3514),""[^A-Za-z0-9]"","""")&amp;""_""&amp;Regexreplace(to_text(F3514),""[^A-Za-z0-9]"",""""))"),"_")</f>
        <v>_</v>
      </c>
      <c r="BG3514" s="275" t="str">
        <f>IFERROR(__xludf.DUMMYFUNCTION("upper(Regexreplace(to_text(E3514),""[^A-Za-z0-9]"","""")&amp;""-""&amp;Regexreplace(to_text(F3514),""[^A-Za-z0-9]"",""""))"),"-")</f>
        <v>-</v>
      </c>
    </row>
    <row r="3515" ht="30.0" customHeight="1">
      <c r="A3515" s="237"/>
      <c r="B3515" s="425"/>
      <c r="C3515" s="257"/>
      <c r="D3515" s="173"/>
      <c r="E3515" s="174"/>
      <c r="F3515" s="173"/>
      <c r="G3515" s="425"/>
      <c r="H3515" s="425"/>
      <c r="I3515" s="258"/>
      <c r="J3515" s="259"/>
      <c r="K3515" s="260"/>
      <c r="L3515" s="442"/>
      <c r="M3515" s="426"/>
      <c r="N3515" s="173"/>
      <c r="O3515" s="173"/>
      <c r="P3515" s="262"/>
      <c r="Q3515" s="173"/>
      <c r="R3515" s="425"/>
      <c r="S3515" s="339"/>
      <c r="T3515" s="427"/>
      <c r="U3515" s="427"/>
      <c r="V3515" s="428"/>
      <c r="W3515" s="429"/>
      <c r="X3515" s="430"/>
      <c r="Y3515" s="33"/>
      <c r="Z3515" s="430"/>
      <c r="AA3515" s="430"/>
      <c r="AB3515" s="258"/>
      <c r="AC3515" s="430"/>
      <c r="AD3515" s="426"/>
      <c r="AE3515" s="428"/>
      <c r="AF3515" s="431"/>
      <c r="AG3515" s="432"/>
      <c r="AH3515" s="430"/>
      <c r="AI3515" s="430"/>
      <c r="AJ3515" s="430"/>
      <c r="AK3515" s="430"/>
      <c r="AL3515" s="430"/>
      <c r="AM3515" s="433"/>
      <c r="AN3515" s="430"/>
      <c r="AO3515" s="430"/>
      <c r="AP3515" s="430"/>
      <c r="AQ3515" s="430"/>
      <c r="AR3515" s="430"/>
      <c r="AS3515" s="430"/>
      <c r="AT3515" s="430"/>
      <c r="AU3515" s="426"/>
      <c r="AV3515" s="174"/>
      <c r="AW3515" s="269"/>
      <c r="AX3515" s="269"/>
      <c r="AY3515" s="270"/>
      <c r="AZ3515" s="435"/>
      <c r="BA3515" s="173"/>
      <c r="BB3515" s="434"/>
      <c r="BC3515" s="434"/>
      <c r="BD3515" s="308"/>
      <c r="BE3515" s="436"/>
      <c r="BF3515" s="274" t="str">
        <f>IFERROR(__xludf.DUMMYFUNCTION("LOWER(Regexreplace(to_text(E3515),""[^A-Za-z0-9]"","""")&amp;""_""&amp;Regexreplace(to_text(F3515),""[^A-Za-z0-9]"",""""))"),"_")</f>
        <v>_</v>
      </c>
      <c r="BG3515" s="275" t="str">
        <f>IFERROR(__xludf.DUMMYFUNCTION("upper(Regexreplace(to_text(E3515),""[^A-Za-z0-9]"","""")&amp;""-""&amp;Regexreplace(to_text(F3515),""[^A-Za-z0-9]"",""""))"),"-")</f>
        <v>-</v>
      </c>
    </row>
    <row r="3516" ht="30.0" customHeight="1">
      <c r="A3516" s="237"/>
      <c r="B3516" s="425"/>
      <c r="C3516" s="257"/>
      <c r="D3516" s="173"/>
      <c r="E3516" s="174"/>
      <c r="F3516" s="173"/>
      <c r="G3516" s="425"/>
      <c r="H3516" s="425"/>
      <c r="I3516" s="258"/>
      <c r="J3516" s="259"/>
      <c r="K3516" s="260"/>
      <c r="L3516" s="442"/>
      <c r="M3516" s="426"/>
      <c r="N3516" s="173"/>
      <c r="O3516" s="173"/>
      <c r="P3516" s="262"/>
      <c r="Q3516" s="173"/>
      <c r="R3516" s="425"/>
      <c r="S3516" s="339"/>
      <c r="T3516" s="427"/>
      <c r="U3516" s="427"/>
      <c r="V3516" s="428"/>
      <c r="W3516" s="429"/>
      <c r="X3516" s="430"/>
      <c r="Y3516" s="33"/>
      <c r="Z3516" s="430"/>
      <c r="AA3516" s="430"/>
      <c r="AB3516" s="258"/>
      <c r="AC3516" s="430"/>
      <c r="AD3516" s="426"/>
      <c r="AE3516" s="428"/>
      <c r="AF3516" s="431"/>
      <c r="AG3516" s="432"/>
      <c r="AH3516" s="430"/>
      <c r="AI3516" s="430"/>
      <c r="AJ3516" s="430"/>
      <c r="AK3516" s="430"/>
      <c r="AL3516" s="430"/>
      <c r="AM3516" s="433"/>
      <c r="AN3516" s="430"/>
      <c r="AO3516" s="430"/>
      <c r="AP3516" s="430"/>
      <c r="AQ3516" s="430"/>
      <c r="AR3516" s="430"/>
      <c r="AS3516" s="430"/>
      <c r="AT3516" s="430"/>
      <c r="AU3516" s="426"/>
      <c r="AV3516" s="174"/>
      <c r="AW3516" s="269"/>
      <c r="AX3516" s="269"/>
      <c r="AY3516" s="270"/>
      <c r="AZ3516" s="435"/>
      <c r="BA3516" s="173"/>
      <c r="BB3516" s="434"/>
      <c r="BC3516" s="434"/>
      <c r="BD3516" s="308"/>
      <c r="BE3516" s="436"/>
      <c r="BF3516" s="274" t="str">
        <f>IFERROR(__xludf.DUMMYFUNCTION("LOWER(Regexreplace(to_text(E3516),""[^A-Za-z0-9]"","""")&amp;""_""&amp;Regexreplace(to_text(F3516),""[^A-Za-z0-9]"",""""))"),"_")</f>
        <v>_</v>
      </c>
      <c r="BG3516" s="275" t="str">
        <f>IFERROR(__xludf.DUMMYFUNCTION("upper(Regexreplace(to_text(E3516),""[^A-Za-z0-9]"","""")&amp;""-""&amp;Regexreplace(to_text(F3516),""[^A-Za-z0-9]"",""""))"),"-")</f>
        <v>-</v>
      </c>
    </row>
    <row r="3517" ht="30.0" customHeight="1">
      <c r="A3517" s="237"/>
      <c r="B3517" s="425"/>
      <c r="C3517" s="257"/>
      <c r="D3517" s="173"/>
      <c r="E3517" s="174"/>
      <c r="F3517" s="173"/>
      <c r="G3517" s="425"/>
      <c r="H3517" s="425"/>
      <c r="I3517" s="258"/>
      <c r="J3517" s="259"/>
      <c r="K3517" s="260"/>
      <c r="L3517" s="442"/>
      <c r="M3517" s="426"/>
      <c r="N3517" s="173"/>
      <c r="O3517" s="173"/>
      <c r="P3517" s="262"/>
      <c r="Q3517" s="173"/>
      <c r="R3517" s="425"/>
      <c r="S3517" s="339"/>
      <c r="T3517" s="427"/>
      <c r="U3517" s="427"/>
      <c r="V3517" s="428"/>
      <c r="W3517" s="429"/>
      <c r="X3517" s="430"/>
      <c r="Y3517" s="33"/>
      <c r="Z3517" s="430"/>
      <c r="AA3517" s="430"/>
      <c r="AB3517" s="258"/>
      <c r="AC3517" s="430"/>
      <c r="AD3517" s="426"/>
      <c r="AE3517" s="428"/>
      <c r="AF3517" s="431"/>
      <c r="AG3517" s="432"/>
      <c r="AH3517" s="430"/>
      <c r="AI3517" s="430"/>
      <c r="AJ3517" s="430"/>
      <c r="AK3517" s="430"/>
      <c r="AL3517" s="430"/>
      <c r="AM3517" s="433"/>
      <c r="AN3517" s="430"/>
      <c r="AO3517" s="430"/>
      <c r="AP3517" s="430"/>
      <c r="AQ3517" s="430"/>
      <c r="AR3517" s="430"/>
      <c r="AS3517" s="430"/>
      <c r="AT3517" s="430"/>
      <c r="AU3517" s="426"/>
      <c r="AV3517" s="174"/>
      <c r="AW3517" s="269"/>
      <c r="AX3517" s="269"/>
      <c r="AY3517" s="270"/>
      <c r="AZ3517" s="435"/>
      <c r="BA3517" s="173"/>
      <c r="BB3517" s="434"/>
      <c r="BC3517" s="434"/>
      <c r="BD3517" s="308"/>
      <c r="BE3517" s="436"/>
      <c r="BF3517" s="274" t="str">
        <f>IFERROR(__xludf.DUMMYFUNCTION("LOWER(Regexreplace(to_text(E3517),""[^A-Za-z0-9]"","""")&amp;""_""&amp;Regexreplace(to_text(F3517),""[^A-Za-z0-9]"",""""))"),"_")</f>
        <v>_</v>
      </c>
      <c r="BG3517" s="275" t="str">
        <f>IFERROR(__xludf.DUMMYFUNCTION("upper(Regexreplace(to_text(E3517),""[^A-Za-z0-9]"","""")&amp;""-""&amp;Regexreplace(to_text(F3517),""[^A-Za-z0-9]"",""""))"),"-")</f>
        <v>-</v>
      </c>
    </row>
    <row r="3518" ht="30.0" customHeight="1">
      <c r="A3518" s="237"/>
      <c r="B3518" s="425"/>
      <c r="C3518" s="257"/>
      <c r="D3518" s="173"/>
      <c r="E3518" s="174"/>
      <c r="F3518" s="173"/>
      <c r="G3518" s="425"/>
      <c r="H3518" s="425"/>
      <c r="I3518" s="258"/>
      <c r="J3518" s="259"/>
      <c r="K3518" s="260"/>
      <c r="L3518" s="442"/>
      <c r="M3518" s="426"/>
      <c r="N3518" s="173"/>
      <c r="O3518" s="173"/>
      <c r="P3518" s="262"/>
      <c r="Q3518" s="173"/>
      <c r="R3518" s="425"/>
      <c r="S3518" s="339"/>
      <c r="T3518" s="427"/>
      <c r="U3518" s="427"/>
      <c r="V3518" s="428"/>
      <c r="W3518" s="429"/>
      <c r="X3518" s="430"/>
      <c r="Y3518" s="33"/>
      <c r="Z3518" s="430"/>
      <c r="AA3518" s="430"/>
      <c r="AB3518" s="258"/>
      <c r="AC3518" s="430"/>
      <c r="AD3518" s="426"/>
      <c r="AE3518" s="428"/>
      <c r="AF3518" s="431"/>
      <c r="AG3518" s="432"/>
      <c r="AH3518" s="430"/>
      <c r="AI3518" s="430"/>
      <c r="AJ3518" s="430"/>
      <c r="AK3518" s="430"/>
      <c r="AL3518" s="430"/>
      <c r="AM3518" s="433"/>
      <c r="AN3518" s="430"/>
      <c r="AO3518" s="430"/>
      <c r="AP3518" s="430"/>
      <c r="AQ3518" s="430"/>
      <c r="AR3518" s="430"/>
      <c r="AS3518" s="430"/>
      <c r="AT3518" s="430"/>
      <c r="AU3518" s="426"/>
      <c r="AV3518" s="174"/>
      <c r="AW3518" s="269"/>
      <c r="AX3518" s="269"/>
      <c r="AY3518" s="270"/>
      <c r="AZ3518" s="435"/>
      <c r="BA3518" s="173"/>
      <c r="BB3518" s="434"/>
      <c r="BC3518" s="434"/>
      <c r="BD3518" s="308"/>
      <c r="BE3518" s="436"/>
      <c r="BF3518" s="274" t="str">
        <f>IFERROR(__xludf.DUMMYFUNCTION("LOWER(Regexreplace(to_text(E3518),""[^A-Za-z0-9]"","""")&amp;""_""&amp;Regexreplace(to_text(F3518),""[^A-Za-z0-9]"",""""))"),"_")</f>
        <v>_</v>
      </c>
      <c r="BG3518" s="275" t="str">
        <f>IFERROR(__xludf.DUMMYFUNCTION("upper(Regexreplace(to_text(E3518),""[^A-Za-z0-9]"","""")&amp;""-""&amp;Regexreplace(to_text(F3518),""[^A-Za-z0-9]"",""""))"),"-")</f>
        <v>-</v>
      </c>
    </row>
    <row r="3519" ht="30.0" customHeight="1">
      <c r="A3519" s="237"/>
      <c r="B3519" s="425"/>
      <c r="C3519" s="257"/>
      <c r="D3519" s="173"/>
      <c r="E3519" s="174"/>
      <c r="F3519" s="173"/>
      <c r="G3519" s="425"/>
      <c r="H3519" s="425"/>
      <c r="I3519" s="258"/>
      <c r="J3519" s="259"/>
      <c r="K3519" s="260"/>
      <c r="L3519" s="442"/>
      <c r="M3519" s="426"/>
      <c r="N3519" s="173"/>
      <c r="O3519" s="173"/>
      <c r="P3519" s="262"/>
      <c r="Q3519" s="173"/>
      <c r="R3519" s="425"/>
      <c r="S3519" s="339"/>
      <c r="T3519" s="427"/>
      <c r="U3519" s="427"/>
      <c r="V3519" s="428"/>
      <c r="W3519" s="429"/>
      <c r="X3519" s="430"/>
      <c r="Y3519" s="33"/>
      <c r="Z3519" s="430"/>
      <c r="AA3519" s="430"/>
      <c r="AB3519" s="258"/>
      <c r="AC3519" s="430"/>
      <c r="AD3519" s="426"/>
      <c r="AE3519" s="428"/>
      <c r="AF3519" s="431"/>
      <c r="AG3519" s="432"/>
      <c r="AH3519" s="430"/>
      <c r="AI3519" s="430"/>
      <c r="AJ3519" s="430"/>
      <c r="AK3519" s="430"/>
      <c r="AL3519" s="430"/>
      <c r="AM3519" s="433"/>
      <c r="AN3519" s="430"/>
      <c r="AO3519" s="430"/>
      <c r="AP3519" s="430"/>
      <c r="AQ3519" s="430"/>
      <c r="AR3519" s="430"/>
      <c r="AS3519" s="430"/>
      <c r="AT3519" s="430"/>
      <c r="AU3519" s="426"/>
      <c r="AV3519" s="174"/>
      <c r="AW3519" s="269"/>
      <c r="AX3519" s="269"/>
      <c r="AY3519" s="270"/>
      <c r="AZ3519" s="435"/>
      <c r="BA3519" s="173"/>
      <c r="BB3519" s="434"/>
      <c r="BC3519" s="434"/>
      <c r="BD3519" s="308"/>
      <c r="BE3519" s="436"/>
      <c r="BF3519" s="274" t="str">
        <f>IFERROR(__xludf.DUMMYFUNCTION("LOWER(Regexreplace(to_text(E3519),""[^A-Za-z0-9]"","""")&amp;""_""&amp;Regexreplace(to_text(F3519),""[^A-Za-z0-9]"",""""))"),"_")</f>
        <v>_</v>
      </c>
      <c r="BG3519" s="275" t="str">
        <f>IFERROR(__xludf.DUMMYFUNCTION("upper(Regexreplace(to_text(E3519),""[^A-Za-z0-9]"","""")&amp;""-""&amp;Regexreplace(to_text(F3519),""[^A-Za-z0-9]"",""""))"),"-")</f>
        <v>-</v>
      </c>
    </row>
    <row r="3520" ht="30.0" customHeight="1">
      <c r="A3520" s="237"/>
      <c r="B3520" s="425"/>
      <c r="C3520" s="257"/>
      <c r="D3520" s="173"/>
      <c r="E3520" s="174"/>
      <c r="F3520" s="173"/>
      <c r="G3520" s="425"/>
      <c r="H3520" s="425"/>
      <c r="I3520" s="258"/>
      <c r="J3520" s="259"/>
      <c r="K3520" s="260"/>
      <c r="L3520" s="442"/>
      <c r="M3520" s="426"/>
      <c r="N3520" s="173"/>
      <c r="O3520" s="173"/>
      <c r="P3520" s="262"/>
      <c r="Q3520" s="173"/>
      <c r="R3520" s="425"/>
      <c r="S3520" s="339"/>
      <c r="T3520" s="427"/>
      <c r="U3520" s="427"/>
      <c r="V3520" s="428"/>
      <c r="W3520" s="429"/>
      <c r="X3520" s="430"/>
      <c r="Y3520" s="33"/>
      <c r="Z3520" s="430"/>
      <c r="AA3520" s="430"/>
      <c r="AB3520" s="258"/>
      <c r="AC3520" s="430"/>
      <c r="AD3520" s="426"/>
      <c r="AE3520" s="428"/>
      <c r="AF3520" s="431"/>
      <c r="AG3520" s="432"/>
      <c r="AH3520" s="430"/>
      <c r="AI3520" s="430"/>
      <c r="AJ3520" s="430"/>
      <c r="AK3520" s="430"/>
      <c r="AL3520" s="430"/>
      <c r="AM3520" s="433"/>
      <c r="AN3520" s="430"/>
      <c r="AO3520" s="430"/>
      <c r="AP3520" s="430"/>
      <c r="AQ3520" s="430"/>
      <c r="AR3520" s="430"/>
      <c r="AS3520" s="430"/>
      <c r="AT3520" s="430"/>
      <c r="AU3520" s="426"/>
      <c r="AV3520" s="174"/>
      <c r="AW3520" s="269"/>
      <c r="AX3520" s="269"/>
      <c r="AY3520" s="270"/>
      <c r="AZ3520" s="435"/>
      <c r="BA3520" s="173"/>
      <c r="BB3520" s="434"/>
      <c r="BC3520" s="434"/>
      <c r="BD3520" s="308"/>
      <c r="BE3520" s="436"/>
      <c r="BF3520" s="274" t="str">
        <f>IFERROR(__xludf.DUMMYFUNCTION("LOWER(Regexreplace(to_text(E3520),""[^A-Za-z0-9]"","""")&amp;""_""&amp;Regexreplace(to_text(F3520),""[^A-Za-z0-9]"",""""))"),"_")</f>
        <v>_</v>
      </c>
      <c r="BG3520" s="275" t="str">
        <f>IFERROR(__xludf.DUMMYFUNCTION("upper(Regexreplace(to_text(E3520),""[^A-Za-z0-9]"","""")&amp;""-""&amp;Regexreplace(to_text(F3520),""[^A-Za-z0-9]"",""""))"),"-")</f>
        <v>-</v>
      </c>
    </row>
    <row r="3521" ht="30.0" customHeight="1">
      <c r="A3521" s="237"/>
      <c r="B3521" s="425"/>
      <c r="C3521" s="257"/>
      <c r="D3521" s="173"/>
      <c r="E3521" s="174"/>
      <c r="F3521" s="173"/>
      <c r="G3521" s="425"/>
      <c r="H3521" s="425"/>
      <c r="I3521" s="258"/>
      <c r="J3521" s="259"/>
      <c r="K3521" s="260"/>
      <c r="L3521" s="442"/>
      <c r="M3521" s="426"/>
      <c r="N3521" s="173"/>
      <c r="O3521" s="173"/>
      <c r="P3521" s="262"/>
      <c r="Q3521" s="173"/>
      <c r="R3521" s="425"/>
      <c r="S3521" s="339"/>
      <c r="T3521" s="427"/>
      <c r="U3521" s="427"/>
      <c r="V3521" s="428"/>
      <c r="W3521" s="429"/>
      <c r="X3521" s="430"/>
      <c r="Y3521" s="33"/>
      <c r="Z3521" s="430"/>
      <c r="AA3521" s="430"/>
      <c r="AB3521" s="258"/>
      <c r="AC3521" s="430"/>
      <c r="AD3521" s="426"/>
      <c r="AE3521" s="428"/>
      <c r="AF3521" s="431"/>
      <c r="AG3521" s="432"/>
      <c r="AH3521" s="430"/>
      <c r="AI3521" s="430"/>
      <c r="AJ3521" s="430"/>
      <c r="AK3521" s="430"/>
      <c r="AL3521" s="430"/>
      <c r="AM3521" s="433"/>
      <c r="AN3521" s="430"/>
      <c r="AO3521" s="430"/>
      <c r="AP3521" s="430"/>
      <c r="AQ3521" s="430"/>
      <c r="AR3521" s="430"/>
      <c r="AS3521" s="430"/>
      <c r="AT3521" s="430"/>
      <c r="AU3521" s="426"/>
      <c r="AV3521" s="174"/>
      <c r="AW3521" s="269"/>
      <c r="AX3521" s="269"/>
      <c r="AY3521" s="270"/>
      <c r="AZ3521" s="435"/>
      <c r="BA3521" s="173"/>
      <c r="BB3521" s="434"/>
      <c r="BC3521" s="434"/>
      <c r="BD3521" s="308"/>
      <c r="BE3521" s="436"/>
      <c r="BF3521" s="274" t="str">
        <f>IFERROR(__xludf.DUMMYFUNCTION("LOWER(Regexreplace(to_text(E3521),""[^A-Za-z0-9]"","""")&amp;""_""&amp;Regexreplace(to_text(F3521),""[^A-Za-z0-9]"",""""))"),"_")</f>
        <v>_</v>
      </c>
      <c r="BG3521" s="275" t="str">
        <f>IFERROR(__xludf.DUMMYFUNCTION("upper(Regexreplace(to_text(E3521),""[^A-Za-z0-9]"","""")&amp;""-""&amp;Regexreplace(to_text(F3521),""[^A-Za-z0-9]"",""""))"),"-")</f>
        <v>-</v>
      </c>
    </row>
    <row r="3522" ht="30.0" customHeight="1">
      <c r="A3522" s="237"/>
      <c r="B3522" s="425"/>
      <c r="C3522" s="257"/>
      <c r="D3522" s="173"/>
      <c r="E3522" s="174"/>
      <c r="F3522" s="173"/>
      <c r="G3522" s="425"/>
      <c r="H3522" s="425"/>
      <c r="I3522" s="258"/>
      <c r="J3522" s="259"/>
      <c r="K3522" s="260"/>
      <c r="L3522" s="442"/>
      <c r="M3522" s="426"/>
      <c r="N3522" s="173"/>
      <c r="O3522" s="173"/>
      <c r="P3522" s="262"/>
      <c r="Q3522" s="173"/>
      <c r="R3522" s="425"/>
      <c r="S3522" s="339"/>
      <c r="T3522" s="427"/>
      <c r="U3522" s="427"/>
      <c r="V3522" s="428"/>
      <c r="W3522" s="429"/>
      <c r="X3522" s="430"/>
      <c r="Y3522" s="33"/>
      <c r="Z3522" s="430"/>
      <c r="AA3522" s="430"/>
      <c r="AB3522" s="258"/>
      <c r="AC3522" s="430"/>
      <c r="AD3522" s="426"/>
      <c r="AE3522" s="428"/>
      <c r="AF3522" s="431"/>
      <c r="AG3522" s="432"/>
      <c r="AH3522" s="430"/>
      <c r="AI3522" s="430"/>
      <c r="AJ3522" s="430"/>
      <c r="AK3522" s="430"/>
      <c r="AL3522" s="430"/>
      <c r="AM3522" s="433"/>
      <c r="AN3522" s="430"/>
      <c r="AO3522" s="430"/>
      <c r="AP3522" s="430"/>
      <c r="AQ3522" s="430"/>
      <c r="AR3522" s="430"/>
      <c r="AS3522" s="430"/>
      <c r="AT3522" s="430"/>
      <c r="AU3522" s="426"/>
      <c r="AV3522" s="174"/>
      <c r="AW3522" s="269"/>
      <c r="AX3522" s="269"/>
      <c r="AY3522" s="270"/>
      <c r="AZ3522" s="435"/>
      <c r="BA3522" s="173"/>
      <c r="BB3522" s="434"/>
      <c r="BC3522" s="434"/>
      <c r="BD3522" s="308"/>
      <c r="BE3522" s="436"/>
      <c r="BF3522" s="274" t="str">
        <f>IFERROR(__xludf.DUMMYFUNCTION("LOWER(Regexreplace(to_text(E3522),""[^A-Za-z0-9]"","""")&amp;""_""&amp;Regexreplace(to_text(F3522),""[^A-Za-z0-9]"",""""))"),"_")</f>
        <v>_</v>
      </c>
      <c r="BG3522" s="275" t="str">
        <f>IFERROR(__xludf.DUMMYFUNCTION("upper(Regexreplace(to_text(E3522),""[^A-Za-z0-9]"","""")&amp;""-""&amp;Regexreplace(to_text(F3522),""[^A-Za-z0-9]"",""""))"),"-")</f>
        <v>-</v>
      </c>
    </row>
    <row r="3523" ht="30.0" customHeight="1">
      <c r="A3523" s="237"/>
      <c r="B3523" s="425"/>
      <c r="C3523" s="257"/>
      <c r="D3523" s="173"/>
      <c r="E3523" s="174"/>
      <c r="F3523" s="173"/>
      <c r="G3523" s="425"/>
      <c r="H3523" s="425"/>
      <c r="I3523" s="258"/>
      <c r="J3523" s="259"/>
      <c r="K3523" s="260"/>
      <c r="L3523" s="442"/>
      <c r="M3523" s="426"/>
      <c r="N3523" s="173"/>
      <c r="O3523" s="173"/>
      <c r="P3523" s="262"/>
      <c r="Q3523" s="173"/>
      <c r="R3523" s="425"/>
      <c r="S3523" s="339"/>
      <c r="T3523" s="427"/>
      <c r="U3523" s="427"/>
      <c r="V3523" s="428"/>
      <c r="W3523" s="429"/>
      <c r="X3523" s="430"/>
      <c r="Y3523" s="33"/>
      <c r="Z3523" s="430"/>
      <c r="AA3523" s="430"/>
      <c r="AB3523" s="258"/>
      <c r="AC3523" s="430"/>
      <c r="AD3523" s="426"/>
      <c r="AE3523" s="428"/>
      <c r="AF3523" s="431"/>
      <c r="AG3523" s="432"/>
      <c r="AH3523" s="430"/>
      <c r="AI3523" s="430"/>
      <c r="AJ3523" s="430"/>
      <c r="AK3523" s="430"/>
      <c r="AL3523" s="430"/>
      <c r="AM3523" s="433"/>
      <c r="AN3523" s="430"/>
      <c r="AO3523" s="430"/>
      <c r="AP3523" s="430"/>
      <c r="AQ3523" s="430"/>
      <c r="AR3523" s="430"/>
      <c r="AS3523" s="430"/>
      <c r="AT3523" s="430"/>
      <c r="AU3523" s="426"/>
      <c r="AV3523" s="174"/>
      <c r="AW3523" s="269"/>
      <c r="AX3523" s="269"/>
      <c r="AY3523" s="270"/>
      <c r="AZ3523" s="435"/>
      <c r="BA3523" s="173"/>
      <c r="BB3523" s="434"/>
      <c r="BC3523" s="434"/>
      <c r="BD3523" s="308"/>
      <c r="BE3523" s="436"/>
      <c r="BF3523" s="274" t="str">
        <f>IFERROR(__xludf.DUMMYFUNCTION("LOWER(Regexreplace(to_text(E3523),""[^A-Za-z0-9]"","""")&amp;""_""&amp;Regexreplace(to_text(F3523),""[^A-Za-z0-9]"",""""))"),"_")</f>
        <v>_</v>
      </c>
      <c r="BG3523" s="275" t="str">
        <f>IFERROR(__xludf.DUMMYFUNCTION("upper(Regexreplace(to_text(E3523),""[^A-Za-z0-9]"","""")&amp;""-""&amp;Regexreplace(to_text(F3523),""[^A-Za-z0-9]"",""""))"),"-")</f>
        <v>-</v>
      </c>
    </row>
    <row r="3524" ht="30.0" customHeight="1">
      <c r="A3524" s="237"/>
      <c r="B3524" s="425"/>
      <c r="C3524" s="257"/>
      <c r="D3524" s="173"/>
      <c r="E3524" s="174"/>
      <c r="F3524" s="173"/>
      <c r="G3524" s="425"/>
      <c r="H3524" s="425"/>
      <c r="I3524" s="258"/>
      <c r="J3524" s="259"/>
      <c r="K3524" s="260"/>
      <c r="L3524" s="442"/>
      <c r="M3524" s="426"/>
      <c r="N3524" s="173"/>
      <c r="O3524" s="173"/>
      <c r="P3524" s="262"/>
      <c r="Q3524" s="173"/>
      <c r="R3524" s="425"/>
      <c r="S3524" s="339"/>
      <c r="T3524" s="427"/>
      <c r="U3524" s="427"/>
      <c r="V3524" s="428"/>
      <c r="W3524" s="429"/>
      <c r="X3524" s="430"/>
      <c r="Y3524" s="33"/>
      <c r="Z3524" s="430"/>
      <c r="AA3524" s="430"/>
      <c r="AB3524" s="258"/>
      <c r="AC3524" s="430"/>
      <c r="AD3524" s="426"/>
      <c r="AE3524" s="428"/>
      <c r="AF3524" s="431"/>
      <c r="AG3524" s="432"/>
      <c r="AH3524" s="430"/>
      <c r="AI3524" s="430"/>
      <c r="AJ3524" s="430"/>
      <c r="AK3524" s="430"/>
      <c r="AL3524" s="430"/>
      <c r="AM3524" s="433"/>
      <c r="AN3524" s="430"/>
      <c r="AO3524" s="430"/>
      <c r="AP3524" s="430"/>
      <c r="AQ3524" s="430"/>
      <c r="AR3524" s="430"/>
      <c r="AS3524" s="430"/>
      <c r="AT3524" s="430"/>
      <c r="AU3524" s="426"/>
      <c r="AV3524" s="174"/>
      <c r="AW3524" s="269"/>
      <c r="AX3524" s="269"/>
      <c r="AY3524" s="270"/>
      <c r="AZ3524" s="435"/>
      <c r="BA3524" s="173"/>
      <c r="BB3524" s="434"/>
      <c r="BC3524" s="434"/>
      <c r="BD3524" s="308"/>
      <c r="BE3524" s="436"/>
      <c r="BF3524" s="274" t="str">
        <f>IFERROR(__xludf.DUMMYFUNCTION("LOWER(Regexreplace(to_text(E3524),""[^A-Za-z0-9]"","""")&amp;""_""&amp;Regexreplace(to_text(F3524),""[^A-Za-z0-9]"",""""))"),"_")</f>
        <v>_</v>
      </c>
      <c r="BG3524" s="275" t="str">
        <f>IFERROR(__xludf.DUMMYFUNCTION("upper(Regexreplace(to_text(E3524),""[^A-Za-z0-9]"","""")&amp;""-""&amp;Regexreplace(to_text(F3524),""[^A-Za-z0-9]"",""""))"),"-")</f>
        <v>-</v>
      </c>
    </row>
    <row r="3525" ht="30.0" customHeight="1">
      <c r="A3525" s="237"/>
      <c r="B3525" s="425"/>
      <c r="C3525" s="257"/>
      <c r="D3525" s="173"/>
      <c r="E3525" s="174"/>
      <c r="F3525" s="173"/>
      <c r="G3525" s="425"/>
      <c r="H3525" s="425"/>
      <c r="I3525" s="258"/>
      <c r="J3525" s="259"/>
      <c r="K3525" s="260"/>
      <c r="L3525" s="442"/>
      <c r="M3525" s="426"/>
      <c r="N3525" s="173"/>
      <c r="O3525" s="173"/>
      <c r="P3525" s="262"/>
      <c r="Q3525" s="173"/>
      <c r="R3525" s="425"/>
      <c r="S3525" s="339"/>
      <c r="T3525" s="427"/>
      <c r="U3525" s="427"/>
      <c r="V3525" s="428"/>
      <c r="W3525" s="429"/>
      <c r="X3525" s="430"/>
      <c r="Y3525" s="33"/>
      <c r="Z3525" s="430"/>
      <c r="AA3525" s="430"/>
      <c r="AB3525" s="258"/>
      <c r="AC3525" s="430"/>
      <c r="AD3525" s="426"/>
      <c r="AE3525" s="428"/>
      <c r="AF3525" s="431"/>
      <c r="AG3525" s="432"/>
      <c r="AH3525" s="430"/>
      <c r="AI3525" s="430"/>
      <c r="AJ3525" s="430"/>
      <c r="AK3525" s="430"/>
      <c r="AL3525" s="430"/>
      <c r="AM3525" s="433"/>
      <c r="AN3525" s="430"/>
      <c r="AO3525" s="430"/>
      <c r="AP3525" s="430"/>
      <c r="AQ3525" s="430"/>
      <c r="AR3525" s="430"/>
      <c r="AS3525" s="430"/>
      <c r="AT3525" s="430"/>
      <c r="AU3525" s="426"/>
      <c r="AV3525" s="174"/>
      <c r="AW3525" s="269"/>
      <c r="AX3525" s="269"/>
      <c r="AY3525" s="270"/>
      <c r="AZ3525" s="435"/>
      <c r="BA3525" s="173"/>
      <c r="BB3525" s="434"/>
      <c r="BC3525" s="434"/>
      <c r="BD3525" s="308"/>
      <c r="BE3525" s="436"/>
      <c r="BF3525" s="274" t="str">
        <f>IFERROR(__xludf.DUMMYFUNCTION("LOWER(Regexreplace(to_text(E3525),""[^A-Za-z0-9]"","""")&amp;""_""&amp;Regexreplace(to_text(F3525),""[^A-Za-z0-9]"",""""))"),"_")</f>
        <v>_</v>
      </c>
      <c r="BG3525" s="275" t="str">
        <f>IFERROR(__xludf.DUMMYFUNCTION("upper(Regexreplace(to_text(E3525),""[^A-Za-z0-9]"","""")&amp;""-""&amp;Regexreplace(to_text(F3525),""[^A-Za-z0-9]"",""""))"),"-")</f>
        <v>-</v>
      </c>
    </row>
    <row r="3526" ht="30.0" customHeight="1">
      <c r="A3526" s="237"/>
      <c r="B3526" s="425"/>
      <c r="C3526" s="257"/>
      <c r="D3526" s="173"/>
      <c r="E3526" s="174"/>
      <c r="F3526" s="173"/>
      <c r="G3526" s="425"/>
      <c r="H3526" s="425"/>
      <c r="I3526" s="258"/>
      <c r="J3526" s="259"/>
      <c r="K3526" s="260"/>
      <c r="L3526" s="442"/>
      <c r="M3526" s="426"/>
      <c r="N3526" s="173"/>
      <c r="O3526" s="173"/>
      <c r="P3526" s="262"/>
      <c r="Q3526" s="173"/>
      <c r="R3526" s="425"/>
      <c r="S3526" s="339"/>
      <c r="T3526" s="427"/>
      <c r="U3526" s="427"/>
      <c r="V3526" s="428"/>
      <c r="W3526" s="429"/>
      <c r="X3526" s="430"/>
      <c r="Y3526" s="33"/>
      <c r="Z3526" s="430"/>
      <c r="AA3526" s="430"/>
      <c r="AB3526" s="258"/>
      <c r="AC3526" s="430"/>
      <c r="AD3526" s="426"/>
      <c r="AE3526" s="428"/>
      <c r="AF3526" s="431"/>
      <c r="AG3526" s="432"/>
      <c r="AH3526" s="430"/>
      <c r="AI3526" s="430"/>
      <c r="AJ3526" s="430"/>
      <c r="AK3526" s="430"/>
      <c r="AL3526" s="430"/>
      <c r="AM3526" s="433"/>
      <c r="AN3526" s="430"/>
      <c r="AO3526" s="430"/>
      <c r="AP3526" s="430"/>
      <c r="AQ3526" s="430"/>
      <c r="AR3526" s="430"/>
      <c r="AS3526" s="430"/>
      <c r="AT3526" s="430"/>
      <c r="AU3526" s="426"/>
      <c r="AV3526" s="174"/>
      <c r="AW3526" s="269"/>
      <c r="AX3526" s="269"/>
      <c r="AY3526" s="270"/>
      <c r="AZ3526" s="435"/>
      <c r="BA3526" s="173"/>
      <c r="BB3526" s="434"/>
      <c r="BC3526" s="434"/>
      <c r="BD3526" s="308"/>
      <c r="BE3526" s="436"/>
      <c r="BF3526" s="274" t="str">
        <f>IFERROR(__xludf.DUMMYFUNCTION("LOWER(Regexreplace(to_text(E3526),""[^A-Za-z0-9]"","""")&amp;""_""&amp;Regexreplace(to_text(F3526),""[^A-Za-z0-9]"",""""))"),"_")</f>
        <v>_</v>
      </c>
      <c r="BG3526" s="275" t="str">
        <f>IFERROR(__xludf.DUMMYFUNCTION("upper(Regexreplace(to_text(E3526),""[^A-Za-z0-9]"","""")&amp;""-""&amp;Regexreplace(to_text(F3526),""[^A-Za-z0-9]"",""""))"),"-")</f>
        <v>-</v>
      </c>
    </row>
    <row r="3527" ht="30.0" customHeight="1">
      <c r="A3527" s="237"/>
      <c r="B3527" s="425"/>
      <c r="C3527" s="257"/>
      <c r="D3527" s="173"/>
      <c r="E3527" s="174"/>
      <c r="F3527" s="173"/>
      <c r="G3527" s="425"/>
      <c r="H3527" s="425"/>
      <c r="I3527" s="258"/>
      <c r="J3527" s="259"/>
      <c r="K3527" s="260"/>
      <c r="L3527" s="442"/>
      <c r="M3527" s="426"/>
      <c r="N3527" s="173"/>
      <c r="O3527" s="173"/>
      <c r="P3527" s="262"/>
      <c r="Q3527" s="173"/>
      <c r="R3527" s="425"/>
      <c r="S3527" s="339"/>
      <c r="T3527" s="427"/>
      <c r="U3527" s="427"/>
      <c r="V3527" s="428"/>
      <c r="W3527" s="429"/>
      <c r="X3527" s="430"/>
      <c r="Y3527" s="33"/>
      <c r="Z3527" s="430"/>
      <c r="AA3527" s="430"/>
      <c r="AB3527" s="258"/>
      <c r="AC3527" s="430"/>
      <c r="AD3527" s="426"/>
      <c r="AE3527" s="428"/>
      <c r="AF3527" s="431"/>
      <c r="AG3527" s="432"/>
      <c r="AH3527" s="430"/>
      <c r="AI3527" s="430"/>
      <c r="AJ3527" s="430"/>
      <c r="AK3527" s="430"/>
      <c r="AL3527" s="430"/>
      <c r="AM3527" s="433"/>
      <c r="AN3527" s="430"/>
      <c r="AO3527" s="430"/>
      <c r="AP3527" s="430"/>
      <c r="AQ3527" s="430"/>
      <c r="AR3527" s="430"/>
      <c r="AS3527" s="430"/>
      <c r="AT3527" s="430"/>
      <c r="AU3527" s="426"/>
      <c r="AV3527" s="174"/>
      <c r="AW3527" s="269"/>
      <c r="AX3527" s="269"/>
      <c r="AY3527" s="270"/>
      <c r="AZ3527" s="435"/>
      <c r="BA3527" s="173"/>
      <c r="BB3527" s="434"/>
      <c r="BC3527" s="434"/>
      <c r="BD3527" s="308"/>
      <c r="BE3527" s="436"/>
      <c r="BF3527" s="274" t="str">
        <f>IFERROR(__xludf.DUMMYFUNCTION("LOWER(Regexreplace(to_text(E3527),""[^A-Za-z0-9]"","""")&amp;""_""&amp;Regexreplace(to_text(F3527),""[^A-Za-z0-9]"",""""))"),"_")</f>
        <v>_</v>
      </c>
      <c r="BG3527" s="275" t="str">
        <f>IFERROR(__xludf.DUMMYFUNCTION("upper(Regexreplace(to_text(E3527),""[^A-Za-z0-9]"","""")&amp;""-""&amp;Regexreplace(to_text(F3527),""[^A-Za-z0-9]"",""""))"),"-")</f>
        <v>-</v>
      </c>
    </row>
    <row r="3528" ht="30.0" customHeight="1">
      <c r="A3528" s="237"/>
      <c r="B3528" s="425"/>
      <c r="C3528" s="257"/>
      <c r="D3528" s="173"/>
      <c r="E3528" s="174"/>
      <c r="F3528" s="173"/>
      <c r="G3528" s="425"/>
      <c r="H3528" s="425"/>
      <c r="I3528" s="258"/>
      <c r="J3528" s="259"/>
      <c r="K3528" s="260"/>
      <c r="L3528" s="442"/>
      <c r="M3528" s="426"/>
      <c r="N3528" s="173"/>
      <c r="O3528" s="173"/>
      <c r="P3528" s="262"/>
      <c r="Q3528" s="173"/>
      <c r="R3528" s="425"/>
      <c r="S3528" s="339"/>
      <c r="T3528" s="427"/>
      <c r="U3528" s="427"/>
      <c r="V3528" s="428"/>
      <c r="W3528" s="429"/>
      <c r="X3528" s="430"/>
      <c r="Y3528" s="33"/>
      <c r="Z3528" s="430"/>
      <c r="AA3528" s="430"/>
      <c r="AB3528" s="258"/>
      <c r="AC3528" s="430"/>
      <c r="AD3528" s="426"/>
      <c r="AE3528" s="428"/>
      <c r="AF3528" s="431"/>
      <c r="AG3528" s="432"/>
      <c r="AH3528" s="430"/>
      <c r="AI3528" s="430"/>
      <c r="AJ3528" s="430"/>
      <c r="AK3528" s="430"/>
      <c r="AL3528" s="430"/>
      <c r="AM3528" s="433"/>
      <c r="AN3528" s="430"/>
      <c r="AO3528" s="430"/>
      <c r="AP3528" s="430"/>
      <c r="AQ3528" s="430"/>
      <c r="AR3528" s="430"/>
      <c r="AS3528" s="430"/>
      <c r="AT3528" s="430"/>
      <c r="AU3528" s="426"/>
      <c r="AV3528" s="174"/>
      <c r="AW3528" s="269"/>
      <c r="AX3528" s="269"/>
      <c r="AY3528" s="270"/>
      <c r="AZ3528" s="435"/>
      <c r="BA3528" s="173"/>
      <c r="BB3528" s="434"/>
      <c r="BC3528" s="434"/>
      <c r="BD3528" s="308"/>
      <c r="BE3528" s="436"/>
      <c r="BF3528" s="274" t="str">
        <f>IFERROR(__xludf.DUMMYFUNCTION("LOWER(Regexreplace(to_text(E3528),""[^A-Za-z0-9]"","""")&amp;""_""&amp;Regexreplace(to_text(F3528),""[^A-Za-z0-9]"",""""))"),"_")</f>
        <v>_</v>
      </c>
      <c r="BG3528" s="275" t="str">
        <f>IFERROR(__xludf.DUMMYFUNCTION("upper(Regexreplace(to_text(E3528),""[^A-Za-z0-9]"","""")&amp;""-""&amp;Regexreplace(to_text(F3528),""[^A-Za-z0-9]"",""""))"),"-")</f>
        <v>-</v>
      </c>
    </row>
    <row r="3529" ht="30.0" customHeight="1">
      <c r="A3529" s="237"/>
      <c r="B3529" s="425"/>
      <c r="C3529" s="257"/>
      <c r="D3529" s="173"/>
      <c r="E3529" s="174"/>
      <c r="F3529" s="173"/>
      <c r="G3529" s="425"/>
      <c r="H3529" s="425"/>
      <c r="I3529" s="258"/>
      <c r="J3529" s="259"/>
      <c r="K3529" s="260"/>
      <c r="L3529" s="442"/>
      <c r="M3529" s="426"/>
      <c r="N3529" s="173"/>
      <c r="O3529" s="173"/>
      <c r="P3529" s="262"/>
      <c r="Q3529" s="173"/>
      <c r="R3529" s="425"/>
      <c r="S3529" s="339"/>
      <c r="T3529" s="427"/>
      <c r="U3529" s="427"/>
      <c r="V3529" s="428"/>
      <c r="W3529" s="429"/>
      <c r="X3529" s="430"/>
      <c r="Y3529" s="33"/>
      <c r="Z3529" s="430"/>
      <c r="AA3529" s="430"/>
      <c r="AB3529" s="258"/>
      <c r="AC3529" s="430"/>
      <c r="AD3529" s="426"/>
      <c r="AE3529" s="428"/>
      <c r="AF3529" s="431"/>
      <c r="AG3529" s="432"/>
      <c r="AH3529" s="430"/>
      <c r="AI3529" s="430"/>
      <c r="AJ3529" s="430"/>
      <c r="AK3529" s="430"/>
      <c r="AL3529" s="430"/>
      <c r="AM3529" s="433"/>
      <c r="AN3529" s="430"/>
      <c r="AO3529" s="430"/>
      <c r="AP3529" s="430"/>
      <c r="AQ3529" s="430"/>
      <c r="AR3529" s="430"/>
      <c r="AS3529" s="430"/>
      <c r="AT3529" s="430"/>
      <c r="AU3529" s="426"/>
      <c r="AV3529" s="174"/>
      <c r="AW3529" s="269"/>
      <c r="AX3529" s="269"/>
      <c r="AY3529" s="270"/>
      <c r="AZ3529" s="435"/>
      <c r="BA3529" s="173"/>
      <c r="BB3529" s="434"/>
      <c r="BC3529" s="434"/>
      <c r="BD3529" s="308"/>
      <c r="BE3529" s="436"/>
      <c r="BF3529" s="274" t="str">
        <f>IFERROR(__xludf.DUMMYFUNCTION("LOWER(Regexreplace(to_text(E3529),""[^A-Za-z0-9]"","""")&amp;""_""&amp;Regexreplace(to_text(F3529),""[^A-Za-z0-9]"",""""))"),"_")</f>
        <v>_</v>
      </c>
      <c r="BG3529" s="275" t="str">
        <f>IFERROR(__xludf.DUMMYFUNCTION("upper(Regexreplace(to_text(E3529),""[^A-Za-z0-9]"","""")&amp;""-""&amp;Regexreplace(to_text(F3529),""[^A-Za-z0-9]"",""""))"),"-")</f>
        <v>-</v>
      </c>
    </row>
    <row r="3530" ht="30.0" customHeight="1">
      <c r="A3530" s="237"/>
      <c r="B3530" s="425"/>
      <c r="C3530" s="257"/>
      <c r="D3530" s="173"/>
      <c r="E3530" s="174"/>
      <c r="F3530" s="173"/>
      <c r="G3530" s="425"/>
      <c r="H3530" s="425"/>
      <c r="I3530" s="258"/>
      <c r="J3530" s="259"/>
      <c r="K3530" s="260"/>
      <c r="L3530" s="442"/>
      <c r="M3530" s="426"/>
      <c r="N3530" s="173"/>
      <c r="O3530" s="173"/>
      <c r="P3530" s="262"/>
      <c r="Q3530" s="173"/>
      <c r="R3530" s="425"/>
      <c r="S3530" s="339"/>
      <c r="T3530" s="427"/>
      <c r="U3530" s="427"/>
      <c r="V3530" s="428"/>
      <c r="W3530" s="429"/>
      <c r="X3530" s="430"/>
      <c r="Y3530" s="33"/>
      <c r="Z3530" s="430"/>
      <c r="AA3530" s="430"/>
      <c r="AB3530" s="258"/>
      <c r="AC3530" s="430"/>
      <c r="AD3530" s="426"/>
      <c r="AE3530" s="428"/>
      <c r="AF3530" s="431"/>
      <c r="AG3530" s="432"/>
      <c r="AH3530" s="430"/>
      <c r="AI3530" s="430"/>
      <c r="AJ3530" s="430"/>
      <c r="AK3530" s="430"/>
      <c r="AL3530" s="430"/>
      <c r="AM3530" s="433"/>
      <c r="AN3530" s="430"/>
      <c r="AO3530" s="430"/>
      <c r="AP3530" s="430"/>
      <c r="AQ3530" s="430"/>
      <c r="AR3530" s="430"/>
      <c r="AS3530" s="430"/>
      <c r="AT3530" s="430"/>
      <c r="AU3530" s="426"/>
      <c r="AV3530" s="174"/>
      <c r="AW3530" s="269"/>
      <c r="AX3530" s="269"/>
      <c r="AY3530" s="270"/>
      <c r="AZ3530" s="435"/>
      <c r="BA3530" s="173"/>
      <c r="BB3530" s="434"/>
      <c r="BC3530" s="434"/>
      <c r="BD3530" s="308"/>
      <c r="BE3530" s="436"/>
      <c r="BF3530" s="274" t="str">
        <f>IFERROR(__xludf.DUMMYFUNCTION("LOWER(Regexreplace(to_text(E3530),""[^A-Za-z0-9]"","""")&amp;""_""&amp;Regexreplace(to_text(F3530),""[^A-Za-z0-9]"",""""))"),"_")</f>
        <v>_</v>
      </c>
      <c r="BG3530" s="275" t="str">
        <f>IFERROR(__xludf.DUMMYFUNCTION("upper(Regexreplace(to_text(E3530),""[^A-Za-z0-9]"","""")&amp;""-""&amp;Regexreplace(to_text(F3530),""[^A-Za-z0-9]"",""""))"),"-")</f>
        <v>-</v>
      </c>
    </row>
    <row r="3531" ht="30.0" customHeight="1">
      <c r="A3531" s="237"/>
      <c r="B3531" s="425"/>
      <c r="C3531" s="257"/>
      <c r="D3531" s="173"/>
      <c r="E3531" s="174"/>
      <c r="F3531" s="173"/>
      <c r="G3531" s="425"/>
      <c r="H3531" s="425"/>
      <c r="I3531" s="258"/>
      <c r="J3531" s="259"/>
      <c r="K3531" s="260"/>
      <c r="L3531" s="442"/>
      <c r="M3531" s="426"/>
      <c r="N3531" s="173"/>
      <c r="O3531" s="173"/>
      <c r="P3531" s="262"/>
      <c r="Q3531" s="173"/>
      <c r="R3531" s="425"/>
      <c r="S3531" s="339"/>
      <c r="T3531" s="427"/>
      <c r="U3531" s="427"/>
      <c r="V3531" s="428"/>
      <c r="W3531" s="429"/>
      <c r="X3531" s="430"/>
      <c r="Y3531" s="33"/>
      <c r="Z3531" s="430"/>
      <c r="AA3531" s="430"/>
      <c r="AB3531" s="258"/>
      <c r="AC3531" s="430"/>
      <c r="AD3531" s="426"/>
      <c r="AE3531" s="428"/>
      <c r="AF3531" s="431"/>
      <c r="AG3531" s="432"/>
      <c r="AH3531" s="430"/>
      <c r="AI3531" s="430"/>
      <c r="AJ3531" s="430"/>
      <c r="AK3531" s="430"/>
      <c r="AL3531" s="430"/>
      <c r="AM3531" s="433"/>
      <c r="AN3531" s="430"/>
      <c r="AO3531" s="430"/>
      <c r="AP3531" s="430"/>
      <c r="AQ3531" s="430"/>
      <c r="AR3531" s="430"/>
      <c r="AS3531" s="430"/>
      <c r="AT3531" s="430"/>
      <c r="AU3531" s="426"/>
      <c r="AV3531" s="174"/>
      <c r="AW3531" s="269"/>
      <c r="AX3531" s="269"/>
      <c r="AY3531" s="270"/>
      <c r="AZ3531" s="435"/>
      <c r="BA3531" s="173"/>
      <c r="BB3531" s="434"/>
      <c r="BC3531" s="434"/>
      <c r="BD3531" s="308"/>
      <c r="BE3531" s="436"/>
      <c r="BF3531" s="274" t="str">
        <f>IFERROR(__xludf.DUMMYFUNCTION("LOWER(Regexreplace(to_text(E3531),""[^A-Za-z0-9]"","""")&amp;""_""&amp;Regexreplace(to_text(F3531),""[^A-Za-z0-9]"",""""))"),"_")</f>
        <v>_</v>
      </c>
      <c r="BG3531" s="275" t="str">
        <f>IFERROR(__xludf.DUMMYFUNCTION("upper(Regexreplace(to_text(E3531),""[^A-Za-z0-9]"","""")&amp;""-""&amp;Regexreplace(to_text(F3531),""[^A-Za-z0-9]"",""""))"),"-")</f>
        <v>-</v>
      </c>
    </row>
    <row r="3532" ht="30.0" customHeight="1">
      <c r="A3532" s="237"/>
      <c r="B3532" s="425"/>
      <c r="C3532" s="257"/>
      <c r="D3532" s="173"/>
      <c r="E3532" s="174"/>
      <c r="F3532" s="173"/>
      <c r="G3532" s="425"/>
      <c r="H3532" s="425"/>
      <c r="I3532" s="258"/>
      <c r="J3532" s="259"/>
      <c r="K3532" s="260"/>
      <c r="L3532" s="442"/>
      <c r="M3532" s="426"/>
      <c r="N3532" s="173"/>
      <c r="O3532" s="173"/>
      <c r="P3532" s="262"/>
      <c r="Q3532" s="173"/>
      <c r="R3532" s="425"/>
      <c r="S3532" s="339"/>
      <c r="T3532" s="427"/>
      <c r="U3532" s="427"/>
      <c r="V3532" s="428"/>
      <c r="W3532" s="429"/>
      <c r="X3532" s="430"/>
      <c r="Y3532" s="33"/>
      <c r="Z3532" s="430"/>
      <c r="AA3532" s="430"/>
      <c r="AB3532" s="258"/>
      <c r="AC3532" s="430"/>
      <c r="AD3532" s="426"/>
      <c r="AE3532" s="428"/>
      <c r="AF3532" s="431"/>
      <c r="AG3532" s="432"/>
      <c r="AH3532" s="430"/>
      <c r="AI3532" s="430"/>
      <c r="AJ3532" s="430"/>
      <c r="AK3532" s="430"/>
      <c r="AL3532" s="430"/>
      <c r="AM3532" s="433"/>
      <c r="AN3532" s="430"/>
      <c r="AO3532" s="430"/>
      <c r="AP3532" s="430"/>
      <c r="AQ3532" s="430"/>
      <c r="AR3532" s="430"/>
      <c r="AS3532" s="430"/>
      <c r="AT3532" s="430"/>
      <c r="AU3532" s="426"/>
      <c r="AV3532" s="174"/>
      <c r="AW3532" s="269"/>
      <c r="AX3532" s="269"/>
      <c r="AY3532" s="270"/>
      <c r="AZ3532" s="435"/>
      <c r="BA3532" s="173"/>
      <c r="BB3532" s="434"/>
      <c r="BC3532" s="434"/>
      <c r="BD3532" s="308"/>
      <c r="BE3532" s="436"/>
      <c r="BF3532" s="274" t="str">
        <f>IFERROR(__xludf.DUMMYFUNCTION("LOWER(Regexreplace(to_text(E3532),""[^A-Za-z0-9]"","""")&amp;""_""&amp;Regexreplace(to_text(F3532),""[^A-Za-z0-9]"",""""))"),"_")</f>
        <v>_</v>
      </c>
      <c r="BG3532" s="275" t="str">
        <f>IFERROR(__xludf.DUMMYFUNCTION("upper(Regexreplace(to_text(E3532),""[^A-Za-z0-9]"","""")&amp;""-""&amp;Regexreplace(to_text(F3532),""[^A-Za-z0-9]"",""""))"),"-")</f>
        <v>-</v>
      </c>
    </row>
    <row r="3533" ht="30.0" customHeight="1">
      <c r="A3533" s="237"/>
      <c r="B3533" s="425"/>
      <c r="C3533" s="257"/>
      <c r="D3533" s="173"/>
      <c r="E3533" s="174"/>
      <c r="F3533" s="173"/>
      <c r="G3533" s="425"/>
      <c r="H3533" s="425"/>
      <c r="I3533" s="258"/>
      <c r="J3533" s="259"/>
      <c r="K3533" s="260"/>
      <c r="L3533" s="442"/>
      <c r="M3533" s="426"/>
      <c r="N3533" s="173"/>
      <c r="O3533" s="173"/>
      <c r="P3533" s="262"/>
      <c r="Q3533" s="173"/>
      <c r="R3533" s="425"/>
      <c r="S3533" s="339"/>
      <c r="T3533" s="427"/>
      <c r="U3533" s="427"/>
      <c r="V3533" s="428"/>
      <c r="W3533" s="429"/>
      <c r="X3533" s="430"/>
      <c r="Y3533" s="33"/>
      <c r="Z3533" s="430"/>
      <c r="AA3533" s="430"/>
      <c r="AB3533" s="258"/>
      <c r="AC3533" s="430"/>
      <c r="AD3533" s="426"/>
      <c r="AE3533" s="428"/>
      <c r="AF3533" s="431"/>
      <c r="AG3533" s="432"/>
      <c r="AH3533" s="430"/>
      <c r="AI3533" s="430"/>
      <c r="AJ3533" s="430"/>
      <c r="AK3533" s="430"/>
      <c r="AL3533" s="430"/>
      <c r="AM3533" s="433"/>
      <c r="AN3533" s="430"/>
      <c r="AO3533" s="430"/>
      <c r="AP3533" s="430"/>
      <c r="AQ3533" s="430"/>
      <c r="AR3533" s="430"/>
      <c r="AS3533" s="430"/>
      <c r="AT3533" s="430"/>
      <c r="AU3533" s="426"/>
      <c r="AV3533" s="174"/>
      <c r="AW3533" s="269"/>
      <c r="AX3533" s="269"/>
      <c r="AY3533" s="270"/>
      <c r="AZ3533" s="435"/>
      <c r="BA3533" s="173"/>
      <c r="BB3533" s="434"/>
      <c r="BC3533" s="434"/>
      <c r="BD3533" s="308"/>
      <c r="BE3533" s="436"/>
      <c r="BF3533" s="274" t="str">
        <f>IFERROR(__xludf.DUMMYFUNCTION("LOWER(Regexreplace(to_text(E3533),""[^A-Za-z0-9]"","""")&amp;""_""&amp;Regexreplace(to_text(F3533),""[^A-Za-z0-9]"",""""))"),"_")</f>
        <v>_</v>
      </c>
      <c r="BG3533" s="275" t="str">
        <f>IFERROR(__xludf.DUMMYFUNCTION("upper(Regexreplace(to_text(E3533),""[^A-Za-z0-9]"","""")&amp;""-""&amp;Regexreplace(to_text(F3533),""[^A-Za-z0-9]"",""""))"),"-")</f>
        <v>-</v>
      </c>
    </row>
    <row r="3534" ht="30.0" customHeight="1">
      <c r="A3534" s="237"/>
      <c r="B3534" s="425"/>
      <c r="C3534" s="257"/>
      <c r="D3534" s="173"/>
      <c r="E3534" s="174"/>
      <c r="F3534" s="173"/>
      <c r="G3534" s="425"/>
      <c r="H3534" s="425"/>
      <c r="I3534" s="258"/>
      <c r="J3534" s="259"/>
      <c r="K3534" s="260"/>
      <c r="L3534" s="442"/>
      <c r="M3534" s="426"/>
      <c r="N3534" s="173"/>
      <c r="O3534" s="173"/>
      <c r="P3534" s="262"/>
      <c r="Q3534" s="173"/>
      <c r="R3534" s="425"/>
      <c r="S3534" s="339"/>
      <c r="T3534" s="427"/>
      <c r="U3534" s="427"/>
      <c r="V3534" s="428"/>
      <c r="W3534" s="429"/>
      <c r="X3534" s="430"/>
      <c r="Y3534" s="33"/>
      <c r="Z3534" s="430"/>
      <c r="AA3534" s="430"/>
      <c r="AB3534" s="258"/>
      <c r="AC3534" s="430"/>
      <c r="AD3534" s="426"/>
      <c r="AE3534" s="428"/>
      <c r="AF3534" s="431"/>
      <c r="AG3534" s="432"/>
      <c r="AH3534" s="430"/>
      <c r="AI3534" s="430"/>
      <c r="AJ3534" s="430"/>
      <c r="AK3534" s="430"/>
      <c r="AL3534" s="430"/>
      <c r="AM3534" s="433"/>
      <c r="AN3534" s="430"/>
      <c r="AO3534" s="430"/>
      <c r="AP3534" s="430"/>
      <c r="AQ3534" s="430"/>
      <c r="AR3534" s="430"/>
      <c r="AS3534" s="430"/>
      <c r="AT3534" s="430"/>
      <c r="AU3534" s="426"/>
      <c r="AV3534" s="174"/>
      <c r="AW3534" s="269"/>
      <c r="AX3534" s="269"/>
      <c r="AY3534" s="270"/>
      <c r="AZ3534" s="435"/>
      <c r="BA3534" s="173"/>
      <c r="BB3534" s="434"/>
      <c r="BC3534" s="434"/>
      <c r="BD3534" s="308"/>
      <c r="BE3534" s="436"/>
      <c r="BF3534" s="274" t="str">
        <f>IFERROR(__xludf.DUMMYFUNCTION("LOWER(Regexreplace(to_text(E3534),""[^A-Za-z0-9]"","""")&amp;""_""&amp;Regexreplace(to_text(F3534),""[^A-Za-z0-9]"",""""))"),"_")</f>
        <v>_</v>
      </c>
      <c r="BG3534" s="275" t="str">
        <f>IFERROR(__xludf.DUMMYFUNCTION("upper(Regexreplace(to_text(E3534),""[^A-Za-z0-9]"","""")&amp;""-""&amp;Regexreplace(to_text(F3534),""[^A-Za-z0-9]"",""""))"),"-")</f>
        <v>-</v>
      </c>
    </row>
    <row r="3535" ht="30.0" customHeight="1">
      <c r="A3535" s="237"/>
      <c r="B3535" s="425"/>
      <c r="C3535" s="257"/>
      <c r="D3535" s="173"/>
      <c r="E3535" s="174"/>
      <c r="F3535" s="173"/>
      <c r="G3535" s="425"/>
      <c r="H3535" s="425"/>
      <c r="I3535" s="258"/>
      <c r="J3535" s="259"/>
      <c r="K3535" s="260"/>
      <c r="L3535" s="442"/>
      <c r="M3535" s="426"/>
      <c r="N3535" s="173"/>
      <c r="O3535" s="173"/>
      <c r="P3535" s="262"/>
      <c r="Q3535" s="173"/>
      <c r="R3535" s="425"/>
      <c r="S3535" s="339"/>
      <c r="T3535" s="427"/>
      <c r="U3535" s="427"/>
      <c r="V3535" s="428"/>
      <c r="W3535" s="429"/>
      <c r="X3535" s="430"/>
      <c r="Y3535" s="33"/>
      <c r="Z3535" s="430"/>
      <c r="AA3535" s="430"/>
      <c r="AB3535" s="258"/>
      <c r="AC3535" s="430"/>
      <c r="AD3535" s="426"/>
      <c r="AE3535" s="428"/>
      <c r="AF3535" s="431"/>
      <c r="AG3535" s="432"/>
      <c r="AH3535" s="430"/>
      <c r="AI3535" s="430"/>
      <c r="AJ3535" s="430"/>
      <c r="AK3535" s="430"/>
      <c r="AL3535" s="430"/>
      <c r="AM3535" s="433"/>
      <c r="AN3535" s="430"/>
      <c r="AO3535" s="430"/>
      <c r="AP3535" s="430"/>
      <c r="AQ3535" s="430"/>
      <c r="AR3535" s="430"/>
      <c r="AS3535" s="430"/>
      <c r="AT3535" s="430"/>
      <c r="AU3535" s="426"/>
      <c r="AV3535" s="174"/>
      <c r="AW3535" s="269"/>
      <c r="AX3535" s="269"/>
      <c r="AY3535" s="270"/>
      <c r="AZ3535" s="435"/>
      <c r="BA3535" s="173"/>
      <c r="BB3535" s="434"/>
      <c r="BC3535" s="434"/>
      <c r="BD3535" s="308"/>
      <c r="BE3535" s="436"/>
      <c r="BF3535" s="274" t="str">
        <f>IFERROR(__xludf.DUMMYFUNCTION("LOWER(Regexreplace(to_text(E3535),""[^A-Za-z0-9]"","""")&amp;""_""&amp;Regexreplace(to_text(F3535),""[^A-Za-z0-9]"",""""))"),"_")</f>
        <v>_</v>
      </c>
      <c r="BG3535" s="275" t="str">
        <f>IFERROR(__xludf.DUMMYFUNCTION("upper(Regexreplace(to_text(E3535),""[^A-Za-z0-9]"","""")&amp;""-""&amp;Regexreplace(to_text(F3535),""[^A-Za-z0-9]"",""""))"),"-")</f>
        <v>-</v>
      </c>
    </row>
    <row r="3536" ht="30.0" customHeight="1">
      <c r="A3536" s="237"/>
      <c r="B3536" s="425"/>
      <c r="C3536" s="257"/>
      <c r="D3536" s="173"/>
      <c r="E3536" s="174"/>
      <c r="F3536" s="173"/>
      <c r="G3536" s="425"/>
      <c r="H3536" s="425"/>
      <c r="I3536" s="258"/>
      <c r="J3536" s="259"/>
      <c r="K3536" s="260"/>
      <c r="L3536" s="442"/>
      <c r="M3536" s="426"/>
      <c r="N3536" s="173"/>
      <c r="O3536" s="173"/>
      <c r="P3536" s="262"/>
      <c r="Q3536" s="173"/>
      <c r="R3536" s="425"/>
      <c r="S3536" s="339"/>
      <c r="T3536" s="427"/>
      <c r="U3536" s="427"/>
      <c r="V3536" s="428"/>
      <c r="W3536" s="429"/>
      <c r="X3536" s="430"/>
      <c r="Y3536" s="33"/>
      <c r="Z3536" s="430"/>
      <c r="AA3536" s="430"/>
      <c r="AB3536" s="258"/>
      <c r="AC3536" s="430"/>
      <c r="AD3536" s="426"/>
      <c r="AE3536" s="428"/>
      <c r="AF3536" s="431"/>
      <c r="AG3536" s="432"/>
      <c r="AH3536" s="430"/>
      <c r="AI3536" s="430"/>
      <c r="AJ3536" s="430"/>
      <c r="AK3536" s="430"/>
      <c r="AL3536" s="430"/>
      <c r="AM3536" s="433"/>
      <c r="AN3536" s="430"/>
      <c r="AO3536" s="430"/>
      <c r="AP3536" s="430"/>
      <c r="AQ3536" s="430"/>
      <c r="AR3536" s="430"/>
      <c r="AS3536" s="430"/>
      <c r="AT3536" s="430"/>
      <c r="AU3536" s="426"/>
      <c r="AV3536" s="174"/>
      <c r="AW3536" s="269"/>
      <c r="AX3536" s="269"/>
      <c r="AY3536" s="270"/>
      <c r="AZ3536" s="435"/>
      <c r="BA3536" s="173"/>
      <c r="BB3536" s="434"/>
      <c r="BC3536" s="434"/>
      <c r="BD3536" s="308"/>
      <c r="BE3536" s="436"/>
      <c r="BF3536" s="274" t="str">
        <f>IFERROR(__xludf.DUMMYFUNCTION("LOWER(Regexreplace(to_text(E3536),""[^A-Za-z0-9]"","""")&amp;""_""&amp;Regexreplace(to_text(F3536),""[^A-Za-z0-9]"",""""))"),"_")</f>
        <v>_</v>
      </c>
      <c r="BG3536" s="275" t="str">
        <f>IFERROR(__xludf.DUMMYFUNCTION("upper(Regexreplace(to_text(E3536),""[^A-Za-z0-9]"","""")&amp;""-""&amp;Regexreplace(to_text(F3536),""[^A-Za-z0-9]"",""""))"),"-")</f>
        <v>-</v>
      </c>
    </row>
    <row r="3537" ht="30.0" customHeight="1">
      <c r="A3537" s="237"/>
      <c r="B3537" s="425"/>
      <c r="C3537" s="257"/>
      <c r="D3537" s="173"/>
      <c r="E3537" s="174"/>
      <c r="F3537" s="173"/>
      <c r="G3537" s="425"/>
      <c r="H3537" s="425"/>
      <c r="I3537" s="258"/>
      <c r="J3537" s="259"/>
      <c r="K3537" s="260"/>
      <c r="L3537" s="442"/>
      <c r="M3537" s="426"/>
      <c r="N3537" s="173"/>
      <c r="O3537" s="173"/>
      <c r="P3537" s="262"/>
      <c r="Q3537" s="173"/>
      <c r="R3537" s="425"/>
      <c r="S3537" s="339"/>
      <c r="T3537" s="427"/>
      <c r="U3537" s="427"/>
      <c r="V3537" s="428"/>
      <c r="W3537" s="429"/>
      <c r="X3537" s="430"/>
      <c r="Y3537" s="33"/>
      <c r="Z3537" s="430"/>
      <c r="AA3537" s="430"/>
      <c r="AB3537" s="258"/>
      <c r="AC3537" s="430"/>
      <c r="AD3537" s="426"/>
      <c r="AE3537" s="428"/>
      <c r="AF3537" s="431"/>
      <c r="AG3537" s="432"/>
      <c r="AH3537" s="430"/>
      <c r="AI3537" s="430"/>
      <c r="AJ3537" s="430"/>
      <c r="AK3537" s="430"/>
      <c r="AL3537" s="430"/>
      <c r="AM3537" s="433"/>
      <c r="AN3537" s="430"/>
      <c r="AO3537" s="430"/>
      <c r="AP3537" s="430"/>
      <c r="AQ3537" s="430"/>
      <c r="AR3537" s="430"/>
      <c r="AS3537" s="430"/>
      <c r="AT3537" s="430"/>
      <c r="AU3537" s="426"/>
      <c r="AV3537" s="174"/>
      <c r="AW3537" s="269"/>
      <c r="AX3537" s="269"/>
      <c r="AY3537" s="270"/>
      <c r="AZ3537" s="435"/>
      <c r="BA3537" s="173"/>
      <c r="BB3537" s="434"/>
      <c r="BC3537" s="434"/>
      <c r="BD3537" s="308"/>
      <c r="BE3537" s="436"/>
      <c r="BF3537" s="274" t="str">
        <f>IFERROR(__xludf.DUMMYFUNCTION("LOWER(Regexreplace(to_text(E3537),""[^A-Za-z0-9]"","""")&amp;""_""&amp;Regexreplace(to_text(F3537),""[^A-Za-z0-9]"",""""))"),"_")</f>
        <v>_</v>
      </c>
      <c r="BG3537" s="275" t="str">
        <f>IFERROR(__xludf.DUMMYFUNCTION("upper(Regexreplace(to_text(E3537),""[^A-Za-z0-9]"","""")&amp;""-""&amp;Regexreplace(to_text(F3537),""[^A-Za-z0-9]"",""""))"),"-")</f>
        <v>-</v>
      </c>
    </row>
    <row r="3538" ht="30.0" customHeight="1">
      <c r="A3538" s="237"/>
      <c r="B3538" s="425"/>
      <c r="C3538" s="257"/>
      <c r="D3538" s="173"/>
      <c r="E3538" s="174"/>
      <c r="F3538" s="173"/>
      <c r="G3538" s="425"/>
      <c r="H3538" s="425"/>
      <c r="I3538" s="258"/>
      <c r="J3538" s="259"/>
      <c r="K3538" s="260"/>
      <c r="L3538" s="442"/>
      <c r="M3538" s="426"/>
      <c r="N3538" s="173"/>
      <c r="O3538" s="173"/>
      <c r="P3538" s="262"/>
      <c r="Q3538" s="173"/>
      <c r="R3538" s="425"/>
      <c r="S3538" s="339"/>
      <c r="T3538" s="427"/>
      <c r="U3538" s="427"/>
      <c r="V3538" s="428"/>
      <c r="W3538" s="429"/>
      <c r="X3538" s="430"/>
      <c r="Y3538" s="33"/>
      <c r="Z3538" s="430"/>
      <c r="AA3538" s="430"/>
      <c r="AB3538" s="258"/>
      <c r="AC3538" s="430"/>
      <c r="AD3538" s="426"/>
      <c r="AE3538" s="428"/>
      <c r="AF3538" s="431"/>
      <c r="AG3538" s="432"/>
      <c r="AH3538" s="430"/>
      <c r="AI3538" s="430"/>
      <c r="AJ3538" s="430"/>
      <c r="AK3538" s="430"/>
      <c r="AL3538" s="430"/>
      <c r="AM3538" s="433"/>
      <c r="AN3538" s="430"/>
      <c r="AO3538" s="430"/>
      <c r="AP3538" s="430"/>
      <c r="AQ3538" s="430"/>
      <c r="AR3538" s="430"/>
      <c r="AS3538" s="430"/>
      <c r="AT3538" s="430"/>
      <c r="AU3538" s="426"/>
      <c r="AV3538" s="174"/>
      <c r="AW3538" s="269"/>
      <c r="AX3538" s="269"/>
      <c r="AY3538" s="270"/>
      <c r="AZ3538" s="435"/>
      <c r="BA3538" s="173"/>
      <c r="BB3538" s="434"/>
      <c r="BC3538" s="434"/>
      <c r="BD3538" s="308"/>
      <c r="BE3538" s="436"/>
      <c r="BF3538" s="274" t="str">
        <f>IFERROR(__xludf.DUMMYFUNCTION("LOWER(Regexreplace(to_text(E3538),""[^A-Za-z0-9]"","""")&amp;""_""&amp;Regexreplace(to_text(F3538),""[^A-Za-z0-9]"",""""))"),"_")</f>
        <v>_</v>
      </c>
      <c r="BG3538" s="275" t="str">
        <f>IFERROR(__xludf.DUMMYFUNCTION("upper(Regexreplace(to_text(E3538),""[^A-Za-z0-9]"","""")&amp;""-""&amp;Regexreplace(to_text(F3538),""[^A-Za-z0-9]"",""""))"),"-")</f>
        <v>-</v>
      </c>
    </row>
    <row r="3539" ht="30.0" customHeight="1">
      <c r="A3539" s="237"/>
      <c r="B3539" s="425"/>
      <c r="C3539" s="257"/>
      <c r="D3539" s="173"/>
      <c r="E3539" s="174"/>
      <c r="F3539" s="173"/>
      <c r="G3539" s="425"/>
      <c r="H3539" s="425"/>
      <c r="I3539" s="258"/>
      <c r="J3539" s="259"/>
      <c r="K3539" s="260"/>
      <c r="L3539" s="442"/>
      <c r="M3539" s="426"/>
      <c r="N3539" s="173"/>
      <c r="O3539" s="173"/>
      <c r="P3539" s="262"/>
      <c r="Q3539" s="173"/>
      <c r="R3539" s="425"/>
      <c r="S3539" s="339"/>
      <c r="T3539" s="427"/>
      <c r="U3539" s="427"/>
      <c r="V3539" s="428"/>
      <c r="W3539" s="429"/>
      <c r="X3539" s="430"/>
      <c r="Y3539" s="33"/>
      <c r="Z3539" s="430"/>
      <c r="AA3539" s="430"/>
      <c r="AB3539" s="258"/>
      <c r="AC3539" s="430"/>
      <c r="AD3539" s="426"/>
      <c r="AE3539" s="428"/>
      <c r="AF3539" s="431"/>
      <c r="AG3539" s="432"/>
      <c r="AH3539" s="430"/>
      <c r="AI3539" s="430"/>
      <c r="AJ3539" s="430"/>
      <c r="AK3539" s="430"/>
      <c r="AL3539" s="430"/>
      <c r="AM3539" s="433"/>
      <c r="AN3539" s="430"/>
      <c r="AO3539" s="430"/>
      <c r="AP3539" s="430"/>
      <c r="AQ3539" s="430"/>
      <c r="AR3539" s="430"/>
      <c r="AS3539" s="430"/>
      <c r="AT3539" s="430"/>
      <c r="AU3539" s="426"/>
      <c r="AV3539" s="174"/>
      <c r="AW3539" s="269"/>
      <c r="AX3539" s="269"/>
      <c r="AY3539" s="270"/>
      <c r="AZ3539" s="435"/>
      <c r="BA3539" s="173"/>
      <c r="BB3539" s="434"/>
      <c r="BC3539" s="434"/>
      <c r="BD3539" s="308"/>
      <c r="BE3539" s="436"/>
      <c r="BF3539" s="274" t="str">
        <f>IFERROR(__xludf.DUMMYFUNCTION("LOWER(Regexreplace(to_text(E3539),""[^A-Za-z0-9]"","""")&amp;""_""&amp;Regexreplace(to_text(F3539),""[^A-Za-z0-9]"",""""))"),"_")</f>
        <v>_</v>
      </c>
      <c r="BG3539" s="275" t="str">
        <f>IFERROR(__xludf.DUMMYFUNCTION("upper(Regexreplace(to_text(E3539),""[^A-Za-z0-9]"","""")&amp;""-""&amp;Regexreplace(to_text(F3539),""[^A-Za-z0-9]"",""""))"),"-")</f>
        <v>-</v>
      </c>
    </row>
    <row r="3540" ht="30.0" customHeight="1">
      <c r="A3540" s="237"/>
      <c r="B3540" s="425"/>
      <c r="C3540" s="257"/>
      <c r="D3540" s="173"/>
      <c r="E3540" s="174"/>
      <c r="F3540" s="173"/>
      <c r="G3540" s="425"/>
      <c r="H3540" s="425"/>
      <c r="I3540" s="258"/>
      <c r="J3540" s="259"/>
      <c r="K3540" s="260"/>
      <c r="L3540" s="442"/>
      <c r="M3540" s="426"/>
      <c r="N3540" s="173"/>
      <c r="O3540" s="173"/>
      <c r="P3540" s="262"/>
      <c r="Q3540" s="173"/>
      <c r="R3540" s="425"/>
      <c r="S3540" s="339"/>
      <c r="T3540" s="427"/>
      <c r="U3540" s="427"/>
      <c r="V3540" s="428"/>
      <c r="W3540" s="429"/>
      <c r="X3540" s="430"/>
      <c r="Y3540" s="33"/>
      <c r="Z3540" s="430"/>
      <c r="AA3540" s="430"/>
      <c r="AB3540" s="258"/>
      <c r="AC3540" s="430"/>
      <c r="AD3540" s="426"/>
      <c r="AE3540" s="428"/>
      <c r="AF3540" s="431"/>
      <c r="AG3540" s="432"/>
      <c r="AH3540" s="430"/>
      <c r="AI3540" s="430"/>
      <c r="AJ3540" s="430"/>
      <c r="AK3540" s="430"/>
      <c r="AL3540" s="430"/>
      <c r="AM3540" s="433"/>
      <c r="AN3540" s="430"/>
      <c r="AO3540" s="430"/>
      <c r="AP3540" s="430"/>
      <c r="AQ3540" s="430"/>
      <c r="AR3540" s="430"/>
      <c r="AS3540" s="430"/>
      <c r="AT3540" s="430"/>
      <c r="AU3540" s="426"/>
      <c r="AV3540" s="174"/>
      <c r="AW3540" s="269"/>
      <c r="AX3540" s="269"/>
      <c r="AY3540" s="270"/>
      <c r="AZ3540" s="435"/>
      <c r="BA3540" s="173"/>
      <c r="BB3540" s="434"/>
      <c r="BC3540" s="434"/>
      <c r="BD3540" s="308"/>
      <c r="BE3540" s="436"/>
      <c r="BF3540" s="274" t="str">
        <f>IFERROR(__xludf.DUMMYFUNCTION("LOWER(Regexreplace(to_text(E3540),""[^A-Za-z0-9]"","""")&amp;""_""&amp;Regexreplace(to_text(F3540),""[^A-Za-z0-9]"",""""))"),"_")</f>
        <v>_</v>
      </c>
      <c r="BG3540" s="275" t="str">
        <f>IFERROR(__xludf.DUMMYFUNCTION("upper(Regexreplace(to_text(E3540),""[^A-Za-z0-9]"","""")&amp;""-""&amp;Regexreplace(to_text(F3540),""[^A-Za-z0-9]"",""""))"),"-")</f>
        <v>-</v>
      </c>
    </row>
    <row r="3541" ht="30.0" customHeight="1">
      <c r="A3541" s="237"/>
      <c r="B3541" s="425"/>
      <c r="C3541" s="257"/>
      <c r="D3541" s="173"/>
      <c r="E3541" s="174"/>
      <c r="F3541" s="173"/>
      <c r="G3541" s="425"/>
      <c r="H3541" s="425"/>
      <c r="I3541" s="258"/>
      <c r="J3541" s="259"/>
      <c r="K3541" s="260"/>
      <c r="L3541" s="442"/>
      <c r="M3541" s="426"/>
      <c r="N3541" s="173"/>
      <c r="O3541" s="173"/>
      <c r="P3541" s="262"/>
      <c r="Q3541" s="173"/>
      <c r="R3541" s="425"/>
      <c r="S3541" s="339"/>
      <c r="T3541" s="427"/>
      <c r="U3541" s="427"/>
      <c r="V3541" s="428"/>
      <c r="W3541" s="429"/>
      <c r="X3541" s="430"/>
      <c r="Y3541" s="33"/>
      <c r="Z3541" s="430"/>
      <c r="AA3541" s="430"/>
      <c r="AB3541" s="258"/>
      <c r="AC3541" s="430"/>
      <c r="AD3541" s="426"/>
      <c r="AE3541" s="428"/>
      <c r="AF3541" s="431"/>
      <c r="AG3541" s="432"/>
      <c r="AH3541" s="430"/>
      <c r="AI3541" s="430"/>
      <c r="AJ3541" s="430"/>
      <c r="AK3541" s="430"/>
      <c r="AL3541" s="430"/>
      <c r="AM3541" s="433"/>
      <c r="AN3541" s="430"/>
      <c r="AO3541" s="430"/>
      <c r="AP3541" s="430"/>
      <c r="AQ3541" s="430"/>
      <c r="AR3541" s="430"/>
      <c r="AS3541" s="430"/>
      <c r="AT3541" s="430"/>
      <c r="AU3541" s="426"/>
      <c r="AV3541" s="174"/>
      <c r="AW3541" s="269"/>
      <c r="AX3541" s="269"/>
      <c r="AY3541" s="270"/>
      <c r="AZ3541" s="435"/>
      <c r="BA3541" s="173"/>
      <c r="BB3541" s="434"/>
      <c r="BC3541" s="434"/>
      <c r="BD3541" s="308"/>
      <c r="BE3541" s="436"/>
      <c r="BF3541" s="274" t="str">
        <f>IFERROR(__xludf.DUMMYFUNCTION("LOWER(Regexreplace(to_text(E3541),""[^A-Za-z0-9]"","""")&amp;""_""&amp;Regexreplace(to_text(F3541),""[^A-Za-z0-9]"",""""))"),"_")</f>
        <v>_</v>
      </c>
      <c r="BG3541" s="275" t="str">
        <f>IFERROR(__xludf.DUMMYFUNCTION("upper(Regexreplace(to_text(E3541),""[^A-Za-z0-9]"","""")&amp;""-""&amp;Regexreplace(to_text(F3541),""[^A-Za-z0-9]"",""""))"),"-")</f>
        <v>-</v>
      </c>
    </row>
    <row r="3542" ht="30.0" customHeight="1">
      <c r="A3542" s="237"/>
      <c r="B3542" s="425"/>
      <c r="C3542" s="257"/>
      <c r="D3542" s="173"/>
      <c r="E3542" s="174"/>
      <c r="F3542" s="173"/>
      <c r="G3542" s="425"/>
      <c r="H3542" s="425"/>
      <c r="I3542" s="258"/>
      <c r="J3542" s="259"/>
      <c r="K3542" s="260"/>
      <c r="L3542" s="442"/>
      <c r="M3542" s="426"/>
      <c r="N3542" s="173"/>
      <c r="O3542" s="173"/>
      <c r="P3542" s="262"/>
      <c r="Q3542" s="173"/>
      <c r="R3542" s="425"/>
      <c r="S3542" s="339"/>
      <c r="T3542" s="427"/>
      <c r="U3542" s="427"/>
      <c r="V3542" s="428"/>
      <c r="W3542" s="429"/>
      <c r="X3542" s="430"/>
      <c r="Y3542" s="33"/>
      <c r="Z3542" s="430"/>
      <c r="AA3542" s="430"/>
      <c r="AB3542" s="258"/>
      <c r="AC3542" s="430"/>
      <c r="AD3542" s="426"/>
      <c r="AE3542" s="428"/>
      <c r="AF3542" s="431"/>
      <c r="AG3542" s="432"/>
      <c r="AH3542" s="430"/>
      <c r="AI3542" s="430"/>
      <c r="AJ3542" s="430"/>
      <c r="AK3542" s="430"/>
      <c r="AL3542" s="430"/>
      <c r="AM3542" s="433"/>
      <c r="AN3542" s="430"/>
      <c r="AO3542" s="430"/>
      <c r="AP3542" s="430"/>
      <c r="AQ3542" s="430"/>
      <c r="AR3542" s="430"/>
      <c r="AS3542" s="430"/>
      <c r="AT3542" s="430"/>
      <c r="AU3542" s="426"/>
      <c r="AV3542" s="174"/>
      <c r="AW3542" s="269"/>
      <c r="AX3542" s="269"/>
      <c r="AY3542" s="270"/>
      <c r="AZ3542" s="435"/>
      <c r="BA3542" s="173"/>
      <c r="BB3542" s="434"/>
      <c r="BC3542" s="434"/>
      <c r="BD3542" s="308"/>
      <c r="BE3542" s="436"/>
      <c r="BF3542" s="274" t="str">
        <f>IFERROR(__xludf.DUMMYFUNCTION("LOWER(Regexreplace(to_text(E3542),""[^A-Za-z0-9]"","""")&amp;""_""&amp;Regexreplace(to_text(F3542),""[^A-Za-z0-9]"",""""))"),"_")</f>
        <v>_</v>
      </c>
      <c r="BG3542" s="275" t="str">
        <f>IFERROR(__xludf.DUMMYFUNCTION("upper(Regexreplace(to_text(E3542),""[^A-Za-z0-9]"","""")&amp;""-""&amp;Regexreplace(to_text(F3542),""[^A-Za-z0-9]"",""""))"),"-")</f>
        <v>-</v>
      </c>
    </row>
    <row r="3543" ht="30.0" customHeight="1">
      <c r="A3543" s="237"/>
      <c r="B3543" s="425"/>
      <c r="C3543" s="257"/>
      <c r="D3543" s="173"/>
      <c r="E3543" s="174"/>
      <c r="F3543" s="173"/>
      <c r="G3543" s="425"/>
      <c r="H3543" s="425"/>
      <c r="I3543" s="258"/>
      <c r="J3543" s="259"/>
      <c r="K3543" s="260"/>
      <c r="L3543" s="442"/>
      <c r="M3543" s="426"/>
      <c r="N3543" s="173"/>
      <c r="O3543" s="173"/>
      <c r="P3543" s="262"/>
      <c r="Q3543" s="173"/>
      <c r="R3543" s="425"/>
      <c r="S3543" s="339"/>
      <c r="T3543" s="427"/>
      <c r="U3543" s="427"/>
      <c r="V3543" s="428"/>
      <c r="W3543" s="429"/>
      <c r="X3543" s="430"/>
      <c r="Y3543" s="33"/>
      <c r="Z3543" s="430"/>
      <c r="AA3543" s="430"/>
      <c r="AB3543" s="258"/>
      <c r="AC3543" s="430"/>
      <c r="AD3543" s="426"/>
      <c r="AE3543" s="428"/>
      <c r="AF3543" s="431"/>
      <c r="AG3543" s="432"/>
      <c r="AH3543" s="430"/>
      <c r="AI3543" s="430"/>
      <c r="AJ3543" s="430"/>
      <c r="AK3543" s="430"/>
      <c r="AL3543" s="430"/>
      <c r="AM3543" s="433"/>
      <c r="AN3543" s="430"/>
      <c r="AO3543" s="430"/>
      <c r="AP3543" s="430"/>
      <c r="AQ3543" s="430"/>
      <c r="AR3543" s="430"/>
      <c r="AS3543" s="430"/>
      <c r="AT3543" s="430"/>
      <c r="AU3543" s="426"/>
      <c r="AV3543" s="174"/>
      <c r="AW3543" s="269"/>
      <c r="AX3543" s="269"/>
      <c r="AY3543" s="270"/>
      <c r="AZ3543" s="435"/>
      <c r="BA3543" s="173"/>
      <c r="BB3543" s="434"/>
      <c r="BC3543" s="434"/>
      <c r="BD3543" s="308"/>
      <c r="BE3543" s="436"/>
      <c r="BF3543" s="274" t="str">
        <f>IFERROR(__xludf.DUMMYFUNCTION("LOWER(Regexreplace(to_text(E3543),""[^A-Za-z0-9]"","""")&amp;""_""&amp;Regexreplace(to_text(F3543),""[^A-Za-z0-9]"",""""))"),"_")</f>
        <v>_</v>
      </c>
      <c r="BG3543" s="275" t="str">
        <f>IFERROR(__xludf.DUMMYFUNCTION("upper(Regexreplace(to_text(E3543),""[^A-Za-z0-9]"","""")&amp;""-""&amp;Regexreplace(to_text(F3543),""[^A-Za-z0-9]"",""""))"),"-")</f>
        <v>-</v>
      </c>
    </row>
    <row r="3544" ht="30.0" customHeight="1">
      <c r="A3544" s="237"/>
      <c r="B3544" s="425"/>
      <c r="C3544" s="257"/>
      <c r="D3544" s="173"/>
      <c r="E3544" s="174"/>
      <c r="F3544" s="173"/>
      <c r="G3544" s="425"/>
      <c r="H3544" s="425"/>
      <c r="I3544" s="258"/>
      <c r="J3544" s="259"/>
      <c r="K3544" s="260"/>
      <c r="L3544" s="442"/>
      <c r="M3544" s="426"/>
      <c r="N3544" s="173"/>
      <c r="O3544" s="173"/>
      <c r="P3544" s="262"/>
      <c r="Q3544" s="173"/>
      <c r="R3544" s="425"/>
      <c r="S3544" s="339"/>
      <c r="T3544" s="427"/>
      <c r="U3544" s="427"/>
      <c r="V3544" s="428"/>
      <c r="W3544" s="429"/>
      <c r="X3544" s="430"/>
      <c r="Y3544" s="33"/>
      <c r="Z3544" s="430"/>
      <c r="AA3544" s="430"/>
      <c r="AB3544" s="258"/>
      <c r="AC3544" s="430"/>
      <c r="AD3544" s="426"/>
      <c r="AE3544" s="428"/>
      <c r="AF3544" s="431"/>
      <c r="AG3544" s="432"/>
      <c r="AH3544" s="430"/>
      <c r="AI3544" s="430"/>
      <c r="AJ3544" s="430"/>
      <c r="AK3544" s="430"/>
      <c r="AL3544" s="430"/>
      <c r="AM3544" s="433"/>
      <c r="AN3544" s="430"/>
      <c r="AO3544" s="430"/>
      <c r="AP3544" s="430"/>
      <c r="AQ3544" s="430"/>
      <c r="AR3544" s="430"/>
      <c r="AS3544" s="430"/>
      <c r="AT3544" s="430"/>
      <c r="AU3544" s="426"/>
      <c r="AV3544" s="174"/>
      <c r="AW3544" s="269"/>
      <c r="AX3544" s="269"/>
      <c r="AY3544" s="270"/>
      <c r="AZ3544" s="435"/>
      <c r="BA3544" s="173"/>
      <c r="BB3544" s="434"/>
      <c r="BC3544" s="434"/>
      <c r="BD3544" s="308"/>
      <c r="BE3544" s="436"/>
      <c r="BF3544" s="274" t="str">
        <f>IFERROR(__xludf.DUMMYFUNCTION("LOWER(Regexreplace(to_text(E3544),""[^A-Za-z0-9]"","""")&amp;""_""&amp;Regexreplace(to_text(F3544),""[^A-Za-z0-9]"",""""))"),"_")</f>
        <v>_</v>
      </c>
      <c r="BG3544" s="275" t="str">
        <f>IFERROR(__xludf.DUMMYFUNCTION("upper(Regexreplace(to_text(E3544),""[^A-Za-z0-9]"","""")&amp;""-""&amp;Regexreplace(to_text(F3544),""[^A-Za-z0-9]"",""""))"),"-")</f>
        <v>-</v>
      </c>
    </row>
    <row r="3545" ht="30.0" customHeight="1">
      <c r="A3545" s="237"/>
      <c r="B3545" s="425"/>
      <c r="C3545" s="257"/>
      <c r="D3545" s="173"/>
      <c r="E3545" s="174"/>
      <c r="F3545" s="173"/>
      <c r="G3545" s="425"/>
      <c r="H3545" s="425"/>
      <c r="I3545" s="258"/>
      <c r="J3545" s="259"/>
      <c r="K3545" s="260"/>
      <c r="L3545" s="442"/>
      <c r="M3545" s="426"/>
      <c r="N3545" s="173"/>
      <c r="O3545" s="173"/>
      <c r="P3545" s="262"/>
      <c r="Q3545" s="173"/>
      <c r="R3545" s="425"/>
      <c r="S3545" s="339"/>
      <c r="T3545" s="427"/>
      <c r="U3545" s="427"/>
      <c r="V3545" s="428"/>
      <c r="W3545" s="429"/>
      <c r="X3545" s="430"/>
      <c r="Y3545" s="33"/>
      <c r="Z3545" s="430"/>
      <c r="AA3545" s="430"/>
      <c r="AB3545" s="258"/>
      <c r="AC3545" s="430"/>
      <c r="AD3545" s="426"/>
      <c r="AE3545" s="428"/>
      <c r="AF3545" s="431"/>
      <c r="AG3545" s="432"/>
      <c r="AH3545" s="430"/>
      <c r="AI3545" s="430"/>
      <c r="AJ3545" s="430"/>
      <c r="AK3545" s="430"/>
      <c r="AL3545" s="430"/>
      <c r="AM3545" s="433"/>
      <c r="AN3545" s="430"/>
      <c r="AO3545" s="430"/>
      <c r="AP3545" s="430"/>
      <c r="AQ3545" s="430"/>
      <c r="AR3545" s="430"/>
      <c r="AS3545" s="430"/>
      <c r="AT3545" s="430"/>
      <c r="AU3545" s="426"/>
      <c r="AV3545" s="174"/>
      <c r="AW3545" s="269"/>
      <c r="AX3545" s="269"/>
      <c r="AY3545" s="270"/>
      <c r="AZ3545" s="435"/>
      <c r="BA3545" s="173"/>
      <c r="BB3545" s="434"/>
      <c r="BC3545" s="434"/>
      <c r="BD3545" s="308"/>
      <c r="BE3545" s="436"/>
      <c r="BF3545" s="274" t="str">
        <f>IFERROR(__xludf.DUMMYFUNCTION("LOWER(Regexreplace(to_text(E3545),""[^A-Za-z0-9]"","""")&amp;""_""&amp;Regexreplace(to_text(F3545),""[^A-Za-z0-9]"",""""))"),"_")</f>
        <v>_</v>
      </c>
      <c r="BG3545" s="275" t="str">
        <f>IFERROR(__xludf.DUMMYFUNCTION("upper(Regexreplace(to_text(E3545),""[^A-Za-z0-9]"","""")&amp;""-""&amp;Regexreplace(to_text(F3545),""[^A-Za-z0-9]"",""""))"),"-")</f>
        <v>-</v>
      </c>
    </row>
    <row r="3546" ht="30.0" customHeight="1">
      <c r="A3546" s="237"/>
      <c r="B3546" s="425"/>
      <c r="C3546" s="257"/>
      <c r="D3546" s="173"/>
      <c r="E3546" s="174"/>
      <c r="F3546" s="173"/>
      <c r="G3546" s="425"/>
      <c r="H3546" s="425"/>
      <c r="I3546" s="258"/>
      <c r="J3546" s="259"/>
      <c r="K3546" s="260"/>
      <c r="L3546" s="442"/>
      <c r="M3546" s="426"/>
      <c r="N3546" s="173"/>
      <c r="O3546" s="173"/>
      <c r="P3546" s="262"/>
      <c r="Q3546" s="173"/>
      <c r="R3546" s="425"/>
      <c r="S3546" s="339"/>
      <c r="T3546" s="427"/>
      <c r="U3546" s="427"/>
      <c r="V3546" s="428"/>
      <c r="W3546" s="429"/>
      <c r="X3546" s="430"/>
      <c r="Y3546" s="33"/>
      <c r="Z3546" s="430"/>
      <c r="AA3546" s="430"/>
      <c r="AB3546" s="258"/>
      <c r="AC3546" s="430"/>
      <c r="AD3546" s="426"/>
      <c r="AE3546" s="428"/>
      <c r="AF3546" s="431"/>
      <c r="AG3546" s="432"/>
      <c r="AH3546" s="430"/>
      <c r="AI3546" s="430"/>
      <c r="AJ3546" s="430"/>
      <c r="AK3546" s="430"/>
      <c r="AL3546" s="430"/>
      <c r="AM3546" s="433"/>
      <c r="AN3546" s="430"/>
      <c r="AO3546" s="430"/>
      <c r="AP3546" s="430"/>
      <c r="AQ3546" s="430"/>
      <c r="AR3546" s="430"/>
      <c r="AS3546" s="430"/>
      <c r="AT3546" s="430"/>
      <c r="AU3546" s="426"/>
      <c r="AV3546" s="174"/>
      <c r="AW3546" s="269"/>
      <c r="AX3546" s="269"/>
      <c r="AY3546" s="270"/>
      <c r="AZ3546" s="435"/>
      <c r="BA3546" s="173"/>
      <c r="BB3546" s="434"/>
      <c r="BC3546" s="434"/>
      <c r="BD3546" s="308"/>
      <c r="BE3546" s="436"/>
      <c r="BF3546" s="274" t="str">
        <f>IFERROR(__xludf.DUMMYFUNCTION("LOWER(Regexreplace(to_text(E3546),""[^A-Za-z0-9]"","""")&amp;""_""&amp;Regexreplace(to_text(F3546),""[^A-Za-z0-9]"",""""))"),"_")</f>
        <v>_</v>
      </c>
      <c r="BG3546" s="275" t="str">
        <f>IFERROR(__xludf.DUMMYFUNCTION("upper(Regexreplace(to_text(E3546),""[^A-Za-z0-9]"","""")&amp;""-""&amp;Regexreplace(to_text(F3546),""[^A-Za-z0-9]"",""""))"),"-")</f>
        <v>-</v>
      </c>
    </row>
    <row r="3547" ht="30.0" customHeight="1">
      <c r="A3547" s="237"/>
      <c r="B3547" s="425"/>
      <c r="C3547" s="257"/>
      <c r="D3547" s="173"/>
      <c r="E3547" s="174"/>
      <c r="F3547" s="173"/>
      <c r="G3547" s="425"/>
      <c r="H3547" s="425"/>
      <c r="I3547" s="258"/>
      <c r="J3547" s="259"/>
      <c r="K3547" s="260"/>
      <c r="L3547" s="442"/>
      <c r="M3547" s="426"/>
      <c r="N3547" s="173"/>
      <c r="O3547" s="173"/>
      <c r="P3547" s="262"/>
      <c r="Q3547" s="173"/>
      <c r="R3547" s="425"/>
      <c r="S3547" s="339"/>
      <c r="T3547" s="427"/>
      <c r="U3547" s="427"/>
      <c r="V3547" s="428"/>
      <c r="W3547" s="429"/>
      <c r="X3547" s="430"/>
      <c r="Y3547" s="33"/>
      <c r="Z3547" s="430"/>
      <c r="AA3547" s="430"/>
      <c r="AB3547" s="258"/>
      <c r="AC3547" s="430"/>
      <c r="AD3547" s="426"/>
      <c r="AE3547" s="428"/>
      <c r="AF3547" s="431"/>
      <c r="AG3547" s="432"/>
      <c r="AH3547" s="430"/>
      <c r="AI3547" s="430"/>
      <c r="AJ3547" s="430"/>
      <c r="AK3547" s="430"/>
      <c r="AL3547" s="430"/>
      <c r="AM3547" s="433"/>
      <c r="AN3547" s="430"/>
      <c r="AO3547" s="430"/>
      <c r="AP3547" s="430"/>
      <c r="AQ3547" s="430"/>
      <c r="AR3547" s="430"/>
      <c r="AS3547" s="430"/>
      <c r="AT3547" s="430"/>
      <c r="AU3547" s="426"/>
      <c r="AV3547" s="174"/>
      <c r="AW3547" s="269"/>
      <c r="AX3547" s="269"/>
      <c r="AY3547" s="270"/>
      <c r="AZ3547" s="435"/>
      <c r="BA3547" s="173"/>
      <c r="BB3547" s="434"/>
      <c r="BC3547" s="434"/>
      <c r="BD3547" s="308"/>
      <c r="BE3547" s="436"/>
      <c r="BF3547" s="274" t="str">
        <f>IFERROR(__xludf.DUMMYFUNCTION("LOWER(Regexreplace(to_text(E3547),""[^A-Za-z0-9]"","""")&amp;""_""&amp;Regexreplace(to_text(F3547),""[^A-Za-z0-9]"",""""))"),"_")</f>
        <v>_</v>
      </c>
      <c r="BG3547" s="275" t="str">
        <f>IFERROR(__xludf.DUMMYFUNCTION("upper(Regexreplace(to_text(E3547),""[^A-Za-z0-9]"","""")&amp;""-""&amp;Regexreplace(to_text(F3547),""[^A-Za-z0-9]"",""""))"),"-")</f>
        <v>-</v>
      </c>
    </row>
    <row r="3548" ht="30.0" customHeight="1">
      <c r="A3548" s="237"/>
      <c r="B3548" s="425"/>
      <c r="C3548" s="257"/>
      <c r="D3548" s="173"/>
      <c r="E3548" s="174"/>
      <c r="F3548" s="173"/>
      <c r="G3548" s="425"/>
      <c r="H3548" s="425"/>
      <c r="I3548" s="258"/>
      <c r="J3548" s="259"/>
      <c r="K3548" s="260"/>
      <c r="L3548" s="442"/>
      <c r="M3548" s="426"/>
      <c r="N3548" s="173"/>
      <c r="O3548" s="173"/>
      <c r="P3548" s="262"/>
      <c r="Q3548" s="173"/>
      <c r="R3548" s="425"/>
      <c r="S3548" s="339"/>
      <c r="T3548" s="427"/>
      <c r="U3548" s="427"/>
      <c r="V3548" s="428"/>
      <c r="W3548" s="429"/>
      <c r="X3548" s="430"/>
      <c r="Y3548" s="33"/>
      <c r="Z3548" s="430"/>
      <c r="AA3548" s="430"/>
      <c r="AB3548" s="258"/>
      <c r="AC3548" s="430"/>
      <c r="AD3548" s="426"/>
      <c r="AE3548" s="428"/>
      <c r="AF3548" s="431"/>
      <c r="AG3548" s="432"/>
      <c r="AH3548" s="430"/>
      <c r="AI3548" s="430"/>
      <c r="AJ3548" s="430"/>
      <c r="AK3548" s="430"/>
      <c r="AL3548" s="430"/>
      <c r="AM3548" s="433"/>
      <c r="AN3548" s="430"/>
      <c r="AO3548" s="430"/>
      <c r="AP3548" s="430"/>
      <c r="AQ3548" s="430"/>
      <c r="AR3548" s="430"/>
      <c r="AS3548" s="430"/>
      <c r="AT3548" s="430"/>
      <c r="AU3548" s="426"/>
      <c r="AV3548" s="174"/>
      <c r="AW3548" s="269"/>
      <c r="AX3548" s="269"/>
      <c r="AY3548" s="270"/>
      <c r="AZ3548" s="435"/>
      <c r="BA3548" s="173"/>
      <c r="BB3548" s="434"/>
      <c r="BC3548" s="434"/>
      <c r="BD3548" s="308"/>
      <c r="BE3548" s="436"/>
      <c r="BF3548" s="274" t="str">
        <f>IFERROR(__xludf.DUMMYFUNCTION("LOWER(Regexreplace(to_text(E3548),""[^A-Za-z0-9]"","""")&amp;""_""&amp;Regexreplace(to_text(F3548),""[^A-Za-z0-9]"",""""))"),"_")</f>
        <v>_</v>
      </c>
      <c r="BG3548" s="275" t="str">
        <f>IFERROR(__xludf.DUMMYFUNCTION("upper(Regexreplace(to_text(E3548),""[^A-Za-z0-9]"","""")&amp;""-""&amp;Regexreplace(to_text(F3548),""[^A-Za-z0-9]"",""""))"),"-")</f>
        <v>-</v>
      </c>
    </row>
    <row r="3549" ht="30.0" customHeight="1">
      <c r="A3549" s="237"/>
      <c r="B3549" s="425"/>
      <c r="C3549" s="257"/>
      <c r="D3549" s="173"/>
      <c r="E3549" s="174"/>
      <c r="F3549" s="173"/>
      <c r="G3549" s="425"/>
      <c r="H3549" s="425"/>
      <c r="I3549" s="258"/>
      <c r="J3549" s="259"/>
      <c r="K3549" s="260"/>
      <c r="L3549" s="442"/>
      <c r="M3549" s="426"/>
      <c r="N3549" s="173"/>
      <c r="O3549" s="173"/>
      <c r="P3549" s="262"/>
      <c r="Q3549" s="173"/>
      <c r="R3549" s="425"/>
      <c r="S3549" s="339"/>
      <c r="T3549" s="427"/>
      <c r="U3549" s="427"/>
      <c r="V3549" s="428"/>
      <c r="W3549" s="429"/>
      <c r="X3549" s="430"/>
      <c r="Y3549" s="33"/>
      <c r="Z3549" s="430"/>
      <c r="AA3549" s="430"/>
      <c r="AB3549" s="258"/>
      <c r="AC3549" s="430"/>
      <c r="AD3549" s="426"/>
      <c r="AE3549" s="428"/>
      <c r="AF3549" s="431"/>
      <c r="AG3549" s="432"/>
      <c r="AH3549" s="430"/>
      <c r="AI3549" s="430"/>
      <c r="AJ3549" s="430"/>
      <c r="AK3549" s="430"/>
      <c r="AL3549" s="430"/>
      <c r="AM3549" s="433"/>
      <c r="AN3549" s="430"/>
      <c r="AO3549" s="430"/>
      <c r="AP3549" s="430"/>
      <c r="AQ3549" s="430"/>
      <c r="AR3549" s="430"/>
      <c r="AS3549" s="430"/>
      <c r="AT3549" s="430"/>
      <c r="AU3549" s="426"/>
      <c r="AV3549" s="174"/>
      <c r="AW3549" s="269"/>
      <c r="AX3549" s="269"/>
      <c r="AY3549" s="270"/>
      <c r="AZ3549" s="435"/>
      <c r="BA3549" s="173"/>
      <c r="BB3549" s="434"/>
      <c r="BC3549" s="434"/>
      <c r="BD3549" s="308"/>
      <c r="BE3549" s="436"/>
      <c r="BF3549" s="274" t="str">
        <f>IFERROR(__xludf.DUMMYFUNCTION("LOWER(Regexreplace(to_text(E3549),""[^A-Za-z0-9]"","""")&amp;""_""&amp;Regexreplace(to_text(F3549),""[^A-Za-z0-9]"",""""))"),"_")</f>
        <v>_</v>
      </c>
      <c r="BG3549" s="275" t="str">
        <f>IFERROR(__xludf.DUMMYFUNCTION("upper(Regexreplace(to_text(E3549),""[^A-Za-z0-9]"","""")&amp;""-""&amp;Regexreplace(to_text(F3549),""[^A-Za-z0-9]"",""""))"),"-")</f>
        <v>-</v>
      </c>
    </row>
    <row r="3550" ht="30.0" customHeight="1">
      <c r="A3550" s="237"/>
      <c r="B3550" s="425"/>
      <c r="C3550" s="257"/>
      <c r="D3550" s="173"/>
      <c r="E3550" s="174"/>
      <c r="F3550" s="173"/>
      <c r="G3550" s="425"/>
      <c r="H3550" s="425"/>
      <c r="I3550" s="258"/>
      <c r="J3550" s="259"/>
      <c r="K3550" s="260"/>
      <c r="L3550" s="442"/>
      <c r="M3550" s="426"/>
      <c r="N3550" s="173"/>
      <c r="O3550" s="173"/>
      <c r="P3550" s="262"/>
      <c r="Q3550" s="173"/>
      <c r="R3550" s="425"/>
      <c r="S3550" s="339"/>
      <c r="T3550" s="427"/>
      <c r="U3550" s="427"/>
      <c r="V3550" s="428"/>
      <c r="W3550" s="429"/>
      <c r="X3550" s="430"/>
      <c r="Y3550" s="33"/>
      <c r="Z3550" s="430"/>
      <c r="AA3550" s="430"/>
      <c r="AB3550" s="258"/>
      <c r="AC3550" s="430"/>
      <c r="AD3550" s="426"/>
      <c r="AE3550" s="428"/>
      <c r="AF3550" s="431"/>
      <c r="AG3550" s="432"/>
      <c r="AH3550" s="430"/>
      <c r="AI3550" s="430"/>
      <c r="AJ3550" s="430"/>
      <c r="AK3550" s="430"/>
      <c r="AL3550" s="430"/>
      <c r="AM3550" s="433"/>
      <c r="AN3550" s="430"/>
      <c r="AO3550" s="430"/>
      <c r="AP3550" s="430"/>
      <c r="AQ3550" s="430"/>
      <c r="AR3550" s="430"/>
      <c r="AS3550" s="430"/>
      <c r="AT3550" s="430"/>
      <c r="AU3550" s="426"/>
      <c r="AV3550" s="174"/>
      <c r="AW3550" s="269"/>
      <c r="AX3550" s="269"/>
      <c r="AY3550" s="270"/>
      <c r="AZ3550" s="435"/>
      <c r="BA3550" s="173"/>
      <c r="BB3550" s="434"/>
      <c r="BC3550" s="434"/>
      <c r="BD3550" s="308"/>
      <c r="BE3550" s="436"/>
      <c r="BF3550" s="274" t="str">
        <f>IFERROR(__xludf.DUMMYFUNCTION("LOWER(Regexreplace(to_text(E3550),""[^A-Za-z0-9]"","""")&amp;""_""&amp;Regexreplace(to_text(F3550),""[^A-Za-z0-9]"",""""))"),"_")</f>
        <v>_</v>
      </c>
      <c r="BG3550" s="275" t="str">
        <f>IFERROR(__xludf.DUMMYFUNCTION("upper(Regexreplace(to_text(E3550),""[^A-Za-z0-9]"","""")&amp;""-""&amp;Regexreplace(to_text(F3550),""[^A-Za-z0-9]"",""""))"),"-")</f>
        <v>-</v>
      </c>
    </row>
    <row r="3551" ht="30.0" customHeight="1">
      <c r="A3551" s="237"/>
      <c r="B3551" s="425"/>
      <c r="C3551" s="257"/>
      <c r="D3551" s="173"/>
      <c r="E3551" s="174"/>
      <c r="F3551" s="173"/>
      <c r="G3551" s="425"/>
      <c r="H3551" s="425"/>
      <c r="I3551" s="258"/>
      <c r="J3551" s="259"/>
      <c r="K3551" s="260"/>
      <c r="L3551" s="442"/>
      <c r="M3551" s="426"/>
      <c r="N3551" s="173"/>
      <c r="O3551" s="173"/>
      <c r="P3551" s="262"/>
      <c r="Q3551" s="173"/>
      <c r="R3551" s="425"/>
      <c r="S3551" s="339"/>
      <c r="T3551" s="427"/>
      <c r="U3551" s="427"/>
      <c r="V3551" s="428"/>
      <c r="W3551" s="429"/>
      <c r="X3551" s="430"/>
      <c r="Y3551" s="33"/>
      <c r="Z3551" s="430"/>
      <c r="AA3551" s="430"/>
      <c r="AB3551" s="258"/>
      <c r="AC3551" s="430"/>
      <c r="AD3551" s="426"/>
      <c r="AE3551" s="428"/>
      <c r="AF3551" s="431"/>
      <c r="AG3551" s="432"/>
      <c r="AH3551" s="430"/>
      <c r="AI3551" s="430"/>
      <c r="AJ3551" s="430"/>
      <c r="AK3551" s="430"/>
      <c r="AL3551" s="430"/>
      <c r="AM3551" s="433"/>
      <c r="AN3551" s="430"/>
      <c r="AO3551" s="430"/>
      <c r="AP3551" s="430"/>
      <c r="AQ3551" s="430"/>
      <c r="AR3551" s="430"/>
      <c r="AS3551" s="430"/>
      <c r="AT3551" s="430"/>
      <c r="AU3551" s="426"/>
      <c r="AV3551" s="174"/>
      <c r="AW3551" s="269"/>
      <c r="AX3551" s="269"/>
      <c r="AY3551" s="270"/>
      <c r="AZ3551" s="435"/>
      <c r="BA3551" s="173"/>
      <c r="BB3551" s="434"/>
      <c r="BC3551" s="434"/>
      <c r="BD3551" s="308"/>
      <c r="BE3551" s="436"/>
      <c r="BF3551" s="274" t="str">
        <f>IFERROR(__xludf.DUMMYFUNCTION("LOWER(Regexreplace(to_text(E3551),""[^A-Za-z0-9]"","""")&amp;""_""&amp;Regexreplace(to_text(F3551),""[^A-Za-z0-9]"",""""))"),"_")</f>
        <v>_</v>
      </c>
      <c r="BG3551" s="275" t="str">
        <f>IFERROR(__xludf.DUMMYFUNCTION("upper(Regexreplace(to_text(E3551),""[^A-Za-z0-9]"","""")&amp;""-""&amp;Regexreplace(to_text(F3551),""[^A-Za-z0-9]"",""""))"),"-")</f>
        <v>-</v>
      </c>
    </row>
    <row r="3552" ht="30.0" customHeight="1">
      <c r="A3552" s="237"/>
      <c r="B3552" s="425"/>
      <c r="C3552" s="257"/>
      <c r="D3552" s="173"/>
      <c r="E3552" s="174"/>
      <c r="F3552" s="173"/>
      <c r="G3552" s="425"/>
      <c r="H3552" s="425"/>
      <c r="I3552" s="258"/>
      <c r="J3552" s="259"/>
      <c r="K3552" s="260"/>
      <c r="L3552" s="442"/>
      <c r="M3552" s="426"/>
      <c r="N3552" s="173"/>
      <c r="O3552" s="173"/>
      <c r="P3552" s="262"/>
      <c r="Q3552" s="173"/>
      <c r="R3552" s="425"/>
      <c r="S3552" s="339"/>
      <c r="T3552" s="427"/>
      <c r="U3552" s="427"/>
      <c r="V3552" s="428"/>
      <c r="W3552" s="429"/>
      <c r="X3552" s="430"/>
      <c r="Y3552" s="33"/>
      <c r="Z3552" s="430"/>
      <c r="AA3552" s="430"/>
      <c r="AB3552" s="258"/>
      <c r="AC3552" s="430"/>
      <c r="AD3552" s="426"/>
      <c r="AE3552" s="428"/>
      <c r="AF3552" s="431"/>
      <c r="AG3552" s="432"/>
      <c r="AH3552" s="430"/>
      <c r="AI3552" s="430"/>
      <c r="AJ3552" s="430"/>
      <c r="AK3552" s="430"/>
      <c r="AL3552" s="430"/>
      <c r="AM3552" s="433"/>
      <c r="AN3552" s="430"/>
      <c r="AO3552" s="430"/>
      <c r="AP3552" s="430"/>
      <c r="AQ3552" s="430"/>
      <c r="AR3552" s="430"/>
      <c r="AS3552" s="430"/>
      <c r="AT3552" s="430"/>
      <c r="AU3552" s="426"/>
      <c r="AV3552" s="174"/>
      <c r="AW3552" s="269"/>
      <c r="AX3552" s="269"/>
      <c r="AY3552" s="270"/>
      <c r="AZ3552" s="435"/>
      <c r="BA3552" s="173"/>
      <c r="BB3552" s="434"/>
      <c r="BC3552" s="434"/>
      <c r="BD3552" s="308"/>
      <c r="BE3552" s="436"/>
      <c r="BF3552" s="274" t="str">
        <f>IFERROR(__xludf.DUMMYFUNCTION("LOWER(Regexreplace(to_text(E3552),""[^A-Za-z0-9]"","""")&amp;""_""&amp;Regexreplace(to_text(F3552),""[^A-Za-z0-9]"",""""))"),"_")</f>
        <v>_</v>
      </c>
      <c r="BG3552" s="275" t="str">
        <f>IFERROR(__xludf.DUMMYFUNCTION("upper(Regexreplace(to_text(E3552),""[^A-Za-z0-9]"","""")&amp;""-""&amp;Regexreplace(to_text(F3552),""[^A-Za-z0-9]"",""""))"),"-")</f>
        <v>-</v>
      </c>
    </row>
    <row r="3553" ht="30.0" customHeight="1">
      <c r="A3553" s="237"/>
      <c r="B3553" s="425"/>
      <c r="C3553" s="257"/>
      <c r="D3553" s="173"/>
      <c r="E3553" s="174"/>
      <c r="F3553" s="173"/>
      <c r="G3553" s="425"/>
      <c r="H3553" s="425"/>
      <c r="I3553" s="258"/>
      <c r="J3553" s="259"/>
      <c r="K3553" s="260"/>
      <c r="L3553" s="442"/>
      <c r="M3553" s="426"/>
      <c r="N3553" s="173"/>
      <c r="O3553" s="173"/>
      <c r="P3553" s="262"/>
      <c r="Q3553" s="173"/>
      <c r="R3553" s="425"/>
      <c r="S3553" s="339"/>
      <c r="T3553" s="427"/>
      <c r="U3553" s="427"/>
      <c r="V3553" s="428"/>
      <c r="W3553" s="429"/>
      <c r="X3553" s="430"/>
      <c r="Y3553" s="33"/>
      <c r="Z3553" s="430"/>
      <c r="AA3553" s="430"/>
      <c r="AB3553" s="258"/>
      <c r="AC3553" s="430"/>
      <c r="AD3553" s="426"/>
      <c r="AE3553" s="428"/>
      <c r="AF3553" s="431"/>
      <c r="AG3553" s="432"/>
      <c r="AH3553" s="430"/>
      <c r="AI3553" s="430"/>
      <c r="AJ3553" s="430"/>
      <c r="AK3553" s="430"/>
      <c r="AL3553" s="430"/>
      <c r="AM3553" s="433"/>
      <c r="AN3553" s="430"/>
      <c r="AO3553" s="430"/>
      <c r="AP3553" s="430"/>
      <c r="AQ3553" s="430"/>
      <c r="AR3553" s="430"/>
      <c r="AS3553" s="430"/>
      <c r="AT3553" s="430"/>
      <c r="AU3553" s="426"/>
      <c r="AV3553" s="174"/>
      <c r="AW3553" s="269"/>
      <c r="AX3553" s="269"/>
      <c r="AY3553" s="270"/>
      <c r="AZ3553" s="435"/>
      <c r="BA3553" s="173"/>
      <c r="BB3553" s="434"/>
      <c r="BC3553" s="434"/>
      <c r="BD3553" s="308"/>
      <c r="BE3553" s="436"/>
      <c r="BF3553" s="274" t="str">
        <f>IFERROR(__xludf.DUMMYFUNCTION("LOWER(Regexreplace(to_text(E3553),""[^A-Za-z0-9]"","""")&amp;""_""&amp;Regexreplace(to_text(F3553),""[^A-Za-z0-9]"",""""))"),"_")</f>
        <v>_</v>
      </c>
      <c r="BG3553" s="275" t="str">
        <f>IFERROR(__xludf.DUMMYFUNCTION("upper(Regexreplace(to_text(E3553),""[^A-Za-z0-9]"","""")&amp;""-""&amp;Regexreplace(to_text(F3553),""[^A-Za-z0-9]"",""""))"),"-")</f>
        <v>-</v>
      </c>
    </row>
    <row r="3554" ht="30.0" customHeight="1">
      <c r="A3554" s="237"/>
      <c r="B3554" s="425"/>
      <c r="C3554" s="257"/>
      <c r="D3554" s="173"/>
      <c r="E3554" s="174"/>
      <c r="F3554" s="173"/>
      <c r="G3554" s="425"/>
      <c r="H3554" s="425"/>
      <c r="I3554" s="258"/>
      <c r="J3554" s="259"/>
      <c r="K3554" s="260"/>
      <c r="L3554" s="442"/>
      <c r="M3554" s="426"/>
      <c r="N3554" s="173"/>
      <c r="O3554" s="173"/>
      <c r="P3554" s="262"/>
      <c r="Q3554" s="173"/>
      <c r="R3554" s="425"/>
      <c r="S3554" s="339"/>
      <c r="T3554" s="427"/>
      <c r="U3554" s="427"/>
      <c r="V3554" s="428"/>
      <c r="W3554" s="429"/>
      <c r="X3554" s="430"/>
      <c r="Y3554" s="33"/>
      <c r="Z3554" s="430"/>
      <c r="AA3554" s="430"/>
      <c r="AB3554" s="258"/>
      <c r="AC3554" s="430"/>
      <c r="AD3554" s="426"/>
      <c r="AE3554" s="428"/>
      <c r="AF3554" s="431"/>
      <c r="AG3554" s="432"/>
      <c r="AH3554" s="430"/>
      <c r="AI3554" s="430"/>
      <c r="AJ3554" s="430"/>
      <c r="AK3554" s="430"/>
      <c r="AL3554" s="430"/>
      <c r="AM3554" s="433"/>
      <c r="AN3554" s="430"/>
      <c r="AO3554" s="430"/>
      <c r="AP3554" s="430"/>
      <c r="AQ3554" s="430"/>
      <c r="AR3554" s="430"/>
      <c r="AS3554" s="430"/>
      <c r="AT3554" s="430"/>
      <c r="AU3554" s="426"/>
      <c r="AV3554" s="174"/>
      <c r="AW3554" s="269"/>
      <c r="AX3554" s="269"/>
      <c r="AY3554" s="270"/>
      <c r="AZ3554" s="435"/>
      <c r="BA3554" s="173"/>
      <c r="BB3554" s="434"/>
      <c r="BC3554" s="434"/>
      <c r="BD3554" s="308"/>
      <c r="BE3554" s="436"/>
      <c r="BF3554" s="274" t="str">
        <f>IFERROR(__xludf.DUMMYFUNCTION("LOWER(Regexreplace(to_text(E3554),""[^A-Za-z0-9]"","""")&amp;""_""&amp;Regexreplace(to_text(F3554),""[^A-Za-z0-9]"",""""))"),"_")</f>
        <v>_</v>
      </c>
      <c r="BG3554" s="275" t="str">
        <f>IFERROR(__xludf.DUMMYFUNCTION("upper(Regexreplace(to_text(E3554),""[^A-Za-z0-9]"","""")&amp;""-""&amp;Regexreplace(to_text(F3554),""[^A-Za-z0-9]"",""""))"),"-")</f>
        <v>-</v>
      </c>
    </row>
    <row r="3555" ht="30.0" customHeight="1">
      <c r="A3555" s="237"/>
      <c r="B3555" s="425"/>
      <c r="C3555" s="257"/>
      <c r="D3555" s="173"/>
      <c r="E3555" s="174"/>
      <c r="F3555" s="173"/>
      <c r="G3555" s="425"/>
      <c r="H3555" s="425"/>
      <c r="I3555" s="258"/>
      <c r="J3555" s="259"/>
      <c r="K3555" s="260"/>
      <c r="L3555" s="442"/>
      <c r="M3555" s="426"/>
      <c r="N3555" s="173"/>
      <c r="O3555" s="173"/>
      <c r="P3555" s="262"/>
      <c r="Q3555" s="173"/>
      <c r="R3555" s="425"/>
      <c r="S3555" s="339"/>
      <c r="T3555" s="427"/>
      <c r="U3555" s="427"/>
      <c r="V3555" s="428"/>
      <c r="W3555" s="429"/>
      <c r="X3555" s="430"/>
      <c r="Y3555" s="33"/>
      <c r="Z3555" s="430"/>
      <c r="AA3555" s="430"/>
      <c r="AB3555" s="258"/>
      <c r="AC3555" s="430"/>
      <c r="AD3555" s="426"/>
      <c r="AE3555" s="428"/>
      <c r="AF3555" s="431"/>
      <c r="AG3555" s="432"/>
      <c r="AH3555" s="430"/>
      <c r="AI3555" s="430"/>
      <c r="AJ3555" s="430"/>
      <c r="AK3555" s="430"/>
      <c r="AL3555" s="430"/>
      <c r="AM3555" s="433"/>
      <c r="AN3555" s="430"/>
      <c r="AO3555" s="430"/>
      <c r="AP3555" s="430"/>
      <c r="AQ3555" s="430"/>
      <c r="AR3555" s="430"/>
      <c r="AS3555" s="430"/>
      <c r="AT3555" s="430"/>
      <c r="AU3555" s="426"/>
      <c r="AV3555" s="174"/>
      <c r="AW3555" s="269"/>
      <c r="AX3555" s="269"/>
      <c r="AY3555" s="270"/>
      <c r="AZ3555" s="435"/>
      <c r="BA3555" s="173"/>
      <c r="BB3555" s="434"/>
      <c r="BC3555" s="434"/>
      <c r="BD3555" s="308"/>
      <c r="BE3555" s="436"/>
      <c r="BF3555" s="274" t="str">
        <f>IFERROR(__xludf.DUMMYFUNCTION("LOWER(Regexreplace(to_text(E3555),""[^A-Za-z0-9]"","""")&amp;""_""&amp;Regexreplace(to_text(F3555),""[^A-Za-z0-9]"",""""))"),"_")</f>
        <v>_</v>
      </c>
      <c r="BG3555" s="275" t="str">
        <f>IFERROR(__xludf.DUMMYFUNCTION("upper(Regexreplace(to_text(E3555),""[^A-Za-z0-9]"","""")&amp;""-""&amp;Regexreplace(to_text(F3555),""[^A-Za-z0-9]"",""""))"),"-")</f>
        <v>-</v>
      </c>
    </row>
    <row r="3556" ht="30.0" customHeight="1">
      <c r="A3556" s="237"/>
      <c r="B3556" s="425"/>
      <c r="C3556" s="257"/>
      <c r="D3556" s="173"/>
      <c r="E3556" s="174"/>
      <c r="F3556" s="173"/>
      <c r="G3556" s="425"/>
      <c r="H3556" s="425"/>
      <c r="I3556" s="258"/>
      <c r="J3556" s="259"/>
      <c r="K3556" s="260"/>
      <c r="L3556" s="442"/>
      <c r="M3556" s="426"/>
      <c r="N3556" s="173"/>
      <c r="O3556" s="173"/>
      <c r="P3556" s="262"/>
      <c r="Q3556" s="173"/>
      <c r="R3556" s="425"/>
      <c r="S3556" s="339"/>
      <c r="T3556" s="427"/>
      <c r="U3556" s="427"/>
      <c r="V3556" s="428"/>
      <c r="W3556" s="429"/>
      <c r="X3556" s="430"/>
      <c r="Y3556" s="33"/>
      <c r="Z3556" s="430"/>
      <c r="AA3556" s="430"/>
      <c r="AB3556" s="258"/>
      <c r="AC3556" s="430"/>
      <c r="AD3556" s="426"/>
      <c r="AE3556" s="428"/>
      <c r="AF3556" s="431"/>
      <c r="AG3556" s="432"/>
      <c r="AH3556" s="430"/>
      <c r="AI3556" s="430"/>
      <c r="AJ3556" s="430"/>
      <c r="AK3556" s="430"/>
      <c r="AL3556" s="430"/>
      <c r="AM3556" s="433"/>
      <c r="AN3556" s="430"/>
      <c r="AO3556" s="430"/>
      <c r="AP3556" s="430"/>
      <c r="AQ3556" s="430"/>
      <c r="AR3556" s="430"/>
      <c r="AS3556" s="430"/>
      <c r="AT3556" s="430"/>
      <c r="AU3556" s="426"/>
      <c r="AV3556" s="174"/>
      <c r="AW3556" s="269"/>
      <c r="AX3556" s="269"/>
      <c r="AY3556" s="270"/>
      <c r="AZ3556" s="435"/>
      <c r="BA3556" s="173"/>
      <c r="BB3556" s="434"/>
      <c r="BC3556" s="434"/>
      <c r="BD3556" s="308"/>
      <c r="BE3556" s="436"/>
      <c r="BF3556" s="274" t="str">
        <f>IFERROR(__xludf.DUMMYFUNCTION("LOWER(Regexreplace(to_text(E3556),""[^A-Za-z0-9]"","""")&amp;""_""&amp;Regexreplace(to_text(F3556),""[^A-Za-z0-9]"",""""))"),"_")</f>
        <v>_</v>
      </c>
      <c r="BG3556" s="275" t="str">
        <f>IFERROR(__xludf.DUMMYFUNCTION("upper(Regexreplace(to_text(E3556),""[^A-Za-z0-9]"","""")&amp;""-""&amp;Regexreplace(to_text(F3556),""[^A-Za-z0-9]"",""""))"),"-")</f>
        <v>-</v>
      </c>
    </row>
    <row r="3557" ht="30.0" customHeight="1">
      <c r="A3557" s="237"/>
      <c r="B3557" s="425"/>
      <c r="C3557" s="257"/>
      <c r="D3557" s="173"/>
      <c r="E3557" s="174"/>
      <c r="F3557" s="173"/>
      <c r="G3557" s="425"/>
      <c r="H3557" s="425"/>
      <c r="I3557" s="258"/>
      <c r="J3557" s="259"/>
      <c r="K3557" s="260"/>
      <c r="L3557" s="442"/>
      <c r="M3557" s="426"/>
      <c r="N3557" s="173"/>
      <c r="O3557" s="173"/>
      <c r="P3557" s="262"/>
      <c r="Q3557" s="173"/>
      <c r="R3557" s="425"/>
      <c r="S3557" s="339"/>
      <c r="T3557" s="427"/>
      <c r="U3557" s="427"/>
      <c r="V3557" s="428"/>
      <c r="W3557" s="429"/>
      <c r="X3557" s="430"/>
      <c r="Y3557" s="33"/>
      <c r="Z3557" s="430"/>
      <c r="AA3557" s="430"/>
      <c r="AB3557" s="258"/>
      <c r="AC3557" s="430"/>
      <c r="AD3557" s="426"/>
      <c r="AE3557" s="428"/>
      <c r="AF3557" s="431"/>
      <c r="AG3557" s="432"/>
      <c r="AH3557" s="430"/>
      <c r="AI3557" s="430"/>
      <c r="AJ3557" s="430"/>
      <c r="AK3557" s="430"/>
      <c r="AL3557" s="430"/>
      <c r="AM3557" s="433"/>
      <c r="AN3557" s="430"/>
      <c r="AO3557" s="430"/>
      <c r="AP3557" s="430"/>
      <c r="AQ3557" s="430"/>
      <c r="AR3557" s="430"/>
      <c r="AS3557" s="430"/>
      <c r="AT3557" s="430"/>
      <c r="AU3557" s="426"/>
      <c r="AV3557" s="174"/>
      <c r="AW3557" s="269"/>
      <c r="AX3557" s="269"/>
      <c r="AY3557" s="270"/>
      <c r="AZ3557" s="435"/>
      <c r="BA3557" s="173"/>
      <c r="BB3557" s="434"/>
      <c r="BC3557" s="434"/>
      <c r="BD3557" s="308"/>
      <c r="BE3557" s="436"/>
      <c r="BF3557" s="274" t="str">
        <f>IFERROR(__xludf.DUMMYFUNCTION("LOWER(Regexreplace(to_text(E3557),""[^A-Za-z0-9]"","""")&amp;""_""&amp;Regexreplace(to_text(F3557),""[^A-Za-z0-9]"",""""))"),"_")</f>
        <v>_</v>
      </c>
      <c r="BG3557" s="275" t="str">
        <f>IFERROR(__xludf.DUMMYFUNCTION("upper(Regexreplace(to_text(E3557),""[^A-Za-z0-9]"","""")&amp;""-""&amp;Regexreplace(to_text(F3557),""[^A-Za-z0-9]"",""""))"),"-")</f>
        <v>-</v>
      </c>
    </row>
    <row r="3558" ht="30.0" customHeight="1">
      <c r="A3558" s="237"/>
      <c r="B3558" s="425"/>
      <c r="C3558" s="257"/>
      <c r="D3558" s="173"/>
      <c r="E3558" s="174"/>
      <c r="F3558" s="173"/>
      <c r="G3558" s="425"/>
      <c r="H3558" s="425"/>
      <c r="I3558" s="258"/>
      <c r="J3558" s="259"/>
      <c r="K3558" s="260"/>
      <c r="L3558" s="442"/>
      <c r="M3558" s="426"/>
      <c r="N3558" s="173"/>
      <c r="O3558" s="173"/>
      <c r="P3558" s="262"/>
      <c r="Q3558" s="173"/>
      <c r="R3558" s="425"/>
      <c r="S3558" s="339"/>
      <c r="T3558" s="427"/>
      <c r="U3558" s="427"/>
      <c r="V3558" s="428"/>
      <c r="W3558" s="429"/>
      <c r="X3558" s="430"/>
      <c r="Y3558" s="33"/>
      <c r="Z3558" s="430"/>
      <c r="AA3558" s="430"/>
      <c r="AB3558" s="258"/>
      <c r="AC3558" s="430"/>
      <c r="AD3558" s="426"/>
      <c r="AE3558" s="428"/>
      <c r="AF3558" s="431"/>
      <c r="AG3558" s="432"/>
      <c r="AH3558" s="430"/>
      <c r="AI3558" s="430"/>
      <c r="AJ3558" s="430"/>
      <c r="AK3558" s="430"/>
      <c r="AL3558" s="430"/>
      <c r="AM3558" s="433"/>
      <c r="AN3558" s="430"/>
      <c r="AO3558" s="430"/>
      <c r="AP3558" s="430"/>
      <c r="AQ3558" s="430"/>
      <c r="AR3558" s="430"/>
      <c r="AS3558" s="430"/>
      <c r="AT3558" s="430"/>
      <c r="AU3558" s="426"/>
      <c r="AV3558" s="174"/>
      <c r="AW3558" s="269"/>
      <c r="AX3558" s="269"/>
      <c r="AY3558" s="270"/>
      <c r="AZ3558" s="435"/>
      <c r="BA3558" s="173"/>
      <c r="BB3558" s="434"/>
      <c r="BC3558" s="434"/>
      <c r="BD3558" s="308"/>
      <c r="BE3558" s="436"/>
      <c r="BF3558" s="274" t="str">
        <f>IFERROR(__xludf.DUMMYFUNCTION("LOWER(Regexreplace(to_text(E3558),""[^A-Za-z0-9]"","""")&amp;""_""&amp;Regexreplace(to_text(F3558),""[^A-Za-z0-9]"",""""))"),"_")</f>
        <v>_</v>
      </c>
      <c r="BG3558" s="275" t="str">
        <f>IFERROR(__xludf.DUMMYFUNCTION("upper(Regexreplace(to_text(E3558),""[^A-Za-z0-9]"","""")&amp;""-""&amp;Regexreplace(to_text(F3558),""[^A-Za-z0-9]"",""""))"),"-")</f>
        <v>-</v>
      </c>
    </row>
    <row r="3559" ht="30.0" customHeight="1">
      <c r="A3559" s="237"/>
      <c r="B3559" s="425"/>
      <c r="C3559" s="257"/>
      <c r="D3559" s="173"/>
      <c r="E3559" s="174"/>
      <c r="F3559" s="173"/>
      <c r="G3559" s="425"/>
      <c r="H3559" s="425"/>
      <c r="I3559" s="258"/>
      <c r="J3559" s="259"/>
      <c r="K3559" s="260"/>
      <c r="L3559" s="442"/>
      <c r="M3559" s="426"/>
      <c r="N3559" s="173"/>
      <c r="O3559" s="173"/>
      <c r="P3559" s="262"/>
      <c r="Q3559" s="173"/>
      <c r="R3559" s="425"/>
      <c r="S3559" s="339"/>
      <c r="T3559" s="427"/>
      <c r="U3559" s="427"/>
      <c r="V3559" s="428"/>
      <c r="W3559" s="429"/>
      <c r="X3559" s="430"/>
      <c r="Y3559" s="33"/>
      <c r="Z3559" s="430"/>
      <c r="AA3559" s="430"/>
      <c r="AB3559" s="258"/>
      <c r="AC3559" s="430"/>
      <c r="AD3559" s="426"/>
      <c r="AE3559" s="428"/>
      <c r="AF3559" s="431"/>
      <c r="AG3559" s="432"/>
      <c r="AH3559" s="430"/>
      <c r="AI3559" s="430"/>
      <c r="AJ3559" s="430"/>
      <c r="AK3559" s="430"/>
      <c r="AL3559" s="430"/>
      <c r="AM3559" s="433"/>
      <c r="AN3559" s="430"/>
      <c r="AO3559" s="430"/>
      <c r="AP3559" s="430"/>
      <c r="AQ3559" s="430"/>
      <c r="AR3559" s="430"/>
      <c r="AS3559" s="430"/>
      <c r="AT3559" s="430"/>
      <c r="AU3559" s="426"/>
      <c r="AV3559" s="174"/>
      <c r="AW3559" s="269"/>
      <c r="AX3559" s="269"/>
      <c r="AY3559" s="270"/>
      <c r="AZ3559" s="435"/>
      <c r="BA3559" s="173"/>
      <c r="BB3559" s="434"/>
      <c r="BC3559" s="434"/>
      <c r="BD3559" s="308"/>
      <c r="BE3559" s="436"/>
      <c r="BF3559" s="274" t="str">
        <f>IFERROR(__xludf.DUMMYFUNCTION("LOWER(Regexreplace(to_text(E3559),""[^A-Za-z0-9]"","""")&amp;""_""&amp;Regexreplace(to_text(F3559),""[^A-Za-z0-9]"",""""))"),"_")</f>
        <v>_</v>
      </c>
      <c r="BG3559" s="275" t="str">
        <f>IFERROR(__xludf.DUMMYFUNCTION("upper(Regexreplace(to_text(E3559),""[^A-Za-z0-9]"","""")&amp;""-""&amp;Regexreplace(to_text(F3559),""[^A-Za-z0-9]"",""""))"),"-")</f>
        <v>-</v>
      </c>
    </row>
    <row r="3560" ht="30.0" customHeight="1">
      <c r="A3560" s="237"/>
      <c r="B3560" s="425"/>
      <c r="C3560" s="257"/>
      <c r="D3560" s="173"/>
      <c r="E3560" s="174"/>
      <c r="F3560" s="173"/>
      <c r="G3560" s="425"/>
      <c r="H3560" s="425"/>
      <c r="I3560" s="258"/>
      <c r="J3560" s="259"/>
      <c r="K3560" s="260"/>
      <c r="L3560" s="442"/>
      <c r="M3560" s="426"/>
      <c r="N3560" s="173"/>
      <c r="O3560" s="173"/>
      <c r="P3560" s="262"/>
      <c r="Q3560" s="173"/>
      <c r="R3560" s="425"/>
      <c r="S3560" s="339"/>
      <c r="T3560" s="427"/>
      <c r="U3560" s="427"/>
      <c r="V3560" s="428"/>
      <c r="W3560" s="429"/>
      <c r="X3560" s="430"/>
      <c r="Y3560" s="33"/>
      <c r="Z3560" s="430"/>
      <c r="AA3560" s="430"/>
      <c r="AB3560" s="258"/>
      <c r="AC3560" s="430"/>
      <c r="AD3560" s="426"/>
      <c r="AE3560" s="428"/>
      <c r="AF3560" s="431"/>
      <c r="AG3560" s="432"/>
      <c r="AH3560" s="430"/>
      <c r="AI3560" s="430"/>
      <c r="AJ3560" s="430"/>
      <c r="AK3560" s="430"/>
      <c r="AL3560" s="430"/>
      <c r="AM3560" s="433"/>
      <c r="AN3560" s="430"/>
      <c r="AO3560" s="430"/>
      <c r="AP3560" s="430"/>
      <c r="AQ3560" s="430"/>
      <c r="AR3560" s="430"/>
      <c r="AS3560" s="430"/>
      <c r="AT3560" s="430"/>
      <c r="AU3560" s="426"/>
      <c r="AV3560" s="174"/>
      <c r="AW3560" s="269"/>
      <c r="AX3560" s="269"/>
      <c r="AY3560" s="270"/>
      <c r="AZ3560" s="435"/>
      <c r="BA3560" s="173"/>
      <c r="BB3560" s="434"/>
      <c r="BC3560" s="434"/>
      <c r="BD3560" s="308"/>
      <c r="BE3560" s="436"/>
      <c r="BF3560" s="274" t="str">
        <f>IFERROR(__xludf.DUMMYFUNCTION("LOWER(Regexreplace(to_text(E3560),""[^A-Za-z0-9]"","""")&amp;""_""&amp;Regexreplace(to_text(F3560),""[^A-Za-z0-9]"",""""))"),"_")</f>
        <v>_</v>
      </c>
      <c r="BG3560" s="275" t="str">
        <f>IFERROR(__xludf.DUMMYFUNCTION("upper(Regexreplace(to_text(E3560),""[^A-Za-z0-9]"","""")&amp;""-""&amp;Regexreplace(to_text(F3560),""[^A-Za-z0-9]"",""""))"),"-")</f>
        <v>-</v>
      </c>
    </row>
    <row r="3561" ht="30.0" customHeight="1">
      <c r="A3561" s="237"/>
      <c r="B3561" s="425"/>
      <c r="C3561" s="257"/>
      <c r="D3561" s="173"/>
      <c r="E3561" s="174"/>
      <c r="F3561" s="173"/>
      <c r="G3561" s="425"/>
      <c r="H3561" s="425"/>
      <c r="I3561" s="258"/>
      <c r="J3561" s="259"/>
      <c r="K3561" s="260"/>
      <c r="L3561" s="442"/>
      <c r="M3561" s="426"/>
      <c r="N3561" s="173"/>
      <c r="O3561" s="173"/>
      <c r="P3561" s="262"/>
      <c r="Q3561" s="173"/>
      <c r="R3561" s="425"/>
      <c r="S3561" s="339"/>
      <c r="T3561" s="427"/>
      <c r="U3561" s="427"/>
      <c r="V3561" s="428"/>
      <c r="W3561" s="429"/>
      <c r="X3561" s="430"/>
      <c r="Y3561" s="33"/>
      <c r="Z3561" s="430"/>
      <c r="AA3561" s="430"/>
      <c r="AB3561" s="258"/>
      <c r="AC3561" s="430"/>
      <c r="AD3561" s="426"/>
      <c r="AE3561" s="428"/>
      <c r="AF3561" s="431"/>
      <c r="AG3561" s="432"/>
      <c r="AH3561" s="430"/>
      <c r="AI3561" s="430"/>
      <c r="AJ3561" s="430"/>
      <c r="AK3561" s="430"/>
      <c r="AL3561" s="430"/>
      <c r="AM3561" s="433"/>
      <c r="AN3561" s="430"/>
      <c r="AO3561" s="430"/>
      <c r="AP3561" s="430"/>
      <c r="AQ3561" s="430"/>
      <c r="AR3561" s="430"/>
      <c r="AS3561" s="430"/>
      <c r="AT3561" s="430"/>
      <c r="AU3561" s="426"/>
      <c r="AV3561" s="174"/>
      <c r="AW3561" s="269"/>
      <c r="AX3561" s="269"/>
      <c r="AY3561" s="270"/>
      <c r="AZ3561" s="435"/>
      <c r="BA3561" s="173"/>
      <c r="BB3561" s="434"/>
      <c r="BC3561" s="434"/>
      <c r="BD3561" s="308"/>
      <c r="BE3561" s="436"/>
      <c r="BF3561" s="274" t="str">
        <f>IFERROR(__xludf.DUMMYFUNCTION("LOWER(Regexreplace(to_text(E3561),""[^A-Za-z0-9]"","""")&amp;""_""&amp;Regexreplace(to_text(F3561),""[^A-Za-z0-9]"",""""))"),"_")</f>
        <v>_</v>
      </c>
      <c r="BG3561" s="275" t="str">
        <f>IFERROR(__xludf.DUMMYFUNCTION("upper(Regexreplace(to_text(E3561),""[^A-Za-z0-9]"","""")&amp;""-""&amp;Regexreplace(to_text(F3561),""[^A-Za-z0-9]"",""""))"),"-")</f>
        <v>-</v>
      </c>
    </row>
    <row r="3562" ht="30.0" customHeight="1">
      <c r="A3562" s="237"/>
      <c r="B3562" s="425"/>
      <c r="C3562" s="257"/>
      <c r="D3562" s="173"/>
      <c r="E3562" s="174"/>
      <c r="F3562" s="173"/>
      <c r="G3562" s="425"/>
      <c r="H3562" s="425"/>
      <c r="I3562" s="258"/>
      <c r="J3562" s="259"/>
      <c r="K3562" s="260"/>
      <c r="L3562" s="442"/>
      <c r="M3562" s="426"/>
      <c r="N3562" s="173"/>
      <c r="O3562" s="173"/>
      <c r="P3562" s="262"/>
      <c r="Q3562" s="173"/>
      <c r="R3562" s="425"/>
      <c r="S3562" s="339"/>
      <c r="T3562" s="427"/>
      <c r="U3562" s="427"/>
      <c r="V3562" s="428"/>
      <c r="W3562" s="429"/>
      <c r="X3562" s="430"/>
      <c r="Y3562" s="33"/>
      <c r="Z3562" s="430"/>
      <c r="AA3562" s="430"/>
      <c r="AB3562" s="258"/>
      <c r="AC3562" s="430"/>
      <c r="AD3562" s="426"/>
      <c r="AE3562" s="428"/>
      <c r="AF3562" s="431"/>
      <c r="AG3562" s="432"/>
      <c r="AH3562" s="430"/>
      <c r="AI3562" s="430"/>
      <c r="AJ3562" s="430"/>
      <c r="AK3562" s="430"/>
      <c r="AL3562" s="430"/>
      <c r="AM3562" s="433"/>
      <c r="AN3562" s="430"/>
      <c r="AO3562" s="430"/>
      <c r="AP3562" s="430"/>
      <c r="AQ3562" s="430"/>
      <c r="AR3562" s="430"/>
      <c r="AS3562" s="430"/>
      <c r="AT3562" s="430"/>
      <c r="AU3562" s="426"/>
      <c r="AV3562" s="174"/>
      <c r="AW3562" s="269"/>
      <c r="AX3562" s="269"/>
      <c r="AY3562" s="270"/>
      <c r="AZ3562" s="435"/>
      <c r="BA3562" s="173"/>
      <c r="BB3562" s="434"/>
      <c r="BC3562" s="434"/>
      <c r="BD3562" s="308"/>
      <c r="BE3562" s="436"/>
      <c r="BF3562" s="274" t="str">
        <f>IFERROR(__xludf.DUMMYFUNCTION("LOWER(Regexreplace(to_text(E3562),""[^A-Za-z0-9]"","""")&amp;""_""&amp;Regexreplace(to_text(F3562),""[^A-Za-z0-9]"",""""))"),"_")</f>
        <v>_</v>
      </c>
      <c r="BG3562" s="275" t="str">
        <f>IFERROR(__xludf.DUMMYFUNCTION("upper(Regexreplace(to_text(E3562),""[^A-Za-z0-9]"","""")&amp;""-""&amp;Regexreplace(to_text(F3562),""[^A-Za-z0-9]"",""""))"),"-")</f>
        <v>-</v>
      </c>
    </row>
    <row r="3563" ht="30.0" customHeight="1">
      <c r="A3563" s="237"/>
      <c r="B3563" s="425"/>
      <c r="C3563" s="257"/>
      <c r="D3563" s="173"/>
      <c r="E3563" s="174"/>
      <c r="F3563" s="173"/>
      <c r="G3563" s="425"/>
      <c r="H3563" s="425"/>
      <c r="I3563" s="258"/>
      <c r="J3563" s="259"/>
      <c r="K3563" s="260"/>
      <c r="L3563" s="442"/>
      <c r="M3563" s="426"/>
      <c r="N3563" s="173"/>
      <c r="O3563" s="173"/>
      <c r="P3563" s="262"/>
      <c r="Q3563" s="173"/>
      <c r="R3563" s="425"/>
      <c r="S3563" s="339"/>
      <c r="T3563" s="427"/>
      <c r="U3563" s="427"/>
      <c r="V3563" s="428"/>
      <c r="W3563" s="429"/>
      <c r="X3563" s="430"/>
      <c r="Y3563" s="33"/>
      <c r="Z3563" s="430"/>
      <c r="AA3563" s="430"/>
      <c r="AB3563" s="258"/>
      <c r="AC3563" s="430"/>
      <c r="AD3563" s="426"/>
      <c r="AE3563" s="428"/>
      <c r="AF3563" s="431"/>
      <c r="AG3563" s="432"/>
      <c r="AH3563" s="430"/>
      <c r="AI3563" s="430"/>
      <c r="AJ3563" s="430"/>
      <c r="AK3563" s="430"/>
      <c r="AL3563" s="430"/>
      <c r="AM3563" s="433"/>
      <c r="AN3563" s="430"/>
      <c r="AO3563" s="430"/>
      <c r="AP3563" s="430"/>
      <c r="AQ3563" s="430"/>
      <c r="AR3563" s="430"/>
      <c r="AS3563" s="430"/>
      <c r="AT3563" s="430"/>
      <c r="AU3563" s="426"/>
      <c r="AV3563" s="174"/>
      <c r="AW3563" s="269"/>
      <c r="AX3563" s="269"/>
      <c r="AY3563" s="270"/>
      <c r="AZ3563" s="435"/>
      <c r="BA3563" s="173"/>
      <c r="BB3563" s="434"/>
      <c r="BC3563" s="434"/>
      <c r="BD3563" s="308"/>
      <c r="BE3563" s="436"/>
      <c r="BF3563" s="274" t="str">
        <f>IFERROR(__xludf.DUMMYFUNCTION("LOWER(Regexreplace(to_text(E3563),""[^A-Za-z0-9]"","""")&amp;""_""&amp;Regexreplace(to_text(F3563),""[^A-Za-z0-9]"",""""))"),"_")</f>
        <v>_</v>
      </c>
      <c r="BG3563" s="275" t="str">
        <f>IFERROR(__xludf.DUMMYFUNCTION("upper(Regexreplace(to_text(E3563),""[^A-Za-z0-9]"","""")&amp;""-""&amp;Regexreplace(to_text(F3563),""[^A-Za-z0-9]"",""""))"),"-")</f>
        <v>-</v>
      </c>
    </row>
    <row r="3564" ht="30.0" customHeight="1">
      <c r="A3564" s="237"/>
      <c r="B3564" s="425"/>
      <c r="C3564" s="257"/>
      <c r="D3564" s="173"/>
      <c r="E3564" s="174"/>
      <c r="F3564" s="173"/>
      <c r="G3564" s="425"/>
      <c r="H3564" s="425"/>
      <c r="I3564" s="258"/>
      <c r="J3564" s="259"/>
      <c r="K3564" s="260"/>
      <c r="L3564" s="442"/>
      <c r="M3564" s="426"/>
      <c r="N3564" s="173"/>
      <c r="O3564" s="173"/>
      <c r="P3564" s="262"/>
      <c r="Q3564" s="173"/>
      <c r="R3564" s="425"/>
      <c r="S3564" s="339"/>
      <c r="T3564" s="427"/>
      <c r="U3564" s="427"/>
      <c r="V3564" s="428"/>
      <c r="W3564" s="429"/>
      <c r="X3564" s="430"/>
      <c r="Y3564" s="33"/>
      <c r="Z3564" s="430"/>
      <c r="AA3564" s="430"/>
      <c r="AB3564" s="258"/>
      <c r="AC3564" s="430"/>
      <c r="AD3564" s="426"/>
      <c r="AE3564" s="428"/>
      <c r="AF3564" s="431"/>
      <c r="AG3564" s="432"/>
      <c r="AH3564" s="430"/>
      <c r="AI3564" s="430"/>
      <c r="AJ3564" s="430"/>
      <c r="AK3564" s="430"/>
      <c r="AL3564" s="430"/>
      <c r="AM3564" s="433"/>
      <c r="AN3564" s="430"/>
      <c r="AO3564" s="430"/>
      <c r="AP3564" s="430"/>
      <c r="AQ3564" s="430"/>
      <c r="AR3564" s="430"/>
      <c r="AS3564" s="430"/>
      <c r="AT3564" s="430"/>
      <c r="AU3564" s="426"/>
      <c r="AV3564" s="174"/>
      <c r="AW3564" s="269"/>
      <c r="AX3564" s="269"/>
      <c r="AY3564" s="270"/>
      <c r="AZ3564" s="435"/>
      <c r="BA3564" s="173"/>
      <c r="BB3564" s="434"/>
      <c r="BC3564" s="434"/>
      <c r="BD3564" s="308"/>
      <c r="BE3564" s="436"/>
      <c r="BF3564" s="274" t="str">
        <f>IFERROR(__xludf.DUMMYFUNCTION("LOWER(Regexreplace(to_text(E3564),""[^A-Za-z0-9]"","""")&amp;""_""&amp;Regexreplace(to_text(F3564),""[^A-Za-z0-9]"",""""))"),"_")</f>
        <v>_</v>
      </c>
      <c r="BG3564" s="275" t="str">
        <f>IFERROR(__xludf.DUMMYFUNCTION("upper(Regexreplace(to_text(E3564),""[^A-Za-z0-9]"","""")&amp;""-""&amp;Regexreplace(to_text(F3564),""[^A-Za-z0-9]"",""""))"),"-")</f>
        <v>-</v>
      </c>
    </row>
    <row r="3565" ht="30.0" customHeight="1">
      <c r="A3565" s="237"/>
      <c r="B3565" s="425"/>
      <c r="C3565" s="257"/>
      <c r="D3565" s="173"/>
      <c r="E3565" s="174"/>
      <c r="F3565" s="173"/>
      <c r="G3565" s="425"/>
      <c r="H3565" s="425"/>
      <c r="I3565" s="258"/>
      <c r="J3565" s="259"/>
      <c r="K3565" s="260"/>
      <c r="L3565" s="442"/>
      <c r="M3565" s="426"/>
      <c r="N3565" s="173"/>
      <c r="O3565" s="173"/>
      <c r="P3565" s="262"/>
      <c r="Q3565" s="173"/>
      <c r="R3565" s="425"/>
      <c r="S3565" s="339"/>
      <c r="T3565" s="427"/>
      <c r="U3565" s="427"/>
      <c r="V3565" s="428"/>
      <c r="W3565" s="429"/>
      <c r="X3565" s="430"/>
      <c r="Y3565" s="33"/>
      <c r="Z3565" s="430"/>
      <c r="AA3565" s="430"/>
      <c r="AB3565" s="258"/>
      <c r="AC3565" s="430"/>
      <c r="AD3565" s="426"/>
      <c r="AE3565" s="428"/>
      <c r="AF3565" s="431"/>
      <c r="AG3565" s="432"/>
      <c r="AH3565" s="430"/>
      <c r="AI3565" s="430"/>
      <c r="AJ3565" s="430"/>
      <c r="AK3565" s="430"/>
      <c r="AL3565" s="430"/>
      <c r="AM3565" s="433"/>
      <c r="AN3565" s="430"/>
      <c r="AO3565" s="430"/>
      <c r="AP3565" s="430"/>
      <c r="AQ3565" s="430"/>
      <c r="AR3565" s="430"/>
      <c r="AS3565" s="430"/>
      <c r="AT3565" s="430"/>
      <c r="AU3565" s="426"/>
      <c r="AV3565" s="174"/>
      <c r="AW3565" s="269"/>
      <c r="AX3565" s="269"/>
      <c r="AY3565" s="270"/>
      <c r="AZ3565" s="435"/>
      <c r="BA3565" s="173"/>
      <c r="BB3565" s="434"/>
      <c r="BC3565" s="434"/>
      <c r="BD3565" s="308"/>
      <c r="BE3565" s="436"/>
      <c r="BF3565" s="274" t="str">
        <f>IFERROR(__xludf.DUMMYFUNCTION("LOWER(Regexreplace(to_text(E3565),""[^A-Za-z0-9]"","""")&amp;""_""&amp;Regexreplace(to_text(F3565),""[^A-Za-z0-9]"",""""))"),"_")</f>
        <v>_</v>
      </c>
      <c r="BG3565" s="275" t="str">
        <f>IFERROR(__xludf.DUMMYFUNCTION("upper(Regexreplace(to_text(E3565),""[^A-Za-z0-9]"","""")&amp;""-""&amp;Regexreplace(to_text(F3565),""[^A-Za-z0-9]"",""""))"),"-")</f>
        <v>-</v>
      </c>
    </row>
    <row r="3566" ht="30.0" customHeight="1">
      <c r="A3566" s="237"/>
      <c r="B3566" s="425"/>
      <c r="C3566" s="257"/>
      <c r="D3566" s="173"/>
      <c r="E3566" s="174"/>
      <c r="F3566" s="173"/>
      <c r="G3566" s="425"/>
      <c r="H3566" s="425"/>
      <c r="I3566" s="258"/>
      <c r="J3566" s="259"/>
      <c r="K3566" s="260"/>
      <c r="L3566" s="442"/>
      <c r="M3566" s="426"/>
      <c r="N3566" s="173"/>
      <c r="O3566" s="173"/>
      <c r="P3566" s="262"/>
      <c r="Q3566" s="173"/>
      <c r="R3566" s="425"/>
      <c r="S3566" s="339"/>
      <c r="T3566" s="427"/>
      <c r="U3566" s="427"/>
      <c r="V3566" s="428"/>
      <c r="W3566" s="429"/>
      <c r="X3566" s="430"/>
      <c r="Y3566" s="33"/>
      <c r="Z3566" s="430"/>
      <c r="AA3566" s="430"/>
      <c r="AB3566" s="258"/>
      <c r="AC3566" s="430"/>
      <c r="AD3566" s="426"/>
      <c r="AE3566" s="428"/>
      <c r="AF3566" s="431"/>
      <c r="AG3566" s="432"/>
      <c r="AH3566" s="430"/>
      <c r="AI3566" s="430"/>
      <c r="AJ3566" s="430"/>
      <c r="AK3566" s="430"/>
      <c r="AL3566" s="430"/>
      <c r="AM3566" s="433"/>
      <c r="AN3566" s="430"/>
      <c r="AO3566" s="430"/>
      <c r="AP3566" s="430"/>
      <c r="AQ3566" s="430"/>
      <c r="AR3566" s="430"/>
      <c r="AS3566" s="430"/>
      <c r="AT3566" s="430"/>
      <c r="AU3566" s="426"/>
      <c r="AV3566" s="174"/>
      <c r="AW3566" s="269"/>
      <c r="AX3566" s="269"/>
      <c r="AY3566" s="270"/>
      <c r="AZ3566" s="435"/>
      <c r="BA3566" s="173"/>
      <c r="BB3566" s="434"/>
      <c r="BC3566" s="434"/>
      <c r="BD3566" s="308"/>
      <c r="BE3566" s="436"/>
      <c r="BF3566" s="274" t="str">
        <f>IFERROR(__xludf.DUMMYFUNCTION("LOWER(Regexreplace(to_text(E3566),""[^A-Za-z0-9]"","""")&amp;""_""&amp;Regexreplace(to_text(F3566),""[^A-Za-z0-9]"",""""))"),"_")</f>
        <v>_</v>
      </c>
      <c r="BG3566" s="275" t="str">
        <f>IFERROR(__xludf.DUMMYFUNCTION("upper(Regexreplace(to_text(E3566),""[^A-Za-z0-9]"","""")&amp;""-""&amp;Regexreplace(to_text(F3566),""[^A-Za-z0-9]"",""""))"),"-")</f>
        <v>-</v>
      </c>
    </row>
    <row r="3567" ht="30.0" customHeight="1">
      <c r="A3567" s="237"/>
      <c r="B3567" s="425"/>
      <c r="C3567" s="257"/>
      <c r="D3567" s="173"/>
      <c r="E3567" s="174"/>
      <c r="F3567" s="173"/>
      <c r="G3567" s="425"/>
      <c r="H3567" s="425"/>
      <c r="I3567" s="258"/>
      <c r="J3567" s="259"/>
      <c r="K3567" s="260"/>
      <c r="L3567" s="442"/>
      <c r="M3567" s="426"/>
      <c r="N3567" s="173"/>
      <c r="O3567" s="173"/>
      <c r="P3567" s="262"/>
      <c r="Q3567" s="173"/>
      <c r="R3567" s="425"/>
      <c r="S3567" s="339"/>
      <c r="T3567" s="427"/>
      <c r="U3567" s="427"/>
      <c r="V3567" s="428"/>
      <c r="W3567" s="429"/>
      <c r="X3567" s="430"/>
      <c r="Y3567" s="33"/>
      <c r="Z3567" s="430"/>
      <c r="AA3567" s="430"/>
      <c r="AB3567" s="258"/>
      <c r="AC3567" s="430"/>
      <c r="AD3567" s="426"/>
      <c r="AE3567" s="428"/>
      <c r="AF3567" s="431"/>
      <c r="AG3567" s="432"/>
      <c r="AH3567" s="430"/>
      <c r="AI3567" s="430"/>
      <c r="AJ3567" s="430"/>
      <c r="AK3567" s="430"/>
      <c r="AL3567" s="430"/>
      <c r="AM3567" s="433"/>
      <c r="AN3567" s="430"/>
      <c r="AO3567" s="430"/>
      <c r="AP3567" s="430"/>
      <c r="AQ3567" s="430"/>
      <c r="AR3567" s="430"/>
      <c r="AS3567" s="430"/>
      <c r="AT3567" s="430"/>
      <c r="AU3567" s="426"/>
      <c r="AV3567" s="174"/>
      <c r="AW3567" s="269"/>
      <c r="AX3567" s="269"/>
      <c r="AY3567" s="270"/>
      <c r="AZ3567" s="435"/>
      <c r="BA3567" s="173"/>
      <c r="BB3567" s="434"/>
      <c r="BC3567" s="434"/>
      <c r="BD3567" s="308"/>
      <c r="BE3567" s="436"/>
      <c r="BF3567" s="274" t="str">
        <f>IFERROR(__xludf.DUMMYFUNCTION("LOWER(Regexreplace(to_text(E3567),""[^A-Za-z0-9]"","""")&amp;""_""&amp;Regexreplace(to_text(F3567),""[^A-Za-z0-9]"",""""))"),"_")</f>
        <v>_</v>
      </c>
      <c r="BG3567" s="275" t="str">
        <f>IFERROR(__xludf.DUMMYFUNCTION("upper(Regexreplace(to_text(E3567),""[^A-Za-z0-9]"","""")&amp;""-""&amp;Regexreplace(to_text(F3567),""[^A-Za-z0-9]"",""""))"),"-")</f>
        <v>-</v>
      </c>
    </row>
    <row r="3568" ht="30.0" customHeight="1">
      <c r="A3568" s="237"/>
      <c r="B3568" s="425"/>
      <c r="C3568" s="257"/>
      <c r="D3568" s="173"/>
      <c r="E3568" s="174"/>
      <c r="F3568" s="173"/>
      <c r="G3568" s="425"/>
      <c r="H3568" s="425"/>
      <c r="I3568" s="258"/>
      <c r="J3568" s="259"/>
      <c r="K3568" s="260"/>
      <c r="L3568" s="442"/>
      <c r="M3568" s="426"/>
      <c r="N3568" s="173"/>
      <c r="O3568" s="173"/>
      <c r="P3568" s="262"/>
      <c r="Q3568" s="173"/>
      <c r="R3568" s="425"/>
      <c r="S3568" s="339"/>
      <c r="T3568" s="427"/>
      <c r="U3568" s="427"/>
      <c r="V3568" s="428"/>
      <c r="W3568" s="429"/>
      <c r="X3568" s="430"/>
      <c r="Y3568" s="33"/>
      <c r="Z3568" s="430"/>
      <c r="AA3568" s="430"/>
      <c r="AB3568" s="258"/>
      <c r="AC3568" s="430"/>
      <c r="AD3568" s="426"/>
      <c r="AE3568" s="428"/>
      <c r="AF3568" s="431"/>
      <c r="AG3568" s="432"/>
      <c r="AH3568" s="430"/>
      <c r="AI3568" s="430"/>
      <c r="AJ3568" s="430"/>
      <c r="AK3568" s="430"/>
      <c r="AL3568" s="430"/>
      <c r="AM3568" s="433"/>
      <c r="AN3568" s="430"/>
      <c r="AO3568" s="430"/>
      <c r="AP3568" s="430"/>
      <c r="AQ3568" s="430"/>
      <c r="AR3568" s="430"/>
      <c r="AS3568" s="430"/>
      <c r="AT3568" s="430"/>
      <c r="AU3568" s="426"/>
      <c r="AV3568" s="174"/>
      <c r="AW3568" s="269"/>
      <c r="AX3568" s="269"/>
      <c r="AY3568" s="270"/>
      <c r="AZ3568" s="435"/>
      <c r="BA3568" s="173"/>
      <c r="BB3568" s="434"/>
      <c r="BC3568" s="434"/>
      <c r="BD3568" s="308"/>
      <c r="BE3568" s="436"/>
      <c r="BF3568" s="274" t="str">
        <f>IFERROR(__xludf.DUMMYFUNCTION("LOWER(Regexreplace(to_text(E3568),""[^A-Za-z0-9]"","""")&amp;""_""&amp;Regexreplace(to_text(F3568),""[^A-Za-z0-9]"",""""))"),"_")</f>
        <v>_</v>
      </c>
      <c r="BG3568" s="275" t="str">
        <f>IFERROR(__xludf.DUMMYFUNCTION("upper(Regexreplace(to_text(E3568),""[^A-Za-z0-9]"","""")&amp;""-""&amp;Regexreplace(to_text(F3568),""[^A-Za-z0-9]"",""""))"),"-")</f>
        <v>-</v>
      </c>
    </row>
    <row r="3569" ht="30.0" customHeight="1">
      <c r="A3569" s="237"/>
      <c r="B3569" s="425"/>
      <c r="C3569" s="257"/>
      <c r="D3569" s="173"/>
      <c r="E3569" s="174"/>
      <c r="F3569" s="173"/>
      <c r="G3569" s="425"/>
      <c r="H3569" s="425"/>
      <c r="I3569" s="258"/>
      <c r="J3569" s="259"/>
      <c r="K3569" s="260"/>
      <c r="L3569" s="442"/>
      <c r="M3569" s="426"/>
      <c r="N3569" s="173"/>
      <c r="O3569" s="173"/>
      <c r="P3569" s="262"/>
      <c r="Q3569" s="173"/>
      <c r="R3569" s="425"/>
      <c r="S3569" s="339"/>
      <c r="T3569" s="427"/>
      <c r="U3569" s="427"/>
      <c r="V3569" s="428"/>
      <c r="W3569" s="429"/>
      <c r="X3569" s="430"/>
      <c r="Y3569" s="33"/>
      <c r="Z3569" s="430"/>
      <c r="AA3569" s="430"/>
      <c r="AB3569" s="258"/>
      <c r="AC3569" s="430"/>
      <c r="AD3569" s="426"/>
      <c r="AE3569" s="428"/>
      <c r="AF3569" s="431"/>
      <c r="AG3569" s="432"/>
      <c r="AH3569" s="430"/>
      <c r="AI3569" s="430"/>
      <c r="AJ3569" s="430"/>
      <c r="AK3569" s="430"/>
      <c r="AL3569" s="430"/>
      <c r="AM3569" s="433"/>
      <c r="AN3569" s="430"/>
      <c r="AO3569" s="430"/>
      <c r="AP3569" s="430"/>
      <c r="AQ3569" s="430"/>
      <c r="AR3569" s="430"/>
      <c r="AS3569" s="430"/>
      <c r="AT3569" s="430"/>
      <c r="AU3569" s="426"/>
      <c r="AV3569" s="174"/>
      <c r="AW3569" s="269"/>
      <c r="AX3569" s="269"/>
      <c r="AY3569" s="270"/>
      <c r="AZ3569" s="435"/>
      <c r="BA3569" s="173"/>
      <c r="BB3569" s="434"/>
      <c r="BC3569" s="434"/>
      <c r="BD3569" s="308"/>
      <c r="BE3569" s="436"/>
      <c r="BF3569" s="274" t="str">
        <f>IFERROR(__xludf.DUMMYFUNCTION("LOWER(Regexreplace(to_text(E3569),""[^A-Za-z0-9]"","""")&amp;""_""&amp;Regexreplace(to_text(F3569),""[^A-Za-z0-9]"",""""))"),"_")</f>
        <v>_</v>
      </c>
      <c r="BG3569" s="275" t="str">
        <f>IFERROR(__xludf.DUMMYFUNCTION("upper(Regexreplace(to_text(E3569),""[^A-Za-z0-9]"","""")&amp;""-""&amp;Regexreplace(to_text(F3569),""[^A-Za-z0-9]"",""""))"),"-")</f>
        <v>-</v>
      </c>
    </row>
    <row r="3570" ht="30.0" customHeight="1">
      <c r="A3570" s="237"/>
      <c r="B3570" s="425"/>
      <c r="C3570" s="257"/>
      <c r="D3570" s="173"/>
      <c r="E3570" s="174"/>
      <c r="F3570" s="173"/>
      <c r="G3570" s="425"/>
      <c r="H3570" s="425"/>
      <c r="I3570" s="258"/>
      <c r="J3570" s="259"/>
      <c r="K3570" s="260"/>
      <c r="L3570" s="442"/>
      <c r="M3570" s="426"/>
      <c r="N3570" s="173"/>
      <c r="O3570" s="173"/>
      <c r="P3570" s="262"/>
      <c r="Q3570" s="173"/>
      <c r="R3570" s="425"/>
      <c r="S3570" s="339"/>
      <c r="T3570" s="427"/>
      <c r="U3570" s="427"/>
      <c r="V3570" s="428"/>
      <c r="W3570" s="429"/>
      <c r="X3570" s="430"/>
      <c r="Y3570" s="33"/>
      <c r="Z3570" s="430"/>
      <c r="AA3570" s="430"/>
      <c r="AB3570" s="258"/>
      <c r="AC3570" s="430"/>
      <c r="AD3570" s="426"/>
      <c r="AE3570" s="428"/>
      <c r="AF3570" s="431"/>
      <c r="AG3570" s="432"/>
      <c r="AH3570" s="430"/>
      <c r="AI3570" s="430"/>
      <c r="AJ3570" s="430"/>
      <c r="AK3570" s="430"/>
      <c r="AL3570" s="430"/>
      <c r="AM3570" s="433"/>
      <c r="AN3570" s="430"/>
      <c r="AO3570" s="430"/>
      <c r="AP3570" s="430"/>
      <c r="AQ3570" s="430"/>
      <c r="AR3570" s="430"/>
      <c r="AS3570" s="430"/>
      <c r="AT3570" s="430"/>
      <c r="AU3570" s="426"/>
      <c r="AV3570" s="174"/>
      <c r="AW3570" s="269"/>
      <c r="AX3570" s="269"/>
      <c r="AY3570" s="270"/>
      <c r="AZ3570" s="435"/>
      <c r="BA3570" s="173"/>
      <c r="BB3570" s="434"/>
      <c r="BC3570" s="434"/>
      <c r="BD3570" s="308"/>
      <c r="BE3570" s="436"/>
      <c r="BF3570" s="274" t="str">
        <f>IFERROR(__xludf.DUMMYFUNCTION("LOWER(Regexreplace(to_text(E3570),""[^A-Za-z0-9]"","""")&amp;""_""&amp;Regexreplace(to_text(F3570),""[^A-Za-z0-9]"",""""))"),"_")</f>
        <v>_</v>
      </c>
      <c r="BG3570" s="275" t="str">
        <f>IFERROR(__xludf.DUMMYFUNCTION("upper(Regexreplace(to_text(E3570),""[^A-Za-z0-9]"","""")&amp;""-""&amp;Regexreplace(to_text(F3570),""[^A-Za-z0-9]"",""""))"),"-")</f>
        <v>-</v>
      </c>
    </row>
    <row r="3571" ht="30.0" customHeight="1">
      <c r="A3571" s="237"/>
      <c r="B3571" s="425"/>
      <c r="C3571" s="257"/>
      <c r="D3571" s="173"/>
      <c r="E3571" s="174"/>
      <c r="F3571" s="173"/>
      <c r="G3571" s="425"/>
      <c r="H3571" s="425"/>
      <c r="I3571" s="258"/>
      <c r="J3571" s="259"/>
      <c r="K3571" s="260"/>
      <c r="L3571" s="442"/>
      <c r="M3571" s="426"/>
      <c r="N3571" s="173"/>
      <c r="O3571" s="173"/>
      <c r="P3571" s="262"/>
      <c r="Q3571" s="173"/>
      <c r="R3571" s="425"/>
      <c r="S3571" s="339"/>
      <c r="T3571" s="427"/>
      <c r="U3571" s="427"/>
      <c r="V3571" s="428"/>
      <c r="W3571" s="429"/>
      <c r="X3571" s="430"/>
      <c r="Y3571" s="33"/>
      <c r="Z3571" s="430"/>
      <c r="AA3571" s="430"/>
      <c r="AB3571" s="258"/>
      <c r="AC3571" s="430"/>
      <c r="AD3571" s="426"/>
      <c r="AE3571" s="428"/>
      <c r="AF3571" s="431"/>
      <c r="AG3571" s="432"/>
      <c r="AH3571" s="430"/>
      <c r="AI3571" s="430"/>
      <c r="AJ3571" s="430"/>
      <c r="AK3571" s="430"/>
      <c r="AL3571" s="430"/>
      <c r="AM3571" s="433"/>
      <c r="AN3571" s="430"/>
      <c r="AO3571" s="430"/>
      <c r="AP3571" s="430"/>
      <c r="AQ3571" s="430"/>
      <c r="AR3571" s="430"/>
      <c r="AS3571" s="430"/>
      <c r="AT3571" s="430"/>
      <c r="AU3571" s="426"/>
      <c r="AV3571" s="174"/>
      <c r="AW3571" s="269"/>
      <c r="AX3571" s="269"/>
      <c r="AY3571" s="270"/>
      <c r="AZ3571" s="435"/>
      <c r="BA3571" s="173"/>
      <c r="BB3571" s="434"/>
      <c r="BC3571" s="434"/>
      <c r="BD3571" s="308"/>
      <c r="BE3571" s="436"/>
      <c r="BF3571" s="274" t="str">
        <f>IFERROR(__xludf.DUMMYFUNCTION("LOWER(Regexreplace(to_text(E3571),""[^A-Za-z0-9]"","""")&amp;""_""&amp;Regexreplace(to_text(F3571),""[^A-Za-z0-9]"",""""))"),"_")</f>
        <v>_</v>
      </c>
      <c r="BG3571" s="275" t="str">
        <f>IFERROR(__xludf.DUMMYFUNCTION("upper(Regexreplace(to_text(E3571),""[^A-Za-z0-9]"","""")&amp;""-""&amp;Regexreplace(to_text(F3571),""[^A-Za-z0-9]"",""""))"),"-")</f>
        <v>-</v>
      </c>
    </row>
    <row r="3572" ht="30.0" customHeight="1">
      <c r="A3572" s="237"/>
      <c r="B3572" s="425"/>
      <c r="C3572" s="257"/>
      <c r="D3572" s="173"/>
      <c r="E3572" s="174"/>
      <c r="F3572" s="173"/>
      <c r="G3572" s="425"/>
      <c r="H3572" s="425"/>
      <c r="I3572" s="258"/>
      <c r="J3572" s="259"/>
      <c r="K3572" s="260"/>
      <c r="L3572" s="442"/>
      <c r="M3572" s="426"/>
      <c r="N3572" s="173"/>
      <c r="O3572" s="173"/>
      <c r="P3572" s="262"/>
      <c r="Q3572" s="173"/>
      <c r="R3572" s="425"/>
      <c r="S3572" s="339"/>
      <c r="T3572" s="427"/>
      <c r="U3572" s="427"/>
      <c r="V3572" s="428"/>
      <c r="W3572" s="429"/>
      <c r="X3572" s="430"/>
      <c r="Y3572" s="33"/>
      <c r="Z3572" s="430"/>
      <c r="AA3572" s="430"/>
      <c r="AB3572" s="258"/>
      <c r="AC3572" s="430"/>
      <c r="AD3572" s="426"/>
      <c r="AE3572" s="428"/>
      <c r="AF3572" s="431"/>
      <c r="AG3572" s="432"/>
      <c r="AH3572" s="430"/>
      <c r="AI3572" s="430"/>
      <c r="AJ3572" s="430"/>
      <c r="AK3572" s="430"/>
      <c r="AL3572" s="430"/>
      <c r="AM3572" s="433"/>
      <c r="AN3572" s="430"/>
      <c r="AO3572" s="430"/>
      <c r="AP3572" s="430"/>
      <c r="AQ3572" s="430"/>
      <c r="AR3572" s="430"/>
      <c r="AS3572" s="430"/>
      <c r="AT3572" s="430"/>
      <c r="AU3572" s="426"/>
      <c r="AV3572" s="174"/>
      <c r="AW3572" s="269"/>
      <c r="AX3572" s="269"/>
      <c r="AY3572" s="270"/>
      <c r="AZ3572" s="435"/>
      <c r="BA3572" s="173"/>
      <c r="BB3572" s="434"/>
      <c r="BC3572" s="434"/>
      <c r="BD3572" s="308"/>
      <c r="BE3572" s="436"/>
      <c r="BF3572" s="274" t="str">
        <f>IFERROR(__xludf.DUMMYFUNCTION("LOWER(Regexreplace(to_text(E3572),""[^A-Za-z0-9]"","""")&amp;""_""&amp;Regexreplace(to_text(F3572),""[^A-Za-z0-9]"",""""))"),"_")</f>
        <v>_</v>
      </c>
      <c r="BG3572" s="275" t="str">
        <f>IFERROR(__xludf.DUMMYFUNCTION("upper(Regexreplace(to_text(E3572),""[^A-Za-z0-9]"","""")&amp;""-""&amp;Regexreplace(to_text(F3572),""[^A-Za-z0-9]"",""""))"),"-")</f>
        <v>-</v>
      </c>
    </row>
    <row r="3573" ht="30.0" customHeight="1">
      <c r="A3573" s="237"/>
      <c r="B3573" s="425"/>
      <c r="C3573" s="257"/>
      <c r="D3573" s="173"/>
      <c r="E3573" s="174"/>
      <c r="F3573" s="173"/>
      <c r="G3573" s="425"/>
      <c r="H3573" s="425"/>
      <c r="I3573" s="258"/>
      <c r="J3573" s="259"/>
      <c r="K3573" s="260"/>
      <c r="L3573" s="442"/>
      <c r="M3573" s="426"/>
      <c r="N3573" s="173"/>
      <c r="O3573" s="173"/>
      <c r="P3573" s="262"/>
      <c r="Q3573" s="173"/>
      <c r="R3573" s="425"/>
      <c r="S3573" s="339"/>
      <c r="T3573" s="427"/>
      <c r="U3573" s="427"/>
      <c r="V3573" s="428"/>
      <c r="W3573" s="429"/>
      <c r="X3573" s="430"/>
      <c r="Y3573" s="33"/>
      <c r="Z3573" s="430"/>
      <c r="AA3573" s="430"/>
      <c r="AB3573" s="258"/>
      <c r="AC3573" s="430"/>
      <c r="AD3573" s="426"/>
      <c r="AE3573" s="428"/>
      <c r="AF3573" s="431"/>
      <c r="AG3573" s="432"/>
      <c r="AH3573" s="430"/>
      <c r="AI3573" s="430"/>
      <c r="AJ3573" s="430"/>
      <c r="AK3573" s="430"/>
      <c r="AL3573" s="430"/>
      <c r="AM3573" s="433"/>
      <c r="AN3573" s="430"/>
      <c r="AO3573" s="430"/>
      <c r="AP3573" s="430"/>
      <c r="AQ3573" s="430"/>
      <c r="AR3573" s="430"/>
      <c r="AS3573" s="430"/>
      <c r="AT3573" s="430"/>
      <c r="AU3573" s="426"/>
      <c r="AV3573" s="174"/>
      <c r="AW3573" s="269"/>
      <c r="AX3573" s="269"/>
      <c r="AY3573" s="270"/>
      <c r="AZ3573" s="435"/>
      <c r="BA3573" s="173"/>
      <c r="BB3573" s="434"/>
      <c r="BC3573" s="434"/>
      <c r="BD3573" s="308"/>
      <c r="BE3573" s="436"/>
      <c r="BF3573" s="274" t="str">
        <f>IFERROR(__xludf.DUMMYFUNCTION("LOWER(Regexreplace(to_text(E3573),""[^A-Za-z0-9]"","""")&amp;""_""&amp;Regexreplace(to_text(F3573),""[^A-Za-z0-9]"",""""))"),"_")</f>
        <v>_</v>
      </c>
      <c r="BG3573" s="275" t="str">
        <f>IFERROR(__xludf.DUMMYFUNCTION("upper(Regexreplace(to_text(E3573),""[^A-Za-z0-9]"","""")&amp;""-""&amp;Regexreplace(to_text(F3573),""[^A-Za-z0-9]"",""""))"),"-")</f>
        <v>-</v>
      </c>
    </row>
    <row r="3574" ht="30.0" customHeight="1">
      <c r="A3574" s="237"/>
      <c r="B3574" s="425"/>
      <c r="C3574" s="257"/>
      <c r="D3574" s="173"/>
      <c r="E3574" s="174"/>
      <c r="F3574" s="173"/>
      <c r="G3574" s="425"/>
      <c r="H3574" s="425"/>
      <c r="I3574" s="258"/>
      <c r="J3574" s="259"/>
      <c r="K3574" s="260"/>
      <c r="L3574" s="442"/>
      <c r="M3574" s="426"/>
      <c r="N3574" s="173"/>
      <c r="O3574" s="173"/>
      <c r="P3574" s="262"/>
      <c r="Q3574" s="173"/>
      <c r="R3574" s="425"/>
      <c r="S3574" s="339"/>
      <c r="T3574" s="427"/>
      <c r="U3574" s="427"/>
      <c r="V3574" s="428"/>
      <c r="W3574" s="429"/>
      <c r="X3574" s="430"/>
      <c r="Y3574" s="33"/>
      <c r="Z3574" s="430"/>
      <c r="AA3574" s="430"/>
      <c r="AB3574" s="258"/>
      <c r="AC3574" s="430"/>
      <c r="AD3574" s="426"/>
      <c r="AE3574" s="428"/>
      <c r="AF3574" s="431"/>
      <c r="AG3574" s="432"/>
      <c r="AH3574" s="430"/>
      <c r="AI3574" s="430"/>
      <c r="AJ3574" s="430"/>
      <c r="AK3574" s="430"/>
      <c r="AL3574" s="430"/>
      <c r="AM3574" s="433"/>
      <c r="AN3574" s="430"/>
      <c r="AO3574" s="430"/>
      <c r="AP3574" s="430"/>
      <c r="AQ3574" s="430"/>
      <c r="AR3574" s="430"/>
      <c r="AS3574" s="430"/>
      <c r="AT3574" s="430"/>
      <c r="AU3574" s="426"/>
      <c r="AV3574" s="174"/>
      <c r="AW3574" s="269"/>
      <c r="AX3574" s="269"/>
      <c r="AY3574" s="270"/>
      <c r="AZ3574" s="435"/>
      <c r="BA3574" s="173"/>
      <c r="BB3574" s="434"/>
      <c r="BC3574" s="434"/>
      <c r="BD3574" s="308"/>
      <c r="BE3574" s="436"/>
      <c r="BF3574" s="274" t="str">
        <f>IFERROR(__xludf.DUMMYFUNCTION("LOWER(Regexreplace(to_text(E3574),""[^A-Za-z0-9]"","""")&amp;""_""&amp;Regexreplace(to_text(F3574),""[^A-Za-z0-9]"",""""))"),"_")</f>
        <v>_</v>
      </c>
      <c r="BG3574" s="275" t="str">
        <f>IFERROR(__xludf.DUMMYFUNCTION("upper(Regexreplace(to_text(E3574),""[^A-Za-z0-9]"","""")&amp;""-""&amp;Regexreplace(to_text(F3574),""[^A-Za-z0-9]"",""""))"),"-")</f>
        <v>-</v>
      </c>
    </row>
    <row r="3575" ht="30.0" customHeight="1">
      <c r="A3575" s="237"/>
      <c r="B3575" s="425"/>
      <c r="C3575" s="257"/>
      <c r="D3575" s="173"/>
      <c r="E3575" s="174"/>
      <c r="F3575" s="173"/>
      <c r="G3575" s="425"/>
      <c r="H3575" s="425"/>
      <c r="I3575" s="258"/>
      <c r="J3575" s="259"/>
      <c r="K3575" s="260"/>
      <c r="L3575" s="442"/>
      <c r="M3575" s="426"/>
      <c r="N3575" s="173"/>
      <c r="O3575" s="173"/>
      <c r="P3575" s="262"/>
      <c r="Q3575" s="173"/>
      <c r="R3575" s="425"/>
      <c r="S3575" s="339"/>
      <c r="T3575" s="427"/>
      <c r="U3575" s="427"/>
      <c r="V3575" s="428"/>
      <c r="W3575" s="429"/>
      <c r="X3575" s="430"/>
      <c r="Y3575" s="33"/>
      <c r="Z3575" s="430"/>
      <c r="AA3575" s="430"/>
      <c r="AB3575" s="258"/>
      <c r="AC3575" s="430"/>
      <c r="AD3575" s="426"/>
      <c r="AE3575" s="428"/>
      <c r="AF3575" s="431"/>
      <c r="AG3575" s="432"/>
      <c r="AH3575" s="430"/>
      <c r="AI3575" s="430"/>
      <c r="AJ3575" s="430"/>
      <c r="AK3575" s="430"/>
      <c r="AL3575" s="430"/>
      <c r="AM3575" s="433"/>
      <c r="AN3575" s="430"/>
      <c r="AO3575" s="430"/>
      <c r="AP3575" s="430"/>
      <c r="AQ3575" s="430"/>
      <c r="AR3575" s="430"/>
      <c r="AS3575" s="430"/>
      <c r="AT3575" s="430"/>
      <c r="AU3575" s="426"/>
      <c r="AV3575" s="174"/>
      <c r="AW3575" s="269"/>
      <c r="AX3575" s="269"/>
      <c r="AY3575" s="270"/>
      <c r="AZ3575" s="435"/>
      <c r="BA3575" s="173"/>
      <c r="BB3575" s="434"/>
      <c r="BC3575" s="434"/>
      <c r="BD3575" s="308"/>
      <c r="BE3575" s="436"/>
      <c r="BF3575" s="274" t="str">
        <f>IFERROR(__xludf.DUMMYFUNCTION("LOWER(Regexreplace(to_text(E3575),""[^A-Za-z0-9]"","""")&amp;""_""&amp;Regexreplace(to_text(F3575),""[^A-Za-z0-9]"",""""))"),"_")</f>
        <v>_</v>
      </c>
      <c r="BG3575" s="275" t="str">
        <f>IFERROR(__xludf.DUMMYFUNCTION("upper(Regexreplace(to_text(E3575),""[^A-Za-z0-9]"","""")&amp;""-""&amp;Regexreplace(to_text(F3575),""[^A-Za-z0-9]"",""""))"),"-")</f>
        <v>-</v>
      </c>
    </row>
    <row r="3576" ht="30.0" customHeight="1">
      <c r="A3576" s="237"/>
      <c r="B3576" s="425"/>
      <c r="C3576" s="257"/>
      <c r="D3576" s="173"/>
      <c r="E3576" s="174"/>
      <c r="F3576" s="173"/>
      <c r="G3576" s="425"/>
      <c r="H3576" s="425"/>
      <c r="I3576" s="258"/>
      <c r="J3576" s="259"/>
      <c r="K3576" s="260"/>
      <c r="L3576" s="442"/>
      <c r="M3576" s="426"/>
      <c r="N3576" s="173"/>
      <c r="O3576" s="173"/>
      <c r="P3576" s="262"/>
      <c r="Q3576" s="173"/>
      <c r="R3576" s="425"/>
      <c r="S3576" s="339"/>
      <c r="T3576" s="427"/>
      <c r="U3576" s="427"/>
      <c r="V3576" s="428"/>
      <c r="W3576" s="429"/>
      <c r="X3576" s="430"/>
      <c r="Y3576" s="33"/>
      <c r="Z3576" s="430"/>
      <c r="AA3576" s="430"/>
      <c r="AB3576" s="258"/>
      <c r="AC3576" s="430"/>
      <c r="AD3576" s="426"/>
      <c r="AE3576" s="428"/>
      <c r="AF3576" s="431"/>
      <c r="AG3576" s="432"/>
      <c r="AH3576" s="430"/>
      <c r="AI3576" s="430"/>
      <c r="AJ3576" s="430"/>
      <c r="AK3576" s="430"/>
      <c r="AL3576" s="430"/>
      <c r="AM3576" s="433"/>
      <c r="AN3576" s="430"/>
      <c r="AO3576" s="430"/>
      <c r="AP3576" s="430"/>
      <c r="AQ3576" s="430"/>
      <c r="AR3576" s="430"/>
      <c r="AS3576" s="430"/>
      <c r="AT3576" s="430"/>
      <c r="AU3576" s="426"/>
      <c r="AV3576" s="174"/>
      <c r="AW3576" s="269"/>
      <c r="AX3576" s="269"/>
      <c r="AY3576" s="270"/>
      <c r="AZ3576" s="435"/>
      <c r="BA3576" s="173"/>
      <c r="BB3576" s="434"/>
      <c r="BC3576" s="434"/>
      <c r="BD3576" s="308"/>
      <c r="BE3576" s="436"/>
      <c r="BF3576" s="274" t="str">
        <f>IFERROR(__xludf.DUMMYFUNCTION("LOWER(Regexreplace(to_text(E3576),""[^A-Za-z0-9]"","""")&amp;""_""&amp;Regexreplace(to_text(F3576),""[^A-Za-z0-9]"",""""))"),"_")</f>
        <v>_</v>
      </c>
      <c r="BG3576" s="275" t="str">
        <f>IFERROR(__xludf.DUMMYFUNCTION("upper(Regexreplace(to_text(E3576),""[^A-Za-z0-9]"","""")&amp;""-""&amp;Regexreplace(to_text(F3576),""[^A-Za-z0-9]"",""""))"),"-")</f>
        <v>-</v>
      </c>
    </row>
    <row r="3577" ht="30.0" customHeight="1">
      <c r="A3577" s="237"/>
      <c r="B3577" s="425"/>
      <c r="C3577" s="257"/>
      <c r="D3577" s="173"/>
      <c r="E3577" s="174"/>
      <c r="F3577" s="173"/>
      <c r="G3577" s="425"/>
      <c r="H3577" s="425"/>
      <c r="I3577" s="258"/>
      <c r="J3577" s="259"/>
      <c r="K3577" s="260"/>
      <c r="L3577" s="442"/>
      <c r="M3577" s="426"/>
      <c r="N3577" s="173"/>
      <c r="O3577" s="173"/>
      <c r="P3577" s="262"/>
      <c r="Q3577" s="173"/>
      <c r="R3577" s="425"/>
      <c r="S3577" s="339"/>
      <c r="T3577" s="427"/>
      <c r="U3577" s="427"/>
      <c r="V3577" s="428"/>
      <c r="W3577" s="429"/>
      <c r="X3577" s="430"/>
      <c r="Y3577" s="33"/>
      <c r="Z3577" s="430"/>
      <c r="AA3577" s="430"/>
      <c r="AB3577" s="258"/>
      <c r="AC3577" s="430"/>
      <c r="AD3577" s="426"/>
      <c r="AE3577" s="428"/>
      <c r="AF3577" s="431"/>
      <c r="AG3577" s="432"/>
      <c r="AH3577" s="430"/>
      <c r="AI3577" s="430"/>
      <c r="AJ3577" s="430"/>
      <c r="AK3577" s="430"/>
      <c r="AL3577" s="430"/>
      <c r="AM3577" s="433"/>
      <c r="AN3577" s="430"/>
      <c r="AO3577" s="430"/>
      <c r="AP3577" s="430"/>
      <c r="AQ3577" s="430"/>
      <c r="AR3577" s="430"/>
      <c r="AS3577" s="430"/>
      <c r="AT3577" s="430"/>
      <c r="AU3577" s="426"/>
      <c r="AV3577" s="174"/>
      <c r="AW3577" s="269"/>
      <c r="AX3577" s="269"/>
      <c r="AY3577" s="270"/>
      <c r="AZ3577" s="435"/>
      <c r="BA3577" s="173"/>
      <c r="BB3577" s="434"/>
      <c r="BC3577" s="434"/>
      <c r="BD3577" s="308"/>
      <c r="BE3577" s="436"/>
      <c r="BF3577" s="274" t="str">
        <f>IFERROR(__xludf.DUMMYFUNCTION("LOWER(Regexreplace(to_text(E3577),""[^A-Za-z0-9]"","""")&amp;""_""&amp;Regexreplace(to_text(F3577),""[^A-Za-z0-9]"",""""))"),"_")</f>
        <v>_</v>
      </c>
      <c r="BG3577" s="275" t="str">
        <f>IFERROR(__xludf.DUMMYFUNCTION("upper(Regexreplace(to_text(E3577),""[^A-Za-z0-9]"","""")&amp;""-""&amp;Regexreplace(to_text(F3577),""[^A-Za-z0-9]"",""""))"),"-")</f>
        <v>-</v>
      </c>
    </row>
    <row r="3578" ht="30.0" customHeight="1">
      <c r="A3578" s="237"/>
      <c r="B3578" s="425"/>
      <c r="C3578" s="257"/>
      <c r="D3578" s="173"/>
      <c r="E3578" s="174"/>
      <c r="F3578" s="173"/>
      <c r="G3578" s="425"/>
      <c r="H3578" s="425"/>
      <c r="I3578" s="258"/>
      <c r="J3578" s="259"/>
      <c r="K3578" s="260"/>
      <c r="L3578" s="442"/>
      <c r="M3578" s="426"/>
      <c r="N3578" s="173"/>
      <c r="O3578" s="173"/>
      <c r="P3578" s="262"/>
      <c r="Q3578" s="173"/>
      <c r="R3578" s="425"/>
      <c r="S3578" s="339"/>
      <c r="T3578" s="427"/>
      <c r="U3578" s="427"/>
      <c r="V3578" s="428"/>
      <c r="W3578" s="429"/>
      <c r="X3578" s="430"/>
      <c r="Y3578" s="33"/>
      <c r="Z3578" s="430"/>
      <c r="AA3578" s="430"/>
      <c r="AB3578" s="258"/>
      <c r="AC3578" s="430"/>
      <c r="AD3578" s="426"/>
      <c r="AE3578" s="428"/>
      <c r="AF3578" s="431"/>
      <c r="AG3578" s="432"/>
      <c r="AH3578" s="430"/>
      <c r="AI3578" s="430"/>
      <c r="AJ3578" s="430"/>
      <c r="AK3578" s="430"/>
      <c r="AL3578" s="430"/>
      <c r="AM3578" s="433"/>
      <c r="AN3578" s="430"/>
      <c r="AO3578" s="430"/>
      <c r="AP3578" s="430"/>
      <c r="AQ3578" s="430"/>
      <c r="AR3578" s="430"/>
      <c r="AS3578" s="430"/>
      <c r="AT3578" s="430"/>
      <c r="AU3578" s="426"/>
      <c r="AV3578" s="174"/>
      <c r="AW3578" s="269"/>
      <c r="AX3578" s="269"/>
      <c r="AY3578" s="270"/>
      <c r="AZ3578" s="435"/>
      <c r="BA3578" s="173"/>
      <c r="BB3578" s="434"/>
      <c r="BC3578" s="434"/>
      <c r="BD3578" s="308"/>
      <c r="BE3578" s="436"/>
      <c r="BF3578" s="274" t="str">
        <f>IFERROR(__xludf.DUMMYFUNCTION("LOWER(Regexreplace(to_text(E3578),""[^A-Za-z0-9]"","""")&amp;""_""&amp;Regexreplace(to_text(F3578),""[^A-Za-z0-9]"",""""))"),"_")</f>
        <v>_</v>
      </c>
      <c r="BG3578" s="275" t="str">
        <f>IFERROR(__xludf.DUMMYFUNCTION("upper(Regexreplace(to_text(E3578),""[^A-Za-z0-9]"","""")&amp;""-""&amp;Regexreplace(to_text(F3578),""[^A-Za-z0-9]"",""""))"),"-")</f>
        <v>-</v>
      </c>
    </row>
    <row r="3579" ht="30.0" customHeight="1">
      <c r="A3579" s="237"/>
      <c r="B3579" s="425"/>
      <c r="C3579" s="257"/>
      <c r="D3579" s="173"/>
      <c r="E3579" s="174"/>
      <c r="F3579" s="173"/>
      <c r="G3579" s="425"/>
      <c r="H3579" s="425"/>
      <c r="I3579" s="258"/>
      <c r="J3579" s="259"/>
      <c r="K3579" s="260"/>
      <c r="L3579" s="442"/>
      <c r="M3579" s="426"/>
      <c r="N3579" s="173"/>
      <c r="O3579" s="173"/>
      <c r="P3579" s="262"/>
      <c r="Q3579" s="173"/>
      <c r="R3579" s="425"/>
      <c r="S3579" s="339"/>
      <c r="T3579" s="427"/>
      <c r="U3579" s="427"/>
      <c r="V3579" s="428"/>
      <c r="W3579" s="429"/>
      <c r="X3579" s="430"/>
      <c r="Y3579" s="33"/>
      <c r="Z3579" s="430"/>
      <c r="AA3579" s="430"/>
      <c r="AB3579" s="258"/>
      <c r="AC3579" s="430"/>
      <c r="AD3579" s="426"/>
      <c r="AE3579" s="428"/>
      <c r="AF3579" s="431"/>
      <c r="AG3579" s="432"/>
      <c r="AH3579" s="430"/>
      <c r="AI3579" s="430"/>
      <c r="AJ3579" s="430"/>
      <c r="AK3579" s="430"/>
      <c r="AL3579" s="430"/>
      <c r="AM3579" s="433"/>
      <c r="AN3579" s="430"/>
      <c r="AO3579" s="430"/>
      <c r="AP3579" s="430"/>
      <c r="AQ3579" s="430"/>
      <c r="AR3579" s="430"/>
      <c r="AS3579" s="430"/>
      <c r="AT3579" s="430"/>
      <c r="AU3579" s="426"/>
      <c r="AV3579" s="174"/>
      <c r="AW3579" s="269"/>
      <c r="AX3579" s="269"/>
      <c r="AY3579" s="270"/>
      <c r="AZ3579" s="435"/>
      <c r="BA3579" s="173"/>
      <c r="BB3579" s="434"/>
      <c r="BC3579" s="434"/>
      <c r="BD3579" s="308"/>
      <c r="BE3579" s="436"/>
      <c r="BF3579" s="274" t="str">
        <f>IFERROR(__xludf.DUMMYFUNCTION("LOWER(Regexreplace(to_text(E3579),""[^A-Za-z0-9]"","""")&amp;""_""&amp;Regexreplace(to_text(F3579),""[^A-Za-z0-9]"",""""))"),"_")</f>
        <v>_</v>
      </c>
      <c r="BG3579" s="275" t="str">
        <f>IFERROR(__xludf.DUMMYFUNCTION("upper(Regexreplace(to_text(E3579),""[^A-Za-z0-9]"","""")&amp;""-""&amp;Regexreplace(to_text(F3579),""[^A-Za-z0-9]"",""""))"),"-")</f>
        <v>-</v>
      </c>
    </row>
    <row r="3580" ht="30.0" customHeight="1">
      <c r="A3580" s="237"/>
      <c r="B3580" s="425"/>
      <c r="C3580" s="257"/>
      <c r="D3580" s="173"/>
      <c r="E3580" s="174"/>
      <c r="F3580" s="173"/>
      <c r="G3580" s="425"/>
      <c r="H3580" s="425"/>
      <c r="I3580" s="258"/>
      <c r="J3580" s="259"/>
      <c r="K3580" s="260"/>
      <c r="L3580" s="442"/>
      <c r="M3580" s="426"/>
      <c r="N3580" s="173"/>
      <c r="O3580" s="173"/>
      <c r="P3580" s="262"/>
      <c r="Q3580" s="173"/>
      <c r="R3580" s="425"/>
      <c r="S3580" s="339"/>
      <c r="T3580" s="427"/>
      <c r="U3580" s="427"/>
      <c r="V3580" s="428"/>
      <c r="W3580" s="429"/>
      <c r="X3580" s="430"/>
      <c r="Y3580" s="33"/>
      <c r="Z3580" s="430"/>
      <c r="AA3580" s="430"/>
      <c r="AB3580" s="258"/>
      <c r="AC3580" s="430"/>
      <c r="AD3580" s="426"/>
      <c r="AE3580" s="428"/>
      <c r="AF3580" s="431"/>
      <c r="AG3580" s="432"/>
      <c r="AH3580" s="430"/>
      <c r="AI3580" s="430"/>
      <c r="AJ3580" s="430"/>
      <c r="AK3580" s="430"/>
      <c r="AL3580" s="430"/>
      <c r="AM3580" s="433"/>
      <c r="AN3580" s="430"/>
      <c r="AO3580" s="430"/>
      <c r="AP3580" s="430"/>
      <c r="AQ3580" s="430"/>
      <c r="AR3580" s="430"/>
      <c r="AS3580" s="430"/>
      <c r="AT3580" s="430"/>
      <c r="AU3580" s="426"/>
      <c r="AV3580" s="174"/>
      <c r="AW3580" s="269"/>
      <c r="AX3580" s="269"/>
      <c r="AY3580" s="270"/>
      <c r="AZ3580" s="435"/>
      <c r="BA3580" s="173"/>
      <c r="BB3580" s="434"/>
      <c r="BC3580" s="434"/>
      <c r="BD3580" s="308"/>
      <c r="BE3580" s="436"/>
      <c r="BF3580" s="274" t="str">
        <f>IFERROR(__xludf.DUMMYFUNCTION("LOWER(Regexreplace(to_text(E3580),""[^A-Za-z0-9]"","""")&amp;""_""&amp;Regexreplace(to_text(F3580),""[^A-Za-z0-9]"",""""))"),"_")</f>
        <v>_</v>
      </c>
      <c r="BG3580" s="275" t="str">
        <f>IFERROR(__xludf.DUMMYFUNCTION("upper(Regexreplace(to_text(E3580),""[^A-Za-z0-9]"","""")&amp;""-""&amp;Regexreplace(to_text(F3580),""[^A-Za-z0-9]"",""""))"),"-")</f>
        <v>-</v>
      </c>
    </row>
    <row r="3581" ht="30.0" customHeight="1">
      <c r="A3581" s="237"/>
      <c r="B3581" s="425"/>
      <c r="C3581" s="257"/>
      <c r="D3581" s="173"/>
      <c r="E3581" s="174"/>
      <c r="F3581" s="173"/>
      <c r="G3581" s="425"/>
      <c r="H3581" s="425"/>
      <c r="I3581" s="258"/>
      <c r="J3581" s="259"/>
      <c r="K3581" s="260"/>
      <c r="L3581" s="442"/>
      <c r="M3581" s="426"/>
      <c r="N3581" s="173"/>
      <c r="O3581" s="173"/>
      <c r="P3581" s="262"/>
      <c r="Q3581" s="173"/>
      <c r="R3581" s="425"/>
      <c r="S3581" s="339"/>
      <c r="T3581" s="427"/>
      <c r="U3581" s="427"/>
      <c r="V3581" s="428"/>
      <c r="W3581" s="429"/>
      <c r="X3581" s="430"/>
      <c r="Y3581" s="33"/>
      <c r="Z3581" s="430"/>
      <c r="AA3581" s="430"/>
      <c r="AB3581" s="258"/>
      <c r="AC3581" s="430"/>
      <c r="AD3581" s="426"/>
      <c r="AE3581" s="428"/>
      <c r="AF3581" s="431"/>
      <c r="AG3581" s="432"/>
      <c r="AH3581" s="430"/>
      <c r="AI3581" s="430"/>
      <c r="AJ3581" s="430"/>
      <c r="AK3581" s="430"/>
      <c r="AL3581" s="430"/>
      <c r="AM3581" s="433"/>
      <c r="AN3581" s="430"/>
      <c r="AO3581" s="430"/>
      <c r="AP3581" s="430"/>
      <c r="AQ3581" s="430"/>
      <c r="AR3581" s="430"/>
      <c r="AS3581" s="430"/>
      <c r="AT3581" s="430"/>
      <c r="AU3581" s="426"/>
      <c r="AV3581" s="174"/>
      <c r="AW3581" s="269"/>
      <c r="AX3581" s="269"/>
      <c r="AY3581" s="270"/>
      <c r="AZ3581" s="435"/>
      <c r="BA3581" s="173"/>
      <c r="BB3581" s="434"/>
      <c r="BC3581" s="434"/>
      <c r="BD3581" s="308"/>
      <c r="BE3581" s="436"/>
      <c r="BF3581" s="274" t="str">
        <f>IFERROR(__xludf.DUMMYFUNCTION("LOWER(Regexreplace(to_text(E3581),""[^A-Za-z0-9]"","""")&amp;""_""&amp;Regexreplace(to_text(F3581),""[^A-Za-z0-9]"",""""))"),"_")</f>
        <v>_</v>
      </c>
      <c r="BG3581" s="275" t="str">
        <f>IFERROR(__xludf.DUMMYFUNCTION("upper(Regexreplace(to_text(E3581),""[^A-Za-z0-9]"","""")&amp;""-""&amp;Regexreplace(to_text(F3581),""[^A-Za-z0-9]"",""""))"),"-")</f>
        <v>-</v>
      </c>
    </row>
    <row r="3582" ht="30.0" customHeight="1">
      <c r="A3582" s="237"/>
      <c r="B3582" s="425"/>
      <c r="C3582" s="257"/>
      <c r="D3582" s="173"/>
      <c r="E3582" s="174"/>
      <c r="F3582" s="173"/>
      <c r="G3582" s="425"/>
      <c r="H3582" s="425"/>
      <c r="I3582" s="258"/>
      <c r="J3582" s="259"/>
      <c r="K3582" s="260"/>
      <c r="L3582" s="442"/>
      <c r="M3582" s="426"/>
      <c r="N3582" s="173"/>
      <c r="O3582" s="173"/>
      <c r="P3582" s="262"/>
      <c r="Q3582" s="173"/>
      <c r="R3582" s="425"/>
      <c r="S3582" s="339"/>
      <c r="T3582" s="427"/>
      <c r="U3582" s="427"/>
      <c r="V3582" s="428"/>
      <c r="W3582" s="429"/>
      <c r="X3582" s="430"/>
      <c r="Y3582" s="33"/>
      <c r="Z3582" s="430"/>
      <c r="AA3582" s="430"/>
      <c r="AB3582" s="258"/>
      <c r="AC3582" s="430"/>
      <c r="AD3582" s="426"/>
      <c r="AE3582" s="428"/>
      <c r="AF3582" s="431"/>
      <c r="AG3582" s="432"/>
      <c r="AH3582" s="430"/>
      <c r="AI3582" s="430"/>
      <c r="AJ3582" s="430"/>
      <c r="AK3582" s="430"/>
      <c r="AL3582" s="430"/>
      <c r="AM3582" s="433"/>
      <c r="AN3582" s="430"/>
      <c r="AO3582" s="430"/>
      <c r="AP3582" s="430"/>
      <c r="AQ3582" s="430"/>
      <c r="AR3582" s="430"/>
      <c r="AS3582" s="430"/>
      <c r="AT3582" s="430"/>
      <c r="AU3582" s="426"/>
      <c r="AV3582" s="174"/>
      <c r="AW3582" s="269"/>
      <c r="AX3582" s="269"/>
      <c r="AY3582" s="270"/>
      <c r="AZ3582" s="435"/>
      <c r="BA3582" s="173"/>
      <c r="BB3582" s="434"/>
      <c r="BC3582" s="434"/>
      <c r="BD3582" s="308"/>
      <c r="BE3582" s="436"/>
      <c r="BF3582" s="274" t="str">
        <f>IFERROR(__xludf.DUMMYFUNCTION("LOWER(Regexreplace(to_text(E3582),""[^A-Za-z0-9]"","""")&amp;""_""&amp;Regexreplace(to_text(F3582),""[^A-Za-z0-9]"",""""))"),"_")</f>
        <v>_</v>
      </c>
      <c r="BG3582" s="275" t="str">
        <f>IFERROR(__xludf.DUMMYFUNCTION("upper(Regexreplace(to_text(E3582),""[^A-Za-z0-9]"","""")&amp;""-""&amp;Regexreplace(to_text(F3582),""[^A-Za-z0-9]"",""""))"),"-")</f>
        <v>-</v>
      </c>
    </row>
    <row r="3583" ht="30.0" customHeight="1">
      <c r="A3583" s="237"/>
      <c r="B3583" s="425"/>
      <c r="C3583" s="257"/>
      <c r="D3583" s="173"/>
      <c r="E3583" s="174"/>
      <c r="F3583" s="173"/>
      <c r="G3583" s="425"/>
      <c r="H3583" s="425"/>
      <c r="I3583" s="258"/>
      <c r="J3583" s="259"/>
      <c r="K3583" s="260"/>
      <c r="L3583" s="442"/>
      <c r="M3583" s="426"/>
      <c r="N3583" s="173"/>
      <c r="O3583" s="173"/>
      <c r="P3583" s="262"/>
      <c r="Q3583" s="173"/>
      <c r="R3583" s="425"/>
      <c r="S3583" s="339"/>
      <c r="T3583" s="427"/>
      <c r="U3583" s="427"/>
      <c r="V3583" s="428"/>
      <c r="W3583" s="429"/>
      <c r="X3583" s="430"/>
      <c r="Y3583" s="33"/>
      <c r="Z3583" s="430"/>
      <c r="AA3583" s="430"/>
      <c r="AB3583" s="258"/>
      <c r="AC3583" s="430"/>
      <c r="AD3583" s="426"/>
      <c r="AE3583" s="428"/>
      <c r="AF3583" s="431"/>
      <c r="AG3583" s="432"/>
      <c r="AH3583" s="430"/>
      <c r="AI3583" s="430"/>
      <c r="AJ3583" s="430"/>
      <c r="AK3583" s="430"/>
      <c r="AL3583" s="430"/>
      <c r="AM3583" s="433"/>
      <c r="AN3583" s="430"/>
      <c r="AO3583" s="430"/>
      <c r="AP3583" s="430"/>
      <c r="AQ3583" s="430"/>
      <c r="AR3583" s="430"/>
      <c r="AS3583" s="430"/>
      <c r="AT3583" s="430"/>
      <c r="AU3583" s="426"/>
      <c r="AV3583" s="174"/>
      <c r="AW3583" s="269"/>
      <c r="AX3583" s="269"/>
      <c r="AY3583" s="270"/>
      <c r="AZ3583" s="435"/>
      <c r="BA3583" s="173"/>
      <c r="BB3583" s="434"/>
      <c r="BC3583" s="434"/>
      <c r="BD3583" s="308"/>
      <c r="BE3583" s="436"/>
      <c r="BF3583" s="274" t="str">
        <f>IFERROR(__xludf.DUMMYFUNCTION("LOWER(Regexreplace(to_text(E3583),""[^A-Za-z0-9]"","""")&amp;""_""&amp;Regexreplace(to_text(F3583),""[^A-Za-z0-9]"",""""))"),"_")</f>
        <v>_</v>
      </c>
      <c r="BG3583" s="275" t="str">
        <f>IFERROR(__xludf.DUMMYFUNCTION("upper(Regexreplace(to_text(E3583),""[^A-Za-z0-9]"","""")&amp;""-""&amp;Regexreplace(to_text(F3583),""[^A-Za-z0-9]"",""""))"),"-")</f>
        <v>-</v>
      </c>
    </row>
    <row r="3584" ht="30.0" customHeight="1">
      <c r="A3584" s="237"/>
      <c r="B3584" s="425"/>
      <c r="C3584" s="257"/>
      <c r="D3584" s="173"/>
      <c r="E3584" s="174"/>
      <c r="F3584" s="173"/>
      <c r="G3584" s="425"/>
      <c r="H3584" s="425"/>
      <c r="I3584" s="258"/>
      <c r="J3584" s="259"/>
      <c r="K3584" s="260"/>
      <c r="L3584" s="442"/>
      <c r="M3584" s="426"/>
      <c r="N3584" s="173"/>
      <c r="O3584" s="173"/>
      <c r="P3584" s="262"/>
      <c r="Q3584" s="173"/>
      <c r="R3584" s="425"/>
      <c r="S3584" s="339"/>
      <c r="T3584" s="427"/>
      <c r="U3584" s="427"/>
      <c r="V3584" s="428"/>
      <c r="W3584" s="429"/>
      <c r="X3584" s="430"/>
      <c r="Y3584" s="33"/>
      <c r="Z3584" s="430"/>
      <c r="AA3584" s="430"/>
      <c r="AB3584" s="258"/>
      <c r="AC3584" s="430"/>
      <c r="AD3584" s="426"/>
      <c r="AE3584" s="428"/>
      <c r="AF3584" s="431"/>
      <c r="AG3584" s="432"/>
      <c r="AH3584" s="430"/>
      <c r="AI3584" s="430"/>
      <c r="AJ3584" s="430"/>
      <c r="AK3584" s="430"/>
      <c r="AL3584" s="430"/>
      <c r="AM3584" s="433"/>
      <c r="AN3584" s="430"/>
      <c r="AO3584" s="430"/>
      <c r="AP3584" s="430"/>
      <c r="AQ3584" s="430"/>
      <c r="AR3584" s="430"/>
      <c r="AS3584" s="430"/>
      <c r="AT3584" s="430"/>
      <c r="AU3584" s="426"/>
      <c r="AV3584" s="174"/>
      <c r="AW3584" s="269"/>
      <c r="AX3584" s="269"/>
      <c r="AY3584" s="270"/>
      <c r="AZ3584" s="435"/>
      <c r="BA3584" s="173"/>
      <c r="BB3584" s="434"/>
      <c r="BC3584" s="434"/>
      <c r="BD3584" s="308"/>
      <c r="BE3584" s="436"/>
      <c r="BF3584" s="274" t="str">
        <f>IFERROR(__xludf.DUMMYFUNCTION("LOWER(Regexreplace(to_text(E3584),""[^A-Za-z0-9]"","""")&amp;""_""&amp;Regexreplace(to_text(F3584),""[^A-Za-z0-9]"",""""))"),"_")</f>
        <v>_</v>
      </c>
      <c r="BG3584" s="275" t="str">
        <f>IFERROR(__xludf.DUMMYFUNCTION("upper(Regexreplace(to_text(E3584),""[^A-Za-z0-9]"","""")&amp;""-""&amp;Regexreplace(to_text(F3584),""[^A-Za-z0-9]"",""""))"),"-")</f>
        <v>-</v>
      </c>
    </row>
    <row r="3585" ht="30.0" customHeight="1">
      <c r="A3585" s="237"/>
      <c r="B3585" s="425"/>
      <c r="C3585" s="257"/>
      <c r="D3585" s="173"/>
      <c r="E3585" s="174"/>
      <c r="F3585" s="173"/>
      <c r="G3585" s="425"/>
      <c r="H3585" s="425"/>
      <c r="I3585" s="258"/>
      <c r="J3585" s="259"/>
      <c r="K3585" s="260"/>
      <c r="L3585" s="442"/>
      <c r="M3585" s="426"/>
      <c r="N3585" s="173"/>
      <c r="O3585" s="173"/>
      <c r="P3585" s="262"/>
      <c r="Q3585" s="173"/>
      <c r="R3585" s="425"/>
      <c r="S3585" s="339"/>
      <c r="T3585" s="427"/>
      <c r="U3585" s="427"/>
      <c r="V3585" s="428"/>
      <c r="W3585" s="429"/>
      <c r="X3585" s="430"/>
      <c r="Y3585" s="33"/>
      <c r="Z3585" s="430"/>
      <c r="AA3585" s="430"/>
      <c r="AB3585" s="258"/>
      <c r="AC3585" s="430"/>
      <c r="AD3585" s="426"/>
      <c r="AE3585" s="428"/>
      <c r="AF3585" s="431"/>
      <c r="AG3585" s="432"/>
      <c r="AH3585" s="430"/>
      <c r="AI3585" s="430"/>
      <c r="AJ3585" s="430"/>
      <c r="AK3585" s="430"/>
      <c r="AL3585" s="430"/>
      <c r="AM3585" s="433"/>
      <c r="AN3585" s="430"/>
      <c r="AO3585" s="430"/>
      <c r="AP3585" s="430"/>
      <c r="AQ3585" s="430"/>
      <c r="AR3585" s="430"/>
      <c r="AS3585" s="430"/>
      <c r="AT3585" s="430"/>
      <c r="AU3585" s="426"/>
      <c r="AV3585" s="174"/>
      <c r="AW3585" s="269"/>
      <c r="AX3585" s="269"/>
      <c r="AY3585" s="270"/>
      <c r="AZ3585" s="435"/>
      <c r="BA3585" s="173"/>
      <c r="BB3585" s="434"/>
      <c r="BC3585" s="434"/>
      <c r="BD3585" s="308"/>
      <c r="BE3585" s="436"/>
      <c r="BF3585" s="274" t="str">
        <f>IFERROR(__xludf.DUMMYFUNCTION("LOWER(Regexreplace(to_text(E3585),""[^A-Za-z0-9]"","""")&amp;""_""&amp;Regexreplace(to_text(F3585),""[^A-Za-z0-9]"",""""))"),"_")</f>
        <v>_</v>
      </c>
      <c r="BG3585" s="275" t="str">
        <f>IFERROR(__xludf.DUMMYFUNCTION("upper(Regexreplace(to_text(E3585),""[^A-Za-z0-9]"","""")&amp;""-""&amp;Regexreplace(to_text(F3585),""[^A-Za-z0-9]"",""""))"),"-")</f>
        <v>-</v>
      </c>
    </row>
    <row r="3586" ht="30.0" customHeight="1">
      <c r="A3586" s="237"/>
      <c r="B3586" s="425"/>
      <c r="C3586" s="257"/>
      <c r="D3586" s="173"/>
      <c r="E3586" s="174"/>
      <c r="F3586" s="173"/>
      <c r="G3586" s="425"/>
      <c r="H3586" s="425"/>
      <c r="I3586" s="258"/>
      <c r="J3586" s="259"/>
      <c r="K3586" s="260"/>
      <c r="L3586" s="442"/>
      <c r="M3586" s="426"/>
      <c r="N3586" s="173"/>
      <c r="O3586" s="173"/>
      <c r="P3586" s="262"/>
      <c r="Q3586" s="173"/>
      <c r="R3586" s="425"/>
      <c r="S3586" s="339"/>
      <c r="T3586" s="427"/>
      <c r="U3586" s="427"/>
      <c r="V3586" s="428"/>
      <c r="W3586" s="429"/>
      <c r="X3586" s="430"/>
      <c r="Y3586" s="33"/>
      <c r="Z3586" s="430"/>
      <c r="AA3586" s="430"/>
      <c r="AB3586" s="258"/>
      <c r="AC3586" s="430"/>
      <c r="AD3586" s="426"/>
      <c r="AE3586" s="428"/>
      <c r="AF3586" s="431"/>
      <c r="AG3586" s="432"/>
      <c r="AH3586" s="430"/>
      <c r="AI3586" s="430"/>
      <c r="AJ3586" s="430"/>
      <c r="AK3586" s="430"/>
      <c r="AL3586" s="430"/>
      <c r="AM3586" s="433"/>
      <c r="AN3586" s="430"/>
      <c r="AO3586" s="430"/>
      <c r="AP3586" s="430"/>
      <c r="AQ3586" s="430"/>
      <c r="AR3586" s="430"/>
      <c r="AS3586" s="430"/>
      <c r="AT3586" s="430"/>
      <c r="AU3586" s="426"/>
      <c r="AV3586" s="174"/>
      <c r="AW3586" s="269"/>
      <c r="AX3586" s="269"/>
      <c r="AY3586" s="270"/>
      <c r="AZ3586" s="435"/>
      <c r="BA3586" s="173"/>
      <c r="BB3586" s="434"/>
      <c r="BC3586" s="434"/>
      <c r="BD3586" s="308"/>
      <c r="BE3586" s="436"/>
      <c r="BF3586" s="274" t="str">
        <f>IFERROR(__xludf.DUMMYFUNCTION("LOWER(Regexreplace(to_text(E3586),""[^A-Za-z0-9]"","""")&amp;""_""&amp;Regexreplace(to_text(F3586),""[^A-Za-z0-9]"",""""))"),"_")</f>
        <v>_</v>
      </c>
      <c r="BG3586" s="275" t="str">
        <f>IFERROR(__xludf.DUMMYFUNCTION("upper(Regexreplace(to_text(E3586),""[^A-Za-z0-9]"","""")&amp;""-""&amp;Regexreplace(to_text(F3586),""[^A-Za-z0-9]"",""""))"),"-")</f>
        <v>-</v>
      </c>
    </row>
    <row r="3587" ht="30.0" customHeight="1">
      <c r="A3587" s="237"/>
      <c r="B3587" s="425"/>
      <c r="C3587" s="257"/>
      <c r="D3587" s="173"/>
      <c r="E3587" s="174"/>
      <c r="F3587" s="173"/>
      <c r="G3587" s="425"/>
      <c r="H3587" s="425"/>
      <c r="I3587" s="258"/>
      <c r="J3587" s="259"/>
      <c r="K3587" s="260"/>
      <c r="L3587" s="442"/>
      <c r="M3587" s="426"/>
      <c r="N3587" s="173"/>
      <c r="O3587" s="173"/>
      <c r="P3587" s="262"/>
      <c r="Q3587" s="173"/>
      <c r="R3587" s="425"/>
      <c r="S3587" s="339"/>
      <c r="T3587" s="427"/>
      <c r="U3587" s="427"/>
      <c r="V3587" s="428"/>
      <c r="W3587" s="429"/>
      <c r="X3587" s="430"/>
      <c r="Y3587" s="33"/>
      <c r="Z3587" s="430"/>
      <c r="AA3587" s="430"/>
      <c r="AB3587" s="258"/>
      <c r="AC3587" s="430"/>
      <c r="AD3587" s="426"/>
      <c r="AE3587" s="428"/>
      <c r="AF3587" s="431"/>
      <c r="AG3587" s="432"/>
      <c r="AH3587" s="430"/>
      <c r="AI3587" s="430"/>
      <c r="AJ3587" s="430"/>
      <c r="AK3587" s="430"/>
      <c r="AL3587" s="430"/>
      <c r="AM3587" s="433"/>
      <c r="AN3587" s="430"/>
      <c r="AO3587" s="430"/>
      <c r="AP3587" s="430"/>
      <c r="AQ3587" s="430"/>
      <c r="AR3587" s="430"/>
      <c r="AS3587" s="430"/>
      <c r="AT3587" s="430"/>
      <c r="AU3587" s="426"/>
      <c r="AV3587" s="174"/>
      <c r="AW3587" s="269"/>
      <c r="AX3587" s="269"/>
      <c r="AY3587" s="270"/>
      <c r="AZ3587" s="435"/>
      <c r="BA3587" s="173"/>
      <c r="BB3587" s="434"/>
      <c r="BC3587" s="434"/>
      <c r="BD3587" s="308"/>
      <c r="BE3587" s="436"/>
      <c r="BF3587" s="274" t="str">
        <f>IFERROR(__xludf.DUMMYFUNCTION("LOWER(Regexreplace(to_text(E3587),""[^A-Za-z0-9]"","""")&amp;""_""&amp;Regexreplace(to_text(F3587),""[^A-Za-z0-9]"",""""))"),"_")</f>
        <v>_</v>
      </c>
      <c r="BG3587" s="275" t="str">
        <f>IFERROR(__xludf.DUMMYFUNCTION("upper(Regexreplace(to_text(E3587),""[^A-Za-z0-9]"","""")&amp;""-""&amp;Regexreplace(to_text(F3587),""[^A-Za-z0-9]"",""""))"),"-")</f>
        <v>-</v>
      </c>
    </row>
    <row r="3588" ht="30.0" customHeight="1">
      <c r="A3588" s="237"/>
      <c r="B3588" s="425"/>
      <c r="C3588" s="257"/>
      <c r="D3588" s="173"/>
      <c r="E3588" s="174"/>
      <c r="F3588" s="173"/>
      <c r="G3588" s="425"/>
      <c r="H3588" s="425"/>
      <c r="I3588" s="258"/>
      <c r="J3588" s="259"/>
      <c r="K3588" s="260"/>
      <c r="L3588" s="442"/>
      <c r="M3588" s="426"/>
      <c r="N3588" s="173"/>
      <c r="O3588" s="173"/>
      <c r="P3588" s="262"/>
      <c r="Q3588" s="173"/>
      <c r="R3588" s="425"/>
      <c r="S3588" s="339"/>
      <c r="T3588" s="427"/>
      <c r="U3588" s="427"/>
      <c r="V3588" s="428"/>
      <c r="W3588" s="429"/>
      <c r="X3588" s="430"/>
      <c r="Y3588" s="33"/>
      <c r="Z3588" s="430"/>
      <c r="AA3588" s="430"/>
      <c r="AB3588" s="258"/>
      <c r="AC3588" s="430"/>
      <c r="AD3588" s="426"/>
      <c r="AE3588" s="428"/>
      <c r="AF3588" s="431"/>
      <c r="AG3588" s="432"/>
      <c r="AH3588" s="430"/>
      <c r="AI3588" s="430"/>
      <c r="AJ3588" s="430"/>
      <c r="AK3588" s="430"/>
      <c r="AL3588" s="430"/>
      <c r="AM3588" s="433"/>
      <c r="AN3588" s="430"/>
      <c r="AO3588" s="430"/>
      <c r="AP3588" s="430"/>
      <c r="AQ3588" s="430"/>
      <c r="AR3588" s="430"/>
      <c r="AS3588" s="430"/>
      <c r="AT3588" s="430"/>
      <c r="AU3588" s="426"/>
      <c r="AV3588" s="174"/>
      <c r="AW3588" s="269"/>
      <c r="AX3588" s="269"/>
      <c r="AY3588" s="270"/>
      <c r="AZ3588" s="435"/>
      <c r="BA3588" s="173"/>
      <c r="BB3588" s="434"/>
      <c r="BC3588" s="434"/>
      <c r="BD3588" s="308"/>
      <c r="BE3588" s="436"/>
      <c r="BF3588" s="274" t="str">
        <f>IFERROR(__xludf.DUMMYFUNCTION("LOWER(Regexreplace(to_text(E3588),""[^A-Za-z0-9]"","""")&amp;""_""&amp;Regexreplace(to_text(F3588),""[^A-Za-z0-9]"",""""))"),"_")</f>
        <v>_</v>
      </c>
      <c r="BG3588" s="275" t="str">
        <f>IFERROR(__xludf.DUMMYFUNCTION("upper(Regexreplace(to_text(E3588),""[^A-Za-z0-9]"","""")&amp;""-""&amp;Regexreplace(to_text(F3588),""[^A-Za-z0-9]"",""""))"),"-")</f>
        <v>-</v>
      </c>
    </row>
    <row r="3589" ht="30.0" customHeight="1">
      <c r="A3589" s="237"/>
      <c r="B3589" s="425"/>
      <c r="C3589" s="257"/>
      <c r="D3589" s="173"/>
      <c r="E3589" s="174"/>
      <c r="F3589" s="173"/>
      <c r="G3589" s="425"/>
      <c r="H3589" s="425"/>
      <c r="I3589" s="258"/>
      <c r="J3589" s="259"/>
      <c r="K3589" s="260"/>
      <c r="L3589" s="442"/>
      <c r="M3589" s="426"/>
      <c r="N3589" s="173"/>
      <c r="O3589" s="173"/>
      <c r="P3589" s="262"/>
      <c r="Q3589" s="173"/>
      <c r="R3589" s="425"/>
      <c r="S3589" s="339"/>
      <c r="T3589" s="427"/>
      <c r="U3589" s="427"/>
      <c r="V3589" s="428"/>
      <c r="W3589" s="429"/>
      <c r="X3589" s="430"/>
      <c r="Y3589" s="33"/>
      <c r="Z3589" s="430"/>
      <c r="AA3589" s="430"/>
      <c r="AB3589" s="258"/>
      <c r="AC3589" s="430"/>
      <c r="AD3589" s="426"/>
      <c r="AE3589" s="428"/>
      <c r="AF3589" s="431"/>
      <c r="AG3589" s="432"/>
      <c r="AH3589" s="430"/>
      <c r="AI3589" s="430"/>
      <c r="AJ3589" s="430"/>
      <c r="AK3589" s="430"/>
      <c r="AL3589" s="430"/>
      <c r="AM3589" s="433"/>
      <c r="AN3589" s="430"/>
      <c r="AO3589" s="430"/>
      <c r="AP3589" s="430"/>
      <c r="AQ3589" s="430"/>
      <c r="AR3589" s="430"/>
      <c r="AS3589" s="430"/>
      <c r="AT3589" s="430"/>
      <c r="AU3589" s="426"/>
      <c r="AV3589" s="174"/>
      <c r="AW3589" s="269"/>
      <c r="AX3589" s="269"/>
      <c r="AY3589" s="270"/>
      <c r="AZ3589" s="435"/>
      <c r="BA3589" s="173"/>
      <c r="BB3589" s="434"/>
      <c r="BC3589" s="434"/>
      <c r="BD3589" s="308"/>
      <c r="BE3589" s="436"/>
      <c r="BF3589" s="274" t="str">
        <f>IFERROR(__xludf.DUMMYFUNCTION("LOWER(Regexreplace(to_text(E3589),""[^A-Za-z0-9]"","""")&amp;""_""&amp;Regexreplace(to_text(F3589),""[^A-Za-z0-9]"",""""))"),"_")</f>
        <v>_</v>
      </c>
      <c r="BG3589" s="275" t="str">
        <f>IFERROR(__xludf.DUMMYFUNCTION("upper(Regexreplace(to_text(E3589),""[^A-Za-z0-9]"","""")&amp;""-""&amp;Regexreplace(to_text(F3589),""[^A-Za-z0-9]"",""""))"),"-")</f>
        <v>-</v>
      </c>
    </row>
    <row r="3590" ht="30.0" customHeight="1">
      <c r="A3590" s="237"/>
      <c r="B3590" s="425"/>
      <c r="C3590" s="257"/>
      <c r="D3590" s="173"/>
      <c r="E3590" s="174"/>
      <c r="F3590" s="173"/>
      <c r="G3590" s="425"/>
      <c r="H3590" s="425"/>
      <c r="I3590" s="258"/>
      <c r="J3590" s="259"/>
      <c r="K3590" s="260"/>
      <c r="L3590" s="442"/>
      <c r="M3590" s="426"/>
      <c r="N3590" s="173"/>
      <c r="O3590" s="173"/>
      <c r="P3590" s="262"/>
      <c r="Q3590" s="173"/>
      <c r="R3590" s="425"/>
      <c r="S3590" s="339"/>
      <c r="T3590" s="427"/>
      <c r="U3590" s="427"/>
      <c r="V3590" s="428"/>
      <c r="W3590" s="429"/>
      <c r="X3590" s="430"/>
      <c r="Y3590" s="33"/>
      <c r="Z3590" s="430"/>
      <c r="AA3590" s="430"/>
      <c r="AB3590" s="258"/>
      <c r="AC3590" s="430"/>
      <c r="AD3590" s="426"/>
      <c r="AE3590" s="428"/>
      <c r="AF3590" s="431"/>
      <c r="AG3590" s="432"/>
      <c r="AH3590" s="430"/>
      <c r="AI3590" s="430"/>
      <c r="AJ3590" s="430"/>
      <c r="AK3590" s="430"/>
      <c r="AL3590" s="430"/>
      <c r="AM3590" s="433"/>
      <c r="AN3590" s="430"/>
      <c r="AO3590" s="430"/>
      <c r="AP3590" s="430"/>
      <c r="AQ3590" s="430"/>
      <c r="AR3590" s="430"/>
      <c r="AS3590" s="430"/>
      <c r="AT3590" s="430"/>
      <c r="AU3590" s="426"/>
      <c r="AV3590" s="174"/>
      <c r="AW3590" s="269"/>
      <c r="AX3590" s="269"/>
      <c r="AY3590" s="270"/>
      <c r="AZ3590" s="435"/>
      <c r="BA3590" s="173"/>
      <c r="BB3590" s="434"/>
      <c r="BC3590" s="434"/>
      <c r="BD3590" s="308"/>
      <c r="BE3590" s="436"/>
      <c r="BF3590" s="274" t="str">
        <f>IFERROR(__xludf.DUMMYFUNCTION("LOWER(Regexreplace(to_text(E3590),""[^A-Za-z0-9]"","""")&amp;""_""&amp;Regexreplace(to_text(F3590),""[^A-Za-z0-9]"",""""))"),"_")</f>
        <v>_</v>
      </c>
      <c r="BG3590" s="275" t="str">
        <f>IFERROR(__xludf.DUMMYFUNCTION("upper(Regexreplace(to_text(E3590),""[^A-Za-z0-9]"","""")&amp;""-""&amp;Regexreplace(to_text(F3590),""[^A-Za-z0-9]"",""""))"),"-")</f>
        <v>-</v>
      </c>
    </row>
    <row r="3591" ht="30.0" customHeight="1">
      <c r="A3591" s="237"/>
      <c r="B3591" s="425"/>
      <c r="C3591" s="257"/>
      <c r="D3591" s="173"/>
      <c r="E3591" s="174"/>
      <c r="F3591" s="173"/>
      <c r="G3591" s="425"/>
      <c r="H3591" s="425"/>
      <c r="I3591" s="258"/>
      <c r="J3591" s="259"/>
      <c r="K3591" s="260"/>
      <c r="L3591" s="442"/>
      <c r="M3591" s="426"/>
      <c r="N3591" s="173"/>
      <c r="O3591" s="173"/>
      <c r="P3591" s="262"/>
      <c r="Q3591" s="173"/>
      <c r="R3591" s="425"/>
      <c r="S3591" s="339"/>
      <c r="T3591" s="427"/>
      <c r="U3591" s="427"/>
      <c r="V3591" s="428"/>
      <c r="W3591" s="429"/>
      <c r="X3591" s="430"/>
      <c r="Y3591" s="33"/>
      <c r="Z3591" s="430"/>
      <c r="AA3591" s="430"/>
      <c r="AB3591" s="258"/>
      <c r="AC3591" s="430"/>
      <c r="AD3591" s="426"/>
      <c r="AE3591" s="428"/>
      <c r="AF3591" s="431"/>
      <c r="AG3591" s="432"/>
      <c r="AH3591" s="430"/>
      <c r="AI3591" s="430"/>
      <c r="AJ3591" s="430"/>
      <c r="AK3591" s="430"/>
      <c r="AL3591" s="430"/>
      <c r="AM3591" s="433"/>
      <c r="AN3591" s="430"/>
      <c r="AO3591" s="430"/>
      <c r="AP3591" s="430"/>
      <c r="AQ3591" s="430"/>
      <c r="AR3591" s="430"/>
      <c r="AS3591" s="430"/>
      <c r="AT3591" s="430"/>
      <c r="AU3591" s="426"/>
      <c r="AV3591" s="174"/>
      <c r="AW3591" s="269"/>
      <c r="AX3591" s="269"/>
      <c r="AY3591" s="270"/>
      <c r="AZ3591" s="435"/>
      <c r="BA3591" s="173"/>
      <c r="BB3591" s="434"/>
      <c r="BC3591" s="434"/>
      <c r="BD3591" s="308"/>
      <c r="BE3591" s="436"/>
      <c r="BF3591" s="274" t="str">
        <f>IFERROR(__xludf.DUMMYFUNCTION("LOWER(Regexreplace(to_text(E3591),""[^A-Za-z0-9]"","""")&amp;""_""&amp;Regexreplace(to_text(F3591),""[^A-Za-z0-9]"",""""))"),"_")</f>
        <v>_</v>
      </c>
      <c r="BG3591" s="275" t="str">
        <f>IFERROR(__xludf.DUMMYFUNCTION("upper(Regexreplace(to_text(E3591),""[^A-Za-z0-9]"","""")&amp;""-""&amp;Regexreplace(to_text(F3591),""[^A-Za-z0-9]"",""""))"),"-")</f>
        <v>-</v>
      </c>
    </row>
    <row r="3592" ht="30.0" customHeight="1">
      <c r="A3592" s="237"/>
      <c r="B3592" s="425"/>
      <c r="C3592" s="257"/>
      <c r="D3592" s="173"/>
      <c r="E3592" s="174"/>
      <c r="F3592" s="173"/>
      <c r="G3592" s="425"/>
      <c r="H3592" s="425"/>
      <c r="I3592" s="258"/>
      <c r="J3592" s="259"/>
      <c r="K3592" s="260"/>
      <c r="L3592" s="442"/>
      <c r="M3592" s="426"/>
      <c r="N3592" s="173"/>
      <c r="O3592" s="173"/>
      <c r="P3592" s="262"/>
      <c r="Q3592" s="173"/>
      <c r="R3592" s="425"/>
      <c r="S3592" s="339"/>
      <c r="T3592" s="427"/>
      <c r="U3592" s="427"/>
      <c r="V3592" s="428"/>
      <c r="W3592" s="429"/>
      <c r="X3592" s="430"/>
      <c r="Y3592" s="33"/>
      <c r="Z3592" s="430"/>
      <c r="AA3592" s="430"/>
      <c r="AB3592" s="258"/>
      <c r="AC3592" s="430"/>
      <c r="AD3592" s="426"/>
      <c r="AE3592" s="428"/>
      <c r="AF3592" s="431"/>
      <c r="AG3592" s="432"/>
      <c r="AH3592" s="430"/>
      <c r="AI3592" s="430"/>
      <c r="AJ3592" s="430"/>
      <c r="AK3592" s="430"/>
      <c r="AL3592" s="430"/>
      <c r="AM3592" s="433"/>
      <c r="AN3592" s="430"/>
      <c r="AO3592" s="430"/>
      <c r="AP3592" s="430"/>
      <c r="AQ3592" s="430"/>
      <c r="AR3592" s="430"/>
      <c r="AS3592" s="430"/>
      <c r="AT3592" s="430"/>
      <c r="AU3592" s="426"/>
      <c r="AV3592" s="174"/>
      <c r="AW3592" s="269"/>
      <c r="AX3592" s="269"/>
      <c r="AY3592" s="270"/>
      <c r="AZ3592" s="435"/>
      <c r="BA3592" s="173"/>
      <c r="BB3592" s="434"/>
      <c r="BC3592" s="434"/>
      <c r="BD3592" s="308"/>
      <c r="BE3592" s="436"/>
      <c r="BF3592" s="274" t="str">
        <f>IFERROR(__xludf.DUMMYFUNCTION("LOWER(Regexreplace(to_text(E3592),""[^A-Za-z0-9]"","""")&amp;""_""&amp;Regexreplace(to_text(F3592),""[^A-Za-z0-9]"",""""))"),"_")</f>
        <v>_</v>
      </c>
      <c r="BG3592" s="275" t="str">
        <f>IFERROR(__xludf.DUMMYFUNCTION("upper(Regexreplace(to_text(E3592),""[^A-Za-z0-9]"","""")&amp;""-""&amp;Regexreplace(to_text(F3592),""[^A-Za-z0-9]"",""""))"),"-")</f>
        <v>-</v>
      </c>
    </row>
    <row r="3593" ht="30.0" customHeight="1">
      <c r="A3593" s="237"/>
      <c r="B3593" s="425"/>
      <c r="C3593" s="257"/>
      <c r="D3593" s="173"/>
      <c r="E3593" s="174"/>
      <c r="F3593" s="173"/>
      <c r="G3593" s="425"/>
      <c r="H3593" s="425"/>
      <c r="I3593" s="258"/>
      <c r="J3593" s="259"/>
      <c r="K3593" s="260"/>
      <c r="L3593" s="442"/>
      <c r="M3593" s="426"/>
      <c r="N3593" s="173"/>
      <c r="O3593" s="173"/>
      <c r="P3593" s="262"/>
      <c r="Q3593" s="173"/>
      <c r="R3593" s="425"/>
      <c r="S3593" s="339"/>
      <c r="T3593" s="427"/>
      <c r="U3593" s="427"/>
      <c r="V3593" s="428"/>
      <c r="W3593" s="429"/>
      <c r="X3593" s="430"/>
      <c r="Y3593" s="33"/>
      <c r="Z3593" s="430"/>
      <c r="AA3593" s="430"/>
      <c r="AB3593" s="258"/>
      <c r="AC3593" s="430"/>
      <c r="AD3593" s="426"/>
      <c r="AE3593" s="428"/>
      <c r="AF3593" s="431"/>
      <c r="AG3593" s="432"/>
      <c r="AH3593" s="430"/>
      <c r="AI3593" s="430"/>
      <c r="AJ3593" s="430"/>
      <c r="AK3593" s="430"/>
      <c r="AL3593" s="430"/>
      <c r="AM3593" s="433"/>
      <c r="AN3593" s="430"/>
      <c r="AO3593" s="430"/>
      <c r="AP3593" s="430"/>
      <c r="AQ3593" s="430"/>
      <c r="AR3593" s="430"/>
      <c r="AS3593" s="430"/>
      <c r="AT3593" s="430"/>
      <c r="AU3593" s="426"/>
      <c r="AV3593" s="174"/>
      <c r="AW3593" s="269"/>
      <c r="AX3593" s="269"/>
      <c r="AY3593" s="270"/>
      <c r="AZ3593" s="435"/>
      <c r="BA3593" s="173"/>
      <c r="BB3593" s="434"/>
      <c r="BC3593" s="434"/>
      <c r="BD3593" s="308"/>
      <c r="BE3593" s="436"/>
      <c r="BF3593" s="274" t="str">
        <f>IFERROR(__xludf.DUMMYFUNCTION("LOWER(Regexreplace(to_text(E3593),""[^A-Za-z0-9]"","""")&amp;""_""&amp;Regexreplace(to_text(F3593),""[^A-Za-z0-9]"",""""))"),"_")</f>
        <v>_</v>
      </c>
      <c r="BG3593" s="275" t="str">
        <f>IFERROR(__xludf.DUMMYFUNCTION("upper(Regexreplace(to_text(E3593),""[^A-Za-z0-9]"","""")&amp;""-""&amp;Regexreplace(to_text(F3593),""[^A-Za-z0-9]"",""""))"),"-")</f>
        <v>-</v>
      </c>
    </row>
    <row r="3594" ht="30.0" customHeight="1">
      <c r="A3594" s="237"/>
      <c r="B3594" s="425"/>
      <c r="C3594" s="257"/>
      <c r="D3594" s="173"/>
      <c r="E3594" s="174"/>
      <c r="F3594" s="173"/>
      <c r="G3594" s="425"/>
      <c r="H3594" s="425"/>
      <c r="I3594" s="258"/>
      <c r="J3594" s="259"/>
      <c r="K3594" s="260"/>
      <c r="L3594" s="442"/>
      <c r="M3594" s="426"/>
      <c r="N3594" s="173"/>
      <c r="O3594" s="173"/>
      <c r="P3594" s="262"/>
      <c r="Q3594" s="173"/>
      <c r="R3594" s="425"/>
      <c r="S3594" s="339"/>
      <c r="T3594" s="427"/>
      <c r="U3594" s="427"/>
      <c r="V3594" s="428"/>
      <c r="W3594" s="429"/>
      <c r="X3594" s="430"/>
      <c r="Y3594" s="33"/>
      <c r="Z3594" s="430"/>
      <c r="AA3594" s="430"/>
      <c r="AB3594" s="258"/>
      <c r="AC3594" s="430"/>
      <c r="AD3594" s="426"/>
      <c r="AE3594" s="428"/>
      <c r="AF3594" s="431"/>
      <c r="AG3594" s="432"/>
      <c r="AH3594" s="430"/>
      <c r="AI3594" s="430"/>
      <c r="AJ3594" s="430"/>
      <c r="AK3594" s="430"/>
      <c r="AL3594" s="430"/>
      <c r="AM3594" s="433"/>
      <c r="AN3594" s="430"/>
      <c r="AO3594" s="430"/>
      <c r="AP3594" s="430"/>
      <c r="AQ3594" s="430"/>
      <c r="AR3594" s="430"/>
      <c r="AS3594" s="430"/>
      <c r="AT3594" s="430"/>
      <c r="AU3594" s="426"/>
      <c r="AV3594" s="174"/>
      <c r="AW3594" s="269"/>
      <c r="AX3594" s="269"/>
      <c r="AY3594" s="270"/>
      <c r="AZ3594" s="435"/>
      <c r="BA3594" s="173"/>
      <c r="BB3594" s="434"/>
      <c r="BC3594" s="434"/>
      <c r="BD3594" s="308"/>
      <c r="BE3594" s="436"/>
      <c r="BF3594" s="274" t="str">
        <f>IFERROR(__xludf.DUMMYFUNCTION("LOWER(Regexreplace(to_text(E3594),""[^A-Za-z0-9]"","""")&amp;""_""&amp;Regexreplace(to_text(F3594),""[^A-Za-z0-9]"",""""))"),"_")</f>
        <v>_</v>
      </c>
      <c r="BG3594" s="275" t="str">
        <f>IFERROR(__xludf.DUMMYFUNCTION("upper(Regexreplace(to_text(E3594),""[^A-Za-z0-9]"","""")&amp;""-""&amp;Regexreplace(to_text(F3594),""[^A-Za-z0-9]"",""""))"),"-")</f>
        <v>-</v>
      </c>
    </row>
    <row r="3595" ht="30.0" customHeight="1">
      <c r="A3595" s="237"/>
      <c r="B3595" s="425"/>
      <c r="C3595" s="257"/>
      <c r="D3595" s="173"/>
      <c r="E3595" s="174"/>
      <c r="F3595" s="173"/>
      <c r="G3595" s="425"/>
      <c r="H3595" s="425"/>
      <c r="I3595" s="258"/>
      <c r="J3595" s="259"/>
      <c r="K3595" s="260"/>
      <c r="L3595" s="442"/>
      <c r="M3595" s="426"/>
      <c r="N3595" s="173"/>
      <c r="O3595" s="173"/>
      <c r="P3595" s="262"/>
      <c r="Q3595" s="173"/>
      <c r="R3595" s="425"/>
      <c r="S3595" s="339"/>
      <c r="T3595" s="427"/>
      <c r="U3595" s="427"/>
      <c r="V3595" s="428"/>
      <c r="W3595" s="429"/>
      <c r="X3595" s="430"/>
      <c r="Y3595" s="33"/>
      <c r="Z3595" s="430"/>
      <c r="AA3595" s="430"/>
      <c r="AB3595" s="258"/>
      <c r="AC3595" s="430"/>
      <c r="AD3595" s="426"/>
      <c r="AE3595" s="428"/>
      <c r="AF3595" s="431"/>
      <c r="AG3595" s="432"/>
      <c r="AH3595" s="430"/>
      <c r="AI3595" s="430"/>
      <c r="AJ3595" s="430"/>
      <c r="AK3595" s="430"/>
      <c r="AL3595" s="430"/>
      <c r="AM3595" s="433"/>
      <c r="AN3595" s="430"/>
      <c r="AO3595" s="430"/>
      <c r="AP3595" s="430"/>
      <c r="AQ3595" s="430"/>
      <c r="AR3595" s="430"/>
      <c r="AS3595" s="430"/>
      <c r="AT3595" s="430"/>
      <c r="AU3595" s="426"/>
      <c r="AV3595" s="174"/>
      <c r="AW3595" s="269"/>
      <c r="AX3595" s="269"/>
      <c r="AY3595" s="270"/>
      <c r="AZ3595" s="435"/>
      <c r="BA3595" s="173"/>
      <c r="BB3595" s="434"/>
      <c r="BC3595" s="434"/>
      <c r="BD3595" s="308"/>
      <c r="BE3595" s="436"/>
      <c r="BF3595" s="274" t="str">
        <f>IFERROR(__xludf.DUMMYFUNCTION("LOWER(Regexreplace(to_text(E3595),""[^A-Za-z0-9]"","""")&amp;""_""&amp;Regexreplace(to_text(F3595),""[^A-Za-z0-9]"",""""))"),"_")</f>
        <v>_</v>
      </c>
      <c r="BG3595" s="275" t="str">
        <f>IFERROR(__xludf.DUMMYFUNCTION("upper(Regexreplace(to_text(E3595),""[^A-Za-z0-9]"","""")&amp;""-""&amp;Regexreplace(to_text(F3595),""[^A-Za-z0-9]"",""""))"),"-")</f>
        <v>-</v>
      </c>
    </row>
    <row r="3596" ht="30.0" customHeight="1">
      <c r="A3596" s="237"/>
      <c r="B3596" s="425"/>
      <c r="C3596" s="257"/>
      <c r="D3596" s="173"/>
      <c r="E3596" s="174"/>
      <c r="F3596" s="173"/>
      <c r="G3596" s="425"/>
      <c r="H3596" s="425"/>
      <c r="I3596" s="258"/>
      <c r="J3596" s="259"/>
      <c r="K3596" s="260"/>
      <c r="L3596" s="442"/>
      <c r="M3596" s="426"/>
      <c r="N3596" s="173"/>
      <c r="O3596" s="173"/>
      <c r="P3596" s="262"/>
      <c r="Q3596" s="173"/>
      <c r="R3596" s="425"/>
      <c r="S3596" s="339"/>
      <c r="T3596" s="427"/>
      <c r="U3596" s="427"/>
      <c r="V3596" s="428"/>
      <c r="W3596" s="429"/>
      <c r="X3596" s="430"/>
      <c r="Y3596" s="33"/>
      <c r="Z3596" s="430"/>
      <c r="AA3596" s="430"/>
      <c r="AB3596" s="258"/>
      <c r="AC3596" s="430"/>
      <c r="AD3596" s="426"/>
      <c r="AE3596" s="428"/>
      <c r="AF3596" s="431"/>
      <c r="AG3596" s="432"/>
      <c r="AH3596" s="430"/>
      <c r="AI3596" s="430"/>
      <c r="AJ3596" s="430"/>
      <c r="AK3596" s="430"/>
      <c r="AL3596" s="430"/>
      <c r="AM3596" s="433"/>
      <c r="AN3596" s="430"/>
      <c r="AO3596" s="430"/>
      <c r="AP3596" s="430"/>
      <c r="AQ3596" s="430"/>
      <c r="AR3596" s="430"/>
      <c r="AS3596" s="430"/>
      <c r="AT3596" s="430"/>
      <c r="AU3596" s="426"/>
      <c r="AV3596" s="174"/>
      <c r="AW3596" s="269"/>
      <c r="AX3596" s="269"/>
      <c r="AY3596" s="270"/>
      <c r="AZ3596" s="435"/>
      <c r="BA3596" s="173"/>
      <c r="BB3596" s="434"/>
      <c r="BC3596" s="434"/>
      <c r="BD3596" s="308"/>
      <c r="BE3596" s="436"/>
      <c r="BF3596" s="274" t="str">
        <f>IFERROR(__xludf.DUMMYFUNCTION("LOWER(Regexreplace(to_text(E3596),""[^A-Za-z0-9]"","""")&amp;""_""&amp;Regexreplace(to_text(F3596),""[^A-Za-z0-9]"",""""))"),"_")</f>
        <v>_</v>
      </c>
      <c r="BG3596" s="275" t="str">
        <f>IFERROR(__xludf.DUMMYFUNCTION("upper(Regexreplace(to_text(E3596),""[^A-Za-z0-9]"","""")&amp;""-""&amp;Regexreplace(to_text(F3596),""[^A-Za-z0-9]"",""""))"),"-")</f>
        <v>-</v>
      </c>
    </row>
    <row r="3597" ht="30.0" customHeight="1">
      <c r="A3597" s="237"/>
      <c r="B3597" s="425"/>
      <c r="C3597" s="257"/>
      <c r="D3597" s="173"/>
      <c r="E3597" s="174"/>
      <c r="F3597" s="173"/>
      <c r="G3597" s="425"/>
      <c r="H3597" s="425"/>
      <c r="I3597" s="258"/>
      <c r="J3597" s="259"/>
      <c r="K3597" s="260"/>
      <c r="L3597" s="442"/>
      <c r="M3597" s="426"/>
      <c r="N3597" s="173"/>
      <c r="O3597" s="173"/>
      <c r="P3597" s="262"/>
      <c r="Q3597" s="173"/>
      <c r="R3597" s="425"/>
      <c r="S3597" s="339"/>
      <c r="T3597" s="427"/>
      <c r="U3597" s="427"/>
      <c r="V3597" s="428"/>
      <c r="W3597" s="429"/>
      <c r="X3597" s="430"/>
      <c r="Y3597" s="33"/>
      <c r="Z3597" s="430"/>
      <c r="AA3597" s="430"/>
      <c r="AB3597" s="258"/>
      <c r="AC3597" s="430"/>
      <c r="AD3597" s="426"/>
      <c r="AE3597" s="428"/>
      <c r="AF3597" s="431"/>
      <c r="AG3597" s="432"/>
      <c r="AH3597" s="430"/>
      <c r="AI3597" s="430"/>
      <c r="AJ3597" s="430"/>
      <c r="AK3597" s="430"/>
      <c r="AL3597" s="430"/>
      <c r="AM3597" s="433"/>
      <c r="AN3597" s="430"/>
      <c r="AO3597" s="430"/>
      <c r="AP3597" s="430"/>
      <c r="AQ3597" s="430"/>
      <c r="AR3597" s="430"/>
      <c r="AS3597" s="430"/>
      <c r="AT3597" s="430"/>
      <c r="AU3597" s="426"/>
      <c r="AV3597" s="174"/>
      <c r="AW3597" s="269"/>
      <c r="AX3597" s="269"/>
      <c r="AY3597" s="270"/>
      <c r="AZ3597" s="435"/>
      <c r="BA3597" s="173"/>
      <c r="BB3597" s="434"/>
      <c r="BC3597" s="434"/>
      <c r="BD3597" s="308"/>
      <c r="BE3597" s="436"/>
      <c r="BF3597" s="274" t="str">
        <f>IFERROR(__xludf.DUMMYFUNCTION("LOWER(Regexreplace(to_text(E3597),""[^A-Za-z0-9]"","""")&amp;""_""&amp;Regexreplace(to_text(F3597),""[^A-Za-z0-9]"",""""))"),"_")</f>
        <v>_</v>
      </c>
      <c r="BG3597" s="275" t="str">
        <f>IFERROR(__xludf.DUMMYFUNCTION("upper(Regexreplace(to_text(E3597),""[^A-Za-z0-9]"","""")&amp;""-""&amp;Regexreplace(to_text(F3597),""[^A-Za-z0-9]"",""""))"),"-")</f>
        <v>-</v>
      </c>
    </row>
    <row r="3598" ht="30.0" customHeight="1">
      <c r="A3598" s="237"/>
      <c r="B3598" s="425"/>
      <c r="C3598" s="257"/>
      <c r="D3598" s="173"/>
      <c r="E3598" s="174"/>
      <c r="F3598" s="173"/>
      <c r="G3598" s="425"/>
      <c r="H3598" s="425"/>
      <c r="I3598" s="258"/>
      <c r="J3598" s="259"/>
      <c r="K3598" s="260"/>
      <c r="L3598" s="442"/>
      <c r="M3598" s="426"/>
      <c r="N3598" s="173"/>
      <c r="O3598" s="173"/>
      <c r="P3598" s="262"/>
      <c r="Q3598" s="173"/>
      <c r="R3598" s="425"/>
      <c r="S3598" s="339"/>
      <c r="T3598" s="427"/>
      <c r="U3598" s="427"/>
      <c r="V3598" s="428"/>
      <c r="W3598" s="429"/>
      <c r="X3598" s="430"/>
      <c r="Y3598" s="33"/>
      <c r="Z3598" s="430"/>
      <c r="AA3598" s="430"/>
      <c r="AB3598" s="258"/>
      <c r="AC3598" s="430"/>
      <c r="AD3598" s="426"/>
      <c r="AE3598" s="428"/>
      <c r="AF3598" s="431"/>
      <c r="AG3598" s="432"/>
      <c r="AH3598" s="430"/>
      <c r="AI3598" s="430"/>
      <c r="AJ3598" s="430"/>
      <c r="AK3598" s="430"/>
      <c r="AL3598" s="430"/>
      <c r="AM3598" s="433"/>
      <c r="AN3598" s="430"/>
      <c r="AO3598" s="430"/>
      <c r="AP3598" s="430"/>
      <c r="AQ3598" s="430"/>
      <c r="AR3598" s="430"/>
      <c r="AS3598" s="430"/>
      <c r="AT3598" s="430"/>
      <c r="AU3598" s="426"/>
      <c r="AV3598" s="174"/>
      <c r="AW3598" s="269"/>
      <c r="AX3598" s="269"/>
      <c r="AY3598" s="270"/>
      <c r="AZ3598" s="435"/>
      <c r="BA3598" s="173"/>
      <c r="BB3598" s="434"/>
      <c r="BC3598" s="434"/>
      <c r="BD3598" s="308"/>
      <c r="BE3598" s="436"/>
      <c r="BF3598" s="274" t="str">
        <f>IFERROR(__xludf.DUMMYFUNCTION("LOWER(Regexreplace(to_text(E3598),""[^A-Za-z0-9]"","""")&amp;""_""&amp;Regexreplace(to_text(F3598),""[^A-Za-z0-9]"",""""))"),"_")</f>
        <v>_</v>
      </c>
      <c r="BG3598" s="275" t="str">
        <f>IFERROR(__xludf.DUMMYFUNCTION("upper(Regexreplace(to_text(E3598),""[^A-Za-z0-9]"","""")&amp;""-""&amp;Regexreplace(to_text(F3598),""[^A-Za-z0-9]"",""""))"),"-")</f>
        <v>-</v>
      </c>
    </row>
    <row r="3599" ht="30.0" customHeight="1">
      <c r="A3599" s="237"/>
      <c r="B3599" s="425"/>
      <c r="C3599" s="257"/>
      <c r="D3599" s="173"/>
      <c r="E3599" s="174"/>
      <c r="F3599" s="173"/>
      <c r="G3599" s="425"/>
      <c r="H3599" s="425"/>
      <c r="I3599" s="258"/>
      <c r="J3599" s="259"/>
      <c r="K3599" s="260"/>
      <c r="L3599" s="442"/>
      <c r="M3599" s="426"/>
      <c r="N3599" s="173"/>
      <c r="O3599" s="173"/>
      <c r="P3599" s="262"/>
      <c r="Q3599" s="173"/>
      <c r="R3599" s="425"/>
      <c r="S3599" s="339"/>
      <c r="T3599" s="427"/>
      <c r="U3599" s="427"/>
      <c r="V3599" s="428"/>
      <c r="W3599" s="429"/>
      <c r="X3599" s="430"/>
      <c r="Y3599" s="33"/>
      <c r="Z3599" s="430"/>
      <c r="AA3599" s="430"/>
      <c r="AB3599" s="258"/>
      <c r="AC3599" s="430"/>
      <c r="AD3599" s="426"/>
      <c r="AE3599" s="428"/>
      <c r="AF3599" s="431"/>
      <c r="AG3599" s="432"/>
      <c r="AH3599" s="430"/>
      <c r="AI3599" s="430"/>
      <c r="AJ3599" s="430"/>
      <c r="AK3599" s="430"/>
      <c r="AL3599" s="430"/>
      <c r="AM3599" s="433"/>
      <c r="AN3599" s="430"/>
      <c r="AO3599" s="430"/>
      <c r="AP3599" s="430"/>
      <c r="AQ3599" s="430"/>
      <c r="AR3599" s="430"/>
      <c r="AS3599" s="430"/>
      <c r="AT3599" s="430"/>
      <c r="AU3599" s="426"/>
      <c r="AV3599" s="174"/>
      <c r="AW3599" s="269"/>
      <c r="AX3599" s="269"/>
      <c r="AY3599" s="270"/>
      <c r="AZ3599" s="435"/>
      <c r="BA3599" s="173"/>
      <c r="BB3599" s="434"/>
      <c r="BC3599" s="434"/>
      <c r="BD3599" s="308"/>
      <c r="BE3599" s="436"/>
      <c r="BF3599" s="274" t="str">
        <f>IFERROR(__xludf.DUMMYFUNCTION("LOWER(Regexreplace(to_text(E3599),""[^A-Za-z0-9]"","""")&amp;""_""&amp;Regexreplace(to_text(F3599),""[^A-Za-z0-9]"",""""))"),"_")</f>
        <v>_</v>
      </c>
      <c r="BG3599" s="275" t="str">
        <f>IFERROR(__xludf.DUMMYFUNCTION("upper(Regexreplace(to_text(E3599),""[^A-Za-z0-9]"","""")&amp;""-""&amp;Regexreplace(to_text(F3599),""[^A-Za-z0-9]"",""""))"),"-")</f>
        <v>-</v>
      </c>
    </row>
    <row r="3600" ht="30.0" customHeight="1">
      <c r="A3600" s="237"/>
      <c r="B3600" s="425"/>
      <c r="C3600" s="257"/>
      <c r="D3600" s="173"/>
      <c r="E3600" s="174"/>
      <c r="F3600" s="173"/>
      <c r="G3600" s="425"/>
      <c r="H3600" s="425"/>
      <c r="I3600" s="258"/>
      <c r="J3600" s="259"/>
      <c r="K3600" s="260"/>
      <c r="L3600" s="442"/>
      <c r="M3600" s="426"/>
      <c r="N3600" s="173"/>
      <c r="O3600" s="173"/>
      <c r="P3600" s="262"/>
      <c r="Q3600" s="173"/>
      <c r="R3600" s="425"/>
      <c r="S3600" s="339"/>
      <c r="T3600" s="427"/>
      <c r="U3600" s="427"/>
      <c r="V3600" s="428"/>
      <c r="W3600" s="429"/>
      <c r="X3600" s="430"/>
      <c r="Y3600" s="33"/>
      <c r="Z3600" s="430"/>
      <c r="AA3600" s="430"/>
      <c r="AB3600" s="258"/>
      <c r="AC3600" s="430"/>
      <c r="AD3600" s="426"/>
      <c r="AE3600" s="428"/>
      <c r="AF3600" s="431"/>
      <c r="AG3600" s="432"/>
      <c r="AH3600" s="430"/>
      <c r="AI3600" s="430"/>
      <c r="AJ3600" s="430"/>
      <c r="AK3600" s="430"/>
      <c r="AL3600" s="430"/>
      <c r="AM3600" s="433"/>
      <c r="AN3600" s="430"/>
      <c r="AO3600" s="430"/>
      <c r="AP3600" s="430"/>
      <c r="AQ3600" s="430"/>
      <c r="AR3600" s="430"/>
      <c r="AS3600" s="430"/>
      <c r="AT3600" s="430"/>
      <c r="AU3600" s="426"/>
      <c r="AV3600" s="174"/>
      <c r="AW3600" s="269"/>
      <c r="AX3600" s="269"/>
      <c r="AY3600" s="270"/>
      <c r="AZ3600" s="435"/>
      <c r="BA3600" s="173"/>
      <c r="BB3600" s="434"/>
      <c r="BC3600" s="434"/>
      <c r="BD3600" s="308"/>
      <c r="BE3600" s="436"/>
      <c r="BF3600" s="274" t="str">
        <f>IFERROR(__xludf.DUMMYFUNCTION("LOWER(Regexreplace(to_text(E3600),""[^A-Za-z0-9]"","""")&amp;""_""&amp;Regexreplace(to_text(F3600),""[^A-Za-z0-9]"",""""))"),"_")</f>
        <v>_</v>
      </c>
      <c r="BG3600" s="275" t="str">
        <f>IFERROR(__xludf.DUMMYFUNCTION("upper(Regexreplace(to_text(E3600),""[^A-Za-z0-9]"","""")&amp;""-""&amp;Regexreplace(to_text(F3600),""[^A-Za-z0-9]"",""""))"),"-")</f>
        <v>-</v>
      </c>
    </row>
    <row r="3601" ht="30.0" customHeight="1">
      <c r="A3601" s="237"/>
      <c r="B3601" s="425"/>
      <c r="C3601" s="257"/>
      <c r="D3601" s="173"/>
      <c r="E3601" s="174"/>
      <c r="F3601" s="173"/>
      <c r="G3601" s="425"/>
      <c r="H3601" s="425"/>
      <c r="I3601" s="258"/>
      <c r="J3601" s="259"/>
      <c r="K3601" s="260"/>
      <c r="L3601" s="442"/>
      <c r="M3601" s="426"/>
      <c r="N3601" s="173"/>
      <c r="O3601" s="173"/>
      <c r="P3601" s="262"/>
      <c r="Q3601" s="173"/>
      <c r="R3601" s="425"/>
      <c r="S3601" s="339"/>
      <c r="T3601" s="427"/>
      <c r="U3601" s="427"/>
      <c r="V3601" s="428"/>
      <c r="W3601" s="429"/>
      <c r="X3601" s="430"/>
      <c r="Y3601" s="33"/>
      <c r="Z3601" s="430"/>
      <c r="AA3601" s="430"/>
      <c r="AB3601" s="258"/>
      <c r="AC3601" s="430"/>
      <c r="AD3601" s="426"/>
      <c r="AE3601" s="428"/>
      <c r="AF3601" s="431"/>
      <c r="AG3601" s="432"/>
      <c r="AH3601" s="430"/>
      <c r="AI3601" s="430"/>
      <c r="AJ3601" s="430"/>
      <c r="AK3601" s="430"/>
      <c r="AL3601" s="430"/>
      <c r="AM3601" s="433"/>
      <c r="AN3601" s="430"/>
      <c r="AO3601" s="430"/>
      <c r="AP3601" s="430"/>
      <c r="AQ3601" s="430"/>
      <c r="AR3601" s="430"/>
      <c r="AS3601" s="430"/>
      <c r="AT3601" s="430"/>
      <c r="AU3601" s="426"/>
      <c r="AV3601" s="174"/>
      <c r="AW3601" s="269"/>
      <c r="AX3601" s="269"/>
      <c r="AY3601" s="270"/>
      <c r="AZ3601" s="435"/>
      <c r="BA3601" s="173"/>
      <c r="BB3601" s="434"/>
      <c r="BC3601" s="434"/>
      <c r="BD3601" s="308"/>
      <c r="BE3601" s="436"/>
      <c r="BF3601" s="274" t="str">
        <f>IFERROR(__xludf.DUMMYFUNCTION("LOWER(Regexreplace(to_text(E3601),""[^A-Za-z0-9]"","""")&amp;""_""&amp;Regexreplace(to_text(F3601),""[^A-Za-z0-9]"",""""))"),"_")</f>
        <v>_</v>
      </c>
      <c r="BG3601" s="275" t="str">
        <f>IFERROR(__xludf.DUMMYFUNCTION("upper(Regexreplace(to_text(E3601),""[^A-Za-z0-9]"","""")&amp;""-""&amp;Regexreplace(to_text(F3601),""[^A-Za-z0-9]"",""""))"),"-")</f>
        <v>-</v>
      </c>
    </row>
    <row r="3602" ht="30.0" customHeight="1">
      <c r="A3602" s="237"/>
      <c r="B3602" s="425"/>
      <c r="C3602" s="257"/>
      <c r="D3602" s="173"/>
      <c r="E3602" s="174"/>
      <c r="F3602" s="173"/>
      <c r="G3602" s="425"/>
      <c r="H3602" s="425"/>
      <c r="I3602" s="258"/>
      <c r="J3602" s="259"/>
      <c r="K3602" s="260"/>
      <c r="L3602" s="442"/>
      <c r="M3602" s="426"/>
      <c r="N3602" s="173"/>
      <c r="O3602" s="173"/>
      <c r="P3602" s="262"/>
      <c r="Q3602" s="173"/>
      <c r="R3602" s="425"/>
      <c r="S3602" s="339"/>
      <c r="T3602" s="427"/>
      <c r="U3602" s="427"/>
      <c r="V3602" s="428"/>
      <c r="W3602" s="429"/>
      <c r="X3602" s="430"/>
      <c r="Y3602" s="33"/>
      <c r="Z3602" s="430"/>
      <c r="AA3602" s="430"/>
      <c r="AB3602" s="258"/>
      <c r="AC3602" s="430"/>
      <c r="AD3602" s="426"/>
      <c r="AE3602" s="428"/>
      <c r="AF3602" s="431"/>
      <c r="AG3602" s="432"/>
      <c r="AH3602" s="430"/>
      <c r="AI3602" s="430"/>
      <c r="AJ3602" s="430"/>
      <c r="AK3602" s="430"/>
      <c r="AL3602" s="430"/>
      <c r="AM3602" s="433"/>
      <c r="AN3602" s="430"/>
      <c r="AO3602" s="430"/>
      <c r="AP3602" s="430"/>
      <c r="AQ3602" s="430"/>
      <c r="AR3602" s="430"/>
      <c r="AS3602" s="430"/>
      <c r="AT3602" s="430"/>
      <c r="AU3602" s="426"/>
      <c r="AV3602" s="174"/>
      <c r="AW3602" s="269"/>
      <c r="AX3602" s="269"/>
      <c r="AY3602" s="270"/>
      <c r="AZ3602" s="435"/>
      <c r="BA3602" s="173"/>
      <c r="BB3602" s="434"/>
      <c r="BC3602" s="434"/>
      <c r="BD3602" s="308"/>
      <c r="BE3602" s="436"/>
      <c r="BF3602" s="274" t="str">
        <f>IFERROR(__xludf.DUMMYFUNCTION("LOWER(Regexreplace(to_text(E3602),""[^A-Za-z0-9]"","""")&amp;""_""&amp;Regexreplace(to_text(F3602),""[^A-Za-z0-9]"",""""))"),"_")</f>
        <v>_</v>
      </c>
      <c r="BG3602" s="275" t="str">
        <f>IFERROR(__xludf.DUMMYFUNCTION("upper(Regexreplace(to_text(E3602),""[^A-Za-z0-9]"","""")&amp;""-""&amp;Regexreplace(to_text(F3602),""[^A-Za-z0-9]"",""""))"),"-")</f>
        <v>-</v>
      </c>
    </row>
    <row r="3603" ht="30.0" customHeight="1">
      <c r="A3603" s="237"/>
      <c r="B3603" s="425"/>
      <c r="C3603" s="257"/>
      <c r="D3603" s="173"/>
      <c r="E3603" s="174"/>
      <c r="F3603" s="173"/>
      <c r="G3603" s="425"/>
      <c r="H3603" s="425"/>
      <c r="I3603" s="258"/>
      <c r="J3603" s="259"/>
      <c r="K3603" s="260"/>
      <c r="L3603" s="442"/>
      <c r="M3603" s="426"/>
      <c r="N3603" s="173"/>
      <c r="O3603" s="173"/>
      <c r="P3603" s="262"/>
      <c r="Q3603" s="173"/>
      <c r="R3603" s="425"/>
      <c r="S3603" s="339"/>
      <c r="T3603" s="427"/>
      <c r="U3603" s="427"/>
      <c r="V3603" s="428"/>
      <c r="W3603" s="429"/>
      <c r="X3603" s="430"/>
      <c r="Y3603" s="33"/>
      <c r="Z3603" s="430"/>
      <c r="AA3603" s="430"/>
      <c r="AB3603" s="258"/>
      <c r="AC3603" s="430"/>
      <c r="AD3603" s="426"/>
      <c r="AE3603" s="428"/>
      <c r="AF3603" s="431"/>
      <c r="AG3603" s="432"/>
      <c r="AH3603" s="430"/>
      <c r="AI3603" s="430"/>
      <c r="AJ3603" s="430"/>
      <c r="AK3603" s="430"/>
      <c r="AL3603" s="430"/>
      <c r="AM3603" s="433"/>
      <c r="AN3603" s="430"/>
      <c r="AO3603" s="430"/>
      <c r="AP3603" s="430"/>
      <c r="AQ3603" s="430"/>
      <c r="AR3603" s="430"/>
      <c r="AS3603" s="430"/>
      <c r="AT3603" s="430"/>
      <c r="AU3603" s="426"/>
      <c r="AV3603" s="174"/>
      <c r="AW3603" s="269"/>
      <c r="AX3603" s="269"/>
      <c r="AY3603" s="270"/>
      <c r="AZ3603" s="435"/>
      <c r="BA3603" s="173"/>
      <c r="BB3603" s="434"/>
      <c r="BC3603" s="434"/>
      <c r="BD3603" s="308"/>
      <c r="BE3603" s="436"/>
      <c r="BF3603" s="274" t="str">
        <f>IFERROR(__xludf.DUMMYFUNCTION("LOWER(Regexreplace(to_text(E3603),""[^A-Za-z0-9]"","""")&amp;""_""&amp;Regexreplace(to_text(F3603),""[^A-Za-z0-9]"",""""))"),"_")</f>
        <v>_</v>
      </c>
      <c r="BG3603" s="275" t="str">
        <f>IFERROR(__xludf.DUMMYFUNCTION("upper(Regexreplace(to_text(E3603),""[^A-Za-z0-9]"","""")&amp;""-""&amp;Regexreplace(to_text(F3603),""[^A-Za-z0-9]"",""""))"),"-")</f>
        <v>-</v>
      </c>
    </row>
    <row r="3604" ht="30.0" customHeight="1">
      <c r="A3604" s="237"/>
      <c r="B3604" s="425"/>
      <c r="C3604" s="257"/>
      <c r="D3604" s="173"/>
      <c r="E3604" s="174"/>
      <c r="F3604" s="173"/>
      <c r="G3604" s="425"/>
      <c r="H3604" s="425"/>
      <c r="I3604" s="258"/>
      <c r="J3604" s="259"/>
      <c r="K3604" s="260"/>
      <c r="L3604" s="442"/>
      <c r="M3604" s="426"/>
      <c r="N3604" s="173"/>
      <c r="O3604" s="173"/>
      <c r="P3604" s="262"/>
      <c r="Q3604" s="173"/>
      <c r="R3604" s="425"/>
      <c r="S3604" s="339"/>
      <c r="T3604" s="427"/>
      <c r="U3604" s="427"/>
      <c r="V3604" s="428"/>
      <c r="W3604" s="429"/>
      <c r="X3604" s="430"/>
      <c r="Y3604" s="33"/>
      <c r="Z3604" s="430"/>
      <c r="AA3604" s="430"/>
      <c r="AB3604" s="258"/>
      <c r="AC3604" s="430"/>
      <c r="AD3604" s="426"/>
      <c r="AE3604" s="428"/>
      <c r="AF3604" s="431"/>
      <c r="AG3604" s="432"/>
      <c r="AH3604" s="430"/>
      <c r="AI3604" s="430"/>
      <c r="AJ3604" s="430"/>
      <c r="AK3604" s="430"/>
      <c r="AL3604" s="430"/>
      <c r="AM3604" s="433"/>
      <c r="AN3604" s="430"/>
      <c r="AO3604" s="430"/>
      <c r="AP3604" s="430"/>
      <c r="AQ3604" s="430"/>
      <c r="AR3604" s="430"/>
      <c r="AS3604" s="430"/>
      <c r="AT3604" s="430"/>
      <c r="AU3604" s="426"/>
      <c r="AV3604" s="174"/>
      <c r="AW3604" s="269"/>
      <c r="AX3604" s="269"/>
      <c r="AY3604" s="270"/>
      <c r="AZ3604" s="435"/>
      <c r="BA3604" s="173"/>
      <c r="BB3604" s="434"/>
      <c r="BC3604" s="434"/>
      <c r="BD3604" s="308"/>
      <c r="BE3604" s="436"/>
      <c r="BF3604" s="274" t="str">
        <f>IFERROR(__xludf.DUMMYFUNCTION("LOWER(Regexreplace(to_text(E3604),""[^A-Za-z0-9]"","""")&amp;""_""&amp;Regexreplace(to_text(F3604),""[^A-Za-z0-9]"",""""))"),"_")</f>
        <v>_</v>
      </c>
      <c r="BG3604" s="275" t="str">
        <f>IFERROR(__xludf.DUMMYFUNCTION("upper(Regexreplace(to_text(E3604),""[^A-Za-z0-9]"","""")&amp;""-""&amp;Regexreplace(to_text(F3604),""[^A-Za-z0-9]"",""""))"),"-")</f>
        <v>-</v>
      </c>
    </row>
    <row r="3605" ht="30.0" customHeight="1">
      <c r="A3605" s="237"/>
      <c r="B3605" s="425"/>
      <c r="C3605" s="257"/>
      <c r="D3605" s="173"/>
      <c r="E3605" s="174"/>
      <c r="F3605" s="173"/>
      <c r="G3605" s="425"/>
      <c r="H3605" s="425"/>
      <c r="I3605" s="258"/>
      <c r="J3605" s="259"/>
      <c r="K3605" s="260"/>
      <c r="L3605" s="442"/>
      <c r="M3605" s="426"/>
      <c r="N3605" s="173"/>
      <c r="O3605" s="173"/>
      <c r="P3605" s="262"/>
      <c r="Q3605" s="173"/>
      <c r="R3605" s="425"/>
      <c r="S3605" s="339"/>
      <c r="T3605" s="427"/>
      <c r="U3605" s="427"/>
      <c r="V3605" s="428"/>
      <c r="W3605" s="429"/>
      <c r="X3605" s="430"/>
      <c r="Y3605" s="33"/>
      <c r="Z3605" s="430"/>
      <c r="AA3605" s="430"/>
      <c r="AB3605" s="258"/>
      <c r="AC3605" s="430"/>
      <c r="AD3605" s="426"/>
      <c r="AE3605" s="428"/>
      <c r="AF3605" s="431"/>
      <c r="AG3605" s="432"/>
      <c r="AH3605" s="430"/>
      <c r="AI3605" s="430"/>
      <c r="AJ3605" s="430"/>
      <c r="AK3605" s="430"/>
      <c r="AL3605" s="430"/>
      <c r="AM3605" s="433"/>
      <c r="AN3605" s="430"/>
      <c r="AO3605" s="430"/>
      <c r="AP3605" s="430"/>
      <c r="AQ3605" s="430"/>
      <c r="AR3605" s="430"/>
      <c r="AS3605" s="430"/>
      <c r="AT3605" s="430"/>
      <c r="AU3605" s="426"/>
      <c r="AV3605" s="174"/>
      <c r="AW3605" s="269"/>
      <c r="AX3605" s="269"/>
      <c r="AY3605" s="270"/>
      <c r="AZ3605" s="435"/>
      <c r="BA3605" s="173"/>
      <c r="BB3605" s="434"/>
      <c r="BC3605" s="434"/>
      <c r="BD3605" s="308"/>
      <c r="BE3605" s="436"/>
      <c r="BF3605" s="274" t="str">
        <f>IFERROR(__xludf.DUMMYFUNCTION("LOWER(Regexreplace(to_text(E3605),""[^A-Za-z0-9]"","""")&amp;""_""&amp;Regexreplace(to_text(F3605),""[^A-Za-z0-9]"",""""))"),"_")</f>
        <v>_</v>
      </c>
      <c r="BG3605" s="275" t="str">
        <f>IFERROR(__xludf.DUMMYFUNCTION("upper(Regexreplace(to_text(E3605),""[^A-Za-z0-9]"","""")&amp;""-""&amp;Regexreplace(to_text(F3605),""[^A-Za-z0-9]"",""""))"),"-")</f>
        <v>-</v>
      </c>
    </row>
    <row r="3606" ht="30.0" customHeight="1">
      <c r="A3606" s="237"/>
      <c r="B3606" s="425"/>
      <c r="C3606" s="257"/>
      <c r="D3606" s="173"/>
      <c r="E3606" s="174"/>
      <c r="F3606" s="173"/>
      <c r="G3606" s="425"/>
      <c r="H3606" s="425"/>
      <c r="I3606" s="258"/>
      <c r="J3606" s="259"/>
      <c r="K3606" s="260"/>
      <c r="L3606" s="442"/>
      <c r="M3606" s="426"/>
      <c r="N3606" s="173"/>
      <c r="O3606" s="173"/>
      <c r="P3606" s="262"/>
      <c r="Q3606" s="173"/>
      <c r="R3606" s="425"/>
      <c r="S3606" s="339"/>
      <c r="T3606" s="427"/>
      <c r="U3606" s="427"/>
      <c r="V3606" s="428"/>
      <c r="W3606" s="429"/>
      <c r="X3606" s="430"/>
      <c r="Y3606" s="33"/>
      <c r="Z3606" s="430"/>
      <c r="AA3606" s="430"/>
      <c r="AB3606" s="258"/>
      <c r="AC3606" s="430"/>
      <c r="AD3606" s="426"/>
      <c r="AE3606" s="428"/>
      <c r="AF3606" s="431"/>
      <c r="AG3606" s="432"/>
      <c r="AH3606" s="430"/>
      <c r="AI3606" s="430"/>
      <c r="AJ3606" s="430"/>
      <c r="AK3606" s="430"/>
      <c r="AL3606" s="430"/>
      <c r="AM3606" s="433"/>
      <c r="AN3606" s="430"/>
      <c r="AO3606" s="430"/>
      <c r="AP3606" s="430"/>
      <c r="AQ3606" s="430"/>
      <c r="AR3606" s="430"/>
      <c r="AS3606" s="430"/>
      <c r="AT3606" s="430"/>
      <c r="AU3606" s="426"/>
      <c r="AV3606" s="174"/>
      <c r="AW3606" s="269"/>
      <c r="AX3606" s="269"/>
      <c r="AY3606" s="270"/>
      <c r="AZ3606" s="435"/>
      <c r="BA3606" s="173"/>
      <c r="BB3606" s="434"/>
      <c r="BC3606" s="434"/>
      <c r="BD3606" s="308"/>
      <c r="BE3606" s="436"/>
      <c r="BF3606" s="274" t="str">
        <f>IFERROR(__xludf.DUMMYFUNCTION("LOWER(Regexreplace(to_text(E3606),""[^A-Za-z0-9]"","""")&amp;""_""&amp;Regexreplace(to_text(F3606),""[^A-Za-z0-9]"",""""))"),"_")</f>
        <v>_</v>
      </c>
      <c r="BG3606" s="275" t="str">
        <f>IFERROR(__xludf.DUMMYFUNCTION("upper(Regexreplace(to_text(E3606),""[^A-Za-z0-9]"","""")&amp;""-""&amp;Regexreplace(to_text(F3606),""[^A-Za-z0-9]"",""""))"),"-")</f>
        <v>-</v>
      </c>
    </row>
    <row r="3607" ht="30.0" customHeight="1">
      <c r="A3607" s="237"/>
      <c r="B3607" s="425"/>
      <c r="C3607" s="257"/>
      <c r="D3607" s="173"/>
      <c r="E3607" s="174"/>
      <c r="F3607" s="173"/>
      <c r="G3607" s="425"/>
      <c r="H3607" s="425"/>
      <c r="I3607" s="258"/>
      <c r="J3607" s="259"/>
      <c r="K3607" s="260"/>
      <c r="L3607" s="442"/>
      <c r="M3607" s="426"/>
      <c r="N3607" s="173"/>
      <c r="O3607" s="173"/>
      <c r="P3607" s="262"/>
      <c r="Q3607" s="173"/>
      <c r="R3607" s="425"/>
      <c r="S3607" s="339"/>
      <c r="T3607" s="427"/>
      <c r="U3607" s="427"/>
      <c r="V3607" s="428"/>
      <c r="W3607" s="429"/>
      <c r="X3607" s="430"/>
      <c r="Y3607" s="33"/>
      <c r="Z3607" s="430"/>
      <c r="AA3607" s="430"/>
      <c r="AB3607" s="258"/>
      <c r="AC3607" s="430"/>
      <c r="AD3607" s="426"/>
      <c r="AE3607" s="428"/>
      <c r="AF3607" s="431"/>
      <c r="AG3607" s="432"/>
      <c r="AH3607" s="430"/>
      <c r="AI3607" s="430"/>
      <c r="AJ3607" s="430"/>
      <c r="AK3607" s="430"/>
      <c r="AL3607" s="430"/>
      <c r="AM3607" s="433"/>
      <c r="AN3607" s="430"/>
      <c r="AO3607" s="430"/>
      <c r="AP3607" s="430"/>
      <c r="AQ3607" s="430"/>
      <c r="AR3607" s="430"/>
      <c r="AS3607" s="430"/>
      <c r="AT3607" s="430"/>
      <c r="AU3607" s="426"/>
      <c r="AV3607" s="174"/>
      <c r="AW3607" s="269"/>
      <c r="AX3607" s="269"/>
      <c r="AY3607" s="270"/>
      <c r="AZ3607" s="435"/>
      <c r="BA3607" s="173"/>
      <c r="BB3607" s="434"/>
      <c r="BC3607" s="434"/>
      <c r="BD3607" s="308"/>
      <c r="BE3607" s="436"/>
      <c r="BF3607" s="274" t="str">
        <f>IFERROR(__xludf.DUMMYFUNCTION("LOWER(Regexreplace(to_text(E3607),""[^A-Za-z0-9]"","""")&amp;""_""&amp;Regexreplace(to_text(F3607),""[^A-Za-z0-9]"",""""))"),"_")</f>
        <v>_</v>
      </c>
      <c r="BG3607" s="275" t="str">
        <f>IFERROR(__xludf.DUMMYFUNCTION("upper(Regexreplace(to_text(E3607),""[^A-Za-z0-9]"","""")&amp;""-""&amp;Regexreplace(to_text(F3607),""[^A-Za-z0-9]"",""""))"),"-")</f>
        <v>-</v>
      </c>
    </row>
    <row r="3608" ht="30.0" customHeight="1">
      <c r="A3608" s="237"/>
      <c r="B3608" s="425"/>
      <c r="C3608" s="257"/>
      <c r="D3608" s="173"/>
      <c r="E3608" s="174"/>
      <c r="F3608" s="173"/>
      <c r="G3608" s="425"/>
      <c r="H3608" s="425"/>
      <c r="I3608" s="258"/>
      <c r="J3608" s="259"/>
      <c r="K3608" s="260"/>
      <c r="L3608" s="442"/>
      <c r="M3608" s="426"/>
      <c r="N3608" s="173"/>
      <c r="O3608" s="173"/>
      <c r="P3608" s="262"/>
      <c r="Q3608" s="173"/>
      <c r="R3608" s="425"/>
      <c r="S3608" s="339"/>
      <c r="T3608" s="427"/>
      <c r="U3608" s="427"/>
      <c r="V3608" s="428"/>
      <c r="W3608" s="429"/>
      <c r="X3608" s="430"/>
      <c r="Y3608" s="33"/>
      <c r="Z3608" s="430"/>
      <c r="AA3608" s="430"/>
      <c r="AB3608" s="258"/>
      <c r="AC3608" s="430"/>
      <c r="AD3608" s="426"/>
      <c r="AE3608" s="428"/>
      <c r="AF3608" s="431"/>
      <c r="AG3608" s="432"/>
      <c r="AH3608" s="430"/>
      <c r="AI3608" s="430"/>
      <c r="AJ3608" s="430"/>
      <c r="AK3608" s="430"/>
      <c r="AL3608" s="430"/>
      <c r="AM3608" s="433"/>
      <c r="AN3608" s="430"/>
      <c r="AO3608" s="430"/>
      <c r="AP3608" s="430"/>
      <c r="AQ3608" s="430"/>
      <c r="AR3608" s="430"/>
      <c r="AS3608" s="430"/>
      <c r="AT3608" s="430"/>
      <c r="AU3608" s="426"/>
      <c r="AV3608" s="174"/>
      <c r="AW3608" s="269"/>
      <c r="AX3608" s="269"/>
      <c r="AY3608" s="270"/>
      <c r="AZ3608" s="435"/>
      <c r="BA3608" s="173"/>
      <c r="BB3608" s="434"/>
      <c r="BC3608" s="434"/>
      <c r="BD3608" s="308"/>
      <c r="BE3608" s="436"/>
      <c r="BF3608" s="274" t="str">
        <f>IFERROR(__xludf.DUMMYFUNCTION("LOWER(Regexreplace(to_text(E3608),""[^A-Za-z0-9]"","""")&amp;""_""&amp;Regexreplace(to_text(F3608),""[^A-Za-z0-9]"",""""))"),"_")</f>
        <v>_</v>
      </c>
      <c r="BG3608" s="275" t="str">
        <f>IFERROR(__xludf.DUMMYFUNCTION("upper(Regexreplace(to_text(E3608),""[^A-Za-z0-9]"","""")&amp;""-""&amp;Regexreplace(to_text(F3608),""[^A-Za-z0-9]"",""""))"),"-")</f>
        <v>-</v>
      </c>
    </row>
    <row r="3609" ht="30.0" customHeight="1">
      <c r="A3609" s="237"/>
      <c r="B3609" s="425"/>
      <c r="C3609" s="257"/>
      <c r="D3609" s="173"/>
      <c r="E3609" s="174"/>
      <c r="F3609" s="173"/>
      <c r="G3609" s="425"/>
      <c r="H3609" s="425"/>
      <c r="I3609" s="258"/>
      <c r="J3609" s="259"/>
      <c r="K3609" s="260"/>
      <c r="L3609" s="442"/>
      <c r="M3609" s="426"/>
      <c r="N3609" s="173"/>
      <c r="O3609" s="173"/>
      <c r="P3609" s="262"/>
      <c r="Q3609" s="173"/>
      <c r="R3609" s="425"/>
      <c r="S3609" s="339"/>
      <c r="T3609" s="427"/>
      <c r="U3609" s="427"/>
      <c r="V3609" s="428"/>
      <c r="W3609" s="429"/>
      <c r="X3609" s="430"/>
      <c r="Y3609" s="33"/>
      <c r="Z3609" s="430"/>
      <c r="AA3609" s="430"/>
      <c r="AB3609" s="258"/>
      <c r="AC3609" s="430"/>
      <c r="AD3609" s="426"/>
      <c r="AE3609" s="428"/>
      <c r="AF3609" s="431"/>
      <c r="AG3609" s="432"/>
      <c r="AH3609" s="430"/>
      <c r="AI3609" s="430"/>
      <c r="AJ3609" s="430"/>
      <c r="AK3609" s="430"/>
      <c r="AL3609" s="430"/>
      <c r="AM3609" s="433"/>
      <c r="AN3609" s="430"/>
      <c r="AO3609" s="430"/>
      <c r="AP3609" s="430"/>
      <c r="AQ3609" s="430"/>
      <c r="AR3609" s="430"/>
      <c r="AS3609" s="430"/>
      <c r="AT3609" s="430"/>
      <c r="AU3609" s="426"/>
      <c r="AV3609" s="174"/>
      <c r="AW3609" s="269"/>
      <c r="AX3609" s="269"/>
      <c r="AY3609" s="270"/>
      <c r="AZ3609" s="435"/>
      <c r="BA3609" s="173"/>
      <c r="BB3609" s="434"/>
      <c r="BC3609" s="434"/>
      <c r="BD3609" s="308"/>
      <c r="BE3609" s="436"/>
      <c r="BF3609" s="274" t="str">
        <f>IFERROR(__xludf.DUMMYFUNCTION("LOWER(Regexreplace(to_text(E3609),""[^A-Za-z0-9]"","""")&amp;""_""&amp;Regexreplace(to_text(F3609),""[^A-Za-z0-9]"",""""))"),"_")</f>
        <v>_</v>
      </c>
      <c r="BG3609" s="275" t="str">
        <f>IFERROR(__xludf.DUMMYFUNCTION("upper(Regexreplace(to_text(E3609),""[^A-Za-z0-9]"","""")&amp;""-""&amp;Regexreplace(to_text(F3609),""[^A-Za-z0-9]"",""""))"),"-")</f>
        <v>-</v>
      </c>
    </row>
    <row r="3610" ht="30.0" customHeight="1">
      <c r="A3610" s="237"/>
      <c r="B3610" s="425"/>
      <c r="C3610" s="257"/>
      <c r="D3610" s="173"/>
      <c r="E3610" s="174"/>
      <c r="F3610" s="173"/>
      <c r="G3610" s="425"/>
      <c r="H3610" s="425"/>
      <c r="I3610" s="258"/>
      <c r="J3610" s="259"/>
      <c r="K3610" s="260"/>
      <c r="L3610" s="442"/>
      <c r="M3610" s="426"/>
      <c r="N3610" s="173"/>
      <c r="O3610" s="173"/>
      <c r="P3610" s="262"/>
      <c r="Q3610" s="173"/>
      <c r="R3610" s="425"/>
      <c r="S3610" s="339"/>
      <c r="T3610" s="427"/>
      <c r="U3610" s="427"/>
      <c r="V3610" s="428"/>
      <c r="W3610" s="429"/>
      <c r="X3610" s="430"/>
      <c r="Y3610" s="33"/>
      <c r="Z3610" s="430"/>
      <c r="AA3610" s="430"/>
      <c r="AB3610" s="258"/>
      <c r="AC3610" s="430"/>
      <c r="AD3610" s="426"/>
      <c r="AE3610" s="428"/>
      <c r="AF3610" s="431"/>
      <c r="AG3610" s="432"/>
      <c r="AH3610" s="430"/>
      <c r="AI3610" s="430"/>
      <c r="AJ3610" s="430"/>
      <c r="AK3610" s="430"/>
      <c r="AL3610" s="430"/>
      <c r="AM3610" s="433"/>
      <c r="AN3610" s="430"/>
      <c r="AO3610" s="430"/>
      <c r="AP3610" s="430"/>
      <c r="AQ3610" s="430"/>
      <c r="AR3610" s="430"/>
      <c r="AS3610" s="430"/>
      <c r="AT3610" s="430"/>
      <c r="AU3610" s="426"/>
      <c r="AV3610" s="174"/>
      <c r="AW3610" s="269"/>
      <c r="AX3610" s="269"/>
      <c r="AY3610" s="270"/>
      <c r="AZ3610" s="435"/>
      <c r="BA3610" s="173"/>
      <c r="BB3610" s="434"/>
      <c r="BC3610" s="434"/>
      <c r="BD3610" s="308"/>
      <c r="BE3610" s="436"/>
      <c r="BF3610" s="274" t="str">
        <f>IFERROR(__xludf.DUMMYFUNCTION("LOWER(Regexreplace(to_text(E3610),""[^A-Za-z0-9]"","""")&amp;""_""&amp;Regexreplace(to_text(F3610),""[^A-Za-z0-9]"",""""))"),"_")</f>
        <v>_</v>
      </c>
      <c r="BG3610" s="275" t="str">
        <f>IFERROR(__xludf.DUMMYFUNCTION("upper(Regexreplace(to_text(E3610),""[^A-Za-z0-9]"","""")&amp;""-""&amp;Regexreplace(to_text(F3610),""[^A-Za-z0-9]"",""""))"),"-")</f>
        <v>-</v>
      </c>
    </row>
    <row r="3611" ht="30.0" customHeight="1">
      <c r="A3611" s="237"/>
      <c r="B3611" s="425"/>
      <c r="C3611" s="257"/>
      <c r="D3611" s="173"/>
      <c r="E3611" s="174"/>
      <c r="F3611" s="173"/>
      <c r="G3611" s="425"/>
      <c r="H3611" s="425"/>
      <c r="I3611" s="258"/>
      <c r="J3611" s="259"/>
      <c r="K3611" s="260"/>
      <c r="L3611" s="442"/>
      <c r="M3611" s="426"/>
      <c r="N3611" s="173"/>
      <c r="O3611" s="173"/>
      <c r="P3611" s="262"/>
      <c r="Q3611" s="173"/>
      <c r="R3611" s="425"/>
      <c r="S3611" s="339"/>
      <c r="T3611" s="427"/>
      <c r="U3611" s="427"/>
      <c r="V3611" s="428"/>
      <c r="W3611" s="429"/>
      <c r="X3611" s="430"/>
      <c r="Y3611" s="33"/>
      <c r="Z3611" s="430"/>
      <c r="AA3611" s="430"/>
      <c r="AB3611" s="258"/>
      <c r="AC3611" s="430"/>
      <c r="AD3611" s="426"/>
      <c r="AE3611" s="428"/>
      <c r="AF3611" s="431"/>
      <c r="AG3611" s="432"/>
      <c r="AH3611" s="430"/>
      <c r="AI3611" s="430"/>
      <c r="AJ3611" s="430"/>
      <c r="AK3611" s="430"/>
      <c r="AL3611" s="430"/>
      <c r="AM3611" s="433"/>
      <c r="AN3611" s="430"/>
      <c r="AO3611" s="430"/>
      <c r="AP3611" s="430"/>
      <c r="AQ3611" s="430"/>
      <c r="AR3611" s="430"/>
      <c r="AS3611" s="430"/>
      <c r="AT3611" s="430"/>
      <c r="AU3611" s="426"/>
      <c r="AV3611" s="174"/>
      <c r="AW3611" s="269"/>
      <c r="AX3611" s="269"/>
      <c r="AY3611" s="270"/>
      <c r="AZ3611" s="435"/>
      <c r="BA3611" s="173"/>
      <c r="BB3611" s="434"/>
      <c r="BC3611" s="434"/>
      <c r="BD3611" s="308"/>
      <c r="BE3611" s="436"/>
      <c r="BF3611" s="274" t="str">
        <f>IFERROR(__xludf.DUMMYFUNCTION("LOWER(Regexreplace(to_text(E3611),""[^A-Za-z0-9]"","""")&amp;""_""&amp;Regexreplace(to_text(F3611),""[^A-Za-z0-9]"",""""))"),"_")</f>
        <v>_</v>
      </c>
      <c r="BG3611" s="275" t="str">
        <f>IFERROR(__xludf.DUMMYFUNCTION("upper(Regexreplace(to_text(E3611),""[^A-Za-z0-9]"","""")&amp;""-""&amp;Regexreplace(to_text(F3611),""[^A-Za-z0-9]"",""""))"),"-")</f>
        <v>-</v>
      </c>
    </row>
    <row r="3612" ht="30.0" customHeight="1">
      <c r="A3612" s="237"/>
      <c r="B3612" s="425"/>
      <c r="C3612" s="257"/>
      <c r="D3612" s="173"/>
      <c r="E3612" s="174"/>
      <c r="F3612" s="173"/>
      <c r="G3612" s="425"/>
      <c r="H3612" s="425"/>
      <c r="I3612" s="258"/>
      <c r="J3612" s="259"/>
      <c r="K3612" s="260"/>
      <c r="L3612" s="442"/>
      <c r="M3612" s="426"/>
      <c r="N3612" s="173"/>
      <c r="O3612" s="173"/>
      <c r="P3612" s="262"/>
      <c r="Q3612" s="173"/>
      <c r="R3612" s="425"/>
      <c r="S3612" s="339"/>
      <c r="T3612" s="427"/>
      <c r="U3612" s="427"/>
      <c r="V3612" s="428"/>
      <c r="W3612" s="429"/>
      <c r="X3612" s="430"/>
      <c r="Y3612" s="33"/>
      <c r="Z3612" s="430"/>
      <c r="AA3612" s="430"/>
      <c r="AB3612" s="258"/>
      <c r="AC3612" s="430"/>
      <c r="AD3612" s="426"/>
      <c r="AE3612" s="428"/>
      <c r="AF3612" s="431"/>
      <c r="AG3612" s="432"/>
      <c r="AH3612" s="430"/>
      <c r="AI3612" s="430"/>
      <c r="AJ3612" s="430"/>
      <c r="AK3612" s="430"/>
      <c r="AL3612" s="430"/>
      <c r="AM3612" s="433"/>
      <c r="AN3612" s="430"/>
      <c r="AO3612" s="430"/>
      <c r="AP3612" s="430"/>
      <c r="AQ3612" s="430"/>
      <c r="AR3612" s="430"/>
      <c r="AS3612" s="430"/>
      <c r="AT3612" s="430"/>
      <c r="AU3612" s="426"/>
      <c r="AV3612" s="174"/>
      <c r="AW3612" s="269"/>
      <c r="AX3612" s="269"/>
      <c r="AY3612" s="270"/>
      <c r="AZ3612" s="435"/>
      <c r="BA3612" s="173"/>
      <c r="BB3612" s="434"/>
      <c r="BC3612" s="434"/>
      <c r="BD3612" s="308"/>
      <c r="BE3612" s="436"/>
      <c r="BF3612" s="274" t="str">
        <f>IFERROR(__xludf.DUMMYFUNCTION("LOWER(Regexreplace(to_text(E3612),""[^A-Za-z0-9]"","""")&amp;""_""&amp;Regexreplace(to_text(F3612),""[^A-Za-z0-9]"",""""))"),"_")</f>
        <v>_</v>
      </c>
      <c r="BG3612" s="275" t="str">
        <f>IFERROR(__xludf.DUMMYFUNCTION("upper(Regexreplace(to_text(E3612),""[^A-Za-z0-9]"","""")&amp;""-""&amp;Regexreplace(to_text(F3612),""[^A-Za-z0-9]"",""""))"),"-")</f>
        <v>-</v>
      </c>
    </row>
    <row r="3613" ht="30.0" customHeight="1">
      <c r="A3613" s="237"/>
      <c r="B3613" s="425"/>
      <c r="C3613" s="257"/>
      <c r="D3613" s="173"/>
      <c r="E3613" s="174"/>
      <c r="F3613" s="173"/>
      <c r="G3613" s="425"/>
      <c r="H3613" s="425"/>
      <c r="I3613" s="258"/>
      <c r="J3613" s="259"/>
      <c r="K3613" s="260"/>
      <c r="L3613" s="442"/>
      <c r="M3613" s="426"/>
      <c r="N3613" s="173"/>
      <c r="O3613" s="173"/>
      <c r="P3613" s="262"/>
      <c r="Q3613" s="173"/>
      <c r="R3613" s="425"/>
      <c r="S3613" s="339"/>
      <c r="T3613" s="427"/>
      <c r="U3613" s="427"/>
      <c r="V3613" s="428"/>
      <c r="W3613" s="429"/>
      <c r="X3613" s="430"/>
      <c r="Y3613" s="33"/>
      <c r="Z3613" s="430"/>
      <c r="AA3613" s="430"/>
      <c r="AB3613" s="258"/>
      <c r="AC3613" s="430"/>
      <c r="AD3613" s="426"/>
      <c r="AE3613" s="428"/>
      <c r="AF3613" s="431"/>
      <c r="AG3613" s="432"/>
      <c r="AH3613" s="430"/>
      <c r="AI3613" s="430"/>
      <c r="AJ3613" s="430"/>
      <c r="AK3613" s="430"/>
      <c r="AL3613" s="430"/>
      <c r="AM3613" s="433"/>
      <c r="AN3613" s="430"/>
      <c r="AO3613" s="430"/>
      <c r="AP3613" s="430"/>
      <c r="AQ3613" s="430"/>
      <c r="AR3613" s="430"/>
      <c r="AS3613" s="430"/>
      <c r="AT3613" s="430"/>
      <c r="AU3613" s="426"/>
      <c r="AV3613" s="174"/>
      <c r="AW3613" s="269"/>
      <c r="AX3613" s="269"/>
      <c r="AY3613" s="270"/>
      <c r="AZ3613" s="435"/>
      <c r="BA3613" s="173"/>
      <c r="BB3613" s="434"/>
      <c r="BC3613" s="434"/>
      <c r="BD3613" s="308"/>
      <c r="BE3613" s="436"/>
      <c r="BF3613" s="274" t="str">
        <f>IFERROR(__xludf.DUMMYFUNCTION("LOWER(Regexreplace(to_text(E3613),""[^A-Za-z0-9]"","""")&amp;""_""&amp;Regexreplace(to_text(F3613),""[^A-Za-z0-9]"",""""))"),"_")</f>
        <v>_</v>
      </c>
      <c r="BG3613" s="275" t="str">
        <f>IFERROR(__xludf.DUMMYFUNCTION("upper(Regexreplace(to_text(E3613),""[^A-Za-z0-9]"","""")&amp;""-""&amp;Regexreplace(to_text(F3613),""[^A-Za-z0-9]"",""""))"),"-")</f>
        <v>-</v>
      </c>
    </row>
    <row r="3614" ht="30.0" customHeight="1">
      <c r="A3614" s="237"/>
      <c r="B3614" s="425"/>
      <c r="C3614" s="257"/>
      <c r="D3614" s="173"/>
      <c r="E3614" s="174"/>
      <c r="F3614" s="173"/>
      <c r="G3614" s="425"/>
      <c r="H3614" s="425"/>
      <c r="I3614" s="258"/>
      <c r="J3614" s="259"/>
      <c r="K3614" s="260"/>
      <c r="L3614" s="442"/>
      <c r="M3614" s="426"/>
      <c r="N3614" s="173"/>
      <c r="O3614" s="173"/>
      <c r="P3614" s="262"/>
      <c r="Q3614" s="173"/>
      <c r="R3614" s="425"/>
      <c r="S3614" s="339"/>
      <c r="T3614" s="427"/>
      <c r="U3614" s="427"/>
      <c r="V3614" s="428"/>
      <c r="W3614" s="429"/>
      <c r="X3614" s="430"/>
      <c r="Y3614" s="33"/>
      <c r="Z3614" s="430"/>
      <c r="AA3614" s="430"/>
      <c r="AB3614" s="258"/>
      <c r="AC3614" s="430"/>
      <c r="AD3614" s="426"/>
      <c r="AE3614" s="428"/>
      <c r="AF3614" s="431"/>
      <c r="AG3614" s="432"/>
      <c r="AH3614" s="430"/>
      <c r="AI3614" s="430"/>
      <c r="AJ3614" s="430"/>
      <c r="AK3614" s="430"/>
      <c r="AL3614" s="430"/>
      <c r="AM3614" s="433"/>
      <c r="AN3614" s="430"/>
      <c r="AO3614" s="430"/>
      <c r="AP3614" s="430"/>
      <c r="AQ3614" s="430"/>
      <c r="AR3614" s="430"/>
      <c r="AS3614" s="430"/>
      <c r="AT3614" s="430"/>
      <c r="AU3614" s="426"/>
      <c r="AV3614" s="174"/>
      <c r="AW3614" s="269"/>
      <c r="AX3614" s="269"/>
      <c r="AY3614" s="270"/>
      <c r="AZ3614" s="435"/>
      <c r="BA3614" s="173"/>
      <c r="BB3614" s="434"/>
      <c r="BC3614" s="434"/>
      <c r="BD3614" s="308"/>
      <c r="BE3614" s="436"/>
      <c r="BF3614" s="274" t="str">
        <f>IFERROR(__xludf.DUMMYFUNCTION("LOWER(Regexreplace(to_text(E3614),""[^A-Za-z0-9]"","""")&amp;""_""&amp;Regexreplace(to_text(F3614),""[^A-Za-z0-9]"",""""))"),"_")</f>
        <v>_</v>
      </c>
      <c r="BG3614" s="275" t="str">
        <f>IFERROR(__xludf.DUMMYFUNCTION("upper(Regexreplace(to_text(E3614),""[^A-Za-z0-9]"","""")&amp;""-""&amp;Regexreplace(to_text(F3614),""[^A-Za-z0-9]"",""""))"),"-")</f>
        <v>-</v>
      </c>
    </row>
    <row r="3615" ht="30.0" customHeight="1">
      <c r="A3615" s="237"/>
      <c r="B3615" s="425"/>
      <c r="C3615" s="257"/>
      <c r="D3615" s="173"/>
      <c r="E3615" s="174"/>
      <c r="F3615" s="173"/>
      <c r="G3615" s="425"/>
      <c r="H3615" s="425"/>
      <c r="I3615" s="258"/>
      <c r="J3615" s="259"/>
      <c r="K3615" s="260"/>
      <c r="L3615" s="442"/>
      <c r="M3615" s="426"/>
      <c r="N3615" s="173"/>
      <c r="O3615" s="173"/>
      <c r="P3615" s="262"/>
      <c r="Q3615" s="173"/>
      <c r="R3615" s="425"/>
      <c r="S3615" s="339"/>
      <c r="T3615" s="427"/>
      <c r="U3615" s="427"/>
      <c r="V3615" s="428"/>
      <c r="W3615" s="429"/>
      <c r="X3615" s="430"/>
      <c r="Y3615" s="33"/>
      <c r="Z3615" s="430"/>
      <c r="AA3615" s="430"/>
      <c r="AB3615" s="258"/>
      <c r="AC3615" s="430"/>
      <c r="AD3615" s="426"/>
      <c r="AE3615" s="428"/>
      <c r="AF3615" s="431"/>
      <c r="AG3615" s="432"/>
      <c r="AH3615" s="430"/>
      <c r="AI3615" s="430"/>
      <c r="AJ3615" s="430"/>
      <c r="AK3615" s="430"/>
      <c r="AL3615" s="430"/>
      <c r="AM3615" s="433"/>
      <c r="AN3615" s="430"/>
      <c r="AO3615" s="430"/>
      <c r="AP3615" s="430"/>
      <c r="AQ3615" s="430"/>
      <c r="AR3615" s="430"/>
      <c r="AS3615" s="430"/>
      <c r="AT3615" s="430"/>
      <c r="AU3615" s="426"/>
      <c r="AV3615" s="174"/>
      <c r="AW3615" s="269"/>
      <c r="AX3615" s="269"/>
      <c r="AY3615" s="270"/>
      <c r="AZ3615" s="435"/>
      <c r="BA3615" s="173"/>
      <c r="BB3615" s="434"/>
      <c r="BC3615" s="434"/>
      <c r="BD3615" s="308"/>
      <c r="BE3615" s="436"/>
      <c r="BF3615" s="274" t="str">
        <f>IFERROR(__xludf.DUMMYFUNCTION("LOWER(Regexreplace(to_text(E3615),""[^A-Za-z0-9]"","""")&amp;""_""&amp;Regexreplace(to_text(F3615),""[^A-Za-z0-9]"",""""))"),"_")</f>
        <v>_</v>
      </c>
      <c r="BG3615" s="275" t="str">
        <f>IFERROR(__xludf.DUMMYFUNCTION("upper(Regexreplace(to_text(E3615),""[^A-Za-z0-9]"","""")&amp;""-""&amp;Regexreplace(to_text(F3615),""[^A-Za-z0-9]"",""""))"),"-")</f>
        <v>-</v>
      </c>
    </row>
    <row r="3616" ht="30.0" customHeight="1">
      <c r="A3616" s="237"/>
      <c r="B3616" s="425"/>
      <c r="C3616" s="257"/>
      <c r="D3616" s="173"/>
      <c r="E3616" s="174"/>
      <c r="F3616" s="173"/>
      <c r="G3616" s="425"/>
      <c r="H3616" s="425"/>
      <c r="I3616" s="258"/>
      <c r="J3616" s="259"/>
      <c r="K3616" s="260"/>
      <c r="L3616" s="442"/>
      <c r="M3616" s="426"/>
      <c r="N3616" s="173"/>
      <c r="O3616" s="173"/>
      <c r="P3616" s="262"/>
      <c r="Q3616" s="173"/>
      <c r="R3616" s="425"/>
      <c r="S3616" s="339"/>
      <c r="T3616" s="427"/>
      <c r="U3616" s="427"/>
      <c r="V3616" s="428"/>
      <c r="W3616" s="429"/>
      <c r="X3616" s="430"/>
      <c r="Y3616" s="33"/>
      <c r="Z3616" s="430"/>
      <c r="AA3616" s="430"/>
      <c r="AB3616" s="258"/>
      <c r="AC3616" s="430"/>
      <c r="AD3616" s="426"/>
      <c r="AE3616" s="428"/>
      <c r="AF3616" s="431"/>
      <c r="AG3616" s="432"/>
      <c r="AH3616" s="430"/>
      <c r="AI3616" s="430"/>
      <c r="AJ3616" s="430"/>
      <c r="AK3616" s="430"/>
      <c r="AL3616" s="430"/>
      <c r="AM3616" s="433"/>
      <c r="AN3616" s="430"/>
      <c r="AO3616" s="430"/>
      <c r="AP3616" s="430"/>
      <c r="AQ3616" s="430"/>
      <c r="AR3616" s="430"/>
      <c r="AS3616" s="430"/>
      <c r="AT3616" s="430"/>
      <c r="AU3616" s="426"/>
      <c r="AV3616" s="174"/>
      <c r="AW3616" s="269"/>
      <c r="AX3616" s="269"/>
      <c r="AY3616" s="270"/>
      <c r="AZ3616" s="435"/>
      <c r="BA3616" s="173"/>
      <c r="BB3616" s="434"/>
      <c r="BC3616" s="434"/>
      <c r="BD3616" s="308"/>
      <c r="BE3616" s="436"/>
      <c r="BF3616" s="274" t="str">
        <f>IFERROR(__xludf.DUMMYFUNCTION("LOWER(Regexreplace(to_text(E3616),""[^A-Za-z0-9]"","""")&amp;""_""&amp;Regexreplace(to_text(F3616),""[^A-Za-z0-9]"",""""))"),"_")</f>
        <v>_</v>
      </c>
      <c r="BG3616" s="275" t="str">
        <f>IFERROR(__xludf.DUMMYFUNCTION("upper(Regexreplace(to_text(E3616),""[^A-Za-z0-9]"","""")&amp;""-""&amp;Regexreplace(to_text(F3616),""[^A-Za-z0-9]"",""""))"),"-")</f>
        <v>-</v>
      </c>
    </row>
    <row r="3617" ht="30.0" customHeight="1">
      <c r="A3617" s="237"/>
      <c r="B3617" s="425"/>
      <c r="C3617" s="257"/>
      <c r="D3617" s="173"/>
      <c r="E3617" s="174"/>
      <c r="F3617" s="173"/>
      <c r="G3617" s="425"/>
      <c r="H3617" s="425"/>
      <c r="I3617" s="258"/>
      <c r="J3617" s="259"/>
      <c r="K3617" s="260"/>
      <c r="L3617" s="442"/>
      <c r="M3617" s="426"/>
      <c r="N3617" s="173"/>
      <c r="O3617" s="173"/>
      <c r="P3617" s="262"/>
      <c r="Q3617" s="173"/>
      <c r="R3617" s="425"/>
      <c r="S3617" s="339"/>
      <c r="T3617" s="427"/>
      <c r="U3617" s="427"/>
      <c r="V3617" s="428"/>
      <c r="W3617" s="429"/>
      <c r="X3617" s="430"/>
      <c r="Y3617" s="33"/>
      <c r="Z3617" s="430"/>
      <c r="AA3617" s="430"/>
      <c r="AB3617" s="258"/>
      <c r="AC3617" s="430"/>
      <c r="AD3617" s="426"/>
      <c r="AE3617" s="428"/>
      <c r="AF3617" s="431"/>
      <c r="AG3617" s="432"/>
      <c r="AH3617" s="430"/>
      <c r="AI3617" s="430"/>
      <c r="AJ3617" s="430"/>
      <c r="AK3617" s="430"/>
      <c r="AL3617" s="430"/>
      <c r="AM3617" s="433"/>
      <c r="AN3617" s="430"/>
      <c r="AO3617" s="430"/>
      <c r="AP3617" s="430"/>
      <c r="AQ3617" s="430"/>
      <c r="AR3617" s="430"/>
      <c r="AS3617" s="430"/>
      <c r="AT3617" s="430"/>
      <c r="AU3617" s="426"/>
      <c r="AV3617" s="174"/>
      <c r="AW3617" s="269"/>
      <c r="AX3617" s="269"/>
      <c r="AY3617" s="270"/>
      <c r="AZ3617" s="435"/>
      <c r="BA3617" s="173"/>
      <c r="BB3617" s="434"/>
      <c r="BC3617" s="434"/>
      <c r="BD3617" s="308"/>
      <c r="BE3617" s="436"/>
      <c r="BF3617" s="274" t="str">
        <f>IFERROR(__xludf.DUMMYFUNCTION("LOWER(Regexreplace(to_text(E3617),""[^A-Za-z0-9]"","""")&amp;""_""&amp;Regexreplace(to_text(F3617),""[^A-Za-z0-9]"",""""))"),"_")</f>
        <v>_</v>
      </c>
      <c r="BG3617" s="275" t="str">
        <f>IFERROR(__xludf.DUMMYFUNCTION("upper(Regexreplace(to_text(E3617),""[^A-Za-z0-9]"","""")&amp;""-""&amp;Regexreplace(to_text(F3617),""[^A-Za-z0-9]"",""""))"),"-")</f>
        <v>-</v>
      </c>
    </row>
    <row r="3618" ht="30.0" customHeight="1">
      <c r="A3618" s="237"/>
      <c r="B3618" s="425"/>
      <c r="C3618" s="257"/>
      <c r="D3618" s="173"/>
      <c r="E3618" s="174"/>
      <c r="F3618" s="173"/>
      <c r="G3618" s="425"/>
      <c r="H3618" s="425"/>
      <c r="I3618" s="258"/>
      <c r="J3618" s="259"/>
      <c r="K3618" s="260"/>
      <c r="L3618" s="442"/>
      <c r="M3618" s="426"/>
      <c r="N3618" s="173"/>
      <c r="O3618" s="173"/>
      <c r="P3618" s="262"/>
      <c r="Q3618" s="173"/>
      <c r="R3618" s="425"/>
      <c r="S3618" s="339"/>
      <c r="T3618" s="427"/>
      <c r="U3618" s="427"/>
      <c r="V3618" s="428"/>
      <c r="W3618" s="429"/>
      <c r="X3618" s="430"/>
      <c r="Y3618" s="33"/>
      <c r="Z3618" s="430"/>
      <c r="AA3618" s="430"/>
      <c r="AB3618" s="258"/>
      <c r="AC3618" s="430"/>
      <c r="AD3618" s="426"/>
      <c r="AE3618" s="428"/>
      <c r="AF3618" s="431"/>
      <c r="AG3618" s="432"/>
      <c r="AH3618" s="430"/>
      <c r="AI3618" s="430"/>
      <c r="AJ3618" s="430"/>
      <c r="AK3618" s="430"/>
      <c r="AL3618" s="430"/>
      <c r="AM3618" s="433"/>
      <c r="AN3618" s="430"/>
      <c r="AO3618" s="430"/>
      <c r="AP3618" s="430"/>
      <c r="AQ3618" s="430"/>
      <c r="AR3618" s="430"/>
      <c r="AS3618" s="430"/>
      <c r="AT3618" s="430"/>
      <c r="AU3618" s="426"/>
      <c r="AV3618" s="174"/>
      <c r="AW3618" s="269"/>
      <c r="AX3618" s="269"/>
      <c r="AY3618" s="270"/>
      <c r="AZ3618" s="435"/>
      <c r="BA3618" s="173"/>
      <c r="BB3618" s="434"/>
      <c r="BC3618" s="434"/>
      <c r="BD3618" s="308"/>
      <c r="BE3618" s="436"/>
      <c r="BF3618" s="274" t="str">
        <f>IFERROR(__xludf.DUMMYFUNCTION("LOWER(Regexreplace(to_text(E3618),""[^A-Za-z0-9]"","""")&amp;""_""&amp;Regexreplace(to_text(F3618),""[^A-Za-z0-9]"",""""))"),"_")</f>
        <v>_</v>
      </c>
      <c r="BG3618" s="275" t="str">
        <f>IFERROR(__xludf.DUMMYFUNCTION("upper(Regexreplace(to_text(E3618),""[^A-Za-z0-9]"","""")&amp;""-""&amp;Regexreplace(to_text(F3618),""[^A-Za-z0-9]"",""""))"),"-")</f>
        <v>-</v>
      </c>
    </row>
    <row r="3619" ht="30.0" customHeight="1">
      <c r="A3619" s="237"/>
      <c r="B3619" s="425"/>
      <c r="C3619" s="257"/>
      <c r="D3619" s="173"/>
      <c r="E3619" s="174"/>
      <c r="F3619" s="173"/>
      <c r="G3619" s="425"/>
      <c r="H3619" s="425"/>
      <c r="I3619" s="258"/>
      <c r="J3619" s="259"/>
      <c r="K3619" s="260"/>
      <c r="L3619" s="442"/>
      <c r="M3619" s="426"/>
      <c r="N3619" s="173"/>
      <c r="O3619" s="173"/>
      <c r="P3619" s="262"/>
      <c r="Q3619" s="173"/>
      <c r="R3619" s="425"/>
      <c r="S3619" s="339"/>
      <c r="T3619" s="427"/>
      <c r="U3619" s="427"/>
      <c r="V3619" s="428"/>
      <c r="W3619" s="429"/>
      <c r="X3619" s="430"/>
      <c r="Y3619" s="33"/>
      <c r="Z3619" s="430"/>
      <c r="AA3619" s="430"/>
      <c r="AB3619" s="258"/>
      <c r="AC3619" s="430"/>
      <c r="AD3619" s="426"/>
      <c r="AE3619" s="428"/>
      <c r="AF3619" s="431"/>
      <c r="AG3619" s="432"/>
      <c r="AH3619" s="430"/>
      <c r="AI3619" s="430"/>
      <c r="AJ3619" s="430"/>
      <c r="AK3619" s="430"/>
      <c r="AL3619" s="430"/>
      <c r="AM3619" s="433"/>
      <c r="AN3619" s="430"/>
      <c r="AO3619" s="430"/>
      <c r="AP3619" s="430"/>
      <c r="AQ3619" s="430"/>
      <c r="AR3619" s="430"/>
      <c r="AS3619" s="430"/>
      <c r="AT3619" s="430"/>
      <c r="AU3619" s="426"/>
      <c r="AV3619" s="174"/>
      <c r="AW3619" s="269"/>
      <c r="AX3619" s="269"/>
      <c r="AY3619" s="270"/>
      <c r="AZ3619" s="435"/>
      <c r="BA3619" s="173"/>
      <c r="BB3619" s="434"/>
      <c r="BC3619" s="434"/>
      <c r="BD3619" s="308"/>
      <c r="BE3619" s="436"/>
      <c r="BF3619" s="274" t="str">
        <f>IFERROR(__xludf.DUMMYFUNCTION("LOWER(Regexreplace(to_text(E3619),""[^A-Za-z0-9]"","""")&amp;""_""&amp;Regexreplace(to_text(F3619),""[^A-Za-z0-9]"",""""))"),"_")</f>
        <v>_</v>
      </c>
      <c r="BG3619" s="275" t="str">
        <f>IFERROR(__xludf.DUMMYFUNCTION("upper(Regexreplace(to_text(E3619),""[^A-Za-z0-9]"","""")&amp;""-""&amp;Regexreplace(to_text(F3619),""[^A-Za-z0-9]"",""""))"),"-")</f>
        <v>-</v>
      </c>
    </row>
    <row r="3620" ht="30.0" customHeight="1">
      <c r="A3620" s="237"/>
      <c r="B3620" s="425"/>
      <c r="C3620" s="257"/>
      <c r="D3620" s="173"/>
      <c r="E3620" s="174"/>
      <c r="F3620" s="173"/>
      <c r="G3620" s="425"/>
      <c r="H3620" s="425"/>
      <c r="I3620" s="258"/>
      <c r="J3620" s="259"/>
      <c r="K3620" s="260"/>
      <c r="L3620" s="442"/>
      <c r="M3620" s="426"/>
      <c r="N3620" s="173"/>
      <c r="O3620" s="173"/>
      <c r="P3620" s="262"/>
      <c r="Q3620" s="173"/>
      <c r="R3620" s="425"/>
      <c r="S3620" s="339"/>
      <c r="T3620" s="427"/>
      <c r="U3620" s="427"/>
      <c r="V3620" s="428"/>
      <c r="W3620" s="429"/>
      <c r="X3620" s="430"/>
      <c r="Y3620" s="33"/>
      <c r="Z3620" s="430"/>
      <c r="AA3620" s="430"/>
      <c r="AB3620" s="258"/>
      <c r="AC3620" s="430"/>
      <c r="AD3620" s="426"/>
      <c r="AE3620" s="428"/>
      <c r="AF3620" s="431"/>
      <c r="AG3620" s="432"/>
      <c r="AH3620" s="430"/>
      <c r="AI3620" s="430"/>
      <c r="AJ3620" s="430"/>
      <c r="AK3620" s="430"/>
      <c r="AL3620" s="430"/>
      <c r="AM3620" s="433"/>
      <c r="AN3620" s="430"/>
      <c r="AO3620" s="430"/>
      <c r="AP3620" s="430"/>
      <c r="AQ3620" s="430"/>
      <c r="AR3620" s="430"/>
      <c r="AS3620" s="430"/>
      <c r="AT3620" s="430"/>
      <c r="AU3620" s="426"/>
      <c r="AV3620" s="174"/>
      <c r="AW3620" s="269"/>
      <c r="AX3620" s="269"/>
      <c r="AY3620" s="270"/>
      <c r="AZ3620" s="435"/>
      <c r="BA3620" s="173"/>
      <c r="BB3620" s="434"/>
      <c r="BC3620" s="434"/>
      <c r="BD3620" s="308"/>
      <c r="BE3620" s="436"/>
      <c r="BF3620" s="274" t="str">
        <f>IFERROR(__xludf.DUMMYFUNCTION("LOWER(Regexreplace(to_text(E3620),""[^A-Za-z0-9]"","""")&amp;""_""&amp;Regexreplace(to_text(F3620),""[^A-Za-z0-9]"",""""))"),"_")</f>
        <v>_</v>
      </c>
      <c r="BG3620" s="275" t="str">
        <f>IFERROR(__xludf.DUMMYFUNCTION("upper(Regexreplace(to_text(E3620),""[^A-Za-z0-9]"","""")&amp;""-""&amp;Regexreplace(to_text(F3620),""[^A-Za-z0-9]"",""""))"),"-")</f>
        <v>-</v>
      </c>
    </row>
    <row r="3621" ht="30.0" customHeight="1">
      <c r="A3621" s="237"/>
      <c r="B3621" s="425"/>
      <c r="C3621" s="257"/>
      <c r="D3621" s="173"/>
      <c r="E3621" s="174"/>
      <c r="F3621" s="173"/>
      <c r="G3621" s="425"/>
      <c r="H3621" s="425"/>
      <c r="I3621" s="258"/>
      <c r="J3621" s="259"/>
      <c r="K3621" s="260"/>
      <c r="L3621" s="442"/>
      <c r="M3621" s="426"/>
      <c r="N3621" s="173"/>
      <c r="O3621" s="173"/>
      <c r="P3621" s="262"/>
      <c r="Q3621" s="173"/>
      <c r="R3621" s="425"/>
      <c r="S3621" s="339"/>
      <c r="T3621" s="427"/>
      <c r="U3621" s="427"/>
      <c r="V3621" s="428"/>
      <c r="W3621" s="429"/>
      <c r="X3621" s="430"/>
      <c r="Y3621" s="33"/>
      <c r="Z3621" s="430"/>
      <c r="AA3621" s="430"/>
      <c r="AB3621" s="258"/>
      <c r="AC3621" s="430"/>
      <c r="AD3621" s="426"/>
      <c r="AE3621" s="428"/>
      <c r="AF3621" s="431"/>
      <c r="AG3621" s="432"/>
      <c r="AH3621" s="430"/>
      <c r="AI3621" s="430"/>
      <c r="AJ3621" s="430"/>
      <c r="AK3621" s="430"/>
      <c r="AL3621" s="430"/>
      <c r="AM3621" s="433"/>
      <c r="AN3621" s="430"/>
      <c r="AO3621" s="430"/>
      <c r="AP3621" s="430"/>
      <c r="AQ3621" s="430"/>
      <c r="AR3621" s="430"/>
      <c r="AS3621" s="430"/>
      <c r="AT3621" s="430"/>
      <c r="AU3621" s="426"/>
      <c r="AV3621" s="174"/>
      <c r="AW3621" s="269"/>
      <c r="AX3621" s="269"/>
      <c r="AY3621" s="270"/>
      <c r="AZ3621" s="435"/>
      <c r="BA3621" s="173"/>
      <c r="BB3621" s="434"/>
      <c r="BC3621" s="434"/>
      <c r="BD3621" s="308"/>
      <c r="BE3621" s="436"/>
      <c r="BF3621" s="274" t="str">
        <f>IFERROR(__xludf.DUMMYFUNCTION("LOWER(Regexreplace(to_text(E3621),""[^A-Za-z0-9]"","""")&amp;""_""&amp;Regexreplace(to_text(F3621),""[^A-Za-z0-9]"",""""))"),"_")</f>
        <v>_</v>
      </c>
      <c r="BG3621" s="275" t="str">
        <f>IFERROR(__xludf.DUMMYFUNCTION("upper(Regexreplace(to_text(E3621),""[^A-Za-z0-9]"","""")&amp;""-""&amp;Regexreplace(to_text(F3621),""[^A-Za-z0-9]"",""""))"),"-")</f>
        <v>-</v>
      </c>
    </row>
    <row r="3622" ht="30.0" customHeight="1">
      <c r="A3622" s="237"/>
      <c r="B3622" s="425"/>
      <c r="C3622" s="257"/>
      <c r="D3622" s="173"/>
      <c r="E3622" s="174"/>
      <c r="F3622" s="173"/>
      <c r="G3622" s="425"/>
      <c r="H3622" s="425"/>
      <c r="I3622" s="258"/>
      <c r="J3622" s="259"/>
      <c r="K3622" s="260"/>
      <c r="L3622" s="442"/>
      <c r="M3622" s="426"/>
      <c r="N3622" s="173"/>
      <c r="O3622" s="173"/>
      <c r="P3622" s="262"/>
      <c r="Q3622" s="173"/>
      <c r="R3622" s="425"/>
      <c r="S3622" s="339"/>
      <c r="T3622" s="427"/>
      <c r="U3622" s="427"/>
      <c r="V3622" s="428"/>
      <c r="W3622" s="429"/>
      <c r="X3622" s="430"/>
      <c r="Y3622" s="33"/>
      <c r="Z3622" s="430"/>
      <c r="AA3622" s="430"/>
      <c r="AB3622" s="258"/>
      <c r="AC3622" s="430"/>
      <c r="AD3622" s="426"/>
      <c r="AE3622" s="428"/>
      <c r="AF3622" s="431"/>
      <c r="AG3622" s="432"/>
      <c r="AH3622" s="430"/>
      <c r="AI3622" s="430"/>
      <c r="AJ3622" s="430"/>
      <c r="AK3622" s="430"/>
      <c r="AL3622" s="430"/>
      <c r="AM3622" s="433"/>
      <c r="AN3622" s="430"/>
      <c r="AO3622" s="430"/>
      <c r="AP3622" s="430"/>
      <c r="AQ3622" s="430"/>
      <c r="AR3622" s="430"/>
      <c r="AS3622" s="430"/>
      <c r="AT3622" s="430"/>
      <c r="AU3622" s="426"/>
      <c r="AV3622" s="174"/>
      <c r="AW3622" s="269"/>
      <c r="AX3622" s="269"/>
      <c r="AY3622" s="270"/>
      <c r="AZ3622" s="435"/>
      <c r="BA3622" s="173"/>
      <c r="BB3622" s="434"/>
      <c r="BC3622" s="434"/>
      <c r="BD3622" s="308"/>
      <c r="BE3622" s="436"/>
      <c r="BF3622" s="274" t="str">
        <f>IFERROR(__xludf.DUMMYFUNCTION("LOWER(Regexreplace(to_text(E3622),""[^A-Za-z0-9]"","""")&amp;""_""&amp;Regexreplace(to_text(F3622),""[^A-Za-z0-9]"",""""))"),"_")</f>
        <v>_</v>
      </c>
      <c r="BG3622" s="275" t="str">
        <f>IFERROR(__xludf.DUMMYFUNCTION("upper(Regexreplace(to_text(E3622),""[^A-Za-z0-9]"","""")&amp;""-""&amp;Regexreplace(to_text(F3622),""[^A-Za-z0-9]"",""""))"),"-")</f>
        <v>-</v>
      </c>
    </row>
    <row r="3623" ht="30.0" customHeight="1">
      <c r="A3623" s="237"/>
      <c r="B3623" s="425"/>
      <c r="C3623" s="257"/>
      <c r="D3623" s="173"/>
      <c r="E3623" s="174"/>
      <c r="F3623" s="173"/>
      <c r="G3623" s="425"/>
      <c r="H3623" s="425"/>
      <c r="I3623" s="258"/>
      <c r="J3623" s="259"/>
      <c r="K3623" s="260"/>
      <c r="L3623" s="442"/>
      <c r="M3623" s="426"/>
      <c r="N3623" s="173"/>
      <c r="O3623" s="173"/>
      <c r="P3623" s="262"/>
      <c r="Q3623" s="173"/>
      <c r="R3623" s="425"/>
      <c r="S3623" s="339"/>
      <c r="T3623" s="427"/>
      <c r="U3623" s="427"/>
      <c r="V3623" s="428"/>
      <c r="W3623" s="429"/>
      <c r="X3623" s="430"/>
      <c r="Y3623" s="33"/>
      <c r="Z3623" s="430"/>
      <c r="AA3623" s="430"/>
      <c r="AB3623" s="258"/>
      <c r="AC3623" s="430"/>
      <c r="AD3623" s="426"/>
      <c r="AE3623" s="428"/>
      <c r="AF3623" s="431"/>
      <c r="AG3623" s="432"/>
      <c r="AH3623" s="430"/>
      <c r="AI3623" s="430"/>
      <c r="AJ3623" s="430"/>
      <c r="AK3623" s="430"/>
      <c r="AL3623" s="430"/>
      <c r="AM3623" s="433"/>
      <c r="AN3623" s="430"/>
      <c r="AO3623" s="430"/>
      <c r="AP3623" s="430"/>
      <c r="AQ3623" s="430"/>
      <c r="AR3623" s="430"/>
      <c r="AS3623" s="430"/>
      <c r="AT3623" s="430"/>
      <c r="AU3623" s="426"/>
      <c r="AV3623" s="174"/>
      <c r="AW3623" s="269"/>
      <c r="AX3623" s="269"/>
      <c r="AY3623" s="270"/>
      <c r="AZ3623" s="435"/>
      <c r="BA3623" s="173"/>
      <c r="BB3623" s="434"/>
      <c r="BC3623" s="434"/>
      <c r="BD3623" s="308"/>
      <c r="BE3623" s="436"/>
      <c r="BF3623" s="274" t="str">
        <f>IFERROR(__xludf.DUMMYFUNCTION("LOWER(Regexreplace(to_text(E3623),""[^A-Za-z0-9]"","""")&amp;""_""&amp;Regexreplace(to_text(F3623),""[^A-Za-z0-9]"",""""))"),"_")</f>
        <v>_</v>
      </c>
      <c r="BG3623" s="275" t="str">
        <f>IFERROR(__xludf.DUMMYFUNCTION("upper(Regexreplace(to_text(E3623),""[^A-Za-z0-9]"","""")&amp;""-""&amp;Regexreplace(to_text(F3623),""[^A-Za-z0-9]"",""""))"),"-")</f>
        <v>-</v>
      </c>
    </row>
    <row r="3624" ht="30.0" customHeight="1">
      <c r="A3624" s="237"/>
      <c r="B3624" s="425"/>
      <c r="C3624" s="257"/>
      <c r="D3624" s="173"/>
      <c r="E3624" s="174"/>
      <c r="F3624" s="173"/>
      <c r="G3624" s="425"/>
      <c r="H3624" s="425"/>
      <c r="I3624" s="258"/>
      <c r="J3624" s="259"/>
      <c r="K3624" s="260"/>
      <c r="L3624" s="442"/>
      <c r="M3624" s="426"/>
      <c r="N3624" s="173"/>
      <c r="O3624" s="173"/>
      <c r="P3624" s="262"/>
      <c r="Q3624" s="173"/>
      <c r="R3624" s="425"/>
      <c r="S3624" s="339"/>
      <c r="T3624" s="427"/>
      <c r="U3624" s="427"/>
      <c r="V3624" s="428"/>
      <c r="W3624" s="429"/>
      <c r="X3624" s="430"/>
      <c r="Y3624" s="33"/>
      <c r="Z3624" s="430"/>
      <c r="AA3624" s="430"/>
      <c r="AB3624" s="258"/>
      <c r="AC3624" s="430"/>
      <c r="AD3624" s="426"/>
      <c r="AE3624" s="428"/>
      <c r="AF3624" s="431"/>
      <c r="AG3624" s="432"/>
      <c r="AH3624" s="430"/>
      <c r="AI3624" s="430"/>
      <c r="AJ3624" s="430"/>
      <c r="AK3624" s="430"/>
      <c r="AL3624" s="430"/>
      <c r="AM3624" s="433"/>
      <c r="AN3624" s="430"/>
      <c r="AO3624" s="430"/>
      <c r="AP3624" s="430"/>
      <c r="AQ3624" s="430"/>
      <c r="AR3624" s="430"/>
      <c r="AS3624" s="430"/>
      <c r="AT3624" s="430"/>
      <c r="AU3624" s="426"/>
      <c r="AV3624" s="174"/>
      <c r="AW3624" s="269"/>
      <c r="AX3624" s="269"/>
      <c r="AY3624" s="270"/>
      <c r="AZ3624" s="435"/>
      <c r="BA3624" s="173"/>
      <c r="BB3624" s="434"/>
      <c r="BC3624" s="434"/>
      <c r="BD3624" s="308"/>
      <c r="BE3624" s="436"/>
      <c r="BF3624" s="274" t="str">
        <f>IFERROR(__xludf.DUMMYFUNCTION("LOWER(Regexreplace(to_text(E3624),""[^A-Za-z0-9]"","""")&amp;""_""&amp;Regexreplace(to_text(F3624),""[^A-Za-z0-9]"",""""))"),"_")</f>
        <v>_</v>
      </c>
      <c r="BG3624" s="275" t="str">
        <f>IFERROR(__xludf.DUMMYFUNCTION("upper(Regexreplace(to_text(E3624),""[^A-Za-z0-9]"","""")&amp;""-""&amp;Regexreplace(to_text(F3624),""[^A-Za-z0-9]"",""""))"),"-")</f>
        <v>-</v>
      </c>
    </row>
    <row r="3625" ht="30.0" customHeight="1">
      <c r="A3625" s="237"/>
      <c r="B3625" s="425"/>
      <c r="C3625" s="257"/>
      <c r="D3625" s="173"/>
      <c r="E3625" s="174"/>
      <c r="F3625" s="173"/>
      <c r="G3625" s="425"/>
      <c r="H3625" s="425"/>
      <c r="I3625" s="258"/>
      <c r="J3625" s="259"/>
      <c r="K3625" s="260"/>
      <c r="L3625" s="442"/>
      <c r="M3625" s="426"/>
      <c r="N3625" s="173"/>
      <c r="O3625" s="173"/>
      <c r="P3625" s="262"/>
      <c r="Q3625" s="173"/>
      <c r="R3625" s="425"/>
      <c r="S3625" s="339"/>
      <c r="T3625" s="427"/>
      <c r="U3625" s="427"/>
      <c r="V3625" s="428"/>
      <c r="W3625" s="429"/>
      <c r="X3625" s="430"/>
      <c r="Y3625" s="33"/>
      <c r="Z3625" s="430"/>
      <c r="AA3625" s="430"/>
      <c r="AB3625" s="258"/>
      <c r="AC3625" s="430"/>
      <c r="AD3625" s="426"/>
      <c r="AE3625" s="428"/>
      <c r="AF3625" s="431"/>
      <c r="AG3625" s="432"/>
      <c r="AH3625" s="430"/>
      <c r="AI3625" s="430"/>
      <c r="AJ3625" s="430"/>
      <c r="AK3625" s="430"/>
      <c r="AL3625" s="430"/>
      <c r="AM3625" s="433"/>
      <c r="AN3625" s="430"/>
      <c r="AO3625" s="430"/>
      <c r="AP3625" s="430"/>
      <c r="AQ3625" s="430"/>
      <c r="AR3625" s="430"/>
      <c r="AS3625" s="430"/>
      <c r="AT3625" s="430"/>
      <c r="AU3625" s="426"/>
      <c r="AV3625" s="174"/>
      <c r="AW3625" s="269"/>
      <c r="AX3625" s="269"/>
      <c r="AY3625" s="270"/>
      <c r="AZ3625" s="435"/>
      <c r="BA3625" s="173"/>
      <c r="BB3625" s="434"/>
      <c r="BC3625" s="434"/>
      <c r="BD3625" s="308"/>
      <c r="BE3625" s="436"/>
      <c r="BF3625" s="274" t="str">
        <f>IFERROR(__xludf.DUMMYFUNCTION("LOWER(Regexreplace(to_text(E3625),""[^A-Za-z0-9]"","""")&amp;""_""&amp;Regexreplace(to_text(F3625),""[^A-Za-z0-9]"",""""))"),"_")</f>
        <v>_</v>
      </c>
      <c r="BG3625" s="275" t="str">
        <f>IFERROR(__xludf.DUMMYFUNCTION("upper(Regexreplace(to_text(E3625),""[^A-Za-z0-9]"","""")&amp;""-""&amp;Regexreplace(to_text(F3625),""[^A-Za-z0-9]"",""""))"),"-")</f>
        <v>-</v>
      </c>
    </row>
    <row r="3626" ht="30.0" customHeight="1">
      <c r="A3626" s="237"/>
      <c r="B3626" s="425"/>
      <c r="C3626" s="257"/>
      <c r="D3626" s="173"/>
      <c r="E3626" s="174"/>
      <c r="F3626" s="173"/>
      <c r="G3626" s="425"/>
      <c r="H3626" s="425"/>
      <c r="I3626" s="258"/>
      <c r="J3626" s="259"/>
      <c r="K3626" s="260"/>
      <c r="L3626" s="442"/>
      <c r="M3626" s="426"/>
      <c r="N3626" s="173"/>
      <c r="O3626" s="173"/>
      <c r="P3626" s="262"/>
      <c r="Q3626" s="173"/>
      <c r="R3626" s="425"/>
      <c r="S3626" s="339"/>
      <c r="T3626" s="427"/>
      <c r="U3626" s="427"/>
      <c r="V3626" s="428"/>
      <c r="W3626" s="429"/>
      <c r="X3626" s="430"/>
      <c r="Y3626" s="33"/>
      <c r="Z3626" s="430"/>
      <c r="AA3626" s="430"/>
      <c r="AB3626" s="258"/>
      <c r="AC3626" s="430"/>
      <c r="AD3626" s="426"/>
      <c r="AE3626" s="428"/>
      <c r="AF3626" s="431"/>
      <c r="AG3626" s="432"/>
      <c r="AH3626" s="430"/>
      <c r="AI3626" s="430"/>
      <c r="AJ3626" s="430"/>
      <c r="AK3626" s="430"/>
      <c r="AL3626" s="430"/>
      <c r="AM3626" s="433"/>
      <c r="AN3626" s="430"/>
      <c r="AO3626" s="430"/>
      <c r="AP3626" s="430"/>
      <c r="AQ3626" s="430"/>
      <c r="AR3626" s="430"/>
      <c r="AS3626" s="430"/>
      <c r="AT3626" s="430"/>
      <c r="AU3626" s="426"/>
      <c r="AV3626" s="174"/>
      <c r="AW3626" s="269"/>
      <c r="AX3626" s="269"/>
      <c r="AY3626" s="270"/>
      <c r="AZ3626" s="435"/>
      <c r="BA3626" s="173"/>
      <c r="BB3626" s="434"/>
      <c r="BC3626" s="434"/>
      <c r="BD3626" s="308"/>
      <c r="BE3626" s="436"/>
      <c r="BF3626" s="274" t="str">
        <f>IFERROR(__xludf.DUMMYFUNCTION("LOWER(Regexreplace(to_text(E3626),""[^A-Za-z0-9]"","""")&amp;""_""&amp;Regexreplace(to_text(F3626),""[^A-Za-z0-9]"",""""))"),"_")</f>
        <v>_</v>
      </c>
      <c r="BG3626" s="275" t="str">
        <f>IFERROR(__xludf.DUMMYFUNCTION("upper(Regexreplace(to_text(E3626),""[^A-Za-z0-9]"","""")&amp;""-""&amp;Regexreplace(to_text(F3626),""[^A-Za-z0-9]"",""""))"),"-")</f>
        <v>-</v>
      </c>
    </row>
    <row r="3627" ht="30.0" customHeight="1">
      <c r="A3627" s="237"/>
      <c r="B3627" s="425"/>
      <c r="C3627" s="257"/>
      <c r="D3627" s="173"/>
      <c r="E3627" s="174"/>
      <c r="F3627" s="173"/>
      <c r="G3627" s="425"/>
      <c r="H3627" s="425"/>
      <c r="I3627" s="258"/>
      <c r="J3627" s="259"/>
      <c r="K3627" s="260"/>
      <c r="L3627" s="442"/>
      <c r="M3627" s="426"/>
      <c r="N3627" s="173"/>
      <c r="O3627" s="173"/>
      <c r="P3627" s="262"/>
      <c r="Q3627" s="173"/>
      <c r="R3627" s="425"/>
      <c r="S3627" s="339"/>
      <c r="T3627" s="427"/>
      <c r="U3627" s="427"/>
      <c r="V3627" s="428"/>
      <c r="W3627" s="429"/>
      <c r="X3627" s="430"/>
      <c r="Y3627" s="33"/>
      <c r="Z3627" s="430"/>
      <c r="AA3627" s="430"/>
      <c r="AB3627" s="258"/>
      <c r="AC3627" s="430"/>
      <c r="AD3627" s="426"/>
      <c r="AE3627" s="428"/>
      <c r="AF3627" s="431"/>
      <c r="AG3627" s="432"/>
      <c r="AH3627" s="430"/>
      <c r="AI3627" s="430"/>
      <c r="AJ3627" s="430"/>
      <c r="AK3627" s="430"/>
      <c r="AL3627" s="430"/>
      <c r="AM3627" s="433"/>
      <c r="AN3627" s="430"/>
      <c r="AO3627" s="430"/>
      <c r="AP3627" s="430"/>
      <c r="AQ3627" s="430"/>
      <c r="AR3627" s="430"/>
      <c r="AS3627" s="430"/>
      <c r="AT3627" s="430"/>
      <c r="AU3627" s="426"/>
      <c r="AV3627" s="174"/>
      <c r="AW3627" s="269"/>
      <c r="AX3627" s="269"/>
      <c r="AY3627" s="270"/>
      <c r="AZ3627" s="435"/>
      <c r="BA3627" s="173"/>
      <c r="BB3627" s="434"/>
      <c r="BC3627" s="434"/>
      <c r="BD3627" s="308"/>
      <c r="BE3627" s="436"/>
      <c r="BF3627" s="274" t="str">
        <f>IFERROR(__xludf.DUMMYFUNCTION("LOWER(Regexreplace(to_text(E3627),""[^A-Za-z0-9]"","""")&amp;""_""&amp;Regexreplace(to_text(F3627),""[^A-Za-z0-9]"",""""))"),"_")</f>
        <v>_</v>
      </c>
      <c r="BG3627" s="275" t="str">
        <f>IFERROR(__xludf.DUMMYFUNCTION("upper(Regexreplace(to_text(E3627),""[^A-Za-z0-9]"","""")&amp;""-""&amp;Regexreplace(to_text(F3627),""[^A-Za-z0-9]"",""""))"),"-")</f>
        <v>-</v>
      </c>
    </row>
    <row r="3628" ht="30.0" customHeight="1">
      <c r="A3628" s="237"/>
      <c r="B3628" s="425"/>
      <c r="C3628" s="257"/>
      <c r="D3628" s="173"/>
      <c r="E3628" s="174"/>
      <c r="F3628" s="173"/>
      <c r="G3628" s="425"/>
      <c r="H3628" s="425"/>
      <c r="I3628" s="258"/>
      <c r="J3628" s="259"/>
      <c r="K3628" s="260"/>
      <c r="L3628" s="442"/>
      <c r="M3628" s="426"/>
      <c r="N3628" s="173"/>
      <c r="O3628" s="173"/>
      <c r="P3628" s="262"/>
      <c r="Q3628" s="173"/>
      <c r="R3628" s="425"/>
      <c r="S3628" s="339"/>
      <c r="T3628" s="427"/>
      <c r="U3628" s="427"/>
      <c r="V3628" s="428"/>
      <c r="W3628" s="429"/>
      <c r="X3628" s="430"/>
      <c r="Y3628" s="33"/>
      <c r="Z3628" s="430"/>
      <c r="AA3628" s="430"/>
      <c r="AB3628" s="258"/>
      <c r="AC3628" s="430"/>
      <c r="AD3628" s="426"/>
      <c r="AE3628" s="428"/>
      <c r="AF3628" s="431"/>
      <c r="AG3628" s="432"/>
      <c r="AH3628" s="430"/>
      <c r="AI3628" s="430"/>
      <c r="AJ3628" s="430"/>
      <c r="AK3628" s="430"/>
      <c r="AL3628" s="430"/>
      <c r="AM3628" s="433"/>
      <c r="AN3628" s="430"/>
      <c r="AO3628" s="430"/>
      <c r="AP3628" s="430"/>
      <c r="AQ3628" s="430"/>
      <c r="AR3628" s="430"/>
      <c r="AS3628" s="430"/>
      <c r="AT3628" s="430"/>
      <c r="AU3628" s="426"/>
      <c r="AV3628" s="174"/>
      <c r="AW3628" s="269"/>
      <c r="AX3628" s="269"/>
      <c r="AY3628" s="270"/>
      <c r="AZ3628" s="435"/>
      <c r="BA3628" s="173"/>
      <c r="BB3628" s="434"/>
      <c r="BC3628" s="434"/>
      <c r="BD3628" s="308"/>
      <c r="BE3628" s="436"/>
      <c r="BF3628" s="274" t="str">
        <f>IFERROR(__xludf.DUMMYFUNCTION("LOWER(Regexreplace(to_text(E3628),""[^A-Za-z0-9]"","""")&amp;""_""&amp;Regexreplace(to_text(F3628),""[^A-Za-z0-9]"",""""))"),"_")</f>
        <v>_</v>
      </c>
      <c r="BG3628" s="275" t="str">
        <f>IFERROR(__xludf.DUMMYFUNCTION("upper(Regexreplace(to_text(E3628),""[^A-Za-z0-9]"","""")&amp;""-""&amp;Regexreplace(to_text(F3628),""[^A-Za-z0-9]"",""""))"),"-")</f>
        <v>-</v>
      </c>
    </row>
    <row r="3629" ht="30.0" customHeight="1">
      <c r="A3629" s="237"/>
      <c r="B3629" s="425"/>
      <c r="C3629" s="257"/>
      <c r="D3629" s="173"/>
      <c r="E3629" s="174"/>
      <c r="F3629" s="173"/>
      <c r="G3629" s="425"/>
      <c r="H3629" s="425"/>
      <c r="I3629" s="258"/>
      <c r="J3629" s="259"/>
      <c r="K3629" s="260"/>
      <c r="L3629" s="442"/>
      <c r="M3629" s="426"/>
      <c r="N3629" s="173"/>
      <c r="O3629" s="173"/>
      <c r="P3629" s="262"/>
      <c r="Q3629" s="173"/>
      <c r="R3629" s="425"/>
      <c r="S3629" s="339"/>
      <c r="T3629" s="427"/>
      <c r="U3629" s="427"/>
      <c r="V3629" s="428"/>
      <c r="W3629" s="429"/>
      <c r="X3629" s="430"/>
      <c r="Y3629" s="33"/>
      <c r="Z3629" s="430"/>
      <c r="AA3629" s="430"/>
      <c r="AB3629" s="258"/>
      <c r="AC3629" s="430"/>
      <c r="AD3629" s="426"/>
      <c r="AE3629" s="428"/>
      <c r="AF3629" s="431"/>
      <c r="AG3629" s="432"/>
      <c r="AH3629" s="430"/>
      <c r="AI3629" s="430"/>
      <c r="AJ3629" s="430"/>
      <c r="AK3629" s="430"/>
      <c r="AL3629" s="430"/>
      <c r="AM3629" s="433"/>
      <c r="AN3629" s="430"/>
      <c r="AO3629" s="430"/>
      <c r="AP3629" s="430"/>
      <c r="AQ3629" s="430"/>
      <c r="AR3629" s="430"/>
      <c r="AS3629" s="430"/>
      <c r="AT3629" s="430"/>
      <c r="AU3629" s="426"/>
      <c r="AV3629" s="174"/>
      <c r="AW3629" s="269"/>
      <c r="AX3629" s="269"/>
      <c r="AY3629" s="270"/>
      <c r="AZ3629" s="435"/>
      <c r="BA3629" s="173"/>
      <c r="BB3629" s="434"/>
      <c r="BC3629" s="434"/>
      <c r="BD3629" s="308"/>
      <c r="BE3629" s="436"/>
      <c r="BF3629" s="274" t="str">
        <f>IFERROR(__xludf.DUMMYFUNCTION("LOWER(Regexreplace(to_text(E3629),""[^A-Za-z0-9]"","""")&amp;""_""&amp;Regexreplace(to_text(F3629),""[^A-Za-z0-9]"",""""))"),"_")</f>
        <v>_</v>
      </c>
      <c r="BG3629" s="275" t="str">
        <f>IFERROR(__xludf.DUMMYFUNCTION("upper(Regexreplace(to_text(E3629),""[^A-Za-z0-9]"","""")&amp;""-""&amp;Regexreplace(to_text(F3629),""[^A-Za-z0-9]"",""""))"),"-")</f>
        <v>-</v>
      </c>
    </row>
    <row r="3630" ht="30.0" customHeight="1">
      <c r="A3630" s="237"/>
      <c r="B3630" s="425"/>
      <c r="C3630" s="257"/>
      <c r="D3630" s="173"/>
      <c r="E3630" s="174"/>
      <c r="F3630" s="173"/>
      <c r="G3630" s="425"/>
      <c r="H3630" s="425"/>
      <c r="I3630" s="258"/>
      <c r="J3630" s="259"/>
      <c r="K3630" s="260"/>
      <c r="L3630" s="442"/>
      <c r="M3630" s="426"/>
      <c r="N3630" s="173"/>
      <c r="O3630" s="173"/>
      <c r="P3630" s="262"/>
      <c r="Q3630" s="173"/>
      <c r="R3630" s="425"/>
      <c r="S3630" s="339"/>
      <c r="T3630" s="427"/>
      <c r="U3630" s="427"/>
      <c r="V3630" s="428"/>
      <c r="W3630" s="429"/>
      <c r="X3630" s="430"/>
      <c r="Y3630" s="33"/>
      <c r="Z3630" s="430"/>
      <c r="AA3630" s="430"/>
      <c r="AB3630" s="258"/>
      <c r="AC3630" s="430"/>
      <c r="AD3630" s="426"/>
      <c r="AE3630" s="428"/>
      <c r="AF3630" s="431"/>
      <c r="AG3630" s="432"/>
      <c r="AH3630" s="430"/>
      <c r="AI3630" s="430"/>
      <c r="AJ3630" s="430"/>
      <c r="AK3630" s="430"/>
      <c r="AL3630" s="430"/>
      <c r="AM3630" s="433"/>
      <c r="AN3630" s="430"/>
      <c r="AO3630" s="430"/>
      <c r="AP3630" s="430"/>
      <c r="AQ3630" s="430"/>
      <c r="AR3630" s="430"/>
      <c r="AS3630" s="430"/>
      <c r="AT3630" s="430"/>
      <c r="AU3630" s="426"/>
      <c r="AV3630" s="174"/>
      <c r="AW3630" s="269"/>
      <c r="AX3630" s="269"/>
      <c r="AY3630" s="270"/>
      <c r="AZ3630" s="435"/>
      <c r="BA3630" s="173"/>
      <c r="BB3630" s="434"/>
      <c r="BC3630" s="434"/>
      <c r="BD3630" s="308"/>
      <c r="BE3630" s="436"/>
      <c r="BF3630" s="274" t="str">
        <f>IFERROR(__xludf.DUMMYFUNCTION("LOWER(Regexreplace(to_text(E3630),""[^A-Za-z0-9]"","""")&amp;""_""&amp;Regexreplace(to_text(F3630),""[^A-Za-z0-9]"",""""))"),"_")</f>
        <v>_</v>
      </c>
      <c r="BG3630" s="275" t="str">
        <f>IFERROR(__xludf.DUMMYFUNCTION("upper(Regexreplace(to_text(E3630),""[^A-Za-z0-9]"","""")&amp;""-""&amp;Regexreplace(to_text(F3630),""[^A-Za-z0-9]"",""""))"),"-")</f>
        <v>-</v>
      </c>
    </row>
    <row r="3631" ht="30.0" customHeight="1">
      <c r="A3631" s="237"/>
      <c r="B3631" s="425"/>
      <c r="C3631" s="257"/>
      <c r="D3631" s="173"/>
      <c r="E3631" s="174"/>
      <c r="F3631" s="173"/>
      <c r="G3631" s="425"/>
      <c r="H3631" s="425"/>
      <c r="I3631" s="258"/>
      <c r="J3631" s="259"/>
      <c r="K3631" s="260"/>
      <c r="L3631" s="442"/>
      <c r="M3631" s="426"/>
      <c r="N3631" s="173"/>
      <c r="O3631" s="173"/>
      <c r="P3631" s="262"/>
      <c r="Q3631" s="173"/>
      <c r="R3631" s="425"/>
      <c r="S3631" s="339"/>
      <c r="T3631" s="427"/>
      <c r="U3631" s="427"/>
      <c r="V3631" s="428"/>
      <c r="W3631" s="429"/>
      <c r="X3631" s="430"/>
      <c r="Y3631" s="33"/>
      <c r="Z3631" s="430"/>
      <c r="AA3631" s="430"/>
      <c r="AB3631" s="258"/>
      <c r="AC3631" s="430"/>
      <c r="AD3631" s="426"/>
      <c r="AE3631" s="428"/>
      <c r="AF3631" s="431"/>
      <c r="AG3631" s="432"/>
      <c r="AH3631" s="430"/>
      <c r="AI3631" s="430"/>
      <c r="AJ3631" s="430"/>
      <c r="AK3631" s="430"/>
      <c r="AL3631" s="430"/>
      <c r="AM3631" s="433"/>
      <c r="AN3631" s="430"/>
      <c r="AO3631" s="430"/>
      <c r="AP3631" s="430"/>
      <c r="AQ3631" s="430"/>
      <c r="AR3631" s="430"/>
      <c r="AS3631" s="430"/>
      <c r="AT3631" s="430"/>
      <c r="AU3631" s="426"/>
      <c r="AV3631" s="174"/>
      <c r="AW3631" s="269"/>
      <c r="AX3631" s="269"/>
      <c r="AY3631" s="270"/>
      <c r="AZ3631" s="435"/>
      <c r="BA3631" s="173"/>
      <c r="BB3631" s="434"/>
      <c r="BC3631" s="434"/>
      <c r="BD3631" s="308"/>
      <c r="BE3631" s="436"/>
      <c r="BF3631" s="274" t="str">
        <f>IFERROR(__xludf.DUMMYFUNCTION("LOWER(Regexreplace(to_text(E3631),""[^A-Za-z0-9]"","""")&amp;""_""&amp;Regexreplace(to_text(F3631),""[^A-Za-z0-9]"",""""))"),"_")</f>
        <v>_</v>
      </c>
      <c r="BG3631" s="275" t="str">
        <f>IFERROR(__xludf.DUMMYFUNCTION("upper(Regexreplace(to_text(E3631),""[^A-Za-z0-9]"","""")&amp;""-""&amp;Regexreplace(to_text(F3631),""[^A-Za-z0-9]"",""""))"),"-")</f>
        <v>-</v>
      </c>
    </row>
    <row r="3632" ht="30.0" customHeight="1">
      <c r="A3632" s="237"/>
      <c r="B3632" s="425"/>
      <c r="C3632" s="257"/>
      <c r="D3632" s="173"/>
      <c r="E3632" s="174"/>
      <c r="F3632" s="173"/>
      <c r="G3632" s="425"/>
      <c r="H3632" s="425"/>
      <c r="I3632" s="258"/>
      <c r="J3632" s="259"/>
      <c r="K3632" s="260"/>
      <c r="L3632" s="442"/>
      <c r="M3632" s="426"/>
      <c r="N3632" s="173"/>
      <c r="O3632" s="173"/>
      <c r="P3632" s="262"/>
      <c r="Q3632" s="173"/>
      <c r="R3632" s="425"/>
      <c r="S3632" s="339"/>
      <c r="T3632" s="427"/>
      <c r="U3632" s="427"/>
      <c r="V3632" s="428"/>
      <c r="W3632" s="429"/>
      <c r="X3632" s="430"/>
      <c r="Y3632" s="33"/>
      <c r="Z3632" s="430"/>
      <c r="AA3632" s="430"/>
      <c r="AB3632" s="258"/>
      <c r="AC3632" s="430"/>
      <c r="AD3632" s="426"/>
      <c r="AE3632" s="428"/>
      <c r="AF3632" s="431"/>
      <c r="AG3632" s="432"/>
      <c r="AH3632" s="430"/>
      <c r="AI3632" s="430"/>
      <c r="AJ3632" s="430"/>
      <c r="AK3632" s="430"/>
      <c r="AL3632" s="430"/>
      <c r="AM3632" s="433"/>
      <c r="AN3632" s="430"/>
      <c r="AO3632" s="430"/>
      <c r="AP3632" s="430"/>
      <c r="AQ3632" s="430"/>
      <c r="AR3632" s="430"/>
      <c r="AS3632" s="430"/>
      <c r="AT3632" s="430"/>
      <c r="AU3632" s="426"/>
      <c r="AV3632" s="174"/>
      <c r="AW3632" s="269"/>
      <c r="AX3632" s="269"/>
      <c r="AY3632" s="270"/>
      <c r="AZ3632" s="435"/>
      <c r="BA3632" s="173"/>
      <c r="BB3632" s="434"/>
      <c r="BC3632" s="434"/>
      <c r="BD3632" s="308"/>
      <c r="BE3632" s="436"/>
      <c r="BF3632" s="274" t="str">
        <f>IFERROR(__xludf.DUMMYFUNCTION("LOWER(Regexreplace(to_text(E3632),""[^A-Za-z0-9]"","""")&amp;""_""&amp;Regexreplace(to_text(F3632),""[^A-Za-z0-9]"",""""))"),"_")</f>
        <v>_</v>
      </c>
      <c r="BG3632" s="275" t="str">
        <f>IFERROR(__xludf.DUMMYFUNCTION("upper(Regexreplace(to_text(E3632),""[^A-Za-z0-9]"","""")&amp;""-""&amp;Regexreplace(to_text(F3632),""[^A-Za-z0-9]"",""""))"),"-")</f>
        <v>-</v>
      </c>
    </row>
    <row r="3633" ht="30.0" customHeight="1">
      <c r="A3633" s="237"/>
      <c r="B3633" s="425"/>
      <c r="C3633" s="257"/>
      <c r="D3633" s="173"/>
      <c r="E3633" s="174"/>
      <c r="F3633" s="173"/>
      <c r="G3633" s="425"/>
      <c r="H3633" s="425"/>
      <c r="I3633" s="258"/>
      <c r="J3633" s="259"/>
      <c r="K3633" s="260"/>
      <c r="L3633" s="442"/>
      <c r="M3633" s="426"/>
      <c r="N3633" s="173"/>
      <c r="O3633" s="173"/>
      <c r="P3633" s="262"/>
      <c r="Q3633" s="173"/>
      <c r="R3633" s="425"/>
      <c r="S3633" s="339"/>
      <c r="T3633" s="427"/>
      <c r="U3633" s="427"/>
      <c r="V3633" s="428"/>
      <c r="W3633" s="429"/>
      <c r="X3633" s="430"/>
      <c r="Y3633" s="33"/>
      <c r="Z3633" s="430"/>
      <c r="AA3633" s="430"/>
      <c r="AB3633" s="258"/>
      <c r="AC3633" s="430"/>
      <c r="AD3633" s="426"/>
      <c r="AE3633" s="428"/>
      <c r="AF3633" s="431"/>
      <c r="AG3633" s="432"/>
      <c r="AH3633" s="430"/>
      <c r="AI3633" s="430"/>
      <c r="AJ3633" s="430"/>
      <c r="AK3633" s="430"/>
      <c r="AL3633" s="430"/>
      <c r="AM3633" s="433"/>
      <c r="AN3633" s="430"/>
      <c r="AO3633" s="430"/>
      <c r="AP3633" s="430"/>
      <c r="AQ3633" s="430"/>
      <c r="AR3633" s="430"/>
      <c r="AS3633" s="430"/>
      <c r="AT3633" s="430"/>
      <c r="AU3633" s="426"/>
      <c r="AV3633" s="174"/>
      <c r="AW3633" s="269"/>
      <c r="AX3633" s="269"/>
      <c r="AY3633" s="270"/>
      <c r="AZ3633" s="435"/>
      <c r="BA3633" s="173"/>
      <c r="BB3633" s="434"/>
      <c r="BC3633" s="434"/>
      <c r="BD3633" s="308"/>
      <c r="BE3633" s="436"/>
      <c r="BF3633" s="274" t="str">
        <f>IFERROR(__xludf.DUMMYFUNCTION("LOWER(Regexreplace(to_text(E3633),""[^A-Za-z0-9]"","""")&amp;""_""&amp;Regexreplace(to_text(F3633),""[^A-Za-z0-9]"",""""))"),"_")</f>
        <v>_</v>
      </c>
      <c r="BG3633" s="275" t="str">
        <f>IFERROR(__xludf.DUMMYFUNCTION("upper(Regexreplace(to_text(E3633),""[^A-Za-z0-9]"","""")&amp;""-""&amp;Regexreplace(to_text(F3633),""[^A-Za-z0-9]"",""""))"),"-")</f>
        <v>-</v>
      </c>
    </row>
    <row r="3634" ht="30.0" customHeight="1">
      <c r="A3634" s="237"/>
      <c r="B3634" s="425"/>
      <c r="C3634" s="257"/>
      <c r="D3634" s="173"/>
      <c r="E3634" s="174"/>
      <c r="F3634" s="173"/>
      <c r="G3634" s="425"/>
      <c r="H3634" s="425"/>
      <c r="I3634" s="258"/>
      <c r="J3634" s="259"/>
      <c r="K3634" s="260"/>
      <c r="L3634" s="442"/>
      <c r="M3634" s="426"/>
      <c r="N3634" s="173"/>
      <c r="O3634" s="173"/>
      <c r="P3634" s="262"/>
      <c r="Q3634" s="173"/>
      <c r="R3634" s="425"/>
      <c r="S3634" s="339"/>
      <c r="T3634" s="427"/>
      <c r="U3634" s="427"/>
      <c r="V3634" s="428"/>
      <c r="W3634" s="429"/>
      <c r="X3634" s="430"/>
      <c r="Y3634" s="33"/>
      <c r="Z3634" s="430"/>
      <c r="AA3634" s="430"/>
      <c r="AB3634" s="258"/>
      <c r="AC3634" s="430"/>
      <c r="AD3634" s="426"/>
      <c r="AE3634" s="428"/>
      <c r="AF3634" s="431"/>
      <c r="AG3634" s="432"/>
      <c r="AH3634" s="430"/>
      <c r="AI3634" s="430"/>
      <c r="AJ3634" s="430"/>
      <c r="AK3634" s="430"/>
      <c r="AL3634" s="430"/>
      <c r="AM3634" s="433"/>
      <c r="AN3634" s="430"/>
      <c r="AO3634" s="430"/>
      <c r="AP3634" s="430"/>
      <c r="AQ3634" s="430"/>
      <c r="AR3634" s="430"/>
      <c r="AS3634" s="430"/>
      <c r="AT3634" s="430"/>
      <c r="AU3634" s="426"/>
      <c r="AV3634" s="174"/>
      <c r="AW3634" s="269"/>
      <c r="AX3634" s="269"/>
      <c r="AY3634" s="270"/>
      <c r="AZ3634" s="435"/>
      <c r="BA3634" s="173"/>
      <c r="BB3634" s="434"/>
      <c r="BC3634" s="434"/>
      <c r="BD3634" s="308"/>
      <c r="BE3634" s="436"/>
      <c r="BF3634" s="274" t="str">
        <f>IFERROR(__xludf.DUMMYFUNCTION("LOWER(Regexreplace(to_text(E3634),""[^A-Za-z0-9]"","""")&amp;""_""&amp;Regexreplace(to_text(F3634),""[^A-Za-z0-9]"",""""))"),"_")</f>
        <v>_</v>
      </c>
      <c r="BG3634" s="275" t="str">
        <f>IFERROR(__xludf.DUMMYFUNCTION("upper(Regexreplace(to_text(E3634),""[^A-Za-z0-9]"","""")&amp;""-""&amp;Regexreplace(to_text(F3634),""[^A-Za-z0-9]"",""""))"),"-")</f>
        <v>-</v>
      </c>
    </row>
    <row r="3635" ht="30.0" customHeight="1">
      <c r="A3635" s="237"/>
      <c r="B3635" s="425"/>
      <c r="C3635" s="257"/>
      <c r="D3635" s="173"/>
      <c r="E3635" s="174"/>
      <c r="F3635" s="173"/>
      <c r="G3635" s="425"/>
      <c r="H3635" s="425"/>
      <c r="I3635" s="258"/>
      <c r="J3635" s="259"/>
      <c r="K3635" s="260"/>
      <c r="L3635" s="442"/>
      <c r="M3635" s="426"/>
      <c r="N3635" s="173"/>
      <c r="O3635" s="173"/>
      <c r="P3635" s="262"/>
      <c r="Q3635" s="173"/>
      <c r="R3635" s="425"/>
      <c r="S3635" s="339"/>
      <c r="T3635" s="427"/>
      <c r="U3635" s="427"/>
      <c r="V3635" s="428"/>
      <c r="W3635" s="429"/>
      <c r="X3635" s="430"/>
      <c r="Y3635" s="33"/>
      <c r="Z3635" s="430"/>
      <c r="AA3635" s="430"/>
      <c r="AB3635" s="258"/>
      <c r="AC3635" s="430"/>
      <c r="AD3635" s="426"/>
      <c r="AE3635" s="428"/>
      <c r="AF3635" s="431"/>
      <c r="AG3635" s="432"/>
      <c r="AH3635" s="430"/>
      <c r="AI3635" s="430"/>
      <c r="AJ3635" s="430"/>
      <c r="AK3635" s="430"/>
      <c r="AL3635" s="430"/>
      <c r="AM3635" s="433"/>
      <c r="AN3635" s="430"/>
      <c r="AO3635" s="430"/>
      <c r="AP3635" s="430"/>
      <c r="AQ3635" s="430"/>
      <c r="AR3635" s="430"/>
      <c r="AS3635" s="430"/>
      <c r="AT3635" s="430"/>
      <c r="AU3635" s="426"/>
      <c r="AV3635" s="174"/>
      <c r="AW3635" s="269"/>
      <c r="AX3635" s="269"/>
      <c r="AY3635" s="270"/>
      <c r="AZ3635" s="435"/>
      <c r="BA3635" s="173"/>
      <c r="BB3635" s="434"/>
      <c r="BC3635" s="434"/>
      <c r="BD3635" s="308"/>
      <c r="BE3635" s="436"/>
      <c r="BF3635" s="274" t="str">
        <f>IFERROR(__xludf.DUMMYFUNCTION("LOWER(Regexreplace(to_text(E3635),""[^A-Za-z0-9]"","""")&amp;""_""&amp;Regexreplace(to_text(F3635),""[^A-Za-z0-9]"",""""))"),"_")</f>
        <v>_</v>
      </c>
      <c r="BG3635" s="275" t="str">
        <f>IFERROR(__xludf.DUMMYFUNCTION("upper(Regexreplace(to_text(E3635),""[^A-Za-z0-9]"","""")&amp;""-""&amp;Regexreplace(to_text(F3635),""[^A-Za-z0-9]"",""""))"),"-")</f>
        <v>-</v>
      </c>
    </row>
    <row r="3636" ht="30.0" customHeight="1">
      <c r="A3636" s="237"/>
      <c r="B3636" s="425"/>
      <c r="C3636" s="257"/>
      <c r="D3636" s="173"/>
      <c r="E3636" s="174"/>
      <c r="F3636" s="173"/>
      <c r="G3636" s="425"/>
      <c r="H3636" s="425"/>
      <c r="I3636" s="258"/>
      <c r="J3636" s="259"/>
      <c r="K3636" s="260"/>
      <c r="L3636" s="442"/>
      <c r="M3636" s="426"/>
      <c r="N3636" s="173"/>
      <c r="O3636" s="173"/>
      <c r="P3636" s="262"/>
      <c r="Q3636" s="173"/>
      <c r="R3636" s="425"/>
      <c r="S3636" s="339"/>
      <c r="T3636" s="427"/>
      <c r="U3636" s="427"/>
      <c r="V3636" s="428"/>
      <c r="W3636" s="429"/>
      <c r="X3636" s="430"/>
      <c r="Y3636" s="33"/>
      <c r="Z3636" s="430"/>
      <c r="AA3636" s="430"/>
      <c r="AB3636" s="258"/>
      <c r="AC3636" s="430"/>
      <c r="AD3636" s="426"/>
      <c r="AE3636" s="428"/>
      <c r="AF3636" s="431"/>
      <c r="AG3636" s="432"/>
      <c r="AH3636" s="430"/>
      <c r="AI3636" s="430"/>
      <c r="AJ3636" s="430"/>
      <c r="AK3636" s="430"/>
      <c r="AL3636" s="430"/>
      <c r="AM3636" s="433"/>
      <c r="AN3636" s="430"/>
      <c r="AO3636" s="430"/>
      <c r="AP3636" s="430"/>
      <c r="AQ3636" s="430"/>
      <c r="AR3636" s="430"/>
      <c r="AS3636" s="430"/>
      <c r="AT3636" s="430"/>
      <c r="AU3636" s="426"/>
      <c r="AV3636" s="174"/>
      <c r="AW3636" s="269"/>
      <c r="AX3636" s="269"/>
      <c r="AY3636" s="270"/>
      <c r="AZ3636" s="435"/>
      <c r="BA3636" s="173"/>
      <c r="BB3636" s="434"/>
      <c r="BC3636" s="434"/>
      <c r="BD3636" s="308"/>
      <c r="BE3636" s="436"/>
      <c r="BF3636" s="274" t="str">
        <f>IFERROR(__xludf.DUMMYFUNCTION("LOWER(Regexreplace(to_text(E3636),""[^A-Za-z0-9]"","""")&amp;""_""&amp;Regexreplace(to_text(F3636),""[^A-Za-z0-9]"",""""))"),"_")</f>
        <v>_</v>
      </c>
      <c r="BG3636" s="275" t="str">
        <f>IFERROR(__xludf.DUMMYFUNCTION("upper(Regexreplace(to_text(E3636),""[^A-Za-z0-9]"","""")&amp;""-""&amp;Regexreplace(to_text(F3636),""[^A-Za-z0-9]"",""""))"),"-")</f>
        <v>-</v>
      </c>
    </row>
    <row r="3637" ht="30.0" customHeight="1">
      <c r="A3637" s="237"/>
      <c r="B3637" s="425"/>
      <c r="C3637" s="257"/>
      <c r="D3637" s="173"/>
      <c r="E3637" s="174"/>
      <c r="F3637" s="173"/>
      <c r="G3637" s="425"/>
      <c r="H3637" s="425"/>
      <c r="I3637" s="258"/>
      <c r="J3637" s="259"/>
      <c r="K3637" s="260"/>
      <c r="L3637" s="442"/>
      <c r="M3637" s="426"/>
      <c r="N3637" s="173"/>
      <c r="O3637" s="173"/>
      <c r="P3637" s="262"/>
      <c r="Q3637" s="173"/>
      <c r="R3637" s="425"/>
      <c r="S3637" s="339"/>
      <c r="T3637" s="427"/>
      <c r="U3637" s="427"/>
      <c r="V3637" s="428"/>
      <c r="W3637" s="429"/>
      <c r="X3637" s="430"/>
      <c r="Y3637" s="33"/>
      <c r="Z3637" s="430"/>
      <c r="AA3637" s="430"/>
      <c r="AB3637" s="258"/>
      <c r="AC3637" s="430"/>
      <c r="AD3637" s="426"/>
      <c r="AE3637" s="428"/>
      <c r="AF3637" s="431"/>
      <c r="AG3637" s="432"/>
      <c r="AH3637" s="430"/>
      <c r="AI3637" s="430"/>
      <c r="AJ3637" s="430"/>
      <c r="AK3637" s="430"/>
      <c r="AL3637" s="430"/>
      <c r="AM3637" s="433"/>
      <c r="AN3637" s="430"/>
      <c r="AO3637" s="430"/>
      <c r="AP3637" s="430"/>
      <c r="AQ3637" s="430"/>
      <c r="AR3637" s="430"/>
      <c r="AS3637" s="430"/>
      <c r="AT3637" s="430"/>
      <c r="AU3637" s="426"/>
      <c r="AV3637" s="174"/>
      <c r="AW3637" s="269"/>
      <c r="AX3637" s="269"/>
      <c r="AY3637" s="270"/>
      <c r="AZ3637" s="435"/>
      <c r="BA3637" s="173"/>
      <c r="BB3637" s="434"/>
      <c r="BC3637" s="434"/>
      <c r="BD3637" s="308"/>
      <c r="BE3637" s="436"/>
      <c r="BF3637" s="274" t="str">
        <f>IFERROR(__xludf.DUMMYFUNCTION("LOWER(Regexreplace(to_text(E3637),""[^A-Za-z0-9]"","""")&amp;""_""&amp;Regexreplace(to_text(F3637),""[^A-Za-z0-9]"",""""))"),"_")</f>
        <v>_</v>
      </c>
      <c r="BG3637" s="275" t="str">
        <f>IFERROR(__xludf.DUMMYFUNCTION("upper(Regexreplace(to_text(E3637),""[^A-Za-z0-9]"","""")&amp;""-""&amp;Regexreplace(to_text(F3637),""[^A-Za-z0-9]"",""""))"),"-")</f>
        <v>-</v>
      </c>
    </row>
    <row r="3638" ht="30.0" customHeight="1">
      <c r="A3638" s="237"/>
      <c r="B3638" s="425"/>
      <c r="C3638" s="257"/>
      <c r="D3638" s="173"/>
      <c r="E3638" s="174"/>
      <c r="F3638" s="173"/>
      <c r="G3638" s="425"/>
      <c r="H3638" s="425"/>
      <c r="I3638" s="258"/>
      <c r="J3638" s="259"/>
      <c r="K3638" s="260"/>
      <c r="L3638" s="442"/>
      <c r="M3638" s="426"/>
      <c r="N3638" s="173"/>
      <c r="O3638" s="173"/>
      <c r="P3638" s="262"/>
      <c r="Q3638" s="173"/>
      <c r="R3638" s="425"/>
      <c r="S3638" s="339"/>
      <c r="T3638" s="427"/>
      <c r="U3638" s="427"/>
      <c r="V3638" s="428"/>
      <c r="W3638" s="429"/>
      <c r="X3638" s="430"/>
      <c r="Y3638" s="33"/>
      <c r="Z3638" s="430"/>
      <c r="AA3638" s="430"/>
      <c r="AB3638" s="258"/>
      <c r="AC3638" s="430"/>
      <c r="AD3638" s="426"/>
      <c r="AE3638" s="428"/>
      <c r="AF3638" s="431"/>
      <c r="AG3638" s="432"/>
      <c r="AH3638" s="430"/>
      <c r="AI3638" s="430"/>
      <c r="AJ3638" s="430"/>
      <c r="AK3638" s="430"/>
      <c r="AL3638" s="430"/>
      <c r="AM3638" s="433"/>
      <c r="AN3638" s="430"/>
      <c r="AO3638" s="430"/>
      <c r="AP3638" s="430"/>
      <c r="AQ3638" s="430"/>
      <c r="AR3638" s="430"/>
      <c r="AS3638" s="430"/>
      <c r="AT3638" s="430"/>
      <c r="AU3638" s="426"/>
      <c r="AV3638" s="174"/>
      <c r="AW3638" s="269"/>
      <c r="AX3638" s="269"/>
      <c r="AY3638" s="270"/>
      <c r="AZ3638" s="435"/>
      <c r="BA3638" s="173"/>
      <c r="BB3638" s="434"/>
      <c r="BC3638" s="434"/>
      <c r="BD3638" s="308"/>
      <c r="BE3638" s="436"/>
      <c r="BF3638" s="274" t="str">
        <f>IFERROR(__xludf.DUMMYFUNCTION("LOWER(Regexreplace(to_text(E3638),""[^A-Za-z0-9]"","""")&amp;""_""&amp;Regexreplace(to_text(F3638),""[^A-Za-z0-9]"",""""))"),"_")</f>
        <v>_</v>
      </c>
      <c r="BG3638" s="275" t="str">
        <f>IFERROR(__xludf.DUMMYFUNCTION("upper(Regexreplace(to_text(E3638),""[^A-Za-z0-9]"","""")&amp;""-""&amp;Regexreplace(to_text(F3638),""[^A-Za-z0-9]"",""""))"),"-")</f>
        <v>-</v>
      </c>
    </row>
    <row r="3639" ht="30.0" customHeight="1">
      <c r="A3639" s="237"/>
      <c r="B3639" s="425"/>
      <c r="C3639" s="257"/>
      <c r="D3639" s="173"/>
      <c r="E3639" s="174"/>
      <c r="F3639" s="173"/>
      <c r="G3639" s="425"/>
      <c r="H3639" s="425"/>
      <c r="I3639" s="258"/>
      <c r="J3639" s="259"/>
      <c r="K3639" s="260"/>
      <c r="L3639" s="442"/>
      <c r="M3639" s="426"/>
      <c r="N3639" s="173"/>
      <c r="O3639" s="173"/>
      <c r="P3639" s="262"/>
      <c r="Q3639" s="173"/>
      <c r="R3639" s="425"/>
      <c r="S3639" s="339"/>
      <c r="T3639" s="427"/>
      <c r="U3639" s="427"/>
      <c r="V3639" s="428"/>
      <c r="W3639" s="429"/>
      <c r="X3639" s="430"/>
      <c r="Y3639" s="33"/>
      <c r="Z3639" s="430"/>
      <c r="AA3639" s="430"/>
      <c r="AB3639" s="258"/>
      <c r="AC3639" s="430"/>
      <c r="AD3639" s="426"/>
      <c r="AE3639" s="428"/>
      <c r="AF3639" s="431"/>
      <c r="AG3639" s="432"/>
      <c r="AH3639" s="430"/>
      <c r="AI3639" s="430"/>
      <c r="AJ3639" s="430"/>
      <c r="AK3639" s="430"/>
      <c r="AL3639" s="430"/>
      <c r="AM3639" s="433"/>
      <c r="AN3639" s="430"/>
      <c r="AO3639" s="430"/>
      <c r="AP3639" s="430"/>
      <c r="AQ3639" s="430"/>
      <c r="AR3639" s="430"/>
      <c r="AS3639" s="430"/>
      <c r="AT3639" s="430"/>
      <c r="AU3639" s="426"/>
      <c r="AV3639" s="174"/>
      <c r="AW3639" s="269"/>
      <c r="AX3639" s="269"/>
      <c r="AY3639" s="270"/>
      <c r="AZ3639" s="435"/>
      <c r="BA3639" s="173"/>
      <c r="BB3639" s="434"/>
      <c r="BC3639" s="434"/>
      <c r="BD3639" s="308"/>
      <c r="BE3639" s="436"/>
      <c r="BF3639" s="274" t="str">
        <f>IFERROR(__xludf.DUMMYFUNCTION("LOWER(Regexreplace(to_text(E3639),""[^A-Za-z0-9]"","""")&amp;""_""&amp;Regexreplace(to_text(F3639),""[^A-Za-z0-9]"",""""))"),"_")</f>
        <v>_</v>
      </c>
      <c r="BG3639" s="275" t="str">
        <f>IFERROR(__xludf.DUMMYFUNCTION("upper(Regexreplace(to_text(E3639),""[^A-Za-z0-9]"","""")&amp;""-""&amp;Regexreplace(to_text(F3639),""[^A-Za-z0-9]"",""""))"),"-")</f>
        <v>-</v>
      </c>
    </row>
    <row r="3640" ht="30.0" customHeight="1">
      <c r="A3640" s="237"/>
      <c r="B3640" s="425"/>
      <c r="C3640" s="257"/>
      <c r="D3640" s="173"/>
      <c r="E3640" s="174"/>
      <c r="F3640" s="173"/>
      <c r="G3640" s="425"/>
      <c r="H3640" s="425"/>
      <c r="I3640" s="258"/>
      <c r="J3640" s="259"/>
      <c r="K3640" s="260"/>
      <c r="L3640" s="442"/>
      <c r="M3640" s="426"/>
      <c r="N3640" s="173"/>
      <c r="O3640" s="173"/>
      <c r="P3640" s="262"/>
      <c r="Q3640" s="173"/>
      <c r="R3640" s="425"/>
      <c r="S3640" s="339"/>
      <c r="T3640" s="427"/>
      <c r="U3640" s="427"/>
      <c r="V3640" s="428"/>
      <c r="W3640" s="429"/>
      <c r="X3640" s="430"/>
      <c r="Y3640" s="33"/>
      <c r="Z3640" s="430"/>
      <c r="AA3640" s="430"/>
      <c r="AB3640" s="258"/>
      <c r="AC3640" s="430"/>
      <c r="AD3640" s="426"/>
      <c r="AE3640" s="428"/>
      <c r="AF3640" s="431"/>
      <c r="AG3640" s="432"/>
      <c r="AH3640" s="430"/>
      <c r="AI3640" s="430"/>
      <c r="AJ3640" s="430"/>
      <c r="AK3640" s="430"/>
      <c r="AL3640" s="430"/>
      <c r="AM3640" s="433"/>
      <c r="AN3640" s="430"/>
      <c r="AO3640" s="430"/>
      <c r="AP3640" s="430"/>
      <c r="AQ3640" s="430"/>
      <c r="AR3640" s="430"/>
      <c r="AS3640" s="430"/>
      <c r="AT3640" s="430"/>
      <c r="AU3640" s="426"/>
      <c r="AV3640" s="174"/>
      <c r="AW3640" s="269"/>
      <c r="AX3640" s="269"/>
      <c r="AY3640" s="270"/>
      <c r="AZ3640" s="435"/>
      <c r="BA3640" s="173"/>
      <c r="BB3640" s="434"/>
      <c r="BC3640" s="434"/>
      <c r="BD3640" s="308"/>
      <c r="BE3640" s="436"/>
      <c r="BF3640" s="274" t="str">
        <f>IFERROR(__xludf.DUMMYFUNCTION("LOWER(Regexreplace(to_text(E3640),""[^A-Za-z0-9]"","""")&amp;""_""&amp;Regexreplace(to_text(F3640),""[^A-Za-z0-9]"",""""))"),"_")</f>
        <v>_</v>
      </c>
      <c r="BG3640" s="275" t="str">
        <f>IFERROR(__xludf.DUMMYFUNCTION("upper(Regexreplace(to_text(E3640),""[^A-Za-z0-9]"","""")&amp;""-""&amp;Regexreplace(to_text(F3640),""[^A-Za-z0-9]"",""""))"),"-")</f>
        <v>-</v>
      </c>
    </row>
    <row r="3641" ht="30.0" customHeight="1">
      <c r="A3641" s="237"/>
      <c r="B3641" s="425"/>
      <c r="C3641" s="257"/>
      <c r="D3641" s="173"/>
      <c r="E3641" s="174"/>
      <c r="F3641" s="173"/>
      <c r="G3641" s="425"/>
      <c r="H3641" s="425"/>
      <c r="I3641" s="258"/>
      <c r="J3641" s="259"/>
      <c r="K3641" s="260"/>
      <c r="L3641" s="442"/>
      <c r="M3641" s="426"/>
      <c r="N3641" s="173"/>
      <c r="O3641" s="173"/>
      <c r="P3641" s="262"/>
      <c r="Q3641" s="173"/>
      <c r="R3641" s="425"/>
      <c r="S3641" s="339"/>
      <c r="T3641" s="427"/>
      <c r="U3641" s="427"/>
      <c r="V3641" s="428"/>
      <c r="W3641" s="429"/>
      <c r="X3641" s="430"/>
      <c r="Y3641" s="33"/>
      <c r="Z3641" s="430"/>
      <c r="AA3641" s="430"/>
      <c r="AB3641" s="258"/>
      <c r="AC3641" s="430"/>
      <c r="AD3641" s="426"/>
      <c r="AE3641" s="428"/>
      <c r="AF3641" s="431"/>
      <c r="AG3641" s="432"/>
      <c r="AH3641" s="430"/>
      <c r="AI3641" s="430"/>
      <c r="AJ3641" s="430"/>
      <c r="AK3641" s="430"/>
      <c r="AL3641" s="430"/>
      <c r="AM3641" s="433"/>
      <c r="AN3641" s="430"/>
      <c r="AO3641" s="430"/>
      <c r="AP3641" s="430"/>
      <c r="AQ3641" s="430"/>
      <c r="AR3641" s="430"/>
      <c r="AS3641" s="430"/>
      <c r="AT3641" s="430"/>
      <c r="AU3641" s="426"/>
      <c r="AV3641" s="174"/>
      <c r="AW3641" s="269"/>
      <c r="AX3641" s="269"/>
      <c r="AY3641" s="270"/>
      <c r="AZ3641" s="435"/>
      <c r="BA3641" s="173"/>
      <c r="BB3641" s="434"/>
      <c r="BC3641" s="434"/>
      <c r="BD3641" s="308"/>
      <c r="BE3641" s="436"/>
      <c r="BF3641" s="274" t="str">
        <f>IFERROR(__xludf.DUMMYFUNCTION("LOWER(Regexreplace(to_text(E3641),""[^A-Za-z0-9]"","""")&amp;""_""&amp;Regexreplace(to_text(F3641),""[^A-Za-z0-9]"",""""))"),"_")</f>
        <v>_</v>
      </c>
      <c r="BG3641" s="275" t="str">
        <f>IFERROR(__xludf.DUMMYFUNCTION("upper(Regexreplace(to_text(E3641),""[^A-Za-z0-9]"","""")&amp;""-""&amp;Regexreplace(to_text(F3641),""[^A-Za-z0-9]"",""""))"),"-")</f>
        <v>-</v>
      </c>
    </row>
    <row r="3642" ht="30.0" customHeight="1">
      <c r="A3642" s="237"/>
      <c r="B3642" s="425"/>
      <c r="C3642" s="257"/>
      <c r="D3642" s="173"/>
      <c r="E3642" s="174"/>
      <c r="F3642" s="173"/>
      <c r="G3642" s="425"/>
      <c r="H3642" s="425"/>
      <c r="I3642" s="258"/>
      <c r="J3642" s="259"/>
      <c r="K3642" s="260"/>
      <c r="L3642" s="442"/>
      <c r="M3642" s="426"/>
      <c r="N3642" s="173"/>
      <c r="O3642" s="173"/>
      <c r="P3642" s="262"/>
      <c r="Q3642" s="173"/>
      <c r="R3642" s="425"/>
      <c r="S3642" s="339"/>
      <c r="T3642" s="427"/>
      <c r="U3642" s="427"/>
      <c r="V3642" s="428"/>
      <c r="W3642" s="429"/>
      <c r="X3642" s="430"/>
      <c r="Y3642" s="33"/>
      <c r="Z3642" s="430"/>
      <c r="AA3642" s="430"/>
      <c r="AB3642" s="258"/>
      <c r="AC3642" s="430"/>
      <c r="AD3642" s="426"/>
      <c r="AE3642" s="428"/>
      <c r="AF3642" s="431"/>
      <c r="AG3642" s="432"/>
      <c r="AH3642" s="430"/>
      <c r="AI3642" s="430"/>
      <c r="AJ3642" s="430"/>
      <c r="AK3642" s="430"/>
      <c r="AL3642" s="430"/>
      <c r="AM3642" s="433"/>
      <c r="AN3642" s="430"/>
      <c r="AO3642" s="430"/>
      <c r="AP3642" s="430"/>
      <c r="AQ3642" s="430"/>
      <c r="AR3642" s="430"/>
      <c r="AS3642" s="430"/>
      <c r="AT3642" s="430"/>
      <c r="AU3642" s="426"/>
      <c r="AV3642" s="174"/>
      <c r="AW3642" s="269"/>
      <c r="AX3642" s="269"/>
      <c r="AY3642" s="270"/>
      <c r="AZ3642" s="435"/>
      <c r="BA3642" s="173"/>
      <c r="BB3642" s="434"/>
      <c r="BC3642" s="434"/>
      <c r="BD3642" s="308"/>
      <c r="BE3642" s="436"/>
      <c r="BF3642" s="274" t="str">
        <f>IFERROR(__xludf.DUMMYFUNCTION("LOWER(Regexreplace(to_text(E3642),""[^A-Za-z0-9]"","""")&amp;""_""&amp;Regexreplace(to_text(F3642),""[^A-Za-z0-9]"",""""))"),"_")</f>
        <v>_</v>
      </c>
      <c r="BG3642" s="275" t="str">
        <f>IFERROR(__xludf.DUMMYFUNCTION("upper(Regexreplace(to_text(E3642),""[^A-Za-z0-9]"","""")&amp;""-""&amp;Regexreplace(to_text(F3642),""[^A-Za-z0-9]"",""""))"),"-")</f>
        <v>-</v>
      </c>
    </row>
    <row r="3643" ht="30.0" customHeight="1">
      <c r="A3643" s="237"/>
      <c r="B3643" s="425"/>
      <c r="C3643" s="257"/>
      <c r="D3643" s="173"/>
      <c r="E3643" s="174"/>
      <c r="F3643" s="173"/>
      <c r="G3643" s="425"/>
      <c r="H3643" s="425"/>
      <c r="I3643" s="258"/>
      <c r="J3643" s="259"/>
      <c r="K3643" s="260"/>
      <c r="L3643" s="442"/>
      <c r="M3643" s="426"/>
      <c r="N3643" s="173"/>
      <c r="O3643" s="173"/>
      <c r="P3643" s="262"/>
      <c r="Q3643" s="173"/>
      <c r="R3643" s="425"/>
      <c r="S3643" s="339"/>
      <c r="T3643" s="427"/>
      <c r="U3643" s="427"/>
      <c r="V3643" s="428"/>
      <c r="W3643" s="429"/>
      <c r="X3643" s="430"/>
      <c r="Y3643" s="33"/>
      <c r="Z3643" s="430"/>
      <c r="AA3643" s="430"/>
      <c r="AB3643" s="258"/>
      <c r="AC3643" s="430"/>
      <c r="AD3643" s="426"/>
      <c r="AE3643" s="428"/>
      <c r="AF3643" s="431"/>
      <c r="AG3643" s="432"/>
      <c r="AH3643" s="430"/>
      <c r="AI3643" s="430"/>
      <c r="AJ3643" s="430"/>
      <c r="AK3643" s="430"/>
      <c r="AL3643" s="430"/>
      <c r="AM3643" s="433"/>
      <c r="AN3643" s="430"/>
      <c r="AO3643" s="430"/>
      <c r="AP3643" s="430"/>
      <c r="AQ3643" s="430"/>
      <c r="AR3643" s="430"/>
      <c r="AS3643" s="430"/>
      <c r="AT3643" s="430"/>
      <c r="AU3643" s="426"/>
      <c r="AV3643" s="174"/>
      <c r="AW3643" s="269"/>
      <c r="AX3643" s="269"/>
      <c r="AY3643" s="270"/>
      <c r="AZ3643" s="435"/>
      <c r="BA3643" s="173"/>
      <c r="BB3643" s="434"/>
      <c r="BC3643" s="434"/>
      <c r="BD3643" s="308"/>
      <c r="BE3643" s="436"/>
      <c r="BF3643" s="274" t="str">
        <f>IFERROR(__xludf.DUMMYFUNCTION("LOWER(Regexreplace(to_text(E3643),""[^A-Za-z0-9]"","""")&amp;""_""&amp;Regexreplace(to_text(F3643),""[^A-Za-z0-9]"",""""))"),"_")</f>
        <v>_</v>
      </c>
      <c r="BG3643" s="275" t="str">
        <f>IFERROR(__xludf.DUMMYFUNCTION("upper(Regexreplace(to_text(E3643),""[^A-Za-z0-9]"","""")&amp;""-""&amp;Regexreplace(to_text(F3643),""[^A-Za-z0-9]"",""""))"),"-")</f>
        <v>-</v>
      </c>
    </row>
    <row r="3644" ht="30.0" customHeight="1">
      <c r="A3644" s="237"/>
      <c r="B3644" s="425"/>
      <c r="C3644" s="257"/>
      <c r="D3644" s="173"/>
      <c r="E3644" s="174"/>
      <c r="F3644" s="173"/>
      <c r="G3644" s="425"/>
      <c r="H3644" s="425"/>
      <c r="I3644" s="258"/>
      <c r="J3644" s="259"/>
      <c r="K3644" s="260"/>
      <c r="L3644" s="442"/>
      <c r="M3644" s="426"/>
      <c r="N3644" s="173"/>
      <c r="O3644" s="173"/>
      <c r="P3644" s="262"/>
      <c r="Q3644" s="173"/>
      <c r="R3644" s="425"/>
      <c r="S3644" s="339"/>
      <c r="T3644" s="427"/>
      <c r="U3644" s="427"/>
      <c r="V3644" s="428"/>
      <c r="W3644" s="429"/>
      <c r="X3644" s="430"/>
      <c r="Y3644" s="33"/>
      <c r="Z3644" s="430"/>
      <c r="AA3644" s="430"/>
      <c r="AB3644" s="258"/>
      <c r="AC3644" s="430"/>
      <c r="AD3644" s="426"/>
      <c r="AE3644" s="428"/>
      <c r="AF3644" s="431"/>
      <c r="AG3644" s="432"/>
      <c r="AH3644" s="430"/>
      <c r="AI3644" s="430"/>
      <c r="AJ3644" s="430"/>
      <c r="AK3644" s="430"/>
      <c r="AL3644" s="430"/>
      <c r="AM3644" s="433"/>
      <c r="AN3644" s="430"/>
      <c r="AO3644" s="430"/>
      <c r="AP3644" s="430"/>
      <c r="AQ3644" s="430"/>
      <c r="AR3644" s="430"/>
      <c r="AS3644" s="430"/>
      <c r="AT3644" s="430"/>
      <c r="AU3644" s="426"/>
      <c r="AV3644" s="174"/>
      <c r="AW3644" s="269"/>
      <c r="AX3644" s="269"/>
      <c r="AY3644" s="270"/>
      <c r="AZ3644" s="435"/>
      <c r="BA3644" s="173"/>
      <c r="BB3644" s="434"/>
      <c r="BC3644" s="434"/>
      <c r="BD3644" s="308"/>
      <c r="BE3644" s="436"/>
      <c r="BF3644" s="274" t="str">
        <f>IFERROR(__xludf.DUMMYFUNCTION("LOWER(Regexreplace(to_text(E3644),""[^A-Za-z0-9]"","""")&amp;""_""&amp;Regexreplace(to_text(F3644),""[^A-Za-z0-9]"",""""))"),"_")</f>
        <v>_</v>
      </c>
      <c r="BG3644" s="275" t="str">
        <f>IFERROR(__xludf.DUMMYFUNCTION("upper(Regexreplace(to_text(E3644),""[^A-Za-z0-9]"","""")&amp;""-""&amp;Regexreplace(to_text(F3644),""[^A-Za-z0-9]"",""""))"),"-")</f>
        <v>-</v>
      </c>
    </row>
    <row r="3645" ht="30.0" customHeight="1">
      <c r="A3645" s="237"/>
      <c r="B3645" s="425"/>
      <c r="C3645" s="257"/>
      <c r="D3645" s="173"/>
      <c r="E3645" s="174"/>
      <c r="F3645" s="173"/>
      <c r="G3645" s="425"/>
      <c r="H3645" s="425"/>
      <c r="I3645" s="258"/>
      <c r="J3645" s="259"/>
      <c r="K3645" s="260"/>
      <c r="L3645" s="442"/>
      <c r="M3645" s="426"/>
      <c r="N3645" s="173"/>
      <c r="O3645" s="173"/>
      <c r="P3645" s="262"/>
      <c r="Q3645" s="173"/>
      <c r="R3645" s="425"/>
      <c r="S3645" s="339"/>
      <c r="T3645" s="427"/>
      <c r="U3645" s="427"/>
      <c r="V3645" s="428"/>
      <c r="W3645" s="429"/>
      <c r="X3645" s="430"/>
      <c r="Y3645" s="33"/>
      <c r="Z3645" s="430"/>
      <c r="AA3645" s="430"/>
      <c r="AB3645" s="258"/>
      <c r="AC3645" s="430"/>
      <c r="AD3645" s="426"/>
      <c r="AE3645" s="428"/>
      <c r="AF3645" s="431"/>
      <c r="AG3645" s="432"/>
      <c r="AH3645" s="430"/>
      <c r="AI3645" s="430"/>
      <c r="AJ3645" s="430"/>
      <c r="AK3645" s="430"/>
      <c r="AL3645" s="430"/>
      <c r="AM3645" s="433"/>
      <c r="AN3645" s="430"/>
      <c r="AO3645" s="430"/>
      <c r="AP3645" s="430"/>
      <c r="AQ3645" s="430"/>
      <c r="AR3645" s="430"/>
      <c r="AS3645" s="430"/>
      <c r="AT3645" s="430"/>
      <c r="AU3645" s="426"/>
      <c r="AV3645" s="174"/>
      <c r="AW3645" s="269"/>
      <c r="AX3645" s="269"/>
      <c r="AY3645" s="270"/>
      <c r="AZ3645" s="435"/>
      <c r="BA3645" s="173"/>
      <c r="BB3645" s="434"/>
      <c r="BC3645" s="434"/>
      <c r="BD3645" s="308"/>
      <c r="BE3645" s="436"/>
      <c r="BF3645" s="274" t="str">
        <f>IFERROR(__xludf.DUMMYFUNCTION("LOWER(Regexreplace(to_text(E3645),""[^A-Za-z0-9]"","""")&amp;""_""&amp;Regexreplace(to_text(F3645),""[^A-Za-z0-9]"",""""))"),"_")</f>
        <v>_</v>
      </c>
      <c r="BG3645" s="275" t="str">
        <f>IFERROR(__xludf.DUMMYFUNCTION("upper(Regexreplace(to_text(E3645),""[^A-Za-z0-9]"","""")&amp;""-""&amp;Regexreplace(to_text(F3645),""[^A-Za-z0-9]"",""""))"),"-")</f>
        <v>-</v>
      </c>
    </row>
    <row r="3646" ht="30.0" customHeight="1">
      <c r="A3646" s="237"/>
      <c r="B3646" s="425"/>
      <c r="C3646" s="257"/>
      <c r="D3646" s="173"/>
      <c r="E3646" s="174"/>
      <c r="F3646" s="173"/>
      <c r="G3646" s="425"/>
      <c r="H3646" s="425"/>
      <c r="I3646" s="258"/>
      <c r="J3646" s="259"/>
      <c r="K3646" s="260"/>
      <c r="L3646" s="442"/>
      <c r="M3646" s="426"/>
      <c r="N3646" s="173"/>
      <c r="O3646" s="173"/>
      <c r="P3646" s="262"/>
      <c r="Q3646" s="173"/>
      <c r="R3646" s="425"/>
      <c r="S3646" s="339"/>
      <c r="T3646" s="427"/>
      <c r="U3646" s="427"/>
      <c r="V3646" s="428"/>
      <c r="W3646" s="429"/>
      <c r="X3646" s="430"/>
      <c r="Y3646" s="33"/>
      <c r="Z3646" s="430"/>
      <c r="AA3646" s="430"/>
      <c r="AB3646" s="258"/>
      <c r="AC3646" s="430"/>
      <c r="AD3646" s="426"/>
      <c r="AE3646" s="428"/>
      <c r="AF3646" s="431"/>
      <c r="AG3646" s="432"/>
      <c r="AH3646" s="430"/>
      <c r="AI3646" s="430"/>
      <c r="AJ3646" s="430"/>
      <c r="AK3646" s="430"/>
      <c r="AL3646" s="430"/>
      <c r="AM3646" s="433"/>
      <c r="AN3646" s="430"/>
      <c r="AO3646" s="430"/>
      <c r="AP3646" s="430"/>
      <c r="AQ3646" s="430"/>
      <c r="AR3646" s="430"/>
      <c r="AS3646" s="430"/>
      <c r="AT3646" s="430"/>
      <c r="AU3646" s="426"/>
      <c r="AV3646" s="174"/>
      <c r="AW3646" s="269"/>
      <c r="AX3646" s="269"/>
      <c r="AY3646" s="270"/>
      <c r="AZ3646" s="435"/>
      <c r="BA3646" s="173"/>
      <c r="BB3646" s="434"/>
      <c r="BC3646" s="434"/>
      <c r="BD3646" s="308"/>
      <c r="BE3646" s="436"/>
      <c r="BF3646" s="274" t="str">
        <f>IFERROR(__xludf.DUMMYFUNCTION("LOWER(Regexreplace(to_text(E3646),""[^A-Za-z0-9]"","""")&amp;""_""&amp;Regexreplace(to_text(F3646),""[^A-Za-z0-9]"",""""))"),"_")</f>
        <v>_</v>
      </c>
      <c r="BG3646" s="275" t="str">
        <f>IFERROR(__xludf.DUMMYFUNCTION("upper(Regexreplace(to_text(E3646),""[^A-Za-z0-9]"","""")&amp;""-""&amp;Regexreplace(to_text(F3646),""[^A-Za-z0-9]"",""""))"),"-")</f>
        <v>-</v>
      </c>
    </row>
    <row r="3647" ht="30.0" customHeight="1">
      <c r="A3647" s="237"/>
      <c r="B3647" s="425"/>
      <c r="C3647" s="257"/>
      <c r="D3647" s="173"/>
      <c r="E3647" s="174"/>
      <c r="F3647" s="173"/>
      <c r="G3647" s="425"/>
      <c r="H3647" s="425"/>
      <c r="I3647" s="258"/>
      <c r="J3647" s="259"/>
      <c r="K3647" s="260"/>
      <c r="L3647" s="442"/>
      <c r="M3647" s="426"/>
      <c r="N3647" s="173"/>
      <c r="O3647" s="173"/>
      <c r="P3647" s="262"/>
      <c r="Q3647" s="173"/>
      <c r="R3647" s="425"/>
      <c r="S3647" s="339"/>
      <c r="T3647" s="427"/>
      <c r="U3647" s="427"/>
      <c r="V3647" s="428"/>
      <c r="W3647" s="429"/>
      <c r="X3647" s="430"/>
      <c r="Y3647" s="33"/>
      <c r="Z3647" s="430"/>
      <c r="AA3647" s="430"/>
      <c r="AB3647" s="258"/>
      <c r="AC3647" s="430"/>
      <c r="AD3647" s="426"/>
      <c r="AE3647" s="428"/>
      <c r="AF3647" s="431"/>
      <c r="AG3647" s="432"/>
      <c r="AH3647" s="430"/>
      <c r="AI3647" s="430"/>
      <c r="AJ3647" s="430"/>
      <c r="AK3647" s="430"/>
      <c r="AL3647" s="430"/>
      <c r="AM3647" s="433"/>
      <c r="AN3647" s="430"/>
      <c r="AO3647" s="430"/>
      <c r="AP3647" s="430"/>
      <c r="AQ3647" s="430"/>
      <c r="AR3647" s="430"/>
      <c r="AS3647" s="430"/>
      <c r="AT3647" s="430"/>
      <c r="AU3647" s="426"/>
      <c r="AV3647" s="174"/>
      <c r="AW3647" s="269"/>
      <c r="AX3647" s="269"/>
      <c r="AY3647" s="270"/>
      <c r="AZ3647" s="435"/>
      <c r="BA3647" s="173"/>
      <c r="BB3647" s="434"/>
      <c r="BC3647" s="434"/>
      <c r="BD3647" s="308"/>
      <c r="BE3647" s="436"/>
      <c r="BF3647" s="274" t="str">
        <f>IFERROR(__xludf.DUMMYFUNCTION("LOWER(Regexreplace(to_text(E3647),""[^A-Za-z0-9]"","""")&amp;""_""&amp;Regexreplace(to_text(F3647),""[^A-Za-z0-9]"",""""))"),"_")</f>
        <v>_</v>
      </c>
      <c r="BG3647" s="275" t="str">
        <f>IFERROR(__xludf.DUMMYFUNCTION("upper(Regexreplace(to_text(E3647),""[^A-Za-z0-9]"","""")&amp;""-""&amp;Regexreplace(to_text(F3647),""[^A-Za-z0-9]"",""""))"),"-")</f>
        <v>-</v>
      </c>
    </row>
    <row r="3648" ht="30.0" customHeight="1">
      <c r="A3648" s="237"/>
      <c r="B3648" s="425"/>
      <c r="C3648" s="257"/>
      <c r="D3648" s="173"/>
      <c r="E3648" s="174"/>
      <c r="F3648" s="173"/>
      <c r="G3648" s="425"/>
      <c r="H3648" s="425"/>
      <c r="I3648" s="258"/>
      <c r="J3648" s="259"/>
      <c r="K3648" s="260"/>
      <c r="L3648" s="442"/>
      <c r="M3648" s="426"/>
      <c r="N3648" s="173"/>
      <c r="O3648" s="173"/>
      <c r="P3648" s="262"/>
      <c r="Q3648" s="173"/>
      <c r="R3648" s="425"/>
      <c r="S3648" s="339"/>
      <c r="T3648" s="427"/>
      <c r="U3648" s="427"/>
      <c r="V3648" s="428"/>
      <c r="W3648" s="429"/>
      <c r="X3648" s="430"/>
      <c r="Y3648" s="33"/>
      <c r="Z3648" s="430"/>
      <c r="AA3648" s="430"/>
      <c r="AB3648" s="258"/>
      <c r="AC3648" s="430"/>
      <c r="AD3648" s="426"/>
      <c r="AE3648" s="428"/>
      <c r="AF3648" s="431"/>
      <c r="AG3648" s="432"/>
      <c r="AH3648" s="430"/>
      <c r="AI3648" s="430"/>
      <c r="AJ3648" s="430"/>
      <c r="AK3648" s="430"/>
      <c r="AL3648" s="430"/>
      <c r="AM3648" s="433"/>
      <c r="AN3648" s="430"/>
      <c r="AO3648" s="430"/>
      <c r="AP3648" s="430"/>
      <c r="AQ3648" s="430"/>
      <c r="AR3648" s="430"/>
      <c r="AS3648" s="430"/>
      <c r="AT3648" s="430"/>
      <c r="AU3648" s="426"/>
      <c r="AV3648" s="174"/>
      <c r="AW3648" s="269"/>
      <c r="AX3648" s="269"/>
      <c r="AY3648" s="270"/>
      <c r="AZ3648" s="435"/>
      <c r="BA3648" s="173"/>
      <c r="BB3648" s="434"/>
      <c r="BC3648" s="434"/>
      <c r="BD3648" s="308"/>
      <c r="BE3648" s="436"/>
      <c r="BF3648" s="274" t="str">
        <f>IFERROR(__xludf.DUMMYFUNCTION("LOWER(Regexreplace(to_text(E3648),""[^A-Za-z0-9]"","""")&amp;""_""&amp;Regexreplace(to_text(F3648),""[^A-Za-z0-9]"",""""))"),"_")</f>
        <v>_</v>
      </c>
      <c r="BG3648" s="275" t="str">
        <f>IFERROR(__xludf.DUMMYFUNCTION("upper(Regexreplace(to_text(E3648),""[^A-Za-z0-9]"","""")&amp;""-""&amp;Regexreplace(to_text(F3648),""[^A-Za-z0-9]"",""""))"),"-")</f>
        <v>-</v>
      </c>
    </row>
    <row r="3649" ht="30.0" customHeight="1">
      <c r="A3649" s="237"/>
      <c r="B3649" s="425"/>
      <c r="C3649" s="257"/>
      <c r="D3649" s="173"/>
      <c r="E3649" s="174"/>
      <c r="F3649" s="173"/>
      <c r="G3649" s="425"/>
      <c r="H3649" s="425"/>
      <c r="I3649" s="258"/>
      <c r="J3649" s="259"/>
      <c r="K3649" s="260"/>
      <c r="L3649" s="442"/>
      <c r="M3649" s="426"/>
      <c r="N3649" s="173"/>
      <c r="O3649" s="173"/>
      <c r="P3649" s="262"/>
      <c r="Q3649" s="173"/>
      <c r="R3649" s="425"/>
      <c r="S3649" s="339"/>
      <c r="T3649" s="427"/>
      <c r="U3649" s="427"/>
      <c r="V3649" s="428"/>
      <c r="W3649" s="429"/>
      <c r="X3649" s="430"/>
      <c r="Y3649" s="33"/>
      <c r="Z3649" s="430"/>
      <c r="AA3649" s="430"/>
      <c r="AB3649" s="258"/>
      <c r="AC3649" s="430"/>
      <c r="AD3649" s="426"/>
      <c r="AE3649" s="428"/>
      <c r="AF3649" s="431"/>
      <c r="AG3649" s="432"/>
      <c r="AH3649" s="430"/>
      <c r="AI3649" s="430"/>
      <c r="AJ3649" s="430"/>
      <c r="AK3649" s="430"/>
      <c r="AL3649" s="430"/>
      <c r="AM3649" s="433"/>
      <c r="AN3649" s="430"/>
      <c r="AO3649" s="430"/>
      <c r="AP3649" s="430"/>
      <c r="AQ3649" s="430"/>
      <c r="AR3649" s="430"/>
      <c r="AS3649" s="430"/>
      <c r="AT3649" s="430"/>
      <c r="AU3649" s="426"/>
      <c r="AV3649" s="174"/>
      <c r="AW3649" s="269"/>
      <c r="AX3649" s="269"/>
      <c r="AY3649" s="270"/>
      <c r="AZ3649" s="435"/>
      <c r="BA3649" s="173"/>
      <c r="BB3649" s="434"/>
      <c r="BC3649" s="434"/>
      <c r="BD3649" s="308"/>
      <c r="BE3649" s="436"/>
      <c r="BF3649" s="274" t="str">
        <f>IFERROR(__xludf.DUMMYFUNCTION("LOWER(Regexreplace(to_text(E3649),""[^A-Za-z0-9]"","""")&amp;""_""&amp;Regexreplace(to_text(F3649),""[^A-Za-z0-9]"",""""))"),"_")</f>
        <v>_</v>
      </c>
      <c r="BG3649" s="275" t="str">
        <f>IFERROR(__xludf.DUMMYFUNCTION("upper(Regexreplace(to_text(E3649),""[^A-Za-z0-9]"","""")&amp;""-""&amp;Regexreplace(to_text(F3649),""[^A-Za-z0-9]"",""""))"),"-")</f>
        <v>-</v>
      </c>
    </row>
    <row r="3650" ht="30.0" customHeight="1">
      <c r="A3650" s="237"/>
      <c r="B3650" s="425"/>
      <c r="C3650" s="257"/>
      <c r="D3650" s="173"/>
      <c r="E3650" s="174"/>
      <c r="F3650" s="173"/>
      <c r="G3650" s="425"/>
      <c r="H3650" s="425"/>
      <c r="I3650" s="258"/>
      <c r="J3650" s="259"/>
      <c r="K3650" s="260"/>
      <c r="L3650" s="442"/>
      <c r="M3650" s="426"/>
      <c r="N3650" s="173"/>
      <c r="O3650" s="173"/>
      <c r="P3650" s="262"/>
      <c r="Q3650" s="173"/>
      <c r="R3650" s="425"/>
      <c r="S3650" s="339"/>
      <c r="T3650" s="427"/>
      <c r="U3650" s="427"/>
      <c r="V3650" s="428"/>
      <c r="W3650" s="429"/>
      <c r="X3650" s="430"/>
      <c r="Y3650" s="33"/>
      <c r="Z3650" s="430"/>
      <c r="AA3650" s="430"/>
      <c r="AB3650" s="258"/>
      <c r="AC3650" s="430"/>
      <c r="AD3650" s="426"/>
      <c r="AE3650" s="428"/>
      <c r="AF3650" s="431"/>
      <c r="AG3650" s="432"/>
      <c r="AH3650" s="430"/>
      <c r="AI3650" s="430"/>
      <c r="AJ3650" s="430"/>
      <c r="AK3650" s="430"/>
      <c r="AL3650" s="430"/>
      <c r="AM3650" s="433"/>
      <c r="AN3650" s="430"/>
      <c r="AO3650" s="430"/>
      <c r="AP3650" s="430"/>
      <c r="AQ3650" s="430"/>
      <c r="AR3650" s="430"/>
      <c r="AS3650" s="430"/>
      <c r="AT3650" s="430"/>
      <c r="AU3650" s="426"/>
      <c r="AV3650" s="174"/>
      <c r="AW3650" s="269"/>
      <c r="AX3650" s="269"/>
      <c r="AY3650" s="270"/>
      <c r="AZ3650" s="435"/>
      <c r="BA3650" s="173"/>
      <c r="BB3650" s="434"/>
      <c r="BC3650" s="434"/>
      <c r="BD3650" s="308"/>
      <c r="BE3650" s="436"/>
      <c r="BF3650" s="274" t="str">
        <f>IFERROR(__xludf.DUMMYFUNCTION("LOWER(Regexreplace(to_text(E3650),""[^A-Za-z0-9]"","""")&amp;""_""&amp;Regexreplace(to_text(F3650),""[^A-Za-z0-9]"",""""))"),"_")</f>
        <v>_</v>
      </c>
      <c r="BG3650" s="275" t="str">
        <f>IFERROR(__xludf.DUMMYFUNCTION("upper(Regexreplace(to_text(E3650),""[^A-Za-z0-9]"","""")&amp;""-""&amp;Regexreplace(to_text(F3650),""[^A-Za-z0-9]"",""""))"),"-")</f>
        <v>-</v>
      </c>
    </row>
    <row r="3651" ht="30.0" customHeight="1">
      <c r="A3651" s="237"/>
      <c r="B3651" s="425"/>
      <c r="C3651" s="257"/>
      <c r="D3651" s="173"/>
      <c r="E3651" s="174"/>
      <c r="F3651" s="173"/>
      <c r="G3651" s="425"/>
      <c r="H3651" s="425"/>
      <c r="I3651" s="258"/>
      <c r="J3651" s="259"/>
      <c r="K3651" s="260"/>
      <c r="L3651" s="442"/>
      <c r="M3651" s="426"/>
      <c r="N3651" s="173"/>
      <c r="O3651" s="173"/>
      <c r="P3651" s="262"/>
      <c r="Q3651" s="173"/>
      <c r="R3651" s="425"/>
      <c r="S3651" s="339"/>
      <c r="T3651" s="427"/>
      <c r="U3651" s="427"/>
      <c r="V3651" s="428"/>
      <c r="W3651" s="429"/>
      <c r="X3651" s="430"/>
      <c r="Y3651" s="33"/>
      <c r="Z3651" s="430"/>
      <c r="AA3651" s="430"/>
      <c r="AB3651" s="258"/>
      <c r="AC3651" s="430"/>
      <c r="AD3651" s="426"/>
      <c r="AE3651" s="428"/>
      <c r="AF3651" s="431"/>
      <c r="AG3651" s="432"/>
      <c r="AH3651" s="430"/>
      <c r="AI3651" s="430"/>
      <c r="AJ3651" s="430"/>
      <c r="AK3651" s="430"/>
      <c r="AL3651" s="430"/>
      <c r="AM3651" s="433"/>
      <c r="AN3651" s="430"/>
      <c r="AO3651" s="430"/>
      <c r="AP3651" s="430"/>
      <c r="AQ3651" s="430"/>
      <c r="AR3651" s="430"/>
      <c r="AS3651" s="430"/>
      <c r="AT3651" s="430"/>
      <c r="AU3651" s="426"/>
      <c r="AV3651" s="174"/>
      <c r="AW3651" s="269"/>
      <c r="AX3651" s="269"/>
      <c r="AY3651" s="270"/>
      <c r="AZ3651" s="435"/>
      <c r="BA3651" s="173"/>
      <c r="BB3651" s="434"/>
      <c r="BC3651" s="434"/>
      <c r="BD3651" s="308"/>
      <c r="BE3651" s="436"/>
      <c r="BF3651" s="274" t="str">
        <f>IFERROR(__xludf.DUMMYFUNCTION("LOWER(Regexreplace(to_text(E3651),""[^A-Za-z0-9]"","""")&amp;""_""&amp;Regexreplace(to_text(F3651),""[^A-Za-z0-9]"",""""))"),"_")</f>
        <v>_</v>
      </c>
      <c r="BG3651" s="275" t="str">
        <f>IFERROR(__xludf.DUMMYFUNCTION("upper(Regexreplace(to_text(E3651),""[^A-Za-z0-9]"","""")&amp;""-""&amp;Regexreplace(to_text(F3651),""[^A-Za-z0-9]"",""""))"),"-")</f>
        <v>-</v>
      </c>
    </row>
    <row r="3652" ht="30.0" customHeight="1">
      <c r="A3652" s="237"/>
      <c r="B3652" s="425"/>
      <c r="C3652" s="257"/>
      <c r="D3652" s="173"/>
      <c r="E3652" s="174"/>
      <c r="F3652" s="173"/>
      <c r="G3652" s="425"/>
      <c r="H3652" s="425"/>
      <c r="I3652" s="258"/>
      <c r="J3652" s="259"/>
      <c r="K3652" s="260"/>
      <c r="L3652" s="442"/>
      <c r="M3652" s="426"/>
      <c r="N3652" s="173"/>
      <c r="O3652" s="173"/>
      <c r="P3652" s="262"/>
      <c r="Q3652" s="173"/>
      <c r="R3652" s="425"/>
      <c r="S3652" s="339"/>
      <c r="T3652" s="427"/>
      <c r="U3652" s="427"/>
      <c r="V3652" s="428"/>
      <c r="W3652" s="429"/>
      <c r="X3652" s="430"/>
      <c r="Y3652" s="33"/>
      <c r="Z3652" s="430"/>
      <c r="AA3652" s="430"/>
      <c r="AB3652" s="258"/>
      <c r="AC3652" s="430"/>
      <c r="AD3652" s="426"/>
      <c r="AE3652" s="428"/>
      <c r="AF3652" s="431"/>
      <c r="AG3652" s="432"/>
      <c r="AH3652" s="430"/>
      <c r="AI3652" s="430"/>
      <c r="AJ3652" s="430"/>
      <c r="AK3652" s="430"/>
      <c r="AL3652" s="430"/>
      <c r="AM3652" s="433"/>
      <c r="AN3652" s="430"/>
      <c r="AO3652" s="430"/>
      <c r="AP3652" s="430"/>
      <c r="AQ3652" s="430"/>
      <c r="AR3652" s="430"/>
      <c r="AS3652" s="430"/>
      <c r="AT3652" s="430"/>
      <c r="AU3652" s="426"/>
      <c r="AV3652" s="174"/>
      <c r="AW3652" s="269"/>
      <c r="AX3652" s="269"/>
      <c r="AY3652" s="270"/>
      <c r="AZ3652" s="435"/>
      <c r="BA3652" s="173"/>
      <c r="BB3652" s="434"/>
      <c r="BC3652" s="434"/>
      <c r="BD3652" s="308"/>
      <c r="BE3652" s="436"/>
      <c r="BF3652" s="274" t="str">
        <f>IFERROR(__xludf.DUMMYFUNCTION("LOWER(Regexreplace(to_text(E3652),""[^A-Za-z0-9]"","""")&amp;""_""&amp;Regexreplace(to_text(F3652),""[^A-Za-z0-9]"",""""))"),"_")</f>
        <v>_</v>
      </c>
      <c r="BG3652" s="275" t="str">
        <f>IFERROR(__xludf.DUMMYFUNCTION("upper(Regexreplace(to_text(E3652),""[^A-Za-z0-9]"","""")&amp;""-""&amp;Regexreplace(to_text(F3652),""[^A-Za-z0-9]"",""""))"),"-")</f>
        <v>-</v>
      </c>
    </row>
    <row r="3653" ht="30.0" customHeight="1">
      <c r="A3653" s="237"/>
      <c r="B3653" s="425"/>
      <c r="C3653" s="257"/>
      <c r="D3653" s="173"/>
      <c r="E3653" s="174"/>
      <c r="F3653" s="173"/>
      <c r="G3653" s="425"/>
      <c r="H3653" s="425"/>
      <c r="I3653" s="258"/>
      <c r="J3653" s="259"/>
      <c r="K3653" s="260"/>
      <c r="L3653" s="442"/>
      <c r="M3653" s="426"/>
      <c r="N3653" s="173"/>
      <c r="O3653" s="173"/>
      <c r="P3653" s="262"/>
      <c r="Q3653" s="173"/>
      <c r="R3653" s="425"/>
      <c r="S3653" s="339"/>
      <c r="T3653" s="427"/>
      <c r="U3653" s="427"/>
      <c r="V3653" s="428"/>
      <c r="W3653" s="429"/>
      <c r="X3653" s="430"/>
      <c r="Y3653" s="33"/>
      <c r="Z3653" s="430"/>
      <c r="AA3653" s="430"/>
      <c r="AB3653" s="258"/>
      <c r="AC3653" s="430"/>
      <c r="AD3653" s="426"/>
      <c r="AE3653" s="428"/>
      <c r="AF3653" s="431"/>
      <c r="AG3653" s="432"/>
      <c r="AH3653" s="430"/>
      <c r="AI3653" s="430"/>
      <c r="AJ3653" s="430"/>
      <c r="AK3653" s="430"/>
      <c r="AL3653" s="430"/>
      <c r="AM3653" s="433"/>
      <c r="AN3653" s="430"/>
      <c r="AO3653" s="430"/>
      <c r="AP3653" s="430"/>
      <c r="AQ3653" s="430"/>
      <c r="AR3653" s="430"/>
      <c r="AS3653" s="430"/>
      <c r="AT3653" s="430"/>
      <c r="AU3653" s="426"/>
      <c r="AV3653" s="174"/>
      <c r="AW3653" s="269"/>
      <c r="AX3653" s="269"/>
      <c r="AY3653" s="270"/>
      <c r="AZ3653" s="435"/>
      <c r="BA3653" s="173"/>
      <c r="BB3653" s="434"/>
      <c r="BC3653" s="434"/>
      <c r="BD3653" s="308"/>
      <c r="BE3653" s="436"/>
      <c r="BF3653" s="274" t="str">
        <f>IFERROR(__xludf.DUMMYFUNCTION("LOWER(Regexreplace(to_text(E3653),""[^A-Za-z0-9]"","""")&amp;""_""&amp;Regexreplace(to_text(F3653),""[^A-Za-z0-9]"",""""))"),"_")</f>
        <v>_</v>
      </c>
      <c r="BG3653" s="275" t="str">
        <f>IFERROR(__xludf.DUMMYFUNCTION("upper(Regexreplace(to_text(E3653),""[^A-Za-z0-9]"","""")&amp;""-""&amp;Regexreplace(to_text(F3653),""[^A-Za-z0-9]"",""""))"),"-")</f>
        <v>-</v>
      </c>
    </row>
    <row r="3654" ht="30.0" customHeight="1">
      <c r="A3654" s="237"/>
      <c r="B3654" s="425"/>
      <c r="C3654" s="257"/>
      <c r="D3654" s="173"/>
      <c r="E3654" s="174"/>
      <c r="F3654" s="173"/>
      <c r="G3654" s="425"/>
      <c r="H3654" s="425"/>
      <c r="I3654" s="258"/>
      <c r="J3654" s="259"/>
      <c r="K3654" s="260"/>
      <c r="L3654" s="442"/>
      <c r="M3654" s="426"/>
      <c r="N3654" s="173"/>
      <c r="O3654" s="173"/>
      <c r="P3654" s="262"/>
      <c r="Q3654" s="173"/>
      <c r="R3654" s="425"/>
      <c r="S3654" s="339"/>
      <c r="T3654" s="427"/>
      <c r="U3654" s="427"/>
      <c r="V3654" s="428"/>
      <c r="W3654" s="429"/>
      <c r="X3654" s="430"/>
      <c r="Y3654" s="33"/>
      <c r="Z3654" s="430"/>
      <c r="AA3654" s="430"/>
      <c r="AB3654" s="258"/>
      <c r="AC3654" s="430"/>
      <c r="AD3654" s="426"/>
      <c r="AE3654" s="428"/>
      <c r="AF3654" s="431"/>
      <c r="AG3654" s="432"/>
      <c r="AH3654" s="430"/>
      <c r="AI3654" s="430"/>
      <c r="AJ3654" s="430"/>
      <c r="AK3654" s="430"/>
      <c r="AL3654" s="430"/>
      <c r="AM3654" s="433"/>
      <c r="AN3654" s="430"/>
      <c r="AO3654" s="430"/>
      <c r="AP3654" s="430"/>
      <c r="AQ3654" s="430"/>
      <c r="AR3654" s="430"/>
      <c r="AS3654" s="430"/>
      <c r="AT3654" s="430"/>
      <c r="AU3654" s="426"/>
      <c r="AV3654" s="174"/>
      <c r="AW3654" s="269"/>
      <c r="AX3654" s="269"/>
      <c r="AY3654" s="270"/>
      <c r="AZ3654" s="435"/>
      <c r="BA3654" s="173"/>
      <c r="BB3654" s="434"/>
      <c r="BC3654" s="434"/>
      <c r="BD3654" s="308"/>
      <c r="BE3654" s="436"/>
      <c r="BF3654" s="274" t="str">
        <f>IFERROR(__xludf.DUMMYFUNCTION("LOWER(Regexreplace(to_text(E3654),""[^A-Za-z0-9]"","""")&amp;""_""&amp;Regexreplace(to_text(F3654),""[^A-Za-z0-9]"",""""))"),"_")</f>
        <v>_</v>
      </c>
      <c r="BG3654" s="275" t="str">
        <f>IFERROR(__xludf.DUMMYFUNCTION("upper(Regexreplace(to_text(E3654),""[^A-Za-z0-9]"","""")&amp;""-""&amp;Regexreplace(to_text(F3654),""[^A-Za-z0-9]"",""""))"),"-")</f>
        <v>-</v>
      </c>
    </row>
    <row r="3655" ht="30.0" customHeight="1">
      <c r="A3655" s="237"/>
      <c r="B3655" s="425"/>
      <c r="C3655" s="257"/>
      <c r="D3655" s="173"/>
      <c r="E3655" s="174"/>
      <c r="F3655" s="173"/>
      <c r="G3655" s="425"/>
      <c r="H3655" s="425"/>
      <c r="I3655" s="258"/>
      <c r="J3655" s="259"/>
      <c r="K3655" s="260"/>
      <c r="L3655" s="442"/>
      <c r="M3655" s="426"/>
      <c r="N3655" s="173"/>
      <c r="O3655" s="173"/>
      <c r="P3655" s="262"/>
      <c r="Q3655" s="173"/>
      <c r="R3655" s="425"/>
      <c r="S3655" s="339"/>
      <c r="T3655" s="427"/>
      <c r="U3655" s="427"/>
      <c r="V3655" s="428"/>
      <c r="W3655" s="429"/>
      <c r="X3655" s="430"/>
      <c r="Y3655" s="33"/>
      <c r="Z3655" s="430"/>
      <c r="AA3655" s="430"/>
      <c r="AB3655" s="258"/>
      <c r="AC3655" s="430"/>
      <c r="AD3655" s="426"/>
      <c r="AE3655" s="428"/>
      <c r="AF3655" s="431"/>
      <c r="AG3655" s="432"/>
      <c r="AH3655" s="430"/>
      <c r="AI3655" s="430"/>
      <c r="AJ3655" s="430"/>
      <c r="AK3655" s="430"/>
      <c r="AL3655" s="430"/>
      <c r="AM3655" s="433"/>
      <c r="AN3655" s="430"/>
      <c r="AO3655" s="430"/>
      <c r="AP3655" s="430"/>
      <c r="AQ3655" s="430"/>
      <c r="AR3655" s="430"/>
      <c r="AS3655" s="430"/>
      <c r="AT3655" s="430"/>
      <c r="AU3655" s="426"/>
      <c r="AV3655" s="174"/>
      <c r="AW3655" s="269"/>
      <c r="AX3655" s="269"/>
      <c r="AY3655" s="270"/>
      <c r="AZ3655" s="435"/>
      <c r="BA3655" s="173"/>
      <c r="BB3655" s="434"/>
      <c r="BC3655" s="434"/>
      <c r="BD3655" s="308"/>
      <c r="BE3655" s="436"/>
      <c r="BF3655" s="274" t="str">
        <f>IFERROR(__xludf.DUMMYFUNCTION("LOWER(Regexreplace(to_text(E3655),""[^A-Za-z0-9]"","""")&amp;""_""&amp;Regexreplace(to_text(F3655),""[^A-Za-z0-9]"",""""))"),"_")</f>
        <v>_</v>
      </c>
      <c r="BG3655" s="275" t="str">
        <f>IFERROR(__xludf.DUMMYFUNCTION("upper(Regexreplace(to_text(E3655),""[^A-Za-z0-9]"","""")&amp;""-""&amp;Regexreplace(to_text(F3655),""[^A-Za-z0-9]"",""""))"),"-")</f>
        <v>-</v>
      </c>
    </row>
    <row r="3656" ht="30.0" customHeight="1">
      <c r="A3656" s="237"/>
      <c r="B3656" s="425"/>
      <c r="C3656" s="257"/>
      <c r="D3656" s="173"/>
      <c r="E3656" s="174"/>
      <c r="F3656" s="173"/>
      <c r="G3656" s="425"/>
      <c r="H3656" s="425"/>
      <c r="I3656" s="258"/>
      <c r="J3656" s="259"/>
      <c r="K3656" s="260"/>
      <c r="L3656" s="442"/>
      <c r="M3656" s="426"/>
      <c r="N3656" s="173"/>
      <c r="O3656" s="173"/>
      <c r="P3656" s="262"/>
      <c r="Q3656" s="173"/>
      <c r="R3656" s="425"/>
      <c r="S3656" s="339"/>
      <c r="T3656" s="427"/>
      <c r="U3656" s="427"/>
      <c r="V3656" s="428"/>
      <c r="W3656" s="429"/>
      <c r="X3656" s="430"/>
      <c r="Y3656" s="33"/>
      <c r="Z3656" s="430"/>
      <c r="AA3656" s="430"/>
      <c r="AB3656" s="258"/>
      <c r="AC3656" s="430"/>
      <c r="AD3656" s="426"/>
      <c r="AE3656" s="428"/>
      <c r="AF3656" s="431"/>
      <c r="AG3656" s="432"/>
      <c r="AH3656" s="430"/>
      <c r="AI3656" s="430"/>
      <c r="AJ3656" s="430"/>
      <c r="AK3656" s="430"/>
      <c r="AL3656" s="430"/>
      <c r="AM3656" s="433"/>
      <c r="AN3656" s="430"/>
      <c r="AO3656" s="430"/>
      <c r="AP3656" s="430"/>
      <c r="AQ3656" s="430"/>
      <c r="AR3656" s="430"/>
      <c r="AS3656" s="430"/>
      <c r="AT3656" s="430"/>
      <c r="AU3656" s="426"/>
      <c r="AV3656" s="174"/>
      <c r="AW3656" s="269"/>
      <c r="AX3656" s="269"/>
      <c r="AY3656" s="270"/>
      <c r="AZ3656" s="435"/>
      <c r="BA3656" s="173"/>
      <c r="BB3656" s="434"/>
      <c r="BC3656" s="434"/>
      <c r="BD3656" s="308"/>
      <c r="BE3656" s="436"/>
      <c r="BF3656" s="274" t="str">
        <f>IFERROR(__xludf.DUMMYFUNCTION("LOWER(Regexreplace(to_text(E3656),""[^A-Za-z0-9]"","""")&amp;""_""&amp;Regexreplace(to_text(F3656),""[^A-Za-z0-9]"",""""))"),"_")</f>
        <v>_</v>
      </c>
      <c r="BG3656" s="275" t="str">
        <f>IFERROR(__xludf.DUMMYFUNCTION("upper(Regexreplace(to_text(E3656),""[^A-Za-z0-9]"","""")&amp;""-""&amp;Regexreplace(to_text(F3656),""[^A-Za-z0-9]"",""""))"),"-")</f>
        <v>-</v>
      </c>
    </row>
    <row r="3657" ht="30.0" customHeight="1">
      <c r="A3657" s="237"/>
      <c r="B3657" s="425"/>
      <c r="C3657" s="257"/>
      <c r="D3657" s="173"/>
      <c r="E3657" s="174"/>
      <c r="F3657" s="173"/>
      <c r="G3657" s="425"/>
      <c r="H3657" s="425"/>
      <c r="I3657" s="258"/>
      <c r="J3657" s="259"/>
      <c r="K3657" s="260"/>
      <c r="L3657" s="442"/>
      <c r="M3657" s="426"/>
      <c r="N3657" s="173"/>
      <c r="O3657" s="173"/>
      <c r="P3657" s="262"/>
      <c r="Q3657" s="173"/>
      <c r="R3657" s="425"/>
      <c r="S3657" s="339"/>
      <c r="T3657" s="427"/>
      <c r="U3657" s="427"/>
      <c r="V3657" s="428"/>
      <c r="W3657" s="429"/>
      <c r="X3657" s="430"/>
      <c r="Y3657" s="33"/>
      <c r="Z3657" s="430"/>
      <c r="AA3657" s="430"/>
      <c r="AB3657" s="258"/>
      <c r="AC3657" s="430"/>
      <c r="AD3657" s="426"/>
      <c r="AE3657" s="428"/>
      <c r="AF3657" s="431"/>
      <c r="AG3657" s="432"/>
      <c r="AH3657" s="430"/>
      <c r="AI3657" s="430"/>
      <c r="AJ3657" s="430"/>
      <c r="AK3657" s="430"/>
      <c r="AL3657" s="430"/>
      <c r="AM3657" s="433"/>
      <c r="AN3657" s="430"/>
      <c r="AO3657" s="430"/>
      <c r="AP3657" s="430"/>
      <c r="AQ3657" s="430"/>
      <c r="AR3657" s="430"/>
      <c r="AS3657" s="430"/>
      <c r="AT3657" s="430"/>
      <c r="AU3657" s="426"/>
      <c r="AV3657" s="174"/>
      <c r="AW3657" s="269"/>
      <c r="AX3657" s="269"/>
      <c r="AY3657" s="270"/>
      <c r="AZ3657" s="435"/>
      <c r="BA3657" s="173"/>
      <c r="BB3657" s="434"/>
      <c r="BC3657" s="434"/>
      <c r="BD3657" s="308"/>
      <c r="BE3657" s="436"/>
      <c r="BF3657" s="274" t="str">
        <f>IFERROR(__xludf.DUMMYFUNCTION("LOWER(Regexreplace(to_text(E3657),""[^A-Za-z0-9]"","""")&amp;""_""&amp;Regexreplace(to_text(F3657),""[^A-Za-z0-9]"",""""))"),"_")</f>
        <v>_</v>
      </c>
      <c r="BG3657" s="275" t="str">
        <f>IFERROR(__xludf.DUMMYFUNCTION("upper(Regexreplace(to_text(E3657),""[^A-Za-z0-9]"","""")&amp;""-""&amp;Regexreplace(to_text(F3657),""[^A-Za-z0-9]"",""""))"),"-")</f>
        <v>-</v>
      </c>
    </row>
    <row r="3658" ht="30.0" customHeight="1">
      <c r="A3658" s="237"/>
      <c r="B3658" s="425"/>
      <c r="C3658" s="257"/>
      <c r="D3658" s="173"/>
      <c r="E3658" s="174"/>
      <c r="F3658" s="173"/>
      <c r="G3658" s="425"/>
      <c r="H3658" s="425"/>
      <c r="I3658" s="258"/>
      <c r="J3658" s="259"/>
      <c r="K3658" s="260"/>
      <c r="L3658" s="442"/>
      <c r="M3658" s="426"/>
      <c r="N3658" s="173"/>
      <c r="O3658" s="173"/>
      <c r="P3658" s="262"/>
      <c r="Q3658" s="173"/>
      <c r="R3658" s="425"/>
      <c r="S3658" s="339"/>
      <c r="T3658" s="427"/>
      <c r="U3658" s="427"/>
      <c r="V3658" s="428"/>
      <c r="W3658" s="429"/>
      <c r="X3658" s="430"/>
      <c r="Y3658" s="33"/>
      <c r="Z3658" s="430"/>
      <c r="AA3658" s="430"/>
      <c r="AB3658" s="258"/>
      <c r="AC3658" s="430"/>
      <c r="AD3658" s="426"/>
      <c r="AE3658" s="428"/>
      <c r="AF3658" s="431"/>
      <c r="AG3658" s="432"/>
      <c r="AH3658" s="430"/>
      <c r="AI3658" s="430"/>
      <c r="AJ3658" s="430"/>
      <c r="AK3658" s="430"/>
      <c r="AL3658" s="430"/>
      <c r="AM3658" s="433"/>
      <c r="AN3658" s="430"/>
      <c r="AO3658" s="430"/>
      <c r="AP3658" s="430"/>
      <c r="AQ3658" s="430"/>
      <c r="AR3658" s="430"/>
      <c r="AS3658" s="430"/>
      <c r="AT3658" s="430"/>
      <c r="AU3658" s="426"/>
      <c r="AV3658" s="174"/>
      <c r="AW3658" s="269"/>
      <c r="AX3658" s="269"/>
      <c r="AY3658" s="270"/>
      <c r="AZ3658" s="435"/>
      <c r="BA3658" s="173"/>
      <c r="BB3658" s="434"/>
      <c r="BC3658" s="434"/>
      <c r="BD3658" s="308"/>
      <c r="BE3658" s="436"/>
      <c r="BF3658" s="274" t="str">
        <f>IFERROR(__xludf.DUMMYFUNCTION("LOWER(Regexreplace(to_text(E3658),""[^A-Za-z0-9]"","""")&amp;""_""&amp;Regexreplace(to_text(F3658),""[^A-Za-z0-9]"",""""))"),"_")</f>
        <v>_</v>
      </c>
      <c r="BG3658" s="275" t="str">
        <f>IFERROR(__xludf.DUMMYFUNCTION("upper(Regexreplace(to_text(E3658),""[^A-Za-z0-9]"","""")&amp;""-""&amp;Regexreplace(to_text(F3658),""[^A-Za-z0-9]"",""""))"),"-")</f>
        <v>-</v>
      </c>
    </row>
    <row r="3659" ht="30.0" customHeight="1">
      <c r="A3659" s="237"/>
      <c r="B3659" s="425"/>
      <c r="C3659" s="257"/>
      <c r="D3659" s="173"/>
      <c r="E3659" s="174"/>
      <c r="F3659" s="173"/>
      <c r="G3659" s="425"/>
      <c r="H3659" s="425"/>
      <c r="I3659" s="258"/>
      <c r="J3659" s="259"/>
      <c r="K3659" s="260"/>
      <c r="L3659" s="442"/>
      <c r="M3659" s="426"/>
      <c r="N3659" s="173"/>
      <c r="O3659" s="173"/>
      <c r="P3659" s="262"/>
      <c r="Q3659" s="173"/>
      <c r="R3659" s="425"/>
      <c r="S3659" s="339"/>
      <c r="T3659" s="427"/>
      <c r="U3659" s="427"/>
      <c r="V3659" s="428"/>
      <c r="W3659" s="429"/>
      <c r="X3659" s="430"/>
      <c r="Y3659" s="33"/>
      <c r="Z3659" s="430"/>
      <c r="AA3659" s="430"/>
      <c r="AB3659" s="258"/>
      <c r="AC3659" s="430"/>
      <c r="AD3659" s="426"/>
      <c r="AE3659" s="428"/>
      <c r="AF3659" s="431"/>
      <c r="AG3659" s="432"/>
      <c r="AH3659" s="430"/>
      <c r="AI3659" s="430"/>
      <c r="AJ3659" s="430"/>
      <c r="AK3659" s="430"/>
      <c r="AL3659" s="430"/>
      <c r="AM3659" s="433"/>
      <c r="AN3659" s="430"/>
      <c r="AO3659" s="430"/>
      <c r="AP3659" s="430"/>
      <c r="AQ3659" s="430"/>
      <c r="AR3659" s="430"/>
      <c r="AS3659" s="430"/>
      <c r="AT3659" s="430"/>
      <c r="AU3659" s="426"/>
      <c r="AV3659" s="174"/>
      <c r="AW3659" s="269"/>
      <c r="AX3659" s="269"/>
      <c r="AY3659" s="270"/>
      <c r="AZ3659" s="435"/>
      <c r="BA3659" s="173"/>
      <c r="BB3659" s="434"/>
      <c r="BC3659" s="434"/>
      <c r="BD3659" s="308"/>
      <c r="BE3659" s="436"/>
      <c r="BF3659" s="274" t="str">
        <f>IFERROR(__xludf.DUMMYFUNCTION("LOWER(Regexreplace(to_text(E3659),""[^A-Za-z0-9]"","""")&amp;""_""&amp;Regexreplace(to_text(F3659),""[^A-Za-z0-9]"",""""))"),"_")</f>
        <v>_</v>
      </c>
      <c r="BG3659" s="275" t="str">
        <f>IFERROR(__xludf.DUMMYFUNCTION("upper(Regexreplace(to_text(E3659),""[^A-Za-z0-9]"","""")&amp;""-""&amp;Regexreplace(to_text(F3659),""[^A-Za-z0-9]"",""""))"),"-")</f>
        <v>-</v>
      </c>
    </row>
    <row r="3660" ht="30.0" customHeight="1">
      <c r="A3660" s="237"/>
      <c r="B3660" s="425"/>
      <c r="C3660" s="257"/>
      <c r="D3660" s="173"/>
      <c r="E3660" s="174"/>
      <c r="F3660" s="173"/>
      <c r="G3660" s="425"/>
      <c r="H3660" s="425"/>
      <c r="I3660" s="258"/>
      <c r="J3660" s="259"/>
      <c r="K3660" s="260"/>
      <c r="L3660" s="442"/>
      <c r="M3660" s="426"/>
      <c r="N3660" s="173"/>
      <c r="O3660" s="173"/>
      <c r="P3660" s="262"/>
      <c r="Q3660" s="173"/>
      <c r="R3660" s="425"/>
      <c r="S3660" s="339"/>
      <c r="T3660" s="427"/>
      <c r="U3660" s="427"/>
      <c r="V3660" s="428"/>
      <c r="W3660" s="429"/>
      <c r="X3660" s="430"/>
      <c r="Y3660" s="33"/>
      <c r="Z3660" s="430"/>
      <c r="AA3660" s="430"/>
      <c r="AB3660" s="258"/>
      <c r="AC3660" s="430"/>
      <c r="AD3660" s="426"/>
      <c r="AE3660" s="428"/>
      <c r="AF3660" s="431"/>
      <c r="AG3660" s="432"/>
      <c r="AH3660" s="430"/>
      <c r="AI3660" s="430"/>
      <c r="AJ3660" s="430"/>
      <c r="AK3660" s="430"/>
      <c r="AL3660" s="430"/>
      <c r="AM3660" s="433"/>
      <c r="AN3660" s="430"/>
      <c r="AO3660" s="430"/>
      <c r="AP3660" s="430"/>
      <c r="AQ3660" s="430"/>
      <c r="AR3660" s="430"/>
      <c r="AS3660" s="430"/>
      <c r="AT3660" s="430"/>
      <c r="AU3660" s="426"/>
      <c r="AV3660" s="174"/>
      <c r="AW3660" s="269"/>
      <c r="AX3660" s="269"/>
      <c r="AY3660" s="270"/>
      <c r="AZ3660" s="435"/>
      <c r="BA3660" s="173"/>
      <c r="BB3660" s="434"/>
      <c r="BC3660" s="434"/>
      <c r="BD3660" s="308"/>
      <c r="BE3660" s="436"/>
      <c r="BF3660" s="274" t="str">
        <f>IFERROR(__xludf.DUMMYFUNCTION("LOWER(Regexreplace(to_text(E3660),""[^A-Za-z0-9]"","""")&amp;""_""&amp;Regexreplace(to_text(F3660),""[^A-Za-z0-9]"",""""))"),"_")</f>
        <v>_</v>
      </c>
      <c r="BG3660" s="275" t="str">
        <f>IFERROR(__xludf.DUMMYFUNCTION("upper(Regexreplace(to_text(E3660),""[^A-Za-z0-9]"","""")&amp;""-""&amp;Regexreplace(to_text(F3660),""[^A-Za-z0-9]"",""""))"),"-")</f>
        <v>-</v>
      </c>
    </row>
    <row r="3661" ht="30.0" customHeight="1">
      <c r="A3661" s="237"/>
      <c r="B3661" s="425"/>
      <c r="C3661" s="257"/>
      <c r="D3661" s="173"/>
      <c r="E3661" s="174"/>
      <c r="F3661" s="173"/>
      <c r="G3661" s="425"/>
      <c r="H3661" s="425"/>
      <c r="I3661" s="258"/>
      <c r="J3661" s="259"/>
      <c r="K3661" s="260"/>
      <c r="L3661" s="442"/>
      <c r="M3661" s="426"/>
      <c r="N3661" s="173"/>
      <c r="O3661" s="173"/>
      <c r="P3661" s="262"/>
      <c r="Q3661" s="173"/>
      <c r="R3661" s="425"/>
      <c r="S3661" s="339"/>
      <c r="T3661" s="427"/>
      <c r="U3661" s="427"/>
      <c r="V3661" s="428"/>
      <c r="W3661" s="429"/>
      <c r="X3661" s="430"/>
      <c r="Y3661" s="33"/>
      <c r="Z3661" s="430"/>
      <c r="AA3661" s="430"/>
      <c r="AB3661" s="258"/>
      <c r="AC3661" s="430"/>
      <c r="AD3661" s="426"/>
      <c r="AE3661" s="428"/>
      <c r="AF3661" s="431"/>
      <c r="AG3661" s="432"/>
      <c r="AH3661" s="430"/>
      <c r="AI3661" s="430"/>
      <c r="AJ3661" s="430"/>
      <c r="AK3661" s="430"/>
      <c r="AL3661" s="430"/>
      <c r="AM3661" s="433"/>
      <c r="AN3661" s="430"/>
      <c r="AO3661" s="430"/>
      <c r="AP3661" s="430"/>
      <c r="AQ3661" s="430"/>
      <c r="AR3661" s="430"/>
      <c r="AS3661" s="430"/>
      <c r="AT3661" s="430"/>
      <c r="AU3661" s="426"/>
      <c r="AV3661" s="174"/>
      <c r="AW3661" s="269"/>
      <c r="AX3661" s="269"/>
      <c r="AY3661" s="270"/>
      <c r="AZ3661" s="435"/>
      <c r="BA3661" s="173"/>
      <c r="BB3661" s="434"/>
      <c r="BC3661" s="434"/>
      <c r="BD3661" s="308"/>
      <c r="BE3661" s="436"/>
      <c r="BF3661" s="274" t="str">
        <f>IFERROR(__xludf.DUMMYFUNCTION("LOWER(Regexreplace(to_text(E3661),""[^A-Za-z0-9]"","""")&amp;""_""&amp;Regexreplace(to_text(F3661),""[^A-Za-z0-9]"",""""))"),"_")</f>
        <v>_</v>
      </c>
      <c r="BG3661" s="275" t="str">
        <f>IFERROR(__xludf.DUMMYFUNCTION("upper(Regexreplace(to_text(E3661),""[^A-Za-z0-9]"","""")&amp;""-""&amp;Regexreplace(to_text(F3661),""[^A-Za-z0-9]"",""""))"),"-")</f>
        <v>-</v>
      </c>
    </row>
    <row r="3662" ht="30.0" customHeight="1">
      <c r="A3662" s="237"/>
      <c r="B3662" s="425"/>
      <c r="C3662" s="257"/>
      <c r="D3662" s="173"/>
      <c r="E3662" s="174"/>
      <c r="F3662" s="173"/>
      <c r="G3662" s="425"/>
      <c r="H3662" s="425"/>
      <c r="I3662" s="258"/>
      <c r="J3662" s="259"/>
      <c r="K3662" s="260"/>
      <c r="L3662" s="442"/>
      <c r="M3662" s="426"/>
      <c r="N3662" s="173"/>
      <c r="O3662" s="173"/>
      <c r="P3662" s="262"/>
      <c r="Q3662" s="173"/>
      <c r="R3662" s="425"/>
      <c r="S3662" s="339"/>
      <c r="T3662" s="427"/>
      <c r="U3662" s="427"/>
      <c r="V3662" s="428"/>
      <c r="W3662" s="429"/>
      <c r="X3662" s="430"/>
      <c r="Y3662" s="33"/>
      <c r="Z3662" s="430"/>
      <c r="AA3662" s="430"/>
      <c r="AB3662" s="258"/>
      <c r="AC3662" s="430"/>
      <c r="AD3662" s="426"/>
      <c r="AE3662" s="428"/>
      <c r="AF3662" s="431"/>
      <c r="AG3662" s="432"/>
      <c r="AH3662" s="430"/>
      <c r="AI3662" s="430"/>
      <c r="AJ3662" s="430"/>
      <c r="AK3662" s="430"/>
      <c r="AL3662" s="430"/>
      <c r="AM3662" s="433"/>
      <c r="AN3662" s="430"/>
      <c r="AO3662" s="430"/>
      <c r="AP3662" s="430"/>
      <c r="AQ3662" s="430"/>
      <c r="AR3662" s="430"/>
      <c r="AS3662" s="430"/>
      <c r="AT3662" s="430"/>
      <c r="AU3662" s="426"/>
      <c r="AV3662" s="174"/>
      <c r="AW3662" s="269"/>
      <c r="AX3662" s="269"/>
      <c r="AY3662" s="270"/>
      <c r="AZ3662" s="435"/>
      <c r="BA3662" s="173"/>
      <c r="BB3662" s="434"/>
      <c r="BC3662" s="434"/>
      <c r="BD3662" s="308"/>
      <c r="BE3662" s="436"/>
      <c r="BF3662" s="274" t="str">
        <f>IFERROR(__xludf.DUMMYFUNCTION("LOWER(Regexreplace(to_text(E3662),""[^A-Za-z0-9]"","""")&amp;""_""&amp;Regexreplace(to_text(F3662),""[^A-Za-z0-9]"",""""))"),"_")</f>
        <v>_</v>
      </c>
      <c r="BG3662" s="275" t="str">
        <f>IFERROR(__xludf.DUMMYFUNCTION("upper(Regexreplace(to_text(E3662),""[^A-Za-z0-9]"","""")&amp;""-""&amp;Regexreplace(to_text(F3662),""[^A-Za-z0-9]"",""""))"),"-")</f>
        <v>-</v>
      </c>
    </row>
    <row r="3663" ht="30.0" customHeight="1">
      <c r="A3663" s="237"/>
      <c r="B3663" s="425"/>
      <c r="C3663" s="257"/>
      <c r="D3663" s="173"/>
      <c r="E3663" s="174"/>
      <c r="F3663" s="173"/>
      <c r="G3663" s="425"/>
      <c r="H3663" s="425"/>
      <c r="I3663" s="258"/>
      <c r="J3663" s="259"/>
      <c r="K3663" s="260"/>
      <c r="L3663" s="442"/>
      <c r="M3663" s="426"/>
      <c r="N3663" s="173"/>
      <c r="O3663" s="173"/>
      <c r="P3663" s="262"/>
      <c r="Q3663" s="173"/>
      <c r="R3663" s="425"/>
      <c r="S3663" s="339"/>
      <c r="T3663" s="427"/>
      <c r="U3663" s="427"/>
      <c r="V3663" s="428"/>
      <c r="W3663" s="429"/>
      <c r="X3663" s="430"/>
      <c r="Y3663" s="33"/>
      <c r="Z3663" s="430"/>
      <c r="AA3663" s="430"/>
      <c r="AB3663" s="258"/>
      <c r="AC3663" s="430"/>
      <c r="AD3663" s="426"/>
      <c r="AE3663" s="428"/>
      <c r="AF3663" s="431"/>
      <c r="AG3663" s="432"/>
      <c r="AH3663" s="430"/>
      <c r="AI3663" s="430"/>
      <c r="AJ3663" s="430"/>
      <c r="AK3663" s="430"/>
      <c r="AL3663" s="430"/>
      <c r="AM3663" s="433"/>
      <c r="AN3663" s="430"/>
      <c r="AO3663" s="430"/>
      <c r="AP3663" s="430"/>
      <c r="AQ3663" s="430"/>
      <c r="AR3663" s="430"/>
      <c r="AS3663" s="430"/>
      <c r="AT3663" s="430"/>
      <c r="AU3663" s="426"/>
      <c r="AV3663" s="174"/>
      <c r="AW3663" s="269"/>
      <c r="AX3663" s="269"/>
      <c r="AY3663" s="270"/>
      <c r="AZ3663" s="435"/>
      <c r="BA3663" s="173"/>
      <c r="BB3663" s="434"/>
      <c r="BC3663" s="434"/>
      <c r="BD3663" s="308"/>
      <c r="BE3663" s="436"/>
      <c r="BF3663" s="274" t="str">
        <f>IFERROR(__xludf.DUMMYFUNCTION("LOWER(Regexreplace(to_text(E3663),""[^A-Za-z0-9]"","""")&amp;""_""&amp;Regexreplace(to_text(F3663),""[^A-Za-z0-9]"",""""))"),"_")</f>
        <v>_</v>
      </c>
      <c r="BG3663" s="275" t="str">
        <f>IFERROR(__xludf.DUMMYFUNCTION("upper(Regexreplace(to_text(E3663),""[^A-Za-z0-9]"","""")&amp;""-""&amp;Regexreplace(to_text(F3663),""[^A-Za-z0-9]"",""""))"),"-")</f>
        <v>-</v>
      </c>
    </row>
    <row r="3664" ht="30.0" customHeight="1">
      <c r="A3664" s="237"/>
      <c r="B3664" s="425"/>
      <c r="C3664" s="257"/>
      <c r="D3664" s="173"/>
      <c r="E3664" s="174"/>
      <c r="F3664" s="173"/>
      <c r="G3664" s="425"/>
      <c r="H3664" s="425"/>
      <c r="I3664" s="258"/>
      <c r="J3664" s="259"/>
      <c r="K3664" s="260"/>
      <c r="L3664" s="442"/>
      <c r="M3664" s="426"/>
      <c r="N3664" s="173"/>
      <c r="O3664" s="173"/>
      <c r="P3664" s="262"/>
      <c r="Q3664" s="173"/>
      <c r="R3664" s="425"/>
      <c r="S3664" s="339"/>
      <c r="T3664" s="427"/>
      <c r="U3664" s="427"/>
      <c r="V3664" s="428"/>
      <c r="W3664" s="429"/>
      <c r="X3664" s="430"/>
      <c r="Y3664" s="33"/>
      <c r="Z3664" s="430"/>
      <c r="AA3664" s="430"/>
      <c r="AB3664" s="258"/>
      <c r="AC3664" s="430"/>
      <c r="AD3664" s="426"/>
      <c r="AE3664" s="428"/>
      <c r="AF3664" s="431"/>
      <c r="AG3664" s="432"/>
      <c r="AH3664" s="430"/>
      <c r="AI3664" s="430"/>
      <c r="AJ3664" s="430"/>
      <c r="AK3664" s="430"/>
      <c r="AL3664" s="430"/>
      <c r="AM3664" s="433"/>
      <c r="AN3664" s="430"/>
      <c r="AO3664" s="430"/>
      <c r="AP3664" s="430"/>
      <c r="AQ3664" s="430"/>
      <c r="AR3664" s="430"/>
      <c r="AS3664" s="430"/>
      <c r="AT3664" s="430"/>
      <c r="AU3664" s="426"/>
      <c r="AV3664" s="174"/>
      <c r="AW3664" s="269"/>
      <c r="AX3664" s="269"/>
      <c r="AY3664" s="270"/>
      <c r="AZ3664" s="435"/>
      <c r="BA3664" s="173"/>
      <c r="BB3664" s="434"/>
      <c r="BC3664" s="434"/>
      <c r="BD3664" s="308"/>
      <c r="BE3664" s="436"/>
      <c r="BF3664" s="274" t="str">
        <f>IFERROR(__xludf.DUMMYFUNCTION("LOWER(Regexreplace(to_text(E3664),""[^A-Za-z0-9]"","""")&amp;""_""&amp;Regexreplace(to_text(F3664),""[^A-Za-z0-9]"",""""))"),"_")</f>
        <v>_</v>
      </c>
      <c r="BG3664" s="275" t="str">
        <f>IFERROR(__xludf.DUMMYFUNCTION("upper(Regexreplace(to_text(E3664),""[^A-Za-z0-9]"","""")&amp;""-""&amp;Regexreplace(to_text(F3664),""[^A-Za-z0-9]"",""""))"),"-")</f>
        <v>-</v>
      </c>
    </row>
    <row r="3665" ht="30.0" customHeight="1">
      <c r="A3665" s="237"/>
      <c r="B3665" s="425"/>
      <c r="C3665" s="257"/>
      <c r="D3665" s="173"/>
      <c r="E3665" s="174"/>
      <c r="F3665" s="173"/>
      <c r="G3665" s="425"/>
      <c r="H3665" s="425"/>
      <c r="I3665" s="258"/>
      <c r="J3665" s="259"/>
      <c r="K3665" s="260"/>
      <c r="L3665" s="442"/>
      <c r="M3665" s="426"/>
      <c r="N3665" s="173"/>
      <c r="O3665" s="173"/>
      <c r="P3665" s="262"/>
      <c r="Q3665" s="173"/>
      <c r="R3665" s="425"/>
      <c r="S3665" s="339"/>
      <c r="T3665" s="427"/>
      <c r="U3665" s="427"/>
      <c r="V3665" s="428"/>
      <c r="W3665" s="429"/>
      <c r="X3665" s="430"/>
      <c r="Y3665" s="33"/>
      <c r="Z3665" s="430"/>
      <c r="AA3665" s="430"/>
      <c r="AB3665" s="258"/>
      <c r="AC3665" s="430"/>
      <c r="AD3665" s="426"/>
      <c r="AE3665" s="428"/>
      <c r="AF3665" s="431"/>
      <c r="AG3665" s="432"/>
      <c r="AH3665" s="430"/>
      <c r="AI3665" s="430"/>
      <c r="AJ3665" s="430"/>
      <c r="AK3665" s="430"/>
      <c r="AL3665" s="430"/>
      <c r="AM3665" s="433"/>
      <c r="AN3665" s="430"/>
      <c r="AO3665" s="430"/>
      <c r="AP3665" s="430"/>
      <c r="AQ3665" s="430"/>
      <c r="AR3665" s="430"/>
      <c r="AS3665" s="430"/>
      <c r="AT3665" s="430"/>
      <c r="AU3665" s="426"/>
      <c r="AV3665" s="174"/>
      <c r="AW3665" s="269"/>
      <c r="AX3665" s="269"/>
      <c r="AY3665" s="270"/>
      <c r="AZ3665" s="435"/>
      <c r="BA3665" s="173"/>
      <c r="BB3665" s="434"/>
      <c r="BC3665" s="434"/>
      <c r="BD3665" s="308"/>
      <c r="BE3665" s="436"/>
      <c r="BF3665" s="274" t="str">
        <f>IFERROR(__xludf.DUMMYFUNCTION("LOWER(Regexreplace(to_text(E3665),""[^A-Za-z0-9]"","""")&amp;""_""&amp;Regexreplace(to_text(F3665),""[^A-Za-z0-9]"",""""))"),"_")</f>
        <v>_</v>
      </c>
      <c r="BG3665" s="275" t="str">
        <f>IFERROR(__xludf.DUMMYFUNCTION("upper(Regexreplace(to_text(E3665),""[^A-Za-z0-9]"","""")&amp;""-""&amp;Regexreplace(to_text(F3665),""[^A-Za-z0-9]"",""""))"),"-")</f>
        <v>-</v>
      </c>
    </row>
    <row r="3666" ht="30.0" customHeight="1">
      <c r="A3666" s="237"/>
      <c r="B3666" s="425"/>
      <c r="C3666" s="257"/>
      <c r="D3666" s="173"/>
      <c r="E3666" s="174"/>
      <c r="F3666" s="173"/>
      <c r="G3666" s="425"/>
      <c r="H3666" s="425"/>
      <c r="I3666" s="258"/>
      <c r="J3666" s="259"/>
      <c r="K3666" s="260"/>
      <c r="L3666" s="442"/>
      <c r="M3666" s="426"/>
      <c r="N3666" s="173"/>
      <c r="O3666" s="173"/>
      <c r="P3666" s="262"/>
      <c r="Q3666" s="173"/>
      <c r="R3666" s="425"/>
      <c r="S3666" s="339"/>
      <c r="T3666" s="427"/>
      <c r="U3666" s="427"/>
      <c r="V3666" s="428"/>
      <c r="W3666" s="429"/>
      <c r="X3666" s="430"/>
      <c r="Y3666" s="33"/>
      <c r="Z3666" s="430"/>
      <c r="AA3666" s="430"/>
      <c r="AB3666" s="258"/>
      <c r="AC3666" s="430"/>
      <c r="AD3666" s="426"/>
      <c r="AE3666" s="428"/>
      <c r="AF3666" s="431"/>
      <c r="AG3666" s="432"/>
      <c r="AH3666" s="430"/>
      <c r="AI3666" s="430"/>
      <c r="AJ3666" s="430"/>
      <c r="AK3666" s="430"/>
      <c r="AL3666" s="430"/>
      <c r="AM3666" s="433"/>
      <c r="AN3666" s="430"/>
      <c r="AO3666" s="430"/>
      <c r="AP3666" s="430"/>
      <c r="AQ3666" s="430"/>
      <c r="AR3666" s="430"/>
      <c r="AS3666" s="430"/>
      <c r="AT3666" s="430"/>
      <c r="AU3666" s="426"/>
      <c r="AV3666" s="174"/>
      <c r="AW3666" s="269"/>
      <c r="AX3666" s="269"/>
      <c r="AY3666" s="270"/>
      <c r="AZ3666" s="435"/>
      <c r="BA3666" s="173"/>
      <c r="BB3666" s="434"/>
      <c r="BC3666" s="434"/>
      <c r="BD3666" s="308"/>
      <c r="BE3666" s="436"/>
      <c r="BF3666" s="274" t="str">
        <f>IFERROR(__xludf.DUMMYFUNCTION("LOWER(Regexreplace(to_text(E3666),""[^A-Za-z0-9]"","""")&amp;""_""&amp;Regexreplace(to_text(F3666),""[^A-Za-z0-9]"",""""))"),"_")</f>
        <v>_</v>
      </c>
      <c r="BG3666" s="275" t="str">
        <f>IFERROR(__xludf.DUMMYFUNCTION("upper(Regexreplace(to_text(E3666),""[^A-Za-z0-9]"","""")&amp;""-""&amp;Regexreplace(to_text(F3666),""[^A-Za-z0-9]"",""""))"),"-")</f>
        <v>-</v>
      </c>
    </row>
    <row r="3667" ht="30.0" customHeight="1">
      <c r="A3667" s="237"/>
      <c r="B3667" s="425"/>
      <c r="C3667" s="257"/>
      <c r="D3667" s="173"/>
      <c r="E3667" s="174"/>
      <c r="F3667" s="173"/>
      <c r="G3667" s="425"/>
      <c r="H3667" s="425"/>
      <c r="I3667" s="258"/>
      <c r="J3667" s="259"/>
      <c r="K3667" s="260"/>
      <c r="L3667" s="442"/>
      <c r="M3667" s="426"/>
      <c r="N3667" s="173"/>
      <c r="O3667" s="173"/>
      <c r="P3667" s="262"/>
      <c r="Q3667" s="173"/>
      <c r="R3667" s="425"/>
      <c r="S3667" s="339"/>
      <c r="T3667" s="427"/>
      <c r="U3667" s="427"/>
      <c r="V3667" s="428"/>
      <c r="W3667" s="429"/>
      <c r="X3667" s="430"/>
      <c r="Y3667" s="33"/>
      <c r="Z3667" s="430"/>
      <c r="AA3667" s="430"/>
      <c r="AB3667" s="258"/>
      <c r="AC3667" s="430"/>
      <c r="AD3667" s="426"/>
      <c r="AE3667" s="428"/>
      <c r="AF3667" s="431"/>
      <c r="AG3667" s="432"/>
      <c r="AH3667" s="430"/>
      <c r="AI3667" s="430"/>
      <c r="AJ3667" s="430"/>
      <c r="AK3667" s="430"/>
      <c r="AL3667" s="430"/>
      <c r="AM3667" s="433"/>
      <c r="AN3667" s="430"/>
      <c r="AO3667" s="430"/>
      <c r="AP3667" s="430"/>
      <c r="AQ3667" s="430"/>
      <c r="AR3667" s="430"/>
      <c r="AS3667" s="430"/>
      <c r="AT3667" s="430"/>
      <c r="AU3667" s="426"/>
      <c r="AV3667" s="174"/>
      <c r="AW3667" s="269"/>
      <c r="AX3667" s="269"/>
      <c r="AY3667" s="270"/>
      <c r="AZ3667" s="435"/>
      <c r="BA3667" s="173"/>
      <c r="BB3667" s="434"/>
      <c r="BC3667" s="434"/>
      <c r="BD3667" s="308"/>
      <c r="BE3667" s="436"/>
      <c r="BF3667" s="274" t="str">
        <f>IFERROR(__xludf.DUMMYFUNCTION("LOWER(Regexreplace(to_text(E3667),""[^A-Za-z0-9]"","""")&amp;""_""&amp;Regexreplace(to_text(F3667),""[^A-Za-z0-9]"",""""))"),"_")</f>
        <v>_</v>
      </c>
      <c r="BG3667" s="275" t="str">
        <f>IFERROR(__xludf.DUMMYFUNCTION("upper(Regexreplace(to_text(E3667),""[^A-Za-z0-9]"","""")&amp;""-""&amp;Regexreplace(to_text(F3667),""[^A-Za-z0-9]"",""""))"),"-")</f>
        <v>-</v>
      </c>
    </row>
    <row r="3668" ht="30.0" customHeight="1">
      <c r="A3668" s="237"/>
      <c r="B3668" s="425"/>
      <c r="C3668" s="257"/>
      <c r="D3668" s="173"/>
      <c r="E3668" s="174"/>
      <c r="F3668" s="173"/>
      <c r="G3668" s="425"/>
      <c r="H3668" s="425"/>
      <c r="I3668" s="258"/>
      <c r="J3668" s="259"/>
      <c r="K3668" s="260"/>
      <c r="L3668" s="442"/>
      <c r="M3668" s="426"/>
      <c r="N3668" s="173"/>
      <c r="O3668" s="173"/>
      <c r="P3668" s="262"/>
      <c r="Q3668" s="173"/>
      <c r="R3668" s="425"/>
      <c r="S3668" s="339"/>
      <c r="T3668" s="427"/>
      <c r="U3668" s="427"/>
      <c r="V3668" s="428"/>
      <c r="W3668" s="429"/>
      <c r="X3668" s="430"/>
      <c r="Y3668" s="33"/>
      <c r="Z3668" s="430"/>
      <c r="AA3668" s="430"/>
      <c r="AB3668" s="258"/>
      <c r="AC3668" s="430"/>
      <c r="AD3668" s="426"/>
      <c r="AE3668" s="428"/>
      <c r="AF3668" s="431"/>
      <c r="AG3668" s="432"/>
      <c r="AH3668" s="430"/>
      <c r="AI3668" s="430"/>
      <c r="AJ3668" s="430"/>
      <c r="AK3668" s="430"/>
      <c r="AL3668" s="430"/>
      <c r="AM3668" s="433"/>
      <c r="AN3668" s="430"/>
      <c r="AO3668" s="430"/>
      <c r="AP3668" s="430"/>
      <c r="AQ3668" s="430"/>
      <c r="AR3668" s="430"/>
      <c r="AS3668" s="430"/>
      <c r="AT3668" s="430"/>
      <c r="AU3668" s="426"/>
      <c r="AV3668" s="174"/>
      <c r="AW3668" s="269"/>
      <c r="AX3668" s="269"/>
      <c r="AY3668" s="270"/>
      <c r="AZ3668" s="435"/>
      <c r="BA3668" s="173"/>
      <c r="BB3668" s="434"/>
      <c r="BC3668" s="434"/>
      <c r="BD3668" s="308"/>
      <c r="BE3668" s="436"/>
      <c r="BF3668" s="274" t="str">
        <f>IFERROR(__xludf.DUMMYFUNCTION("LOWER(Regexreplace(to_text(E3668),""[^A-Za-z0-9]"","""")&amp;""_""&amp;Regexreplace(to_text(F3668),""[^A-Za-z0-9]"",""""))"),"_")</f>
        <v>_</v>
      </c>
      <c r="BG3668" s="275" t="str">
        <f>IFERROR(__xludf.DUMMYFUNCTION("upper(Regexreplace(to_text(E3668),""[^A-Za-z0-9]"","""")&amp;""-""&amp;Regexreplace(to_text(F3668),""[^A-Za-z0-9]"",""""))"),"-")</f>
        <v>-</v>
      </c>
    </row>
    <row r="3669" ht="30.0" customHeight="1">
      <c r="A3669" s="237"/>
      <c r="B3669" s="425"/>
      <c r="C3669" s="257"/>
      <c r="D3669" s="173"/>
      <c r="E3669" s="174"/>
      <c r="F3669" s="173"/>
      <c r="G3669" s="425"/>
      <c r="H3669" s="425"/>
      <c r="I3669" s="258"/>
      <c r="J3669" s="259"/>
      <c r="K3669" s="260"/>
      <c r="L3669" s="442"/>
      <c r="M3669" s="426"/>
      <c r="N3669" s="173"/>
      <c r="O3669" s="173"/>
      <c r="P3669" s="262"/>
      <c r="Q3669" s="173"/>
      <c r="R3669" s="425"/>
      <c r="S3669" s="339"/>
      <c r="T3669" s="427"/>
      <c r="U3669" s="427"/>
      <c r="V3669" s="428"/>
      <c r="W3669" s="429"/>
      <c r="X3669" s="430"/>
      <c r="Y3669" s="33"/>
      <c r="Z3669" s="430"/>
      <c r="AA3669" s="430"/>
      <c r="AB3669" s="258"/>
      <c r="AC3669" s="430"/>
      <c r="AD3669" s="426"/>
      <c r="AE3669" s="428"/>
      <c r="AF3669" s="431"/>
      <c r="AG3669" s="432"/>
      <c r="AH3669" s="430"/>
      <c r="AI3669" s="430"/>
      <c r="AJ3669" s="430"/>
      <c r="AK3669" s="430"/>
      <c r="AL3669" s="430"/>
      <c r="AM3669" s="433"/>
      <c r="AN3669" s="430"/>
      <c r="AO3669" s="430"/>
      <c r="AP3669" s="430"/>
      <c r="AQ3669" s="430"/>
      <c r="AR3669" s="430"/>
      <c r="AS3669" s="430"/>
      <c r="AT3669" s="430"/>
      <c r="AU3669" s="426"/>
      <c r="AV3669" s="174"/>
      <c r="AW3669" s="269"/>
      <c r="AX3669" s="269"/>
      <c r="AY3669" s="270"/>
      <c r="AZ3669" s="435"/>
      <c r="BA3669" s="173"/>
      <c r="BB3669" s="434"/>
      <c r="BC3669" s="434"/>
      <c r="BD3669" s="308"/>
      <c r="BE3669" s="436"/>
      <c r="BF3669" s="274" t="str">
        <f>IFERROR(__xludf.DUMMYFUNCTION("LOWER(Regexreplace(to_text(E3669),""[^A-Za-z0-9]"","""")&amp;""_""&amp;Regexreplace(to_text(F3669),""[^A-Za-z0-9]"",""""))"),"_")</f>
        <v>_</v>
      </c>
      <c r="BG3669" s="275" t="str">
        <f>IFERROR(__xludf.DUMMYFUNCTION("upper(Regexreplace(to_text(E3669),""[^A-Za-z0-9]"","""")&amp;""-""&amp;Regexreplace(to_text(F3669),""[^A-Za-z0-9]"",""""))"),"-")</f>
        <v>-</v>
      </c>
    </row>
    <row r="3670" ht="30.0" customHeight="1">
      <c r="A3670" s="237"/>
      <c r="B3670" s="425"/>
      <c r="C3670" s="257"/>
      <c r="D3670" s="173"/>
      <c r="E3670" s="174"/>
      <c r="F3670" s="173"/>
      <c r="G3670" s="425"/>
      <c r="H3670" s="425"/>
      <c r="I3670" s="258"/>
      <c r="J3670" s="259"/>
      <c r="K3670" s="260"/>
      <c r="L3670" s="442"/>
      <c r="M3670" s="426"/>
      <c r="N3670" s="173"/>
      <c r="O3670" s="173"/>
      <c r="P3670" s="262"/>
      <c r="Q3670" s="173"/>
      <c r="R3670" s="425"/>
      <c r="S3670" s="339"/>
      <c r="T3670" s="427"/>
      <c r="U3670" s="427"/>
      <c r="V3670" s="428"/>
      <c r="W3670" s="429"/>
      <c r="X3670" s="430"/>
      <c r="Y3670" s="33"/>
      <c r="Z3670" s="430"/>
      <c r="AA3670" s="430"/>
      <c r="AB3670" s="258"/>
      <c r="AC3670" s="430"/>
      <c r="AD3670" s="426"/>
      <c r="AE3670" s="428"/>
      <c r="AF3670" s="431"/>
      <c r="AG3670" s="432"/>
      <c r="AH3670" s="430"/>
      <c r="AI3670" s="430"/>
      <c r="AJ3670" s="430"/>
      <c r="AK3670" s="430"/>
      <c r="AL3670" s="430"/>
      <c r="AM3670" s="433"/>
      <c r="AN3670" s="430"/>
      <c r="AO3670" s="430"/>
      <c r="AP3670" s="430"/>
      <c r="AQ3670" s="430"/>
      <c r="AR3670" s="430"/>
      <c r="AS3670" s="430"/>
      <c r="AT3670" s="430"/>
      <c r="AU3670" s="426"/>
      <c r="AV3670" s="174"/>
      <c r="AW3670" s="269"/>
      <c r="AX3670" s="269"/>
      <c r="AY3670" s="270"/>
      <c r="AZ3670" s="435"/>
      <c r="BA3670" s="173"/>
      <c r="BB3670" s="434"/>
      <c r="BC3670" s="434"/>
      <c r="BD3670" s="308"/>
      <c r="BE3670" s="436"/>
      <c r="BF3670" s="274" t="str">
        <f>IFERROR(__xludf.DUMMYFUNCTION("LOWER(Regexreplace(to_text(E3670),""[^A-Za-z0-9]"","""")&amp;""_""&amp;Regexreplace(to_text(F3670),""[^A-Za-z0-9]"",""""))"),"_")</f>
        <v>_</v>
      </c>
      <c r="BG3670" s="275" t="str">
        <f>IFERROR(__xludf.DUMMYFUNCTION("upper(Regexreplace(to_text(E3670),""[^A-Za-z0-9]"","""")&amp;""-""&amp;Regexreplace(to_text(F3670),""[^A-Za-z0-9]"",""""))"),"-")</f>
        <v>-</v>
      </c>
    </row>
    <row r="3671" ht="30.0" customHeight="1">
      <c r="A3671" s="237"/>
      <c r="B3671" s="425"/>
      <c r="C3671" s="257"/>
      <c r="D3671" s="173"/>
      <c r="E3671" s="174"/>
      <c r="F3671" s="173"/>
      <c r="G3671" s="425"/>
      <c r="H3671" s="425"/>
      <c r="I3671" s="258"/>
      <c r="J3671" s="259"/>
      <c r="K3671" s="260"/>
      <c r="L3671" s="442"/>
      <c r="M3671" s="426"/>
      <c r="N3671" s="173"/>
      <c r="O3671" s="173"/>
      <c r="P3671" s="262"/>
      <c r="Q3671" s="173"/>
      <c r="R3671" s="425"/>
      <c r="S3671" s="339"/>
      <c r="T3671" s="427"/>
      <c r="U3671" s="427"/>
      <c r="V3671" s="428"/>
      <c r="W3671" s="429"/>
      <c r="X3671" s="430"/>
      <c r="Y3671" s="33"/>
      <c r="Z3671" s="430"/>
      <c r="AA3671" s="430"/>
      <c r="AB3671" s="258"/>
      <c r="AC3671" s="430"/>
      <c r="AD3671" s="426"/>
      <c r="AE3671" s="428"/>
      <c r="AF3671" s="431"/>
      <c r="AG3671" s="432"/>
      <c r="AH3671" s="430"/>
      <c r="AI3671" s="430"/>
      <c r="AJ3671" s="430"/>
      <c r="AK3671" s="430"/>
      <c r="AL3671" s="430"/>
      <c r="AM3671" s="433"/>
      <c r="AN3671" s="430"/>
      <c r="AO3671" s="430"/>
      <c r="AP3671" s="430"/>
      <c r="AQ3671" s="430"/>
      <c r="AR3671" s="430"/>
      <c r="AS3671" s="430"/>
      <c r="AT3671" s="430"/>
      <c r="AU3671" s="426"/>
      <c r="AV3671" s="174"/>
      <c r="AW3671" s="269"/>
      <c r="AX3671" s="269"/>
      <c r="AY3671" s="270"/>
      <c r="AZ3671" s="435"/>
      <c r="BA3671" s="173"/>
      <c r="BB3671" s="434"/>
      <c r="BC3671" s="434"/>
      <c r="BD3671" s="308"/>
      <c r="BE3671" s="436"/>
      <c r="BF3671" s="274" t="str">
        <f>IFERROR(__xludf.DUMMYFUNCTION("LOWER(Regexreplace(to_text(E3671),""[^A-Za-z0-9]"","""")&amp;""_""&amp;Regexreplace(to_text(F3671),""[^A-Za-z0-9]"",""""))"),"_")</f>
        <v>_</v>
      </c>
      <c r="BG3671" s="275" t="str">
        <f>IFERROR(__xludf.DUMMYFUNCTION("upper(Regexreplace(to_text(E3671),""[^A-Za-z0-9]"","""")&amp;""-""&amp;Regexreplace(to_text(F3671),""[^A-Za-z0-9]"",""""))"),"-")</f>
        <v>-</v>
      </c>
    </row>
    <row r="3672" ht="30.0" customHeight="1">
      <c r="A3672" s="237"/>
      <c r="B3672" s="425"/>
      <c r="C3672" s="257"/>
      <c r="D3672" s="173"/>
      <c r="E3672" s="174"/>
      <c r="F3672" s="173"/>
      <c r="G3672" s="425"/>
      <c r="H3672" s="425"/>
      <c r="I3672" s="258"/>
      <c r="J3672" s="259"/>
      <c r="K3672" s="260"/>
      <c r="L3672" s="442"/>
      <c r="M3672" s="426"/>
      <c r="N3672" s="173"/>
      <c r="O3672" s="173"/>
      <c r="P3672" s="262"/>
      <c r="Q3672" s="173"/>
      <c r="R3672" s="425"/>
      <c r="S3672" s="339"/>
      <c r="T3672" s="427"/>
      <c r="U3672" s="427"/>
      <c r="V3672" s="428"/>
      <c r="W3672" s="429"/>
      <c r="X3672" s="430"/>
      <c r="Y3672" s="33"/>
      <c r="Z3672" s="430"/>
      <c r="AA3672" s="430"/>
      <c r="AB3672" s="258"/>
      <c r="AC3672" s="430"/>
      <c r="AD3672" s="426"/>
      <c r="AE3672" s="428"/>
      <c r="AF3672" s="431"/>
      <c r="AG3672" s="432"/>
      <c r="AH3672" s="430"/>
      <c r="AI3672" s="430"/>
      <c r="AJ3672" s="430"/>
      <c r="AK3672" s="430"/>
      <c r="AL3672" s="430"/>
      <c r="AM3672" s="433"/>
      <c r="AN3672" s="430"/>
      <c r="AO3672" s="430"/>
      <c r="AP3672" s="430"/>
      <c r="AQ3672" s="430"/>
      <c r="AR3672" s="430"/>
      <c r="AS3672" s="430"/>
      <c r="AT3672" s="430"/>
      <c r="AU3672" s="426"/>
      <c r="AV3672" s="174"/>
      <c r="AW3672" s="269"/>
      <c r="AX3672" s="269"/>
      <c r="AY3672" s="270"/>
      <c r="AZ3672" s="435"/>
      <c r="BA3672" s="173"/>
      <c r="BB3672" s="434"/>
      <c r="BC3672" s="434"/>
      <c r="BD3672" s="308"/>
      <c r="BE3672" s="436"/>
      <c r="BF3672" s="274" t="str">
        <f>IFERROR(__xludf.DUMMYFUNCTION("LOWER(Regexreplace(to_text(E3672),""[^A-Za-z0-9]"","""")&amp;""_""&amp;Regexreplace(to_text(F3672),""[^A-Za-z0-9]"",""""))"),"_")</f>
        <v>_</v>
      </c>
      <c r="BG3672" s="275" t="str">
        <f>IFERROR(__xludf.DUMMYFUNCTION("upper(Regexreplace(to_text(E3672),""[^A-Za-z0-9]"","""")&amp;""-""&amp;Regexreplace(to_text(F3672),""[^A-Za-z0-9]"",""""))"),"-")</f>
        <v>-</v>
      </c>
    </row>
    <row r="3673" ht="30.0" customHeight="1">
      <c r="A3673" s="237"/>
      <c r="B3673" s="425"/>
      <c r="C3673" s="257"/>
      <c r="D3673" s="173"/>
      <c r="E3673" s="174"/>
      <c r="F3673" s="173"/>
      <c r="G3673" s="425"/>
      <c r="H3673" s="425"/>
      <c r="I3673" s="258"/>
      <c r="J3673" s="259"/>
      <c r="K3673" s="260"/>
      <c r="L3673" s="442"/>
      <c r="M3673" s="426"/>
      <c r="N3673" s="173"/>
      <c r="O3673" s="173"/>
      <c r="P3673" s="262"/>
      <c r="Q3673" s="173"/>
      <c r="R3673" s="425"/>
      <c r="S3673" s="339"/>
      <c r="T3673" s="427"/>
      <c r="U3673" s="427"/>
      <c r="V3673" s="428"/>
      <c r="W3673" s="429"/>
      <c r="X3673" s="430"/>
      <c r="Y3673" s="33"/>
      <c r="Z3673" s="430"/>
      <c r="AA3673" s="430"/>
      <c r="AB3673" s="258"/>
      <c r="AC3673" s="430"/>
      <c r="AD3673" s="426"/>
      <c r="AE3673" s="428"/>
      <c r="AF3673" s="431"/>
      <c r="AG3673" s="432"/>
      <c r="AH3673" s="430"/>
      <c r="AI3673" s="430"/>
      <c r="AJ3673" s="430"/>
      <c r="AK3673" s="430"/>
      <c r="AL3673" s="430"/>
      <c r="AM3673" s="433"/>
      <c r="AN3673" s="430"/>
      <c r="AO3673" s="430"/>
      <c r="AP3673" s="430"/>
      <c r="AQ3673" s="430"/>
      <c r="AR3673" s="430"/>
      <c r="AS3673" s="430"/>
      <c r="AT3673" s="430"/>
      <c r="AU3673" s="426"/>
      <c r="AV3673" s="174"/>
      <c r="AW3673" s="269"/>
      <c r="AX3673" s="269"/>
      <c r="AY3673" s="270"/>
      <c r="AZ3673" s="435"/>
      <c r="BA3673" s="173"/>
      <c r="BB3673" s="434"/>
      <c r="BC3673" s="434"/>
      <c r="BD3673" s="308"/>
      <c r="BE3673" s="436"/>
      <c r="BF3673" s="274" t="str">
        <f>IFERROR(__xludf.DUMMYFUNCTION("LOWER(Regexreplace(to_text(E3673),""[^A-Za-z0-9]"","""")&amp;""_""&amp;Regexreplace(to_text(F3673),""[^A-Za-z0-9]"",""""))"),"_")</f>
        <v>_</v>
      </c>
      <c r="BG3673" s="275" t="str">
        <f>IFERROR(__xludf.DUMMYFUNCTION("upper(Regexreplace(to_text(E3673),""[^A-Za-z0-9]"","""")&amp;""-""&amp;Regexreplace(to_text(F3673),""[^A-Za-z0-9]"",""""))"),"-")</f>
        <v>-</v>
      </c>
    </row>
    <row r="3674" ht="30.0" customHeight="1">
      <c r="A3674" s="237"/>
      <c r="B3674" s="425"/>
      <c r="C3674" s="257"/>
      <c r="D3674" s="173"/>
      <c r="E3674" s="174"/>
      <c r="F3674" s="173"/>
      <c r="G3674" s="425"/>
      <c r="H3674" s="425"/>
      <c r="I3674" s="258"/>
      <c r="J3674" s="259"/>
      <c r="K3674" s="260"/>
      <c r="L3674" s="442"/>
      <c r="M3674" s="426"/>
      <c r="N3674" s="173"/>
      <c r="O3674" s="173"/>
      <c r="P3674" s="262"/>
      <c r="Q3674" s="173"/>
      <c r="R3674" s="425"/>
      <c r="S3674" s="339"/>
      <c r="T3674" s="427"/>
      <c r="U3674" s="427"/>
      <c r="V3674" s="428"/>
      <c r="W3674" s="429"/>
      <c r="X3674" s="430"/>
      <c r="Y3674" s="33"/>
      <c r="Z3674" s="430"/>
      <c r="AA3674" s="430"/>
      <c r="AB3674" s="258"/>
      <c r="AC3674" s="430"/>
      <c r="AD3674" s="426"/>
      <c r="AE3674" s="428"/>
      <c r="AF3674" s="431"/>
      <c r="AG3674" s="432"/>
      <c r="AH3674" s="430"/>
      <c r="AI3674" s="430"/>
      <c r="AJ3674" s="430"/>
      <c r="AK3674" s="430"/>
      <c r="AL3674" s="430"/>
      <c r="AM3674" s="433"/>
      <c r="AN3674" s="430"/>
      <c r="AO3674" s="430"/>
      <c r="AP3674" s="430"/>
      <c r="AQ3674" s="430"/>
      <c r="AR3674" s="430"/>
      <c r="AS3674" s="430"/>
      <c r="AT3674" s="430"/>
      <c r="AU3674" s="426"/>
      <c r="AV3674" s="174"/>
      <c r="AW3674" s="269"/>
      <c r="AX3674" s="269"/>
      <c r="AY3674" s="270"/>
      <c r="AZ3674" s="435"/>
      <c r="BA3674" s="173"/>
      <c r="BB3674" s="434"/>
      <c r="BC3674" s="434"/>
      <c r="BD3674" s="308"/>
      <c r="BE3674" s="436"/>
      <c r="BF3674" s="274" t="str">
        <f>IFERROR(__xludf.DUMMYFUNCTION("LOWER(Regexreplace(to_text(E3674),""[^A-Za-z0-9]"","""")&amp;""_""&amp;Regexreplace(to_text(F3674),""[^A-Za-z0-9]"",""""))"),"_")</f>
        <v>_</v>
      </c>
      <c r="BG3674" s="275" t="str">
        <f>IFERROR(__xludf.DUMMYFUNCTION("upper(Regexreplace(to_text(E3674),""[^A-Za-z0-9]"","""")&amp;""-""&amp;Regexreplace(to_text(F3674),""[^A-Za-z0-9]"",""""))"),"-")</f>
        <v>-</v>
      </c>
    </row>
    <row r="3675" ht="30.0" customHeight="1">
      <c r="A3675" s="237"/>
      <c r="B3675" s="425"/>
      <c r="C3675" s="257"/>
      <c r="D3675" s="173"/>
      <c r="E3675" s="174"/>
      <c r="F3675" s="173"/>
      <c r="G3675" s="425"/>
      <c r="H3675" s="425"/>
      <c r="I3675" s="258"/>
      <c r="J3675" s="259"/>
      <c r="K3675" s="260"/>
      <c r="L3675" s="442"/>
      <c r="M3675" s="426"/>
      <c r="N3675" s="173"/>
      <c r="O3675" s="173"/>
      <c r="P3675" s="262"/>
      <c r="Q3675" s="173"/>
      <c r="R3675" s="425"/>
      <c r="S3675" s="339"/>
      <c r="T3675" s="427"/>
      <c r="U3675" s="427"/>
      <c r="V3675" s="428"/>
      <c r="W3675" s="429"/>
      <c r="X3675" s="430"/>
      <c r="Y3675" s="33"/>
      <c r="Z3675" s="430"/>
      <c r="AA3675" s="430"/>
      <c r="AB3675" s="258"/>
      <c r="AC3675" s="430"/>
      <c r="AD3675" s="426"/>
      <c r="AE3675" s="428"/>
      <c r="AF3675" s="431"/>
      <c r="AG3675" s="432"/>
      <c r="AH3675" s="430"/>
      <c r="AI3675" s="430"/>
      <c r="AJ3675" s="430"/>
      <c r="AK3675" s="430"/>
      <c r="AL3675" s="430"/>
      <c r="AM3675" s="433"/>
      <c r="AN3675" s="430"/>
      <c r="AO3675" s="430"/>
      <c r="AP3675" s="430"/>
      <c r="AQ3675" s="430"/>
      <c r="AR3675" s="430"/>
      <c r="AS3675" s="430"/>
      <c r="AT3675" s="430"/>
      <c r="AU3675" s="426"/>
      <c r="AV3675" s="174"/>
      <c r="AW3675" s="269"/>
      <c r="AX3675" s="269"/>
      <c r="AY3675" s="270"/>
      <c r="AZ3675" s="435"/>
      <c r="BA3675" s="173"/>
      <c r="BB3675" s="434"/>
      <c r="BC3675" s="434"/>
      <c r="BD3675" s="308"/>
      <c r="BE3675" s="436"/>
      <c r="BF3675" s="274" t="str">
        <f>IFERROR(__xludf.DUMMYFUNCTION("LOWER(Regexreplace(to_text(E3675),""[^A-Za-z0-9]"","""")&amp;""_""&amp;Regexreplace(to_text(F3675),""[^A-Za-z0-9]"",""""))"),"_")</f>
        <v>_</v>
      </c>
      <c r="BG3675" s="275" t="str">
        <f>IFERROR(__xludf.DUMMYFUNCTION("upper(Regexreplace(to_text(E3675),""[^A-Za-z0-9]"","""")&amp;""-""&amp;Regexreplace(to_text(F3675),""[^A-Za-z0-9]"",""""))"),"-")</f>
        <v>-</v>
      </c>
    </row>
    <row r="3676" ht="30.0" customHeight="1">
      <c r="A3676" s="237"/>
      <c r="B3676" s="425"/>
      <c r="C3676" s="257"/>
      <c r="D3676" s="173"/>
      <c r="E3676" s="174"/>
      <c r="F3676" s="173"/>
      <c r="G3676" s="425"/>
      <c r="H3676" s="425"/>
      <c r="I3676" s="258"/>
      <c r="J3676" s="259"/>
      <c r="K3676" s="260"/>
      <c r="L3676" s="442"/>
      <c r="M3676" s="426"/>
      <c r="N3676" s="173"/>
      <c r="O3676" s="173"/>
      <c r="P3676" s="262"/>
      <c r="Q3676" s="173"/>
      <c r="R3676" s="425"/>
      <c r="S3676" s="339"/>
      <c r="T3676" s="427"/>
      <c r="U3676" s="427"/>
      <c r="V3676" s="428"/>
      <c r="W3676" s="429"/>
      <c r="X3676" s="430"/>
      <c r="Y3676" s="33"/>
      <c r="Z3676" s="430"/>
      <c r="AA3676" s="430"/>
      <c r="AB3676" s="258"/>
      <c r="AC3676" s="430"/>
      <c r="AD3676" s="426"/>
      <c r="AE3676" s="428"/>
      <c r="AF3676" s="431"/>
      <c r="AG3676" s="432"/>
      <c r="AH3676" s="430"/>
      <c r="AI3676" s="430"/>
      <c r="AJ3676" s="430"/>
      <c r="AK3676" s="430"/>
      <c r="AL3676" s="430"/>
      <c r="AM3676" s="433"/>
      <c r="AN3676" s="430"/>
      <c r="AO3676" s="430"/>
      <c r="AP3676" s="430"/>
      <c r="AQ3676" s="430"/>
      <c r="AR3676" s="430"/>
      <c r="AS3676" s="430"/>
      <c r="AT3676" s="430"/>
      <c r="AU3676" s="426"/>
      <c r="AV3676" s="174"/>
      <c r="AW3676" s="269"/>
      <c r="AX3676" s="269"/>
      <c r="AY3676" s="270"/>
      <c r="AZ3676" s="435"/>
      <c r="BA3676" s="173"/>
      <c r="BB3676" s="434"/>
      <c r="BC3676" s="434"/>
      <c r="BD3676" s="308"/>
      <c r="BE3676" s="436"/>
      <c r="BF3676" s="274" t="str">
        <f>IFERROR(__xludf.DUMMYFUNCTION("LOWER(Regexreplace(to_text(E3676),""[^A-Za-z0-9]"","""")&amp;""_""&amp;Regexreplace(to_text(F3676),""[^A-Za-z0-9]"",""""))"),"_")</f>
        <v>_</v>
      </c>
      <c r="BG3676" s="275" t="str">
        <f>IFERROR(__xludf.DUMMYFUNCTION("upper(Regexreplace(to_text(E3676),""[^A-Za-z0-9]"","""")&amp;""-""&amp;Regexreplace(to_text(F3676),""[^A-Za-z0-9]"",""""))"),"-")</f>
        <v>-</v>
      </c>
    </row>
    <row r="3677" ht="30.0" customHeight="1">
      <c r="A3677" s="237"/>
      <c r="B3677" s="425"/>
      <c r="C3677" s="257"/>
      <c r="D3677" s="173"/>
      <c r="E3677" s="174"/>
      <c r="F3677" s="173"/>
      <c r="G3677" s="425"/>
      <c r="H3677" s="425"/>
      <c r="I3677" s="258"/>
      <c r="J3677" s="259"/>
      <c r="K3677" s="260"/>
      <c r="L3677" s="442"/>
      <c r="M3677" s="426"/>
      <c r="N3677" s="173"/>
      <c r="O3677" s="173"/>
      <c r="P3677" s="262"/>
      <c r="Q3677" s="173"/>
      <c r="R3677" s="425"/>
      <c r="S3677" s="339"/>
      <c r="T3677" s="427"/>
      <c r="U3677" s="427"/>
      <c r="V3677" s="428"/>
      <c r="W3677" s="429"/>
      <c r="X3677" s="430"/>
      <c r="Y3677" s="33"/>
      <c r="Z3677" s="430"/>
      <c r="AA3677" s="430"/>
      <c r="AB3677" s="258"/>
      <c r="AC3677" s="430"/>
      <c r="AD3677" s="426"/>
      <c r="AE3677" s="428"/>
      <c r="AF3677" s="431"/>
      <c r="AG3677" s="432"/>
      <c r="AH3677" s="430"/>
      <c r="AI3677" s="430"/>
      <c r="AJ3677" s="430"/>
      <c r="AK3677" s="430"/>
      <c r="AL3677" s="430"/>
      <c r="AM3677" s="433"/>
      <c r="AN3677" s="430"/>
      <c r="AO3677" s="430"/>
      <c r="AP3677" s="430"/>
      <c r="AQ3677" s="430"/>
      <c r="AR3677" s="430"/>
      <c r="AS3677" s="430"/>
      <c r="AT3677" s="430"/>
      <c r="AU3677" s="426"/>
      <c r="AV3677" s="174"/>
      <c r="AW3677" s="269"/>
      <c r="AX3677" s="269"/>
      <c r="AY3677" s="270"/>
      <c r="AZ3677" s="435"/>
      <c r="BA3677" s="173"/>
      <c r="BB3677" s="434"/>
      <c r="BC3677" s="434"/>
      <c r="BD3677" s="308"/>
      <c r="BE3677" s="436"/>
      <c r="BF3677" s="274" t="str">
        <f>IFERROR(__xludf.DUMMYFUNCTION("LOWER(Regexreplace(to_text(E3677),""[^A-Za-z0-9]"","""")&amp;""_""&amp;Regexreplace(to_text(F3677),""[^A-Za-z0-9]"",""""))"),"_")</f>
        <v>_</v>
      </c>
      <c r="BG3677" s="275" t="str">
        <f>IFERROR(__xludf.DUMMYFUNCTION("upper(Regexreplace(to_text(E3677),""[^A-Za-z0-9]"","""")&amp;""-""&amp;Regexreplace(to_text(F3677),""[^A-Za-z0-9]"",""""))"),"-")</f>
        <v>-</v>
      </c>
    </row>
    <row r="3678" ht="30.0" customHeight="1">
      <c r="A3678" s="237"/>
      <c r="B3678" s="425"/>
      <c r="C3678" s="257"/>
      <c r="D3678" s="173"/>
      <c r="E3678" s="174"/>
      <c r="F3678" s="173"/>
      <c r="G3678" s="425"/>
      <c r="H3678" s="425"/>
      <c r="I3678" s="258"/>
      <c r="J3678" s="259"/>
      <c r="K3678" s="260"/>
      <c r="L3678" s="442"/>
      <c r="M3678" s="426"/>
      <c r="N3678" s="173"/>
      <c r="O3678" s="173"/>
      <c r="P3678" s="262"/>
      <c r="Q3678" s="173"/>
      <c r="R3678" s="425"/>
      <c r="S3678" s="339"/>
      <c r="T3678" s="427"/>
      <c r="U3678" s="427"/>
      <c r="V3678" s="428"/>
      <c r="W3678" s="429"/>
      <c r="X3678" s="430"/>
      <c r="Y3678" s="33"/>
      <c r="Z3678" s="430"/>
      <c r="AA3678" s="430"/>
      <c r="AB3678" s="258"/>
      <c r="AC3678" s="430"/>
      <c r="AD3678" s="426"/>
      <c r="AE3678" s="428"/>
      <c r="AF3678" s="431"/>
      <c r="AG3678" s="432"/>
      <c r="AH3678" s="430"/>
      <c r="AI3678" s="430"/>
      <c r="AJ3678" s="430"/>
      <c r="AK3678" s="430"/>
      <c r="AL3678" s="430"/>
      <c r="AM3678" s="433"/>
      <c r="AN3678" s="430"/>
      <c r="AO3678" s="430"/>
      <c r="AP3678" s="430"/>
      <c r="AQ3678" s="430"/>
      <c r="AR3678" s="430"/>
      <c r="AS3678" s="430"/>
      <c r="AT3678" s="430"/>
      <c r="AU3678" s="426"/>
      <c r="AV3678" s="174"/>
      <c r="AW3678" s="269"/>
      <c r="AX3678" s="269"/>
      <c r="AY3678" s="270"/>
      <c r="AZ3678" s="435"/>
      <c r="BA3678" s="173"/>
      <c r="BB3678" s="434"/>
      <c r="BC3678" s="434"/>
      <c r="BD3678" s="308"/>
      <c r="BE3678" s="436"/>
      <c r="BF3678" s="274" t="str">
        <f>IFERROR(__xludf.DUMMYFUNCTION("LOWER(Regexreplace(to_text(E3678),""[^A-Za-z0-9]"","""")&amp;""_""&amp;Regexreplace(to_text(F3678),""[^A-Za-z0-9]"",""""))"),"_")</f>
        <v>_</v>
      </c>
      <c r="BG3678" s="275" t="str">
        <f>IFERROR(__xludf.DUMMYFUNCTION("upper(Regexreplace(to_text(E3678),""[^A-Za-z0-9]"","""")&amp;""-""&amp;Regexreplace(to_text(F3678),""[^A-Za-z0-9]"",""""))"),"-")</f>
        <v>-</v>
      </c>
    </row>
    <row r="3679" ht="30.0" customHeight="1">
      <c r="A3679" s="237"/>
      <c r="B3679" s="425"/>
      <c r="C3679" s="257"/>
      <c r="D3679" s="173"/>
      <c r="E3679" s="174"/>
      <c r="F3679" s="173"/>
      <c r="G3679" s="425"/>
      <c r="H3679" s="425"/>
      <c r="I3679" s="258"/>
      <c r="J3679" s="259"/>
      <c r="K3679" s="260"/>
      <c r="L3679" s="442"/>
      <c r="M3679" s="426"/>
      <c r="N3679" s="173"/>
      <c r="O3679" s="173"/>
      <c r="P3679" s="262"/>
      <c r="Q3679" s="173"/>
      <c r="R3679" s="425"/>
      <c r="S3679" s="339"/>
      <c r="T3679" s="427"/>
      <c r="U3679" s="427"/>
      <c r="V3679" s="428"/>
      <c r="W3679" s="429"/>
      <c r="X3679" s="430"/>
      <c r="Y3679" s="33"/>
      <c r="Z3679" s="430"/>
      <c r="AA3679" s="430"/>
      <c r="AB3679" s="258"/>
      <c r="AC3679" s="430"/>
      <c r="AD3679" s="426"/>
      <c r="AE3679" s="428"/>
      <c r="AF3679" s="431"/>
      <c r="AG3679" s="432"/>
      <c r="AH3679" s="430"/>
      <c r="AI3679" s="430"/>
      <c r="AJ3679" s="430"/>
      <c r="AK3679" s="430"/>
      <c r="AL3679" s="430"/>
      <c r="AM3679" s="433"/>
      <c r="AN3679" s="430"/>
      <c r="AO3679" s="430"/>
      <c r="AP3679" s="430"/>
      <c r="AQ3679" s="430"/>
      <c r="AR3679" s="430"/>
      <c r="AS3679" s="430"/>
      <c r="AT3679" s="430"/>
      <c r="AU3679" s="426"/>
      <c r="AV3679" s="174"/>
      <c r="AW3679" s="269"/>
      <c r="AX3679" s="269"/>
      <c r="AY3679" s="270"/>
      <c r="AZ3679" s="435"/>
      <c r="BA3679" s="173"/>
      <c r="BB3679" s="434"/>
      <c r="BC3679" s="434"/>
      <c r="BD3679" s="308"/>
      <c r="BE3679" s="436"/>
      <c r="BF3679" s="274" t="str">
        <f>IFERROR(__xludf.DUMMYFUNCTION("LOWER(Regexreplace(to_text(E3679),""[^A-Za-z0-9]"","""")&amp;""_""&amp;Regexreplace(to_text(F3679),""[^A-Za-z0-9]"",""""))"),"_")</f>
        <v>_</v>
      </c>
      <c r="BG3679" s="275" t="str">
        <f>IFERROR(__xludf.DUMMYFUNCTION("upper(Regexreplace(to_text(E3679),""[^A-Za-z0-9]"","""")&amp;""-""&amp;Regexreplace(to_text(F3679),""[^A-Za-z0-9]"",""""))"),"-")</f>
        <v>-</v>
      </c>
    </row>
    <row r="3680" ht="30.0" customHeight="1">
      <c r="A3680" s="237"/>
      <c r="B3680" s="425"/>
      <c r="C3680" s="257"/>
      <c r="D3680" s="173"/>
      <c r="E3680" s="174"/>
      <c r="F3680" s="173"/>
      <c r="G3680" s="425"/>
      <c r="H3680" s="425"/>
      <c r="I3680" s="258"/>
      <c r="J3680" s="259"/>
      <c r="K3680" s="260"/>
      <c r="L3680" s="442"/>
      <c r="M3680" s="426"/>
      <c r="N3680" s="173"/>
      <c r="O3680" s="173"/>
      <c r="P3680" s="262"/>
      <c r="Q3680" s="173"/>
      <c r="R3680" s="425"/>
      <c r="S3680" s="339"/>
      <c r="T3680" s="427"/>
      <c r="U3680" s="427"/>
      <c r="V3680" s="428"/>
      <c r="W3680" s="429"/>
      <c r="X3680" s="430"/>
      <c r="Y3680" s="33"/>
      <c r="Z3680" s="430"/>
      <c r="AA3680" s="430"/>
      <c r="AB3680" s="258"/>
      <c r="AC3680" s="430"/>
      <c r="AD3680" s="426"/>
      <c r="AE3680" s="428"/>
      <c r="AF3680" s="431"/>
      <c r="AG3680" s="432"/>
      <c r="AH3680" s="430"/>
      <c r="AI3680" s="430"/>
      <c r="AJ3680" s="430"/>
      <c r="AK3680" s="430"/>
      <c r="AL3680" s="430"/>
      <c r="AM3680" s="433"/>
      <c r="AN3680" s="430"/>
      <c r="AO3680" s="430"/>
      <c r="AP3680" s="430"/>
      <c r="AQ3680" s="430"/>
      <c r="AR3680" s="430"/>
      <c r="AS3680" s="430"/>
      <c r="AT3680" s="430"/>
      <c r="AU3680" s="426"/>
      <c r="AV3680" s="174"/>
      <c r="AW3680" s="269"/>
      <c r="AX3680" s="269"/>
      <c r="AY3680" s="270"/>
      <c r="AZ3680" s="435"/>
      <c r="BA3680" s="173"/>
      <c r="BB3680" s="434"/>
      <c r="BC3680" s="434"/>
      <c r="BD3680" s="308"/>
      <c r="BE3680" s="436"/>
      <c r="BF3680" s="274" t="str">
        <f>IFERROR(__xludf.DUMMYFUNCTION("LOWER(Regexreplace(to_text(E3680),""[^A-Za-z0-9]"","""")&amp;""_""&amp;Regexreplace(to_text(F3680),""[^A-Za-z0-9]"",""""))"),"_")</f>
        <v>_</v>
      </c>
      <c r="BG3680" s="275" t="str">
        <f>IFERROR(__xludf.DUMMYFUNCTION("upper(Regexreplace(to_text(E3680),""[^A-Za-z0-9]"","""")&amp;""-""&amp;Regexreplace(to_text(F3680),""[^A-Za-z0-9]"",""""))"),"-")</f>
        <v>-</v>
      </c>
    </row>
    <row r="3681" ht="30.0" customHeight="1">
      <c r="A3681" s="237"/>
      <c r="B3681" s="425"/>
      <c r="C3681" s="257"/>
      <c r="D3681" s="173"/>
      <c r="E3681" s="174"/>
      <c r="F3681" s="173"/>
      <c r="G3681" s="425"/>
      <c r="H3681" s="425"/>
      <c r="I3681" s="258"/>
      <c r="J3681" s="259"/>
      <c r="K3681" s="260"/>
      <c r="L3681" s="442"/>
      <c r="M3681" s="426"/>
      <c r="N3681" s="173"/>
      <c r="O3681" s="173"/>
      <c r="P3681" s="262"/>
      <c r="Q3681" s="173"/>
      <c r="R3681" s="425"/>
      <c r="S3681" s="339"/>
      <c r="T3681" s="427"/>
      <c r="U3681" s="427"/>
      <c r="V3681" s="428"/>
      <c r="W3681" s="429"/>
      <c r="X3681" s="430"/>
      <c r="Y3681" s="33"/>
      <c r="Z3681" s="430"/>
      <c r="AA3681" s="430"/>
      <c r="AB3681" s="258"/>
      <c r="AC3681" s="430"/>
      <c r="AD3681" s="426"/>
      <c r="AE3681" s="428"/>
      <c r="AF3681" s="431"/>
      <c r="AG3681" s="432"/>
      <c r="AH3681" s="430"/>
      <c r="AI3681" s="430"/>
      <c r="AJ3681" s="430"/>
      <c r="AK3681" s="430"/>
      <c r="AL3681" s="430"/>
      <c r="AM3681" s="433"/>
      <c r="AN3681" s="430"/>
      <c r="AO3681" s="430"/>
      <c r="AP3681" s="430"/>
      <c r="AQ3681" s="430"/>
      <c r="AR3681" s="430"/>
      <c r="AS3681" s="430"/>
      <c r="AT3681" s="430"/>
      <c r="AU3681" s="426"/>
      <c r="AV3681" s="174"/>
      <c r="AW3681" s="269"/>
      <c r="AX3681" s="269"/>
      <c r="AY3681" s="270"/>
      <c r="AZ3681" s="435"/>
      <c r="BA3681" s="173"/>
      <c r="BB3681" s="434"/>
      <c r="BC3681" s="434"/>
      <c r="BD3681" s="308"/>
      <c r="BE3681" s="436"/>
      <c r="BF3681" s="274" t="str">
        <f>IFERROR(__xludf.DUMMYFUNCTION("LOWER(Regexreplace(to_text(E3681),""[^A-Za-z0-9]"","""")&amp;""_""&amp;Regexreplace(to_text(F3681),""[^A-Za-z0-9]"",""""))"),"_")</f>
        <v>_</v>
      </c>
      <c r="BG3681" s="275" t="str">
        <f>IFERROR(__xludf.DUMMYFUNCTION("upper(Regexreplace(to_text(E3681),""[^A-Za-z0-9]"","""")&amp;""-""&amp;Regexreplace(to_text(F3681),""[^A-Za-z0-9]"",""""))"),"-")</f>
        <v>-</v>
      </c>
    </row>
    <row r="3682" ht="30.0" customHeight="1">
      <c r="A3682" s="237"/>
      <c r="B3682" s="425"/>
      <c r="C3682" s="257"/>
      <c r="D3682" s="173"/>
      <c r="E3682" s="174"/>
      <c r="F3682" s="173"/>
      <c r="G3682" s="425"/>
      <c r="H3682" s="425"/>
      <c r="I3682" s="258"/>
      <c r="J3682" s="259"/>
      <c r="K3682" s="260"/>
      <c r="L3682" s="442"/>
      <c r="M3682" s="426"/>
      <c r="N3682" s="173"/>
      <c r="O3682" s="173"/>
      <c r="P3682" s="262"/>
      <c r="Q3682" s="173"/>
      <c r="R3682" s="425"/>
      <c r="S3682" s="339"/>
      <c r="T3682" s="427"/>
      <c r="U3682" s="427"/>
      <c r="V3682" s="428"/>
      <c r="W3682" s="429"/>
      <c r="X3682" s="430"/>
      <c r="Y3682" s="33"/>
      <c r="Z3682" s="430"/>
      <c r="AA3682" s="430"/>
      <c r="AB3682" s="258"/>
      <c r="AC3682" s="430"/>
      <c r="AD3682" s="426"/>
      <c r="AE3682" s="428"/>
      <c r="AF3682" s="431"/>
      <c r="AG3682" s="432"/>
      <c r="AH3682" s="430"/>
      <c r="AI3682" s="430"/>
      <c r="AJ3682" s="430"/>
      <c r="AK3682" s="430"/>
      <c r="AL3682" s="430"/>
      <c r="AM3682" s="433"/>
      <c r="AN3682" s="430"/>
      <c r="AO3682" s="430"/>
      <c r="AP3682" s="430"/>
      <c r="AQ3682" s="430"/>
      <c r="AR3682" s="430"/>
      <c r="AS3682" s="430"/>
      <c r="AT3682" s="430"/>
      <c r="AU3682" s="426"/>
      <c r="AV3682" s="174"/>
      <c r="AW3682" s="269"/>
      <c r="AX3682" s="269"/>
      <c r="AY3682" s="270"/>
      <c r="AZ3682" s="435"/>
      <c r="BA3682" s="173"/>
      <c r="BB3682" s="434"/>
      <c r="BC3682" s="434"/>
      <c r="BD3682" s="308"/>
      <c r="BE3682" s="436"/>
      <c r="BF3682" s="274" t="str">
        <f>IFERROR(__xludf.DUMMYFUNCTION("LOWER(Regexreplace(to_text(E3682),""[^A-Za-z0-9]"","""")&amp;""_""&amp;Regexreplace(to_text(F3682),""[^A-Za-z0-9]"",""""))"),"_")</f>
        <v>_</v>
      </c>
      <c r="BG3682" s="275" t="str">
        <f>IFERROR(__xludf.DUMMYFUNCTION("upper(Regexreplace(to_text(E3682),""[^A-Za-z0-9]"","""")&amp;""-""&amp;Regexreplace(to_text(F3682),""[^A-Za-z0-9]"",""""))"),"-")</f>
        <v>-</v>
      </c>
    </row>
    <row r="3683" ht="30.0" customHeight="1">
      <c r="A3683" s="237"/>
      <c r="B3683" s="425"/>
      <c r="C3683" s="257"/>
      <c r="D3683" s="173"/>
      <c r="E3683" s="174"/>
      <c r="F3683" s="173"/>
      <c r="G3683" s="425"/>
      <c r="H3683" s="425"/>
      <c r="I3683" s="258"/>
      <c r="J3683" s="259"/>
      <c r="K3683" s="260"/>
      <c r="L3683" s="442"/>
      <c r="M3683" s="426"/>
      <c r="N3683" s="173"/>
      <c r="O3683" s="173"/>
      <c r="P3683" s="262"/>
      <c r="Q3683" s="173"/>
      <c r="R3683" s="425"/>
      <c r="S3683" s="339"/>
      <c r="T3683" s="427"/>
      <c r="U3683" s="427"/>
      <c r="V3683" s="428"/>
      <c r="W3683" s="429"/>
      <c r="X3683" s="430"/>
      <c r="Y3683" s="33"/>
      <c r="Z3683" s="430"/>
      <c r="AA3683" s="430"/>
      <c r="AB3683" s="258"/>
      <c r="AC3683" s="430"/>
      <c r="AD3683" s="426"/>
      <c r="AE3683" s="428"/>
      <c r="AF3683" s="431"/>
      <c r="AG3683" s="432"/>
      <c r="AH3683" s="430"/>
      <c r="AI3683" s="430"/>
      <c r="AJ3683" s="430"/>
      <c r="AK3683" s="430"/>
      <c r="AL3683" s="430"/>
      <c r="AM3683" s="433"/>
      <c r="AN3683" s="430"/>
      <c r="AO3683" s="430"/>
      <c r="AP3683" s="430"/>
      <c r="AQ3683" s="430"/>
      <c r="AR3683" s="430"/>
      <c r="AS3683" s="430"/>
      <c r="AT3683" s="430"/>
      <c r="AU3683" s="426"/>
      <c r="AV3683" s="174"/>
      <c r="AW3683" s="269"/>
      <c r="AX3683" s="269"/>
      <c r="AY3683" s="270"/>
      <c r="AZ3683" s="435"/>
      <c r="BA3683" s="173"/>
      <c r="BB3683" s="434"/>
      <c r="BC3683" s="434"/>
      <c r="BD3683" s="308"/>
      <c r="BE3683" s="436"/>
      <c r="BF3683" s="274" t="str">
        <f>IFERROR(__xludf.DUMMYFUNCTION("LOWER(Regexreplace(to_text(E3683),""[^A-Za-z0-9]"","""")&amp;""_""&amp;Regexreplace(to_text(F3683),""[^A-Za-z0-9]"",""""))"),"_")</f>
        <v>_</v>
      </c>
      <c r="BG3683" s="275" t="str">
        <f>IFERROR(__xludf.DUMMYFUNCTION("upper(Regexreplace(to_text(E3683),""[^A-Za-z0-9]"","""")&amp;""-""&amp;Regexreplace(to_text(F3683),""[^A-Za-z0-9]"",""""))"),"-")</f>
        <v>-</v>
      </c>
    </row>
    <row r="3684" ht="30.0" customHeight="1">
      <c r="A3684" s="237"/>
      <c r="B3684" s="425"/>
      <c r="C3684" s="257"/>
      <c r="D3684" s="173"/>
      <c r="E3684" s="174"/>
      <c r="F3684" s="173"/>
      <c r="G3684" s="425"/>
      <c r="H3684" s="425"/>
      <c r="I3684" s="258"/>
      <c r="J3684" s="259"/>
      <c r="K3684" s="260"/>
      <c r="L3684" s="442"/>
      <c r="M3684" s="426"/>
      <c r="N3684" s="173"/>
      <c r="O3684" s="173"/>
      <c r="P3684" s="262"/>
      <c r="Q3684" s="173"/>
      <c r="R3684" s="425"/>
      <c r="S3684" s="339"/>
      <c r="T3684" s="427"/>
      <c r="U3684" s="427"/>
      <c r="V3684" s="428"/>
      <c r="W3684" s="429"/>
      <c r="X3684" s="430"/>
      <c r="Y3684" s="33"/>
      <c r="Z3684" s="430"/>
      <c r="AA3684" s="430"/>
      <c r="AB3684" s="258"/>
      <c r="AC3684" s="430"/>
      <c r="AD3684" s="426"/>
      <c r="AE3684" s="428"/>
      <c r="AF3684" s="431"/>
      <c r="AG3684" s="432"/>
      <c r="AH3684" s="430"/>
      <c r="AI3684" s="430"/>
      <c r="AJ3684" s="430"/>
      <c r="AK3684" s="430"/>
      <c r="AL3684" s="430"/>
      <c r="AM3684" s="433"/>
      <c r="AN3684" s="430"/>
      <c r="AO3684" s="430"/>
      <c r="AP3684" s="430"/>
      <c r="AQ3684" s="430"/>
      <c r="AR3684" s="430"/>
      <c r="AS3684" s="430"/>
      <c r="AT3684" s="430"/>
      <c r="AU3684" s="426"/>
      <c r="AV3684" s="174"/>
      <c r="AW3684" s="269"/>
      <c r="AX3684" s="269"/>
      <c r="AY3684" s="270"/>
      <c r="AZ3684" s="435"/>
      <c r="BA3684" s="173"/>
      <c r="BB3684" s="434"/>
      <c r="BC3684" s="434"/>
      <c r="BD3684" s="308"/>
      <c r="BE3684" s="436"/>
      <c r="BF3684" s="274" t="str">
        <f>IFERROR(__xludf.DUMMYFUNCTION("LOWER(Regexreplace(to_text(E3684),""[^A-Za-z0-9]"","""")&amp;""_""&amp;Regexreplace(to_text(F3684),""[^A-Za-z0-9]"",""""))"),"_")</f>
        <v>_</v>
      </c>
      <c r="BG3684" s="275" t="str">
        <f>IFERROR(__xludf.DUMMYFUNCTION("upper(Regexreplace(to_text(E3684),""[^A-Za-z0-9]"","""")&amp;""-""&amp;Regexreplace(to_text(F3684),""[^A-Za-z0-9]"",""""))"),"-")</f>
        <v>-</v>
      </c>
    </row>
    <row r="3685" ht="30.0" customHeight="1">
      <c r="A3685" s="237"/>
      <c r="B3685" s="425"/>
      <c r="C3685" s="257"/>
      <c r="D3685" s="173"/>
      <c r="E3685" s="174"/>
      <c r="F3685" s="173"/>
      <c r="G3685" s="425"/>
      <c r="H3685" s="425"/>
      <c r="I3685" s="258"/>
      <c r="J3685" s="259"/>
      <c r="K3685" s="260"/>
      <c r="L3685" s="442"/>
      <c r="M3685" s="426"/>
      <c r="N3685" s="173"/>
      <c r="O3685" s="173"/>
      <c r="P3685" s="262"/>
      <c r="Q3685" s="173"/>
      <c r="R3685" s="425"/>
      <c r="S3685" s="339"/>
      <c r="T3685" s="427"/>
      <c r="U3685" s="427"/>
      <c r="V3685" s="428"/>
      <c r="W3685" s="429"/>
      <c r="X3685" s="430"/>
      <c r="Y3685" s="33"/>
      <c r="Z3685" s="430"/>
      <c r="AA3685" s="430"/>
      <c r="AB3685" s="258"/>
      <c r="AC3685" s="430"/>
      <c r="AD3685" s="426"/>
      <c r="AE3685" s="428"/>
      <c r="AF3685" s="431"/>
      <c r="AG3685" s="432"/>
      <c r="AH3685" s="430"/>
      <c r="AI3685" s="430"/>
      <c r="AJ3685" s="430"/>
      <c r="AK3685" s="430"/>
      <c r="AL3685" s="430"/>
      <c r="AM3685" s="433"/>
      <c r="AN3685" s="430"/>
      <c r="AO3685" s="430"/>
      <c r="AP3685" s="430"/>
      <c r="AQ3685" s="430"/>
      <c r="AR3685" s="430"/>
      <c r="AS3685" s="430"/>
      <c r="AT3685" s="430"/>
      <c r="AU3685" s="426"/>
      <c r="AV3685" s="174"/>
      <c r="AW3685" s="269"/>
      <c r="AX3685" s="269"/>
      <c r="AY3685" s="270"/>
      <c r="AZ3685" s="435"/>
      <c r="BA3685" s="173"/>
      <c r="BB3685" s="434"/>
      <c r="BC3685" s="434"/>
      <c r="BD3685" s="308"/>
      <c r="BE3685" s="436"/>
      <c r="BF3685" s="274" t="str">
        <f>IFERROR(__xludf.DUMMYFUNCTION("LOWER(Regexreplace(to_text(E3685),""[^A-Za-z0-9]"","""")&amp;""_""&amp;Regexreplace(to_text(F3685),""[^A-Za-z0-9]"",""""))"),"_")</f>
        <v>_</v>
      </c>
      <c r="BG3685" s="275" t="str">
        <f>IFERROR(__xludf.DUMMYFUNCTION("upper(Regexreplace(to_text(E3685),""[^A-Za-z0-9]"","""")&amp;""-""&amp;Regexreplace(to_text(F3685),""[^A-Za-z0-9]"",""""))"),"-")</f>
        <v>-</v>
      </c>
    </row>
    <row r="3686" ht="30.0" customHeight="1">
      <c r="A3686" s="237"/>
      <c r="B3686" s="425"/>
      <c r="C3686" s="257"/>
      <c r="D3686" s="173"/>
      <c r="E3686" s="174"/>
      <c r="F3686" s="173"/>
      <c r="G3686" s="425"/>
      <c r="H3686" s="425"/>
      <c r="I3686" s="258"/>
      <c r="J3686" s="259"/>
      <c r="K3686" s="260"/>
      <c r="L3686" s="442"/>
      <c r="M3686" s="426"/>
      <c r="N3686" s="173"/>
      <c r="O3686" s="173"/>
      <c r="P3686" s="262"/>
      <c r="Q3686" s="173"/>
      <c r="R3686" s="425"/>
      <c r="S3686" s="339"/>
      <c r="T3686" s="427"/>
      <c r="U3686" s="427"/>
      <c r="V3686" s="428"/>
      <c r="W3686" s="429"/>
      <c r="X3686" s="430"/>
      <c r="Y3686" s="33"/>
      <c r="Z3686" s="430"/>
      <c r="AA3686" s="430"/>
      <c r="AB3686" s="258"/>
      <c r="AC3686" s="430"/>
      <c r="AD3686" s="426"/>
      <c r="AE3686" s="428"/>
      <c r="AF3686" s="431"/>
      <c r="AG3686" s="432"/>
      <c r="AH3686" s="430"/>
      <c r="AI3686" s="430"/>
      <c r="AJ3686" s="430"/>
      <c r="AK3686" s="430"/>
      <c r="AL3686" s="430"/>
      <c r="AM3686" s="433"/>
      <c r="AN3686" s="430"/>
      <c r="AO3686" s="430"/>
      <c r="AP3686" s="430"/>
      <c r="AQ3686" s="430"/>
      <c r="AR3686" s="430"/>
      <c r="AS3686" s="430"/>
      <c r="AT3686" s="430"/>
      <c r="AU3686" s="426"/>
      <c r="AV3686" s="174"/>
      <c r="AW3686" s="269"/>
      <c r="AX3686" s="269"/>
      <c r="AY3686" s="270"/>
      <c r="AZ3686" s="435"/>
      <c r="BA3686" s="173"/>
      <c r="BB3686" s="434"/>
      <c r="BC3686" s="434"/>
      <c r="BD3686" s="308"/>
      <c r="BE3686" s="436"/>
      <c r="BF3686" s="274" t="str">
        <f>IFERROR(__xludf.DUMMYFUNCTION("LOWER(Regexreplace(to_text(E3686),""[^A-Za-z0-9]"","""")&amp;""_""&amp;Regexreplace(to_text(F3686),""[^A-Za-z0-9]"",""""))"),"_")</f>
        <v>_</v>
      </c>
      <c r="BG3686" s="275" t="str">
        <f>IFERROR(__xludf.DUMMYFUNCTION("upper(Regexreplace(to_text(E3686),""[^A-Za-z0-9]"","""")&amp;""-""&amp;Regexreplace(to_text(F3686),""[^A-Za-z0-9]"",""""))"),"-")</f>
        <v>-</v>
      </c>
    </row>
    <row r="3687" ht="30.0" customHeight="1">
      <c r="A3687" s="237"/>
      <c r="B3687" s="425"/>
      <c r="C3687" s="257"/>
      <c r="D3687" s="173"/>
      <c r="E3687" s="174"/>
      <c r="F3687" s="173"/>
      <c r="G3687" s="425"/>
      <c r="H3687" s="425"/>
      <c r="I3687" s="258"/>
      <c r="J3687" s="259"/>
      <c r="K3687" s="260"/>
      <c r="L3687" s="442"/>
      <c r="M3687" s="426"/>
      <c r="N3687" s="173"/>
      <c r="O3687" s="173"/>
      <c r="P3687" s="262"/>
      <c r="Q3687" s="173"/>
      <c r="R3687" s="425"/>
      <c r="S3687" s="339"/>
      <c r="T3687" s="427"/>
      <c r="U3687" s="427"/>
      <c r="V3687" s="428"/>
      <c r="W3687" s="429"/>
      <c r="X3687" s="430"/>
      <c r="Y3687" s="33"/>
      <c r="Z3687" s="430"/>
      <c r="AA3687" s="430"/>
      <c r="AB3687" s="258"/>
      <c r="AC3687" s="430"/>
      <c r="AD3687" s="426"/>
      <c r="AE3687" s="428"/>
      <c r="AF3687" s="431"/>
      <c r="AG3687" s="432"/>
      <c r="AH3687" s="430"/>
      <c r="AI3687" s="430"/>
      <c r="AJ3687" s="430"/>
      <c r="AK3687" s="430"/>
      <c r="AL3687" s="430"/>
      <c r="AM3687" s="433"/>
      <c r="AN3687" s="430"/>
      <c r="AO3687" s="430"/>
      <c r="AP3687" s="430"/>
      <c r="AQ3687" s="430"/>
      <c r="AR3687" s="430"/>
      <c r="AS3687" s="430"/>
      <c r="AT3687" s="430"/>
      <c r="AU3687" s="426"/>
      <c r="AV3687" s="174"/>
      <c r="AW3687" s="269"/>
      <c r="AX3687" s="269"/>
      <c r="AY3687" s="270"/>
      <c r="AZ3687" s="435"/>
      <c r="BA3687" s="173"/>
      <c r="BB3687" s="434"/>
      <c r="BC3687" s="434"/>
      <c r="BD3687" s="308"/>
      <c r="BE3687" s="436"/>
      <c r="BF3687" s="274" t="str">
        <f>IFERROR(__xludf.DUMMYFUNCTION("LOWER(Regexreplace(to_text(E3687),""[^A-Za-z0-9]"","""")&amp;""_""&amp;Regexreplace(to_text(F3687),""[^A-Za-z0-9]"",""""))"),"_")</f>
        <v>_</v>
      </c>
      <c r="BG3687" s="275" t="str">
        <f>IFERROR(__xludf.DUMMYFUNCTION("upper(Regexreplace(to_text(E3687),""[^A-Za-z0-9]"","""")&amp;""-""&amp;Regexreplace(to_text(F3687),""[^A-Za-z0-9]"",""""))"),"-")</f>
        <v>-</v>
      </c>
    </row>
    <row r="3688" ht="30.0" customHeight="1">
      <c r="A3688" s="237"/>
      <c r="B3688" s="425"/>
      <c r="C3688" s="257"/>
      <c r="D3688" s="173"/>
      <c r="E3688" s="174"/>
      <c r="F3688" s="173"/>
      <c r="G3688" s="425"/>
      <c r="H3688" s="425"/>
      <c r="I3688" s="258"/>
      <c r="J3688" s="259"/>
      <c r="K3688" s="260"/>
      <c r="L3688" s="442"/>
      <c r="M3688" s="426"/>
      <c r="N3688" s="173"/>
      <c r="O3688" s="173"/>
      <c r="P3688" s="262"/>
      <c r="Q3688" s="173"/>
      <c r="R3688" s="425"/>
      <c r="S3688" s="339"/>
      <c r="T3688" s="427"/>
      <c r="U3688" s="427"/>
      <c r="V3688" s="428"/>
      <c r="W3688" s="429"/>
      <c r="X3688" s="430"/>
      <c r="Y3688" s="33"/>
      <c r="Z3688" s="430"/>
      <c r="AA3688" s="430"/>
      <c r="AB3688" s="258"/>
      <c r="AC3688" s="430"/>
      <c r="AD3688" s="426"/>
      <c r="AE3688" s="428"/>
      <c r="AF3688" s="431"/>
      <c r="AG3688" s="432"/>
      <c r="AH3688" s="430"/>
      <c r="AI3688" s="430"/>
      <c r="AJ3688" s="430"/>
      <c r="AK3688" s="430"/>
      <c r="AL3688" s="430"/>
      <c r="AM3688" s="433"/>
      <c r="AN3688" s="430"/>
      <c r="AO3688" s="430"/>
      <c r="AP3688" s="430"/>
      <c r="AQ3688" s="430"/>
      <c r="AR3688" s="430"/>
      <c r="AS3688" s="430"/>
      <c r="AT3688" s="430"/>
      <c r="AU3688" s="426"/>
      <c r="AV3688" s="174"/>
      <c r="AW3688" s="269"/>
      <c r="AX3688" s="269"/>
      <c r="AY3688" s="270"/>
      <c r="AZ3688" s="435"/>
      <c r="BA3688" s="173"/>
      <c r="BB3688" s="434"/>
      <c r="BC3688" s="434"/>
      <c r="BD3688" s="308"/>
      <c r="BE3688" s="436"/>
      <c r="BF3688" s="274" t="str">
        <f>IFERROR(__xludf.DUMMYFUNCTION("LOWER(Regexreplace(to_text(E3688),""[^A-Za-z0-9]"","""")&amp;""_""&amp;Regexreplace(to_text(F3688),""[^A-Za-z0-9]"",""""))"),"_")</f>
        <v>_</v>
      </c>
      <c r="BG3688" s="275" t="str">
        <f>IFERROR(__xludf.DUMMYFUNCTION("upper(Regexreplace(to_text(E3688),""[^A-Za-z0-9]"","""")&amp;""-""&amp;Regexreplace(to_text(F3688),""[^A-Za-z0-9]"",""""))"),"-")</f>
        <v>-</v>
      </c>
    </row>
    <row r="3689" ht="30.0" customHeight="1">
      <c r="A3689" s="237"/>
      <c r="B3689" s="425"/>
      <c r="C3689" s="257"/>
      <c r="D3689" s="173"/>
      <c r="E3689" s="174"/>
      <c r="F3689" s="173"/>
      <c r="G3689" s="425"/>
      <c r="H3689" s="425"/>
      <c r="I3689" s="258"/>
      <c r="J3689" s="259"/>
      <c r="K3689" s="260"/>
      <c r="L3689" s="442"/>
      <c r="M3689" s="426"/>
      <c r="N3689" s="173"/>
      <c r="O3689" s="173"/>
      <c r="P3689" s="262"/>
      <c r="Q3689" s="173"/>
      <c r="R3689" s="425"/>
      <c r="S3689" s="339"/>
      <c r="T3689" s="427"/>
      <c r="U3689" s="427"/>
      <c r="V3689" s="428"/>
      <c r="W3689" s="429"/>
      <c r="X3689" s="430"/>
      <c r="Y3689" s="33"/>
      <c r="Z3689" s="430"/>
      <c r="AA3689" s="430"/>
      <c r="AB3689" s="258"/>
      <c r="AC3689" s="430"/>
      <c r="AD3689" s="426"/>
      <c r="AE3689" s="428"/>
      <c r="AF3689" s="431"/>
      <c r="AG3689" s="432"/>
      <c r="AH3689" s="430"/>
      <c r="AI3689" s="430"/>
      <c r="AJ3689" s="430"/>
      <c r="AK3689" s="430"/>
      <c r="AL3689" s="430"/>
      <c r="AM3689" s="433"/>
      <c r="AN3689" s="430"/>
      <c r="AO3689" s="430"/>
      <c r="AP3689" s="430"/>
      <c r="AQ3689" s="430"/>
      <c r="AR3689" s="430"/>
      <c r="AS3689" s="430"/>
      <c r="AT3689" s="430"/>
      <c r="AU3689" s="426"/>
      <c r="AV3689" s="174"/>
      <c r="AW3689" s="269"/>
      <c r="AX3689" s="269"/>
      <c r="AY3689" s="270"/>
      <c r="AZ3689" s="435"/>
      <c r="BA3689" s="173"/>
      <c r="BB3689" s="434"/>
      <c r="BC3689" s="434"/>
      <c r="BD3689" s="308"/>
      <c r="BE3689" s="436"/>
      <c r="BF3689" s="274" t="str">
        <f>IFERROR(__xludf.DUMMYFUNCTION("LOWER(Regexreplace(to_text(E3689),""[^A-Za-z0-9]"","""")&amp;""_""&amp;Regexreplace(to_text(F3689),""[^A-Za-z0-9]"",""""))"),"_")</f>
        <v>_</v>
      </c>
      <c r="BG3689" s="275" t="str">
        <f>IFERROR(__xludf.DUMMYFUNCTION("upper(Regexreplace(to_text(E3689),""[^A-Za-z0-9]"","""")&amp;""-""&amp;Regexreplace(to_text(F3689),""[^A-Za-z0-9]"",""""))"),"-")</f>
        <v>-</v>
      </c>
    </row>
    <row r="3690" ht="30.0" customHeight="1">
      <c r="A3690" s="237"/>
      <c r="B3690" s="425"/>
      <c r="C3690" s="257"/>
      <c r="D3690" s="173"/>
      <c r="E3690" s="174"/>
      <c r="F3690" s="173"/>
      <c r="G3690" s="425"/>
      <c r="H3690" s="425"/>
      <c r="I3690" s="258"/>
      <c r="J3690" s="259"/>
      <c r="K3690" s="260"/>
      <c r="L3690" s="442"/>
      <c r="M3690" s="426"/>
      <c r="N3690" s="173"/>
      <c r="O3690" s="173"/>
      <c r="P3690" s="262"/>
      <c r="Q3690" s="173"/>
      <c r="R3690" s="425"/>
      <c r="S3690" s="339"/>
      <c r="T3690" s="427"/>
      <c r="U3690" s="427"/>
      <c r="V3690" s="428"/>
      <c r="W3690" s="429"/>
      <c r="X3690" s="430"/>
      <c r="Y3690" s="33"/>
      <c r="Z3690" s="430"/>
      <c r="AA3690" s="430"/>
      <c r="AB3690" s="258"/>
      <c r="AC3690" s="430"/>
      <c r="AD3690" s="426"/>
      <c r="AE3690" s="428"/>
      <c r="AF3690" s="431"/>
      <c r="AG3690" s="432"/>
      <c r="AH3690" s="430"/>
      <c r="AI3690" s="430"/>
      <c r="AJ3690" s="430"/>
      <c r="AK3690" s="430"/>
      <c r="AL3690" s="430"/>
      <c r="AM3690" s="433"/>
      <c r="AN3690" s="430"/>
      <c r="AO3690" s="430"/>
      <c r="AP3690" s="430"/>
      <c r="AQ3690" s="430"/>
      <c r="AR3690" s="430"/>
      <c r="AS3690" s="430"/>
      <c r="AT3690" s="430"/>
      <c r="AU3690" s="426"/>
      <c r="AV3690" s="174"/>
      <c r="AW3690" s="269"/>
      <c r="AX3690" s="269"/>
      <c r="AY3690" s="270"/>
      <c r="AZ3690" s="435"/>
      <c r="BA3690" s="173"/>
      <c r="BB3690" s="434"/>
      <c r="BC3690" s="434"/>
      <c r="BD3690" s="308"/>
      <c r="BE3690" s="436"/>
      <c r="BF3690" s="274" t="str">
        <f>IFERROR(__xludf.DUMMYFUNCTION("LOWER(Regexreplace(to_text(E3690),""[^A-Za-z0-9]"","""")&amp;""_""&amp;Regexreplace(to_text(F3690),""[^A-Za-z0-9]"",""""))"),"_")</f>
        <v>_</v>
      </c>
      <c r="BG3690" s="275" t="str">
        <f>IFERROR(__xludf.DUMMYFUNCTION("upper(Regexreplace(to_text(E3690),""[^A-Za-z0-9]"","""")&amp;""-""&amp;Regexreplace(to_text(F3690),""[^A-Za-z0-9]"",""""))"),"-")</f>
        <v>-</v>
      </c>
    </row>
    <row r="3691" ht="30.0" customHeight="1">
      <c r="A3691" s="237"/>
      <c r="B3691" s="425"/>
      <c r="C3691" s="257"/>
      <c r="D3691" s="173"/>
      <c r="E3691" s="174"/>
      <c r="F3691" s="173"/>
      <c r="G3691" s="425"/>
      <c r="H3691" s="425"/>
      <c r="I3691" s="258"/>
      <c r="J3691" s="259"/>
      <c r="K3691" s="260"/>
      <c r="L3691" s="442"/>
      <c r="M3691" s="426"/>
      <c r="N3691" s="173"/>
      <c r="O3691" s="173"/>
      <c r="P3691" s="262"/>
      <c r="Q3691" s="173"/>
      <c r="R3691" s="425"/>
      <c r="S3691" s="339"/>
      <c r="T3691" s="427"/>
      <c r="U3691" s="427"/>
      <c r="V3691" s="428"/>
      <c r="W3691" s="429"/>
      <c r="X3691" s="430"/>
      <c r="Y3691" s="33"/>
      <c r="Z3691" s="430"/>
      <c r="AA3691" s="430"/>
      <c r="AB3691" s="258"/>
      <c r="AC3691" s="430"/>
      <c r="AD3691" s="426"/>
      <c r="AE3691" s="428"/>
      <c r="AF3691" s="431"/>
      <c r="AG3691" s="432"/>
      <c r="AH3691" s="430"/>
      <c r="AI3691" s="430"/>
      <c r="AJ3691" s="430"/>
      <c r="AK3691" s="430"/>
      <c r="AL3691" s="430"/>
      <c r="AM3691" s="433"/>
      <c r="AN3691" s="430"/>
      <c r="AO3691" s="430"/>
      <c r="AP3691" s="430"/>
      <c r="AQ3691" s="430"/>
      <c r="AR3691" s="430"/>
      <c r="AS3691" s="430"/>
      <c r="AT3691" s="430"/>
      <c r="AU3691" s="426"/>
      <c r="AV3691" s="174"/>
      <c r="AW3691" s="269"/>
      <c r="AX3691" s="269"/>
      <c r="AY3691" s="270"/>
      <c r="AZ3691" s="435"/>
      <c r="BA3691" s="173"/>
      <c r="BB3691" s="434"/>
      <c r="BC3691" s="434"/>
      <c r="BD3691" s="308"/>
      <c r="BE3691" s="436"/>
      <c r="BF3691" s="274" t="str">
        <f>IFERROR(__xludf.DUMMYFUNCTION("LOWER(Regexreplace(to_text(E3691),""[^A-Za-z0-9]"","""")&amp;""_""&amp;Regexreplace(to_text(F3691),""[^A-Za-z0-9]"",""""))"),"_")</f>
        <v>_</v>
      </c>
      <c r="BG3691" s="275" t="str">
        <f>IFERROR(__xludf.DUMMYFUNCTION("upper(Regexreplace(to_text(E3691),""[^A-Za-z0-9]"","""")&amp;""-""&amp;Regexreplace(to_text(F3691),""[^A-Za-z0-9]"",""""))"),"-")</f>
        <v>-</v>
      </c>
    </row>
    <row r="3692" ht="30.0" customHeight="1">
      <c r="A3692" s="237"/>
      <c r="B3692" s="425"/>
      <c r="C3692" s="257"/>
      <c r="D3692" s="173"/>
      <c r="E3692" s="174"/>
      <c r="F3692" s="173"/>
      <c r="G3692" s="425"/>
      <c r="H3692" s="425"/>
      <c r="I3692" s="258"/>
      <c r="J3692" s="259"/>
      <c r="K3692" s="260"/>
      <c r="L3692" s="442"/>
      <c r="M3692" s="426"/>
      <c r="N3692" s="173"/>
      <c r="O3692" s="173"/>
      <c r="P3692" s="262"/>
      <c r="Q3692" s="173"/>
      <c r="R3692" s="425"/>
      <c r="S3692" s="339"/>
      <c r="T3692" s="427"/>
      <c r="U3692" s="427"/>
      <c r="V3692" s="428"/>
      <c r="W3692" s="429"/>
      <c r="X3692" s="430"/>
      <c r="Y3692" s="33"/>
      <c r="Z3692" s="430"/>
      <c r="AA3692" s="430"/>
      <c r="AB3692" s="258"/>
      <c r="AC3692" s="430"/>
      <c r="AD3692" s="426"/>
      <c r="AE3692" s="428"/>
      <c r="AF3692" s="431"/>
      <c r="AG3692" s="432"/>
      <c r="AH3692" s="430"/>
      <c r="AI3692" s="430"/>
      <c r="AJ3692" s="430"/>
      <c r="AK3692" s="430"/>
      <c r="AL3692" s="430"/>
      <c r="AM3692" s="433"/>
      <c r="AN3692" s="430"/>
      <c r="AO3692" s="430"/>
      <c r="AP3692" s="430"/>
      <c r="AQ3692" s="430"/>
      <c r="AR3692" s="430"/>
      <c r="AS3692" s="430"/>
      <c r="AT3692" s="430"/>
      <c r="AU3692" s="426"/>
      <c r="AV3692" s="174"/>
      <c r="AW3692" s="269"/>
      <c r="AX3692" s="269"/>
      <c r="AY3692" s="270"/>
      <c r="AZ3692" s="435"/>
      <c r="BA3692" s="173"/>
      <c r="BB3692" s="434"/>
      <c r="BC3692" s="434"/>
      <c r="BD3692" s="308"/>
      <c r="BE3692" s="436"/>
      <c r="BF3692" s="274" t="str">
        <f>IFERROR(__xludf.DUMMYFUNCTION("LOWER(Regexreplace(to_text(E3692),""[^A-Za-z0-9]"","""")&amp;""_""&amp;Regexreplace(to_text(F3692),""[^A-Za-z0-9]"",""""))"),"_")</f>
        <v>_</v>
      </c>
      <c r="BG3692" s="275" t="str">
        <f>IFERROR(__xludf.DUMMYFUNCTION("upper(Regexreplace(to_text(E3692),""[^A-Za-z0-9]"","""")&amp;""-""&amp;Regexreplace(to_text(F3692),""[^A-Za-z0-9]"",""""))"),"-")</f>
        <v>-</v>
      </c>
    </row>
    <row r="3693" ht="30.0" customHeight="1">
      <c r="A3693" s="237"/>
      <c r="B3693" s="425"/>
      <c r="C3693" s="257"/>
      <c r="D3693" s="173"/>
      <c r="E3693" s="174"/>
      <c r="F3693" s="173"/>
      <c r="G3693" s="425"/>
      <c r="H3693" s="425"/>
      <c r="I3693" s="258"/>
      <c r="J3693" s="259"/>
      <c r="K3693" s="260"/>
      <c r="L3693" s="442"/>
      <c r="M3693" s="426"/>
      <c r="N3693" s="173"/>
      <c r="O3693" s="173"/>
      <c r="P3693" s="262"/>
      <c r="Q3693" s="173"/>
      <c r="R3693" s="425"/>
      <c r="S3693" s="339"/>
      <c r="T3693" s="427"/>
      <c r="U3693" s="427"/>
      <c r="V3693" s="428"/>
      <c r="W3693" s="429"/>
      <c r="X3693" s="430"/>
      <c r="Y3693" s="33"/>
      <c r="Z3693" s="430"/>
      <c r="AA3693" s="430"/>
      <c r="AB3693" s="258"/>
      <c r="AC3693" s="430"/>
      <c r="AD3693" s="426"/>
      <c r="AE3693" s="428"/>
      <c r="AF3693" s="431"/>
      <c r="AG3693" s="432"/>
      <c r="AH3693" s="430"/>
      <c r="AI3693" s="430"/>
      <c r="AJ3693" s="430"/>
      <c r="AK3693" s="430"/>
      <c r="AL3693" s="430"/>
      <c r="AM3693" s="433"/>
      <c r="AN3693" s="430"/>
      <c r="AO3693" s="430"/>
      <c r="AP3693" s="430"/>
      <c r="AQ3693" s="430"/>
      <c r="AR3693" s="430"/>
      <c r="AS3693" s="430"/>
      <c r="AT3693" s="430"/>
      <c r="AU3693" s="426"/>
      <c r="AV3693" s="174"/>
      <c r="AW3693" s="269"/>
      <c r="AX3693" s="269"/>
      <c r="AY3693" s="270"/>
      <c r="AZ3693" s="435"/>
      <c r="BA3693" s="173"/>
      <c r="BB3693" s="434"/>
      <c r="BC3693" s="434"/>
      <c r="BD3693" s="308"/>
      <c r="BE3693" s="436"/>
      <c r="BF3693" s="274" t="str">
        <f>IFERROR(__xludf.DUMMYFUNCTION("LOWER(Regexreplace(to_text(E3693),""[^A-Za-z0-9]"","""")&amp;""_""&amp;Regexreplace(to_text(F3693),""[^A-Za-z0-9]"",""""))"),"_")</f>
        <v>_</v>
      </c>
      <c r="BG3693" s="275" t="str">
        <f>IFERROR(__xludf.DUMMYFUNCTION("upper(Regexreplace(to_text(E3693),""[^A-Za-z0-9]"","""")&amp;""-""&amp;Regexreplace(to_text(F3693),""[^A-Za-z0-9]"",""""))"),"-")</f>
        <v>-</v>
      </c>
    </row>
    <row r="3694" ht="30.0" customHeight="1">
      <c r="A3694" s="237"/>
      <c r="B3694" s="425"/>
      <c r="C3694" s="257"/>
      <c r="D3694" s="173"/>
      <c r="E3694" s="174"/>
      <c r="F3694" s="173"/>
      <c r="G3694" s="425"/>
      <c r="H3694" s="425"/>
      <c r="I3694" s="258"/>
      <c r="J3694" s="259"/>
      <c r="K3694" s="260"/>
      <c r="L3694" s="442"/>
      <c r="M3694" s="426"/>
      <c r="N3694" s="173"/>
      <c r="O3694" s="173"/>
      <c r="P3694" s="262"/>
      <c r="Q3694" s="173"/>
      <c r="R3694" s="425"/>
      <c r="S3694" s="339"/>
      <c r="T3694" s="427"/>
      <c r="U3694" s="427"/>
      <c r="V3694" s="428"/>
      <c r="W3694" s="429"/>
      <c r="X3694" s="430"/>
      <c r="Y3694" s="33"/>
      <c r="Z3694" s="430"/>
      <c r="AA3694" s="430"/>
      <c r="AB3694" s="258"/>
      <c r="AC3694" s="430"/>
      <c r="AD3694" s="426"/>
      <c r="AE3694" s="428"/>
      <c r="AF3694" s="431"/>
      <c r="AG3694" s="432"/>
      <c r="AH3694" s="430"/>
      <c r="AI3694" s="430"/>
      <c r="AJ3694" s="430"/>
      <c r="AK3694" s="430"/>
      <c r="AL3694" s="430"/>
      <c r="AM3694" s="433"/>
      <c r="AN3694" s="430"/>
      <c r="AO3694" s="430"/>
      <c r="AP3694" s="430"/>
      <c r="AQ3694" s="430"/>
      <c r="AR3694" s="430"/>
      <c r="AS3694" s="430"/>
      <c r="AT3694" s="430"/>
      <c r="AU3694" s="426"/>
      <c r="AV3694" s="174"/>
      <c r="AW3694" s="269"/>
      <c r="AX3694" s="269"/>
      <c r="AY3694" s="270"/>
      <c r="AZ3694" s="435"/>
      <c r="BA3694" s="173"/>
      <c r="BB3694" s="434"/>
      <c r="BC3694" s="434"/>
      <c r="BD3694" s="308"/>
      <c r="BE3694" s="436"/>
      <c r="BF3694" s="274" t="str">
        <f>IFERROR(__xludf.DUMMYFUNCTION("LOWER(Regexreplace(to_text(E3694),""[^A-Za-z0-9]"","""")&amp;""_""&amp;Regexreplace(to_text(F3694),""[^A-Za-z0-9]"",""""))"),"_")</f>
        <v>_</v>
      </c>
      <c r="BG3694" s="275" t="str">
        <f>IFERROR(__xludf.DUMMYFUNCTION("upper(Regexreplace(to_text(E3694),""[^A-Za-z0-9]"","""")&amp;""-""&amp;Regexreplace(to_text(F3694),""[^A-Za-z0-9]"",""""))"),"-")</f>
        <v>-</v>
      </c>
    </row>
    <row r="3695" ht="30.0" customHeight="1">
      <c r="A3695" s="237"/>
      <c r="B3695" s="425"/>
      <c r="C3695" s="257"/>
      <c r="D3695" s="173"/>
      <c r="E3695" s="174"/>
      <c r="F3695" s="173"/>
      <c r="G3695" s="425"/>
      <c r="H3695" s="425"/>
      <c r="I3695" s="258"/>
      <c r="J3695" s="259"/>
      <c r="K3695" s="260"/>
      <c r="L3695" s="442"/>
      <c r="M3695" s="426"/>
      <c r="N3695" s="173"/>
      <c r="O3695" s="173"/>
      <c r="P3695" s="262"/>
      <c r="Q3695" s="173"/>
      <c r="R3695" s="425"/>
      <c r="S3695" s="339"/>
      <c r="T3695" s="427"/>
      <c r="U3695" s="427"/>
      <c r="V3695" s="428"/>
      <c r="W3695" s="429"/>
      <c r="X3695" s="430"/>
      <c r="Y3695" s="33"/>
      <c r="Z3695" s="430"/>
      <c r="AA3695" s="430"/>
      <c r="AB3695" s="258"/>
      <c r="AC3695" s="430"/>
      <c r="AD3695" s="426"/>
      <c r="AE3695" s="428"/>
      <c r="AF3695" s="431"/>
      <c r="AG3695" s="432"/>
      <c r="AH3695" s="430"/>
      <c r="AI3695" s="430"/>
      <c r="AJ3695" s="430"/>
      <c r="AK3695" s="430"/>
      <c r="AL3695" s="430"/>
      <c r="AM3695" s="433"/>
      <c r="AN3695" s="430"/>
      <c r="AO3695" s="430"/>
      <c r="AP3695" s="430"/>
      <c r="AQ3695" s="430"/>
      <c r="AR3695" s="430"/>
      <c r="AS3695" s="430"/>
      <c r="AT3695" s="430"/>
      <c r="AU3695" s="426"/>
      <c r="AV3695" s="174"/>
      <c r="AW3695" s="269"/>
      <c r="AX3695" s="269"/>
      <c r="AY3695" s="270"/>
      <c r="AZ3695" s="435"/>
      <c r="BA3695" s="173"/>
      <c r="BB3695" s="434"/>
      <c r="BC3695" s="434"/>
      <c r="BD3695" s="308"/>
      <c r="BE3695" s="436"/>
      <c r="BF3695" s="274" t="str">
        <f>IFERROR(__xludf.DUMMYFUNCTION("LOWER(Regexreplace(to_text(E3695),""[^A-Za-z0-9]"","""")&amp;""_""&amp;Regexreplace(to_text(F3695),""[^A-Za-z0-9]"",""""))"),"_")</f>
        <v>_</v>
      </c>
      <c r="BG3695" s="275" t="str">
        <f>IFERROR(__xludf.DUMMYFUNCTION("upper(Regexreplace(to_text(E3695),""[^A-Za-z0-9]"","""")&amp;""-""&amp;Regexreplace(to_text(F3695),""[^A-Za-z0-9]"",""""))"),"-")</f>
        <v>-</v>
      </c>
    </row>
    <row r="3696" ht="30.0" customHeight="1">
      <c r="A3696" s="237"/>
      <c r="B3696" s="425"/>
      <c r="C3696" s="257"/>
      <c r="D3696" s="173"/>
      <c r="E3696" s="174"/>
      <c r="F3696" s="173"/>
      <c r="G3696" s="425"/>
      <c r="H3696" s="425"/>
      <c r="I3696" s="258"/>
      <c r="J3696" s="259"/>
      <c r="K3696" s="260"/>
      <c r="L3696" s="442"/>
      <c r="M3696" s="426"/>
      <c r="N3696" s="173"/>
      <c r="O3696" s="173"/>
      <c r="P3696" s="262"/>
      <c r="Q3696" s="173"/>
      <c r="R3696" s="425"/>
      <c r="S3696" s="339"/>
      <c r="T3696" s="427"/>
      <c r="U3696" s="427"/>
      <c r="V3696" s="428"/>
      <c r="W3696" s="429"/>
      <c r="X3696" s="430"/>
      <c r="Y3696" s="33"/>
      <c r="Z3696" s="430"/>
      <c r="AA3696" s="430"/>
      <c r="AB3696" s="258"/>
      <c r="AC3696" s="430"/>
      <c r="AD3696" s="426"/>
      <c r="AE3696" s="428"/>
      <c r="AF3696" s="431"/>
      <c r="AG3696" s="432"/>
      <c r="AH3696" s="430"/>
      <c r="AI3696" s="430"/>
      <c r="AJ3696" s="430"/>
      <c r="AK3696" s="430"/>
      <c r="AL3696" s="430"/>
      <c r="AM3696" s="433"/>
      <c r="AN3696" s="430"/>
      <c r="AO3696" s="430"/>
      <c r="AP3696" s="430"/>
      <c r="AQ3696" s="430"/>
      <c r="AR3696" s="430"/>
      <c r="AS3696" s="430"/>
      <c r="AT3696" s="430"/>
      <c r="AU3696" s="426"/>
      <c r="AV3696" s="174"/>
      <c r="AW3696" s="269"/>
      <c r="AX3696" s="269"/>
      <c r="AY3696" s="270"/>
      <c r="AZ3696" s="435"/>
      <c r="BA3696" s="173"/>
      <c r="BB3696" s="434"/>
      <c r="BC3696" s="434"/>
      <c r="BD3696" s="308"/>
      <c r="BE3696" s="436"/>
      <c r="BF3696" s="274" t="str">
        <f>IFERROR(__xludf.DUMMYFUNCTION("LOWER(Regexreplace(to_text(E3696),""[^A-Za-z0-9]"","""")&amp;""_""&amp;Regexreplace(to_text(F3696),""[^A-Za-z0-9]"",""""))"),"_")</f>
        <v>_</v>
      </c>
      <c r="BG3696" s="275" t="str">
        <f>IFERROR(__xludf.DUMMYFUNCTION("upper(Regexreplace(to_text(E3696),""[^A-Za-z0-9]"","""")&amp;""-""&amp;Regexreplace(to_text(F3696),""[^A-Za-z0-9]"",""""))"),"-")</f>
        <v>-</v>
      </c>
    </row>
    <row r="3697" ht="30.0" customHeight="1">
      <c r="A3697" s="237"/>
      <c r="B3697" s="425"/>
      <c r="C3697" s="257"/>
      <c r="D3697" s="173"/>
      <c r="E3697" s="174"/>
      <c r="F3697" s="173"/>
      <c r="G3697" s="425"/>
      <c r="H3697" s="425"/>
      <c r="I3697" s="258"/>
      <c r="J3697" s="259"/>
      <c r="K3697" s="260"/>
      <c r="L3697" s="442"/>
      <c r="M3697" s="426"/>
      <c r="N3697" s="173"/>
      <c r="O3697" s="173"/>
      <c r="P3697" s="262"/>
      <c r="Q3697" s="173"/>
      <c r="R3697" s="425"/>
      <c r="S3697" s="339"/>
      <c r="T3697" s="427"/>
      <c r="U3697" s="427"/>
      <c r="V3697" s="428"/>
      <c r="W3697" s="429"/>
      <c r="X3697" s="430"/>
      <c r="Y3697" s="33"/>
      <c r="Z3697" s="430"/>
      <c r="AA3697" s="430"/>
      <c r="AB3697" s="258"/>
      <c r="AC3697" s="430"/>
      <c r="AD3697" s="426"/>
      <c r="AE3697" s="428"/>
      <c r="AF3697" s="431"/>
      <c r="AG3697" s="432"/>
      <c r="AH3697" s="430"/>
      <c r="AI3697" s="430"/>
      <c r="AJ3697" s="430"/>
      <c r="AK3697" s="430"/>
      <c r="AL3697" s="430"/>
      <c r="AM3697" s="433"/>
      <c r="AN3697" s="430"/>
      <c r="AO3697" s="430"/>
      <c r="AP3697" s="430"/>
      <c r="AQ3697" s="430"/>
      <c r="AR3697" s="430"/>
      <c r="AS3697" s="430"/>
      <c r="AT3697" s="430"/>
      <c r="AU3697" s="426"/>
      <c r="AV3697" s="174"/>
      <c r="AW3697" s="269"/>
      <c r="AX3697" s="269"/>
      <c r="AY3697" s="270"/>
      <c r="AZ3697" s="435"/>
      <c r="BA3697" s="173"/>
      <c r="BB3697" s="434"/>
      <c r="BC3697" s="434"/>
      <c r="BD3697" s="308"/>
      <c r="BE3697" s="436"/>
      <c r="BF3697" s="274" t="str">
        <f>IFERROR(__xludf.DUMMYFUNCTION("LOWER(Regexreplace(to_text(E3697),""[^A-Za-z0-9]"","""")&amp;""_""&amp;Regexreplace(to_text(F3697),""[^A-Za-z0-9]"",""""))"),"_")</f>
        <v>_</v>
      </c>
      <c r="BG3697" s="275" t="str">
        <f>IFERROR(__xludf.DUMMYFUNCTION("upper(Regexreplace(to_text(E3697),""[^A-Za-z0-9]"","""")&amp;""-""&amp;Regexreplace(to_text(F3697),""[^A-Za-z0-9]"",""""))"),"-")</f>
        <v>-</v>
      </c>
    </row>
    <row r="3698" ht="30.0" customHeight="1">
      <c r="A3698" s="237"/>
      <c r="B3698" s="425"/>
      <c r="C3698" s="257"/>
      <c r="D3698" s="173"/>
      <c r="E3698" s="174"/>
      <c r="F3698" s="173"/>
      <c r="G3698" s="425"/>
      <c r="H3698" s="425"/>
      <c r="I3698" s="258"/>
      <c r="J3698" s="259"/>
      <c r="K3698" s="260"/>
      <c r="L3698" s="442"/>
      <c r="M3698" s="426"/>
      <c r="N3698" s="173"/>
      <c r="O3698" s="173"/>
      <c r="P3698" s="262"/>
      <c r="Q3698" s="173"/>
      <c r="R3698" s="425"/>
      <c r="S3698" s="339"/>
      <c r="T3698" s="427"/>
      <c r="U3698" s="427"/>
      <c r="V3698" s="428"/>
      <c r="W3698" s="429"/>
      <c r="X3698" s="430"/>
      <c r="Y3698" s="33"/>
      <c r="Z3698" s="430"/>
      <c r="AA3698" s="430"/>
      <c r="AB3698" s="258"/>
      <c r="AC3698" s="430"/>
      <c r="AD3698" s="426"/>
      <c r="AE3698" s="428"/>
      <c r="AF3698" s="431"/>
      <c r="AG3698" s="432"/>
      <c r="AH3698" s="430"/>
      <c r="AI3698" s="430"/>
      <c r="AJ3698" s="430"/>
      <c r="AK3698" s="430"/>
      <c r="AL3698" s="430"/>
      <c r="AM3698" s="433"/>
      <c r="AN3698" s="430"/>
      <c r="AO3698" s="430"/>
      <c r="AP3698" s="430"/>
      <c r="AQ3698" s="430"/>
      <c r="AR3698" s="430"/>
      <c r="AS3698" s="430"/>
      <c r="AT3698" s="430"/>
      <c r="AU3698" s="426"/>
      <c r="AV3698" s="174"/>
      <c r="AW3698" s="269"/>
      <c r="AX3698" s="269"/>
      <c r="AY3698" s="270"/>
      <c r="AZ3698" s="435"/>
      <c r="BA3698" s="173"/>
      <c r="BB3698" s="434"/>
      <c r="BC3698" s="434"/>
      <c r="BD3698" s="308"/>
      <c r="BE3698" s="436"/>
      <c r="BF3698" s="274" t="str">
        <f>IFERROR(__xludf.DUMMYFUNCTION("LOWER(Regexreplace(to_text(E3698),""[^A-Za-z0-9]"","""")&amp;""_""&amp;Regexreplace(to_text(F3698),""[^A-Za-z0-9]"",""""))"),"_")</f>
        <v>_</v>
      </c>
      <c r="BG3698" s="275" t="str">
        <f>IFERROR(__xludf.DUMMYFUNCTION("upper(Regexreplace(to_text(E3698),""[^A-Za-z0-9]"","""")&amp;""-""&amp;Regexreplace(to_text(F3698),""[^A-Za-z0-9]"",""""))"),"-")</f>
        <v>-</v>
      </c>
    </row>
    <row r="3699" ht="30.0" customHeight="1">
      <c r="A3699" s="237"/>
      <c r="B3699" s="425"/>
      <c r="C3699" s="257"/>
      <c r="D3699" s="173"/>
      <c r="E3699" s="174"/>
      <c r="F3699" s="173"/>
      <c r="G3699" s="425"/>
      <c r="H3699" s="425"/>
      <c r="I3699" s="258"/>
      <c r="J3699" s="259"/>
      <c r="K3699" s="260"/>
      <c r="L3699" s="442"/>
      <c r="M3699" s="426"/>
      <c r="N3699" s="173"/>
      <c r="O3699" s="173"/>
      <c r="P3699" s="262"/>
      <c r="Q3699" s="173"/>
      <c r="R3699" s="425"/>
      <c r="S3699" s="339"/>
      <c r="T3699" s="427"/>
      <c r="U3699" s="427"/>
      <c r="V3699" s="428"/>
      <c r="W3699" s="429"/>
      <c r="X3699" s="430"/>
      <c r="Y3699" s="33"/>
      <c r="Z3699" s="430"/>
      <c r="AA3699" s="430"/>
      <c r="AB3699" s="258"/>
      <c r="AC3699" s="430"/>
      <c r="AD3699" s="426"/>
      <c r="AE3699" s="428"/>
      <c r="AF3699" s="431"/>
      <c r="AG3699" s="432"/>
      <c r="AH3699" s="430"/>
      <c r="AI3699" s="430"/>
      <c r="AJ3699" s="430"/>
      <c r="AK3699" s="430"/>
      <c r="AL3699" s="430"/>
      <c r="AM3699" s="433"/>
      <c r="AN3699" s="430"/>
      <c r="AO3699" s="430"/>
      <c r="AP3699" s="430"/>
      <c r="AQ3699" s="430"/>
      <c r="AR3699" s="430"/>
      <c r="AS3699" s="430"/>
      <c r="AT3699" s="430"/>
      <c r="AU3699" s="426"/>
      <c r="AV3699" s="174"/>
      <c r="AW3699" s="269"/>
      <c r="AX3699" s="269"/>
      <c r="AY3699" s="270"/>
      <c r="AZ3699" s="435"/>
      <c r="BA3699" s="173"/>
      <c r="BB3699" s="434"/>
      <c r="BC3699" s="434"/>
      <c r="BD3699" s="308"/>
      <c r="BE3699" s="436"/>
      <c r="BF3699" s="274" t="str">
        <f>IFERROR(__xludf.DUMMYFUNCTION("LOWER(Regexreplace(to_text(E3699),""[^A-Za-z0-9]"","""")&amp;""_""&amp;Regexreplace(to_text(F3699),""[^A-Za-z0-9]"",""""))"),"_")</f>
        <v>_</v>
      </c>
      <c r="BG3699" s="275" t="str">
        <f>IFERROR(__xludf.DUMMYFUNCTION("upper(Regexreplace(to_text(E3699),""[^A-Za-z0-9]"","""")&amp;""-""&amp;Regexreplace(to_text(F3699),""[^A-Za-z0-9]"",""""))"),"-")</f>
        <v>-</v>
      </c>
    </row>
    <row r="3700" ht="30.0" customHeight="1">
      <c r="A3700" s="237"/>
      <c r="B3700" s="425"/>
      <c r="C3700" s="257"/>
      <c r="D3700" s="173"/>
      <c r="E3700" s="174"/>
      <c r="F3700" s="173"/>
      <c r="G3700" s="425"/>
      <c r="H3700" s="425"/>
      <c r="I3700" s="258"/>
      <c r="J3700" s="259"/>
      <c r="K3700" s="260"/>
      <c r="L3700" s="442"/>
      <c r="M3700" s="426"/>
      <c r="N3700" s="173"/>
      <c r="O3700" s="173"/>
      <c r="P3700" s="262"/>
      <c r="Q3700" s="173"/>
      <c r="R3700" s="425"/>
      <c r="S3700" s="339"/>
      <c r="T3700" s="427"/>
      <c r="U3700" s="427"/>
      <c r="V3700" s="428"/>
      <c r="W3700" s="429"/>
      <c r="X3700" s="430"/>
      <c r="Y3700" s="33"/>
      <c r="Z3700" s="430"/>
      <c r="AA3700" s="430"/>
      <c r="AB3700" s="258"/>
      <c r="AC3700" s="430"/>
      <c r="AD3700" s="426"/>
      <c r="AE3700" s="428"/>
      <c r="AF3700" s="431"/>
      <c r="AG3700" s="432"/>
      <c r="AH3700" s="430"/>
      <c r="AI3700" s="430"/>
      <c r="AJ3700" s="430"/>
      <c r="AK3700" s="430"/>
      <c r="AL3700" s="430"/>
      <c r="AM3700" s="433"/>
      <c r="AN3700" s="430"/>
      <c r="AO3700" s="430"/>
      <c r="AP3700" s="430"/>
      <c r="AQ3700" s="430"/>
      <c r="AR3700" s="430"/>
      <c r="AS3700" s="430"/>
      <c r="AT3700" s="430"/>
      <c r="AU3700" s="426"/>
      <c r="AV3700" s="174"/>
      <c r="AW3700" s="269"/>
      <c r="AX3700" s="269"/>
      <c r="AY3700" s="270"/>
      <c r="AZ3700" s="435"/>
      <c r="BA3700" s="173"/>
      <c r="BB3700" s="434"/>
      <c r="BC3700" s="434"/>
      <c r="BD3700" s="308"/>
      <c r="BE3700" s="436"/>
      <c r="BF3700" s="274" t="str">
        <f>IFERROR(__xludf.DUMMYFUNCTION("LOWER(Regexreplace(to_text(E3700),""[^A-Za-z0-9]"","""")&amp;""_""&amp;Regexreplace(to_text(F3700),""[^A-Za-z0-9]"",""""))"),"_")</f>
        <v>_</v>
      </c>
      <c r="BG3700" s="275" t="str">
        <f>IFERROR(__xludf.DUMMYFUNCTION("upper(Regexreplace(to_text(E3700),""[^A-Za-z0-9]"","""")&amp;""-""&amp;Regexreplace(to_text(F3700),""[^A-Za-z0-9]"",""""))"),"-")</f>
        <v>-</v>
      </c>
    </row>
    <row r="3701" ht="30.0" customHeight="1">
      <c r="A3701" s="237"/>
      <c r="B3701" s="425"/>
      <c r="C3701" s="257"/>
      <c r="D3701" s="173"/>
      <c r="E3701" s="174"/>
      <c r="F3701" s="173"/>
      <c r="G3701" s="425"/>
      <c r="H3701" s="425"/>
      <c r="I3701" s="258"/>
      <c r="J3701" s="259"/>
      <c r="K3701" s="260"/>
      <c r="L3701" s="442"/>
      <c r="M3701" s="426"/>
      <c r="N3701" s="173"/>
      <c r="O3701" s="173"/>
      <c r="P3701" s="262"/>
      <c r="Q3701" s="173"/>
      <c r="R3701" s="425"/>
      <c r="S3701" s="339"/>
      <c r="T3701" s="427"/>
      <c r="U3701" s="427"/>
      <c r="V3701" s="428"/>
      <c r="W3701" s="429"/>
      <c r="X3701" s="430"/>
      <c r="Y3701" s="33"/>
      <c r="Z3701" s="430"/>
      <c r="AA3701" s="430"/>
      <c r="AB3701" s="258"/>
      <c r="AC3701" s="430"/>
      <c r="AD3701" s="426"/>
      <c r="AE3701" s="428"/>
      <c r="AF3701" s="431"/>
      <c r="AG3701" s="432"/>
      <c r="AH3701" s="430"/>
      <c r="AI3701" s="430"/>
      <c r="AJ3701" s="430"/>
      <c r="AK3701" s="430"/>
      <c r="AL3701" s="430"/>
      <c r="AM3701" s="433"/>
      <c r="AN3701" s="430"/>
      <c r="AO3701" s="430"/>
      <c r="AP3701" s="430"/>
      <c r="AQ3701" s="430"/>
      <c r="AR3701" s="430"/>
      <c r="AS3701" s="430"/>
      <c r="AT3701" s="430"/>
      <c r="AU3701" s="426"/>
      <c r="AV3701" s="174"/>
      <c r="AW3701" s="269"/>
      <c r="AX3701" s="269"/>
      <c r="AY3701" s="270"/>
      <c r="AZ3701" s="435"/>
      <c r="BA3701" s="173"/>
      <c r="BB3701" s="434"/>
      <c r="BC3701" s="434"/>
      <c r="BD3701" s="308"/>
      <c r="BE3701" s="436"/>
      <c r="BF3701" s="274" t="str">
        <f>IFERROR(__xludf.DUMMYFUNCTION("LOWER(Regexreplace(to_text(E3701),""[^A-Za-z0-9]"","""")&amp;""_""&amp;Regexreplace(to_text(F3701),""[^A-Za-z0-9]"",""""))"),"_")</f>
        <v>_</v>
      </c>
      <c r="BG3701" s="275" t="str">
        <f>IFERROR(__xludf.DUMMYFUNCTION("upper(Regexreplace(to_text(E3701),""[^A-Za-z0-9]"","""")&amp;""-""&amp;Regexreplace(to_text(F3701),""[^A-Za-z0-9]"",""""))"),"-")</f>
        <v>-</v>
      </c>
    </row>
    <row r="3702" ht="30.0" customHeight="1">
      <c r="A3702" s="237"/>
      <c r="B3702" s="425"/>
      <c r="C3702" s="257"/>
      <c r="D3702" s="173"/>
      <c r="E3702" s="174"/>
      <c r="F3702" s="173"/>
      <c r="G3702" s="425"/>
      <c r="H3702" s="425"/>
      <c r="I3702" s="258"/>
      <c r="J3702" s="259"/>
      <c r="K3702" s="260"/>
      <c r="L3702" s="442"/>
      <c r="M3702" s="426"/>
      <c r="N3702" s="173"/>
      <c r="O3702" s="173"/>
      <c r="P3702" s="262"/>
      <c r="Q3702" s="173"/>
      <c r="R3702" s="425"/>
      <c r="S3702" s="339"/>
      <c r="T3702" s="427"/>
      <c r="U3702" s="427"/>
      <c r="V3702" s="428"/>
      <c r="W3702" s="429"/>
      <c r="X3702" s="430"/>
      <c r="Y3702" s="33"/>
      <c r="Z3702" s="430"/>
      <c r="AA3702" s="430"/>
      <c r="AB3702" s="258"/>
      <c r="AC3702" s="430"/>
      <c r="AD3702" s="426"/>
      <c r="AE3702" s="428"/>
      <c r="AF3702" s="431"/>
      <c r="AG3702" s="432"/>
      <c r="AH3702" s="430"/>
      <c r="AI3702" s="430"/>
      <c r="AJ3702" s="430"/>
      <c r="AK3702" s="430"/>
      <c r="AL3702" s="430"/>
      <c r="AM3702" s="433"/>
      <c r="AN3702" s="430"/>
      <c r="AO3702" s="430"/>
      <c r="AP3702" s="430"/>
      <c r="AQ3702" s="430"/>
      <c r="AR3702" s="430"/>
      <c r="AS3702" s="430"/>
      <c r="AT3702" s="430"/>
      <c r="AU3702" s="426"/>
      <c r="AV3702" s="174"/>
      <c r="AW3702" s="269"/>
      <c r="AX3702" s="269"/>
      <c r="AY3702" s="270"/>
      <c r="AZ3702" s="435"/>
      <c r="BA3702" s="173"/>
      <c r="BB3702" s="434"/>
      <c r="BC3702" s="434"/>
      <c r="BD3702" s="308"/>
      <c r="BE3702" s="436"/>
      <c r="BF3702" s="274" t="str">
        <f>IFERROR(__xludf.DUMMYFUNCTION("LOWER(Regexreplace(to_text(E3702),""[^A-Za-z0-9]"","""")&amp;""_""&amp;Regexreplace(to_text(F3702),""[^A-Za-z0-9]"",""""))"),"_")</f>
        <v>_</v>
      </c>
      <c r="BG3702" s="275" t="str">
        <f>IFERROR(__xludf.DUMMYFUNCTION("upper(Regexreplace(to_text(E3702),""[^A-Za-z0-9]"","""")&amp;""-""&amp;Regexreplace(to_text(F3702),""[^A-Za-z0-9]"",""""))"),"-")</f>
        <v>-</v>
      </c>
    </row>
    <row r="3703" ht="30.0" customHeight="1">
      <c r="A3703" s="237"/>
      <c r="B3703" s="425"/>
      <c r="C3703" s="257"/>
      <c r="D3703" s="173"/>
      <c r="E3703" s="174"/>
      <c r="F3703" s="173"/>
      <c r="G3703" s="425"/>
      <c r="H3703" s="425"/>
      <c r="I3703" s="258"/>
      <c r="J3703" s="259"/>
      <c r="K3703" s="260"/>
      <c r="L3703" s="442"/>
      <c r="M3703" s="426"/>
      <c r="N3703" s="173"/>
      <c r="O3703" s="173"/>
      <c r="P3703" s="262"/>
      <c r="Q3703" s="173"/>
      <c r="R3703" s="425"/>
      <c r="S3703" s="339"/>
      <c r="T3703" s="427"/>
      <c r="U3703" s="427"/>
      <c r="V3703" s="428"/>
      <c r="W3703" s="429"/>
      <c r="X3703" s="430"/>
      <c r="Y3703" s="33"/>
      <c r="Z3703" s="430"/>
      <c r="AA3703" s="430"/>
      <c r="AB3703" s="258"/>
      <c r="AC3703" s="430"/>
      <c r="AD3703" s="426"/>
      <c r="AE3703" s="428"/>
      <c r="AF3703" s="431"/>
      <c r="AG3703" s="432"/>
      <c r="AH3703" s="430"/>
      <c r="AI3703" s="430"/>
      <c r="AJ3703" s="430"/>
      <c r="AK3703" s="430"/>
      <c r="AL3703" s="430"/>
      <c r="AM3703" s="433"/>
      <c r="AN3703" s="430"/>
      <c r="AO3703" s="430"/>
      <c r="AP3703" s="430"/>
      <c r="AQ3703" s="430"/>
      <c r="AR3703" s="430"/>
      <c r="AS3703" s="430"/>
      <c r="AT3703" s="430"/>
      <c r="AU3703" s="426"/>
      <c r="AV3703" s="174"/>
      <c r="AW3703" s="269"/>
      <c r="AX3703" s="269"/>
      <c r="AY3703" s="270"/>
      <c r="AZ3703" s="435"/>
      <c r="BA3703" s="173"/>
      <c r="BB3703" s="434"/>
      <c r="BC3703" s="434"/>
      <c r="BD3703" s="308"/>
      <c r="BE3703" s="436"/>
      <c r="BF3703" s="274" t="str">
        <f>IFERROR(__xludf.DUMMYFUNCTION("LOWER(Regexreplace(to_text(E3703),""[^A-Za-z0-9]"","""")&amp;""_""&amp;Regexreplace(to_text(F3703),""[^A-Za-z0-9]"",""""))"),"_")</f>
        <v>_</v>
      </c>
      <c r="BG3703" s="275" t="str">
        <f>IFERROR(__xludf.DUMMYFUNCTION("upper(Regexreplace(to_text(E3703),""[^A-Za-z0-9]"","""")&amp;""-""&amp;Regexreplace(to_text(F3703),""[^A-Za-z0-9]"",""""))"),"-")</f>
        <v>-</v>
      </c>
    </row>
    <row r="3704" ht="30.0" customHeight="1">
      <c r="A3704" s="237"/>
      <c r="B3704" s="425"/>
      <c r="C3704" s="257"/>
      <c r="D3704" s="173"/>
      <c r="E3704" s="174"/>
      <c r="F3704" s="173"/>
      <c r="G3704" s="425"/>
      <c r="H3704" s="425"/>
      <c r="I3704" s="258"/>
      <c r="J3704" s="259"/>
      <c r="K3704" s="260"/>
      <c r="L3704" s="442"/>
      <c r="M3704" s="426"/>
      <c r="N3704" s="173"/>
      <c r="O3704" s="173"/>
      <c r="P3704" s="262"/>
      <c r="Q3704" s="173"/>
      <c r="R3704" s="425"/>
      <c r="S3704" s="339"/>
      <c r="T3704" s="427"/>
      <c r="U3704" s="427"/>
      <c r="V3704" s="428"/>
      <c r="W3704" s="429"/>
      <c r="X3704" s="430"/>
      <c r="Y3704" s="33"/>
      <c r="Z3704" s="430"/>
      <c r="AA3704" s="430"/>
      <c r="AB3704" s="258"/>
      <c r="AC3704" s="430"/>
      <c r="AD3704" s="426"/>
      <c r="AE3704" s="428"/>
      <c r="AF3704" s="431"/>
      <c r="AG3704" s="432"/>
      <c r="AH3704" s="430"/>
      <c r="AI3704" s="430"/>
      <c r="AJ3704" s="430"/>
      <c r="AK3704" s="430"/>
      <c r="AL3704" s="430"/>
      <c r="AM3704" s="433"/>
      <c r="AN3704" s="430"/>
      <c r="AO3704" s="430"/>
      <c r="AP3704" s="430"/>
      <c r="AQ3704" s="430"/>
      <c r="AR3704" s="430"/>
      <c r="AS3704" s="430"/>
      <c r="AT3704" s="430"/>
      <c r="AU3704" s="426"/>
      <c r="AV3704" s="174"/>
      <c r="AW3704" s="269"/>
      <c r="AX3704" s="269"/>
      <c r="AY3704" s="270"/>
      <c r="AZ3704" s="435"/>
      <c r="BA3704" s="173"/>
      <c r="BB3704" s="434"/>
      <c r="BC3704" s="434"/>
      <c r="BD3704" s="308"/>
      <c r="BE3704" s="436"/>
      <c r="BF3704" s="274" t="str">
        <f>IFERROR(__xludf.DUMMYFUNCTION("LOWER(Regexreplace(to_text(E3704),""[^A-Za-z0-9]"","""")&amp;""_""&amp;Regexreplace(to_text(F3704),""[^A-Za-z0-9]"",""""))"),"_")</f>
        <v>_</v>
      </c>
      <c r="BG3704" s="275" t="str">
        <f>IFERROR(__xludf.DUMMYFUNCTION("upper(Regexreplace(to_text(E3704),""[^A-Za-z0-9]"","""")&amp;""-""&amp;Regexreplace(to_text(F3704),""[^A-Za-z0-9]"",""""))"),"-")</f>
        <v>-</v>
      </c>
    </row>
    <row r="3705" ht="30.0" customHeight="1">
      <c r="A3705" s="237"/>
      <c r="B3705" s="425"/>
      <c r="C3705" s="257"/>
      <c r="D3705" s="173"/>
      <c r="E3705" s="174"/>
      <c r="F3705" s="173"/>
      <c r="G3705" s="425"/>
      <c r="H3705" s="425"/>
      <c r="I3705" s="258"/>
      <c r="J3705" s="259"/>
      <c r="K3705" s="260"/>
      <c r="L3705" s="442"/>
      <c r="M3705" s="426"/>
      <c r="N3705" s="173"/>
      <c r="O3705" s="173"/>
      <c r="P3705" s="262"/>
      <c r="Q3705" s="173"/>
      <c r="R3705" s="425"/>
      <c r="S3705" s="339"/>
      <c r="T3705" s="427"/>
      <c r="U3705" s="427"/>
      <c r="V3705" s="428"/>
      <c r="W3705" s="429"/>
      <c r="X3705" s="430"/>
      <c r="Y3705" s="33"/>
      <c r="Z3705" s="430"/>
      <c r="AA3705" s="430"/>
      <c r="AB3705" s="258"/>
      <c r="AC3705" s="430"/>
      <c r="AD3705" s="426"/>
      <c r="AE3705" s="428"/>
      <c r="AF3705" s="431"/>
      <c r="AG3705" s="432"/>
      <c r="AH3705" s="430"/>
      <c r="AI3705" s="430"/>
      <c r="AJ3705" s="430"/>
      <c r="AK3705" s="430"/>
      <c r="AL3705" s="430"/>
      <c r="AM3705" s="433"/>
      <c r="AN3705" s="430"/>
      <c r="AO3705" s="430"/>
      <c r="AP3705" s="430"/>
      <c r="AQ3705" s="430"/>
      <c r="AR3705" s="430"/>
      <c r="AS3705" s="430"/>
      <c r="AT3705" s="430"/>
      <c r="AU3705" s="426"/>
      <c r="AV3705" s="174"/>
      <c r="AW3705" s="269"/>
      <c r="AX3705" s="269"/>
      <c r="AY3705" s="270"/>
      <c r="AZ3705" s="435"/>
      <c r="BA3705" s="173"/>
      <c r="BB3705" s="434"/>
      <c r="BC3705" s="434"/>
      <c r="BD3705" s="308"/>
      <c r="BE3705" s="436"/>
      <c r="BF3705" s="274" t="str">
        <f>IFERROR(__xludf.DUMMYFUNCTION("LOWER(Regexreplace(to_text(E3705),""[^A-Za-z0-9]"","""")&amp;""_""&amp;Regexreplace(to_text(F3705),""[^A-Za-z0-9]"",""""))"),"_")</f>
        <v>_</v>
      </c>
      <c r="BG3705" s="275" t="str">
        <f>IFERROR(__xludf.DUMMYFUNCTION("upper(Regexreplace(to_text(E3705),""[^A-Za-z0-9]"","""")&amp;""-""&amp;Regexreplace(to_text(F3705),""[^A-Za-z0-9]"",""""))"),"-")</f>
        <v>-</v>
      </c>
    </row>
    <row r="3706" ht="30.0" customHeight="1">
      <c r="A3706" s="237"/>
      <c r="B3706" s="425"/>
      <c r="C3706" s="257"/>
      <c r="D3706" s="173"/>
      <c r="E3706" s="174"/>
      <c r="F3706" s="173"/>
      <c r="G3706" s="425"/>
      <c r="H3706" s="425"/>
      <c r="I3706" s="258"/>
      <c r="J3706" s="259"/>
      <c r="K3706" s="260"/>
      <c r="L3706" s="442"/>
      <c r="M3706" s="426"/>
      <c r="N3706" s="173"/>
      <c r="O3706" s="173"/>
      <c r="P3706" s="262"/>
      <c r="Q3706" s="173"/>
      <c r="R3706" s="425"/>
      <c r="S3706" s="339"/>
      <c r="T3706" s="427"/>
      <c r="U3706" s="427"/>
      <c r="V3706" s="428"/>
      <c r="W3706" s="429"/>
      <c r="X3706" s="430"/>
      <c r="Y3706" s="33"/>
      <c r="Z3706" s="430"/>
      <c r="AA3706" s="430"/>
      <c r="AB3706" s="258"/>
      <c r="AC3706" s="430"/>
      <c r="AD3706" s="426"/>
      <c r="AE3706" s="428"/>
      <c r="AF3706" s="431"/>
      <c r="AG3706" s="432"/>
      <c r="AH3706" s="430"/>
      <c r="AI3706" s="430"/>
      <c r="AJ3706" s="430"/>
      <c r="AK3706" s="430"/>
      <c r="AL3706" s="430"/>
      <c r="AM3706" s="433"/>
      <c r="AN3706" s="430"/>
      <c r="AO3706" s="430"/>
      <c r="AP3706" s="430"/>
      <c r="AQ3706" s="430"/>
      <c r="AR3706" s="430"/>
      <c r="AS3706" s="430"/>
      <c r="AT3706" s="430"/>
      <c r="AU3706" s="426"/>
      <c r="AV3706" s="174"/>
      <c r="AW3706" s="269"/>
      <c r="AX3706" s="269"/>
      <c r="AY3706" s="270"/>
      <c r="AZ3706" s="435"/>
      <c r="BA3706" s="173"/>
      <c r="BB3706" s="434"/>
      <c r="BC3706" s="434"/>
      <c r="BD3706" s="308"/>
      <c r="BE3706" s="436"/>
      <c r="BF3706" s="274" t="str">
        <f>IFERROR(__xludf.DUMMYFUNCTION("LOWER(Regexreplace(to_text(E3706),""[^A-Za-z0-9]"","""")&amp;""_""&amp;Regexreplace(to_text(F3706),""[^A-Za-z0-9]"",""""))"),"_")</f>
        <v>_</v>
      </c>
      <c r="BG3706" s="275" t="str">
        <f>IFERROR(__xludf.DUMMYFUNCTION("upper(Regexreplace(to_text(E3706),""[^A-Za-z0-9]"","""")&amp;""-""&amp;Regexreplace(to_text(F3706),""[^A-Za-z0-9]"",""""))"),"-")</f>
        <v>-</v>
      </c>
    </row>
    <row r="3707" ht="30.0" customHeight="1">
      <c r="A3707" s="237"/>
      <c r="B3707" s="425"/>
      <c r="C3707" s="257"/>
      <c r="D3707" s="173"/>
      <c r="E3707" s="174"/>
      <c r="F3707" s="173"/>
      <c r="G3707" s="425"/>
      <c r="H3707" s="425"/>
      <c r="I3707" s="258"/>
      <c r="J3707" s="259"/>
      <c r="K3707" s="260"/>
      <c r="L3707" s="442"/>
      <c r="M3707" s="426"/>
      <c r="N3707" s="173"/>
      <c r="O3707" s="173"/>
      <c r="P3707" s="262"/>
      <c r="Q3707" s="173"/>
      <c r="R3707" s="425"/>
      <c r="S3707" s="339"/>
      <c r="T3707" s="427"/>
      <c r="U3707" s="427"/>
      <c r="V3707" s="428"/>
      <c r="W3707" s="429"/>
      <c r="X3707" s="430"/>
      <c r="Y3707" s="33"/>
      <c r="Z3707" s="430"/>
      <c r="AA3707" s="430"/>
      <c r="AB3707" s="258"/>
      <c r="AC3707" s="430"/>
      <c r="AD3707" s="426"/>
      <c r="AE3707" s="428"/>
      <c r="AF3707" s="431"/>
      <c r="AG3707" s="432"/>
      <c r="AH3707" s="430"/>
      <c r="AI3707" s="430"/>
      <c r="AJ3707" s="430"/>
      <c r="AK3707" s="430"/>
      <c r="AL3707" s="430"/>
      <c r="AM3707" s="433"/>
      <c r="AN3707" s="430"/>
      <c r="AO3707" s="430"/>
      <c r="AP3707" s="430"/>
      <c r="AQ3707" s="430"/>
      <c r="AR3707" s="430"/>
      <c r="AS3707" s="430"/>
      <c r="AT3707" s="430"/>
      <c r="AU3707" s="426"/>
      <c r="AV3707" s="174"/>
      <c r="AW3707" s="269"/>
      <c r="AX3707" s="269"/>
      <c r="AY3707" s="270"/>
      <c r="AZ3707" s="435"/>
      <c r="BA3707" s="173"/>
      <c r="BB3707" s="434"/>
      <c r="BC3707" s="434"/>
      <c r="BD3707" s="308"/>
      <c r="BE3707" s="436"/>
      <c r="BF3707" s="274" t="str">
        <f>IFERROR(__xludf.DUMMYFUNCTION("LOWER(Regexreplace(to_text(E3707),""[^A-Za-z0-9]"","""")&amp;""_""&amp;Regexreplace(to_text(F3707),""[^A-Za-z0-9]"",""""))"),"_")</f>
        <v>_</v>
      </c>
      <c r="BG3707" s="275" t="str">
        <f>IFERROR(__xludf.DUMMYFUNCTION("upper(Regexreplace(to_text(E3707),""[^A-Za-z0-9]"","""")&amp;""-""&amp;Regexreplace(to_text(F3707),""[^A-Za-z0-9]"",""""))"),"-")</f>
        <v>-</v>
      </c>
    </row>
    <row r="3708" ht="30.0" customHeight="1">
      <c r="A3708" s="237"/>
      <c r="B3708" s="425"/>
      <c r="C3708" s="257"/>
      <c r="D3708" s="173"/>
      <c r="E3708" s="174"/>
      <c r="F3708" s="173"/>
      <c r="G3708" s="425"/>
      <c r="H3708" s="425"/>
      <c r="I3708" s="258"/>
      <c r="J3708" s="259"/>
      <c r="K3708" s="260"/>
      <c r="L3708" s="442"/>
      <c r="M3708" s="426"/>
      <c r="N3708" s="173"/>
      <c r="O3708" s="173"/>
      <c r="P3708" s="262"/>
      <c r="Q3708" s="173"/>
      <c r="R3708" s="425"/>
      <c r="S3708" s="339"/>
      <c r="T3708" s="427"/>
      <c r="U3708" s="427"/>
      <c r="V3708" s="428"/>
      <c r="W3708" s="429"/>
      <c r="X3708" s="430"/>
      <c r="Y3708" s="33"/>
      <c r="Z3708" s="430"/>
      <c r="AA3708" s="430"/>
      <c r="AB3708" s="258"/>
      <c r="AC3708" s="430"/>
      <c r="AD3708" s="426"/>
      <c r="AE3708" s="428"/>
      <c r="AF3708" s="431"/>
      <c r="AG3708" s="432"/>
      <c r="AH3708" s="430"/>
      <c r="AI3708" s="430"/>
      <c r="AJ3708" s="430"/>
      <c r="AK3708" s="430"/>
      <c r="AL3708" s="430"/>
      <c r="AM3708" s="433"/>
      <c r="AN3708" s="430"/>
      <c r="AO3708" s="430"/>
      <c r="AP3708" s="430"/>
      <c r="AQ3708" s="430"/>
      <c r="AR3708" s="430"/>
      <c r="AS3708" s="430"/>
      <c r="AT3708" s="430"/>
      <c r="AU3708" s="426"/>
      <c r="AV3708" s="174"/>
      <c r="AW3708" s="269"/>
      <c r="AX3708" s="269"/>
      <c r="AY3708" s="270"/>
      <c r="AZ3708" s="435"/>
      <c r="BA3708" s="173"/>
      <c r="BB3708" s="434"/>
      <c r="BC3708" s="434"/>
      <c r="BD3708" s="308"/>
      <c r="BE3708" s="436"/>
      <c r="BF3708" s="274" t="str">
        <f>IFERROR(__xludf.DUMMYFUNCTION("LOWER(Regexreplace(to_text(E3708),""[^A-Za-z0-9]"","""")&amp;""_""&amp;Regexreplace(to_text(F3708),""[^A-Za-z0-9]"",""""))"),"_")</f>
        <v>_</v>
      </c>
      <c r="BG3708" s="275" t="str">
        <f>IFERROR(__xludf.DUMMYFUNCTION("upper(Regexreplace(to_text(E3708),""[^A-Za-z0-9]"","""")&amp;""-""&amp;Regexreplace(to_text(F3708),""[^A-Za-z0-9]"",""""))"),"-")</f>
        <v>-</v>
      </c>
    </row>
    <row r="3709" ht="30.0" customHeight="1">
      <c r="A3709" s="237"/>
      <c r="B3709" s="425"/>
      <c r="C3709" s="257"/>
      <c r="D3709" s="173"/>
      <c r="E3709" s="174"/>
      <c r="F3709" s="173"/>
      <c r="G3709" s="425"/>
      <c r="H3709" s="425"/>
      <c r="I3709" s="258"/>
      <c r="J3709" s="259"/>
      <c r="K3709" s="260"/>
      <c r="L3709" s="442"/>
      <c r="M3709" s="426"/>
      <c r="N3709" s="173"/>
      <c r="O3709" s="173"/>
      <c r="P3709" s="262"/>
      <c r="Q3709" s="173"/>
      <c r="R3709" s="425"/>
      <c r="S3709" s="339"/>
      <c r="T3709" s="427"/>
      <c r="U3709" s="427"/>
      <c r="V3709" s="428"/>
      <c r="W3709" s="429"/>
      <c r="X3709" s="430"/>
      <c r="Y3709" s="33"/>
      <c r="Z3709" s="430"/>
      <c r="AA3709" s="430"/>
      <c r="AB3709" s="258"/>
      <c r="AC3709" s="430"/>
      <c r="AD3709" s="426"/>
      <c r="AE3709" s="428"/>
      <c r="AF3709" s="431"/>
      <c r="AG3709" s="432"/>
      <c r="AH3709" s="430"/>
      <c r="AI3709" s="430"/>
      <c r="AJ3709" s="430"/>
      <c r="AK3709" s="430"/>
      <c r="AL3709" s="430"/>
      <c r="AM3709" s="433"/>
      <c r="AN3709" s="430"/>
      <c r="AO3709" s="430"/>
      <c r="AP3709" s="430"/>
      <c r="AQ3709" s="430"/>
      <c r="AR3709" s="430"/>
      <c r="AS3709" s="430"/>
      <c r="AT3709" s="430"/>
      <c r="AU3709" s="426"/>
      <c r="AV3709" s="174"/>
      <c r="AW3709" s="269"/>
      <c r="AX3709" s="269"/>
      <c r="AY3709" s="270"/>
      <c r="AZ3709" s="435"/>
      <c r="BA3709" s="173"/>
      <c r="BB3709" s="434"/>
      <c r="BC3709" s="434"/>
      <c r="BD3709" s="308"/>
      <c r="BE3709" s="436"/>
      <c r="BF3709" s="274" t="str">
        <f>IFERROR(__xludf.DUMMYFUNCTION("LOWER(Regexreplace(to_text(E3709),""[^A-Za-z0-9]"","""")&amp;""_""&amp;Regexreplace(to_text(F3709),""[^A-Za-z0-9]"",""""))"),"_")</f>
        <v>_</v>
      </c>
      <c r="BG3709" s="275" t="str">
        <f>IFERROR(__xludf.DUMMYFUNCTION("upper(Regexreplace(to_text(E3709),""[^A-Za-z0-9]"","""")&amp;""-""&amp;Regexreplace(to_text(F3709),""[^A-Za-z0-9]"",""""))"),"-")</f>
        <v>-</v>
      </c>
    </row>
    <row r="3710" ht="30.0" customHeight="1">
      <c r="A3710" s="237"/>
      <c r="B3710" s="425"/>
      <c r="C3710" s="257"/>
      <c r="D3710" s="173"/>
      <c r="E3710" s="174"/>
      <c r="F3710" s="173"/>
      <c r="G3710" s="425"/>
      <c r="H3710" s="425"/>
      <c r="I3710" s="258"/>
      <c r="J3710" s="259"/>
      <c r="K3710" s="260"/>
      <c r="L3710" s="442"/>
      <c r="M3710" s="426"/>
      <c r="N3710" s="173"/>
      <c r="O3710" s="173"/>
      <c r="P3710" s="262"/>
      <c r="Q3710" s="173"/>
      <c r="R3710" s="425"/>
      <c r="S3710" s="339"/>
      <c r="T3710" s="427"/>
      <c r="U3710" s="427"/>
      <c r="V3710" s="428"/>
      <c r="W3710" s="429"/>
      <c r="X3710" s="430"/>
      <c r="Y3710" s="33"/>
      <c r="Z3710" s="430"/>
      <c r="AA3710" s="430"/>
      <c r="AB3710" s="258"/>
      <c r="AC3710" s="430"/>
      <c r="AD3710" s="426"/>
      <c r="AE3710" s="428"/>
      <c r="AF3710" s="431"/>
      <c r="AG3710" s="432"/>
      <c r="AH3710" s="430"/>
      <c r="AI3710" s="430"/>
      <c r="AJ3710" s="430"/>
      <c r="AK3710" s="430"/>
      <c r="AL3710" s="430"/>
      <c r="AM3710" s="433"/>
      <c r="AN3710" s="430"/>
      <c r="AO3710" s="430"/>
      <c r="AP3710" s="430"/>
      <c r="AQ3710" s="430"/>
      <c r="AR3710" s="430"/>
      <c r="AS3710" s="430"/>
      <c r="AT3710" s="430"/>
      <c r="AU3710" s="426"/>
      <c r="AV3710" s="174"/>
      <c r="AW3710" s="269"/>
      <c r="AX3710" s="269"/>
      <c r="AY3710" s="270"/>
      <c r="AZ3710" s="435"/>
      <c r="BA3710" s="173"/>
      <c r="BB3710" s="434"/>
      <c r="BC3710" s="434"/>
      <c r="BD3710" s="308"/>
      <c r="BE3710" s="436"/>
      <c r="BF3710" s="274" t="str">
        <f>IFERROR(__xludf.DUMMYFUNCTION("LOWER(Regexreplace(to_text(E3710),""[^A-Za-z0-9]"","""")&amp;""_""&amp;Regexreplace(to_text(F3710),""[^A-Za-z0-9]"",""""))"),"_")</f>
        <v>_</v>
      </c>
      <c r="BG3710" s="275" t="str">
        <f>IFERROR(__xludf.DUMMYFUNCTION("upper(Regexreplace(to_text(E3710),""[^A-Za-z0-9]"","""")&amp;""-""&amp;Regexreplace(to_text(F3710),""[^A-Za-z0-9]"",""""))"),"-")</f>
        <v>-</v>
      </c>
    </row>
    <row r="3711" ht="30.0" customHeight="1">
      <c r="A3711" s="237"/>
      <c r="B3711" s="425"/>
      <c r="C3711" s="257"/>
      <c r="D3711" s="173"/>
      <c r="E3711" s="174"/>
      <c r="F3711" s="173"/>
      <c r="G3711" s="425"/>
      <c r="H3711" s="425"/>
      <c r="I3711" s="258"/>
      <c r="J3711" s="259"/>
      <c r="K3711" s="260"/>
      <c r="L3711" s="442"/>
      <c r="M3711" s="426"/>
      <c r="N3711" s="173"/>
      <c r="O3711" s="173"/>
      <c r="P3711" s="262"/>
      <c r="Q3711" s="173"/>
      <c r="R3711" s="425"/>
      <c r="S3711" s="339"/>
      <c r="T3711" s="427"/>
      <c r="U3711" s="427"/>
      <c r="V3711" s="428"/>
      <c r="W3711" s="429"/>
      <c r="X3711" s="430"/>
      <c r="Y3711" s="33"/>
      <c r="Z3711" s="430"/>
      <c r="AA3711" s="430"/>
      <c r="AB3711" s="258"/>
      <c r="AC3711" s="430"/>
      <c r="AD3711" s="426"/>
      <c r="AE3711" s="428"/>
      <c r="AF3711" s="431"/>
      <c r="AG3711" s="432"/>
      <c r="AH3711" s="430"/>
      <c r="AI3711" s="430"/>
      <c r="AJ3711" s="430"/>
      <c r="AK3711" s="430"/>
      <c r="AL3711" s="430"/>
      <c r="AM3711" s="433"/>
      <c r="AN3711" s="430"/>
      <c r="AO3711" s="430"/>
      <c r="AP3711" s="430"/>
      <c r="AQ3711" s="430"/>
      <c r="AR3711" s="430"/>
      <c r="AS3711" s="430"/>
      <c r="AT3711" s="430"/>
      <c r="AU3711" s="426"/>
      <c r="AV3711" s="174"/>
      <c r="AW3711" s="269"/>
      <c r="AX3711" s="269"/>
      <c r="AY3711" s="270"/>
      <c r="AZ3711" s="435"/>
      <c r="BA3711" s="173"/>
      <c r="BB3711" s="434"/>
      <c r="BC3711" s="434"/>
      <c r="BD3711" s="308"/>
      <c r="BE3711" s="436"/>
      <c r="BF3711" s="274" t="str">
        <f>IFERROR(__xludf.DUMMYFUNCTION("LOWER(Regexreplace(to_text(E3711),""[^A-Za-z0-9]"","""")&amp;""_""&amp;Regexreplace(to_text(F3711),""[^A-Za-z0-9]"",""""))"),"_")</f>
        <v>_</v>
      </c>
      <c r="BG3711" s="275" t="str">
        <f>IFERROR(__xludf.DUMMYFUNCTION("upper(Regexreplace(to_text(E3711),""[^A-Za-z0-9]"","""")&amp;""-""&amp;Regexreplace(to_text(F3711),""[^A-Za-z0-9]"",""""))"),"-")</f>
        <v>-</v>
      </c>
    </row>
    <row r="3712" ht="30.0" customHeight="1">
      <c r="A3712" s="237"/>
      <c r="B3712" s="425"/>
      <c r="C3712" s="257"/>
      <c r="D3712" s="173"/>
      <c r="E3712" s="174"/>
      <c r="F3712" s="173"/>
      <c r="G3712" s="425"/>
      <c r="H3712" s="425"/>
      <c r="I3712" s="258"/>
      <c r="J3712" s="259"/>
      <c r="K3712" s="260"/>
      <c r="L3712" s="442"/>
      <c r="M3712" s="426"/>
      <c r="N3712" s="173"/>
      <c r="O3712" s="173"/>
      <c r="P3712" s="262"/>
      <c r="Q3712" s="173"/>
      <c r="R3712" s="425"/>
      <c r="S3712" s="339"/>
      <c r="T3712" s="427"/>
      <c r="U3712" s="427"/>
      <c r="V3712" s="428"/>
      <c r="W3712" s="429"/>
      <c r="X3712" s="430"/>
      <c r="Y3712" s="33"/>
      <c r="Z3712" s="430"/>
      <c r="AA3712" s="430"/>
      <c r="AB3712" s="258"/>
      <c r="AC3712" s="430"/>
      <c r="AD3712" s="426"/>
      <c r="AE3712" s="428"/>
      <c r="AF3712" s="431"/>
      <c r="AG3712" s="432"/>
      <c r="AH3712" s="430"/>
      <c r="AI3712" s="430"/>
      <c r="AJ3712" s="430"/>
      <c r="AK3712" s="430"/>
      <c r="AL3712" s="430"/>
      <c r="AM3712" s="433"/>
      <c r="AN3712" s="430"/>
      <c r="AO3712" s="430"/>
      <c r="AP3712" s="430"/>
      <c r="AQ3712" s="430"/>
      <c r="AR3712" s="430"/>
      <c r="AS3712" s="430"/>
      <c r="AT3712" s="430"/>
      <c r="AU3712" s="426"/>
      <c r="AV3712" s="174"/>
      <c r="AW3712" s="269"/>
      <c r="AX3712" s="269"/>
      <c r="AY3712" s="270"/>
      <c r="AZ3712" s="435"/>
      <c r="BA3712" s="173"/>
      <c r="BB3712" s="434"/>
      <c r="BC3712" s="434"/>
      <c r="BD3712" s="308"/>
      <c r="BE3712" s="436"/>
      <c r="BF3712" s="274" t="str">
        <f>IFERROR(__xludf.DUMMYFUNCTION("LOWER(Regexreplace(to_text(E3712),""[^A-Za-z0-9]"","""")&amp;""_""&amp;Regexreplace(to_text(F3712),""[^A-Za-z0-9]"",""""))"),"_")</f>
        <v>_</v>
      </c>
      <c r="BG3712" s="275" t="str">
        <f>IFERROR(__xludf.DUMMYFUNCTION("upper(Regexreplace(to_text(E3712),""[^A-Za-z0-9]"","""")&amp;""-""&amp;Regexreplace(to_text(F3712),""[^A-Za-z0-9]"",""""))"),"-")</f>
        <v>-</v>
      </c>
    </row>
    <row r="3713" ht="30.0" customHeight="1">
      <c r="A3713" s="237"/>
      <c r="B3713" s="425"/>
      <c r="C3713" s="257"/>
      <c r="D3713" s="173"/>
      <c r="E3713" s="174"/>
      <c r="F3713" s="173"/>
      <c r="G3713" s="425"/>
      <c r="H3713" s="425"/>
      <c r="I3713" s="258"/>
      <c r="J3713" s="259"/>
      <c r="K3713" s="260"/>
      <c r="L3713" s="442"/>
      <c r="M3713" s="426"/>
      <c r="N3713" s="173"/>
      <c r="O3713" s="173"/>
      <c r="P3713" s="262"/>
      <c r="Q3713" s="173"/>
      <c r="R3713" s="425"/>
      <c r="S3713" s="339"/>
      <c r="T3713" s="427"/>
      <c r="U3713" s="427"/>
      <c r="V3713" s="428"/>
      <c r="W3713" s="429"/>
      <c r="X3713" s="430"/>
      <c r="Y3713" s="33"/>
      <c r="Z3713" s="430"/>
      <c r="AA3713" s="430"/>
      <c r="AB3713" s="258"/>
      <c r="AC3713" s="430"/>
      <c r="AD3713" s="426"/>
      <c r="AE3713" s="428"/>
      <c r="AF3713" s="431"/>
      <c r="AG3713" s="432"/>
      <c r="AH3713" s="430"/>
      <c r="AI3713" s="430"/>
      <c r="AJ3713" s="430"/>
      <c r="AK3713" s="430"/>
      <c r="AL3713" s="430"/>
      <c r="AM3713" s="433"/>
      <c r="AN3713" s="430"/>
      <c r="AO3713" s="430"/>
      <c r="AP3713" s="430"/>
      <c r="AQ3713" s="430"/>
      <c r="AR3713" s="430"/>
      <c r="AS3713" s="430"/>
      <c r="AT3713" s="430"/>
      <c r="AU3713" s="426"/>
      <c r="AV3713" s="174"/>
      <c r="AW3713" s="269"/>
      <c r="AX3713" s="269"/>
      <c r="AY3713" s="270"/>
      <c r="AZ3713" s="435"/>
      <c r="BA3713" s="173"/>
      <c r="BB3713" s="434"/>
      <c r="BC3713" s="434"/>
      <c r="BD3713" s="308"/>
      <c r="BE3713" s="436"/>
      <c r="BF3713" s="274" t="str">
        <f>IFERROR(__xludf.DUMMYFUNCTION("LOWER(Regexreplace(to_text(E3713),""[^A-Za-z0-9]"","""")&amp;""_""&amp;Regexreplace(to_text(F3713),""[^A-Za-z0-9]"",""""))"),"_")</f>
        <v>_</v>
      </c>
      <c r="BG3713" s="275" t="str">
        <f>IFERROR(__xludf.DUMMYFUNCTION("upper(Regexreplace(to_text(E3713),""[^A-Za-z0-9]"","""")&amp;""-""&amp;Regexreplace(to_text(F3713),""[^A-Za-z0-9]"",""""))"),"-")</f>
        <v>-</v>
      </c>
    </row>
    <row r="3714" ht="30.0" customHeight="1">
      <c r="A3714" s="237"/>
      <c r="B3714" s="425"/>
      <c r="C3714" s="257"/>
      <c r="D3714" s="173"/>
      <c r="E3714" s="174"/>
      <c r="F3714" s="173"/>
      <c r="G3714" s="425"/>
      <c r="H3714" s="425"/>
      <c r="I3714" s="258"/>
      <c r="J3714" s="259"/>
      <c r="K3714" s="260"/>
      <c r="L3714" s="442"/>
      <c r="M3714" s="426"/>
      <c r="N3714" s="173"/>
      <c r="O3714" s="173"/>
      <c r="P3714" s="262"/>
      <c r="Q3714" s="173"/>
      <c r="R3714" s="425"/>
      <c r="S3714" s="339"/>
      <c r="T3714" s="427"/>
      <c r="U3714" s="427"/>
      <c r="V3714" s="428"/>
      <c r="W3714" s="429"/>
      <c r="X3714" s="430"/>
      <c r="Y3714" s="33"/>
      <c r="Z3714" s="430"/>
      <c r="AA3714" s="430"/>
      <c r="AB3714" s="258"/>
      <c r="AC3714" s="430"/>
      <c r="AD3714" s="426"/>
      <c r="AE3714" s="428"/>
      <c r="AF3714" s="431"/>
      <c r="AG3714" s="432"/>
      <c r="AH3714" s="430"/>
      <c r="AI3714" s="430"/>
      <c r="AJ3714" s="430"/>
      <c r="AK3714" s="430"/>
      <c r="AL3714" s="430"/>
      <c r="AM3714" s="433"/>
      <c r="AN3714" s="430"/>
      <c r="AO3714" s="430"/>
      <c r="AP3714" s="430"/>
      <c r="AQ3714" s="430"/>
      <c r="AR3714" s="430"/>
      <c r="AS3714" s="430"/>
      <c r="AT3714" s="430"/>
      <c r="AU3714" s="426"/>
      <c r="AV3714" s="174"/>
      <c r="AW3714" s="269"/>
      <c r="AX3714" s="269"/>
      <c r="AY3714" s="270"/>
      <c r="AZ3714" s="435"/>
      <c r="BA3714" s="173"/>
      <c r="BB3714" s="434"/>
      <c r="BC3714" s="434"/>
      <c r="BD3714" s="308"/>
      <c r="BE3714" s="436"/>
      <c r="BF3714" s="274" t="str">
        <f>IFERROR(__xludf.DUMMYFUNCTION("LOWER(Regexreplace(to_text(E3714),""[^A-Za-z0-9]"","""")&amp;""_""&amp;Regexreplace(to_text(F3714),""[^A-Za-z0-9]"",""""))"),"_")</f>
        <v>_</v>
      </c>
      <c r="BG3714" s="275" t="str">
        <f>IFERROR(__xludf.DUMMYFUNCTION("upper(Regexreplace(to_text(E3714),""[^A-Za-z0-9]"","""")&amp;""-""&amp;Regexreplace(to_text(F3714),""[^A-Za-z0-9]"",""""))"),"-")</f>
        <v>-</v>
      </c>
    </row>
    <row r="3715" ht="30.0" customHeight="1">
      <c r="A3715" s="237"/>
      <c r="B3715" s="425"/>
      <c r="C3715" s="257"/>
      <c r="D3715" s="173"/>
      <c r="E3715" s="174"/>
      <c r="F3715" s="173"/>
      <c r="G3715" s="425"/>
      <c r="H3715" s="425"/>
      <c r="I3715" s="258"/>
      <c r="J3715" s="259"/>
      <c r="K3715" s="260"/>
      <c r="L3715" s="442"/>
      <c r="M3715" s="426"/>
      <c r="N3715" s="173"/>
      <c r="O3715" s="173"/>
      <c r="P3715" s="262"/>
      <c r="Q3715" s="173"/>
      <c r="R3715" s="425"/>
      <c r="S3715" s="339"/>
      <c r="T3715" s="427"/>
      <c r="U3715" s="427"/>
      <c r="V3715" s="428"/>
      <c r="W3715" s="429"/>
      <c r="X3715" s="430"/>
      <c r="Y3715" s="33"/>
      <c r="Z3715" s="430"/>
      <c r="AA3715" s="430"/>
      <c r="AB3715" s="258"/>
      <c r="AC3715" s="430"/>
      <c r="AD3715" s="426"/>
      <c r="AE3715" s="428"/>
      <c r="AF3715" s="431"/>
      <c r="AG3715" s="432"/>
      <c r="AH3715" s="430"/>
      <c r="AI3715" s="430"/>
      <c r="AJ3715" s="430"/>
      <c r="AK3715" s="430"/>
      <c r="AL3715" s="430"/>
      <c r="AM3715" s="433"/>
      <c r="AN3715" s="430"/>
      <c r="AO3715" s="430"/>
      <c r="AP3715" s="430"/>
      <c r="AQ3715" s="430"/>
      <c r="AR3715" s="430"/>
      <c r="AS3715" s="430"/>
      <c r="AT3715" s="430"/>
      <c r="AU3715" s="426"/>
      <c r="AV3715" s="174"/>
      <c r="AW3715" s="269"/>
      <c r="AX3715" s="269"/>
      <c r="AY3715" s="270"/>
      <c r="AZ3715" s="435"/>
      <c r="BA3715" s="173"/>
      <c r="BB3715" s="434"/>
      <c r="BC3715" s="434"/>
      <c r="BD3715" s="308"/>
      <c r="BE3715" s="436"/>
      <c r="BF3715" s="274" t="str">
        <f>IFERROR(__xludf.DUMMYFUNCTION("LOWER(Regexreplace(to_text(E3715),""[^A-Za-z0-9]"","""")&amp;""_""&amp;Regexreplace(to_text(F3715),""[^A-Za-z0-9]"",""""))"),"_")</f>
        <v>_</v>
      </c>
      <c r="BG3715" s="275" t="str">
        <f>IFERROR(__xludf.DUMMYFUNCTION("upper(Regexreplace(to_text(E3715),""[^A-Za-z0-9]"","""")&amp;""-""&amp;Regexreplace(to_text(F3715),""[^A-Za-z0-9]"",""""))"),"-")</f>
        <v>-</v>
      </c>
    </row>
    <row r="3716" ht="30.0" customHeight="1">
      <c r="A3716" s="237"/>
      <c r="B3716" s="425"/>
      <c r="C3716" s="257"/>
      <c r="D3716" s="173"/>
      <c r="E3716" s="174"/>
      <c r="F3716" s="173"/>
      <c r="G3716" s="425"/>
      <c r="H3716" s="425"/>
      <c r="I3716" s="258"/>
      <c r="J3716" s="259"/>
      <c r="K3716" s="260"/>
      <c r="L3716" s="442"/>
      <c r="M3716" s="426"/>
      <c r="N3716" s="173"/>
      <c r="O3716" s="173"/>
      <c r="P3716" s="262"/>
      <c r="Q3716" s="173"/>
      <c r="R3716" s="425"/>
      <c r="S3716" s="339"/>
      <c r="T3716" s="427"/>
      <c r="U3716" s="427"/>
      <c r="V3716" s="428"/>
      <c r="W3716" s="429"/>
      <c r="X3716" s="430"/>
      <c r="Y3716" s="33"/>
      <c r="Z3716" s="430"/>
      <c r="AA3716" s="430"/>
      <c r="AB3716" s="258"/>
      <c r="AC3716" s="430"/>
      <c r="AD3716" s="426"/>
      <c r="AE3716" s="428"/>
      <c r="AF3716" s="431"/>
      <c r="AG3716" s="432"/>
      <c r="AH3716" s="430"/>
      <c r="AI3716" s="430"/>
      <c r="AJ3716" s="430"/>
      <c r="AK3716" s="430"/>
      <c r="AL3716" s="430"/>
      <c r="AM3716" s="433"/>
      <c r="AN3716" s="430"/>
      <c r="AO3716" s="430"/>
      <c r="AP3716" s="430"/>
      <c r="AQ3716" s="430"/>
      <c r="AR3716" s="430"/>
      <c r="AS3716" s="430"/>
      <c r="AT3716" s="430"/>
      <c r="AU3716" s="426"/>
      <c r="AV3716" s="174"/>
      <c r="AW3716" s="269"/>
      <c r="AX3716" s="269"/>
      <c r="AY3716" s="270"/>
      <c r="AZ3716" s="435"/>
      <c r="BA3716" s="173"/>
      <c r="BB3716" s="434"/>
      <c r="BC3716" s="434"/>
      <c r="BD3716" s="308"/>
      <c r="BE3716" s="436"/>
      <c r="BF3716" s="274" t="str">
        <f>IFERROR(__xludf.DUMMYFUNCTION("LOWER(Regexreplace(to_text(E3716),""[^A-Za-z0-9]"","""")&amp;""_""&amp;Regexreplace(to_text(F3716),""[^A-Za-z0-9]"",""""))"),"_")</f>
        <v>_</v>
      </c>
      <c r="BG3716" s="275" t="str">
        <f>IFERROR(__xludf.DUMMYFUNCTION("upper(Regexreplace(to_text(E3716),""[^A-Za-z0-9]"","""")&amp;""-""&amp;Regexreplace(to_text(F3716),""[^A-Za-z0-9]"",""""))"),"-")</f>
        <v>-</v>
      </c>
    </row>
    <row r="3717" ht="30.0" customHeight="1">
      <c r="A3717" s="237"/>
      <c r="B3717" s="425"/>
      <c r="C3717" s="257"/>
      <c r="D3717" s="173"/>
      <c r="E3717" s="174"/>
      <c r="F3717" s="173"/>
      <c r="G3717" s="425"/>
      <c r="H3717" s="425"/>
      <c r="I3717" s="258"/>
      <c r="J3717" s="259"/>
      <c r="K3717" s="260"/>
      <c r="L3717" s="442"/>
      <c r="M3717" s="426"/>
      <c r="N3717" s="173"/>
      <c r="O3717" s="173"/>
      <c r="P3717" s="262"/>
      <c r="Q3717" s="173"/>
      <c r="R3717" s="425"/>
      <c r="S3717" s="339"/>
      <c r="T3717" s="427"/>
      <c r="U3717" s="427"/>
      <c r="V3717" s="428"/>
      <c r="W3717" s="429"/>
      <c r="X3717" s="430"/>
      <c r="Y3717" s="33"/>
      <c r="Z3717" s="430"/>
      <c r="AA3717" s="430"/>
      <c r="AB3717" s="258"/>
      <c r="AC3717" s="430"/>
      <c r="AD3717" s="426"/>
      <c r="AE3717" s="428"/>
      <c r="AF3717" s="431"/>
      <c r="AG3717" s="432"/>
      <c r="AH3717" s="430"/>
      <c r="AI3717" s="430"/>
      <c r="AJ3717" s="430"/>
      <c r="AK3717" s="430"/>
      <c r="AL3717" s="430"/>
      <c r="AM3717" s="433"/>
      <c r="AN3717" s="430"/>
      <c r="AO3717" s="430"/>
      <c r="AP3717" s="430"/>
      <c r="AQ3717" s="430"/>
      <c r="AR3717" s="430"/>
      <c r="AS3717" s="430"/>
      <c r="AT3717" s="430"/>
      <c r="AU3717" s="426"/>
      <c r="AV3717" s="174"/>
      <c r="AW3717" s="269"/>
      <c r="AX3717" s="269"/>
      <c r="AY3717" s="270"/>
      <c r="AZ3717" s="435"/>
      <c r="BA3717" s="173"/>
      <c r="BB3717" s="434"/>
      <c r="BC3717" s="434"/>
      <c r="BD3717" s="308"/>
      <c r="BE3717" s="436"/>
      <c r="BF3717" s="274" t="str">
        <f>IFERROR(__xludf.DUMMYFUNCTION("LOWER(Regexreplace(to_text(E3717),""[^A-Za-z0-9]"","""")&amp;""_""&amp;Regexreplace(to_text(F3717),""[^A-Za-z0-9]"",""""))"),"_")</f>
        <v>_</v>
      </c>
      <c r="BG3717" s="275" t="str">
        <f>IFERROR(__xludf.DUMMYFUNCTION("upper(Regexreplace(to_text(E3717),""[^A-Za-z0-9]"","""")&amp;""-""&amp;Regexreplace(to_text(F3717),""[^A-Za-z0-9]"",""""))"),"-")</f>
        <v>-</v>
      </c>
    </row>
    <row r="3718" ht="30.0" customHeight="1">
      <c r="A3718" s="237"/>
      <c r="B3718" s="425"/>
      <c r="C3718" s="257"/>
      <c r="D3718" s="173"/>
      <c r="E3718" s="174"/>
      <c r="F3718" s="173"/>
      <c r="G3718" s="425"/>
      <c r="H3718" s="425"/>
      <c r="I3718" s="258"/>
      <c r="J3718" s="259"/>
      <c r="K3718" s="260"/>
      <c r="L3718" s="442"/>
      <c r="M3718" s="426"/>
      <c r="N3718" s="173"/>
      <c r="O3718" s="173"/>
      <c r="P3718" s="262"/>
      <c r="Q3718" s="173"/>
      <c r="R3718" s="425"/>
      <c r="S3718" s="339"/>
      <c r="T3718" s="427"/>
      <c r="U3718" s="427"/>
      <c r="V3718" s="428"/>
      <c r="W3718" s="429"/>
      <c r="X3718" s="430"/>
      <c r="Y3718" s="33"/>
      <c r="Z3718" s="430"/>
      <c r="AA3718" s="430"/>
      <c r="AB3718" s="258"/>
      <c r="AC3718" s="430"/>
      <c r="AD3718" s="426"/>
      <c r="AE3718" s="428"/>
      <c r="AF3718" s="431"/>
      <c r="AG3718" s="432"/>
      <c r="AH3718" s="430"/>
      <c r="AI3718" s="430"/>
      <c r="AJ3718" s="430"/>
      <c r="AK3718" s="430"/>
      <c r="AL3718" s="430"/>
      <c r="AM3718" s="433"/>
      <c r="AN3718" s="430"/>
      <c r="AO3718" s="430"/>
      <c r="AP3718" s="430"/>
      <c r="AQ3718" s="430"/>
      <c r="AR3718" s="430"/>
      <c r="AS3718" s="430"/>
      <c r="AT3718" s="430"/>
      <c r="AU3718" s="426"/>
      <c r="AV3718" s="174"/>
      <c r="AW3718" s="269"/>
      <c r="AX3718" s="269"/>
      <c r="AY3718" s="270"/>
      <c r="AZ3718" s="435"/>
      <c r="BA3718" s="173"/>
      <c r="BB3718" s="434"/>
      <c r="BC3718" s="434"/>
      <c r="BD3718" s="308"/>
      <c r="BE3718" s="436"/>
      <c r="BF3718" s="274" t="str">
        <f>IFERROR(__xludf.DUMMYFUNCTION("LOWER(Regexreplace(to_text(E3718),""[^A-Za-z0-9]"","""")&amp;""_""&amp;Regexreplace(to_text(F3718),""[^A-Za-z0-9]"",""""))"),"_")</f>
        <v>_</v>
      </c>
      <c r="BG3718" s="275" t="str">
        <f>IFERROR(__xludf.DUMMYFUNCTION("upper(Regexreplace(to_text(E3718),""[^A-Za-z0-9]"","""")&amp;""-""&amp;Regexreplace(to_text(F3718),""[^A-Za-z0-9]"",""""))"),"-")</f>
        <v>-</v>
      </c>
    </row>
    <row r="3719" ht="30.0" customHeight="1">
      <c r="A3719" s="237"/>
      <c r="B3719" s="425"/>
      <c r="C3719" s="257"/>
      <c r="D3719" s="173"/>
      <c r="E3719" s="174"/>
      <c r="F3719" s="173"/>
      <c r="G3719" s="425"/>
      <c r="H3719" s="425"/>
      <c r="I3719" s="258"/>
      <c r="J3719" s="259"/>
      <c r="K3719" s="260"/>
      <c r="L3719" s="442"/>
      <c r="M3719" s="426"/>
      <c r="N3719" s="173"/>
      <c r="O3719" s="173"/>
      <c r="P3719" s="262"/>
      <c r="Q3719" s="173"/>
      <c r="R3719" s="425"/>
      <c r="S3719" s="339"/>
      <c r="T3719" s="427"/>
      <c r="U3719" s="427"/>
      <c r="V3719" s="428"/>
      <c r="W3719" s="429"/>
      <c r="X3719" s="430"/>
      <c r="Y3719" s="33"/>
      <c r="Z3719" s="430"/>
      <c r="AA3719" s="430"/>
      <c r="AB3719" s="258"/>
      <c r="AC3719" s="430"/>
      <c r="AD3719" s="426"/>
      <c r="AE3719" s="428"/>
      <c r="AF3719" s="431"/>
      <c r="AG3719" s="432"/>
      <c r="AH3719" s="430"/>
      <c r="AI3719" s="430"/>
      <c r="AJ3719" s="430"/>
      <c r="AK3719" s="430"/>
      <c r="AL3719" s="430"/>
      <c r="AM3719" s="433"/>
      <c r="AN3719" s="430"/>
      <c r="AO3719" s="430"/>
      <c r="AP3719" s="430"/>
      <c r="AQ3719" s="430"/>
      <c r="AR3719" s="430"/>
      <c r="AS3719" s="430"/>
      <c r="AT3719" s="430"/>
      <c r="AU3719" s="426"/>
      <c r="AV3719" s="174"/>
      <c r="AW3719" s="269"/>
      <c r="AX3719" s="269"/>
      <c r="AY3719" s="270"/>
      <c r="AZ3719" s="435"/>
      <c r="BA3719" s="173"/>
      <c r="BB3719" s="434"/>
      <c r="BC3719" s="434"/>
      <c r="BD3719" s="308"/>
      <c r="BE3719" s="436"/>
      <c r="BF3719" s="274" t="str">
        <f>IFERROR(__xludf.DUMMYFUNCTION("LOWER(Regexreplace(to_text(E3719),""[^A-Za-z0-9]"","""")&amp;""_""&amp;Regexreplace(to_text(F3719),""[^A-Za-z0-9]"",""""))"),"_")</f>
        <v>_</v>
      </c>
      <c r="BG3719" s="275" t="str">
        <f>IFERROR(__xludf.DUMMYFUNCTION("upper(Regexreplace(to_text(E3719),""[^A-Za-z0-9]"","""")&amp;""-""&amp;Regexreplace(to_text(F3719),""[^A-Za-z0-9]"",""""))"),"-")</f>
        <v>-</v>
      </c>
    </row>
    <row r="3720" ht="30.0" customHeight="1">
      <c r="A3720" s="237"/>
      <c r="B3720" s="425"/>
      <c r="C3720" s="257"/>
      <c r="D3720" s="173"/>
      <c r="E3720" s="174"/>
      <c r="F3720" s="173"/>
      <c r="G3720" s="425"/>
      <c r="H3720" s="425"/>
      <c r="I3720" s="258"/>
      <c r="J3720" s="259"/>
      <c r="K3720" s="260"/>
      <c r="L3720" s="442"/>
      <c r="M3720" s="426"/>
      <c r="N3720" s="173"/>
      <c r="O3720" s="173"/>
      <c r="P3720" s="262"/>
      <c r="Q3720" s="173"/>
      <c r="R3720" s="425"/>
      <c r="S3720" s="339"/>
      <c r="T3720" s="427"/>
      <c r="U3720" s="427"/>
      <c r="V3720" s="428"/>
      <c r="W3720" s="429"/>
      <c r="X3720" s="430"/>
      <c r="Y3720" s="33"/>
      <c r="Z3720" s="430"/>
      <c r="AA3720" s="430"/>
      <c r="AB3720" s="258"/>
      <c r="AC3720" s="430"/>
      <c r="AD3720" s="426"/>
      <c r="AE3720" s="428"/>
      <c r="AF3720" s="431"/>
      <c r="AG3720" s="432"/>
      <c r="AH3720" s="430"/>
      <c r="AI3720" s="430"/>
      <c r="AJ3720" s="430"/>
      <c r="AK3720" s="430"/>
      <c r="AL3720" s="430"/>
      <c r="AM3720" s="433"/>
      <c r="AN3720" s="430"/>
      <c r="AO3720" s="430"/>
      <c r="AP3720" s="430"/>
      <c r="AQ3720" s="430"/>
      <c r="AR3720" s="430"/>
      <c r="AS3720" s="430"/>
      <c r="AT3720" s="430"/>
      <c r="AU3720" s="426"/>
      <c r="AV3720" s="174"/>
      <c r="AW3720" s="269"/>
      <c r="AX3720" s="269"/>
      <c r="AY3720" s="270"/>
      <c r="AZ3720" s="435"/>
      <c r="BA3720" s="173"/>
      <c r="BB3720" s="434"/>
      <c r="BC3720" s="434"/>
      <c r="BD3720" s="308"/>
      <c r="BE3720" s="436"/>
      <c r="BF3720" s="274" t="str">
        <f>IFERROR(__xludf.DUMMYFUNCTION("LOWER(Regexreplace(to_text(E3720),""[^A-Za-z0-9]"","""")&amp;""_""&amp;Regexreplace(to_text(F3720),""[^A-Za-z0-9]"",""""))"),"_")</f>
        <v>_</v>
      </c>
      <c r="BG3720" s="275" t="str">
        <f>IFERROR(__xludf.DUMMYFUNCTION("upper(Regexreplace(to_text(E3720),""[^A-Za-z0-9]"","""")&amp;""-""&amp;Regexreplace(to_text(F3720),""[^A-Za-z0-9]"",""""))"),"-")</f>
        <v>-</v>
      </c>
    </row>
    <row r="3721" ht="30.0" customHeight="1">
      <c r="A3721" s="237"/>
      <c r="B3721" s="425"/>
      <c r="C3721" s="257"/>
      <c r="D3721" s="173"/>
      <c r="E3721" s="174"/>
      <c r="F3721" s="173"/>
      <c r="G3721" s="425"/>
      <c r="H3721" s="425"/>
      <c r="I3721" s="258"/>
      <c r="J3721" s="259"/>
      <c r="K3721" s="260"/>
      <c r="L3721" s="442"/>
      <c r="M3721" s="426"/>
      <c r="N3721" s="173"/>
      <c r="O3721" s="173"/>
      <c r="P3721" s="262"/>
      <c r="Q3721" s="173"/>
      <c r="R3721" s="425"/>
      <c r="S3721" s="339"/>
      <c r="T3721" s="427"/>
      <c r="U3721" s="427"/>
      <c r="V3721" s="428"/>
      <c r="W3721" s="429"/>
      <c r="X3721" s="430"/>
      <c r="Y3721" s="33"/>
      <c r="Z3721" s="430"/>
      <c r="AA3721" s="430"/>
      <c r="AB3721" s="258"/>
      <c r="AC3721" s="430"/>
      <c r="AD3721" s="426"/>
      <c r="AE3721" s="428"/>
      <c r="AF3721" s="431"/>
      <c r="AG3721" s="432"/>
      <c r="AH3721" s="430"/>
      <c r="AI3721" s="430"/>
      <c r="AJ3721" s="430"/>
      <c r="AK3721" s="430"/>
      <c r="AL3721" s="430"/>
      <c r="AM3721" s="433"/>
      <c r="AN3721" s="430"/>
      <c r="AO3721" s="430"/>
      <c r="AP3721" s="430"/>
      <c r="AQ3721" s="430"/>
      <c r="AR3721" s="430"/>
      <c r="AS3721" s="430"/>
      <c r="AT3721" s="430"/>
      <c r="AU3721" s="426"/>
      <c r="AV3721" s="174"/>
      <c r="AW3721" s="269"/>
      <c r="AX3721" s="269"/>
      <c r="AY3721" s="270"/>
      <c r="AZ3721" s="435"/>
      <c r="BA3721" s="173"/>
      <c r="BB3721" s="434"/>
      <c r="BC3721" s="434"/>
      <c r="BD3721" s="308"/>
      <c r="BE3721" s="436"/>
      <c r="BF3721" s="274" t="str">
        <f>IFERROR(__xludf.DUMMYFUNCTION("LOWER(Regexreplace(to_text(E3721),""[^A-Za-z0-9]"","""")&amp;""_""&amp;Regexreplace(to_text(F3721),""[^A-Za-z0-9]"",""""))"),"_")</f>
        <v>_</v>
      </c>
      <c r="BG3721" s="275" t="str">
        <f>IFERROR(__xludf.DUMMYFUNCTION("upper(Regexreplace(to_text(E3721),""[^A-Za-z0-9]"","""")&amp;""-""&amp;Regexreplace(to_text(F3721),""[^A-Za-z0-9]"",""""))"),"-")</f>
        <v>-</v>
      </c>
    </row>
    <row r="3722" ht="30.0" customHeight="1">
      <c r="A3722" s="237"/>
      <c r="B3722" s="425"/>
      <c r="C3722" s="257"/>
      <c r="D3722" s="173"/>
      <c r="E3722" s="174"/>
      <c r="F3722" s="173"/>
      <c r="G3722" s="425"/>
      <c r="H3722" s="425"/>
      <c r="I3722" s="258"/>
      <c r="J3722" s="259"/>
      <c r="K3722" s="260"/>
      <c r="L3722" s="442"/>
      <c r="M3722" s="426"/>
      <c r="N3722" s="173"/>
      <c r="O3722" s="173"/>
      <c r="P3722" s="262"/>
      <c r="Q3722" s="173"/>
      <c r="R3722" s="425"/>
      <c r="S3722" s="339"/>
      <c r="T3722" s="427"/>
      <c r="U3722" s="427"/>
      <c r="V3722" s="428"/>
      <c r="W3722" s="429"/>
      <c r="X3722" s="430"/>
      <c r="Y3722" s="33"/>
      <c r="Z3722" s="430"/>
      <c r="AA3722" s="430"/>
      <c r="AB3722" s="258"/>
      <c r="AC3722" s="430"/>
      <c r="AD3722" s="426"/>
      <c r="AE3722" s="428"/>
      <c r="AF3722" s="431"/>
      <c r="AG3722" s="432"/>
      <c r="AH3722" s="430"/>
      <c r="AI3722" s="430"/>
      <c r="AJ3722" s="430"/>
      <c r="AK3722" s="430"/>
      <c r="AL3722" s="430"/>
      <c r="AM3722" s="433"/>
      <c r="AN3722" s="430"/>
      <c r="AO3722" s="430"/>
      <c r="AP3722" s="430"/>
      <c r="AQ3722" s="430"/>
      <c r="AR3722" s="430"/>
      <c r="AS3722" s="430"/>
      <c r="AT3722" s="430"/>
      <c r="AU3722" s="426"/>
      <c r="AV3722" s="174"/>
      <c r="AW3722" s="269"/>
      <c r="AX3722" s="269"/>
      <c r="AY3722" s="270"/>
      <c r="AZ3722" s="435"/>
      <c r="BA3722" s="173"/>
      <c r="BB3722" s="434"/>
      <c r="BC3722" s="434"/>
      <c r="BD3722" s="308"/>
      <c r="BE3722" s="436"/>
      <c r="BF3722" s="274" t="str">
        <f>IFERROR(__xludf.DUMMYFUNCTION("LOWER(Regexreplace(to_text(E3722),""[^A-Za-z0-9]"","""")&amp;""_""&amp;Regexreplace(to_text(F3722),""[^A-Za-z0-9]"",""""))"),"_")</f>
        <v>_</v>
      </c>
      <c r="BG3722" s="275" t="str">
        <f>IFERROR(__xludf.DUMMYFUNCTION("upper(Regexreplace(to_text(E3722),""[^A-Za-z0-9]"","""")&amp;""-""&amp;Regexreplace(to_text(F3722),""[^A-Za-z0-9]"",""""))"),"-")</f>
        <v>-</v>
      </c>
    </row>
    <row r="3723" ht="30.0" customHeight="1">
      <c r="A3723" s="237"/>
      <c r="B3723" s="425"/>
      <c r="C3723" s="257"/>
      <c r="D3723" s="173"/>
      <c r="E3723" s="174"/>
      <c r="F3723" s="173"/>
      <c r="G3723" s="425"/>
      <c r="H3723" s="425"/>
      <c r="I3723" s="258"/>
      <c r="J3723" s="259"/>
      <c r="K3723" s="260"/>
      <c r="L3723" s="442"/>
      <c r="M3723" s="426"/>
      <c r="N3723" s="173"/>
      <c r="O3723" s="173"/>
      <c r="P3723" s="262"/>
      <c r="Q3723" s="173"/>
      <c r="R3723" s="425"/>
      <c r="S3723" s="339"/>
      <c r="T3723" s="427"/>
      <c r="U3723" s="427"/>
      <c r="V3723" s="428"/>
      <c r="W3723" s="429"/>
      <c r="X3723" s="430"/>
      <c r="Y3723" s="33"/>
      <c r="Z3723" s="430"/>
      <c r="AA3723" s="430"/>
      <c r="AB3723" s="258"/>
      <c r="AC3723" s="430"/>
      <c r="AD3723" s="426"/>
      <c r="AE3723" s="428"/>
      <c r="AF3723" s="431"/>
      <c r="AG3723" s="432"/>
      <c r="AH3723" s="430"/>
      <c r="AI3723" s="430"/>
      <c r="AJ3723" s="430"/>
      <c r="AK3723" s="430"/>
      <c r="AL3723" s="430"/>
      <c r="AM3723" s="433"/>
      <c r="AN3723" s="430"/>
      <c r="AO3723" s="430"/>
      <c r="AP3723" s="430"/>
      <c r="AQ3723" s="430"/>
      <c r="AR3723" s="430"/>
      <c r="AS3723" s="430"/>
      <c r="AT3723" s="430"/>
      <c r="AU3723" s="426"/>
      <c r="AV3723" s="174"/>
      <c r="AW3723" s="269"/>
      <c r="AX3723" s="269"/>
      <c r="AY3723" s="270"/>
      <c r="AZ3723" s="435"/>
      <c r="BA3723" s="173"/>
      <c r="BB3723" s="434"/>
      <c r="BC3723" s="434"/>
      <c r="BD3723" s="308"/>
      <c r="BE3723" s="436"/>
      <c r="BF3723" s="274" t="str">
        <f>IFERROR(__xludf.DUMMYFUNCTION("LOWER(Regexreplace(to_text(E3723),""[^A-Za-z0-9]"","""")&amp;""_""&amp;Regexreplace(to_text(F3723),""[^A-Za-z0-9]"",""""))"),"_")</f>
        <v>_</v>
      </c>
      <c r="BG3723" s="275" t="str">
        <f>IFERROR(__xludf.DUMMYFUNCTION("upper(Regexreplace(to_text(E3723),""[^A-Za-z0-9]"","""")&amp;""-""&amp;Regexreplace(to_text(F3723),""[^A-Za-z0-9]"",""""))"),"-")</f>
        <v>-</v>
      </c>
    </row>
    <row r="3724" ht="30.0" customHeight="1">
      <c r="A3724" s="237"/>
      <c r="B3724" s="425"/>
      <c r="C3724" s="257"/>
      <c r="D3724" s="173"/>
      <c r="E3724" s="174"/>
      <c r="F3724" s="173"/>
      <c r="G3724" s="425"/>
      <c r="H3724" s="425"/>
      <c r="I3724" s="258"/>
      <c r="J3724" s="259"/>
      <c r="K3724" s="260"/>
      <c r="L3724" s="442"/>
      <c r="M3724" s="426"/>
      <c r="N3724" s="173"/>
      <c r="O3724" s="173"/>
      <c r="P3724" s="262"/>
      <c r="Q3724" s="173"/>
      <c r="R3724" s="425"/>
      <c r="S3724" s="339"/>
      <c r="T3724" s="427"/>
      <c r="U3724" s="427"/>
      <c r="V3724" s="428"/>
      <c r="W3724" s="429"/>
      <c r="X3724" s="430"/>
      <c r="Y3724" s="33"/>
      <c r="Z3724" s="430"/>
      <c r="AA3724" s="430"/>
      <c r="AB3724" s="258"/>
      <c r="AC3724" s="430"/>
      <c r="AD3724" s="426"/>
      <c r="AE3724" s="428"/>
      <c r="AF3724" s="431"/>
      <c r="AG3724" s="432"/>
      <c r="AH3724" s="430"/>
      <c r="AI3724" s="430"/>
      <c r="AJ3724" s="430"/>
      <c r="AK3724" s="430"/>
      <c r="AL3724" s="430"/>
      <c r="AM3724" s="433"/>
      <c r="AN3724" s="430"/>
      <c r="AO3724" s="430"/>
      <c r="AP3724" s="430"/>
      <c r="AQ3724" s="430"/>
      <c r="AR3724" s="430"/>
      <c r="AS3724" s="430"/>
      <c r="AT3724" s="430"/>
      <c r="AU3724" s="426"/>
      <c r="AV3724" s="174"/>
      <c r="AW3724" s="269"/>
      <c r="AX3724" s="269"/>
      <c r="AY3724" s="270"/>
      <c r="AZ3724" s="435"/>
      <c r="BA3724" s="173"/>
      <c r="BB3724" s="434"/>
      <c r="BC3724" s="434"/>
      <c r="BD3724" s="308"/>
      <c r="BE3724" s="436"/>
      <c r="BF3724" s="274" t="str">
        <f>IFERROR(__xludf.DUMMYFUNCTION("LOWER(Regexreplace(to_text(E3724),""[^A-Za-z0-9]"","""")&amp;""_""&amp;Regexreplace(to_text(F3724),""[^A-Za-z0-9]"",""""))"),"_")</f>
        <v>_</v>
      </c>
      <c r="BG3724" s="275" t="str">
        <f>IFERROR(__xludf.DUMMYFUNCTION("upper(Regexreplace(to_text(E3724),""[^A-Za-z0-9]"","""")&amp;""-""&amp;Regexreplace(to_text(F3724),""[^A-Za-z0-9]"",""""))"),"-")</f>
        <v>-</v>
      </c>
    </row>
    <row r="3725" ht="30.0" customHeight="1">
      <c r="A3725" s="237"/>
      <c r="B3725" s="425"/>
      <c r="C3725" s="257"/>
      <c r="D3725" s="173"/>
      <c r="E3725" s="174"/>
      <c r="F3725" s="173"/>
      <c r="G3725" s="425"/>
      <c r="H3725" s="425"/>
      <c r="I3725" s="258"/>
      <c r="J3725" s="259"/>
      <c r="K3725" s="260"/>
      <c r="L3725" s="442"/>
      <c r="M3725" s="426"/>
      <c r="N3725" s="173"/>
      <c r="O3725" s="173"/>
      <c r="P3725" s="262"/>
      <c r="Q3725" s="173"/>
      <c r="R3725" s="425"/>
      <c r="S3725" s="339"/>
      <c r="T3725" s="427"/>
      <c r="U3725" s="427"/>
      <c r="V3725" s="428"/>
      <c r="W3725" s="429"/>
      <c r="X3725" s="430"/>
      <c r="Y3725" s="33"/>
      <c r="Z3725" s="430"/>
      <c r="AA3725" s="430"/>
      <c r="AB3725" s="258"/>
      <c r="AC3725" s="430"/>
      <c r="AD3725" s="426"/>
      <c r="AE3725" s="428"/>
      <c r="AF3725" s="431"/>
      <c r="AG3725" s="432"/>
      <c r="AH3725" s="430"/>
      <c r="AI3725" s="430"/>
      <c r="AJ3725" s="430"/>
      <c r="AK3725" s="430"/>
      <c r="AL3725" s="430"/>
      <c r="AM3725" s="433"/>
      <c r="AN3725" s="430"/>
      <c r="AO3725" s="430"/>
      <c r="AP3725" s="430"/>
      <c r="AQ3725" s="430"/>
      <c r="AR3725" s="430"/>
      <c r="AS3725" s="430"/>
      <c r="AT3725" s="430"/>
      <c r="AU3725" s="426"/>
      <c r="AV3725" s="174"/>
      <c r="AW3725" s="269"/>
      <c r="AX3725" s="269"/>
      <c r="AY3725" s="270"/>
      <c r="AZ3725" s="435"/>
      <c r="BA3725" s="173"/>
      <c r="BB3725" s="434"/>
      <c r="BC3725" s="434"/>
      <c r="BD3725" s="308"/>
      <c r="BE3725" s="436"/>
      <c r="BF3725" s="274" t="str">
        <f>IFERROR(__xludf.DUMMYFUNCTION("LOWER(Regexreplace(to_text(E3725),""[^A-Za-z0-9]"","""")&amp;""_""&amp;Regexreplace(to_text(F3725),""[^A-Za-z0-9]"",""""))"),"_")</f>
        <v>_</v>
      </c>
      <c r="BG3725" s="275" t="str">
        <f>IFERROR(__xludf.DUMMYFUNCTION("upper(Regexreplace(to_text(E3725),""[^A-Za-z0-9]"","""")&amp;""-""&amp;Regexreplace(to_text(F3725),""[^A-Za-z0-9]"",""""))"),"-")</f>
        <v>-</v>
      </c>
    </row>
    <row r="3726" ht="30.0" customHeight="1">
      <c r="A3726" s="237"/>
      <c r="B3726" s="425"/>
      <c r="C3726" s="257"/>
      <c r="D3726" s="173"/>
      <c r="E3726" s="174"/>
      <c r="F3726" s="173"/>
      <c r="G3726" s="425"/>
      <c r="H3726" s="425"/>
      <c r="I3726" s="258"/>
      <c r="J3726" s="259"/>
      <c r="K3726" s="260"/>
      <c r="L3726" s="442"/>
      <c r="M3726" s="426"/>
      <c r="N3726" s="173"/>
      <c r="O3726" s="173"/>
      <c r="P3726" s="262"/>
      <c r="Q3726" s="173"/>
      <c r="R3726" s="425"/>
      <c r="S3726" s="339"/>
      <c r="T3726" s="427"/>
      <c r="U3726" s="427"/>
      <c r="V3726" s="428"/>
      <c r="W3726" s="429"/>
      <c r="X3726" s="430"/>
      <c r="Y3726" s="33"/>
      <c r="Z3726" s="430"/>
      <c r="AA3726" s="430"/>
      <c r="AB3726" s="258"/>
      <c r="AC3726" s="430"/>
      <c r="AD3726" s="426"/>
      <c r="AE3726" s="428"/>
      <c r="AF3726" s="431"/>
      <c r="AG3726" s="432"/>
      <c r="AH3726" s="430"/>
      <c r="AI3726" s="430"/>
      <c r="AJ3726" s="430"/>
      <c r="AK3726" s="430"/>
      <c r="AL3726" s="430"/>
      <c r="AM3726" s="433"/>
      <c r="AN3726" s="430"/>
      <c r="AO3726" s="430"/>
      <c r="AP3726" s="430"/>
      <c r="AQ3726" s="430"/>
      <c r="AR3726" s="430"/>
      <c r="AS3726" s="430"/>
      <c r="AT3726" s="430"/>
      <c r="AU3726" s="426"/>
      <c r="AV3726" s="174"/>
      <c r="AW3726" s="269"/>
      <c r="AX3726" s="269"/>
      <c r="AY3726" s="270"/>
      <c r="AZ3726" s="435"/>
      <c r="BA3726" s="173"/>
      <c r="BB3726" s="434"/>
      <c r="BC3726" s="434"/>
      <c r="BD3726" s="308"/>
      <c r="BE3726" s="436"/>
      <c r="BF3726" s="274" t="str">
        <f>IFERROR(__xludf.DUMMYFUNCTION("LOWER(Regexreplace(to_text(E3726),""[^A-Za-z0-9]"","""")&amp;""_""&amp;Regexreplace(to_text(F3726),""[^A-Za-z0-9]"",""""))"),"_")</f>
        <v>_</v>
      </c>
      <c r="BG3726" s="275" t="str">
        <f>IFERROR(__xludf.DUMMYFUNCTION("upper(Regexreplace(to_text(E3726),""[^A-Za-z0-9]"","""")&amp;""-""&amp;Regexreplace(to_text(F3726),""[^A-Za-z0-9]"",""""))"),"-")</f>
        <v>-</v>
      </c>
    </row>
    <row r="3727" ht="30.0" customHeight="1">
      <c r="A3727" s="237"/>
      <c r="B3727" s="425"/>
      <c r="C3727" s="257"/>
      <c r="D3727" s="173"/>
      <c r="E3727" s="174"/>
      <c r="F3727" s="173"/>
      <c r="G3727" s="425"/>
      <c r="H3727" s="425"/>
      <c r="I3727" s="258"/>
      <c r="J3727" s="259"/>
      <c r="K3727" s="260"/>
      <c r="L3727" s="442"/>
      <c r="M3727" s="426"/>
      <c r="N3727" s="173"/>
      <c r="O3727" s="173"/>
      <c r="P3727" s="262"/>
      <c r="Q3727" s="173"/>
      <c r="R3727" s="425"/>
      <c r="S3727" s="339"/>
      <c r="T3727" s="427"/>
      <c r="U3727" s="427"/>
      <c r="V3727" s="428"/>
      <c r="W3727" s="429"/>
      <c r="X3727" s="430"/>
      <c r="Y3727" s="33"/>
      <c r="Z3727" s="430"/>
      <c r="AA3727" s="430"/>
      <c r="AB3727" s="258"/>
      <c r="AC3727" s="430"/>
      <c r="AD3727" s="426"/>
      <c r="AE3727" s="428"/>
      <c r="AF3727" s="431"/>
      <c r="AG3727" s="432"/>
      <c r="AH3727" s="430"/>
      <c r="AI3727" s="430"/>
      <c r="AJ3727" s="430"/>
      <c r="AK3727" s="430"/>
      <c r="AL3727" s="430"/>
      <c r="AM3727" s="433"/>
      <c r="AN3727" s="430"/>
      <c r="AO3727" s="430"/>
      <c r="AP3727" s="430"/>
      <c r="AQ3727" s="430"/>
      <c r="AR3727" s="430"/>
      <c r="AS3727" s="430"/>
      <c r="AT3727" s="430"/>
      <c r="AU3727" s="426"/>
      <c r="AV3727" s="174"/>
      <c r="AW3727" s="269"/>
      <c r="AX3727" s="269"/>
      <c r="AY3727" s="270"/>
      <c r="AZ3727" s="435"/>
      <c r="BA3727" s="173"/>
      <c r="BB3727" s="434"/>
      <c r="BC3727" s="434"/>
      <c r="BD3727" s="308"/>
      <c r="BE3727" s="436"/>
      <c r="BF3727" s="274" t="str">
        <f>IFERROR(__xludf.DUMMYFUNCTION("LOWER(Regexreplace(to_text(E3727),""[^A-Za-z0-9]"","""")&amp;""_""&amp;Regexreplace(to_text(F3727),""[^A-Za-z0-9]"",""""))"),"_")</f>
        <v>_</v>
      </c>
      <c r="BG3727" s="275" t="str">
        <f>IFERROR(__xludf.DUMMYFUNCTION("upper(Regexreplace(to_text(E3727),""[^A-Za-z0-9]"","""")&amp;""-""&amp;Regexreplace(to_text(F3727),""[^A-Za-z0-9]"",""""))"),"-")</f>
        <v>-</v>
      </c>
    </row>
    <row r="3728" ht="30.0" customHeight="1">
      <c r="A3728" s="237"/>
      <c r="B3728" s="425"/>
      <c r="C3728" s="257"/>
      <c r="D3728" s="173"/>
      <c r="E3728" s="174"/>
      <c r="F3728" s="173"/>
      <c r="G3728" s="425"/>
      <c r="H3728" s="425"/>
      <c r="I3728" s="258"/>
      <c r="J3728" s="259"/>
      <c r="K3728" s="260"/>
      <c r="L3728" s="442"/>
      <c r="M3728" s="426"/>
      <c r="N3728" s="173"/>
      <c r="O3728" s="173"/>
      <c r="P3728" s="262"/>
      <c r="Q3728" s="173"/>
      <c r="R3728" s="425"/>
      <c r="S3728" s="339"/>
      <c r="T3728" s="427"/>
      <c r="U3728" s="427"/>
      <c r="V3728" s="428"/>
      <c r="W3728" s="429"/>
      <c r="X3728" s="430"/>
      <c r="Y3728" s="33"/>
      <c r="Z3728" s="430"/>
      <c r="AA3728" s="430"/>
      <c r="AB3728" s="258"/>
      <c r="AC3728" s="430"/>
      <c r="AD3728" s="426"/>
      <c r="AE3728" s="428"/>
      <c r="AF3728" s="431"/>
      <c r="AG3728" s="432"/>
      <c r="AH3728" s="430"/>
      <c r="AI3728" s="430"/>
      <c r="AJ3728" s="430"/>
      <c r="AK3728" s="430"/>
      <c r="AL3728" s="430"/>
      <c r="AM3728" s="433"/>
      <c r="AN3728" s="430"/>
      <c r="AO3728" s="430"/>
      <c r="AP3728" s="430"/>
      <c r="AQ3728" s="430"/>
      <c r="AR3728" s="430"/>
      <c r="AS3728" s="430"/>
      <c r="AT3728" s="430"/>
      <c r="AU3728" s="426"/>
      <c r="AV3728" s="174"/>
      <c r="AW3728" s="269"/>
      <c r="AX3728" s="269"/>
      <c r="AY3728" s="270"/>
      <c r="AZ3728" s="435"/>
      <c r="BA3728" s="173"/>
      <c r="BB3728" s="434"/>
      <c r="BC3728" s="434"/>
      <c r="BD3728" s="308"/>
      <c r="BE3728" s="436"/>
      <c r="BF3728" s="274" t="str">
        <f>IFERROR(__xludf.DUMMYFUNCTION("LOWER(Regexreplace(to_text(E3728),""[^A-Za-z0-9]"","""")&amp;""_""&amp;Regexreplace(to_text(F3728),""[^A-Za-z0-9]"",""""))"),"_")</f>
        <v>_</v>
      </c>
      <c r="BG3728" s="275" t="str">
        <f>IFERROR(__xludf.DUMMYFUNCTION("upper(Regexreplace(to_text(E3728),""[^A-Za-z0-9]"","""")&amp;""-""&amp;Regexreplace(to_text(F3728),""[^A-Za-z0-9]"",""""))"),"-")</f>
        <v>-</v>
      </c>
    </row>
    <row r="3729" ht="30.0" customHeight="1">
      <c r="A3729" s="237"/>
      <c r="B3729" s="425"/>
      <c r="C3729" s="257"/>
      <c r="D3729" s="173"/>
      <c r="E3729" s="174"/>
      <c r="F3729" s="173"/>
      <c r="G3729" s="425"/>
      <c r="H3729" s="425"/>
      <c r="I3729" s="258"/>
      <c r="J3729" s="259"/>
      <c r="K3729" s="260"/>
      <c r="L3729" s="442"/>
      <c r="M3729" s="426"/>
      <c r="N3729" s="173"/>
      <c r="O3729" s="173"/>
      <c r="P3729" s="262"/>
      <c r="Q3729" s="173"/>
      <c r="R3729" s="425"/>
      <c r="S3729" s="339"/>
      <c r="T3729" s="427"/>
      <c r="U3729" s="427"/>
      <c r="V3729" s="428"/>
      <c r="W3729" s="429"/>
      <c r="X3729" s="430"/>
      <c r="Y3729" s="33"/>
      <c r="Z3729" s="430"/>
      <c r="AA3729" s="430"/>
      <c r="AB3729" s="258"/>
      <c r="AC3729" s="430"/>
      <c r="AD3729" s="426"/>
      <c r="AE3729" s="428"/>
      <c r="AF3729" s="431"/>
      <c r="AG3729" s="432"/>
      <c r="AH3729" s="430"/>
      <c r="AI3729" s="430"/>
      <c r="AJ3729" s="430"/>
      <c r="AK3729" s="430"/>
      <c r="AL3729" s="430"/>
      <c r="AM3729" s="433"/>
      <c r="AN3729" s="430"/>
      <c r="AO3729" s="430"/>
      <c r="AP3729" s="430"/>
      <c r="AQ3729" s="430"/>
      <c r="AR3729" s="430"/>
      <c r="AS3729" s="430"/>
      <c r="AT3729" s="430"/>
      <c r="AU3729" s="426"/>
      <c r="AV3729" s="174"/>
      <c r="AW3729" s="269"/>
      <c r="AX3729" s="269"/>
      <c r="AY3729" s="270"/>
      <c r="AZ3729" s="435"/>
      <c r="BA3729" s="173"/>
      <c r="BB3729" s="434"/>
      <c r="BC3729" s="434"/>
      <c r="BD3729" s="308"/>
      <c r="BE3729" s="436"/>
      <c r="BF3729" s="274" t="str">
        <f>IFERROR(__xludf.DUMMYFUNCTION("LOWER(Regexreplace(to_text(E3729),""[^A-Za-z0-9]"","""")&amp;""_""&amp;Regexreplace(to_text(F3729),""[^A-Za-z0-9]"",""""))"),"_")</f>
        <v>_</v>
      </c>
      <c r="BG3729" s="275" t="str">
        <f>IFERROR(__xludf.DUMMYFUNCTION("upper(Regexreplace(to_text(E3729),""[^A-Za-z0-9]"","""")&amp;""-""&amp;Regexreplace(to_text(F3729),""[^A-Za-z0-9]"",""""))"),"-")</f>
        <v>-</v>
      </c>
    </row>
    <row r="3730" ht="30.0" customHeight="1">
      <c r="A3730" s="237"/>
      <c r="B3730" s="425"/>
      <c r="C3730" s="257"/>
      <c r="D3730" s="173"/>
      <c r="E3730" s="174"/>
      <c r="F3730" s="173"/>
      <c r="G3730" s="425"/>
      <c r="H3730" s="425"/>
      <c r="I3730" s="258"/>
      <c r="J3730" s="259"/>
      <c r="K3730" s="260"/>
      <c r="L3730" s="442"/>
      <c r="M3730" s="426"/>
      <c r="N3730" s="173"/>
      <c r="O3730" s="173"/>
      <c r="P3730" s="262"/>
      <c r="Q3730" s="173"/>
      <c r="R3730" s="425"/>
      <c r="S3730" s="339"/>
      <c r="T3730" s="427"/>
      <c r="U3730" s="427"/>
      <c r="V3730" s="428"/>
      <c r="W3730" s="429"/>
      <c r="X3730" s="430"/>
      <c r="Y3730" s="33"/>
      <c r="Z3730" s="430"/>
      <c r="AA3730" s="430"/>
      <c r="AB3730" s="258"/>
      <c r="AC3730" s="430"/>
      <c r="AD3730" s="426"/>
      <c r="AE3730" s="428"/>
      <c r="AF3730" s="431"/>
      <c r="AG3730" s="432"/>
      <c r="AH3730" s="430"/>
      <c r="AI3730" s="430"/>
      <c r="AJ3730" s="430"/>
      <c r="AK3730" s="430"/>
      <c r="AL3730" s="430"/>
      <c r="AM3730" s="433"/>
      <c r="AN3730" s="430"/>
      <c r="AO3730" s="430"/>
      <c r="AP3730" s="430"/>
      <c r="AQ3730" s="430"/>
      <c r="AR3730" s="430"/>
      <c r="AS3730" s="430"/>
      <c r="AT3730" s="430"/>
      <c r="AU3730" s="426"/>
      <c r="AV3730" s="174"/>
      <c r="AW3730" s="269"/>
      <c r="AX3730" s="269"/>
      <c r="AY3730" s="270"/>
      <c r="AZ3730" s="435"/>
      <c r="BA3730" s="173"/>
      <c r="BB3730" s="434"/>
      <c r="BC3730" s="434"/>
      <c r="BD3730" s="308"/>
      <c r="BE3730" s="436"/>
      <c r="BF3730" s="274" t="str">
        <f>IFERROR(__xludf.DUMMYFUNCTION("LOWER(Regexreplace(to_text(E3730),""[^A-Za-z0-9]"","""")&amp;""_""&amp;Regexreplace(to_text(F3730),""[^A-Za-z0-9]"",""""))"),"_")</f>
        <v>_</v>
      </c>
      <c r="BG3730" s="275" t="str">
        <f>IFERROR(__xludf.DUMMYFUNCTION("upper(Regexreplace(to_text(E3730),""[^A-Za-z0-9]"","""")&amp;""-""&amp;Regexreplace(to_text(F3730),""[^A-Za-z0-9]"",""""))"),"-")</f>
        <v>-</v>
      </c>
    </row>
    <row r="3731" ht="30.0" customHeight="1">
      <c r="A3731" s="237"/>
      <c r="B3731" s="425"/>
      <c r="C3731" s="257"/>
      <c r="D3731" s="173"/>
      <c r="E3731" s="174"/>
      <c r="F3731" s="173"/>
      <c r="G3731" s="425"/>
      <c r="H3731" s="425"/>
      <c r="I3731" s="258"/>
      <c r="J3731" s="259"/>
      <c r="K3731" s="260"/>
      <c r="L3731" s="442"/>
      <c r="M3731" s="426"/>
      <c r="N3731" s="173"/>
      <c r="O3731" s="173"/>
      <c r="P3731" s="262"/>
      <c r="Q3731" s="173"/>
      <c r="R3731" s="425"/>
      <c r="S3731" s="339"/>
      <c r="T3731" s="427"/>
      <c r="U3731" s="427"/>
      <c r="V3731" s="428"/>
      <c r="W3731" s="429"/>
      <c r="X3731" s="430"/>
      <c r="Y3731" s="33"/>
      <c r="Z3731" s="430"/>
      <c r="AA3731" s="430"/>
      <c r="AB3731" s="258"/>
      <c r="AC3731" s="430"/>
      <c r="AD3731" s="426"/>
      <c r="AE3731" s="428"/>
      <c r="AF3731" s="431"/>
      <c r="AG3731" s="432"/>
      <c r="AH3731" s="430"/>
      <c r="AI3731" s="430"/>
      <c r="AJ3731" s="430"/>
      <c r="AK3731" s="430"/>
      <c r="AL3731" s="430"/>
      <c r="AM3731" s="433"/>
      <c r="AN3731" s="430"/>
      <c r="AO3731" s="430"/>
      <c r="AP3731" s="430"/>
      <c r="AQ3731" s="430"/>
      <c r="AR3731" s="430"/>
      <c r="AS3731" s="430"/>
      <c r="AT3731" s="430"/>
      <c r="AU3731" s="426"/>
      <c r="AV3731" s="174"/>
      <c r="AW3731" s="269"/>
      <c r="AX3731" s="269"/>
      <c r="AY3731" s="270"/>
      <c r="AZ3731" s="435"/>
      <c r="BA3731" s="173"/>
      <c r="BB3731" s="434"/>
      <c r="BC3731" s="434"/>
      <c r="BD3731" s="308"/>
      <c r="BE3731" s="436"/>
      <c r="BF3731" s="274" t="str">
        <f>IFERROR(__xludf.DUMMYFUNCTION("LOWER(Regexreplace(to_text(E3731),""[^A-Za-z0-9]"","""")&amp;""_""&amp;Regexreplace(to_text(F3731),""[^A-Za-z0-9]"",""""))"),"_")</f>
        <v>_</v>
      </c>
      <c r="BG3731" s="275" t="str">
        <f>IFERROR(__xludf.DUMMYFUNCTION("upper(Regexreplace(to_text(E3731),""[^A-Za-z0-9]"","""")&amp;""-""&amp;Regexreplace(to_text(F3731),""[^A-Za-z0-9]"",""""))"),"-")</f>
        <v>-</v>
      </c>
    </row>
    <row r="3732" ht="30.0" customHeight="1">
      <c r="A3732" s="237"/>
      <c r="B3732" s="425"/>
      <c r="C3732" s="257"/>
      <c r="D3732" s="173"/>
      <c r="E3732" s="174"/>
      <c r="F3732" s="173"/>
      <c r="G3732" s="425"/>
      <c r="H3732" s="425"/>
      <c r="I3732" s="258"/>
      <c r="J3732" s="259"/>
      <c r="K3732" s="260"/>
      <c r="L3732" s="442"/>
      <c r="M3732" s="426"/>
      <c r="N3732" s="173"/>
      <c r="O3732" s="173"/>
      <c r="P3732" s="262"/>
      <c r="Q3732" s="173"/>
      <c r="R3732" s="425"/>
      <c r="S3732" s="339"/>
      <c r="T3732" s="427"/>
      <c r="U3732" s="427"/>
      <c r="V3732" s="428"/>
      <c r="W3732" s="429"/>
      <c r="X3732" s="430"/>
      <c r="Y3732" s="33"/>
      <c r="Z3732" s="430"/>
      <c r="AA3732" s="430"/>
      <c r="AB3732" s="258"/>
      <c r="AC3732" s="430"/>
      <c r="AD3732" s="426"/>
      <c r="AE3732" s="428"/>
      <c r="AF3732" s="431"/>
      <c r="AG3732" s="432"/>
      <c r="AH3732" s="430"/>
      <c r="AI3732" s="430"/>
      <c r="AJ3732" s="430"/>
      <c r="AK3732" s="430"/>
      <c r="AL3732" s="430"/>
      <c r="AM3732" s="433"/>
      <c r="AN3732" s="430"/>
      <c r="AO3732" s="430"/>
      <c r="AP3732" s="430"/>
      <c r="AQ3732" s="430"/>
      <c r="AR3732" s="430"/>
      <c r="AS3732" s="430"/>
      <c r="AT3732" s="430"/>
      <c r="AU3732" s="426"/>
      <c r="AV3732" s="174"/>
      <c r="AW3732" s="269"/>
      <c r="AX3732" s="269"/>
      <c r="AY3732" s="270"/>
      <c r="AZ3732" s="435"/>
      <c r="BA3732" s="173"/>
      <c r="BB3732" s="434"/>
      <c r="BC3732" s="434"/>
      <c r="BD3732" s="308"/>
      <c r="BE3732" s="436"/>
      <c r="BF3732" s="274" t="str">
        <f>IFERROR(__xludf.DUMMYFUNCTION("LOWER(Regexreplace(to_text(E3732),""[^A-Za-z0-9]"","""")&amp;""_""&amp;Regexreplace(to_text(F3732),""[^A-Za-z0-9]"",""""))"),"_")</f>
        <v>_</v>
      </c>
      <c r="BG3732" s="275" t="str">
        <f>IFERROR(__xludf.DUMMYFUNCTION("upper(Regexreplace(to_text(E3732),""[^A-Za-z0-9]"","""")&amp;""-""&amp;Regexreplace(to_text(F3732),""[^A-Za-z0-9]"",""""))"),"-")</f>
        <v>-</v>
      </c>
    </row>
    <row r="3733" ht="30.0" customHeight="1">
      <c r="A3733" s="237"/>
      <c r="B3733" s="425"/>
      <c r="C3733" s="257"/>
      <c r="D3733" s="173"/>
      <c r="E3733" s="174"/>
      <c r="F3733" s="173"/>
      <c r="G3733" s="425"/>
      <c r="H3733" s="425"/>
      <c r="I3733" s="258"/>
      <c r="J3733" s="259"/>
      <c r="K3733" s="260"/>
      <c r="L3733" s="442"/>
      <c r="M3733" s="426"/>
      <c r="N3733" s="173"/>
      <c r="O3733" s="173"/>
      <c r="P3733" s="262"/>
      <c r="Q3733" s="173"/>
      <c r="R3733" s="425"/>
      <c r="S3733" s="339"/>
      <c r="T3733" s="427"/>
      <c r="U3733" s="427"/>
      <c r="V3733" s="428"/>
      <c r="W3733" s="429"/>
      <c r="X3733" s="430"/>
      <c r="Y3733" s="33"/>
      <c r="Z3733" s="430"/>
      <c r="AA3733" s="430"/>
      <c r="AB3733" s="258"/>
      <c r="AC3733" s="430"/>
      <c r="AD3733" s="426"/>
      <c r="AE3733" s="428"/>
      <c r="AF3733" s="431"/>
      <c r="AG3733" s="432"/>
      <c r="AH3733" s="430"/>
      <c r="AI3733" s="430"/>
      <c r="AJ3733" s="430"/>
      <c r="AK3733" s="430"/>
      <c r="AL3733" s="430"/>
      <c r="AM3733" s="433"/>
      <c r="AN3733" s="430"/>
      <c r="AO3733" s="430"/>
      <c r="AP3733" s="430"/>
      <c r="AQ3733" s="430"/>
      <c r="AR3733" s="430"/>
      <c r="AS3733" s="430"/>
      <c r="AT3733" s="430"/>
      <c r="AU3733" s="426"/>
      <c r="AV3733" s="174"/>
      <c r="AW3733" s="269"/>
      <c r="AX3733" s="269"/>
      <c r="AY3733" s="270"/>
      <c r="AZ3733" s="435"/>
      <c r="BA3733" s="173"/>
      <c r="BB3733" s="434"/>
      <c r="BC3733" s="434"/>
      <c r="BD3733" s="308"/>
      <c r="BE3733" s="436"/>
      <c r="BF3733" s="274" t="str">
        <f>IFERROR(__xludf.DUMMYFUNCTION("LOWER(Regexreplace(to_text(E3733),""[^A-Za-z0-9]"","""")&amp;""_""&amp;Regexreplace(to_text(F3733),""[^A-Za-z0-9]"",""""))"),"_")</f>
        <v>_</v>
      </c>
      <c r="BG3733" s="275" t="str">
        <f>IFERROR(__xludf.DUMMYFUNCTION("upper(Regexreplace(to_text(E3733),""[^A-Za-z0-9]"","""")&amp;""-""&amp;Regexreplace(to_text(F3733),""[^A-Za-z0-9]"",""""))"),"-")</f>
        <v>-</v>
      </c>
    </row>
    <row r="3734" ht="30.0" customHeight="1">
      <c r="A3734" s="237"/>
      <c r="B3734" s="425"/>
      <c r="C3734" s="257"/>
      <c r="D3734" s="173"/>
      <c r="E3734" s="174"/>
      <c r="F3734" s="173"/>
      <c r="G3734" s="425"/>
      <c r="H3734" s="425"/>
      <c r="I3734" s="258"/>
      <c r="J3734" s="259"/>
      <c r="K3734" s="260"/>
      <c r="L3734" s="442"/>
      <c r="M3734" s="426"/>
      <c r="N3734" s="173"/>
      <c r="O3734" s="173"/>
      <c r="P3734" s="262"/>
      <c r="Q3734" s="173"/>
      <c r="R3734" s="425"/>
      <c r="S3734" s="339"/>
      <c r="T3734" s="427"/>
      <c r="U3734" s="427"/>
      <c r="V3734" s="428"/>
      <c r="W3734" s="429"/>
      <c r="X3734" s="430"/>
      <c r="Y3734" s="33"/>
      <c r="Z3734" s="430"/>
      <c r="AA3734" s="430"/>
      <c r="AB3734" s="258"/>
      <c r="AC3734" s="430"/>
      <c r="AD3734" s="426"/>
      <c r="AE3734" s="428"/>
      <c r="AF3734" s="431"/>
      <c r="AG3734" s="432"/>
      <c r="AH3734" s="430"/>
      <c r="AI3734" s="430"/>
      <c r="AJ3734" s="430"/>
      <c r="AK3734" s="430"/>
      <c r="AL3734" s="430"/>
      <c r="AM3734" s="433"/>
      <c r="AN3734" s="430"/>
      <c r="AO3734" s="430"/>
      <c r="AP3734" s="430"/>
      <c r="AQ3734" s="430"/>
      <c r="AR3734" s="430"/>
      <c r="AS3734" s="430"/>
      <c r="AT3734" s="430"/>
      <c r="AU3734" s="426"/>
      <c r="AV3734" s="174"/>
      <c r="AW3734" s="269"/>
      <c r="AX3734" s="269"/>
      <c r="AY3734" s="270"/>
      <c r="AZ3734" s="435"/>
      <c r="BA3734" s="173"/>
      <c r="BB3734" s="434"/>
      <c r="BC3734" s="434"/>
      <c r="BD3734" s="308"/>
      <c r="BE3734" s="436"/>
      <c r="BF3734" s="274" t="str">
        <f>IFERROR(__xludf.DUMMYFUNCTION("LOWER(Regexreplace(to_text(E3734),""[^A-Za-z0-9]"","""")&amp;""_""&amp;Regexreplace(to_text(F3734),""[^A-Za-z0-9]"",""""))"),"_")</f>
        <v>_</v>
      </c>
      <c r="BG3734" s="275" t="str">
        <f>IFERROR(__xludf.DUMMYFUNCTION("upper(Regexreplace(to_text(E3734),""[^A-Za-z0-9]"","""")&amp;""-""&amp;Regexreplace(to_text(F3734),""[^A-Za-z0-9]"",""""))"),"-")</f>
        <v>-</v>
      </c>
    </row>
    <row r="3735" ht="30.0" customHeight="1">
      <c r="A3735" s="237"/>
      <c r="B3735" s="425"/>
      <c r="C3735" s="257"/>
      <c r="D3735" s="173"/>
      <c r="E3735" s="174"/>
      <c r="F3735" s="173"/>
      <c r="G3735" s="425"/>
      <c r="H3735" s="425"/>
      <c r="I3735" s="258"/>
      <c r="J3735" s="259"/>
      <c r="K3735" s="260"/>
      <c r="L3735" s="442"/>
      <c r="M3735" s="426"/>
      <c r="N3735" s="173"/>
      <c r="O3735" s="173"/>
      <c r="P3735" s="262"/>
      <c r="Q3735" s="173"/>
      <c r="R3735" s="425"/>
      <c r="S3735" s="339"/>
      <c r="T3735" s="427"/>
      <c r="U3735" s="427"/>
      <c r="V3735" s="428"/>
      <c r="W3735" s="429"/>
      <c r="X3735" s="430"/>
      <c r="Y3735" s="33"/>
      <c r="Z3735" s="430"/>
      <c r="AA3735" s="430"/>
      <c r="AB3735" s="258"/>
      <c r="AC3735" s="430"/>
      <c r="AD3735" s="426"/>
      <c r="AE3735" s="428"/>
      <c r="AF3735" s="431"/>
      <c r="AG3735" s="432"/>
      <c r="AH3735" s="430"/>
      <c r="AI3735" s="430"/>
      <c r="AJ3735" s="430"/>
      <c r="AK3735" s="430"/>
      <c r="AL3735" s="430"/>
      <c r="AM3735" s="433"/>
      <c r="AN3735" s="430"/>
      <c r="AO3735" s="430"/>
      <c r="AP3735" s="430"/>
      <c r="AQ3735" s="430"/>
      <c r="AR3735" s="430"/>
      <c r="AS3735" s="430"/>
      <c r="AT3735" s="430"/>
      <c r="AU3735" s="426"/>
      <c r="AV3735" s="174"/>
      <c r="AW3735" s="269"/>
      <c r="AX3735" s="269"/>
      <c r="AY3735" s="270"/>
      <c r="AZ3735" s="435"/>
      <c r="BA3735" s="173"/>
      <c r="BB3735" s="434"/>
      <c r="BC3735" s="434"/>
      <c r="BD3735" s="308"/>
      <c r="BE3735" s="436"/>
      <c r="BF3735" s="274" t="str">
        <f>IFERROR(__xludf.DUMMYFUNCTION("LOWER(Regexreplace(to_text(E3735),""[^A-Za-z0-9]"","""")&amp;""_""&amp;Regexreplace(to_text(F3735),""[^A-Za-z0-9]"",""""))"),"_")</f>
        <v>_</v>
      </c>
      <c r="BG3735" s="275" t="str">
        <f>IFERROR(__xludf.DUMMYFUNCTION("upper(Regexreplace(to_text(E3735),""[^A-Za-z0-9]"","""")&amp;""-""&amp;Regexreplace(to_text(F3735),""[^A-Za-z0-9]"",""""))"),"-")</f>
        <v>-</v>
      </c>
    </row>
    <row r="3736" ht="30.0" customHeight="1">
      <c r="A3736" s="237"/>
      <c r="B3736" s="425"/>
      <c r="C3736" s="257"/>
      <c r="D3736" s="173"/>
      <c r="E3736" s="174"/>
      <c r="F3736" s="173"/>
      <c r="G3736" s="425"/>
      <c r="H3736" s="425"/>
      <c r="I3736" s="258"/>
      <c r="J3736" s="259"/>
      <c r="K3736" s="260"/>
      <c r="L3736" s="442"/>
      <c r="M3736" s="426"/>
      <c r="N3736" s="173"/>
      <c r="O3736" s="173"/>
      <c r="P3736" s="262"/>
      <c r="Q3736" s="173"/>
      <c r="R3736" s="425"/>
      <c r="S3736" s="339"/>
      <c r="T3736" s="427"/>
      <c r="U3736" s="427"/>
      <c r="V3736" s="428"/>
      <c r="W3736" s="429"/>
      <c r="X3736" s="430"/>
      <c r="Y3736" s="33"/>
      <c r="Z3736" s="430"/>
      <c r="AA3736" s="430"/>
      <c r="AB3736" s="258"/>
      <c r="AC3736" s="430"/>
      <c r="AD3736" s="426"/>
      <c r="AE3736" s="428"/>
      <c r="AF3736" s="431"/>
      <c r="AG3736" s="432"/>
      <c r="AH3736" s="430"/>
      <c r="AI3736" s="430"/>
      <c r="AJ3736" s="430"/>
      <c r="AK3736" s="430"/>
      <c r="AL3736" s="430"/>
      <c r="AM3736" s="433"/>
      <c r="AN3736" s="430"/>
      <c r="AO3736" s="430"/>
      <c r="AP3736" s="430"/>
      <c r="AQ3736" s="430"/>
      <c r="AR3736" s="430"/>
      <c r="AS3736" s="430"/>
      <c r="AT3736" s="430"/>
      <c r="AU3736" s="426"/>
      <c r="AV3736" s="174"/>
      <c r="AW3736" s="269"/>
      <c r="AX3736" s="269"/>
      <c r="AY3736" s="270"/>
      <c r="AZ3736" s="435"/>
      <c r="BA3736" s="173"/>
      <c r="BB3736" s="434"/>
      <c r="BC3736" s="434"/>
      <c r="BD3736" s="308"/>
      <c r="BE3736" s="436"/>
      <c r="BF3736" s="274" t="str">
        <f>IFERROR(__xludf.DUMMYFUNCTION("LOWER(Regexreplace(to_text(E3736),""[^A-Za-z0-9]"","""")&amp;""_""&amp;Regexreplace(to_text(F3736),""[^A-Za-z0-9]"",""""))"),"_")</f>
        <v>_</v>
      </c>
      <c r="BG3736" s="275" t="str">
        <f>IFERROR(__xludf.DUMMYFUNCTION("upper(Regexreplace(to_text(E3736),""[^A-Za-z0-9]"","""")&amp;""-""&amp;Regexreplace(to_text(F3736),""[^A-Za-z0-9]"",""""))"),"-")</f>
        <v>-</v>
      </c>
    </row>
    <row r="3737" ht="30.0" customHeight="1">
      <c r="A3737" s="237"/>
      <c r="B3737" s="425"/>
      <c r="C3737" s="257"/>
      <c r="D3737" s="173"/>
      <c r="E3737" s="174"/>
      <c r="F3737" s="173"/>
      <c r="G3737" s="425"/>
      <c r="H3737" s="425"/>
      <c r="I3737" s="258"/>
      <c r="J3737" s="259"/>
      <c r="K3737" s="260"/>
      <c r="L3737" s="442"/>
      <c r="M3737" s="426"/>
      <c r="N3737" s="173"/>
      <c r="O3737" s="173"/>
      <c r="P3737" s="262"/>
      <c r="Q3737" s="173"/>
      <c r="R3737" s="425"/>
      <c r="S3737" s="339"/>
      <c r="T3737" s="427"/>
      <c r="U3737" s="427"/>
      <c r="V3737" s="428"/>
      <c r="W3737" s="429"/>
      <c r="X3737" s="430"/>
      <c r="Y3737" s="33"/>
      <c r="Z3737" s="430"/>
      <c r="AA3737" s="430"/>
      <c r="AB3737" s="258"/>
      <c r="AC3737" s="430"/>
      <c r="AD3737" s="426"/>
      <c r="AE3737" s="428"/>
      <c r="AF3737" s="431"/>
      <c r="AG3737" s="432"/>
      <c r="AH3737" s="430"/>
      <c r="AI3737" s="430"/>
      <c r="AJ3737" s="430"/>
      <c r="AK3737" s="430"/>
      <c r="AL3737" s="430"/>
      <c r="AM3737" s="433"/>
      <c r="AN3737" s="430"/>
      <c r="AO3737" s="430"/>
      <c r="AP3737" s="430"/>
      <c r="AQ3737" s="430"/>
      <c r="AR3737" s="430"/>
      <c r="AS3737" s="430"/>
      <c r="AT3737" s="430"/>
      <c r="AU3737" s="426"/>
      <c r="AV3737" s="174"/>
      <c r="AW3737" s="269"/>
      <c r="AX3737" s="269"/>
      <c r="AY3737" s="270"/>
      <c r="AZ3737" s="435"/>
      <c r="BA3737" s="173"/>
      <c r="BB3737" s="434"/>
      <c r="BC3737" s="434"/>
      <c r="BD3737" s="308"/>
      <c r="BE3737" s="436"/>
      <c r="BF3737" s="274" t="str">
        <f>IFERROR(__xludf.DUMMYFUNCTION("LOWER(Regexreplace(to_text(E3737),""[^A-Za-z0-9]"","""")&amp;""_""&amp;Regexreplace(to_text(F3737),""[^A-Za-z0-9]"",""""))"),"_")</f>
        <v>_</v>
      </c>
      <c r="BG3737" s="275" t="str">
        <f>IFERROR(__xludf.DUMMYFUNCTION("upper(Regexreplace(to_text(E3737),""[^A-Za-z0-9]"","""")&amp;""-""&amp;Regexreplace(to_text(F3737),""[^A-Za-z0-9]"",""""))"),"-")</f>
        <v>-</v>
      </c>
    </row>
    <row r="3738" ht="30.0" customHeight="1">
      <c r="A3738" s="237"/>
      <c r="B3738" s="425"/>
      <c r="C3738" s="257"/>
      <c r="D3738" s="173"/>
      <c r="E3738" s="174"/>
      <c r="F3738" s="173"/>
      <c r="G3738" s="425"/>
      <c r="H3738" s="425"/>
      <c r="I3738" s="258"/>
      <c r="J3738" s="259"/>
      <c r="K3738" s="260"/>
      <c r="L3738" s="442"/>
      <c r="M3738" s="426"/>
      <c r="N3738" s="173"/>
      <c r="O3738" s="173"/>
      <c r="P3738" s="262"/>
      <c r="Q3738" s="173"/>
      <c r="R3738" s="425"/>
      <c r="S3738" s="339"/>
      <c r="T3738" s="427"/>
      <c r="U3738" s="427"/>
      <c r="V3738" s="428"/>
      <c r="W3738" s="429"/>
      <c r="X3738" s="430"/>
      <c r="Y3738" s="33"/>
      <c r="Z3738" s="430"/>
      <c r="AA3738" s="430"/>
      <c r="AB3738" s="258"/>
      <c r="AC3738" s="430"/>
      <c r="AD3738" s="426"/>
      <c r="AE3738" s="428"/>
      <c r="AF3738" s="431"/>
      <c r="AG3738" s="432"/>
      <c r="AH3738" s="430"/>
      <c r="AI3738" s="430"/>
      <c r="AJ3738" s="430"/>
      <c r="AK3738" s="430"/>
      <c r="AL3738" s="430"/>
      <c r="AM3738" s="433"/>
      <c r="AN3738" s="430"/>
      <c r="AO3738" s="430"/>
      <c r="AP3738" s="430"/>
      <c r="AQ3738" s="430"/>
      <c r="AR3738" s="430"/>
      <c r="AS3738" s="430"/>
      <c r="AT3738" s="430"/>
      <c r="AU3738" s="426"/>
      <c r="AV3738" s="174"/>
      <c r="AW3738" s="269"/>
      <c r="AX3738" s="269"/>
      <c r="AY3738" s="270"/>
      <c r="AZ3738" s="435"/>
      <c r="BA3738" s="173"/>
      <c r="BB3738" s="434"/>
      <c r="BC3738" s="434"/>
      <c r="BD3738" s="308"/>
      <c r="BE3738" s="436"/>
      <c r="BF3738" s="274" t="str">
        <f>IFERROR(__xludf.DUMMYFUNCTION("LOWER(Regexreplace(to_text(E3738),""[^A-Za-z0-9]"","""")&amp;""_""&amp;Regexreplace(to_text(F3738),""[^A-Za-z0-9]"",""""))"),"_")</f>
        <v>_</v>
      </c>
      <c r="BG3738" s="275" t="str">
        <f>IFERROR(__xludf.DUMMYFUNCTION("upper(Regexreplace(to_text(E3738),""[^A-Za-z0-9]"","""")&amp;""-""&amp;Regexreplace(to_text(F3738),""[^A-Za-z0-9]"",""""))"),"-")</f>
        <v>-</v>
      </c>
    </row>
    <row r="3739" ht="30.0" customHeight="1">
      <c r="A3739" s="237"/>
      <c r="B3739" s="425"/>
      <c r="C3739" s="257"/>
      <c r="D3739" s="173"/>
      <c r="E3739" s="174"/>
      <c r="F3739" s="173"/>
      <c r="G3739" s="425"/>
      <c r="H3739" s="425"/>
      <c r="I3739" s="258"/>
      <c r="J3739" s="259"/>
      <c r="K3739" s="260"/>
      <c r="L3739" s="442"/>
      <c r="M3739" s="426"/>
      <c r="N3739" s="173"/>
      <c r="O3739" s="173"/>
      <c r="P3739" s="262"/>
      <c r="Q3739" s="173"/>
      <c r="R3739" s="425"/>
      <c r="S3739" s="339"/>
      <c r="T3739" s="427"/>
      <c r="U3739" s="427"/>
      <c r="V3739" s="428"/>
      <c r="W3739" s="429"/>
      <c r="X3739" s="430"/>
      <c r="Y3739" s="33"/>
      <c r="Z3739" s="430"/>
      <c r="AA3739" s="430"/>
      <c r="AB3739" s="258"/>
      <c r="AC3739" s="430"/>
      <c r="AD3739" s="426"/>
      <c r="AE3739" s="428"/>
      <c r="AF3739" s="431"/>
      <c r="AG3739" s="432"/>
      <c r="AH3739" s="430"/>
      <c r="AI3739" s="430"/>
      <c r="AJ3739" s="430"/>
      <c r="AK3739" s="430"/>
      <c r="AL3739" s="430"/>
      <c r="AM3739" s="433"/>
      <c r="AN3739" s="430"/>
      <c r="AO3739" s="430"/>
      <c r="AP3739" s="430"/>
      <c r="AQ3739" s="430"/>
      <c r="AR3739" s="430"/>
      <c r="AS3739" s="430"/>
      <c r="AT3739" s="430"/>
      <c r="AU3739" s="426"/>
      <c r="AV3739" s="174"/>
      <c r="AW3739" s="269"/>
      <c r="AX3739" s="269"/>
      <c r="AY3739" s="270"/>
      <c r="AZ3739" s="435"/>
      <c r="BA3739" s="173"/>
      <c r="BB3739" s="434"/>
      <c r="BC3739" s="434"/>
      <c r="BD3739" s="308"/>
      <c r="BE3739" s="436"/>
      <c r="BF3739" s="274" t="str">
        <f>IFERROR(__xludf.DUMMYFUNCTION("LOWER(Regexreplace(to_text(E3739),""[^A-Za-z0-9]"","""")&amp;""_""&amp;Regexreplace(to_text(F3739),""[^A-Za-z0-9]"",""""))"),"_")</f>
        <v>_</v>
      </c>
      <c r="BG3739" s="275" t="str">
        <f>IFERROR(__xludf.DUMMYFUNCTION("upper(Regexreplace(to_text(E3739),""[^A-Za-z0-9]"","""")&amp;""-""&amp;Regexreplace(to_text(F3739),""[^A-Za-z0-9]"",""""))"),"-")</f>
        <v>-</v>
      </c>
    </row>
    <row r="3740" ht="30.0" customHeight="1">
      <c r="A3740" s="237"/>
      <c r="B3740" s="425"/>
      <c r="C3740" s="257"/>
      <c r="D3740" s="173"/>
      <c r="E3740" s="174"/>
      <c r="F3740" s="173"/>
      <c r="G3740" s="425"/>
      <c r="H3740" s="425"/>
      <c r="I3740" s="258"/>
      <c r="J3740" s="259"/>
      <c r="K3740" s="260"/>
      <c r="L3740" s="442"/>
      <c r="M3740" s="426"/>
      <c r="N3740" s="173"/>
      <c r="O3740" s="173"/>
      <c r="P3740" s="262"/>
      <c r="Q3740" s="173"/>
      <c r="R3740" s="425"/>
      <c r="S3740" s="339"/>
      <c r="T3740" s="427"/>
      <c r="U3740" s="427"/>
      <c r="V3740" s="428"/>
      <c r="W3740" s="429"/>
      <c r="X3740" s="430"/>
      <c r="Y3740" s="33"/>
      <c r="Z3740" s="430"/>
      <c r="AA3740" s="430"/>
      <c r="AB3740" s="258"/>
      <c r="AC3740" s="430"/>
      <c r="AD3740" s="426"/>
      <c r="AE3740" s="428"/>
      <c r="AF3740" s="431"/>
      <c r="AG3740" s="432"/>
      <c r="AH3740" s="430"/>
      <c r="AI3740" s="430"/>
      <c r="AJ3740" s="430"/>
      <c r="AK3740" s="430"/>
      <c r="AL3740" s="430"/>
      <c r="AM3740" s="433"/>
      <c r="AN3740" s="430"/>
      <c r="AO3740" s="430"/>
      <c r="AP3740" s="430"/>
      <c r="AQ3740" s="430"/>
      <c r="AR3740" s="430"/>
      <c r="AS3740" s="430"/>
      <c r="AT3740" s="430"/>
      <c r="AU3740" s="426"/>
      <c r="AV3740" s="174"/>
      <c r="AW3740" s="269"/>
      <c r="AX3740" s="269"/>
      <c r="AY3740" s="270"/>
      <c r="AZ3740" s="435"/>
      <c r="BA3740" s="173"/>
      <c r="BB3740" s="434"/>
      <c r="BC3740" s="434"/>
      <c r="BD3740" s="308"/>
      <c r="BE3740" s="436"/>
      <c r="BF3740" s="274" t="str">
        <f>IFERROR(__xludf.DUMMYFUNCTION("LOWER(Regexreplace(to_text(E3740),""[^A-Za-z0-9]"","""")&amp;""_""&amp;Regexreplace(to_text(F3740),""[^A-Za-z0-9]"",""""))"),"_")</f>
        <v>_</v>
      </c>
      <c r="BG3740" s="275" t="str">
        <f>IFERROR(__xludf.DUMMYFUNCTION("upper(Regexreplace(to_text(E3740),""[^A-Za-z0-9]"","""")&amp;""-""&amp;Regexreplace(to_text(F3740),""[^A-Za-z0-9]"",""""))"),"-")</f>
        <v>-</v>
      </c>
    </row>
    <row r="3741" ht="30.0" customHeight="1">
      <c r="A3741" s="237"/>
      <c r="B3741" s="425"/>
      <c r="C3741" s="257"/>
      <c r="D3741" s="173"/>
      <c r="E3741" s="174"/>
      <c r="F3741" s="173"/>
      <c r="G3741" s="425"/>
      <c r="H3741" s="425"/>
      <c r="I3741" s="258"/>
      <c r="J3741" s="259"/>
      <c r="K3741" s="260"/>
      <c r="L3741" s="442"/>
      <c r="M3741" s="426"/>
      <c r="N3741" s="173"/>
      <c r="O3741" s="173"/>
      <c r="P3741" s="262"/>
      <c r="Q3741" s="173"/>
      <c r="R3741" s="425"/>
      <c r="S3741" s="339"/>
      <c r="T3741" s="427"/>
      <c r="U3741" s="427"/>
      <c r="V3741" s="428"/>
      <c r="W3741" s="429"/>
      <c r="X3741" s="430"/>
      <c r="Y3741" s="33"/>
      <c r="Z3741" s="430"/>
      <c r="AA3741" s="430"/>
      <c r="AB3741" s="258"/>
      <c r="AC3741" s="430"/>
      <c r="AD3741" s="426"/>
      <c r="AE3741" s="428"/>
      <c r="AF3741" s="431"/>
      <c r="AG3741" s="432"/>
      <c r="AH3741" s="430"/>
      <c r="AI3741" s="430"/>
      <c r="AJ3741" s="430"/>
      <c r="AK3741" s="430"/>
      <c r="AL3741" s="430"/>
      <c r="AM3741" s="433"/>
      <c r="AN3741" s="430"/>
      <c r="AO3741" s="430"/>
      <c r="AP3741" s="430"/>
      <c r="AQ3741" s="430"/>
      <c r="AR3741" s="430"/>
      <c r="AS3741" s="430"/>
      <c r="AT3741" s="430"/>
      <c r="AU3741" s="426"/>
      <c r="AV3741" s="174"/>
      <c r="AW3741" s="269"/>
      <c r="AX3741" s="269"/>
      <c r="AY3741" s="270"/>
      <c r="AZ3741" s="435"/>
      <c r="BA3741" s="173"/>
      <c r="BB3741" s="434"/>
      <c r="BC3741" s="434"/>
      <c r="BD3741" s="308"/>
      <c r="BE3741" s="436"/>
      <c r="BF3741" s="274" t="str">
        <f>IFERROR(__xludf.DUMMYFUNCTION("LOWER(Regexreplace(to_text(E3741),""[^A-Za-z0-9]"","""")&amp;""_""&amp;Regexreplace(to_text(F3741),""[^A-Za-z0-9]"",""""))"),"_")</f>
        <v>_</v>
      </c>
      <c r="BG3741" s="275" t="str">
        <f>IFERROR(__xludf.DUMMYFUNCTION("upper(Regexreplace(to_text(E3741),""[^A-Za-z0-9]"","""")&amp;""-""&amp;Regexreplace(to_text(F3741),""[^A-Za-z0-9]"",""""))"),"-")</f>
        <v>-</v>
      </c>
    </row>
    <row r="3742" ht="30.0" customHeight="1">
      <c r="A3742" s="237"/>
      <c r="B3742" s="425"/>
      <c r="C3742" s="257"/>
      <c r="D3742" s="173"/>
      <c r="E3742" s="174"/>
      <c r="F3742" s="173"/>
      <c r="G3742" s="425"/>
      <c r="H3742" s="425"/>
      <c r="I3742" s="258"/>
      <c r="J3742" s="259"/>
      <c r="K3742" s="260"/>
      <c r="L3742" s="442"/>
      <c r="M3742" s="426"/>
      <c r="N3742" s="173"/>
      <c r="O3742" s="173"/>
      <c r="P3742" s="262"/>
      <c r="Q3742" s="173"/>
      <c r="R3742" s="425"/>
      <c r="S3742" s="339"/>
      <c r="T3742" s="427"/>
      <c r="U3742" s="427"/>
      <c r="V3742" s="428"/>
      <c r="W3742" s="429"/>
      <c r="X3742" s="430"/>
      <c r="Y3742" s="33"/>
      <c r="Z3742" s="430"/>
      <c r="AA3742" s="430"/>
      <c r="AB3742" s="258"/>
      <c r="AC3742" s="430"/>
      <c r="AD3742" s="426"/>
      <c r="AE3742" s="428"/>
      <c r="AF3742" s="431"/>
      <c r="AG3742" s="432"/>
      <c r="AH3742" s="430"/>
      <c r="AI3742" s="430"/>
      <c r="AJ3742" s="430"/>
      <c r="AK3742" s="430"/>
      <c r="AL3742" s="430"/>
      <c r="AM3742" s="433"/>
      <c r="AN3742" s="430"/>
      <c r="AO3742" s="430"/>
      <c r="AP3742" s="430"/>
      <c r="AQ3742" s="430"/>
      <c r="AR3742" s="430"/>
      <c r="AS3742" s="430"/>
      <c r="AT3742" s="430"/>
      <c r="AU3742" s="426"/>
      <c r="AV3742" s="174"/>
      <c r="AW3742" s="269"/>
      <c r="AX3742" s="269"/>
      <c r="AY3742" s="270"/>
      <c r="AZ3742" s="435"/>
      <c r="BA3742" s="173"/>
      <c r="BB3742" s="434"/>
      <c r="BC3742" s="434"/>
      <c r="BD3742" s="308"/>
      <c r="BE3742" s="436"/>
      <c r="BF3742" s="274" t="str">
        <f>IFERROR(__xludf.DUMMYFUNCTION("LOWER(Regexreplace(to_text(E3742),""[^A-Za-z0-9]"","""")&amp;""_""&amp;Regexreplace(to_text(F3742),""[^A-Za-z0-9]"",""""))"),"_")</f>
        <v>_</v>
      </c>
      <c r="BG3742" s="275" t="str">
        <f>IFERROR(__xludf.DUMMYFUNCTION("upper(Regexreplace(to_text(E3742),""[^A-Za-z0-9]"","""")&amp;""-""&amp;Regexreplace(to_text(F3742),""[^A-Za-z0-9]"",""""))"),"-")</f>
        <v>-</v>
      </c>
    </row>
    <row r="3743" ht="30.0" customHeight="1">
      <c r="A3743" s="237"/>
      <c r="B3743" s="425"/>
      <c r="C3743" s="257"/>
      <c r="D3743" s="173"/>
      <c r="E3743" s="174"/>
      <c r="F3743" s="173"/>
      <c r="G3743" s="425"/>
      <c r="H3743" s="425"/>
      <c r="I3743" s="258"/>
      <c r="J3743" s="259"/>
      <c r="K3743" s="260"/>
      <c r="L3743" s="442"/>
      <c r="M3743" s="426"/>
      <c r="N3743" s="173"/>
      <c r="O3743" s="173"/>
      <c r="P3743" s="262"/>
      <c r="Q3743" s="173"/>
      <c r="R3743" s="425"/>
      <c r="S3743" s="339"/>
      <c r="T3743" s="427"/>
      <c r="U3743" s="427"/>
      <c r="V3743" s="428"/>
      <c r="W3743" s="429"/>
      <c r="X3743" s="430"/>
      <c r="Y3743" s="33"/>
      <c r="Z3743" s="430"/>
      <c r="AA3743" s="430"/>
      <c r="AB3743" s="258"/>
      <c r="AC3743" s="430"/>
      <c r="AD3743" s="426"/>
      <c r="AE3743" s="428"/>
      <c r="AF3743" s="431"/>
      <c r="AG3743" s="432"/>
      <c r="AH3743" s="430"/>
      <c r="AI3743" s="430"/>
      <c r="AJ3743" s="430"/>
      <c r="AK3743" s="430"/>
      <c r="AL3743" s="430"/>
      <c r="AM3743" s="433"/>
      <c r="AN3743" s="430"/>
      <c r="AO3743" s="430"/>
      <c r="AP3743" s="430"/>
      <c r="AQ3743" s="430"/>
      <c r="AR3743" s="430"/>
      <c r="AS3743" s="430"/>
      <c r="AT3743" s="430"/>
      <c r="AU3743" s="426"/>
      <c r="AV3743" s="174"/>
      <c r="AW3743" s="269"/>
      <c r="AX3743" s="269"/>
      <c r="AY3743" s="270"/>
      <c r="AZ3743" s="435"/>
      <c r="BA3743" s="173"/>
      <c r="BB3743" s="434"/>
      <c r="BC3743" s="434"/>
      <c r="BD3743" s="308"/>
      <c r="BE3743" s="436"/>
      <c r="BF3743" s="274" t="str">
        <f>IFERROR(__xludf.DUMMYFUNCTION("LOWER(Regexreplace(to_text(E3743),""[^A-Za-z0-9]"","""")&amp;""_""&amp;Regexreplace(to_text(F3743),""[^A-Za-z0-9]"",""""))"),"_")</f>
        <v>_</v>
      </c>
      <c r="BG3743" s="275" t="str">
        <f>IFERROR(__xludf.DUMMYFUNCTION("upper(Regexreplace(to_text(E3743),""[^A-Za-z0-9]"","""")&amp;""-""&amp;Regexreplace(to_text(F3743),""[^A-Za-z0-9]"",""""))"),"-")</f>
        <v>-</v>
      </c>
    </row>
    <row r="3744" ht="30.0" customHeight="1">
      <c r="A3744" s="237"/>
      <c r="B3744" s="425"/>
      <c r="C3744" s="257"/>
      <c r="D3744" s="173"/>
      <c r="E3744" s="174"/>
      <c r="F3744" s="173"/>
      <c r="G3744" s="425"/>
      <c r="H3744" s="425"/>
      <c r="I3744" s="258"/>
      <c r="J3744" s="259"/>
      <c r="K3744" s="260"/>
      <c r="L3744" s="442"/>
      <c r="M3744" s="426"/>
      <c r="N3744" s="173"/>
      <c r="O3744" s="173"/>
      <c r="P3744" s="262"/>
      <c r="Q3744" s="173"/>
      <c r="R3744" s="425"/>
      <c r="S3744" s="339"/>
      <c r="T3744" s="427"/>
      <c r="U3744" s="427"/>
      <c r="V3744" s="428"/>
      <c r="W3744" s="429"/>
      <c r="X3744" s="430"/>
      <c r="Y3744" s="33"/>
      <c r="Z3744" s="430"/>
      <c r="AA3744" s="430"/>
      <c r="AB3744" s="258"/>
      <c r="AC3744" s="430"/>
      <c r="AD3744" s="426"/>
      <c r="AE3744" s="428"/>
      <c r="AF3744" s="431"/>
      <c r="AG3744" s="432"/>
      <c r="AH3744" s="430"/>
      <c r="AI3744" s="430"/>
      <c r="AJ3744" s="430"/>
      <c r="AK3744" s="430"/>
      <c r="AL3744" s="430"/>
      <c r="AM3744" s="433"/>
      <c r="AN3744" s="430"/>
      <c r="AO3744" s="430"/>
      <c r="AP3744" s="430"/>
      <c r="AQ3744" s="430"/>
      <c r="AR3744" s="430"/>
      <c r="AS3744" s="430"/>
      <c r="AT3744" s="430"/>
      <c r="AU3744" s="426"/>
      <c r="AV3744" s="174"/>
      <c r="AW3744" s="269"/>
      <c r="AX3744" s="269"/>
      <c r="AY3744" s="270"/>
      <c r="AZ3744" s="435"/>
      <c r="BA3744" s="173"/>
      <c r="BB3744" s="434"/>
      <c r="BC3744" s="434"/>
      <c r="BD3744" s="308"/>
      <c r="BE3744" s="436"/>
      <c r="BF3744" s="274" t="str">
        <f>IFERROR(__xludf.DUMMYFUNCTION("LOWER(Regexreplace(to_text(E3744),""[^A-Za-z0-9]"","""")&amp;""_""&amp;Regexreplace(to_text(F3744),""[^A-Za-z0-9]"",""""))"),"_")</f>
        <v>_</v>
      </c>
      <c r="BG3744" s="275" t="str">
        <f>IFERROR(__xludf.DUMMYFUNCTION("upper(Regexreplace(to_text(E3744),""[^A-Za-z0-9]"","""")&amp;""-""&amp;Regexreplace(to_text(F3744),""[^A-Za-z0-9]"",""""))"),"-")</f>
        <v>-</v>
      </c>
    </row>
    <row r="3745" ht="30.0" customHeight="1">
      <c r="A3745" s="237"/>
      <c r="B3745" s="425"/>
      <c r="C3745" s="257"/>
      <c r="D3745" s="173"/>
      <c r="E3745" s="174"/>
      <c r="F3745" s="173"/>
      <c r="G3745" s="425"/>
      <c r="H3745" s="425"/>
      <c r="I3745" s="258"/>
      <c r="J3745" s="259"/>
      <c r="K3745" s="260"/>
      <c r="L3745" s="442"/>
      <c r="M3745" s="426"/>
      <c r="N3745" s="173"/>
      <c r="O3745" s="173"/>
      <c r="P3745" s="262"/>
      <c r="Q3745" s="173"/>
      <c r="R3745" s="425"/>
      <c r="S3745" s="339"/>
      <c r="T3745" s="427"/>
      <c r="U3745" s="427"/>
      <c r="V3745" s="428"/>
      <c r="W3745" s="429"/>
      <c r="X3745" s="430"/>
      <c r="Y3745" s="33"/>
      <c r="Z3745" s="430"/>
      <c r="AA3745" s="430"/>
      <c r="AB3745" s="258"/>
      <c r="AC3745" s="430"/>
      <c r="AD3745" s="426"/>
      <c r="AE3745" s="428"/>
      <c r="AF3745" s="431"/>
      <c r="AG3745" s="432"/>
      <c r="AH3745" s="430"/>
      <c r="AI3745" s="430"/>
      <c r="AJ3745" s="430"/>
      <c r="AK3745" s="430"/>
      <c r="AL3745" s="430"/>
      <c r="AM3745" s="433"/>
      <c r="AN3745" s="430"/>
      <c r="AO3745" s="430"/>
      <c r="AP3745" s="430"/>
      <c r="AQ3745" s="430"/>
      <c r="AR3745" s="430"/>
      <c r="AS3745" s="430"/>
      <c r="AT3745" s="430"/>
      <c r="AU3745" s="426"/>
      <c r="AV3745" s="174"/>
      <c r="AW3745" s="269"/>
      <c r="AX3745" s="269"/>
      <c r="AY3745" s="270"/>
      <c r="AZ3745" s="435"/>
      <c r="BA3745" s="173"/>
      <c r="BB3745" s="434"/>
      <c r="BC3745" s="434"/>
      <c r="BD3745" s="308"/>
      <c r="BE3745" s="436"/>
      <c r="BF3745" s="274" t="str">
        <f>IFERROR(__xludf.DUMMYFUNCTION("LOWER(Regexreplace(to_text(E3745),""[^A-Za-z0-9]"","""")&amp;""_""&amp;Regexreplace(to_text(F3745),""[^A-Za-z0-9]"",""""))"),"_")</f>
        <v>_</v>
      </c>
      <c r="BG3745" s="275" t="str">
        <f>IFERROR(__xludf.DUMMYFUNCTION("upper(Regexreplace(to_text(E3745),""[^A-Za-z0-9]"","""")&amp;""-""&amp;Regexreplace(to_text(F3745),""[^A-Za-z0-9]"",""""))"),"-")</f>
        <v>-</v>
      </c>
    </row>
    <row r="3746" ht="30.0" customHeight="1">
      <c r="A3746" s="237"/>
      <c r="B3746" s="425"/>
      <c r="C3746" s="257"/>
      <c r="D3746" s="173"/>
      <c r="E3746" s="174"/>
      <c r="F3746" s="173"/>
      <c r="G3746" s="425"/>
      <c r="H3746" s="425"/>
      <c r="I3746" s="258"/>
      <c r="J3746" s="259"/>
      <c r="K3746" s="260"/>
      <c r="L3746" s="442"/>
      <c r="M3746" s="426"/>
      <c r="N3746" s="173"/>
      <c r="O3746" s="173"/>
      <c r="P3746" s="262"/>
      <c r="Q3746" s="173"/>
      <c r="R3746" s="425"/>
      <c r="S3746" s="339"/>
      <c r="T3746" s="427"/>
      <c r="U3746" s="427"/>
      <c r="V3746" s="428"/>
      <c r="W3746" s="429"/>
      <c r="X3746" s="430"/>
      <c r="Y3746" s="33"/>
      <c r="Z3746" s="430"/>
      <c r="AA3746" s="430"/>
      <c r="AB3746" s="258"/>
      <c r="AC3746" s="430"/>
      <c r="AD3746" s="426"/>
      <c r="AE3746" s="428"/>
      <c r="AF3746" s="431"/>
      <c r="AG3746" s="432"/>
      <c r="AH3746" s="430"/>
      <c r="AI3746" s="430"/>
      <c r="AJ3746" s="430"/>
      <c r="AK3746" s="430"/>
      <c r="AL3746" s="430"/>
      <c r="AM3746" s="433"/>
      <c r="AN3746" s="430"/>
      <c r="AO3746" s="430"/>
      <c r="AP3746" s="430"/>
      <c r="AQ3746" s="430"/>
      <c r="AR3746" s="430"/>
      <c r="AS3746" s="430"/>
      <c r="AT3746" s="430"/>
      <c r="AU3746" s="426"/>
      <c r="AV3746" s="174"/>
      <c r="AW3746" s="269"/>
      <c r="AX3746" s="269"/>
      <c r="AY3746" s="270"/>
      <c r="AZ3746" s="435"/>
      <c r="BA3746" s="173"/>
      <c r="BB3746" s="434"/>
      <c r="BC3746" s="434"/>
      <c r="BD3746" s="308"/>
      <c r="BE3746" s="436"/>
      <c r="BF3746" s="274" t="str">
        <f>IFERROR(__xludf.DUMMYFUNCTION("LOWER(Regexreplace(to_text(E3746),""[^A-Za-z0-9]"","""")&amp;""_""&amp;Regexreplace(to_text(F3746),""[^A-Za-z0-9]"",""""))"),"_")</f>
        <v>_</v>
      </c>
      <c r="BG3746" s="275" t="str">
        <f>IFERROR(__xludf.DUMMYFUNCTION("upper(Regexreplace(to_text(E3746),""[^A-Za-z0-9]"","""")&amp;""-""&amp;Regexreplace(to_text(F3746),""[^A-Za-z0-9]"",""""))"),"-")</f>
        <v>-</v>
      </c>
    </row>
    <row r="3747" ht="30.0" customHeight="1">
      <c r="A3747" s="237"/>
      <c r="B3747" s="425"/>
      <c r="C3747" s="257"/>
      <c r="D3747" s="173"/>
      <c r="E3747" s="174"/>
      <c r="F3747" s="173"/>
      <c r="G3747" s="425"/>
      <c r="H3747" s="425"/>
      <c r="I3747" s="258"/>
      <c r="J3747" s="259"/>
      <c r="K3747" s="260"/>
      <c r="L3747" s="442"/>
      <c r="M3747" s="426"/>
      <c r="N3747" s="173"/>
      <c r="O3747" s="173"/>
      <c r="P3747" s="262"/>
      <c r="Q3747" s="173"/>
      <c r="R3747" s="425"/>
      <c r="S3747" s="339"/>
      <c r="T3747" s="427"/>
      <c r="U3747" s="427"/>
      <c r="V3747" s="428"/>
      <c r="W3747" s="429"/>
      <c r="X3747" s="430"/>
      <c r="Y3747" s="33"/>
      <c r="Z3747" s="430"/>
      <c r="AA3747" s="430"/>
      <c r="AB3747" s="258"/>
      <c r="AC3747" s="430"/>
      <c r="AD3747" s="426"/>
      <c r="AE3747" s="428"/>
      <c r="AF3747" s="431"/>
      <c r="AG3747" s="432"/>
      <c r="AH3747" s="430"/>
      <c r="AI3747" s="430"/>
      <c r="AJ3747" s="430"/>
      <c r="AK3747" s="430"/>
      <c r="AL3747" s="430"/>
      <c r="AM3747" s="433"/>
      <c r="AN3747" s="430"/>
      <c r="AO3747" s="430"/>
      <c r="AP3747" s="430"/>
      <c r="AQ3747" s="430"/>
      <c r="AR3747" s="430"/>
      <c r="AS3747" s="430"/>
      <c r="AT3747" s="430"/>
      <c r="AU3747" s="426"/>
      <c r="AV3747" s="174"/>
      <c r="AW3747" s="269"/>
      <c r="AX3747" s="269"/>
      <c r="AY3747" s="270"/>
      <c r="AZ3747" s="435"/>
      <c r="BA3747" s="173"/>
      <c r="BB3747" s="434"/>
      <c r="BC3747" s="434"/>
      <c r="BD3747" s="308"/>
      <c r="BE3747" s="436"/>
      <c r="BF3747" s="274" t="str">
        <f>IFERROR(__xludf.DUMMYFUNCTION("LOWER(Regexreplace(to_text(E3747),""[^A-Za-z0-9]"","""")&amp;""_""&amp;Regexreplace(to_text(F3747),""[^A-Za-z0-9]"",""""))"),"_")</f>
        <v>_</v>
      </c>
      <c r="BG3747" s="275" t="str">
        <f>IFERROR(__xludf.DUMMYFUNCTION("upper(Regexreplace(to_text(E3747),""[^A-Za-z0-9]"","""")&amp;""-""&amp;Regexreplace(to_text(F3747),""[^A-Za-z0-9]"",""""))"),"-")</f>
        <v>-</v>
      </c>
    </row>
    <row r="3748" ht="30.0" customHeight="1">
      <c r="A3748" s="237"/>
      <c r="B3748" s="425"/>
      <c r="C3748" s="257"/>
      <c r="D3748" s="173"/>
      <c r="E3748" s="174"/>
      <c r="F3748" s="173"/>
      <c r="G3748" s="425"/>
      <c r="H3748" s="425"/>
      <c r="I3748" s="258"/>
      <c r="J3748" s="259"/>
      <c r="K3748" s="260"/>
      <c r="L3748" s="442"/>
      <c r="M3748" s="426"/>
      <c r="N3748" s="173"/>
      <c r="O3748" s="173"/>
      <c r="P3748" s="262"/>
      <c r="Q3748" s="173"/>
      <c r="R3748" s="425"/>
      <c r="S3748" s="339"/>
      <c r="T3748" s="427"/>
      <c r="U3748" s="427"/>
      <c r="V3748" s="428"/>
      <c r="W3748" s="429"/>
      <c r="X3748" s="430"/>
      <c r="Y3748" s="33"/>
      <c r="Z3748" s="430"/>
      <c r="AA3748" s="430"/>
      <c r="AB3748" s="258"/>
      <c r="AC3748" s="430"/>
      <c r="AD3748" s="426"/>
      <c r="AE3748" s="428"/>
      <c r="AF3748" s="431"/>
      <c r="AG3748" s="432"/>
      <c r="AH3748" s="430"/>
      <c r="AI3748" s="430"/>
      <c r="AJ3748" s="430"/>
      <c r="AK3748" s="430"/>
      <c r="AL3748" s="430"/>
      <c r="AM3748" s="433"/>
      <c r="AN3748" s="430"/>
      <c r="AO3748" s="430"/>
      <c r="AP3748" s="430"/>
      <c r="AQ3748" s="430"/>
      <c r="AR3748" s="430"/>
      <c r="AS3748" s="430"/>
      <c r="AT3748" s="430"/>
      <c r="AU3748" s="426"/>
      <c r="AV3748" s="174"/>
      <c r="AW3748" s="269"/>
      <c r="AX3748" s="269"/>
      <c r="AY3748" s="270"/>
      <c r="AZ3748" s="435"/>
      <c r="BA3748" s="173"/>
      <c r="BB3748" s="434"/>
      <c r="BC3748" s="434"/>
      <c r="BD3748" s="308"/>
      <c r="BE3748" s="436"/>
      <c r="BF3748" s="274" t="str">
        <f>IFERROR(__xludf.DUMMYFUNCTION("LOWER(Regexreplace(to_text(E3748),""[^A-Za-z0-9]"","""")&amp;""_""&amp;Regexreplace(to_text(F3748),""[^A-Za-z0-9]"",""""))"),"_")</f>
        <v>_</v>
      </c>
      <c r="BG3748" s="275" t="str">
        <f>IFERROR(__xludf.DUMMYFUNCTION("upper(Regexreplace(to_text(E3748),""[^A-Za-z0-9]"","""")&amp;""-""&amp;Regexreplace(to_text(F3748),""[^A-Za-z0-9]"",""""))"),"-")</f>
        <v>-</v>
      </c>
    </row>
    <row r="3749" ht="30.0" customHeight="1">
      <c r="A3749" s="237"/>
      <c r="B3749" s="425"/>
      <c r="C3749" s="257"/>
      <c r="D3749" s="173"/>
      <c r="E3749" s="174"/>
      <c r="F3749" s="173"/>
      <c r="G3749" s="425"/>
      <c r="H3749" s="425"/>
      <c r="I3749" s="258"/>
      <c r="J3749" s="259"/>
      <c r="K3749" s="260"/>
      <c r="L3749" s="442"/>
      <c r="M3749" s="426"/>
      <c r="N3749" s="173"/>
      <c r="O3749" s="173"/>
      <c r="P3749" s="262"/>
      <c r="Q3749" s="173"/>
      <c r="R3749" s="425"/>
      <c r="S3749" s="339"/>
      <c r="T3749" s="427"/>
      <c r="U3749" s="427"/>
      <c r="V3749" s="428"/>
      <c r="W3749" s="429"/>
      <c r="X3749" s="430"/>
      <c r="Y3749" s="33"/>
      <c r="Z3749" s="430"/>
      <c r="AA3749" s="430"/>
      <c r="AB3749" s="258"/>
      <c r="AC3749" s="430"/>
      <c r="AD3749" s="426"/>
      <c r="AE3749" s="428"/>
      <c r="AF3749" s="431"/>
      <c r="AG3749" s="432"/>
      <c r="AH3749" s="430"/>
      <c r="AI3749" s="430"/>
      <c r="AJ3749" s="430"/>
      <c r="AK3749" s="430"/>
      <c r="AL3749" s="430"/>
      <c r="AM3749" s="433"/>
      <c r="AN3749" s="430"/>
      <c r="AO3749" s="430"/>
      <c r="AP3749" s="430"/>
      <c r="AQ3749" s="430"/>
      <c r="AR3749" s="430"/>
      <c r="AS3749" s="430"/>
      <c r="AT3749" s="430"/>
      <c r="AU3749" s="426"/>
      <c r="AV3749" s="174"/>
      <c r="AW3749" s="269"/>
      <c r="AX3749" s="269"/>
      <c r="AY3749" s="270"/>
      <c r="AZ3749" s="435"/>
      <c r="BA3749" s="173"/>
      <c r="BB3749" s="434"/>
      <c r="BC3749" s="434"/>
      <c r="BD3749" s="308"/>
      <c r="BE3749" s="436"/>
      <c r="BF3749" s="274" t="str">
        <f>IFERROR(__xludf.DUMMYFUNCTION("LOWER(Regexreplace(to_text(E3749),""[^A-Za-z0-9]"","""")&amp;""_""&amp;Regexreplace(to_text(F3749),""[^A-Za-z0-9]"",""""))"),"_")</f>
        <v>_</v>
      </c>
      <c r="BG3749" s="275" t="str">
        <f>IFERROR(__xludf.DUMMYFUNCTION("upper(Regexreplace(to_text(E3749),""[^A-Za-z0-9]"","""")&amp;""-""&amp;Regexreplace(to_text(F3749),""[^A-Za-z0-9]"",""""))"),"-")</f>
        <v>-</v>
      </c>
    </row>
    <row r="3750" ht="30.0" customHeight="1">
      <c r="A3750" s="237"/>
      <c r="B3750" s="425"/>
      <c r="C3750" s="257"/>
      <c r="D3750" s="173"/>
      <c r="E3750" s="174"/>
      <c r="F3750" s="173"/>
      <c r="G3750" s="425"/>
      <c r="H3750" s="425"/>
      <c r="I3750" s="258"/>
      <c r="J3750" s="259"/>
      <c r="K3750" s="260"/>
      <c r="L3750" s="442"/>
      <c r="M3750" s="426"/>
      <c r="N3750" s="173"/>
      <c r="O3750" s="173"/>
      <c r="P3750" s="262"/>
      <c r="Q3750" s="173"/>
      <c r="R3750" s="425"/>
      <c r="S3750" s="339"/>
      <c r="T3750" s="427"/>
      <c r="U3750" s="427"/>
      <c r="V3750" s="428"/>
      <c r="W3750" s="429"/>
      <c r="X3750" s="430"/>
      <c r="Y3750" s="33"/>
      <c r="Z3750" s="430"/>
      <c r="AA3750" s="430"/>
      <c r="AB3750" s="258"/>
      <c r="AC3750" s="430"/>
      <c r="AD3750" s="426"/>
      <c r="AE3750" s="428"/>
      <c r="AF3750" s="431"/>
      <c r="AG3750" s="432"/>
      <c r="AH3750" s="430"/>
      <c r="AI3750" s="430"/>
      <c r="AJ3750" s="430"/>
      <c r="AK3750" s="430"/>
      <c r="AL3750" s="430"/>
      <c r="AM3750" s="433"/>
      <c r="AN3750" s="430"/>
      <c r="AO3750" s="430"/>
      <c r="AP3750" s="430"/>
      <c r="AQ3750" s="430"/>
      <c r="AR3750" s="430"/>
      <c r="AS3750" s="430"/>
      <c r="AT3750" s="430"/>
      <c r="AU3750" s="426"/>
      <c r="AV3750" s="174"/>
      <c r="AW3750" s="269"/>
      <c r="AX3750" s="269"/>
      <c r="AY3750" s="270"/>
      <c r="AZ3750" s="435"/>
      <c r="BA3750" s="173"/>
      <c r="BB3750" s="434"/>
      <c r="BC3750" s="434"/>
      <c r="BD3750" s="308"/>
      <c r="BE3750" s="436"/>
      <c r="BF3750" s="274" t="str">
        <f>IFERROR(__xludf.DUMMYFUNCTION("LOWER(Regexreplace(to_text(E3750),""[^A-Za-z0-9]"","""")&amp;""_""&amp;Regexreplace(to_text(F3750),""[^A-Za-z0-9]"",""""))"),"_")</f>
        <v>_</v>
      </c>
      <c r="BG3750" s="275" t="str">
        <f>IFERROR(__xludf.DUMMYFUNCTION("upper(Regexreplace(to_text(E3750),""[^A-Za-z0-9]"","""")&amp;""-""&amp;Regexreplace(to_text(F3750),""[^A-Za-z0-9]"",""""))"),"-")</f>
        <v>-</v>
      </c>
    </row>
    <row r="3751" ht="30.0" customHeight="1">
      <c r="A3751" s="237"/>
      <c r="B3751" s="425"/>
      <c r="C3751" s="257"/>
      <c r="D3751" s="173"/>
      <c r="E3751" s="174"/>
      <c r="F3751" s="173"/>
      <c r="G3751" s="425"/>
      <c r="H3751" s="425"/>
      <c r="I3751" s="258"/>
      <c r="J3751" s="259"/>
      <c r="K3751" s="260"/>
      <c r="L3751" s="442"/>
      <c r="M3751" s="426"/>
      <c r="N3751" s="173"/>
      <c r="O3751" s="173"/>
      <c r="P3751" s="262"/>
      <c r="Q3751" s="173"/>
      <c r="R3751" s="425"/>
      <c r="S3751" s="339"/>
      <c r="T3751" s="427"/>
      <c r="U3751" s="427"/>
      <c r="V3751" s="428"/>
      <c r="W3751" s="429"/>
      <c r="X3751" s="430"/>
      <c r="Y3751" s="33"/>
      <c r="Z3751" s="430"/>
      <c r="AA3751" s="430"/>
      <c r="AB3751" s="258"/>
      <c r="AC3751" s="430"/>
      <c r="AD3751" s="426"/>
      <c r="AE3751" s="428"/>
      <c r="AF3751" s="431"/>
      <c r="AG3751" s="432"/>
      <c r="AH3751" s="430"/>
      <c r="AI3751" s="430"/>
      <c r="AJ3751" s="430"/>
      <c r="AK3751" s="430"/>
      <c r="AL3751" s="430"/>
      <c r="AM3751" s="433"/>
      <c r="AN3751" s="430"/>
      <c r="AO3751" s="430"/>
      <c r="AP3751" s="430"/>
      <c r="AQ3751" s="430"/>
      <c r="AR3751" s="430"/>
      <c r="AS3751" s="430"/>
      <c r="AT3751" s="430"/>
      <c r="AU3751" s="426"/>
      <c r="AV3751" s="174"/>
      <c r="AW3751" s="269"/>
      <c r="AX3751" s="269"/>
      <c r="AY3751" s="270"/>
      <c r="AZ3751" s="435"/>
      <c r="BA3751" s="173"/>
      <c r="BB3751" s="434"/>
      <c r="BC3751" s="434"/>
      <c r="BD3751" s="308"/>
      <c r="BE3751" s="436"/>
      <c r="BF3751" s="274" t="str">
        <f>IFERROR(__xludf.DUMMYFUNCTION("LOWER(Regexreplace(to_text(E3751),""[^A-Za-z0-9]"","""")&amp;""_""&amp;Regexreplace(to_text(F3751),""[^A-Za-z0-9]"",""""))"),"_")</f>
        <v>_</v>
      </c>
      <c r="BG3751" s="275" t="str">
        <f>IFERROR(__xludf.DUMMYFUNCTION("upper(Regexreplace(to_text(E3751),""[^A-Za-z0-9]"","""")&amp;""-""&amp;Regexreplace(to_text(F3751),""[^A-Za-z0-9]"",""""))"),"-")</f>
        <v>-</v>
      </c>
    </row>
    <row r="3752" ht="30.0" customHeight="1">
      <c r="A3752" s="237"/>
      <c r="B3752" s="425"/>
      <c r="C3752" s="257"/>
      <c r="D3752" s="173"/>
      <c r="E3752" s="174"/>
      <c r="F3752" s="173"/>
      <c r="G3752" s="425"/>
      <c r="H3752" s="425"/>
      <c r="I3752" s="258"/>
      <c r="J3752" s="259"/>
      <c r="K3752" s="260"/>
      <c r="L3752" s="442"/>
      <c r="M3752" s="426"/>
      <c r="N3752" s="173"/>
      <c r="O3752" s="173"/>
      <c r="P3752" s="262"/>
      <c r="Q3752" s="173"/>
      <c r="R3752" s="425"/>
      <c r="S3752" s="339"/>
      <c r="T3752" s="427"/>
      <c r="U3752" s="427"/>
      <c r="V3752" s="428"/>
      <c r="W3752" s="429"/>
      <c r="X3752" s="430"/>
      <c r="Y3752" s="33"/>
      <c r="Z3752" s="430"/>
      <c r="AA3752" s="430"/>
      <c r="AB3752" s="258"/>
      <c r="AC3752" s="430"/>
      <c r="AD3752" s="426"/>
      <c r="AE3752" s="428"/>
      <c r="AF3752" s="431"/>
      <c r="AG3752" s="432"/>
      <c r="AH3752" s="430"/>
      <c r="AI3752" s="430"/>
      <c r="AJ3752" s="430"/>
      <c r="AK3752" s="430"/>
      <c r="AL3752" s="430"/>
      <c r="AM3752" s="433"/>
      <c r="AN3752" s="430"/>
      <c r="AO3752" s="430"/>
      <c r="AP3752" s="430"/>
      <c r="AQ3752" s="430"/>
      <c r="AR3752" s="430"/>
      <c r="AS3752" s="430"/>
      <c r="AT3752" s="430"/>
      <c r="AU3752" s="426"/>
      <c r="AV3752" s="174"/>
      <c r="AW3752" s="269"/>
      <c r="AX3752" s="269"/>
      <c r="AY3752" s="270"/>
      <c r="AZ3752" s="435"/>
      <c r="BA3752" s="173"/>
      <c r="BB3752" s="434"/>
      <c r="BC3752" s="434"/>
      <c r="BD3752" s="308"/>
      <c r="BE3752" s="436"/>
      <c r="BF3752" s="274" t="str">
        <f>IFERROR(__xludf.DUMMYFUNCTION("LOWER(Regexreplace(to_text(E3752),""[^A-Za-z0-9]"","""")&amp;""_""&amp;Regexreplace(to_text(F3752),""[^A-Za-z0-9]"",""""))"),"_")</f>
        <v>_</v>
      </c>
      <c r="BG3752" s="275" t="str">
        <f>IFERROR(__xludf.DUMMYFUNCTION("upper(Regexreplace(to_text(E3752),""[^A-Za-z0-9]"","""")&amp;""-""&amp;Regexreplace(to_text(F3752),""[^A-Za-z0-9]"",""""))"),"-")</f>
        <v>-</v>
      </c>
    </row>
    <row r="3753" ht="30.0" customHeight="1">
      <c r="A3753" s="237"/>
      <c r="B3753" s="425"/>
      <c r="C3753" s="257"/>
      <c r="D3753" s="173"/>
      <c r="E3753" s="174"/>
      <c r="F3753" s="173"/>
      <c r="G3753" s="425"/>
      <c r="H3753" s="425"/>
      <c r="I3753" s="258"/>
      <c r="J3753" s="259"/>
      <c r="K3753" s="260"/>
      <c r="L3753" s="442"/>
      <c r="M3753" s="426"/>
      <c r="N3753" s="173"/>
      <c r="O3753" s="173"/>
      <c r="P3753" s="262"/>
      <c r="Q3753" s="173"/>
      <c r="R3753" s="425"/>
      <c r="S3753" s="339"/>
      <c r="T3753" s="427"/>
      <c r="U3753" s="427"/>
      <c r="V3753" s="428"/>
      <c r="W3753" s="429"/>
      <c r="X3753" s="430"/>
      <c r="Y3753" s="33"/>
      <c r="Z3753" s="430"/>
      <c r="AA3753" s="430"/>
      <c r="AB3753" s="258"/>
      <c r="AC3753" s="430"/>
      <c r="AD3753" s="426"/>
      <c r="AE3753" s="428"/>
      <c r="AF3753" s="431"/>
      <c r="AG3753" s="432"/>
      <c r="AH3753" s="430"/>
      <c r="AI3753" s="430"/>
      <c r="AJ3753" s="430"/>
      <c r="AK3753" s="430"/>
      <c r="AL3753" s="430"/>
      <c r="AM3753" s="433"/>
      <c r="AN3753" s="430"/>
      <c r="AO3753" s="430"/>
      <c r="AP3753" s="430"/>
      <c r="AQ3753" s="430"/>
      <c r="AR3753" s="430"/>
      <c r="AS3753" s="430"/>
      <c r="AT3753" s="430"/>
      <c r="AU3753" s="426"/>
      <c r="AV3753" s="174"/>
      <c r="AW3753" s="269"/>
      <c r="AX3753" s="269"/>
      <c r="AY3753" s="270"/>
      <c r="AZ3753" s="435"/>
      <c r="BA3753" s="173"/>
      <c r="BB3753" s="434"/>
      <c r="BC3753" s="434"/>
      <c r="BD3753" s="308"/>
      <c r="BE3753" s="436"/>
      <c r="BF3753" s="274" t="str">
        <f>IFERROR(__xludf.DUMMYFUNCTION("LOWER(Regexreplace(to_text(E3753),""[^A-Za-z0-9]"","""")&amp;""_""&amp;Regexreplace(to_text(F3753),""[^A-Za-z0-9]"",""""))"),"_")</f>
        <v>_</v>
      </c>
      <c r="BG3753" s="275" t="str">
        <f>IFERROR(__xludf.DUMMYFUNCTION("upper(Regexreplace(to_text(E3753),""[^A-Za-z0-9]"","""")&amp;""-""&amp;Regexreplace(to_text(F3753),""[^A-Za-z0-9]"",""""))"),"-")</f>
        <v>-</v>
      </c>
    </row>
    <row r="3754" ht="30.0" customHeight="1">
      <c r="A3754" s="237"/>
      <c r="B3754" s="425"/>
      <c r="C3754" s="257"/>
      <c r="D3754" s="173"/>
      <c r="E3754" s="174"/>
      <c r="F3754" s="173"/>
      <c r="G3754" s="425"/>
      <c r="H3754" s="425"/>
      <c r="I3754" s="258"/>
      <c r="J3754" s="259"/>
      <c r="K3754" s="260"/>
      <c r="L3754" s="442"/>
      <c r="M3754" s="426"/>
      <c r="N3754" s="173"/>
      <c r="O3754" s="173"/>
      <c r="P3754" s="262"/>
      <c r="Q3754" s="173"/>
      <c r="R3754" s="425"/>
      <c r="S3754" s="339"/>
      <c r="T3754" s="427"/>
      <c r="U3754" s="427"/>
      <c r="V3754" s="428"/>
      <c r="W3754" s="429"/>
      <c r="X3754" s="430"/>
      <c r="Y3754" s="33"/>
      <c r="Z3754" s="430"/>
      <c r="AA3754" s="430"/>
      <c r="AB3754" s="258"/>
      <c r="AC3754" s="430"/>
      <c r="AD3754" s="426"/>
      <c r="AE3754" s="428"/>
      <c r="AF3754" s="431"/>
      <c r="AG3754" s="432"/>
      <c r="AH3754" s="430"/>
      <c r="AI3754" s="430"/>
      <c r="AJ3754" s="430"/>
      <c r="AK3754" s="430"/>
      <c r="AL3754" s="430"/>
      <c r="AM3754" s="433"/>
      <c r="AN3754" s="430"/>
      <c r="AO3754" s="430"/>
      <c r="AP3754" s="430"/>
      <c r="AQ3754" s="430"/>
      <c r="AR3754" s="430"/>
      <c r="AS3754" s="430"/>
      <c r="AT3754" s="430"/>
      <c r="AU3754" s="426"/>
      <c r="AV3754" s="174"/>
      <c r="AW3754" s="269"/>
      <c r="AX3754" s="269"/>
      <c r="AY3754" s="270"/>
      <c r="AZ3754" s="435"/>
      <c r="BA3754" s="173"/>
      <c r="BB3754" s="434"/>
      <c r="BC3754" s="434"/>
      <c r="BD3754" s="308"/>
      <c r="BE3754" s="436"/>
      <c r="BF3754" s="274" t="str">
        <f>IFERROR(__xludf.DUMMYFUNCTION("LOWER(Regexreplace(to_text(E3754),""[^A-Za-z0-9]"","""")&amp;""_""&amp;Regexreplace(to_text(F3754),""[^A-Za-z0-9]"",""""))"),"_")</f>
        <v>_</v>
      </c>
      <c r="BG3754" s="275" t="str">
        <f>IFERROR(__xludf.DUMMYFUNCTION("upper(Regexreplace(to_text(E3754),""[^A-Za-z0-9]"","""")&amp;""-""&amp;Regexreplace(to_text(F3754),""[^A-Za-z0-9]"",""""))"),"-")</f>
        <v>-</v>
      </c>
    </row>
    <row r="3755" ht="30.0" customHeight="1">
      <c r="A3755" s="237"/>
      <c r="B3755" s="425"/>
      <c r="C3755" s="257"/>
      <c r="D3755" s="173"/>
      <c r="E3755" s="174"/>
      <c r="F3755" s="173"/>
      <c r="G3755" s="425"/>
      <c r="H3755" s="425"/>
      <c r="I3755" s="258"/>
      <c r="J3755" s="259"/>
      <c r="K3755" s="260"/>
      <c r="L3755" s="442"/>
      <c r="M3755" s="426"/>
      <c r="N3755" s="173"/>
      <c r="O3755" s="173"/>
      <c r="P3755" s="262"/>
      <c r="Q3755" s="173"/>
      <c r="R3755" s="425"/>
      <c r="S3755" s="339"/>
      <c r="T3755" s="427"/>
      <c r="U3755" s="427"/>
      <c r="V3755" s="428"/>
      <c r="W3755" s="429"/>
      <c r="X3755" s="430"/>
      <c r="Y3755" s="33"/>
      <c r="Z3755" s="430"/>
      <c r="AA3755" s="430"/>
      <c r="AB3755" s="258"/>
      <c r="AC3755" s="430"/>
      <c r="AD3755" s="426"/>
      <c r="AE3755" s="428"/>
      <c r="AF3755" s="431"/>
      <c r="AG3755" s="432"/>
      <c r="AH3755" s="430"/>
      <c r="AI3755" s="430"/>
      <c r="AJ3755" s="430"/>
      <c r="AK3755" s="430"/>
      <c r="AL3755" s="430"/>
      <c r="AM3755" s="433"/>
      <c r="AN3755" s="430"/>
      <c r="AO3755" s="430"/>
      <c r="AP3755" s="430"/>
      <c r="AQ3755" s="430"/>
      <c r="AR3755" s="430"/>
      <c r="AS3755" s="430"/>
      <c r="AT3755" s="430"/>
      <c r="AU3755" s="426"/>
      <c r="AV3755" s="174"/>
      <c r="AW3755" s="269"/>
      <c r="AX3755" s="269"/>
      <c r="AY3755" s="270"/>
      <c r="AZ3755" s="435"/>
      <c r="BA3755" s="173"/>
      <c r="BB3755" s="434"/>
      <c r="BC3755" s="434"/>
      <c r="BD3755" s="308"/>
      <c r="BE3755" s="436"/>
      <c r="BF3755" s="274" t="str">
        <f>IFERROR(__xludf.DUMMYFUNCTION("LOWER(Regexreplace(to_text(E3755),""[^A-Za-z0-9]"","""")&amp;""_""&amp;Regexreplace(to_text(F3755),""[^A-Za-z0-9]"",""""))"),"_")</f>
        <v>_</v>
      </c>
      <c r="BG3755" s="275" t="str">
        <f>IFERROR(__xludf.DUMMYFUNCTION("upper(Regexreplace(to_text(E3755),""[^A-Za-z0-9]"","""")&amp;""-""&amp;Regexreplace(to_text(F3755),""[^A-Za-z0-9]"",""""))"),"-")</f>
        <v>-</v>
      </c>
    </row>
    <row r="3756" ht="30.0" customHeight="1">
      <c r="A3756" s="237"/>
      <c r="B3756" s="425"/>
      <c r="C3756" s="257"/>
      <c r="D3756" s="173"/>
      <c r="E3756" s="174"/>
      <c r="F3756" s="173"/>
      <c r="G3756" s="425"/>
      <c r="H3756" s="425"/>
      <c r="I3756" s="258"/>
      <c r="J3756" s="259"/>
      <c r="K3756" s="260"/>
      <c r="L3756" s="442"/>
      <c r="M3756" s="426"/>
      <c r="N3756" s="173"/>
      <c r="O3756" s="173"/>
      <c r="P3756" s="262"/>
      <c r="Q3756" s="173"/>
      <c r="R3756" s="425"/>
      <c r="S3756" s="339"/>
      <c r="T3756" s="427"/>
      <c r="U3756" s="427"/>
      <c r="V3756" s="428"/>
      <c r="W3756" s="429"/>
      <c r="X3756" s="430"/>
      <c r="Y3756" s="33"/>
      <c r="Z3756" s="430"/>
      <c r="AA3756" s="430"/>
      <c r="AB3756" s="258"/>
      <c r="AC3756" s="430"/>
      <c r="AD3756" s="426"/>
      <c r="AE3756" s="428"/>
      <c r="AF3756" s="431"/>
      <c r="AG3756" s="432"/>
      <c r="AH3756" s="430"/>
      <c r="AI3756" s="430"/>
      <c r="AJ3756" s="430"/>
      <c r="AK3756" s="430"/>
      <c r="AL3756" s="430"/>
      <c r="AM3756" s="433"/>
      <c r="AN3756" s="430"/>
      <c r="AO3756" s="430"/>
      <c r="AP3756" s="430"/>
      <c r="AQ3756" s="430"/>
      <c r="AR3756" s="430"/>
      <c r="AS3756" s="430"/>
      <c r="AT3756" s="430"/>
      <c r="AU3756" s="426"/>
      <c r="AV3756" s="174"/>
      <c r="AW3756" s="269"/>
      <c r="AX3756" s="269"/>
      <c r="AY3756" s="270"/>
      <c r="AZ3756" s="435"/>
      <c r="BA3756" s="173"/>
      <c r="BB3756" s="434"/>
      <c r="BC3756" s="434"/>
      <c r="BD3756" s="308"/>
      <c r="BE3756" s="436"/>
      <c r="BF3756" s="274" t="str">
        <f>IFERROR(__xludf.DUMMYFUNCTION("LOWER(Regexreplace(to_text(E3756),""[^A-Za-z0-9]"","""")&amp;""_""&amp;Regexreplace(to_text(F3756),""[^A-Za-z0-9]"",""""))"),"_")</f>
        <v>_</v>
      </c>
      <c r="BG3756" s="275" t="str">
        <f>IFERROR(__xludf.DUMMYFUNCTION("upper(Regexreplace(to_text(E3756),""[^A-Za-z0-9]"","""")&amp;""-""&amp;Regexreplace(to_text(F3756),""[^A-Za-z0-9]"",""""))"),"-")</f>
        <v>-</v>
      </c>
    </row>
    <row r="3757" ht="30.0" customHeight="1">
      <c r="A3757" s="237"/>
      <c r="B3757" s="425"/>
      <c r="C3757" s="257"/>
      <c r="D3757" s="173"/>
      <c r="E3757" s="174"/>
      <c r="F3757" s="173"/>
      <c r="G3757" s="425"/>
      <c r="H3757" s="425"/>
      <c r="I3757" s="258"/>
      <c r="J3757" s="259"/>
      <c r="K3757" s="260"/>
      <c r="L3757" s="442"/>
      <c r="M3757" s="426"/>
      <c r="N3757" s="173"/>
      <c r="O3757" s="173"/>
      <c r="P3757" s="262"/>
      <c r="Q3757" s="173"/>
      <c r="R3757" s="425"/>
      <c r="S3757" s="339"/>
      <c r="T3757" s="427"/>
      <c r="U3757" s="427"/>
      <c r="V3757" s="428"/>
      <c r="W3757" s="429"/>
      <c r="X3757" s="430"/>
      <c r="Y3757" s="33"/>
      <c r="Z3757" s="430"/>
      <c r="AA3757" s="430"/>
      <c r="AB3757" s="258"/>
      <c r="AC3757" s="430"/>
      <c r="AD3757" s="426"/>
      <c r="AE3757" s="428"/>
      <c r="AF3757" s="431"/>
      <c r="AG3757" s="432"/>
      <c r="AH3757" s="430"/>
      <c r="AI3757" s="430"/>
      <c r="AJ3757" s="430"/>
      <c r="AK3757" s="430"/>
      <c r="AL3757" s="430"/>
      <c r="AM3757" s="433"/>
      <c r="AN3757" s="430"/>
      <c r="AO3757" s="430"/>
      <c r="AP3757" s="430"/>
      <c r="AQ3757" s="430"/>
      <c r="AR3757" s="430"/>
      <c r="AS3757" s="430"/>
      <c r="AT3757" s="430"/>
      <c r="AU3757" s="426"/>
      <c r="AV3757" s="174"/>
      <c r="AW3757" s="269"/>
      <c r="AX3757" s="269"/>
      <c r="AY3757" s="270"/>
      <c r="AZ3757" s="435"/>
      <c r="BA3757" s="173"/>
      <c r="BB3757" s="434"/>
      <c r="BC3757" s="434"/>
      <c r="BD3757" s="308"/>
      <c r="BE3757" s="436"/>
      <c r="BF3757" s="274" t="str">
        <f>IFERROR(__xludf.DUMMYFUNCTION("LOWER(Regexreplace(to_text(E3757),""[^A-Za-z0-9]"","""")&amp;""_""&amp;Regexreplace(to_text(F3757),""[^A-Za-z0-9]"",""""))"),"_")</f>
        <v>_</v>
      </c>
      <c r="BG3757" s="275" t="str">
        <f>IFERROR(__xludf.DUMMYFUNCTION("upper(Regexreplace(to_text(E3757),""[^A-Za-z0-9]"","""")&amp;""-""&amp;Regexreplace(to_text(F3757),""[^A-Za-z0-9]"",""""))"),"-")</f>
        <v>-</v>
      </c>
    </row>
    <row r="3758" ht="30.0" customHeight="1">
      <c r="A3758" s="237"/>
      <c r="B3758" s="425"/>
      <c r="C3758" s="257"/>
      <c r="D3758" s="173"/>
      <c r="E3758" s="174"/>
      <c r="F3758" s="173"/>
      <c r="G3758" s="425"/>
      <c r="H3758" s="425"/>
      <c r="I3758" s="258"/>
      <c r="J3758" s="259"/>
      <c r="K3758" s="260"/>
      <c r="L3758" s="442"/>
      <c r="M3758" s="426"/>
      <c r="N3758" s="173"/>
      <c r="O3758" s="173"/>
      <c r="P3758" s="262"/>
      <c r="Q3758" s="173"/>
      <c r="R3758" s="425"/>
      <c r="S3758" s="339"/>
      <c r="T3758" s="427"/>
      <c r="U3758" s="427"/>
      <c r="V3758" s="428"/>
      <c r="W3758" s="429"/>
      <c r="X3758" s="430"/>
      <c r="Y3758" s="33"/>
      <c r="Z3758" s="430"/>
      <c r="AA3758" s="430"/>
      <c r="AB3758" s="258"/>
      <c r="AC3758" s="430"/>
      <c r="AD3758" s="426"/>
      <c r="AE3758" s="428"/>
      <c r="AF3758" s="431"/>
      <c r="AG3758" s="432"/>
      <c r="AH3758" s="430"/>
      <c r="AI3758" s="430"/>
      <c r="AJ3758" s="430"/>
      <c r="AK3758" s="430"/>
      <c r="AL3758" s="430"/>
      <c r="AM3758" s="433"/>
      <c r="AN3758" s="430"/>
      <c r="AO3758" s="430"/>
      <c r="AP3758" s="430"/>
      <c r="AQ3758" s="430"/>
      <c r="AR3758" s="430"/>
      <c r="AS3758" s="430"/>
      <c r="AT3758" s="430"/>
      <c r="AU3758" s="426"/>
      <c r="AV3758" s="174"/>
      <c r="AW3758" s="269"/>
      <c r="AX3758" s="269"/>
      <c r="AY3758" s="270"/>
      <c r="AZ3758" s="435"/>
      <c r="BA3758" s="173"/>
      <c r="BB3758" s="434"/>
      <c r="BC3758" s="434"/>
      <c r="BD3758" s="308"/>
      <c r="BE3758" s="436"/>
      <c r="BF3758" s="274" t="str">
        <f>IFERROR(__xludf.DUMMYFUNCTION("LOWER(Regexreplace(to_text(E3758),""[^A-Za-z0-9]"","""")&amp;""_""&amp;Regexreplace(to_text(F3758),""[^A-Za-z0-9]"",""""))"),"_")</f>
        <v>_</v>
      </c>
      <c r="BG3758" s="275" t="str">
        <f>IFERROR(__xludf.DUMMYFUNCTION("upper(Regexreplace(to_text(E3758),""[^A-Za-z0-9]"","""")&amp;""-""&amp;Regexreplace(to_text(F3758),""[^A-Za-z0-9]"",""""))"),"-")</f>
        <v>-</v>
      </c>
    </row>
    <row r="3759" ht="30.0" customHeight="1">
      <c r="A3759" s="237"/>
      <c r="B3759" s="425"/>
      <c r="C3759" s="257"/>
      <c r="D3759" s="173"/>
      <c r="E3759" s="174"/>
      <c r="F3759" s="173"/>
      <c r="G3759" s="425"/>
      <c r="H3759" s="425"/>
      <c r="I3759" s="258"/>
      <c r="J3759" s="259"/>
      <c r="K3759" s="260"/>
      <c r="L3759" s="442"/>
      <c r="M3759" s="426"/>
      <c r="N3759" s="173"/>
      <c r="O3759" s="173"/>
      <c r="P3759" s="262"/>
      <c r="Q3759" s="173"/>
      <c r="R3759" s="425"/>
      <c r="S3759" s="339"/>
      <c r="T3759" s="427"/>
      <c r="U3759" s="427"/>
      <c r="V3759" s="428"/>
      <c r="W3759" s="429"/>
      <c r="X3759" s="430"/>
      <c r="Y3759" s="33"/>
      <c r="Z3759" s="430"/>
      <c r="AA3759" s="430"/>
      <c r="AB3759" s="258"/>
      <c r="AC3759" s="430"/>
      <c r="AD3759" s="426"/>
      <c r="AE3759" s="428"/>
      <c r="AF3759" s="431"/>
      <c r="AG3759" s="432"/>
      <c r="AH3759" s="430"/>
      <c r="AI3759" s="430"/>
      <c r="AJ3759" s="430"/>
      <c r="AK3759" s="430"/>
      <c r="AL3759" s="430"/>
      <c r="AM3759" s="433"/>
      <c r="AN3759" s="430"/>
      <c r="AO3759" s="430"/>
      <c r="AP3759" s="430"/>
      <c r="AQ3759" s="430"/>
      <c r="AR3759" s="430"/>
      <c r="AS3759" s="430"/>
      <c r="AT3759" s="430"/>
      <c r="AU3759" s="426"/>
      <c r="AV3759" s="174"/>
      <c r="AW3759" s="269"/>
      <c r="AX3759" s="269"/>
      <c r="AY3759" s="270"/>
      <c r="AZ3759" s="435"/>
      <c r="BA3759" s="173"/>
      <c r="BB3759" s="434"/>
      <c r="BC3759" s="434"/>
      <c r="BD3759" s="308"/>
      <c r="BE3759" s="436"/>
      <c r="BF3759" s="274" t="str">
        <f>IFERROR(__xludf.DUMMYFUNCTION("LOWER(Regexreplace(to_text(E3759),""[^A-Za-z0-9]"","""")&amp;""_""&amp;Regexreplace(to_text(F3759),""[^A-Za-z0-9]"",""""))"),"_")</f>
        <v>_</v>
      </c>
      <c r="BG3759" s="275" t="str">
        <f>IFERROR(__xludf.DUMMYFUNCTION("upper(Regexreplace(to_text(E3759),""[^A-Za-z0-9]"","""")&amp;""-""&amp;Regexreplace(to_text(F3759),""[^A-Za-z0-9]"",""""))"),"-")</f>
        <v>-</v>
      </c>
    </row>
    <row r="3760" ht="30.0" customHeight="1">
      <c r="A3760" s="237"/>
      <c r="B3760" s="425"/>
      <c r="C3760" s="257"/>
      <c r="D3760" s="173"/>
      <c r="E3760" s="174"/>
      <c r="F3760" s="173"/>
      <c r="G3760" s="425"/>
      <c r="H3760" s="425"/>
      <c r="I3760" s="258"/>
      <c r="J3760" s="259"/>
      <c r="K3760" s="260"/>
      <c r="L3760" s="442"/>
      <c r="M3760" s="426"/>
      <c r="N3760" s="173"/>
      <c r="O3760" s="173"/>
      <c r="P3760" s="262"/>
      <c r="Q3760" s="173"/>
      <c r="R3760" s="425"/>
      <c r="S3760" s="339"/>
      <c r="T3760" s="427"/>
      <c r="U3760" s="427"/>
      <c r="V3760" s="428"/>
      <c r="W3760" s="429"/>
      <c r="X3760" s="430"/>
      <c r="Y3760" s="33"/>
      <c r="Z3760" s="430"/>
      <c r="AA3760" s="430"/>
      <c r="AB3760" s="258"/>
      <c r="AC3760" s="430"/>
      <c r="AD3760" s="426"/>
      <c r="AE3760" s="428"/>
      <c r="AF3760" s="431"/>
      <c r="AG3760" s="432"/>
      <c r="AH3760" s="430"/>
      <c r="AI3760" s="430"/>
      <c r="AJ3760" s="430"/>
      <c r="AK3760" s="430"/>
      <c r="AL3760" s="430"/>
      <c r="AM3760" s="433"/>
      <c r="AN3760" s="430"/>
      <c r="AO3760" s="430"/>
      <c r="AP3760" s="430"/>
      <c r="AQ3760" s="430"/>
      <c r="AR3760" s="430"/>
      <c r="AS3760" s="430"/>
      <c r="AT3760" s="430"/>
      <c r="AU3760" s="426"/>
      <c r="AV3760" s="174"/>
      <c r="AW3760" s="269"/>
      <c r="AX3760" s="269"/>
      <c r="AY3760" s="270"/>
      <c r="AZ3760" s="435"/>
      <c r="BA3760" s="173"/>
      <c r="BB3760" s="434"/>
      <c r="BC3760" s="434"/>
      <c r="BD3760" s="308"/>
      <c r="BE3760" s="436"/>
      <c r="BF3760" s="274" t="str">
        <f>IFERROR(__xludf.DUMMYFUNCTION("LOWER(Regexreplace(to_text(E3760),""[^A-Za-z0-9]"","""")&amp;""_""&amp;Regexreplace(to_text(F3760),""[^A-Za-z0-9]"",""""))"),"_")</f>
        <v>_</v>
      </c>
      <c r="BG3760" s="275" t="str">
        <f>IFERROR(__xludf.DUMMYFUNCTION("upper(Regexreplace(to_text(E3760),""[^A-Za-z0-9]"","""")&amp;""-""&amp;Regexreplace(to_text(F3760),""[^A-Za-z0-9]"",""""))"),"-")</f>
        <v>-</v>
      </c>
    </row>
    <row r="3761" ht="30.0" customHeight="1">
      <c r="A3761" s="237"/>
      <c r="B3761" s="425"/>
      <c r="C3761" s="257"/>
      <c r="D3761" s="173"/>
      <c r="E3761" s="174"/>
      <c r="F3761" s="173"/>
      <c r="G3761" s="425"/>
      <c r="H3761" s="425"/>
      <c r="I3761" s="258"/>
      <c r="J3761" s="259"/>
      <c r="K3761" s="260"/>
      <c r="L3761" s="442"/>
      <c r="M3761" s="426"/>
      <c r="N3761" s="173"/>
      <c r="O3761" s="173"/>
      <c r="P3761" s="262"/>
      <c r="Q3761" s="173"/>
      <c r="R3761" s="425"/>
      <c r="S3761" s="339"/>
      <c r="T3761" s="427"/>
      <c r="U3761" s="427"/>
      <c r="V3761" s="428"/>
      <c r="W3761" s="429"/>
      <c r="X3761" s="430"/>
      <c r="Y3761" s="33"/>
      <c r="Z3761" s="430"/>
      <c r="AA3761" s="430"/>
      <c r="AB3761" s="258"/>
      <c r="AC3761" s="430"/>
      <c r="AD3761" s="426"/>
      <c r="AE3761" s="428"/>
      <c r="AF3761" s="431"/>
      <c r="AG3761" s="432"/>
      <c r="AH3761" s="430"/>
      <c r="AI3761" s="430"/>
      <c r="AJ3761" s="430"/>
      <c r="AK3761" s="430"/>
      <c r="AL3761" s="430"/>
      <c r="AM3761" s="433"/>
      <c r="AN3761" s="430"/>
      <c r="AO3761" s="430"/>
      <c r="AP3761" s="430"/>
      <c r="AQ3761" s="430"/>
      <c r="AR3761" s="430"/>
      <c r="AS3761" s="430"/>
      <c r="AT3761" s="430"/>
      <c r="AU3761" s="426"/>
      <c r="AV3761" s="174"/>
      <c r="AW3761" s="269"/>
      <c r="AX3761" s="269"/>
      <c r="AY3761" s="270"/>
      <c r="AZ3761" s="435"/>
      <c r="BA3761" s="173"/>
      <c r="BB3761" s="434"/>
      <c r="BC3761" s="434"/>
      <c r="BD3761" s="308"/>
      <c r="BE3761" s="436"/>
      <c r="BF3761" s="274" t="str">
        <f>IFERROR(__xludf.DUMMYFUNCTION("LOWER(Regexreplace(to_text(E3761),""[^A-Za-z0-9]"","""")&amp;""_""&amp;Regexreplace(to_text(F3761),""[^A-Za-z0-9]"",""""))"),"_")</f>
        <v>_</v>
      </c>
      <c r="BG3761" s="275" t="str">
        <f>IFERROR(__xludf.DUMMYFUNCTION("upper(Regexreplace(to_text(E3761),""[^A-Za-z0-9]"","""")&amp;""-""&amp;Regexreplace(to_text(F3761),""[^A-Za-z0-9]"",""""))"),"-")</f>
        <v>-</v>
      </c>
    </row>
    <row r="3762" ht="30.0" customHeight="1">
      <c r="A3762" s="237"/>
      <c r="B3762" s="425"/>
      <c r="C3762" s="257"/>
      <c r="D3762" s="173"/>
      <c r="E3762" s="174"/>
      <c r="F3762" s="173"/>
      <c r="G3762" s="425"/>
      <c r="H3762" s="425"/>
      <c r="I3762" s="258"/>
      <c r="J3762" s="259"/>
      <c r="K3762" s="260"/>
      <c r="L3762" s="442"/>
      <c r="M3762" s="426"/>
      <c r="N3762" s="173"/>
      <c r="O3762" s="173"/>
      <c r="P3762" s="262"/>
      <c r="Q3762" s="173"/>
      <c r="R3762" s="425"/>
      <c r="S3762" s="339"/>
      <c r="T3762" s="427"/>
      <c r="U3762" s="427"/>
      <c r="V3762" s="428"/>
      <c r="W3762" s="429"/>
      <c r="X3762" s="430"/>
      <c r="Y3762" s="33"/>
      <c r="Z3762" s="430"/>
      <c r="AA3762" s="430"/>
      <c r="AB3762" s="258"/>
      <c r="AC3762" s="430"/>
      <c r="AD3762" s="426"/>
      <c r="AE3762" s="428"/>
      <c r="AF3762" s="431"/>
      <c r="AG3762" s="432"/>
      <c r="AH3762" s="430"/>
      <c r="AI3762" s="430"/>
      <c r="AJ3762" s="430"/>
      <c r="AK3762" s="430"/>
      <c r="AL3762" s="430"/>
      <c r="AM3762" s="433"/>
      <c r="AN3762" s="430"/>
      <c r="AO3762" s="430"/>
      <c r="AP3762" s="430"/>
      <c r="AQ3762" s="430"/>
      <c r="AR3762" s="430"/>
      <c r="AS3762" s="430"/>
      <c r="AT3762" s="430"/>
      <c r="AU3762" s="426"/>
      <c r="AV3762" s="174"/>
      <c r="AW3762" s="269"/>
      <c r="AX3762" s="269"/>
      <c r="AY3762" s="270"/>
      <c r="AZ3762" s="435"/>
      <c r="BA3762" s="173"/>
      <c r="BB3762" s="434"/>
      <c r="BC3762" s="434"/>
      <c r="BD3762" s="308"/>
      <c r="BE3762" s="436"/>
      <c r="BF3762" s="274" t="str">
        <f>IFERROR(__xludf.DUMMYFUNCTION("LOWER(Regexreplace(to_text(E3762),""[^A-Za-z0-9]"","""")&amp;""_""&amp;Regexreplace(to_text(F3762),""[^A-Za-z0-9]"",""""))"),"_")</f>
        <v>_</v>
      </c>
      <c r="BG3762" s="275" t="str">
        <f>IFERROR(__xludf.DUMMYFUNCTION("upper(Regexreplace(to_text(E3762),""[^A-Za-z0-9]"","""")&amp;""-""&amp;Regexreplace(to_text(F3762),""[^A-Za-z0-9]"",""""))"),"-")</f>
        <v>-</v>
      </c>
    </row>
    <row r="3763" ht="30.0" customHeight="1">
      <c r="A3763" s="237"/>
      <c r="B3763" s="425"/>
      <c r="C3763" s="257"/>
      <c r="D3763" s="173"/>
      <c r="E3763" s="174"/>
      <c r="F3763" s="173"/>
      <c r="G3763" s="425"/>
      <c r="H3763" s="425"/>
      <c r="I3763" s="258"/>
      <c r="J3763" s="259"/>
      <c r="K3763" s="260"/>
      <c r="L3763" s="442"/>
      <c r="M3763" s="426"/>
      <c r="N3763" s="173"/>
      <c r="O3763" s="173"/>
      <c r="P3763" s="262"/>
      <c r="Q3763" s="173"/>
      <c r="R3763" s="425"/>
      <c r="S3763" s="339"/>
      <c r="T3763" s="427"/>
      <c r="U3763" s="427"/>
      <c r="V3763" s="428"/>
      <c r="W3763" s="429"/>
      <c r="X3763" s="430"/>
      <c r="Y3763" s="33"/>
      <c r="Z3763" s="430"/>
      <c r="AA3763" s="430"/>
      <c r="AB3763" s="258"/>
      <c r="AC3763" s="430"/>
      <c r="AD3763" s="426"/>
      <c r="AE3763" s="428"/>
      <c r="AF3763" s="431"/>
      <c r="AG3763" s="432"/>
      <c r="AH3763" s="430"/>
      <c r="AI3763" s="430"/>
      <c r="AJ3763" s="430"/>
      <c r="AK3763" s="430"/>
      <c r="AL3763" s="430"/>
      <c r="AM3763" s="433"/>
      <c r="AN3763" s="430"/>
      <c r="AO3763" s="430"/>
      <c r="AP3763" s="430"/>
      <c r="AQ3763" s="430"/>
      <c r="AR3763" s="430"/>
      <c r="AS3763" s="430"/>
      <c r="AT3763" s="430"/>
      <c r="AU3763" s="426"/>
      <c r="AV3763" s="174"/>
      <c r="AW3763" s="269"/>
      <c r="AX3763" s="269"/>
      <c r="AY3763" s="270"/>
      <c r="AZ3763" s="435"/>
      <c r="BA3763" s="173"/>
      <c r="BB3763" s="434"/>
      <c r="BC3763" s="434"/>
      <c r="BD3763" s="308"/>
      <c r="BE3763" s="436"/>
      <c r="BF3763" s="274" t="str">
        <f>IFERROR(__xludf.DUMMYFUNCTION("LOWER(Regexreplace(to_text(E3763),""[^A-Za-z0-9]"","""")&amp;""_""&amp;Regexreplace(to_text(F3763),""[^A-Za-z0-9]"",""""))"),"_")</f>
        <v>_</v>
      </c>
      <c r="BG3763" s="275" t="str">
        <f>IFERROR(__xludf.DUMMYFUNCTION("upper(Regexreplace(to_text(E3763),""[^A-Za-z0-9]"","""")&amp;""-""&amp;Regexreplace(to_text(F3763),""[^A-Za-z0-9]"",""""))"),"-")</f>
        <v>-</v>
      </c>
    </row>
    <row r="3764" ht="30.0" customHeight="1">
      <c r="A3764" s="237"/>
      <c r="B3764" s="425"/>
      <c r="C3764" s="257"/>
      <c r="D3764" s="173"/>
      <c r="E3764" s="174"/>
      <c r="F3764" s="173"/>
      <c r="G3764" s="425"/>
      <c r="H3764" s="425"/>
      <c r="I3764" s="258"/>
      <c r="J3764" s="259"/>
      <c r="K3764" s="260"/>
      <c r="L3764" s="442"/>
      <c r="M3764" s="426"/>
      <c r="N3764" s="173"/>
      <c r="O3764" s="173"/>
      <c r="P3764" s="262"/>
      <c r="Q3764" s="173"/>
      <c r="R3764" s="425"/>
      <c r="S3764" s="339"/>
      <c r="T3764" s="427"/>
      <c r="U3764" s="427"/>
      <c r="V3764" s="428"/>
      <c r="W3764" s="429"/>
      <c r="X3764" s="430"/>
      <c r="Y3764" s="33"/>
      <c r="Z3764" s="430"/>
      <c r="AA3764" s="430"/>
      <c r="AB3764" s="258"/>
      <c r="AC3764" s="430"/>
      <c r="AD3764" s="426"/>
      <c r="AE3764" s="428"/>
      <c r="AF3764" s="431"/>
      <c r="AG3764" s="432"/>
      <c r="AH3764" s="430"/>
      <c r="AI3764" s="430"/>
      <c r="AJ3764" s="430"/>
      <c r="AK3764" s="430"/>
      <c r="AL3764" s="430"/>
      <c r="AM3764" s="433"/>
      <c r="AN3764" s="430"/>
      <c r="AO3764" s="430"/>
      <c r="AP3764" s="430"/>
      <c r="AQ3764" s="430"/>
      <c r="AR3764" s="430"/>
      <c r="AS3764" s="430"/>
      <c r="AT3764" s="430"/>
      <c r="AU3764" s="426"/>
      <c r="AV3764" s="174"/>
      <c r="AW3764" s="269"/>
      <c r="AX3764" s="269"/>
      <c r="AY3764" s="270"/>
      <c r="AZ3764" s="435"/>
      <c r="BA3764" s="173"/>
      <c r="BB3764" s="434"/>
      <c r="BC3764" s="434"/>
      <c r="BD3764" s="308"/>
      <c r="BE3764" s="436"/>
      <c r="BF3764" s="274" t="str">
        <f>IFERROR(__xludf.DUMMYFUNCTION("LOWER(Regexreplace(to_text(E3764),""[^A-Za-z0-9]"","""")&amp;""_""&amp;Regexreplace(to_text(F3764),""[^A-Za-z0-9]"",""""))"),"_")</f>
        <v>_</v>
      </c>
      <c r="BG3764" s="275" t="str">
        <f>IFERROR(__xludf.DUMMYFUNCTION("upper(Regexreplace(to_text(E3764),""[^A-Za-z0-9]"","""")&amp;""-""&amp;Regexreplace(to_text(F3764),""[^A-Za-z0-9]"",""""))"),"-")</f>
        <v>-</v>
      </c>
    </row>
    <row r="3765" ht="30.0" customHeight="1">
      <c r="A3765" s="237"/>
      <c r="B3765" s="425"/>
      <c r="C3765" s="257"/>
      <c r="D3765" s="173"/>
      <c r="E3765" s="174"/>
      <c r="F3765" s="173"/>
      <c r="G3765" s="425"/>
      <c r="H3765" s="425"/>
      <c r="I3765" s="258"/>
      <c r="J3765" s="259"/>
      <c r="K3765" s="260"/>
      <c r="L3765" s="442"/>
      <c r="M3765" s="426"/>
      <c r="N3765" s="173"/>
      <c r="O3765" s="173"/>
      <c r="P3765" s="262"/>
      <c r="Q3765" s="173"/>
      <c r="R3765" s="425"/>
      <c r="S3765" s="339"/>
      <c r="T3765" s="427"/>
      <c r="U3765" s="427"/>
      <c r="V3765" s="428"/>
      <c r="W3765" s="429"/>
      <c r="X3765" s="430"/>
      <c r="Y3765" s="33"/>
      <c r="Z3765" s="430"/>
      <c r="AA3765" s="430"/>
      <c r="AB3765" s="258"/>
      <c r="AC3765" s="430"/>
      <c r="AD3765" s="426"/>
      <c r="AE3765" s="428"/>
      <c r="AF3765" s="431"/>
      <c r="AG3765" s="432"/>
      <c r="AH3765" s="430"/>
      <c r="AI3765" s="430"/>
      <c r="AJ3765" s="430"/>
      <c r="AK3765" s="430"/>
      <c r="AL3765" s="430"/>
      <c r="AM3765" s="433"/>
      <c r="AN3765" s="430"/>
      <c r="AO3765" s="430"/>
      <c r="AP3765" s="430"/>
      <c r="AQ3765" s="430"/>
      <c r="AR3765" s="430"/>
      <c r="AS3765" s="430"/>
      <c r="AT3765" s="430"/>
      <c r="AU3765" s="426"/>
      <c r="AV3765" s="174"/>
      <c r="AW3765" s="269"/>
      <c r="AX3765" s="269"/>
      <c r="AY3765" s="270"/>
      <c r="AZ3765" s="435"/>
      <c r="BA3765" s="173"/>
      <c r="BB3765" s="434"/>
      <c r="BC3765" s="434"/>
      <c r="BD3765" s="308"/>
      <c r="BE3765" s="436"/>
      <c r="BF3765" s="274" t="str">
        <f>IFERROR(__xludf.DUMMYFUNCTION("LOWER(Regexreplace(to_text(E3765),""[^A-Za-z0-9]"","""")&amp;""_""&amp;Regexreplace(to_text(F3765),""[^A-Za-z0-9]"",""""))"),"_")</f>
        <v>_</v>
      </c>
      <c r="BG3765" s="275" t="str">
        <f>IFERROR(__xludf.DUMMYFUNCTION("upper(Regexreplace(to_text(E3765),""[^A-Za-z0-9]"","""")&amp;""-""&amp;Regexreplace(to_text(F3765),""[^A-Za-z0-9]"",""""))"),"-")</f>
        <v>-</v>
      </c>
    </row>
    <row r="3766" ht="30.0" customHeight="1">
      <c r="A3766" s="237"/>
      <c r="B3766" s="425"/>
      <c r="C3766" s="257"/>
      <c r="D3766" s="173"/>
      <c r="E3766" s="174"/>
      <c r="F3766" s="173"/>
      <c r="G3766" s="425"/>
      <c r="H3766" s="425"/>
      <c r="I3766" s="258"/>
      <c r="J3766" s="259"/>
      <c r="K3766" s="260"/>
      <c r="L3766" s="442"/>
      <c r="M3766" s="426"/>
      <c r="N3766" s="173"/>
      <c r="O3766" s="173"/>
      <c r="P3766" s="262"/>
      <c r="Q3766" s="173"/>
      <c r="R3766" s="425"/>
      <c r="S3766" s="339"/>
      <c r="T3766" s="427"/>
      <c r="U3766" s="427"/>
      <c r="V3766" s="428"/>
      <c r="W3766" s="429"/>
      <c r="X3766" s="430"/>
      <c r="Y3766" s="33"/>
      <c r="Z3766" s="430"/>
      <c r="AA3766" s="430"/>
      <c r="AB3766" s="258"/>
      <c r="AC3766" s="430"/>
      <c r="AD3766" s="426"/>
      <c r="AE3766" s="428"/>
      <c r="AF3766" s="431"/>
      <c r="AG3766" s="432"/>
      <c r="AH3766" s="430"/>
      <c r="AI3766" s="430"/>
      <c r="AJ3766" s="430"/>
      <c r="AK3766" s="430"/>
      <c r="AL3766" s="430"/>
      <c r="AM3766" s="433"/>
      <c r="AN3766" s="430"/>
      <c r="AO3766" s="430"/>
      <c r="AP3766" s="430"/>
      <c r="AQ3766" s="430"/>
      <c r="AR3766" s="430"/>
      <c r="AS3766" s="430"/>
      <c r="AT3766" s="430"/>
      <c r="AU3766" s="426"/>
      <c r="AV3766" s="174"/>
      <c r="AW3766" s="269"/>
      <c r="AX3766" s="269"/>
      <c r="AY3766" s="270"/>
      <c r="AZ3766" s="435"/>
      <c r="BA3766" s="173"/>
      <c r="BB3766" s="434"/>
      <c r="BC3766" s="434"/>
      <c r="BD3766" s="308"/>
      <c r="BE3766" s="436"/>
      <c r="BF3766" s="274" t="str">
        <f>IFERROR(__xludf.DUMMYFUNCTION("LOWER(Regexreplace(to_text(E3766),""[^A-Za-z0-9]"","""")&amp;""_""&amp;Regexreplace(to_text(F3766),""[^A-Za-z0-9]"",""""))"),"_")</f>
        <v>_</v>
      </c>
      <c r="BG3766" s="275" t="str">
        <f>IFERROR(__xludf.DUMMYFUNCTION("upper(Regexreplace(to_text(E3766),""[^A-Za-z0-9]"","""")&amp;""-""&amp;Regexreplace(to_text(F3766),""[^A-Za-z0-9]"",""""))"),"-")</f>
        <v>-</v>
      </c>
    </row>
    <row r="3767" ht="30.0" customHeight="1">
      <c r="A3767" s="237"/>
      <c r="B3767" s="425"/>
      <c r="C3767" s="257"/>
      <c r="D3767" s="173"/>
      <c r="E3767" s="174"/>
      <c r="F3767" s="173"/>
      <c r="G3767" s="425"/>
      <c r="H3767" s="425"/>
      <c r="I3767" s="258"/>
      <c r="J3767" s="259"/>
      <c r="K3767" s="260"/>
      <c r="L3767" s="442"/>
      <c r="M3767" s="426"/>
      <c r="N3767" s="173"/>
      <c r="O3767" s="173"/>
      <c r="P3767" s="262"/>
      <c r="Q3767" s="173"/>
      <c r="R3767" s="425"/>
      <c r="S3767" s="339"/>
      <c r="T3767" s="427"/>
      <c r="U3767" s="427"/>
      <c r="V3767" s="428"/>
      <c r="W3767" s="429"/>
      <c r="X3767" s="430"/>
      <c r="Y3767" s="33"/>
      <c r="Z3767" s="430"/>
      <c r="AA3767" s="430"/>
      <c r="AB3767" s="258"/>
      <c r="AC3767" s="430"/>
      <c r="AD3767" s="426"/>
      <c r="AE3767" s="428"/>
      <c r="AF3767" s="431"/>
      <c r="AG3767" s="432"/>
      <c r="AH3767" s="430"/>
      <c r="AI3767" s="430"/>
      <c r="AJ3767" s="430"/>
      <c r="AK3767" s="430"/>
      <c r="AL3767" s="430"/>
      <c r="AM3767" s="433"/>
      <c r="AN3767" s="430"/>
      <c r="AO3767" s="430"/>
      <c r="AP3767" s="430"/>
      <c r="AQ3767" s="430"/>
      <c r="AR3767" s="430"/>
      <c r="AS3767" s="430"/>
      <c r="AT3767" s="430"/>
      <c r="AU3767" s="426"/>
      <c r="AV3767" s="174"/>
      <c r="AW3767" s="269"/>
      <c r="AX3767" s="269"/>
      <c r="AY3767" s="270"/>
      <c r="AZ3767" s="435"/>
      <c r="BA3767" s="173"/>
      <c r="BB3767" s="434"/>
      <c r="BC3767" s="434"/>
      <c r="BD3767" s="308"/>
      <c r="BE3767" s="436"/>
      <c r="BF3767" s="274" t="str">
        <f>IFERROR(__xludf.DUMMYFUNCTION("LOWER(Regexreplace(to_text(E3767),""[^A-Za-z0-9]"","""")&amp;""_""&amp;Regexreplace(to_text(F3767),""[^A-Za-z0-9]"",""""))"),"_")</f>
        <v>_</v>
      </c>
      <c r="BG3767" s="275" t="str">
        <f>IFERROR(__xludf.DUMMYFUNCTION("upper(Regexreplace(to_text(E3767),""[^A-Za-z0-9]"","""")&amp;""-""&amp;Regexreplace(to_text(F3767),""[^A-Za-z0-9]"",""""))"),"-")</f>
        <v>-</v>
      </c>
    </row>
    <row r="3768" ht="30.0" customHeight="1">
      <c r="A3768" s="237"/>
      <c r="B3768" s="425"/>
      <c r="C3768" s="257"/>
      <c r="D3768" s="173"/>
      <c r="E3768" s="174"/>
      <c r="F3768" s="173"/>
      <c r="G3768" s="425"/>
      <c r="H3768" s="425"/>
      <c r="I3768" s="258"/>
      <c r="J3768" s="259"/>
      <c r="K3768" s="260"/>
      <c r="L3768" s="442"/>
      <c r="M3768" s="426"/>
      <c r="N3768" s="173"/>
      <c r="O3768" s="173"/>
      <c r="P3768" s="262"/>
      <c r="Q3768" s="173"/>
      <c r="R3768" s="425"/>
      <c r="S3768" s="339"/>
      <c r="T3768" s="427"/>
      <c r="U3768" s="427"/>
      <c r="V3768" s="428"/>
      <c r="W3768" s="429"/>
      <c r="X3768" s="430"/>
      <c r="Y3768" s="33"/>
      <c r="Z3768" s="430"/>
      <c r="AA3768" s="430"/>
      <c r="AB3768" s="258"/>
      <c r="AC3768" s="430"/>
      <c r="AD3768" s="426"/>
      <c r="AE3768" s="428"/>
      <c r="AF3768" s="431"/>
      <c r="AG3768" s="432"/>
      <c r="AH3768" s="430"/>
      <c r="AI3768" s="430"/>
      <c r="AJ3768" s="430"/>
      <c r="AK3768" s="430"/>
      <c r="AL3768" s="430"/>
      <c r="AM3768" s="433"/>
      <c r="AN3768" s="430"/>
      <c r="AO3768" s="430"/>
      <c r="AP3768" s="430"/>
      <c r="AQ3768" s="430"/>
      <c r="AR3768" s="430"/>
      <c r="AS3768" s="430"/>
      <c r="AT3768" s="430"/>
      <c r="AU3768" s="426"/>
      <c r="AV3768" s="174"/>
      <c r="AW3768" s="269"/>
      <c r="AX3768" s="269"/>
      <c r="AY3768" s="270"/>
      <c r="AZ3768" s="435"/>
      <c r="BA3768" s="173"/>
      <c r="BB3768" s="434"/>
      <c r="BC3768" s="434"/>
      <c r="BD3768" s="308"/>
      <c r="BE3768" s="436"/>
      <c r="BF3768" s="274" t="str">
        <f>IFERROR(__xludf.DUMMYFUNCTION("LOWER(Regexreplace(to_text(E3768),""[^A-Za-z0-9]"","""")&amp;""_""&amp;Regexreplace(to_text(F3768),""[^A-Za-z0-9]"",""""))"),"_")</f>
        <v>_</v>
      </c>
      <c r="BG3768" s="275" t="str">
        <f>IFERROR(__xludf.DUMMYFUNCTION("upper(Regexreplace(to_text(E3768),""[^A-Za-z0-9]"","""")&amp;""-""&amp;Regexreplace(to_text(F3768),""[^A-Za-z0-9]"",""""))"),"-")</f>
        <v>-</v>
      </c>
    </row>
    <row r="3769" ht="30.0" customHeight="1">
      <c r="A3769" s="237"/>
      <c r="B3769" s="425"/>
      <c r="C3769" s="257"/>
      <c r="D3769" s="173"/>
      <c r="E3769" s="174"/>
      <c r="F3769" s="173"/>
      <c r="G3769" s="425"/>
      <c r="H3769" s="425"/>
      <c r="I3769" s="258"/>
      <c r="J3769" s="259"/>
      <c r="K3769" s="260"/>
      <c r="L3769" s="442"/>
      <c r="M3769" s="426"/>
      <c r="N3769" s="173"/>
      <c r="O3769" s="173"/>
      <c r="P3769" s="262"/>
      <c r="Q3769" s="173"/>
      <c r="R3769" s="425"/>
      <c r="S3769" s="339"/>
      <c r="T3769" s="427"/>
      <c r="U3769" s="427"/>
      <c r="V3769" s="428"/>
      <c r="W3769" s="429"/>
      <c r="X3769" s="430"/>
      <c r="Y3769" s="33"/>
      <c r="Z3769" s="430"/>
      <c r="AA3769" s="430"/>
      <c r="AB3769" s="258"/>
      <c r="AC3769" s="430"/>
      <c r="AD3769" s="426"/>
      <c r="AE3769" s="428"/>
      <c r="AF3769" s="431"/>
      <c r="AG3769" s="432"/>
      <c r="AH3769" s="430"/>
      <c r="AI3769" s="430"/>
      <c r="AJ3769" s="430"/>
      <c r="AK3769" s="430"/>
      <c r="AL3769" s="430"/>
      <c r="AM3769" s="433"/>
      <c r="AN3769" s="430"/>
      <c r="AO3769" s="430"/>
      <c r="AP3769" s="430"/>
      <c r="AQ3769" s="430"/>
      <c r="AR3769" s="430"/>
      <c r="AS3769" s="430"/>
      <c r="AT3769" s="430"/>
      <c r="AU3769" s="426"/>
      <c r="AV3769" s="174"/>
      <c r="AW3769" s="269"/>
      <c r="AX3769" s="269"/>
      <c r="AY3769" s="270"/>
      <c r="AZ3769" s="435"/>
      <c r="BA3769" s="173"/>
      <c r="BB3769" s="434"/>
      <c r="BC3769" s="434"/>
      <c r="BD3769" s="308"/>
      <c r="BE3769" s="436"/>
      <c r="BF3769" s="274" t="str">
        <f>IFERROR(__xludf.DUMMYFUNCTION("LOWER(Regexreplace(to_text(E3769),""[^A-Za-z0-9]"","""")&amp;""_""&amp;Regexreplace(to_text(F3769),""[^A-Za-z0-9]"",""""))"),"_")</f>
        <v>_</v>
      </c>
      <c r="BG3769" s="275" t="str">
        <f>IFERROR(__xludf.DUMMYFUNCTION("upper(Regexreplace(to_text(E3769),""[^A-Za-z0-9]"","""")&amp;""-""&amp;Regexreplace(to_text(F3769),""[^A-Za-z0-9]"",""""))"),"-")</f>
        <v>-</v>
      </c>
    </row>
    <row r="3770" ht="30.0" customHeight="1">
      <c r="A3770" s="237"/>
      <c r="B3770" s="425"/>
      <c r="C3770" s="257"/>
      <c r="D3770" s="173"/>
      <c r="E3770" s="174"/>
      <c r="F3770" s="173"/>
      <c r="G3770" s="425"/>
      <c r="H3770" s="425"/>
      <c r="I3770" s="258"/>
      <c r="J3770" s="259"/>
      <c r="K3770" s="260"/>
      <c r="L3770" s="442"/>
      <c r="M3770" s="426"/>
      <c r="N3770" s="173"/>
      <c r="O3770" s="173"/>
      <c r="P3770" s="262"/>
      <c r="Q3770" s="173"/>
      <c r="R3770" s="425"/>
      <c r="S3770" s="339"/>
      <c r="T3770" s="427"/>
      <c r="U3770" s="427"/>
      <c r="V3770" s="428"/>
      <c r="W3770" s="429"/>
      <c r="X3770" s="430"/>
      <c r="Y3770" s="33"/>
      <c r="Z3770" s="430"/>
      <c r="AA3770" s="430"/>
      <c r="AB3770" s="258"/>
      <c r="AC3770" s="430"/>
      <c r="AD3770" s="426"/>
      <c r="AE3770" s="428"/>
      <c r="AF3770" s="431"/>
      <c r="AG3770" s="432"/>
      <c r="AH3770" s="430"/>
      <c r="AI3770" s="430"/>
      <c r="AJ3770" s="430"/>
      <c r="AK3770" s="430"/>
      <c r="AL3770" s="430"/>
      <c r="AM3770" s="433"/>
      <c r="AN3770" s="430"/>
      <c r="AO3770" s="430"/>
      <c r="AP3770" s="430"/>
      <c r="AQ3770" s="430"/>
      <c r="AR3770" s="430"/>
      <c r="AS3770" s="430"/>
      <c r="AT3770" s="430"/>
      <c r="AU3770" s="426"/>
      <c r="AV3770" s="174"/>
      <c r="AW3770" s="269"/>
      <c r="AX3770" s="269"/>
      <c r="AY3770" s="270"/>
      <c r="AZ3770" s="435"/>
      <c r="BA3770" s="173"/>
      <c r="BB3770" s="434"/>
      <c r="BC3770" s="434"/>
      <c r="BD3770" s="308"/>
      <c r="BE3770" s="436"/>
      <c r="BF3770" s="274" t="str">
        <f>IFERROR(__xludf.DUMMYFUNCTION("LOWER(Regexreplace(to_text(E3770),""[^A-Za-z0-9]"","""")&amp;""_""&amp;Regexreplace(to_text(F3770),""[^A-Za-z0-9]"",""""))"),"_")</f>
        <v>_</v>
      </c>
      <c r="BG3770" s="275" t="str">
        <f>IFERROR(__xludf.DUMMYFUNCTION("upper(Regexreplace(to_text(E3770),""[^A-Za-z0-9]"","""")&amp;""-""&amp;Regexreplace(to_text(F3770),""[^A-Za-z0-9]"",""""))"),"-")</f>
        <v>-</v>
      </c>
    </row>
    <row r="3771" ht="30.0" customHeight="1">
      <c r="A3771" s="237"/>
      <c r="B3771" s="425"/>
      <c r="C3771" s="257"/>
      <c r="D3771" s="173"/>
      <c r="E3771" s="174"/>
      <c r="F3771" s="173"/>
      <c r="G3771" s="425"/>
      <c r="H3771" s="425"/>
      <c r="I3771" s="258"/>
      <c r="J3771" s="259"/>
      <c r="K3771" s="260"/>
      <c r="L3771" s="442"/>
      <c r="M3771" s="426"/>
      <c r="N3771" s="173"/>
      <c r="O3771" s="173"/>
      <c r="P3771" s="262"/>
      <c r="Q3771" s="173"/>
      <c r="R3771" s="425"/>
      <c r="S3771" s="339"/>
      <c r="T3771" s="427"/>
      <c r="U3771" s="427"/>
      <c r="V3771" s="428"/>
      <c r="W3771" s="429"/>
      <c r="X3771" s="430"/>
      <c r="Y3771" s="33"/>
      <c r="Z3771" s="430"/>
      <c r="AA3771" s="430"/>
      <c r="AB3771" s="258"/>
      <c r="AC3771" s="430"/>
      <c r="AD3771" s="426"/>
      <c r="AE3771" s="428"/>
      <c r="AF3771" s="431"/>
      <c r="AG3771" s="432"/>
      <c r="AH3771" s="430"/>
      <c r="AI3771" s="430"/>
      <c r="AJ3771" s="430"/>
      <c r="AK3771" s="430"/>
      <c r="AL3771" s="430"/>
      <c r="AM3771" s="433"/>
      <c r="AN3771" s="430"/>
      <c r="AO3771" s="430"/>
      <c r="AP3771" s="430"/>
      <c r="AQ3771" s="430"/>
      <c r="AR3771" s="430"/>
      <c r="AS3771" s="430"/>
      <c r="AT3771" s="430"/>
      <c r="AU3771" s="426"/>
      <c r="AV3771" s="174"/>
      <c r="AW3771" s="269"/>
      <c r="AX3771" s="269"/>
      <c r="AY3771" s="270"/>
      <c r="AZ3771" s="435"/>
      <c r="BA3771" s="173"/>
      <c r="BB3771" s="434"/>
      <c r="BC3771" s="434"/>
      <c r="BD3771" s="308"/>
      <c r="BE3771" s="436"/>
      <c r="BF3771" s="274" t="str">
        <f>IFERROR(__xludf.DUMMYFUNCTION("LOWER(Regexreplace(to_text(E3771),""[^A-Za-z0-9]"","""")&amp;""_""&amp;Regexreplace(to_text(F3771),""[^A-Za-z0-9]"",""""))"),"_")</f>
        <v>_</v>
      </c>
      <c r="BG3771" s="275" t="str">
        <f>IFERROR(__xludf.DUMMYFUNCTION("upper(Regexreplace(to_text(E3771),""[^A-Za-z0-9]"","""")&amp;""-""&amp;Regexreplace(to_text(F3771),""[^A-Za-z0-9]"",""""))"),"-")</f>
        <v>-</v>
      </c>
    </row>
    <row r="3772" ht="30.0" customHeight="1">
      <c r="A3772" s="237"/>
      <c r="B3772" s="425"/>
      <c r="C3772" s="257"/>
      <c r="D3772" s="173"/>
      <c r="E3772" s="174"/>
      <c r="F3772" s="173"/>
      <c r="G3772" s="425"/>
      <c r="H3772" s="425"/>
      <c r="I3772" s="258"/>
      <c r="J3772" s="259"/>
      <c r="K3772" s="260"/>
      <c r="L3772" s="442"/>
      <c r="M3772" s="426"/>
      <c r="N3772" s="173"/>
      <c r="O3772" s="173"/>
      <c r="P3772" s="262"/>
      <c r="Q3772" s="173"/>
      <c r="R3772" s="425"/>
      <c r="S3772" s="339"/>
      <c r="T3772" s="427"/>
      <c r="U3772" s="427"/>
      <c r="V3772" s="428"/>
      <c r="W3772" s="429"/>
      <c r="X3772" s="430"/>
      <c r="Y3772" s="33"/>
      <c r="Z3772" s="430"/>
      <c r="AA3772" s="430"/>
      <c r="AB3772" s="258"/>
      <c r="AC3772" s="430"/>
      <c r="AD3772" s="426"/>
      <c r="AE3772" s="428"/>
      <c r="AF3772" s="431"/>
      <c r="AG3772" s="432"/>
      <c r="AH3772" s="430"/>
      <c r="AI3772" s="430"/>
      <c r="AJ3772" s="430"/>
      <c r="AK3772" s="430"/>
      <c r="AL3772" s="430"/>
      <c r="AM3772" s="433"/>
      <c r="AN3772" s="430"/>
      <c r="AO3772" s="430"/>
      <c r="AP3772" s="430"/>
      <c r="AQ3772" s="430"/>
      <c r="AR3772" s="430"/>
      <c r="AS3772" s="430"/>
      <c r="AT3772" s="430"/>
      <c r="AU3772" s="426"/>
      <c r="AV3772" s="174"/>
      <c r="AW3772" s="269"/>
      <c r="AX3772" s="269"/>
      <c r="AY3772" s="270"/>
      <c r="AZ3772" s="435"/>
      <c r="BA3772" s="173"/>
      <c r="BB3772" s="434"/>
      <c r="BC3772" s="434"/>
      <c r="BD3772" s="308"/>
      <c r="BE3772" s="436"/>
      <c r="BF3772" s="274" t="str">
        <f>IFERROR(__xludf.DUMMYFUNCTION("LOWER(Regexreplace(to_text(E3772),""[^A-Za-z0-9]"","""")&amp;""_""&amp;Regexreplace(to_text(F3772),""[^A-Za-z0-9]"",""""))"),"_")</f>
        <v>_</v>
      </c>
      <c r="BG3772" s="275" t="str">
        <f>IFERROR(__xludf.DUMMYFUNCTION("upper(Regexreplace(to_text(E3772),""[^A-Za-z0-9]"","""")&amp;""-""&amp;Regexreplace(to_text(F3772),""[^A-Za-z0-9]"",""""))"),"-")</f>
        <v>-</v>
      </c>
    </row>
    <row r="3773" ht="30.0" customHeight="1">
      <c r="A3773" s="237"/>
      <c r="B3773" s="425"/>
      <c r="C3773" s="257"/>
      <c r="D3773" s="173"/>
      <c r="E3773" s="174"/>
      <c r="F3773" s="173"/>
      <c r="G3773" s="425"/>
      <c r="H3773" s="425"/>
      <c r="I3773" s="258"/>
      <c r="J3773" s="259"/>
      <c r="K3773" s="260"/>
      <c r="L3773" s="442"/>
      <c r="M3773" s="426"/>
      <c r="N3773" s="173"/>
      <c r="O3773" s="173"/>
      <c r="P3773" s="262"/>
      <c r="Q3773" s="173"/>
      <c r="R3773" s="425"/>
      <c r="S3773" s="339"/>
      <c r="T3773" s="427"/>
      <c r="U3773" s="427"/>
      <c r="V3773" s="428"/>
      <c r="W3773" s="429"/>
      <c r="X3773" s="430"/>
      <c r="Y3773" s="33"/>
      <c r="Z3773" s="430"/>
      <c r="AA3773" s="430"/>
      <c r="AB3773" s="258"/>
      <c r="AC3773" s="430"/>
      <c r="AD3773" s="426"/>
      <c r="AE3773" s="428"/>
      <c r="AF3773" s="431"/>
      <c r="AG3773" s="432"/>
      <c r="AH3773" s="430"/>
      <c r="AI3773" s="430"/>
      <c r="AJ3773" s="430"/>
      <c r="AK3773" s="430"/>
      <c r="AL3773" s="430"/>
      <c r="AM3773" s="433"/>
      <c r="AN3773" s="430"/>
      <c r="AO3773" s="430"/>
      <c r="AP3773" s="430"/>
      <c r="AQ3773" s="430"/>
      <c r="AR3773" s="430"/>
      <c r="AS3773" s="430"/>
      <c r="AT3773" s="430"/>
      <c r="AU3773" s="426"/>
      <c r="AV3773" s="174"/>
      <c r="AW3773" s="269"/>
      <c r="AX3773" s="269"/>
      <c r="AY3773" s="270"/>
      <c r="AZ3773" s="435"/>
      <c r="BA3773" s="173"/>
      <c r="BB3773" s="434"/>
      <c r="BC3773" s="434"/>
      <c r="BD3773" s="308"/>
      <c r="BE3773" s="436"/>
      <c r="BF3773" s="274" t="str">
        <f>IFERROR(__xludf.DUMMYFUNCTION("LOWER(Regexreplace(to_text(E3773),""[^A-Za-z0-9]"","""")&amp;""_""&amp;Regexreplace(to_text(F3773),""[^A-Za-z0-9]"",""""))"),"_")</f>
        <v>_</v>
      </c>
      <c r="BG3773" s="275" t="str">
        <f>IFERROR(__xludf.DUMMYFUNCTION("upper(Regexreplace(to_text(E3773),""[^A-Za-z0-9]"","""")&amp;""-""&amp;Regexreplace(to_text(F3773),""[^A-Za-z0-9]"",""""))"),"-")</f>
        <v>-</v>
      </c>
    </row>
    <row r="3774" ht="30.0" customHeight="1">
      <c r="A3774" s="237"/>
      <c r="B3774" s="425"/>
      <c r="C3774" s="257"/>
      <c r="D3774" s="173"/>
      <c r="E3774" s="174"/>
      <c r="F3774" s="173"/>
      <c r="G3774" s="425"/>
      <c r="H3774" s="425"/>
      <c r="I3774" s="258"/>
      <c r="J3774" s="259"/>
      <c r="K3774" s="260"/>
      <c r="L3774" s="442"/>
      <c r="M3774" s="426"/>
      <c r="N3774" s="173"/>
      <c r="O3774" s="173"/>
      <c r="P3774" s="262"/>
      <c r="Q3774" s="173"/>
      <c r="R3774" s="425"/>
      <c r="S3774" s="339"/>
      <c r="T3774" s="427"/>
      <c r="U3774" s="427"/>
      <c r="V3774" s="428"/>
      <c r="W3774" s="429"/>
      <c r="X3774" s="430"/>
      <c r="Y3774" s="33"/>
      <c r="Z3774" s="430"/>
      <c r="AA3774" s="430"/>
      <c r="AB3774" s="258"/>
      <c r="AC3774" s="430"/>
      <c r="AD3774" s="426"/>
      <c r="AE3774" s="428"/>
      <c r="AF3774" s="431"/>
      <c r="AG3774" s="432"/>
      <c r="AH3774" s="430"/>
      <c r="AI3774" s="430"/>
      <c r="AJ3774" s="430"/>
      <c r="AK3774" s="430"/>
      <c r="AL3774" s="430"/>
      <c r="AM3774" s="433"/>
      <c r="AN3774" s="430"/>
      <c r="AO3774" s="430"/>
      <c r="AP3774" s="430"/>
      <c r="AQ3774" s="430"/>
      <c r="AR3774" s="430"/>
      <c r="AS3774" s="430"/>
      <c r="AT3774" s="430"/>
      <c r="AU3774" s="426"/>
      <c r="AV3774" s="174"/>
      <c r="AW3774" s="269"/>
      <c r="AX3774" s="269"/>
      <c r="AY3774" s="270"/>
      <c r="AZ3774" s="435"/>
      <c r="BA3774" s="173"/>
      <c r="BB3774" s="434"/>
      <c r="BC3774" s="434"/>
      <c r="BD3774" s="308"/>
      <c r="BE3774" s="436"/>
      <c r="BF3774" s="274" t="str">
        <f>IFERROR(__xludf.DUMMYFUNCTION("LOWER(Regexreplace(to_text(E3774),""[^A-Za-z0-9]"","""")&amp;""_""&amp;Regexreplace(to_text(F3774),""[^A-Za-z0-9]"",""""))"),"_")</f>
        <v>_</v>
      </c>
      <c r="BG3774" s="275" t="str">
        <f>IFERROR(__xludf.DUMMYFUNCTION("upper(Regexreplace(to_text(E3774),""[^A-Za-z0-9]"","""")&amp;""-""&amp;Regexreplace(to_text(F3774),""[^A-Za-z0-9]"",""""))"),"-")</f>
        <v>-</v>
      </c>
    </row>
    <row r="3775" ht="30.0" customHeight="1">
      <c r="A3775" s="237"/>
      <c r="B3775" s="425"/>
      <c r="C3775" s="257"/>
      <c r="D3775" s="173"/>
      <c r="E3775" s="174"/>
      <c r="F3775" s="173"/>
      <c r="G3775" s="425"/>
      <c r="H3775" s="425"/>
      <c r="I3775" s="258"/>
      <c r="J3775" s="259"/>
      <c r="K3775" s="260"/>
      <c r="L3775" s="442"/>
      <c r="M3775" s="426"/>
      <c r="N3775" s="173"/>
      <c r="O3775" s="173"/>
      <c r="P3775" s="262"/>
      <c r="Q3775" s="173"/>
      <c r="R3775" s="425"/>
      <c r="S3775" s="339"/>
      <c r="T3775" s="427"/>
      <c r="U3775" s="427"/>
      <c r="V3775" s="428"/>
      <c r="W3775" s="429"/>
      <c r="X3775" s="430"/>
      <c r="Y3775" s="33"/>
      <c r="Z3775" s="430"/>
      <c r="AA3775" s="430"/>
      <c r="AB3775" s="258"/>
      <c r="AC3775" s="430"/>
      <c r="AD3775" s="426"/>
      <c r="AE3775" s="428"/>
      <c r="AF3775" s="431"/>
      <c r="AG3775" s="432"/>
      <c r="AH3775" s="430"/>
      <c r="AI3775" s="430"/>
      <c r="AJ3775" s="430"/>
      <c r="AK3775" s="430"/>
      <c r="AL3775" s="430"/>
      <c r="AM3775" s="433"/>
      <c r="AN3775" s="430"/>
      <c r="AO3775" s="430"/>
      <c r="AP3775" s="430"/>
      <c r="AQ3775" s="430"/>
      <c r="AR3775" s="430"/>
      <c r="AS3775" s="430"/>
      <c r="AT3775" s="430"/>
      <c r="AU3775" s="426"/>
      <c r="AV3775" s="174"/>
      <c r="AW3775" s="269"/>
      <c r="AX3775" s="269"/>
      <c r="AY3775" s="270"/>
      <c r="AZ3775" s="435"/>
      <c r="BA3775" s="173"/>
      <c r="BB3775" s="434"/>
      <c r="BC3775" s="434"/>
      <c r="BD3775" s="308"/>
      <c r="BE3775" s="436"/>
      <c r="BF3775" s="274" t="str">
        <f>IFERROR(__xludf.DUMMYFUNCTION("LOWER(Regexreplace(to_text(E3775),""[^A-Za-z0-9]"","""")&amp;""_""&amp;Regexreplace(to_text(F3775),""[^A-Za-z0-9]"",""""))"),"_")</f>
        <v>_</v>
      </c>
      <c r="BG3775" s="275" t="str">
        <f>IFERROR(__xludf.DUMMYFUNCTION("upper(Regexreplace(to_text(E3775),""[^A-Za-z0-9]"","""")&amp;""-""&amp;Regexreplace(to_text(F3775),""[^A-Za-z0-9]"",""""))"),"-")</f>
        <v>-</v>
      </c>
    </row>
    <row r="3776" ht="30.0" customHeight="1">
      <c r="A3776" s="237"/>
      <c r="B3776" s="425"/>
      <c r="C3776" s="257"/>
      <c r="D3776" s="173"/>
      <c r="E3776" s="174"/>
      <c r="F3776" s="173"/>
      <c r="G3776" s="425"/>
      <c r="H3776" s="425"/>
      <c r="I3776" s="258"/>
      <c r="J3776" s="259"/>
      <c r="K3776" s="260"/>
      <c r="L3776" s="442"/>
      <c r="M3776" s="426"/>
      <c r="N3776" s="173"/>
      <c r="O3776" s="173"/>
      <c r="P3776" s="262"/>
      <c r="Q3776" s="173"/>
      <c r="R3776" s="425"/>
      <c r="S3776" s="339"/>
      <c r="T3776" s="427"/>
      <c r="U3776" s="427"/>
      <c r="V3776" s="428"/>
      <c r="W3776" s="429"/>
      <c r="X3776" s="430"/>
      <c r="Y3776" s="33"/>
      <c r="Z3776" s="430"/>
      <c r="AA3776" s="430"/>
      <c r="AB3776" s="258"/>
      <c r="AC3776" s="430"/>
      <c r="AD3776" s="426"/>
      <c r="AE3776" s="428"/>
      <c r="AF3776" s="431"/>
      <c r="AG3776" s="432"/>
      <c r="AH3776" s="430"/>
      <c r="AI3776" s="430"/>
      <c r="AJ3776" s="430"/>
      <c r="AK3776" s="430"/>
      <c r="AL3776" s="430"/>
      <c r="AM3776" s="433"/>
      <c r="AN3776" s="430"/>
      <c r="AO3776" s="430"/>
      <c r="AP3776" s="430"/>
      <c r="AQ3776" s="430"/>
      <c r="AR3776" s="430"/>
      <c r="AS3776" s="430"/>
      <c r="AT3776" s="430"/>
      <c r="AU3776" s="426"/>
      <c r="AV3776" s="174"/>
      <c r="AW3776" s="269"/>
      <c r="AX3776" s="269"/>
      <c r="AY3776" s="270"/>
      <c r="AZ3776" s="435"/>
      <c r="BA3776" s="173"/>
      <c r="BB3776" s="434"/>
      <c r="BC3776" s="434"/>
      <c r="BD3776" s="308"/>
      <c r="BE3776" s="436"/>
      <c r="BF3776" s="274" t="str">
        <f>IFERROR(__xludf.DUMMYFUNCTION("LOWER(Regexreplace(to_text(E3776),""[^A-Za-z0-9]"","""")&amp;""_""&amp;Regexreplace(to_text(F3776),""[^A-Za-z0-9]"",""""))"),"_")</f>
        <v>_</v>
      </c>
      <c r="BG3776" s="275" t="str">
        <f>IFERROR(__xludf.DUMMYFUNCTION("upper(Regexreplace(to_text(E3776),""[^A-Za-z0-9]"","""")&amp;""-""&amp;Regexreplace(to_text(F3776),""[^A-Za-z0-9]"",""""))"),"-")</f>
        <v>-</v>
      </c>
    </row>
    <row r="3777" ht="30.0" customHeight="1">
      <c r="A3777" s="237"/>
      <c r="B3777" s="425"/>
      <c r="C3777" s="257"/>
      <c r="D3777" s="173"/>
      <c r="E3777" s="174"/>
      <c r="F3777" s="173"/>
      <c r="G3777" s="425"/>
      <c r="H3777" s="425"/>
      <c r="I3777" s="258"/>
      <c r="J3777" s="259"/>
      <c r="K3777" s="260"/>
      <c r="L3777" s="442"/>
      <c r="M3777" s="426"/>
      <c r="N3777" s="173"/>
      <c r="O3777" s="173"/>
      <c r="P3777" s="262"/>
      <c r="Q3777" s="173"/>
      <c r="R3777" s="425"/>
      <c r="S3777" s="339"/>
      <c r="T3777" s="427"/>
      <c r="U3777" s="427"/>
      <c r="V3777" s="428"/>
      <c r="W3777" s="429"/>
      <c r="X3777" s="430"/>
      <c r="Y3777" s="33"/>
      <c r="Z3777" s="430"/>
      <c r="AA3777" s="430"/>
      <c r="AB3777" s="258"/>
      <c r="AC3777" s="430"/>
      <c r="AD3777" s="426"/>
      <c r="AE3777" s="428"/>
      <c r="AF3777" s="431"/>
      <c r="AG3777" s="432"/>
      <c r="AH3777" s="430"/>
      <c r="AI3777" s="430"/>
      <c r="AJ3777" s="430"/>
      <c r="AK3777" s="430"/>
      <c r="AL3777" s="430"/>
      <c r="AM3777" s="433"/>
      <c r="AN3777" s="430"/>
      <c r="AO3777" s="430"/>
      <c r="AP3777" s="430"/>
      <c r="AQ3777" s="430"/>
      <c r="AR3777" s="430"/>
      <c r="AS3777" s="430"/>
      <c r="AT3777" s="430"/>
      <c r="AU3777" s="426"/>
      <c r="AV3777" s="174"/>
      <c r="AW3777" s="269"/>
      <c r="AX3777" s="269"/>
      <c r="AY3777" s="270"/>
      <c r="AZ3777" s="435"/>
      <c r="BA3777" s="173"/>
      <c r="BB3777" s="434"/>
      <c r="BC3777" s="434"/>
      <c r="BD3777" s="308"/>
      <c r="BE3777" s="436"/>
      <c r="BF3777" s="274" t="str">
        <f>IFERROR(__xludf.DUMMYFUNCTION("LOWER(Regexreplace(to_text(E3777),""[^A-Za-z0-9]"","""")&amp;""_""&amp;Regexreplace(to_text(F3777),""[^A-Za-z0-9]"",""""))"),"_")</f>
        <v>_</v>
      </c>
      <c r="BG3777" s="275" t="str">
        <f>IFERROR(__xludf.DUMMYFUNCTION("upper(Regexreplace(to_text(E3777),""[^A-Za-z0-9]"","""")&amp;""-""&amp;Regexreplace(to_text(F3777),""[^A-Za-z0-9]"",""""))"),"-")</f>
        <v>-</v>
      </c>
    </row>
    <row r="3778" ht="30.0" customHeight="1">
      <c r="A3778" s="237"/>
      <c r="B3778" s="425"/>
      <c r="C3778" s="257"/>
      <c r="D3778" s="173"/>
      <c r="E3778" s="174"/>
      <c r="F3778" s="173"/>
      <c r="G3778" s="425"/>
      <c r="H3778" s="425"/>
      <c r="I3778" s="258"/>
      <c r="J3778" s="259"/>
      <c r="K3778" s="260"/>
      <c r="L3778" s="442"/>
      <c r="M3778" s="426"/>
      <c r="N3778" s="173"/>
      <c r="O3778" s="173"/>
      <c r="P3778" s="262"/>
      <c r="Q3778" s="173"/>
      <c r="R3778" s="425"/>
      <c r="S3778" s="339"/>
      <c r="T3778" s="427"/>
      <c r="U3778" s="427"/>
      <c r="V3778" s="428"/>
      <c r="W3778" s="429"/>
      <c r="X3778" s="430"/>
      <c r="Y3778" s="33"/>
      <c r="Z3778" s="430"/>
      <c r="AA3778" s="430"/>
      <c r="AB3778" s="258"/>
      <c r="AC3778" s="430"/>
      <c r="AD3778" s="426"/>
      <c r="AE3778" s="428"/>
      <c r="AF3778" s="431"/>
      <c r="AG3778" s="432"/>
      <c r="AH3778" s="430"/>
      <c r="AI3778" s="430"/>
      <c r="AJ3778" s="430"/>
      <c r="AK3778" s="430"/>
      <c r="AL3778" s="430"/>
      <c r="AM3778" s="433"/>
      <c r="AN3778" s="430"/>
      <c r="AO3778" s="430"/>
      <c r="AP3778" s="430"/>
      <c r="AQ3778" s="430"/>
      <c r="AR3778" s="430"/>
      <c r="AS3778" s="430"/>
      <c r="AT3778" s="430"/>
      <c r="AU3778" s="426"/>
      <c r="AV3778" s="174"/>
      <c r="AW3778" s="269"/>
      <c r="AX3778" s="269"/>
      <c r="AY3778" s="270"/>
      <c r="AZ3778" s="435"/>
      <c r="BA3778" s="173"/>
      <c r="BB3778" s="434"/>
      <c r="BC3778" s="434"/>
      <c r="BD3778" s="308"/>
      <c r="BE3778" s="436"/>
      <c r="BF3778" s="274" t="str">
        <f>IFERROR(__xludf.DUMMYFUNCTION("LOWER(Regexreplace(to_text(E3778),""[^A-Za-z0-9]"","""")&amp;""_""&amp;Regexreplace(to_text(F3778),""[^A-Za-z0-9]"",""""))"),"_")</f>
        <v>_</v>
      </c>
      <c r="BG3778" s="275" t="str">
        <f>IFERROR(__xludf.DUMMYFUNCTION("upper(Regexreplace(to_text(E3778),""[^A-Za-z0-9]"","""")&amp;""-""&amp;Regexreplace(to_text(F3778),""[^A-Za-z0-9]"",""""))"),"-")</f>
        <v>-</v>
      </c>
    </row>
    <row r="3779" ht="30.0" customHeight="1">
      <c r="A3779" s="237"/>
      <c r="B3779" s="425"/>
      <c r="C3779" s="257"/>
      <c r="D3779" s="173"/>
      <c r="E3779" s="174"/>
      <c r="F3779" s="173"/>
      <c r="G3779" s="425"/>
      <c r="H3779" s="425"/>
      <c r="I3779" s="258"/>
      <c r="J3779" s="259"/>
      <c r="K3779" s="260"/>
      <c r="L3779" s="442"/>
      <c r="M3779" s="426"/>
      <c r="N3779" s="173"/>
      <c r="O3779" s="173"/>
      <c r="P3779" s="262"/>
      <c r="Q3779" s="173"/>
      <c r="R3779" s="425"/>
      <c r="S3779" s="339"/>
      <c r="T3779" s="427"/>
      <c r="U3779" s="427"/>
      <c r="V3779" s="428"/>
      <c r="W3779" s="429"/>
      <c r="X3779" s="430"/>
      <c r="Y3779" s="33"/>
      <c r="Z3779" s="430"/>
      <c r="AA3779" s="430"/>
      <c r="AB3779" s="258"/>
      <c r="AC3779" s="430"/>
      <c r="AD3779" s="426"/>
      <c r="AE3779" s="428"/>
      <c r="AF3779" s="431"/>
      <c r="AG3779" s="432"/>
      <c r="AH3779" s="430"/>
      <c r="AI3779" s="430"/>
      <c r="AJ3779" s="430"/>
      <c r="AK3779" s="430"/>
      <c r="AL3779" s="430"/>
      <c r="AM3779" s="433"/>
      <c r="AN3779" s="430"/>
      <c r="AO3779" s="430"/>
      <c r="AP3779" s="430"/>
      <c r="AQ3779" s="430"/>
      <c r="AR3779" s="430"/>
      <c r="AS3779" s="430"/>
      <c r="AT3779" s="430"/>
      <c r="AU3779" s="426"/>
      <c r="AV3779" s="174"/>
      <c r="AW3779" s="269"/>
      <c r="AX3779" s="269"/>
      <c r="AY3779" s="270"/>
      <c r="AZ3779" s="435"/>
      <c r="BA3779" s="173"/>
      <c r="BB3779" s="434"/>
      <c r="BC3779" s="434"/>
      <c r="BD3779" s="308"/>
      <c r="BE3779" s="436"/>
      <c r="BF3779" s="274" t="str">
        <f>IFERROR(__xludf.DUMMYFUNCTION("LOWER(Regexreplace(to_text(E3779),""[^A-Za-z0-9]"","""")&amp;""_""&amp;Regexreplace(to_text(F3779),""[^A-Za-z0-9]"",""""))"),"_")</f>
        <v>_</v>
      </c>
      <c r="BG3779" s="275" t="str">
        <f>IFERROR(__xludf.DUMMYFUNCTION("upper(Regexreplace(to_text(E3779),""[^A-Za-z0-9]"","""")&amp;""-""&amp;Regexreplace(to_text(F3779),""[^A-Za-z0-9]"",""""))"),"-")</f>
        <v>-</v>
      </c>
    </row>
    <row r="3780" ht="30.0" customHeight="1">
      <c r="A3780" s="237"/>
      <c r="B3780" s="425"/>
      <c r="C3780" s="257"/>
      <c r="D3780" s="173"/>
      <c r="E3780" s="174"/>
      <c r="F3780" s="173"/>
      <c r="G3780" s="425"/>
      <c r="H3780" s="425"/>
      <c r="I3780" s="258"/>
      <c r="J3780" s="259"/>
      <c r="K3780" s="260"/>
      <c r="L3780" s="442"/>
      <c r="M3780" s="426"/>
      <c r="N3780" s="173"/>
      <c r="O3780" s="173"/>
      <c r="P3780" s="262"/>
      <c r="Q3780" s="173"/>
      <c r="R3780" s="425"/>
      <c r="S3780" s="339"/>
      <c r="T3780" s="427"/>
      <c r="U3780" s="427"/>
      <c r="V3780" s="428"/>
      <c r="W3780" s="429"/>
      <c r="X3780" s="430"/>
      <c r="Y3780" s="33"/>
      <c r="Z3780" s="430"/>
      <c r="AA3780" s="430"/>
      <c r="AB3780" s="258"/>
      <c r="AC3780" s="430"/>
      <c r="AD3780" s="426"/>
      <c r="AE3780" s="428"/>
      <c r="AF3780" s="431"/>
      <c r="AG3780" s="432"/>
      <c r="AH3780" s="430"/>
      <c r="AI3780" s="430"/>
      <c r="AJ3780" s="430"/>
      <c r="AK3780" s="430"/>
      <c r="AL3780" s="430"/>
      <c r="AM3780" s="433"/>
      <c r="AN3780" s="430"/>
      <c r="AO3780" s="430"/>
      <c r="AP3780" s="430"/>
      <c r="AQ3780" s="430"/>
      <c r="AR3780" s="430"/>
      <c r="AS3780" s="430"/>
      <c r="AT3780" s="430"/>
      <c r="AU3780" s="426"/>
      <c r="AV3780" s="174"/>
      <c r="AW3780" s="269"/>
      <c r="AX3780" s="269"/>
      <c r="AY3780" s="270"/>
      <c r="AZ3780" s="435"/>
      <c r="BA3780" s="173"/>
      <c r="BB3780" s="434"/>
      <c r="BC3780" s="434"/>
      <c r="BD3780" s="308"/>
      <c r="BE3780" s="436"/>
      <c r="BF3780" s="274" t="str">
        <f>IFERROR(__xludf.DUMMYFUNCTION("LOWER(Regexreplace(to_text(E3780),""[^A-Za-z0-9]"","""")&amp;""_""&amp;Regexreplace(to_text(F3780),""[^A-Za-z0-9]"",""""))"),"_")</f>
        <v>_</v>
      </c>
      <c r="BG3780" s="275" t="str">
        <f>IFERROR(__xludf.DUMMYFUNCTION("upper(Regexreplace(to_text(E3780),""[^A-Za-z0-9]"","""")&amp;""-""&amp;Regexreplace(to_text(F3780),""[^A-Za-z0-9]"",""""))"),"-")</f>
        <v>-</v>
      </c>
    </row>
    <row r="3781" ht="30.0" customHeight="1">
      <c r="A3781" s="237"/>
      <c r="B3781" s="425"/>
      <c r="C3781" s="257"/>
      <c r="D3781" s="173"/>
      <c r="E3781" s="174"/>
      <c r="F3781" s="173"/>
      <c r="G3781" s="425"/>
      <c r="H3781" s="425"/>
      <c r="I3781" s="258"/>
      <c r="J3781" s="259"/>
      <c r="K3781" s="260"/>
      <c r="L3781" s="442"/>
      <c r="M3781" s="426"/>
      <c r="N3781" s="173"/>
      <c r="O3781" s="173"/>
      <c r="P3781" s="262"/>
      <c r="Q3781" s="173"/>
      <c r="R3781" s="425"/>
      <c r="S3781" s="339"/>
      <c r="T3781" s="427"/>
      <c r="U3781" s="427"/>
      <c r="V3781" s="428"/>
      <c r="W3781" s="429"/>
      <c r="X3781" s="430"/>
      <c r="Y3781" s="33"/>
      <c r="Z3781" s="430"/>
      <c r="AA3781" s="430"/>
      <c r="AB3781" s="258"/>
      <c r="AC3781" s="430"/>
      <c r="AD3781" s="426"/>
      <c r="AE3781" s="428"/>
      <c r="AF3781" s="431"/>
      <c r="AG3781" s="432"/>
      <c r="AH3781" s="430"/>
      <c r="AI3781" s="430"/>
      <c r="AJ3781" s="430"/>
      <c r="AK3781" s="430"/>
      <c r="AL3781" s="430"/>
      <c r="AM3781" s="433"/>
      <c r="AN3781" s="430"/>
      <c r="AO3781" s="430"/>
      <c r="AP3781" s="430"/>
      <c r="AQ3781" s="430"/>
      <c r="AR3781" s="430"/>
      <c r="AS3781" s="430"/>
      <c r="AT3781" s="430"/>
      <c r="AU3781" s="426"/>
      <c r="AV3781" s="174"/>
      <c r="AW3781" s="269"/>
      <c r="AX3781" s="269"/>
      <c r="AY3781" s="270"/>
      <c r="AZ3781" s="435"/>
      <c r="BA3781" s="173"/>
      <c r="BB3781" s="434"/>
      <c r="BC3781" s="434"/>
      <c r="BD3781" s="308"/>
      <c r="BE3781" s="436"/>
      <c r="BF3781" s="274" t="str">
        <f>IFERROR(__xludf.DUMMYFUNCTION("LOWER(Regexreplace(to_text(E3781),""[^A-Za-z0-9]"","""")&amp;""_""&amp;Regexreplace(to_text(F3781),""[^A-Za-z0-9]"",""""))"),"_")</f>
        <v>_</v>
      </c>
      <c r="BG3781" s="275" t="str">
        <f>IFERROR(__xludf.DUMMYFUNCTION("upper(Regexreplace(to_text(E3781),""[^A-Za-z0-9]"","""")&amp;""-""&amp;Regexreplace(to_text(F3781),""[^A-Za-z0-9]"",""""))"),"-")</f>
        <v>-</v>
      </c>
    </row>
    <row r="3782" ht="30.0" customHeight="1">
      <c r="A3782" s="237"/>
      <c r="B3782" s="425"/>
      <c r="C3782" s="257"/>
      <c r="D3782" s="173"/>
      <c r="E3782" s="174"/>
      <c r="F3782" s="173"/>
      <c r="G3782" s="425"/>
      <c r="H3782" s="425"/>
      <c r="I3782" s="258"/>
      <c r="J3782" s="259"/>
      <c r="K3782" s="260"/>
      <c r="L3782" s="442"/>
      <c r="M3782" s="426"/>
      <c r="N3782" s="173"/>
      <c r="O3782" s="173"/>
      <c r="P3782" s="262"/>
      <c r="Q3782" s="173"/>
      <c r="R3782" s="425"/>
      <c r="S3782" s="339"/>
      <c r="T3782" s="427"/>
      <c r="U3782" s="427"/>
      <c r="V3782" s="428"/>
      <c r="W3782" s="429"/>
      <c r="X3782" s="430"/>
      <c r="Y3782" s="33"/>
      <c r="Z3782" s="430"/>
      <c r="AA3782" s="430"/>
      <c r="AB3782" s="258"/>
      <c r="AC3782" s="430"/>
      <c r="AD3782" s="426"/>
      <c r="AE3782" s="428"/>
      <c r="AF3782" s="431"/>
      <c r="AG3782" s="432"/>
      <c r="AH3782" s="430"/>
      <c r="AI3782" s="430"/>
      <c r="AJ3782" s="430"/>
      <c r="AK3782" s="430"/>
      <c r="AL3782" s="430"/>
      <c r="AM3782" s="433"/>
      <c r="AN3782" s="430"/>
      <c r="AO3782" s="430"/>
      <c r="AP3782" s="430"/>
      <c r="AQ3782" s="430"/>
      <c r="AR3782" s="430"/>
      <c r="AS3782" s="430"/>
      <c r="AT3782" s="430"/>
      <c r="AU3782" s="426"/>
      <c r="AV3782" s="174"/>
      <c r="AW3782" s="269"/>
      <c r="AX3782" s="269"/>
      <c r="AY3782" s="270"/>
      <c r="AZ3782" s="435"/>
      <c r="BA3782" s="173"/>
      <c r="BB3782" s="434"/>
      <c r="BC3782" s="434"/>
      <c r="BD3782" s="308"/>
      <c r="BE3782" s="436"/>
      <c r="BF3782" s="274" t="str">
        <f>IFERROR(__xludf.DUMMYFUNCTION("LOWER(Regexreplace(to_text(E3782),""[^A-Za-z0-9]"","""")&amp;""_""&amp;Regexreplace(to_text(F3782),""[^A-Za-z0-9]"",""""))"),"_")</f>
        <v>_</v>
      </c>
      <c r="BG3782" s="275" t="str">
        <f>IFERROR(__xludf.DUMMYFUNCTION("upper(Regexreplace(to_text(E3782),""[^A-Za-z0-9]"","""")&amp;""-""&amp;Regexreplace(to_text(F3782),""[^A-Za-z0-9]"",""""))"),"-")</f>
        <v>-</v>
      </c>
    </row>
    <row r="3783" ht="30.0" customHeight="1">
      <c r="A3783" s="237"/>
      <c r="B3783" s="425"/>
      <c r="C3783" s="257"/>
      <c r="D3783" s="173"/>
      <c r="E3783" s="174"/>
      <c r="F3783" s="173"/>
      <c r="G3783" s="425"/>
      <c r="H3783" s="425"/>
      <c r="I3783" s="258"/>
      <c r="J3783" s="259"/>
      <c r="K3783" s="260"/>
      <c r="L3783" s="442"/>
      <c r="M3783" s="426"/>
      <c r="N3783" s="173"/>
      <c r="O3783" s="173"/>
      <c r="P3783" s="262"/>
      <c r="Q3783" s="173"/>
      <c r="R3783" s="425"/>
      <c r="S3783" s="339"/>
      <c r="T3783" s="427"/>
      <c r="U3783" s="427"/>
      <c r="V3783" s="428"/>
      <c r="W3783" s="429"/>
      <c r="X3783" s="430"/>
      <c r="Y3783" s="33"/>
      <c r="Z3783" s="430"/>
      <c r="AA3783" s="430"/>
      <c r="AB3783" s="258"/>
      <c r="AC3783" s="430"/>
      <c r="AD3783" s="426"/>
      <c r="AE3783" s="428"/>
      <c r="AF3783" s="431"/>
      <c r="AG3783" s="432"/>
      <c r="AH3783" s="430"/>
      <c r="AI3783" s="430"/>
      <c r="AJ3783" s="430"/>
      <c r="AK3783" s="430"/>
      <c r="AL3783" s="430"/>
      <c r="AM3783" s="433"/>
      <c r="AN3783" s="430"/>
      <c r="AO3783" s="430"/>
      <c r="AP3783" s="430"/>
      <c r="AQ3783" s="430"/>
      <c r="AR3783" s="430"/>
      <c r="AS3783" s="430"/>
      <c r="AT3783" s="430"/>
      <c r="AU3783" s="426"/>
      <c r="AV3783" s="174"/>
      <c r="AW3783" s="269"/>
      <c r="AX3783" s="269"/>
      <c r="AY3783" s="270"/>
      <c r="AZ3783" s="435"/>
      <c r="BA3783" s="173"/>
      <c r="BB3783" s="434"/>
      <c r="BC3783" s="434"/>
      <c r="BD3783" s="308"/>
      <c r="BE3783" s="436"/>
      <c r="BF3783" s="274" t="str">
        <f>IFERROR(__xludf.DUMMYFUNCTION("LOWER(Regexreplace(to_text(E3783),""[^A-Za-z0-9]"","""")&amp;""_""&amp;Regexreplace(to_text(F3783),""[^A-Za-z0-9]"",""""))"),"_")</f>
        <v>_</v>
      </c>
      <c r="BG3783" s="275" t="str">
        <f>IFERROR(__xludf.DUMMYFUNCTION("upper(Regexreplace(to_text(E3783),""[^A-Za-z0-9]"","""")&amp;""-""&amp;Regexreplace(to_text(F3783),""[^A-Za-z0-9]"",""""))"),"-")</f>
        <v>-</v>
      </c>
    </row>
    <row r="3784" ht="30.0" customHeight="1">
      <c r="A3784" s="237"/>
      <c r="B3784" s="425"/>
      <c r="C3784" s="257"/>
      <c r="D3784" s="173"/>
      <c r="E3784" s="174"/>
      <c r="F3784" s="173"/>
      <c r="G3784" s="425"/>
      <c r="H3784" s="425"/>
      <c r="I3784" s="258"/>
      <c r="J3784" s="259"/>
      <c r="K3784" s="260"/>
      <c r="L3784" s="442"/>
      <c r="M3784" s="426"/>
      <c r="N3784" s="173"/>
      <c r="O3784" s="173"/>
      <c r="P3784" s="262"/>
      <c r="Q3784" s="173"/>
      <c r="R3784" s="425"/>
      <c r="S3784" s="339"/>
      <c r="T3784" s="427"/>
      <c r="U3784" s="427"/>
      <c r="V3784" s="428"/>
      <c r="W3784" s="429"/>
      <c r="X3784" s="430"/>
      <c r="Y3784" s="33"/>
      <c r="Z3784" s="430"/>
      <c r="AA3784" s="430"/>
      <c r="AB3784" s="258"/>
      <c r="AC3784" s="430"/>
      <c r="AD3784" s="426"/>
      <c r="AE3784" s="428"/>
      <c r="AF3784" s="431"/>
      <c r="AG3784" s="432"/>
      <c r="AH3784" s="430"/>
      <c r="AI3784" s="430"/>
      <c r="AJ3784" s="430"/>
      <c r="AK3784" s="430"/>
      <c r="AL3784" s="430"/>
      <c r="AM3784" s="433"/>
      <c r="AN3784" s="430"/>
      <c r="AO3784" s="430"/>
      <c r="AP3784" s="430"/>
      <c r="AQ3784" s="430"/>
      <c r="AR3784" s="430"/>
      <c r="AS3784" s="430"/>
      <c r="AT3784" s="430"/>
      <c r="AU3784" s="426"/>
      <c r="AV3784" s="174"/>
      <c r="AW3784" s="269"/>
      <c r="AX3784" s="269"/>
      <c r="AY3784" s="270"/>
      <c r="AZ3784" s="435"/>
      <c r="BA3784" s="173"/>
      <c r="BB3784" s="434"/>
      <c r="BC3784" s="434"/>
      <c r="BD3784" s="308"/>
      <c r="BE3784" s="436"/>
      <c r="BF3784" s="274" t="str">
        <f>IFERROR(__xludf.DUMMYFUNCTION("LOWER(Regexreplace(to_text(E3784),""[^A-Za-z0-9]"","""")&amp;""_""&amp;Regexreplace(to_text(F3784),""[^A-Za-z0-9]"",""""))"),"_")</f>
        <v>_</v>
      </c>
      <c r="BG3784" s="275" t="str">
        <f>IFERROR(__xludf.DUMMYFUNCTION("upper(Regexreplace(to_text(E3784),""[^A-Za-z0-9]"","""")&amp;""-""&amp;Regexreplace(to_text(F3784),""[^A-Za-z0-9]"",""""))"),"-")</f>
        <v>-</v>
      </c>
    </row>
    <row r="3785" ht="30.0" customHeight="1">
      <c r="A3785" s="237"/>
      <c r="B3785" s="425"/>
      <c r="C3785" s="257"/>
      <c r="D3785" s="173"/>
      <c r="E3785" s="174"/>
      <c r="F3785" s="173"/>
      <c r="G3785" s="425"/>
      <c r="H3785" s="425"/>
      <c r="I3785" s="258"/>
      <c r="J3785" s="259"/>
      <c r="K3785" s="260"/>
      <c r="L3785" s="442"/>
      <c r="M3785" s="426"/>
      <c r="N3785" s="173"/>
      <c r="O3785" s="173"/>
      <c r="P3785" s="262"/>
      <c r="Q3785" s="173"/>
      <c r="R3785" s="425"/>
      <c r="S3785" s="339"/>
      <c r="T3785" s="427"/>
      <c r="U3785" s="427"/>
      <c r="V3785" s="428"/>
      <c r="W3785" s="429"/>
      <c r="X3785" s="430"/>
      <c r="Y3785" s="33"/>
      <c r="Z3785" s="430"/>
      <c r="AA3785" s="430"/>
      <c r="AB3785" s="258"/>
      <c r="AC3785" s="430"/>
      <c r="AD3785" s="426"/>
      <c r="AE3785" s="428"/>
      <c r="AF3785" s="431"/>
      <c r="AG3785" s="432"/>
      <c r="AH3785" s="430"/>
      <c r="AI3785" s="430"/>
      <c r="AJ3785" s="430"/>
      <c r="AK3785" s="430"/>
      <c r="AL3785" s="430"/>
      <c r="AM3785" s="433"/>
      <c r="AN3785" s="430"/>
      <c r="AO3785" s="430"/>
      <c r="AP3785" s="430"/>
      <c r="AQ3785" s="430"/>
      <c r="AR3785" s="430"/>
      <c r="AS3785" s="430"/>
      <c r="AT3785" s="430"/>
      <c r="AU3785" s="426"/>
      <c r="AV3785" s="174"/>
      <c r="AW3785" s="269"/>
      <c r="AX3785" s="269"/>
      <c r="AY3785" s="270"/>
      <c r="AZ3785" s="435"/>
      <c r="BA3785" s="173"/>
      <c r="BB3785" s="434"/>
      <c r="BC3785" s="434"/>
      <c r="BD3785" s="308"/>
      <c r="BE3785" s="436"/>
      <c r="BF3785" s="274" t="str">
        <f>IFERROR(__xludf.DUMMYFUNCTION("LOWER(Regexreplace(to_text(E3785),""[^A-Za-z0-9]"","""")&amp;""_""&amp;Regexreplace(to_text(F3785),""[^A-Za-z0-9]"",""""))"),"_")</f>
        <v>_</v>
      </c>
      <c r="BG3785" s="275" t="str">
        <f>IFERROR(__xludf.DUMMYFUNCTION("upper(Regexreplace(to_text(E3785),""[^A-Za-z0-9]"","""")&amp;""-""&amp;Regexreplace(to_text(F3785),""[^A-Za-z0-9]"",""""))"),"-")</f>
        <v>-</v>
      </c>
    </row>
    <row r="3786" ht="30.0" customHeight="1">
      <c r="A3786" s="237"/>
      <c r="B3786" s="425"/>
      <c r="C3786" s="257"/>
      <c r="D3786" s="173"/>
      <c r="E3786" s="174"/>
      <c r="F3786" s="173"/>
      <c r="G3786" s="425"/>
      <c r="H3786" s="425"/>
      <c r="I3786" s="258"/>
      <c r="J3786" s="259"/>
      <c r="K3786" s="260"/>
      <c r="L3786" s="442"/>
      <c r="M3786" s="426"/>
      <c r="N3786" s="173"/>
      <c r="O3786" s="173"/>
      <c r="P3786" s="262"/>
      <c r="Q3786" s="173"/>
      <c r="R3786" s="425"/>
      <c r="S3786" s="339"/>
      <c r="T3786" s="427"/>
      <c r="U3786" s="427"/>
      <c r="V3786" s="428"/>
      <c r="W3786" s="429"/>
      <c r="X3786" s="430"/>
      <c r="Y3786" s="33"/>
      <c r="Z3786" s="430"/>
      <c r="AA3786" s="430"/>
      <c r="AB3786" s="258"/>
      <c r="AC3786" s="430"/>
      <c r="AD3786" s="426"/>
      <c r="AE3786" s="428"/>
      <c r="AF3786" s="431"/>
      <c r="AG3786" s="432"/>
      <c r="AH3786" s="430"/>
      <c r="AI3786" s="430"/>
      <c r="AJ3786" s="430"/>
      <c r="AK3786" s="430"/>
      <c r="AL3786" s="430"/>
      <c r="AM3786" s="433"/>
      <c r="AN3786" s="430"/>
      <c r="AO3786" s="430"/>
      <c r="AP3786" s="430"/>
      <c r="AQ3786" s="430"/>
      <c r="AR3786" s="430"/>
      <c r="AS3786" s="430"/>
      <c r="AT3786" s="430"/>
      <c r="AU3786" s="426"/>
      <c r="AV3786" s="174"/>
      <c r="AW3786" s="269"/>
      <c r="AX3786" s="269"/>
      <c r="AY3786" s="270"/>
      <c r="AZ3786" s="435"/>
      <c r="BA3786" s="173"/>
      <c r="BB3786" s="434"/>
      <c r="BC3786" s="434"/>
      <c r="BD3786" s="308"/>
      <c r="BE3786" s="436"/>
      <c r="BF3786" s="274" t="str">
        <f>IFERROR(__xludf.DUMMYFUNCTION("LOWER(Regexreplace(to_text(E3786),""[^A-Za-z0-9]"","""")&amp;""_""&amp;Regexreplace(to_text(F3786),""[^A-Za-z0-9]"",""""))"),"_")</f>
        <v>_</v>
      </c>
      <c r="BG3786" s="275" t="str">
        <f>IFERROR(__xludf.DUMMYFUNCTION("upper(Regexreplace(to_text(E3786),""[^A-Za-z0-9]"","""")&amp;""-""&amp;Regexreplace(to_text(F3786),""[^A-Za-z0-9]"",""""))"),"-")</f>
        <v>-</v>
      </c>
    </row>
    <row r="3787" ht="30.0" customHeight="1">
      <c r="A3787" s="237"/>
      <c r="B3787" s="425"/>
      <c r="C3787" s="257"/>
      <c r="D3787" s="173"/>
      <c r="E3787" s="174"/>
      <c r="F3787" s="173"/>
      <c r="G3787" s="425"/>
      <c r="H3787" s="425"/>
      <c r="I3787" s="258"/>
      <c r="J3787" s="259"/>
      <c r="K3787" s="260"/>
      <c r="L3787" s="442"/>
      <c r="M3787" s="426"/>
      <c r="N3787" s="173"/>
      <c r="O3787" s="173"/>
      <c r="P3787" s="262"/>
      <c r="Q3787" s="173"/>
      <c r="R3787" s="425"/>
      <c r="S3787" s="339"/>
      <c r="T3787" s="427"/>
      <c r="U3787" s="427"/>
      <c r="V3787" s="428"/>
      <c r="W3787" s="429"/>
      <c r="X3787" s="430"/>
      <c r="Y3787" s="33"/>
      <c r="Z3787" s="430"/>
      <c r="AA3787" s="430"/>
      <c r="AB3787" s="258"/>
      <c r="AC3787" s="430"/>
      <c r="AD3787" s="426"/>
      <c r="AE3787" s="428"/>
      <c r="AF3787" s="431"/>
      <c r="AG3787" s="432"/>
      <c r="AH3787" s="430"/>
      <c r="AI3787" s="430"/>
      <c r="AJ3787" s="430"/>
      <c r="AK3787" s="430"/>
      <c r="AL3787" s="430"/>
      <c r="AM3787" s="433"/>
      <c r="AN3787" s="430"/>
      <c r="AO3787" s="430"/>
      <c r="AP3787" s="430"/>
      <c r="AQ3787" s="430"/>
      <c r="AR3787" s="430"/>
      <c r="AS3787" s="430"/>
      <c r="AT3787" s="430"/>
      <c r="AU3787" s="426"/>
      <c r="AV3787" s="174"/>
      <c r="AW3787" s="269"/>
      <c r="AX3787" s="269"/>
      <c r="AY3787" s="270"/>
      <c r="AZ3787" s="435"/>
      <c r="BA3787" s="173"/>
      <c r="BB3787" s="434"/>
      <c r="BC3787" s="434"/>
      <c r="BD3787" s="308"/>
      <c r="BE3787" s="436"/>
      <c r="BF3787" s="274" t="str">
        <f>IFERROR(__xludf.DUMMYFUNCTION("LOWER(Regexreplace(to_text(E3787),""[^A-Za-z0-9]"","""")&amp;""_""&amp;Regexreplace(to_text(F3787),""[^A-Za-z0-9]"",""""))"),"_")</f>
        <v>_</v>
      </c>
      <c r="BG3787" s="275" t="str">
        <f>IFERROR(__xludf.DUMMYFUNCTION("upper(Regexreplace(to_text(E3787),""[^A-Za-z0-9]"","""")&amp;""-""&amp;Regexreplace(to_text(F3787),""[^A-Za-z0-9]"",""""))"),"-")</f>
        <v>-</v>
      </c>
    </row>
    <row r="3788" ht="30.0" customHeight="1">
      <c r="A3788" s="237"/>
      <c r="B3788" s="425"/>
      <c r="C3788" s="257"/>
      <c r="D3788" s="173"/>
      <c r="E3788" s="174"/>
      <c r="F3788" s="173"/>
      <c r="G3788" s="425"/>
      <c r="H3788" s="425"/>
      <c r="I3788" s="258"/>
      <c r="J3788" s="259"/>
      <c r="K3788" s="260"/>
      <c r="L3788" s="442"/>
      <c r="M3788" s="426"/>
      <c r="N3788" s="173"/>
      <c r="O3788" s="173"/>
      <c r="P3788" s="262"/>
      <c r="Q3788" s="173"/>
      <c r="R3788" s="425"/>
      <c r="S3788" s="339"/>
      <c r="T3788" s="427"/>
      <c r="U3788" s="427"/>
      <c r="V3788" s="428"/>
      <c r="W3788" s="429"/>
      <c r="X3788" s="430"/>
      <c r="Y3788" s="33"/>
      <c r="Z3788" s="430"/>
      <c r="AA3788" s="430"/>
      <c r="AB3788" s="258"/>
      <c r="AC3788" s="430"/>
      <c r="AD3788" s="426"/>
      <c r="AE3788" s="428"/>
      <c r="AF3788" s="431"/>
      <c r="AG3788" s="432"/>
      <c r="AH3788" s="430"/>
      <c r="AI3788" s="430"/>
      <c r="AJ3788" s="430"/>
      <c r="AK3788" s="430"/>
      <c r="AL3788" s="430"/>
      <c r="AM3788" s="433"/>
      <c r="AN3788" s="430"/>
      <c r="AO3788" s="430"/>
      <c r="AP3788" s="430"/>
      <c r="AQ3788" s="430"/>
      <c r="AR3788" s="430"/>
      <c r="AS3788" s="430"/>
      <c r="AT3788" s="430"/>
      <c r="AU3788" s="426"/>
      <c r="AV3788" s="174"/>
      <c r="AW3788" s="269"/>
      <c r="AX3788" s="269"/>
      <c r="AY3788" s="270"/>
      <c r="AZ3788" s="435"/>
      <c r="BA3788" s="173"/>
      <c r="BB3788" s="434"/>
      <c r="BC3788" s="434"/>
      <c r="BD3788" s="308"/>
      <c r="BE3788" s="436"/>
      <c r="BF3788" s="274" t="str">
        <f>IFERROR(__xludf.DUMMYFUNCTION("LOWER(Regexreplace(to_text(E3788),""[^A-Za-z0-9]"","""")&amp;""_""&amp;Regexreplace(to_text(F3788),""[^A-Za-z0-9]"",""""))"),"_")</f>
        <v>_</v>
      </c>
      <c r="BG3788" s="275" t="str">
        <f>IFERROR(__xludf.DUMMYFUNCTION("upper(Regexreplace(to_text(E3788),""[^A-Za-z0-9]"","""")&amp;""-""&amp;Regexreplace(to_text(F3788),""[^A-Za-z0-9]"",""""))"),"-")</f>
        <v>-</v>
      </c>
    </row>
    <row r="3789" ht="30.0" customHeight="1">
      <c r="A3789" s="237"/>
      <c r="B3789" s="425"/>
      <c r="C3789" s="257"/>
      <c r="D3789" s="173"/>
      <c r="E3789" s="174"/>
      <c r="F3789" s="173"/>
      <c r="G3789" s="425"/>
      <c r="H3789" s="425"/>
      <c r="I3789" s="258"/>
      <c r="J3789" s="259"/>
      <c r="K3789" s="260"/>
      <c r="L3789" s="442"/>
      <c r="M3789" s="426"/>
      <c r="N3789" s="173"/>
      <c r="O3789" s="173"/>
      <c r="P3789" s="262"/>
      <c r="Q3789" s="173"/>
      <c r="R3789" s="425"/>
      <c r="S3789" s="339"/>
      <c r="T3789" s="427"/>
      <c r="U3789" s="427"/>
      <c r="V3789" s="428"/>
      <c r="W3789" s="429"/>
      <c r="X3789" s="430"/>
      <c r="Y3789" s="33"/>
      <c r="Z3789" s="430"/>
      <c r="AA3789" s="430"/>
      <c r="AB3789" s="258"/>
      <c r="AC3789" s="430"/>
      <c r="AD3789" s="426"/>
      <c r="AE3789" s="428"/>
      <c r="AF3789" s="431"/>
      <c r="AG3789" s="432"/>
      <c r="AH3789" s="430"/>
      <c r="AI3789" s="430"/>
      <c r="AJ3789" s="430"/>
      <c r="AK3789" s="430"/>
      <c r="AL3789" s="430"/>
      <c r="AM3789" s="433"/>
      <c r="AN3789" s="430"/>
      <c r="AO3789" s="430"/>
      <c r="AP3789" s="430"/>
      <c r="AQ3789" s="430"/>
      <c r="AR3789" s="430"/>
      <c r="AS3789" s="430"/>
      <c r="AT3789" s="430"/>
      <c r="AU3789" s="426"/>
      <c r="AV3789" s="174"/>
      <c r="AW3789" s="269"/>
      <c r="AX3789" s="269"/>
      <c r="AY3789" s="270"/>
      <c r="AZ3789" s="435"/>
      <c r="BA3789" s="173"/>
      <c r="BB3789" s="434"/>
      <c r="BC3789" s="434"/>
      <c r="BD3789" s="308"/>
      <c r="BE3789" s="436"/>
      <c r="BF3789" s="274" t="str">
        <f>IFERROR(__xludf.DUMMYFUNCTION("LOWER(Regexreplace(to_text(E3789),""[^A-Za-z0-9]"","""")&amp;""_""&amp;Regexreplace(to_text(F3789),""[^A-Za-z0-9]"",""""))"),"_")</f>
        <v>_</v>
      </c>
      <c r="BG3789" s="275" t="str">
        <f>IFERROR(__xludf.DUMMYFUNCTION("upper(Regexreplace(to_text(E3789),""[^A-Za-z0-9]"","""")&amp;""-""&amp;Regexreplace(to_text(F3789),""[^A-Za-z0-9]"",""""))"),"-")</f>
        <v>-</v>
      </c>
    </row>
    <row r="3790" ht="30.0" customHeight="1">
      <c r="A3790" s="237"/>
      <c r="B3790" s="425"/>
      <c r="C3790" s="257"/>
      <c r="D3790" s="173"/>
      <c r="E3790" s="174"/>
      <c r="F3790" s="173"/>
      <c r="G3790" s="425"/>
      <c r="H3790" s="425"/>
      <c r="I3790" s="258"/>
      <c r="J3790" s="259"/>
      <c r="K3790" s="260"/>
      <c r="L3790" s="442"/>
      <c r="M3790" s="426"/>
      <c r="N3790" s="173"/>
      <c r="O3790" s="173"/>
      <c r="P3790" s="262"/>
      <c r="Q3790" s="173"/>
      <c r="R3790" s="425"/>
      <c r="S3790" s="339"/>
      <c r="T3790" s="427"/>
      <c r="U3790" s="427"/>
      <c r="V3790" s="428"/>
      <c r="W3790" s="429"/>
      <c r="X3790" s="430"/>
      <c r="Y3790" s="33"/>
      <c r="Z3790" s="430"/>
      <c r="AA3790" s="430"/>
      <c r="AB3790" s="258"/>
      <c r="AC3790" s="430"/>
      <c r="AD3790" s="426"/>
      <c r="AE3790" s="428"/>
      <c r="AF3790" s="431"/>
      <c r="AG3790" s="432"/>
      <c r="AH3790" s="430"/>
      <c r="AI3790" s="430"/>
      <c r="AJ3790" s="430"/>
      <c r="AK3790" s="430"/>
      <c r="AL3790" s="430"/>
      <c r="AM3790" s="433"/>
      <c r="AN3790" s="430"/>
      <c r="AO3790" s="430"/>
      <c r="AP3790" s="430"/>
      <c r="AQ3790" s="430"/>
      <c r="AR3790" s="430"/>
      <c r="AS3790" s="430"/>
      <c r="AT3790" s="430"/>
      <c r="AU3790" s="426"/>
      <c r="AV3790" s="174"/>
      <c r="AW3790" s="269"/>
      <c r="AX3790" s="269"/>
      <c r="AY3790" s="270"/>
      <c r="AZ3790" s="435"/>
      <c r="BA3790" s="173"/>
      <c r="BB3790" s="434"/>
      <c r="BC3790" s="434"/>
      <c r="BD3790" s="308"/>
      <c r="BE3790" s="436"/>
      <c r="BF3790" s="274" t="str">
        <f>IFERROR(__xludf.DUMMYFUNCTION("LOWER(Regexreplace(to_text(E3790),""[^A-Za-z0-9]"","""")&amp;""_""&amp;Regexreplace(to_text(F3790),""[^A-Za-z0-9]"",""""))"),"_")</f>
        <v>_</v>
      </c>
      <c r="BG3790" s="275" t="str">
        <f>IFERROR(__xludf.DUMMYFUNCTION("upper(Regexreplace(to_text(E3790),""[^A-Za-z0-9]"","""")&amp;""-""&amp;Regexreplace(to_text(F3790),""[^A-Za-z0-9]"",""""))"),"-")</f>
        <v>-</v>
      </c>
    </row>
    <row r="3791" ht="30.0" customHeight="1">
      <c r="A3791" s="237"/>
      <c r="B3791" s="425"/>
      <c r="C3791" s="257"/>
      <c r="D3791" s="173"/>
      <c r="E3791" s="174"/>
      <c r="F3791" s="173"/>
      <c r="G3791" s="425"/>
      <c r="H3791" s="425"/>
      <c r="I3791" s="258"/>
      <c r="J3791" s="259"/>
      <c r="K3791" s="260"/>
      <c r="L3791" s="442"/>
      <c r="M3791" s="426"/>
      <c r="N3791" s="173"/>
      <c r="O3791" s="173"/>
      <c r="P3791" s="262"/>
      <c r="Q3791" s="173"/>
      <c r="R3791" s="425"/>
      <c r="S3791" s="339"/>
      <c r="T3791" s="427"/>
      <c r="U3791" s="427"/>
      <c r="V3791" s="428"/>
      <c r="W3791" s="429"/>
      <c r="X3791" s="430"/>
      <c r="Y3791" s="33"/>
      <c r="Z3791" s="430"/>
      <c r="AA3791" s="430"/>
      <c r="AB3791" s="258"/>
      <c r="AC3791" s="430"/>
      <c r="AD3791" s="426"/>
      <c r="AE3791" s="428"/>
      <c r="AF3791" s="431"/>
      <c r="AG3791" s="432"/>
      <c r="AH3791" s="430"/>
      <c r="AI3791" s="430"/>
      <c r="AJ3791" s="430"/>
      <c r="AK3791" s="430"/>
      <c r="AL3791" s="430"/>
      <c r="AM3791" s="433"/>
      <c r="AN3791" s="430"/>
      <c r="AO3791" s="430"/>
      <c r="AP3791" s="430"/>
      <c r="AQ3791" s="430"/>
      <c r="AR3791" s="430"/>
      <c r="AS3791" s="430"/>
      <c r="AT3791" s="430"/>
      <c r="AU3791" s="426"/>
      <c r="AV3791" s="174"/>
      <c r="AW3791" s="269"/>
      <c r="AX3791" s="269"/>
      <c r="AY3791" s="270"/>
      <c r="AZ3791" s="435"/>
      <c r="BA3791" s="173"/>
      <c r="BB3791" s="434"/>
      <c r="BC3791" s="434"/>
      <c r="BD3791" s="308"/>
      <c r="BE3791" s="436"/>
      <c r="BF3791" s="274" t="str">
        <f>IFERROR(__xludf.DUMMYFUNCTION("LOWER(Regexreplace(to_text(E3791),""[^A-Za-z0-9]"","""")&amp;""_""&amp;Regexreplace(to_text(F3791),""[^A-Za-z0-9]"",""""))"),"_")</f>
        <v>_</v>
      </c>
      <c r="BG3791" s="275" t="str">
        <f>IFERROR(__xludf.DUMMYFUNCTION("upper(Regexreplace(to_text(E3791),""[^A-Za-z0-9]"","""")&amp;""-""&amp;Regexreplace(to_text(F3791),""[^A-Za-z0-9]"",""""))"),"-")</f>
        <v>-</v>
      </c>
    </row>
    <row r="3792" ht="30.0" customHeight="1">
      <c r="A3792" s="237"/>
      <c r="B3792" s="425"/>
      <c r="C3792" s="257"/>
      <c r="D3792" s="173"/>
      <c r="E3792" s="174"/>
      <c r="F3792" s="173"/>
      <c r="G3792" s="425"/>
      <c r="H3792" s="425"/>
      <c r="I3792" s="258"/>
      <c r="J3792" s="259"/>
      <c r="K3792" s="260"/>
      <c r="L3792" s="442"/>
      <c r="M3792" s="426"/>
      <c r="N3792" s="173"/>
      <c r="O3792" s="173"/>
      <c r="P3792" s="262"/>
      <c r="Q3792" s="173"/>
      <c r="R3792" s="425"/>
      <c r="S3792" s="339"/>
      <c r="T3792" s="427"/>
      <c r="U3792" s="427"/>
      <c r="V3792" s="428"/>
      <c r="W3792" s="429"/>
      <c r="X3792" s="430"/>
      <c r="Y3792" s="33"/>
      <c r="Z3792" s="430"/>
      <c r="AA3792" s="430"/>
      <c r="AB3792" s="258"/>
      <c r="AC3792" s="430"/>
      <c r="AD3792" s="426"/>
      <c r="AE3792" s="428"/>
      <c r="AF3792" s="431"/>
      <c r="AG3792" s="432"/>
      <c r="AH3792" s="430"/>
      <c r="AI3792" s="430"/>
      <c r="AJ3792" s="430"/>
      <c r="AK3792" s="430"/>
      <c r="AL3792" s="430"/>
      <c r="AM3792" s="433"/>
      <c r="AN3792" s="430"/>
      <c r="AO3792" s="430"/>
      <c r="AP3792" s="430"/>
      <c r="AQ3792" s="430"/>
      <c r="AR3792" s="430"/>
      <c r="AS3792" s="430"/>
      <c r="AT3792" s="430"/>
      <c r="AU3792" s="426"/>
      <c r="AV3792" s="174"/>
      <c r="AW3792" s="269"/>
      <c r="AX3792" s="269"/>
      <c r="AY3792" s="270"/>
      <c r="AZ3792" s="435"/>
      <c r="BA3792" s="173"/>
      <c r="BB3792" s="434"/>
      <c r="BC3792" s="434"/>
      <c r="BD3792" s="308"/>
      <c r="BE3792" s="436"/>
      <c r="BF3792" s="274" t="str">
        <f>IFERROR(__xludf.DUMMYFUNCTION("LOWER(Regexreplace(to_text(E3792),""[^A-Za-z0-9]"","""")&amp;""_""&amp;Regexreplace(to_text(F3792),""[^A-Za-z0-9]"",""""))"),"_")</f>
        <v>_</v>
      </c>
      <c r="BG3792" s="275" t="str">
        <f>IFERROR(__xludf.DUMMYFUNCTION("upper(Regexreplace(to_text(E3792),""[^A-Za-z0-9]"","""")&amp;""-""&amp;Regexreplace(to_text(F3792),""[^A-Za-z0-9]"",""""))"),"-")</f>
        <v>-</v>
      </c>
    </row>
    <row r="3793" ht="30.0" customHeight="1">
      <c r="A3793" s="237"/>
      <c r="B3793" s="425"/>
      <c r="C3793" s="257"/>
      <c r="D3793" s="173"/>
      <c r="E3793" s="174"/>
      <c r="F3793" s="173"/>
      <c r="G3793" s="425"/>
      <c r="H3793" s="425"/>
      <c r="I3793" s="258"/>
      <c r="J3793" s="259"/>
      <c r="K3793" s="260"/>
      <c r="L3793" s="442"/>
      <c r="M3793" s="426"/>
      <c r="N3793" s="173"/>
      <c r="O3793" s="173"/>
      <c r="P3793" s="262"/>
      <c r="Q3793" s="173"/>
      <c r="R3793" s="425"/>
      <c r="S3793" s="339"/>
      <c r="T3793" s="427"/>
      <c r="U3793" s="427"/>
      <c r="V3793" s="428"/>
      <c r="W3793" s="429"/>
      <c r="X3793" s="430"/>
      <c r="Y3793" s="33"/>
      <c r="Z3793" s="430"/>
      <c r="AA3793" s="430"/>
      <c r="AB3793" s="258"/>
      <c r="AC3793" s="430"/>
      <c r="AD3793" s="426"/>
      <c r="AE3793" s="428"/>
      <c r="AF3793" s="431"/>
      <c r="AG3793" s="432"/>
      <c r="AH3793" s="430"/>
      <c r="AI3793" s="430"/>
      <c r="AJ3793" s="430"/>
      <c r="AK3793" s="430"/>
      <c r="AL3793" s="430"/>
      <c r="AM3793" s="433"/>
      <c r="AN3793" s="430"/>
      <c r="AO3793" s="430"/>
      <c r="AP3793" s="430"/>
      <c r="AQ3793" s="430"/>
      <c r="AR3793" s="430"/>
      <c r="AS3793" s="430"/>
      <c r="AT3793" s="430"/>
      <c r="AU3793" s="426"/>
      <c r="AV3793" s="174"/>
      <c r="AW3793" s="269"/>
      <c r="AX3793" s="269"/>
      <c r="AY3793" s="270"/>
      <c r="AZ3793" s="435"/>
      <c r="BA3793" s="173"/>
      <c r="BB3793" s="434"/>
      <c r="BC3793" s="434"/>
      <c r="BD3793" s="308"/>
      <c r="BE3793" s="436"/>
      <c r="BF3793" s="274" t="str">
        <f>IFERROR(__xludf.DUMMYFUNCTION("LOWER(Regexreplace(to_text(E3793),""[^A-Za-z0-9]"","""")&amp;""_""&amp;Regexreplace(to_text(F3793),""[^A-Za-z0-9]"",""""))"),"_")</f>
        <v>_</v>
      </c>
      <c r="BG3793" s="275" t="str">
        <f>IFERROR(__xludf.DUMMYFUNCTION("upper(Regexreplace(to_text(E3793),""[^A-Za-z0-9]"","""")&amp;""-""&amp;Regexreplace(to_text(F3793),""[^A-Za-z0-9]"",""""))"),"-")</f>
        <v>-</v>
      </c>
    </row>
    <row r="3794" ht="30.0" customHeight="1">
      <c r="A3794" s="237"/>
      <c r="B3794" s="425"/>
      <c r="C3794" s="257"/>
      <c r="D3794" s="173"/>
      <c r="E3794" s="174"/>
      <c r="F3794" s="173"/>
      <c r="G3794" s="425"/>
      <c r="H3794" s="425"/>
      <c r="I3794" s="258"/>
      <c r="J3794" s="259"/>
      <c r="K3794" s="260"/>
      <c r="L3794" s="442"/>
      <c r="M3794" s="426"/>
      <c r="N3794" s="173"/>
      <c r="O3794" s="173"/>
      <c r="P3794" s="262"/>
      <c r="Q3794" s="173"/>
      <c r="R3794" s="425"/>
      <c r="S3794" s="339"/>
      <c r="T3794" s="427"/>
      <c r="U3794" s="427"/>
      <c r="V3794" s="428"/>
      <c r="W3794" s="429"/>
      <c r="X3794" s="430"/>
      <c r="Y3794" s="33"/>
      <c r="Z3794" s="430"/>
      <c r="AA3794" s="430"/>
      <c r="AB3794" s="258"/>
      <c r="AC3794" s="430"/>
      <c r="AD3794" s="426"/>
      <c r="AE3794" s="428"/>
      <c r="AF3794" s="431"/>
      <c r="AG3794" s="432"/>
      <c r="AH3794" s="430"/>
      <c r="AI3794" s="430"/>
      <c r="AJ3794" s="430"/>
      <c r="AK3794" s="430"/>
      <c r="AL3794" s="430"/>
      <c r="AM3794" s="433"/>
      <c r="AN3794" s="430"/>
      <c r="AO3794" s="430"/>
      <c r="AP3794" s="430"/>
      <c r="AQ3794" s="430"/>
      <c r="AR3794" s="430"/>
      <c r="AS3794" s="430"/>
      <c r="AT3794" s="430"/>
      <c r="AU3794" s="426"/>
      <c r="AV3794" s="174"/>
      <c r="AW3794" s="269"/>
      <c r="AX3794" s="269"/>
      <c r="AY3794" s="270"/>
      <c r="AZ3794" s="435"/>
      <c r="BA3794" s="173"/>
      <c r="BB3794" s="434"/>
      <c r="BC3794" s="434"/>
      <c r="BD3794" s="308"/>
      <c r="BE3794" s="436"/>
      <c r="BF3794" s="274" t="str">
        <f>IFERROR(__xludf.DUMMYFUNCTION("LOWER(Regexreplace(to_text(E3794),""[^A-Za-z0-9]"","""")&amp;""_""&amp;Regexreplace(to_text(F3794),""[^A-Za-z0-9]"",""""))"),"_")</f>
        <v>_</v>
      </c>
      <c r="BG3794" s="275" t="str">
        <f>IFERROR(__xludf.DUMMYFUNCTION("upper(Regexreplace(to_text(E3794),""[^A-Za-z0-9]"","""")&amp;""-""&amp;Regexreplace(to_text(F3794),""[^A-Za-z0-9]"",""""))"),"-")</f>
        <v>-</v>
      </c>
    </row>
    <row r="3795" ht="30.0" customHeight="1">
      <c r="A3795" s="237"/>
      <c r="B3795" s="425"/>
      <c r="C3795" s="257"/>
      <c r="D3795" s="173"/>
      <c r="E3795" s="174"/>
      <c r="F3795" s="173"/>
      <c r="G3795" s="425"/>
      <c r="H3795" s="425"/>
      <c r="I3795" s="258"/>
      <c r="J3795" s="259"/>
      <c r="K3795" s="260"/>
      <c r="L3795" s="442"/>
      <c r="M3795" s="426"/>
      <c r="N3795" s="173"/>
      <c r="O3795" s="173"/>
      <c r="P3795" s="262"/>
      <c r="Q3795" s="173"/>
      <c r="R3795" s="425"/>
      <c r="S3795" s="339"/>
      <c r="T3795" s="427"/>
      <c r="U3795" s="427"/>
      <c r="V3795" s="428"/>
      <c r="W3795" s="429"/>
      <c r="X3795" s="430"/>
      <c r="Y3795" s="33"/>
      <c r="Z3795" s="430"/>
      <c r="AA3795" s="430"/>
      <c r="AB3795" s="258"/>
      <c r="AC3795" s="430"/>
      <c r="AD3795" s="426"/>
      <c r="AE3795" s="428"/>
      <c r="AF3795" s="431"/>
      <c r="AG3795" s="432"/>
      <c r="AH3795" s="430"/>
      <c r="AI3795" s="430"/>
      <c r="AJ3795" s="430"/>
      <c r="AK3795" s="430"/>
      <c r="AL3795" s="430"/>
      <c r="AM3795" s="433"/>
      <c r="AN3795" s="430"/>
      <c r="AO3795" s="430"/>
      <c r="AP3795" s="430"/>
      <c r="AQ3795" s="430"/>
      <c r="AR3795" s="430"/>
      <c r="AS3795" s="430"/>
      <c r="AT3795" s="430"/>
      <c r="AU3795" s="426"/>
      <c r="AV3795" s="174"/>
      <c r="AW3795" s="269"/>
      <c r="AX3795" s="269"/>
      <c r="AY3795" s="270"/>
      <c r="AZ3795" s="435"/>
      <c r="BA3795" s="173"/>
      <c r="BB3795" s="434"/>
      <c r="BC3795" s="434"/>
      <c r="BD3795" s="308"/>
      <c r="BE3795" s="436"/>
      <c r="BF3795" s="274" t="str">
        <f>IFERROR(__xludf.DUMMYFUNCTION("LOWER(Regexreplace(to_text(E3795),""[^A-Za-z0-9]"","""")&amp;""_""&amp;Regexreplace(to_text(F3795),""[^A-Za-z0-9]"",""""))"),"_")</f>
        <v>_</v>
      </c>
      <c r="BG3795" s="275" t="str">
        <f>IFERROR(__xludf.DUMMYFUNCTION("upper(Regexreplace(to_text(E3795),""[^A-Za-z0-9]"","""")&amp;""-""&amp;Regexreplace(to_text(F3795),""[^A-Za-z0-9]"",""""))"),"-")</f>
        <v>-</v>
      </c>
    </row>
    <row r="3796" ht="30.0" customHeight="1">
      <c r="A3796" s="237"/>
      <c r="B3796" s="425"/>
      <c r="C3796" s="257"/>
      <c r="D3796" s="173"/>
      <c r="E3796" s="174"/>
      <c r="F3796" s="173"/>
      <c r="G3796" s="425"/>
      <c r="H3796" s="425"/>
      <c r="I3796" s="258"/>
      <c r="J3796" s="259"/>
      <c r="K3796" s="260"/>
      <c r="L3796" s="442"/>
      <c r="M3796" s="426"/>
      <c r="N3796" s="173"/>
      <c r="O3796" s="173"/>
      <c r="P3796" s="262"/>
      <c r="Q3796" s="173"/>
      <c r="R3796" s="425"/>
      <c r="S3796" s="339"/>
      <c r="T3796" s="427"/>
      <c r="U3796" s="427"/>
      <c r="V3796" s="428"/>
      <c r="W3796" s="429"/>
      <c r="X3796" s="430"/>
      <c r="Y3796" s="33"/>
      <c r="Z3796" s="430"/>
      <c r="AA3796" s="430"/>
      <c r="AB3796" s="258"/>
      <c r="AC3796" s="430"/>
      <c r="AD3796" s="426"/>
      <c r="AE3796" s="428"/>
      <c r="AF3796" s="431"/>
      <c r="AG3796" s="432"/>
      <c r="AH3796" s="430"/>
      <c r="AI3796" s="430"/>
      <c r="AJ3796" s="430"/>
      <c r="AK3796" s="430"/>
      <c r="AL3796" s="430"/>
      <c r="AM3796" s="433"/>
      <c r="AN3796" s="430"/>
      <c r="AO3796" s="430"/>
      <c r="AP3796" s="430"/>
      <c r="AQ3796" s="430"/>
      <c r="AR3796" s="430"/>
      <c r="AS3796" s="430"/>
      <c r="AT3796" s="430"/>
      <c r="AU3796" s="426"/>
      <c r="AV3796" s="174"/>
      <c r="AW3796" s="269"/>
      <c r="AX3796" s="269"/>
      <c r="AY3796" s="270"/>
      <c r="AZ3796" s="435"/>
      <c r="BA3796" s="173"/>
      <c r="BB3796" s="434"/>
      <c r="BC3796" s="434"/>
      <c r="BD3796" s="308"/>
      <c r="BE3796" s="436"/>
      <c r="BF3796" s="274" t="str">
        <f>IFERROR(__xludf.DUMMYFUNCTION("LOWER(Regexreplace(to_text(E3796),""[^A-Za-z0-9]"","""")&amp;""_""&amp;Regexreplace(to_text(F3796),""[^A-Za-z0-9]"",""""))"),"_")</f>
        <v>_</v>
      </c>
      <c r="BG3796" s="275" t="str">
        <f>IFERROR(__xludf.DUMMYFUNCTION("upper(Regexreplace(to_text(E3796),""[^A-Za-z0-9]"","""")&amp;""-""&amp;Regexreplace(to_text(F3796),""[^A-Za-z0-9]"",""""))"),"-")</f>
        <v>-</v>
      </c>
    </row>
    <row r="3797" ht="30.0" customHeight="1">
      <c r="A3797" s="237"/>
      <c r="B3797" s="425"/>
      <c r="C3797" s="257"/>
      <c r="D3797" s="173"/>
      <c r="E3797" s="174"/>
      <c r="F3797" s="173"/>
      <c r="G3797" s="425"/>
      <c r="H3797" s="425"/>
      <c r="I3797" s="258"/>
      <c r="J3797" s="259"/>
      <c r="K3797" s="260"/>
      <c r="L3797" s="442"/>
      <c r="M3797" s="426"/>
      <c r="N3797" s="173"/>
      <c r="O3797" s="173"/>
      <c r="P3797" s="262"/>
      <c r="Q3797" s="173"/>
      <c r="R3797" s="425"/>
      <c r="S3797" s="339"/>
      <c r="T3797" s="427"/>
      <c r="U3797" s="427"/>
      <c r="V3797" s="428"/>
      <c r="W3797" s="429"/>
      <c r="X3797" s="430"/>
      <c r="Y3797" s="33"/>
      <c r="Z3797" s="430"/>
      <c r="AA3797" s="430"/>
      <c r="AB3797" s="258"/>
      <c r="AC3797" s="430"/>
      <c r="AD3797" s="426"/>
      <c r="AE3797" s="428"/>
      <c r="AF3797" s="431"/>
      <c r="AG3797" s="432"/>
      <c r="AH3797" s="430"/>
      <c r="AI3797" s="430"/>
      <c r="AJ3797" s="430"/>
      <c r="AK3797" s="430"/>
      <c r="AL3797" s="430"/>
      <c r="AM3797" s="433"/>
      <c r="AN3797" s="430"/>
      <c r="AO3797" s="430"/>
      <c r="AP3797" s="430"/>
      <c r="AQ3797" s="430"/>
      <c r="AR3797" s="430"/>
      <c r="AS3797" s="430"/>
      <c r="AT3797" s="430"/>
      <c r="AU3797" s="426"/>
      <c r="AV3797" s="174"/>
      <c r="AW3797" s="269"/>
      <c r="AX3797" s="269"/>
      <c r="AY3797" s="270"/>
      <c r="AZ3797" s="435"/>
      <c r="BA3797" s="173"/>
      <c r="BB3797" s="434"/>
      <c r="BC3797" s="434"/>
      <c r="BD3797" s="308"/>
      <c r="BE3797" s="436"/>
      <c r="BF3797" s="274" t="str">
        <f>IFERROR(__xludf.DUMMYFUNCTION("LOWER(Regexreplace(to_text(E3797),""[^A-Za-z0-9]"","""")&amp;""_""&amp;Regexreplace(to_text(F3797),""[^A-Za-z0-9]"",""""))"),"_")</f>
        <v>_</v>
      </c>
      <c r="BG3797" s="275" t="str">
        <f>IFERROR(__xludf.DUMMYFUNCTION("upper(Regexreplace(to_text(E3797),""[^A-Za-z0-9]"","""")&amp;""-""&amp;Regexreplace(to_text(F3797),""[^A-Za-z0-9]"",""""))"),"-")</f>
        <v>-</v>
      </c>
    </row>
    <row r="3798" ht="30.0" customHeight="1">
      <c r="A3798" s="237"/>
      <c r="B3798" s="425"/>
      <c r="C3798" s="257"/>
      <c r="D3798" s="173"/>
      <c r="E3798" s="174"/>
      <c r="F3798" s="173"/>
      <c r="G3798" s="425"/>
      <c r="H3798" s="425"/>
      <c r="I3798" s="258"/>
      <c r="J3798" s="259"/>
      <c r="K3798" s="260"/>
      <c r="L3798" s="442"/>
      <c r="M3798" s="426"/>
      <c r="N3798" s="173"/>
      <c r="O3798" s="173"/>
      <c r="P3798" s="262"/>
      <c r="Q3798" s="173"/>
      <c r="R3798" s="425"/>
      <c r="S3798" s="339"/>
      <c r="T3798" s="427"/>
      <c r="U3798" s="427"/>
      <c r="V3798" s="428"/>
      <c r="W3798" s="429"/>
      <c r="X3798" s="430"/>
      <c r="Y3798" s="33"/>
      <c r="Z3798" s="430"/>
      <c r="AA3798" s="430"/>
      <c r="AB3798" s="258"/>
      <c r="AC3798" s="430"/>
      <c r="AD3798" s="426"/>
      <c r="AE3798" s="428"/>
      <c r="AF3798" s="431"/>
      <c r="AG3798" s="432"/>
      <c r="AH3798" s="430"/>
      <c r="AI3798" s="430"/>
      <c r="AJ3798" s="430"/>
      <c r="AK3798" s="430"/>
      <c r="AL3798" s="430"/>
      <c r="AM3798" s="433"/>
      <c r="AN3798" s="430"/>
      <c r="AO3798" s="430"/>
      <c r="AP3798" s="430"/>
      <c r="AQ3798" s="430"/>
      <c r="AR3798" s="430"/>
      <c r="AS3798" s="430"/>
      <c r="AT3798" s="430"/>
      <c r="AU3798" s="426"/>
      <c r="AV3798" s="174"/>
      <c r="AW3798" s="269"/>
      <c r="AX3798" s="269"/>
      <c r="AY3798" s="270"/>
      <c r="AZ3798" s="435"/>
      <c r="BA3798" s="173"/>
      <c r="BB3798" s="434"/>
      <c r="BC3798" s="434"/>
      <c r="BD3798" s="308"/>
      <c r="BE3798" s="436"/>
      <c r="BF3798" s="274" t="str">
        <f>IFERROR(__xludf.DUMMYFUNCTION("LOWER(Regexreplace(to_text(E3798),""[^A-Za-z0-9]"","""")&amp;""_""&amp;Regexreplace(to_text(F3798),""[^A-Za-z0-9]"",""""))"),"_")</f>
        <v>_</v>
      </c>
      <c r="BG3798" s="275" t="str">
        <f>IFERROR(__xludf.DUMMYFUNCTION("upper(Regexreplace(to_text(E3798),""[^A-Za-z0-9]"","""")&amp;""-""&amp;Regexreplace(to_text(F3798),""[^A-Za-z0-9]"",""""))"),"-")</f>
        <v>-</v>
      </c>
    </row>
    <row r="3799" ht="30.0" customHeight="1">
      <c r="A3799" s="237"/>
      <c r="B3799" s="425"/>
      <c r="C3799" s="257"/>
      <c r="D3799" s="173"/>
      <c r="E3799" s="174"/>
      <c r="F3799" s="173"/>
      <c r="G3799" s="425"/>
      <c r="H3799" s="425"/>
      <c r="I3799" s="258"/>
      <c r="J3799" s="259"/>
      <c r="K3799" s="260"/>
      <c r="L3799" s="442"/>
      <c r="M3799" s="426"/>
      <c r="N3799" s="173"/>
      <c r="O3799" s="173"/>
      <c r="P3799" s="262"/>
      <c r="Q3799" s="173"/>
      <c r="R3799" s="425"/>
      <c r="S3799" s="339"/>
      <c r="T3799" s="427"/>
      <c r="U3799" s="427"/>
      <c r="V3799" s="428"/>
      <c r="W3799" s="429"/>
      <c r="X3799" s="430"/>
      <c r="Y3799" s="33"/>
      <c r="Z3799" s="430"/>
      <c r="AA3799" s="430"/>
      <c r="AB3799" s="258"/>
      <c r="AC3799" s="430"/>
      <c r="AD3799" s="426"/>
      <c r="AE3799" s="428"/>
      <c r="AF3799" s="431"/>
      <c r="AG3799" s="432"/>
      <c r="AH3799" s="430"/>
      <c r="AI3799" s="430"/>
      <c r="AJ3799" s="430"/>
      <c r="AK3799" s="430"/>
      <c r="AL3799" s="430"/>
      <c r="AM3799" s="433"/>
      <c r="AN3799" s="430"/>
      <c r="AO3799" s="430"/>
      <c r="AP3799" s="430"/>
      <c r="AQ3799" s="430"/>
      <c r="AR3799" s="430"/>
      <c r="AS3799" s="430"/>
      <c r="AT3799" s="430"/>
      <c r="AU3799" s="426"/>
      <c r="AV3799" s="174"/>
      <c r="AW3799" s="269"/>
      <c r="AX3799" s="269"/>
      <c r="AY3799" s="270"/>
      <c r="AZ3799" s="435"/>
      <c r="BA3799" s="173"/>
      <c r="BB3799" s="434"/>
      <c r="BC3799" s="434"/>
      <c r="BD3799" s="308"/>
      <c r="BE3799" s="436"/>
      <c r="BF3799" s="274" t="str">
        <f>IFERROR(__xludf.DUMMYFUNCTION("LOWER(Regexreplace(to_text(E3799),""[^A-Za-z0-9]"","""")&amp;""_""&amp;Regexreplace(to_text(F3799),""[^A-Za-z0-9]"",""""))"),"_")</f>
        <v>_</v>
      </c>
      <c r="BG3799" s="275" t="str">
        <f>IFERROR(__xludf.DUMMYFUNCTION("upper(Regexreplace(to_text(E3799),""[^A-Za-z0-9]"","""")&amp;""-""&amp;Regexreplace(to_text(F3799),""[^A-Za-z0-9]"",""""))"),"-")</f>
        <v>-</v>
      </c>
    </row>
    <row r="3800" ht="30.0" customHeight="1">
      <c r="A3800" s="237"/>
      <c r="B3800" s="425"/>
      <c r="C3800" s="257"/>
      <c r="D3800" s="173"/>
      <c r="E3800" s="174"/>
      <c r="F3800" s="173"/>
      <c r="G3800" s="425"/>
      <c r="H3800" s="425"/>
      <c r="I3800" s="258"/>
      <c r="J3800" s="259"/>
      <c r="K3800" s="260"/>
      <c r="L3800" s="442"/>
      <c r="M3800" s="426"/>
      <c r="N3800" s="173"/>
      <c r="O3800" s="173"/>
      <c r="P3800" s="262"/>
      <c r="Q3800" s="173"/>
      <c r="R3800" s="425"/>
      <c r="S3800" s="339"/>
      <c r="T3800" s="427"/>
      <c r="U3800" s="427"/>
      <c r="V3800" s="428"/>
      <c r="W3800" s="429"/>
      <c r="X3800" s="430"/>
      <c r="Y3800" s="33"/>
      <c r="Z3800" s="430"/>
      <c r="AA3800" s="430"/>
      <c r="AB3800" s="258"/>
      <c r="AC3800" s="430"/>
      <c r="AD3800" s="426"/>
      <c r="AE3800" s="428"/>
      <c r="AF3800" s="431"/>
      <c r="AG3800" s="432"/>
      <c r="AH3800" s="430"/>
      <c r="AI3800" s="430"/>
      <c r="AJ3800" s="430"/>
      <c r="AK3800" s="430"/>
      <c r="AL3800" s="430"/>
      <c r="AM3800" s="433"/>
      <c r="AN3800" s="430"/>
      <c r="AO3800" s="430"/>
      <c r="AP3800" s="430"/>
      <c r="AQ3800" s="430"/>
      <c r="AR3800" s="430"/>
      <c r="AS3800" s="430"/>
      <c r="AT3800" s="430"/>
      <c r="AU3800" s="426"/>
      <c r="AV3800" s="174"/>
      <c r="AW3800" s="269"/>
      <c r="AX3800" s="269"/>
      <c r="AY3800" s="270"/>
      <c r="AZ3800" s="435"/>
      <c r="BA3800" s="173"/>
      <c r="BB3800" s="434"/>
      <c r="BC3800" s="434"/>
      <c r="BD3800" s="308"/>
      <c r="BE3800" s="436"/>
      <c r="BF3800" s="274" t="str">
        <f>IFERROR(__xludf.DUMMYFUNCTION("LOWER(Regexreplace(to_text(E3800),""[^A-Za-z0-9]"","""")&amp;""_""&amp;Regexreplace(to_text(F3800),""[^A-Za-z0-9]"",""""))"),"_")</f>
        <v>_</v>
      </c>
      <c r="BG3800" s="275" t="str">
        <f>IFERROR(__xludf.DUMMYFUNCTION("upper(Regexreplace(to_text(E3800),""[^A-Za-z0-9]"","""")&amp;""-""&amp;Regexreplace(to_text(F3800),""[^A-Za-z0-9]"",""""))"),"-")</f>
        <v>-</v>
      </c>
    </row>
    <row r="3801" ht="30.0" customHeight="1">
      <c r="A3801" s="237"/>
      <c r="B3801" s="425"/>
      <c r="C3801" s="257"/>
      <c r="D3801" s="173"/>
      <c r="E3801" s="174"/>
      <c r="F3801" s="173"/>
      <c r="G3801" s="425"/>
      <c r="H3801" s="425"/>
      <c r="I3801" s="258"/>
      <c r="J3801" s="259"/>
      <c r="K3801" s="260"/>
      <c r="L3801" s="442"/>
      <c r="M3801" s="426"/>
      <c r="N3801" s="173"/>
      <c r="O3801" s="173"/>
      <c r="P3801" s="262"/>
      <c r="Q3801" s="173"/>
      <c r="R3801" s="425"/>
      <c r="S3801" s="339"/>
      <c r="T3801" s="427"/>
      <c r="U3801" s="427"/>
      <c r="V3801" s="428"/>
      <c r="W3801" s="429"/>
      <c r="X3801" s="430"/>
      <c r="Y3801" s="33"/>
      <c r="Z3801" s="430"/>
      <c r="AA3801" s="430"/>
      <c r="AB3801" s="258"/>
      <c r="AC3801" s="430"/>
      <c r="AD3801" s="426"/>
      <c r="AE3801" s="428"/>
      <c r="AF3801" s="431"/>
      <c r="AG3801" s="432"/>
      <c r="AH3801" s="430"/>
      <c r="AI3801" s="430"/>
      <c r="AJ3801" s="430"/>
      <c r="AK3801" s="430"/>
      <c r="AL3801" s="430"/>
      <c r="AM3801" s="433"/>
      <c r="AN3801" s="430"/>
      <c r="AO3801" s="430"/>
      <c r="AP3801" s="430"/>
      <c r="AQ3801" s="430"/>
      <c r="AR3801" s="430"/>
      <c r="AS3801" s="430"/>
      <c r="AT3801" s="430"/>
      <c r="AU3801" s="426"/>
      <c r="AV3801" s="174"/>
      <c r="AW3801" s="269"/>
      <c r="AX3801" s="269"/>
      <c r="AY3801" s="270"/>
      <c r="AZ3801" s="435"/>
      <c r="BA3801" s="173"/>
      <c r="BB3801" s="434"/>
      <c r="BC3801" s="434"/>
      <c r="BD3801" s="308"/>
      <c r="BE3801" s="436"/>
      <c r="BF3801" s="274" t="str">
        <f>IFERROR(__xludf.DUMMYFUNCTION("LOWER(Regexreplace(to_text(E3801),""[^A-Za-z0-9]"","""")&amp;""_""&amp;Regexreplace(to_text(F3801),""[^A-Za-z0-9]"",""""))"),"_")</f>
        <v>_</v>
      </c>
      <c r="BG3801" s="275" t="str">
        <f>IFERROR(__xludf.DUMMYFUNCTION("upper(Regexreplace(to_text(E3801),""[^A-Za-z0-9]"","""")&amp;""-""&amp;Regexreplace(to_text(F3801),""[^A-Za-z0-9]"",""""))"),"-")</f>
        <v>-</v>
      </c>
    </row>
    <row r="3802" ht="30.0" customHeight="1">
      <c r="A3802" s="237"/>
      <c r="B3802" s="425"/>
      <c r="C3802" s="257"/>
      <c r="D3802" s="173"/>
      <c r="E3802" s="174"/>
      <c r="F3802" s="173"/>
      <c r="G3802" s="425"/>
      <c r="H3802" s="425"/>
      <c r="I3802" s="258"/>
      <c r="J3802" s="259"/>
      <c r="K3802" s="260"/>
      <c r="L3802" s="442"/>
      <c r="M3802" s="426"/>
      <c r="N3802" s="173"/>
      <c r="O3802" s="173"/>
      <c r="P3802" s="262"/>
      <c r="Q3802" s="173"/>
      <c r="R3802" s="425"/>
      <c r="S3802" s="339"/>
      <c r="T3802" s="427"/>
      <c r="U3802" s="427"/>
      <c r="V3802" s="428"/>
      <c r="W3802" s="429"/>
      <c r="X3802" s="430"/>
      <c r="Y3802" s="33"/>
      <c r="Z3802" s="430"/>
      <c r="AA3802" s="430"/>
      <c r="AB3802" s="258"/>
      <c r="AC3802" s="430"/>
      <c r="AD3802" s="426"/>
      <c r="AE3802" s="428"/>
      <c r="AF3802" s="431"/>
      <c r="AG3802" s="432"/>
      <c r="AH3802" s="430"/>
      <c r="AI3802" s="430"/>
      <c r="AJ3802" s="430"/>
      <c r="AK3802" s="430"/>
      <c r="AL3802" s="430"/>
      <c r="AM3802" s="433"/>
      <c r="AN3802" s="430"/>
      <c r="AO3802" s="430"/>
      <c r="AP3802" s="430"/>
      <c r="AQ3802" s="430"/>
      <c r="AR3802" s="430"/>
      <c r="AS3802" s="430"/>
      <c r="AT3802" s="430"/>
      <c r="AU3802" s="426"/>
      <c r="AV3802" s="174"/>
      <c r="AW3802" s="269"/>
      <c r="AX3802" s="269"/>
      <c r="AY3802" s="270"/>
      <c r="AZ3802" s="435"/>
      <c r="BA3802" s="173"/>
      <c r="BB3802" s="434"/>
      <c r="BC3802" s="434"/>
      <c r="BD3802" s="308"/>
      <c r="BE3802" s="436"/>
      <c r="BF3802" s="274" t="str">
        <f>IFERROR(__xludf.DUMMYFUNCTION("LOWER(Regexreplace(to_text(E3802),""[^A-Za-z0-9]"","""")&amp;""_""&amp;Regexreplace(to_text(F3802),""[^A-Za-z0-9]"",""""))"),"_")</f>
        <v>_</v>
      </c>
      <c r="BG3802" s="275" t="str">
        <f>IFERROR(__xludf.DUMMYFUNCTION("upper(Regexreplace(to_text(E3802),""[^A-Za-z0-9]"","""")&amp;""-""&amp;Regexreplace(to_text(F3802),""[^A-Za-z0-9]"",""""))"),"-")</f>
        <v>-</v>
      </c>
    </row>
    <row r="3803" ht="30.0" customHeight="1">
      <c r="A3803" s="237"/>
      <c r="B3803" s="425"/>
      <c r="C3803" s="257"/>
      <c r="D3803" s="173"/>
      <c r="E3803" s="174"/>
      <c r="F3803" s="173"/>
      <c r="G3803" s="425"/>
      <c r="H3803" s="425"/>
      <c r="I3803" s="258"/>
      <c r="J3803" s="259"/>
      <c r="K3803" s="260"/>
      <c r="L3803" s="442"/>
      <c r="M3803" s="426"/>
      <c r="N3803" s="173"/>
      <c r="O3803" s="173"/>
      <c r="P3803" s="262"/>
      <c r="Q3803" s="173"/>
      <c r="R3803" s="425"/>
      <c r="S3803" s="339"/>
      <c r="T3803" s="427"/>
      <c r="U3803" s="427"/>
      <c r="V3803" s="428"/>
      <c r="W3803" s="429"/>
      <c r="X3803" s="430"/>
      <c r="Y3803" s="33"/>
      <c r="Z3803" s="430"/>
      <c r="AA3803" s="430"/>
      <c r="AB3803" s="258"/>
      <c r="AC3803" s="430"/>
      <c r="AD3803" s="426"/>
      <c r="AE3803" s="428"/>
      <c r="AF3803" s="431"/>
      <c r="AG3803" s="432"/>
      <c r="AH3803" s="430"/>
      <c r="AI3803" s="430"/>
      <c r="AJ3803" s="430"/>
      <c r="AK3803" s="430"/>
      <c r="AL3803" s="430"/>
      <c r="AM3803" s="433"/>
      <c r="AN3803" s="430"/>
      <c r="AO3803" s="430"/>
      <c r="AP3803" s="430"/>
      <c r="AQ3803" s="430"/>
      <c r="AR3803" s="430"/>
      <c r="AS3803" s="430"/>
      <c r="AT3803" s="430"/>
      <c r="AU3803" s="426"/>
      <c r="AV3803" s="174"/>
      <c r="AW3803" s="269"/>
      <c r="AX3803" s="269"/>
      <c r="AY3803" s="270"/>
      <c r="AZ3803" s="435"/>
      <c r="BA3803" s="173"/>
      <c r="BB3803" s="434"/>
      <c r="BC3803" s="434"/>
      <c r="BD3803" s="308"/>
      <c r="BE3803" s="436"/>
      <c r="BF3803" s="274" t="str">
        <f>IFERROR(__xludf.DUMMYFUNCTION("LOWER(Regexreplace(to_text(E3803),""[^A-Za-z0-9]"","""")&amp;""_""&amp;Regexreplace(to_text(F3803),""[^A-Za-z0-9]"",""""))"),"_")</f>
        <v>_</v>
      </c>
      <c r="BG3803" s="275" t="str">
        <f>IFERROR(__xludf.DUMMYFUNCTION("upper(Regexreplace(to_text(E3803),""[^A-Za-z0-9]"","""")&amp;""-""&amp;Regexreplace(to_text(F3803),""[^A-Za-z0-9]"",""""))"),"-")</f>
        <v>-</v>
      </c>
    </row>
    <row r="3804" ht="30.0" customHeight="1">
      <c r="A3804" s="237"/>
      <c r="B3804" s="425"/>
      <c r="C3804" s="257"/>
      <c r="D3804" s="173"/>
      <c r="E3804" s="174"/>
      <c r="F3804" s="173"/>
      <c r="G3804" s="425"/>
      <c r="H3804" s="425"/>
      <c r="I3804" s="258"/>
      <c r="J3804" s="259"/>
      <c r="K3804" s="260"/>
      <c r="L3804" s="442"/>
      <c r="M3804" s="426"/>
      <c r="N3804" s="173"/>
      <c r="O3804" s="173"/>
      <c r="P3804" s="262"/>
      <c r="Q3804" s="173"/>
      <c r="R3804" s="425"/>
      <c r="S3804" s="339"/>
      <c r="T3804" s="427"/>
      <c r="U3804" s="427"/>
      <c r="V3804" s="428"/>
      <c r="W3804" s="429"/>
      <c r="X3804" s="430"/>
      <c r="Y3804" s="33"/>
      <c r="Z3804" s="430"/>
      <c r="AA3804" s="430"/>
      <c r="AB3804" s="258"/>
      <c r="AC3804" s="430"/>
      <c r="AD3804" s="426"/>
      <c r="AE3804" s="428"/>
      <c r="AF3804" s="431"/>
      <c r="AG3804" s="432"/>
      <c r="AH3804" s="430"/>
      <c r="AI3804" s="430"/>
      <c r="AJ3804" s="430"/>
      <c r="AK3804" s="430"/>
      <c r="AL3804" s="430"/>
      <c r="AM3804" s="433"/>
      <c r="AN3804" s="430"/>
      <c r="AO3804" s="430"/>
      <c r="AP3804" s="430"/>
      <c r="AQ3804" s="430"/>
      <c r="AR3804" s="430"/>
      <c r="AS3804" s="430"/>
      <c r="AT3804" s="430"/>
      <c r="AU3804" s="426"/>
      <c r="AV3804" s="174"/>
      <c r="AW3804" s="269"/>
      <c r="AX3804" s="269"/>
      <c r="AY3804" s="270"/>
      <c r="AZ3804" s="435"/>
      <c r="BA3804" s="173"/>
      <c r="BB3804" s="434"/>
      <c r="BC3804" s="434"/>
      <c r="BD3804" s="308"/>
      <c r="BE3804" s="436"/>
      <c r="BF3804" s="274" t="str">
        <f>IFERROR(__xludf.DUMMYFUNCTION("LOWER(Regexreplace(to_text(E3804),""[^A-Za-z0-9]"","""")&amp;""_""&amp;Regexreplace(to_text(F3804),""[^A-Za-z0-9]"",""""))"),"_")</f>
        <v>_</v>
      </c>
      <c r="BG3804" s="275" t="str">
        <f>IFERROR(__xludf.DUMMYFUNCTION("upper(Regexreplace(to_text(E3804),""[^A-Za-z0-9]"","""")&amp;""-""&amp;Regexreplace(to_text(F3804),""[^A-Za-z0-9]"",""""))"),"-")</f>
        <v>-</v>
      </c>
    </row>
    <row r="3805" ht="30.0" customHeight="1">
      <c r="A3805" s="237"/>
      <c r="B3805" s="425"/>
      <c r="C3805" s="257"/>
      <c r="D3805" s="173"/>
      <c r="E3805" s="174"/>
      <c r="F3805" s="173"/>
      <c r="G3805" s="425"/>
      <c r="H3805" s="425"/>
      <c r="I3805" s="258"/>
      <c r="J3805" s="259"/>
      <c r="K3805" s="260"/>
      <c r="L3805" s="442"/>
      <c r="M3805" s="426"/>
      <c r="N3805" s="173"/>
      <c r="O3805" s="173"/>
      <c r="P3805" s="262"/>
      <c r="Q3805" s="173"/>
      <c r="R3805" s="425"/>
      <c r="S3805" s="339"/>
      <c r="T3805" s="427"/>
      <c r="U3805" s="427"/>
      <c r="V3805" s="428"/>
      <c r="W3805" s="429"/>
      <c r="X3805" s="430"/>
      <c r="Y3805" s="33"/>
      <c r="Z3805" s="430"/>
      <c r="AA3805" s="430"/>
      <c r="AB3805" s="258"/>
      <c r="AC3805" s="430"/>
      <c r="AD3805" s="426"/>
      <c r="AE3805" s="428"/>
      <c r="AF3805" s="431"/>
      <c r="AG3805" s="432"/>
      <c r="AH3805" s="430"/>
      <c r="AI3805" s="430"/>
      <c r="AJ3805" s="430"/>
      <c r="AK3805" s="430"/>
      <c r="AL3805" s="430"/>
      <c r="AM3805" s="433"/>
      <c r="AN3805" s="430"/>
      <c r="AO3805" s="430"/>
      <c r="AP3805" s="430"/>
      <c r="AQ3805" s="430"/>
      <c r="AR3805" s="430"/>
      <c r="AS3805" s="430"/>
      <c r="AT3805" s="430"/>
      <c r="AU3805" s="426"/>
      <c r="AV3805" s="174"/>
      <c r="AW3805" s="269"/>
      <c r="AX3805" s="269"/>
      <c r="AY3805" s="270"/>
      <c r="AZ3805" s="435"/>
      <c r="BA3805" s="173"/>
      <c r="BB3805" s="434"/>
      <c r="BC3805" s="434"/>
      <c r="BD3805" s="308"/>
      <c r="BE3805" s="436"/>
      <c r="BF3805" s="274" t="str">
        <f>IFERROR(__xludf.DUMMYFUNCTION("LOWER(Regexreplace(to_text(E3805),""[^A-Za-z0-9]"","""")&amp;""_""&amp;Regexreplace(to_text(F3805),""[^A-Za-z0-9]"",""""))"),"_")</f>
        <v>_</v>
      </c>
      <c r="BG3805" s="275" t="str">
        <f>IFERROR(__xludf.DUMMYFUNCTION("upper(Regexreplace(to_text(E3805),""[^A-Za-z0-9]"","""")&amp;""-""&amp;Regexreplace(to_text(F3805),""[^A-Za-z0-9]"",""""))"),"-")</f>
        <v>-</v>
      </c>
    </row>
    <row r="3806" ht="30.0" customHeight="1">
      <c r="A3806" s="237"/>
      <c r="B3806" s="425"/>
      <c r="C3806" s="257"/>
      <c r="D3806" s="173"/>
      <c r="E3806" s="174"/>
      <c r="F3806" s="173"/>
      <c r="G3806" s="425"/>
      <c r="H3806" s="425"/>
      <c r="I3806" s="258"/>
      <c r="J3806" s="259"/>
      <c r="K3806" s="260"/>
      <c r="L3806" s="442"/>
      <c r="M3806" s="426"/>
      <c r="N3806" s="173"/>
      <c r="O3806" s="173"/>
      <c r="P3806" s="262"/>
      <c r="Q3806" s="173"/>
      <c r="R3806" s="425"/>
      <c r="S3806" s="339"/>
      <c r="T3806" s="427"/>
      <c r="U3806" s="427"/>
      <c r="V3806" s="428"/>
      <c r="W3806" s="429"/>
      <c r="X3806" s="430"/>
      <c r="Y3806" s="33"/>
      <c r="Z3806" s="430"/>
      <c r="AA3806" s="430"/>
      <c r="AB3806" s="258"/>
      <c r="AC3806" s="430"/>
      <c r="AD3806" s="426"/>
      <c r="AE3806" s="428"/>
      <c r="AF3806" s="431"/>
      <c r="AG3806" s="432"/>
      <c r="AH3806" s="430"/>
      <c r="AI3806" s="430"/>
      <c r="AJ3806" s="430"/>
      <c r="AK3806" s="430"/>
      <c r="AL3806" s="430"/>
      <c r="AM3806" s="433"/>
      <c r="AN3806" s="430"/>
      <c r="AO3806" s="430"/>
      <c r="AP3806" s="430"/>
      <c r="AQ3806" s="430"/>
      <c r="AR3806" s="430"/>
      <c r="AS3806" s="430"/>
      <c r="AT3806" s="430"/>
      <c r="AU3806" s="426"/>
      <c r="AV3806" s="174"/>
      <c r="AW3806" s="269"/>
      <c r="AX3806" s="269"/>
      <c r="AY3806" s="270"/>
      <c r="AZ3806" s="435"/>
      <c r="BA3806" s="173"/>
      <c r="BB3806" s="434"/>
      <c r="BC3806" s="434"/>
      <c r="BD3806" s="308"/>
      <c r="BE3806" s="436"/>
      <c r="BF3806" s="274" t="str">
        <f>IFERROR(__xludf.DUMMYFUNCTION("LOWER(Regexreplace(to_text(E3806),""[^A-Za-z0-9]"","""")&amp;""_""&amp;Regexreplace(to_text(F3806),""[^A-Za-z0-9]"",""""))"),"_")</f>
        <v>_</v>
      </c>
      <c r="BG3806" s="275" t="str">
        <f>IFERROR(__xludf.DUMMYFUNCTION("upper(Regexreplace(to_text(E3806),""[^A-Za-z0-9]"","""")&amp;""-""&amp;Regexreplace(to_text(F3806),""[^A-Za-z0-9]"",""""))"),"-")</f>
        <v>-</v>
      </c>
    </row>
    <row r="3807" ht="30.0" customHeight="1">
      <c r="A3807" s="237"/>
      <c r="B3807" s="425"/>
      <c r="C3807" s="257"/>
      <c r="D3807" s="173"/>
      <c r="E3807" s="174"/>
      <c r="F3807" s="173"/>
      <c r="G3807" s="425"/>
      <c r="H3807" s="425"/>
      <c r="I3807" s="258"/>
      <c r="J3807" s="259"/>
      <c r="K3807" s="260"/>
      <c r="L3807" s="442"/>
      <c r="M3807" s="426"/>
      <c r="N3807" s="173"/>
      <c r="O3807" s="173"/>
      <c r="P3807" s="262"/>
      <c r="Q3807" s="173"/>
      <c r="R3807" s="425"/>
      <c r="S3807" s="339"/>
      <c r="T3807" s="427"/>
      <c r="U3807" s="427"/>
      <c r="V3807" s="428"/>
      <c r="W3807" s="429"/>
      <c r="X3807" s="430"/>
      <c r="Y3807" s="33"/>
      <c r="Z3807" s="430"/>
      <c r="AA3807" s="430"/>
      <c r="AB3807" s="258"/>
      <c r="AC3807" s="430"/>
      <c r="AD3807" s="426"/>
      <c r="AE3807" s="428"/>
      <c r="AF3807" s="431"/>
      <c r="AG3807" s="432"/>
      <c r="AH3807" s="430"/>
      <c r="AI3807" s="430"/>
      <c r="AJ3807" s="430"/>
      <c r="AK3807" s="430"/>
      <c r="AL3807" s="430"/>
      <c r="AM3807" s="433"/>
      <c r="AN3807" s="430"/>
      <c r="AO3807" s="430"/>
      <c r="AP3807" s="430"/>
      <c r="AQ3807" s="430"/>
      <c r="AR3807" s="430"/>
      <c r="AS3807" s="430"/>
      <c r="AT3807" s="430"/>
      <c r="AU3807" s="426"/>
      <c r="AV3807" s="174"/>
      <c r="AW3807" s="269"/>
      <c r="AX3807" s="269"/>
      <c r="AY3807" s="270"/>
      <c r="AZ3807" s="435"/>
      <c r="BA3807" s="173"/>
      <c r="BB3807" s="434"/>
      <c r="BC3807" s="434"/>
      <c r="BD3807" s="308"/>
      <c r="BE3807" s="436"/>
      <c r="BF3807" s="274" t="str">
        <f>IFERROR(__xludf.DUMMYFUNCTION("LOWER(Regexreplace(to_text(E3807),""[^A-Za-z0-9]"","""")&amp;""_""&amp;Regexreplace(to_text(F3807),""[^A-Za-z0-9]"",""""))"),"_")</f>
        <v>_</v>
      </c>
      <c r="BG3807" s="275" t="str">
        <f>IFERROR(__xludf.DUMMYFUNCTION("upper(Regexreplace(to_text(E3807),""[^A-Za-z0-9]"","""")&amp;""-""&amp;Regexreplace(to_text(F3807),""[^A-Za-z0-9]"",""""))"),"-")</f>
        <v>-</v>
      </c>
    </row>
    <row r="3808" ht="30.0" customHeight="1">
      <c r="A3808" s="237"/>
      <c r="B3808" s="425"/>
      <c r="C3808" s="257"/>
      <c r="D3808" s="173"/>
      <c r="E3808" s="174"/>
      <c r="F3808" s="173"/>
      <c r="G3808" s="425"/>
      <c r="H3808" s="425"/>
      <c r="I3808" s="258"/>
      <c r="J3808" s="259"/>
      <c r="K3808" s="260"/>
      <c r="L3808" s="442"/>
      <c r="M3808" s="426"/>
      <c r="N3808" s="173"/>
      <c r="O3808" s="173"/>
      <c r="P3808" s="262"/>
      <c r="Q3808" s="173"/>
      <c r="R3808" s="425"/>
      <c r="S3808" s="339"/>
      <c r="T3808" s="427"/>
      <c r="U3808" s="427"/>
      <c r="V3808" s="428"/>
      <c r="W3808" s="429"/>
      <c r="X3808" s="430"/>
      <c r="Y3808" s="33"/>
      <c r="Z3808" s="430"/>
      <c r="AA3808" s="430"/>
      <c r="AB3808" s="258"/>
      <c r="AC3808" s="430"/>
      <c r="AD3808" s="426"/>
      <c r="AE3808" s="428"/>
      <c r="AF3808" s="431"/>
      <c r="AG3808" s="432"/>
      <c r="AH3808" s="430"/>
      <c r="AI3808" s="430"/>
      <c r="AJ3808" s="430"/>
      <c r="AK3808" s="430"/>
      <c r="AL3808" s="430"/>
      <c r="AM3808" s="433"/>
      <c r="AN3808" s="430"/>
      <c r="AO3808" s="430"/>
      <c r="AP3808" s="430"/>
      <c r="AQ3808" s="430"/>
      <c r="AR3808" s="430"/>
      <c r="AS3808" s="430"/>
      <c r="AT3808" s="430"/>
      <c r="AU3808" s="426"/>
      <c r="AV3808" s="174"/>
      <c r="AW3808" s="269"/>
      <c r="AX3808" s="269"/>
      <c r="AY3808" s="270"/>
      <c r="AZ3808" s="435"/>
      <c r="BA3808" s="173"/>
      <c r="BB3808" s="434"/>
      <c r="BC3808" s="434"/>
      <c r="BD3808" s="308"/>
      <c r="BE3808" s="436"/>
      <c r="BF3808" s="274" t="str">
        <f>IFERROR(__xludf.DUMMYFUNCTION("LOWER(Regexreplace(to_text(E3808),""[^A-Za-z0-9]"","""")&amp;""_""&amp;Regexreplace(to_text(F3808),""[^A-Za-z0-9]"",""""))"),"_")</f>
        <v>_</v>
      </c>
      <c r="BG3808" s="275" t="str">
        <f>IFERROR(__xludf.DUMMYFUNCTION("upper(Regexreplace(to_text(E3808),""[^A-Za-z0-9]"","""")&amp;""-""&amp;Regexreplace(to_text(F3808),""[^A-Za-z0-9]"",""""))"),"-")</f>
        <v>-</v>
      </c>
    </row>
    <row r="3809" ht="30.0" customHeight="1">
      <c r="A3809" s="237"/>
      <c r="B3809" s="425"/>
      <c r="C3809" s="257"/>
      <c r="D3809" s="173"/>
      <c r="E3809" s="174"/>
      <c r="F3809" s="173"/>
      <c r="G3809" s="425"/>
      <c r="H3809" s="425"/>
      <c r="I3809" s="258"/>
      <c r="J3809" s="259"/>
      <c r="K3809" s="260"/>
      <c r="L3809" s="442"/>
      <c r="M3809" s="426"/>
      <c r="N3809" s="173"/>
      <c r="O3809" s="173"/>
      <c r="P3809" s="262"/>
      <c r="Q3809" s="173"/>
      <c r="R3809" s="425"/>
      <c r="S3809" s="339"/>
      <c r="T3809" s="427"/>
      <c r="U3809" s="427"/>
      <c r="V3809" s="428"/>
      <c r="W3809" s="429"/>
      <c r="X3809" s="430"/>
      <c r="Y3809" s="33"/>
      <c r="Z3809" s="430"/>
      <c r="AA3809" s="430"/>
      <c r="AB3809" s="258"/>
      <c r="AC3809" s="430"/>
      <c r="AD3809" s="426"/>
      <c r="AE3809" s="428"/>
      <c r="AF3809" s="431"/>
      <c r="AG3809" s="432"/>
      <c r="AH3809" s="430"/>
      <c r="AI3809" s="430"/>
      <c r="AJ3809" s="430"/>
      <c r="AK3809" s="430"/>
      <c r="AL3809" s="430"/>
      <c r="AM3809" s="433"/>
      <c r="AN3809" s="430"/>
      <c r="AO3809" s="430"/>
      <c r="AP3809" s="430"/>
      <c r="AQ3809" s="430"/>
      <c r="AR3809" s="430"/>
      <c r="AS3809" s="430"/>
      <c r="AT3809" s="430"/>
      <c r="AU3809" s="426"/>
      <c r="AV3809" s="174"/>
      <c r="AW3809" s="269"/>
      <c r="AX3809" s="269"/>
      <c r="AY3809" s="270"/>
      <c r="AZ3809" s="435"/>
      <c r="BA3809" s="173"/>
      <c r="BB3809" s="434"/>
      <c r="BC3809" s="434"/>
      <c r="BD3809" s="308"/>
      <c r="BE3809" s="436"/>
      <c r="BF3809" s="274" t="str">
        <f>IFERROR(__xludf.DUMMYFUNCTION("LOWER(Regexreplace(to_text(E3809),""[^A-Za-z0-9]"","""")&amp;""_""&amp;Regexreplace(to_text(F3809),""[^A-Za-z0-9]"",""""))"),"_")</f>
        <v>_</v>
      </c>
      <c r="BG3809" s="275" t="str">
        <f>IFERROR(__xludf.DUMMYFUNCTION("upper(Regexreplace(to_text(E3809),""[^A-Za-z0-9]"","""")&amp;""-""&amp;Regexreplace(to_text(F3809),""[^A-Za-z0-9]"",""""))"),"-")</f>
        <v>-</v>
      </c>
    </row>
    <row r="3810" ht="30.0" customHeight="1">
      <c r="A3810" s="237"/>
      <c r="B3810" s="425"/>
      <c r="C3810" s="257"/>
      <c r="D3810" s="173"/>
      <c r="E3810" s="174"/>
      <c r="F3810" s="173"/>
      <c r="G3810" s="425"/>
      <c r="H3810" s="425"/>
      <c r="I3810" s="258"/>
      <c r="J3810" s="259"/>
      <c r="K3810" s="260"/>
      <c r="L3810" s="442"/>
      <c r="M3810" s="426"/>
      <c r="N3810" s="173"/>
      <c r="O3810" s="173"/>
      <c r="P3810" s="262"/>
      <c r="Q3810" s="173"/>
      <c r="R3810" s="425"/>
      <c r="S3810" s="339"/>
      <c r="T3810" s="427"/>
      <c r="U3810" s="427"/>
      <c r="V3810" s="428"/>
      <c r="W3810" s="429"/>
      <c r="X3810" s="430"/>
      <c r="Y3810" s="33"/>
      <c r="Z3810" s="430"/>
      <c r="AA3810" s="430"/>
      <c r="AB3810" s="258"/>
      <c r="AC3810" s="430"/>
      <c r="AD3810" s="426"/>
      <c r="AE3810" s="428"/>
      <c r="AF3810" s="431"/>
      <c r="AG3810" s="432"/>
      <c r="AH3810" s="430"/>
      <c r="AI3810" s="430"/>
      <c r="AJ3810" s="430"/>
      <c r="AK3810" s="430"/>
      <c r="AL3810" s="430"/>
      <c r="AM3810" s="433"/>
      <c r="AN3810" s="430"/>
      <c r="AO3810" s="430"/>
      <c r="AP3810" s="430"/>
      <c r="AQ3810" s="430"/>
      <c r="AR3810" s="430"/>
      <c r="AS3810" s="430"/>
      <c r="AT3810" s="430"/>
      <c r="AU3810" s="426"/>
      <c r="AV3810" s="174"/>
      <c r="AW3810" s="269"/>
      <c r="AX3810" s="269"/>
      <c r="AY3810" s="270"/>
      <c r="AZ3810" s="435"/>
      <c r="BA3810" s="173"/>
      <c r="BB3810" s="434"/>
      <c r="BC3810" s="434"/>
      <c r="BD3810" s="308"/>
      <c r="BE3810" s="436"/>
      <c r="BF3810" s="274" t="str">
        <f>IFERROR(__xludf.DUMMYFUNCTION("LOWER(Regexreplace(to_text(E3810),""[^A-Za-z0-9]"","""")&amp;""_""&amp;Regexreplace(to_text(F3810),""[^A-Za-z0-9]"",""""))"),"_")</f>
        <v>_</v>
      </c>
      <c r="BG3810" s="275" t="str">
        <f>IFERROR(__xludf.DUMMYFUNCTION("upper(Regexreplace(to_text(E3810),""[^A-Za-z0-9]"","""")&amp;""-""&amp;Regexreplace(to_text(F3810),""[^A-Za-z0-9]"",""""))"),"-")</f>
        <v>-</v>
      </c>
    </row>
    <row r="3811" ht="30.0" customHeight="1">
      <c r="A3811" s="237"/>
      <c r="B3811" s="425"/>
      <c r="C3811" s="257"/>
      <c r="D3811" s="173"/>
      <c r="E3811" s="174"/>
      <c r="F3811" s="173"/>
      <c r="G3811" s="425"/>
      <c r="H3811" s="425"/>
      <c r="I3811" s="258"/>
      <c r="J3811" s="259"/>
      <c r="K3811" s="260"/>
      <c r="L3811" s="442"/>
      <c r="M3811" s="426"/>
      <c r="N3811" s="173"/>
      <c r="O3811" s="173"/>
      <c r="P3811" s="262"/>
      <c r="Q3811" s="173"/>
      <c r="R3811" s="425"/>
      <c r="S3811" s="339"/>
      <c r="T3811" s="427"/>
      <c r="U3811" s="427"/>
      <c r="V3811" s="428"/>
      <c r="W3811" s="429"/>
      <c r="X3811" s="430"/>
      <c r="Y3811" s="33"/>
      <c r="Z3811" s="430"/>
      <c r="AA3811" s="430"/>
      <c r="AB3811" s="258"/>
      <c r="AC3811" s="430"/>
      <c r="AD3811" s="426"/>
      <c r="AE3811" s="428"/>
      <c r="AF3811" s="431"/>
      <c r="AG3811" s="432"/>
      <c r="AH3811" s="430"/>
      <c r="AI3811" s="430"/>
      <c r="AJ3811" s="430"/>
      <c r="AK3811" s="430"/>
      <c r="AL3811" s="430"/>
      <c r="AM3811" s="433"/>
      <c r="AN3811" s="430"/>
      <c r="AO3811" s="430"/>
      <c r="AP3811" s="430"/>
      <c r="AQ3811" s="430"/>
      <c r="AR3811" s="430"/>
      <c r="AS3811" s="430"/>
      <c r="AT3811" s="430"/>
      <c r="AU3811" s="426"/>
      <c r="AV3811" s="174"/>
      <c r="AW3811" s="269"/>
      <c r="AX3811" s="269"/>
      <c r="AY3811" s="270"/>
      <c r="AZ3811" s="435"/>
      <c r="BA3811" s="173"/>
      <c r="BB3811" s="434"/>
      <c r="BC3811" s="434"/>
      <c r="BD3811" s="308"/>
      <c r="BE3811" s="436"/>
      <c r="BF3811" s="274" t="str">
        <f>IFERROR(__xludf.DUMMYFUNCTION("LOWER(Regexreplace(to_text(E3811),""[^A-Za-z0-9]"","""")&amp;""_""&amp;Regexreplace(to_text(F3811),""[^A-Za-z0-9]"",""""))"),"_")</f>
        <v>_</v>
      </c>
      <c r="BG3811" s="275" t="str">
        <f>IFERROR(__xludf.DUMMYFUNCTION("upper(Regexreplace(to_text(E3811),""[^A-Za-z0-9]"","""")&amp;""-""&amp;Regexreplace(to_text(F3811),""[^A-Za-z0-9]"",""""))"),"-")</f>
        <v>-</v>
      </c>
    </row>
    <row r="3812" ht="30.0" customHeight="1">
      <c r="A3812" s="237"/>
      <c r="B3812" s="425"/>
      <c r="C3812" s="257"/>
      <c r="D3812" s="173"/>
      <c r="E3812" s="174"/>
      <c r="F3812" s="173"/>
      <c r="G3812" s="425"/>
      <c r="H3812" s="425"/>
      <c r="I3812" s="258"/>
      <c r="J3812" s="259"/>
      <c r="K3812" s="260"/>
      <c r="L3812" s="442"/>
      <c r="M3812" s="426"/>
      <c r="N3812" s="173"/>
      <c r="O3812" s="173"/>
      <c r="P3812" s="262"/>
      <c r="Q3812" s="173"/>
      <c r="R3812" s="425"/>
      <c r="S3812" s="339"/>
      <c r="T3812" s="427"/>
      <c r="U3812" s="427"/>
      <c r="V3812" s="428"/>
      <c r="W3812" s="429"/>
      <c r="X3812" s="430"/>
      <c r="Y3812" s="33"/>
      <c r="Z3812" s="430"/>
      <c r="AA3812" s="430"/>
      <c r="AB3812" s="258"/>
      <c r="AC3812" s="430"/>
      <c r="AD3812" s="426"/>
      <c r="AE3812" s="428"/>
      <c r="AF3812" s="431"/>
      <c r="AG3812" s="432"/>
      <c r="AH3812" s="430"/>
      <c r="AI3812" s="430"/>
      <c r="AJ3812" s="430"/>
      <c r="AK3812" s="430"/>
      <c r="AL3812" s="430"/>
      <c r="AM3812" s="433"/>
      <c r="AN3812" s="430"/>
      <c r="AO3812" s="430"/>
      <c r="AP3812" s="430"/>
      <c r="AQ3812" s="430"/>
      <c r="AR3812" s="430"/>
      <c r="AS3812" s="430"/>
      <c r="AT3812" s="430"/>
      <c r="AU3812" s="426"/>
      <c r="AV3812" s="174"/>
      <c r="AW3812" s="269"/>
      <c r="AX3812" s="269"/>
      <c r="AY3812" s="270"/>
      <c r="AZ3812" s="435"/>
      <c r="BA3812" s="173"/>
      <c r="BB3812" s="434"/>
      <c r="BC3812" s="434"/>
      <c r="BD3812" s="308"/>
      <c r="BE3812" s="436"/>
      <c r="BF3812" s="274" t="str">
        <f>IFERROR(__xludf.DUMMYFUNCTION("LOWER(Regexreplace(to_text(E3812),""[^A-Za-z0-9]"","""")&amp;""_""&amp;Regexreplace(to_text(F3812),""[^A-Za-z0-9]"",""""))"),"_")</f>
        <v>_</v>
      </c>
      <c r="BG3812" s="275" t="str">
        <f>IFERROR(__xludf.DUMMYFUNCTION("upper(Regexreplace(to_text(E3812),""[^A-Za-z0-9]"","""")&amp;""-""&amp;Regexreplace(to_text(F3812),""[^A-Za-z0-9]"",""""))"),"-")</f>
        <v>-</v>
      </c>
    </row>
    <row r="3813" ht="30.0" customHeight="1">
      <c r="A3813" s="237"/>
      <c r="B3813" s="425"/>
      <c r="C3813" s="257"/>
      <c r="D3813" s="173"/>
      <c r="E3813" s="174"/>
      <c r="F3813" s="173"/>
      <c r="G3813" s="425"/>
      <c r="H3813" s="425"/>
      <c r="I3813" s="258"/>
      <c r="J3813" s="259"/>
      <c r="K3813" s="260"/>
      <c r="L3813" s="442"/>
      <c r="M3813" s="426"/>
      <c r="N3813" s="173"/>
      <c r="O3813" s="173"/>
      <c r="P3813" s="262"/>
      <c r="Q3813" s="173"/>
      <c r="R3813" s="425"/>
      <c r="S3813" s="339"/>
      <c r="T3813" s="427"/>
      <c r="U3813" s="427"/>
      <c r="V3813" s="428"/>
      <c r="W3813" s="429"/>
      <c r="X3813" s="430"/>
      <c r="Y3813" s="33"/>
      <c r="Z3813" s="430"/>
      <c r="AA3813" s="430"/>
      <c r="AB3813" s="258"/>
      <c r="AC3813" s="430"/>
      <c r="AD3813" s="426"/>
      <c r="AE3813" s="428"/>
      <c r="AF3813" s="431"/>
      <c r="AG3813" s="432"/>
      <c r="AH3813" s="430"/>
      <c r="AI3813" s="430"/>
      <c r="AJ3813" s="430"/>
      <c r="AK3813" s="430"/>
      <c r="AL3813" s="430"/>
      <c r="AM3813" s="433"/>
      <c r="AN3813" s="430"/>
      <c r="AO3813" s="430"/>
      <c r="AP3813" s="430"/>
      <c r="AQ3813" s="430"/>
      <c r="AR3813" s="430"/>
      <c r="AS3813" s="430"/>
      <c r="AT3813" s="430"/>
      <c r="AU3813" s="426"/>
      <c r="AV3813" s="174"/>
      <c r="AW3813" s="269"/>
      <c r="AX3813" s="269"/>
      <c r="AY3813" s="270"/>
      <c r="AZ3813" s="435"/>
      <c r="BA3813" s="173"/>
      <c r="BB3813" s="434"/>
      <c r="BC3813" s="434"/>
      <c r="BD3813" s="308"/>
      <c r="BE3813" s="436"/>
      <c r="BF3813" s="274" t="str">
        <f>IFERROR(__xludf.DUMMYFUNCTION("LOWER(Regexreplace(to_text(E3813),""[^A-Za-z0-9]"","""")&amp;""_""&amp;Regexreplace(to_text(F3813),""[^A-Za-z0-9]"",""""))"),"_")</f>
        <v>_</v>
      </c>
      <c r="BG3813" s="275" t="str">
        <f>IFERROR(__xludf.DUMMYFUNCTION("upper(Regexreplace(to_text(E3813),""[^A-Za-z0-9]"","""")&amp;""-""&amp;Regexreplace(to_text(F3813),""[^A-Za-z0-9]"",""""))"),"-")</f>
        <v>-</v>
      </c>
    </row>
    <row r="3814" ht="30.0" customHeight="1">
      <c r="A3814" s="237"/>
      <c r="B3814" s="425"/>
      <c r="C3814" s="257"/>
      <c r="D3814" s="173"/>
      <c r="E3814" s="174"/>
      <c r="F3814" s="173"/>
      <c r="G3814" s="425"/>
      <c r="H3814" s="425"/>
      <c r="I3814" s="258"/>
      <c r="J3814" s="259"/>
      <c r="K3814" s="260"/>
      <c r="L3814" s="442"/>
      <c r="M3814" s="426"/>
      <c r="N3814" s="173"/>
      <c r="O3814" s="173"/>
      <c r="P3814" s="262"/>
      <c r="Q3814" s="173"/>
      <c r="R3814" s="425"/>
      <c r="S3814" s="339"/>
      <c r="T3814" s="427"/>
      <c r="U3814" s="427"/>
      <c r="V3814" s="428"/>
      <c r="W3814" s="429"/>
      <c r="X3814" s="430"/>
      <c r="Y3814" s="33"/>
      <c r="Z3814" s="430"/>
      <c r="AA3814" s="430"/>
      <c r="AB3814" s="258"/>
      <c r="AC3814" s="430"/>
      <c r="AD3814" s="426"/>
      <c r="AE3814" s="428"/>
      <c r="AF3814" s="431"/>
      <c r="AG3814" s="432"/>
      <c r="AH3814" s="430"/>
      <c r="AI3814" s="430"/>
      <c r="AJ3814" s="430"/>
      <c r="AK3814" s="430"/>
      <c r="AL3814" s="430"/>
      <c r="AM3814" s="433"/>
      <c r="AN3814" s="430"/>
      <c r="AO3814" s="430"/>
      <c r="AP3814" s="430"/>
      <c r="AQ3814" s="430"/>
      <c r="AR3814" s="430"/>
      <c r="AS3814" s="430"/>
      <c r="AT3814" s="430"/>
      <c r="AU3814" s="426"/>
      <c r="AV3814" s="174"/>
      <c r="AW3814" s="269"/>
      <c r="AX3814" s="269"/>
      <c r="AY3814" s="270"/>
      <c r="AZ3814" s="435"/>
      <c r="BA3814" s="173"/>
      <c r="BB3814" s="434"/>
      <c r="BC3814" s="434"/>
      <c r="BD3814" s="308"/>
      <c r="BE3814" s="436"/>
      <c r="BF3814" s="274" t="str">
        <f>IFERROR(__xludf.DUMMYFUNCTION("LOWER(Regexreplace(to_text(E3814),""[^A-Za-z0-9]"","""")&amp;""_""&amp;Regexreplace(to_text(F3814),""[^A-Za-z0-9]"",""""))"),"_")</f>
        <v>_</v>
      </c>
      <c r="BG3814" s="275" t="str">
        <f>IFERROR(__xludf.DUMMYFUNCTION("upper(Regexreplace(to_text(E3814),""[^A-Za-z0-9]"","""")&amp;""-""&amp;Regexreplace(to_text(F3814),""[^A-Za-z0-9]"",""""))"),"-")</f>
        <v>-</v>
      </c>
    </row>
    <row r="3815" ht="30.0" customHeight="1">
      <c r="A3815" s="237"/>
      <c r="B3815" s="425"/>
      <c r="C3815" s="257"/>
      <c r="D3815" s="173"/>
      <c r="E3815" s="174"/>
      <c r="F3815" s="173"/>
      <c r="G3815" s="425"/>
      <c r="H3815" s="425"/>
      <c r="I3815" s="258"/>
      <c r="J3815" s="259"/>
      <c r="K3815" s="260"/>
      <c r="L3815" s="442"/>
      <c r="M3815" s="426"/>
      <c r="N3815" s="173"/>
      <c r="O3815" s="173"/>
      <c r="P3815" s="262"/>
      <c r="Q3815" s="173"/>
      <c r="R3815" s="425"/>
      <c r="S3815" s="339"/>
      <c r="T3815" s="427"/>
      <c r="U3815" s="427"/>
      <c r="V3815" s="428"/>
      <c r="W3815" s="429"/>
      <c r="X3815" s="430"/>
      <c r="Y3815" s="33"/>
      <c r="Z3815" s="430"/>
      <c r="AA3815" s="430"/>
      <c r="AB3815" s="258"/>
      <c r="AC3815" s="430"/>
      <c r="AD3815" s="426"/>
      <c r="AE3815" s="428"/>
      <c r="AF3815" s="431"/>
      <c r="AG3815" s="432"/>
      <c r="AH3815" s="430"/>
      <c r="AI3815" s="430"/>
      <c r="AJ3815" s="430"/>
      <c r="AK3815" s="430"/>
      <c r="AL3815" s="430"/>
      <c r="AM3815" s="433"/>
      <c r="AN3815" s="430"/>
      <c r="AO3815" s="430"/>
      <c r="AP3815" s="430"/>
      <c r="AQ3815" s="430"/>
      <c r="AR3815" s="430"/>
      <c r="AS3815" s="430"/>
      <c r="AT3815" s="430"/>
      <c r="AU3815" s="426"/>
      <c r="AV3815" s="174"/>
      <c r="AW3815" s="269"/>
      <c r="AX3815" s="269"/>
      <c r="AY3815" s="270"/>
      <c r="AZ3815" s="435"/>
      <c r="BA3815" s="173"/>
      <c r="BB3815" s="434"/>
      <c r="BC3815" s="434"/>
      <c r="BD3815" s="308"/>
      <c r="BE3815" s="436"/>
      <c r="BF3815" s="274" t="str">
        <f>IFERROR(__xludf.DUMMYFUNCTION("LOWER(Regexreplace(to_text(E3815),""[^A-Za-z0-9]"","""")&amp;""_""&amp;Regexreplace(to_text(F3815),""[^A-Za-z0-9]"",""""))"),"_")</f>
        <v>_</v>
      </c>
      <c r="BG3815" s="275" t="str">
        <f>IFERROR(__xludf.DUMMYFUNCTION("upper(Regexreplace(to_text(E3815),""[^A-Za-z0-9]"","""")&amp;""-""&amp;Regexreplace(to_text(F3815),""[^A-Za-z0-9]"",""""))"),"-")</f>
        <v>-</v>
      </c>
    </row>
    <row r="3816" ht="30.0" customHeight="1">
      <c r="A3816" s="237"/>
      <c r="B3816" s="425"/>
      <c r="C3816" s="257"/>
      <c r="D3816" s="173"/>
      <c r="E3816" s="174"/>
      <c r="F3816" s="173"/>
      <c r="G3816" s="425"/>
      <c r="H3816" s="425"/>
      <c r="I3816" s="258"/>
      <c r="J3816" s="259"/>
      <c r="K3816" s="260"/>
      <c r="L3816" s="442"/>
      <c r="M3816" s="426"/>
      <c r="N3816" s="173"/>
      <c r="O3816" s="173"/>
      <c r="P3816" s="262"/>
      <c r="Q3816" s="173"/>
      <c r="R3816" s="425"/>
      <c r="S3816" s="339"/>
      <c r="T3816" s="427"/>
      <c r="U3816" s="427"/>
      <c r="V3816" s="428"/>
      <c r="W3816" s="429"/>
      <c r="X3816" s="430"/>
      <c r="Y3816" s="33"/>
      <c r="Z3816" s="430"/>
      <c r="AA3816" s="430"/>
      <c r="AB3816" s="258"/>
      <c r="AC3816" s="430"/>
      <c r="AD3816" s="426"/>
      <c r="AE3816" s="428"/>
      <c r="AF3816" s="431"/>
      <c r="AG3816" s="432"/>
      <c r="AH3816" s="430"/>
      <c r="AI3816" s="430"/>
      <c r="AJ3816" s="430"/>
      <c r="AK3816" s="430"/>
      <c r="AL3816" s="430"/>
      <c r="AM3816" s="433"/>
      <c r="AN3816" s="430"/>
      <c r="AO3816" s="430"/>
      <c r="AP3816" s="430"/>
      <c r="AQ3816" s="430"/>
      <c r="AR3816" s="430"/>
      <c r="AS3816" s="430"/>
      <c r="AT3816" s="430"/>
      <c r="AU3816" s="426"/>
      <c r="AV3816" s="174"/>
      <c r="AW3816" s="269"/>
      <c r="AX3816" s="269"/>
      <c r="AY3816" s="270"/>
      <c r="AZ3816" s="435"/>
      <c r="BA3816" s="173"/>
      <c r="BB3816" s="434"/>
      <c r="BC3816" s="434"/>
      <c r="BD3816" s="308"/>
      <c r="BE3816" s="436"/>
      <c r="BF3816" s="274" t="str">
        <f>IFERROR(__xludf.DUMMYFUNCTION("LOWER(Regexreplace(to_text(E3816),""[^A-Za-z0-9]"","""")&amp;""_""&amp;Regexreplace(to_text(F3816),""[^A-Za-z0-9]"",""""))"),"_")</f>
        <v>_</v>
      </c>
      <c r="BG3816" s="275" t="str">
        <f>IFERROR(__xludf.DUMMYFUNCTION("upper(Regexreplace(to_text(E3816),""[^A-Za-z0-9]"","""")&amp;""-""&amp;Regexreplace(to_text(F3816),""[^A-Za-z0-9]"",""""))"),"-")</f>
        <v>-</v>
      </c>
    </row>
    <row r="3817" ht="30.0" customHeight="1">
      <c r="A3817" s="237"/>
      <c r="B3817" s="425"/>
      <c r="C3817" s="257"/>
      <c r="D3817" s="173"/>
      <c r="E3817" s="174"/>
      <c r="F3817" s="173"/>
      <c r="G3817" s="425"/>
      <c r="H3817" s="425"/>
      <c r="I3817" s="258"/>
      <c r="J3817" s="259"/>
      <c r="K3817" s="260"/>
      <c r="L3817" s="442"/>
      <c r="M3817" s="426"/>
      <c r="N3817" s="173"/>
      <c r="O3817" s="173"/>
      <c r="P3817" s="262"/>
      <c r="Q3817" s="173"/>
      <c r="R3817" s="425"/>
      <c r="S3817" s="339"/>
      <c r="T3817" s="427"/>
      <c r="U3817" s="427"/>
      <c r="V3817" s="428"/>
      <c r="W3817" s="429"/>
      <c r="X3817" s="430"/>
      <c r="Y3817" s="33"/>
      <c r="Z3817" s="430"/>
      <c r="AA3817" s="430"/>
      <c r="AB3817" s="258"/>
      <c r="AC3817" s="430"/>
      <c r="AD3817" s="426"/>
      <c r="AE3817" s="428"/>
      <c r="AF3817" s="431"/>
      <c r="AG3817" s="432"/>
      <c r="AH3817" s="430"/>
      <c r="AI3817" s="430"/>
      <c r="AJ3817" s="430"/>
      <c r="AK3817" s="430"/>
      <c r="AL3817" s="430"/>
      <c r="AM3817" s="433"/>
      <c r="AN3817" s="430"/>
      <c r="AO3817" s="430"/>
      <c r="AP3817" s="430"/>
      <c r="AQ3817" s="430"/>
      <c r="AR3817" s="430"/>
      <c r="AS3817" s="430"/>
      <c r="AT3817" s="430"/>
      <c r="AU3817" s="426"/>
      <c r="AV3817" s="174"/>
      <c r="AW3817" s="269"/>
      <c r="AX3817" s="269"/>
      <c r="AY3817" s="270"/>
      <c r="AZ3817" s="435"/>
      <c r="BA3817" s="173"/>
      <c r="BB3817" s="434"/>
      <c r="BC3817" s="434"/>
      <c r="BD3817" s="308"/>
      <c r="BE3817" s="436"/>
      <c r="BF3817" s="274" t="str">
        <f>IFERROR(__xludf.DUMMYFUNCTION("LOWER(Regexreplace(to_text(E3817),""[^A-Za-z0-9]"","""")&amp;""_""&amp;Regexreplace(to_text(F3817),""[^A-Za-z0-9]"",""""))"),"_")</f>
        <v>_</v>
      </c>
      <c r="BG3817" s="275" t="str">
        <f>IFERROR(__xludf.DUMMYFUNCTION("upper(Regexreplace(to_text(E3817),""[^A-Za-z0-9]"","""")&amp;""-""&amp;Regexreplace(to_text(F3817),""[^A-Za-z0-9]"",""""))"),"-")</f>
        <v>-</v>
      </c>
    </row>
    <row r="3818" ht="30.0" customHeight="1">
      <c r="A3818" s="237"/>
      <c r="B3818" s="425"/>
      <c r="C3818" s="257"/>
      <c r="D3818" s="173"/>
      <c r="E3818" s="174"/>
      <c r="F3818" s="173"/>
      <c r="G3818" s="425"/>
      <c r="H3818" s="425"/>
      <c r="I3818" s="258"/>
      <c r="J3818" s="259"/>
      <c r="K3818" s="260"/>
      <c r="L3818" s="442"/>
      <c r="M3818" s="426"/>
      <c r="N3818" s="173"/>
      <c r="O3818" s="173"/>
      <c r="P3818" s="262"/>
      <c r="Q3818" s="173"/>
      <c r="R3818" s="425"/>
      <c r="S3818" s="339"/>
      <c r="T3818" s="427"/>
      <c r="U3818" s="427"/>
      <c r="V3818" s="428"/>
      <c r="W3818" s="429"/>
      <c r="X3818" s="430"/>
      <c r="Y3818" s="33"/>
      <c r="Z3818" s="430"/>
      <c r="AA3818" s="430"/>
      <c r="AB3818" s="258"/>
      <c r="AC3818" s="430"/>
      <c r="AD3818" s="426"/>
      <c r="AE3818" s="428"/>
      <c r="AF3818" s="431"/>
      <c r="AG3818" s="432"/>
      <c r="AH3818" s="430"/>
      <c r="AI3818" s="430"/>
      <c r="AJ3818" s="430"/>
      <c r="AK3818" s="430"/>
      <c r="AL3818" s="430"/>
      <c r="AM3818" s="433"/>
      <c r="AN3818" s="430"/>
      <c r="AO3818" s="430"/>
      <c r="AP3818" s="430"/>
      <c r="AQ3818" s="430"/>
      <c r="AR3818" s="430"/>
      <c r="AS3818" s="430"/>
      <c r="AT3818" s="430"/>
      <c r="AU3818" s="426"/>
      <c r="AV3818" s="174"/>
      <c r="AW3818" s="269"/>
      <c r="AX3818" s="269"/>
      <c r="AY3818" s="270"/>
      <c r="AZ3818" s="435"/>
      <c r="BA3818" s="173"/>
      <c r="BB3818" s="434"/>
      <c r="BC3818" s="434"/>
      <c r="BD3818" s="308"/>
      <c r="BE3818" s="436"/>
      <c r="BF3818" s="274" t="str">
        <f>IFERROR(__xludf.DUMMYFUNCTION("LOWER(Regexreplace(to_text(E3818),""[^A-Za-z0-9]"","""")&amp;""_""&amp;Regexreplace(to_text(F3818),""[^A-Za-z0-9]"",""""))"),"_")</f>
        <v>_</v>
      </c>
      <c r="BG3818" s="275" t="str">
        <f>IFERROR(__xludf.DUMMYFUNCTION("upper(Regexreplace(to_text(E3818),""[^A-Za-z0-9]"","""")&amp;""-""&amp;Regexreplace(to_text(F3818),""[^A-Za-z0-9]"",""""))"),"-")</f>
        <v>-</v>
      </c>
    </row>
    <row r="3819" ht="30.0" customHeight="1">
      <c r="A3819" s="237"/>
      <c r="B3819" s="425"/>
      <c r="C3819" s="257"/>
      <c r="D3819" s="173"/>
      <c r="E3819" s="174"/>
      <c r="F3819" s="173"/>
      <c r="G3819" s="425"/>
      <c r="H3819" s="425"/>
      <c r="I3819" s="258"/>
      <c r="J3819" s="259"/>
      <c r="K3819" s="260"/>
      <c r="L3819" s="442"/>
      <c r="M3819" s="426"/>
      <c r="N3819" s="173"/>
      <c r="O3819" s="173"/>
      <c r="P3819" s="262"/>
      <c r="Q3819" s="173"/>
      <c r="R3819" s="425"/>
      <c r="S3819" s="339"/>
      <c r="T3819" s="427"/>
      <c r="U3819" s="427"/>
      <c r="V3819" s="428"/>
      <c r="W3819" s="429"/>
      <c r="X3819" s="430"/>
      <c r="Y3819" s="33"/>
      <c r="Z3819" s="430"/>
      <c r="AA3819" s="430"/>
      <c r="AB3819" s="258"/>
      <c r="AC3819" s="430"/>
      <c r="AD3819" s="426"/>
      <c r="AE3819" s="428"/>
      <c r="AF3819" s="431"/>
      <c r="AG3819" s="432"/>
      <c r="AH3819" s="430"/>
      <c r="AI3819" s="430"/>
      <c r="AJ3819" s="430"/>
      <c r="AK3819" s="430"/>
      <c r="AL3819" s="430"/>
      <c r="AM3819" s="433"/>
      <c r="AN3819" s="430"/>
      <c r="AO3819" s="430"/>
      <c r="AP3819" s="430"/>
      <c r="AQ3819" s="430"/>
      <c r="AR3819" s="430"/>
      <c r="AS3819" s="430"/>
      <c r="AT3819" s="430"/>
      <c r="AU3819" s="426"/>
      <c r="AV3819" s="174"/>
      <c r="AW3819" s="269"/>
      <c r="AX3819" s="269"/>
      <c r="AY3819" s="270"/>
      <c r="AZ3819" s="435"/>
      <c r="BA3819" s="173"/>
      <c r="BB3819" s="434"/>
      <c r="BC3819" s="434"/>
      <c r="BD3819" s="308"/>
      <c r="BE3819" s="436"/>
      <c r="BF3819" s="274" t="str">
        <f>IFERROR(__xludf.DUMMYFUNCTION("LOWER(Regexreplace(to_text(E3819),""[^A-Za-z0-9]"","""")&amp;""_""&amp;Regexreplace(to_text(F3819),""[^A-Za-z0-9]"",""""))"),"_")</f>
        <v>_</v>
      </c>
      <c r="BG3819" s="275" t="str">
        <f>IFERROR(__xludf.DUMMYFUNCTION("upper(Regexreplace(to_text(E3819),""[^A-Za-z0-9]"","""")&amp;""-""&amp;Regexreplace(to_text(F3819),""[^A-Za-z0-9]"",""""))"),"-")</f>
        <v>-</v>
      </c>
    </row>
    <row r="3820" ht="30.0" customHeight="1">
      <c r="A3820" s="237"/>
      <c r="B3820" s="425"/>
      <c r="C3820" s="257"/>
      <c r="D3820" s="173"/>
      <c r="E3820" s="174"/>
      <c r="F3820" s="173"/>
      <c r="G3820" s="425"/>
      <c r="H3820" s="425"/>
      <c r="I3820" s="258"/>
      <c r="J3820" s="259"/>
      <c r="K3820" s="260"/>
      <c r="L3820" s="442"/>
      <c r="M3820" s="426"/>
      <c r="N3820" s="173"/>
      <c r="O3820" s="173"/>
      <c r="P3820" s="262"/>
      <c r="Q3820" s="173"/>
      <c r="R3820" s="425"/>
      <c r="S3820" s="339"/>
      <c r="T3820" s="427"/>
      <c r="U3820" s="427"/>
      <c r="V3820" s="428"/>
      <c r="W3820" s="429"/>
      <c r="X3820" s="430"/>
      <c r="Y3820" s="33"/>
      <c r="Z3820" s="430"/>
      <c r="AA3820" s="430"/>
      <c r="AB3820" s="258"/>
      <c r="AC3820" s="430"/>
      <c r="AD3820" s="426"/>
      <c r="AE3820" s="428"/>
      <c r="AF3820" s="431"/>
      <c r="AG3820" s="432"/>
      <c r="AH3820" s="430"/>
      <c r="AI3820" s="430"/>
      <c r="AJ3820" s="430"/>
      <c r="AK3820" s="430"/>
      <c r="AL3820" s="430"/>
      <c r="AM3820" s="433"/>
      <c r="AN3820" s="430"/>
      <c r="AO3820" s="430"/>
      <c r="AP3820" s="430"/>
      <c r="AQ3820" s="430"/>
      <c r="AR3820" s="430"/>
      <c r="AS3820" s="430"/>
      <c r="AT3820" s="430"/>
      <c r="AU3820" s="426"/>
      <c r="AV3820" s="174"/>
      <c r="AW3820" s="269"/>
      <c r="AX3820" s="269"/>
      <c r="AY3820" s="270"/>
      <c r="AZ3820" s="435"/>
      <c r="BA3820" s="173"/>
      <c r="BB3820" s="434"/>
      <c r="BC3820" s="434"/>
      <c r="BD3820" s="308"/>
      <c r="BE3820" s="436"/>
      <c r="BF3820" s="274" t="str">
        <f>IFERROR(__xludf.DUMMYFUNCTION("LOWER(Regexreplace(to_text(E3820),""[^A-Za-z0-9]"","""")&amp;""_""&amp;Regexreplace(to_text(F3820),""[^A-Za-z0-9]"",""""))"),"_")</f>
        <v>_</v>
      </c>
      <c r="BG3820" s="275" t="str">
        <f>IFERROR(__xludf.DUMMYFUNCTION("upper(Regexreplace(to_text(E3820),""[^A-Za-z0-9]"","""")&amp;""-""&amp;Regexreplace(to_text(F3820),""[^A-Za-z0-9]"",""""))"),"-")</f>
        <v>-</v>
      </c>
    </row>
    <row r="3821" ht="30.0" customHeight="1">
      <c r="A3821" s="237"/>
      <c r="B3821" s="425"/>
      <c r="C3821" s="257"/>
      <c r="D3821" s="173"/>
      <c r="E3821" s="174"/>
      <c r="F3821" s="173"/>
      <c r="G3821" s="425"/>
      <c r="H3821" s="425"/>
      <c r="I3821" s="258"/>
      <c r="J3821" s="259"/>
      <c r="K3821" s="260"/>
      <c r="L3821" s="442"/>
      <c r="M3821" s="426"/>
      <c r="N3821" s="173"/>
      <c r="O3821" s="173"/>
      <c r="P3821" s="262"/>
      <c r="Q3821" s="173"/>
      <c r="R3821" s="425"/>
      <c r="S3821" s="339"/>
      <c r="T3821" s="427"/>
      <c r="U3821" s="427"/>
      <c r="V3821" s="428"/>
      <c r="W3821" s="429"/>
      <c r="X3821" s="430"/>
      <c r="Y3821" s="33"/>
      <c r="Z3821" s="430"/>
      <c r="AA3821" s="430"/>
      <c r="AB3821" s="258"/>
      <c r="AC3821" s="430"/>
      <c r="AD3821" s="426"/>
      <c r="AE3821" s="428"/>
      <c r="AF3821" s="431"/>
      <c r="AG3821" s="432"/>
      <c r="AH3821" s="430"/>
      <c r="AI3821" s="430"/>
      <c r="AJ3821" s="430"/>
      <c r="AK3821" s="430"/>
      <c r="AL3821" s="430"/>
      <c r="AM3821" s="433"/>
      <c r="AN3821" s="430"/>
      <c r="AO3821" s="430"/>
      <c r="AP3821" s="430"/>
      <c r="AQ3821" s="430"/>
      <c r="AR3821" s="430"/>
      <c r="AS3821" s="430"/>
      <c r="AT3821" s="430"/>
      <c r="AU3821" s="426"/>
      <c r="AV3821" s="174"/>
      <c r="AW3821" s="269"/>
      <c r="AX3821" s="269"/>
      <c r="AY3821" s="270"/>
      <c r="AZ3821" s="435"/>
      <c r="BA3821" s="173"/>
      <c r="BB3821" s="434"/>
      <c r="BC3821" s="434"/>
      <c r="BD3821" s="308"/>
      <c r="BE3821" s="436"/>
      <c r="BF3821" s="274" t="str">
        <f>IFERROR(__xludf.DUMMYFUNCTION("LOWER(Regexreplace(to_text(E3821),""[^A-Za-z0-9]"","""")&amp;""_""&amp;Regexreplace(to_text(F3821),""[^A-Za-z0-9]"",""""))"),"_")</f>
        <v>_</v>
      </c>
      <c r="BG3821" s="275" t="str">
        <f>IFERROR(__xludf.DUMMYFUNCTION("upper(Regexreplace(to_text(E3821),""[^A-Za-z0-9]"","""")&amp;""-""&amp;Regexreplace(to_text(F3821),""[^A-Za-z0-9]"",""""))"),"-")</f>
        <v>-</v>
      </c>
    </row>
    <row r="3822" ht="30.0" customHeight="1">
      <c r="A3822" s="237"/>
      <c r="B3822" s="425"/>
      <c r="C3822" s="257"/>
      <c r="D3822" s="173"/>
      <c r="E3822" s="174"/>
      <c r="F3822" s="173"/>
      <c r="G3822" s="425"/>
      <c r="H3822" s="425"/>
      <c r="I3822" s="258"/>
      <c r="J3822" s="259"/>
      <c r="K3822" s="260"/>
      <c r="L3822" s="442"/>
      <c r="M3822" s="426"/>
      <c r="N3822" s="173"/>
      <c r="O3822" s="173"/>
      <c r="P3822" s="262"/>
      <c r="Q3822" s="173"/>
      <c r="R3822" s="425"/>
      <c r="S3822" s="339"/>
      <c r="T3822" s="427"/>
      <c r="U3822" s="427"/>
      <c r="V3822" s="428"/>
      <c r="W3822" s="429"/>
      <c r="X3822" s="430"/>
      <c r="Y3822" s="33"/>
      <c r="Z3822" s="430"/>
      <c r="AA3822" s="430"/>
      <c r="AB3822" s="258"/>
      <c r="AC3822" s="430"/>
      <c r="AD3822" s="426"/>
      <c r="AE3822" s="428"/>
      <c r="AF3822" s="431"/>
      <c r="AG3822" s="432"/>
      <c r="AH3822" s="430"/>
      <c r="AI3822" s="430"/>
      <c r="AJ3822" s="430"/>
      <c r="AK3822" s="430"/>
      <c r="AL3822" s="430"/>
      <c r="AM3822" s="433"/>
      <c r="AN3822" s="430"/>
      <c r="AO3822" s="430"/>
      <c r="AP3822" s="430"/>
      <c r="AQ3822" s="430"/>
      <c r="AR3822" s="430"/>
      <c r="AS3822" s="430"/>
      <c r="AT3822" s="430"/>
      <c r="AU3822" s="426"/>
      <c r="AV3822" s="174"/>
      <c r="AW3822" s="269"/>
      <c r="AX3822" s="269"/>
      <c r="AY3822" s="270"/>
      <c r="AZ3822" s="435"/>
      <c r="BA3822" s="173"/>
      <c r="BB3822" s="434"/>
      <c r="BC3822" s="434"/>
      <c r="BD3822" s="308"/>
      <c r="BE3822" s="436"/>
      <c r="BF3822" s="274" t="str">
        <f>IFERROR(__xludf.DUMMYFUNCTION("LOWER(Regexreplace(to_text(E3822),""[^A-Za-z0-9]"","""")&amp;""_""&amp;Regexreplace(to_text(F3822),""[^A-Za-z0-9]"",""""))"),"_")</f>
        <v>_</v>
      </c>
      <c r="BG3822" s="275" t="str">
        <f>IFERROR(__xludf.DUMMYFUNCTION("upper(Regexreplace(to_text(E3822),""[^A-Za-z0-9]"","""")&amp;""-""&amp;Regexreplace(to_text(F3822),""[^A-Za-z0-9]"",""""))"),"-")</f>
        <v>-</v>
      </c>
    </row>
    <row r="3823" ht="30.0" customHeight="1">
      <c r="A3823" s="237"/>
      <c r="B3823" s="425"/>
      <c r="C3823" s="257"/>
      <c r="D3823" s="173"/>
      <c r="E3823" s="174"/>
      <c r="F3823" s="173"/>
      <c r="G3823" s="425"/>
      <c r="H3823" s="425"/>
      <c r="I3823" s="258"/>
      <c r="J3823" s="259"/>
      <c r="K3823" s="260"/>
      <c r="L3823" s="442"/>
      <c r="M3823" s="426"/>
      <c r="N3823" s="173"/>
      <c r="O3823" s="173"/>
      <c r="P3823" s="262"/>
      <c r="Q3823" s="173"/>
      <c r="R3823" s="425"/>
      <c r="S3823" s="339"/>
      <c r="T3823" s="427"/>
      <c r="U3823" s="427"/>
      <c r="V3823" s="428"/>
      <c r="W3823" s="429"/>
      <c r="X3823" s="430"/>
      <c r="Y3823" s="33"/>
      <c r="Z3823" s="430"/>
      <c r="AA3823" s="430"/>
      <c r="AB3823" s="258"/>
      <c r="AC3823" s="430"/>
      <c r="AD3823" s="426"/>
      <c r="AE3823" s="428"/>
      <c r="AF3823" s="431"/>
      <c r="AG3823" s="432"/>
      <c r="AH3823" s="430"/>
      <c r="AI3823" s="430"/>
      <c r="AJ3823" s="430"/>
      <c r="AK3823" s="430"/>
      <c r="AL3823" s="430"/>
      <c r="AM3823" s="433"/>
      <c r="AN3823" s="430"/>
      <c r="AO3823" s="430"/>
      <c r="AP3823" s="430"/>
      <c r="AQ3823" s="430"/>
      <c r="AR3823" s="430"/>
      <c r="AS3823" s="430"/>
      <c r="AT3823" s="430"/>
      <c r="AU3823" s="426"/>
      <c r="AV3823" s="174"/>
      <c r="AW3823" s="269"/>
      <c r="AX3823" s="269"/>
      <c r="AY3823" s="270"/>
      <c r="AZ3823" s="435"/>
      <c r="BA3823" s="173"/>
      <c r="BB3823" s="434"/>
      <c r="BC3823" s="434"/>
      <c r="BD3823" s="308"/>
      <c r="BE3823" s="436"/>
      <c r="BF3823" s="274" t="str">
        <f>IFERROR(__xludf.DUMMYFUNCTION("LOWER(Regexreplace(to_text(E3823),""[^A-Za-z0-9]"","""")&amp;""_""&amp;Regexreplace(to_text(F3823),""[^A-Za-z0-9]"",""""))"),"_")</f>
        <v>_</v>
      </c>
      <c r="BG3823" s="275" t="str">
        <f>IFERROR(__xludf.DUMMYFUNCTION("upper(Regexreplace(to_text(E3823),""[^A-Za-z0-9]"","""")&amp;""-""&amp;Regexreplace(to_text(F3823),""[^A-Za-z0-9]"",""""))"),"-")</f>
        <v>-</v>
      </c>
    </row>
    <row r="3824" ht="30.0" customHeight="1">
      <c r="A3824" s="237"/>
      <c r="B3824" s="425"/>
      <c r="C3824" s="257"/>
      <c r="D3824" s="173"/>
      <c r="E3824" s="174"/>
      <c r="F3824" s="173"/>
      <c r="G3824" s="425"/>
      <c r="H3824" s="425"/>
      <c r="I3824" s="258"/>
      <c r="J3824" s="259"/>
      <c r="K3824" s="260"/>
      <c r="L3824" s="442"/>
      <c r="M3824" s="426"/>
      <c r="N3824" s="173"/>
      <c r="O3824" s="173"/>
      <c r="P3824" s="262"/>
      <c r="Q3824" s="173"/>
      <c r="R3824" s="425"/>
      <c r="S3824" s="339"/>
      <c r="T3824" s="427"/>
      <c r="U3824" s="427"/>
      <c r="V3824" s="428"/>
      <c r="W3824" s="429"/>
      <c r="X3824" s="430"/>
      <c r="Y3824" s="33"/>
      <c r="Z3824" s="430"/>
      <c r="AA3824" s="430"/>
      <c r="AB3824" s="258"/>
      <c r="AC3824" s="430"/>
      <c r="AD3824" s="426"/>
      <c r="AE3824" s="428"/>
      <c r="AF3824" s="431"/>
      <c r="AG3824" s="432"/>
      <c r="AH3824" s="430"/>
      <c r="AI3824" s="430"/>
      <c r="AJ3824" s="430"/>
      <c r="AK3824" s="430"/>
      <c r="AL3824" s="430"/>
      <c r="AM3824" s="433"/>
      <c r="AN3824" s="430"/>
      <c r="AO3824" s="430"/>
      <c r="AP3824" s="430"/>
      <c r="AQ3824" s="430"/>
      <c r="AR3824" s="430"/>
      <c r="AS3824" s="430"/>
      <c r="AT3824" s="430"/>
      <c r="AU3824" s="426"/>
      <c r="AV3824" s="174"/>
      <c r="AW3824" s="269"/>
      <c r="AX3824" s="269"/>
      <c r="AY3824" s="270"/>
      <c r="AZ3824" s="435"/>
      <c r="BA3824" s="173"/>
      <c r="BB3824" s="434"/>
      <c r="BC3824" s="434"/>
      <c r="BD3824" s="308"/>
      <c r="BE3824" s="436"/>
      <c r="BF3824" s="274" t="str">
        <f>IFERROR(__xludf.DUMMYFUNCTION("LOWER(Regexreplace(to_text(E3824),""[^A-Za-z0-9]"","""")&amp;""_""&amp;Regexreplace(to_text(F3824),""[^A-Za-z0-9]"",""""))"),"_")</f>
        <v>_</v>
      </c>
      <c r="BG3824" s="275" t="str">
        <f>IFERROR(__xludf.DUMMYFUNCTION("upper(Regexreplace(to_text(E3824),""[^A-Za-z0-9]"","""")&amp;""-""&amp;Regexreplace(to_text(F3824),""[^A-Za-z0-9]"",""""))"),"-")</f>
        <v>-</v>
      </c>
    </row>
    <row r="3825" ht="30.0" customHeight="1">
      <c r="A3825" s="237"/>
      <c r="B3825" s="425"/>
      <c r="C3825" s="257"/>
      <c r="D3825" s="173"/>
      <c r="E3825" s="174"/>
      <c r="F3825" s="173"/>
      <c r="G3825" s="425"/>
      <c r="H3825" s="425"/>
      <c r="I3825" s="258"/>
      <c r="J3825" s="259"/>
      <c r="K3825" s="260"/>
      <c r="L3825" s="442"/>
      <c r="M3825" s="426"/>
      <c r="N3825" s="173"/>
      <c r="O3825" s="173"/>
      <c r="P3825" s="262"/>
      <c r="Q3825" s="173"/>
      <c r="R3825" s="425"/>
      <c r="S3825" s="339"/>
      <c r="T3825" s="427"/>
      <c r="U3825" s="427"/>
      <c r="V3825" s="428"/>
      <c r="W3825" s="429"/>
      <c r="X3825" s="430"/>
      <c r="Y3825" s="33"/>
      <c r="Z3825" s="430"/>
      <c r="AA3825" s="430"/>
      <c r="AB3825" s="258"/>
      <c r="AC3825" s="430"/>
      <c r="AD3825" s="426"/>
      <c r="AE3825" s="428"/>
      <c r="AF3825" s="431"/>
      <c r="AG3825" s="432"/>
      <c r="AH3825" s="430"/>
      <c r="AI3825" s="430"/>
      <c r="AJ3825" s="430"/>
      <c r="AK3825" s="430"/>
      <c r="AL3825" s="430"/>
      <c r="AM3825" s="433"/>
      <c r="AN3825" s="430"/>
      <c r="AO3825" s="430"/>
      <c r="AP3825" s="430"/>
      <c r="AQ3825" s="430"/>
      <c r="AR3825" s="430"/>
      <c r="AS3825" s="430"/>
      <c r="AT3825" s="430"/>
      <c r="AU3825" s="426"/>
      <c r="AV3825" s="174"/>
      <c r="AW3825" s="269"/>
      <c r="AX3825" s="269"/>
      <c r="AY3825" s="270"/>
      <c r="AZ3825" s="435"/>
      <c r="BA3825" s="173"/>
      <c r="BB3825" s="434"/>
      <c r="BC3825" s="434"/>
      <c r="BD3825" s="308"/>
      <c r="BE3825" s="436"/>
      <c r="BF3825" s="274" t="str">
        <f>IFERROR(__xludf.DUMMYFUNCTION("LOWER(Regexreplace(to_text(E3825),""[^A-Za-z0-9]"","""")&amp;""_""&amp;Regexreplace(to_text(F3825),""[^A-Za-z0-9]"",""""))"),"_")</f>
        <v>_</v>
      </c>
      <c r="BG3825" s="275" t="str">
        <f>IFERROR(__xludf.DUMMYFUNCTION("upper(Regexreplace(to_text(E3825),""[^A-Za-z0-9]"","""")&amp;""-""&amp;Regexreplace(to_text(F3825),""[^A-Za-z0-9]"",""""))"),"-")</f>
        <v>-</v>
      </c>
    </row>
    <row r="3826" ht="30.0" customHeight="1">
      <c r="A3826" s="237"/>
      <c r="B3826" s="425"/>
      <c r="C3826" s="257"/>
      <c r="D3826" s="173"/>
      <c r="E3826" s="174"/>
      <c r="F3826" s="173"/>
      <c r="G3826" s="425"/>
      <c r="H3826" s="425"/>
      <c r="I3826" s="258"/>
      <c r="J3826" s="259"/>
      <c r="K3826" s="260"/>
      <c r="L3826" s="442"/>
      <c r="M3826" s="426"/>
      <c r="N3826" s="173"/>
      <c r="O3826" s="173"/>
      <c r="P3826" s="262"/>
      <c r="Q3826" s="173"/>
      <c r="R3826" s="425"/>
      <c r="S3826" s="339"/>
      <c r="T3826" s="427"/>
      <c r="U3826" s="427"/>
      <c r="V3826" s="428"/>
      <c r="W3826" s="429"/>
      <c r="X3826" s="430"/>
      <c r="Y3826" s="33"/>
      <c r="Z3826" s="430"/>
      <c r="AA3826" s="430"/>
      <c r="AB3826" s="258"/>
      <c r="AC3826" s="430"/>
      <c r="AD3826" s="426"/>
      <c r="AE3826" s="428"/>
      <c r="AF3826" s="431"/>
      <c r="AG3826" s="432"/>
      <c r="AH3826" s="430"/>
      <c r="AI3826" s="430"/>
      <c r="AJ3826" s="430"/>
      <c r="AK3826" s="430"/>
      <c r="AL3826" s="430"/>
      <c r="AM3826" s="433"/>
      <c r="AN3826" s="430"/>
      <c r="AO3826" s="430"/>
      <c r="AP3826" s="430"/>
      <c r="AQ3826" s="430"/>
      <c r="AR3826" s="430"/>
      <c r="AS3826" s="430"/>
      <c r="AT3826" s="430"/>
      <c r="AU3826" s="426"/>
      <c r="AV3826" s="174"/>
      <c r="AW3826" s="269"/>
      <c r="AX3826" s="269"/>
      <c r="AY3826" s="270"/>
      <c r="AZ3826" s="435"/>
      <c r="BA3826" s="173"/>
      <c r="BB3826" s="434"/>
      <c r="BC3826" s="434"/>
      <c r="BD3826" s="308"/>
      <c r="BE3826" s="436"/>
      <c r="BF3826" s="274" t="str">
        <f>IFERROR(__xludf.DUMMYFUNCTION("LOWER(Regexreplace(to_text(E3826),""[^A-Za-z0-9]"","""")&amp;""_""&amp;Regexreplace(to_text(F3826),""[^A-Za-z0-9]"",""""))"),"_")</f>
        <v>_</v>
      </c>
      <c r="BG3826" s="275" t="str">
        <f>IFERROR(__xludf.DUMMYFUNCTION("upper(Regexreplace(to_text(E3826),""[^A-Za-z0-9]"","""")&amp;""-""&amp;Regexreplace(to_text(F3826),""[^A-Za-z0-9]"",""""))"),"-")</f>
        <v>-</v>
      </c>
    </row>
    <row r="3827" ht="30.0" customHeight="1">
      <c r="A3827" s="237"/>
      <c r="B3827" s="425"/>
      <c r="C3827" s="257"/>
      <c r="D3827" s="173"/>
      <c r="E3827" s="174"/>
      <c r="F3827" s="173"/>
      <c r="G3827" s="425"/>
      <c r="H3827" s="425"/>
      <c r="I3827" s="258"/>
      <c r="J3827" s="259"/>
      <c r="K3827" s="260"/>
      <c r="L3827" s="442"/>
      <c r="M3827" s="426"/>
      <c r="N3827" s="173"/>
      <c r="O3827" s="173"/>
      <c r="P3827" s="262"/>
      <c r="Q3827" s="173"/>
      <c r="R3827" s="425"/>
      <c r="S3827" s="339"/>
      <c r="T3827" s="427"/>
      <c r="U3827" s="427"/>
      <c r="V3827" s="428"/>
      <c r="W3827" s="429"/>
      <c r="X3827" s="430"/>
      <c r="Y3827" s="33"/>
      <c r="Z3827" s="430"/>
      <c r="AA3827" s="430"/>
      <c r="AB3827" s="258"/>
      <c r="AC3827" s="430"/>
      <c r="AD3827" s="426"/>
      <c r="AE3827" s="428"/>
      <c r="AF3827" s="431"/>
      <c r="AG3827" s="432"/>
      <c r="AH3827" s="430"/>
      <c r="AI3827" s="430"/>
      <c r="AJ3827" s="430"/>
      <c r="AK3827" s="430"/>
      <c r="AL3827" s="430"/>
      <c r="AM3827" s="433"/>
      <c r="AN3827" s="430"/>
      <c r="AO3827" s="430"/>
      <c r="AP3827" s="430"/>
      <c r="AQ3827" s="430"/>
      <c r="AR3827" s="430"/>
      <c r="AS3827" s="430"/>
      <c r="AT3827" s="430"/>
      <c r="AU3827" s="426"/>
      <c r="AV3827" s="174"/>
      <c r="AW3827" s="269"/>
      <c r="AX3827" s="269"/>
      <c r="AY3827" s="270"/>
      <c r="AZ3827" s="435"/>
      <c r="BA3827" s="173"/>
      <c r="BB3827" s="434"/>
      <c r="BC3827" s="434"/>
      <c r="BD3827" s="308"/>
      <c r="BE3827" s="436"/>
      <c r="BF3827" s="274" t="str">
        <f>IFERROR(__xludf.DUMMYFUNCTION("LOWER(Regexreplace(to_text(E3827),""[^A-Za-z0-9]"","""")&amp;""_""&amp;Regexreplace(to_text(F3827),""[^A-Za-z0-9]"",""""))"),"_")</f>
        <v>_</v>
      </c>
      <c r="BG3827" s="275" t="str">
        <f>IFERROR(__xludf.DUMMYFUNCTION("upper(Regexreplace(to_text(E3827),""[^A-Za-z0-9]"","""")&amp;""-""&amp;Regexreplace(to_text(F3827),""[^A-Za-z0-9]"",""""))"),"-")</f>
        <v>-</v>
      </c>
    </row>
    <row r="3828" ht="30.0" customHeight="1">
      <c r="A3828" s="237"/>
      <c r="B3828" s="425"/>
      <c r="C3828" s="257"/>
      <c r="D3828" s="173"/>
      <c r="E3828" s="174"/>
      <c r="F3828" s="173"/>
      <c r="G3828" s="425"/>
      <c r="H3828" s="425"/>
      <c r="I3828" s="258"/>
      <c r="J3828" s="259"/>
      <c r="K3828" s="260"/>
      <c r="L3828" s="442"/>
      <c r="M3828" s="426"/>
      <c r="N3828" s="173"/>
      <c r="O3828" s="173"/>
      <c r="P3828" s="262"/>
      <c r="Q3828" s="173"/>
      <c r="R3828" s="425"/>
      <c r="S3828" s="339"/>
      <c r="T3828" s="427"/>
      <c r="U3828" s="427"/>
      <c r="V3828" s="428"/>
      <c r="W3828" s="429"/>
      <c r="X3828" s="430"/>
      <c r="Y3828" s="33"/>
      <c r="Z3828" s="430"/>
      <c r="AA3828" s="430"/>
      <c r="AB3828" s="258"/>
      <c r="AC3828" s="430"/>
      <c r="AD3828" s="426"/>
      <c r="AE3828" s="428"/>
      <c r="AF3828" s="431"/>
      <c r="AG3828" s="432"/>
      <c r="AH3828" s="430"/>
      <c r="AI3828" s="430"/>
      <c r="AJ3828" s="430"/>
      <c r="AK3828" s="430"/>
      <c r="AL3828" s="430"/>
      <c r="AM3828" s="433"/>
      <c r="AN3828" s="430"/>
      <c r="AO3828" s="430"/>
      <c r="AP3828" s="430"/>
      <c r="AQ3828" s="430"/>
      <c r="AR3828" s="430"/>
      <c r="AS3828" s="430"/>
      <c r="AT3828" s="430"/>
      <c r="AU3828" s="426"/>
      <c r="AV3828" s="174"/>
      <c r="AW3828" s="269"/>
      <c r="AX3828" s="269"/>
      <c r="AY3828" s="270"/>
      <c r="AZ3828" s="435"/>
      <c r="BA3828" s="173"/>
      <c r="BB3828" s="434"/>
      <c r="BC3828" s="434"/>
      <c r="BD3828" s="308"/>
      <c r="BE3828" s="436"/>
      <c r="BF3828" s="274" t="str">
        <f>IFERROR(__xludf.DUMMYFUNCTION("LOWER(Regexreplace(to_text(E3828),""[^A-Za-z0-9]"","""")&amp;""_""&amp;Regexreplace(to_text(F3828),""[^A-Za-z0-9]"",""""))"),"_")</f>
        <v>_</v>
      </c>
      <c r="BG3828" s="275" t="str">
        <f>IFERROR(__xludf.DUMMYFUNCTION("upper(Regexreplace(to_text(E3828),""[^A-Za-z0-9]"","""")&amp;""-""&amp;Regexreplace(to_text(F3828),""[^A-Za-z0-9]"",""""))"),"-")</f>
        <v>-</v>
      </c>
    </row>
    <row r="3829" ht="30.0" customHeight="1">
      <c r="A3829" s="237"/>
      <c r="B3829" s="425"/>
      <c r="C3829" s="257"/>
      <c r="D3829" s="173"/>
      <c r="E3829" s="174"/>
      <c r="F3829" s="173"/>
      <c r="G3829" s="425"/>
      <c r="H3829" s="425"/>
      <c r="I3829" s="258"/>
      <c r="J3829" s="259"/>
      <c r="K3829" s="260"/>
      <c r="L3829" s="442"/>
      <c r="M3829" s="426"/>
      <c r="N3829" s="173"/>
      <c r="O3829" s="173"/>
      <c r="P3829" s="262"/>
      <c r="Q3829" s="173"/>
      <c r="R3829" s="425"/>
      <c r="S3829" s="339"/>
      <c r="T3829" s="427"/>
      <c r="U3829" s="427"/>
      <c r="V3829" s="428"/>
      <c r="W3829" s="429"/>
      <c r="X3829" s="430"/>
      <c r="Y3829" s="33"/>
      <c r="Z3829" s="430"/>
      <c r="AA3829" s="430"/>
      <c r="AB3829" s="258"/>
      <c r="AC3829" s="430"/>
      <c r="AD3829" s="426"/>
      <c r="AE3829" s="428"/>
      <c r="AF3829" s="431"/>
      <c r="AG3829" s="432"/>
      <c r="AH3829" s="430"/>
      <c r="AI3829" s="430"/>
      <c r="AJ3829" s="430"/>
      <c r="AK3829" s="430"/>
      <c r="AL3829" s="430"/>
      <c r="AM3829" s="433"/>
      <c r="AN3829" s="430"/>
      <c r="AO3829" s="430"/>
      <c r="AP3829" s="430"/>
      <c r="AQ3829" s="430"/>
      <c r="AR3829" s="430"/>
      <c r="AS3829" s="430"/>
      <c r="AT3829" s="430"/>
      <c r="AU3829" s="426"/>
      <c r="AV3829" s="174"/>
      <c r="AW3829" s="269"/>
      <c r="AX3829" s="269"/>
      <c r="AY3829" s="270"/>
      <c r="AZ3829" s="435"/>
      <c r="BA3829" s="173"/>
      <c r="BB3829" s="434"/>
      <c r="BC3829" s="434"/>
      <c r="BD3829" s="308"/>
      <c r="BE3829" s="436"/>
      <c r="BF3829" s="274" t="str">
        <f>IFERROR(__xludf.DUMMYFUNCTION("LOWER(Regexreplace(to_text(E3829),""[^A-Za-z0-9]"","""")&amp;""_""&amp;Regexreplace(to_text(F3829),""[^A-Za-z0-9]"",""""))"),"_")</f>
        <v>_</v>
      </c>
      <c r="BG3829" s="275" t="str">
        <f>IFERROR(__xludf.DUMMYFUNCTION("upper(Regexreplace(to_text(E3829),""[^A-Za-z0-9]"","""")&amp;""-""&amp;Regexreplace(to_text(F3829),""[^A-Za-z0-9]"",""""))"),"-")</f>
        <v>-</v>
      </c>
    </row>
    <row r="3830" ht="30.0" customHeight="1">
      <c r="A3830" s="237"/>
      <c r="B3830" s="425"/>
      <c r="C3830" s="257"/>
      <c r="D3830" s="173"/>
      <c r="E3830" s="174"/>
      <c r="F3830" s="173"/>
      <c r="G3830" s="425"/>
      <c r="H3830" s="425"/>
      <c r="I3830" s="258"/>
      <c r="J3830" s="259"/>
      <c r="K3830" s="260"/>
      <c r="L3830" s="442"/>
      <c r="M3830" s="426"/>
      <c r="N3830" s="173"/>
      <c r="O3830" s="173"/>
      <c r="P3830" s="262"/>
      <c r="Q3830" s="173"/>
      <c r="R3830" s="425"/>
      <c r="S3830" s="339"/>
      <c r="T3830" s="427"/>
      <c r="U3830" s="427"/>
      <c r="V3830" s="428"/>
      <c r="W3830" s="429"/>
      <c r="X3830" s="430"/>
      <c r="Y3830" s="33"/>
      <c r="Z3830" s="430"/>
      <c r="AA3830" s="430"/>
      <c r="AB3830" s="258"/>
      <c r="AC3830" s="430"/>
      <c r="AD3830" s="426"/>
      <c r="AE3830" s="428"/>
      <c r="AF3830" s="431"/>
      <c r="AG3830" s="432"/>
      <c r="AH3830" s="430"/>
      <c r="AI3830" s="430"/>
      <c r="AJ3830" s="430"/>
      <c r="AK3830" s="430"/>
      <c r="AL3830" s="430"/>
      <c r="AM3830" s="433"/>
      <c r="AN3830" s="430"/>
      <c r="AO3830" s="430"/>
      <c r="AP3830" s="430"/>
      <c r="AQ3830" s="430"/>
      <c r="AR3830" s="430"/>
      <c r="AS3830" s="430"/>
      <c r="AT3830" s="430"/>
      <c r="AU3830" s="426"/>
      <c r="AV3830" s="174"/>
      <c r="AW3830" s="269"/>
      <c r="AX3830" s="269"/>
      <c r="AY3830" s="270"/>
      <c r="AZ3830" s="435"/>
      <c r="BA3830" s="173"/>
      <c r="BB3830" s="434"/>
      <c r="BC3830" s="434"/>
      <c r="BD3830" s="308"/>
      <c r="BE3830" s="436"/>
      <c r="BF3830" s="274" t="str">
        <f>IFERROR(__xludf.DUMMYFUNCTION("LOWER(Regexreplace(to_text(E3830),""[^A-Za-z0-9]"","""")&amp;""_""&amp;Regexreplace(to_text(F3830),""[^A-Za-z0-9]"",""""))"),"_")</f>
        <v>_</v>
      </c>
      <c r="BG3830" s="275" t="str">
        <f>IFERROR(__xludf.DUMMYFUNCTION("upper(Regexreplace(to_text(E3830),""[^A-Za-z0-9]"","""")&amp;""-""&amp;Regexreplace(to_text(F3830),""[^A-Za-z0-9]"",""""))"),"-")</f>
        <v>-</v>
      </c>
    </row>
    <row r="3831" ht="30.0" customHeight="1">
      <c r="A3831" s="237"/>
      <c r="B3831" s="425"/>
      <c r="C3831" s="257"/>
      <c r="D3831" s="173"/>
      <c r="E3831" s="174"/>
      <c r="F3831" s="173"/>
      <c r="G3831" s="425"/>
      <c r="H3831" s="425"/>
      <c r="I3831" s="258"/>
      <c r="J3831" s="259"/>
      <c r="K3831" s="260"/>
      <c r="L3831" s="442"/>
      <c r="M3831" s="426"/>
      <c r="N3831" s="173"/>
      <c r="O3831" s="173"/>
      <c r="P3831" s="262"/>
      <c r="Q3831" s="173"/>
      <c r="R3831" s="425"/>
      <c r="S3831" s="339"/>
      <c r="T3831" s="427"/>
      <c r="U3831" s="427"/>
      <c r="V3831" s="428"/>
      <c r="W3831" s="429"/>
      <c r="X3831" s="430"/>
      <c r="Y3831" s="33"/>
      <c r="Z3831" s="430"/>
      <c r="AA3831" s="430"/>
      <c r="AB3831" s="258"/>
      <c r="AC3831" s="430"/>
      <c r="AD3831" s="426"/>
      <c r="AE3831" s="428"/>
      <c r="AF3831" s="431"/>
      <c r="AG3831" s="432"/>
      <c r="AH3831" s="430"/>
      <c r="AI3831" s="430"/>
      <c r="AJ3831" s="430"/>
      <c r="AK3831" s="430"/>
      <c r="AL3831" s="430"/>
      <c r="AM3831" s="433"/>
      <c r="AN3831" s="430"/>
      <c r="AO3831" s="430"/>
      <c r="AP3831" s="430"/>
      <c r="AQ3831" s="430"/>
      <c r="AR3831" s="430"/>
      <c r="AS3831" s="430"/>
      <c r="AT3831" s="430"/>
      <c r="AU3831" s="426"/>
      <c r="AV3831" s="174"/>
      <c r="AW3831" s="269"/>
      <c r="AX3831" s="269"/>
      <c r="AY3831" s="270"/>
      <c r="AZ3831" s="435"/>
      <c r="BA3831" s="173"/>
      <c r="BB3831" s="434"/>
      <c r="BC3831" s="434"/>
      <c r="BD3831" s="308"/>
      <c r="BE3831" s="436"/>
      <c r="BF3831" s="274" t="str">
        <f>IFERROR(__xludf.DUMMYFUNCTION("LOWER(Regexreplace(to_text(E3831),""[^A-Za-z0-9]"","""")&amp;""_""&amp;Regexreplace(to_text(F3831),""[^A-Za-z0-9]"",""""))"),"_")</f>
        <v>_</v>
      </c>
      <c r="BG3831" s="275" t="str">
        <f>IFERROR(__xludf.DUMMYFUNCTION("upper(Regexreplace(to_text(E3831),""[^A-Za-z0-9]"","""")&amp;""-""&amp;Regexreplace(to_text(F3831),""[^A-Za-z0-9]"",""""))"),"-")</f>
        <v>-</v>
      </c>
    </row>
    <row r="3832" ht="30.0" customHeight="1">
      <c r="A3832" s="237"/>
      <c r="B3832" s="425"/>
      <c r="C3832" s="257"/>
      <c r="D3832" s="173"/>
      <c r="E3832" s="174"/>
      <c r="F3832" s="173"/>
      <c r="G3832" s="425"/>
      <c r="H3832" s="425"/>
      <c r="I3832" s="258"/>
      <c r="J3832" s="259"/>
      <c r="K3832" s="260"/>
      <c r="L3832" s="442"/>
      <c r="M3832" s="426"/>
      <c r="N3832" s="173"/>
      <c r="O3832" s="173"/>
      <c r="P3832" s="262"/>
      <c r="Q3832" s="173"/>
      <c r="R3832" s="425"/>
      <c r="S3832" s="339"/>
      <c r="T3832" s="427"/>
      <c r="U3832" s="427"/>
      <c r="V3832" s="428"/>
      <c r="W3832" s="429"/>
      <c r="X3832" s="430"/>
      <c r="Y3832" s="33"/>
      <c r="Z3832" s="430"/>
      <c r="AA3832" s="430"/>
      <c r="AB3832" s="258"/>
      <c r="AC3832" s="430"/>
      <c r="AD3832" s="426"/>
      <c r="AE3832" s="428"/>
      <c r="AF3832" s="431"/>
      <c r="AG3832" s="432"/>
      <c r="AH3832" s="430"/>
      <c r="AI3832" s="430"/>
      <c r="AJ3832" s="430"/>
      <c r="AK3832" s="430"/>
      <c r="AL3832" s="430"/>
      <c r="AM3832" s="433"/>
      <c r="AN3832" s="430"/>
      <c r="AO3832" s="430"/>
      <c r="AP3832" s="430"/>
      <c r="AQ3832" s="430"/>
      <c r="AR3832" s="430"/>
      <c r="AS3832" s="430"/>
      <c r="AT3832" s="430"/>
      <c r="AU3832" s="426"/>
      <c r="AV3832" s="174"/>
      <c r="AW3832" s="269"/>
      <c r="AX3832" s="269"/>
      <c r="AY3832" s="270"/>
      <c r="AZ3832" s="435"/>
      <c r="BA3832" s="173"/>
      <c r="BB3832" s="434"/>
      <c r="BC3832" s="434"/>
      <c r="BD3832" s="308"/>
      <c r="BE3832" s="436"/>
      <c r="BF3832" s="274" t="str">
        <f>IFERROR(__xludf.DUMMYFUNCTION("LOWER(Regexreplace(to_text(E3832),""[^A-Za-z0-9]"","""")&amp;""_""&amp;Regexreplace(to_text(F3832),""[^A-Za-z0-9]"",""""))"),"_")</f>
        <v>_</v>
      </c>
      <c r="BG3832" s="275" t="str">
        <f>IFERROR(__xludf.DUMMYFUNCTION("upper(Regexreplace(to_text(E3832),""[^A-Za-z0-9]"","""")&amp;""-""&amp;Regexreplace(to_text(F3832),""[^A-Za-z0-9]"",""""))"),"-")</f>
        <v>-</v>
      </c>
    </row>
    <row r="3833" ht="30.0" customHeight="1">
      <c r="A3833" s="237"/>
      <c r="B3833" s="425"/>
      <c r="C3833" s="257"/>
      <c r="D3833" s="173"/>
      <c r="E3833" s="174"/>
      <c r="F3833" s="173"/>
      <c r="G3833" s="425"/>
      <c r="H3833" s="425"/>
      <c r="I3833" s="258"/>
      <c r="J3833" s="259"/>
      <c r="K3833" s="260"/>
      <c r="L3833" s="442"/>
      <c r="M3833" s="426"/>
      <c r="N3833" s="173"/>
      <c r="O3833" s="173"/>
      <c r="P3833" s="262"/>
      <c r="Q3833" s="173"/>
      <c r="R3833" s="425"/>
      <c r="S3833" s="339"/>
      <c r="T3833" s="427"/>
      <c r="U3833" s="427"/>
      <c r="V3833" s="428"/>
      <c r="W3833" s="429"/>
      <c r="X3833" s="430"/>
      <c r="Y3833" s="33"/>
      <c r="Z3833" s="430"/>
      <c r="AA3833" s="430"/>
      <c r="AB3833" s="258"/>
      <c r="AC3833" s="430"/>
      <c r="AD3833" s="426"/>
      <c r="AE3833" s="428"/>
      <c r="AF3833" s="431"/>
      <c r="AG3833" s="432"/>
      <c r="AH3833" s="430"/>
      <c r="AI3833" s="430"/>
      <c r="AJ3833" s="430"/>
      <c r="AK3833" s="430"/>
      <c r="AL3833" s="430"/>
      <c r="AM3833" s="433"/>
      <c r="AN3833" s="430"/>
      <c r="AO3833" s="430"/>
      <c r="AP3833" s="430"/>
      <c r="AQ3833" s="430"/>
      <c r="AR3833" s="430"/>
      <c r="AS3833" s="430"/>
      <c r="AT3833" s="430"/>
      <c r="AU3833" s="426"/>
      <c r="AV3833" s="174"/>
      <c r="AW3833" s="269"/>
      <c r="AX3833" s="269"/>
      <c r="AY3833" s="270"/>
      <c r="AZ3833" s="435"/>
      <c r="BA3833" s="173"/>
      <c r="BB3833" s="434"/>
      <c r="BC3833" s="434"/>
      <c r="BD3833" s="308"/>
      <c r="BE3833" s="436"/>
      <c r="BF3833" s="274" t="str">
        <f>IFERROR(__xludf.DUMMYFUNCTION("LOWER(Regexreplace(to_text(E3833),""[^A-Za-z0-9]"","""")&amp;""_""&amp;Regexreplace(to_text(F3833),""[^A-Za-z0-9]"",""""))"),"_")</f>
        <v>_</v>
      </c>
      <c r="BG3833" s="275" t="str">
        <f>IFERROR(__xludf.DUMMYFUNCTION("upper(Regexreplace(to_text(E3833),""[^A-Za-z0-9]"","""")&amp;""-""&amp;Regexreplace(to_text(F3833),""[^A-Za-z0-9]"",""""))"),"-")</f>
        <v>-</v>
      </c>
    </row>
    <row r="3834" ht="30.0" customHeight="1">
      <c r="A3834" s="237"/>
      <c r="B3834" s="425"/>
      <c r="C3834" s="257"/>
      <c r="D3834" s="173"/>
      <c r="E3834" s="174"/>
      <c r="F3834" s="173"/>
      <c r="G3834" s="425"/>
      <c r="H3834" s="425"/>
      <c r="I3834" s="258"/>
      <c r="J3834" s="259"/>
      <c r="K3834" s="260"/>
      <c r="L3834" s="442"/>
      <c r="M3834" s="426"/>
      <c r="N3834" s="173"/>
      <c r="O3834" s="173"/>
      <c r="P3834" s="262"/>
      <c r="Q3834" s="173"/>
      <c r="R3834" s="425"/>
      <c r="S3834" s="339"/>
      <c r="T3834" s="427"/>
      <c r="U3834" s="427"/>
      <c r="V3834" s="428"/>
      <c r="W3834" s="429"/>
      <c r="X3834" s="430"/>
      <c r="Y3834" s="33"/>
      <c r="Z3834" s="430"/>
      <c r="AA3834" s="430"/>
      <c r="AB3834" s="258"/>
      <c r="AC3834" s="430"/>
      <c r="AD3834" s="426"/>
      <c r="AE3834" s="428"/>
      <c r="AF3834" s="431"/>
      <c r="AG3834" s="432"/>
      <c r="AH3834" s="430"/>
      <c r="AI3834" s="430"/>
      <c r="AJ3834" s="430"/>
      <c r="AK3834" s="430"/>
      <c r="AL3834" s="430"/>
      <c r="AM3834" s="433"/>
      <c r="AN3834" s="430"/>
      <c r="AO3834" s="430"/>
      <c r="AP3834" s="430"/>
      <c r="AQ3834" s="430"/>
      <c r="AR3834" s="430"/>
      <c r="AS3834" s="430"/>
      <c r="AT3834" s="430"/>
      <c r="AU3834" s="426"/>
      <c r="AV3834" s="174"/>
      <c r="AW3834" s="269"/>
      <c r="AX3834" s="269"/>
      <c r="AY3834" s="270"/>
      <c r="AZ3834" s="435"/>
      <c r="BA3834" s="173"/>
      <c r="BB3834" s="434"/>
      <c r="BC3834" s="434"/>
      <c r="BD3834" s="308"/>
      <c r="BE3834" s="436"/>
      <c r="BF3834" s="274" t="str">
        <f>IFERROR(__xludf.DUMMYFUNCTION("LOWER(Regexreplace(to_text(E3834),""[^A-Za-z0-9]"","""")&amp;""_""&amp;Regexreplace(to_text(F3834),""[^A-Za-z0-9]"",""""))"),"_")</f>
        <v>_</v>
      </c>
      <c r="BG3834" s="275" t="str">
        <f>IFERROR(__xludf.DUMMYFUNCTION("upper(Regexreplace(to_text(E3834),""[^A-Za-z0-9]"","""")&amp;""-""&amp;Regexreplace(to_text(F3834),""[^A-Za-z0-9]"",""""))"),"-")</f>
        <v>-</v>
      </c>
    </row>
    <row r="3835" ht="30.0" customHeight="1">
      <c r="A3835" s="237"/>
      <c r="B3835" s="425"/>
      <c r="C3835" s="257"/>
      <c r="D3835" s="173"/>
      <c r="E3835" s="174"/>
      <c r="F3835" s="173"/>
      <c r="G3835" s="425"/>
      <c r="H3835" s="425"/>
      <c r="I3835" s="258"/>
      <c r="J3835" s="259"/>
      <c r="K3835" s="260"/>
      <c r="L3835" s="442"/>
      <c r="M3835" s="426"/>
      <c r="N3835" s="173"/>
      <c r="O3835" s="173"/>
      <c r="P3835" s="262"/>
      <c r="Q3835" s="173"/>
      <c r="R3835" s="425"/>
      <c r="S3835" s="339"/>
      <c r="T3835" s="427"/>
      <c r="U3835" s="427"/>
      <c r="V3835" s="428"/>
      <c r="W3835" s="429"/>
      <c r="X3835" s="430"/>
      <c r="Y3835" s="33"/>
      <c r="Z3835" s="430"/>
      <c r="AA3835" s="430"/>
      <c r="AB3835" s="258"/>
      <c r="AC3835" s="430"/>
      <c r="AD3835" s="426"/>
      <c r="AE3835" s="428"/>
      <c r="AF3835" s="431"/>
      <c r="AG3835" s="432"/>
      <c r="AH3835" s="430"/>
      <c r="AI3835" s="430"/>
      <c r="AJ3835" s="430"/>
      <c r="AK3835" s="430"/>
      <c r="AL3835" s="430"/>
      <c r="AM3835" s="433"/>
      <c r="AN3835" s="430"/>
      <c r="AO3835" s="430"/>
      <c r="AP3835" s="430"/>
      <c r="AQ3835" s="430"/>
      <c r="AR3835" s="430"/>
      <c r="AS3835" s="430"/>
      <c r="AT3835" s="430"/>
      <c r="AU3835" s="426"/>
      <c r="AV3835" s="174"/>
      <c r="AW3835" s="269"/>
      <c r="AX3835" s="269"/>
      <c r="AY3835" s="270"/>
      <c r="AZ3835" s="435"/>
      <c r="BA3835" s="173"/>
      <c r="BB3835" s="434"/>
      <c r="BC3835" s="434"/>
      <c r="BD3835" s="308"/>
      <c r="BE3835" s="436"/>
      <c r="BF3835" s="274" t="str">
        <f>IFERROR(__xludf.DUMMYFUNCTION("LOWER(Regexreplace(to_text(E3835),""[^A-Za-z0-9]"","""")&amp;""_""&amp;Regexreplace(to_text(F3835),""[^A-Za-z0-9]"",""""))"),"_")</f>
        <v>_</v>
      </c>
      <c r="BG3835" s="275" t="str">
        <f>IFERROR(__xludf.DUMMYFUNCTION("upper(Regexreplace(to_text(E3835),""[^A-Za-z0-9]"","""")&amp;""-""&amp;Regexreplace(to_text(F3835),""[^A-Za-z0-9]"",""""))"),"-")</f>
        <v>-</v>
      </c>
    </row>
    <row r="3836" ht="30.0" customHeight="1">
      <c r="A3836" s="237"/>
      <c r="B3836" s="425"/>
      <c r="C3836" s="257"/>
      <c r="D3836" s="173"/>
      <c r="E3836" s="174"/>
      <c r="F3836" s="173"/>
      <c r="G3836" s="425"/>
      <c r="H3836" s="425"/>
      <c r="I3836" s="258"/>
      <c r="J3836" s="259"/>
      <c r="K3836" s="260"/>
      <c r="L3836" s="442"/>
      <c r="M3836" s="426"/>
      <c r="N3836" s="173"/>
      <c r="O3836" s="173"/>
      <c r="P3836" s="262"/>
      <c r="Q3836" s="173"/>
      <c r="R3836" s="425"/>
      <c r="S3836" s="339"/>
      <c r="T3836" s="427"/>
      <c r="U3836" s="427"/>
      <c r="V3836" s="428"/>
      <c r="W3836" s="429"/>
      <c r="X3836" s="430"/>
      <c r="Y3836" s="33"/>
      <c r="Z3836" s="430"/>
      <c r="AA3836" s="430"/>
      <c r="AB3836" s="258"/>
      <c r="AC3836" s="430"/>
      <c r="AD3836" s="426"/>
      <c r="AE3836" s="428"/>
      <c r="AF3836" s="431"/>
      <c r="AG3836" s="432"/>
      <c r="AH3836" s="430"/>
      <c r="AI3836" s="430"/>
      <c r="AJ3836" s="430"/>
      <c r="AK3836" s="430"/>
      <c r="AL3836" s="430"/>
      <c r="AM3836" s="433"/>
      <c r="AN3836" s="430"/>
      <c r="AO3836" s="430"/>
      <c r="AP3836" s="430"/>
      <c r="AQ3836" s="430"/>
      <c r="AR3836" s="430"/>
      <c r="AS3836" s="430"/>
      <c r="AT3836" s="430"/>
      <c r="AU3836" s="426"/>
      <c r="AV3836" s="174"/>
      <c r="AW3836" s="269"/>
      <c r="AX3836" s="269"/>
      <c r="AY3836" s="270"/>
      <c r="AZ3836" s="435"/>
      <c r="BA3836" s="173"/>
      <c r="BB3836" s="434"/>
      <c r="BC3836" s="434"/>
      <c r="BD3836" s="308"/>
      <c r="BE3836" s="436"/>
      <c r="BF3836" s="274" t="str">
        <f>IFERROR(__xludf.DUMMYFUNCTION("LOWER(Regexreplace(to_text(E3836),""[^A-Za-z0-9]"","""")&amp;""_""&amp;Regexreplace(to_text(F3836),""[^A-Za-z0-9]"",""""))"),"_")</f>
        <v>_</v>
      </c>
      <c r="BG3836" s="275" t="str">
        <f>IFERROR(__xludf.DUMMYFUNCTION("upper(Regexreplace(to_text(E3836),""[^A-Za-z0-9]"","""")&amp;""-""&amp;Regexreplace(to_text(F3836),""[^A-Za-z0-9]"",""""))"),"-")</f>
        <v>-</v>
      </c>
    </row>
    <row r="3837" ht="30.0" customHeight="1">
      <c r="A3837" s="237"/>
      <c r="B3837" s="425"/>
      <c r="C3837" s="257"/>
      <c r="D3837" s="173"/>
      <c r="E3837" s="174"/>
      <c r="F3837" s="173"/>
      <c r="G3837" s="425"/>
      <c r="H3837" s="425"/>
      <c r="I3837" s="258"/>
      <c r="J3837" s="259"/>
      <c r="K3837" s="260"/>
      <c r="L3837" s="442"/>
      <c r="M3837" s="426"/>
      <c r="N3837" s="173"/>
      <c r="O3837" s="173"/>
      <c r="P3837" s="262"/>
      <c r="Q3837" s="173"/>
      <c r="R3837" s="425"/>
      <c r="S3837" s="339"/>
      <c r="T3837" s="427"/>
      <c r="U3837" s="427"/>
      <c r="V3837" s="428"/>
      <c r="W3837" s="429"/>
      <c r="X3837" s="430"/>
      <c r="Y3837" s="33"/>
      <c r="Z3837" s="430"/>
      <c r="AA3837" s="430"/>
      <c r="AB3837" s="258"/>
      <c r="AC3837" s="430"/>
      <c r="AD3837" s="426"/>
      <c r="AE3837" s="428"/>
      <c r="AF3837" s="431"/>
      <c r="AG3837" s="432"/>
      <c r="AH3837" s="430"/>
      <c r="AI3837" s="430"/>
      <c r="AJ3837" s="430"/>
      <c r="AK3837" s="430"/>
      <c r="AL3837" s="430"/>
      <c r="AM3837" s="433"/>
      <c r="AN3837" s="430"/>
      <c r="AO3837" s="430"/>
      <c r="AP3837" s="430"/>
      <c r="AQ3837" s="430"/>
      <c r="AR3837" s="430"/>
      <c r="AS3837" s="430"/>
      <c r="AT3837" s="430"/>
      <c r="AU3837" s="426"/>
      <c r="AV3837" s="174"/>
      <c r="AW3837" s="269"/>
      <c r="AX3837" s="269"/>
      <c r="AY3837" s="270"/>
      <c r="AZ3837" s="435"/>
      <c r="BA3837" s="173"/>
      <c r="BB3837" s="434"/>
      <c r="BC3837" s="434"/>
      <c r="BD3837" s="308"/>
      <c r="BE3837" s="436"/>
      <c r="BF3837" s="274" t="str">
        <f>IFERROR(__xludf.DUMMYFUNCTION("LOWER(Regexreplace(to_text(E3837),""[^A-Za-z0-9]"","""")&amp;""_""&amp;Regexreplace(to_text(F3837),""[^A-Za-z0-9]"",""""))"),"_")</f>
        <v>_</v>
      </c>
      <c r="BG3837" s="275" t="str">
        <f>IFERROR(__xludf.DUMMYFUNCTION("upper(Regexreplace(to_text(E3837),""[^A-Za-z0-9]"","""")&amp;""-""&amp;Regexreplace(to_text(F3837),""[^A-Za-z0-9]"",""""))"),"-")</f>
        <v>-</v>
      </c>
    </row>
    <row r="3838" ht="30.0" customHeight="1">
      <c r="A3838" s="237"/>
      <c r="B3838" s="425"/>
      <c r="C3838" s="257"/>
      <c r="D3838" s="173"/>
      <c r="E3838" s="174"/>
      <c r="F3838" s="173"/>
      <c r="G3838" s="425"/>
      <c r="H3838" s="425"/>
      <c r="I3838" s="258"/>
      <c r="J3838" s="259"/>
      <c r="K3838" s="260"/>
      <c r="L3838" s="442"/>
      <c r="M3838" s="426"/>
      <c r="N3838" s="173"/>
      <c r="O3838" s="173"/>
      <c r="P3838" s="262"/>
      <c r="Q3838" s="173"/>
      <c r="R3838" s="425"/>
      <c r="S3838" s="339"/>
      <c r="T3838" s="427"/>
      <c r="U3838" s="427"/>
      <c r="V3838" s="428"/>
      <c r="W3838" s="429"/>
      <c r="X3838" s="430"/>
      <c r="Y3838" s="33"/>
      <c r="Z3838" s="430"/>
      <c r="AA3838" s="430"/>
      <c r="AB3838" s="258"/>
      <c r="AC3838" s="430"/>
      <c r="AD3838" s="426"/>
      <c r="AE3838" s="428"/>
      <c r="AF3838" s="431"/>
      <c r="AG3838" s="432"/>
      <c r="AH3838" s="430"/>
      <c r="AI3838" s="430"/>
      <c r="AJ3838" s="430"/>
      <c r="AK3838" s="430"/>
      <c r="AL3838" s="430"/>
      <c r="AM3838" s="433"/>
      <c r="AN3838" s="430"/>
      <c r="AO3838" s="430"/>
      <c r="AP3838" s="430"/>
      <c r="AQ3838" s="430"/>
      <c r="AR3838" s="430"/>
      <c r="AS3838" s="430"/>
      <c r="AT3838" s="430"/>
      <c r="AU3838" s="426"/>
      <c r="AV3838" s="174"/>
      <c r="AW3838" s="269"/>
      <c r="AX3838" s="269"/>
      <c r="AY3838" s="270"/>
      <c r="AZ3838" s="435"/>
      <c r="BA3838" s="173"/>
      <c r="BB3838" s="434"/>
      <c r="BC3838" s="434"/>
      <c r="BD3838" s="308"/>
      <c r="BE3838" s="436"/>
      <c r="BF3838" s="274" t="str">
        <f>IFERROR(__xludf.DUMMYFUNCTION("LOWER(Regexreplace(to_text(E3838),""[^A-Za-z0-9]"","""")&amp;""_""&amp;Regexreplace(to_text(F3838),""[^A-Za-z0-9]"",""""))"),"_")</f>
        <v>_</v>
      </c>
      <c r="BG3838" s="275" t="str">
        <f>IFERROR(__xludf.DUMMYFUNCTION("upper(Regexreplace(to_text(E3838),""[^A-Za-z0-9]"","""")&amp;""-""&amp;Regexreplace(to_text(F3838),""[^A-Za-z0-9]"",""""))"),"-")</f>
        <v>-</v>
      </c>
    </row>
    <row r="3839" ht="30.0" customHeight="1">
      <c r="A3839" s="237"/>
      <c r="B3839" s="425"/>
      <c r="C3839" s="257"/>
      <c r="D3839" s="173"/>
      <c r="E3839" s="174"/>
      <c r="F3839" s="173"/>
      <c r="G3839" s="425"/>
      <c r="H3839" s="425"/>
      <c r="I3839" s="258"/>
      <c r="J3839" s="259"/>
      <c r="K3839" s="260"/>
      <c r="L3839" s="442"/>
      <c r="M3839" s="426"/>
      <c r="N3839" s="173"/>
      <c r="O3839" s="173"/>
      <c r="P3839" s="262"/>
      <c r="Q3839" s="173"/>
      <c r="R3839" s="425"/>
      <c r="S3839" s="339"/>
      <c r="T3839" s="427"/>
      <c r="U3839" s="427"/>
      <c r="V3839" s="428"/>
      <c r="W3839" s="429"/>
      <c r="X3839" s="430"/>
      <c r="Y3839" s="33"/>
      <c r="Z3839" s="430"/>
      <c r="AA3839" s="430"/>
      <c r="AB3839" s="258"/>
      <c r="AC3839" s="430"/>
      <c r="AD3839" s="426"/>
      <c r="AE3839" s="428"/>
      <c r="AF3839" s="431"/>
      <c r="AG3839" s="432"/>
      <c r="AH3839" s="430"/>
      <c r="AI3839" s="430"/>
      <c r="AJ3839" s="430"/>
      <c r="AK3839" s="430"/>
      <c r="AL3839" s="430"/>
      <c r="AM3839" s="433"/>
      <c r="AN3839" s="430"/>
      <c r="AO3839" s="430"/>
      <c r="AP3839" s="430"/>
      <c r="AQ3839" s="430"/>
      <c r="AR3839" s="430"/>
      <c r="AS3839" s="430"/>
      <c r="AT3839" s="430"/>
      <c r="AU3839" s="426"/>
      <c r="AV3839" s="174"/>
      <c r="AW3839" s="269"/>
      <c r="AX3839" s="269"/>
      <c r="AY3839" s="270"/>
      <c r="AZ3839" s="435"/>
      <c r="BA3839" s="173"/>
      <c r="BB3839" s="434"/>
      <c r="BC3839" s="434"/>
      <c r="BD3839" s="308"/>
      <c r="BE3839" s="436"/>
      <c r="BF3839" s="274" t="str">
        <f>IFERROR(__xludf.DUMMYFUNCTION("LOWER(Regexreplace(to_text(E3839),""[^A-Za-z0-9]"","""")&amp;""_""&amp;Regexreplace(to_text(F3839),""[^A-Za-z0-9]"",""""))"),"_")</f>
        <v>_</v>
      </c>
      <c r="BG3839" s="275" t="str">
        <f>IFERROR(__xludf.DUMMYFUNCTION("upper(Regexreplace(to_text(E3839),""[^A-Za-z0-9]"","""")&amp;""-""&amp;Regexreplace(to_text(F3839),""[^A-Za-z0-9]"",""""))"),"-")</f>
        <v>-</v>
      </c>
    </row>
    <row r="3840" ht="30.0" customHeight="1">
      <c r="A3840" s="237"/>
      <c r="B3840" s="425"/>
      <c r="C3840" s="257"/>
      <c r="D3840" s="173"/>
      <c r="E3840" s="174"/>
      <c r="F3840" s="173"/>
      <c r="G3840" s="425"/>
      <c r="H3840" s="425"/>
      <c r="I3840" s="258"/>
      <c r="J3840" s="259"/>
      <c r="K3840" s="260"/>
      <c r="L3840" s="442"/>
      <c r="M3840" s="426"/>
      <c r="N3840" s="173"/>
      <c r="O3840" s="173"/>
      <c r="P3840" s="262"/>
      <c r="Q3840" s="173"/>
      <c r="R3840" s="425"/>
      <c r="S3840" s="339"/>
      <c r="T3840" s="427"/>
      <c r="U3840" s="427"/>
      <c r="V3840" s="428"/>
      <c r="W3840" s="429"/>
      <c r="X3840" s="430"/>
      <c r="Y3840" s="33"/>
      <c r="Z3840" s="430"/>
      <c r="AA3840" s="430"/>
      <c r="AB3840" s="258"/>
      <c r="AC3840" s="430"/>
      <c r="AD3840" s="426"/>
      <c r="AE3840" s="428"/>
      <c r="AF3840" s="431"/>
      <c r="AG3840" s="432"/>
      <c r="AH3840" s="430"/>
      <c r="AI3840" s="430"/>
      <c r="AJ3840" s="430"/>
      <c r="AK3840" s="430"/>
      <c r="AL3840" s="430"/>
      <c r="AM3840" s="433"/>
      <c r="AN3840" s="430"/>
      <c r="AO3840" s="430"/>
      <c r="AP3840" s="430"/>
      <c r="AQ3840" s="430"/>
      <c r="AR3840" s="430"/>
      <c r="AS3840" s="430"/>
      <c r="AT3840" s="430"/>
      <c r="AU3840" s="426"/>
      <c r="AV3840" s="174"/>
      <c r="AW3840" s="269"/>
      <c r="AX3840" s="269"/>
      <c r="AY3840" s="270"/>
      <c r="AZ3840" s="435"/>
      <c r="BA3840" s="173"/>
      <c r="BB3840" s="434"/>
      <c r="BC3840" s="434"/>
      <c r="BD3840" s="308"/>
      <c r="BE3840" s="436"/>
      <c r="BF3840" s="274" t="str">
        <f>IFERROR(__xludf.DUMMYFUNCTION("LOWER(Regexreplace(to_text(E3840),""[^A-Za-z0-9]"","""")&amp;""_""&amp;Regexreplace(to_text(F3840),""[^A-Za-z0-9]"",""""))"),"_")</f>
        <v>_</v>
      </c>
      <c r="BG3840" s="275" t="str">
        <f>IFERROR(__xludf.DUMMYFUNCTION("upper(Regexreplace(to_text(E3840),""[^A-Za-z0-9]"","""")&amp;""-""&amp;Regexreplace(to_text(F3840),""[^A-Za-z0-9]"",""""))"),"-")</f>
        <v>-</v>
      </c>
    </row>
    <row r="3841" ht="30.0" customHeight="1">
      <c r="A3841" s="237"/>
      <c r="B3841" s="425"/>
      <c r="C3841" s="257"/>
      <c r="D3841" s="173"/>
      <c r="E3841" s="174"/>
      <c r="F3841" s="173"/>
      <c r="G3841" s="425"/>
      <c r="H3841" s="425"/>
      <c r="I3841" s="258"/>
      <c r="J3841" s="259"/>
      <c r="K3841" s="260"/>
      <c r="L3841" s="442"/>
      <c r="M3841" s="426"/>
      <c r="N3841" s="173"/>
      <c r="O3841" s="173"/>
      <c r="P3841" s="262"/>
      <c r="Q3841" s="173"/>
      <c r="R3841" s="425"/>
      <c r="S3841" s="339"/>
      <c r="T3841" s="427"/>
      <c r="U3841" s="427"/>
      <c r="V3841" s="428"/>
      <c r="W3841" s="429"/>
      <c r="X3841" s="430"/>
      <c r="Y3841" s="33"/>
      <c r="Z3841" s="430"/>
      <c r="AA3841" s="430"/>
      <c r="AB3841" s="258"/>
      <c r="AC3841" s="430"/>
      <c r="AD3841" s="426"/>
      <c r="AE3841" s="428"/>
      <c r="AF3841" s="431"/>
      <c r="AG3841" s="432"/>
      <c r="AH3841" s="430"/>
      <c r="AI3841" s="430"/>
      <c r="AJ3841" s="430"/>
      <c r="AK3841" s="430"/>
      <c r="AL3841" s="430"/>
      <c r="AM3841" s="433"/>
      <c r="AN3841" s="430"/>
      <c r="AO3841" s="430"/>
      <c r="AP3841" s="430"/>
      <c r="AQ3841" s="430"/>
      <c r="AR3841" s="430"/>
      <c r="AS3841" s="430"/>
      <c r="AT3841" s="430"/>
      <c r="AU3841" s="426"/>
      <c r="AV3841" s="174"/>
      <c r="AW3841" s="269"/>
      <c r="AX3841" s="269"/>
      <c r="AY3841" s="270"/>
      <c r="AZ3841" s="435"/>
      <c r="BA3841" s="173"/>
      <c r="BB3841" s="434"/>
      <c r="BC3841" s="434"/>
      <c r="BD3841" s="308"/>
      <c r="BE3841" s="436"/>
      <c r="BF3841" s="274" t="str">
        <f>IFERROR(__xludf.DUMMYFUNCTION("LOWER(Regexreplace(to_text(E3841),""[^A-Za-z0-9]"","""")&amp;""_""&amp;Regexreplace(to_text(F3841),""[^A-Za-z0-9]"",""""))"),"_")</f>
        <v>_</v>
      </c>
      <c r="BG3841" s="275" t="str">
        <f>IFERROR(__xludf.DUMMYFUNCTION("upper(Regexreplace(to_text(E3841),""[^A-Za-z0-9]"","""")&amp;""-""&amp;Regexreplace(to_text(F3841),""[^A-Za-z0-9]"",""""))"),"-")</f>
        <v>-</v>
      </c>
    </row>
    <row r="3842" ht="30.0" customHeight="1">
      <c r="A3842" s="237"/>
      <c r="B3842" s="425"/>
      <c r="C3842" s="257"/>
      <c r="D3842" s="173"/>
      <c r="E3842" s="174"/>
      <c r="F3842" s="173"/>
      <c r="G3842" s="425"/>
      <c r="H3842" s="425"/>
      <c r="I3842" s="258"/>
      <c r="J3842" s="259"/>
      <c r="K3842" s="260"/>
      <c r="L3842" s="442"/>
      <c r="M3842" s="426"/>
      <c r="N3842" s="173"/>
      <c r="O3842" s="173"/>
      <c r="P3842" s="262"/>
      <c r="Q3842" s="173"/>
      <c r="R3842" s="425"/>
      <c r="S3842" s="339"/>
      <c r="T3842" s="427"/>
      <c r="U3842" s="427"/>
      <c r="V3842" s="428"/>
      <c r="W3842" s="429"/>
      <c r="X3842" s="430"/>
      <c r="Y3842" s="33"/>
      <c r="Z3842" s="430"/>
      <c r="AA3842" s="430"/>
      <c r="AB3842" s="258"/>
      <c r="AC3842" s="430"/>
      <c r="AD3842" s="426"/>
      <c r="AE3842" s="428"/>
      <c r="AF3842" s="431"/>
      <c r="AG3842" s="432"/>
      <c r="AH3842" s="430"/>
      <c r="AI3842" s="430"/>
      <c r="AJ3842" s="430"/>
      <c r="AK3842" s="430"/>
      <c r="AL3842" s="430"/>
      <c r="AM3842" s="433"/>
      <c r="AN3842" s="430"/>
      <c r="AO3842" s="430"/>
      <c r="AP3842" s="430"/>
      <c r="AQ3842" s="430"/>
      <c r="AR3842" s="430"/>
      <c r="AS3842" s="430"/>
      <c r="AT3842" s="430"/>
      <c r="AU3842" s="426"/>
      <c r="AV3842" s="174"/>
      <c r="AW3842" s="269"/>
      <c r="AX3842" s="269"/>
      <c r="AY3842" s="270"/>
      <c r="AZ3842" s="435"/>
      <c r="BA3842" s="173"/>
      <c r="BB3842" s="434"/>
      <c r="BC3842" s="434"/>
      <c r="BD3842" s="308"/>
      <c r="BE3842" s="436"/>
      <c r="BF3842" s="274" t="str">
        <f>IFERROR(__xludf.DUMMYFUNCTION("LOWER(Regexreplace(to_text(E3842),""[^A-Za-z0-9]"","""")&amp;""_""&amp;Regexreplace(to_text(F3842),""[^A-Za-z0-9]"",""""))"),"_")</f>
        <v>_</v>
      </c>
      <c r="BG3842" s="275" t="str">
        <f>IFERROR(__xludf.DUMMYFUNCTION("upper(Regexreplace(to_text(E3842),""[^A-Za-z0-9]"","""")&amp;""-""&amp;Regexreplace(to_text(F3842),""[^A-Za-z0-9]"",""""))"),"-")</f>
        <v>-</v>
      </c>
    </row>
    <row r="3843" ht="30.0" customHeight="1">
      <c r="A3843" s="237"/>
      <c r="B3843" s="425"/>
      <c r="C3843" s="257"/>
      <c r="D3843" s="173"/>
      <c r="E3843" s="174"/>
      <c r="F3843" s="173"/>
      <c r="G3843" s="425"/>
      <c r="H3843" s="425"/>
      <c r="I3843" s="258"/>
      <c r="J3843" s="259"/>
      <c r="K3843" s="260"/>
      <c r="L3843" s="442"/>
      <c r="M3843" s="426"/>
      <c r="N3843" s="173"/>
      <c r="O3843" s="173"/>
      <c r="P3843" s="262"/>
      <c r="Q3843" s="173"/>
      <c r="R3843" s="425"/>
      <c r="S3843" s="339"/>
      <c r="T3843" s="427"/>
      <c r="U3843" s="427"/>
      <c r="V3843" s="428"/>
      <c r="W3843" s="429"/>
      <c r="X3843" s="430"/>
      <c r="Y3843" s="33"/>
      <c r="Z3843" s="430"/>
      <c r="AA3843" s="430"/>
      <c r="AB3843" s="258"/>
      <c r="AC3843" s="430"/>
      <c r="AD3843" s="426"/>
      <c r="AE3843" s="428"/>
      <c r="AF3843" s="431"/>
      <c r="AG3843" s="432"/>
      <c r="AH3843" s="430"/>
      <c r="AI3843" s="430"/>
      <c r="AJ3843" s="430"/>
      <c r="AK3843" s="430"/>
      <c r="AL3843" s="430"/>
      <c r="AM3843" s="433"/>
      <c r="AN3843" s="430"/>
      <c r="AO3843" s="430"/>
      <c r="AP3843" s="430"/>
      <c r="AQ3843" s="430"/>
      <c r="AR3843" s="430"/>
      <c r="AS3843" s="430"/>
      <c r="AT3843" s="430"/>
      <c r="AU3843" s="426"/>
      <c r="AV3843" s="174"/>
      <c r="AW3843" s="269"/>
      <c r="AX3843" s="269"/>
      <c r="AY3843" s="270"/>
      <c r="AZ3843" s="435"/>
      <c r="BA3843" s="173"/>
      <c r="BB3843" s="434"/>
      <c r="BC3843" s="434"/>
      <c r="BD3843" s="308"/>
      <c r="BE3843" s="436"/>
      <c r="BF3843" s="274" t="str">
        <f>IFERROR(__xludf.DUMMYFUNCTION("LOWER(Regexreplace(to_text(E3843),""[^A-Za-z0-9]"","""")&amp;""_""&amp;Regexreplace(to_text(F3843),""[^A-Za-z0-9]"",""""))"),"_")</f>
        <v>_</v>
      </c>
      <c r="BG3843" s="275" t="str">
        <f>IFERROR(__xludf.DUMMYFUNCTION("upper(Regexreplace(to_text(E3843),""[^A-Za-z0-9]"","""")&amp;""-""&amp;Regexreplace(to_text(F3843),""[^A-Za-z0-9]"",""""))"),"-")</f>
        <v>-</v>
      </c>
    </row>
    <row r="3844" ht="30.0" customHeight="1">
      <c r="A3844" s="237"/>
      <c r="B3844" s="425"/>
      <c r="C3844" s="257"/>
      <c r="D3844" s="173"/>
      <c r="E3844" s="174"/>
      <c r="F3844" s="173"/>
      <c r="G3844" s="425"/>
      <c r="H3844" s="425"/>
      <c r="I3844" s="258"/>
      <c r="J3844" s="259"/>
      <c r="K3844" s="260"/>
      <c r="L3844" s="442"/>
      <c r="M3844" s="426"/>
      <c r="N3844" s="173"/>
      <c r="O3844" s="173"/>
      <c r="P3844" s="262"/>
      <c r="Q3844" s="173"/>
      <c r="R3844" s="425"/>
      <c r="S3844" s="339"/>
      <c r="T3844" s="427"/>
      <c r="U3844" s="427"/>
      <c r="V3844" s="428"/>
      <c r="W3844" s="429"/>
      <c r="X3844" s="430"/>
      <c r="Y3844" s="33"/>
      <c r="Z3844" s="430"/>
      <c r="AA3844" s="430"/>
      <c r="AB3844" s="258"/>
      <c r="AC3844" s="430"/>
      <c r="AD3844" s="426"/>
      <c r="AE3844" s="428"/>
      <c r="AF3844" s="431"/>
      <c r="AG3844" s="432"/>
      <c r="AH3844" s="430"/>
      <c r="AI3844" s="430"/>
      <c r="AJ3844" s="430"/>
      <c r="AK3844" s="430"/>
      <c r="AL3844" s="430"/>
      <c r="AM3844" s="433"/>
      <c r="AN3844" s="430"/>
      <c r="AO3844" s="430"/>
      <c r="AP3844" s="430"/>
      <c r="AQ3844" s="430"/>
      <c r="AR3844" s="430"/>
      <c r="AS3844" s="430"/>
      <c r="AT3844" s="430"/>
      <c r="AU3844" s="426"/>
      <c r="AV3844" s="174"/>
      <c r="AW3844" s="269"/>
      <c r="AX3844" s="269"/>
      <c r="AY3844" s="270"/>
      <c r="AZ3844" s="435"/>
      <c r="BA3844" s="173"/>
      <c r="BB3844" s="434"/>
      <c r="BC3844" s="434"/>
      <c r="BD3844" s="308"/>
      <c r="BE3844" s="436"/>
      <c r="BF3844" s="274" t="str">
        <f>IFERROR(__xludf.DUMMYFUNCTION("LOWER(Regexreplace(to_text(E3844),""[^A-Za-z0-9]"","""")&amp;""_""&amp;Regexreplace(to_text(F3844),""[^A-Za-z0-9]"",""""))"),"_")</f>
        <v>_</v>
      </c>
      <c r="BG3844" s="275" t="str">
        <f>IFERROR(__xludf.DUMMYFUNCTION("upper(Regexreplace(to_text(E3844),""[^A-Za-z0-9]"","""")&amp;""-""&amp;Regexreplace(to_text(F3844),""[^A-Za-z0-9]"",""""))"),"-")</f>
        <v>-</v>
      </c>
    </row>
    <row r="3845" ht="30.0" customHeight="1">
      <c r="A3845" s="237"/>
      <c r="B3845" s="425"/>
      <c r="C3845" s="257"/>
      <c r="D3845" s="173"/>
      <c r="E3845" s="174"/>
      <c r="F3845" s="173"/>
      <c r="G3845" s="425"/>
      <c r="H3845" s="425"/>
      <c r="I3845" s="258"/>
      <c r="J3845" s="259"/>
      <c r="K3845" s="260"/>
      <c r="L3845" s="442"/>
      <c r="M3845" s="426"/>
      <c r="N3845" s="173"/>
      <c r="O3845" s="173"/>
      <c r="P3845" s="262"/>
      <c r="Q3845" s="173"/>
      <c r="R3845" s="425"/>
      <c r="S3845" s="339"/>
      <c r="T3845" s="427"/>
      <c r="U3845" s="427"/>
      <c r="V3845" s="428"/>
      <c r="W3845" s="429"/>
      <c r="X3845" s="430"/>
      <c r="Y3845" s="33"/>
      <c r="Z3845" s="430"/>
      <c r="AA3845" s="430"/>
      <c r="AB3845" s="258"/>
      <c r="AC3845" s="430"/>
      <c r="AD3845" s="426"/>
      <c r="AE3845" s="428"/>
      <c r="AF3845" s="431"/>
      <c r="AG3845" s="432"/>
      <c r="AH3845" s="430"/>
      <c r="AI3845" s="430"/>
      <c r="AJ3845" s="430"/>
      <c r="AK3845" s="430"/>
      <c r="AL3845" s="430"/>
      <c r="AM3845" s="433"/>
      <c r="AN3845" s="430"/>
      <c r="AO3845" s="430"/>
      <c r="AP3845" s="430"/>
      <c r="AQ3845" s="430"/>
      <c r="AR3845" s="430"/>
      <c r="AS3845" s="430"/>
      <c r="AT3845" s="430"/>
      <c r="AU3845" s="426"/>
      <c r="AV3845" s="174"/>
      <c r="AW3845" s="269"/>
      <c r="AX3845" s="269"/>
      <c r="AY3845" s="270"/>
      <c r="AZ3845" s="435"/>
      <c r="BA3845" s="173"/>
      <c r="BB3845" s="434"/>
      <c r="BC3845" s="434"/>
      <c r="BD3845" s="308"/>
      <c r="BE3845" s="436"/>
      <c r="BF3845" s="274" t="str">
        <f>IFERROR(__xludf.DUMMYFUNCTION("LOWER(Regexreplace(to_text(E3845),""[^A-Za-z0-9]"","""")&amp;""_""&amp;Regexreplace(to_text(F3845),""[^A-Za-z0-9]"",""""))"),"_")</f>
        <v>_</v>
      </c>
      <c r="BG3845" s="275" t="str">
        <f>IFERROR(__xludf.DUMMYFUNCTION("upper(Regexreplace(to_text(E3845),""[^A-Za-z0-9]"","""")&amp;""-""&amp;Regexreplace(to_text(F3845),""[^A-Za-z0-9]"",""""))"),"-")</f>
        <v>-</v>
      </c>
    </row>
    <row r="3846" ht="30.0" customHeight="1">
      <c r="A3846" s="237"/>
      <c r="B3846" s="425"/>
      <c r="C3846" s="257"/>
      <c r="D3846" s="173"/>
      <c r="E3846" s="174"/>
      <c r="F3846" s="173"/>
      <c r="G3846" s="425"/>
      <c r="H3846" s="425"/>
      <c r="I3846" s="258"/>
      <c r="J3846" s="259"/>
      <c r="K3846" s="260"/>
      <c r="L3846" s="442"/>
      <c r="M3846" s="426"/>
      <c r="N3846" s="173"/>
      <c r="O3846" s="173"/>
      <c r="P3846" s="262"/>
      <c r="Q3846" s="173"/>
      <c r="R3846" s="425"/>
      <c r="S3846" s="339"/>
      <c r="T3846" s="427"/>
      <c r="U3846" s="427"/>
      <c r="V3846" s="428"/>
      <c r="W3846" s="429"/>
      <c r="X3846" s="430"/>
      <c r="Y3846" s="33"/>
      <c r="Z3846" s="430"/>
      <c r="AA3846" s="430"/>
      <c r="AB3846" s="258"/>
      <c r="AC3846" s="430"/>
      <c r="AD3846" s="426"/>
      <c r="AE3846" s="428"/>
      <c r="AF3846" s="431"/>
      <c r="AG3846" s="432"/>
      <c r="AH3846" s="430"/>
      <c r="AI3846" s="430"/>
      <c r="AJ3846" s="430"/>
      <c r="AK3846" s="430"/>
      <c r="AL3846" s="430"/>
      <c r="AM3846" s="433"/>
      <c r="AN3846" s="430"/>
      <c r="AO3846" s="430"/>
      <c r="AP3846" s="430"/>
      <c r="AQ3846" s="430"/>
      <c r="AR3846" s="430"/>
      <c r="AS3846" s="430"/>
      <c r="AT3846" s="430"/>
      <c r="AU3846" s="426"/>
      <c r="AV3846" s="174"/>
      <c r="AW3846" s="269"/>
      <c r="AX3846" s="269"/>
      <c r="AY3846" s="270"/>
      <c r="AZ3846" s="435"/>
      <c r="BA3846" s="173"/>
      <c r="BB3846" s="434"/>
      <c r="BC3846" s="434"/>
      <c r="BD3846" s="308"/>
      <c r="BE3846" s="436"/>
      <c r="BF3846" s="274" t="str">
        <f>IFERROR(__xludf.DUMMYFUNCTION("LOWER(Regexreplace(to_text(E3846),""[^A-Za-z0-9]"","""")&amp;""_""&amp;Regexreplace(to_text(F3846),""[^A-Za-z0-9]"",""""))"),"_")</f>
        <v>_</v>
      </c>
      <c r="BG3846" s="275" t="str">
        <f>IFERROR(__xludf.DUMMYFUNCTION("upper(Regexreplace(to_text(E3846),""[^A-Za-z0-9]"","""")&amp;""-""&amp;Regexreplace(to_text(F3846),""[^A-Za-z0-9]"",""""))"),"-")</f>
        <v>-</v>
      </c>
    </row>
    <row r="3847" ht="30.0" customHeight="1">
      <c r="A3847" s="237"/>
      <c r="B3847" s="425"/>
      <c r="C3847" s="257"/>
      <c r="D3847" s="173"/>
      <c r="E3847" s="174"/>
      <c r="F3847" s="173"/>
      <c r="G3847" s="425"/>
      <c r="H3847" s="425"/>
      <c r="I3847" s="258"/>
      <c r="J3847" s="259"/>
      <c r="K3847" s="260"/>
      <c r="L3847" s="442"/>
      <c r="M3847" s="426"/>
      <c r="N3847" s="173"/>
      <c r="O3847" s="173"/>
      <c r="P3847" s="262"/>
      <c r="Q3847" s="173"/>
      <c r="R3847" s="425"/>
      <c r="S3847" s="339"/>
      <c r="T3847" s="427"/>
      <c r="U3847" s="427"/>
      <c r="V3847" s="428"/>
      <c r="W3847" s="429"/>
      <c r="X3847" s="430"/>
      <c r="Y3847" s="33"/>
      <c r="Z3847" s="430"/>
      <c r="AA3847" s="430"/>
      <c r="AB3847" s="258"/>
      <c r="AC3847" s="430"/>
      <c r="AD3847" s="426"/>
      <c r="AE3847" s="428"/>
      <c r="AF3847" s="431"/>
      <c r="AG3847" s="432"/>
      <c r="AH3847" s="430"/>
      <c r="AI3847" s="430"/>
      <c r="AJ3847" s="430"/>
      <c r="AK3847" s="430"/>
      <c r="AL3847" s="430"/>
      <c r="AM3847" s="433"/>
      <c r="AN3847" s="430"/>
      <c r="AO3847" s="430"/>
      <c r="AP3847" s="430"/>
      <c r="AQ3847" s="430"/>
      <c r="AR3847" s="430"/>
      <c r="AS3847" s="430"/>
      <c r="AT3847" s="430"/>
      <c r="AU3847" s="426"/>
      <c r="AV3847" s="174"/>
      <c r="AW3847" s="269"/>
      <c r="AX3847" s="269"/>
      <c r="AY3847" s="270"/>
      <c r="AZ3847" s="435"/>
      <c r="BA3847" s="173"/>
      <c r="BB3847" s="434"/>
      <c r="BC3847" s="434"/>
      <c r="BD3847" s="308"/>
      <c r="BE3847" s="436"/>
      <c r="BF3847" s="274" t="str">
        <f>IFERROR(__xludf.DUMMYFUNCTION("LOWER(Regexreplace(to_text(E3847),""[^A-Za-z0-9]"","""")&amp;""_""&amp;Regexreplace(to_text(F3847),""[^A-Za-z0-9]"",""""))"),"_")</f>
        <v>_</v>
      </c>
      <c r="BG3847" s="275" t="str">
        <f>IFERROR(__xludf.DUMMYFUNCTION("upper(Regexreplace(to_text(E3847),""[^A-Za-z0-9]"","""")&amp;""-""&amp;Regexreplace(to_text(F3847),""[^A-Za-z0-9]"",""""))"),"-")</f>
        <v>-</v>
      </c>
    </row>
    <row r="3848" ht="30.0" customHeight="1">
      <c r="A3848" s="237"/>
      <c r="B3848" s="425"/>
      <c r="C3848" s="257"/>
      <c r="D3848" s="173"/>
      <c r="E3848" s="174"/>
      <c r="F3848" s="173"/>
      <c r="G3848" s="425"/>
      <c r="H3848" s="425"/>
      <c r="I3848" s="258"/>
      <c r="J3848" s="259"/>
      <c r="K3848" s="260"/>
      <c r="L3848" s="442"/>
      <c r="M3848" s="426"/>
      <c r="N3848" s="173"/>
      <c r="O3848" s="173"/>
      <c r="P3848" s="262"/>
      <c r="Q3848" s="173"/>
      <c r="R3848" s="425"/>
      <c r="S3848" s="339"/>
      <c r="T3848" s="427"/>
      <c r="U3848" s="427"/>
      <c r="V3848" s="428"/>
      <c r="W3848" s="429"/>
      <c r="X3848" s="430"/>
      <c r="Y3848" s="33"/>
      <c r="Z3848" s="430"/>
      <c r="AA3848" s="430"/>
      <c r="AB3848" s="258"/>
      <c r="AC3848" s="430"/>
      <c r="AD3848" s="426"/>
      <c r="AE3848" s="428"/>
      <c r="AF3848" s="431"/>
      <c r="AG3848" s="432"/>
      <c r="AH3848" s="430"/>
      <c r="AI3848" s="430"/>
      <c r="AJ3848" s="430"/>
      <c r="AK3848" s="430"/>
      <c r="AL3848" s="430"/>
      <c r="AM3848" s="433"/>
      <c r="AN3848" s="430"/>
      <c r="AO3848" s="430"/>
      <c r="AP3848" s="430"/>
      <c r="AQ3848" s="430"/>
      <c r="AR3848" s="430"/>
      <c r="AS3848" s="430"/>
      <c r="AT3848" s="430"/>
      <c r="AU3848" s="426"/>
      <c r="AV3848" s="174"/>
      <c r="AW3848" s="269"/>
      <c r="AX3848" s="269"/>
      <c r="AY3848" s="270"/>
      <c r="AZ3848" s="435"/>
      <c r="BA3848" s="173"/>
      <c r="BB3848" s="434"/>
      <c r="BC3848" s="434"/>
      <c r="BD3848" s="308"/>
      <c r="BE3848" s="436"/>
      <c r="BF3848" s="274" t="str">
        <f>IFERROR(__xludf.DUMMYFUNCTION("LOWER(Regexreplace(to_text(E3848),""[^A-Za-z0-9]"","""")&amp;""_""&amp;Regexreplace(to_text(F3848),""[^A-Za-z0-9]"",""""))"),"_")</f>
        <v>_</v>
      </c>
      <c r="BG3848" s="275" t="str">
        <f>IFERROR(__xludf.DUMMYFUNCTION("upper(Regexreplace(to_text(E3848),""[^A-Za-z0-9]"","""")&amp;""-""&amp;Regexreplace(to_text(F3848),""[^A-Za-z0-9]"",""""))"),"-")</f>
        <v>-</v>
      </c>
    </row>
    <row r="3849" ht="30.0" customHeight="1">
      <c r="A3849" s="237"/>
      <c r="B3849" s="425"/>
      <c r="C3849" s="257"/>
      <c r="D3849" s="173"/>
      <c r="E3849" s="174"/>
      <c r="F3849" s="173"/>
      <c r="G3849" s="425"/>
      <c r="H3849" s="425"/>
      <c r="I3849" s="258"/>
      <c r="J3849" s="259"/>
      <c r="K3849" s="260"/>
      <c r="L3849" s="442"/>
      <c r="M3849" s="426"/>
      <c r="N3849" s="173"/>
      <c r="O3849" s="173"/>
      <c r="P3849" s="262"/>
      <c r="Q3849" s="173"/>
      <c r="R3849" s="425"/>
      <c r="S3849" s="339"/>
      <c r="T3849" s="427"/>
      <c r="U3849" s="427"/>
      <c r="V3849" s="428"/>
      <c r="W3849" s="429"/>
      <c r="X3849" s="430"/>
      <c r="Y3849" s="33"/>
      <c r="Z3849" s="430"/>
      <c r="AA3849" s="430"/>
      <c r="AB3849" s="258"/>
      <c r="AC3849" s="430"/>
      <c r="AD3849" s="426"/>
      <c r="AE3849" s="428"/>
      <c r="AF3849" s="431"/>
      <c r="AG3849" s="432"/>
      <c r="AH3849" s="430"/>
      <c r="AI3849" s="430"/>
      <c r="AJ3849" s="430"/>
      <c r="AK3849" s="430"/>
      <c r="AL3849" s="430"/>
      <c r="AM3849" s="433"/>
      <c r="AN3849" s="430"/>
      <c r="AO3849" s="430"/>
      <c r="AP3849" s="430"/>
      <c r="AQ3849" s="430"/>
      <c r="AR3849" s="430"/>
      <c r="AS3849" s="430"/>
      <c r="AT3849" s="430"/>
      <c r="AU3849" s="426"/>
      <c r="AV3849" s="174"/>
      <c r="AW3849" s="269"/>
      <c r="AX3849" s="269"/>
      <c r="AY3849" s="270"/>
      <c r="AZ3849" s="435"/>
      <c r="BA3849" s="173"/>
      <c r="BB3849" s="434"/>
      <c r="BC3849" s="434"/>
      <c r="BD3849" s="308"/>
      <c r="BE3849" s="436"/>
      <c r="BF3849" s="274" t="str">
        <f>IFERROR(__xludf.DUMMYFUNCTION("LOWER(Regexreplace(to_text(E3849),""[^A-Za-z0-9]"","""")&amp;""_""&amp;Regexreplace(to_text(F3849),""[^A-Za-z0-9]"",""""))"),"_")</f>
        <v>_</v>
      </c>
      <c r="BG3849" s="275" t="str">
        <f>IFERROR(__xludf.DUMMYFUNCTION("upper(Regexreplace(to_text(E3849),""[^A-Za-z0-9]"","""")&amp;""-""&amp;Regexreplace(to_text(F3849),""[^A-Za-z0-9]"",""""))"),"-")</f>
        <v>-</v>
      </c>
    </row>
    <row r="3850" ht="30.0" customHeight="1">
      <c r="A3850" s="237"/>
      <c r="B3850" s="425"/>
      <c r="C3850" s="257"/>
      <c r="D3850" s="173"/>
      <c r="E3850" s="174"/>
      <c r="F3850" s="173"/>
      <c r="G3850" s="425"/>
      <c r="H3850" s="425"/>
      <c r="I3850" s="258"/>
      <c r="J3850" s="259"/>
      <c r="K3850" s="260"/>
      <c r="L3850" s="442"/>
      <c r="M3850" s="426"/>
      <c r="N3850" s="173"/>
      <c r="O3850" s="173"/>
      <c r="P3850" s="262"/>
      <c r="Q3850" s="173"/>
      <c r="R3850" s="425"/>
      <c r="S3850" s="339"/>
      <c r="T3850" s="427"/>
      <c r="U3850" s="427"/>
      <c r="V3850" s="428"/>
      <c r="W3850" s="429"/>
      <c r="X3850" s="430"/>
      <c r="Y3850" s="33"/>
      <c r="Z3850" s="430"/>
      <c r="AA3850" s="430"/>
      <c r="AB3850" s="258"/>
      <c r="AC3850" s="430"/>
      <c r="AD3850" s="426"/>
      <c r="AE3850" s="428"/>
      <c r="AF3850" s="431"/>
      <c r="AG3850" s="432"/>
      <c r="AH3850" s="430"/>
      <c r="AI3850" s="430"/>
      <c r="AJ3850" s="430"/>
      <c r="AK3850" s="430"/>
      <c r="AL3850" s="430"/>
      <c r="AM3850" s="433"/>
      <c r="AN3850" s="430"/>
      <c r="AO3850" s="430"/>
      <c r="AP3850" s="430"/>
      <c r="AQ3850" s="430"/>
      <c r="AR3850" s="430"/>
      <c r="AS3850" s="430"/>
      <c r="AT3850" s="430"/>
      <c r="AU3850" s="426"/>
      <c r="AV3850" s="174"/>
      <c r="AW3850" s="269"/>
      <c r="AX3850" s="269"/>
      <c r="AY3850" s="270"/>
      <c r="AZ3850" s="435"/>
      <c r="BA3850" s="173"/>
      <c r="BB3850" s="434"/>
      <c r="BC3850" s="434"/>
      <c r="BD3850" s="308"/>
      <c r="BE3850" s="436"/>
      <c r="BF3850" s="274" t="str">
        <f>IFERROR(__xludf.DUMMYFUNCTION("LOWER(Regexreplace(to_text(E3850),""[^A-Za-z0-9]"","""")&amp;""_""&amp;Regexreplace(to_text(F3850),""[^A-Za-z0-9]"",""""))"),"_")</f>
        <v>_</v>
      </c>
      <c r="BG3850" s="275" t="str">
        <f>IFERROR(__xludf.DUMMYFUNCTION("upper(Regexreplace(to_text(E3850),""[^A-Za-z0-9]"","""")&amp;""-""&amp;Regexreplace(to_text(F3850),""[^A-Za-z0-9]"",""""))"),"-")</f>
        <v>-</v>
      </c>
    </row>
    <row r="3851" ht="30.0" customHeight="1">
      <c r="A3851" s="237"/>
      <c r="B3851" s="425"/>
      <c r="C3851" s="257"/>
      <c r="D3851" s="173"/>
      <c r="E3851" s="174"/>
      <c r="F3851" s="173"/>
      <c r="G3851" s="425"/>
      <c r="H3851" s="425"/>
      <c r="I3851" s="258"/>
      <c r="J3851" s="259"/>
      <c r="K3851" s="260"/>
      <c r="L3851" s="442"/>
      <c r="M3851" s="426"/>
      <c r="N3851" s="173"/>
      <c r="O3851" s="173"/>
      <c r="P3851" s="262"/>
      <c r="Q3851" s="173"/>
      <c r="R3851" s="425"/>
      <c r="S3851" s="339"/>
      <c r="T3851" s="427"/>
      <c r="U3851" s="427"/>
      <c r="V3851" s="428"/>
      <c r="W3851" s="429"/>
      <c r="X3851" s="430"/>
      <c r="Y3851" s="33"/>
      <c r="Z3851" s="430"/>
      <c r="AA3851" s="430"/>
      <c r="AB3851" s="258"/>
      <c r="AC3851" s="430"/>
      <c r="AD3851" s="426"/>
      <c r="AE3851" s="428"/>
      <c r="AF3851" s="431"/>
      <c r="AG3851" s="432"/>
      <c r="AH3851" s="430"/>
      <c r="AI3851" s="430"/>
      <c r="AJ3851" s="430"/>
      <c r="AK3851" s="430"/>
      <c r="AL3851" s="430"/>
      <c r="AM3851" s="433"/>
      <c r="AN3851" s="430"/>
      <c r="AO3851" s="430"/>
      <c r="AP3851" s="430"/>
      <c r="AQ3851" s="430"/>
      <c r="AR3851" s="430"/>
      <c r="AS3851" s="430"/>
      <c r="AT3851" s="430"/>
      <c r="AU3851" s="426"/>
      <c r="AV3851" s="174"/>
      <c r="AW3851" s="269"/>
      <c r="AX3851" s="269"/>
      <c r="AY3851" s="270"/>
      <c r="AZ3851" s="435"/>
      <c r="BA3851" s="173"/>
      <c r="BB3851" s="434"/>
      <c r="BC3851" s="434"/>
      <c r="BD3851" s="308"/>
      <c r="BE3851" s="436"/>
      <c r="BF3851" s="274" t="str">
        <f>IFERROR(__xludf.DUMMYFUNCTION("LOWER(Regexreplace(to_text(E3851),""[^A-Za-z0-9]"","""")&amp;""_""&amp;Regexreplace(to_text(F3851),""[^A-Za-z0-9]"",""""))"),"_")</f>
        <v>_</v>
      </c>
      <c r="BG3851" s="275" t="str">
        <f>IFERROR(__xludf.DUMMYFUNCTION("upper(Regexreplace(to_text(E3851),""[^A-Za-z0-9]"","""")&amp;""-""&amp;Regexreplace(to_text(F3851),""[^A-Za-z0-9]"",""""))"),"-")</f>
        <v>-</v>
      </c>
    </row>
    <row r="3852" ht="30.0" customHeight="1">
      <c r="A3852" s="237"/>
      <c r="B3852" s="425"/>
      <c r="C3852" s="257"/>
      <c r="D3852" s="173"/>
      <c r="E3852" s="174"/>
      <c r="F3852" s="173"/>
      <c r="G3852" s="425"/>
      <c r="H3852" s="425"/>
      <c r="I3852" s="258"/>
      <c r="J3852" s="259"/>
      <c r="K3852" s="260"/>
      <c r="L3852" s="442"/>
      <c r="M3852" s="426"/>
      <c r="N3852" s="173"/>
      <c r="O3852" s="173"/>
      <c r="P3852" s="262"/>
      <c r="Q3852" s="173"/>
      <c r="R3852" s="425"/>
      <c r="S3852" s="339"/>
      <c r="T3852" s="427"/>
      <c r="U3852" s="427"/>
      <c r="V3852" s="428"/>
      <c r="W3852" s="429"/>
      <c r="X3852" s="430"/>
      <c r="Y3852" s="33"/>
      <c r="Z3852" s="430"/>
      <c r="AA3852" s="430"/>
      <c r="AB3852" s="258"/>
      <c r="AC3852" s="430"/>
      <c r="AD3852" s="426"/>
      <c r="AE3852" s="428"/>
      <c r="AF3852" s="431"/>
      <c r="AG3852" s="432"/>
      <c r="AH3852" s="430"/>
      <c r="AI3852" s="430"/>
      <c r="AJ3852" s="430"/>
      <c r="AK3852" s="430"/>
      <c r="AL3852" s="430"/>
      <c r="AM3852" s="433"/>
      <c r="AN3852" s="430"/>
      <c r="AO3852" s="430"/>
      <c r="AP3852" s="430"/>
      <c r="AQ3852" s="430"/>
      <c r="AR3852" s="430"/>
      <c r="AS3852" s="430"/>
      <c r="AT3852" s="430"/>
      <c r="AU3852" s="426"/>
      <c r="AV3852" s="174"/>
      <c r="AW3852" s="269"/>
      <c r="AX3852" s="269"/>
      <c r="AY3852" s="270"/>
      <c r="AZ3852" s="435"/>
      <c r="BA3852" s="173"/>
      <c r="BB3852" s="434"/>
      <c r="BC3852" s="434"/>
      <c r="BD3852" s="308"/>
      <c r="BE3852" s="436"/>
      <c r="BF3852" s="274" t="str">
        <f>IFERROR(__xludf.DUMMYFUNCTION("LOWER(Regexreplace(to_text(E3852),""[^A-Za-z0-9]"","""")&amp;""_""&amp;Regexreplace(to_text(F3852),""[^A-Za-z0-9]"",""""))"),"_")</f>
        <v>_</v>
      </c>
      <c r="BG3852" s="275" t="str">
        <f>IFERROR(__xludf.DUMMYFUNCTION("upper(Regexreplace(to_text(E3852),""[^A-Za-z0-9]"","""")&amp;""-""&amp;Regexreplace(to_text(F3852),""[^A-Za-z0-9]"",""""))"),"-")</f>
        <v>-</v>
      </c>
    </row>
    <row r="3853" ht="30.0" customHeight="1">
      <c r="A3853" s="237"/>
      <c r="B3853" s="425"/>
      <c r="C3853" s="257"/>
      <c r="D3853" s="173"/>
      <c r="E3853" s="174"/>
      <c r="F3853" s="173"/>
      <c r="G3853" s="425"/>
      <c r="H3853" s="425"/>
      <c r="I3853" s="258"/>
      <c r="J3853" s="259"/>
      <c r="K3853" s="260"/>
      <c r="L3853" s="442"/>
      <c r="M3853" s="426"/>
      <c r="N3853" s="173"/>
      <c r="O3853" s="173"/>
      <c r="P3853" s="262"/>
      <c r="Q3853" s="173"/>
      <c r="R3853" s="425"/>
      <c r="S3853" s="339"/>
      <c r="T3853" s="427"/>
      <c r="U3853" s="427"/>
      <c r="V3853" s="428"/>
      <c r="W3853" s="429"/>
      <c r="X3853" s="430"/>
      <c r="Y3853" s="33"/>
      <c r="Z3853" s="430"/>
      <c r="AA3853" s="430"/>
      <c r="AB3853" s="258"/>
      <c r="AC3853" s="430"/>
      <c r="AD3853" s="426"/>
      <c r="AE3853" s="428"/>
      <c r="AF3853" s="431"/>
      <c r="AG3853" s="432"/>
      <c r="AH3853" s="430"/>
      <c r="AI3853" s="430"/>
      <c r="AJ3853" s="430"/>
      <c r="AK3853" s="430"/>
      <c r="AL3853" s="430"/>
      <c r="AM3853" s="433"/>
      <c r="AN3853" s="430"/>
      <c r="AO3853" s="430"/>
      <c r="AP3853" s="430"/>
      <c r="AQ3853" s="430"/>
      <c r="AR3853" s="430"/>
      <c r="AS3853" s="430"/>
      <c r="AT3853" s="430"/>
      <c r="AU3853" s="426"/>
      <c r="AV3853" s="174"/>
      <c r="AW3853" s="269"/>
      <c r="AX3853" s="269"/>
      <c r="AY3853" s="270"/>
      <c r="AZ3853" s="435"/>
      <c r="BA3853" s="173"/>
      <c r="BB3853" s="434"/>
      <c r="BC3853" s="434"/>
      <c r="BD3853" s="308"/>
      <c r="BE3853" s="436"/>
      <c r="BF3853" s="274" t="str">
        <f>IFERROR(__xludf.DUMMYFUNCTION("LOWER(Regexreplace(to_text(E3853),""[^A-Za-z0-9]"","""")&amp;""_""&amp;Regexreplace(to_text(F3853),""[^A-Za-z0-9]"",""""))"),"_")</f>
        <v>_</v>
      </c>
      <c r="BG3853" s="275" t="str">
        <f>IFERROR(__xludf.DUMMYFUNCTION("upper(Regexreplace(to_text(E3853),""[^A-Za-z0-9]"","""")&amp;""-""&amp;Regexreplace(to_text(F3853),""[^A-Za-z0-9]"",""""))"),"-")</f>
        <v>-</v>
      </c>
    </row>
    <row r="3854" ht="30.0" customHeight="1">
      <c r="A3854" s="237"/>
      <c r="B3854" s="425"/>
      <c r="C3854" s="257"/>
      <c r="D3854" s="173"/>
      <c r="E3854" s="174"/>
      <c r="F3854" s="173"/>
      <c r="G3854" s="425"/>
      <c r="H3854" s="425"/>
      <c r="I3854" s="258"/>
      <c r="J3854" s="259"/>
      <c r="K3854" s="260"/>
      <c r="L3854" s="442"/>
      <c r="M3854" s="426"/>
      <c r="N3854" s="173"/>
      <c r="O3854" s="173"/>
      <c r="P3854" s="262"/>
      <c r="Q3854" s="173"/>
      <c r="R3854" s="425"/>
      <c r="S3854" s="339"/>
      <c r="T3854" s="427"/>
      <c r="U3854" s="427"/>
      <c r="V3854" s="428"/>
      <c r="W3854" s="429"/>
      <c r="X3854" s="430"/>
      <c r="Y3854" s="33"/>
      <c r="Z3854" s="430"/>
      <c r="AA3854" s="430"/>
      <c r="AB3854" s="258"/>
      <c r="AC3854" s="430"/>
      <c r="AD3854" s="426"/>
      <c r="AE3854" s="428"/>
      <c r="AF3854" s="431"/>
      <c r="AG3854" s="432"/>
      <c r="AH3854" s="430"/>
      <c r="AI3854" s="430"/>
      <c r="AJ3854" s="430"/>
      <c r="AK3854" s="430"/>
      <c r="AL3854" s="430"/>
      <c r="AM3854" s="433"/>
      <c r="AN3854" s="430"/>
      <c r="AO3854" s="430"/>
      <c r="AP3854" s="430"/>
      <c r="AQ3854" s="430"/>
      <c r="AR3854" s="430"/>
      <c r="AS3854" s="430"/>
      <c r="AT3854" s="430"/>
      <c r="AU3854" s="426"/>
      <c r="AV3854" s="174"/>
      <c r="AW3854" s="269"/>
      <c r="AX3854" s="269"/>
      <c r="AY3854" s="270"/>
      <c r="AZ3854" s="435"/>
      <c r="BA3854" s="173"/>
      <c r="BB3854" s="434"/>
      <c r="BC3854" s="434"/>
      <c r="BD3854" s="308"/>
      <c r="BE3854" s="436"/>
      <c r="BF3854" s="274" t="str">
        <f>IFERROR(__xludf.DUMMYFUNCTION("LOWER(Regexreplace(to_text(E3854),""[^A-Za-z0-9]"","""")&amp;""_""&amp;Regexreplace(to_text(F3854),""[^A-Za-z0-9]"",""""))"),"_")</f>
        <v>_</v>
      </c>
      <c r="BG3854" s="275" t="str">
        <f>IFERROR(__xludf.DUMMYFUNCTION("upper(Regexreplace(to_text(E3854),""[^A-Za-z0-9]"","""")&amp;""-""&amp;Regexreplace(to_text(F3854),""[^A-Za-z0-9]"",""""))"),"-")</f>
        <v>-</v>
      </c>
    </row>
    <row r="3855" ht="30.0" customHeight="1">
      <c r="A3855" s="237"/>
      <c r="B3855" s="425"/>
      <c r="C3855" s="257"/>
      <c r="D3855" s="173"/>
      <c r="E3855" s="174"/>
      <c r="F3855" s="173"/>
      <c r="G3855" s="425"/>
      <c r="H3855" s="425"/>
      <c r="I3855" s="258"/>
      <c r="J3855" s="259"/>
      <c r="K3855" s="260"/>
      <c r="L3855" s="442"/>
      <c r="M3855" s="426"/>
      <c r="N3855" s="173"/>
      <c r="O3855" s="173"/>
      <c r="P3855" s="262"/>
      <c r="Q3855" s="173"/>
      <c r="R3855" s="425"/>
      <c r="S3855" s="339"/>
      <c r="T3855" s="427"/>
      <c r="U3855" s="427"/>
      <c r="V3855" s="428"/>
      <c r="W3855" s="429"/>
      <c r="X3855" s="430"/>
      <c r="Y3855" s="33"/>
      <c r="Z3855" s="430"/>
      <c r="AA3855" s="430"/>
      <c r="AB3855" s="258"/>
      <c r="AC3855" s="430"/>
      <c r="AD3855" s="426"/>
      <c r="AE3855" s="428"/>
      <c r="AF3855" s="431"/>
      <c r="AG3855" s="432"/>
      <c r="AH3855" s="430"/>
      <c r="AI3855" s="430"/>
      <c r="AJ3855" s="430"/>
      <c r="AK3855" s="430"/>
      <c r="AL3855" s="430"/>
      <c r="AM3855" s="433"/>
      <c r="AN3855" s="430"/>
      <c r="AO3855" s="430"/>
      <c r="AP3855" s="430"/>
      <c r="AQ3855" s="430"/>
      <c r="AR3855" s="430"/>
      <c r="AS3855" s="430"/>
      <c r="AT3855" s="430"/>
      <c r="AU3855" s="426"/>
      <c r="AV3855" s="174"/>
      <c r="AW3855" s="269"/>
      <c r="AX3855" s="269"/>
      <c r="AY3855" s="270"/>
      <c r="AZ3855" s="435"/>
      <c r="BA3855" s="173"/>
      <c r="BB3855" s="434"/>
      <c r="BC3855" s="434"/>
      <c r="BD3855" s="308"/>
      <c r="BE3855" s="436"/>
      <c r="BF3855" s="274" t="str">
        <f>IFERROR(__xludf.DUMMYFUNCTION("LOWER(Regexreplace(to_text(E3855),""[^A-Za-z0-9]"","""")&amp;""_""&amp;Regexreplace(to_text(F3855),""[^A-Za-z0-9]"",""""))"),"_")</f>
        <v>_</v>
      </c>
      <c r="BG3855" s="275" t="str">
        <f>IFERROR(__xludf.DUMMYFUNCTION("upper(Regexreplace(to_text(E3855),""[^A-Za-z0-9]"","""")&amp;""-""&amp;Regexreplace(to_text(F3855),""[^A-Za-z0-9]"",""""))"),"-")</f>
        <v>-</v>
      </c>
    </row>
    <row r="3856" ht="30.0" customHeight="1">
      <c r="A3856" s="237"/>
      <c r="B3856" s="425"/>
      <c r="C3856" s="257"/>
      <c r="D3856" s="173"/>
      <c r="E3856" s="174"/>
      <c r="F3856" s="173"/>
      <c r="G3856" s="425"/>
      <c r="H3856" s="425"/>
      <c r="I3856" s="258"/>
      <c r="J3856" s="259"/>
      <c r="K3856" s="260"/>
      <c r="L3856" s="442"/>
      <c r="M3856" s="426"/>
      <c r="N3856" s="173"/>
      <c r="O3856" s="173"/>
      <c r="P3856" s="262"/>
      <c r="Q3856" s="173"/>
      <c r="R3856" s="425"/>
      <c r="S3856" s="339"/>
      <c r="T3856" s="427"/>
      <c r="U3856" s="427"/>
      <c r="V3856" s="428"/>
      <c r="W3856" s="429"/>
      <c r="X3856" s="430"/>
      <c r="Y3856" s="33"/>
      <c r="Z3856" s="430"/>
      <c r="AA3856" s="430"/>
      <c r="AB3856" s="258"/>
      <c r="AC3856" s="430"/>
      <c r="AD3856" s="426"/>
      <c r="AE3856" s="428"/>
      <c r="AF3856" s="431"/>
      <c r="AG3856" s="432"/>
      <c r="AH3856" s="430"/>
      <c r="AI3856" s="430"/>
      <c r="AJ3856" s="430"/>
      <c r="AK3856" s="430"/>
      <c r="AL3856" s="430"/>
      <c r="AM3856" s="433"/>
      <c r="AN3856" s="430"/>
      <c r="AO3856" s="430"/>
      <c r="AP3856" s="430"/>
      <c r="AQ3856" s="430"/>
      <c r="AR3856" s="430"/>
      <c r="AS3856" s="430"/>
      <c r="AT3856" s="430"/>
      <c r="AU3856" s="426"/>
      <c r="AV3856" s="174"/>
      <c r="AW3856" s="269"/>
      <c r="AX3856" s="269"/>
      <c r="AY3856" s="270"/>
      <c r="AZ3856" s="435"/>
      <c r="BA3856" s="173"/>
      <c r="BB3856" s="434"/>
      <c r="BC3856" s="434"/>
      <c r="BD3856" s="308"/>
      <c r="BE3856" s="436"/>
      <c r="BF3856" s="274" t="str">
        <f>IFERROR(__xludf.DUMMYFUNCTION("LOWER(Regexreplace(to_text(E3856),""[^A-Za-z0-9]"","""")&amp;""_""&amp;Regexreplace(to_text(F3856),""[^A-Za-z0-9]"",""""))"),"_")</f>
        <v>_</v>
      </c>
      <c r="BG3856" s="275" t="str">
        <f>IFERROR(__xludf.DUMMYFUNCTION("upper(Regexreplace(to_text(E3856),""[^A-Za-z0-9]"","""")&amp;""-""&amp;Regexreplace(to_text(F3856),""[^A-Za-z0-9]"",""""))"),"-")</f>
        <v>-</v>
      </c>
    </row>
    <row r="3857" ht="30.0" customHeight="1">
      <c r="A3857" s="237"/>
      <c r="B3857" s="425"/>
      <c r="C3857" s="257"/>
      <c r="D3857" s="173"/>
      <c r="E3857" s="174"/>
      <c r="F3857" s="173"/>
      <c r="G3857" s="425"/>
      <c r="H3857" s="425"/>
      <c r="I3857" s="258"/>
      <c r="J3857" s="259"/>
      <c r="K3857" s="260"/>
      <c r="L3857" s="442"/>
      <c r="M3857" s="426"/>
      <c r="N3857" s="173"/>
      <c r="O3857" s="173"/>
      <c r="P3857" s="262"/>
      <c r="Q3857" s="173"/>
      <c r="R3857" s="425"/>
      <c r="S3857" s="339"/>
      <c r="T3857" s="427"/>
      <c r="U3857" s="427"/>
      <c r="V3857" s="428"/>
      <c r="W3857" s="429"/>
      <c r="X3857" s="430"/>
      <c r="Y3857" s="33"/>
      <c r="Z3857" s="430"/>
      <c r="AA3857" s="430"/>
      <c r="AB3857" s="258"/>
      <c r="AC3857" s="430"/>
      <c r="AD3857" s="426"/>
      <c r="AE3857" s="428"/>
      <c r="AF3857" s="431"/>
      <c r="AG3857" s="432"/>
      <c r="AH3857" s="430"/>
      <c r="AI3857" s="430"/>
      <c r="AJ3857" s="430"/>
      <c r="AK3857" s="430"/>
      <c r="AL3857" s="430"/>
      <c r="AM3857" s="433"/>
      <c r="AN3857" s="430"/>
      <c r="AO3857" s="430"/>
      <c r="AP3857" s="430"/>
      <c r="AQ3857" s="430"/>
      <c r="AR3857" s="430"/>
      <c r="AS3857" s="430"/>
      <c r="AT3857" s="430"/>
      <c r="AU3857" s="426"/>
      <c r="AV3857" s="174"/>
      <c r="AW3857" s="269"/>
      <c r="AX3857" s="269"/>
      <c r="AY3857" s="270"/>
      <c r="AZ3857" s="435"/>
      <c r="BA3857" s="173"/>
      <c r="BB3857" s="434"/>
      <c r="BC3857" s="434"/>
      <c r="BD3857" s="308"/>
      <c r="BE3857" s="436"/>
      <c r="BF3857" s="274" t="str">
        <f>IFERROR(__xludf.DUMMYFUNCTION("LOWER(Regexreplace(to_text(E3857),""[^A-Za-z0-9]"","""")&amp;""_""&amp;Regexreplace(to_text(F3857),""[^A-Za-z0-9]"",""""))"),"_")</f>
        <v>_</v>
      </c>
      <c r="BG3857" s="275" t="str">
        <f>IFERROR(__xludf.DUMMYFUNCTION("upper(Regexreplace(to_text(E3857),""[^A-Za-z0-9]"","""")&amp;""-""&amp;Regexreplace(to_text(F3857),""[^A-Za-z0-9]"",""""))"),"-")</f>
        <v>-</v>
      </c>
    </row>
    <row r="3858" ht="30.0" customHeight="1">
      <c r="A3858" s="237"/>
      <c r="B3858" s="425"/>
      <c r="C3858" s="257"/>
      <c r="D3858" s="173"/>
      <c r="E3858" s="174"/>
      <c r="F3858" s="173"/>
      <c r="G3858" s="425"/>
      <c r="H3858" s="425"/>
      <c r="I3858" s="258"/>
      <c r="J3858" s="259"/>
      <c r="K3858" s="260"/>
      <c r="L3858" s="442"/>
      <c r="M3858" s="426"/>
      <c r="N3858" s="173"/>
      <c r="O3858" s="173"/>
      <c r="P3858" s="262"/>
      <c r="Q3858" s="173"/>
      <c r="R3858" s="425"/>
      <c r="S3858" s="339"/>
      <c r="T3858" s="427"/>
      <c r="U3858" s="427"/>
      <c r="V3858" s="428"/>
      <c r="W3858" s="429"/>
      <c r="X3858" s="430"/>
      <c r="Y3858" s="33"/>
      <c r="Z3858" s="430"/>
      <c r="AA3858" s="430"/>
      <c r="AB3858" s="258"/>
      <c r="AC3858" s="430"/>
      <c r="AD3858" s="426"/>
      <c r="AE3858" s="428"/>
      <c r="AF3858" s="431"/>
      <c r="AG3858" s="432"/>
      <c r="AH3858" s="430"/>
      <c r="AI3858" s="430"/>
      <c r="AJ3858" s="430"/>
      <c r="AK3858" s="430"/>
      <c r="AL3858" s="430"/>
      <c r="AM3858" s="433"/>
      <c r="AN3858" s="430"/>
      <c r="AO3858" s="430"/>
      <c r="AP3858" s="430"/>
      <c r="AQ3858" s="430"/>
      <c r="AR3858" s="430"/>
      <c r="AS3858" s="430"/>
      <c r="AT3858" s="430"/>
      <c r="AU3858" s="426"/>
      <c r="AV3858" s="174"/>
      <c r="AW3858" s="269"/>
      <c r="AX3858" s="269"/>
      <c r="AY3858" s="270"/>
      <c r="AZ3858" s="435"/>
      <c r="BA3858" s="173"/>
      <c r="BB3858" s="434"/>
      <c r="BC3858" s="434"/>
      <c r="BD3858" s="308"/>
      <c r="BE3858" s="436"/>
      <c r="BF3858" s="274" t="str">
        <f>IFERROR(__xludf.DUMMYFUNCTION("LOWER(Regexreplace(to_text(E3858),""[^A-Za-z0-9]"","""")&amp;""_""&amp;Regexreplace(to_text(F3858),""[^A-Za-z0-9]"",""""))"),"_")</f>
        <v>_</v>
      </c>
      <c r="BG3858" s="275" t="str">
        <f>IFERROR(__xludf.DUMMYFUNCTION("upper(Regexreplace(to_text(E3858),""[^A-Za-z0-9]"","""")&amp;""-""&amp;Regexreplace(to_text(F3858),""[^A-Za-z0-9]"",""""))"),"-")</f>
        <v>-</v>
      </c>
    </row>
    <row r="3859" ht="30.0" customHeight="1">
      <c r="A3859" s="237"/>
      <c r="B3859" s="425"/>
      <c r="C3859" s="257"/>
      <c r="D3859" s="173"/>
      <c r="E3859" s="174"/>
      <c r="F3859" s="173"/>
      <c r="G3859" s="425"/>
      <c r="H3859" s="425"/>
      <c r="I3859" s="258"/>
      <c r="J3859" s="259"/>
      <c r="K3859" s="260"/>
      <c r="L3859" s="442"/>
      <c r="M3859" s="426"/>
      <c r="N3859" s="173"/>
      <c r="O3859" s="173"/>
      <c r="P3859" s="262"/>
      <c r="Q3859" s="173"/>
      <c r="R3859" s="425"/>
      <c r="S3859" s="339"/>
      <c r="T3859" s="427"/>
      <c r="U3859" s="427"/>
      <c r="V3859" s="428"/>
      <c r="W3859" s="429"/>
      <c r="X3859" s="430"/>
      <c r="Y3859" s="33"/>
      <c r="Z3859" s="430"/>
      <c r="AA3859" s="430"/>
      <c r="AB3859" s="258"/>
      <c r="AC3859" s="430"/>
      <c r="AD3859" s="426"/>
      <c r="AE3859" s="428"/>
      <c r="AF3859" s="431"/>
      <c r="AG3859" s="432"/>
      <c r="AH3859" s="430"/>
      <c r="AI3859" s="430"/>
      <c r="AJ3859" s="430"/>
      <c r="AK3859" s="430"/>
      <c r="AL3859" s="430"/>
      <c r="AM3859" s="433"/>
      <c r="AN3859" s="430"/>
      <c r="AO3859" s="430"/>
      <c r="AP3859" s="430"/>
      <c r="AQ3859" s="430"/>
      <c r="AR3859" s="430"/>
      <c r="AS3859" s="430"/>
      <c r="AT3859" s="430"/>
      <c r="AU3859" s="426"/>
      <c r="AV3859" s="174"/>
      <c r="AW3859" s="269"/>
      <c r="AX3859" s="269"/>
      <c r="AY3859" s="270"/>
      <c r="AZ3859" s="435"/>
      <c r="BA3859" s="173"/>
      <c r="BB3859" s="434"/>
      <c r="BC3859" s="434"/>
      <c r="BD3859" s="308"/>
      <c r="BE3859" s="436"/>
      <c r="BF3859" s="274" t="str">
        <f>IFERROR(__xludf.DUMMYFUNCTION("LOWER(Regexreplace(to_text(E3859),""[^A-Za-z0-9]"","""")&amp;""_""&amp;Regexreplace(to_text(F3859),""[^A-Za-z0-9]"",""""))"),"_")</f>
        <v>_</v>
      </c>
      <c r="BG3859" s="275" t="str">
        <f>IFERROR(__xludf.DUMMYFUNCTION("upper(Regexreplace(to_text(E3859),""[^A-Za-z0-9]"","""")&amp;""-""&amp;Regexreplace(to_text(F3859),""[^A-Za-z0-9]"",""""))"),"-")</f>
        <v>-</v>
      </c>
    </row>
    <row r="3860" ht="30.0" customHeight="1">
      <c r="A3860" s="237"/>
      <c r="B3860" s="425"/>
      <c r="C3860" s="257"/>
      <c r="D3860" s="173"/>
      <c r="E3860" s="174"/>
      <c r="F3860" s="173"/>
      <c r="G3860" s="425"/>
      <c r="H3860" s="425"/>
      <c r="I3860" s="258"/>
      <c r="J3860" s="259"/>
      <c r="K3860" s="260"/>
      <c r="L3860" s="442"/>
      <c r="M3860" s="426"/>
      <c r="N3860" s="173"/>
      <c r="O3860" s="173"/>
      <c r="P3860" s="262"/>
      <c r="Q3860" s="173"/>
      <c r="R3860" s="425"/>
      <c r="S3860" s="339"/>
      <c r="T3860" s="427"/>
      <c r="U3860" s="427"/>
      <c r="V3860" s="428"/>
      <c r="W3860" s="429"/>
      <c r="X3860" s="430"/>
      <c r="Y3860" s="33"/>
      <c r="Z3860" s="430"/>
      <c r="AA3860" s="430"/>
      <c r="AB3860" s="258"/>
      <c r="AC3860" s="430"/>
      <c r="AD3860" s="426"/>
      <c r="AE3860" s="428"/>
      <c r="AF3860" s="431"/>
      <c r="AG3860" s="432"/>
      <c r="AH3860" s="430"/>
      <c r="AI3860" s="430"/>
      <c r="AJ3860" s="430"/>
      <c r="AK3860" s="430"/>
      <c r="AL3860" s="430"/>
      <c r="AM3860" s="433"/>
      <c r="AN3860" s="430"/>
      <c r="AO3860" s="430"/>
      <c r="AP3860" s="430"/>
      <c r="AQ3860" s="430"/>
      <c r="AR3860" s="430"/>
      <c r="AS3860" s="430"/>
      <c r="AT3860" s="430"/>
      <c r="AU3860" s="426"/>
      <c r="AV3860" s="174"/>
      <c r="AW3860" s="269"/>
      <c r="AX3860" s="269"/>
      <c r="AY3860" s="270"/>
      <c r="AZ3860" s="435"/>
      <c r="BA3860" s="173"/>
      <c r="BB3860" s="434"/>
      <c r="BC3860" s="434"/>
      <c r="BD3860" s="308"/>
      <c r="BE3860" s="436"/>
      <c r="BF3860" s="274" t="str">
        <f>IFERROR(__xludf.DUMMYFUNCTION("LOWER(Regexreplace(to_text(E3860),""[^A-Za-z0-9]"","""")&amp;""_""&amp;Regexreplace(to_text(F3860),""[^A-Za-z0-9]"",""""))"),"_")</f>
        <v>_</v>
      </c>
      <c r="BG3860" s="275" t="str">
        <f>IFERROR(__xludf.DUMMYFUNCTION("upper(Regexreplace(to_text(E3860),""[^A-Za-z0-9]"","""")&amp;""-""&amp;Regexreplace(to_text(F3860),""[^A-Za-z0-9]"",""""))"),"-")</f>
        <v>-</v>
      </c>
    </row>
    <row r="3861" ht="30.0" customHeight="1">
      <c r="A3861" s="237"/>
      <c r="B3861" s="425"/>
      <c r="C3861" s="257"/>
      <c r="D3861" s="173"/>
      <c r="E3861" s="174"/>
      <c r="F3861" s="173"/>
      <c r="G3861" s="425"/>
      <c r="H3861" s="425"/>
      <c r="I3861" s="258"/>
      <c r="J3861" s="259"/>
      <c r="K3861" s="260"/>
      <c r="L3861" s="442"/>
      <c r="M3861" s="426"/>
      <c r="N3861" s="173"/>
      <c r="O3861" s="173"/>
      <c r="P3861" s="262"/>
      <c r="Q3861" s="173"/>
      <c r="R3861" s="425"/>
      <c r="S3861" s="339"/>
      <c r="T3861" s="427"/>
      <c r="U3861" s="427"/>
      <c r="V3861" s="428"/>
      <c r="W3861" s="429"/>
      <c r="X3861" s="430"/>
      <c r="Y3861" s="33"/>
      <c r="Z3861" s="430"/>
      <c r="AA3861" s="430"/>
      <c r="AB3861" s="258"/>
      <c r="AC3861" s="430"/>
      <c r="AD3861" s="426"/>
      <c r="AE3861" s="428"/>
      <c r="AF3861" s="431"/>
      <c r="AG3861" s="432"/>
      <c r="AH3861" s="430"/>
      <c r="AI3861" s="430"/>
      <c r="AJ3861" s="430"/>
      <c r="AK3861" s="430"/>
      <c r="AL3861" s="430"/>
      <c r="AM3861" s="433"/>
      <c r="AN3861" s="430"/>
      <c r="AO3861" s="430"/>
      <c r="AP3861" s="430"/>
      <c r="AQ3861" s="430"/>
      <c r="AR3861" s="430"/>
      <c r="AS3861" s="430"/>
      <c r="AT3861" s="430"/>
      <c r="AU3861" s="426"/>
      <c r="AV3861" s="174"/>
      <c r="AW3861" s="269"/>
      <c r="AX3861" s="269"/>
      <c r="AY3861" s="270"/>
      <c r="AZ3861" s="435"/>
      <c r="BA3861" s="173"/>
      <c r="BB3861" s="434"/>
      <c r="BC3861" s="434"/>
      <c r="BD3861" s="308"/>
      <c r="BE3861" s="436"/>
      <c r="BF3861" s="274" t="str">
        <f>IFERROR(__xludf.DUMMYFUNCTION("LOWER(Regexreplace(to_text(E3861),""[^A-Za-z0-9]"","""")&amp;""_""&amp;Regexreplace(to_text(F3861),""[^A-Za-z0-9]"",""""))"),"_")</f>
        <v>_</v>
      </c>
      <c r="BG3861" s="275" t="str">
        <f>IFERROR(__xludf.DUMMYFUNCTION("upper(Regexreplace(to_text(E3861),""[^A-Za-z0-9]"","""")&amp;""-""&amp;Regexreplace(to_text(F3861),""[^A-Za-z0-9]"",""""))"),"-")</f>
        <v>-</v>
      </c>
    </row>
    <row r="3862" ht="30.0" customHeight="1">
      <c r="A3862" s="237"/>
      <c r="B3862" s="425"/>
      <c r="C3862" s="257"/>
      <c r="D3862" s="173"/>
      <c r="E3862" s="174"/>
      <c r="F3862" s="173"/>
      <c r="G3862" s="425"/>
      <c r="H3862" s="425"/>
      <c r="I3862" s="258"/>
      <c r="J3862" s="259"/>
      <c r="K3862" s="260"/>
      <c r="L3862" s="442"/>
      <c r="M3862" s="426"/>
      <c r="N3862" s="173"/>
      <c r="O3862" s="173"/>
      <c r="P3862" s="262"/>
      <c r="Q3862" s="173"/>
      <c r="R3862" s="425"/>
      <c r="S3862" s="339"/>
      <c r="T3862" s="427"/>
      <c r="U3862" s="427"/>
      <c r="V3862" s="428"/>
      <c r="W3862" s="429"/>
      <c r="X3862" s="430"/>
      <c r="Y3862" s="33"/>
      <c r="Z3862" s="430"/>
      <c r="AA3862" s="430"/>
      <c r="AB3862" s="258"/>
      <c r="AC3862" s="430"/>
      <c r="AD3862" s="426"/>
      <c r="AE3862" s="428"/>
      <c r="AF3862" s="431"/>
      <c r="AG3862" s="432"/>
      <c r="AH3862" s="430"/>
      <c r="AI3862" s="430"/>
      <c r="AJ3862" s="430"/>
      <c r="AK3862" s="430"/>
      <c r="AL3862" s="430"/>
      <c r="AM3862" s="433"/>
      <c r="AN3862" s="430"/>
      <c r="AO3862" s="430"/>
      <c r="AP3862" s="430"/>
      <c r="AQ3862" s="430"/>
      <c r="AR3862" s="430"/>
      <c r="AS3862" s="430"/>
      <c r="AT3862" s="430"/>
      <c r="AU3862" s="426"/>
      <c r="AV3862" s="174"/>
      <c r="AW3862" s="269"/>
      <c r="AX3862" s="269"/>
      <c r="AY3862" s="270"/>
      <c r="AZ3862" s="435"/>
      <c r="BA3862" s="173"/>
      <c r="BB3862" s="434"/>
      <c r="BC3862" s="434"/>
      <c r="BD3862" s="308"/>
      <c r="BE3862" s="436"/>
      <c r="BF3862" s="274" t="str">
        <f>IFERROR(__xludf.DUMMYFUNCTION("LOWER(Regexreplace(to_text(E3862),""[^A-Za-z0-9]"","""")&amp;""_""&amp;Regexreplace(to_text(F3862),""[^A-Za-z0-9]"",""""))"),"_")</f>
        <v>_</v>
      </c>
      <c r="BG3862" s="275" t="str">
        <f>IFERROR(__xludf.DUMMYFUNCTION("upper(Regexreplace(to_text(E3862),""[^A-Za-z0-9]"","""")&amp;""-""&amp;Regexreplace(to_text(F3862),""[^A-Za-z0-9]"",""""))"),"-")</f>
        <v>-</v>
      </c>
    </row>
    <row r="3863" ht="30.0" customHeight="1">
      <c r="A3863" s="237"/>
      <c r="B3863" s="425"/>
      <c r="C3863" s="257"/>
      <c r="D3863" s="173"/>
      <c r="E3863" s="174"/>
      <c r="F3863" s="173"/>
      <c r="G3863" s="425"/>
      <c r="H3863" s="425"/>
      <c r="I3863" s="258"/>
      <c r="J3863" s="259"/>
      <c r="K3863" s="260"/>
      <c r="L3863" s="442"/>
      <c r="M3863" s="426"/>
      <c r="N3863" s="173"/>
      <c r="O3863" s="173"/>
      <c r="P3863" s="262"/>
      <c r="Q3863" s="173"/>
      <c r="R3863" s="425"/>
      <c r="S3863" s="339"/>
      <c r="T3863" s="427"/>
      <c r="U3863" s="427"/>
      <c r="V3863" s="428"/>
      <c r="W3863" s="429"/>
      <c r="X3863" s="430"/>
      <c r="Y3863" s="33"/>
      <c r="Z3863" s="430"/>
      <c r="AA3863" s="430"/>
      <c r="AB3863" s="258"/>
      <c r="AC3863" s="430"/>
      <c r="AD3863" s="426"/>
      <c r="AE3863" s="428"/>
      <c r="AF3863" s="431"/>
      <c r="AG3863" s="432"/>
      <c r="AH3863" s="430"/>
      <c r="AI3863" s="430"/>
      <c r="AJ3863" s="430"/>
      <c r="AK3863" s="430"/>
      <c r="AL3863" s="430"/>
      <c r="AM3863" s="433"/>
      <c r="AN3863" s="430"/>
      <c r="AO3863" s="430"/>
      <c r="AP3863" s="430"/>
      <c r="AQ3863" s="430"/>
      <c r="AR3863" s="430"/>
      <c r="AS3863" s="430"/>
      <c r="AT3863" s="430"/>
      <c r="AU3863" s="426"/>
      <c r="AV3863" s="174"/>
      <c r="AW3863" s="269"/>
      <c r="AX3863" s="269"/>
      <c r="AY3863" s="270"/>
      <c r="AZ3863" s="435"/>
      <c r="BA3863" s="173"/>
      <c r="BB3863" s="434"/>
      <c r="BC3863" s="434"/>
      <c r="BD3863" s="308"/>
      <c r="BE3863" s="436"/>
      <c r="BF3863" s="274" t="str">
        <f>IFERROR(__xludf.DUMMYFUNCTION("LOWER(Regexreplace(to_text(E3863),""[^A-Za-z0-9]"","""")&amp;""_""&amp;Regexreplace(to_text(F3863),""[^A-Za-z0-9]"",""""))"),"_")</f>
        <v>_</v>
      </c>
      <c r="BG3863" s="275" t="str">
        <f>IFERROR(__xludf.DUMMYFUNCTION("upper(Regexreplace(to_text(E3863),""[^A-Za-z0-9]"","""")&amp;""-""&amp;Regexreplace(to_text(F3863),""[^A-Za-z0-9]"",""""))"),"-")</f>
        <v>-</v>
      </c>
    </row>
    <row r="3864" ht="30.0" customHeight="1">
      <c r="A3864" s="237"/>
      <c r="B3864" s="425"/>
      <c r="C3864" s="257"/>
      <c r="D3864" s="173"/>
      <c r="E3864" s="174"/>
      <c r="F3864" s="173"/>
      <c r="G3864" s="425"/>
      <c r="H3864" s="425"/>
      <c r="I3864" s="258"/>
      <c r="J3864" s="259"/>
      <c r="K3864" s="260"/>
      <c r="L3864" s="442"/>
      <c r="M3864" s="426"/>
      <c r="N3864" s="173"/>
      <c r="O3864" s="173"/>
      <c r="P3864" s="262"/>
      <c r="Q3864" s="173"/>
      <c r="R3864" s="425"/>
      <c r="S3864" s="339"/>
      <c r="T3864" s="427"/>
      <c r="U3864" s="427"/>
      <c r="V3864" s="428"/>
      <c r="W3864" s="429"/>
      <c r="X3864" s="430"/>
      <c r="Y3864" s="33"/>
      <c r="Z3864" s="430"/>
      <c r="AA3864" s="430"/>
      <c r="AB3864" s="258"/>
      <c r="AC3864" s="430"/>
      <c r="AD3864" s="426"/>
      <c r="AE3864" s="428"/>
      <c r="AF3864" s="431"/>
      <c r="AG3864" s="432"/>
      <c r="AH3864" s="430"/>
      <c r="AI3864" s="430"/>
      <c r="AJ3864" s="430"/>
      <c r="AK3864" s="430"/>
      <c r="AL3864" s="430"/>
      <c r="AM3864" s="433"/>
      <c r="AN3864" s="430"/>
      <c r="AO3864" s="430"/>
      <c r="AP3864" s="430"/>
      <c r="AQ3864" s="430"/>
      <c r="AR3864" s="430"/>
      <c r="AS3864" s="430"/>
      <c r="AT3864" s="430"/>
      <c r="AU3864" s="426"/>
      <c r="AV3864" s="174"/>
      <c r="AW3864" s="269"/>
      <c r="AX3864" s="269"/>
      <c r="AY3864" s="270"/>
      <c r="AZ3864" s="435"/>
      <c r="BA3864" s="173"/>
      <c r="BB3864" s="434"/>
      <c r="BC3864" s="434"/>
      <c r="BD3864" s="308"/>
      <c r="BE3864" s="436"/>
      <c r="BF3864" s="274" t="str">
        <f>IFERROR(__xludf.DUMMYFUNCTION("LOWER(Regexreplace(to_text(E3864),""[^A-Za-z0-9]"","""")&amp;""_""&amp;Regexreplace(to_text(F3864),""[^A-Za-z0-9]"",""""))"),"_")</f>
        <v>_</v>
      </c>
      <c r="BG3864" s="275" t="str">
        <f>IFERROR(__xludf.DUMMYFUNCTION("upper(Regexreplace(to_text(E3864),""[^A-Za-z0-9]"","""")&amp;""-""&amp;Regexreplace(to_text(F3864),""[^A-Za-z0-9]"",""""))"),"-")</f>
        <v>-</v>
      </c>
    </row>
    <row r="3865" ht="30.0" customHeight="1">
      <c r="A3865" s="237"/>
      <c r="B3865" s="425"/>
      <c r="C3865" s="257"/>
      <c r="D3865" s="173"/>
      <c r="E3865" s="174"/>
      <c r="F3865" s="173"/>
      <c r="G3865" s="425"/>
      <c r="H3865" s="425"/>
      <c r="I3865" s="258"/>
      <c r="J3865" s="259"/>
      <c r="K3865" s="260"/>
      <c r="L3865" s="442"/>
      <c r="M3865" s="426"/>
      <c r="N3865" s="173"/>
      <c r="O3865" s="173"/>
      <c r="P3865" s="262"/>
      <c r="Q3865" s="173"/>
      <c r="R3865" s="425"/>
      <c r="S3865" s="339"/>
      <c r="T3865" s="427"/>
      <c r="U3865" s="427"/>
      <c r="V3865" s="428"/>
      <c r="W3865" s="429"/>
      <c r="X3865" s="430"/>
      <c r="Y3865" s="33"/>
      <c r="Z3865" s="430"/>
      <c r="AA3865" s="430"/>
      <c r="AB3865" s="258"/>
      <c r="AC3865" s="430"/>
      <c r="AD3865" s="426"/>
      <c r="AE3865" s="428"/>
      <c r="AF3865" s="431"/>
      <c r="AG3865" s="432"/>
      <c r="AH3865" s="430"/>
      <c r="AI3865" s="430"/>
      <c r="AJ3865" s="430"/>
      <c r="AK3865" s="430"/>
      <c r="AL3865" s="430"/>
      <c r="AM3865" s="433"/>
      <c r="AN3865" s="430"/>
      <c r="AO3865" s="430"/>
      <c r="AP3865" s="430"/>
      <c r="AQ3865" s="430"/>
      <c r="AR3865" s="430"/>
      <c r="AS3865" s="430"/>
      <c r="AT3865" s="430"/>
      <c r="AU3865" s="426"/>
      <c r="AV3865" s="174"/>
      <c r="AW3865" s="269"/>
      <c r="AX3865" s="269"/>
      <c r="AY3865" s="270"/>
      <c r="AZ3865" s="435"/>
      <c r="BA3865" s="173"/>
      <c r="BB3865" s="434"/>
      <c r="BC3865" s="434"/>
      <c r="BD3865" s="308"/>
      <c r="BE3865" s="436"/>
      <c r="BF3865" s="274" t="str">
        <f>IFERROR(__xludf.DUMMYFUNCTION("LOWER(Regexreplace(to_text(E3865),""[^A-Za-z0-9]"","""")&amp;""_""&amp;Regexreplace(to_text(F3865),""[^A-Za-z0-9]"",""""))"),"_")</f>
        <v>_</v>
      </c>
      <c r="BG3865" s="275" t="str">
        <f>IFERROR(__xludf.DUMMYFUNCTION("upper(Regexreplace(to_text(E3865),""[^A-Za-z0-9]"","""")&amp;""-""&amp;Regexreplace(to_text(F3865),""[^A-Za-z0-9]"",""""))"),"-")</f>
        <v>-</v>
      </c>
    </row>
    <row r="3866" ht="30.0" customHeight="1">
      <c r="A3866" s="237"/>
      <c r="B3866" s="425"/>
      <c r="C3866" s="257"/>
      <c r="D3866" s="173"/>
      <c r="E3866" s="174"/>
      <c r="F3866" s="173"/>
      <c r="G3866" s="425"/>
      <c r="H3866" s="425"/>
      <c r="I3866" s="258"/>
      <c r="J3866" s="259"/>
      <c r="K3866" s="260"/>
      <c r="L3866" s="442"/>
      <c r="M3866" s="426"/>
      <c r="N3866" s="173"/>
      <c r="O3866" s="173"/>
      <c r="P3866" s="262"/>
      <c r="Q3866" s="173"/>
      <c r="R3866" s="425"/>
      <c r="S3866" s="339"/>
      <c r="T3866" s="427"/>
      <c r="U3866" s="427"/>
      <c r="V3866" s="428"/>
      <c r="W3866" s="429"/>
      <c r="X3866" s="430"/>
      <c r="Y3866" s="33"/>
      <c r="Z3866" s="430"/>
      <c r="AA3866" s="430"/>
      <c r="AB3866" s="258"/>
      <c r="AC3866" s="430"/>
      <c r="AD3866" s="426"/>
      <c r="AE3866" s="428"/>
      <c r="AF3866" s="431"/>
      <c r="AG3866" s="432"/>
      <c r="AH3866" s="430"/>
      <c r="AI3866" s="430"/>
      <c r="AJ3866" s="430"/>
      <c r="AK3866" s="430"/>
      <c r="AL3866" s="430"/>
      <c r="AM3866" s="433"/>
      <c r="AN3866" s="430"/>
      <c r="AO3866" s="430"/>
      <c r="AP3866" s="430"/>
      <c r="AQ3866" s="430"/>
      <c r="AR3866" s="430"/>
      <c r="AS3866" s="430"/>
      <c r="AT3866" s="430"/>
      <c r="AU3866" s="426"/>
      <c r="AV3866" s="174"/>
      <c r="AW3866" s="269"/>
      <c r="AX3866" s="269"/>
      <c r="AY3866" s="270"/>
      <c r="AZ3866" s="435"/>
      <c r="BA3866" s="173"/>
      <c r="BB3866" s="434"/>
      <c r="BC3866" s="434"/>
      <c r="BD3866" s="308"/>
      <c r="BE3866" s="436"/>
      <c r="BF3866" s="274" t="str">
        <f>IFERROR(__xludf.DUMMYFUNCTION("LOWER(Regexreplace(to_text(E3866),""[^A-Za-z0-9]"","""")&amp;""_""&amp;Regexreplace(to_text(F3866),""[^A-Za-z0-9]"",""""))"),"_")</f>
        <v>_</v>
      </c>
      <c r="BG3866" s="275" t="str">
        <f>IFERROR(__xludf.DUMMYFUNCTION("upper(Regexreplace(to_text(E3866),""[^A-Za-z0-9]"","""")&amp;""-""&amp;Regexreplace(to_text(F3866),""[^A-Za-z0-9]"",""""))"),"-")</f>
        <v>-</v>
      </c>
    </row>
    <row r="3867" ht="30.0" customHeight="1">
      <c r="A3867" s="237"/>
      <c r="B3867" s="425"/>
      <c r="C3867" s="257"/>
      <c r="D3867" s="173"/>
      <c r="E3867" s="174"/>
      <c r="F3867" s="173"/>
      <c r="G3867" s="425"/>
      <c r="H3867" s="425"/>
      <c r="I3867" s="258"/>
      <c r="J3867" s="259"/>
      <c r="K3867" s="260"/>
      <c r="L3867" s="442"/>
      <c r="M3867" s="426"/>
      <c r="N3867" s="173"/>
      <c r="O3867" s="173"/>
      <c r="P3867" s="262"/>
      <c r="Q3867" s="173"/>
      <c r="R3867" s="425"/>
      <c r="S3867" s="339"/>
      <c r="T3867" s="427"/>
      <c r="U3867" s="427"/>
      <c r="V3867" s="428"/>
      <c r="W3867" s="429"/>
      <c r="X3867" s="430"/>
      <c r="Y3867" s="33"/>
      <c r="Z3867" s="430"/>
      <c r="AA3867" s="430"/>
      <c r="AB3867" s="258"/>
      <c r="AC3867" s="430"/>
      <c r="AD3867" s="426"/>
      <c r="AE3867" s="428"/>
      <c r="AF3867" s="431"/>
      <c r="AG3867" s="432"/>
      <c r="AH3867" s="430"/>
      <c r="AI3867" s="430"/>
      <c r="AJ3867" s="430"/>
      <c r="AK3867" s="430"/>
      <c r="AL3867" s="430"/>
      <c r="AM3867" s="433"/>
      <c r="AN3867" s="430"/>
      <c r="AO3867" s="430"/>
      <c r="AP3867" s="430"/>
      <c r="AQ3867" s="430"/>
      <c r="AR3867" s="430"/>
      <c r="AS3867" s="430"/>
      <c r="AT3867" s="430"/>
      <c r="AU3867" s="426"/>
      <c r="AV3867" s="174"/>
      <c r="AW3867" s="269"/>
      <c r="AX3867" s="269"/>
      <c r="AY3867" s="270"/>
      <c r="AZ3867" s="435"/>
      <c r="BA3867" s="173"/>
      <c r="BB3867" s="434"/>
      <c r="BC3867" s="434"/>
      <c r="BD3867" s="308"/>
      <c r="BE3867" s="436"/>
      <c r="BF3867" s="274" t="str">
        <f>IFERROR(__xludf.DUMMYFUNCTION("LOWER(Regexreplace(to_text(E3867),""[^A-Za-z0-9]"","""")&amp;""_""&amp;Regexreplace(to_text(F3867),""[^A-Za-z0-9]"",""""))"),"_")</f>
        <v>_</v>
      </c>
      <c r="BG3867" s="275" t="str">
        <f>IFERROR(__xludf.DUMMYFUNCTION("upper(Regexreplace(to_text(E3867),""[^A-Za-z0-9]"","""")&amp;""-""&amp;Regexreplace(to_text(F3867),""[^A-Za-z0-9]"",""""))"),"-")</f>
        <v>-</v>
      </c>
    </row>
    <row r="3868" ht="30.0" customHeight="1">
      <c r="A3868" s="237"/>
      <c r="B3868" s="425"/>
      <c r="C3868" s="257"/>
      <c r="D3868" s="173"/>
      <c r="E3868" s="174"/>
      <c r="F3868" s="173"/>
      <c r="G3868" s="425"/>
      <c r="H3868" s="425"/>
      <c r="I3868" s="258"/>
      <c r="J3868" s="259"/>
      <c r="K3868" s="260"/>
      <c r="L3868" s="442"/>
      <c r="M3868" s="426"/>
      <c r="N3868" s="173"/>
      <c r="O3868" s="173"/>
      <c r="P3868" s="262"/>
      <c r="Q3868" s="173"/>
      <c r="R3868" s="425"/>
      <c r="S3868" s="339"/>
      <c r="T3868" s="427"/>
      <c r="U3868" s="427"/>
      <c r="V3868" s="428"/>
      <c r="W3868" s="429"/>
      <c r="X3868" s="430"/>
      <c r="Y3868" s="33"/>
      <c r="Z3868" s="430"/>
      <c r="AA3868" s="430"/>
      <c r="AB3868" s="258"/>
      <c r="AC3868" s="430"/>
      <c r="AD3868" s="426"/>
      <c r="AE3868" s="428"/>
      <c r="AF3868" s="431"/>
      <c r="AG3868" s="432"/>
      <c r="AH3868" s="430"/>
      <c r="AI3868" s="430"/>
      <c r="AJ3868" s="430"/>
      <c r="AK3868" s="430"/>
      <c r="AL3868" s="430"/>
      <c r="AM3868" s="433"/>
      <c r="AN3868" s="430"/>
      <c r="AO3868" s="430"/>
      <c r="AP3868" s="430"/>
      <c r="AQ3868" s="430"/>
      <c r="AR3868" s="430"/>
      <c r="AS3868" s="430"/>
      <c r="AT3868" s="430"/>
      <c r="AU3868" s="426"/>
      <c r="AV3868" s="174"/>
      <c r="AW3868" s="269"/>
      <c r="AX3868" s="269"/>
      <c r="AY3868" s="270"/>
      <c r="AZ3868" s="435"/>
      <c r="BA3868" s="173"/>
      <c r="BB3868" s="434"/>
      <c r="BC3868" s="434"/>
      <c r="BD3868" s="308"/>
      <c r="BE3868" s="436"/>
      <c r="BF3868" s="274" t="str">
        <f>IFERROR(__xludf.DUMMYFUNCTION("LOWER(Regexreplace(to_text(E3868),""[^A-Za-z0-9]"","""")&amp;""_""&amp;Regexreplace(to_text(F3868),""[^A-Za-z0-9]"",""""))"),"_")</f>
        <v>_</v>
      </c>
      <c r="BG3868" s="275" t="str">
        <f>IFERROR(__xludf.DUMMYFUNCTION("upper(Regexreplace(to_text(E3868),""[^A-Za-z0-9]"","""")&amp;""-""&amp;Regexreplace(to_text(F3868),""[^A-Za-z0-9]"",""""))"),"-")</f>
        <v>-</v>
      </c>
    </row>
    <row r="3869" ht="30.0" customHeight="1">
      <c r="A3869" s="237"/>
      <c r="B3869" s="425"/>
      <c r="C3869" s="257"/>
      <c r="D3869" s="173"/>
      <c r="E3869" s="174"/>
      <c r="F3869" s="173"/>
      <c r="G3869" s="425"/>
      <c r="H3869" s="425"/>
      <c r="I3869" s="258"/>
      <c r="J3869" s="259"/>
      <c r="K3869" s="260"/>
      <c r="L3869" s="442"/>
      <c r="M3869" s="426"/>
      <c r="N3869" s="173"/>
      <c r="O3869" s="173"/>
      <c r="P3869" s="262"/>
      <c r="Q3869" s="173"/>
      <c r="R3869" s="425"/>
      <c r="S3869" s="339"/>
      <c r="T3869" s="427"/>
      <c r="U3869" s="427"/>
      <c r="V3869" s="428"/>
      <c r="W3869" s="429"/>
      <c r="X3869" s="430"/>
      <c r="Y3869" s="33"/>
      <c r="Z3869" s="430"/>
      <c r="AA3869" s="430"/>
      <c r="AB3869" s="258"/>
      <c r="AC3869" s="430"/>
      <c r="AD3869" s="426"/>
      <c r="AE3869" s="428"/>
      <c r="AF3869" s="431"/>
      <c r="AG3869" s="432"/>
      <c r="AH3869" s="430"/>
      <c r="AI3869" s="430"/>
      <c r="AJ3869" s="430"/>
      <c r="AK3869" s="430"/>
      <c r="AL3869" s="430"/>
      <c r="AM3869" s="433"/>
      <c r="AN3869" s="430"/>
      <c r="AO3869" s="430"/>
      <c r="AP3869" s="430"/>
      <c r="AQ3869" s="430"/>
      <c r="AR3869" s="430"/>
      <c r="AS3869" s="430"/>
      <c r="AT3869" s="430"/>
      <c r="AU3869" s="426"/>
      <c r="AV3869" s="174"/>
      <c r="AW3869" s="269"/>
      <c r="AX3869" s="269"/>
      <c r="AY3869" s="270"/>
      <c r="AZ3869" s="435"/>
      <c r="BA3869" s="173"/>
      <c r="BB3869" s="434"/>
      <c r="BC3869" s="434"/>
      <c r="BD3869" s="308"/>
      <c r="BE3869" s="436"/>
      <c r="BF3869" s="274" t="str">
        <f>IFERROR(__xludf.DUMMYFUNCTION("LOWER(Regexreplace(to_text(E3869),""[^A-Za-z0-9]"","""")&amp;""_""&amp;Regexreplace(to_text(F3869),""[^A-Za-z0-9]"",""""))"),"_")</f>
        <v>_</v>
      </c>
      <c r="BG3869" s="275" t="str">
        <f>IFERROR(__xludf.DUMMYFUNCTION("upper(Regexreplace(to_text(E3869),""[^A-Za-z0-9]"","""")&amp;""-""&amp;Regexreplace(to_text(F3869),""[^A-Za-z0-9]"",""""))"),"-")</f>
        <v>-</v>
      </c>
    </row>
    <row r="3870" ht="30.0" customHeight="1">
      <c r="A3870" s="237"/>
      <c r="B3870" s="425"/>
      <c r="C3870" s="257"/>
      <c r="D3870" s="173"/>
      <c r="E3870" s="174"/>
      <c r="F3870" s="173"/>
      <c r="G3870" s="425"/>
      <c r="H3870" s="425"/>
      <c r="I3870" s="258"/>
      <c r="J3870" s="259"/>
      <c r="K3870" s="260"/>
      <c r="L3870" s="442"/>
      <c r="M3870" s="426"/>
      <c r="N3870" s="173"/>
      <c r="O3870" s="173"/>
      <c r="P3870" s="262"/>
      <c r="Q3870" s="173"/>
      <c r="R3870" s="425"/>
      <c r="S3870" s="339"/>
      <c r="T3870" s="427"/>
      <c r="U3870" s="427"/>
      <c r="V3870" s="428"/>
      <c r="W3870" s="429"/>
      <c r="X3870" s="430"/>
      <c r="Y3870" s="33"/>
      <c r="Z3870" s="430"/>
      <c r="AA3870" s="430"/>
      <c r="AB3870" s="258"/>
      <c r="AC3870" s="430"/>
      <c r="AD3870" s="426"/>
      <c r="AE3870" s="428"/>
      <c r="AF3870" s="431"/>
      <c r="AG3870" s="432"/>
      <c r="AH3870" s="430"/>
      <c r="AI3870" s="430"/>
      <c r="AJ3870" s="430"/>
      <c r="AK3870" s="430"/>
      <c r="AL3870" s="430"/>
      <c r="AM3870" s="433"/>
      <c r="AN3870" s="430"/>
      <c r="AO3870" s="430"/>
      <c r="AP3870" s="430"/>
      <c r="AQ3870" s="430"/>
      <c r="AR3870" s="430"/>
      <c r="AS3870" s="430"/>
      <c r="AT3870" s="430"/>
      <c r="AU3870" s="426"/>
      <c r="AV3870" s="174"/>
      <c r="AW3870" s="269"/>
      <c r="AX3870" s="269"/>
      <c r="AY3870" s="270"/>
      <c r="AZ3870" s="435"/>
      <c r="BA3870" s="173"/>
      <c r="BB3870" s="434"/>
      <c r="BC3870" s="434"/>
      <c r="BD3870" s="308"/>
      <c r="BE3870" s="436"/>
      <c r="BF3870" s="274" t="str">
        <f>IFERROR(__xludf.DUMMYFUNCTION("LOWER(Regexreplace(to_text(E3870),""[^A-Za-z0-9]"","""")&amp;""_""&amp;Regexreplace(to_text(F3870),""[^A-Za-z0-9]"",""""))"),"_")</f>
        <v>_</v>
      </c>
      <c r="BG3870" s="275" t="str">
        <f>IFERROR(__xludf.DUMMYFUNCTION("upper(Regexreplace(to_text(E3870),""[^A-Za-z0-9]"","""")&amp;""-""&amp;Regexreplace(to_text(F3870),""[^A-Za-z0-9]"",""""))"),"-")</f>
        <v>-</v>
      </c>
    </row>
    <row r="3871" ht="30.0" customHeight="1">
      <c r="A3871" s="237"/>
      <c r="B3871" s="425"/>
      <c r="C3871" s="257"/>
      <c r="D3871" s="173"/>
      <c r="E3871" s="174"/>
      <c r="F3871" s="173"/>
      <c r="G3871" s="425"/>
      <c r="H3871" s="425"/>
      <c r="I3871" s="258"/>
      <c r="J3871" s="259"/>
      <c r="K3871" s="260"/>
      <c r="L3871" s="442"/>
      <c r="M3871" s="426"/>
      <c r="N3871" s="173"/>
      <c r="O3871" s="173"/>
      <c r="P3871" s="262"/>
      <c r="Q3871" s="173"/>
      <c r="R3871" s="425"/>
      <c r="S3871" s="339"/>
      <c r="T3871" s="427"/>
      <c r="U3871" s="427"/>
      <c r="V3871" s="428"/>
      <c r="W3871" s="429"/>
      <c r="X3871" s="430"/>
      <c r="Y3871" s="33"/>
      <c r="Z3871" s="430"/>
      <c r="AA3871" s="430"/>
      <c r="AB3871" s="258"/>
      <c r="AC3871" s="430"/>
      <c r="AD3871" s="426"/>
      <c r="AE3871" s="428"/>
      <c r="AF3871" s="431"/>
      <c r="AG3871" s="432"/>
      <c r="AH3871" s="430"/>
      <c r="AI3871" s="430"/>
      <c r="AJ3871" s="430"/>
      <c r="AK3871" s="430"/>
      <c r="AL3871" s="430"/>
      <c r="AM3871" s="433"/>
      <c r="AN3871" s="430"/>
      <c r="AO3871" s="430"/>
      <c r="AP3871" s="430"/>
      <c r="AQ3871" s="430"/>
      <c r="AR3871" s="430"/>
      <c r="AS3871" s="430"/>
      <c r="AT3871" s="430"/>
      <c r="AU3871" s="426"/>
      <c r="AV3871" s="174"/>
      <c r="AW3871" s="269"/>
      <c r="AX3871" s="269"/>
      <c r="AY3871" s="270"/>
      <c r="AZ3871" s="435"/>
      <c r="BA3871" s="173"/>
      <c r="BB3871" s="434"/>
      <c r="BC3871" s="434"/>
      <c r="BD3871" s="308"/>
      <c r="BE3871" s="436"/>
      <c r="BF3871" s="274" t="str">
        <f>IFERROR(__xludf.DUMMYFUNCTION("LOWER(Regexreplace(to_text(E3871),""[^A-Za-z0-9]"","""")&amp;""_""&amp;Regexreplace(to_text(F3871),""[^A-Za-z0-9]"",""""))"),"_")</f>
        <v>_</v>
      </c>
      <c r="BG3871" s="275" t="str">
        <f>IFERROR(__xludf.DUMMYFUNCTION("upper(Regexreplace(to_text(E3871),""[^A-Za-z0-9]"","""")&amp;""-""&amp;Regexreplace(to_text(F3871),""[^A-Za-z0-9]"",""""))"),"-")</f>
        <v>-</v>
      </c>
    </row>
    <row r="3872" ht="30.0" customHeight="1">
      <c r="A3872" s="237"/>
      <c r="B3872" s="425"/>
      <c r="C3872" s="257"/>
      <c r="D3872" s="173"/>
      <c r="E3872" s="174"/>
      <c r="F3872" s="173"/>
      <c r="G3872" s="425"/>
      <c r="H3872" s="425"/>
      <c r="I3872" s="258"/>
      <c r="J3872" s="259"/>
      <c r="K3872" s="260"/>
      <c r="L3872" s="442"/>
      <c r="M3872" s="426"/>
      <c r="N3872" s="173"/>
      <c r="O3872" s="173"/>
      <c r="P3872" s="262"/>
      <c r="Q3872" s="173"/>
      <c r="R3872" s="425"/>
      <c r="S3872" s="339"/>
      <c r="T3872" s="427"/>
      <c r="U3872" s="427"/>
      <c r="V3872" s="428"/>
      <c r="W3872" s="429"/>
      <c r="X3872" s="430"/>
      <c r="Y3872" s="33"/>
      <c r="Z3872" s="430"/>
      <c r="AA3872" s="430"/>
      <c r="AB3872" s="258"/>
      <c r="AC3872" s="430"/>
      <c r="AD3872" s="426"/>
      <c r="AE3872" s="428"/>
      <c r="AF3872" s="431"/>
      <c r="AG3872" s="432"/>
      <c r="AH3872" s="430"/>
      <c r="AI3872" s="430"/>
      <c r="AJ3872" s="430"/>
      <c r="AK3872" s="430"/>
      <c r="AL3872" s="430"/>
      <c r="AM3872" s="433"/>
      <c r="AN3872" s="430"/>
      <c r="AO3872" s="430"/>
      <c r="AP3872" s="430"/>
      <c r="AQ3872" s="430"/>
      <c r="AR3872" s="430"/>
      <c r="AS3872" s="430"/>
      <c r="AT3872" s="430"/>
      <c r="AU3872" s="426"/>
      <c r="AV3872" s="174"/>
      <c r="AW3872" s="269"/>
      <c r="AX3872" s="269"/>
      <c r="AY3872" s="270"/>
      <c r="AZ3872" s="435"/>
      <c r="BA3872" s="173"/>
      <c r="BB3872" s="434"/>
      <c r="BC3872" s="434"/>
      <c r="BD3872" s="308"/>
      <c r="BE3872" s="436"/>
      <c r="BF3872" s="274" t="str">
        <f>IFERROR(__xludf.DUMMYFUNCTION("LOWER(Regexreplace(to_text(E3872),""[^A-Za-z0-9]"","""")&amp;""_""&amp;Regexreplace(to_text(F3872),""[^A-Za-z0-9]"",""""))"),"_")</f>
        <v>_</v>
      </c>
      <c r="BG3872" s="275" t="str">
        <f>IFERROR(__xludf.DUMMYFUNCTION("upper(Regexreplace(to_text(E3872),""[^A-Za-z0-9]"","""")&amp;""-""&amp;Regexreplace(to_text(F3872),""[^A-Za-z0-9]"",""""))"),"-")</f>
        <v>-</v>
      </c>
    </row>
    <row r="3873" ht="30.0" customHeight="1">
      <c r="A3873" s="237"/>
      <c r="B3873" s="425"/>
      <c r="C3873" s="257"/>
      <c r="D3873" s="173"/>
      <c r="E3873" s="174"/>
      <c r="F3873" s="173"/>
      <c r="G3873" s="425"/>
      <c r="H3873" s="425"/>
      <c r="I3873" s="258"/>
      <c r="J3873" s="259"/>
      <c r="K3873" s="260"/>
      <c r="L3873" s="442"/>
      <c r="M3873" s="426"/>
      <c r="N3873" s="173"/>
      <c r="O3873" s="173"/>
      <c r="P3873" s="262"/>
      <c r="Q3873" s="173"/>
      <c r="R3873" s="425"/>
      <c r="S3873" s="339"/>
      <c r="T3873" s="427"/>
      <c r="U3873" s="427"/>
      <c r="V3873" s="428"/>
      <c r="W3873" s="429"/>
      <c r="X3873" s="430"/>
      <c r="Y3873" s="33"/>
      <c r="Z3873" s="430"/>
      <c r="AA3873" s="430"/>
      <c r="AB3873" s="258"/>
      <c r="AC3873" s="430"/>
      <c r="AD3873" s="426"/>
      <c r="AE3873" s="428"/>
      <c r="AF3873" s="431"/>
      <c r="AG3873" s="432"/>
      <c r="AH3873" s="430"/>
      <c r="AI3873" s="430"/>
      <c r="AJ3873" s="430"/>
      <c r="AK3873" s="430"/>
      <c r="AL3873" s="430"/>
      <c r="AM3873" s="433"/>
      <c r="AN3873" s="430"/>
      <c r="AO3873" s="430"/>
      <c r="AP3873" s="430"/>
      <c r="AQ3873" s="430"/>
      <c r="AR3873" s="430"/>
      <c r="AS3873" s="430"/>
      <c r="AT3873" s="430"/>
      <c r="AU3873" s="426"/>
      <c r="AV3873" s="174"/>
      <c r="AW3873" s="269"/>
      <c r="AX3873" s="269"/>
      <c r="AY3873" s="270"/>
      <c r="AZ3873" s="435"/>
      <c r="BA3873" s="173"/>
      <c r="BB3873" s="434"/>
      <c r="BC3873" s="434"/>
      <c r="BD3873" s="308"/>
      <c r="BE3873" s="436"/>
      <c r="BF3873" s="274" t="str">
        <f>IFERROR(__xludf.DUMMYFUNCTION("LOWER(Regexreplace(to_text(E3873),""[^A-Za-z0-9]"","""")&amp;""_""&amp;Regexreplace(to_text(F3873),""[^A-Za-z0-9]"",""""))"),"_")</f>
        <v>_</v>
      </c>
      <c r="BG3873" s="275" t="str">
        <f>IFERROR(__xludf.DUMMYFUNCTION("upper(Regexreplace(to_text(E3873),""[^A-Za-z0-9]"","""")&amp;""-""&amp;Regexreplace(to_text(F3873),""[^A-Za-z0-9]"",""""))"),"-")</f>
        <v>-</v>
      </c>
    </row>
    <row r="3874" ht="30.0" customHeight="1">
      <c r="A3874" s="237"/>
      <c r="B3874" s="425"/>
      <c r="C3874" s="257"/>
      <c r="D3874" s="173"/>
      <c r="E3874" s="174"/>
      <c r="F3874" s="173"/>
      <c r="G3874" s="425"/>
      <c r="H3874" s="425"/>
      <c r="I3874" s="258"/>
      <c r="J3874" s="259"/>
      <c r="K3874" s="260"/>
      <c r="L3874" s="442"/>
      <c r="M3874" s="426"/>
      <c r="N3874" s="173"/>
      <c r="O3874" s="173"/>
      <c r="P3874" s="262"/>
      <c r="Q3874" s="173"/>
      <c r="R3874" s="425"/>
      <c r="S3874" s="339"/>
      <c r="T3874" s="427"/>
      <c r="U3874" s="427"/>
      <c r="V3874" s="428"/>
      <c r="W3874" s="429"/>
      <c r="X3874" s="430"/>
      <c r="Y3874" s="33"/>
      <c r="Z3874" s="430"/>
      <c r="AA3874" s="430"/>
      <c r="AB3874" s="258"/>
      <c r="AC3874" s="430"/>
      <c r="AD3874" s="426"/>
      <c r="AE3874" s="428"/>
      <c r="AF3874" s="431"/>
      <c r="AG3874" s="432"/>
      <c r="AH3874" s="430"/>
      <c r="AI3874" s="430"/>
      <c r="AJ3874" s="430"/>
      <c r="AK3874" s="430"/>
      <c r="AL3874" s="430"/>
      <c r="AM3874" s="433"/>
      <c r="AN3874" s="430"/>
      <c r="AO3874" s="430"/>
      <c r="AP3874" s="430"/>
      <c r="AQ3874" s="430"/>
      <c r="AR3874" s="430"/>
      <c r="AS3874" s="430"/>
      <c r="AT3874" s="430"/>
      <c r="AU3874" s="426"/>
      <c r="AV3874" s="174"/>
      <c r="AW3874" s="269"/>
      <c r="AX3874" s="269"/>
      <c r="AY3874" s="270"/>
      <c r="AZ3874" s="435"/>
      <c r="BA3874" s="173"/>
      <c r="BB3874" s="434"/>
      <c r="BC3874" s="434"/>
      <c r="BD3874" s="308"/>
      <c r="BE3874" s="436"/>
      <c r="BF3874" s="274" t="str">
        <f>IFERROR(__xludf.DUMMYFUNCTION("LOWER(Regexreplace(to_text(E3874),""[^A-Za-z0-9]"","""")&amp;""_""&amp;Regexreplace(to_text(F3874),""[^A-Za-z0-9]"",""""))"),"_")</f>
        <v>_</v>
      </c>
      <c r="BG3874" s="275" t="str">
        <f>IFERROR(__xludf.DUMMYFUNCTION("upper(Regexreplace(to_text(E3874),""[^A-Za-z0-9]"","""")&amp;""-""&amp;Regexreplace(to_text(F3874),""[^A-Za-z0-9]"",""""))"),"-")</f>
        <v>-</v>
      </c>
    </row>
    <row r="3875" ht="30.0" customHeight="1">
      <c r="A3875" s="237"/>
      <c r="B3875" s="425"/>
      <c r="C3875" s="257"/>
      <c r="D3875" s="173"/>
      <c r="E3875" s="174"/>
      <c r="F3875" s="173"/>
      <c r="G3875" s="425"/>
      <c r="H3875" s="425"/>
      <c r="I3875" s="258"/>
      <c r="J3875" s="259"/>
      <c r="K3875" s="260"/>
      <c r="L3875" s="442"/>
      <c r="M3875" s="426"/>
      <c r="N3875" s="173"/>
      <c r="O3875" s="173"/>
      <c r="P3875" s="262"/>
      <c r="Q3875" s="173"/>
      <c r="R3875" s="425"/>
      <c r="S3875" s="339"/>
      <c r="T3875" s="427"/>
      <c r="U3875" s="427"/>
      <c r="V3875" s="428"/>
      <c r="W3875" s="429"/>
      <c r="X3875" s="430"/>
      <c r="Y3875" s="33"/>
      <c r="Z3875" s="430"/>
      <c r="AA3875" s="430"/>
      <c r="AB3875" s="258"/>
      <c r="AC3875" s="430"/>
      <c r="AD3875" s="426"/>
      <c r="AE3875" s="428"/>
      <c r="AF3875" s="431"/>
      <c r="AG3875" s="432"/>
      <c r="AH3875" s="430"/>
      <c r="AI3875" s="430"/>
      <c r="AJ3875" s="430"/>
      <c r="AK3875" s="430"/>
      <c r="AL3875" s="430"/>
      <c r="AM3875" s="433"/>
      <c r="AN3875" s="430"/>
      <c r="AO3875" s="430"/>
      <c r="AP3875" s="430"/>
      <c r="AQ3875" s="430"/>
      <c r="AR3875" s="430"/>
      <c r="AS3875" s="430"/>
      <c r="AT3875" s="430"/>
      <c r="AU3875" s="426"/>
      <c r="AV3875" s="174"/>
      <c r="AW3875" s="269"/>
      <c r="AX3875" s="269"/>
      <c r="AY3875" s="270"/>
      <c r="AZ3875" s="435"/>
      <c r="BA3875" s="173"/>
      <c r="BB3875" s="434"/>
      <c r="BC3875" s="434"/>
      <c r="BD3875" s="308"/>
      <c r="BE3875" s="436"/>
      <c r="BF3875" s="274" t="str">
        <f>IFERROR(__xludf.DUMMYFUNCTION("LOWER(Regexreplace(to_text(E3875),""[^A-Za-z0-9]"","""")&amp;""_""&amp;Regexreplace(to_text(F3875),""[^A-Za-z0-9]"",""""))"),"_")</f>
        <v>_</v>
      </c>
      <c r="BG3875" s="275" t="str">
        <f>IFERROR(__xludf.DUMMYFUNCTION("upper(Regexreplace(to_text(E3875),""[^A-Za-z0-9]"","""")&amp;""-""&amp;Regexreplace(to_text(F3875),""[^A-Za-z0-9]"",""""))"),"-")</f>
        <v>-</v>
      </c>
    </row>
    <row r="3876" ht="30.0" customHeight="1">
      <c r="A3876" s="237"/>
      <c r="B3876" s="425"/>
      <c r="C3876" s="257"/>
      <c r="D3876" s="173"/>
      <c r="E3876" s="174"/>
      <c r="F3876" s="173"/>
      <c r="G3876" s="425"/>
      <c r="H3876" s="425"/>
      <c r="I3876" s="258"/>
      <c r="J3876" s="259"/>
      <c r="K3876" s="260"/>
      <c r="L3876" s="442"/>
      <c r="M3876" s="426"/>
      <c r="N3876" s="173"/>
      <c r="O3876" s="173"/>
      <c r="P3876" s="262"/>
      <c r="Q3876" s="173"/>
      <c r="R3876" s="425"/>
      <c r="S3876" s="339"/>
      <c r="T3876" s="427"/>
      <c r="U3876" s="427"/>
      <c r="V3876" s="428"/>
      <c r="W3876" s="429"/>
      <c r="X3876" s="430"/>
      <c r="Y3876" s="33"/>
      <c r="Z3876" s="430"/>
      <c r="AA3876" s="430"/>
      <c r="AB3876" s="258"/>
      <c r="AC3876" s="430"/>
      <c r="AD3876" s="426"/>
      <c r="AE3876" s="428"/>
      <c r="AF3876" s="431"/>
      <c r="AG3876" s="432"/>
      <c r="AH3876" s="430"/>
      <c r="AI3876" s="430"/>
      <c r="AJ3876" s="430"/>
      <c r="AK3876" s="430"/>
      <c r="AL3876" s="430"/>
      <c r="AM3876" s="433"/>
      <c r="AN3876" s="430"/>
      <c r="AO3876" s="430"/>
      <c r="AP3876" s="430"/>
      <c r="AQ3876" s="430"/>
      <c r="AR3876" s="430"/>
      <c r="AS3876" s="430"/>
      <c r="AT3876" s="430"/>
      <c r="AU3876" s="426"/>
      <c r="AV3876" s="174"/>
      <c r="AW3876" s="269"/>
      <c r="AX3876" s="269"/>
      <c r="AY3876" s="270"/>
      <c r="AZ3876" s="435"/>
      <c r="BA3876" s="173"/>
      <c r="BB3876" s="434"/>
      <c r="BC3876" s="434"/>
      <c r="BD3876" s="308"/>
      <c r="BE3876" s="436"/>
      <c r="BF3876" s="274" t="str">
        <f>IFERROR(__xludf.DUMMYFUNCTION("LOWER(Regexreplace(to_text(E3876),""[^A-Za-z0-9]"","""")&amp;""_""&amp;Regexreplace(to_text(F3876),""[^A-Za-z0-9]"",""""))"),"_")</f>
        <v>_</v>
      </c>
      <c r="BG3876" s="275" t="str">
        <f>IFERROR(__xludf.DUMMYFUNCTION("upper(Regexreplace(to_text(E3876),""[^A-Za-z0-9]"","""")&amp;""-""&amp;Regexreplace(to_text(F3876),""[^A-Za-z0-9]"",""""))"),"-")</f>
        <v>-</v>
      </c>
    </row>
    <row r="3877" ht="30.0" customHeight="1">
      <c r="A3877" s="237"/>
      <c r="B3877" s="425"/>
      <c r="C3877" s="257"/>
      <c r="D3877" s="173"/>
      <c r="E3877" s="174"/>
      <c r="F3877" s="173"/>
      <c r="G3877" s="425"/>
      <c r="H3877" s="425"/>
      <c r="I3877" s="258"/>
      <c r="J3877" s="259"/>
      <c r="K3877" s="260"/>
      <c r="L3877" s="442"/>
      <c r="M3877" s="426"/>
      <c r="N3877" s="173"/>
      <c r="O3877" s="173"/>
      <c r="P3877" s="262"/>
      <c r="Q3877" s="173"/>
      <c r="R3877" s="425"/>
      <c r="S3877" s="339"/>
      <c r="T3877" s="427"/>
      <c r="U3877" s="427"/>
      <c r="V3877" s="428"/>
      <c r="W3877" s="429"/>
      <c r="X3877" s="430"/>
      <c r="Y3877" s="33"/>
      <c r="Z3877" s="430"/>
      <c r="AA3877" s="430"/>
      <c r="AB3877" s="258"/>
      <c r="AC3877" s="430"/>
      <c r="AD3877" s="426"/>
      <c r="AE3877" s="428"/>
      <c r="AF3877" s="431"/>
      <c r="AG3877" s="432"/>
      <c r="AH3877" s="430"/>
      <c r="AI3877" s="430"/>
      <c r="AJ3877" s="430"/>
      <c r="AK3877" s="430"/>
      <c r="AL3877" s="430"/>
      <c r="AM3877" s="433"/>
      <c r="AN3877" s="430"/>
      <c r="AO3877" s="430"/>
      <c r="AP3877" s="430"/>
      <c r="AQ3877" s="430"/>
      <c r="AR3877" s="430"/>
      <c r="AS3877" s="430"/>
      <c r="AT3877" s="430"/>
      <c r="AU3877" s="426"/>
      <c r="AV3877" s="174"/>
      <c r="AW3877" s="269"/>
      <c r="AX3877" s="269"/>
      <c r="AY3877" s="270"/>
      <c r="AZ3877" s="435"/>
      <c r="BA3877" s="173"/>
      <c r="BB3877" s="434"/>
      <c r="BC3877" s="434"/>
      <c r="BD3877" s="308"/>
      <c r="BE3877" s="436"/>
      <c r="BF3877" s="274" t="str">
        <f>IFERROR(__xludf.DUMMYFUNCTION("LOWER(Regexreplace(to_text(E3877),""[^A-Za-z0-9]"","""")&amp;""_""&amp;Regexreplace(to_text(F3877),""[^A-Za-z0-9]"",""""))"),"_")</f>
        <v>_</v>
      </c>
      <c r="BG3877" s="275" t="str">
        <f>IFERROR(__xludf.DUMMYFUNCTION("upper(Regexreplace(to_text(E3877),""[^A-Za-z0-9]"","""")&amp;""-""&amp;Regexreplace(to_text(F3877),""[^A-Za-z0-9]"",""""))"),"-")</f>
        <v>-</v>
      </c>
    </row>
    <row r="3878" ht="30.0" customHeight="1">
      <c r="A3878" s="237"/>
      <c r="B3878" s="425"/>
      <c r="C3878" s="257"/>
      <c r="D3878" s="173"/>
      <c r="E3878" s="174"/>
      <c r="F3878" s="173"/>
      <c r="G3878" s="425"/>
      <c r="H3878" s="425"/>
      <c r="I3878" s="258"/>
      <c r="J3878" s="259"/>
      <c r="K3878" s="260"/>
      <c r="L3878" s="442"/>
      <c r="M3878" s="426"/>
      <c r="N3878" s="173"/>
      <c r="O3878" s="173"/>
      <c r="P3878" s="262"/>
      <c r="Q3878" s="173"/>
      <c r="R3878" s="425"/>
      <c r="S3878" s="339"/>
      <c r="T3878" s="427"/>
      <c r="U3878" s="427"/>
      <c r="V3878" s="428"/>
      <c r="W3878" s="429"/>
      <c r="X3878" s="430"/>
      <c r="Y3878" s="33"/>
      <c r="Z3878" s="430"/>
      <c r="AA3878" s="430"/>
      <c r="AB3878" s="258"/>
      <c r="AC3878" s="430"/>
      <c r="AD3878" s="426"/>
      <c r="AE3878" s="428"/>
      <c r="AF3878" s="431"/>
      <c r="AG3878" s="432"/>
      <c r="AH3878" s="430"/>
      <c r="AI3878" s="430"/>
      <c r="AJ3878" s="430"/>
      <c r="AK3878" s="430"/>
      <c r="AL3878" s="430"/>
      <c r="AM3878" s="433"/>
      <c r="AN3878" s="430"/>
      <c r="AO3878" s="430"/>
      <c r="AP3878" s="430"/>
      <c r="AQ3878" s="430"/>
      <c r="AR3878" s="430"/>
      <c r="AS3878" s="430"/>
      <c r="AT3878" s="430"/>
      <c r="AU3878" s="426"/>
      <c r="AV3878" s="174"/>
      <c r="AW3878" s="269"/>
      <c r="AX3878" s="269"/>
      <c r="AY3878" s="270"/>
      <c r="AZ3878" s="435"/>
      <c r="BA3878" s="173"/>
      <c r="BB3878" s="434"/>
      <c r="BC3878" s="434"/>
      <c r="BD3878" s="308"/>
      <c r="BE3878" s="436"/>
      <c r="BF3878" s="274" t="str">
        <f>IFERROR(__xludf.DUMMYFUNCTION("LOWER(Regexreplace(to_text(E3878),""[^A-Za-z0-9]"","""")&amp;""_""&amp;Regexreplace(to_text(F3878),""[^A-Za-z0-9]"",""""))"),"_")</f>
        <v>_</v>
      </c>
      <c r="BG3878" s="275" t="str">
        <f>IFERROR(__xludf.DUMMYFUNCTION("upper(Regexreplace(to_text(E3878),""[^A-Za-z0-9]"","""")&amp;""-""&amp;Regexreplace(to_text(F3878),""[^A-Za-z0-9]"",""""))"),"-")</f>
        <v>-</v>
      </c>
    </row>
    <row r="3879" ht="30.0" customHeight="1">
      <c r="A3879" s="237"/>
      <c r="B3879" s="425"/>
      <c r="C3879" s="257"/>
      <c r="D3879" s="173"/>
      <c r="E3879" s="174"/>
      <c r="F3879" s="173"/>
      <c r="G3879" s="425"/>
      <c r="H3879" s="425"/>
      <c r="I3879" s="258"/>
      <c r="J3879" s="259"/>
      <c r="K3879" s="260"/>
      <c r="L3879" s="442"/>
      <c r="M3879" s="426"/>
      <c r="N3879" s="173"/>
      <c r="O3879" s="173"/>
      <c r="P3879" s="262"/>
      <c r="Q3879" s="173"/>
      <c r="R3879" s="425"/>
      <c r="S3879" s="339"/>
      <c r="T3879" s="427"/>
      <c r="U3879" s="427"/>
      <c r="V3879" s="428"/>
      <c r="W3879" s="429"/>
      <c r="X3879" s="430"/>
      <c r="Y3879" s="33"/>
      <c r="Z3879" s="430"/>
      <c r="AA3879" s="430"/>
      <c r="AB3879" s="258"/>
      <c r="AC3879" s="430"/>
      <c r="AD3879" s="426"/>
      <c r="AE3879" s="428"/>
      <c r="AF3879" s="431"/>
      <c r="AG3879" s="432"/>
      <c r="AH3879" s="430"/>
      <c r="AI3879" s="430"/>
      <c r="AJ3879" s="430"/>
      <c r="AK3879" s="430"/>
      <c r="AL3879" s="430"/>
      <c r="AM3879" s="433"/>
      <c r="AN3879" s="430"/>
      <c r="AO3879" s="430"/>
      <c r="AP3879" s="430"/>
      <c r="AQ3879" s="430"/>
      <c r="AR3879" s="430"/>
      <c r="AS3879" s="430"/>
      <c r="AT3879" s="430"/>
      <c r="AU3879" s="426"/>
      <c r="AV3879" s="174"/>
      <c r="AW3879" s="269"/>
      <c r="AX3879" s="269"/>
      <c r="AY3879" s="270"/>
      <c r="AZ3879" s="435"/>
      <c r="BA3879" s="173"/>
      <c r="BB3879" s="434"/>
      <c r="BC3879" s="434"/>
      <c r="BD3879" s="308"/>
      <c r="BE3879" s="436"/>
      <c r="BF3879" s="274" t="str">
        <f>IFERROR(__xludf.DUMMYFUNCTION("LOWER(Regexreplace(to_text(E3879),""[^A-Za-z0-9]"","""")&amp;""_""&amp;Regexreplace(to_text(F3879),""[^A-Za-z0-9]"",""""))"),"_")</f>
        <v>_</v>
      </c>
      <c r="BG3879" s="275" t="str">
        <f>IFERROR(__xludf.DUMMYFUNCTION("upper(Regexreplace(to_text(E3879),""[^A-Za-z0-9]"","""")&amp;""-""&amp;Regexreplace(to_text(F3879),""[^A-Za-z0-9]"",""""))"),"-")</f>
        <v>-</v>
      </c>
    </row>
    <row r="3880" ht="30.0" customHeight="1">
      <c r="A3880" s="237"/>
      <c r="B3880" s="425"/>
      <c r="C3880" s="257"/>
      <c r="D3880" s="173"/>
      <c r="E3880" s="174"/>
      <c r="F3880" s="173"/>
      <c r="G3880" s="425"/>
      <c r="H3880" s="425"/>
      <c r="I3880" s="258"/>
      <c r="J3880" s="259"/>
      <c r="K3880" s="260"/>
      <c r="L3880" s="442"/>
      <c r="M3880" s="426"/>
      <c r="N3880" s="173"/>
      <c r="O3880" s="173"/>
      <c r="P3880" s="262"/>
      <c r="Q3880" s="173"/>
      <c r="R3880" s="425"/>
      <c r="S3880" s="339"/>
      <c r="T3880" s="427"/>
      <c r="U3880" s="427"/>
      <c r="V3880" s="428"/>
      <c r="W3880" s="429"/>
      <c r="X3880" s="430"/>
      <c r="Y3880" s="33"/>
      <c r="Z3880" s="430"/>
      <c r="AA3880" s="430"/>
      <c r="AB3880" s="258"/>
      <c r="AC3880" s="430"/>
      <c r="AD3880" s="426"/>
      <c r="AE3880" s="428"/>
      <c r="AF3880" s="431"/>
      <c r="AG3880" s="432"/>
      <c r="AH3880" s="430"/>
      <c r="AI3880" s="430"/>
      <c r="AJ3880" s="430"/>
      <c r="AK3880" s="430"/>
      <c r="AL3880" s="430"/>
      <c r="AM3880" s="433"/>
      <c r="AN3880" s="430"/>
      <c r="AO3880" s="430"/>
      <c r="AP3880" s="430"/>
      <c r="AQ3880" s="430"/>
      <c r="AR3880" s="430"/>
      <c r="AS3880" s="430"/>
      <c r="AT3880" s="430"/>
      <c r="AU3880" s="426"/>
      <c r="AV3880" s="174"/>
      <c r="AW3880" s="269"/>
      <c r="AX3880" s="269"/>
      <c r="AY3880" s="270"/>
      <c r="AZ3880" s="435"/>
      <c r="BA3880" s="173"/>
      <c r="BB3880" s="434"/>
      <c r="BC3880" s="434"/>
      <c r="BD3880" s="308"/>
      <c r="BE3880" s="436"/>
      <c r="BF3880" s="274" t="str">
        <f>IFERROR(__xludf.DUMMYFUNCTION("LOWER(Regexreplace(to_text(E3880),""[^A-Za-z0-9]"","""")&amp;""_""&amp;Regexreplace(to_text(F3880),""[^A-Za-z0-9]"",""""))"),"_")</f>
        <v>_</v>
      </c>
      <c r="BG3880" s="275" t="str">
        <f>IFERROR(__xludf.DUMMYFUNCTION("upper(Regexreplace(to_text(E3880),""[^A-Za-z0-9]"","""")&amp;""-""&amp;Regexreplace(to_text(F3880),""[^A-Za-z0-9]"",""""))"),"-")</f>
        <v>-</v>
      </c>
    </row>
    <row r="3881" ht="30.0" customHeight="1">
      <c r="A3881" s="237"/>
      <c r="B3881" s="425"/>
      <c r="C3881" s="257"/>
      <c r="D3881" s="173"/>
      <c r="E3881" s="174"/>
      <c r="F3881" s="173"/>
      <c r="G3881" s="425"/>
      <c r="H3881" s="425"/>
      <c r="I3881" s="258"/>
      <c r="J3881" s="259"/>
      <c r="K3881" s="260"/>
      <c r="L3881" s="442"/>
      <c r="M3881" s="426"/>
      <c r="N3881" s="173"/>
      <c r="O3881" s="173"/>
      <c r="P3881" s="262"/>
      <c r="Q3881" s="173"/>
      <c r="R3881" s="425"/>
      <c r="S3881" s="339"/>
      <c r="T3881" s="427"/>
      <c r="U3881" s="427"/>
      <c r="V3881" s="428"/>
      <c r="W3881" s="429"/>
      <c r="X3881" s="430"/>
      <c r="Y3881" s="33"/>
      <c r="Z3881" s="430"/>
      <c r="AA3881" s="430"/>
      <c r="AB3881" s="258"/>
      <c r="AC3881" s="430"/>
      <c r="AD3881" s="426"/>
      <c r="AE3881" s="428"/>
      <c r="AF3881" s="431"/>
      <c r="AG3881" s="432"/>
      <c r="AH3881" s="430"/>
      <c r="AI3881" s="430"/>
      <c r="AJ3881" s="430"/>
      <c r="AK3881" s="430"/>
      <c r="AL3881" s="430"/>
      <c r="AM3881" s="433"/>
      <c r="AN3881" s="430"/>
      <c r="AO3881" s="430"/>
      <c r="AP3881" s="430"/>
      <c r="AQ3881" s="430"/>
      <c r="AR3881" s="430"/>
      <c r="AS3881" s="430"/>
      <c r="AT3881" s="430"/>
      <c r="AU3881" s="426"/>
      <c r="AV3881" s="174"/>
      <c r="AW3881" s="269"/>
      <c r="AX3881" s="269"/>
      <c r="AY3881" s="270"/>
      <c r="AZ3881" s="435"/>
      <c r="BA3881" s="173"/>
      <c r="BB3881" s="434"/>
      <c r="BC3881" s="434"/>
      <c r="BD3881" s="308"/>
      <c r="BE3881" s="436"/>
      <c r="BF3881" s="274" t="str">
        <f>IFERROR(__xludf.DUMMYFUNCTION("LOWER(Regexreplace(to_text(E3881),""[^A-Za-z0-9]"","""")&amp;""_""&amp;Regexreplace(to_text(F3881),""[^A-Za-z0-9]"",""""))"),"_")</f>
        <v>_</v>
      </c>
      <c r="BG3881" s="275" t="str">
        <f>IFERROR(__xludf.DUMMYFUNCTION("upper(Regexreplace(to_text(E3881),""[^A-Za-z0-9]"","""")&amp;""-""&amp;Regexreplace(to_text(F3881),""[^A-Za-z0-9]"",""""))"),"-")</f>
        <v>-</v>
      </c>
    </row>
    <row r="3882" ht="30.0" customHeight="1">
      <c r="A3882" s="237"/>
      <c r="B3882" s="425"/>
      <c r="C3882" s="257"/>
      <c r="D3882" s="173"/>
      <c r="E3882" s="174"/>
      <c r="F3882" s="173"/>
      <c r="G3882" s="425"/>
      <c r="H3882" s="425"/>
      <c r="I3882" s="258"/>
      <c r="J3882" s="259"/>
      <c r="K3882" s="260"/>
      <c r="L3882" s="442"/>
      <c r="M3882" s="426"/>
      <c r="N3882" s="173"/>
      <c r="O3882" s="173"/>
      <c r="P3882" s="262"/>
      <c r="Q3882" s="173"/>
      <c r="R3882" s="425"/>
      <c r="S3882" s="339"/>
      <c r="T3882" s="427"/>
      <c r="U3882" s="427"/>
      <c r="V3882" s="428"/>
      <c r="W3882" s="429"/>
      <c r="X3882" s="430"/>
      <c r="Y3882" s="33"/>
      <c r="Z3882" s="430"/>
      <c r="AA3882" s="430"/>
      <c r="AB3882" s="258"/>
      <c r="AC3882" s="430"/>
      <c r="AD3882" s="426"/>
      <c r="AE3882" s="428"/>
      <c r="AF3882" s="431"/>
      <c r="AG3882" s="432"/>
      <c r="AH3882" s="430"/>
      <c r="AI3882" s="430"/>
      <c r="AJ3882" s="430"/>
      <c r="AK3882" s="430"/>
      <c r="AL3882" s="430"/>
      <c r="AM3882" s="433"/>
      <c r="AN3882" s="430"/>
      <c r="AO3882" s="430"/>
      <c r="AP3882" s="430"/>
      <c r="AQ3882" s="430"/>
      <c r="AR3882" s="430"/>
      <c r="AS3882" s="430"/>
      <c r="AT3882" s="430"/>
      <c r="AU3882" s="426"/>
      <c r="AV3882" s="174"/>
      <c r="AW3882" s="269"/>
      <c r="AX3882" s="269"/>
      <c r="AY3882" s="270"/>
      <c r="AZ3882" s="435"/>
      <c r="BA3882" s="173"/>
      <c r="BB3882" s="434"/>
      <c r="BC3882" s="434"/>
      <c r="BD3882" s="308"/>
      <c r="BE3882" s="436"/>
      <c r="BF3882" s="274" t="str">
        <f>IFERROR(__xludf.DUMMYFUNCTION("LOWER(Regexreplace(to_text(E3882),""[^A-Za-z0-9]"","""")&amp;""_""&amp;Regexreplace(to_text(F3882),""[^A-Za-z0-9]"",""""))"),"_")</f>
        <v>_</v>
      </c>
      <c r="BG3882" s="275" t="str">
        <f>IFERROR(__xludf.DUMMYFUNCTION("upper(Regexreplace(to_text(E3882),""[^A-Za-z0-9]"","""")&amp;""-""&amp;Regexreplace(to_text(F3882),""[^A-Za-z0-9]"",""""))"),"-")</f>
        <v>-</v>
      </c>
    </row>
    <row r="3883" ht="30.0" customHeight="1">
      <c r="A3883" s="237"/>
      <c r="B3883" s="425"/>
      <c r="C3883" s="257"/>
      <c r="D3883" s="173"/>
      <c r="E3883" s="174"/>
      <c r="F3883" s="173"/>
      <c r="G3883" s="425"/>
      <c r="H3883" s="425"/>
      <c r="I3883" s="258"/>
      <c r="J3883" s="259"/>
      <c r="K3883" s="260"/>
      <c r="L3883" s="442"/>
      <c r="M3883" s="426"/>
      <c r="N3883" s="173"/>
      <c r="O3883" s="173"/>
      <c r="P3883" s="262"/>
      <c r="Q3883" s="173"/>
      <c r="R3883" s="425"/>
      <c r="S3883" s="339"/>
      <c r="T3883" s="427"/>
      <c r="U3883" s="427"/>
      <c r="V3883" s="428"/>
      <c r="W3883" s="429"/>
      <c r="X3883" s="430"/>
      <c r="Y3883" s="33"/>
      <c r="Z3883" s="430"/>
      <c r="AA3883" s="430"/>
      <c r="AB3883" s="258"/>
      <c r="AC3883" s="430"/>
      <c r="AD3883" s="426"/>
      <c r="AE3883" s="428"/>
      <c r="AF3883" s="431"/>
      <c r="AG3883" s="432"/>
      <c r="AH3883" s="430"/>
      <c r="AI3883" s="430"/>
      <c r="AJ3883" s="430"/>
      <c r="AK3883" s="430"/>
      <c r="AL3883" s="430"/>
      <c r="AM3883" s="433"/>
      <c r="AN3883" s="430"/>
      <c r="AO3883" s="430"/>
      <c r="AP3883" s="430"/>
      <c r="AQ3883" s="430"/>
      <c r="AR3883" s="430"/>
      <c r="AS3883" s="430"/>
      <c r="AT3883" s="430"/>
      <c r="AU3883" s="426"/>
      <c r="AV3883" s="174"/>
      <c r="AW3883" s="269"/>
      <c r="AX3883" s="269"/>
      <c r="AY3883" s="270"/>
      <c r="AZ3883" s="435"/>
      <c r="BA3883" s="173"/>
      <c r="BB3883" s="434"/>
      <c r="BC3883" s="434"/>
      <c r="BD3883" s="308"/>
      <c r="BE3883" s="436"/>
      <c r="BF3883" s="274" t="str">
        <f>IFERROR(__xludf.DUMMYFUNCTION("LOWER(Regexreplace(to_text(E3883),""[^A-Za-z0-9]"","""")&amp;""_""&amp;Regexreplace(to_text(F3883),""[^A-Za-z0-9]"",""""))"),"_")</f>
        <v>_</v>
      </c>
      <c r="BG3883" s="275" t="str">
        <f>IFERROR(__xludf.DUMMYFUNCTION("upper(Regexreplace(to_text(E3883),""[^A-Za-z0-9]"","""")&amp;""-""&amp;Regexreplace(to_text(F3883),""[^A-Za-z0-9]"",""""))"),"-")</f>
        <v>-</v>
      </c>
    </row>
    <row r="3884" ht="30.0" customHeight="1">
      <c r="A3884" s="237"/>
      <c r="B3884" s="425"/>
      <c r="C3884" s="257"/>
      <c r="D3884" s="173"/>
      <c r="E3884" s="174"/>
      <c r="F3884" s="173"/>
      <c r="G3884" s="425"/>
      <c r="H3884" s="425"/>
      <c r="I3884" s="258"/>
      <c r="J3884" s="259"/>
      <c r="K3884" s="260"/>
      <c r="L3884" s="442"/>
      <c r="M3884" s="426"/>
      <c r="N3884" s="173"/>
      <c r="O3884" s="173"/>
      <c r="P3884" s="262"/>
      <c r="Q3884" s="173"/>
      <c r="R3884" s="425"/>
      <c r="S3884" s="339"/>
      <c r="T3884" s="427"/>
      <c r="U3884" s="427"/>
      <c r="V3884" s="428"/>
      <c r="W3884" s="429"/>
      <c r="X3884" s="430"/>
      <c r="Y3884" s="33"/>
      <c r="Z3884" s="430"/>
      <c r="AA3884" s="430"/>
      <c r="AB3884" s="258"/>
      <c r="AC3884" s="430"/>
      <c r="AD3884" s="426"/>
      <c r="AE3884" s="428"/>
      <c r="AF3884" s="431"/>
      <c r="AG3884" s="432"/>
      <c r="AH3884" s="430"/>
      <c r="AI3884" s="430"/>
      <c r="AJ3884" s="430"/>
      <c r="AK3884" s="430"/>
      <c r="AL3884" s="430"/>
      <c r="AM3884" s="433"/>
      <c r="AN3884" s="430"/>
      <c r="AO3884" s="430"/>
      <c r="AP3884" s="430"/>
      <c r="AQ3884" s="430"/>
      <c r="AR3884" s="430"/>
      <c r="AS3884" s="430"/>
      <c r="AT3884" s="430"/>
      <c r="AU3884" s="426"/>
      <c r="AV3884" s="174"/>
      <c r="AW3884" s="269"/>
      <c r="AX3884" s="269"/>
      <c r="AY3884" s="270"/>
      <c r="AZ3884" s="435"/>
      <c r="BA3884" s="173"/>
      <c r="BB3884" s="434"/>
      <c r="BC3884" s="434"/>
      <c r="BD3884" s="308"/>
      <c r="BE3884" s="436"/>
      <c r="BF3884" s="274" t="str">
        <f>IFERROR(__xludf.DUMMYFUNCTION("LOWER(Regexreplace(to_text(E3884),""[^A-Za-z0-9]"","""")&amp;""_""&amp;Regexreplace(to_text(F3884),""[^A-Za-z0-9]"",""""))"),"_")</f>
        <v>_</v>
      </c>
      <c r="BG3884" s="275" t="str">
        <f>IFERROR(__xludf.DUMMYFUNCTION("upper(Regexreplace(to_text(E3884),""[^A-Za-z0-9]"","""")&amp;""-""&amp;Regexreplace(to_text(F3884),""[^A-Za-z0-9]"",""""))"),"-")</f>
        <v>-</v>
      </c>
    </row>
    <row r="3885" ht="30.0" customHeight="1">
      <c r="A3885" s="237"/>
      <c r="B3885" s="425"/>
      <c r="C3885" s="257"/>
      <c r="D3885" s="173"/>
      <c r="E3885" s="174"/>
      <c r="F3885" s="173"/>
      <c r="G3885" s="425"/>
      <c r="H3885" s="425"/>
      <c r="I3885" s="258"/>
      <c r="J3885" s="259"/>
      <c r="K3885" s="260"/>
      <c r="L3885" s="442"/>
      <c r="M3885" s="426"/>
      <c r="N3885" s="173"/>
      <c r="O3885" s="173"/>
      <c r="P3885" s="262"/>
      <c r="Q3885" s="173"/>
      <c r="R3885" s="425"/>
      <c r="S3885" s="339"/>
      <c r="T3885" s="427"/>
      <c r="U3885" s="427"/>
      <c r="V3885" s="428"/>
      <c r="W3885" s="429"/>
      <c r="X3885" s="430"/>
      <c r="Y3885" s="33"/>
      <c r="Z3885" s="430"/>
      <c r="AA3885" s="430"/>
      <c r="AB3885" s="258"/>
      <c r="AC3885" s="430"/>
      <c r="AD3885" s="426"/>
      <c r="AE3885" s="428"/>
      <c r="AF3885" s="431"/>
      <c r="AG3885" s="432"/>
      <c r="AH3885" s="430"/>
      <c r="AI3885" s="430"/>
      <c r="AJ3885" s="430"/>
      <c r="AK3885" s="430"/>
      <c r="AL3885" s="430"/>
      <c r="AM3885" s="433"/>
      <c r="AN3885" s="430"/>
      <c r="AO3885" s="430"/>
      <c r="AP3885" s="430"/>
      <c r="AQ3885" s="430"/>
      <c r="AR3885" s="430"/>
      <c r="AS3885" s="430"/>
      <c r="AT3885" s="430"/>
      <c r="AU3885" s="426"/>
      <c r="AV3885" s="174"/>
      <c r="AW3885" s="269"/>
      <c r="AX3885" s="269"/>
      <c r="AY3885" s="270"/>
      <c r="AZ3885" s="435"/>
      <c r="BA3885" s="173"/>
      <c r="BB3885" s="434"/>
      <c r="BC3885" s="434"/>
      <c r="BD3885" s="308"/>
      <c r="BE3885" s="436"/>
      <c r="BF3885" s="274" t="str">
        <f>IFERROR(__xludf.DUMMYFUNCTION("LOWER(Regexreplace(to_text(E3885),""[^A-Za-z0-9]"","""")&amp;""_""&amp;Regexreplace(to_text(F3885),""[^A-Za-z0-9]"",""""))"),"_")</f>
        <v>_</v>
      </c>
      <c r="BG3885" s="275" t="str">
        <f>IFERROR(__xludf.DUMMYFUNCTION("upper(Regexreplace(to_text(E3885),""[^A-Za-z0-9]"","""")&amp;""-""&amp;Regexreplace(to_text(F3885),""[^A-Za-z0-9]"",""""))"),"-")</f>
        <v>-</v>
      </c>
    </row>
    <row r="3886" ht="30.0" customHeight="1">
      <c r="A3886" s="237"/>
      <c r="B3886" s="425"/>
      <c r="C3886" s="257"/>
      <c r="D3886" s="173"/>
      <c r="E3886" s="174"/>
      <c r="F3886" s="173"/>
      <c r="G3886" s="425"/>
      <c r="H3886" s="425"/>
      <c r="I3886" s="258"/>
      <c r="J3886" s="259"/>
      <c r="K3886" s="260"/>
      <c r="L3886" s="442"/>
      <c r="M3886" s="426"/>
      <c r="N3886" s="173"/>
      <c r="O3886" s="173"/>
      <c r="P3886" s="262"/>
      <c r="Q3886" s="173"/>
      <c r="R3886" s="425"/>
      <c r="S3886" s="339"/>
      <c r="T3886" s="427"/>
      <c r="U3886" s="427"/>
      <c r="V3886" s="428"/>
      <c r="W3886" s="429"/>
      <c r="X3886" s="430"/>
      <c r="Y3886" s="33"/>
      <c r="Z3886" s="430"/>
      <c r="AA3886" s="430"/>
      <c r="AB3886" s="258"/>
      <c r="AC3886" s="430"/>
      <c r="AD3886" s="426"/>
      <c r="AE3886" s="428"/>
      <c r="AF3886" s="431"/>
      <c r="AG3886" s="432"/>
      <c r="AH3886" s="430"/>
      <c r="AI3886" s="430"/>
      <c r="AJ3886" s="430"/>
      <c r="AK3886" s="430"/>
      <c r="AL3886" s="430"/>
      <c r="AM3886" s="433"/>
      <c r="AN3886" s="430"/>
      <c r="AO3886" s="430"/>
      <c r="AP3886" s="430"/>
      <c r="AQ3886" s="430"/>
      <c r="AR3886" s="430"/>
      <c r="AS3886" s="430"/>
      <c r="AT3886" s="430"/>
      <c r="AU3886" s="426"/>
      <c r="AV3886" s="174"/>
      <c r="AW3886" s="269"/>
      <c r="AX3886" s="269"/>
      <c r="AY3886" s="270"/>
      <c r="AZ3886" s="435"/>
      <c r="BA3886" s="173"/>
      <c r="BB3886" s="434"/>
      <c r="BC3886" s="434"/>
      <c r="BD3886" s="308"/>
      <c r="BE3886" s="436"/>
      <c r="BF3886" s="274" t="str">
        <f>IFERROR(__xludf.DUMMYFUNCTION("LOWER(Regexreplace(to_text(E3886),""[^A-Za-z0-9]"","""")&amp;""_""&amp;Regexreplace(to_text(F3886),""[^A-Za-z0-9]"",""""))"),"_")</f>
        <v>_</v>
      </c>
      <c r="BG3886" s="275" t="str">
        <f>IFERROR(__xludf.DUMMYFUNCTION("upper(Regexreplace(to_text(E3886),""[^A-Za-z0-9]"","""")&amp;""-""&amp;Regexreplace(to_text(F3886),""[^A-Za-z0-9]"",""""))"),"-")</f>
        <v>-</v>
      </c>
    </row>
    <row r="3887" ht="30.0" customHeight="1">
      <c r="A3887" s="237"/>
      <c r="B3887" s="425"/>
      <c r="C3887" s="257"/>
      <c r="D3887" s="173"/>
      <c r="E3887" s="174"/>
      <c r="F3887" s="173"/>
      <c r="G3887" s="425"/>
      <c r="H3887" s="425"/>
      <c r="I3887" s="258"/>
      <c r="J3887" s="259"/>
      <c r="K3887" s="260"/>
      <c r="L3887" s="442"/>
      <c r="M3887" s="426"/>
      <c r="N3887" s="173"/>
      <c r="O3887" s="173"/>
      <c r="P3887" s="262"/>
      <c r="Q3887" s="173"/>
      <c r="R3887" s="425"/>
      <c r="S3887" s="339"/>
      <c r="T3887" s="427"/>
      <c r="U3887" s="427"/>
      <c r="V3887" s="428"/>
      <c r="W3887" s="429"/>
      <c r="X3887" s="430"/>
      <c r="Y3887" s="33"/>
      <c r="Z3887" s="430"/>
      <c r="AA3887" s="430"/>
      <c r="AB3887" s="258"/>
      <c r="AC3887" s="430"/>
      <c r="AD3887" s="426"/>
      <c r="AE3887" s="428"/>
      <c r="AF3887" s="431"/>
      <c r="AG3887" s="432"/>
      <c r="AH3887" s="430"/>
      <c r="AI3887" s="430"/>
      <c r="AJ3887" s="430"/>
      <c r="AK3887" s="430"/>
      <c r="AL3887" s="430"/>
      <c r="AM3887" s="433"/>
      <c r="AN3887" s="430"/>
      <c r="AO3887" s="430"/>
      <c r="AP3887" s="430"/>
      <c r="AQ3887" s="430"/>
      <c r="AR3887" s="430"/>
      <c r="AS3887" s="430"/>
      <c r="AT3887" s="430"/>
      <c r="AU3887" s="426"/>
      <c r="AV3887" s="174"/>
      <c r="AW3887" s="269"/>
      <c r="AX3887" s="269"/>
      <c r="AY3887" s="270"/>
      <c r="AZ3887" s="435"/>
      <c r="BA3887" s="173"/>
      <c r="BB3887" s="434"/>
      <c r="BC3887" s="434"/>
      <c r="BD3887" s="308"/>
      <c r="BE3887" s="436"/>
      <c r="BF3887" s="274" t="str">
        <f>IFERROR(__xludf.DUMMYFUNCTION("LOWER(Regexreplace(to_text(E3887),""[^A-Za-z0-9]"","""")&amp;""_""&amp;Regexreplace(to_text(F3887),""[^A-Za-z0-9]"",""""))"),"_")</f>
        <v>_</v>
      </c>
      <c r="BG3887" s="275" t="str">
        <f>IFERROR(__xludf.DUMMYFUNCTION("upper(Regexreplace(to_text(E3887),""[^A-Za-z0-9]"","""")&amp;""-""&amp;Regexreplace(to_text(F3887),""[^A-Za-z0-9]"",""""))"),"-")</f>
        <v>-</v>
      </c>
    </row>
    <row r="3888" ht="30.0" customHeight="1">
      <c r="A3888" s="237"/>
      <c r="B3888" s="425"/>
      <c r="C3888" s="257"/>
      <c r="D3888" s="173"/>
      <c r="E3888" s="174"/>
      <c r="F3888" s="173"/>
      <c r="G3888" s="425"/>
      <c r="H3888" s="425"/>
      <c r="I3888" s="258"/>
      <c r="J3888" s="259"/>
      <c r="K3888" s="260"/>
      <c r="L3888" s="442"/>
      <c r="M3888" s="426"/>
      <c r="N3888" s="173"/>
      <c r="O3888" s="173"/>
      <c r="P3888" s="262"/>
      <c r="Q3888" s="173"/>
      <c r="R3888" s="425"/>
      <c r="S3888" s="339"/>
      <c r="T3888" s="427"/>
      <c r="U3888" s="427"/>
      <c r="V3888" s="428"/>
      <c r="W3888" s="429"/>
      <c r="X3888" s="430"/>
      <c r="Y3888" s="33"/>
      <c r="Z3888" s="430"/>
      <c r="AA3888" s="430"/>
      <c r="AB3888" s="258"/>
      <c r="AC3888" s="430"/>
      <c r="AD3888" s="426"/>
      <c r="AE3888" s="428"/>
      <c r="AF3888" s="431"/>
      <c r="AG3888" s="432"/>
      <c r="AH3888" s="430"/>
      <c r="AI3888" s="430"/>
      <c r="AJ3888" s="430"/>
      <c r="AK3888" s="430"/>
      <c r="AL3888" s="430"/>
      <c r="AM3888" s="433"/>
      <c r="AN3888" s="430"/>
      <c r="AO3888" s="430"/>
      <c r="AP3888" s="430"/>
      <c r="AQ3888" s="430"/>
      <c r="AR3888" s="430"/>
      <c r="AS3888" s="430"/>
      <c r="AT3888" s="430"/>
      <c r="AU3888" s="426"/>
      <c r="AV3888" s="174"/>
      <c r="AW3888" s="269"/>
      <c r="AX3888" s="269"/>
      <c r="AY3888" s="270"/>
      <c r="AZ3888" s="435"/>
      <c r="BA3888" s="173"/>
      <c r="BB3888" s="434"/>
      <c r="BC3888" s="434"/>
      <c r="BD3888" s="308"/>
      <c r="BE3888" s="436"/>
      <c r="BF3888" s="274" t="str">
        <f>IFERROR(__xludf.DUMMYFUNCTION("LOWER(Regexreplace(to_text(E3888),""[^A-Za-z0-9]"","""")&amp;""_""&amp;Regexreplace(to_text(F3888),""[^A-Za-z0-9]"",""""))"),"_")</f>
        <v>_</v>
      </c>
      <c r="BG3888" s="275" t="str">
        <f>IFERROR(__xludf.DUMMYFUNCTION("upper(Regexreplace(to_text(E3888),""[^A-Za-z0-9]"","""")&amp;""-""&amp;Regexreplace(to_text(F3888),""[^A-Za-z0-9]"",""""))"),"-")</f>
        <v>-</v>
      </c>
    </row>
    <row r="3889" ht="30.0" customHeight="1">
      <c r="A3889" s="237"/>
      <c r="B3889" s="425"/>
      <c r="C3889" s="257"/>
      <c r="D3889" s="173"/>
      <c r="E3889" s="174"/>
      <c r="F3889" s="173"/>
      <c r="G3889" s="425"/>
      <c r="H3889" s="425"/>
      <c r="I3889" s="258"/>
      <c r="J3889" s="259"/>
      <c r="K3889" s="260"/>
      <c r="L3889" s="442"/>
      <c r="M3889" s="426"/>
      <c r="N3889" s="173"/>
      <c r="O3889" s="173"/>
      <c r="P3889" s="262"/>
      <c r="Q3889" s="173"/>
      <c r="R3889" s="425"/>
      <c r="S3889" s="339"/>
      <c r="T3889" s="427"/>
      <c r="U3889" s="427"/>
      <c r="V3889" s="428"/>
      <c r="W3889" s="429"/>
      <c r="X3889" s="430"/>
      <c r="Y3889" s="33"/>
      <c r="Z3889" s="430"/>
      <c r="AA3889" s="430"/>
      <c r="AB3889" s="258"/>
      <c r="AC3889" s="430"/>
      <c r="AD3889" s="426"/>
      <c r="AE3889" s="428"/>
      <c r="AF3889" s="431"/>
      <c r="AG3889" s="432"/>
      <c r="AH3889" s="430"/>
      <c r="AI3889" s="430"/>
      <c r="AJ3889" s="430"/>
      <c r="AK3889" s="430"/>
      <c r="AL3889" s="430"/>
      <c r="AM3889" s="433"/>
      <c r="AN3889" s="430"/>
      <c r="AO3889" s="430"/>
      <c r="AP3889" s="430"/>
      <c r="AQ3889" s="430"/>
      <c r="AR3889" s="430"/>
      <c r="AS3889" s="430"/>
      <c r="AT3889" s="430"/>
      <c r="AU3889" s="426"/>
      <c r="AV3889" s="174"/>
      <c r="AW3889" s="269"/>
      <c r="AX3889" s="269"/>
      <c r="AY3889" s="270"/>
      <c r="AZ3889" s="435"/>
      <c r="BA3889" s="173"/>
      <c r="BB3889" s="434"/>
      <c r="BC3889" s="434"/>
      <c r="BD3889" s="308"/>
      <c r="BE3889" s="436"/>
      <c r="BF3889" s="274" t="str">
        <f>IFERROR(__xludf.DUMMYFUNCTION("LOWER(Regexreplace(to_text(E3889),""[^A-Za-z0-9]"","""")&amp;""_""&amp;Regexreplace(to_text(F3889),""[^A-Za-z0-9]"",""""))"),"_")</f>
        <v>_</v>
      </c>
      <c r="BG3889" s="275" t="str">
        <f>IFERROR(__xludf.DUMMYFUNCTION("upper(Regexreplace(to_text(E3889),""[^A-Za-z0-9]"","""")&amp;""-""&amp;Regexreplace(to_text(F3889),""[^A-Za-z0-9]"",""""))"),"-")</f>
        <v>-</v>
      </c>
    </row>
    <row r="3890" ht="30.0" customHeight="1">
      <c r="A3890" s="237"/>
      <c r="B3890" s="425"/>
      <c r="C3890" s="257"/>
      <c r="D3890" s="173"/>
      <c r="E3890" s="174"/>
      <c r="F3890" s="173"/>
      <c r="G3890" s="425"/>
      <c r="H3890" s="425"/>
      <c r="I3890" s="258"/>
      <c r="J3890" s="259"/>
      <c r="K3890" s="260"/>
      <c r="L3890" s="442"/>
      <c r="M3890" s="426"/>
      <c r="N3890" s="173"/>
      <c r="O3890" s="173"/>
      <c r="P3890" s="262"/>
      <c r="Q3890" s="173"/>
      <c r="R3890" s="425"/>
      <c r="S3890" s="339"/>
      <c r="T3890" s="427"/>
      <c r="U3890" s="427"/>
      <c r="V3890" s="428"/>
      <c r="W3890" s="429"/>
      <c r="X3890" s="430"/>
      <c r="Y3890" s="33"/>
      <c r="Z3890" s="430"/>
      <c r="AA3890" s="430"/>
      <c r="AB3890" s="258"/>
      <c r="AC3890" s="430"/>
      <c r="AD3890" s="426"/>
      <c r="AE3890" s="428"/>
      <c r="AF3890" s="431"/>
      <c r="AG3890" s="432"/>
      <c r="AH3890" s="430"/>
      <c r="AI3890" s="430"/>
      <c r="AJ3890" s="430"/>
      <c r="AK3890" s="430"/>
      <c r="AL3890" s="430"/>
      <c r="AM3890" s="433"/>
      <c r="AN3890" s="430"/>
      <c r="AO3890" s="430"/>
      <c r="AP3890" s="430"/>
      <c r="AQ3890" s="430"/>
      <c r="AR3890" s="430"/>
      <c r="AS3890" s="430"/>
      <c r="AT3890" s="430"/>
      <c r="AU3890" s="426"/>
      <c r="AV3890" s="174"/>
      <c r="AW3890" s="269"/>
      <c r="AX3890" s="269"/>
      <c r="AY3890" s="270"/>
      <c r="AZ3890" s="435"/>
      <c r="BA3890" s="173"/>
      <c r="BB3890" s="434"/>
      <c r="BC3890" s="434"/>
      <c r="BD3890" s="308"/>
      <c r="BE3890" s="436"/>
      <c r="BF3890" s="274" t="str">
        <f>IFERROR(__xludf.DUMMYFUNCTION("LOWER(Regexreplace(to_text(E3890),""[^A-Za-z0-9]"","""")&amp;""_""&amp;Regexreplace(to_text(F3890),""[^A-Za-z0-9]"",""""))"),"_")</f>
        <v>_</v>
      </c>
      <c r="BG3890" s="275" t="str">
        <f>IFERROR(__xludf.DUMMYFUNCTION("upper(Regexreplace(to_text(E3890),""[^A-Za-z0-9]"","""")&amp;""-""&amp;Regexreplace(to_text(F3890),""[^A-Za-z0-9]"",""""))"),"-")</f>
        <v>-</v>
      </c>
    </row>
    <row r="3891" ht="30.0" customHeight="1">
      <c r="A3891" s="237"/>
      <c r="B3891" s="425"/>
      <c r="C3891" s="257"/>
      <c r="D3891" s="173"/>
      <c r="E3891" s="174"/>
      <c r="F3891" s="173"/>
      <c r="G3891" s="425"/>
      <c r="H3891" s="425"/>
      <c r="I3891" s="258"/>
      <c r="J3891" s="259"/>
      <c r="K3891" s="260"/>
      <c r="L3891" s="442"/>
      <c r="M3891" s="426"/>
      <c r="N3891" s="173"/>
      <c r="O3891" s="173"/>
      <c r="P3891" s="262"/>
      <c r="Q3891" s="173"/>
      <c r="R3891" s="425"/>
      <c r="S3891" s="339"/>
      <c r="T3891" s="427"/>
      <c r="U3891" s="427"/>
      <c r="V3891" s="428"/>
      <c r="W3891" s="429"/>
      <c r="X3891" s="430"/>
      <c r="Y3891" s="33"/>
      <c r="Z3891" s="430"/>
      <c r="AA3891" s="430"/>
      <c r="AB3891" s="258"/>
      <c r="AC3891" s="430"/>
      <c r="AD3891" s="426"/>
      <c r="AE3891" s="428"/>
      <c r="AF3891" s="431"/>
      <c r="AG3891" s="432"/>
      <c r="AH3891" s="430"/>
      <c r="AI3891" s="430"/>
      <c r="AJ3891" s="430"/>
      <c r="AK3891" s="430"/>
      <c r="AL3891" s="430"/>
      <c r="AM3891" s="433"/>
      <c r="AN3891" s="430"/>
      <c r="AO3891" s="430"/>
      <c r="AP3891" s="430"/>
      <c r="AQ3891" s="430"/>
      <c r="AR3891" s="430"/>
      <c r="AS3891" s="430"/>
      <c r="AT3891" s="430"/>
      <c r="AU3891" s="426"/>
      <c r="AV3891" s="174"/>
      <c r="AW3891" s="269"/>
      <c r="AX3891" s="269"/>
      <c r="AY3891" s="270"/>
      <c r="AZ3891" s="435"/>
      <c r="BA3891" s="173"/>
      <c r="BB3891" s="434"/>
      <c r="BC3891" s="434"/>
      <c r="BD3891" s="308"/>
      <c r="BE3891" s="436"/>
      <c r="BF3891" s="274" t="str">
        <f>IFERROR(__xludf.DUMMYFUNCTION("LOWER(Regexreplace(to_text(E3891),""[^A-Za-z0-9]"","""")&amp;""_""&amp;Regexreplace(to_text(F3891),""[^A-Za-z0-9]"",""""))"),"_")</f>
        <v>_</v>
      </c>
      <c r="BG3891" s="275" t="str">
        <f>IFERROR(__xludf.DUMMYFUNCTION("upper(Regexreplace(to_text(E3891),""[^A-Za-z0-9]"","""")&amp;""-""&amp;Regexreplace(to_text(F3891),""[^A-Za-z0-9]"",""""))"),"-")</f>
        <v>-</v>
      </c>
    </row>
    <row r="3892" ht="30.0" customHeight="1">
      <c r="A3892" s="237"/>
      <c r="B3892" s="425"/>
      <c r="C3892" s="257"/>
      <c r="D3892" s="173"/>
      <c r="E3892" s="174"/>
      <c r="F3892" s="173"/>
      <c r="G3892" s="425"/>
      <c r="H3892" s="425"/>
      <c r="I3892" s="258"/>
      <c r="J3892" s="259"/>
      <c r="K3892" s="260"/>
      <c r="L3892" s="442"/>
      <c r="M3892" s="426"/>
      <c r="N3892" s="173"/>
      <c r="O3892" s="173"/>
      <c r="P3892" s="262"/>
      <c r="Q3892" s="173"/>
      <c r="R3892" s="425"/>
      <c r="S3892" s="339"/>
      <c r="T3892" s="427"/>
      <c r="U3892" s="427"/>
      <c r="V3892" s="428"/>
      <c r="W3892" s="429"/>
      <c r="X3892" s="430"/>
      <c r="Y3892" s="33"/>
      <c r="Z3892" s="430"/>
      <c r="AA3892" s="430"/>
      <c r="AB3892" s="258"/>
      <c r="AC3892" s="430"/>
      <c r="AD3892" s="426"/>
      <c r="AE3892" s="428"/>
      <c r="AF3892" s="431"/>
      <c r="AG3892" s="432"/>
      <c r="AH3892" s="430"/>
      <c r="AI3892" s="430"/>
      <c r="AJ3892" s="430"/>
      <c r="AK3892" s="430"/>
      <c r="AL3892" s="430"/>
      <c r="AM3892" s="433"/>
      <c r="AN3892" s="430"/>
      <c r="AO3892" s="430"/>
      <c r="AP3892" s="430"/>
      <c r="AQ3892" s="430"/>
      <c r="AR3892" s="430"/>
      <c r="AS3892" s="430"/>
      <c r="AT3892" s="430"/>
      <c r="AU3892" s="426"/>
      <c r="AV3892" s="174"/>
      <c r="AW3892" s="269"/>
      <c r="AX3892" s="269"/>
      <c r="AY3892" s="270"/>
      <c r="AZ3892" s="435"/>
      <c r="BA3892" s="173"/>
      <c r="BB3892" s="434"/>
      <c r="BC3892" s="434"/>
      <c r="BD3892" s="308"/>
      <c r="BE3892" s="436"/>
      <c r="BF3892" s="274" t="str">
        <f>IFERROR(__xludf.DUMMYFUNCTION("LOWER(Regexreplace(to_text(E3892),""[^A-Za-z0-9]"","""")&amp;""_""&amp;Regexreplace(to_text(F3892),""[^A-Za-z0-9]"",""""))"),"_")</f>
        <v>_</v>
      </c>
      <c r="BG3892" s="275" t="str">
        <f>IFERROR(__xludf.DUMMYFUNCTION("upper(Regexreplace(to_text(E3892),""[^A-Za-z0-9]"","""")&amp;""-""&amp;Regexreplace(to_text(F3892),""[^A-Za-z0-9]"",""""))"),"-")</f>
        <v>-</v>
      </c>
    </row>
    <row r="3893" ht="30.0" customHeight="1">
      <c r="A3893" s="237"/>
      <c r="B3893" s="425"/>
      <c r="C3893" s="257"/>
      <c r="D3893" s="173"/>
      <c r="E3893" s="174"/>
      <c r="F3893" s="173"/>
      <c r="G3893" s="425"/>
      <c r="H3893" s="425"/>
      <c r="I3893" s="258"/>
      <c r="J3893" s="259"/>
      <c r="K3893" s="260"/>
      <c r="L3893" s="442"/>
      <c r="M3893" s="426"/>
      <c r="N3893" s="173"/>
      <c r="O3893" s="173"/>
      <c r="P3893" s="262"/>
      <c r="Q3893" s="173"/>
      <c r="R3893" s="425"/>
      <c r="S3893" s="339"/>
      <c r="T3893" s="427"/>
      <c r="U3893" s="427"/>
      <c r="V3893" s="428"/>
      <c r="W3893" s="429"/>
      <c r="X3893" s="430"/>
      <c r="Y3893" s="33"/>
      <c r="Z3893" s="430"/>
      <c r="AA3893" s="430"/>
      <c r="AB3893" s="258"/>
      <c r="AC3893" s="430"/>
      <c r="AD3893" s="426"/>
      <c r="AE3893" s="428"/>
      <c r="AF3893" s="431"/>
      <c r="AG3893" s="432"/>
      <c r="AH3893" s="430"/>
      <c r="AI3893" s="430"/>
      <c r="AJ3893" s="430"/>
      <c r="AK3893" s="430"/>
      <c r="AL3893" s="430"/>
      <c r="AM3893" s="433"/>
      <c r="AN3893" s="430"/>
      <c r="AO3893" s="430"/>
      <c r="AP3893" s="430"/>
      <c r="AQ3893" s="430"/>
      <c r="AR3893" s="430"/>
      <c r="AS3893" s="430"/>
      <c r="AT3893" s="430"/>
      <c r="AU3893" s="426"/>
      <c r="AV3893" s="174"/>
      <c r="AW3893" s="269"/>
      <c r="AX3893" s="269"/>
      <c r="AY3893" s="270"/>
      <c r="AZ3893" s="435"/>
      <c r="BA3893" s="173"/>
      <c r="BB3893" s="434"/>
      <c r="BC3893" s="434"/>
      <c r="BD3893" s="308"/>
      <c r="BE3893" s="436"/>
      <c r="BF3893" s="274" t="str">
        <f>IFERROR(__xludf.DUMMYFUNCTION("LOWER(Regexreplace(to_text(E3893),""[^A-Za-z0-9]"","""")&amp;""_""&amp;Regexreplace(to_text(F3893),""[^A-Za-z0-9]"",""""))"),"_")</f>
        <v>_</v>
      </c>
      <c r="BG3893" s="275" t="str">
        <f>IFERROR(__xludf.DUMMYFUNCTION("upper(Regexreplace(to_text(E3893),""[^A-Za-z0-9]"","""")&amp;""-""&amp;Regexreplace(to_text(F3893),""[^A-Za-z0-9]"",""""))"),"-")</f>
        <v>-</v>
      </c>
    </row>
    <row r="3894" ht="30.0" customHeight="1">
      <c r="A3894" s="237"/>
      <c r="B3894" s="425"/>
      <c r="C3894" s="257"/>
      <c r="D3894" s="173"/>
      <c r="E3894" s="174"/>
      <c r="F3894" s="173"/>
      <c r="G3894" s="425"/>
      <c r="H3894" s="425"/>
      <c r="I3894" s="258"/>
      <c r="J3894" s="259"/>
      <c r="K3894" s="260"/>
      <c r="L3894" s="442"/>
      <c r="M3894" s="426"/>
      <c r="N3894" s="173"/>
      <c r="O3894" s="173"/>
      <c r="P3894" s="262"/>
      <c r="Q3894" s="173"/>
      <c r="R3894" s="425"/>
      <c r="S3894" s="339"/>
      <c r="T3894" s="427"/>
      <c r="U3894" s="427"/>
      <c r="V3894" s="428"/>
      <c r="W3894" s="429"/>
      <c r="X3894" s="430"/>
      <c r="Y3894" s="33"/>
      <c r="Z3894" s="430"/>
      <c r="AA3894" s="430"/>
      <c r="AB3894" s="258"/>
      <c r="AC3894" s="430"/>
      <c r="AD3894" s="426"/>
      <c r="AE3894" s="428"/>
      <c r="AF3894" s="431"/>
      <c r="AG3894" s="432"/>
      <c r="AH3894" s="430"/>
      <c r="AI3894" s="430"/>
      <c r="AJ3894" s="430"/>
      <c r="AK3894" s="430"/>
      <c r="AL3894" s="430"/>
      <c r="AM3894" s="433"/>
      <c r="AN3894" s="430"/>
      <c r="AO3894" s="430"/>
      <c r="AP3894" s="430"/>
      <c r="AQ3894" s="430"/>
      <c r="AR3894" s="430"/>
      <c r="AS3894" s="430"/>
      <c r="AT3894" s="430"/>
      <c r="AU3894" s="426"/>
      <c r="AV3894" s="174"/>
      <c r="AW3894" s="269"/>
      <c r="AX3894" s="269"/>
      <c r="AY3894" s="270"/>
      <c r="AZ3894" s="435"/>
      <c r="BA3894" s="173"/>
      <c r="BB3894" s="434"/>
      <c r="BC3894" s="434"/>
      <c r="BD3894" s="308"/>
      <c r="BE3894" s="436"/>
      <c r="BF3894" s="274" t="str">
        <f>IFERROR(__xludf.DUMMYFUNCTION("LOWER(Regexreplace(to_text(E3894),""[^A-Za-z0-9]"","""")&amp;""_""&amp;Regexreplace(to_text(F3894),""[^A-Za-z0-9]"",""""))"),"_")</f>
        <v>_</v>
      </c>
      <c r="BG3894" s="275" t="str">
        <f>IFERROR(__xludf.DUMMYFUNCTION("upper(Regexreplace(to_text(E3894),""[^A-Za-z0-9]"","""")&amp;""-""&amp;Regexreplace(to_text(F3894),""[^A-Za-z0-9]"",""""))"),"-")</f>
        <v>-</v>
      </c>
    </row>
    <row r="3895" ht="30.0" customHeight="1">
      <c r="A3895" s="237"/>
      <c r="B3895" s="425"/>
      <c r="C3895" s="257"/>
      <c r="D3895" s="173"/>
      <c r="E3895" s="174"/>
      <c r="F3895" s="173"/>
      <c r="G3895" s="425"/>
      <c r="H3895" s="425"/>
      <c r="I3895" s="258"/>
      <c r="J3895" s="259"/>
      <c r="K3895" s="260"/>
      <c r="L3895" s="442"/>
      <c r="M3895" s="426"/>
      <c r="N3895" s="173"/>
      <c r="O3895" s="173"/>
      <c r="P3895" s="262"/>
      <c r="Q3895" s="173"/>
      <c r="R3895" s="425"/>
      <c r="S3895" s="339"/>
      <c r="T3895" s="427"/>
      <c r="U3895" s="427"/>
      <c r="V3895" s="428"/>
      <c r="W3895" s="429"/>
      <c r="X3895" s="430"/>
      <c r="Y3895" s="33"/>
      <c r="Z3895" s="430"/>
      <c r="AA3895" s="430"/>
      <c r="AB3895" s="258"/>
      <c r="AC3895" s="430"/>
      <c r="AD3895" s="426"/>
      <c r="AE3895" s="428"/>
      <c r="AF3895" s="431"/>
      <c r="AG3895" s="432"/>
      <c r="AH3895" s="430"/>
      <c r="AI3895" s="430"/>
      <c r="AJ3895" s="430"/>
      <c r="AK3895" s="430"/>
      <c r="AL3895" s="430"/>
      <c r="AM3895" s="433"/>
      <c r="AN3895" s="430"/>
      <c r="AO3895" s="430"/>
      <c r="AP3895" s="430"/>
      <c r="AQ3895" s="430"/>
      <c r="AR3895" s="430"/>
      <c r="AS3895" s="430"/>
      <c r="AT3895" s="430"/>
      <c r="AU3895" s="426"/>
      <c r="AV3895" s="174"/>
      <c r="AW3895" s="269"/>
      <c r="AX3895" s="269"/>
      <c r="AY3895" s="270"/>
      <c r="AZ3895" s="435"/>
      <c r="BA3895" s="173"/>
      <c r="BB3895" s="434"/>
      <c r="BC3895" s="434"/>
      <c r="BD3895" s="308"/>
      <c r="BE3895" s="436"/>
      <c r="BF3895" s="274" t="str">
        <f>IFERROR(__xludf.DUMMYFUNCTION("LOWER(Regexreplace(to_text(E3895),""[^A-Za-z0-9]"","""")&amp;""_""&amp;Regexreplace(to_text(F3895),""[^A-Za-z0-9]"",""""))"),"_")</f>
        <v>_</v>
      </c>
      <c r="BG3895" s="275" t="str">
        <f>IFERROR(__xludf.DUMMYFUNCTION("upper(Regexreplace(to_text(E3895),""[^A-Za-z0-9]"","""")&amp;""-""&amp;Regexreplace(to_text(F3895),""[^A-Za-z0-9]"",""""))"),"-")</f>
        <v>-</v>
      </c>
    </row>
    <row r="3896" ht="30.0" customHeight="1">
      <c r="A3896" s="237"/>
      <c r="B3896" s="425"/>
      <c r="C3896" s="257"/>
      <c r="D3896" s="173"/>
      <c r="E3896" s="174"/>
      <c r="F3896" s="173"/>
      <c r="G3896" s="425"/>
      <c r="H3896" s="425"/>
      <c r="I3896" s="258"/>
      <c r="J3896" s="259"/>
      <c r="K3896" s="260"/>
      <c r="L3896" s="442"/>
      <c r="M3896" s="426"/>
      <c r="N3896" s="173"/>
      <c r="O3896" s="173"/>
      <c r="P3896" s="262"/>
      <c r="Q3896" s="173"/>
      <c r="R3896" s="425"/>
      <c r="S3896" s="339"/>
      <c r="T3896" s="427"/>
      <c r="U3896" s="427"/>
      <c r="V3896" s="428"/>
      <c r="W3896" s="429"/>
      <c r="X3896" s="430"/>
      <c r="Y3896" s="33"/>
      <c r="Z3896" s="430"/>
      <c r="AA3896" s="430"/>
      <c r="AB3896" s="258"/>
      <c r="AC3896" s="430"/>
      <c r="AD3896" s="426"/>
      <c r="AE3896" s="428"/>
      <c r="AF3896" s="431"/>
      <c r="AG3896" s="432"/>
      <c r="AH3896" s="430"/>
      <c r="AI3896" s="430"/>
      <c r="AJ3896" s="430"/>
      <c r="AK3896" s="430"/>
      <c r="AL3896" s="430"/>
      <c r="AM3896" s="433"/>
      <c r="AN3896" s="430"/>
      <c r="AO3896" s="430"/>
      <c r="AP3896" s="430"/>
      <c r="AQ3896" s="430"/>
      <c r="AR3896" s="430"/>
      <c r="AS3896" s="430"/>
      <c r="AT3896" s="430"/>
      <c r="AU3896" s="426"/>
      <c r="AV3896" s="174"/>
      <c r="AW3896" s="269"/>
      <c r="AX3896" s="269"/>
      <c r="AY3896" s="270"/>
      <c r="AZ3896" s="435"/>
      <c r="BA3896" s="173"/>
      <c r="BB3896" s="434"/>
      <c r="BC3896" s="434"/>
      <c r="BD3896" s="308"/>
      <c r="BE3896" s="436"/>
      <c r="BF3896" s="274" t="str">
        <f>IFERROR(__xludf.DUMMYFUNCTION("LOWER(Regexreplace(to_text(E3896),""[^A-Za-z0-9]"","""")&amp;""_""&amp;Regexreplace(to_text(F3896),""[^A-Za-z0-9]"",""""))"),"_")</f>
        <v>_</v>
      </c>
      <c r="BG3896" s="275" t="str">
        <f>IFERROR(__xludf.DUMMYFUNCTION("upper(Regexreplace(to_text(E3896),""[^A-Za-z0-9]"","""")&amp;""-""&amp;Regexreplace(to_text(F3896),""[^A-Za-z0-9]"",""""))"),"-")</f>
        <v>-</v>
      </c>
    </row>
    <row r="3897" ht="30.0" customHeight="1">
      <c r="A3897" s="237"/>
      <c r="B3897" s="425"/>
      <c r="C3897" s="257"/>
      <c r="D3897" s="173"/>
      <c r="E3897" s="174"/>
      <c r="F3897" s="173"/>
      <c r="G3897" s="425"/>
      <c r="H3897" s="425"/>
      <c r="I3897" s="258"/>
      <c r="J3897" s="259"/>
      <c r="K3897" s="260"/>
      <c r="L3897" s="442"/>
      <c r="M3897" s="426"/>
      <c r="N3897" s="173"/>
      <c r="O3897" s="173"/>
      <c r="P3897" s="262"/>
      <c r="Q3897" s="173"/>
      <c r="R3897" s="425"/>
      <c r="S3897" s="339"/>
      <c r="T3897" s="427"/>
      <c r="U3897" s="427"/>
      <c r="V3897" s="428"/>
      <c r="W3897" s="429"/>
      <c r="X3897" s="430"/>
      <c r="Y3897" s="33"/>
      <c r="Z3897" s="430"/>
      <c r="AA3897" s="430"/>
      <c r="AB3897" s="258"/>
      <c r="AC3897" s="430"/>
      <c r="AD3897" s="426"/>
      <c r="AE3897" s="428"/>
      <c r="AF3897" s="431"/>
      <c r="AG3897" s="432"/>
      <c r="AH3897" s="430"/>
      <c r="AI3897" s="430"/>
      <c r="AJ3897" s="430"/>
      <c r="AK3897" s="430"/>
      <c r="AL3897" s="430"/>
      <c r="AM3897" s="433"/>
      <c r="AN3897" s="430"/>
      <c r="AO3897" s="430"/>
      <c r="AP3897" s="430"/>
      <c r="AQ3897" s="430"/>
      <c r="AR3897" s="430"/>
      <c r="AS3897" s="430"/>
      <c r="AT3897" s="430"/>
      <c r="AU3897" s="426"/>
      <c r="AV3897" s="174"/>
      <c r="AW3897" s="269"/>
      <c r="AX3897" s="269"/>
      <c r="AY3897" s="270"/>
      <c r="AZ3897" s="435"/>
      <c r="BA3897" s="173"/>
      <c r="BB3897" s="434"/>
      <c r="BC3897" s="434"/>
      <c r="BD3897" s="308"/>
      <c r="BE3897" s="436"/>
      <c r="BF3897" s="274" t="str">
        <f>IFERROR(__xludf.DUMMYFUNCTION("LOWER(Regexreplace(to_text(E3897),""[^A-Za-z0-9]"","""")&amp;""_""&amp;Regexreplace(to_text(F3897),""[^A-Za-z0-9]"",""""))"),"_")</f>
        <v>_</v>
      </c>
      <c r="BG3897" s="275" t="str">
        <f>IFERROR(__xludf.DUMMYFUNCTION("upper(Regexreplace(to_text(E3897),""[^A-Za-z0-9]"","""")&amp;""-""&amp;Regexreplace(to_text(F3897),""[^A-Za-z0-9]"",""""))"),"-")</f>
        <v>-</v>
      </c>
    </row>
    <row r="3898" ht="30.0" customHeight="1">
      <c r="A3898" s="237"/>
      <c r="B3898" s="425"/>
      <c r="C3898" s="257"/>
      <c r="D3898" s="173"/>
      <c r="E3898" s="174"/>
      <c r="F3898" s="173"/>
      <c r="G3898" s="425"/>
      <c r="H3898" s="425"/>
      <c r="I3898" s="258"/>
      <c r="J3898" s="259"/>
      <c r="K3898" s="260"/>
      <c r="L3898" s="442"/>
      <c r="M3898" s="426"/>
      <c r="N3898" s="173"/>
      <c r="O3898" s="173"/>
      <c r="P3898" s="262"/>
      <c r="Q3898" s="173"/>
      <c r="R3898" s="425"/>
      <c r="S3898" s="339"/>
      <c r="T3898" s="427"/>
      <c r="U3898" s="427"/>
      <c r="V3898" s="428"/>
      <c r="W3898" s="429"/>
      <c r="X3898" s="430"/>
      <c r="Y3898" s="33"/>
      <c r="Z3898" s="430"/>
      <c r="AA3898" s="430"/>
      <c r="AB3898" s="258"/>
      <c r="AC3898" s="430"/>
      <c r="AD3898" s="426"/>
      <c r="AE3898" s="428"/>
      <c r="AF3898" s="431"/>
      <c r="AG3898" s="432"/>
      <c r="AH3898" s="430"/>
      <c r="AI3898" s="430"/>
      <c r="AJ3898" s="430"/>
      <c r="AK3898" s="430"/>
      <c r="AL3898" s="430"/>
      <c r="AM3898" s="433"/>
      <c r="AN3898" s="430"/>
      <c r="AO3898" s="430"/>
      <c r="AP3898" s="430"/>
      <c r="AQ3898" s="430"/>
      <c r="AR3898" s="430"/>
      <c r="AS3898" s="430"/>
      <c r="AT3898" s="430"/>
      <c r="AU3898" s="426"/>
      <c r="AV3898" s="174"/>
      <c r="AW3898" s="269"/>
      <c r="AX3898" s="269"/>
      <c r="AY3898" s="270"/>
      <c r="AZ3898" s="435"/>
      <c r="BA3898" s="173"/>
      <c r="BB3898" s="434"/>
      <c r="BC3898" s="434"/>
      <c r="BD3898" s="308"/>
      <c r="BE3898" s="436"/>
      <c r="BF3898" s="274" t="str">
        <f>IFERROR(__xludf.DUMMYFUNCTION("LOWER(Regexreplace(to_text(E3898),""[^A-Za-z0-9]"","""")&amp;""_""&amp;Regexreplace(to_text(F3898),""[^A-Za-z0-9]"",""""))"),"_")</f>
        <v>_</v>
      </c>
      <c r="BG3898" s="275" t="str">
        <f>IFERROR(__xludf.DUMMYFUNCTION("upper(Regexreplace(to_text(E3898),""[^A-Za-z0-9]"","""")&amp;""-""&amp;Regexreplace(to_text(F3898),""[^A-Za-z0-9]"",""""))"),"-")</f>
        <v>-</v>
      </c>
    </row>
    <row r="3899" ht="30.0" customHeight="1">
      <c r="A3899" s="237"/>
      <c r="B3899" s="425"/>
      <c r="C3899" s="257"/>
      <c r="D3899" s="173"/>
      <c r="E3899" s="174"/>
      <c r="F3899" s="173"/>
      <c r="G3899" s="425"/>
      <c r="H3899" s="425"/>
      <c r="I3899" s="258"/>
      <c r="J3899" s="259"/>
      <c r="K3899" s="260"/>
      <c r="L3899" s="442"/>
      <c r="M3899" s="426"/>
      <c r="N3899" s="173"/>
      <c r="O3899" s="173"/>
      <c r="P3899" s="262"/>
      <c r="Q3899" s="173"/>
      <c r="R3899" s="425"/>
      <c r="S3899" s="339"/>
      <c r="T3899" s="427"/>
      <c r="U3899" s="427"/>
      <c r="V3899" s="428"/>
      <c r="W3899" s="429"/>
      <c r="X3899" s="430"/>
      <c r="Y3899" s="33"/>
      <c r="Z3899" s="430"/>
      <c r="AA3899" s="430"/>
      <c r="AB3899" s="258"/>
      <c r="AC3899" s="430"/>
      <c r="AD3899" s="426"/>
      <c r="AE3899" s="428"/>
      <c r="AF3899" s="431"/>
      <c r="AG3899" s="432"/>
      <c r="AH3899" s="430"/>
      <c r="AI3899" s="430"/>
      <c r="AJ3899" s="430"/>
      <c r="AK3899" s="430"/>
      <c r="AL3899" s="430"/>
      <c r="AM3899" s="433"/>
      <c r="AN3899" s="430"/>
      <c r="AO3899" s="430"/>
      <c r="AP3899" s="430"/>
      <c r="AQ3899" s="430"/>
      <c r="AR3899" s="430"/>
      <c r="AS3899" s="430"/>
      <c r="AT3899" s="430"/>
      <c r="AU3899" s="426"/>
      <c r="AV3899" s="174"/>
      <c r="AW3899" s="269"/>
      <c r="AX3899" s="269"/>
      <c r="AY3899" s="270"/>
      <c r="AZ3899" s="435"/>
      <c r="BA3899" s="173"/>
      <c r="BB3899" s="434"/>
      <c r="BC3899" s="434"/>
      <c r="BD3899" s="308"/>
      <c r="BE3899" s="436"/>
      <c r="BF3899" s="274" t="str">
        <f>IFERROR(__xludf.DUMMYFUNCTION("LOWER(Regexreplace(to_text(E3899),""[^A-Za-z0-9]"","""")&amp;""_""&amp;Regexreplace(to_text(F3899),""[^A-Za-z0-9]"",""""))"),"_")</f>
        <v>_</v>
      </c>
      <c r="BG3899" s="275" t="str">
        <f>IFERROR(__xludf.DUMMYFUNCTION("upper(Regexreplace(to_text(E3899),""[^A-Za-z0-9]"","""")&amp;""-""&amp;Regexreplace(to_text(F3899),""[^A-Za-z0-9]"",""""))"),"-")</f>
        <v>-</v>
      </c>
    </row>
    <row r="3900" ht="30.0" customHeight="1">
      <c r="A3900" s="237"/>
      <c r="B3900" s="425"/>
      <c r="C3900" s="257"/>
      <c r="D3900" s="173"/>
      <c r="E3900" s="174"/>
      <c r="F3900" s="173"/>
      <c r="G3900" s="425"/>
      <c r="H3900" s="425"/>
      <c r="I3900" s="258"/>
      <c r="J3900" s="259"/>
      <c r="K3900" s="260"/>
      <c r="L3900" s="442"/>
      <c r="M3900" s="426"/>
      <c r="N3900" s="173"/>
      <c r="O3900" s="173"/>
      <c r="P3900" s="262"/>
      <c r="Q3900" s="173"/>
      <c r="R3900" s="425"/>
      <c r="S3900" s="339"/>
      <c r="T3900" s="427"/>
      <c r="U3900" s="427"/>
      <c r="V3900" s="428"/>
      <c r="W3900" s="429"/>
      <c r="X3900" s="430"/>
      <c r="Y3900" s="33"/>
      <c r="Z3900" s="430"/>
      <c r="AA3900" s="430"/>
      <c r="AB3900" s="258"/>
      <c r="AC3900" s="430"/>
      <c r="AD3900" s="426"/>
      <c r="AE3900" s="428"/>
      <c r="AF3900" s="431"/>
      <c r="AG3900" s="432"/>
      <c r="AH3900" s="430"/>
      <c r="AI3900" s="430"/>
      <c r="AJ3900" s="430"/>
      <c r="AK3900" s="430"/>
      <c r="AL3900" s="430"/>
      <c r="AM3900" s="433"/>
      <c r="AN3900" s="430"/>
      <c r="AO3900" s="430"/>
      <c r="AP3900" s="430"/>
      <c r="AQ3900" s="430"/>
      <c r="AR3900" s="430"/>
      <c r="AS3900" s="430"/>
      <c r="AT3900" s="430"/>
      <c r="AU3900" s="426"/>
      <c r="AV3900" s="174"/>
      <c r="AW3900" s="269"/>
      <c r="AX3900" s="269"/>
      <c r="AY3900" s="270"/>
      <c r="AZ3900" s="435"/>
      <c r="BA3900" s="173"/>
      <c r="BB3900" s="434"/>
      <c r="BC3900" s="434"/>
      <c r="BD3900" s="308"/>
      <c r="BE3900" s="436"/>
      <c r="BF3900" s="274" t="str">
        <f>IFERROR(__xludf.DUMMYFUNCTION("LOWER(Regexreplace(to_text(E3900),""[^A-Za-z0-9]"","""")&amp;""_""&amp;Regexreplace(to_text(F3900),""[^A-Za-z0-9]"",""""))"),"_")</f>
        <v>_</v>
      </c>
      <c r="BG3900" s="275" t="str">
        <f>IFERROR(__xludf.DUMMYFUNCTION("upper(Regexreplace(to_text(E3900),""[^A-Za-z0-9]"","""")&amp;""-""&amp;Regexreplace(to_text(F3900),""[^A-Za-z0-9]"",""""))"),"-")</f>
        <v>-</v>
      </c>
    </row>
    <row r="3901" ht="30.0" customHeight="1">
      <c r="A3901" s="237"/>
      <c r="B3901" s="425"/>
      <c r="C3901" s="257"/>
      <c r="D3901" s="173"/>
      <c r="E3901" s="174"/>
      <c r="F3901" s="173"/>
      <c r="G3901" s="425"/>
      <c r="H3901" s="425"/>
      <c r="I3901" s="258"/>
      <c r="J3901" s="259"/>
      <c r="K3901" s="260"/>
      <c r="L3901" s="442"/>
      <c r="M3901" s="426"/>
      <c r="N3901" s="173"/>
      <c r="O3901" s="173"/>
      <c r="P3901" s="262"/>
      <c r="Q3901" s="173"/>
      <c r="R3901" s="425"/>
      <c r="S3901" s="339"/>
      <c r="T3901" s="427"/>
      <c r="U3901" s="427"/>
      <c r="V3901" s="428"/>
      <c r="W3901" s="429"/>
      <c r="X3901" s="430"/>
      <c r="Y3901" s="33"/>
      <c r="Z3901" s="430"/>
      <c r="AA3901" s="430"/>
      <c r="AB3901" s="258"/>
      <c r="AC3901" s="430"/>
      <c r="AD3901" s="426"/>
      <c r="AE3901" s="428"/>
      <c r="AF3901" s="431"/>
      <c r="AG3901" s="432"/>
      <c r="AH3901" s="430"/>
      <c r="AI3901" s="430"/>
      <c r="AJ3901" s="430"/>
      <c r="AK3901" s="430"/>
      <c r="AL3901" s="430"/>
      <c r="AM3901" s="433"/>
      <c r="AN3901" s="430"/>
      <c r="AO3901" s="430"/>
      <c r="AP3901" s="430"/>
      <c r="AQ3901" s="430"/>
      <c r="AR3901" s="430"/>
      <c r="AS3901" s="430"/>
      <c r="AT3901" s="430"/>
      <c r="AU3901" s="426"/>
      <c r="AV3901" s="174"/>
      <c r="AW3901" s="269"/>
      <c r="AX3901" s="269"/>
      <c r="AY3901" s="270"/>
      <c r="AZ3901" s="435"/>
      <c r="BA3901" s="173"/>
      <c r="BB3901" s="434"/>
      <c r="BC3901" s="434"/>
      <c r="BD3901" s="308"/>
      <c r="BE3901" s="436"/>
      <c r="BF3901" s="274" t="str">
        <f>IFERROR(__xludf.DUMMYFUNCTION("LOWER(Regexreplace(to_text(E3901),""[^A-Za-z0-9]"","""")&amp;""_""&amp;Regexreplace(to_text(F3901),""[^A-Za-z0-9]"",""""))"),"_")</f>
        <v>_</v>
      </c>
      <c r="BG3901" s="275" t="str">
        <f>IFERROR(__xludf.DUMMYFUNCTION("upper(Regexreplace(to_text(E3901),""[^A-Za-z0-9]"","""")&amp;""-""&amp;Regexreplace(to_text(F3901),""[^A-Za-z0-9]"",""""))"),"-")</f>
        <v>-</v>
      </c>
    </row>
    <row r="3902" ht="30.0" customHeight="1">
      <c r="A3902" s="237"/>
      <c r="B3902" s="425"/>
      <c r="C3902" s="257"/>
      <c r="D3902" s="173"/>
      <c r="E3902" s="174"/>
      <c r="F3902" s="173"/>
      <c r="G3902" s="425"/>
      <c r="H3902" s="425"/>
      <c r="I3902" s="258"/>
      <c r="J3902" s="259"/>
      <c r="K3902" s="260"/>
      <c r="L3902" s="442"/>
      <c r="M3902" s="426"/>
      <c r="N3902" s="173"/>
      <c r="O3902" s="173"/>
      <c r="P3902" s="262"/>
      <c r="Q3902" s="173"/>
      <c r="R3902" s="425"/>
      <c r="S3902" s="339"/>
      <c r="T3902" s="427"/>
      <c r="U3902" s="427"/>
      <c r="V3902" s="428"/>
      <c r="W3902" s="429"/>
      <c r="X3902" s="430"/>
      <c r="Y3902" s="33"/>
      <c r="Z3902" s="430"/>
      <c r="AA3902" s="430"/>
      <c r="AB3902" s="258"/>
      <c r="AC3902" s="430"/>
      <c r="AD3902" s="426"/>
      <c r="AE3902" s="428"/>
      <c r="AF3902" s="431"/>
      <c r="AG3902" s="432"/>
      <c r="AH3902" s="430"/>
      <c r="AI3902" s="430"/>
      <c r="AJ3902" s="430"/>
      <c r="AK3902" s="430"/>
      <c r="AL3902" s="430"/>
      <c r="AM3902" s="433"/>
      <c r="AN3902" s="430"/>
      <c r="AO3902" s="430"/>
      <c r="AP3902" s="430"/>
      <c r="AQ3902" s="430"/>
      <c r="AR3902" s="430"/>
      <c r="AS3902" s="430"/>
      <c r="AT3902" s="430"/>
      <c r="AU3902" s="426"/>
      <c r="AV3902" s="174"/>
      <c r="AW3902" s="269"/>
      <c r="AX3902" s="269"/>
      <c r="AY3902" s="270"/>
      <c r="AZ3902" s="435"/>
      <c r="BA3902" s="173"/>
      <c r="BB3902" s="434"/>
      <c r="BC3902" s="434"/>
      <c r="BD3902" s="308"/>
      <c r="BE3902" s="436"/>
      <c r="BF3902" s="274" t="str">
        <f>IFERROR(__xludf.DUMMYFUNCTION("LOWER(Regexreplace(to_text(E3902),""[^A-Za-z0-9]"","""")&amp;""_""&amp;Regexreplace(to_text(F3902),""[^A-Za-z0-9]"",""""))"),"_")</f>
        <v>_</v>
      </c>
      <c r="BG3902" s="275" t="str">
        <f>IFERROR(__xludf.DUMMYFUNCTION("upper(Regexreplace(to_text(E3902),""[^A-Za-z0-9]"","""")&amp;""-""&amp;Regexreplace(to_text(F3902),""[^A-Za-z0-9]"",""""))"),"-")</f>
        <v>-</v>
      </c>
    </row>
    <row r="3903" ht="30.0" customHeight="1">
      <c r="A3903" s="237"/>
      <c r="B3903" s="425"/>
      <c r="C3903" s="257"/>
      <c r="D3903" s="173"/>
      <c r="E3903" s="174"/>
      <c r="F3903" s="173"/>
      <c r="G3903" s="425"/>
      <c r="H3903" s="425"/>
      <c r="I3903" s="258"/>
      <c r="J3903" s="259"/>
      <c r="K3903" s="260"/>
      <c r="L3903" s="442"/>
      <c r="M3903" s="426"/>
      <c r="N3903" s="173"/>
      <c r="O3903" s="173"/>
      <c r="P3903" s="262"/>
      <c r="Q3903" s="173"/>
      <c r="R3903" s="425"/>
      <c r="S3903" s="339"/>
      <c r="T3903" s="427"/>
      <c r="U3903" s="427"/>
      <c r="V3903" s="428"/>
      <c r="W3903" s="429"/>
      <c r="X3903" s="430"/>
      <c r="Y3903" s="33"/>
      <c r="Z3903" s="430"/>
      <c r="AA3903" s="430"/>
      <c r="AB3903" s="258"/>
      <c r="AC3903" s="430"/>
      <c r="AD3903" s="426"/>
      <c r="AE3903" s="428"/>
      <c r="AF3903" s="431"/>
      <c r="AG3903" s="432"/>
      <c r="AH3903" s="430"/>
      <c r="AI3903" s="430"/>
      <c r="AJ3903" s="430"/>
      <c r="AK3903" s="430"/>
      <c r="AL3903" s="430"/>
      <c r="AM3903" s="433"/>
      <c r="AN3903" s="430"/>
      <c r="AO3903" s="430"/>
      <c r="AP3903" s="430"/>
      <c r="AQ3903" s="430"/>
      <c r="AR3903" s="430"/>
      <c r="AS3903" s="430"/>
      <c r="AT3903" s="430"/>
      <c r="AU3903" s="426"/>
      <c r="AV3903" s="174"/>
      <c r="AW3903" s="269"/>
      <c r="AX3903" s="269"/>
      <c r="AY3903" s="270"/>
      <c r="AZ3903" s="435"/>
      <c r="BA3903" s="173"/>
      <c r="BB3903" s="434"/>
      <c r="BC3903" s="434"/>
      <c r="BD3903" s="308"/>
      <c r="BE3903" s="436"/>
      <c r="BF3903" s="274" t="str">
        <f>IFERROR(__xludf.DUMMYFUNCTION("LOWER(Regexreplace(to_text(E3903),""[^A-Za-z0-9]"","""")&amp;""_""&amp;Regexreplace(to_text(F3903),""[^A-Za-z0-9]"",""""))"),"_")</f>
        <v>_</v>
      </c>
      <c r="BG3903" s="275" t="str">
        <f>IFERROR(__xludf.DUMMYFUNCTION("upper(Regexreplace(to_text(E3903),""[^A-Za-z0-9]"","""")&amp;""-""&amp;Regexreplace(to_text(F3903),""[^A-Za-z0-9]"",""""))"),"-")</f>
        <v>-</v>
      </c>
    </row>
    <row r="3904" ht="30.0" customHeight="1">
      <c r="A3904" s="237"/>
      <c r="B3904" s="425"/>
      <c r="C3904" s="257"/>
      <c r="D3904" s="173"/>
      <c r="E3904" s="174"/>
      <c r="F3904" s="173"/>
      <c r="G3904" s="425"/>
      <c r="H3904" s="425"/>
      <c r="I3904" s="258"/>
      <c r="J3904" s="259"/>
      <c r="K3904" s="260"/>
      <c r="L3904" s="442"/>
      <c r="M3904" s="426"/>
      <c r="N3904" s="173"/>
      <c r="O3904" s="173"/>
      <c r="P3904" s="262"/>
      <c r="Q3904" s="173"/>
      <c r="R3904" s="425"/>
      <c r="S3904" s="339"/>
      <c r="T3904" s="427"/>
      <c r="U3904" s="427"/>
      <c r="V3904" s="428"/>
      <c r="W3904" s="429"/>
      <c r="X3904" s="430"/>
      <c r="Y3904" s="33"/>
      <c r="Z3904" s="430"/>
      <c r="AA3904" s="430"/>
      <c r="AB3904" s="258"/>
      <c r="AC3904" s="430"/>
      <c r="AD3904" s="426"/>
      <c r="AE3904" s="428"/>
      <c r="AF3904" s="431"/>
      <c r="AG3904" s="432"/>
      <c r="AH3904" s="430"/>
      <c r="AI3904" s="430"/>
      <c r="AJ3904" s="430"/>
      <c r="AK3904" s="430"/>
      <c r="AL3904" s="430"/>
      <c r="AM3904" s="433"/>
      <c r="AN3904" s="430"/>
      <c r="AO3904" s="430"/>
      <c r="AP3904" s="430"/>
      <c r="AQ3904" s="430"/>
      <c r="AR3904" s="430"/>
      <c r="AS3904" s="430"/>
      <c r="AT3904" s="430"/>
      <c r="AU3904" s="426"/>
      <c r="AV3904" s="174"/>
      <c r="AW3904" s="269"/>
      <c r="AX3904" s="269"/>
      <c r="AY3904" s="270"/>
      <c r="AZ3904" s="435"/>
      <c r="BA3904" s="173"/>
      <c r="BB3904" s="434"/>
      <c r="BC3904" s="434"/>
      <c r="BD3904" s="308"/>
      <c r="BE3904" s="436"/>
      <c r="BF3904" s="274" t="str">
        <f>IFERROR(__xludf.DUMMYFUNCTION("LOWER(Regexreplace(to_text(E3904),""[^A-Za-z0-9]"","""")&amp;""_""&amp;Regexreplace(to_text(F3904),""[^A-Za-z0-9]"",""""))"),"_")</f>
        <v>_</v>
      </c>
      <c r="BG3904" s="275" t="str">
        <f>IFERROR(__xludf.DUMMYFUNCTION("upper(Regexreplace(to_text(E3904),""[^A-Za-z0-9]"","""")&amp;""-""&amp;Regexreplace(to_text(F3904),""[^A-Za-z0-9]"",""""))"),"-")</f>
        <v>-</v>
      </c>
    </row>
    <row r="3905" ht="30.0" customHeight="1">
      <c r="A3905" s="237"/>
      <c r="B3905" s="425"/>
      <c r="C3905" s="257"/>
      <c r="D3905" s="173"/>
      <c r="E3905" s="174"/>
      <c r="F3905" s="173"/>
      <c r="G3905" s="425"/>
      <c r="H3905" s="425"/>
      <c r="I3905" s="258"/>
      <c r="J3905" s="259"/>
      <c r="K3905" s="260"/>
      <c r="L3905" s="442"/>
      <c r="M3905" s="426"/>
      <c r="N3905" s="173"/>
      <c r="O3905" s="173"/>
      <c r="P3905" s="262"/>
      <c r="Q3905" s="173"/>
      <c r="R3905" s="425"/>
      <c r="S3905" s="339"/>
      <c r="T3905" s="427"/>
      <c r="U3905" s="427"/>
      <c r="V3905" s="428"/>
      <c r="W3905" s="429"/>
      <c r="X3905" s="430"/>
      <c r="Y3905" s="33"/>
      <c r="Z3905" s="430"/>
      <c r="AA3905" s="430"/>
      <c r="AB3905" s="258"/>
      <c r="AC3905" s="430"/>
      <c r="AD3905" s="426"/>
      <c r="AE3905" s="428"/>
      <c r="AF3905" s="431"/>
      <c r="AG3905" s="432"/>
      <c r="AH3905" s="430"/>
      <c r="AI3905" s="430"/>
      <c r="AJ3905" s="430"/>
      <c r="AK3905" s="430"/>
      <c r="AL3905" s="430"/>
      <c r="AM3905" s="433"/>
      <c r="AN3905" s="430"/>
      <c r="AO3905" s="430"/>
      <c r="AP3905" s="430"/>
      <c r="AQ3905" s="430"/>
      <c r="AR3905" s="430"/>
      <c r="AS3905" s="430"/>
      <c r="AT3905" s="430"/>
      <c r="AU3905" s="426"/>
      <c r="AV3905" s="174"/>
      <c r="AW3905" s="269"/>
      <c r="AX3905" s="269"/>
      <c r="AY3905" s="270"/>
      <c r="AZ3905" s="435"/>
      <c r="BA3905" s="173"/>
      <c r="BB3905" s="434"/>
      <c r="BC3905" s="434"/>
      <c r="BD3905" s="308"/>
      <c r="BE3905" s="436"/>
      <c r="BF3905" s="274" t="str">
        <f>IFERROR(__xludf.DUMMYFUNCTION("LOWER(Regexreplace(to_text(E3905),""[^A-Za-z0-9]"","""")&amp;""_""&amp;Regexreplace(to_text(F3905),""[^A-Za-z0-9]"",""""))"),"_")</f>
        <v>_</v>
      </c>
      <c r="BG3905" s="275" t="str">
        <f>IFERROR(__xludf.DUMMYFUNCTION("upper(Regexreplace(to_text(E3905),""[^A-Za-z0-9]"","""")&amp;""-""&amp;Regexreplace(to_text(F3905),""[^A-Za-z0-9]"",""""))"),"-")</f>
        <v>-</v>
      </c>
    </row>
    <row r="3906" ht="30.0" customHeight="1">
      <c r="A3906" s="328"/>
      <c r="B3906" s="333"/>
      <c r="C3906" s="333"/>
      <c r="D3906" s="333"/>
      <c r="E3906" s="341"/>
      <c r="F3906" s="341"/>
      <c r="G3906" s="333"/>
      <c r="H3906" s="333"/>
      <c r="I3906" s="333"/>
      <c r="J3906" s="457"/>
      <c r="K3906" s="457"/>
      <c r="L3906" s="333"/>
      <c r="M3906" s="329"/>
      <c r="N3906" s="341"/>
      <c r="O3906" s="341"/>
      <c r="P3906" s="333"/>
      <c r="Q3906" s="341"/>
      <c r="R3906" s="337"/>
      <c r="S3906" s="333"/>
      <c r="T3906" s="330"/>
      <c r="U3906" s="330"/>
      <c r="V3906" s="331"/>
      <c r="W3906" s="332"/>
      <c r="X3906" s="333"/>
      <c r="Y3906" s="33"/>
      <c r="Z3906" s="333"/>
      <c r="AA3906" s="333"/>
      <c r="AB3906" s="258"/>
      <c r="AC3906" s="333"/>
      <c r="AD3906" s="329"/>
      <c r="AE3906" s="331"/>
      <c r="AF3906" s="336"/>
      <c r="AG3906" s="337"/>
      <c r="AH3906" s="333"/>
      <c r="AI3906" s="333"/>
      <c r="AJ3906" s="333"/>
      <c r="AK3906" s="333"/>
      <c r="AL3906" s="333"/>
      <c r="AM3906" s="338"/>
      <c r="AN3906" s="333"/>
      <c r="AO3906" s="333"/>
      <c r="AP3906" s="333"/>
      <c r="AQ3906" s="333"/>
      <c r="AR3906" s="333"/>
      <c r="AS3906" s="333"/>
      <c r="AT3906" s="333"/>
      <c r="AU3906" s="329"/>
      <c r="AV3906" s="341"/>
      <c r="AW3906" s="332"/>
      <c r="AX3906" s="332"/>
      <c r="AY3906" s="458"/>
      <c r="AZ3906" s="341"/>
      <c r="BA3906" s="329"/>
      <c r="BB3906" s="459"/>
      <c r="BC3906" s="460"/>
      <c r="BD3906" s="308"/>
      <c r="BE3906" s="342"/>
      <c r="BF3906" s="274" t="str">
        <f>IFERROR(__xludf.DUMMYFUNCTION("LOWER(Regexreplace(to_text(E3906),""[^A-Za-z0-9]"","""")&amp;""_""&amp;Regexreplace(to_text(F3906),""[^A-Za-z0-9]"",""""))"),"_")</f>
        <v>_</v>
      </c>
      <c r="BG3906" s="275" t="str">
        <f>IFERROR(__xludf.DUMMYFUNCTION("upper(Regexreplace(to_text(E3906),""[^A-Za-z0-9]"","""")&amp;""-""&amp;Regexreplace(to_text(F3906),""[^A-Za-z0-9]"",""""))"),"-")</f>
        <v>-</v>
      </c>
    </row>
  </sheetData>
  <autoFilter ref="$A$4:$BG$3906"/>
  <mergeCells count="21">
    <mergeCell ref="AN1:AQ1"/>
    <mergeCell ref="AR1:AU1"/>
    <mergeCell ref="AY1:BA1"/>
    <mergeCell ref="BF1:BG1"/>
    <mergeCell ref="B1:N1"/>
    <mergeCell ref="O1:R1"/>
    <mergeCell ref="S1:U1"/>
    <mergeCell ref="V1:X1"/>
    <mergeCell ref="Z1:AA1"/>
    <mergeCell ref="AE1:AG1"/>
    <mergeCell ref="AH1:AM1"/>
    <mergeCell ref="AN2:AP2"/>
    <mergeCell ref="AR2:AX2"/>
    <mergeCell ref="AY2:BA2"/>
    <mergeCell ref="B2:N2"/>
    <mergeCell ref="O2:R2"/>
    <mergeCell ref="S2:U2"/>
    <mergeCell ref="V2:X2"/>
    <mergeCell ref="Y2:AD2"/>
    <mergeCell ref="AH2:AJ2"/>
    <mergeCell ref="AK2:AL2"/>
  </mergeCells>
  <conditionalFormatting sqref="AV5:AV3906 BB5:BB3906">
    <cfRule type="containsText" dxfId="1" priority="1" operator="containsText" text="Yes">
      <formula>NOT(ISERROR(SEARCH(("Yes"),(AV5))))</formula>
    </cfRule>
  </conditionalFormatting>
  <conditionalFormatting sqref="AV5:AV3906 BB5:BB3906">
    <cfRule type="containsText" dxfId="3" priority="2" operator="containsText" text="No">
      <formula>NOT(ISERROR(SEARCH(("No"),(AV5))))</formula>
    </cfRule>
  </conditionalFormatting>
  <conditionalFormatting sqref="AV5:AV3906 BB5:BB3906">
    <cfRule type="containsText" dxfId="4" priority="3" operator="containsText" text="N/A">
      <formula>NOT(ISERROR(SEARCH(("N/A"),(AV5))))</formula>
    </cfRule>
  </conditionalFormatting>
  <conditionalFormatting sqref="R5:R3906">
    <cfRule type="containsBlanks" dxfId="5" priority="4">
      <formula>LEN(TRIM(R5))=0</formula>
    </cfRule>
  </conditionalFormatting>
  <conditionalFormatting sqref="AG5:AG3906">
    <cfRule type="containsBlanks" dxfId="5" priority="5">
      <formula>LEN(TRIM(AG5))=0</formula>
    </cfRule>
  </conditionalFormatting>
  <conditionalFormatting sqref="B5:BD3906">
    <cfRule type="containsBlanks" dxfId="0" priority="6">
      <formula>LEN(TRIM(B5))=0</formula>
    </cfRule>
  </conditionalFormatting>
  <conditionalFormatting sqref="C5:D3906 Z5:Z3906 AB5:AD3906 AF5:AH3906 AK5:AK3906 AJ229:AJ428 E2854:E2869">
    <cfRule type="expression" dxfId="6" priority="7">
      <formula>AND(countif(C:C,C5)&gt;1,C5&lt;&gt;"N/A")</formula>
    </cfRule>
  </conditionalFormatting>
  <conditionalFormatting sqref="N5:N3906 O2569:O3906">
    <cfRule type="cellIs" dxfId="1" priority="8" operator="equal">
      <formula>"Active"</formula>
    </cfRule>
  </conditionalFormatting>
  <conditionalFormatting sqref="N5:N3906 O2569:O3906">
    <cfRule type="cellIs" dxfId="6" priority="9" operator="equal">
      <formula>"Inactive"</formula>
    </cfRule>
  </conditionalFormatting>
  <conditionalFormatting sqref="N5:N3906 O2569:O3906">
    <cfRule type="cellIs" dxfId="5" priority="10" operator="equal">
      <formula>"Retired"</formula>
    </cfRule>
  </conditionalFormatting>
  <conditionalFormatting sqref="N5:N3906 O2569:O3906">
    <cfRule type="cellIs" dxfId="7" priority="11" operator="equal">
      <formula>"Temporary"</formula>
    </cfRule>
  </conditionalFormatting>
  <conditionalFormatting sqref="AF5:AF3906 AH182">
    <cfRule type="expression" dxfId="8" priority="12">
      <formula>NOT(OR(AND(ISNUMBER(SUMPRODUCT(FIND(MID(AF5,ROW(INDIRECT("1:"&amp;LEN(AF5))),1),":0123456789abcdefABCDEF"))),LEN(AF5)=17,ISNUMBER(FIND(":",MID(AF5,3,1))),ISNUMBER(FIND(":",MID(AF5,6,1))),ISNUMBER(FIND(":",MID(AF5,9,1))),ISNUMBER(FIND(":",MID(AF5,12,1))),ISNUMBER(FIND(":",MID(AF5,15,1)))),AF5="N/A",AF5="Not Verified"))</formula>
    </cfRule>
  </conditionalFormatting>
  <conditionalFormatting sqref="AE5:AE3906">
    <cfRule type="cellIs" dxfId="1" priority="13" operator="equal">
      <formula>"Corphosted"</formula>
    </cfRule>
  </conditionalFormatting>
  <conditionalFormatting sqref="AE5:AE3906">
    <cfRule type="cellIs" dxfId="9" priority="14" operator="equal">
      <formula>"Add"</formula>
    </cfRule>
  </conditionalFormatting>
  <conditionalFormatting sqref="AE5:AE3906">
    <cfRule type="cellIs" dxfId="10" priority="15" operator="equal">
      <formula>"Modify"</formula>
    </cfRule>
  </conditionalFormatting>
  <conditionalFormatting sqref="AE5:AE3906">
    <cfRule type="cellIs" dxfId="2" priority="16" operator="equal">
      <formula>"Delete"</formula>
    </cfRule>
  </conditionalFormatting>
  <conditionalFormatting sqref="B5:B3906">
    <cfRule type="expression" dxfId="11" priority="17">
      <formula>OR($B5="Other System", $B5="Information Technology System", $B5="IoT System")</formula>
    </cfRule>
  </conditionalFormatting>
  <dataValidations>
    <dataValidation type="custom" allowBlank="1" showDropDown="1" showInputMessage="1" showErrorMessage="1" prompt="Enter MAC address in xx:xx:xx:xx:xx:xx format Or Not Verified." sqref="AH182 AF5:AF3028 AF3030:AF3906">
      <formula1>OR(AND(ISNUMBER(SUMPRODUCT(FIND(MID(AF5,ROW(INDIRECT("1:"&amp;LEN(AF5))),1),":0123456789abcdefABCDEF"))),LEN(AF5)=17,ISNUMBER(FIND(":",MID(AF5,3,1))),ISNUMBER(FIND(":",MID(AF5,6,1))),ISNUMBER(FIND(":",MID(AF5,9,1))),ISNUMBER(FIND(":",MID(AF5,12,1))),ISNUMBER(FIND(":",MID(AF5,15,1)))),AF5="N/A",AF5="Not Verified")</formula1>
    </dataValidation>
    <dataValidation type="list" allowBlank="1" sqref="F2839:F2853 F2870">
      <formula1>"CUSTOM,CUSTOM,COMMAND CONTROLLER,COMMAND CONTROLLER,DFEK 500KW GENERATOR,OTPC"</formula1>
    </dataValidation>
    <dataValidation type="list" allowBlank="1" sqref="AU5:AU3906">
      <formula1>"Unicast,Multicast,Broadcast,N/A"</formula1>
    </dataValidation>
    <dataValidation type="list" allowBlank="1" sqref="AV5:AV3906">
      <formula1>"Yes,No,N/A"</formula1>
    </dataValidation>
    <dataValidation type="custom" allowBlank="1" showDropDown="1" showInputMessage="1" showErrorMessage="1" prompt="Please enter valid IP address" sqref="AH3029:AL3029">
      <formula1>OR(AND((LEN(#REF!)-LEN(SUBSTITUTE(#REF!,".","")))=3,ISNUMBER(SUBSTITUTE(#REF!,".","")+0)),#REF!="N/A",#REF!="Not Verified")</formula1>
    </dataValidation>
    <dataValidation type="list" allowBlank="1" sqref="F2868">
      <formula1>"UNIDRIVE M200"</formula1>
    </dataValidation>
    <dataValidation type="list" allowBlank="1" sqref="F2982 F3140:F3152 F3184:F3192 F3280:F3292 F3324:F3332 F3420:F3432 F3464:F3472">
      <formula1>"ARC452A6,DCM 601 A71,DCM601A51,DCS601C51,DKN PLUS INTERFACE,DMS502,DMS502B51,DMS502B51,DMS502B51,DMS502B71,DTA116A51,FCFC60AV1MF,FWW200VC,FWW300VC,FWW400VC,FWW600VC,FWW800VC,FXAQ24PVJU,FXFQ50AVM,FXMQ-NVE,FXMQ100PAVE,FXMQ48PBVJU,FXMQ72MVJU,ITOUCH CONTROLLE"&amp;"R,ITOUCH MANAGER,ITOUCH MONITOR,MASTERSTATION III DBACS,MINI CHILLER,NOT VERIFIED,POLARA 3.0T IDU,RSUQ4AVM,RXQ10ARY6,RXYQ10PRY6,RXYQ12PRY6,RXYQ14PRY6,RXYQ16PRY6,WCCW5036"</formula1>
    </dataValidation>
    <dataValidation type="list" allowBlank="1" showErrorMessage="1" sqref="G5:G2886 G2894:G2947 G2975 G2982:G3133 G3140:G3141 G3153:G3177 G3184:G3185 G3193:G3273 G3280:G3281 G3293:G3317 G3324:G3325 G3333:G3504 G3521:G3906">
      <formula1>"Low,Standard,Critical,Life Safety"</formula1>
    </dataValidation>
    <dataValidation type="list" allowBlank="1" sqref="F2878:F2879">
      <formula1>"DIGIX-1,DIGIX-2,FLEXYS RAIL,PIC153P"</formula1>
    </dataValidation>
    <dataValidation type="custom" allowBlank="1" showDropDown="1" sqref="BE5:BE3028 BE3030:BE3906">
      <formula1>LEN(BE5)&lt;=1333</formula1>
    </dataValidation>
    <dataValidation type="list" allowBlank="1" sqref="F2419:F2838">
      <formula1>"66074,APVS9601,AS-B,AS-P,AUTOMATION SERVER,BCX1 SERIES,BCX1 SERIES,BCX1 SERIES,BCX1 SERIES,CONNEXIUM SWITCH 5TX,EASYLOGIC EM6436H RS,EASYLOGIC MP-C,EBX510,EGX150,ENTERPRISE SERVER,EVLINK SMART WALLBOX,EVLINK SMART WALLBOX,EASY UPS S3 DY802,G3HT20KHB2,GALA"&amp;"XY 5000,GALAXY 5500,GALAXY 6000,GALAXY 7000,GALAXY VL350KA,GALAXY VM,GALAXY VS,GALAXY VS 10KW,IEM2155,IEM2455,IEM3000,IEM3155,IEM3155,IEM3250,IP-IO-UIO10,ISX20K20F,KAMODR,LIBATTSMGOIEC,LIBATTSMGSIEC,LIBSESMGCABIEC,LINK 150,LSS100100,M172,MAGELIS,METSEPM82"&amp;"40B011,MODICON M241,MP-C-15A,MP-V-7A,N/A,PDRPPH2000-M,PM1130H,PM168-42-255,PM2200,PM5500,PM5560,POWER LOGIC EGX300,POWER LOGIC EGX300,POWERLOGIC EGX100,POWERLOGIC ION7650,POWERLOGIC ION9000,POWERLOGIC PM3255,POWERLOGIC PM5100,POWERLOGIC PM5350,POWERLOGIC "&amp;"ION8650,S765RD,SE7300F5045B-ECM,SMARTLINK SI B,SPACELOGIC SENSOR,SPACELYNK,SR2MOD02,SUVTP30KH,SXWASB24X10002,SXWASPXXX10001,SXWAUTSVR10001,SYAF16K,SYAF16KRHI,SYCF160KH,SYCF40KF,SYCF48KH,SYCF80KH,SYMMETRA LX16000 RM,SMARTX IP CONTROLLER,TAC XENTA 731,TM221"&amp;"CE40R,TOP-DSP PARALELO ATIVO,UN-004-5045,UN-004-5045,UN2-CI4-00,XENTA-511,0N-9580AC,A9XMZA08,GALAXY VS,PM8000,POWERLOGIC PM5300,SRT2200RMXLI,SUVTPF10KB2H,TCSESU053FN0"</formula1>
    </dataValidation>
    <dataValidation type="list" allowBlank="1" showErrorMessage="1" sqref="E5:E3906">
      <formula1>'12-VLook'!$E$2:$E3906</formula1>
    </dataValidation>
    <dataValidation type="list" allowBlank="1" showErrorMessage="1" sqref="AX5:AX3906">
      <formula1>"Gateway Device,Direct Device,Proxied Device"</formula1>
    </dataValidation>
    <dataValidation type="list" allowBlank="1" showInputMessage="1" showErrorMessage="1" prompt="Click and enter a value from the list of items" sqref="AM5:AM3906">
      <formula1>"None,PoE,PoE+,UPoE,UPoE+"</formula1>
    </dataValidation>
    <dataValidation type="list" allowBlank="1" showInputMessage="1" prompt="Enter valid URL to Photos. If unobtainable, enter &quot;Not Verified&quot; and add comment in comment column" sqref="BD5:BD3906">
      <formula1>"WS/Facilities,Food,GFit,Events,GEN,BOPS/AV,SecOps,Landlord,Unknown,Other"</formula1>
    </dataValidation>
    <dataValidation type="list" allowBlank="1" sqref="F2983:F3052">
      <formula1>"HC-003-66 BACNET,MULTICAL 403,MULTICAL 602,MULTICAL 603,MULTICAL 62,ULTRAFLOW 44"</formula1>
    </dataValidation>
    <dataValidation type="custom" allowBlank="1" showDropDown="1" sqref="BE3029">
      <formula1>LEN(#REF!)&lt;=1333</formula1>
    </dataValidation>
    <dataValidation type="decimal" operator="greaterThan" allowBlank="1" showDropDown="1" showErrorMessage="1" sqref="BA5:BA3906">
      <formula1>-1.0</formula1>
    </dataValidation>
    <dataValidation type="list" allowBlank="1" sqref="F2880:F2885 F3053:F3057 F3193:F3197 F3333:F3337 F3473:F3497">
      <formula1>"118 ITM,3S550,5PX,5PX2200IRT,93E,93E-40-D-MBS,93E100DMBSBFHE,93E20BMBS,93PR,9PX 8KVA SPLITPHASE,BLADE UPS,BLADE UPS,EX3000,HKD 65K,HMIVU06CUNB1,INDGW-M2,IQ 250/260,MAGNUM SB,NETWORK MS,NGH-C,NOT VERIFIED,NETWORK-M2,POWER METER,POWER XPERT GATEWAY,POWERWAV"&amp;"E 9355,POWERXPERT GATEWAY 900,PXES4P,PXMP-MB,SPX 2200,UNIPOWER,UNKNOWN,5E850UI,93PS,9PX,9SX"</formula1>
    </dataValidation>
    <dataValidation type="list" allowBlank="1" sqref="Y5:Y3906">
      <formula1>'12-VLook'!$B$2:$B$500</formula1>
    </dataValidation>
    <dataValidation type="custom" allowBlank="1" showDropDown="1" showInputMessage="1" showErrorMessage="1" prompt="Enter valid URL to Photos. If unobtainable, enter &quot;Not Verified&quot; and add comment in comment column" sqref="BC5:BC3028 BC3030:BC3906">
      <formula1>OR(ISURL(BC5), BC5 = "N/A", BC5 = "Not Verified")</formula1>
    </dataValidation>
    <dataValidation type="custom" allowBlank="1" showDropDown="1" showInputMessage="1" showErrorMessage="1" prompt="Please enter valid IP address" sqref="AH5:AL181 AI182:AL182 AH183:AL3028 AH3030:AL3906">
      <formula1>OR(AND((LEN(AH5)-LEN(SUBSTITUTE(AH5,".","")))=3,ISNUMBER(SUBSTITUTE(AH5,".","")+0)),AH5="N/A",AH5="Not Verified")</formula1>
    </dataValidation>
    <dataValidation type="list" allowBlank="1" showErrorMessage="1" sqref="AW5:AW3906">
      <formula1>DeviceName</formula1>
    </dataValidation>
    <dataValidation type="list" allowBlank="1" sqref="AY5:AY3906">
      <formula1>"Excellent,Good,Fair,Poor,Offline"</formula1>
    </dataValidation>
    <dataValidation type="list" allowBlank="1" sqref="F429:F2418 F3111:F3132 F3155:F3176 F3251:F3272 F3295:F3316 F3391:F3412 F3435:F3456">
      <formula1>"EVCB SERIES,EFCB-OE1 SERIES"</formula1>
    </dataValidation>
    <dataValidation type="list" allowBlank="1" sqref="F227:F228">
      <formula1>"ASV305BF7000W,ASV305BF7XXXW,EY-AS-525,EY-AS-525,EY-AS524F001,EY-AS525F001,EY-GT103F001,EY-RC500F001,EY-RC504F001,EY-RC504FXXX,EY-RC505FXXX,EY-GTW103S"</formula1>
    </dataValidation>
    <dataValidation type="list" allowBlank="1" sqref="F3498:F3504">
      <formula1>"AIR QUALITY SENSOR,WXT530"</formula1>
    </dataValidation>
    <dataValidation type="custom" allowBlank="1" showDropDown="1" showErrorMessage="1" sqref="C5:C407 C408:D424 C425:C2417 C2418:D3028 D3029 C3030:D3906">
      <formula1>LEN(C5)&lt;=40</formula1>
    </dataValidation>
    <dataValidation type="list" allowBlank="1" showErrorMessage="1" sqref="J5:J3906">
      <formula1>'12-VLook'!$K$2:$K$200</formula1>
    </dataValidation>
    <dataValidation type="custom" allowBlank="1" showDropDown="1" showInputMessage="1" showErrorMessage="1" prompt="Enter MAC address in xx:xx:xx:xx:xx:xx format Or Not Verified." sqref="AF3029">
      <formula1>OR(AND(ISNUMBER(SUMPRODUCT(FIND(MID(#REF!,ROW(INDIRECT("1:"&amp;LEN(#REF!))),1),":0123456789abcdefABCDEF"))),LEN(#REF!)=17,ISNUMBER(FIND(":",MID(#REF!,3,1))),ISNUMBER(FIND(":",MID(#REF!,6,1))),ISNUMBER(FIND(":",MID(#REF!,9,1))),ISNUMBER(FIND(":",MID(#REF!,12,1))),ISNUMBER(FIND(":",MID(#REF!,15,1)))),#REF!="N/A",#REF!="Not Verified")</formula1>
    </dataValidation>
    <dataValidation type="custom" allowBlank="1" showDropDown="1" showInputMessage="1" showErrorMessage="1" prompt="Enter valid URL to Photos. If unobtainable, enter &quot;Not Verified&quot; and add comment in comment column" sqref="BC3029">
      <formula1>OR(ISURL(#REF!), #REF! = "N/A", #REF! = "Not Verified")</formula1>
    </dataValidation>
    <dataValidation type="custom" allowBlank="1" showDropDown="1" sqref="T5:U3906">
      <formula1>OR(NOT(ISERROR(DATEVALUE(T5))), AND(ISNUMBER(T5), LEFT(CELL("format", T5))="D"))</formula1>
    </dataValidation>
    <dataValidation type="list" allowBlank="1" sqref="F2975:F2981 F3133 F3177 F3273 F3317 F3413 F3457:F3463">
      <formula1>"DDMP,DDMP 7/7 M6A0 DA5,DDMP 9/9 M6A1 DA5,EC FAN DDMP"</formula1>
    </dataValidation>
    <dataValidation type="list" allowBlank="1" showErrorMessage="1" sqref="AE5:AE3906">
      <formula1>"Corphosted,None,Add,Modify,Delete"</formula1>
    </dataValidation>
    <dataValidation type="list" allowBlank="1" sqref="F2886:F2893">
      <formula1>"550EXN,7000,8 SERIES,AA04,BD-F5100,BE65A-HB,CLASS 9 SERIES,DB40E,DB43J,DB55E,DC48E,DC49H,DC55E,DM48E,DM48E,DM55D,DM55E,DM55E,DM55E,DM55E,DM65E,DM65E,DM65E,DM65E,DM75E,DMS-BAC NET,ELSU343-0004,GALAXY A03,GALAXY A2 CORE,GALAXY F04,GALAXY M04,GALAXY M13,GALA"&amp;"XY M15,GALAXY TAB 2,GALAXY TAB 3,GALAXY TAB 4,GALAXY TAB 7 SM-T870,GALAXY TAB 7 SM-T870,GALAXY TAB A,GALAXY TAB A,GALAXY TAB A,GALAXY TAB A,GALAXY TAB A,GALAXY TAB A,GALAXY TAB A,GALAXY TAB A 10.5,GALAXY TAB A 8.0,GALAXY TAB A SM-T515,GALAXY TAB A SMT-580"&amp;",GALAXY TAB A SMT580,GALAXY TAB A6 SM-T580,GALAXY TAB S6 LITE,GALAXY TAB S6 SM-P610,GALAXY TAB S9,GT P3113 TAB 2,GALAXY TAB A 8.0 SM-T295,GALAXY TAB A 8.0 SM-T295,GALAXY TAB S8 SM-X706B,HG55EE690DB,HG5AAC690EW,J5500,LH32 PMFP,LH40MDCP,LH46MECPLGA/ZA,LH48D"&amp;"MDPLGC/EN,LH55 DMEPLGA,LH55DMEPLGA/GO,LH55DMEPLGA/GO,LH55MECPLGA/ZA,LH55PMFPBGC,ME46B,ME55B,ME55C,ME55C,ME75C,NEXUS 10,NOT VERIFIED,NEXUS 09,ONE CONNECT,PH49F,PHF55,PM43H,PM49F,PM49H,PM55H,Q60R,Q70 SERIES (65),QA75Q7FNAKXXT,QB55R,QB55R,QE65Q85RAT,QE65Q85R"&amp;"AT,QLED65,QM55H,QM65H,QMH SERIES,QMH SERIES,QMH SERIES,QMH SERIES,QN49Q60RAFXZA,QN65Q60RAFXZA,QN65Q80D,RF265BEAESR,SAMSUNG LH40 MEPLGC,SCH-I705,SM-T113NU,SM-T210R,SM-T220,SM-T230NU,SM-T280,SM-T290,SM-T350,SM-T377A,SM-T380,SM-T510,SM-T550,SM-T580,SM-T580,S"&amp;"M-T580,SM-T590,SM-T813,SMT580,TAB A8 SM-X200,THE SERIF,UA-55H6400,UE32D5000,UE48KU6400,UE48KU6500,UE55ES8000,UE55F8000AT,UE55J5500,UE55JU6400,UE55KU7000,UE60D6505VS,UE60D8000,UE65H6400AK,UE65JU6400,UE65MU7000,UN40C6900VM,UN40J5500,UN46F6400,UN48JU6400,UN4"&amp;"9KU6500,UN50M5300,UN55AU7700GXZD,UN55B7000WFUZA,UN55B8000,UN55D7000,UN55D7000,UN55ES6150F,UN55ES8000,UN55F6400,UN55JS8500,UN55JU6500,UN55KU6300,UN60KU6300,UN65HU8700,UN65J5200AF,UN65JU6500,UN65KS8000,UN65MU6290,UN65MU8000,UN65NU8000,UN75J6300,UN75JU7100,U"&amp;"N75KS900,UN75NU7100,XE500C,SM-T585,UN43NU6900F"</formula1>
    </dataValidation>
    <dataValidation type="list" allowBlank="1" sqref="F425:F426">
      <formula1>"JACE 6E,JACE 8000,JACE 8000,NIAGARA N4,NIAGARA N4,NIAGARA AX,VYKON,EDGE 10"</formula1>
    </dataValidation>
    <dataValidation type="list" allowBlank="1" sqref="B5:B3906">
      <formula1>'12-VLook'!$C$2:$C$500</formula1>
    </dataValidation>
    <dataValidation type="custom" allowBlank="1" showDropDown="1" showErrorMessage="1" sqref="C3029">
      <formula1>LEN(#REF!)&lt;=40</formula1>
    </dataValidation>
    <dataValidation type="list" allowBlank="1" sqref="F2871">
      <formula1>"48990300,COUNTIS E24,COUNTIS E34,COUNTIS E44,DELPHYS GP 2.0,DELPHYS MP ELITE+,DIRIS A-10,DIRIS A-20,GREEN POWER 2.0,ITYS PRO,MASTE 049 C,MASTERYS GP,MASTERYS GP,MASTERYS MC,MGP4GP330S-00,MODULYS GP,NET VISION 7,NET-VISION7CARD,NRT2-U3300,NETYS PE"</formula1>
    </dataValidation>
    <dataValidation type="custom" allowBlank="1" showDropDown="1" showErrorMessage="1" sqref="L3029 AD3029 AZ3029">
      <formula1>LEN(#REF!)&lt;=30</formula1>
    </dataValidation>
    <dataValidation type="list" allowBlank="1" showErrorMessage="1" sqref="O5:O3906">
      <formula1>"Yes,No"</formula1>
    </dataValidation>
    <dataValidation type="custom" allowBlank="1" showDropDown="1" showErrorMessage="1" sqref="D5:D407 D425:D2417 L5:L2418 L2556 L2886:L2946 L2972:L3028 AD5:AD3028 AZ5:AZ3028 L3030:L3906 P5:P3906 AD3030:AD3906 AZ3030:AZ3906">
      <formula1>LEN(D5)&lt;=30</formula1>
    </dataValidation>
    <dataValidation type="list" allowBlank="1" sqref="F427:F428">
      <formula1>"2TEC3F60A1000AA,BACNET CONTROLLER,BCI-C,BCU,NTXDKS12A112A,NTXSKS12A112A,NTYSST09A112AB,NTYWST09A112A,PKA-A30KA7,PM014,PUY-A30NHA7,TE-200A,TPEFYP,TPEFYP006MA13A,TPEFYP006MA143A,TPEFYP008MA143A,TPEFYP018MH142A,TPEFYP024MH142A,TPEFYP030MH142A,TPEFYP036MH142A"&amp;",TPEFYP048MH142A,TPEFYP054MH142A,TPEFYP072MH140A,TPEFYP096MH140A,TRACER SC,TRACER SC+,TRACER SUMMIT,TRACER SUMMIT BCU,TRACER UC600,TURYP2644BN40AN,TWE030P13FB0,TWE048P13FB0,TWE060A400CA,TRACER UC600,TRACER XM70,UC210,VCEF,VPEF,YHC,YHD,YZD"</formula1>
    </dataValidation>
    <dataValidation type="list" allowBlank="1" showErrorMessage="1" sqref="H5:H3906">
      <formula1>'12-VLook'!$A$2:$A$500</formula1>
    </dataValidation>
    <dataValidation type="list" allowBlank="1" sqref="L2419:L2555 L2557:L2885 L2947:L2971">
      <formula1>'4-All Devices'!$L$5:$L3906</formula1>
    </dataValidation>
    <dataValidation type="list" allowBlank="1" sqref="BB5:BB3906">
      <formula1>"Yes,No,N/A,Not Verified"</formula1>
    </dataValidation>
    <dataValidation type="list" allowBlank="1" sqref="F5:F226">
      <formula1>"ASV305BF7000W,EY-AS-525,EY-AS-525,EY-AS524F001,EY-AS525F001,EY-GT103F001,EY-RC500F001,EY-RC504F001,EY-RC504FXXX,EY-RC505FXXX,EY-GTW103S"</formula1>
    </dataValidation>
    <dataValidation type="list" allowBlank="1" sqref="F2894:F2946 F3058 F3198 F3338">
      <formula1>"UWM-220 DN-50-DN500"</formula1>
    </dataValidation>
    <dataValidation type="list" allowBlank="1" sqref="F2854:F2867">
      <formula1>"6127/02-84,ACH550,ACH580 SERIES,ACS 300,ACS310 DRIVE,ACS5550,ACS560,ATS022,CMS-700,CMS-700,DG/S2.64.1.1,INTERFACE MODULE,IPR/S 2.1,IPS/S 2.1,PS/S 2.1,IPS/S3.1.1,SA/S8.16.5.2,WATERMASTER FET121"</formula1>
    </dataValidation>
    <dataValidation type="list" allowBlank="1" showErrorMessage="1" sqref="I5:I2635 I2637:I3906">
      <formula1>AssetTypeAbbreviation</formula1>
    </dataValidation>
    <dataValidation type="list" allowBlank="1" showErrorMessage="1" sqref="N5:N3906">
      <formula1>"Active,Retired"</formula1>
    </dataValidation>
    <dataValidation type="list" allowBlank="1" sqref="F229:F424">
      <formula1>"AAR,G5CE,G5RE,LGR1000,LGR25,LGR250,LGR1000,LGR25,LGR250,M880NX,ME-LGR200,ME-LGR25,ME812ULGR,MEX88U,,OF-1628-NR,OF-1628-NR,OF028-NR,OF141-E2,OF1628,OF1628-NR,OF253A-E2,OF253T-E2,OF342-E2,OF561-E2,OF561T-E2,OF683-E2,OF683T-E2,OF683XT-E2,OFBBC,OFBBC,OFBBC-NR"&amp;",OFHI,OFHI,SE6104A"</formula1>
    </dataValidation>
    <dataValidation type="list" allowBlank="1" sqref="F2947:F2974">
      <formula1>"CRC-202000,CRC-205200"</formula1>
    </dataValidation>
  </dataValidations>
  <hyperlinks>
    <hyperlink r:id="rId4" ref="AK2"/>
    <hyperlink r:id="rId5" ref="I3"/>
    <hyperlink r:id="rId6" ref="BC3"/>
  </hyperlinks>
  <printOptions gridLines="1" horizontalCentered="1"/>
  <pageMargins bottom="0.75" footer="0.0" header="0.0" left="0.7" right="0.7" top="0.75"/>
  <pageSetup fitToHeight="0" cellComments="atEnd" orientation="landscape" pageOrder="overThenDown"/>
  <drawing r:id="rId7"/>
  <legacy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10.14"/>
    <col customWidth="1" min="2" max="2" width="34.29"/>
    <col customWidth="1" min="3" max="6" width="35.86"/>
    <col customWidth="1" hidden="1" min="7" max="8" width="35.86"/>
    <col customWidth="1" hidden="1" min="9" max="9" width="31.14"/>
    <col customWidth="1" hidden="1" min="10" max="10" width="35.86"/>
    <col customWidth="1" min="11" max="11" width="35.86"/>
    <col customWidth="1" min="12" max="12" width="56.0"/>
    <col customWidth="1" min="13" max="13" width="55.57"/>
    <col customWidth="1" min="14" max="18" width="35.86"/>
    <col customWidth="1" min="19" max="19" width="40.29"/>
    <col customWidth="1" min="20" max="20" width="35.86"/>
  </cols>
  <sheetData>
    <row r="1" ht="30.0" customHeight="1">
      <c r="A1" s="461"/>
      <c r="B1" s="462" t="s">
        <v>10745</v>
      </c>
      <c r="C1" s="48"/>
      <c r="D1" s="48"/>
      <c r="E1" s="48"/>
      <c r="F1" s="48"/>
      <c r="G1" s="48"/>
      <c r="H1" s="48"/>
      <c r="I1" s="48"/>
      <c r="J1" s="183" t="s">
        <v>532</v>
      </c>
      <c r="K1" s="48"/>
      <c r="L1" s="48"/>
      <c r="M1" s="48"/>
      <c r="N1" s="48"/>
      <c r="O1" s="48"/>
      <c r="P1" s="48"/>
      <c r="Q1" s="48"/>
      <c r="R1" s="49"/>
      <c r="S1" s="463" t="s">
        <v>551</v>
      </c>
      <c r="T1" s="464" t="s">
        <v>27</v>
      </c>
    </row>
    <row r="2" ht="30.0" customHeight="1">
      <c r="A2" s="161" t="s">
        <v>468</v>
      </c>
      <c r="B2" s="202" t="s">
        <v>469</v>
      </c>
      <c r="C2" s="48"/>
      <c r="D2" s="48"/>
      <c r="E2" s="48"/>
      <c r="F2" s="48"/>
      <c r="G2" s="48"/>
      <c r="H2" s="48"/>
      <c r="I2" s="48"/>
      <c r="J2" s="465" t="s">
        <v>553</v>
      </c>
      <c r="K2" s="48"/>
      <c r="L2" s="48"/>
      <c r="M2" s="48"/>
      <c r="N2" s="203" t="s">
        <v>469</v>
      </c>
      <c r="O2" s="48"/>
      <c r="P2" s="48"/>
      <c r="Q2" s="48"/>
      <c r="R2" s="49"/>
      <c r="S2" s="466" t="s">
        <v>469</v>
      </c>
      <c r="T2" s="467"/>
    </row>
    <row r="3" ht="112.5" customHeight="1" outlineLevel="1">
      <c r="A3" s="221" t="s">
        <v>472</v>
      </c>
      <c r="B3" s="222" t="s">
        <v>10746</v>
      </c>
      <c r="C3" s="222" t="s">
        <v>10747</v>
      </c>
      <c r="D3" s="222" t="s">
        <v>10748</v>
      </c>
      <c r="E3" s="222" t="s">
        <v>10749</v>
      </c>
      <c r="F3" s="225" t="s">
        <v>10750</v>
      </c>
      <c r="G3" s="222" t="s">
        <v>10751</v>
      </c>
      <c r="H3" s="222" t="s">
        <v>10752</v>
      </c>
      <c r="I3" s="222" t="s">
        <v>10753</v>
      </c>
      <c r="J3" s="222" t="s">
        <v>10754</v>
      </c>
      <c r="K3" s="227" t="s">
        <v>10755</v>
      </c>
      <c r="L3" s="222" t="s">
        <v>10756</v>
      </c>
      <c r="M3" s="222" t="s">
        <v>576</v>
      </c>
      <c r="N3" s="222" t="s">
        <v>10757</v>
      </c>
      <c r="O3" s="222" t="s">
        <v>10758</v>
      </c>
      <c r="P3" s="222" t="s">
        <v>10759</v>
      </c>
      <c r="Q3" s="222" t="s">
        <v>10760</v>
      </c>
      <c r="R3" s="468" t="s">
        <v>10761</v>
      </c>
      <c r="S3" s="222" t="s">
        <v>10762</v>
      </c>
      <c r="T3" s="222" t="s">
        <v>489</v>
      </c>
    </row>
    <row r="4" ht="30.0" customHeight="1">
      <c r="A4" s="161" t="s">
        <v>61</v>
      </c>
      <c r="B4" s="242" t="s">
        <v>182</v>
      </c>
      <c r="C4" s="469" t="s">
        <v>617</v>
      </c>
      <c r="D4" s="470" t="s">
        <v>492</v>
      </c>
      <c r="E4" s="470" t="s">
        <v>493</v>
      </c>
      <c r="F4" s="471" t="s">
        <v>622</v>
      </c>
      <c r="G4" s="242" t="s">
        <v>623</v>
      </c>
      <c r="H4" s="242" t="s">
        <v>624</v>
      </c>
      <c r="I4" s="172" t="s">
        <v>626</v>
      </c>
      <c r="J4" s="472" t="s">
        <v>627</v>
      </c>
      <c r="K4" s="473" t="s">
        <v>628</v>
      </c>
      <c r="L4" s="472" t="s">
        <v>629</v>
      </c>
      <c r="M4" s="472" t="s">
        <v>630</v>
      </c>
      <c r="N4" s="242" t="s">
        <v>10763</v>
      </c>
      <c r="O4" s="242" t="s">
        <v>10764</v>
      </c>
      <c r="P4" s="171" t="s">
        <v>620</v>
      </c>
      <c r="Q4" s="242" t="s">
        <v>10765</v>
      </c>
      <c r="R4" s="474" t="s">
        <v>666</v>
      </c>
      <c r="S4" s="235" t="s">
        <v>667</v>
      </c>
      <c r="T4" s="475" t="s">
        <v>27</v>
      </c>
    </row>
    <row r="5">
      <c r="A5" s="173">
        <v>1.0</v>
      </c>
      <c r="B5" s="173" t="s">
        <v>670</v>
      </c>
      <c r="C5" s="142" t="s">
        <v>678</v>
      </c>
      <c r="D5" s="173" t="s">
        <v>10766</v>
      </c>
      <c r="E5" s="173" t="s">
        <v>10766</v>
      </c>
      <c r="F5" s="476" t="s">
        <v>676</v>
      </c>
      <c r="G5" s="142"/>
      <c r="H5" s="142" t="s">
        <v>678</v>
      </c>
      <c r="I5" s="173" t="s">
        <v>679</v>
      </c>
      <c r="J5" s="173" t="s">
        <v>225</v>
      </c>
      <c r="K5" s="173" t="s">
        <v>678</v>
      </c>
      <c r="L5" s="173" t="s">
        <v>10767</v>
      </c>
      <c r="M5" s="173" t="str">
        <f>IFS(L5="","",L5="n/a","N/A",LEN(L5),LOWER(Concatenate("{",char(34),"asset",char(34),":{",char(34),"guid",char(34),":",char(34),L5,char(34),",",char(34),"site",char(34),":",char(34),'2-Building'!$B$4,char(34),",",char(34),"name",char(34),":",char(34),K5,char(34),"}}")))</f>
        <v>{"asset":{"guid":"uuid://345dd62f-6cd1-41bc-97ae-ee6f73b7fb77","site":"in-blr-ananta","name":"hvaccp-201"}}</v>
      </c>
      <c r="N5" s="142" t="s">
        <v>10768</v>
      </c>
      <c r="O5" s="142" t="s">
        <v>10769</v>
      </c>
      <c r="P5" s="142" t="s">
        <v>2863</v>
      </c>
      <c r="Q5" s="173">
        <v>4.0</v>
      </c>
      <c r="R5" s="477"/>
      <c r="S5" s="271" t="s">
        <v>1844</v>
      </c>
      <c r="T5" s="141"/>
    </row>
    <row r="6">
      <c r="A6" s="173">
        <v>2.0</v>
      </c>
      <c r="B6" s="173" t="s">
        <v>670</v>
      </c>
      <c r="C6" s="142" t="s">
        <v>704</v>
      </c>
      <c r="D6" s="173" t="s">
        <v>10766</v>
      </c>
      <c r="E6" s="173" t="s">
        <v>10766</v>
      </c>
      <c r="F6" s="476" t="s">
        <v>676</v>
      </c>
      <c r="G6" s="142"/>
      <c r="H6" s="142" t="s">
        <v>704</v>
      </c>
      <c r="I6" s="173" t="s">
        <v>679</v>
      </c>
      <c r="J6" s="173" t="s">
        <v>225</v>
      </c>
      <c r="K6" s="173" t="s">
        <v>704</v>
      </c>
      <c r="L6" s="173" t="s">
        <v>10770</v>
      </c>
      <c r="M6" s="173" t="str">
        <f>IFS(L6="","",L6="n/a","N/A",LEN(L6),LOWER(Concatenate("{",char(34),"asset",char(34),":{",char(34),"guid",char(34),":",char(34),L6,char(34),",",char(34),"site",char(34),":",char(34),'2-Building'!$B$4,char(34),",",char(34),"name",char(34),":",char(34),K6,char(34),"}}")))</f>
        <v>{"asset":{"guid":"uuid://55c15c77-0c15-4603-8c09-fda166ff41b5","site":"in-blr-ananta","name":"hvaccp-202"}}</v>
      </c>
      <c r="N6" s="142" t="s">
        <v>10771</v>
      </c>
      <c r="O6" s="142" t="s">
        <v>10772</v>
      </c>
      <c r="P6" s="142" t="s">
        <v>2863</v>
      </c>
      <c r="Q6" s="173">
        <v>0.0</v>
      </c>
      <c r="R6" s="477"/>
      <c r="S6" s="271" t="s">
        <v>1844</v>
      </c>
      <c r="T6" s="141"/>
    </row>
    <row r="7">
      <c r="A7" s="173">
        <v>3.0</v>
      </c>
      <c r="B7" s="173" t="s">
        <v>670</v>
      </c>
      <c r="C7" s="142" t="s">
        <v>711</v>
      </c>
      <c r="D7" s="173" t="s">
        <v>10766</v>
      </c>
      <c r="E7" s="173" t="s">
        <v>10766</v>
      </c>
      <c r="F7" s="476" t="s">
        <v>709</v>
      </c>
      <c r="G7" s="142"/>
      <c r="H7" s="142" t="s">
        <v>711</v>
      </c>
      <c r="I7" s="173" t="s">
        <v>679</v>
      </c>
      <c r="J7" s="173" t="s">
        <v>225</v>
      </c>
      <c r="K7" s="173" t="s">
        <v>711</v>
      </c>
      <c r="L7" s="173" t="s">
        <v>10773</v>
      </c>
      <c r="M7" s="173" t="str">
        <f>IFS(L7="","",L7="n/a","N/A",LEN(L7),LOWER(Concatenate("{",char(34),"asset",char(34),":{",char(34),"guid",char(34),":",char(34),L7,char(34),",",char(34),"site",char(34),":",char(34),'2-Building'!$B$4,char(34),",",char(34),"name",char(34),":",char(34),K7,char(34),"}}")))</f>
        <v>{"asset":{"guid":"uuid://fe318830-ef6e-4eee-9e16-87930cd4bf7e","site":"in-blr-ananta","name":"hvaccp-203"}}</v>
      </c>
      <c r="N7" s="142" t="s">
        <v>10774</v>
      </c>
      <c r="O7" s="142" t="s">
        <v>10775</v>
      </c>
      <c r="P7" s="142" t="s">
        <v>2863</v>
      </c>
      <c r="Q7" s="173">
        <v>1.0</v>
      </c>
      <c r="R7" s="477"/>
      <c r="S7" s="271" t="s">
        <v>1844</v>
      </c>
      <c r="T7" s="141"/>
    </row>
    <row r="8">
      <c r="A8" s="173">
        <v>4.0</v>
      </c>
      <c r="B8" s="173" t="s">
        <v>670</v>
      </c>
      <c r="C8" s="142" t="s">
        <v>716</v>
      </c>
      <c r="D8" s="173" t="s">
        <v>10766</v>
      </c>
      <c r="E8" s="173" t="s">
        <v>10766</v>
      </c>
      <c r="F8" s="476" t="s">
        <v>709</v>
      </c>
      <c r="G8" s="142"/>
      <c r="H8" s="142" t="s">
        <v>716</v>
      </c>
      <c r="I8" s="173" t="s">
        <v>679</v>
      </c>
      <c r="J8" s="173" t="s">
        <v>225</v>
      </c>
      <c r="K8" s="173" t="s">
        <v>716</v>
      </c>
      <c r="L8" s="173" t="s">
        <v>10776</v>
      </c>
      <c r="M8" s="173" t="str">
        <f>IFS(L8="","",L8="n/a","N/A",LEN(L8),LOWER(Concatenate("{",char(34),"asset",char(34),":{",char(34),"guid",char(34),":",char(34),L8,char(34),",",char(34),"site",char(34),":",char(34),'2-Building'!$B$4,char(34),",",char(34),"name",char(34),":",char(34),K8,char(34),"}}")))</f>
        <v>{"asset":{"guid":"uuid://94bba911-12ed-45c4-88f4-ea246158ae1b","site":"in-blr-ananta","name":"hvaccp-204"}}</v>
      </c>
      <c r="N8" s="142" t="s">
        <v>10777</v>
      </c>
      <c r="O8" s="142" t="s">
        <v>10778</v>
      </c>
      <c r="P8" s="142" t="s">
        <v>2863</v>
      </c>
      <c r="Q8" s="173">
        <v>1.0</v>
      </c>
      <c r="R8" s="477"/>
      <c r="S8" s="271" t="s">
        <v>1844</v>
      </c>
      <c r="T8" s="141"/>
    </row>
    <row r="9">
      <c r="A9" s="173">
        <v>5.0</v>
      </c>
      <c r="B9" s="173" t="s">
        <v>670</v>
      </c>
      <c r="C9" s="142" t="s">
        <v>722</v>
      </c>
      <c r="D9" s="173" t="s">
        <v>10766</v>
      </c>
      <c r="E9" s="173" t="s">
        <v>10766</v>
      </c>
      <c r="F9" s="476" t="s">
        <v>709</v>
      </c>
      <c r="G9" s="142"/>
      <c r="H9" s="142" t="s">
        <v>722</v>
      </c>
      <c r="I9" s="173" t="s">
        <v>679</v>
      </c>
      <c r="J9" s="173" t="s">
        <v>225</v>
      </c>
      <c r="K9" s="173" t="s">
        <v>722</v>
      </c>
      <c r="L9" s="173" t="s">
        <v>10779</v>
      </c>
      <c r="M9" s="173" t="str">
        <f>IFS(L9="","",L9="n/a","N/A",LEN(L9),LOWER(Concatenate("{",char(34),"asset",char(34),":{",char(34),"guid",char(34),":",char(34),L9,char(34),",",char(34),"site",char(34),":",char(34),'2-Building'!$B$4,char(34),",",char(34),"name",char(34),":",char(34),K9,char(34),"}}")))</f>
        <v>{"asset":{"guid":"uuid://385c4c09-b989-41b8-8e41-80acae9012de","site":"in-blr-ananta","name":"hvaccp-205"}}</v>
      </c>
      <c r="N9" s="142" t="s">
        <v>10780</v>
      </c>
      <c r="O9" s="142" t="s">
        <v>10781</v>
      </c>
      <c r="P9" s="142" t="s">
        <v>2863</v>
      </c>
      <c r="Q9" s="173">
        <v>1.0</v>
      </c>
      <c r="R9" s="477"/>
      <c r="S9" s="271" t="s">
        <v>1844</v>
      </c>
      <c r="T9" s="141"/>
    </row>
    <row r="10">
      <c r="A10" s="173">
        <v>6.0</v>
      </c>
      <c r="B10" s="173" t="s">
        <v>670</v>
      </c>
      <c r="C10" s="142" t="s">
        <v>729</v>
      </c>
      <c r="D10" s="173" t="s">
        <v>10766</v>
      </c>
      <c r="E10" s="173" t="s">
        <v>10766</v>
      </c>
      <c r="F10" s="476" t="s">
        <v>727</v>
      </c>
      <c r="G10" s="142"/>
      <c r="H10" s="142" t="s">
        <v>729</v>
      </c>
      <c r="I10" s="173" t="s">
        <v>679</v>
      </c>
      <c r="J10" s="173" t="s">
        <v>225</v>
      </c>
      <c r="K10" s="173" t="s">
        <v>729</v>
      </c>
      <c r="L10" s="173" t="s">
        <v>10782</v>
      </c>
      <c r="M10" s="173" t="str">
        <f>IFS(L10="","",L10="n/a","N/A",LEN(L10),LOWER(Concatenate("{",char(34),"asset",char(34),":{",char(34),"guid",char(34),":",char(34),L10,char(34),",",char(34),"site",char(34),":",char(34),'2-Building'!$B$4,char(34),",",char(34),"name",char(34),":",char(34),K10,char(34),"}}")))</f>
        <v>{"asset":{"guid":"uuid://945dc0f6-43bf-49ae-978b-0604f293c104","site":"in-blr-ananta","name":"hvaccp-206"}}</v>
      </c>
      <c r="N10" s="142" t="s">
        <v>10783</v>
      </c>
      <c r="O10" s="142" t="s">
        <v>10784</v>
      </c>
      <c r="P10" s="142" t="s">
        <v>2863</v>
      </c>
      <c r="Q10" s="173">
        <v>4.0</v>
      </c>
      <c r="R10" s="477"/>
      <c r="S10" s="271" t="s">
        <v>1844</v>
      </c>
      <c r="T10" s="141"/>
    </row>
    <row r="11">
      <c r="A11" s="173">
        <v>7.0</v>
      </c>
      <c r="B11" s="173" t="s">
        <v>670</v>
      </c>
      <c r="C11" s="142" t="s">
        <v>741</v>
      </c>
      <c r="D11" s="173" t="s">
        <v>10766</v>
      </c>
      <c r="E11" s="173" t="s">
        <v>10766</v>
      </c>
      <c r="F11" s="476" t="s">
        <v>739</v>
      </c>
      <c r="G11" s="142"/>
      <c r="H11" s="142" t="s">
        <v>741</v>
      </c>
      <c r="I11" s="173" t="s">
        <v>679</v>
      </c>
      <c r="J11" s="173" t="s">
        <v>225</v>
      </c>
      <c r="K11" s="173" t="s">
        <v>741</v>
      </c>
      <c r="L11" s="173" t="s">
        <v>10785</v>
      </c>
      <c r="M11" s="173" t="str">
        <f>IFS(L11="","",L11="n/a","N/A",LEN(L11),LOWER(Concatenate("{",char(34),"asset",char(34),":{",char(34),"guid",char(34),":",char(34),L11,char(34),",",char(34),"site",char(34),":",char(34),'2-Building'!$B$4,char(34),",",char(34),"name",char(34),":",char(34),K11,char(34),"}}")))</f>
        <v>{"asset":{"guid":"uuid://5d3c901b-d19e-43c7-8d29-c5d4069de854","site":"in-blr-ananta","name":"hvaccp-207"}}</v>
      </c>
      <c r="N11" s="142" t="s">
        <v>10786</v>
      </c>
      <c r="O11" s="142" t="s">
        <v>10787</v>
      </c>
      <c r="P11" s="142" t="s">
        <v>2863</v>
      </c>
      <c r="Q11" s="173">
        <v>3.0</v>
      </c>
      <c r="R11" s="477"/>
      <c r="S11" s="271" t="s">
        <v>1844</v>
      </c>
      <c r="T11" s="141"/>
    </row>
    <row r="12">
      <c r="A12" s="173">
        <v>8.0</v>
      </c>
      <c r="B12" s="173" t="s">
        <v>670</v>
      </c>
      <c r="C12" s="142" t="s">
        <v>751</v>
      </c>
      <c r="D12" s="173" t="s">
        <v>10766</v>
      </c>
      <c r="E12" s="173" t="s">
        <v>10766</v>
      </c>
      <c r="F12" s="476" t="s">
        <v>739</v>
      </c>
      <c r="G12" s="142"/>
      <c r="H12" s="142" t="s">
        <v>751</v>
      </c>
      <c r="I12" s="173" t="s">
        <v>679</v>
      </c>
      <c r="J12" s="173" t="s">
        <v>225</v>
      </c>
      <c r="K12" s="173" t="s">
        <v>751</v>
      </c>
      <c r="L12" s="173" t="s">
        <v>10788</v>
      </c>
      <c r="M12" s="173" t="str">
        <f>IFS(L12="","",L12="n/a","N/A",LEN(L12),LOWER(Concatenate("{",char(34),"asset",char(34),":{",char(34),"guid",char(34),":",char(34),L12,char(34),",",char(34),"site",char(34),":",char(34),'2-Building'!$B$4,char(34),",",char(34),"name",char(34),":",char(34),K12,char(34),"}}")))</f>
        <v>{"asset":{"guid":"uuid://a05c5bb4-6518-43fe-8c45-a2368da3768e","site":"in-blr-ananta","name":"hvaccp-208"}}</v>
      </c>
      <c r="N12" s="142" t="s">
        <v>10789</v>
      </c>
      <c r="O12" s="142" t="s">
        <v>10790</v>
      </c>
      <c r="P12" s="142" t="s">
        <v>2863</v>
      </c>
      <c r="Q12" s="173">
        <v>2.0</v>
      </c>
      <c r="R12" s="477"/>
      <c r="S12" s="271" t="s">
        <v>1844</v>
      </c>
      <c r="T12" s="141"/>
    </row>
    <row r="13">
      <c r="A13" s="173">
        <v>9.0</v>
      </c>
      <c r="B13" s="173" t="s">
        <v>670</v>
      </c>
      <c r="C13" s="142" t="s">
        <v>760</v>
      </c>
      <c r="D13" s="173" t="s">
        <v>10766</v>
      </c>
      <c r="E13" s="173" t="s">
        <v>10766</v>
      </c>
      <c r="F13" s="476" t="s">
        <v>739</v>
      </c>
      <c r="G13" s="142"/>
      <c r="H13" s="142" t="s">
        <v>760</v>
      </c>
      <c r="I13" s="173" t="s">
        <v>679</v>
      </c>
      <c r="J13" s="173" t="s">
        <v>225</v>
      </c>
      <c r="K13" s="173" t="s">
        <v>760</v>
      </c>
      <c r="L13" s="173" t="s">
        <v>10791</v>
      </c>
      <c r="M13" s="173" t="str">
        <f>IFS(L13="","",L13="n/a","N/A",LEN(L13),LOWER(Concatenate("{",char(34),"asset",char(34),":{",char(34),"guid",char(34),":",char(34),L13,char(34),",",char(34),"site",char(34),":",char(34),'2-Building'!$B$4,char(34),",",char(34),"name",char(34),":",char(34),K13,char(34),"}}")))</f>
        <v>{"asset":{"guid":"uuid://90e8cfe4-1456-4848-ad23-a29b25c8e570","site":"in-blr-ananta","name":"hvaccp-209"}}</v>
      </c>
      <c r="N13" s="142" t="s">
        <v>10792</v>
      </c>
      <c r="O13" s="142" t="s">
        <v>10793</v>
      </c>
      <c r="P13" s="142" t="s">
        <v>2863</v>
      </c>
      <c r="Q13" s="173">
        <v>2.0</v>
      </c>
      <c r="R13" s="477"/>
      <c r="S13" s="271" t="s">
        <v>1844</v>
      </c>
      <c r="T13" s="141"/>
    </row>
    <row r="14">
      <c r="A14" s="173">
        <v>10.0</v>
      </c>
      <c r="B14" s="173" t="s">
        <v>670</v>
      </c>
      <c r="C14" s="142" t="s">
        <v>766</v>
      </c>
      <c r="D14" s="173" t="s">
        <v>10766</v>
      </c>
      <c r="E14" s="173" t="s">
        <v>10766</v>
      </c>
      <c r="F14" s="476" t="s">
        <v>739</v>
      </c>
      <c r="G14" s="142"/>
      <c r="H14" s="142" t="s">
        <v>766</v>
      </c>
      <c r="I14" s="173" t="s">
        <v>679</v>
      </c>
      <c r="J14" s="173" t="s">
        <v>225</v>
      </c>
      <c r="K14" s="173" t="s">
        <v>766</v>
      </c>
      <c r="L14" s="173" t="s">
        <v>10794</v>
      </c>
      <c r="M14" s="173" t="str">
        <f>IFS(L14="","",L14="n/a","N/A",LEN(L14),LOWER(Concatenate("{",char(34),"asset",char(34),":{",char(34),"guid",char(34),":",char(34),L14,char(34),",",char(34),"site",char(34),":",char(34),'2-Building'!$B$4,char(34),",",char(34),"name",char(34),":",char(34),K14,char(34),"}}")))</f>
        <v>{"asset":{"guid":"uuid://f9b5e5cb-27d5-4873-a6e8-311db7322491","site":"in-blr-ananta","name":"hvaccp-210"}}</v>
      </c>
      <c r="N14" s="142" t="s">
        <v>10795</v>
      </c>
      <c r="O14" s="142" t="s">
        <v>10796</v>
      </c>
      <c r="P14" s="142" t="s">
        <v>2863</v>
      </c>
      <c r="Q14" s="173">
        <v>4.0</v>
      </c>
      <c r="R14" s="477"/>
      <c r="S14" s="271" t="s">
        <v>1844</v>
      </c>
      <c r="T14" s="141"/>
    </row>
    <row r="15">
      <c r="A15" s="173">
        <v>11.0</v>
      </c>
      <c r="B15" s="173" t="s">
        <v>670</v>
      </c>
      <c r="C15" s="142" t="s">
        <v>775</v>
      </c>
      <c r="D15" s="173" t="s">
        <v>10766</v>
      </c>
      <c r="E15" s="173" t="s">
        <v>10766</v>
      </c>
      <c r="F15" s="476" t="s">
        <v>739</v>
      </c>
      <c r="G15" s="142"/>
      <c r="H15" s="142" t="s">
        <v>775</v>
      </c>
      <c r="I15" s="173" t="s">
        <v>679</v>
      </c>
      <c r="J15" s="173" t="s">
        <v>225</v>
      </c>
      <c r="K15" s="173" t="s">
        <v>775</v>
      </c>
      <c r="L15" s="173" t="s">
        <v>10797</v>
      </c>
      <c r="M15" s="173" t="str">
        <f>IFS(L15="","",L15="n/a","N/A",LEN(L15),LOWER(Concatenate("{",char(34),"asset",char(34),":{",char(34),"guid",char(34),":",char(34),L15,char(34),",",char(34),"site",char(34),":",char(34),'2-Building'!$B$4,char(34),",",char(34),"name",char(34),":",char(34),K15,char(34),"}}")))</f>
        <v>{"asset":{"guid":"uuid://a8a0a823-5a85-4210-9b05-e04cc285f949","site":"in-blr-ananta","name":"hvaccp-211"}}</v>
      </c>
      <c r="N15" s="142" t="s">
        <v>10798</v>
      </c>
      <c r="O15" s="142" t="s">
        <v>10799</v>
      </c>
      <c r="P15" s="142" t="s">
        <v>2863</v>
      </c>
      <c r="Q15" s="173">
        <v>3.0</v>
      </c>
      <c r="R15" s="477"/>
      <c r="S15" s="271" t="s">
        <v>1844</v>
      </c>
      <c r="T15" s="141"/>
    </row>
    <row r="16">
      <c r="A16" s="173">
        <v>12.0</v>
      </c>
      <c r="B16" s="173" t="s">
        <v>670</v>
      </c>
      <c r="C16" s="142" t="s">
        <v>784</v>
      </c>
      <c r="D16" s="173" t="s">
        <v>10766</v>
      </c>
      <c r="E16" s="173" t="s">
        <v>10766</v>
      </c>
      <c r="F16" s="476" t="s">
        <v>739</v>
      </c>
      <c r="G16" s="142"/>
      <c r="H16" s="142" t="s">
        <v>784</v>
      </c>
      <c r="I16" s="173" t="s">
        <v>679</v>
      </c>
      <c r="J16" s="173" t="s">
        <v>225</v>
      </c>
      <c r="K16" s="173" t="s">
        <v>784</v>
      </c>
      <c r="L16" s="173" t="s">
        <v>10800</v>
      </c>
      <c r="M16" s="173" t="str">
        <f>IFS(L16="","",L16="n/a","N/A",LEN(L16),LOWER(Concatenate("{",char(34),"asset",char(34),":{",char(34),"guid",char(34),":",char(34),L16,char(34),",",char(34),"site",char(34),":",char(34),'2-Building'!$B$4,char(34),",",char(34),"name",char(34),":",char(34),K16,char(34),"}}")))</f>
        <v>{"asset":{"guid":"uuid://092ce00f-b322-4df0-8e3d-626af0af4985","site":"in-blr-ananta","name":"hvaccp-212"}}</v>
      </c>
      <c r="N16" s="142" t="s">
        <v>10801</v>
      </c>
      <c r="O16" s="142" t="s">
        <v>10802</v>
      </c>
      <c r="P16" s="142" t="s">
        <v>2863</v>
      </c>
      <c r="Q16" s="173">
        <v>2.0</v>
      </c>
      <c r="R16" s="477"/>
      <c r="S16" s="271" t="s">
        <v>1844</v>
      </c>
      <c r="T16" s="141"/>
    </row>
    <row r="17">
      <c r="A17" s="173">
        <v>13.0</v>
      </c>
      <c r="B17" s="173" t="s">
        <v>670</v>
      </c>
      <c r="C17" s="142" t="s">
        <v>793</v>
      </c>
      <c r="D17" s="173" t="s">
        <v>10766</v>
      </c>
      <c r="E17" s="173" t="s">
        <v>10766</v>
      </c>
      <c r="F17" s="476" t="s">
        <v>739</v>
      </c>
      <c r="G17" s="142"/>
      <c r="H17" s="142" t="s">
        <v>793</v>
      </c>
      <c r="I17" s="173" t="s">
        <v>679</v>
      </c>
      <c r="J17" s="173" t="s">
        <v>225</v>
      </c>
      <c r="K17" s="173" t="s">
        <v>793</v>
      </c>
      <c r="L17" s="173" t="s">
        <v>10803</v>
      </c>
      <c r="M17" s="173" t="str">
        <f>IFS(L17="","",L17="n/a","N/A",LEN(L17),LOWER(Concatenate("{",char(34),"asset",char(34),":{",char(34),"guid",char(34),":",char(34),L17,char(34),",",char(34),"site",char(34),":",char(34),'2-Building'!$B$4,char(34),",",char(34),"name",char(34),":",char(34),K17,char(34),"}}")))</f>
        <v>{"asset":{"guid":"uuid://02a77914-29d2-4450-a1a0-6806bfadabbc","site":"in-blr-ananta","name":"hvaccp-213"}}</v>
      </c>
      <c r="N17" s="142" t="s">
        <v>10804</v>
      </c>
      <c r="O17" s="142" t="s">
        <v>10805</v>
      </c>
      <c r="P17" s="142" t="s">
        <v>2863</v>
      </c>
      <c r="Q17" s="173">
        <v>3.0</v>
      </c>
      <c r="R17" s="477"/>
      <c r="S17" s="271" t="s">
        <v>1844</v>
      </c>
      <c r="T17" s="141"/>
    </row>
    <row r="18">
      <c r="A18" s="173">
        <v>14.0</v>
      </c>
      <c r="B18" s="173" t="s">
        <v>670</v>
      </c>
      <c r="C18" s="142" t="s">
        <v>804</v>
      </c>
      <c r="D18" s="173" t="s">
        <v>10766</v>
      </c>
      <c r="E18" s="173" t="s">
        <v>10766</v>
      </c>
      <c r="F18" s="476" t="s">
        <v>739</v>
      </c>
      <c r="G18" s="142"/>
      <c r="H18" s="142" t="s">
        <v>804</v>
      </c>
      <c r="I18" s="173" t="s">
        <v>679</v>
      </c>
      <c r="J18" s="173" t="s">
        <v>225</v>
      </c>
      <c r="K18" s="173" t="s">
        <v>804</v>
      </c>
      <c r="L18" s="173" t="s">
        <v>10806</v>
      </c>
      <c r="M18" s="173" t="str">
        <f>IFS(L18="","",L18="n/a","N/A",LEN(L18),LOWER(Concatenate("{",char(34),"asset",char(34),":{",char(34),"guid",char(34),":",char(34),L18,char(34),",",char(34),"site",char(34),":",char(34),'2-Building'!$B$4,char(34),",",char(34),"name",char(34),":",char(34),K18,char(34),"}}")))</f>
        <v>{"asset":{"guid":"uuid://bab81677-3085-4a6b-aebf-bd3004f62309","site":"in-blr-ananta","name":"hvaccp-214"}}</v>
      </c>
      <c r="N18" s="142" t="s">
        <v>10807</v>
      </c>
      <c r="O18" s="142" t="s">
        <v>10808</v>
      </c>
      <c r="P18" s="142" t="s">
        <v>2863</v>
      </c>
      <c r="Q18" s="173">
        <v>3.0</v>
      </c>
      <c r="R18" s="477"/>
      <c r="S18" s="271" t="s">
        <v>1844</v>
      </c>
      <c r="T18" s="141"/>
    </row>
    <row r="19">
      <c r="A19" s="173">
        <v>15.0</v>
      </c>
      <c r="B19" s="173" t="s">
        <v>670</v>
      </c>
      <c r="C19" s="142" t="s">
        <v>810</v>
      </c>
      <c r="D19" s="173" t="s">
        <v>10766</v>
      </c>
      <c r="E19" s="173" t="s">
        <v>10766</v>
      </c>
      <c r="F19" s="476" t="s">
        <v>739</v>
      </c>
      <c r="G19" s="142"/>
      <c r="H19" s="142" t="s">
        <v>810</v>
      </c>
      <c r="I19" s="173" t="s">
        <v>679</v>
      </c>
      <c r="J19" s="173" t="s">
        <v>225</v>
      </c>
      <c r="K19" s="173" t="s">
        <v>810</v>
      </c>
      <c r="L19" s="173" t="s">
        <v>10809</v>
      </c>
      <c r="M19" s="173" t="str">
        <f>IFS(L19="","",L19="n/a","N/A",LEN(L19),LOWER(Concatenate("{",char(34),"asset",char(34),":{",char(34),"guid",char(34),":",char(34),L19,char(34),",",char(34),"site",char(34),":",char(34),'2-Building'!$B$4,char(34),",",char(34),"name",char(34),":",char(34),K19,char(34),"}}")))</f>
        <v>{"asset":{"guid":"uuid://92ca128a-16fb-4504-bb2a-5adfa1f9dd86","site":"in-blr-ananta","name":"hvaccp-215"}}</v>
      </c>
      <c r="N19" s="142" t="s">
        <v>10810</v>
      </c>
      <c r="O19" s="142" t="s">
        <v>10811</v>
      </c>
      <c r="P19" s="142" t="s">
        <v>2863</v>
      </c>
      <c r="Q19" s="173">
        <v>3.0</v>
      </c>
      <c r="R19" s="477"/>
      <c r="S19" s="271" t="s">
        <v>1844</v>
      </c>
      <c r="T19" s="141"/>
    </row>
    <row r="20">
      <c r="A20" s="173">
        <v>16.0</v>
      </c>
      <c r="B20" s="173" t="s">
        <v>670</v>
      </c>
      <c r="C20" s="142" t="s">
        <v>821</v>
      </c>
      <c r="D20" s="173" t="s">
        <v>10766</v>
      </c>
      <c r="E20" s="173" t="s">
        <v>10766</v>
      </c>
      <c r="F20" s="476" t="s">
        <v>739</v>
      </c>
      <c r="G20" s="142"/>
      <c r="H20" s="142" t="s">
        <v>821</v>
      </c>
      <c r="I20" s="173" t="s">
        <v>679</v>
      </c>
      <c r="J20" s="173" t="s">
        <v>225</v>
      </c>
      <c r="K20" s="173" t="s">
        <v>821</v>
      </c>
      <c r="L20" s="173" t="s">
        <v>10812</v>
      </c>
      <c r="M20" s="173" t="str">
        <f>IFS(L20="","",L20="n/a","N/A",LEN(L20),LOWER(Concatenate("{",char(34),"asset",char(34),":{",char(34),"guid",char(34),":",char(34),L20,char(34),",",char(34),"site",char(34),":",char(34),'2-Building'!$B$4,char(34),",",char(34),"name",char(34),":",char(34),K20,char(34),"}}")))</f>
        <v>{"asset":{"guid":"uuid://aa4b1faf-c921-4cc1-b676-f848bb9fa106","site":"in-blr-ananta","name":"hvaccp-216"}}</v>
      </c>
      <c r="N20" s="142" t="s">
        <v>10813</v>
      </c>
      <c r="O20" s="142" t="s">
        <v>10814</v>
      </c>
      <c r="P20" s="142" t="s">
        <v>2863</v>
      </c>
      <c r="Q20" s="173">
        <v>3.0</v>
      </c>
      <c r="R20" s="477"/>
      <c r="S20" s="271" t="s">
        <v>1844</v>
      </c>
      <c r="T20" s="141"/>
    </row>
    <row r="21">
      <c r="A21" s="173">
        <v>17.0</v>
      </c>
      <c r="B21" s="173" t="s">
        <v>670</v>
      </c>
      <c r="C21" s="142" t="s">
        <v>832</v>
      </c>
      <c r="D21" s="173" t="s">
        <v>10766</v>
      </c>
      <c r="E21" s="173" t="s">
        <v>10766</v>
      </c>
      <c r="F21" s="476" t="s">
        <v>739</v>
      </c>
      <c r="G21" s="142"/>
      <c r="H21" s="142" t="s">
        <v>832</v>
      </c>
      <c r="I21" s="173" t="s">
        <v>679</v>
      </c>
      <c r="J21" s="173" t="s">
        <v>225</v>
      </c>
      <c r="K21" s="173" t="s">
        <v>832</v>
      </c>
      <c r="L21" s="173" t="s">
        <v>10815</v>
      </c>
      <c r="M21" s="173" t="str">
        <f>IFS(L21="","",L21="n/a","N/A",LEN(L21),LOWER(Concatenate("{",char(34),"asset",char(34),":{",char(34),"guid",char(34),":",char(34),L21,char(34),",",char(34),"site",char(34),":",char(34),'2-Building'!$B$4,char(34),",",char(34),"name",char(34),":",char(34),K21,char(34),"}}")))</f>
        <v>{"asset":{"guid":"uuid://60f60fc5-5a70-4af8-832c-c8759de77066","site":"in-blr-ananta","name":"hvaccp-217"}}</v>
      </c>
      <c r="N21" s="142" t="s">
        <v>10816</v>
      </c>
      <c r="O21" s="142" t="s">
        <v>10808</v>
      </c>
      <c r="P21" s="142" t="s">
        <v>2863</v>
      </c>
      <c r="Q21" s="173">
        <v>4.0</v>
      </c>
      <c r="R21" s="477"/>
      <c r="S21" s="271" t="s">
        <v>1844</v>
      </c>
      <c r="T21" s="141"/>
    </row>
    <row r="22">
      <c r="A22" s="173">
        <v>18.0</v>
      </c>
      <c r="B22" s="173" t="s">
        <v>670</v>
      </c>
      <c r="C22" s="142" t="s">
        <v>1787</v>
      </c>
      <c r="D22" s="173" t="s">
        <v>10766</v>
      </c>
      <c r="E22" s="173" t="s">
        <v>10766</v>
      </c>
      <c r="F22" s="476" t="s">
        <v>739</v>
      </c>
      <c r="G22" s="142"/>
      <c r="H22" s="142" t="s">
        <v>1787</v>
      </c>
      <c r="I22" s="173" t="s">
        <v>679</v>
      </c>
      <c r="J22" s="173" t="s">
        <v>225</v>
      </c>
      <c r="K22" s="173" t="s">
        <v>1787</v>
      </c>
      <c r="L22" s="173" t="s">
        <v>10817</v>
      </c>
      <c r="M22" s="173" t="str">
        <f>IFS(L22="","",L22="n/a","N/A",LEN(L22),LOWER(Concatenate("{",char(34),"asset",char(34),":{",char(34),"guid",char(34),":",char(34),L22,char(34),",",char(34),"site",char(34),":",char(34),'2-Building'!$B$4,char(34),",",char(34),"name",char(34),":",char(34),K22,char(34),"}}")))</f>
        <v>{"asset":{"guid":"uuid://4a0dff4f-16c4-4b26-b007-cd825a371fc3","site":"in-blr-ananta","name":"hvaccp-218"}}</v>
      </c>
      <c r="N22" s="142" t="s">
        <v>10818</v>
      </c>
      <c r="O22" s="142"/>
      <c r="P22" s="142" t="s">
        <v>2863</v>
      </c>
      <c r="Q22" s="173">
        <v>2.0</v>
      </c>
      <c r="R22" s="477"/>
      <c r="S22" s="271" t="s">
        <v>1844</v>
      </c>
      <c r="T22" s="141"/>
    </row>
    <row r="23">
      <c r="A23" s="173">
        <v>19.0</v>
      </c>
      <c r="B23" s="173" t="s">
        <v>670</v>
      </c>
      <c r="C23" s="142" t="s">
        <v>847</v>
      </c>
      <c r="D23" s="173" t="s">
        <v>10766</v>
      </c>
      <c r="E23" s="173" t="s">
        <v>10766</v>
      </c>
      <c r="F23" s="476" t="s">
        <v>846</v>
      </c>
      <c r="G23" s="142">
        <v>163.0</v>
      </c>
      <c r="H23" s="142" t="s">
        <v>847</v>
      </c>
      <c r="I23" s="173" t="s">
        <v>679</v>
      </c>
      <c r="J23" s="173" t="s">
        <v>225</v>
      </c>
      <c r="K23" s="173" t="s">
        <v>847</v>
      </c>
      <c r="L23" s="173" t="s">
        <v>10819</v>
      </c>
      <c r="M23" s="173" t="str">
        <f>IFS(L23="","",L23="n/a","N/A",LEN(L23),LOWER(Concatenate("{",char(34),"asset",char(34),":{",char(34),"guid",char(34),":",char(34),L23,char(34),",",char(34),"site",char(34),":",char(34),'2-Building'!$B$4,char(34),",",char(34),"name",char(34),":",char(34),K23,char(34),"}}")))</f>
        <v>{"asset":{"guid":"uuid://f6ee51a2-b23b-4842-b5ba-de6d8a5c1f9e","site":"in-blr-ananta","name":"hvaccp-219"}}</v>
      </c>
      <c r="N23" s="142" t="s">
        <v>10810</v>
      </c>
      <c r="O23" s="142" t="s">
        <v>10811</v>
      </c>
      <c r="P23" s="142" t="s">
        <v>2863</v>
      </c>
      <c r="Q23" s="173">
        <v>3.0</v>
      </c>
      <c r="R23" s="477"/>
      <c r="S23" s="271" t="s">
        <v>1844</v>
      </c>
      <c r="T23" s="141"/>
    </row>
    <row r="24">
      <c r="A24" s="173">
        <v>20.0</v>
      </c>
      <c r="B24" s="173" t="s">
        <v>670</v>
      </c>
      <c r="C24" s="142" t="s">
        <v>857</v>
      </c>
      <c r="D24" s="173" t="s">
        <v>10766</v>
      </c>
      <c r="E24" s="173" t="s">
        <v>10766</v>
      </c>
      <c r="F24" s="476" t="s">
        <v>846</v>
      </c>
      <c r="G24" s="142">
        <v>175.0</v>
      </c>
      <c r="H24" s="142" t="s">
        <v>857</v>
      </c>
      <c r="I24" s="173" t="s">
        <v>679</v>
      </c>
      <c r="J24" s="173" t="s">
        <v>225</v>
      </c>
      <c r="K24" s="173" t="s">
        <v>857</v>
      </c>
      <c r="L24" s="173" t="s">
        <v>10820</v>
      </c>
      <c r="M24" s="173" t="str">
        <f>IFS(L24="","",L24="n/a","N/A",LEN(L24),LOWER(Concatenate("{",char(34),"asset",char(34),":{",char(34),"guid",char(34),":",char(34),L24,char(34),",",char(34),"site",char(34),":",char(34),'2-Building'!$B$4,char(34),",",char(34),"name",char(34),":",char(34),K24,char(34),"}}")))</f>
        <v>{"asset":{"guid":"uuid://76e2ff02-50ed-4b3f-927e-207766083f25","site":"in-blr-ananta","name":"hvaccp-220"}}</v>
      </c>
      <c r="N24" s="142" t="s">
        <v>10821</v>
      </c>
      <c r="O24" s="142" t="s">
        <v>10805</v>
      </c>
      <c r="P24" s="142" t="s">
        <v>2863</v>
      </c>
      <c r="Q24" s="173">
        <v>3.0</v>
      </c>
      <c r="R24" s="477"/>
      <c r="S24" s="271" t="s">
        <v>1844</v>
      </c>
      <c r="T24" s="141"/>
    </row>
    <row r="25">
      <c r="A25" s="173">
        <v>21.0</v>
      </c>
      <c r="B25" s="173" t="s">
        <v>670</v>
      </c>
      <c r="C25" s="142" t="s">
        <v>868</v>
      </c>
      <c r="D25" s="173" t="s">
        <v>10766</v>
      </c>
      <c r="E25" s="173" t="s">
        <v>10766</v>
      </c>
      <c r="F25" s="476" t="s">
        <v>846</v>
      </c>
      <c r="G25" s="142" t="s">
        <v>867</v>
      </c>
      <c r="H25" s="142" t="s">
        <v>868</v>
      </c>
      <c r="I25" s="173" t="s">
        <v>679</v>
      </c>
      <c r="J25" s="173" t="s">
        <v>225</v>
      </c>
      <c r="K25" s="173" t="s">
        <v>868</v>
      </c>
      <c r="L25" s="173" t="s">
        <v>10822</v>
      </c>
      <c r="M25" s="173" t="str">
        <f>IFS(L25="","",L25="n/a","N/A",LEN(L25),LOWER(Concatenate("{",char(34),"asset",char(34),":{",char(34),"guid",char(34),":",char(34),L25,char(34),",",char(34),"site",char(34),":",char(34),'2-Building'!$B$4,char(34),",",char(34),"name",char(34),":",char(34),K25,char(34),"}}")))</f>
        <v>{"asset":{"guid":"uuid://1c4f2059-a411-4414-a8d4-91f162dbd904","site":"in-blr-ananta","name":"hvaccp-221"}}</v>
      </c>
      <c r="N25" s="142" t="s">
        <v>10823</v>
      </c>
      <c r="O25" s="142" t="s">
        <v>10824</v>
      </c>
      <c r="P25" s="142" t="s">
        <v>2863</v>
      </c>
      <c r="Q25" s="173">
        <v>2.0</v>
      </c>
      <c r="R25" s="477"/>
      <c r="S25" s="271" t="s">
        <v>1844</v>
      </c>
      <c r="T25" s="141"/>
    </row>
    <row r="26">
      <c r="A26" s="173">
        <v>22.0</v>
      </c>
      <c r="B26" s="173" t="s">
        <v>670</v>
      </c>
      <c r="C26" s="142" t="s">
        <v>879</v>
      </c>
      <c r="D26" s="173" t="s">
        <v>10766</v>
      </c>
      <c r="E26" s="173" t="s">
        <v>10766</v>
      </c>
      <c r="F26" s="476" t="s">
        <v>846</v>
      </c>
      <c r="G26" s="142" t="s">
        <v>878</v>
      </c>
      <c r="H26" s="142" t="s">
        <v>879</v>
      </c>
      <c r="I26" s="173" t="s">
        <v>679</v>
      </c>
      <c r="J26" s="173" t="s">
        <v>225</v>
      </c>
      <c r="K26" s="173" t="s">
        <v>879</v>
      </c>
      <c r="L26" s="173" t="s">
        <v>10825</v>
      </c>
      <c r="M26" s="173" t="str">
        <f>IFS(L26="","",L26="n/a","N/A",LEN(L26),LOWER(Concatenate("{",char(34),"asset",char(34),":{",char(34),"guid",char(34),":",char(34),L26,char(34),",",char(34),"site",char(34),":",char(34),'2-Building'!$B$4,char(34),",",char(34),"name",char(34),":",char(34),K26,char(34),"}}")))</f>
        <v>{"asset":{"guid":"uuid://ae495e99-73a6-4ba1-90bf-a83df1e8d967","site":"in-blr-ananta","name":"hvaccp-222"}}</v>
      </c>
      <c r="N26" s="142" t="s">
        <v>10826</v>
      </c>
      <c r="O26" s="142" t="s">
        <v>10827</v>
      </c>
      <c r="P26" s="142" t="s">
        <v>2863</v>
      </c>
      <c r="Q26" s="173">
        <v>2.0</v>
      </c>
      <c r="R26" s="477"/>
      <c r="S26" s="271" t="s">
        <v>1844</v>
      </c>
      <c r="T26" s="141"/>
    </row>
    <row r="27">
      <c r="A27" s="173">
        <v>23.0</v>
      </c>
      <c r="B27" s="173" t="s">
        <v>670</v>
      </c>
      <c r="C27" s="142" t="s">
        <v>890</v>
      </c>
      <c r="D27" s="173" t="s">
        <v>10766</v>
      </c>
      <c r="E27" s="173" t="s">
        <v>10766</v>
      </c>
      <c r="F27" s="476" t="s">
        <v>846</v>
      </c>
      <c r="G27" s="142" t="s">
        <v>889</v>
      </c>
      <c r="H27" s="142" t="s">
        <v>890</v>
      </c>
      <c r="I27" s="173" t="s">
        <v>679</v>
      </c>
      <c r="J27" s="173" t="s">
        <v>225</v>
      </c>
      <c r="K27" s="173" t="s">
        <v>890</v>
      </c>
      <c r="L27" s="173" t="s">
        <v>10828</v>
      </c>
      <c r="M27" s="173" t="str">
        <f>IFS(L27="","",L27="n/a","N/A",LEN(L27),LOWER(Concatenate("{",char(34),"asset",char(34),":{",char(34),"guid",char(34),":",char(34),L27,char(34),",",char(34),"site",char(34),":",char(34),'2-Building'!$B$4,char(34),",",char(34),"name",char(34),":",char(34),K27,char(34),"}}")))</f>
        <v>{"asset":{"guid":"uuid://75efa8fd-d6e8-4a11-8ff5-88410f1fdb8b","site":"in-blr-ananta","name":"hvaccp-223"}}</v>
      </c>
      <c r="N27" s="142" t="s">
        <v>10829</v>
      </c>
      <c r="O27" s="142" t="s">
        <v>10830</v>
      </c>
      <c r="P27" s="142" t="s">
        <v>2863</v>
      </c>
      <c r="Q27" s="173">
        <v>1.0</v>
      </c>
      <c r="R27" s="477"/>
      <c r="S27" s="271" t="s">
        <v>1844</v>
      </c>
      <c r="T27" s="141"/>
    </row>
    <row r="28">
      <c r="A28" s="173">
        <v>24.0</v>
      </c>
      <c r="B28" s="173" t="s">
        <v>670</v>
      </c>
      <c r="C28" s="142" t="s">
        <v>897</v>
      </c>
      <c r="D28" s="173" t="s">
        <v>10766</v>
      </c>
      <c r="E28" s="173" t="s">
        <v>10766</v>
      </c>
      <c r="F28" s="476" t="s">
        <v>846</v>
      </c>
      <c r="G28" s="142" t="s">
        <v>896</v>
      </c>
      <c r="H28" s="142" t="s">
        <v>897</v>
      </c>
      <c r="I28" s="173" t="s">
        <v>679</v>
      </c>
      <c r="J28" s="173" t="s">
        <v>225</v>
      </c>
      <c r="K28" s="173" t="s">
        <v>897</v>
      </c>
      <c r="L28" s="173" t="s">
        <v>10831</v>
      </c>
      <c r="M28" s="173" t="str">
        <f>IFS(L28="","",L28="n/a","N/A",LEN(L28),LOWER(Concatenate("{",char(34),"asset",char(34),":{",char(34),"guid",char(34),":",char(34),L28,char(34),",",char(34),"site",char(34),":",char(34),'2-Building'!$B$4,char(34),",",char(34),"name",char(34),":",char(34),K28,char(34),"}}")))</f>
        <v>{"asset":{"guid":"uuid://233483e4-7766-4744-9f7f-9cca8776d909","site":"in-blr-ananta","name":"hvaccp-224"}}</v>
      </c>
      <c r="N28" s="142" t="s">
        <v>10829</v>
      </c>
      <c r="O28" s="142" t="s">
        <v>10830</v>
      </c>
      <c r="P28" s="142" t="s">
        <v>2863</v>
      </c>
      <c r="Q28" s="173">
        <v>1.0</v>
      </c>
      <c r="R28" s="477"/>
      <c r="S28" s="271" t="s">
        <v>1844</v>
      </c>
      <c r="T28" s="141"/>
    </row>
    <row r="29">
      <c r="A29" s="173">
        <v>25.0</v>
      </c>
      <c r="B29" s="173" t="s">
        <v>670</v>
      </c>
      <c r="C29" s="142" t="s">
        <v>903</v>
      </c>
      <c r="D29" s="173" t="s">
        <v>10766</v>
      </c>
      <c r="E29" s="173" t="s">
        <v>10766</v>
      </c>
      <c r="F29" s="476" t="s">
        <v>902</v>
      </c>
      <c r="G29" s="142">
        <v>263.0</v>
      </c>
      <c r="H29" s="142" t="s">
        <v>903</v>
      </c>
      <c r="I29" s="173" t="s">
        <v>679</v>
      </c>
      <c r="J29" s="173" t="s">
        <v>225</v>
      </c>
      <c r="K29" s="173" t="s">
        <v>903</v>
      </c>
      <c r="L29" s="173" t="s">
        <v>10832</v>
      </c>
      <c r="M29" s="173" t="str">
        <f>IFS(L29="","",L29="n/a","N/A",LEN(L29),LOWER(Concatenate("{",char(34),"asset",char(34),":{",char(34),"guid",char(34),":",char(34),L29,char(34),",",char(34),"site",char(34),":",char(34),'2-Building'!$B$4,char(34),",",char(34),"name",char(34),":",char(34),K29,char(34),"}}")))</f>
        <v>{"asset":{"guid":"uuid://2732e048-389e-472e-a3f0-9ec7ba0e5944","site":"in-blr-ananta","name":"hvaccp-225"}}</v>
      </c>
      <c r="N29" s="142" t="s">
        <v>10833</v>
      </c>
      <c r="O29" s="142" t="s">
        <v>10811</v>
      </c>
      <c r="P29" s="142" t="s">
        <v>2863</v>
      </c>
      <c r="Q29" s="173">
        <v>2.0</v>
      </c>
      <c r="R29" s="477"/>
      <c r="S29" s="271" t="s">
        <v>1844</v>
      </c>
      <c r="T29" s="141"/>
    </row>
    <row r="30">
      <c r="A30" s="173">
        <v>26.0</v>
      </c>
      <c r="B30" s="173" t="s">
        <v>670</v>
      </c>
      <c r="C30" s="142" t="s">
        <v>913</v>
      </c>
      <c r="D30" s="173" t="s">
        <v>10766</v>
      </c>
      <c r="E30" s="173" t="s">
        <v>10766</v>
      </c>
      <c r="F30" s="476" t="s">
        <v>902</v>
      </c>
      <c r="G30" s="142">
        <v>275.0</v>
      </c>
      <c r="H30" s="142" t="s">
        <v>913</v>
      </c>
      <c r="I30" s="173" t="s">
        <v>679</v>
      </c>
      <c r="J30" s="173" t="s">
        <v>225</v>
      </c>
      <c r="K30" s="173" t="s">
        <v>913</v>
      </c>
      <c r="L30" s="173" t="s">
        <v>10834</v>
      </c>
      <c r="M30" s="173" t="str">
        <f>IFS(L30="","",L30="n/a","N/A",LEN(L30),LOWER(Concatenate("{",char(34),"asset",char(34),":{",char(34),"guid",char(34),":",char(34),L30,char(34),",",char(34),"site",char(34),":",char(34),'2-Building'!$B$4,char(34),",",char(34),"name",char(34),":",char(34),K30,char(34),"}}")))</f>
        <v>{"asset":{"guid":"uuid://213f13e8-24f3-4e22-a6f7-4c2b26a5731d","site":"in-blr-ananta","name":"hvaccp-226"}}</v>
      </c>
      <c r="N30" s="142" t="s">
        <v>10833</v>
      </c>
      <c r="O30" s="142" t="s">
        <v>10811</v>
      </c>
      <c r="P30" s="142" t="s">
        <v>2863</v>
      </c>
      <c r="Q30" s="173">
        <v>2.0</v>
      </c>
      <c r="R30" s="477"/>
      <c r="S30" s="271" t="s">
        <v>1844</v>
      </c>
      <c r="T30" s="141"/>
    </row>
    <row r="31">
      <c r="A31" s="173">
        <v>27.0</v>
      </c>
      <c r="B31" s="173" t="s">
        <v>670</v>
      </c>
      <c r="C31" s="142" t="s">
        <v>923</v>
      </c>
      <c r="D31" s="173" t="s">
        <v>10766</v>
      </c>
      <c r="E31" s="173" t="s">
        <v>10766</v>
      </c>
      <c r="F31" s="476" t="s">
        <v>902</v>
      </c>
      <c r="G31" s="142">
        <v>219.0</v>
      </c>
      <c r="H31" s="142" t="s">
        <v>923</v>
      </c>
      <c r="I31" s="173" t="s">
        <v>679</v>
      </c>
      <c r="J31" s="173" t="s">
        <v>225</v>
      </c>
      <c r="K31" s="173" t="s">
        <v>923</v>
      </c>
      <c r="L31" s="173" t="s">
        <v>10835</v>
      </c>
      <c r="M31" s="173" t="str">
        <f>IFS(L31="","",L31="n/a","N/A",LEN(L31),LOWER(Concatenate("{",char(34),"asset",char(34),":{",char(34),"guid",char(34),":",char(34),L31,char(34),",",char(34),"site",char(34),":",char(34),'2-Building'!$B$4,char(34),",",char(34),"name",char(34),":",char(34),K31,char(34),"}}")))</f>
        <v>{"asset":{"guid":"uuid://f39c2d10-def7-426b-be99-91cb399a7c8b","site":"in-blr-ananta","name":"hvaccp-227"}}</v>
      </c>
      <c r="N31" s="142" t="s">
        <v>10826</v>
      </c>
      <c r="O31" s="142" t="s">
        <v>10827</v>
      </c>
      <c r="P31" s="142" t="s">
        <v>2863</v>
      </c>
      <c r="Q31" s="173">
        <v>2.0</v>
      </c>
      <c r="R31" s="477"/>
      <c r="S31" s="271" t="s">
        <v>1844</v>
      </c>
      <c r="T31" s="141"/>
    </row>
    <row r="32">
      <c r="A32" s="173">
        <v>28.0</v>
      </c>
      <c r="B32" s="173" t="s">
        <v>670</v>
      </c>
      <c r="C32" s="142" t="s">
        <v>933</v>
      </c>
      <c r="D32" s="173" t="s">
        <v>10766</v>
      </c>
      <c r="E32" s="173" t="s">
        <v>10766</v>
      </c>
      <c r="F32" s="476" t="s">
        <v>902</v>
      </c>
      <c r="G32" s="142">
        <v>248.0</v>
      </c>
      <c r="H32" s="142" t="s">
        <v>933</v>
      </c>
      <c r="I32" s="173" t="s">
        <v>679</v>
      </c>
      <c r="J32" s="173" t="s">
        <v>225</v>
      </c>
      <c r="K32" s="173" t="s">
        <v>933</v>
      </c>
      <c r="L32" s="173" t="s">
        <v>10836</v>
      </c>
      <c r="M32" s="173" t="str">
        <f>IFS(L32="","",L32="n/a","N/A",LEN(L32),LOWER(Concatenate("{",char(34),"asset",char(34),":{",char(34),"guid",char(34),":",char(34),L32,char(34),",",char(34),"site",char(34),":",char(34),'2-Building'!$B$4,char(34),",",char(34),"name",char(34),":",char(34),K32,char(34),"}}")))</f>
        <v>{"asset":{"guid":"uuid://15f6b010-3226-4613-a720-387990d45c3c","site":"in-blr-ananta","name":"hvaccp-228"}}</v>
      </c>
      <c r="N32" s="142" t="s">
        <v>10813</v>
      </c>
      <c r="O32" s="142" t="s">
        <v>10814</v>
      </c>
      <c r="P32" s="142" t="s">
        <v>2863</v>
      </c>
      <c r="Q32" s="173">
        <v>3.0</v>
      </c>
      <c r="R32" s="477"/>
      <c r="S32" s="271" t="s">
        <v>1844</v>
      </c>
      <c r="T32" s="141"/>
    </row>
    <row r="33">
      <c r="A33" s="173">
        <v>29.0</v>
      </c>
      <c r="B33" s="173" t="s">
        <v>670</v>
      </c>
      <c r="C33" s="142" t="s">
        <v>943</v>
      </c>
      <c r="D33" s="173" t="s">
        <v>10766</v>
      </c>
      <c r="E33" s="173" t="s">
        <v>10766</v>
      </c>
      <c r="F33" s="476" t="s">
        <v>902</v>
      </c>
      <c r="G33" s="142">
        <v>233.0</v>
      </c>
      <c r="H33" s="142" t="s">
        <v>943</v>
      </c>
      <c r="I33" s="173" t="s">
        <v>679</v>
      </c>
      <c r="J33" s="173" t="s">
        <v>225</v>
      </c>
      <c r="K33" s="173" t="s">
        <v>943</v>
      </c>
      <c r="L33" s="173" t="s">
        <v>10837</v>
      </c>
      <c r="M33" s="173" t="str">
        <f>IFS(L33="","",L33="n/a","N/A",LEN(L33),LOWER(Concatenate("{",char(34),"asset",char(34),":{",char(34),"guid",char(34),":",char(34),L33,char(34),",",char(34),"site",char(34),":",char(34),'2-Building'!$B$4,char(34),",",char(34),"name",char(34),":",char(34),K33,char(34),"}}")))</f>
        <v>{"asset":{"guid":"uuid://3de1a157-25f8-4b3e-9454-cde0a358e6ae","site":"in-blr-ananta","name":"hvaccp-229"}}</v>
      </c>
      <c r="N33" s="142" t="s">
        <v>10829</v>
      </c>
      <c r="O33" s="142" t="s">
        <v>10830</v>
      </c>
      <c r="P33" s="142" t="s">
        <v>2863</v>
      </c>
      <c r="Q33" s="173">
        <v>1.0</v>
      </c>
      <c r="R33" s="477"/>
      <c r="S33" s="271" t="s">
        <v>1844</v>
      </c>
      <c r="T33" s="141"/>
    </row>
    <row r="34">
      <c r="A34" s="173">
        <v>30.0</v>
      </c>
      <c r="B34" s="173" t="s">
        <v>670</v>
      </c>
      <c r="C34" s="142" t="s">
        <v>949</v>
      </c>
      <c r="D34" s="173" t="s">
        <v>10766</v>
      </c>
      <c r="E34" s="173" t="s">
        <v>10766</v>
      </c>
      <c r="F34" s="476" t="s">
        <v>902</v>
      </c>
      <c r="G34" s="142">
        <v>233.0</v>
      </c>
      <c r="H34" s="142" t="s">
        <v>949</v>
      </c>
      <c r="I34" s="173" t="s">
        <v>679</v>
      </c>
      <c r="J34" s="173" t="s">
        <v>225</v>
      </c>
      <c r="K34" s="173" t="s">
        <v>949</v>
      </c>
      <c r="L34" s="173" t="s">
        <v>10838</v>
      </c>
      <c r="M34" s="173" t="str">
        <f>IFS(L34="","",L34="n/a","N/A",LEN(L34),LOWER(Concatenate("{",char(34),"asset",char(34),":{",char(34),"guid",char(34),":",char(34),L34,char(34),",",char(34),"site",char(34),":",char(34),'2-Building'!$B$4,char(34),",",char(34),"name",char(34),":",char(34),K34,char(34),"}}")))</f>
        <v>{"asset":{"guid":"uuid://37a19aa3-8b3b-4ef8-a3b7-9a8f1566c322","site":"in-blr-ananta","name":"hvaccp-230"}}</v>
      </c>
      <c r="N34" s="142" t="s">
        <v>10839</v>
      </c>
      <c r="O34" s="142" t="s">
        <v>10840</v>
      </c>
      <c r="P34" s="142" t="s">
        <v>2863</v>
      </c>
      <c r="Q34" s="173">
        <v>1.0</v>
      </c>
      <c r="R34" s="477"/>
      <c r="S34" s="271" t="s">
        <v>1844</v>
      </c>
      <c r="T34" s="141"/>
    </row>
    <row r="35">
      <c r="A35" s="173">
        <v>31.0</v>
      </c>
      <c r="B35" s="173" t="s">
        <v>670</v>
      </c>
      <c r="C35" s="142" t="s">
        <v>954</v>
      </c>
      <c r="D35" s="173" t="s">
        <v>10766</v>
      </c>
      <c r="E35" s="173" t="s">
        <v>10766</v>
      </c>
      <c r="F35" s="476" t="s">
        <v>902</v>
      </c>
      <c r="G35" s="142">
        <v>234.0</v>
      </c>
      <c r="H35" s="142" t="s">
        <v>954</v>
      </c>
      <c r="I35" s="173" t="s">
        <v>679</v>
      </c>
      <c r="J35" s="173" t="s">
        <v>225</v>
      </c>
      <c r="K35" s="173" t="s">
        <v>954</v>
      </c>
      <c r="L35" s="173" t="s">
        <v>10841</v>
      </c>
      <c r="M35" s="173" t="str">
        <f>IFS(L35="","",L35="n/a","N/A",LEN(L35),LOWER(Concatenate("{",char(34),"asset",char(34),":{",char(34),"guid",char(34),":",char(34),L35,char(34),",",char(34),"site",char(34),":",char(34),'2-Building'!$B$4,char(34),",",char(34),"name",char(34),":",char(34),K35,char(34),"}}")))</f>
        <v>{"asset":{"guid":"uuid://8296c61d-9bca-4280-a111-aef7cfa8b6ec","site":"in-blr-ananta","name":"hvaccp-231"}}</v>
      </c>
      <c r="N35" s="142" t="s">
        <v>10842</v>
      </c>
      <c r="O35" s="142" t="s">
        <v>10840</v>
      </c>
      <c r="P35" s="142" t="s">
        <v>2863</v>
      </c>
      <c r="Q35" s="173">
        <v>2.0</v>
      </c>
      <c r="R35" s="477"/>
      <c r="S35" s="271" t="s">
        <v>1844</v>
      </c>
      <c r="T35" s="141"/>
    </row>
    <row r="36">
      <c r="A36" s="173">
        <v>32.0</v>
      </c>
      <c r="B36" s="173" t="s">
        <v>670</v>
      </c>
      <c r="C36" s="142" t="s">
        <v>960</v>
      </c>
      <c r="D36" s="173" t="s">
        <v>10766</v>
      </c>
      <c r="E36" s="173" t="s">
        <v>10766</v>
      </c>
      <c r="F36" s="476" t="s">
        <v>902</v>
      </c>
      <c r="G36" s="142">
        <v>234.0</v>
      </c>
      <c r="H36" s="142" t="s">
        <v>960</v>
      </c>
      <c r="I36" s="173" t="s">
        <v>679</v>
      </c>
      <c r="J36" s="173" t="s">
        <v>225</v>
      </c>
      <c r="K36" s="173" t="s">
        <v>960</v>
      </c>
      <c r="L36" s="173" t="s">
        <v>10843</v>
      </c>
      <c r="M36" s="173" t="str">
        <f>IFS(L36="","",L36="n/a","N/A",LEN(L36),LOWER(Concatenate("{",char(34),"asset",char(34),":{",char(34),"guid",char(34),":",char(34),L36,char(34),",",char(34),"site",char(34),":",char(34),'2-Building'!$B$4,char(34),",",char(34),"name",char(34),":",char(34),K36,char(34),"}}")))</f>
        <v>{"asset":{"guid":"uuid://a506e157-ae6d-4e05-8744-b3dfcbb05a6d","site":"in-blr-ananta","name":"hvaccp-232"}}</v>
      </c>
      <c r="N36" s="142" t="s">
        <v>10829</v>
      </c>
      <c r="O36" s="142" t="s">
        <v>10830</v>
      </c>
      <c r="P36" s="142" t="s">
        <v>2863</v>
      </c>
      <c r="Q36" s="173">
        <v>1.0</v>
      </c>
      <c r="R36" s="477"/>
      <c r="S36" s="271" t="s">
        <v>1844</v>
      </c>
      <c r="T36" s="141"/>
    </row>
    <row r="37">
      <c r="A37" s="173">
        <v>33.0</v>
      </c>
      <c r="B37" s="173" t="s">
        <v>670</v>
      </c>
      <c r="C37" s="142" t="s">
        <v>966</v>
      </c>
      <c r="D37" s="173" t="s">
        <v>10766</v>
      </c>
      <c r="E37" s="173" t="s">
        <v>10766</v>
      </c>
      <c r="F37" s="476" t="s">
        <v>965</v>
      </c>
      <c r="G37" s="142">
        <v>363.0</v>
      </c>
      <c r="H37" s="142" t="s">
        <v>966</v>
      </c>
      <c r="I37" s="173" t="s">
        <v>679</v>
      </c>
      <c r="J37" s="173" t="s">
        <v>225</v>
      </c>
      <c r="K37" s="173" t="s">
        <v>966</v>
      </c>
      <c r="L37" s="173" t="s">
        <v>10844</v>
      </c>
      <c r="M37" s="173" t="str">
        <f>IFS(L37="","",L37="n/a","N/A",LEN(L37),LOWER(Concatenate("{",char(34),"asset",char(34),":{",char(34),"guid",char(34),":",char(34),L37,char(34),",",char(34),"site",char(34),":",char(34),'2-Building'!$B$4,char(34),",",char(34),"name",char(34),":",char(34),K37,char(34),"}}")))</f>
        <v>{"asset":{"guid":"uuid://66587174-8e89-4647-9489-643f4b86e0d9","site":"in-blr-ananta","name":"hvaccp-233"}}</v>
      </c>
      <c r="N37" s="142" t="s">
        <v>10821</v>
      </c>
      <c r="O37" s="142" t="s">
        <v>10805</v>
      </c>
      <c r="P37" s="142" t="s">
        <v>2863</v>
      </c>
      <c r="Q37" s="173">
        <v>3.0</v>
      </c>
      <c r="R37" s="477"/>
      <c r="S37" s="271" t="s">
        <v>1844</v>
      </c>
      <c r="T37" s="141"/>
    </row>
    <row r="38">
      <c r="A38" s="173">
        <v>34.0</v>
      </c>
      <c r="B38" s="173" t="s">
        <v>670</v>
      </c>
      <c r="C38" s="142" t="s">
        <v>976</v>
      </c>
      <c r="D38" s="173" t="s">
        <v>10766</v>
      </c>
      <c r="E38" s="173" t="s">
        <v>10766</v>
      </c>
      <c r="F38" s="476" t="s">
        <v>965</v>
      </c>
      <c r="G38" s="142">
        <v>375.0</v>
      </c>
      <c r="H38" s="142" t="s">
        <v>976</v>
      </c>
      <c r="I38" s="173" t="s">
        <v>679</v>
      </c>
      <c r="J38" s="173" t="s">
        <v>225</v>
      </c>
      <c r="K38" s="173" t="s">
        <v>976</v>
      </c>
      <c r="L38" s="173" t="s">
        <v>10845</v>
      </c>
      <c r="M38" s="173" t="str">
        <f>IFS(L38="","",L38="n/a","N/A",LEN(L38),LOWER(Concatenate("{",char(34),"asset",char(34),":{",char(34),"guid",char(34),":",char(34),L38,char(34),",",char(34),"site",char(34),":",char(34),'2-Building'!$B$4,char(34),",",char(34),"name",char(34),":",char(34),K38,char(34),"}}")))</f>
        <v>{"asset":{"guid":"uuid://1276f297-42af-4f71-840e-4880841f8540","site":"in-blr-ananta","name":"hvaccp-234"}}</v>
      </c>
      <c r="N38" s="142" t="s">
        <v>10833</v>
      </c>
      <c r="O38" s="142" t="s">
        <v>10811</v>
      </c>
      <c r="P38" s="142" t="s">
        <v>2863</v>
      </c>
      <c r="Q38" s="173">
        <v>2.0</v>
      </c>
      <c r="R38" s="477"/>
      <c r="S38" s="271" t="s">
        <v>1844</v>
      </c>
      <c r="T38" s="141"/>
    </row>
    <row r="39">
      <c r="A39" s="173">
        <v>35.0</v>
      </c>
      <c r="B39" s="173" t="s">
        <v>670</v>
      </c>
      <c r="C39" s="142" t="s">
        <v>986</v>
      </c>
      <c r="D39" s="173" t="s">
        <v>10766</v>
      </c>
      <c r="E39" s="173" t="s">
        <v>10766</v>
      </c>
      <c r="F39" s="476" t="s">
        <v>965</v>
      </c>
      <c r="G39" s="142">
        <v>319.0</v>
      </c>
      <c r="H39" s="142" t="s">
        <v>986</v>
      </c>
      <c r="I39" s="173" t="s">
        <v>679</v>
      </c>
      <c r="J39" s="173" t="s">
        <v>225</v>
      </c>
      <c r="K39" s="173" t="s">
        <v>986</v>
      </c>
      <c r="L39" s="173" t="s">
        <v>10846</v>
      </c>
      <c r="M39" s="173" t="str">
        <f>IFS(L39="","",L39="n/a","N/A",LEN(L39),LOWER(Concatenate("{",char(34),"asset",char(34),":{",char(34),"guid",char(34),":",char(34),L39,char(34),",",char(34),"site",char(34),":",char(34),'2-Building'!$B$4,char(34),",",char(34),"name",char(34),":",char(34),K39,char(34),"}}")))</f>
        <v>{"asset":{"guid":"uuid://87420244-750e-4849-86f2-c2528c1c69ab","site":"in-blr-ananta","name":"hvaccp-235"}}</v>
      </c>
      <c r="N39" s="142" t="s">
        <v>10826</v>
      </c>
      <c r="O39" s="142" t="s">
        <v>10827</v>
      </c>
      <c r="P39" s="142" t="s">
        <v>2863</v>
      </c>
      <c r="Q39" s="173">
        <v>2.0</v>
      </c>
      <c r="R39" s="477"/>
      <c r="S39" s="271" t="s">
        <v>1844</v>
      </c>
      <c r="T39" s="141"/>
    </row>
    <row r="40">
      <c r="A40" s="173">
        <v>36.0</v>
      </c>
      <c r="B40" s="173" t="s">
        <v>670</v>
      </c>
      <c r="C40" s="142" t="s">
        <v>996</v>
      </c>
      <c r="D40" s="173" t="s">
        <v>10766</v>
      </c>
      <c r="E40" s="173" t="s">
        <v>10766</v>
      </c>
      <c r="F40" s="476" t="s">
        <v>965</v>
      </c>
      <c r="G40" s="142">
        <v>348.0</v>
      </c>
      <c r="H40" s="142" t="s">
        <v>996</v>
      </c>
      <c r="I40" s="173" t="s">
        <v>679</v>
      </c>
      <c r="J40" s="173" t="s">
        <v>225</v>
      </c>
      <c r="K40" s="173" t="s">
        <v>996</v>
      </c>
      <c r="L40" s="173" t="s">
        <v>10847</v>
      </c>
      <c r="M40" s="173" t="str">
        <f>IFS(L40="","",L40="n/a","N/A",LEN(L40),LOWER(Concatenate("{",char(34),"asset",char(34),":{",char(34),"guid",char(34),":",char(34),L40,char(34),",",char(34),"site",char(34),":",char(34),'2-Building'!$B$4,char(34),",",char(34),"name",char(34),":",char(34),K40,char(34),"}}")))</f>
        <v>{"asset":{"guid":"uuid://34b099aa-516e-4bd2-8550-c5679a196852","site":"in-blr-ananta","name":"hvaccp-236"}}</v>
      </c>
      <c r="N40" s="142" t="s">
        <v>10826</v>
      </c>
      <c r="O40" s="142" t="s">
        <v>10827</v>
      </c>
      <c r="P40" s="142" t="s">
        <v>2863</v>
      </c>
      <c r="Q40" s="173">
        <v>2.0</v>
      </c>
      <c r="R40" s="477"/>
      <c r="S40" s="271" t="s">
        <v>1844</v>
      </c>
      <c r="T40" s="141"/>
    </row>
    <row r="41">
      <c r="A41" s="173">
        <v>37.0</v>
      </c>
      <c r="B41" s="173" t="s">
        <v>670</v>
      </c>
      <c r="C41" s="142" t="s">
        <v>1006</v>
      </c>
      <c r="D41" s="173" t="s">
        <v>10766</v>
      </c>
      <c r="E41" s="173" t="s">
        <v>10766</v>
      </c>
      <c r="F41" s="476" t="s">
        <v>965</v>
      </c>
      <c r="G41" s="142">
        <v>333.0</v>
      </c>
      <c r="H41" s="142" t="s">
        <v>1006</v>
      </c>
      <c r="I41" s="173" t="s">
        <v>679</v>
      </c>
      <c r="J41" s="173" t="s">
        <v>225</v>
      </c>
      <c r="K41" s="173" t="s">
        <v>1006</v>
      </c>
      <c r="L41" s="173" t="s">
        <v>10848</v>
      </c>
      <c r="M41" s="173" t="str">
        <f>IFS(L41="","",L41="n/a","N/A",LEN(L41),LOWER(Concatenate("{",char(34),"asset",char(34),":{",char(34),"guid",char(34),":",char(34),L41,char(34),",",char(34),"site",char(34),":",char(34),'2-Building'!$B$4,char(34),",",char(34),"name",char(34),":",char(34),K41,char(34),"}}")))</f>
        <v>{"asset":{"guid":"uuid://0b8e5a97-c023-475d-9056-a020e38edd77","site":"in-blr-ananta","name":"hvaccp-237"}}</v>
      </c>
      <c r="N41" s="142" t="s">
        <v>10833</v>
      </c>
      <c r="O41" s="142" t="s">
        <v>10811</v>
      </c>
      <c r="P41" s="142" t="s">
        <v>2863</v>
      </c>
      <c r="Q41" s="173">
        <v>2.0</v>
      </c>
      <c r="R41" s="477"/>
      <c r="S41" s="271" t="s">
        <v>1844</v>
      </c>
      <c r="T41" s="141"/>
    </row>
    <row r="42">
      <c r="A42" s="173">
        <v>38.0</v>
      </c>
      <c r="B42" s="173" t="s">
        <v>670</v>
      </c>
      <c r="C42" s="142" t="s">
        <v>1016</v>
      </c>
      <c r="D42" s="173" t="s">
        <v>10766</v>
      </c>
      <c r="E42" s="173" t="s">
        <v>10766</v>
      </c>
      <c r="F42" s="476" t="s">
        <v>965</v>
      </c>
      <c r="G42" s="142">
        <v>334.0</v>
      </c>
      <c r="H42" s="142" t="s">
        <v>1016</v>
      </c>
      <c r="I42" s="173" t="s">
        <v>679</v>
      </c>
      <c r="J42" s="173" t="s">
        <v>225</v>
      </c>
      <c r="K42" s="173" t="s">
        <v>1016</v>
      </c>
      <c r="L42" s="173" t="s">
        <v>10849</v>
      </c>
      <c r="M42" s="173" t="str">
        <f>IFS(L42="","",L42="n/a","N/A",LEN(L42),LOWER(Concatenate("{",char(34),"asset",char(34),":{",char(34),"guid",char(34),":",char(34),L42,char(34),",",char(34),"site",char(34),":",char(34),'2-Building'!$B$4,char(34),",",char(34),"name",char(34),":",char(34),K42,char(34),"}}")))</f>
        <v>{"asset":{"guid":"uuid://d2b47890-3a19-4b2a-87b6-6f49a9512ade","site":"in-blr-ananta","name":"hvaccp-238"}}</v>
      </c>
      <c r="N42" s="142" t="s">
        <v>10833</v>
      </c>
      <c r="O42" s="142" t="s">
        <v>10811</v>
      </c>
      <c r="P42" s="142" t="s">
        <v>2863</v>
      </c>
      <c r="Q42" s="173">
        <v>2.0</v>
      </c>
      <c r="R42" s="477"/>
      <c r="S42" s="271" t="s">
        <v>1844</v>
      </c>
      <c r="T42" s="141"/>
    </row>
    <row r="43">
      <c r="A43" s="173">
        <v>39.0</v>
      </c>
      <c r="B43" s="173" t="s">
        <v>670</v>
      </c>
      <c r="C43" s="142" t="s">
        <v>1028</v>
      </c>
      <c r="D43" s="173" t="s">
        <v>10766</v>
      </c>
      <c r="E43" s="173" t="s">
        <v>10766</v>
      </c>
      <c r="F43" s="476" t="s">
        <v>1026</v>
      </c>
      <c r="G43" s="142" t="s">
        <v>1027</v>
      </c>
      <c r="H43" s="142" t="s">
        <v>1028</v>
      </c>
      <c r="I43" s="173" t="s">
        <v>679</v>
      </c>
      <c r="J43" s="173" t="s">
        <v>225</v>
      </c>
      <c r="K43" s="173" t="s">
        <v>1028</v>
      </c>
      <c r="L43" s="173" t="s">
        <v>10850</v>
      </c>
      <c r="M43" s="173" t="str">
        <f>IFS(L43="","",L43="n/a","N/A",LEN(L43),LOWER(Concatenate("{",char(34),"asset",char(34),":{",char(34),"guid",char(34),":",char(34),L43,char(34),",",char(34),"site",char(34),":",char(34),'2-Building'!$B$4,char(34),",",char(34),"name",char(34),":",char(34),K43,char(34),"}}")))</f>
        <v>{"asset":{"guid":"uuid://5705e32c-46d3-4e4f-86b0-6c7f0152e0e3","site":"in-blr-ananta","name":"hvaccp-239"}}</v>
      </c>
      <c r="N43" s="142" t="s">
        <v>10833</v>
      </c>
      <c r="O43" s="142" t="s">
        <v>10811</v>
      </c>
      <c r="P43" s="142" t="s">
        <v>2863</v>
      </c>
      <c r="Q43" s="173">
        <v>2.0</v>
      </c>
      <c r="R43" s="477"/>
      <c r="S43" s="271" t="s">
        <v>1844</v>
      </c>
      <c r="T43" s="141"/>
    </row>
    <row r="44">
      <c r="A44" s="173">
        <v>40.0</v>
      </c>
      <c r="B44" s="173" t="s">
        <v>670</v>
      </c>
      <c r="C44" s="142" t="s">
        <v>1038</v>
      </c>
      <c r="D44" s="173" t="s">
        <v>10766</v>
      </c>
      <c r="E44" s="173" t="s">
        <v>10766</v>
      </c>
      <c r="F44" s="476" t="s">
        <v>1026</v>
      </c>
      <c r="G44" s="142">
        <v>475.0</v>
      </c>
      <c r="H44" s="142" t="s">
        <v>1038</v>
      </c>
      <c r="I44" s="173" t="s">
        <v>679</v>
      </c>
      <c r="J44" s="173" t="s">
        <v>225</v>
      </c>
      <c r="K44" s="173" t="s">
        <v>1038</v>
      </c>
      <c r="L44" s="173" t="s">
        <v>10851</v>
      </c>
      <c r="M44" s="173" t="str">
        <f>IFS(L44="","",L44="n/a","N/A",LEN(L44),LOWER(Concatenate("{",char(34),"asset",char(34),":{",char(34),"guid",char(34),":",char(34),L44,char(34),",",char(34),"site",char(34),":",char(34),'2-Building'!$B$4,char(34),",",char(34),"name",char(34),":",char(34),K44,char(34),"}}")))</f>
        <v>{"asset":{"guid":"uuid://1d4b3b3e-fe9c-4f25-aa33-14e9f067385b","site":"in-blr-ananta","name":"hvaccp-240"}}</v>
      </c>
      <c r="N44" s="142" t="s">
        <v>10821</v>
      </c>
      <c r="O44" s="142" t="s">
        <v>10805</v>
      </c>
      <c r="P44" s="142" t="s">
        <v>2863</v>
      </c>
      <c r="Q44" s="173">
        <v>3.0</v>
      </c>
      <c r="R44" s="477"/>
      <c r="S44" s="271" t="s">
        <v>1844</v>
      </c>
      <c r="T44" s="141"/>
    </row>
    <row r="45">
      <c r="A45" s="173">
        <v>41.0</v>
      </c>
      <c r="B45" s="173" t="s">
        <v>670</v>
      </c>
      <c r="C45" s="142" t="s">
        <v>1048</v>
      </c>
      <c r="D45" s="173" t="s">
        <v>10766</v>
      </c>
      <c r="E45" s="173" t="s">
        <v>10766</v>
      </c>
      <c r="F45" s="476" t="s">
        <v>1026</v>
      </c>
      <c r="G45" s="142">
        <v>419.0</v>
      </c>
      <c r="H45" s="142" t="s">
        <v>1048</v>
      </c>
      <c r="I45" s="173" t="s">
        <v>679</v>
      </c>
      <c r="J45" s="173" t="s">
        <v>225</v>
      </c>
      <c r="K45" s="173" t="s">
        <v>1048</v>
      </c>
      <c r="L45" s="173" t="s">
        <v>10852</v>
      </c>
      <c r="M45" s="173" t="str">
        <f>IFS(L45="","",L45="n/a","N/A",LEN(L45),LOWER(Concatenate("{",char(34),"asset",char(34),":{",char(34),"guid",char(34),":",char(34),L45,char(34),",",char(34),"site",char(34),":",char(34),'2-Building'!$B$4,char(34),",",char(34),"name",char(34),":",char(34),K45,char(34),"}}")))</f>
        <v>{"asset":{"guid":"uuid://592c1864-1f02-4690-b340-38e4cf2553c1","site":"in-blr-ananta","name":"hvaccp-241"}}</v>
      </c>
      <c r="N45" s="142" t="s">
        <v>10813</v>
      </c>
      <c r="O45" s="142" t="s">
        <v>10814</v>
      </c>
      <c r="P45" s="142" t="s">
        <v>2863</v>
      </c>
      <c r="Q45" s="173">
        <v>3.0</v>
      </c>
      <c r="R45" s="477"/>
      <c r="S45" s="271" t="s">
        <v>1844</v>
      </c>
      <c r="T45" s="141"/>
    </row>
    <row r="46">
      <c r="A46" s="173">
        <v>42.0</v>
      </c>
      <c r="B46" s="173" t="s">
        <v>670</v>
      </c>
      <c r="C46" s="142" t="s">
        <v>1058</v>
      </c>
      <c r="D46" s="173" t="s">
        <v>10766</v>
      </c>
      <c r="E46" s="173" t="s">
        <v>10766</v>
      </c>
      <c r="F46" s="476" t="s">
        <v>1026</v>
      </c>
      <c r="G46" s="142">
        <v>448.0</v>
      </c>
      <c r="H46" s="142" t="s">
        <v>1058</v>
      </c>
      <c r="I46" s="173" t="s">
        <v>679</v>
      </c>
      <c r="J46" s="173" t="s">
        <v>225</v>
      </c>
      <c r="K46" s="173" t="s">
        <v>1058</v>
      </c>
      <c r="L46" s="173" t="s">
        <v>10853</v>
      </c>
      <c r="M46" s="173" t="str">
        <f>IFS(L46="","",L46="n/a","N/A",LEN(L46),LOWER(Concatenate("{",char(34),"asset",char(34),":{",char(34),"guid",char(34),":",char(34),L46,char(34),",",char(34),"site",char(34),":",char(34),'2-Building'!$B$4,char(34),",",char(34),"name",char(34),":",char(34),K46,char(34),"}}")))</f>
        <v>{"asset":{"guid":"uuid://bdc2218b-8e94-44ad-bba5-5dd22bb6673a","site":"in-blr-ananta","name":"hvaccp-242"}}</v>
      </c>
      <c r="N46" s="142" t="s">
        <v>10813</v>
      </c>
      <c r="O46" s="142" t="s">
        <v>10814</v>
      </c>
      <c r="P46" s="142" t="s">
        <v>2863</v>
      </c>
      <c r="Q46" s="173">
        <v>3.0</v>
      </c>
      <c r="R46" s="477"/>
      <c r="S46" s="271" t="s">
        <v>1844</v>
      </c>
      <c r="T46" s="141"/>
    </row>
    <row r="47">
      <c r="A47" s="173">
        <v>43.0</v>
      </c>
      <c r="B47" s="173" t="s">
        <v>670</v>
      </c>
      <c r="C47" s="142" t="s">
        <v>1068</v>
      </c>
      <c r="D47" s="173" t="s">
        <v>10766</v>
      </c>
      <c r="E47" s="173" t="s">
        <v>10766</v>
      </c>
      <c r="F47" s="476" t="s">
        <v>1026</v>
      </c>
      <c r="G47" s="142">
        <v>433.0</v>
      </c>
      <c r="H47" s="142" t="s">
        <v>1068</v>
      </c>
      <c r="I47" s="173" t="s">
        <v>679</v>
      </c>
      <c r="J47" s="173" t="s">
        <v>225</v>
      </c>
      <c r="K47" s="173" t="s">
        <v>1068</v>
      </c>
      <c r="L47" s="173" t="s">
        <v>10854</v>
      </c>
      <c r="M47" s="173" t="str">
        <f>IFS(L47="","",L47="n/a","N/A",LEN(L47),LOWER(Concatenate("{",char(34),"asset",char(34),":{",char(34),"guid",char(34),":",char(34),L47,char(34),",",char(34),"site",char(34),":",char(34),'2-Building'!$B$4,char(34),",",char(34),"name",char(34),":",char(34),K47,char(34),"}}")))</f>
        <v>{"asset":{"guid":"uuid://07b96867-26e2-47b0-ad31-945c9635632b","site":"in-blr-ananta","name":"hvaccp-243"}}</v>
      </c>
      <c r="N47" s="142" t="s">
        <v>10833</v>
      </c>
      <c r="O47" s="142" t="s">
        <v>10811</v>
      </c>
      <c r="P47" s="142" t="s">
        <v>2863</v>
      </c>
      <c r="Q47" s="173">
        <v>2.0</v>
      </c>
      <c r="R47" s="477"/>
      <c r="S47" s="271" t="s">
        <v>1844</v>
      </c>
      <c r="T47" s="141"/>
    </row>
    <row r="48">
      <c r="A48" s="173">
        <v>44.0</v>
      </c>
      <c r="B48" s="173" t="s">
        <v>670</v>
      </c>
      <c r="C48" s="142" t="s">
        <v>1078</v>
      </c>
      <c r="D48" s="173" t="s">
        <v>10766</v>
      </c>
      <c r="E48" s="173" t="s">
        <v>10766</v>
      </c>
      <c r="F48" s="476" t="s">
        <v>1026</v>
      </c>
      <c r="G48" s="142">
        <v>434.0</v>
      </c>
      <c r="H48" s="142" t="s">
        <v>1078</v>
      </c>
      <c r="I48" s="173" t="s">
        <v>679</v>
      </c>
      <c r="J48" s="173" t="s">
        <v>225</v>
      </c>
      <c r="K48" s="173" t="s">
        <v>1078</v>
      </c>
      <c r="L48" s="173" t="s">
        <v>10855</v>
      </c>
      <c r="M48" s="173" t="str">
        <f>IFS(L48="","",L48="n/a","N/A",LEN(L48),LOWER(Concatenate("{",char(34),"asset",char(34),":{",char(34),"guid",char(34),":",char(34),L48,char(34),",",char(34),"site",char(34),":",char(34),'2-Building'!$B$4,char(34),",",char(34),"name",char(34),":",char(34),K48,char(34),"}}")))</f>
        <v>{"asset":{"guid":"uuid://da1e4003-00a7-4f8c-8d5d-1488db2f6c6d","site":"in-blr-ananta","name":"hvaccp-244"}}</v>
      </c>
      <c r="N48" s="142" t="s">
        <v>10833</v>
      </c>
      <c r="O48" s="142" t="s">
        <v>10811</v>
      </c>
      <c r="P48" s="142" t="s">
        <v>2863</v>
      </c>
      <c r="Q48" s="173">
        <v>2.0</v>
      </c>
      <c r="R48" s="477"/>
      <c r="S48" s="271" t="s">
        <v>1844</v>
      </c>
      <c r="T48" s="141"/>
    </row>
    <row r="49">
      <c r="A49" s="173">
        <v>45.0</v>
      </c>
      <c r="B49" s="173" t="s">
        <v>670</v>
      </c>
      <c r="C49" s="142" t="s">
        <v>1089</v>
      </c>
      <c r="D49" s="173" t="s">
        <v>10766</v>
      </c>
      <c r="E49" s="173" t="s">
        <v>10766</v>
      </c>
      <c r="F49" s="476" t="s">
        <v>1088</v>
      </c>
      <c r="G49" s="142">
        <v>563.0</v>
      </c>
      <c r="H49" s="142" t="s">
        <v>1089</v>
      </c>
      <c r="I49" s="173" t="s">
        <v>679</v>
      </c>
      <c r="J49" s="173" t="s">
        <v>225</v>
      </c>
      <c r="K49" s="173" t="s">
        <v>1089</v>
      </c>
      <c r="L49" s="173" t="s">
        <v>10856</v>
      </c>
      <c r="M49" s="173" t="str">
        <f>IFS(L49="","",L49="n/a","N/A",LEN(L49),LOWER(Concatenate("{",char(34),"asset",char(34),":{",char(34),"guid",char(34),":",char(34),L49,char(34),",",char(34),"site",char(34),":",char(34),'2-Building'!$B$4,char(34),",",char(34),"name",char(34),":",char(34),K49,char(34),"}}")))</f>
        <v>{"asset":{"guid":"uuid://4f1fbd9c-2790-46b6-9816-0372f0cf4172","site":"in-blr-ananta","name":"hvaccp-245"}}</v>
      </c>
      <c r="N49" s="142" t="s">
        <v>10833</v>
      </c>
      <c r="O49" s="142" t="s">
        <v>10811</v>
      </c>
      <c r="P49" s="142" t="s">
        <v>2863</v>
      </c>
      <c r="Q49" s="173">
        <v>2.0</v>
      </c>
      <c r="R49" s="477"/>
      <c r="S49" s="271" t="s">
        <v>1844</v>
      </c>
      <c r="T49" s="141"/>
    </row>
    <row r="50">
      <c r="A50" s="173">
        <v>46.0</v>
      </c>
      <c r="B50" s="173" t="s">
        <v>670</v>
      </c>
      <c r="C50" s="142" t="s">
        <v>1099</v>
      </c>
      <c r="D50" s="173" t="s">
        <v>10766</v>
      </c>
      <c r="E50" s="173" t="s">
        <v>10766</v>
      </c>
      <c r="F50" s="476" t="s">
        <v>1088</v>
      </c>
      <c r="G50" s="142">
        <v>575.0</v>
      </c>
      <c r="H50" s="142" t="s">
        <v>1099</v>
      </c>
      <c r="I50" s="173" t="s">
        <v>679</v>
      </c>
      <c r="J50" s="173" t="s">
        <v>225</v>
      </c>
      <c r="K50" s="173" t="s">
        <v>1099</v>
      </c>
      <c r="L50" s="173" t="s">
        <v>10857</v>
      </c>
      <c r="M50" s="173" t="str">
        <f>IFS(L50="","",L50="n/a","N/A",LEN(L50),LOWER(Concatenate("{",char(34),"asset",char(34),":{",char(34),"guid",char(34),":",char(34),L50,char(34),",",char(34),"site",char(34),":",char(34),'2-Building'!$B$4,char(34),",",char(34),"name",char(34),":",char(34),K50,char(34),"}}")))</f>
        <v>{"asset":{"guid":"uuid://9b6d75d1-6165-440b-845b-5809aa54502e","site":"in-blr-ananta","name":"hvaccp-246"}}</v>
      </c>
      <c r="N50" s="142" t="s">
        <v>10833</v>
      </c>
      <c r="O50" s="142" t="s">
        <v>10811</v>
      </c>
      <c r="P50" s="142" t="s">
        <v>2863</v>
      </c>
      <c r="Q50" s="173">
        <v>2.0</v>
      </c>
      <c r="R50" s="477"/>
      <c r="S50" s="271" t="s">
        <v>1844</v>
      </c>
      <c r="T50" s="141"/>
    </row>
    <row r="51">
      <c r="A51" s="173">
        <v>47.0</v>
      </c>
      <c r="B51" s="173" t="s">
        <v>670</v>
      </c>
      <c r="C51" s="142" t="s">
        <v>1109</v>
      </c>
      <c r="D51" s="173" t="s">
        <v>10766</v>
      </c>
      <c r="E51" s="173" t="s">
        <v>10766</v>
      </c>
      <c r="F51" s="476" t="s">
        <v>1088</v>
      </c>
      <c r="G51" s="142">
        <v>519.0</v>
      </c>
      <c r="H51" s="142" t="s">
        <v>1109</v>
      </c>
      <c r="I51" s="173" t="s">
        <v>679</v>
      </c>
      <c r="J51" s="173" t="s">
        <v>225</v>
      </c>
      <c r="K51" s="173" t="s">
        <v>1109</v>
      </c>
      <c r="L51" s="173" t="s">
        <v>10858</v>
      </c>
      <c r="M51" s="173" t="str">
        <f>IFS(L51="","",L51="n/a","N/A",LEN(L51),LOWER(Concatenate("{",char(34),"asset",char(34),":{",char(34),"guid",char(34),":",char(34),L51,char(34),",",char(34),"site",char(34),":",char(34),'2-Building'!$B$4,char(34),",",char(34),"name",char(34),":",char(34),K51,char(34),"}}")))</f>
        <v>{"asset":{"guid":"uuid://95438b04-4aba-4871-8a7a-70be6b6ba6a2","site":"in-blr-ananta","name":"hvaccp-247"}}</v>
      </c>
      <c r="N51" s="142" t="s">
        <v>10826</v>
      </c>
      <c r="O51" s="142" t="s">
        <v>10827</v>
      </c>
      <c r="P51" s="142" t="s">
        <v>2863</v>
      </c>
      <c r="Q51" s="173">
        <v>2.0</v>
      </c>
      <c r="R51" s="477"/>
      <c r="S51" s="271" t="s">
        <v>1844</v>
      </c>
      <c r="T51" s="141"/>
    </row>
    <row r="52">
      <c r="A52" s="173">
        <v>48.0</v>
      </c>
      <c r="B52" s="173" t="s">
        <v>670</v>
      </c>
      <c r="C52" s="142" t="s">
        <v>1119</v>
      </c>
      <c r="D52" s="173" t="s">
        <v>10766</v>
      </c>
      <c r="E52" s="173" t="s">
        <v>10766</v>
      </c>
      <c r="F52" s="476" t="s">
        <v>1088</v>
      </c>
      <c r="G52" s="142">
        <v>548.0</v>
      </c>
      <c r="H52" s="142" t="s">
        <v>1119</v>
      </c>
      <c r="I52" s="173" t="s">
        <v>679</v>
      </c>
      <c r="J52" s="173" t="s">
        <v>225</v>
      </c>
      <c r="K52" s="173" t="s">
        <v>1119</v>
      </c>
      <c r="L52" s="173" t="s">
        <v>10859</v>
      </c>
      <c r="M52" s="173" t="str">
        <f>IFS(L52="","",L52="n/a","N/A",LEN(L52),LOWER(Concatenate("{",char(34),"asset",char(34),":{",char(34),"guid",char(34),":",char(34),L52,char(34),",",char(34),"site",char(34),":",char(34),'2-Building'!$B$4,char(34),",",char(34),"name",char(34),":",char(34),K52,char(34),"}}")))</f>
        <v>{"asset":{"guid":"uuid://a739f97c-9bc0-40fa-a298-a76b9d8a7e47","site":"in-blr-ananta","name":"hvaccp-248"}}</v>
      </c>
      <c r="N52" s="142" t="s">
        <v>10826</v>
      </c>
      <c r="O52" s="142" t="s">
        <v>10827</v>
      </c>
      <c r="P52" s="142" t="s">
        <v>2863</v>
      </c>
      <c r="Q52" s="173">
        <v>2.0</v>
      </c>
      <c r="R52" s="477"/>
      <c r="S52" s="271" t="s">
        <v>1844</v>
      </c>
      <c r="T52" s="141"/>
    </row>
    <row r="53">
      <c r="A53" s="173">
        <v>49.0</v>
      </c>
      <c r="B53" s="173" t="s">
        <v>670</v>
      </c>
      <c r="C53" s="142" t="s">
        <v>1129</v>
      </c>
      <c r="D53" s="173" t="s">
        <v>10766</v>
      </c>
      <c r="E53" s="173" t="s">
        <v>10766</v>
      </c>
      <c r="F53" s="476" t="s">
        <v>1088</v>
      </c>
      <c r="G53" s="142">
        <v>533.0</v>
      </c>
      <c r="H53" s="142" t="s">
        <v>1129</v>
      </c>
      <c r="I53" s="173" t="s">
        <v>679</v>
      </c>
      <c r="J53" s="173" t="s">
        <v>225</v>
      </c>
      <c r="K53" s="173" t="s">
        <v>1129</v>
      </c>
      <c r="L53" s="173" t="s">
        <v>10860</v>
      </c>
      <c r="M53" s="173" t="str">
        <f>IFS(L53="","",L53="n/a","N/A",LEN(L53),LOWER(Concatenate("{",char(34),"asset",char(34),":{",char(34),"guid",char(34),":",char(34),L53,char(34),",",char(34),"site",char(34),":",char(34),'2-Building'!$B$4,char(34),",",char(34),"name",char(34),":",char(34),K53,char(34),"}}")))</f>
        <v>{"asset":{"guid":"uuid://ac074926-1cab-4122-9df5-a4fdb7772f64","site":"in-blr-ananta","name":"hvaccp-249"}}</v>
      </c>
      <c r="N53" s="142" t="s">
        <v>10813</v>
      </c>
      <c r="O53" s="142" t="s">
        <v>10814</v>
      </c>
      <c r="P53" s="142" t="s">
        <v>2863</v>
      </c>
      <c r="Q53" s="173">
        <v>3.0</v>
      </c>
      <c r="R53" s="477"/>
      <c r="S53" s="271" t="s">
        <v>1844</v>
      </c>
      <c r="T53" s="141"/>
    </row>
    <row r="54">
      <c r="A54" s="173">
        <v>50.0</v>
      </c>
      <c r="B54" s="173" t="s">
        <v>670</v>
      </c>
      <c r="C54" s="142" t="s">
        <v>1139</v>
      </c>
      <c r="D54" s="173" t="s">
        <v>10766</v>
      </c>
      <c r="E54" s="173" t="s">
        <v>10766</v>
      </c>
      <c r="F54" s="476" t="s">
        <v>1088</v>
      </c>
      <c r="G54" s="142">
        <v>534.0</v>
      </c>
      <c r="H54" s="142" t="s">
        <v>1139</v>
      </c>
      <c r="I54" s="173" t="s">
        <v>679</v>
      </c>
      <c r="J54" s="173" t="s">
        <v>225</v>
      </c>
      <c r="K54" s="173" t="s">
        <v>1139</v>
      </c>
      <c r="L54" s="173" t="s">
        <v>10861</v>
      </c>
      <c r="M54" s="173" t="str">
        <f>IFS(L54="","",L54="n/a","N/A",LEN(L54),LOWER(Concatenate("{",char(34),"asset",char(34),":{",char(34),"guid",char(34),":",char(34),L54,char(34),",",char(34),"site",char(34),":",char(34),'2-Building'!$B$4,char(34),",",char(34),"name",char(34),":",char(34),K54,char(34),"}}")))</f>
        <v>{"asset":{"guid":"uuid://26a64616-7e8b-4682-b12c-c9f8a06d1f6e","site":"in-blr-ananta","name":"hvaccp-250"}}</v>
      </c>
      <c r="N54" s="142" t="s">
        <v>10813</v>
      </c>
      <c r="O54" s="142" t="s">
        <v>10814</v>
      </c>
      <c r="P54" s="142" t="s">
        <v>2863</v>
      </c>
      <c r="Q54" s="173">
        <v>3.0</v>
      </c>
      <c r="R54" s="477"/>
      <c r="S54" s="271" t="s">
        <v>1844</v>
      </c>
      <c r="T54" s="141"/>
    </row>
    <row r="55">
      <c r="A55" s="173">
        <v>51.0</v>
      </c>
      <c r="B55" s="173" t="s">
        <v>670</v>
      </c>
      <c r="C55" s="142" t="s">
        <v>1151</v>
      </c>
      <c r="D55" s="173" t="s">
        <v>10766</v>
      </c>
      <c r="E55" s="173" t="s">
        <v>10766</v>
      </c>
      <c r="F55" s="476" t="s">
        <v>1149</v>
      </c>
      <c r="G55" s="142">
        <v>663.0</v>
      </c>
      <c r="H55" s="142" t="s">
        <v>1151</v>
      </c>
      <c r="I55" s="173" t="s">
        <v>679</v>
      </c>
      <c r="J55" s="173" t="s">
        <v>225</v>
      </c>
      <c r="K55" s="173" t="s">
        <v>1151</v>
      </c>
      <c r="L55" s="173" t="s">
        <v>10862</v>
      </c>
      <c r="M55" s="173" t="str">
        <f>IFS(L55="","",L55="n/a","N/A",LEN(L55),LOWER(Concatenate("{",char(34),"asset",char(34),":{",char(34),"guid",char(34),":",char(34),L55,char(34),",",char(34),"site",char(34),":",char(34),'2-Building'!$B$4,char(34),",",char(34),"name",char(34),":",char(34),K55,char(34),"}}")))</f>
        <v>{"asset":{"guid":"uuid://1c55640a-2517-4bfe-af5f-394207c29438","site":"in-blr-ananta","name":"hvaccp-251"}}</v>
      </c>
      <c r="N55" s="142" t="s">
        <v>10863</v>
      </c>
      <c r="O55" s="142" t="s">
        <v>10811</v>
      </c>
      <c r="P55" s="142" t="s">
        <v>2863</v>
      </c>
      <c r="Q55" s="173">
        <v>3.0</v>
      </c>
      <c r="R55" s="477"/>
      <c r="S55" s="271" t="s">
        <v>1844</v>
      </c>
      <c r="T55" s="141"/>
    </row>
    <row r="56">
      <c r="A56" s="173">
        <v>52.0</v>
      </c>
      <c r="B56" s="173" t="s">
        <v>670</v>
      </c>
      <c r="C56" s="142" t="s">
        <v>1161</v>
      </c>
      <c r="D56" s="173" t="s">
        <v>10766</v>
      </c>
      <c r="E56" s="173" t="s">
        <v>10766</v>
      </c>
      <c r="F56" s="476" t="s">
        <v>1149</v>
      </c>
      <c r="G56" s="142">
        <v>675.0</v>
      </c>
      <c r="H56" s="142" t="s">
        <v>1161</v>
      </c>
      <c r="I56" s="173" t="s">
        <v>679</v>
      </c>
      <c r="J56" s="173" t="s">
        <v>225</v>
      </c>
      <c r="K56" s="173" t="s">
        <v>1161</v>
      </c>
      <c r="L56" s="173" t="s">
        <v>10864</v>
      </c>
      <c r="M56" s="173" t="str">
        <f>IFS(L56="","",L56="n/a","N/A",LEN(L56),LOWER(Concatenate("{",char(34),"asset",char(34),":{",char(34),"guid",char(34),":",char(34),L56,char(34),",",char(34),"site",char(34),":",char(34),'2-Building'!$B$4,char(34),",",char(34),"name",char(34),":",char(34),K56,char(34),"}}")))</f>
        <v>{"asset":{"guid":"uuid://f0e26e24-e421-4b35-9ccd-a5528bb01693","site":"in-blr-ananta","name":"hvaccp-252"}}</v>
      </c>
      <c r="N56" s="142" t="s">
        <v>10821</v>
      </c>
      <c r="O56" s="142" t="s">
        <v>10805</v>
      </c>
      <c r="P56" s="142" t="s">
        <v>2863</v>
      </c>
      <c r="Q56" s="173">
        <v>3.0</v>
      </c>
      <c r="R56" s="477"/>
      <c r="S56" s="271" t="s">
        <v>1844</v>
      </c>
      <c r="T56" s="141"/>
    </row>
    <row r="57">
      <c r="A57" s="173">
        <v>53.0</v>
      </c>
      <c r="B57" s="173" t="s">
        <v>670</v>
      </c>
      <c r="C57" s="142" t="s">
        <v>1171</v>
      </c>
      <c r="D57" s="173" t="s">
        <v>10766</v>
      </c>
      <c r="E57" s="173" t="s">
        <v>10766</v>
      </c>
      <c r="F57" s="476" t="s">
        <v>1149</v>
      </c>
      <c r="G57" s="142">
        <v>619.0</v>
      </c>
      <c r="H57" s="142" t="s">
        <v>1171</v>
      </c>
      <c r="I57" s="173" t="s">
        <v>679</v>
      </c>
      <c r="J57" s="173" t="s">
        <v>225</v>
      </c>
      <c r="K57" s="173" t="s">
        <v>1171</v>
      </c>
      <c r="L57" s="173" t="s">
        <v>10865</v>
      </c>
      <c r="M57" s="173" t="str">
        <f>IFS(L57="","",L57="n/a","N/A",LEN(L57),LOWER(Concatenate("{",char(34),"asset",char(34),":{",char(34),"guid",char(34),":",char(34),L57,char(34),",",char(34),"site",char(34),":",char(34),'2-Building'!$B$4,char(34),",",char(34),"name",char(34),":",char(34),K57,char(34),"}}")))</f>
        <v>{"asset":{"guid":"uuid://671e8d9e-c19c-4779-b76a-cb7aec6de5c5","site":"in-blr-ananta","name":"hvaccp-253"}}</v>
      </c>
      <c r="N57" s="142" t="s">
        <v>10826</v>
      </c>
      <c r="O57" s="142" t="s">
        <v>10827</v>
      </c>
      <c r="P57" s="142" t="s">
        <v>2863</v>
      </c>
      <c r="Q57" s="173">
        <v>2.0</v>
      </c>
      <c r="R57" s="477"/>
      <c r="S57" s="271" t="s">
        <v>1844</v>
      </c>
      <c r="T57" s="141"/>
    </row>
    <row r="58">
      <c r="A58" s="173">
        <v>54.0</v>
      </c>
      <c r="B58" s="173" t="s">
        <v>670</v>
      </c>
      <c r="C58" s="142" t="s">
        <v>1181</v>
      </c>
      <c r="D58" s="173" t="s">
        <v>10766</v>
      </c>
      <c r="E58" s="173" t="s">
        <v>10766</v>
      </c>
      <c r="F58" s="476" t="s">
        <v>1149</v>
      </c>
      <c r="G58" s="142">
        <v>648.0</v>
      </c>
      <c r="H58" s="142" t="s">
        <v>1181</v>
      </c>
      <c r="I58" s="173" t="s">
        <v>679</v>
      </c>
      <c r="J58" s="173" t="s">
        <v>225</v>
      </c>
      <c r="K58" s="173" t="s">
        <v>1181</v>
      </c>
      <c r="L58" s="173" t="s">
        <v>10866</v>
      </c>
      <c r="M58" s="173" t="str">
        <f>IFS(L58="","",L58="n/a","N/A",LEN(L58),LOWER(Concatenate("{",char(34),"asset",char(34),":{",char(34),"guid",char(34),":",char(34),L58,char(34),",",char(34),"site",char(34),":",char(34),'2-Building'!$B$4,char(34),",",char(34),"name",char(34),":",char(34),K58,char(34),"}}")))</f>
        <v>{"asset":{"guid":"uuid://68112ab0-72be-46e7-8554-3ae30dce5144","site":"in-blr-ananta","name":"hvaccp-254"}}</v>
      </c>
      <c r="N58" s="142" t="s">
        <v>10826</v>
      </c>
      <c r="O58" s="142" t="s">
        <v>10827</v>
      </c>
      <c r="P58" s="142" t="s">
        <v>2863</v>
      </c>
      <c r="Q58" s="173">
        <v>2.0</v>
      </c>
      <c r="R58" s="477"/>
      <c r="S58" s="271" t="s">
        <v>1844</v>
      </c>
      <c r="T58" s="141"/>
    </row>
    <row r="59">
      <c r="A59" s="173">
        <v>55.0</v>
      </c>
      <c r="B59" s="173" t="s">
        <v>670</v>
      </c>
      <c r="C59" s="142" t="s">
        <v>1191</v>
      </c>
      <c r="D59" s="173" t="s">
        <v>10766</v>
      </c>
      <c r="E59" s="173" t="s">
        <v>10766</v>
      </c>
      <c r="F59" s="476" t="s">
        <v>1149</v>
      </c>
      <c r="G59" s="142">
        <v>633.0</v>
      </c>
      <c r="H59" s="142" t="s">
        <v>1191</v>
      </c>
      <c r="I59" s="173" t="s">
        <v>679</v>
      </c>
      <c r="J59" s="173" t="s">
        <v>225</v>
      </c>
      <c r="K59" s="173" t="s">
        <v>1191</v>
      </c>
      <c r="L59" s="173" t="s">
        <v>10867</v>
      </c>
      <c r="M59" s="173" t="str">
        <f>IFS(L59="","",L59="n/a","N/A",LEN(L59),LOWER(Concatenate("{",char(34),"asset",char(34),":{",char(34),"guid",char(34),":",char(34),L59,char(34),",",char(34),"site",char(34),":",char(34),'2-Building'!$B$4,char(34),",",char(34),"name",char(34),":",char(34),K59,char(34),"}}")))</f>
        <v>{"asset":{"guid":"uuid://5e2b7222-46b5-42d9-a030-a1d82fe93cc7","site":"in-blr-ananta","name":"hvaccp-255"}}</v>
      </c>
      <c r="N59" s="142" t="s">
        <v>10833</v>
      </c>
      <c r="O59" s="142" t="s">
        <v>10811</v>
      </c>
      <c r="P59" s="142" t="s">
        <v>2863</v>
      </c>
      <c r="Q59" s="173">
        <v>2.0</v>
      </c>
      <c r="R59" s="477"/>
      <c r="S59" s="271" t="s">
        <v>1844</v>
      </c>
      <c r="T59" s="141"/>
    </row>
    <row r="60">
      <c r="A60" s="173">
        <v>56.0</v>
      </c>
      <c r="B60" s="173" t="s">
        <v>670</v>
      </c>
      <c r="C60" s="142" t="s">
        <v>1201</v>
      </c>
      <c r="D60" s="173" t="s">
        <v>10766</v>
      </c>
      <c r="E60" s="173" t="s">
        <v>10766</v>
      </c>
      <c r="F60" s="476" t="s">
        <v>1149</v>
      </c>
      <c r="G60" s="142">
        <v>634.0</v>
      </c>
      <c r="H60" s="142" t="s">
        <v>1201</v>
      </c>
      <c r="I60" s="173" t="s">
        <v>679</v>
      </c>
      <c r="J60" s="173" t="s">
        <v>225</v>
      </c>
      <c r="K60" s="173" t="s">
        <v>1201</v>
      </c>
      <c r="L60" s="173" t="s">
        <v>10868</v>
      </c>
      <c r="M60" s="173" t="str">
        <f>IFS(L60="","",L60="n/a","N/A",LEN(L60),LOWER(Concatenate("{",char(34),"asset",char(34),":{",char(34),"guid",char(34),":",char(34),L60,char(34),",",char(34),"site",char(34),":",char(34),'2-Building'!$B$4,char(34),",",char(34),"name",char(34),":",char(34),K60,char(34),"}}")))</f>
        <v>{"asset":{"guid":"uuid://9235d6c3-947e-4278-8e01-c8ee7613ae17","site":"in-blr-ananta","name":"hvaccp-256"}}</v>
      </c>
      <c r="N60" s="142" t="s">
        <v>10833</v>
      </c>
      <c r="O60" s="142" t="s">
        <v>10811</v>
      </c>
      <c r="P60" s="142" t="s">
        <v>2863</v>
      </c>
      <c r="Q60" s="173">
        <v>2.0</v>
      </c>
      <c r="R60" s="477"/>
      <c r="S60" s="271" t="s">
        <v>1844</v>
      </c>
      <c r="T60" s="141"/>
    </row>
    <row r="61">
      <c r="A61" s="173">
        <v>57.0</v>
      </c>
      <c r="B61" s="173" t="s">
        <v>670</v>
      </c>
      <c r="C61" s="142" t="s">
        <v>1212</v>
      </c>
      <c r="D61" s="173" t="s">
        <v>10766</v>
      </c>
      <c r="E61" s="173" t="s">
        <v>10766</v>
      </c>
      <c r="F61" s="476" t="s">
        <v>1211</v>
      </c>
      <c r="G61" s="142">
        <v>763.0</v>
      </c>
      <c r="H61" s="142" t="s">
        <v>1212</v>
      </c>
      <c r="I61" s="173" t="s">
        <v>679</v>
      </c>
      <c r="J61" s="173" t="s">
        <v>225</v>
      </c>
      <c r="K61" s="173" t="s">
        <v>1212</v>
      </c>
      <c r="L61" s="173" t="s">
        <v>10869</v>
      </c>
      <c r="M61" s="173" t="str">
        <f>IFS(L61="","",L61="n/a","N/A",LEN(L61),LOWER(Concatenate("{",char(34),"asset",char(34),":{",char(34),"guid",char(34),":",char(34),L61,char(34),",",char(34),"site",char(34),":",char(34),'2-Building'!$B$4,char(34),",",char(34),"name",char(34),":",char(34),K61,char(34),"}}")))</f>
        <v>{"asset":{"guid":"uuid://8adff7b1-f953-4cdd-9d54-d69668233261","site":"in-blr-ananta","name":"hvaccp-257"}}</v>
      </c>
      <c r="N61" s="142" t="s">
        <v>10833</v>
      </c>
      <c r="O61" s="142" t="s">
        <v>10811</v>
      </c>
      <c r="P61" s="142" t="s">
        <v>2863</v>
      </c>
      <c r="Q61" s="173">
        <v>2.0</v>
      </c>
      <c r="R61" s="477"/>
      <c r="S61" s="271" t="s">
        <v>1844</v>
      </c>
      <c r="T61" s="141"/>
    </row>
    <row r="62">
      <c r="A62" s="173">
        <v>58.0</v>
      </c>
      <c r="B62" s="173" t="s">
        <v>670</v>
      </c>
      <c r="C62" s="142" t="s">
        <v>1222</v>
      </c>
      <c r="D62" s="173" t="s">
        <v>10766</v>
      </c>
      <c r="E62" s="173" t="s">
        <v>10766</v>
      </c>
      <c r="F62" s="476" t="s">
        <v>1211</v>
      </c>
      <c r="G62" s="142">
        <v>775.0</v>
      </c>
      <c r="H62" s="142" t="s">
        <v>1222</v>
      </c>
      <c r="I62" s="173" t="s">
        <v>679</v>
      </c>
      <c r="J62" s="173" t="s">
        <v>225</v>
      </c>
      <c r="K62" s="173" t="s">
        <v>1222</v>
      </c>
      <c r="L62" s="173" t="s">
        <v>10870</v>
      </c>
      <c r="M62" s="173" t="str">
        <f>IFS(L62="","",L62="n/a","N/A",LEN(L62),LOWER(Concatenate("{",char(34),"asset",char(34),":{",char(34),"guid",char(34),":",char(34),L62,char(34),",",char(34),"site",char(34),":",char(34),'2-Building'!$B$4,char(34),",",char(34),"name",char(34),":",char(34),K62,char(34),"}}")))</f>
        <v>{"asset":{"guid":"uuid://d98f1e49-df85-4a70-b463-49e99c6954db","site":"in-blr-ananta","name":"hvaccp-258"}}</v>
      </c>
      <c r="N62" s="142" t="s">
        <v>10833</v>
      </c>
      <c r="O62" s="142" t="s">
        <v>10811</v>
      </c>
      <c r="P62" s="142" t="s">
        <v>2863</v>
      </c>
      <c r="Q62" s="173">
        <v>2.0</v>
      </c>
      <c r="R62" s="477"/>
      <c r="S62" s="271" t="s">
        <v>1844</v>
      </c>
      <c r="T62" s="141"/>
    </row>
    <row r="63">
      <c r="A63" s="173">
        <v>59.0</v>
      </c>
      <c r="B63" s="173" t="s">
        <v>670</v>
      </c>
      <c r="C63" s="142" t="s">
        <v>1232</v>
      </c>
      <c r="D63" s="173" t="s">
        <v>10766</v>
      </c>
      <c r="E63" s="173" t="s">
        <v>10766</v>
      </c>
      <c r="F63" s="476" t="s">
        <v>1211</v>
      </c>
      <c r="G63" s="142">
        <v>719.0</v>
      </c>
      <c r="H63" s="142" t="s">
        <v>1232</v>
      </c>
      <c r="I63" s="173" t="s">
        <v>679</v>
      </c>
      <c r="J63" s="173" t="s">
        <v>225</v>
      </c>
      <c r="K63" s="173" t="s">
        <v>1232</v>
      </c>
      <c r="L63" s="173" t="s">
        <v>10871</v>
      </c>
      <c r="M63" s="173" t="str">
        <f>IFS(L63="","",L63="n/a","N/A",LEN(L63),LOWER(Concatenate("{",char(34),"asset",char(34),":{",char(34),"guid",char(34),":",char(34),L63,char(34),",",char(34),"site",char(34),":",char(34),'2-Building'!$B$4,char(34),",",char(34),"name",char(34),":",char(34),K63,char(34),"}}")))</f>
        <v>{"asset":{"guid":"uuid://5181c8b6-d8c0-45c0-82b8-1a5e3d0dd875","site":"in-blr-ananta","name":"hvaccp-259"}}</v>
      </c>
      <c r="N63" s="142" t="s">
        <v>10826</v>
      </c>
      <c r="O63" s="142" t="s">
        <v>10827</v>
      </c>
      <c r="P63" s="142" t="s">
        <v>2863</v>
      </c>
      <c r="Q63" s="173">
        <v>2.0</v>
      </c>
      <c r="R63" s="477"/>
      <c r="S63" s="271" t="s">
        <v>1844</v>
      </c>
      <c r="T63" s="141"/>
    </row>
    <row r="64">
      <c r="A64" s="173">
        <v>60.0</v>
      </c>
      <c r="B64" s="173" t="s">
        <v>670</v>
      </c>
      <c r="C64" s="142" t="s">
        <v>1242</v>
      </c>
      <c r="D64" s="173" t="s">
        <v>10766</v>
      </c>
      <c r="E64" s="173" t="s">
        <v>10766</v>
      </c>
      <c r="F64" s="476" t="s">
        <v>1211</v>
      </c>
      <c r="G64" s="142">
        <v>748.0</v>
      </c>
      <c r="H64" s="142" t="s">
        <v>1242</v>
      </c>
      <c r="I64" s="173" t="s">
        <v>679</v>
      </c>
      <c r="J64" s="173" t="s">
        <v>225</v>
      </c>
      <c r="K64" s="173" t="s">
        <v>1242</v>
      </c>
      <c r="L64" s="173" t="s">
        <v>10872</v>
      </c>
      <c r="M64" s="173" t="str">
        <f>IFS(L64="","",L64="n/a","N/A",LEN(L64),LOWER(Concatenate("{",char(34),"asset",char(34),":{",char(34),"guid",char(34),":",char(34),L64,char(34),",",char(34),"site",char(34),":",char(34),'2-Building'!$B$4,char(34),",",char(34),"name",char(34),":",char(34),K64,char(34),"}}")))</f>
        <v>{"asset":{"guid":"uuid://b9c9d2d9-98b0-4835-a75c-a75d787726fc","site":"in-blr-ananta","name":"hvaccp-260"}}</v>
      </c>
      <c r="N64" s="142" t="s">
        <v>10813</v>
      </c>
      <c r="O64" s="142" t="s">
        <v>10814</v>
      </c>
      <c r="P64" s="142" t="s">
        <v>2863</v>
      </c>
      <c r="Q64" s="173">
        <v>3.0</v>
      </c>
      <c r="R64" s="477"/>
      <c r="S64" s="271" t="s">
        <v>1844</v>
      </c>
      <c r="T64" s="141"/>
    </row>
    <row r="65">
      <c r="A65" s="173">
        <v>61.0</v>
      </c>
      <c r="B65" s="173" t="s">
        <v>670</v>
      </c>
      <c r="C65" s="142" t="s">
        <v>1252</v>
      </c>
      <c r="D65" s="173" t="s">
        <v>10766</v>
      </c>
      <c r="E65" s="173" t="s">
        <v>10766</v>
      </c>
      <c r="F65" s="476" t="s">
        <v>1211</v>
      </c>
      <c r="G65" s="142">
        <v>733.0</v>
      </c>
      <c r="H65" s="142" t="s">
        <v>1252</v>
      </c>
      <c r="I65" s="173" t="s">
        <v>679</v>
      </c>
      <c r="J65" s="173" t="s">
        <v>225</v>
      </c>
      <c r="K65" s="173" t="s">
        <v>1252</v>
      </c>
      <c r="L65" s="173" t="s">
        <v>10873</v>
      </c>
      <c r="M65" s="173" t="str">
        <f>IFS(L65="","",L65="n/a","N/A",LEN(L65),LOWER(Concatenate("{",char(34),"asset",char(34),":{",char(34),"guid",char(34),":",char(34),L65,char(34),",",char(34),"site",char(34),":",char(34),'2-Building'!$B$4,char(34),",",char(34),"name",char(34),":",char(34),K65,char(34),"}}")))</f>
        <v>{"asset":{"guid":"uuid://a2fe2098-df75-4898-abef-1e60091995c5","site":"in-blr-ananta","name":"hvaccp-261"}}</v>
      </c>
      <c r="N65" s="142" t="s">
        <v>10833</v>
      </c>
      <c r="O65" s="142" t="s">
        <v>10811</v>
      </c>
      <c r="P65" s="142" t="s">
        <v>2863</v>
      </c>
      <c r="Q65" s="173">
        <v>2.0</v>
      </c>
      <c r="R65" s="477"/>
      <c r="S65" s="271" t="s">
        <v>1844</v>
      </c>
      <c r="T65" s="141"/>
    </row>
    <row r="66">
      <c r="A66" s="173">
        <v>62.0</v>
      </c>
      <c r="B66" s="173" t="s">
        <v>670</v>
      </c>
      <c r="C66" s="142" t="s">
        <v>1262</v>
      </c>
      <c r="D66" s="173" t="s">
        <v>10766</v>
      </c>
      <c r="E66" s="173" t="s">
        <v>10766</v>
      </c>
      <c r="F66" s="476" t="s">
        <v>1211</v>
      </c>
      <c r="G66" s="142">
        <v>734.0</v>
      </c>
      <c r="H66" s="142" t="s">
        <v>1262</v>
      </c>
      <c r="I66" s="173" t="s">
        <v>679</v>
      </c>
      <c r="J66" s="173" t="s">
        <v>225</v>
      </c>
      <c r="K66" s="173" t="s">
        <v>1262</v>
      </c>
      <c r="L66" s="173" t="s">
        <v>10874</v>
      </c>
      <c r="M66" s="173" t="str">
        <f>IFS(L66="","",L66="n/a","N/A",LEN(L66),LOWER(Concatenate("{",char(34),"asset",char(34),":{",char(34),"guid",char(34),":",char(34),L66,char(34),",",char(34),"site",char(34),":",char(34),'2-Building'!$B$4,char(34),",",char(34),"name",char(34),":",char(34),K66,char(34),"}}")))</f>
        <v>{"asset":{"guid":"uuid://22563fa5-07dd-40a8-91ee-779f69499c59","site":"in-blr-ananta","name":"hvaccp-262"}}</v>
      </c>
      <c r="N66" s="142" t="s">
        <v>10813</v>
      </c>
      <c r="O66" s="142" t="s">
        <v>10814</v>
      </c>
      <c r="P66" s="142" t="s">
        <v>2863</v>
      </c>
      <c r="Q66" s="173">
        <v>3.0</v>
      </c>
      <c r="R66" s="477"/>
      <c r="S66" s="271" t="s">
        <v>1844</v>
      </c>
      <c r="T66" s="141"/>
    </row>
    <row r="67">
      <c r="A67" s="173">
        <v>63.0</v>
      </c>
      <c r="B67" s="173" t="s">
        <v>670</v>
      </c>
      <c r="C67" s="142" t="s">
        <v>1273</v>
      </c>
      <c r="D67" s="173" t="s">
        <v>10766</v>
      </c>
      <c r="E67" s="173" t="s">
        <v>10766</v>
      </c>
      <c r="F67" s="476" t="s">
        <v>1272</v>
      </c>
      <c r="G67" s="142">
        <v>863.0</v>
      </c>
      <c r="H67" s="142" t="s">
        <v>1273</v>
      </c>
      <c r="I67" s="173" t="s">
        <v>679</v>
      </c>
      <c r="J67" s="173" t="s">
        <v>225</v>
      </c>
      <c r="K67" s="173" t="s">
        <v>1273</v>
      </c>
      <c r="L67" s="173" t="s">
        <v>10875</v>
      </c>
      <c r="M67" s="173" t="str">
        <f>IFS(L67="","",L67="n/a","N/A",LEN(L67),LOWER(Concatenate("{",char(34),"asset",char(34),":{",char(34),"guid",char(34),":",char(34),L67,char(34),",",char(34),"site",char(34),":",char(34),'2-Building'!$B$4,char(34),",",char(34),"name",char(34),":",char(34),K67,char(34),"}}")))</f>
        <v>{"asset":{"guid":"uuid://6caf6a9a-de42-471c-a984-e57fbb49d6de","site":"in-blr-ananta","name":"hvaccp-263"}}</v>
      </c>
      <c r="N67" s="142" t="s">
        <v>10821</v>
      </c>
      <c r="O67" s="142" t="s">
        <v>10805</v>
      </c>
      <c r="P67" s="142" t="s">
        <v>2863</v>
      </c>
      <c r="Q67" s="173">
        <v>3.0</v>
      </c>
      <c r="R67" s="477"/>
      <c r="S67" s="271" t="s">
        <v>1844</v>
      </c>
      <c r="T67" s="141"/>
    </row>
    <row r="68">
      <c r="A68" s="173">
        <v>64.0</v>
      </c>
      <c r="B68" s="173" t="s">
        <v>670</v>
      </c>
      <c r="C68" s="142" t="s">
        <v>1283</v>
      </c>
      <c r="D68" s="173" t="s">
        <v>10766</v>
      </c>
      <c r="E68" s="173" t="s">
        <v>10766</v>
      </c>
      <c r="F68" s="476" t="s">
        <v>1272</v>
      </c>
      <c r="G68" s="142">
        <v>875.0</v>
      </c>
      <c r="H68" s="142" t="s">
        <v>1283</v>
      </c>
      <c r="I68" s="173" t="s">
        <v>679</v>
      </c>
      <c r="J68" s="173" t="s">
        <v>225</v>
      </c>
      <c r="K68" s="173" t="s">
        <v>1283</v>
      </c>
      <c r="L68" s="173" t="s">
        <v>10876</v>
      </c>
      <c r="M68" s="173" t="str">
        <f>IFS(L68="","",L68="n/a","N/A",LEN(L68),LOWER(Concatenate("{",char(34),"asset",char(34),":{",char(34),"guid",char(34),":",char(34),L68,char(34),",",char(34),"site",char(34),":",char(34),'2-Building'!$B$4,char(34),",",char(34),"name",char(34),":",char(34),K68,char(34),"}}")))</f>
        <v>{"asset":{"guid":"uuid://f05eac38-1578-44d1-9c5a-9203990f70e2","site":"in-blr-ananta","name":"hvaccp-264"}}</v>
      </c>
      <c r="N68" s="142" t="s">
        <v>10833</v>
      </c>
      <c r="O68" s="142" t="s">
        <v>10811</v>
      </c>
      <c r="P68" s="142" t="s">
        <v>2863</v>
      </c>
      <c r="Q68" s="173">
        <v>2.0</v>
      </c>
      <c r="R68" s="477"/>
      <c r="S68" s="271" t="s">
        <v>1844</v>
      </c>
      <c r="T68" s="141"/>
    </row>
    <row r="69">
      <c r="A69" s="173">
        <v>65.0</v>
      </c>
      <c r="B69" s="173" t="s">
        <v>670</v>
      </c>
      <c r="C69" s="142" t="s">
        <v>1293</v>
      </c>
      <c r="D69" s="173" t="s">
        <v>10766</v>
      </c>
      <c r="E69" s="173" t="s">
        <v>10766</v>
      </c>
      <c r="F69" s="476" t="s">
        <v>1272</v>
      </c>
      <c r="G69" s="142">
        <v>819.0</v>
      </c>
      <c r="H69" s="142" t="s">
        <v>1293</v>
      </c>
      <c r="I69" s="173" t="s">
        <v>679</v>
      </c>
      <c r="J69" s="173" t="s">
        <v>225</v>
      </c>
      <c r="K69" s="173" t="s">
        <v>1293</v>
      </c>
      <c r="L69" s="173" t="s">
        <v>10877</v>
      </c>
      <c r="M69" s="173" t="str">
        <f>IFS(L69="","",L69="n/a","N/A",LEN(L69),LOWER(Concatenate("{",char(34),"asset",char(34),":{",char(34),"guid",char(34),":",char(34),L69,char(34),",",char(34),"site",char(34),":",char(34),'2-Building'!$B$4,char(34),",",char(34),"name",char(34),":",char(34),K69,char(34),"}}")))</f>
        <v>{"asset":{"guid":"uuid://cd00cee3-e26f-4c6d-bf8d-e8d8f12f8427","site":"in-blr-ananta","name":"hvaccp-265"}}</v>
      </c>
      <c r="N69" s="142" t="s">
        <v>10813</v>
      </c>
      <c r="O69" s="142" t="s">
        <v>10814</v>
      </c>
      <c r="P69" s="142" t="s">
        <v>2863</v>
      </c>
      <c r="Q69" s="173">
        <v>3.0</v>
      </c>
      <c r="R69" s="477"/>
      <c r="S69" s="271" t="s">
        <v>1844</v>
      </c>
      <c r="T69" s="141"/>
    </row>
    <row r="70">
      <c r="A70" s="173">
        <v>66.0</v>
      </c>
      <c r="B70" s="173" t="s">
        <v>670</v>
      </c>
      <c r="C70" s="142" t="s">
        <v>1303</v>
      </c>
      <c r="D70" s="173" t="s">
        <v>10766</v>
      </c>
      <c r="E70" s="173" t="s">
        <v>10766</v>
      </c>
      <c r="F70" s="476" t="s">
        <v>1272</v>
      </c>
      <c r="G70" s="142">
        <v>848.0</v>
      </c>
      <c r="H70" s="142" t="s">
        <v>1303</v>
      </c>
      <c r="I70" s="173" t="s">
        <v>679</v>
      </c>
      <c r="J70" s="173" t="s">
        <v>225</v>
      </c>
      <c r="K70" s="173" t="s">
        <v>1303</v>
      </c>
      <c r="L70" s="173" t="s">
        <v>10878</v>
      </c>
      <c r="M70" s="173" t="str">
        <f>IFS(L70="","",L70="n/a","N/A",LEN(L70),LOWER(Concatenate("{",char(34),"asset",char(34),":{",char(34),"guid",char(34),":",char(34),L70,char(34),",",char(34),"site",char(34),":",char(34),'2-Building'!$B$4,char(34),",",char(34),"name",char(34),":",char(34),K70,char(34),"}}")))</f>
        <v>{"asset":{"guid":"uuid://d456842c-2170-4f63-8310-f9e9a74f2784","site":"in-blr-ananta","name":"hvaccp-266"}}</v>
      </c>
      <c r="N70" s="142" t="s">
        <v>10826</v>
      </c>
      <c r="O70" s="142" t="s">
        <v>10827</v>
      </c>
      <c r="P70" s="142" t="s">
        <v>2863</v>
      </c>
      <c r="Q70" s="173">
        <v>2.0</v>
      </c>
      <c r="R70" s="477"/>
      <c r="S70" s="271" t="s">
        <v>1844</v>
      </c>
      <c r="T70" s="141"/>
    </row>
    <row r="71">
      <c r="A71" s="173">
        <v>67.0</v>
      </c>
      <c r="B71" s="173" t="s">
        <v>670</v>
      </c>
      <c r="C71" s="142" t="s">
        <v>1313</v>
      </c>
      <c r="D71" s="173" t="s">
        <v>10766</v>
      </c>
      <c r="E71" s="173" t="s">
        <v>10766</v>
      </c>
      <c r="F71" s="476" t="s">
        <v>1272</v>
      </c>
      <c r="G71" s="142">
        <v>833.0</v>
      </c>
      <c r="H71" s="142" t="s">
        <v>1313</v>
      </c>
      <c r="I71" s="173" t="s">
        <v>679</v>
      </c>
      <c r="J71" s="173" t="s">
        <v>225</v>
      </c>
      <c r="K71" s="173" t="s">
        <v>1313</v>
      </c>
      <c r="L71" s="173" t="s">
        <v>10879</v>
      </c>
      <c r="M71" s="173" t="str">
        <f>IFS(L71="","",L71="n/a","N/A",LEN(L71),LOWER(Concatenate("{",char(34),"asset",char(34),":{",char(34),"guid",char(34),":",char(34),L71,char(34),",",char(34),"site",char(34),":",char(34),'2-Building'!$B$4,char(34),",",char(34),"name",char(34),":",char(34),K71,char(34),"}}")))</f>
        <v>{"asset":{"guid":"uuid://4854a3f0-4c64-4085-a594-fc640299a268","site":"in-blr-ananta","name":"hvaccp-267"}}</v>
      </c>
      <c r="N71" s="142" t="s">
        <v>10813</v>
      </c>
      <c r="O71" s="142" t="s">
        <v>10814</v>
      </c>
      <c r="P71" s="142" t="s">
        <v>2863</v>
      </c>
      <c r="Q71" s="173">
        <v>3.0</v>
      </c>
      <c r="R71" s="477"/>
      <c r="S71" s="271" t="s">
        <v>1844</v>
      </c>
      <c r="T71" s="141"/>
    </row>
    <row r="72">
      <c r="A72" s="173">
        <v>68.0</v>
      </c>
      <c r="B72" s="173" t="s">
        <v>670</v>
      </c>
      <c r="C72" s="142" t="s">
        <v>1323</v>
      </c>
      <c r="D72" s="173" t="s">
        <v>10766</v>
      </c>
      <c r="E72" s="173" t="s">
        <v>10766</v>
      </c>
      <c r="F72" s="476" t="s">
        <v>1272</v>
      </c>
      <c r="G72" s="142">
        <v>834.0</v>
      </c>
      <c r="H72" s="142" t="s">
        <v>1323</v>
      </c>
      <c r="I72" s="173" t="s">
        <v>679</v>
      </c>
      <c r="J72" s="173" t="s">
        <v>225</v>
      </c>
      <c r="K72" s="173" t="s">
        <v>1323</v>
      </c>
      <c r="L72" s="173" t="s">
        <v>10880</v>
      </c>
      <c r="M72" s="173" t="str">
        <f>IFS(L72="","",L72="n/a","N/A",LEN(L72),LOWER(Concatenate("{",char(34),"asset",char(34),":{",char(34),"guid",char(34),":",char(34),L72,char(34),",",char(34),"site",char(34),":",char(34),'2-Building'!$B$4,char(34),",",char(34),"name",char(34),":",char(34),K72,char(34),"}}")))</f>
        <v>{"asset":{"guid":"uuid://2f6094c4-13ed-4541-a605-38842468889e","site":"in-blr-ananta","name":"hvaccp-268"}}</v>
      </c>
      <c r="N72" s="142" t="s">
        <v>10833</v>
      </c>
      <c r="O72" s="142" t="s">
        <v>10811</v>
      </c>
      <c r="P72" s="142" t="s">
        <v>2863</v>
      </c>
      <c r="Q72" s="173">
        <v>2.0</v>
      </c>
      <c r="R72" s="477"/>
      <c r="S72" s="271" t="s">
        <v>1844</v>
      </c>
      <c r="T72" s="141"/>
    </row>
    <row r="73">
      <c r="A73" s="173">
        <v>69.0</v>
      </c>
      <c r="B73" s="173" t="s">
        <v>670</v>
      </c>
      <c r="C73" s="142" t="s">
        <v>1334</v>
      </c>
      <c r="D73" s="173" t="s">
        <v>10766</v>
      </c>
      <c r="E73" s="173" t="s">
        <v>10766</v>
      </c>
      <c r="F73" s="476" t="s">
        <v>1333</v>
      </c>
      <c r="G73" s="142">
        <v>963.0</v>
      </c>
      <c r="H73" s="142" t="s">
        <v>1334</v>
      </c>
      <c r="I73" s="173" t="s">
        <v>679</v>
      </c>
      <c r="J73" s="173" t="s">
        <v>225</v>
      </c>
      <c r="K73" s="173" t="s">
        <v>1334</v>
      </c>
      <c r="L73" s="173" t="s">
        <v>10881</v>
      </c>
      <c r="M73" s="173" t="str">
        <f>IFS(L73="","",L73="n/a","N/A",LEN(L73),LOWER(Concatenate("{",char(34),"asset",char(34),":{",char(34),"guid",char(34),":",char(34),L73,char(34),",",char(34),"site",char(34),":",char(34),'2-Building'!$B$4,char(34),",",char(34),"name",char(34),":",char(34),K73,char(34),"}}")))</f>
        <v>{"asset":{"guid":"uuid://33f00080-cd5c-4d68-a89c-b5ddee943ede","site":"in-blr-ananta","name":"hvaccp-269"}}</v>
      </c>
      <c r="N73" s="142" t="s">
        <v>10833</v>
      </c>
      <c r="O73" s="142" t="s">
        <v>10811</v>
      </c>
      <c r="P73" s="142" t="s">
        <v>2863</v>
      </c>
      <c r="Q73" s="173">
        <v>2.0</v>
      </c>
      <c r="R73" s="477"/>
      <c r="S73" s="271" t="s">
        <v>1844</v>
      </c>
      <c r="T73" s="141"/>
    </row>
    <row r="74">
      <c r="A74" s="173">
        <v>70.0</v>
      </c>
      <c r="B74" s="173" t="s">
        <v>670</v>
      </c>
      <c r="C74" s="142" t="s">
        <v>1344</v>
      </c>
      <c r="D74" s="173" t="s">
        <v>10766</v>
      </c>
      <c r="E74" s="173" t="s">
        <v>10766</v>
      </c>
      <c r="F74" s="476" t="s">
        <v>1333</v>
      </c>
      <c r="G74" s="142">
        <v>975.0</v>
      </c>
      <c r="H74" s="142" t="s">
        <v>1344</v>
      </c>
      <c r="I74" s="173" t="s">
        <v>679</v>
      </c>
      <c r="J74" s="173" t="s">
        <v>225</v>
      </c>
      <c r="K74" s="173" t="s">
        <v>1344</v>
      </c>
      <c r="L74" s="173" t="s">
        <v>10882</v>
      </c>
      <c r="M74" s="173" t="str">
        <f>IFS(L74="","",L74="n/a","N/A",LEN(L74),LOWER(Concatenate("{",char(34),"asset",char(34),":{",char(34),"guid",char(34),":",char(34),L74,char(34),",",char(34),"site",char(34),":",char(34),'2-Building'!$B$4,char(34),",",char(34),"name",char(34),":",char(34),K74,char(34),"}}")))</f>
        <v>{"asset":{"guid":"uuid://1c9785ca-2cdd-4939-a31c-7ff523935cc1","site":"in-blr-ananta","name":"hvaccp-270"}}</v>
      </c>
      <c r="N74" s="142" t="s">
        <v>10833</v>
      </c>
      <c r="O74" s="142" t="s">
        <v>10811</v>
      </c>
      <c r="P74" s="142" t="s">
        <v>2863</v>
      </c>
      <c r="Q74" s="173">
        <v>2.0</v>
      </c>
      <c r="R74" s="477"/>
      <c r="S74" s="271" t="s">
        <v>1844</v>
      </c>
      <c r="T74" s="141"/>
    </row>
    <row r="75">
      <c r="A75" s="173">
        <v>71.0</v>
      </c>
      <c r="B75" s="173" t="s">
        <v>670</v>
      </c>
      <c r="C75" s="142" t="s">
        <v>1353</v>
      </c>
      <c r="D75" s="173" t="s">
        <v>10766</v>
      </c>
      <c r="E75" s="173" t="s">
        <v>10766</v>
      </c>
      <c r="F75" s="476" t="s">
        <v>1333</v>
      </c>
      <c r="G75" s="142">
        <v>919.0</v>
      </c>
      <c r="H75" s="142" t="s">
        <v>1353</v>
      </c>
      <c r="I75" s="173" t="s">
        <v>679</v>
      </c>
      <c r="J75" s="173" t="s">
        <v>225</v>
      </c>
      <c r="K75" s="173" t="s">
        <v>1353</v>
      </c>
      <c r="L75" s="173" t="s">
        <v>10883</v>
      </c>
      <c r="M75" s="173" t="str">
        <f>IFS(L75="","",L75="n/a","N/A",LEN(L75),LOWER(Concatenate("{",char(34),"asset",char(34),":{",char(34),"guid",char(34),":",char(34),L75,char(34),",",char(34),"site",char(34),":",char(34),'2-Building'!$B$4,char(34),",",char(34),"name",char(34),":",char(34),K75,char(34),"}}")))</f>
        <v>{"asset":{"guid":"uuid://806d4e5e-4871-45c3-9a43-68ca3538b04b","site":"in-blr-ananta","name":"hvaccp-271"}}</v>
      </c>
      <c r="N75" s="142" t="s">
        <v>10813</v>
      </c>
      <c r="O75" s="142" t="s">
        <v>10814</v>
      </c>
      <c r="P75" s="142" t="s">
        <v>2863</v>
      </c>
      <c r="Q75" s="173">
        <v>3.0</v>
      </c>
      <c r="R75" s="477"/>
      <c r="S75" s="271" t="s">
        <v>1844</v>
      </c>
      <c r="T75" s="141"/>
    </row>
    <row r="76">
      <c r="A76" s="173">
        <v>72.0</v>
      </c>
      <c r="B76" s="173" t="s">
        <v>670</v>
      </c>
      <c r="C76" s="142" t="s">
        <v>1363</v>
      </c>
      <c r="D76" s="173" t="s">
        <v>10766</v>
      </c>
      <c r="E76" s="173" t="s">
        <v>10766</v>
      </c>
      <c r="F76" s="476" t="s">
        <v>1333</v>
      </c>
      <c r="G76" s="142">
        <v>948.0</v>
      </c>
      <c r="H76" s="142" t="s">
        <v>1363</v>
      </c>
      <c r="I76" s="173" t="s">
        <v>679</v>
      </c>
      <c r="J76" s="173" t="s">
        <v>225</v>
      </c>
      <c r="K76" s="173" t="s">
        <v>1363</v>
      </c>
      <c r="L76" s="173" t="s">
        <v>10884</v>
      </c>
      <c r="M76" s="173" t="str">
        <f>IFS(L76="","",L76="n/a","N/A",LEN(L76),LOWER(Concatenate("{",char(34),"asset",char(34),":{",char(34),"guid",char(34),":",char(34),L76,char(34),",",char(34),"site",char(34),":",char(34),'2-Building'!$B$4,char(34),",",char(34),"name",char(34),":",char(34),K76,char(34),"}}")))</f>
        <v>{"asset":{"guid":"uuid://00f1fa1c-b5cb-4e98-923b-8b34f5f89304","site":"in-blr-ananta","name":"hvaccp-272"}}</v>
      </c>
      <c r="N76" s="142" t="s">
        <v>10813</v>
      </c>
      <c r="O76" s="142" t="s">
        <v>10814</v>
      </c>
      <c r="P76" s="142" t="s">
        <v>2863</v>
      </c>
      <c r="Q76" s="173">
        <v>3.0</v>
      </c>
      <c r="R76" s="477"/>
      <c r="S76" s="271" t="s">
        <v>1844</v>
      </c>
      <c r="T76" s="141"/>
    </row>
    <row r="77">
      <c r="A77" s="173">
        <v>73.0</v>
      </c>
      <c r="B77" s="173" t="s">
        <v>670</v>
      </c>
      <c r="C77" s="142" t="s">
        <v>1373</v>
      </c>
      <c r="D77" s="173" t="s">
        <v>10766</v>
      </c>
      <c r="E77" s="173" t="s">
        <v>10766</v>
      </c>
      <c r="F77" s="476" t="s">
        <v>1333</v>
      </c>
      <c r="G77" s="142">
        <v>948.0</v>
      </c>
      <c r="H77" s="142" t="s">
        <v>1373</v>
      </c>
      <c r="I77" s="173" t="s">
        <v>679</v>
      </c>
      <c r="J77" s="173" t="s">
        <v>225</v>
      </c>
      <c r="K77" s="173" t="s">
        <v>1373</v>
      </c>
      <c r="L77" s="173" t="s">
        <v>10885</v>
      </c>
      <c r="M77" s="173" t="str">
        <f>IFS(L77="","",L77="n/a","N/A",LEN(L77),LOWER(Concatenate("{",char(34),"asset",char(34),":{",char(34),"guid",char(34),":",char(34),L77,char(34),",",char(34),"site",char(34),":",char(34),'2-Building'!$B$4,char(34),",",char(34),"name",char(34),":",char(34),K77,char(34),"}}")))</f>
        <v>{"asset":{"guid":"uuid://d96dacb7-6612-4191-ac51-8bb5a7634a74","site":"in-blr-ananta","name":"hvaccp-273"}}</v>
      </c>
      <c r="N77" s="142" t="s">
        <v>10833</v>
      </c>
      <c r="O77" s="142" t="s">
        <v>10811</v>
      </c>
      <c r="P77" s="142" t="s">
        <v>2863</v>
      </c>
      <c r="Q77" s="173">
        <v>2.0</v>
      </c>
      <c r="R77" s="477"/>
      <c r="S77" s="271" t="s">
        <v>1844</v>
      </c>
      <c r="T77" s="141"/>
    </row>
    <row r="78">
      <c r="A78" s="173">
        <v>74.0</v>
      </c>
      <c r="B78" s="173" t="s">
        <v>670</v>
      </c>
      <c r="C78" s="142" t="s">
        <v>1383</v>
      </c>
      <c r="D78" s="173" t="s">
        <v>10766</v>
      </c>
      <c r="E78" s="173" t="s">
        <v>10766</v>
      </c>
      <c r="F78" s="476" t="s">
        <v>1333</v>
      </c>
      <c r="G78" s="142">
        <v>934.0</v>
      </c>
      <c r="H78" s="142" t="s">
        <v>1383</v>
      </c>
      <c r="I78" s="173" t="s">
        <v>679</v>
      </c>
      <c r="J78" s="173" t="s">
        <v>225</v>
      </c>
      <c r="K78" s="173" t="s">
        <v>1383</v>
      </c>
      <c r="L78" s="173" t="s">
        <v>10886</v>
      </c>
      <c r="M78" s="173" t="str">
        <f>IFS(L78="","",L78="n/a","N/A",LEN(L78),LOWER(Concatenate("{",char(34),"asset",char(34),":{",char(34),"guid",char(34),":",char(34),L78,char(34),",",char(34),"site",char(34),":",char(34),'2-Building'!$B$4,char(34),",",char(34),"name",char(34),":",char(34),K78,char(34),"}}")))</f>
        <v>{"asset":{"guid":"uuid://cdb0a82c-4224-4374-80d0-58048f84c0a1","site":"in-blr-ananta","name":"hvaccp-274"}}</v>
      </c>
      <c r="N78" s="142" t="s">
        <v>10833</v>
      </c>
      <c r="O78" s="142" t="s">
        <v>10811</v>
      </c>
      <c r="P78" s="142" t="s">
        <v>2863</v>
      </c>
      <c r="Q78" s="173">
        <v>2.0</v>
      </c>
      <c r="R78" s="477"/>
      <c r="S78" s="271" t="s">
        <v>1844</v>
      </c>
      <c r="T78" s="141"/>
    </row>
    <row r="79">
      <c r="A79" s="173">
        <v>75.0</v>
      </c>
      <c r="B79" s="173" t="s">
        <v>670</v>
      </c>
      <c r="C79" s="142" t="s">
        <v>1395</v>
      </c>
      <c r="D79" s="173" t="s">
        <v>10766</v>
      </c>
      <c r="E79" s="173" t="s">
        <v>10766</v>
      </c>
      <c r="F79" s="476" t="s">
        <v>1393</v>
      </c>
      <c r="G79" s="142"/>
      <c r="H79" s="142" t="s">
        <v>1395</v>
      </c>
      <c r="I79" s="173" t="s">
        <v>679</v>
      </c>
      <c r="J79" s="173" t="s">
        <v>225</v>
      </c>
      <c r="K79" s="173" t="s">
        <v>1395</v>
      </c>
      <c r="L79" s="173" t="s">
        <v>10887</v>
      </c>
      <c r="M79" s="173" t="str">
        <f>IFS(L79="","",L79="n/a","N/A",LEN(L79),LOWER(Concatenate("{",char(34),"asset",char(34),":{",char(34),"guid",char(34),":",char(34),L79,char(34),",",char(34),"site",char(34),":",char(34),'2-Building'!$B$4,char(34),",",char(34),"name",char(34),":",char(34),K79,char(34),"}}")))</f>
        <v>{"asset":{"guid":"uuid://8426df91-575f-4ced-8cb5-e50337cd805b","site":"in-blr-ananta","name":"hvaccp-275"}}</v>
      </c>
      <c r="N79" s="142" t="s">
        <v>10821</v>
      </c>
      <c r="O79" s="142" t="s">
        <v>10805</v>
      </c>
      <c r="P79" s="142" t="s">
        <v>2863</v>
      </c>
      <c r="Q79" s="173">
        <v>3.0</v>
      </c>
      <c r="R79" s="477"/>
      <c r="S79" s="271" t="s">
        <v>1844</v>
      </c>
      <c r="T79" s="141"/>
    </row>
    <row r="80">
      <c r="A80" s="173">
        <v>76.0</v>
      </c>
      <c r="B80" s="173" t="s">
        <v>670</v>
      </c>
      <c r="C80" s="142" t="s">
        <v>1405</v>
      </c>
      <c r="D80" s="173" t="s">
        <v>10766</v>
      </c>
      <c r="E80" s="173" t="s">
        <v>10766</v>
      </c>
      <c r="F80" s="476" t="s">
        <v>1393</v>
      </c>
      <c r="G80" s="142"/>
      <c r="H80" s="142" t="s">
        <v>1405</v>
      </c>
      <c r="I80" s="173" t="s">
        <v>679</v>
      </c>
      <c r="J80" s="173" t="s">
        <v>225</v>
      </c>
      <c r="K80" s="173" t="s">
        <v>1405</v>
      </c>
      <c r="L80" s="173" t="s">
        <v>10888</v>
      </c>
      <c r="M80" s="173" t="str">
        <f>IFS(L80="","",L80="n/a","N/A",LEN(L80),LOWER(Concatenate("{",char(34),"asset",char(34),":{",char(34),"guid",char(34),":",char(34),L80,char(34),",",char(34),"site",char(34),":",char(34),'2-Building'!$B$4,char(34),",",char(34),"name",char(34),":",char(34),K80,char(34),"}}")))</f>
        <v>{"asset":{"guid":"uuid://1ba70eb1-4bbe-4569-bd8c-0617fe5f21c1","site":"in-blr-ananta","name":"hvaccp-276"}}</v>
      </c>
      <c r="N80" s="142" t="s">
        <v>10821</v>
      </c>
      <c r="O80" s="142" t="s">
        <v>10805</v>
      </c>
      <c r="P80" s="142" t="s">
        <v>2863</v>
      </c>
      <c r="Q80" s="173">
        <v>3.0</v>
      </c>
      <c r="R80" s="477"/>
      <c r="S80" s="271" t="s">
        <v>1844</v>
      </c>
      <c r="T80" s="141"/>
    </row>
    <row r="81">
      <c r="A81" s="173">
        <v>77.0</v>
      </c>
      <c r="B81" s="173" t="s">
        <v>670</v>
      </c>
      <c r="C81" s="142" t="s">
        <v>1415</v>
      </c>
      <c r="D81" s="173" t="s">
        <v>10766</v>
      </c>
      <c r="E81" s="173" t="s">
        <v>10766</v>
      </c>
      <c r="F81" s="476" t="s">
        <v>1393</v>
      </c>
      <c r="G81" s="142"/>
      <c r="H81" s="142" t="s">
        <v>1415</v>
      </c>
      <c r="I81" s="173" t="s">
        <v>679</v>
      </c>
      <c r="J81" s="173" t="s">
        <v>225</v>
      </c>
      <c r="K81" s="173" t="s">
        <v>1415</v>
      </c>
      <c r="L81" s="173" t="s">
        <v>10889</v>
      </c>
      <c r="M81" s="173" t="str">
        <f>IFS(L81="","",L81="n/a","N/A",LEN(L81),LOWER(Concatenate("{",char(34),"asset",char(34),":{",char(34),"guid",char(34),":",char(34),L81,char(34),",",char(34),"site",char(34),":",char(34),'2-Building'!$B$4,char(34),",",char(34),"name",char(34),":",char(34),K81,char(34),"}}")))</f>
        <v>{"asset":{"guid":"uuid://529ed076-d748-41fd-8575-b2f7e4fbfdb7","site":"in-blr-ananta","name":"hvaccp-277"}}</v>
      </c>
      <c r="N81" s="142" t="s">
        <v>10826</v>
      </c>
      <c r="O81" s="142" t="s">
        <v>10827</v>
      </c>
      <c r="P81" s="142" t="s">
        <v>2863</v>
      </c>
      <c r="Q81" s="173">
        <v>2.0</v>
      </c>
      <c r="R81" s="477"/>
      <c r="S81" s="271" t="s">
        <v>1844</v>
      </c>
      <c r="T81" s="141"/>
    </row>
    <row r="82">
      <c r="A82" s="173">
        <v>78.0</v>
      </c>
      <c r="B82" s="173" t="s">
        <v>670</v>
      </c>
      <c r="C82" s="142" t="s">
        <v>1425</v>
      </c>
      <c r="D82" s="173" t="s">
        <v>10766</v>
      </c>
      <c r="E82" s="173" t="s">
        <v>10766</v>
      </c>
      <c r="F82" s="476" t="s">
        <v>1393</v>
      </c>
      <c r="G82" s="142"/>
      <c r="H82" s="142" t="s">
        <v>1425</v>
      </c>
      <c r="I82" s="173" t="s">
        <v>679</v>
      </c>
      <c r="J82" s="173" t="s">
        <v>225</v>
      </c>
      <c r="K82" s="173" t="s">
        <v>1425</v>
      </c>
      <c r="L82" s="173" t="s">
        <v>10890</v>
      </c>
      <c r="M82" s="173" t="str">
        <f>IFS(L82="","",L82="n/a","N/A",LEN(L82),LOWER(Concatenate("{",char(34),"asset",char(34),":{",char(34),"guid",char(34),":",char(34),L82,char(34),",",char(34),"site",char(34),":",char(34),'2-Building'!$B$4,char(34),",",char(34),"name",char(34),":",char(34),K82,char(34),"}}")))</f>
        <v>{"asset":{"guid":"uuid://9927e6d3-2576-48e4-97e7-679e893d6791","site":"in-blr-ananta","name":"hvaccp-278"}}</v>
      </c>
      <c r="N82" s="142" t="s">
        <v>10826</v>
      </c>
      <c r="O82" s="142" t="s">
        <v>10827</v>
      </c>
      <c r="P82" s="142" t="s">
        <v>2863</v>
      </c>
      <c r="Q82" s="173">
        <v>2.0</v>
      </c>
      <c r="R82" s="477"/>
      <c r="S82" s="271" t="s">
        <v>1844</v>
      </c>
      <c r="T82" s="141"/>
    </row>
    <row r="83">
      <c r="A83" s="173">
        <v>79.0</v>
      </c>
      <c r="B83" s="173" t="s">
        <v>670</v>
      </c>
      <c r="C83" s="142" t="s">
        <v>1435</v>
      </c>
      <c r="D83" s="173" t="s">
        <v>10766</v>
      </c>
      <c r="E83" s="173" t="s">
        <v>10766</v>
      </c>
      <c r="F83" s="476" t="s">
        <v>1393</v>
      </c>
      <c r="G83" s="142"/>
      <c r="H83" s="142" t="s">
        <v>1435</v>
      </c>
      <c r="I83" s="173" t="s">
        <v>679</v>
      </c>
      <c r="J83" s="173" t="s">
        <v>225</v>
      </c>
      <c r="K83" s="173" t="s">
        <v>1435</v>
      </c>
      <c r="L83" s="173" t="s">
        <v>10891</v>
      </c>
      <c r="M83" s="173" t="str">
        <f>IFS(L83="","",L83="n/a","N/A",LEN(L83),LOWER(Concatenate("{",char(34),"asset",char(34),":{",char(34),"guid",char(34),":",char(34),L83,char(34),",",char(34),"site",char(34),":",char(34),'2-Building'!$B$4,char(34),",",char(34),"name",char(34),":",char(34),K83,char(34),"}}")))</f>
        <v>{"asset":{"guid":"uuid://aef7fd4d-c997-4027-a233-9b8a54a3d2c3","site":"in-blr-ananta","name":"hvaccp-279"}}</v>
      </c>
      <c r="N83" s="142" t="s">
        <v>10892</v>
      </c>
      <c r="O83" s="142" t="s">
        <v>10827</v>
      </c>
      <c r="P83" s="142" t="s">
        <v>2863</v>
      </c>
      <c r="Q83" s="173">
        <v>3.0</v>
      </c>
      <c r="R83" s="477"/>
      <c r="S83" s="271" t="s">
        <v>1844</v>
      </c>
      <c r="T83" s="141"/>
    </row>
    <row r="84">
      <c r="A84" s="173">
        <v>80.0</v>
      </c>
      <c r="B84" s="173" t="s">
        <v>670</v>
      </c>
      <c r="C84" s="142" t="s">
        <v>1445</v>
      </c>
      <c r="D84" s="173" t="s">
        <v>10766</v>
      </c>
      <c r="E84" s="173" t="s">
        <v>10766</v>
      </c>
      <c r="F84" s="476" t="s">
        <v>1393</v>
      </c>
      <c r="G84" s="142"/>
      <c r="H84" s="142" t="s">
        <v>1445</v>
      </c>
      <c r="I84" s="173" t="s">
        <v>679</v>
      </c>
      <c r="J84" s="173" t="s">
        <v>225</v>
      </c>
      <c r="K84" s="173" t="s">
        <v>1445</v>
      </c>
      <c r="L84" s="173" t="s">
        <v>10893</v>
      </c>
      <c r="M84" s="173" t="str">
        <f>IFS(L84="","",L84="n/a","N/A",LEN(L84),LOWER(Concatenate("{",char(34),"asset",char(34),":{",char(34),"guid",char(34),":",char(34),L84,char(34),",",char(34),"site",char(34),":",char(34),'2-Building'!$B$4,char(34),",",char(34),"name",char(34),":",char(34),K84,char(34),"}}")))</f>
        <v>{"asset":{"guid":"uuid://f1f0a90a-8edd-4250-9b5b-cfdf59f34e7c","site":"in-blr-ananta","name":"hvaccp-280"}}</v>
      </c>
      <c r="N84" s="142" t="s">
        <v>10833</v>
      </c>
      <c r="O84" s="142" t="s">
        <v>10811</v>
      </c>
      <c r="P84" s="142" t="s">
        <v>2863</v>
      </c>
      <c r="Q84" s="173">
        <v>2.0</v>
      </c>
      <c r="R84" s="477"/>
      <c r="S84" s="271" t="s">
        <v>1844</v>
      </c>
      <c r="T84" s="141"/>
    </row>
    <row r="85">
      <c r="A85" s="173">
        <v>81.0</v>
      </c>
      <c r="B85" s="173" t="s">
        <v>670</v>
      </c>
      <c r="C85" s="142" t="s">
        <v>1455</v>
      </c>
      <c r="D85" s="173" t="s">
        <v>10766</v>
      </c>
      <c r="E85" s="173" t="s">
        <v>10766</v>
      </c>
      <c r="F85" s="476" t="s">
        <v>1453</v>
      </c>
      <c r="G85" s="142"/>
      <c r="H85" s="142" t="s">
        <v>1455</v>
      </c>
      <c r="I85" s="173" t="s">
        <v>679</v>
      </c>
      <c r="J85" s="173" t="s">
        <v>225</v>
      </c>
      <c r="K85" s="173" t="s">
        <v>1455</v>
      </c>
      <c r="L85" s="173" t="s">
        <v>10894</v>
      </c>
      <c r="M85" s="173" t="str">
        <f>IFS(L85="","",L85="n/a","N/A",LEN(L85),LOWER(Concatenate("{",char(34),"asset",char(34),":{",char(34),"guid",char(34),":",char(34),L85,char(34),",",char(34),"site",char(34),":",char(34),'2-Building'!$B$4,char(34),",",char(34),"name",char(34),":",char(34),K85,char(34),"}}")))</f>
        <v>{"asset":{"guid":"uuid://316ef8e3-cacc-4d08-b9eb-44881ce0a840","site":"in-blr-ananta","name":"hvaccp-281"}}</v>
      </c>
      <c r="N85" s="142" t="s">
        <v>10895</v>
      </c>
      <c r="O85" s="142" t="s">
        <v>10772</v>
      </c>
      <c r="P85" s="142" t="s">
        <v>2863</v>
      </c>
      <c r="Q85" s="173">
        <v>3.0</v>
      </c>
      <c r="R85" s="477"/>
      <c r="S85" s="271" t="s">
        <v>1844</v>
      </c>
      <c r="T85" s="141"/>
    </row>
    <row r="86">
      <c r="A86" s="173">
        <v>82.0</v>
      </c>
      <c r="B86" s="173" t="s">
        <v>670</v>
      </c>
      <c r="C86" s="142" t="s">
        <v>1466</v>
      </c>
      <c r="D86" s="173" t="s">
        <v>10766</v>
      </c>
      <c r="E86" s="173" t="s">
        <v>10766</v>
      </c>
      <c r="F86" s="476" t="s">
        <v>1453</v>
      </c>
      <c r="G86" s="142"/>
      <c r="H86" s="142" t="s">
        <v>1466</v>
      </c>
      <c r="I86" s="173" t="s">
        <v>679</v>
      </c>
      <c r="J86" s="173" t="s">
        <v>225</v>
      </c>
      <c r="K86" s="173" t="s">
        <v>1466</v>
      </c>
      <c r="L86" s="173" t="s">
        <v>10896</v>
      </c>
      <c r="M86" s="173" t="str">
        <f>IFS(L86="","",L86="n/a","N/A",LEN(L86),LOWER(Concatenate("{",char(34),"asset",char(34),":{",char(34),"guid",char(34),":",char(34),L86,char(34),",",char(34),"site",char(34),":",char(34),'2-Building'!$B$4,char(34),",",char(34),"name",char(34),":",char(34),K86,char(34),"}}")))</f>
        <v>{"asset":{"guid":"uuid://01b2d4a8-c812-4922-84c9-800b4dbc68f1","site":"in-blr-ananta","name":"hvaccp-282"}}</v>
      </c>
      <c r="N86" s="142" t="s">
        <v>10895</v>
      </c>
      <c r="O86" s="142" t="s">
        <v>10772</v>
      </c>
      <c r="P86" s="142" t="s">
        <v>2863</v>
      </c>
      <c r="Q86" s="173">
        <v>3.0</v>
      </c>
      <c r="R86" s="477"/>
      <c r="S86" s="271" t="s">
        <v>1844</v>
      </c>
      <c r="T86" s="141"/>
    </row>
    <row r="87">
      <c r="A87" s="173">
        <v>83.0</v>
      </c>
      <c r="B87" s="173" t="s">
        <v>670</v>
      </c>
      <c r="C87" s="142" t="s">
        <v>1477</v>
      </c>
      <c r="D87" s="173" t="s">
        <v>10766</v>
      </c>
      <c r="E87" s="173" t="s">
        <v>10766</v>
      </c>
      <c r="F87" s="476" t="s">
        <v>1453</v>
      </c>
      <c r="G87" s="142"/>
      <c r="H87" s="142" t="s">
        <v>1477</v>
      </c>
      <c r="I87" s="173" t="s">
        <v>679</v>
      </c>
      <c r="J87" s="173" t="s">
        <v>225</v>
      </c>
      <c r="K87" s="173" t="s">
        <v>1477</v>
      </c>
      <c r="L87" s="173" t="s">
        <v>10897</v>
      </c>
      <c r="M87" s="173" t="str">
        <f>IFS(L87="","",L87="n/a","N/A",LEN(L87),LOWER(Concatenate("{",char(34),"asset",char(34),":{",char(34),"guid",char(34),":",char(34),L87,char(34),",",char(34),"site",char(34),":",char(34),'2-Building'!$B$4,char(34),",",char(34),"name",char(34),":",char(34),K87,char(34),"}}")))</f>
        <v>{"asset":{"guid":"uuid://5caf32af-73f8-424b-bf77-7be0b427cc5e","site":"in-blr-ananta","name":"hvaccp-283"}}</v>
      </c>
      <c r="N87" s="142" t="s">
        <v>10898</v>
      </c>
      <c r="O87" s="142" t="s">
        <v>10814</v>
      </c>
      <c r="P87" s="142" t="s">
        <v>2863</v>
      </c>
      <c r="Q87" s="173">
        <v>2.0</v>
      </c>
      <c r="R87" s="477"/>
      <c r="S87" s="271" t="s">
        <v>1844</v>
      </c>
      <c r="T87" s="141"/>
    </row>
    <row r="88">
      <c r="A88" s="173">
        <v>84.0</v>
      </c>
      <c r="B88" s="173" t="s">
        <v>670</v>
      </c>
      <c r="C88" s="142" t="s">
        <v>1488</v>
      </c>
      <c r="D88" s="173" t="s">
        <v>10766</v>
      </c>
      <c r="E88" s="173" t="s">
        <v>10766</v>
      </c>
      <c r="F88" s="476" t="s">
        <v>1453</v>
      </c>
      <c r="G88" s="142"/>
      <c r="H88" s="142" t="s">
        <v>1488</v>
      </c>
      <c r="I88" s="173" t="s">
        <v>679</v>
      </c>
      <c r="J88" s="173" t="s">
        <v>225</v>
      </c>
      <c r="K88" s="173" t="s">
        <v>1488</v>
      </c>
      <c r="L88" s="173" t="s">
        <v>10899</v>
      </c>
      <c r="M88" s="173" t="str">
        <f>IFS(L88="","",L88="n/a","N/A",LEN(L88),LOWER(Concatenate("{",char(34),"asset",char(34),":{",char(34),"guid",char(34),":",char(34),L88,char(34),",",char(34),"site",char(34),":",char(34),'2-Building'!$B$4,char(34),",",char(34),"name",char(34),":",char(34),K88,char(34),"}}")))</f>
        <v>{"asset":{"guid":"uuid://db864793-6da2-4546-8fb0-eeafce4c6256","site":"in-blr-ananta","name":"hvaccp-284"}}</v>
      </c>
      <c r="N88" s="142" t="s">
        <v>10898</v>
      </c>
      <c r="O88" s="142" t="s">
        <v>10814</v>
      </c>
      <c r="P88" s="142" t="s">
        <v>2863</v>
      </c>
      <c r="Q88" s="173">
        <v>2.0</v>
      </c>
      <c r="R88" s="477"/>
      <c r="S88" s="271" t="s">
        <v>1844</v>
      </c>
      <c r="T88" s="141"/>
    </row>
    <row r="89">
      <c r="A89" s="173">
        <v>85.0</v>
      </c>
      <c r="B89" s="173" t="s">
        <v>670</v>
      </c>
      <c r="C89" s="142" t="s">
        <v>1499</v>
      </c>
      <c r="D89" s="173" t="s">
        <v>10766</v>
      </c>
      <c r="E89" s="173" t="s">
        <v>10766</v>
      </c>
      <c r="F89" s="476" t="s">
        <v>1453</v>
      </c>
      <c r="G89" s="142"/>
      <c r="H89" s="142" t="s">
        <v>1499</v>
      </c>
      <c r="I89" s="173" t="s">
        <v>679</v>
      </c>
      <c r="J89" s="173" t="s">
        <v>225</v>
      </c>
      <c r="K89" s="173" t="s">
        <v>1499</v>
      </c>
      <c r="L89" s="173" t="s">
        <v>10900</v>
      </c>
      <c r="M89" s="173" t="str">
        <f>IFS(L89="","",L89="n/a","N/A",LEN(L89),LOWER(Concatenate("{",char(34),"asset",char(34),":{",char(34),"guid",char(34),":",char(34),L89,char(34),",",char(34),"site",char(34),":",char(34),'2-Building'!$B$4,char(34),",",char(34),"name",char(34),":",char(34),K89,char(34),"}}")))</f>
        <v>{"asset":{"guid":"uuid://a76b4d21-1631-4566-92ba-62c2ff113dba","site":"in-blr-ananta","name":"hvaccp-285"}}</v>
      </c>
      <c r="N89" s="142" t="s">
        <v>10863</v>
      </c>
      <c r="O89" s="142" t="s">
        <v>10811</v>
      </c>
      <c r="P89" s="142" t="s">
        <v>2863</v>
      </c>
      <c r="Q89" s="173">
        <v>3.0</v>
      </c>
      <c r="R89" s="477"/>
      <c r="S89" s="271" t="s">
        <v>1844</v>
      </c>
      <c r="T89" s="141"/>
    </row>
    <row r="90">
      <c r="A90" s="173">
        <v>86.0</v>
      </c>
      <c r="B90" s="173" t="s">
        <v>670</v>
      </c>
      <c r="C90" s="142" t="s">
        <v>1510</v>
      </c>
      <c r="D90" s="173" t="s">
        <v>10766</v>
      </c>
      <c r="E90" s="173" t="s">
        <v>10766</v>
      </c>
      <c r="F90" s="476" t="s">
        <v>1453</v>
      </c>
      <c r="G90" s="142"/>
      <c r="H90" s="142" t="s">
        <v>1510</v>
      </c>
      <c r="I90" s="173" t="s">
        <v>679</v>
      </c>
      <c r="J90" s="173" t="s">
        <v>225</v>
      </c>
      <c r="K90" s="173" t="s">
        <v>1510</v>
      </c>
      <c r="L90" s="173" t="s">
        <v>10901</v>
      </c>
      <c r="M90" s="173" t="str">
        <f>IFS(L90="","",L90="n/a","N/A",LEN(L90),LOWER(Concatenate("{",char(34),"asset",char(34),":{",char(34),"guid",char(34),":",char(34),L90,char(34),",",char(34),"site",char(34),":",char(34),'2-Building'!$B$4,char(34),",",char(34),"name",char(34),":",char(34),K90,char(34),"}}")))</f>
        <v>{"asset":{"guid":"uuid://38c003a6-d4f7-4a2b-9fdc-f64bfd63ee1f","site":"in-blr-ananta","name":"hvaccp-286"}}</v>
      </c>
      <c r="N90" s="142" t="s">
        <v>10902</v>
      </c>
      <c r="O90" s="142" t="s">
        <v>10805</v>
      </c>
      <c r="P90" s="142" t="s">
        <v>2863</v>
      </c>
      <c r="Q90" s="173">
        <v>2.0</v>
      </c>
      <c r="R90" s="477"/>
      <c r="S90" s="271" t="s">
        <v>1844</v>
      </c>
      <c r="T90" s="141"/>
    </row>
    <row r="91">
      <c r="A91" s="173">
        <v>87.0</v>
      </c>
      <c r="B91" s="173" t="s">
        <v>670</v>
      </c>
      <c r="C91" s="142" t="s">
        <v>1521</v>
      </c>
      <c r="D91" s="173" t="s">
        <v>10766</v>
      </c>
      <c r="E91" s="173" t="s">
        <v>10766</v>
      </c>
      <c r="F91" s="476" t="s">
        <v>1520</v>
      </c>
      <c r="G91" s="142"/>
      <c r="H91" s="142" t="s">
        <v>1521</v>
      </c>
      <c r="I91" s="173" t="s">
        <v>679</v>
      </c>
      <c r="J91" s="173" t="s">
        <v>225</v>
      </c>
      <c r="K91" s="173" t="s">
        <v>1521</v>
      </c>
      <c r="L91" s="173" t="s">
        <v>10903</v>
      </c>
      <c r="M91" s="173" t="str">
        <f>IFS(L91="","",L91="n/a","N/A",LEN(L91),LOWER(Concatenate("{",char(34),"asset",char(34),":{",char(34),"guid",char(34),":",char(34),L91,char(34),",",char(34),"site",char(34),":",char(34),'2-Building'!$B$4,char(34),",",char(34),"name",char(34),":",char(34),K91,char(34),"}}")))</f>
        <v>{"asset":{"guid":"uuid://aa8397e0-3456-4738-b0b5-963fada9d9c1","site":"in-blr-ananta","name":"hvaccp-287"}}</v>
      </c>
      <c r="N91" s="142" t="s">
        <v>10904</v>
      </c>
      <c r="O91" s="142" t="s">
        <v>10905</v>
      </c>
      <c r="P91" s="142" t="s">
        <v>2863</v>
      </c>
      <c r="Q91" s="173">
        <v>2.0</v>
      </c>
      <c r="R91" s="477"/>
      <c r="S91" s="271" t="s">
        <v>1844</v>
      </c>
      <c r="T91" s="141"/>
    </row>
    <row r="92">
      <c r="A92" s="173">
        <v>88.0</v>
      </c>
      <c r="B92" s="173" t="s">
        <v>670</v>
      </c>
      <c r="C92" s="142" t="s">
        <v>1531</v>
      </c>
      <c r="D92" s="173" t="s">
        <v>10766</v>
      </c>
      <c r="E92" s="173" t="s">
        <v>10766</v>
      </c>
      <c r="F92" s="476" t="s">
        <v>1520</v>
      </c>
      <c r="G92" s="142"/>
      <c r="H92" s="142" t="s">
        <v>1531</v>
      </c>
      <c r="I92" s="173" t="s">
        <v>679</v>
      </c>
      <c r="J92" s="173" t="s">
        <v>225</v>
      </c>
      <c r="K92" s="173" t="s">
        <v>1531</v>
      </c>
      <c r="L92" s="173" t="s">
        <v>10906</v>
      </c>
      <c r="M92" s="173" t="str">
        <f>IFS(L92="","",L92="n/a","N/A",LEN(L92),LOWER(Concatenate("{",char(34),"asset",char(34),":{",char(34),"guid",char(34),":",char(34),L92,char(34),",",char(34),"site",char(34),":",char(34),'2-Building'!$B$4,char(34),",",char(34),"name",char(34),":",char(34),K92,char(34),"}}")))</f>
        <v>{"asset":{"guid":"uuid://1b8bff91-6b2c-4ed6-a789-37cd9e98a890","site":"in-blr-ananta","name":"hvaccp-288"}}</v>
      </c>
      <c r="N92" s="142" t="s">
        <v>10907</v>
      </c>
      <c r="O92" s="142" t="s">
        <v>10908</v>
      </c>
      <c r="P92" s="142" t="s">
        <v>2863</v>
      </c>
      <c r="Q92" s="173">
        <v>4.0</v>
      </c>
      <c r="R92" s="477"/>
      <c r="S92" s="271" t="s">
        <v>1844</v>
      </c>
      <c r="T92" s="141"/>
    </row>
    <row r="93">
      <c r="A93" s="173">
        <v>89.0</v>
      </c>
      <c r="B93" s="173" t="s">
        <v>670</v>
      </c>
      <c r="C93" s="142" t="s">
        <v>1536</v>
      </c>
      <c r="D93" s="173" t="s">
        <v>10766</v>
      </c>
      <c r="E93" s="173" t="s">
        <v>10766</v>
      </c>
      <c r="F93" s="476" t="s">
        <v>1520</v>
      </c>
      <c r="G93" s="142"/>
      <c r="H93" s="142" t="s">
        <v>1536</v>
      </c>
      <c r="I93" s="173" t="s">
        <v>679</v>
      </c>
      <c r="J93" s="173" t="s">
        <v>225</v>
      </c>
      <c r="K93" s="173" t="s">
        <v>1536</v>
      </c>
      <c r="L93" s="173" t="s">
        <v>10909</v>
      </c>
      <c r="M93" s="173" t="str">
        <f>IFS(L93="","",L93="n/a","N/A",LEN(L93),LOWER(Concatenate("{",char(34),"asset",char(34),":{",char(34),"guid",char(34),":",char(34),L93,char(34),",",char(34),"site",char(34),":",char(34),'2-Building'!$B$4,char(34),",",char(34),"name",char(34),":",char(34),K93,char(34),"}}")))</f>
        <v>{"asset":{"guid":"uuid://0da954be-523d-43a6-9055-f21940fedcd5","site":"in-blr-ananta","name":"hvaccp-289"}}</v>
      </c>
      <c r="N93" s="142" t="s">
        <v>10910</v>
      </c>
      <c r="O93" s="142" t="s">
        <v>10911</v>
      </c>
      <c r="P93" s="142" t="s">
        <v>2863</v>
      </c>
      <c r="Q93" s="173">
        <v>1.0</v>
      </c>
      <c r="R93" s="477"/>
      <c r="S93" s="271" t="s">
        <v>1844</v>
      </c>
      <c r="T93" s="141"/>
    </row>
    <row r="94">
      <c r="A94" s="173">
        <v>90.0</v>
      </c>
      <c r="B94" s="173" t="s">
        <v>670</v>
      </c>
      <c r="C94" s="142" t="s">
        <v>1541</v>
      </c>
      <c r="D94" s="173" t="s">
        <v>10766</v>
      </c>
      <c r="E94" s="173" t="s">
        <v>10766</v>
      </c>
      <c r="F94" s="476" t="s">
        <v>1520</v>
      </c>
      <c r="G94" s="142"/>
      <c r="H94" s="142" t="s">
        <v>1541</v>
      </c>
      <c r="I94" s="173" t="s">
        <v>679</v>
      </c>
      <c r="J94" s="173" t="s">
        <v>225</v>
      </c>
      <c r="K94" s="173" t="s">
        <v>1541</v>
      </c>
      <c r="L94" s="173" t="s">
        <v>10912</v>
      </c>
      <c r="M94" s="173" t="str">
        <f>IFS(L94="","",L94="n/a","N/A",LEN(L94),LOWER(Concatenate("{",char(34),"asset",char(34),":{",char(34),"guid",char(34),":",char(34),L94,char(34),",",char(34),"site",char(34),":",char(34),'2-Building'!$B$4,char(34),",",char(34),"name",char(34),":",char(34),K94,char(34),"}}")))</f>
        <v>{"asset":{"guid":"uuid://0f7ade39-596c-44d5-93c4-e953332e3067","site":"in-blr-ananta","name":"hvaccp-290"}}</v>
      </c>
      <c r="N94" s="142" t="s">
        <v>10913</v>
      </c>
      <c r="O94" s="142" t="s">
        <v>10914</v>
      </c>
      <c r="P94" s="142" t="s">
        <v>2863</v>
      </c>
      <c r="Q94" s="173">
        <v>1.0</v>
      </c>
      <c r="R94" s="477"/>
      <c r="S94" s="271" t="s">
        <v>1844</v>
      </c>
      <c r="T94" s="141"/>
    </row>
    <row r="95">
      <c r="A95" s="173">
        <v>91.0</v>
      </c>
      <c r="B95" s="173" t="s">
        <v>670</v>
      </c>
      <c r="C95" s="142" t="s">
        <v>1546</v>
      </c>
      <c r="D95" s="173" t="s">
        <v>10766</v>
      </c>
      <c r="E95" s="173" t="s">
        <v>10766</v>
      </c>
      <c r="F95" s="476" t="s">
        <v>1520</v>
      </c>
      <c r="G95" s="142"/>
      <c r="H95" s="142" t="s">
        <v>1546</v>
      </c>
      <c r="I95" s="173" t="s">
        <v>679</v>
      </c>
      <c r="J95" s="173" t="s">
        <v>225</v>
      </c>
      <c r="K95" s="173" t="s">
        <v>1546</v>
      </c>
      <c r="L95" s="173" t="s">
        <v>10915</v>
      </c>
      <c r="M95" s="173" t="str">
        <f>IFS(L95="","",L95="n/a","N/A",LEN(L95),LOWER(Concatenate("{",char(34),"asset",char(34),":{",char(34),"guid",char(34),":",char(34),L95,char(34),",",char(34),"site",char(34),":",char(34),'2-Building'!$B$4,char(34),",",char(34),"name",char(34),":",char(34),K95,char(34),"}}")))</f>
        <v>{"asset":{"guid":"uuid://b49cfa1a-bac5-4dae-a337-530dbf997873","site":"in-blr-ananta","name":"hvaccp-291"}}</v>
      </c>
      <c r="N95" s="142" t="s">
        <v>10916</v>
      </c>
      <c r="O95" s="142" t="s">
        <v>10917</v>
      </c>
      <c r="P95" s="142" t="s">
        <v>2863</v>
      </c>
      <c r="Q95" s="173">
        <v>2.0</v>
      </c>
      <c r="R95" s="477"/>
      <c r="S95" s="271" t="s">
        <v>1844</v>
      </c>
      <c r="T95" s="141"/>
    </row>
    <row r="96">
      <c r="A96" s="173">
        <v>92.0</v>
      </c>
      <c r="B96" s="173" t="s">
        <v>670</v>
      </c>
      <c r="C96" s="142" t="s">
        <v>1555</v>
      </c>
      <c r="D96" s="173" t="s">
        <v>10766</v>
      </c>
      <c r="E96" s="173" t="s">
        <v>10766</v>
      </c>
      <c r="F96" s="476" t="s">
        <v>1520</v>
      </c>
      <c r="G96" s="142"/>
      <c r="H96" s="142" t="s">
        <v>1555</v>
      </c>
      <c r="I96" s="173" t="s">
        <v>679</v>
      </c>
      <c r="J96" s="173" t="s">
        <v>225</v>
      </c>
      <c r="K96" s="173" t="s">
        <v>1555</v>
      </c>
      <c r="L96" s="173" t="s">
        <v>10918</v>
      </c>
      <c r="M96" s="173" t="str">
        <f>IFS(L96="","",L96="n/a","N/A",LEN(L96),LOWER(Concatenate("{",char(34),"asset",char(34),":{",char(34),"guid",char(34),":",char(34),L96,char(34),",",char(34),"site",char(34),":",char(34),'2-Building'!$B$4,char(34),",",char(34),"name",char(34),":",char(34),K96,char(34),"}}")))</f>
        <v>{"asset":{"guid":"uuid://e6f0be56-b3cf-4129-bfdc-51e6fa7c592d","site":"in-blr-ananta","name":"hvaccp-292"}}</v>
      </c>
      <c r="N96" s="142" t="s">
        <v>10919</v>
      </c>
      <c r="O96" s="142" t="s">
        <v>10920</v>
      </c>
      <c r="P96" s="142" t="s">
        <v>2863</v>
      </c>
      <c r="Q96" s="173">
        <v>2.0</v>
      </c>
      <c r="R96" s="477"/>
      <c r="S96" s="271" t="s">
        <v>1844</v>
      </c>
      <c r="T96" s="141"/>
    </row>
    <row r="97">
      <c r="A97" s="173">
        <v>93.0</v>
      </c>
      <c r="B97" s="173" t="s">
        <v>670</v>
      </c>
      <c r="C97" s="142" t="s">
        <v>1564</v>
      </c>
      <c r="D97" s="173" t="s">
        <v>10766</v>
      </c>
      <c r="E97" s="173" t="s">
        <v>10766</v>
      </c>
      <c r="F97" s="476" t="s">
        <v>1520</v>
      </c>
      <c r="G97" s="142"/>
      <c r="H97" s="142" t="s">
        <v>1564</v>
      </c>
      <c r="I97" s="173" t="s">
        <v>679</v>
      </c>
      <c r="J97" s="173" t="s">
        <v>225</v>
      </c>
      <c r="K97" s="173" t="s">
        <v>1564</v>
      </c>
      <c r="L97" s="173" t="s">
        <v>10921</v>
      </c>
      <c r="M97" s="173" t="str">
        <f>IFS(L97="","",L97="n/a","N/A",LEN(L97),LOWER(Concatenate("{",char(34),"asset",char(34),":{",char(34),"guid",char(34),":",char(34),L97,char(34),",",char(34),"site",char(34),":",char(34),'2-Building'!$B$4,char(34),",",char(34),"name",char(34),":",char(34),K97,char(34),"}}")))</f>
        <v>{"asset":{"guid":"uuid://3dcb5daf-488d-4f37-9b2a-f60a65dddbdc","site":"in-blr-ananta","name":"hvaccp-293"}}</v>
      </c>
      <c r="N97" s="142" t="s">
        <v>10922</v>
      </c>
      <c r="O97" s="142" t="s">
        <v>10923</v>
      </c>
      <c r="P97" s="142" t="s">
        <v>2863</v>
      </c>
      <c r="Q97" s="173">
        <v>3.0</v>
      </c>
      <c r="R97" s="477"/>
      <c r="S97" s="271" t="s">
        <v>1844</v>
      </c>
      <c r="T97" s="141"/>
    </row>
    <row r="98">
      <c r="A98" s="173">
        <v>94.0</v>
      </c>
      <c r="B98" s="173" t="s">
        <v>670</v>
      </c>
      <c r="C98" s="142" t="s">
        <v>1576</v>
      </c>
      <c r="D98" s="173" t="s">
        <v>10766</v>
      </c>
      <c r="E98" s="173" t="s">
        <v>10766</v>
      </c>
      <c r="F98" s="476" t="s">
        <v>2839</v>
      </c>
      <c r="G98" s="142"/>
      <c r="H98" s="142" t="s">
        <v>1576</v>
      </c>
      <c r="I98" s="173" t="s">
        <v>679</v>
      </c>
      <c r="J98" s="173" t="s">
        <v>225</v>
      </c>
      <c r="K98" s="173" t="s">
        <v>1576</v>
      </c>
      <c r="L98" s="173" t="s">
        <v>10924</v>
      </c>
      <c r="M98" s="173" t="str">
        <f>IFS(L98="","",L98="n/a","N/A",LEN(L98),LOWER(Concatenate("{",char(34),"asset",char(34),":{",char(34),"guid",char(34),":",char(34),L98,char(34),",",char(34),"site",char(34),":",char(34),'2-Building'!$B$4,char(34),",",char(34),"name",char(34),":",char(34),K98,char(34),"}}")))</f>
        <v>{"asset":{"guid":"uuid://855b1620-f7d6-4393-a91d-f6dc482d6e23","site":"in-blr-ananta","name":"hvaccp-294"}}</v>
      </c>
      <c r="N98" s="142" t="s">
        <v>10925</v>
      </c>
      <c r="O98" s="142" t="s">
        <v>10926</v>
      </c>
      <c r="P98" s="142" t="s">
        <v>2863</v>
      </c>
      <c r="Q98" s="173">
        <v>3.0</v>
      </c>
      <c r="R98" s="477"/>
      <c r="S98" s="271" t="s">
        <v>1844</v>
      </c>
      <c r="T98" s="141"/>
    </row>
    <row r="99">
      <c r="A99" s="173">
        <v>95.0</v>
      </c>
      <c r="B99" s="173" t="s">
        <v>670</v>
      </c>
      <c r="C99" s="142" t="s">
        <v>1581</v>
      </c>
      <c r="D99" s="173" t="s">
        <v>10766</v>
      </c>
      <c r="E99" s="173" t="s">
        <v>10766</v>
      </c>
      <c r="F99" s="476" t="s">
        <v>2839</v>
      </c>
      <c r="G99" s="142"/>
      <c r="H99" s="142" t="s">
        <v>1581</v>
      </c>
      <c r="I99" s="173" t="s">
        <v>679</v>
      </c>
      <c r="J99" s="173" t="s">
        <v>225</v>
      </c>
      <c r="K99" s="173" t="s">
        <v>1581</v>
      </c>
      <c r="L99" s="173" t="s">
        <v>10927</v>
      </c>
      <c r="M99" s="173" t="str">
        <f>IFS(L99="","",L99="n/a","N/A",LEN(L99),LOWER(Concatenate("{",char(34),"asset",char(34),":{",char(34),"guid",char(34),":",char(34),L99,char(34),",",char(34),"site",char(34),":",char(34),'2-Building'!$B$4,char(34),",",char(34),"name",char(34),":",char(34),K99,char(34),"}}")))</f>
        <v>{"asset":{"guid":"uuid://44ee5ea8-71c8-41a1-baf5-42a06e4d1de5","site":"in-blr-ananta","name":"hvaccp-295"}}</v>
      </c>
      <c r="N99" s="142" t="s">
        <v>10928</v>
      </c>
      <c r="O99" s="142" t="s">
        <v>10929</v>
      </c>
      <c r="P99" s="142" t="s">
        <v>2863</v>
      </c>
      <c r="Q99" s="173">
        <v>3.0</v>
      </c>
      <c r="R99" s="477"/>
      <c r="S99" s="271" t="s">
        <v>1844</v>
      </c>
      <c r="T99" s="141"/>
    </row>
    <row r="100">
      <c r="A100" s="173">
        <v>96.0</v>
      </c>
      <c r="B100" s="173" t="s">
        <v>670</v>
      </c>
      <c r="C100" s="142" t="s">
        <v>1590</v>
      </c>
      <c r="D100" s="173" t="s">
        <v>10766</v>
      </c>
      <c r="E100" s="173" t="s">
        <v>10766</v>
      </c>
      <c r="F100" s="476" t="s">
        <v>2839</v>
      </c>
      <c r="G100" s="142"/>
      <c r="H100" s="142" t="s">
        <v>1590</v>
      </c>
      <c r="I100" s="173" t="s">
        <v>679</v>
      </c>
      <c r="J100" s="173" t="s">
        <v>225</v>
      </c>
      <c r="K100" s="173" t="s">
        <v>1590</v>
      </c>
      <c r="L100" s="173" t="s">
        <v>10930</v>
      </c>
      <c r="M100" s="173" t="str">
        <f>IFS(L100="","",L100="n/a","N/A",LEN(L100),LOWER(Concatenate("{",char(34),"asset",char(34),":{",char(34),"guid",char(34),":",char(34),L100,char(34),",",char(34),"site",char(34),":",char(34),'2-Building'!$B$4,char(34),",",char(34),"name",char(34),":",char(34),K100,char(34),"}}")))</f>
        <v>{"asset":{"guid":"uuid://75eae645-d0ca-4c3e-ad8f-d8a090f2b375","site":"in-blr-ananta","name":"hvaccp-296"}}</v>
      </c>
      <c r="N100" s="142" t="s">
        <v>10931</v>
      </c>
      <c r="O100" s="142" t="s">
        <v>10932</v>
      </c>
      <c r="P100" s="142" t="s">
        <v>2863</v>
      </c>
      <c r="Q100" s="173">
        <v>2.0</v>
      </c>
      <c r="R100" s="477"/>
      <c r="S100" s="271" t="s">
        <v>1844</v>
      </c>
      <c r="T100" s="141"/>
    </row>
    <row r="101">
      <c r="A101" s="173">
        <v>97.0</v>
      </c>
      <c r="B101" s="173" t="s">
        <v>670</v>
      </c>
      <c r="C101" s="142" t="s">
        <v>1831</v>
      </c>
      <c r="D101" s="173" t="s">
        <v>10766</v>
      </c>
      <c r="E101" s="173" t="s">
        <v>10766</v>
      </c>
      <c r="F101" s="476" t="s">
        <v>676</v>
      </c>
      <c r="G101" s="142"/>
      <c r="H101" s="142" t="s">
        <v>1831</v>
      </c>
      <c r="I101" s="173" t="s">
        <v>679</v>
      </c>
      <c r="J101" s="173" t="s">
        <v>225</v>
      </c>
      <c r="K101" s="173" t="s">
        <v>1831</v>
      </c>
      <c r="L101" s="173" t="s">
        <v>10933</v>
      </c>
      <c r="M101" s="173" t="str">
        <f>IFS(L101="","",L101="n/a","N/A",LEN(L101),LOWER(Concatenate("{",char(34),"asset",char(34),":{",char(34),"guid",char(34),":",char(34),L101,char(34),",",char(34),"site",char(34),":",char(34),'2-Building'!$B$4,char(34),",",char(34),"name",char(34),":",char(34),K101,char(34),"}}")))</f>
        <v>{"asset":{"guid":"uuid://158a3fea-736c-4210-ab7e-661309bbb16e","site":"in-blr-ananta","name":"hvaccp-1"}}</v>
      </c>
      <c r="N101" s="142" t="s">
        <v>10934</v>
      </c>
      <c r="O101" s="142" t="s">
        <v>10935</v>
      </c>
      <c r="P101" s="142" t="s">
        <v>2863</v>
      </c>
      <c r="Q101" s="173">
        <v>2.0</v>
      </c>
      <c r="R101" s="477"/>
      <c r="S101" s="271" t="s">
        <v>1844</v>
      </c>
      <c r="T101" s="141"/>
    </row>
    <row r="102">
      <c r="A102" s="173">
        <v>98.0</v>
      </c>
      <c r="B102" s="173" t="s">
        <v>670</v>
      </c>
      <c r="C102" s="142" t="s">
        <v>1850</v>
      </c>
      <c r="D102" s="173" t="s">
        <v>10766</v>
      </c>
      <c r="E102" s="173" t="s">
        <v>10766</v>
      </c>
      <c r="F102" s="476" t="s">
        <v>676</v>
      </c>
      <c r="G102" s="142"/>
      <c r="H102" s="142" t="s">
        <v>1850</v>
      </c>
      <c r="I102" s="173" t="s">
        <v>679</v>
      </c>
      <c r="J102" s="173" t="s">
        <v>225</v>
      </c>
      <c r="K102" s="173" t="s">
        <v>1850</v>
      </c>
      <c r="L102" s="173" t="s">
        <v>10936</v>
      </c>
      <c r="M102" s="173" t="str">
        <f>IFS(L102="","",L102="n/a","N/A",LEN(L102),LOWER(Concatenate("{",char(34),"asset",char(34),":{",char(34),"guid",char(34),":",char(34),L102,char(34),",",char(34),"site",char(34),":",char(34),'2-Building'!$B$4,char(34),",",char(34),"name",char(34),":",char(34),K102,char(34),"}}")))</f>
        <v>{"asset":{"guid":"uuid://b77b03ec-31c5-4279-8bb7-213a9161f2af","site":"in-blr-ananta","name":"hvaccp-2"}}</v>
      </c>
      <c r="N102" s="142" t="s">
        <v>10937</v>
      </c>
      <c r="O102" s="142" t="s">
        <v>10938</v>
      </c>
      <c r="P102" s="142" t="s">
        <v>2863</v>
      </c>
      <c r="Q102" s="173">
        <v>1.0</v>
      </c>
      <c r="R102" s="477"/>
      <c r="S102" s="271" t="s">
        <v>1844</v>
      </c>
      <c r="T102" s="141"/>
    </row>
    <row r="103">
      <c r="A103" s="173">
        <v>99.0</v>
      </c>
      <c r="B103" s="173" t="s">
        <v>670</v>
      </c>
      <c r="C103" s="142" t="s">
        <v>1856</v>
      </c>
      <c r="D103" s="173" t="s">
        <v>10766</v>
      </c>
      <c r="E103" s="173" t="s">
        <v>10766</v>
      </c>
      <c r="F103" s="476" t="s">
        <v>709</v>
      </c>
      <c r="G103" s="142"/>
      <c r="H103" s="142" t="s">
        <v>1856</v>
      </c>
      <c r="I103" s="173" t="s">
        <v>679</v>
      </c>
      <c r="J103" s="173" t="s">
        <v>225</v>
      </c>
      <c r="K103" s="173" t="s">
        <v>1856</v>
      </c>
      <c r="L103" s="173" t="s">
        <v>10939</v>
      </c>
      <c r="M103" s="173" t="str">
        <f>IFS(L103="","",L103="n/a","N/A",LEN(L103),LOWER(Concatenate("{",char(34),"asset",char(34),":{",char(34),"guid",char(34),":",char(34),L103,char(34),",",char(34),"site",char(34),":",char(34),'2-Building'!$B$4,char(34),",",char(34),"name",char(34),":",char(34),K103,char(34),"}}")))</f>
        <v>{"asset":{"guid":"uuid://15269ddd-3e08-42ee-b9fa-7f72fd2e8b15","site":"in-blr-ananta","name":"hvaccp-3"}}</v>
      </c>
      <c r="N103" s="142" t="s">
        <v>10940</v>
      </c>
      <c r="O103" s="142" t="s">
        <v>10935</v>
      </c>
      <c r="P103" s="142" t="s">
        <v>2863</v>
      </c>
      <c r="Q103" s="173">
        <v>1.0</v>
      </c>
      <c r="R103" s="477"/>
      <c r="S103" s="271" t="s">
        <v>1844</v>
      </c>
      <c r="T103" s="141"/>
    </row>
    <row r="104">
      <c r="A104" s="173">
        <v>100.0</v>
      </c>
      <c r="B104" s="173" t="s">
        <v>670</v>
      </c>
      <c r="C104" s="142" t="s">
        <v>1863</v>
      </c>
      <c r="D104" s="173" t="s">
        <v>10766</v>
      </c>
      <c r="E104" s="173" t="s">
        <v>10766</v>
      </c>
      <c r="F104" s="476" t="s">
        <v>709</v>
      </c>
      <c r="G104" s="142"/>
      <c r="H104" s="142" t="s">
        <v>1863</v>
      </c>
      <c r="I104" s="173" t="s">
        <v>679</v>
      </c>
      <c r="J104" s="173" t="s">
        <v>225</v>
      </c>
      <c r="K104" s="173" t="s">
        <v>1863</v>
      </c>
      <c r="L104" s="173" t="s">
        <v>10941</v>
      </c>
      <c r="M104" s="173" t="str">
        <f>IFS(L104="","",L104="n/a","N/A",LEN(L104),LOWER(Concatenate("{",char(34),"asset",char(34),":{",char(34),"guid",char(34),":",char(34),L104,char(34),",",char(34),"site",char(34),":",char(34),'2-Building'!$B$4,char(34),",",char(34),"name",char(34),":",char(34),K104,char(34),"}}")))</f>
        <v>{"asset":{"guid":"uuid://3424ca58-43e3-4bb4-b686-0e8b8a21e436","site":"in-blr-ananta","name":"hvaccp-4"}}</v>
      </c>
      <c r="N104" s="142" t="s">
        <v>10942</v>
      </c>
      <c r="O104" s="142" t="s">
        <v>10938</v>
      </c>
      <c r="P104" s="142" t="s">
        <v>2863</v>
      </c>
      <c r="Q104" s="173">
        <v>2.0</v>
      </c>
      <c r="R104" s="477"/>
      <c r="S104" s="271" t="s">
        <v>1844</v>
      </c>
      <c r="T104" s="141"/>
    </row>
    <row r="105">
      <c r="A105" s="173">
        <v>101.0</v>
      </c>
      <c r="B105" s="173" t="s">
        <v>670</v>
      </c>
      <c r="C105" s="142" t="s">
        <v>1874</v>
      </c>
      <c r="D105" s="173" t="s">
        <v>10766</v>
      </c>
      <c r="E105" s="173" t="s">
        <v>10766</v>
      </c>
      <c r="F105" s="476" t="s">
        <v>727</v>
      </c>
      <c r="G105" s="142"/>
      <c r="H105" s="142" t="s">
        <v>1874</v>
      </c>
      <c r="I105" s="173" t="s">
        <v>679</v>
      </c>
      <c r="J105" s="173" t="s">
        <v>225</v>
      </c>
      <c r="K105" s="173" t="s">
        <v>1874</v>
      </c>
      <c r="L105" s="173" t="s">
        <v>10943</v>
      </c>
      <c r="M105" s="173" t="str">
        <f>IFS(L105="","",L105="n/a","N/A",LEN(L105),LOWER(Concatenate("{",char(34),"asset",char(34),":{",char(34),"guid",char(34),":",char(34),L105,char(34),",",char(34),"site",char(34),":",char(34),'2-Building'!$B$4,char(34),",",char(34),"name",char(34),":",char(34),K105,char(34),"}}")))</f>
        <v>{"asset":{"guid":"uuid://1d18c1e7-5095-47c7-a720-e99c26e1dd66","site":"in-blr-ananta","name":"hvaccp-5"}}</v>
      </c>
      <c r="N105" s="142" t="s">
        <v>10937</v>
      </c>
      <c r="O105" s="142" t="s">
        <v>10938</v>
      </c>
      <c r="P105" s="142" t="s">
        <v>2863</v>
      </c>
      <c r="Q105" s="173">
        <v>1.0</v>
      </c>
      <c r="R105" s="477"/>
      <c r="S105" s="271" t="s">
        <v>1844</v>
      </c>
      <c r="T105" s="141"/>
    </row>
    <row r="106">
      <c r="A106" s="173">
        <v>102.0</v>
      </c>
      <c r="B106" s="173" t="s">
        <v>670</v>
      </c>
      <c r="C106" s="142" t="s">
        <v>1881</v>
      </c>
      <c r="D106" s="173" t="s">
        <v>10766</v>
      </c>
      <c r="E106" s="173" t="s">
        <v>10766</v>
      </c>
      <c r="F106" s="476" t="s">
        <v>727</v>
      </c>
      <c r="G106" s="142"/>
      <c r="H106" s="142" t="s">
        <v>1881</v>
      </c>
      <c r="I106" s="173" t="s">
        <v>679</v>
      </c>
      <c r="J106" s="173" t="s">
        <v>225</v>
      </c>
      <c r="K106" s="173" t="s">
        <v>1881</v>
      </c>
      <c r="L106" s="173" t="s">
        <v>10944</v>
      </c>
      <c r="M106" s="173" t="str">
        <f>IFS(L106="","",L106="n/a","N/A",LEN(L106),LOWER(Concatenate("{",char(34),"asset",char(34),":{",char(34),"guid",char(34),":",char(34),L106,char(34),",",char(34),"site",char(34),":",char(34),'2-Building'!$B$4,char(34),",",char(34),"name",char(34),":",char(34),K106,char(34),"}}")))</f>
        <v>{"asset":{"guid":"uuid://f1cc6925-6a2e-42e4-aed6-c4c8950f9bc2","site":"in-blr-ananta","name":"hvaccp-6"}}</v>
      </c>
      <c r="N106" s="142" t="s">
        <v>10945</v>
      </c>
      <c r="O106" s="142" t="s">
        <v>10946</v>
      </c>
      <c r="P106" s="142" t="s">
        <v>2863</v>
      </c>
      <c r="Q106" s="173">
        <v>3.0</v>
      </c>
      <c r="R106" s="477"/>
      <c r="S106" s="271" t="s">
        <v>1844</v>
      </c>
      <c r="T106" s="141"/>
    </row>
    <row r="107">
      <c r="A107" s="173">
        <v>103.0</v>
      </c>
      <c r="B107" s="173" t="s">
        <v>670</v>
      </c>
      <c r="C107" s="142" t="s">
        <v>1895</v>
      </c>
      <c r="D107" s="173" t="s">
        <v>10766</v>
      </c>
      <c r="E107" s="173" t="s">
        <v>10766</v>
      </c>
      <c r="F107" s="476" t="s">
        <v>739</v>
      </c>
      <c r="G107" s="142" t="s">
        <v>740</v>
      </c>
      <c r="H107" s="142" t="s">
        <v>1895</v>
      </c>
      <c r="I107" s="173" t="s">
        <v>679</v>
      </c>
      <c r="J107" s="173" t="s">
        <v>225</v>
      </c>
      <c r="K107" s="173" t="s">
        <v>1895</v>
      </c>
      <c r="L107" s="173" t="s">
        <v>10947</v>
      </c>
      <c r="M107" s="173" t="str">
        <f>IFS(L107="","",L107="n/a","N/A",LEN(L107),LOWER(Concatenate("{",char(34),"asset",char(34),":{",char(34),"guid",char(34),":",char(34),L107,char(34),",",char(34),"site",char(34),":",char(34),'2-Building'!$B$4,char(34),",",char(34),"name",char(34),":",char(34),K107,char(34),"}}")))</f>
        <v>{"asset":{"guid":"uuid://c50baed3-0e07-4ca7-8a1e-237190a58016","site":"in-blr-ananta","name":"hvaccp-7"}}</v>
      </c>
      <c r="N107" s="142" t="s">
        <v>10948</v>
      </c>
      <c r="O107" s="142" t="s">
        <v>10949</v>
      </c>
      <c r="P107" s="142" t="s">
        <v>2863</v>
      </c>
      <c r="Q107" s="173">
        <v>2.0</v>
      </c>
      <c r="R107" s="477"/>
      <c r="S107" s="271" t="s">
        <v>1844</v>
      </c>
      <c r="T107" s="141"/>
    </row>
    <row r="108">
      <c r="A108" s="173">
        <v>104.0</v>
      </c>
      <c r="B108" s="173" t="s">
        <v>670</v>
      </c>
      <c r="C108" s="142" t="s">
        <v>1904</v>
      </c>
      <c r="D108" s="173" t="s">
        <v>10766</v>
      </c>
      <c r="E108" s="173" t="s">
        <v>10766</v>
      </c>
      <c r="F108" s="476" t="s">
        <v>739</v>
      </c>
      <c r="G108" s="142" t="s">
        <v>803</v>
      </c>
      <c r="H108" s="142" t="s">
        <v>1904</v>
      </c>
      <c r="I108" s="173" t="s">
        <v>679</v>
      </c>
      <c r="J108" s="173" t="s">
        <v>225</v>
      </c>
      <c r="K108" s="173" t="s">
        <v>1904</v>
      </c>
      <c r="L108" s="173" t="s">
        <v>10950</v>
      </c>
      <c r="M108" s="173" t="str">
        <f>IFS(L108="","",L108="n/a","N/A",LEN(L108),LOWER(Concatenate("{",char(34),"asset",char(34),":{",char(34),"guid",char(34),":",char(34),L108,char(34),",",char(34),"site",char(34),":",char(34),'2-Building'!$B$4,char(34),",",char(34),"name",char(34),":",char(34),K108,char(34),"}}")))</f>
        <v>{"asset":{"guid":"uuid://1a21adca-650e-4a97-899c-ac13272cb750","site":"in-blr-ananta","name":"hvaccp-8"}}</v>
      </c>
      <c r="N108" s="142" t="s">
        <v>10940</v>
      </c>
      <c r="O108" s="142" t="s">
        <v>10935</v>
      </c>
      <c r="P108" s="142" t="s">
        <v>2863</v>
      </c>
      <c r="Q108" s="173">
        <v>1.0</v>
      </c>
      <c r="R108" s="477"/>
      <c r="S108" s="271" t="s">
        <v>1844</v>
      </c>
      <c r="T108" s="141"/>
    </row>
    <row r="109">
      <c r="A109" s="173">
        <v>105.0</v>
      </c>
      <c r="B109" s="173" t="s">
        <v>670</v>
      </c>
      <c r="C109" s="142" t="s">
        <v>1910</v>
      </c>
      <c r="D109" s="173" t="s">
        <v>10766</v>
      </c>
      <c r="E109" s="173" t="s">
        <v>10766</v>
      </c>
      <c r="F109" s="476" t="s">
        <v>739</v>
      </c>
      <c r="G109" s="142" t="s">
        <v>765</v>
      </c>
      <c r="H109" s="142" t="s">
        <v>1910</v>
      </c>
      <c r="I109" s="173" t="s">
        <v>679</v>
      </c>
      <c r="J109" s="173" t="s">
        <v>225</v>
      </c>
      <c r="K109" s="173" t="s">
        <v>1910</v>
      </c>
      <c r="L109" s="173" t="s">
        <v>10951</v>
      </c>
      <c r="M109" s="173" t="str">
        <f>IFS(L109="","",L109="n/a","N/A",LEN(L109),LOWER(Concatenate("{",char(34),"asset",char(34),":{",char(34),"guid",char(34),":",char(34),L109,char(34),",",char(34),"site",char(34),":",char(34),'2-Building'!$B$4,char(34),",",char(34),"name",char(34),":",char(34),K109,char(34),"}}")))</f>
        <v>{"asset":{"guid":"uuid://d415a1d0-38d2-465a-a031-ee421f72aa36","site":"in-blr-ananta","name":"hvaccp-9"}}</v>
      </c>
      <c r="N109" s="142" t="s">
        <v>10952</v>
      </c>
      <c r="O109" s="142" t="s">
        <v>10953</v>
      </c>
      <c r="P109" s="142" t="s">
        <v>2863</v>
      </c>
      <c r="Q109" s="173">
        <v>1.0</v>
      </c>
      <c r="R109" s="477"/>
      <c r="S109" s="271" t="s">
        <v>1844</v>
      </c>
      <c r="T109" s="141"/>
    </row>
    <row r="110">
      <c r="A110" s="173">
        <v>106.0</v>
      </c>
      <c r="B110" s="173" t="s">
        <v>670</v>
      </c>
      <c r="C110" s="142" t="s">
        <v>1916</v>
      </c>
      <c r="D110" s="173" t="s">
        <v>10766</v>
      </c>
      <c r="E110" s="173" t="s">
        <v>10766</v>
      </c>
      <c r="F110" s="476" t="s">
        <v>739</v>
      </c>
      <c r="G110" s="142" t="s">
        <v>820</v>
      </c>
      <c r="H110" s="142" t="s">
        <v>1916</v>
      </c>
      <c r="I110" s="173" t="s">
        <v>679</v>
      </c>
      <c r="J110" s="173" t="s">
        <v>225</v>
      </c>
      <c r="K110" s="173" t="s">
        <v>1916</v>
      </c>
      <c r="L110" s="173" t="s">
        <v>10954</v>
      </c>
      <c r="M110" s="173" t="str">
        <f>IFS(L110="","",L110="n/a","N/A",LEN(L110),LOWER(Concatenate("{",char(34),"asset",char(34),":{",char(34),"guid",char(34),":",char(34),L110,char(34),",",char(34),"site",char(34),":",char(34),'2-Building'!$B$4,char(34),",",char(34),"name",char(34),":",char(34),K110,char(34),"}}")))</f>
        <v>{"asset":{"guid":"uuid://4487c7eb-d951-444b-a031-d445ed4f99fe","site":"in-blr-ananta","name":"hvaccp-10"}}</v>
      </c>
      <c r="N110" s="142" t="s">
        <v>10955</v>
      </c>
      <c r="O110" s="142" t="s">
        <v>10956</v>
      </c>
      <c r="P110" s="142" t="s">
        <v>2863</v>
      </c>
      <c r="Q110" s="173">
        <v>1.0</v>
      </c>
      <c r="R110" s="477"/>
      <c r="S110" s="271" t="s">
        <v>1844</v>
      </c>
      <c r="T110" s="141"/>
    </row>
    <row r="111">
      <c r="A111" s="173">
        <v>107.0</v>
      </c>
      <c r="B111" s="173" t="s">
        <v>670</v>
      </c>
      <c r="C111" s="142" t="s">
        <v>1926</v>
      </c>
      <c r="D111" s="173" t="s">
        <v>10766</v>
      </c>
      <c r="E111" s="173" t="s">
        <v>10766</v>
      </c>
      <c r="F111" s="476" t="s">
        <v>739</v>
      </c>
      <c r="G111" s="142" t="s">
        <v>803</v>
      </c>
      <c r="H111" s="142" t="s">
        <v>1926</v>
      </c>
      <c r="I111" s="173" t="s">
        <v>679</v>
      </c>
      <c r="J111" s="173" t="s">
        <v>225</v>
      </c>
      <c r="K111" s="173" t="s">
        <v>1926</v>
      </c>
      <c r="L111" s="173" t="s">
        <v>10957</v>
      </c>
      <c r="M111" s="173" t="str">
        <f>IFS(L111="","",L111="n/a","N/A",LEN(L111),LOWER(Concatenate("{",char(34),"asset",char(34),":{",char(34),"guid",char(34),":",char(34),L111,char(34),",",char(34),"site",char(34),":",char(34),'2-Building'!$B$4,char(34),",",char(34),"name",char(34),":",char(34),K111,char(34),"}}")))</f>
        <v>{"asset":{"guid":"uuid://f688ba02-a1e9-475c-891b-8d26b3b5daf1","site":"in-blr-ananta","name":"hvaccp-11"}}</v>
      </c>
      <c r="N111" s="142" t="s">
        <v>10958</v>
      </c>
      <c r="O111" s="142" t="s">
        <v>10959</v>
      </c>
      <c r="P111" s="142" t="s">
        <v>2863</v>
      </c>
      <c r="Q111" s="173">
        <v>1.0</v>
      </c>
      <c r="R111" s="477"/>
      <c r="S111" s="271" t="s">
        <v>1844</v>
      </c>
      <c r="T111" s="141"/>
    </row>
    <row r="112">
      <c r="A112" s="173">
        <v>108.0</v>
      </c>
      <c r="B112" s="173" t="s">
        <v>670</v>
      </c>
      <c r="C112" s="142" t="s">
        <v>1931</v>
      </c>
      <c r="D112" s="173" t="s">
        <v>10766</v>
      </c>
      <c r="E112" s="173" t="s">
        <v>10766</v>
      </c>
      <c r="F112" s="476" t="s">
        <v>739</v>
      </c>
      <c r="G112" s="142" t="s">
        <v>803</v>
      </c>
      <c r="H112" s="142" t="s">
        <v>1931</v>
      </c>
      <c r="I112" s="173" t="s">
        <v>679</v>
      </c>
      <c r="J112" s="173" t="s">
        <v>225</v>
      </c>
      <c r="K112" s="173" t="s">
        <v>1931</v>
      </c>
      <c r="L112" s="173" t="s">
        <v>10960</v>
      </c>
      <c r="M112" s="173" t="str">
        <f>IFS(L112="","",L112="n/a","N/A",LEN(L112),LOWER(Concatenate("{",char(34),"asset",char(34),":{",char(34),"guid",char(34),":",char(34),L112,char(34),",",char(34),"site",char(34),":",char(34),'2-Building'!$B$4,char(34),",",char(34),"name",char(34),":",char(34),K112,char(34),"}}")))</f>
        <v>{"asset":{"guid":"uuid://86d7c503-67da-41c7-9a7b-1bf404750b49","site":"in-blr-ananta","name":"hvaccp-12"}}</v>
      </c>
      <c r="N112" s="142" t="s">
        <v>10961</v>
      </c>
      <c r="O112" s="142" t="s">
        <v>10946</v>
      </c>
      <c r="P112" s="142" t="s">
        <v>2863</v>
      </c>
      <c r="Q112" s="173">
        <v>2.0</v>
      </c>
      <c r="R112" s="477"/>
      <c r="S112" s="271" t="s">
        <v>1844</v>
      </c>
      <c r="T112" s="141"/>
    </row>
    <row r="113">
      <c r="A113" s="173">
        <v>109.0</v>
      </c>
      <c r="B113" s="173" t="s">
        <v>670</v>
      </c>
      <c r="C113" s="142" t="s">
        <v>1941</v>
      </c>
      <c r="D113" s="173" t="s">
        <v>10766</v>
      </c>
      <c r="E113" s="173" t="s">
        <v>10766</v>
      </c>
      <c r="F113" s="476" t="s">
        <v>739</v>
      </c>
      <c r="G113" s="142" t="s">
        <v>803</v>
      </c>
      <c r="H113" s="142" t="s">
        <v>1941</v>
      </c>
      <c r="I113" s="173" t="s">
        <v>679</v>
      </c>
      <c r="J113" s="173" t="s">
        <v>225</v>
      </c>
      <c r="K113" s="173" t="s">
        <v>1941</v>
      </c>
      <c r="L113" s="173" t="s">
        <v>10962</v>
      </c>
      <c r="M113" s="173" t="str">
        <f>IFS(L113="","",L113="n/a","N/A",LEN(L113),LOWER(Concatenate("{",char(34),"asset",char(34),":{",char(34),"guid",char(34),":",char(34),L113,char(34),",",char(34),"site",char(34),":",char(34),'2-Building'!$B$4,char(34),",",char(34),"name",char(34),":",char(34),K113,char(34),"}}")))</f>
        <v>{"asset":{"guid":"uuid://8a4e2b7f-ebd2-48cd-85ed-db89918b40b4","site":"in-blr-ananta","name":"hvaccp-13"}}</v>
      </c>
      <c r="N113" s="142" t="s">
        <v>10963</v>
      </c>
      <c r="O113" s="142"/>
      <c r="P113" s="142" t="s">
        <v>2863</v>
      </c>
      <c r="Q113" s="173">
        <v>1.0</v>
      </c>
      <c r="R113" s="477"/>
      <c r="S113" s="271" t="s">
        <v>1844</v>
      </c>
      <c r="T113" s="141"/>
    </row>
    <row r="114">
      <c r="A114" s="173">
        <v>110.0</v>
      </c>
      <c r="B114" s="173" t="s">
        <v>670</v>
      </c>
      <c r="C114" s="142" t="s">
        <v>1947</v>
      </c>
      <c r="D114" s="173" t="s">
        <v>10766</v>
      </c>
      <c r="E114" s="173" t="s">
        <v>10766</v>
      </c>
      <c r="F114" s="476" t="s">
        <v>739</v>
      </c>
      <c r="G114" s="142" t="s">
        <v>803</v>
      </c>
      <c r="H114" s="142" t="s">
        <v>1947</v>
      </c>
      <c r="I114" s="173" t="s">
        <v>679</v>
      </c>
      <c r="J114" s="173" t="s">
        <v>225</v>
      </c>
      <c r="K114" s="173" t="s">
        <v>1947</v>
      </c>
      <c r="L114" s="173" t="s">
        <v>10964</v>
      </c>
      <c r="M114" s="173" t="str">
        <f>IFS(L114="","",L114="n/a","N/A",LEN(L114),LOWER(Concatenate("{",char(34),"asset",char(34),":{",char(34),"guid",char(34),":",char(34),L114,char(34),",",char(34),"site",char(34),":",char(34),'2-Building'!$B$4,char(34),",",char(34),"name",char(34),":",char(34),K114,char(34),"}}")))</f>
        <v>{"asset":{"guid":"uuid://49df1c70-0fb6-4554-b088-88882ec234a3","site":"in-blr-ananta","name":"hvaccp-14"}}</v>
      </c>
      <c r="N114" s="142" t="s">
        <v>10965</v>
      </c>
      <c r="O114" s="142" t="s">
        <v>10966</v>
      </c>
      <c r="P114" s="142" t="s">
        <v>2863</v>
      </c>
      <c r="Q114" s="173">
        <v>2.0</v>
      </c>
      <c r="R114" s="477"/>
      <c r="S114" s="271" t="s">
        <v>1844</v>
      </c>
      <c r="T114" s="141"/>
    </row>
    <row r="115">
      <c r="A115" s="173">
        <v>111.0</v>
      </c>
      <c r="B115" s="173" t="s">
        <v>670</v>
      </c>
      <c r="C115" s="142" t="s">
        <v>1957</v>
      </c>
      <c r="D115" s="173" t="s">
        <v>10766</v>
      </c>
      <c r="E115" s="173" t="s">
        <v>10766</v>
      </c>
      <c r="F115" s="476" t="s">
        <v>846</v>
      </c>
      <c r="G115" s="142">
        <v>163.0</v>
      </c>
      <c r="H115" s="142" t="s">
        <v>1957</v>
      </c>
      <c r="I115" s="173" t="s">
        <v>679</v>
      </c>
      <c r="J115" s="173" t="s">
        <v>225</v>
      </c>
      <c r="K115" s="173" t="s">
        <v>1957</v>
      </c>
      <c r="L115" s="173" t="s">
        <v>10967</v>
      </c>
      <c r="M115" s="173" t="str">
        <f>IFS(L115="","",L115="n/a","N/A",LEN(L115),LOWER(Concatenate("{",char(34),"asset",char(34),":{",char(34),"guid",char(34),":",char(34),L115,char(34),",",char(34),"site",char(34),":",char(34),'2-Building'!$B$4,char(34),",",char(34),"name",char(34),":",char(34),K115,char(34),"}}")))</f>
        <v>{"asset":{"guid":"uuid://6bedd5a8-7761-43e7-9552-ce111c9df5d4","site":"in-blr-ananta","name":"hvaccp-15"}}</v>
      </c>
      <c r="N115" s="142" t="s">
        <v>10968</v>
      </c>
      <c r="O115" s="142" t="s">
        <v>10956</v>
      </c>
      <c r="P115" s="142" t="s">
        <v>2863</v>
      </c>
      <c r="Q115" s="173">
        <v>2.0</v>
      </c>
      <c r="R115" s="477"/>
      <c r="S115" s="271" t="s">
        <v>1844</v>
      </c>
      <c r="T115" s="141"/>
    </row>
    <row r="116">
      <c r="A116" s="173">
        <v>112.0</v>
      </c>
      <c r="B116" s="173" t="s">
        <v>670</v>
      </c>
      <c r="C116" s="142" t="s">
        <v>1967</v>
      </c>
      <c r="D116" s="173" t="s">
        <v>10766</v>
      </c>
      <c r="E116" s="173" t="s">
        <v>10766</v>
      </c>
      <c r="F116" s="476" t="s">
        <v>846</v>
      </c>
      <c r="G116" s="142" t="s">
        <v>867</v>
      </c>
      <c r="H116" s="142" t="s">
        <v>1967</v>
      </c>
      <c r="I116" s="173" t="s">
        <v>679</v>
      </c>
      <c r="J116" s="173" t="s">
        <v>225</v>
      </c>
      <c r="K116" s="173" t="s">
        <v>1967</v>
      </c>
      <c r="L116" s="173" t="s">
        <v>10969</v>
      </c>
      <c r="M116" s="173" t="str">
        <f>IFS(L116="","",L116="n/a","N/A",LEN(L116),LOWER(Concatenate("{",char(34),"asset",char(34),":{",char(34),"guid",char(34),":",char(34),L116,char(34),",",char(34),"site",char(34),":",char(34),'2-Building'!$B$4,char(34),",",char(34),"name",char(34),":",char(34),K116,char(34),"}}")))</f>
        <v>{"asset":{"guid":"uuid://c78563b5-7d4b-4942-bbc2-da0fd9108cbe","site":"in-blr-ananta","name":"hvaccp-16"}}</v>
      </c>
      <c r="N116" s="142" t="s">
        <v>10942</v>
      </c>
      <c r="O116" s="142" t="s">
        <v>10938</v>
      </c>
      <c r="P116" s="142" t="s">
        <v>2863</v>
      </c>
      <c r="Q116" s="173">
        <v>2.0</v>
      </c>
      <c r="R116" s="477"/>
      <c r="S116" s="271" t="s">
        <v>1844</v>
      </c>
      <c r="T116" s="141"/>
    </row>
    <row r="117">
      <c r="A117" s="173">
        <v>113.0</v>
      </c>
      <c r="B117" s="173" t="s">
        <v>670</v>
      </c>
      <c r="C117" s="142" t="s">
        <v>1977</v>
      </c>
      <c r="D117" s="173" t="s">
        <v>10766</v>
      </c>
      <c r="E117" s="173" t="s">
        <v>10766</v>
      </c>
      <c r="F117" s="476" t="s">
        <v>846</v>
      </c>
      <c r="G117" s="142" t="s">
        <v>878</v>
      </c>
      <c r="H117" s="142" t="s">
        <v>1977</v>
      </c>
      <c r="I117" s="173" t="s">
        <v>679</v>
      </c>
      <c r="J117" s="173" t="s">
        <v>225</v>
      </c>
      <c r="K117" s="173" t="s">
        <v>1977</v>
      </c>
      <c r="L117" s="173" t="s">
        <v>10970</v>
      </c>
      <c r="M117" s="173" t="str">
        <f>IFS(L117="","",L117="n/a","N/A",LEN(L117),LOWER(Concatenate("{",char(34),"asset",char(34),":{",char(34),"guid",char(34),":",char(34),L117,char(34),",",char(34),"site",char(34),":",char(34),'2-Building'!$B$4,char(34),",",char(34),"name",char(34),":",char(34),K117,char(34),"}}")))</f>
        <v>{"asset":{"guid":"uuid://424dcc97-931f-447a-95d2-fd325aa80a3e","site":"in-blr-ananta","name":"hvaccp-17"}}</v>
      </c>
      <c r="N117" s="142" t="s">
        <v>10958</v>
      </c>
      <c r="O117" s="142" t="s">
        <v>10959</v>
      </c>
      <c r="P117" s="142" t="s">
        <v>2863</v>
      </c>
      <c r="Q117" s="173">
        <v>1.0</v>
      </c>
      <c r="R117" s="477"/>
      <c r="S117" s="271" t="s">
        <v>1844</v>
      </c>
      <c r="T117" s="141"/>
    </row>
    <row r="118">
      <c r="A118" s="173">
        <v>114.0</v>
      </c>
      <c r="B118" s="173" t="s">
        <v>670</v>
      </c>
      <c r="C118" s="142" t="s">
        <v>1987</v>
      </c>
      <c r="D118" s="173" t="s">
        <v>10766</v>
      </c>
      <c r="E118" s="173" t="s">
        <v>10766</v>
      </c>
      <c r="F118" s="476" t="s">
        <v>846</v>
      </c>
      <c r="G118" s="142">
        <v>163.0</v>
      </c>
      <c r="H118" s="142" t="s">
        <v>1987</v>
      </c>
      <c r="I118" s="173" t="s">
        <v>679</v>
      </c>
      <c r="J118" s="173" t="s">
        <v>225</v>
      </c>
      <c r="K118" s="173" t="s">
        <v>1987</v>
      </c>
      <c r="L118" s="173" t="s">
        <v>10971</v>
      </c>
      <c r="M118" s="173" t="str">
        <f>IFS(L118="","",L118="n/a","N/A",LEN(L118),LOWER(Concatenate("{",char(34),"asset",char(34),":{",char(34),"guid",char(34),":",char(34),L118,char(34),",",char(34),"site",char(34),":",char(34),'2-Building'!$B$4,char(34),",",char(34),"name",char(34),":",char(34),K118,char(34),"}}")))</f>
        <v>{"asset":{"guid":"uuid://8dca5a90-a4c7-4713-88c6-76ebbbb14c68","site":"in-blr-ananta","name":"hvaccp-18"}}</v>
      </c>
      <c r="N118" s="142" t="s">
        <v>10972</v>
      </c>
      <c r="O118" s="142" t="s">
        <v>10938</v>
      </c>
      <c r="P118" s="142" t="s">
        <v>2863</v>
      </c>
      <c r="Q118" s="173">
        <v>2.0</v>
      </c>
      <c r="R118" s="477"/>
      <c r="S118" s="271" t="s">
        <v>1844</v>
      </c>
      <c r="T118" s="141"/>
    </row>
    <row r="119">
      <c r="A119" s="173">
        <v>115.0</v>
      </c>
      <c r="B119" s="173" t="s">
        <v>670</v>
      </c>
      <c r="C119" s="142" t="s">
        <v>1998</v>
      </c>
      <c r="D119" s="173" t="s">
        <v>10766</v>
      </c>
      <c r="E119" s="173" t="s">
        <v>10766</v>
      </c>
      <c r="F119" s="476" t="s">
        <v>846</v>
      </c>
      <c r="G119" s="142" t="s">
        <v>896</v>
      </c>
      <c r="H119" s="142" t="s">
        <v>1998</v>
      </c>
      <c r="I119" s="173" t="s">
        <v>679</v>
      </c>
      <c r="J119" s="173" t="s">
        <v>225</v>
      </c>
      <c r="K119" s="173" t="s">
        <v>1998</v>
      </c>
      <c r="L119" s="173" t="s">
        <v>10973</v>
      </c>
      <c r="M119" s="173" t="str">
        <f>IFS(L119="","",L119="n/a","N/A",LEN(L119),LOWER(Concatenate("{",char(34),"asset",char(34),":{",char(34),"guid",char(34),":",char(34),L119,char(34),",",char(34),"site",char(34),":",char(34),'2-Building'!$B$4,char(34),",",char(34),"name",char(34),":",char(34),K119,char(34),"}}")))</f>
        <v>{"asset":{"guid":"uuid://a777b265-8488-4071-9be2-45f71fee834d","site":"in-blr-ananta","name":"hvaccp-19"}}</v>
      </c>
      <c r="N119" s="142" t="s">
        <v>10974</v>
      </c>
      <c r="O119" s="142" t="s">
        <v>10946</v>
      </c>
      <c r="P119" s="142" t="s">
        <v>2863</v>
      </c>
      <c r="Q119" s="173">
        <v>2.0</v>
      </c>
      <c r="R119" s="477"/>
      <c r="S119" s="271" t="s">
        <v>1844</v>
      </c>
      <c r="T119" s="141"/>
    </row>
    <row r="120">
      <c r="A120" s="173">
        <v>116.0</v>
      </c>
      <c r="B120" s="173" t="s">
        <v>670</v>
      </c>
      <c r="C120" s="142" t="s">
        <v>2008</v>
      </c>
      <c r="D120" s="173" t="s">
        <v>10766</v>
      </c>
      <c r="E120" s="173" t="s">
        <v>10766</v>
      </c>
      <c r="F120" s="476" t="s">
        <v>846</v>
      </c>
      <c r="G120" s="142" t="s">
        <v>889</v>
      </c>
      <c r="H120" s="142" t="s">
        <v>2008</v>
      </c>
      <c r="I120" s="173" t="s">
        <v>679</v>
      </c>
      <c r="J120" s="173" t="s">
        <v>225</v>
      </c>
      <c r="K120" s="173" t="s">
        <v>2008</v>
      </c>
      <c r="L120" s="173" t="s">
        <v>10975</v>
      </c>
      <c r="M120" s="173" t="str">
        <f>IFS(L120="","",L120="n/a","N/A",LEN(L120),LOWER(Concatenate("{",char(34),"asset",char(34),":{",char(34),"guid",char(34),":",char(34),L120,char(34),",",char(34),"site",char(34),":",char(34),'2-Building'!$B$4,char(34),",",char(34),"name",char(34),":",char(34),K120,char(34),"}}")))</f>
        <v>{"asset":{"guid":"uuid://fffa4762-b191-4fdb-9ac3-f1e6438d50e7","site":"in-blr-ananta","name":"hvaccp-20"}}</v>
      </c>
      <c r="N120" s="142" t="s">
        <v>10976</v>
      </c>
      <c r="O120" s="142" t="s">
        <v>10966</v>
      </c>
      <c r="P120" s="142" t="s">
        <v>2863</v>
      </c>
      <c r="Q120" s="173">
        <v>2.0</v>
      </c>
      <c r="R120" s="477"/>
      <c r="S120" s="271" t="s">
        <v>1844</v>
      </c>
      <c r="T120" s="141"/>
    </row>
    <row r="121">
      <c r="A121" s="173">
        <v>117.0</v>
      </c>
      <c r="B121" s="173" t="s">
        <v>670</v>
      </c>
      <c r="C121" s="142" t="s">
        <v>2018</v>
      </c>
      <c r="D121" s="173" t="s">
        <v>10766</v>
      </c>
      <c r="E121" s="173" t="s">
        <v>10766</v>
      </c>
      <c r="F121" s="476" t="s">
        <v>846</v>
      </c>
      <c r="G121" s="142">
        <v>263.0</v>
      </c>
      <c r="H121" s="142" t="s">
        <v>2018</v>
      </c>
      <c r="I121" s="173" t="s">
        <v>679</v>
      </c>
      <c r="J121" s="173" t="s">
        <v>225</v>
      </c>
      <c r="K121" s="173" t="s">
        <v>2018</v>
      </c>
      <c r="L121" s="173" t="s">
        <v>10977</v>
      </c>
      <c r="M121" s="173" t="str">
        <f>IFS(L121="","",L121="n/a","N/A",LEN(L121),LOWER(Concatenate("{",char(34),"asset",char(34),":{",char(34),"guid",char(34),":",char(34),L121,char(34),",",char(34),"site",char(34),":",char(34),'2-Building'!$B$4,char(34),",",char(34),"name",char(34),":",char(34),K121,char(34),"}}")))</f>
        <v>{"asset":{"guid":"uuid://096e921b-f2fe-494b-af88-0c3bc36d0ac1","site":"in-blr-ananta","name":"hvaccp-21"}}</v>
      </c>
      <c r="N121" s="142" t="s">
        <v>10942</v>
      </c>
      <c r="O121" s="142" t="s">
        <v>10938</v>
      </c>
      <c r="P121" s="142" t="s">
        <v>2863</v>
      </c>
      <c r="Q121" s="173">
        <v>2.0</v>
      </c>
      <c r="R121" s="477"/>
      <c r="S121" s="271" t="s">
        <v>1844</v>
      </c>
      <c r="T121" s="141"/>
    </row>
    <row r="122">
      <c r="A122" s="173">
        <v>118.0</v>
      </c>
      <c r="B122" s="173" t="s">
        <v>670</v>
      </c>
      <c r="C122" s="142" t="s">
        <v>2028</v>
      </c>
      <c r="D122" s="173" t="s">
        <v>10766</v>
      </c>
      <c r="E122" s="173" t="s">
        <v>10766</v>
      </c>
      <c r="F122" s="476" t="s">
        <v>902</v>
      </c>
      <c r="G122" s="142">
        <v>219.0</v>
      </c>
      <c r="H122" s="142" t="s">
        <v>2028</v>
      </c>
      <c r="I122" s="173" t="s">
        <v>679</v>
      </c>
      <c r="J122" s="173" t="s">
        <v>225</v>
      </c>
      <c r="K122" s="173" t="s">
        <v>2028</v>
      </c>
      <c r="L122" s="173" t="s">
        <v>10978</v>
      </c>
      <c r="M122" s="173" t="str">
        <f>IFS(L122="","",L122="n/a","N/A",LEN(L122),LOWER(Concatenate("{",char(34),"asset",char(34),":{",char(34),"guid",char(34),":",char(34),L122,char(34),",",char(34),"site",char(34),":",char(34),'2-Building'!$B$4,char(34),",",char(34),"name",char(34),":",char(34),K122,char(34),"}}")))</f>
        <v>{"asset":{"guid":"uuid://40e124f5-d5e9-47e8-a073-26e8c08ac326","site":"in-blr-ananta","name":"hvaccp-22"}}</v>
      </c>
      <c r="N122" s="142" t="s">
        <v>10976</v>
      </c>
      <c r="O122" s="142" t="s">
        <v>10966</v>
      </c>
      <c r="P122" s="142" t="s">
        <v>2863</v>
      </c>
      <c r="Q122" s="173">
        <v>2.0</v>
      </c>
      <c r="R122" s="477"/>
      <c r="S122" s="271" t="s">
        <v>1844</v>
      </c>
      <c r="T122" s="141"/>
    </row>
    <row r="123">
      <c r="A123" s="173">
        <v>119.0</v>
      </c>
      <c r="B123" s="173" t="s">
        <v>670</v>
      </c>
      <c r="C123" s="142" t="s">
        <v>2038</v>
      </c>
      <c r="D123" s="173" t="s">
        <v>10766</v>
      </c>
      <c r="E123" s="173" t="s">
        <v>10766</v>
      </c>
      <c r="F123" s="476" t="s">
        <v>902</v>
      </c>
      <c r="G123" s="142">
        <v>248.0</v>
      </c>
      <c r="H123" s="142" t="s">
        <v>2038</v>
      </c>
      <c r="I123" s="173" t="s">
        <v>679</v>
      </c>
      <c r="J123" s="173" t="s">
        <v>225</v>
      </c>
      <c r="K123" s="173" t="s">
        <v>2038</v>
      </c>
      <c r="L123" s="173" t="s">
        <v>10979</v>
      </c>
      <c r="M123" s="173" t="str">
        <f>IFS(L123="","",L123="n/a","N/A",LEN(L123),LOWER(Concatenate("{",char(34),"asset",char(34),":{",char(34),"guid",char(34),":",char(34),L123,char(34),",",char(34),"site",char(34),":",char(34),'2-Building'!$B$4,char(34),",",char(34),"name",char(34),":",char(34),K123,char(34),"}}")))</f>
        <v>{"asset":{"guid":"uuid://784e8e75-b5fc-40c7-bc53-e0abcf4575c8","site":"in-blr-ananta","name":"hvaccp-23"}}</v>
      </c>
      <c r="N123" s="142" t="s">
        <v>10976</v>
      </c>
      <c r="O123" s="142" t="s">
        <v>10966</v>
      </c>
      <c r="P123" s="142" t="s">
        <v>2863</v>
      </c>
      <c r="Q123" s="173">
        <v>2.0</v>
      </c>
      <c r="R123" s="477"/>
      <c r="S123" s="271" t="s">
        <v>1844</v>
      </c>
      <c r="T123" s="141"/>
    </row>
    <row r="124">
      <c r="A124" s="173">
        <v>120.0</v>
      </c>
      <c r="B124" s="173" t="s">
        <v>670</v>
      </c>
      <c r="C124" s="142" t="s">
        <v>2048</v>
      </c>
      <c r="D124" s="173" t="s">
        <v>10766</v>
      </c>
      <c r="E124" s="173" t="s">
        <v>10766</v>
      </c>
      <c r="F124" s="476" t="s">
        <v>902</v>
      </c>
      <c r="G124" s="142">
        <v>275.0</v>
      </c>
      <c r="H124" s="142" t="s">
        <v>2048</v>
      </c>
      <c r="I124" s="173" t="s">
        <v>679</v>
      </c>
      <c r="J124" s="173" t="s">
        <v>225</v>
      </c>
      <c r="K124" s="173" t="s">
        <v>2048</v>
      </c>
      <c r="L124" s="173" t="s">
        <v>10980</v>
      </c>
      <c r="M124" s="173" t="str">
        <f>IFS(L124="","",L124="n/a","N/A",LEN(L124),LOWER(Concatenate("{",char(34),"asset",char(34),":{",char(34),"guid",char(34),":",char(34),L124,char(34),",",char(34),"site",char(34),":",char(34),'2-Building'!$B$4,char(34),",",char(34),"name",char(34),":",char(34),K124,char(34),"}}")))</f>
        <v>{"asset":{"guid":"uuid://5b8c6b71-c77a-4776-bcf4-398688d230e3","site":"in-blr-ananta","name":"hvaccp-24"}}</v>
      </c>
      <c r="N124" s="142" t="s">
        <v>10972</v>
      </c>
      <c r="O124" s="142" t="s">
        <v>10938</v>
      </c>
      <c r="P124" s="142" t="s">
        <v>2863</v>
      </c>
      <c r="Q124" s="173">
        <v>2.0</v>
      </c>
      <c r="R124" s="477"/>
      <c r="S124" s="271" t="s">
        <v>1844</v>
      </c>
      <c r="T124" s="141"/>
    </row>
    <row r="125">
      <c r="A125" s="173">
        <v>121.0</v>
      </c>
      <c r="B125" s="173" t="s">
        <v>670</v>
      </c>
      <c r="C125" s="142" t="s">
        <v>2058</v>
      </c>
      <c r="D125" s="173" t="s">
        <v>10766</v>
      </c>
      <c r="E125" s="173" t="s">
        <v>10766</v>
      </c>
      <c r="F125" s="476" t="s">
        <v>902</v>
      </c>
      <c r="G125" s="142">
        <v>234.0</v>
      </c>
      <c r="H125" s="142" t="s">
        <v>2058</v>
      </c>
      <c r="I125" s="173" t="s">
        <v>679</v>
      </c>
      <c r="J125" s="173" t="s">
        <v>225</v>
      </c>
      <c r="K125" s="173" t="s">
        <v>2058</v>
      </c>
      <c r="L125" s="173" t="s">
        <v>10981</v>
      </c>
      <c r="M125" s="173" t="str">
        <f>IFS(L125="","",L125="n/a","N/A",LEN(L125),LOWER(Concatenate("{",char(34),"asset",char(34),":{",char(34),"guid",char(34),":",char(34),L125,char(34),",",char(34),"site",char(34),":",char(34),'2-Building'!$B$4,char(34),",",char(34),"name",char(34),":",char(34),K125,char(34),"}}")))</f>
        <v>{"asset":{"guid":"uuid://10c92143-66e3-43cb-88d4-90c1d3b93bcd","site":"in-blr-ananta","name":"hvaccp-25"}}</v>
      </c>
      <c r="N125" s="142" t="s">
        <v>10965</v>
      </c>
      <c r="O125" s="142" t="s">
        <v>10966</v>
      </c>
      <c r="P125" s="142" t="s">
        <v>2863</v>
      </c>
      <c r="Q125" s="173">
        <v>2.0</v>
      </c>
      <c r="R125" s="477"/>
      <c r="S125" s="271" t="s">
        <v>1844</v>
      </c>
      <c r="T125" s="141"/>
    </row>
    <row r="126">
      <c r="A126" s="173">
        <v>122.0</v>
      </c>
      <c r="B126" s="173" t="s">
        <v>670</v>
      </c>
      <c r="C126" s="142" t="s">
        <v>2068</v>
      </c>
      <c r="D126" s="173" t="s">
        <v>10766</v>
      </c>
      <c r="E126" s="173" t="s">
        <v>10766</v>
      </c>
      <c r="F126" s="476" t="s">
        <v>902</v>
      </c>
      <c r="G126" s="142">
        <v>233.0</v>
      </c>
      <c r="H126" s="142" t="s">
        <v>2068</v>
      </c>
      <c r="I126" s="173" t="s">
        <v>679</v>
      </c>
      <c r="J126" s="173" t="s">
        <v>225</v>
      </c>
      <c r="K126" s="173" t="s">
        <v>2068</v>
      </c>
      <c r="L126" s="173" t="s">
        <v>10982</v>
      </c>
      <c r="M126" s="173" t="str">
        <f>IFS(L126="","",L126="n/a","N/A",LEN(L126),LOWER(Concatenate("{",char(34),"asset",char(34),":{",char(34),"guid",char(34),":",char(34),L126,char(34),",",char(34),"site",char(34),":",char(34),'2-Building'!$B$4,char(34),",",char(34),"name",char(34),":",char(34),K126,char(34),"}}")))</f>
        <v>{"asset":{"guid":"uuid://95cc9195-2236-498e-a95e-1e5a9fdb1538","site":"in-blr-ananta","name":"hvaccp-26"}}</v>
      </c>
      <c r="N126" s="142" t="s">
        <v>10972</v>
      </c>
      <c r="O126" s="142" t="s">
        <v>10938</v>
      </c>
      <c r="P126" s="142" t="s">
        <v>2863</v>
      </c>
      <c r="Q126" s="173">
        <v>2.0</v>
      </c>
      <c r="R126" s="477"/>
      <c r="S126" s="271" t="s">
        <v>1844</v>
      </c>
      <c r="T126" s="141"/>
    </row>
    <row r="127">
      <c r="A127" s="173">
        <v>123.0</v>
      </c>
      <c r="B127" s="173" t="s">
        <v>670</v>
      </c>
      <c r="C127" s="142" t="s">
        <v>2079</v>
      </c>
      <c r="D127" s="173" t="s">
        <v>10766</v>
      </c>
      <c r="E127" s="173" t="s">
        <v>10766</v>
      </c>
      <c r="F127" s="476" t="s">
        <v>965</v>
      </c>
      <c r="G127" s="142">
        <v>363.0</v>
      </c>
      <c r="H127" s="142" t="s">
        <v>2079</v>
      </c>
      <c r="I127" s="173" t="s">
        <v>679</v>
      </c>
      <c r="J127" s="173" t="s">
        <v>225</v>
      </c>
      <c r="K127" s="173" t="s">
        <v>2079</v>
      </c>
      <c r="L127" s="173" t="s">
        <v>10983</v>
      </c>
      <c r="M127" s="173" t="str">
        <f>IFS(L127="","",L127="n/a","N/A",LEN(L127),LOWER(Concatenate("{",char(34),"asset",char(34),":{",char(34),"guid",char(34),":",char(34),L127,char(34),",",char(34),"site",char(34),":",char(34),'2-Building'!$B$4,char(34),",",char(34),"name",char(34),":",char(34),K127,char(34),"}}")))</f>
        <v>{"asset":{"guid":"uuid://ff3a4a1b-422c-4a93-b5a9-79f74fda87c0","site":"in-blr-ananta","name":"hvaccp-27"}}</v>
      </c>
      <c r="N127" s="142" t="s">
        <v>10984</v>
      </c>
      <c r="O127" s="142"/>
      <c r="P127" s="142" t="s">
        <v>2863</v>
      </c>
      <c r="Q127" s="173">
        <v>3.0</v>
      </c>
      <c r="R127" s="477"/>
      <c r="S127" s="271" t="s">
        <v>1844</v>
      </c>
      <c r="T127" s="141"/>
    </row>
    <row r="128">
      <c r="A128" s="173">
        <v>124.0</v>
      </c>
      <c r="B128" s="173" t="s">
        <v>670</v>
      </c>
      <c r="C128" s="142" t="s">
        <v>2094</v>
      </c>
      <c r="D128" s="173" t="s">
        <v>10766</v>
      </c>
      <c r="E128" s="173" t="s">
        <v>10766</v>
      </c>
      <c r="F128" s="476" t="s">
        <v>965</v>
      </c>
      <c r="G128" s="142">
        <v>363.0</v>
      </c>
      <c r="H128" s="142" t="s">
        <v>2094</v>
      </c>
      <c r="I128" s="173" t="s">
        <v>679</v>
      </c>
      <c r="J128" s="173" t="s">
        <v>225</v>
      </c>
      <c r="K128" s="173" t="s">
        <v>2094</v>
      </c>
      <c r="L128" s="173" t="s">
        <v>10985</v>
      </c>
      <c r="M128" s="173" t="str">
        <f>IFS(L128="","",L128="n/a","N/A",LEN(L128),LOWER(Concatenate("{",char(34),"asset",char(34),":{",char(34),"guid",char(34),":",char(34),L128,char(34),",",char(34),"site",char(34),":",char(34),'2-Building'!$B$4,char(34),",",char(34),"name",char(34),":",char(34),K128,char(34),"}}")))</f>
        <v>{"asset":{"guid":"uuid://6df1ae25-561c-43b9-b64d-a80107516906","site":"in-blr-ananta","name":"hvaccp-28"}}</v>
      </c>
      <c r="N128" s="142" t="s">
        <v>10940</v>
      </c>
      <c r="O128" s="142" t="s">
        <v>10935</v>
      </c>
      <c r="P128" s="142" t="s">
        <v>2863</v>
      </c>
      <c r="Q128" s="173">
        <v>1.0</v>
      </c>
      <c r="R128" s="477"/>
      <c r="S128" s="271" t="s">
        <v>1844</v>
      </c>
      <c r="T128" s="141"/>
    </row>
    <row r="129">
      <c r="A129" s="173">
        <v>125.0</v>
      </c>
      <c r="B129" s="173" t="s">
        <v>670</v>
      </c>
      <c r="C129" s="142" t="s">
        <v>2099</v>
      </c>
      <c r="D129" s="173" t="s">
        <v>10766</v>
      </c>
      <c r="E129" s="173" t="s">
        <v>10766</v>
      </c>
      <c r="F129" s="476" t="s">
        <v>965</v>
      </c>
      <c r="G129" s="142">
        <v>319.0</v>
      </c>
      <c r="H129" s="142" t="s">
        <v>2099</v>
      </c>
      <c r="I129" s="173" t="s">
        <v>679</v>
      </c>
      <c r="J129" s="173" t="s">
        <v>225</v>
      </c>
      <c r="K129" s="173" t="s">
        <v>2099</v>
      </c>
      <c r="L129" s="173" t="s">
        <v>10986</v>
      </c>
      <c r="M129" s="173" t="str">
        <f>IFS(L129="","",L129="n/a","N/A",LEN(L129),LOWER(Concatenate("{",char(34),"asset",char(34),":{",char(34),"guid",char(34),":",char(34),L129,char(34),",",char(34),"site",char(34),":",char(34),'2-Building'!$B$4,char(34),",",char(34),"name",char(34),":",char(34),K129,char(34),"}}")))</f>
        <v>{"asset":{"guid":"uuid://1a38bbf1-207c-4d53-9958-b1b9e56180c0","site":"in-blr-ananta","name":"hvaccp-29"}}</v>
      </c>
      <c r="N129" s="142" t="s">
        <v>10987</v>
      </c>
      <c r="O129" s="142" t="s">
        <v>10959</v>
      </c>
      <c r="P129" s="142" t="s">
        <v>2863</v>
      </c>
      <c r="Q129" s="173">
        <v>2.0</v>
      </c>
      <c r="R129" s="477"/>
      <c r="S129" s="271" t="s">
        <v>1844</v>
      </c>
      <c r="T129" s="141"/>
    </row>
    <row r="130">
      <c r="A130" s="173">
        <v>126.0</v>
      </c>
      <c r="B130" s="173" t="s">
        <v>670</v>
      </c>
      <c r="C130" s="142" t="s">
        <v>2109</v>
      </c>
      <c r="D130" s="173" t="s">
        <v>10766</v>
      </c>
      <c r="E130" s="173" t="s">
        <v>10766</v>
      </c>
      <c r="F130" s="476" t="s">
        <v>965</v>
      </c>
      <c r="G130" s="142">
        <v>348.0</v>
      </c>
      <c r="H130" s="142" t="s">
        <v>2109</v>
      </c>
      <c r="I130" s="173" t="s">
        <v>679</v>
      </c>
      <c r="J130" s="173" t="s">
        <v>225</v>
      </c>
      <c r="K130" s="173" t="s">
        <v>2109</v>
      </c>
      <c r="L130" s="173" t="s">
        <v>10988</v>
      </c>
      <c r="M130" s="173" t="str">
        <f>IFS(L130="","",L130="n/a","N/A",LEN(L130),LOWER(Concatenate("{",char(34),"asset",char(34),":{",char(34),"guid",char(34),":",char(34),L130,char(34),",",char(34),"site",char(34),":",char(34),'2-Building'!$B$4,char(34),",",char(34),"name",char(34),":",char(34),K130,char(34),"}}")))</f>
        <v>{"asset":{"guid":"uuid://4ea1f795-a066-4793-bbb9-ce8acfb2ea74","site":"in-blr-ananta","name":"hvaccp-30"}}</v>
      </c>
      <c r="N130" s="142" t="s">
        <v>10989</v>
      </c>
      <c r="O130" s="142" t="s">
        <v>10953</v>
      </c>
      <c r="P130" s="142" t="s">
        <v>2863</v>
      </c>
      <c r="Q130" s="173">
        <v>2.0</v>
      </c>
      <c r="R130" s="477"/>
      <c r="S130" s="271" t="s">
        <v>1844</v>
      </c>
      <c r="T130" s="141"/>
    </row>
    <row r="131">
      <c r="A131" s="173">
        <v>127.0</v>
      </c>
      <c r="B131" s="173" t="s">
        <v>670</v>
      </c>
      <c r="C131" s="142" t="s">
        <v>2119</v>
      </c>
      <c r="D131" s="173" t="s">
        <v>10766</v>
      </c>
      <c r="E131" s="173" t="s">
        <v>10766</v>
      </c>
      <c r="F131" s="476" t="s">
        <v>965</v>
      </c>
      <c r="G131" s="142">
        <v>375.0</v>
      </c>
      <c r="H131" s="142" t="s">
        <v>2119</v>
      </c>
      <c r="I131" s="173" t="s">
        <v>679</v>
      </c>
      <c r="J131" s="173" t="s">
        <v>225</v>
      </c>
      <c r="K131" s="173" t="s">
        <v>2119</v>
      </c>
      <c r="L131" s="173" t="s">
        <v>10990</v>
      </c>
      <c r="M131" s="173" t="str">
        <f>IFS(L131="","",L131="n/a","N/A",LEN(L131),LOWER(Concatenate("{",char(34),"asset",char(34),":{",char(34),"guid",char(34),":",char(34),L131,char(34),",",char(34),"site",char(34),":",char(34),'2-Building'!$B$4,char(34),",",char(34),"name",char(34),":",char(34),K131,char(34),"}}")))</f>
        <v>{"asset":{"guid":"uuid://82af4585-1fb2-478f-acaa-7227c60f6998","site":"in-blr-ananta","name":"hvaccp-31"}}</v>
      </c>
      <c r="N131" s="142" t="s">
        <v>10972</v>
      </c>
      <c r="O131" s="142" t="s">
        <v>10938</v>
      </c>
      <c r="P131" s="142" t="s">
        <v>2863</v>
      </c>
      <c r="Q131" s="173">
        <v>2.0</v>
      </c>
      <c r="R131" s="477"/>
      <c r="S131" s="271" t="s">
        <v>1844</v>
      </c>
      <c r="T131" s="141"/>
    </row>
    <row r="132">
      <c r="A132" s="173">
        <v>128.0</v>
      </c>
      <c r="B132" s="173" t="s">
        <v>670</v>
      </c>
      <c r="C132" s="142" t="s">
        <v>2129</v>
      </c>
      <c r="D132" s="173" t="s">
        <v>10766</v>
      </c>
      <c r="E132" s="173" t="s">
        <v>10766</v>
      </c>
      <c r="F132" s="476" t="s">
        <v>965</v>
      </c>
      <c r="G132" s="142">
        <v>334.0</v>
      </c>
      <c r="H132" s="142" t="s">
        <v>2129</v>
      </c>
      <c r="I132" s="173" t="s">
        <v>679</v>
      </c>
      <c r="J132" s="173" t="s">
        <v>225</v>
      </c>
      <c r="K132" s="173" t="s">
        <v>2129</v>
      </c>
      <c r="L132" s="173" t="s">
        <v>10991</v>
      </c>
      <c r="M132" s="173" t="str">
        <f>IFS(L132="","",L132="n/a","N/A",LEN(L132),LOWER(Concatenate("{",char(34),"asset",char(34),":{",char(34),"guid",char(34),":",char(34),L132,char(34),",",char(34),"site",char(34),":",char(34),'2-Building'!$B$4,char(34),",",char(34),"name",char(34),":",char(34),K132,char(34),"}}")))</f>
        <v>{"asset":{"guid":"uuid://3a0a576b-24fd-4320-93f2-afb358894653","site":"in-blr-ananta","name":"hvaccp-32"}}</v>
      </c>
      <c r="N132" s="142" t="s">
        <v>10976</v>
      </c>
      <c r="O132" s="142" t="s">
        <v>10966</v>
      </c>
      <c r="P132" s="142" t="s">
        <v>2863</v>
      </c>
      <c r="Q132" s="173">
        <v>2.0</v>
      </c>
      <c r="R132" s="477"/>
      <c r="S132" s="271" t="s">
        <v>1844</v>
      </c>
      <c r="T132" s="141"/>
    </row>
    <row r="133">
      <c r="A133" s="173">
        <v>129.0</v>
      </c>
      <c r="B133" s="173" t="s">
        <v>670</v>
      </c>
      <c r="C133" s="142" t="s">
        <v>2139</v>
      </c>
      <c r="D133" s="173" t="s">
        <v>10766</v>
      </c>
      <c r="E133" s="173" t="s">
        <v>10766</v>
      </c>
      <c r="F133" s="476" t="s">
        <v>965</v>
      </c>
      <c r="G133" s="142">
        <v>333.0</v>
      </c>
      <c r="H133" s="142" t="s">
        <v>2139</v>
      </c>
      <c r="I133" s="173" t="s">
        <v>679</v>
      </c>
      <c r="J133" s="173" t="s">
        <v>225</v>
      </c>
      <c r="K133" s="173" t="s">
        <v>2139</v>
      </c>
      <c r="L133" s="173" t="s">
        <v>10992</v>
      </c>
      <c r="M133" s="173" t="str">
        <f>IFS(L133="","",L133="n/a","N/A",LEN(L133),LOWER(Concatenate("{",char(34),"asset",char(34),":{",char(34),"guid",char(34),":",char(34),L133,char(34),",",char(34),"site",char(34),":",char(34),'2-Building'!$B$4,char(34),",",char(34),"name",char(34),":",char(34),K133,char(34),"}}")))</f>
        <v>{"asset":{"guid":"uuid://fc0359ce-26cd-4f33-ab49-7e466a4898d8","site":"in-blr-ananta","name":"hvaccp-33"}}</v>
      </c>
      <c r="N133" s="142" t="s">
        <v>10989</v>
      </c>
      <c r="O133" s="142" t="s">
        <v>10953</v>
      </c>
      <c r="P133" s="142" t="s">
        <v>2863</v>
      </c>
      <c r="Q133" s="173">
        <v>2.0</v>
      </c>
      <c r="R133" s="477"/>
      <c r="S133" s="271" t="s">
        <v>1844</v>
      </c>
      <c r="T133" s="141"/>
    </row>
    <row r="134">
      <c r="A134" s="173">
        <v>130.0</v>
      </c>
      <c r="B134" s="173" t="s">
        <v>670</v>
      </c>
      <c r="C134" s="142" t="s">
        <v>2149</v>
      </c>
      <c r="D134" s="173" t="s">
        <v>10766</v>
      </c>
      <c r="E134" s="173" t="s">
        <v>10766</v>
      </c>
      <c r="F134" s="476" t="s">
        <v>1026</v>
      </c>
      <c r="G134" s="142" t="s">
        <v>1027</v>
      </c>
      <c r="H134" s="142" t="s">
        <v>2149</v>
      </c>
      <c r="I134" s="173" t="s">
        <v>679</v>
      </c>
      <c r="J134" s="173" t="s">
        <v>225</v>
      </c>
      <c r="K134" s="173" t="s">
        <v>2149</v>
      </c>
      <c r="L134" s="173" t="s">
        <v>10993</v>
      </c>
      <c r="M134" s="173" t="str">
        <f>IFS(L134="","",L134="n/a","N/A",LEN(L134),LOWER(Concatenate("{",char(34),"asset",char(34),":{",char(34),"guid",char(34),":",char(34),L134,char(34),",",char(34),"site",char(34),":",char(34),'2-Building'!$B$4,char(34),",",char(34),"name",char(34),":",char(34),K134,char(34),"}}")))</f>
        <v>{"asset":{"guid":"uuid://89c23e7b-23e3-4588-9fe9-99fbcc509bb6","site":"in-blr-ananta","name":"hvaccp-34"}}</v>
      </c>
      <c r="N134" s="142" t="s">
        <v>10994</v>
      </c>
      <c r="O134" s="142" t="s">
        <v>10938</v>
      </c>
      <c r="P134" s="142" t="s">
        <v>2863</v>
      </c>
      <c r="Q134" s="173">
        <v>3.0</v>
      </c>
      <c r="R134" s="477"/>
      <c r="S134" s="271" t="s">
        <v>1844</v>
      </c>
      <c r="T134" s="141"/>
    </row>
    <row r="135">
      <c r="A135" s="173">
        <v>131.0</v>
      </c>
      <c r="B135" s="173" t="s">
        <v>670</v>
      </c>
      <c r="C135" s="142" t="s">
        <v>2163</v>
      </c>
      <c r="D135" s="173" t="s">
        <v>10766</v>
      </c>
      <c r="E135" s="173" t="s">
        <v>10766</v>
      </c>
      <c r="F135" s="476" t="s">
        <v>1026</v>
      </c>
      <c r="G135" s="142">
        <v>419.0</v>
      </c>
      <c r="H135" s="142" t="s">
        <v>2163</v>
      </c>
      <c r="I135" s="173" t="s">
        <v>679</v>
      </c>
      <c r="J135" s="173" t="s">
        <v>225</v>
      </c>
      <c r="K135" s="173" t="s">
        <v>2163</v>
      </c>
      <c r="L135" s="173" t="s">
        <v>10995</v>
      </c>
      <c r="M135" s="173" t="str">
        <f>IFS(L135="","",L135="n/a","N/A",LEN(L135),LOWER(Concatenate("{",char(34),"asset",char(34),":{",char(34),"guid",char(34),":",char(34),L135,char(34),",",char(34),"site",char(34),":",char(34),'2-Building'!$B$4,char(34),",",char(34),"name",char(34),":",char(34),K135,char(34),"}}")))</f>
        <v>{"asset":{"guid":"uuid://f71ea233-3548-43bf-92db-6364f775cd20","site":"in-blr-ananta","name":"hvaccp-35"}}</v>
      </c>
      <c r="N135" s="142" t="s">
        <v>10972</v>
      </c>
      <c r="O135" s="142" t="s">
        <v>10938</v>
      </c>
      <c r="P135" s="142" t="s">
        <v>2863</v>
      </c>
      <c r="Q135" s="173">
        <v>2.0</v>
      </c>
      <c r="R135" s="477"/>
      <c r="S135" s="271" t="s">
        <v>1844</v>
      </c>
      <c r="T135" s="141"/>
    </row>
    <row r="136">
      <c r="A136" s="173">
        <v>132.0</v>
      </c>
      <c r="B136" s="173" t="s">
        <v>670</v>
      </c>
      <c r="C136" s="142" t="s">
        <v>2173</v>
      </c>
      <c r="D136" s="173" t="s">
        <v>10766</v>
      </c>
      <c r="E136" s="173" t="s">
        <v>10766</v>
      </c>
      <c r="F136" s="476" t="s">
        <v>1026</v>
      </c>
      <c r="G136" s="142">
        <v>448.0</v>
      </c>
      <c r="H136" s="142" t="s">
        <v>2173</v>
      </c>
      <c r="I136" s="173" t="s">
        <v>679</v>
      </c>
      <c r="J136" s="173" t="s">
        <v>225</v>
      </c>
      <c r="K136" s="173" t="s">
        <v>2173</v>
      </c>
      <c r="L136" s="173" t="s">
        <v>10996</v>
      </c>
      <c r="M136" s="173" t="str">
        <f>IFS(L136="","",L136="n/a","N/A",LEN(L136),LOWER(Concatenate("{",char(34),"asset",char(34),":{",char(34),"guid",char(34),":",char(34),L136,char(34),",",char(34),"site",char(34),":",char(34),'2-Building'!$B$4,char(34),",",char(34),"name",char(34),":",char(34),K136,char(34),"}}")))</f>
        <v>{"asset":{"guid":"uuid://13447c16-057a-40db-8fb4-af3ec088cde1","site":"in-blr-ananta","name":"hvaccp-36"}}</v>
      </c>
      <c r="N136" s="142" t="s">
        <v>10976</v>
      </c>
      <c r="O136" s="142" t="s">
        <v>10966</v>
      </c>
      <c r="P136" s="142" t="s">
        <v>2863</v>
      </c>
      <c r="Q136" s="173">
        <v>2.0</v>
      </c>
      <c r="R136" s="477"/>
      <c r="S136" s="271" t="s">
        <v>1844</v>
      </c>
      <c r="T136" s="141"/>
    </row>
    <row r="137">
      <c r="A137" s="173">
        <v>133.0</v>
      </c>
      <c r="B137" s="173" t="s">
        <v>670</v>
      </c>
      <c r="C137" s="142" t="s">
        <v>2183</v>
      </c>
      <c r="D137" s="173" t="s">
        <v>10766</v>
      </c>
      <c r="E137" s="173" t="s">
        <v>10766</v>
      </c>
      <c r="F137" s="476" t="s">
        <v>1026</v>
      </c>
      <c r="G137" s="142">
        <v>475.0</v>
      </c>
      <c r="H137" s="142" t="s">
        <v>2183</v>
      </c>
      <c r="I137" s="173" t="s">
        <v>679</v>
      </c>
      <c r="J137" s="173" t="s">
        <v>225</v>
      </c>
      <c r="K137" s="173" t="s">
        <v>2183</v>
      </c>
      <c r="L137" s="173" t="s">
        <v>10997</v>
      </c>
      <c r="M137" s="173" t="str">
        <f>IFS(L137="","",L137="n/a","N/A",LEN(L137),LOWER(Concatenate("{",char(34),"asset",char(34),":{",char(34),"guid",char(34),":",char(34),L137,char(34),",",char(34),"site",char(34),":",char(34),'2-Building'!$B$4,char(34),",",char(34),"name",char(34),":",char(34),K137,char(34),"}}")))</f>
        <v>{"asset":{"guid":"uuid://579fe1b2-bafe-473c-bfde-37355d0aaeed","site":"in-blr-ananta","name":"hvaccp-37"}}</v>
      </c>
      <c r="N137" s="142" t="s">
        <v>10972</v>
      </c>
      <c r="O137" s="142" t="s">
        <v>10938</v>
      </c>
      <c r="P137" s="142" t="s">
        <v>2863</v>
      </c>
      <c r="Q137" s="173">
        <v>2.0</v>
      </c>
      <c r="R137" s="477"/>
      <c r="S137" s="271" t="s">
        <v>1844</v>
      </c>
      <c r="T137" s="141"/>
    </row>
    <row r="138">
      <c r="A138" s="173">
        <v>134.0</v>
      </c>
      <c r="B138" s="173" t="s">
        <v>670</v>
      </c>
      <c r="C138" s="142" t="s">
        <v>2193</v>
      </c>
      <c r="D138" s="173" t="s">
        <v>10766</v>
      </c>
      <c r="E138" s="173" t="s">
        <v>10766</v>
      </c>
      <c r="F138" s="476" t="s">
        <v>1026</v>
      </c>
      <c r="G138" s="142">
        <v>434.0</v>
      </c>
      <c r="H138" s="142" t="s">
        <v>2193</v>
      </c>
      <c r="I138" s="173" t="s">
        <v>679</v>
      </c>
      <c r="J138" s="173" t="s">
        <v>225</v>
      </c>
      <c r="K138" s="173" t="s">
        <v>2193</v>
      </c>
      <c r="L138" s="173" t="s">
        <v>10998</v>
      </c>
      <c r="M138" s="173" t="str">
        <f>IFS(L138="","",L138="n/a","N/A",LEN(L138),LOWER(Concatenate("{",char(34),"asset",char(34),":{",char(34),"guid",char(34),":",char(34),L138,char(34),",",char(34),"site",char(34),":",char(34),'2-Building'!$B$4,char(34),",",char(34),"name",char(34),":",char(34),K138,char(34),"}}")))</f>
        <v>{"asset":{"guid":"uuid://28d4e350-3cc3-4c08-a446-6561afd8605e","site":"in-blr-ananta","name":"hvaccp-38"}}</v>
      </c>
      <c r="N138" s="142" t="s">
        <v>10999</v>
      </c>
      <c r="O138" s="142" t="s">
        <v>10953</v>
      </c>
      <c r="P138" s="142" t="s">
        <v>2863</v>
      </c>
      <c r="Q138" s="173">
        <v>2.0</v>
      </c>
      <c r="R138" s="477"/>
      <c r="S138" s="271" t="s">
        <v>1844</v>
      </c>
      <c r="T138" s="141"/>
    </row>
    <row r="139">
      <c r="A139" s="173">
        <v>135.0</v>
      </c>
      <c r="B139" s="173" t="s">
        <v>670</v>
      </c>
      <c r="C139" s="142" t="s">
        <v>2203</v>
      </c>
      <c r="D139" s="173" t="s">
        <v>10766</v>
      </c>
      <c r="E139" s="173" t="s">
        <v>10766</v>
      </c>
      <c r="F139" s="476" t="s">
        <v>1026</v>
      </c>
      <c r="G139" s="142">
        <v>433.0</v>
      </c>
      <c r="H139" s="142" t="s">
        <v>2203</v>
      </c>
      <c r="I139" s="173" t="s">
        <v>679</v>
      </c>
      <c r="J139" s="173" t="s">
        <v>225</v>
      </c>
      <c r="K139" s="173" t="s">
        <v>2203</v>
      </c>
      <c r="L139" s="173" t="s">
        <v>11000</v>
      </c>
      <c r="M139" s="173" t="str">
        <f>IFS(L139="","",L139="n/a","N/A",LEN(L139),LOWER(Concatenate("{",char(34),"asset",char(34),":{",char(34),"guid",char(34),":",char(34),L139,char(34),",",char(34),"site",char(34),":",char(34),'2-Building'!$B$4,char(34),",",char(34),"name",char(34),":",char(34),K139,char(34),"}}")))</f>
        <v>{"asset":{"guid":"uuid://0a4e94cd-6317-4950-8756-38c1c913b9b9","site":"in-blr-ananta","name":"hvaccp-39"}}</v>
      </c>
      <c r="N139" s="142" t="s">
        <v>10972</v>
      </c>
      <c r="O139" s="142" t="s">
        <v>10938</v>
      </c>
      <c r="P139" s="142" t="s">
        <v>2863</v>
      </c>
      <c r="Q139" s="173">
        <v>2.0</v>
      </c>
      <c r="R139" s="477"/>
      <c r="S139" s="271" t="s">
        <v>1844</v>
      </c>
      <c r="T139" s="141"/>
    </row>
    <row r="140">
      <c r="A140" s="173">
        <v>136.0</v>
      </c>
      <c r="B140" s="173" t="s">
        <v>670</v>
      </c>
      <c r="C140" s="142" t="s">
        <v>2213</v>
      </c>
      <c r="D140" s="173" t="s">
        <v>10766</v>
      </c>
      <c r="E140" s="173" t="s">
        <v>10766</v>
      </c>
      <c r="F140" s="476" t="s">
        <v>1088</v>
      </c>
      <c r="G140" s="142">
        <v>563.0</v>
      </c>
      <c r="H140" s="142" t="s">
        <v>2213</v>
      </c>
      <c r="I140" s="173" t="s">
        <v>679</v>
      </c>
      <c r="J140" s="173" t="s">
        <v>225</v>
      </c>
      <c r="K140" s="173" t="s">
        <v>2213</v>
      </c>
      <c r="L140" s="173" t="s">
        <v>11001</v>
      </c>
      <c r="M140" s="173" t="str">
        <f>IFS(L140="","",L140="n/a","N/A",LEN(L140),LOWER(Concatenate("{",char(34),"asset",char(34),":{",char(34),"guid",char(34),":",char(34),L140,char(34),",",char(34),"site",char(34),":",char(34),'2-Building'!$B$4,char(34),",",char(34),"name",char(34),":",char(34),K140,char(34),"}}")))</f>
        <v>{"asset":{"guid":"uuid://031d97be-cac6-41fa-adcd-0a8d2ed04075","site":"in-blr-ananta","name":"hvaccp-40"}}</v>
      </c>
      <c r="N140" s="142" t="s">
        <v>11002</v>
      </c>
      <c r="O140" s="142" t="s">
        <v>10938</v>
      </c>
      <c r="P140" s="142" t="s">
        <v>2863</v>
      </c>
      <c r="Q140" s="173">
        <v>4.0</v>
      </c>
      <c r="R140" s="477"/>
      <c r="S140" s="271" t="s">
        <v>1844</v>
      </c>
      <c r="T140" s="141"/>
    </row>
    <row r="141">
      <c r="A141" s="173">
        <v>137.0</v>
      </c>
      <c r="B141" s="173" t="s">
        <v>670</v>
      </c>
      <c r="C141" s="142" t="s">
        <v>2232</v>
      </c>
      <c r="D141" s="173" t="s">
        <v>10766</v>
      </c>
      <c r="E141" s="173" t="s">
        <v>10766</v>
      </c>
      <c r="F141" s="476" t="s">
        <v>1088</v>
      </c>
      <c r="G141" s="142">
        <v>519.0</v>
      </c>
      <c r="H141" s="142" t="s">
        <v>2232</v>
      </c>
      <c r="I141" s="173" t="s">
        <v>679</v>
      </c>
      <c r="J141" s="173" t="s">
        <v>225</v>
      </c>
      <c r="K141" s="173" t="s">
        <v>2232</v>
      </c>
      <c r="L141" s="173" t="s">
        <v>11003</v>
      </c>
      <c r="M141" s="173" t="str">
        <f>IFS(L141="","",L141="n/a","N/A",LEN(L141),LOWER(Concatenate("{",char(34),"asset",char(34),":{",char(34),"guid",char(34),":",char(34),L141,char(34),",",char(34),"site",char(34),":",char(34),'2-Building'!$B$4,char(34),",",char(34),"name",char(34),":",char(34),K141,char(34),"}}")))</f>
        <v>{"asset":{"guid":"uuid://eef3117e-16dd-4124-91da-d2de8ad542d2","site":"in-blr-ananta","name":"hvaccp-41"}}</v>
      </c>
      <c r="N141" s="142" t="s">
        <v>10972</v>
      </c>
      <c r="O141" s="142" t="s">
        <v>10938</v>
      </c>
      <c r="P141" s="142" t="s">
        <v>2863</v>
      </c>
      <c r="Q141" s="173">
        <v>2.0</v>
      </c>
      <c r="R141" s="477"/>
      <c r="S141" s="271" t="s">
        <v>1844</v>
      </c>
      <c r="T141" s="141"/>
    </row>
    <row r="142">
      <c r="A142" s="173">
        <v>138.0</v>
      </c>
      <c r="B142" s="173" t="s">
        <v>670</v>
      </c>
      <c r="C142" s="142" t="s">
        <v>2242</v>
      </c>
      <c r="D142" s="173" t="s">
        <v>10766</v>
      </c>
      <c r="E142" s="173" t="s">
        <v>10766</v>
      </c>
      <c r="F142" s="476" t="s">
        <v>1088</v>
      </c>
      <c r="G142" s="142">
        <v>548.0</v>
      </c>
      <c r="H142" s="142" t="s">
        <v>2242</v>
      </c>
      <c r="I142" s="173" t="s">
        <v>679</v>
      </c>
      <c r="J142" s="173" t="s">
        <v>225</v>
      </c>
      <c r="K142" s="173" t="s">
        <v>2242</v>
      </c>
      <c r="L142" s="173" t="s">
        <v>11004</v>
      </c>
      <c r="M142" s="173" t="str">
        <f>IFS(L142="","",L142="n/a","N/A",LEN(L142),LOWER(Concatenate("{",char(34),"asset",char(34),":{",char(34),"guid",char(34),":",char(34),L142,char(34),",",char(34),"site",char(34),":",char(34),'2-Building'!$B$4,char(34),",",char(34),"name",char(34),":",char(34),K142,char(34),"}}")))</f>
        <v>{"asset":{"guid":"uuid://d54441dd-ac8a-4c75-a704-e91cc3c7c04e","site":"in-blr-ananta","name":"hvaccp-42"}}</v>
      </c>
      <c r="N142" s="142" t="s">
        <v>10976</v>
      </c>
      <c r="O142" s="142" t="s">
        <v>10966</v>
      </c>
      <c r="P142" s="142" t="s">
        <v>2863</v>
      </c>
      <c r="Q142" s="173">
        <v>2.0</v>
      </c>
      <c r="R142" s="477"/>
      <c r="S142" s="271" t="s">
        <v>1844</v>
      </c>
      <c r="T142" s="141"/>
    </row>
    <row r="143">
      <c r="A143" s="173">
        <v>139.0</v>
      </c>
      <c r="B143" s="173" t="s">
        <v>670</v>
      </c>
      <c r="C143" s="142" t="s">
        <v>2252</v>
      </c>
      <c r="D143" s="173" t="s">
        <v>10766</v>
      </c>
      <c r="E143" s="173" t="s">
        <v>10766</v>
      </c>
      <c r="F143" s="476" t="s">
        <v>1088</v>
      </c>
      <c r="G143" s="142">
        <v>575.0</v>
      </c>
      <c r="H143" s="142" t="s">
        <v>2252</v>
      </c>
      <c r="I143" s="173" t="s">
        <v>679</v>
      </c>
      <c r="J143" s="173" t="s">
        <v>225</v>
      </c>
      <c r="K143" s="173" t="s">
        <v>2252</v>
      </c>
      <c r="L143" s="173" t="s">
        <v>11005</v>
      </c>
      <c r="M143" s="173" t="str">
        <f>IFS(L143="","",L143="n/a","N/A",LEN(L143),LOWER(Concatenate("{",char(34),"asset",char(34),":{",char(34),"guid",char(34),":",char(34),L143,char(34),",",char(34),"site",char(34),":",char(34),'2-Building'!$B$4,char(34),",",char(34),"name",char(34),":",char(34),K143,char(34),"}}")))</f>
        <v>{"asset":{"guid":"uuid://a7e281b7-6bbf-4f8b-afb0-fa7b9b060161","site":"in-blr-ananta","name":"hvaccp-43"}}</v>
      </c>
      <c r="N143" s="142" t="s">
        <v>10972</v>
      </c>
      <c r="O143" s="142" t="s">
        <v>10938</v>
      </c>
      <c r="P143" s="142" t="s">
        <v>2863</v>
      </c>
      <c r="Q143" s="173">
        <v>2.0</v>
      </c>
      <c r="R143" s="477"/>
      <c r="S143" s="271" t="s">
        <v>1844</v>
      </c>
      <c r="T143" s="141"/>
    </row>
    <row r="144">
      <c r="A144" s="173">
        <v>140.0</v>
      </c>
      <c r="B144" s="173" t="s">
        <v>670</v>
      </c>
      <c r="C144" s="142" t="s">
        <v>2262</v>
      </c>
      <c r="D144" s="173" t="s">
        <v>10766</v>
      </c>
      <c r="E144" s="173" t="s">
        <v>10766</v>
      </c>
      <c r="F144" s="476" t="s">
        <v>1088</v>
      </c>
      <c r="G144" s="142">
        <v>534.0</v>
      </c>
      <c r="H144" s="142" t="s">
        <v>2262</v>
      </c>
      <c r="I144" s="173" t="s">
        <v>679</v>
      </c>
      <c r="J144" s="173" t="s">
        <v>225</v>
      </c>
      <c r="K144" s="173" t="s">
        <v>2262</v>
      </c>
      <c r="L144" s="173" t="s">
        <v>11006</v>
      </c>
      <c r="M144" s="173" t="str">
        <f>IFS(L144="","",L144="n/a","N/A",LEN(L144),LOWER(Concatenate("{",char(34),"asset",char(34),":{",char(34),"guid",char(34),":",char(34),L144,char(34),",",char(34),"site",char(34),":",char(34),'2-Building'!$B$4,char(34),",",char(34),"name",char(34),":",char(34),K144,char(34),"}}")))</f>
        <v>{"asset":{"guid":"uuid://b8738ea8-4a93-4968-932d-e6cd30f31eeb","site":"in-blr-ananta","name":"hvaccp-44"}}</v>
      </c>
      <c r="N144" s="142" t="s">
        <v>10972</v>
      </c>
      <c r="O144" s="142" t="s">
        <v>10938</v>
      </c>
      <c r="P144" s="142" t="s">
        <v>2863</v>
      </c>
      <c r="Q144" s="173">
        <v>2.0</v>
      </c>
      <c r="R144" s="477"/>
      <c r="S144" s="271" t="s">
        <v>1844</v>
      </c>
      <c r="T144" s="141"/>
    </row>
    <row r="145">
      <c r="A145" s="173">
        <v>141.0</v>
      </c>
      <c r="B145" s="173" t="s">
        <v>670</v>
      </c>
      <c r="C145" s="142" t="s">
        <v>2272</v>
      </c>
      <c r="D145" s="173" t="s">
        <v>10766</v>
      </c>
      <c r="E145" s="173" t="s">
        <v>10766</v>
      </c>
      <c r="F145" s="476" t="s">
        <v>1088</v>
      </c>
      <c r="G145" s="142">
        <v>533.0</v>
      </c>
      <c r="H145" s="142" t="s">
        <v>2272</v>
      </c>
      <c r="I145" s="173" t="s">
        <v>679</v>
      </c>
      <c r="J145" s="173" t="s">
        <v>225</v>
      </c>
      <c r="K145" s="173" t="s">
        <v>2272</v>
      </c>
      <c r="L145" s="173" t="s">
        <v>11007</v>
      </c>
      <c r="M145" s="173" t="str">
        <f>IFS(L145="","",L145="n/a","N/A",LEN(L145),LOWER(Concatenate("{",char(34),"asset",char(34),":{",char(34),"guid",char(34),":",char(34),L145,char(34),",",char(34),"site",char(34),":",char(34),'2-Building'!$B$4,char(34),",",char(34),"name",char(34),":",char(34),K145,char(34),"}}")))</f>
        <v>{"asset":{"guid":"uuid://6f2914eb-6fc2-4a5e-9b48-26c34177cdff","site":"in-blr-ananta","name":"hvaccp-45"}}</v>
      </c>
      <c r="N145" s="142" t="s">
        <v>10999</v>
      </c>
      <c r="O145" s="142" t="s">
        <v>10953</v>
      </c>
      <c r="P145" s="142" t="s">
        <v>2863</v>
      </c>
      <c r="Q145" s="173">
        <v>2.0</v>
      </c>
      <c r="R145" s="477"/>
      <c r="S145" s="271" t="s">
        <v>1844</v>
      </c>
      <c r="T145" s="141"/>
    </row>
    <row r="146">
      <c r="A146" s="173">
        <v>142.0</v>
      </c>
      <c r="B146" s="173" t="s">
        <v>670</v>
      </c>
      <c r="C146" s="142" t="s">
        <v>2284</v>
      </c>
      <c r="D146" s="173" t="s">
        <v>10766</v>
      </c>
      <c r="E146" s="173" t="s">
        <v>10766</v>
      </c>
      <c r="F146" s="476" t="s">
        <v>1088</v>
      </c>
      <c r="G146" s="142" t="s">
        <v>2283</v>
      </c>
      <c r="H146" s="142" t="s">
        <v>2284</v>
      </c>
      <c r="I146" s="173" t="s">
        <v>679</v>
      </c>
      <c r="J146" s="173" t="s">
        <v>225</v>
      </c>
      <c r="K146" s="173" t="s">
        <v>2284</v>
      </c>
      <c r="L146" s="173" t="s">
        <v>11008</v>
      </c>
      <c r="M146" s="173" t="str">
        <f>IFS(L146="","",L146="n/a","N/A",LEN(L146),LOWER(Concatenate("{",char(34),"asset",char(34),":{",char(34),"guid",char(34),":",char(34),L146,char(34),",",char(34),"site",char(34),":",char(34),'2-Building'!$B$4,char(34),",",char(34),"name",char(34),":",char(34),K146,char(34),"}}")))</f>
        <v>{"asset":{"guid":"uuid://a28adb42-3856-4b15-abfa-1eeb28db3cf3","site":"in-blr-ananta","name":"hvaccp-46"}}</v>
      </c>
      <c r="N146" s="142" t="s">
        <v>10974</v>
      </c>
      <c r="O146" s="142" t="s">
        <v>10946</v>
      </c>
      <c r="P146" s="142" t="s">
        <v>2863</v>
      </c>
      <c r="Q146" s="173">
        <v>2.0</v>
      </c>
      <c r="R146" s="477"/>
      <c r="S146" s="271" t="s">
        <v>1844</v>
      </c>
      <c r="T146" s="141"/>
    </row>
    <row r="147">
      <c r="A147" s="173">
        <v>143.0</v>
      </c>
      <c r="B147" s="173" t="s">
        <v>670</v>
      </c>
      <c r="C147" s="142" t="s">
        <v>2300</v>
      </c>
      <c r="D147" s="173" t="s">
        <v>10766</v>
      </c>
      <c r="E147" s="173" t="s">
        <v>10766</v>
      </c>
      <c r="F147" s="476" t="s">
        <v>1088</v>
      </c>
      <c r="G147" s="142" t="s">
        <v>2283</v>
      </c>
      <c r="H147" s="142" t="s">
        <v>2300</v>
      </c>
      <c r="I147" s="173" t="s">
        <v>679</v>
      </c>
      <c r="J147" s="173" t="s">
        <v>225</v>
      </c>
      <c r="K147" s="173" t="s">
        <v>2300</v>
      </c>
      <c r="L147" s="173" t="s">
        <v>11009</v>
      </c>
      <c r="M147" s="173" t="str">
        <f>IFS(L147="","",L147="n/a","N/A",LEN(L147),LOWER(Concatenate("{",char(34),"asset",char(34),":{",char(34),"guid",char(34),":",char(34),L147,char(34),",",char(34),"site",char(34),":",char(34),'2-Building'!$B$4,char(34),",",char(34),"name",char(34),":",char(34),K147,char(34),"}}")))</f>
        <v>{"asset":{"guid":"uuid://64524a9c-5def-44a0-b306-247978e834a8","site":"in-blr-ananta","name":"hvaccp-47"}}</v>
      </c>
      <c r="N147" s="142" t="s">
        <v>11010</v>
      </c>
      <c r="O147" s="142"/>
      <c r="P147" s="142" t="s">
        <v>2863</v>
      </c>
      <c r="Q147" s="173">
        <v>1.0</v>
      </c>
      <c r="R147" s="477"/>
      <c r="S147" s="271" t="s">
        <v>1844</v>
      </c>
      <c r="T147" s="141"/>
    </row>
    <row r="148">
      <c r="A148" s="173">
        <v>144.0</v>
      </c>
      <c r="B148" s="173" t="s">
        <v>670</v>
      </c>
      <c r="C148" s="142" t="s">
        <v>2306</v>
      </c>
      <c r="D148" s="173" t="s">
        <v>10766</v>
      </c>
      <c r="E148" s="173" t="s">
        <v>10766</v>
      </c>
      <c r="F148" s="476" t="s">
        <v>1088</v>
      </c>
      <c r="G148" s="142" t="s">
        <v>2283</v>
      </c>
      <c r="H148" s="142" t="s">
        <v>2306</v>
      </c>
      <c r="I148" s="173" t="s">
        <v>679</v>
      </c>
      <c r="J148" s="173" t="s">
        <v>225</v>
      </c>
      <c r="K148" s="173" t="s">
        <v>2306</v>
      </c>
      <c r="L148" s="173" t="s">
        <v>11011</v>
      </c>
      <c r="M148" s="173" t="str">
        <f>IFS(L148="","",L148="n/a","N/A",LEN(L148),LOWER(Concatenate("{",char(34),"asset",char(34),":{",char(34),"guid",char(34),":",char(34),L148,char(34),",",char(34),"site",char(34),":",char(34),'2-Building'!$B$4,char(34),",",char(34),"name",char(34),":",char(34),K148,char(34),"}}")))</f>
        <v>{"asset":{"guid":"uuid://ded8fe9f-3fc5-429f-887e-c0b446219c3a","site":"in-blr-ananta","name":"hvaccp-48"}}</v>
      </c>
      <c r="N148" s="142" t="s">
        <v>11012</v>
      </c>
      <c r="O148" s="142" t="s">
        <v>10946</v>
      </c>
      <c r="P148" s="142" t="s">
        <v>2863</v>
      </c>
      <c r="Q148" s="173">
        <v>2.0</v>
      </c>
      <c r="R148" s="477"/>
      <c r="S148" s="271" t="s">
        <v>1844</v>
      </c>
      <c r="T148" s="141"/>
    </row>
    <row r="149">
      <c r="A149" s="173">
        <v>145.0</v>
      </c>
      <c r="B149" s="173" t="s">
        <v>670</v>
      </c>
      <c r="C149" s="142" t="s">
        <v>2317</v>
      </c>
      <c r="D149" s="173" t="s">
        <v>10766</v>
      </c>
      <c r="E149" s="173" t="s">
        <v>10766</v>
      </c>
      <c r="F149" s="476" t="s">
        <v>1088</v>
      </c>
      <c r="G149" s="142" t="s">
        <v>2283</v>
      </c>
      <c r="H149" s="142" t="s">
        <v>2317</v>
      </c>
      <c r="I149" s="173" t="s">
        <v>679</v>
      </c>
      <c r="J149" s="173" t="s">
        <v>225</v>
      </c>
      <c r="K149" s="173" t="s">
        <v>2317</v>
      </c>
      <c r="L149" s="173" t="s">
        <v>11013</v>
      </c>
      <c r="M149" s="173" t="str">
        <f>IFS(L149="","",L149="n/a","N/A",LEN(L149),LOWER(Concatenate("{",char(34),"asset",char(34),":{",char(34),"guid",char(34),":",char(34),L149,char(34),",",char(34),"site",char(34),":",char(34),'2-Building'!$B$4,char(34),",",char(34),"name",char(34),":",char(34),K149,char(34),"}}")))</f>
        <v>{"asset":{"guid":"uuid://d5752be3-ef4c-433d-8095-eb621c06e6e9","site":"in-blr-ananta","name":"hvaccp-49"}}</v>
      </c>
      <c r="N149" s="142" t="s">
        <v>11014</v>
      </c>
      <c r="O149" s="142" t="s">
        <v>10935</v>
      </c>
      <c r="P149" s="142" t="s">
        <v>2863</v>
      </c>
      <c r="Q149" s="173">
        <v>3.0</v>
      </c>
      <c r="R149" s="477"/>
      <c r="S149" s="271" t="s">
        <v>1844</v>
      </c>
      <c r="T149" s="141"/>
    </row>
    <row r="150">
      <c r="A150" s="173">
        <v>146.0</v>
      </c>
      <c r="B150" s="173" t="s">
        <v>670</v>
      </c>
      <c r="C150" s="142" t="s">
        <v>2332</v>
      </c>
      <c r="D150" s="173" t="s">
        <v>10766</v>
      </c>
      <c r="E150" s="173" t="s">
        <v>10766</v>
      </c>
      <c r="F150" s="476" t="s">
        <v>1149</v>
      </c>
      <c r="G150" s="142">
        <v>663.0</v>
      </c>
      <c r="H150" s="142" t="s">
        <v>2332</v>
      </c>
      <c r="I150" s="173" t="s">
        <v>679</v>
      </c>
      <c r="J150" s="173" t="s">
        <v>225</v>
      </c>
      <c r="K150" s="173" t="s">
        <v>2332</v>
      </c>
      <c r="L150" s="173" t="s">
        <v>11015</v>
      </c>
      <c r="M150" s="173" t="str">
        <f>IFS(L150="","",L150="n/a","N/A",LEN(L150),LOWER(Concatenate("{",char(34),"asset",char(34),":{",char(34),"guid",char(34),":",char(34),L150,char(34),",",char(34),"site",char(34),":",char(34),'2-Building'!$B$4,char(34),",",char(34),"name",char(34),":",char(34),K150,char(34),"}}")))</f>
        <v>{"asset":{"guid":"uuid://2fba4620-6cdd-4c3a-a521-30a1c2b0bff5","site":"in-blr-ananta","name":"hvaccp-50"}}</v>
      </c>
      <c r="N150" s="142" t="s">
        <v>10999</v>
      </c>
      <c r="O150" s="142" t="s">
        <v>10953</v>
      </c>
      <c r="P150" s="142" t="s">
        <v>2863</v>
      </c>
      <c r="Q150" s="173">
        <v>2.0</v>
      </c>
      <c r="R150" s="477"/>
      <c r="S150" s="271" t="s">
        <v>1844</v>
      </c>
      <c r="T150" s="141"/>
    </row>
    <row r="151">
      <c r="A151" s="173">
        <v>147.0</v>
      </c>
      <c r="B151" s="173" t="s">
        <v>670</v>
      </c>
      <c r="C151" s="142" t="s">
        <v>2342</v>
      </c>
      <c r="D151" s="173" t="s">
        <v>10766</v>
      </c>
      <c r="E151" s="173" t="s">
        <v>10766</v>
      </c>
      <c r="F151" s="476" t="s">
        <v>1149</v>
      </c>
      <c r="G151" s="142">
        <v>619.0</v>
      </c>
      <c r="H151" s="142" t="s">
        <v>2342</v>
      </c>
      <c r="I151" s="173" t="s">
        <v>679</v>
      </c>
      <c r="J151" s="173" t="s">
        <v>225</v>
      </c>
      <c r="K151" s="173" t="s">
        <v>2342</v>
      </c>
      <c r="L151" s="173" t="s">
        <v>11016</v>
      </c>
      <c r="M151" s="173" t="str">
        <f>IFS(L151="","",L151="n/a","N/A",LEN(L151),LOWER(Concatenate("{",char(34),"asset",char(34),":{",char(34),"guid",char(34),":",char(34),L151,char(34),",",char(34),"site",char(34),":",char(34),'2-Building'!$B$4,char(34),",",char(34),"name",char(34),":",char(34),K151,char(34),"}}")))</f>
        <v>{"asset":{"guid":"uuid://58971d0b-b5cc-4fcb-bf7b-3f0c1135867e","site":"in-blr-ananta","name":"hvaccp-51"}}</v>
      </c>
      <c r="N151" s="142" t="s">
        <v>10976</v>
      </c>
      <c r="O151" s="142" t="s">
        <v>10966</v>
      </c>
      <c r="P151" s="142" t="s">
        <v>2863</v>
      </c>
      <c r="Q151" s="173">
        <v>2.0</v>
      </c>
      <c r="R151" s="477"/>
      <c r="S151" s="271" t="s">
        <v>1844</v>
      </c>
      <c r="T151" s="141"/>
    </row>
    <row r="152">
      <c r="A152" s="173">
        <v>148.0</v>
      </c>
      <c r="B152" s="173" t="s">
        <v>670</v>
      </c>
      <c r="C152" s="142" t="s">
        <v>2351</v>
      </c>
      <c r="D152" s="173" t="s">
        <v>10766</v>
      </c>
      <c r="E152" s="173" t="s">
        <v>10766</v>
      </c>
      <c r="F152" s="476" t="s">
        <v>1149</v>
      </c>
      <c r="G152" s="142">
        <v>648.0</v>
      </c>
      <c r="H152" s="142" t="s">
        <v>2351</v>
      </c>
      <c r="I152" s="173" t="s">
        <v>679</v>
      </c>
      <c r="J152" s="173" t="s">
        <v>225</v>
      </c>
      <c r="K152" s="173" t="s">
        <v>2351</v>
      </c>
      <c r="L152" s="173" t="s">
        <v>11017</v>
      </c>
      <c r="M152" s="173" t="str">
        <f>IFS(L152="","",L152="n/a","N/A",LEN(L152),LOWER(Concatenate("{",char(34),"asset",char(34),":{",char(34),"guid",char(34),":",char(34),L152,char(34),",",char(34),"site",char(34),":",char(34),'2-Building'!$B$4,char(34),",",char(34),"name",char(34),":",char(34),K152,char(34),"}}")))</f>
        <v>{"asset":{"guid":"uuid://826eef0d-7997-4562-93b5-367dba3d4905","site":"in-blr-ananta","name":"hvaccp-52"}}</v>
      </c>
      <c r="N152" s="142" t="s">
        <v>10972</v>
      </c>
      <c r="O152" s="142" t="s">
        <v>10938</v>
      </c>
      <c r="P152" s="142" t="s">
        <v>2863</v>
      </c>
      <c r="Q152" s="173">
        <v>2.0</v>
      </c>
      <c r="R152" s="477"/>
      <c r="S152" s="271" t="s">
        <v>1844</v>
      </c>
      <c r="T152" s="141"/>
    </row>
    <row r="153">
      <c r="A153" s="173">
        <v>149.0</v>
      </c>
      <c r="B153" s="173" t="s">
        <v>670</v>
      </c>
      <c r="C153" s="142" t="s">
        <v>2361</v>
      </c>
      <c r="D153" s="173" t="s">
        <v>10766</v>
      </c>
      <c r="E153" s="173" t="s">
        <v>10766</v>
      </c>
      <c r="F153" s="476" t="s">
        <v>1149</v>
      </c>
      <c r="G153" s="142">
        <v>675.0</v>
      </c>
      <c r="H153" s="142" t="s">
        <v>2361</v>
      </c>
      <c r="I153" s="173" t="s">
        <v>679</v>
      </c>
      <c r="J153" s="173" t="s">
        <v>225</v>
      </c>
      <c r="K153" s="173" t="s">
        <v>2361</v>
      </c>
      <c r="L153" s="173" t="s">
        <v>11018</v>
      </c>
      <c r="M153" s="173" t="str">
        <f>IFS(L153="","",L153="n/a","N/A",LEN(L153),LOWER(Concatenate("{",char(34),"asset",char(34),":{",char(34),"guid",char(34),":",char(34),L153,char(34),",",char(34),"site",char(34),":",char(34),'2-Building'!$B$4,char(34),",",char(34),"name",char(34),":",char(34),K153,char(34),"}}")))</f>
        <v>{"asset":{"guid":"uuid://a266ba2f-cbee-433b-8da4-a6caa41fcb23","site":"in-blr-ananta","name":"hvaccp-53"}}</v>
      </c>
      <c r="N153" s="142" t="s">
        <v>10972</v>
      </c>
      <c r="O153" s="142" t="s">
        <v>10938</v>
      </c>
      <c r="P153" s="142" t="s">
        <v>2863</v>
      </c>
      <c r="Q153" s="173">
        <v>2.0</v>
      </c>
      <c r="R153" s="477"/>
      <c r="S153" s="271" t="s">
        <v>1844</v>
      </c>
      <c r="T153" s="141"/>
    </row>
    <row r="154">
      <c r="A154" s="173">
        <v>150.0</v>
      </c>
      <c r="B154" s="173" t="s">
        <v>670</v>
      </c>
      <c r="C154" s="142" t="s">
        <v>2371</v>
      </c>
      <c r="D154" s="173" t="s">
        <v>10766</v>
      </c>
      <c r="E154" s="173" t="s">
        <v>10766</v>
      </c>
      <c r="F154" s="476" t="s">
        <v>1149</v>
      </c>
      <c r="G154" s="142">
        <v>634.0</v>
      </c>
      <c r="H154" s="142" t="s">
        <v>2371</v>
      </c>
      <c r="I154" s="173" t="s">
        <v>679</v>
      </c>
      <c r="J154" s="173" t="s">
        <v>225</v>
      </c>
      <c r="K154" s="173" t="s">
        <v>2371</v>
      </c>
      <c r="L154" s="173" t="s">
        <v>11019</v>
      </c>
      <c r="M154" s="173" t="str">
        <f>IFS(L154="","",L154="n/a","N/A",LEN(L154),LOWER(Concatenate("{",char(34),"asset",char(34),":{",char(34),"guid",char(34),":",char(34),L154,char(34),",",char(34),"site",char(34),":",char(34),'2-Building'!$B$4,char(34),",",char(34),"name",char(34),":",char(34),K154,char(34),"}}")))</f>
        <v>{"asset":{"guid":"uuid://1af4e582-b0ab-42f6-a45d-4f597e2bff5a","site":"in-blr-ananta","name":"hvaccp-54"}}</v>
      </c>
      <c r="N154" s="142" t="s">
        <v>10976</v>
      </c>
      <c r="O154" s="142" t="s">
        <v>10966</v>
      </c>
      <c r="P154" s="142" t="s">
        <v>2863</v>
      </c>
      <c r="Q154" s="173">
        <v>2.0</v>
      </c>
      <c r="R154" s="477"/>
      <c r="S154" s="271" t="s">
        <v>1844</v>
      </c>
      <c r="T154" s="141"/>
    </row>
    <row r="155">
      <c r="A155" s="173">
        <v>151.0</v>
      </c>
      <c r="B155" s="173" t="s">
        <v>670</v>
      </c>
      <c r="C155" s="142" t="s">
        <v>2381</v>
      </c>
      <c r="D155" s="173" t="s">
        <v>10766</v>
      </c>
      <c r="E155" s="173" t="s">
        <v>10766</v>
      </c>
      <c r="F155" s="476" t="s">
        <v>1149</v>
      </c>
      <c r="G155" s="142">
        <v>633.0</v>
      </c>
      <c r="H155" s="142" t="s">
        <v>2381</v>
      </c>
      <c r="I155" s="173" t="s">
        <v>679</v>
      </c>
      <c r="J155" s="173" t="s">
        <v>225</v>
      </c>
      <c r="K155" s="173" t="s">
        <v>2381</v>
      </c>
      <c r="L155" s="173" t="s">
        <v>11020</v>
      </c>
      <c r="M155" s="173" t="str">
        <f>IFS(L155="","",L155="n/a","N/A",LEN(L155),LOWER(Concatenate("{",char(34),"asset",char(34),":{",char(34),"guid",char(34),":",char(34),L155,char(34),",",char(34),"site",char(34),":",char(34),'2-Building'!$B$4,char(34),",",char(34),"name",char(34),":",char(34),K155,char(34),"}}")))</f>
        <v>{"asset":{"guid":"uuid://0b71231d-5b3c-43ea-83ea-9d165630351f","site":"in-blr-ananta","name":"hvaccp-55"}}</v>
      </c>
      <c r="N155" s="142" t="s">
        <v>11021</v>
      </c>
      <c r="O155" s="142" t="s">
        <v>11022</v>
      </c>
      <c r="P155" s="142" t="s">
        <v>2863</v>
      </c>
      <c r="Q155" s="173">
        <v>0.0</v>
      </c>
      <c r="R155" s="477"/>
      <c r="S155" s="271" t="s">
        <v>1844</v>
      </c>
      <c r="T155" s="141"/>
    </row>
    <row r="156">
      <c r="A156" s="173">
        <v>152.0</v>
      </c>
      <c r="B156" s="173" t="s">
        <v>670</v>
      </c>
      <c r="C156" s="142" t="s">
        <v>2386</v>
      </c>
      <c r="D156" s="173" t="s">
        <v>10766</v>
      </c>
      <c r="E156" s="173" t="s">
        <v>10766</v>
      </c>
      <c r="F156" s="476" t="s">
        <v>1211</v>
      </c>
      <c r="G156" s="142">
        <v>763.0</v>
      </c>
      <c r="H156" s="142" t="s">
        <v>2386</v>
      </c>
      <c r="I156" s="173" t="s">
        <v>679</v>
      </c>
      <c r="J156" s="173" t="s">
        <v>225</v>
      </c>
      <c r="K156" s="173" t="s">
        <v>2386</v>
      </c>
      <c r="L156" s="173" t="s">
        <v>11023</v>
      </c>
      <c r="M156" s="173" t="str">
        <f>IFS(L156="","",L156="n/a","N/A",LEN(L156),LOWER(Concatenate("{",char(34),"asset",char(34),":{",char(34),"guid",char(34),":",char(34),L156,char(34),",",char(34),"site",char(34),":",char(34),'2-Building'!$B$4,char(34),",",char(34),"name",char(34),":",char(34),K156,char(34),"}}")))</f>
        <v>{"asset":{"guid":"uuid://40f3ead5-f5d3-48ea-8683-63467e20993e","site":"in-blr-ananta","name":"hvaccp-56"}}</v>
      </c>
      <c r="N156" s="142" t="s">
        <v>10942</v>
      </c>
      <c r="O156" s="142" t="s">
        <v>10938</v>
      </c>
      <c r="P156" s="142" t="s">
        <v>2863</v>
      </c>
      <c r="Q156" s="173">
        <v>2.0</v>
      </c>
      <c r="R156" s="477"/>
      <c r="S156" s="271" t="s">
        <v>1844</v>
      </c>
      <c r="T156" s="141"/>
    </row>
    <row r="157">
      <c r="A157" s="173">
        <v>153.0</v>
      </c>
      <c r="B157" s="173" t="s">
        <v>670</v>
      </c>
      <c r="C157" s="142" t="s">
        <v>2396</v>
      </c>
      <c r="D157" s="173" t="s">
        <v>10766</v>
      </c>
      <c r="E157" s="173" t="s">
        <v>10766</v>
      </c>
      <c r="F157" s="476" t="s">
        <v>1211</v>
      </c>
      <c r="G157" s="142">
        <v>719.0</v>
      </c>
      <c r="H157" s="142" t="s">
        <v>2396</v>
      </c>
      <c r="I157" s="173" t="s">
        <v>679</v>
      </c>
      <c r="J157" s="173" t="s">
        <v>225</v>
      </c>
      <c r="K157" s="173" t="s">
        <v>2396</v>
      </c>
      <c r="L157" s="173" t="s">
        <v>11024</v>
      </c>
      <c r="M157" s="173" t="str">
        <f>IFS(L157="","",L157="n/a","N/A",LEN(L157),LOWER(Concatenate("{",char(34),"asset",char(34),":{",char(34),"guid",char(34),":",char(34),L157,char(34),",",char(34),"site",char(34),":",char(34),'2-Building'!$B$4,char(34),",",char(34),"name",char(34),":",char(34),K157,char(34),"}}")))</f>
        <v>{"asset":{"guid":"uuid://f87eac8c-211a-4565-bf66-f1e72b61b6a5","site":"in-blr-ananta","name":"hvaccp-57"}}</v>
      </c>
      <c r="N157" s="142" t="s">
        <v>10976</v>
      </c>
      <c r="O157" s="142" t="s">
        <v>10966</v>
      </c>
      <c r="P157" s="142" t="s">
        <v>2863</v>
      </c>
      <c r="Q157" s="173">
        <v>2.0</v>
      </c>
      <c r="R157" s="477"/>
      <c r="S157" s="271" t="s">
        <v>1844</v>
      </c>
      <c r="T157" s="141"/>
    </row>
    <row r="158">
      <c r="A158" s="173">
        <v>154.0</v>
      </c>
      <c r="B158" s="173" t="s">
        <v>670</v>
      </c>
      <c r="C158" s="142" t="s">
        <v>2406</v>
      </c>
      <c r="D158" s="173" t="s">
        <v>10766</v>
      </c>
      <c r="E158" s="173" t="s">
        <v>10766</v>
      </c>
      <c r="F158" s="476" t="s">
        <v>1211</v>
      </c>
      <c r="G158" s="142">
        <v>748.0</v>
      </c>
      <c r="H158" s="142" t="s">
        <v>2406</v>
      </c>
      <c r="I158" s="173" t="s">
        <v>679</v>
      </c>
      <c r="J158" s="173" t="s">
        <v>225</v>
      </c>
      <c r="K158" s="173" t="s">
        <v>2406</v>
      </c>
      <c r="L158" s="173" t="s">
        <v>11025</v>
      </c>
      <c r="M158" s="173" t="str">
        <f>IFS(L158="","",L158="n/a","N/A",LEN(L158),LOWER(Concatenate("{",char(34),"asset",char(34),":{",char(34),"guid",char(34),":",char(34),L158,char(34),",",char(34),"site",char(34),":",char(34),'2-Building'!$B$4,char(34),",",char(34),"name",char(34),":",char(34),K158,char(34),"}}")))</f>
        <v>{"asset":{"guid":"uuid://7af3946e-351e-4af3-92a6-70a1ad5c817d","site":"in-blr-ananta","name":"hvaccp-58"}}</v>
      </c>
      <c r="N158" s="142" t="s">
        <v>10976</v>
      </c>
      <c r="O158" s="142" t="s">
        <v>10966</v>
      </c>
      <c r="P158" s="142" t="s">
        <v>2863</v>
      </c>
      <c r="Q158" s="173">
        <v>2.0</v>
      </c>
      <c r="R158" s="477"/>
      <c r="S158" s="271" t="s">
        <v>1844</v>
      </c>
      <c r="T158" s="141"/>
    </row>
    <row r="159">
      <c r="A159" s="173">
        <v>155.0</v>
      </c>
      <c r="B159" s="173" t="s">
        <v>670</v>
      </c>
      <c r="C159" s="142" t="s">
        <v>2416</v>
      </c>
      <c r="D159" s="173" t="s">
        <v>10766</v>
      </c>
      <c r="E159" s="173" t="s">
        <v>10766</v>
      </c>
      <c r="F159" s="476" t="s">
        <v>1211</v>
      </c>
      <c r="G159" s="142">
        <v>775.0</v>
      </c>
      <c r="H159" s="142" t="s">
        <v>2416</v>
      </c>
      <c r="I159" s="173" t="s">
        <v>679</v>
      </c>
      <c r="J159" s="173" t="s">
        <v>225</v>
      </c>
      <c r="K159" s="173" t="s">
        <v>2416</v>
      </c>
      <c r="L159" s="173" t="s">
        <v>11026</v>
      </c>
      <c r="M159" s="173" t="str">
        <f>IFS(L159="","",L159="n/a","N/A",LEN(L159),LOWER(Concatenate("{",char(34),"asset",char(34),":{",char(34),"guid",char(34),":",char(34),L159,char(34),",",char(34),"site",char(34),":",char(34),'2-Building'!$B$4,char(34),",",char(34),"name",char(34),":",char(34),K159,char(34),"}}")))</f>
        <v>{"asset":{"guid":"uuid://c5a47992-0646-430c-96b6-cc148d88df8b","site":"in-blr-ananta","name":"hvaccp-59"}}</v>
      </c>
      <c r="N159" s="142" t="s">
        <v>10972</v>
      </c>
      <c r="O159" s="142" t="s">
        <v>10938</v>
      </c>
      <c r="P159" s="142" t="s">
        <v>2863</v>
      </c>
      <c r="Q159" s="173">
        <v>2.0</v>
      </c>
      <c r="R159" s="477"/>
      <c r="S159" s="271" t="s">
        <v>1844</v>
      </c>
      <c r="T159" s="141"/>
    </row>
    <row r="160">
      <c r="A160" s="173">
        <v>156.0</v>
      </c>
      <c r="B160" s="173" t="s">
        <v>670</v>
      </c>
      <c r="C160" s="142" t="s">
        <v>2426</v>
      </c>
      <c r="D160" s="173" t="s">
        <v>10766</v>
      </c>
      <c r="E160" s="173" t="s">
        <v>10766</v>
      </c>
      <c r="F160" s="476" t="s">
        <v>1211</v>
      </c>
      <c r="G160" s="142">
        <v>734.0</v>
      </c>
      <c r="H160" s="142" t="s">
        <v>2426</v>
      </c>
      <c r="I160" s="173" t="s">
        <v>679</v>
      </c>
      <c r="J160" s="173" t="s">
        <v>225</v>
      </c>
      <c r="K160" s="173" t="s">
        <v>2426</v>
      </c>
      <c r="L160" s="173" t="s">
        <v>11027</v>
      </c>
      <c r="M160" s="173" t="str">
        <f>IFS(L160="","",L160="n/a","N/A",LEN(L160),LOWER(Concatenate("{",char(34),"asset",char(34),":{",char(34),"guid",char(34),":",char(34),L160,char(34),",",char(34),"site",char(34),":",char(34),'2-Building'!$B$4,char(34),",",char(34),"name",char(34),":",char(34),K160,char(34),"}}")))</f>
        <v>{"asset":{"guid":"uuid://22f052a8-21d0-45a3-81ae-82920b6eb1da","site":"in-blr-ananta","name":"hvaccp-60"}}</v>
      </c>
      <c r="N160" s="142" t="s">
        <v>10972</v>
      </c>
      <c r="O160" s="142" t="s">
        <v>10938</v>
      </c>
      <c r="P160" s="142" t="s">
        <v>2863</v>
      </c>
      <c r="Q160" s="173">
        <v>2.0</v>
      </c>
      <c r="R160" s="477"/>
      <c r="S160" s="271" t="s">
        <v>1844</v>
      </c>
      <c r="T160" s="141"/>
    </row>
    <row r="161">
      <c r="A161" s="173">
        <v>157.0</v>
      </c>
      <c r="B161" s="173" t="s">
        <v>670</v>
      </c>
      <c r="C161" s="142" t="s">
        <v>2436</v>
      </c>
      <c r="D161" s="173" t="s">
        <v>10766</v>
      </c>
      <c r="E161" s="173" t="s">
        <v>10766</v>
      </c>
      <c r="F161" s="476" t="s">
        <v>1211</v>
      </c>
      <c r="G161" s="142">
        <v>733.0</v>
      </c>
      <c r="H161" s="142" t="s">
        <v>2436</v>
      </c>
      <c r="I161" s="173" t="s">
        <v>679</v>
      </c>
      <c r="J161" s="173" t="s">
        <v>225</v>
      </c>
      <c r="K161" s="173" t="s">
        <v>2436</v>
      </c>
      <c r="L161" s="173" t="s">
        <v>11028</v>
      </c>
      <c r="M161" s="173" t="str">
        <f>IFS(L161="","",L161="n/a","N/A",LEN(L161),LOWER(Concatenate("{",char(34),"asset",char(34),":{",char(34),"guid",char(34),":",char(34),L161,char(34),",",char(34),"site",char(34),":",char(34),'2-Building'!$B$4,char(34),",",char(34),"name",char(34),":",char(34),K161,char(34),"}}")))</f>
        <v>{"asset":{"guid":"uuid://30785af4-a44c-4735-9280-386ec4294aa5","site":"in-blr-ananta","name":"hvaccp-61"}}</v>
      </c>
      <c r="N161" s="142" t="s">
        <v>11029</v>
      </c>
      <c r="O161" s="142" t="s">
        <v>10966</v>
      </c>
      <c r="P161" s="142" t="s">
        <v>2863</v>
      </c>
      <c r="Q161" s="173">
        <v>3.0</v>
      </c>
      <c r="R161" s="477"/>
      <c r="S161" s="271" t="s">
        <v>1844</v>
      </c>
      <c r="T161" s="141"/>
    </row>
    <row r="162">
      <c r="A162" s="173">
        <v>158.0</v>
      </c>
      <c r="B162" s="173" t="s">
        <v>670</v>
      </c>
      <c r="C162" s="142" t="s">
        <v>2451</v>
      </c>
      <c r="D162" s="173" t="s">
        <v>10766</v>
      </c>
      <c r="E162" s="173" t="s">
        <v>10766</v>
      </c>
      <c r="F162" s="476" t="s">
        <v>1272</v>
      </c>
      <c r="G162" s="142">
        <v>863.0</v>
      </c>
      <c r="H162" s="142" t="s">
        <v>2451</v>
      </c>
      <c r="I162" s="173" t="s">
        <v>679</v>
      </c>
      <c r="J162" s="173" t="s">
        <v>225</v>
      </c>
      <c r="K162" s="173" t="s">
        <v>2451</v>
      </c>
      <c r="L162" s="173" t="s">
        <v>11030</v>
      </c>
      <c r="M162" s="173" t="str">
        <f>IFS(L162="","",L162="n/a","N/A",LEN(L162),LOWER(Concatenate("{",char(34),"asset",char(34),":{",char(34),"guid",char(34),":",char(34),L162,char(34),",",char(34),"site",char(34),":",char(34),'2-Building'!$B$4,char(34),",",char(34),"name",char(34),":",char(34),K162,char(34),"}}")))</f>
        <v>{"asset":{"guid":"uuid://f48d277d-ca7c-4c31-9252-657081bb4372","site":"in-blr-ananta","name":"hvaccp-62"}}</v>
      </c>
      <c r="N162" s="142" t="s">
        <v>10942</v>
      </c>
      <c r="O162" s="142" t="s">
        <v>10938</v>
      </c>
      <c r="P162" s="142" t="s">
        <v>2863</v>
      </c>
      <c r="Q162" s="173">
        <v>2.0</v>
      </c>
      <c r="R162" s="477"/>
      <c r="S162" s="271" t="s">
        <v>1844</v>
      </c>
      <c r="T162" s="141"/>
    </row>
    <row r="163">
      <c r="A163" s="173">
        <v>159.0</v>
      </c>
      <c r="B163" s="173" t="s">
        <v>670</v>
      </c>
      <c r="C163" s="142" t="s">
        <v>2461</v>
      </c>
      <c r="D163" s="173" t="s">
        <v>10766</v>
      </c>
      <c r="E163" s="173" t="s">
        <v>10766</v>
      </c>
      <c r="F163" s="476" t="s">
        <v>1272</v>
      </c>
      <c r="G163" s="142">
        <v>819.0</v>
      </c>
      <c r="H163" s="142" t="s">
        <v>2461</v>
      </c>
      <c r="I163" s="173" t="s">
        <v>679</v>
      </c>
      <c r="J163" s="173" t="s">
        <v>225</v>
      </c>
      <c r="K163" s="173" t="s">
        <v>2461</v>
      </c>
      <c r="L163" s="173" t="s">
        <v>11031</v>
      </c>
      <c r="M163" s="173" t="str">
        <f>IFS(L163="","",L163="n/a","N/A",LEN(L163),LOWER(Concatenate("{",char(34),"asset",char(34),":{",char(34),"guid",char(34),":",char(34),L163,char(34),",",char(34),"site",char(34),":",char(34),'2-Building'!$B$4,char(34),",",char(34),"name",char(34),":",char(34),K163,char(34),"}}")))</f>
        <v>{"asset":{"guid":"uuid://bdc1e65c-e236-4250-989d-a73559aeb97f","site":"in-blr-ananta","name":"hvaccp-63"}}</v>
      </c>
      <c r="N163" s="142" t="s">
        <v>10976</v>
      </c>
      <c r="O163" s="142" t="s">
        <v>10966</v>
      </c>
      <c r="P163" s="142" t="s">
        <v>2863</v>
      </c>
      <c r="Q163" s="173">
        <v>2.0</v>
      </c>
      <c r="R163" s="477"/>
      <c r="S163" s="271" t="s">
        <v>1844</v>
      </c>
      <c r="T163" s="141"/>
    </row>
    <row r="164">
      <c r="A164" s="173">
        <v>160.0</v>
      </c>
      <c r="B164" s="173" t="s">
        <v>670</v>
      </c>
      <c r="C164" s="142" t="s">
        <v>2471</v>
      </c>
      <c r="D164" s="173" t="s">
        <v>10766</v>
      </c>
      <c r="E164" s="173" t="s">
        <v>10766</v>
      </c>
      <c r="F164" s="476" t="s">
        <v>1272</v>
      </c>
      <c r="G164" s="142">
        <v>848.0</v>
      </c>
      <c r="H164" s="142" t="s">
        <v>2471</v>
      </c>
      <c r="I164" s="173" t="s">
        <v>679</v>
      </c>
      <c r="J164" s="173" t="s">
        <v>225</v>
      </c>
      <c r="K164" s="173" t="s">
        <v>2471</v>
      </c>
      <c r="L164" s="173" t="s">
        <v>11032</v>
      </c>
      <c r="M164" s="173" t="str">
        <f>IFS(L164="","",L164="n/a","N/A",LEN(L164),LOWER(Concatenate("{",char(34),"asset",char(34),":{",char(34),"guid",char(34),":",char(34),L164,char(34),",",char(34),"site",char(34),":",char(34),'2-Building'!$B$4,char(34),",",char(34),"name",char(34),":",char(34),K164,char(34),"}}")))</f>
        <v>{"asset":{"guid":"uuid://a9eaa704-3685-4e21-ba0e-0d5f396465ad","site":"in-blr-ananta","name":"hvaccp-64"}}</v>
      </c>
      <c r="N164" s="142" t="s">
        <v>10976</v>
      </c>
      <c r="O164" s="142" t="s">
        <v>10966</v>
      </c>
      <c r="P164" s="142" t="s">
        <v>2863</v>
      </c>
      <c r="Q164" s="173">
        <v>2.0</v>
      </c>
      <c r="R164" s="477"/>
      <c r="S164" s="271" t="s">
        <v>1844</v>
      </c>
      <c r="T164" s="141"/>
    </row>
    <row r="165">
      <c r="A165" s="173">
        <v>161.0</v>
      </c>
      <c r="B165" s="173" t="s">
        <v>670</v>
      </c>
      <c r="C165" s="142" t="s">
        <v>2481</v>
      </c>
      <c r="D165" s="173" t="s">
        <v>10766</v>
      </c>
      <c r="E165" s="173" t="s">
        <v>10766</v>
      </c>
      <c r="F165" s="476" t="s">
        <v>1272</v>
      </c>
      <c r="G165" s="142">
        <v>875.0</v>
      </c>
      <c r="H165" s="142" t="s">
        <v>2481</v>
      </c>
      <c r="I165" s="173" t="s">
        <v>679</v>
      </c>
      <c r="J165" s="173" t="s">
        <v>225</v>
      </c>
      <c r="K165" s="173" t="s">
        <v>2481</v>
      </c>
      <c r="L165" s="173" t="s">
        <v>11033</v>
      </c>
      <c r="M165" s="173" t="str">
        <f>IFS(L165="","",L165="n/a","N/A",LEN(L165),LOWER(Concatenate("{",char(34),"asset",char(34),":{",char(34),"guid",char(34),":",char(34),L165,char(34),",",char(34),"site",char(34),":",char(34),'2-Building'!$B$4,char(34),",",char(34),"name",char(34),":",char(34),K165,char(34),"}}")))</f>
        <v>{"asset":{"guid":"uuid://3c8dbf5a-e9a6-42ca-be22-8e87a887f854","site":"in-blr-ananta","name":"hvaccp-65"}}</v>
      </c>
      <c r="N165" s="142" t="s">
        <v>10972</v>
      </c>
      <c r="O165" s="142" t="s">
        <v>10938</v>
      </c>
      <c r="P165" s="142" t="s">
        <v>2863</v>
      </c>
      <c r="Q165" s="173">
        <v>2.0</v>
      </c>
      <c r="R165" s="477"/>
      <c r="S165" s="271" t="s">
        <v>1844</v>
      </c>
      <c r="T165" s="141"/>
    </row>
    <row r="166">
      <c r="A166" s="173">
        <v>162.0</v>
      </c>
      <c r="B166" s="173" t="s">
        <v>670</v>
      </c>
      <c r="C166" s="142" t="s">
        <v>2491</v>
      </c>
      <c r="D166" s="173" t="s">
        <v>10766</v>
      </c>
      <c r="E166" s="173" t="s">
        <v>10766</v>
      </c>
      <c r="F166" s="476" t="s">
        <v>1272</v>
      </c>
      <c r="G166" s="142">
        <v>834.0</v>
      </c>
      <c r="H166" s="142" t="s">
        <v>2491</v>
      </c>
      <c r="I166" s="173" t="s">
        <v>679</v>
      </c>
      <c r="J166" s="173" t="s">
        <v>225</v>
      </c>
      <c r="K166" s="173" t="s">
        <v>2491</v>
      </c>
      <c r="L166" s="173" t="s">
        <v>11034</v>
      </c>
      <c r="M166" s="173" t="str">
        <f>IFS(L166="","",L166="n/a","N/A",LEN(L166),LOWER(Concatenate("{",char(34),"asset",char(34),":{",char(34),"guid",char(34),":",char(34),L166,char(34),",",char(34),"site",char(34),":",char(34),'2-Building'!$B$4,char(34),",",char(34),"name",char(34),":",char(34),K166,char(34),"}}")))</f>
        <v>{"asset":{"guid":"uuid://ca6bf799-4872-412d-8053-1602efd85bd1","site":"in-blr-ananta","name":"hvaccp-66"}}</v>
      </c>
      <c r="N166" s="142" t="s">
        <v>10972</v>
      </c>
      <c r="O166" s="142" t="s">
        <v>10938</v>
      </c>
      <c r="P166" s="142" t="s">
        <v>2863</v>
      </c>
      <c r="Q166" s="173">
        <v>2.0</v>
      </c>
      <c r="R166" s="477"/>
      <c r="S166" s="271" t="s">
        <v>1844</v>
      </c>
      <c r="T166" s="141"/>
    </row>
    <row r="167">
      <c r="A167" s="173">
        <v>163.0</v>
      </c>
      <c r="B167" s="173" t="s">
        <v>670</v>
      </c>
      <c r="C167" s="142" t="s">
        <v>2501</v>
      </c>
      <c r="D167" s="173" t="s">
        <v>10766</v>
      </c>
      <c r="E167" s="173" t="s">
        <v>10766</v>
      </c>
      <c r="F167" s="476" t="s">
        <v>1272</v>
      </c>
      <c r="G167" s="142">
        <v>833.0</v>
      </c>
      <c r="H167" s="142" t="s">
        <v>2501</v>
      </c>
      <c r="I167" s="173" t="s">
        <v>679</v>
      </c>
      <c r="J167" s="173" t="s">
        <v>225</v>
      </c>
      <c r="K167" s="173" t="s">
        <v>2501</v>
      </c>
      <c r="L167" s="173" t="s">
        <v>11035</v>
      </c>
      <c r="M167" s="173" t="str">
        <f>IFS(L167="","",L167="n/a","N/A",LEN(L167),LOWER(Concatenate("{",char(34),"asset",char(34),":{",char(34),"guid",char(34),":",char(34),L167,char(34),",",char(34),"site",char(34),":",char(34),'2-Building'!$B$4,char(34),",",char(34),"name",char(34),":",char(34),K167,char(34),"}}")))</f>
        <v>{"asset":{"guid":"uuid://887f7a67-f934-460d-a36f-953cf07cfa18","site":"in-blr-ananta","name":"hvaccp-67"}}</v>
      </c>
      <c r="N167" s="142" t="s">
        <v>10976</v>
      </c>
      <c r="O167" s="142" t="s">
        <v>10966</v>
      </c>
      <c r="P167" s="142" t="s">
        <v>2863</v>
      </c>
      <c r="Q167" s="173">
        <v>2.0</v>
      </c>
      <c r="R167" s="477"/>
      <c r="S167" s="271" t="s">
        <v>1844</v>
      </c>
      <c r="T167" s="141"/>
    </row>
    <row r="168">
      <c r="A168" s="173">
        <v>164.0</v>
      </c>
      <c r="B168" s="173" t="s">
        <v>670</v>
      </c>
      <c r="C168" s="142" t="s">
        <v>2511</v>
      </c>
      <c r="D168" s="173" t="s">
        <v>10766</v>
      </c>
      <c r="E168" s="173" t="s">
        <v>10766</v>
      </c>
      <c r="F168" s="476" t="s">
        <v>1333</v>
      </c>
      <c r="G168" s="142">
        <v>963.0</v>
      </c>
      <c r="H168" s="142" t="s">
        <v>2511</v>
      </c>
      <c r="I168" s="173" t="s">
        <v>679</v>
      </c>
      <c r="J168" s="173" t="s">
        <v>225</v>
      </c>
      <c r="K168" s="173" t="s">
        <v>2511</v>
      </c>
      <c r="L168" s="173" t="s">
        <v>11036</v>
      </c>
      <c r="M168" s="173" t="str">
        <f>IFS(L168="","",L168="n/a","N/A",LEN(L168),LOWER(Concatenate("{",char(34),"asset",char(34),":{",char(34),"guid",char(34),":",char(34),L168,char(34),",",char(34),"site",char(34),":",char(34),'2-Building'!$B$4,char(34),",",char(34),"name",char(34),":",char(34),K168,char(34),"}}")))</f>
        <v>{"asset":{"guid":"uuid://0db41898-7a7b-4dc6-b0dc-4d3c9a9bacc5","site":"in-blr-ananta","name":"hvaccp-68"}}</v>
      </c>
      <c r="N168" s="142" t="s">
        <v>10942</v>
      </c>
      <c r="O168" s="142" t="s">
        <v>10938</v>
      </c>
      <c r="P168" s="142" t="s">
        <v>2863</v>
      </c>
      <c r="Q168" s="173">
        <v>2.0</v>
      </c>
      <c r="R168" s="477"/>
      <c r="S168" s="271" t="s">
        <v>1844</v>
      </c>
      <c r="T168" s="141"/>
    </row>
    <row r="169">
      <c r="A169" s="173">
        <v>165.0</v>
      </c>
      <c r="B169" s="173" t="s">
        <v>670</v>
      </c>
      <c r="C169" s="142" t="s">
        <v>2520</v>
      </c>
      <c r="D169" s="173" t="s">
        <v>10766</v>
      </c>
      <c r="E169" s="173" t="s">
        <v>10766</v>
      </c>
      <c r="F169" s="476" t="s">
        <v>1333</v>
      </c>
      <c r="G169" s="142">
        <v>919.0</v>
      </c>
      <c r="H169" s="142" t="s">
        <v>2520</v>
      </c>
      <c r="I169" s="173" t="s">
        <v>679</v>
      </c>
      <c r="J169" s="173" t="s">
        <v>225</v>
      </c>
      <c r="K169" s="173" t="s">
        <v>2520</v>
      </c>
      <c r="L169" s="173" t="s">
        <v>11037</v>
      </c>
      <c r="M169" s="173" t="str">
        <f>IFS(L169="","",L169="n/a","N/A",LEN(L169),LOWER(Concatenate("{",char(34),"asset",char(34),":{",char(34),"guid",char(34),":",char(34),L169,char(34),",",char(34),"site",char(34),":",char(34),'2-Building'!$B$4,char(34),",",char(34),"name",char(34),":",char(34),K169,char(34),"}}")))</f>
        <v>{"asset":{"guid":"uuid://ed3a9e3f-918f-45d9-8769-fb703c166dd6","site":"in-blr-ananta","name":"hvaccp-69"}}</v>
      </c>
      <c r="N169" s="142" t="s">
        <v>10987</v>
      </c>
      <c r="O169" s="142" t="s">
        <v>10959</v>
      </c>
      <c r="P169" s="142" t="s">
        <v>2863</v>
      </c>
      <c r="Q169" s="173">
        <v>2.0</v>
      </c>
      <c r="R169" s="477"/>
      <c r="S169" s="271" t="s">
        <v>1844</v>
      </c>
      <c r="T169" s="141"/>
    </row>
    <row r="170">
      <c r="A170" s="173">
        <v>166.0</v>
      </c>
      <c r="B170" s="173" t="s">
        <v>670</v>
      </c>
      <c r="C170" s="142" t="s">
        <v>2530</v>
      </c>
      <c r="D170" s="173" t="s">
        <v>10766</v>
      </c>
      <c r="E170" s="173" t="s">
        <v>10766</v>
      </c>
      <c r="F170" s="476" t="s">
        <v>1333</v>
      </c>
      <c r="G170" s="142">
        <v>948.0</v>
      </c>
      <c r="H170" s="142" t="s">
        <v>2530</v>
      </c>
      <c r="I170" s="173" t="s">
        <v>679</v>
      </c>
      <c r="J170" s="173" t="s">
        <v>225</v>
      </c>
      <c r="K170" s="173" t="s">
        <v>2530</v>
      </c>
      <c r="L170" s="173" t="s">
        <v>11038</v>
      </c>
      <c r="M170" s="173" t="str">
        <f>IFS(L170="","",L170="n/a","N/A",LEN(L170),LOWER(Concatenate("{",char(34),"asset",char(34),":{",char(34),"guid",char(34),":",char(34),L170,char(34),",",char(34),"site",char(34),":",char(34),'2-Building'!$B$4,char(34),",",char(34),"name",char(34),":",char(34),K170,char(34),"}}")))</f>
        <v>{"asset":{"guid":"uuid://7010e729-6baf-41cb-b57f-73c2e3c65101","site":"in-blr-ananta","name":"hvaccp-70"}}</v>
      </c>
      <c r="N170" s="142" t="s">
        <v>10976</v>
      </c>
      <c r="O170" s="142" t="s">
        <v>10966</v>
      </c>
      <c r="P170" s="142" t="s">
        <v>2863</v>
      </c>
      <c r="Q170" s="173">
        <v>2.0</v>
      </c>
      <c r="R170" s="477"/>
      <c r="S170" s="271" t="s">
        <v>1844</v>
      </c>
      <c r="T170" s="141"/>
    </row>
    <row r="171">
      <c r="A171" s="173">
        <v>167.0</v>
      </c>
      <c r="B171" s="173" t="s">
        <v>670</v>
      </c>
      <c r="C171" s="142" t="s">
        <v>2541</v>
      </c>
      <c r="D171" s="173" t="s">
        <v>10766</v>
      </c>
      <c r="E171" s="173" t="s">
        <v>10766</v>
      </c>
      <c r="F171" s="476" t="s">
        <v>1333</v>
      </c>
      <c r="G171" s="142">
        <v>948.0</v>
      </c>
      <c r="H171" s="142" t="s">
        <v>2541</v>
      </c>
      <c r="I171" s="173" t="s">
        <v>679</v>
      </c>
      <c r="J171" s="173" t="s">
        <v>225</v>
      </c>
      <c r="K171" s="173" t="s">
        <v>2541</v>
      </c>
      <c r="L171" s="173" t="s">
        <v>11039</v>
      </c>
      <c r="M171" s="173" t="str">
        <f>IFS(L171="","",L171="n/a","N/A",LEN(L171),LOWER(Concatenate("{",char(34),"asset",char(34),":{",char(34),"guid",char(34),":",char(34),L171,char(34),",",char(34),"site",char(34),":",char(34),'2-Building'!$B$4,char(34),",",char(34),"name",char(34),":",char(34),K171,char(34),"}}")))</f>
        <v>{"asset":{"guid":"uuid://043b0987-9f6c-4c0a-b1a5-e6e93a1efb38","site":"in-blr-ananta","name":"hvaccp-71"}}</v>
      </c>
      <c r="N171" s="142" t="s">
        <v>10963</v>
      </c>
      <c r="O171" s="142"/>
      <c r="P171" s="142" t="s">
        <v>2863</v>
      </c>
      <c r="Q171" s="173">
        <v>1.0</v>
      </c>
      <c r="R171" s="477"/>
      <c r="S171" s="271" t="s">
        <v>1844</v>
      </c>
      <c r="T171" s="141"/>
    </row>
    <row r="172">
      <c r="A172" s="173">
        <v>168.0</v>
      </c>
      <c r="B172" s="173" t="s">
        <v>670</v>
      </c>
      <c r="C172" s="142" t="s">
        <v>2546</v>
      </c>
      <c r="D172" s="173" t="s">
        <v>10766</v>
      </c>
      <c r="E172" s="173" t="s">
        <v>10766</v>
      </c>
      <c r="F172" s="476" t="s">
        <v>1333</v>
      </c>
      <c r="G172" s="142">
        <v>975.0</v>
      </c>
      <c r="H172" s="142" t="s">
        <v>2546</v>
      </c>
      <c r="I172" s="173" t="s">
        <v>679</v>
      </c>
      <c r="J172" s="173" t="s">
        <v>225</v>
      </c>
      <c r="K172" s="173" t="s">
        <v>2546</v>
      </c>
      <c r="L172" s="173" t="s">
        <v>11040</v>
      </c>
      <c r="M172" s="173" t="str">
        <f>IFS(L172="","",L172="n/a","N/A",LEN(L172),LOWER(Concatenate("{",char(34),"asset",char(34),":{",char(34),"guid",char(34),":",char(34),L172,char(34),",",char(34),"site",char(34),":",char(34),'2-Building'!$B$4,char(34),",",char(34),"name",char(34),":",char(34),K172,char(34),"}}")))</f>
        <v>{"asset":{"guid":"uuid://942f20d5-71e9-4619-8688-9c89f18537b8","site":"in-blr-ananta","name":"hvaccp-72"}}</v>
      </c>
      <c r="N172" s="142" t="s">
        <v>10987</v>
      </c>
      <c r="O172" s="142" t="s">
        <v>10959</v>
      </c>
      <c r="P172" s="142" t="s">
        <v>2863</v>
      </c>
      <c r="Q172" s="173">
        <v>2.0</v>
      </c>
      <c r="R172" s="477"/>
      <c r="S172" s="271" t="s">
        <v>1844</v>
      </c>
      <c r="T172" s="141"/>
    </row>
    <row r="173">
      <c r="A173" s="173">
        <v>169.0</v>
      </c>
      <c r="B173" s="173" t="s">
        <v>670</v>
      </c>
      <c r="C173" s="142" t="s">
        <v>2557</v>
      </c>
      <c r="D173" s="173" t="s">
        <v>10766</v>
      </c>
      <c r="E173" s="173" t="s">
        <v>10766</v>
      </c>
      <c r="F173" s="476" t="s">
        <v>1333</v>
      </c>
      <c r="G173" s="142">
        <v>934.0</v>
      </c>
      <c r="H173" s="142" t="s">
        <v>2557</v>
      </c>
      <c r="I173" s="173" t="s">
        <v>679</v>
      </c>
      <c r="J173" s="173" t="s">
        <v>225</v>
      </c>
      <c r="K173" s="173" t="s">
        <v>2557</v>
      </c>
      <c r="L173" s="173" t="s">
        <v>11041</v>
      </c>
      <c r="M173" s="173" t="str">
        <f>IFS(L173="","",L173="n/a","N/A",LEN(L173),LOWER(Concatenate("{",char(34),"asset",char(34),":{",char(34),"guid",char(34),":",char(34),L173,char(34),",",char(34),"site",char(34),":",char(34),'2-Building'!$B$4,char(34),",",char(34),"name",char(34),":",char(34),K173,char(34),"}}")))</f>
        <v>{"asset":{"guid":"uuid://dc3c00e3-c38a-46ee-882e-798629b9dbfc","site":"in-blr-ananta","name":"hvaccp-73"}}</v>
      </c>
      <c r="N173" s="142" t="s">
        <v>10976</v>
      </c>
      <c r="O173" s="142" t="s">
        <v>10966</v>
      </c>
      <c r="P173" s="142" t="s">
        <v>2863</v>
      </c>
      <c r="Q173" s="173">
        <v>2.0</v>
      </c>
      <c r="R173" s="477"/>
      <c r="S173" s="271" t="s">
        <v>1844</v>
      </c>
      <c r="T173" s="141"/>
    </row>
    <row r="174">
      <c r="A174" s="173">
        <v>170.0</v>
      </c>
      <c r="B174" s="173" t="s">
        <v>670</v>
      </c>
      <c r="C174" s="142" t="s">
        <v>2568</v>
      </c>
      <c r="D174" s="173" t="s">
        <v>10766</v>
      </c>
      <c r="E174" s="173" t="s">
        <v>10766</v>
      </c>
      <c r="F174" s="476" t="s">
        <v>1333</v>
      </c>
      <c r="G174" s="142">
        <v>933.0</v>
      </c>
      <c r="H174" s="142" t="s">
        <v>2568</v>
      </c>
      <c r="I174" s="173" t="s">
        <v>679</v>
      </c>
      <c r="J174" s="173" t="s">
        <v>225</v>
      </c>
      <c r="K174" s="173" t="s">
        <v>2568</v>
      </c>
      <c r="L174" s="173" t="s">
        <v>11042</v>
      </c>
      <c r="M174" s="173" t="str">
        <f>IFS(L174="","",L174="n/a","N/A",LEN(L174),LOWER(Concatenate("{",char(34),"asset",char(34),":{",char(34),"guid",char(34),":",char(34),L174,char(34),",",char(34),"site",char(34),":",char(34),'2-Building'!$B$4,char(34),",",char(34),"name",char(34),":",char(34),K174,char(34),"}}")))</f>
        <v>{"asset":{"guid":"uuid://4989b447-a1a0-42af-8265-558d70f57e81","site":"in-blr-ananta","name":"hvaccp-74"}}</v>
      </c>
      <c r="N174" s="142" t="s">
        <v>11043</v>
      </c>
      <c r="O174" s="142" t="s">
        <v>11044</v>
      </c>
      <c r="P174" s="142" t="s">
        <v>2863</v>
      </c>
      <c r="Q174" s="173">
        <v>1.0</v>
      </c>
      <c r="R174" s="477"/>
      <c r="S174" s="271" t="s">
        <v>1844</v>
      </c>
      <c r="T174" s="141"/>
    </row>
    <row r="175">
      <c r="A175" s="173">
        <v>171.0</v>
      </c>
      <c r="B175" s="173" t="s">
        <v>670</v>
      </c>
      <c r="C175" s="142" t="s">
        <v>2573</v>
      </c>
      <c r="D175" s="173" t="s">
        <v>10766</v>
      </c>
      <c r="E175" s="173" t="s">
        <v>10766</v>
      </c>
      <c r="F175" s="476" t="s">
        <v>1393</v>
      </c>
      <c r="G175" s="142"/>
      <c r="H175" s="142" t="s">
        <v>2573</v>
      </c>
      <c r="I175" s="173" t="s">
        <v>679</v>
      </c>
      <c r="J175" s="173" t="s">
        <v>225</v>
      </c>
      <c r="K175" s="173" t="s">
        <v>2573</v>
      </c>
      <c r="L175" s="173" t="s">
        <v>11045</v>
      </c>
      <c r="M175" s="173" t="str">
        <f>IFS(L175="","",L175="n/a","N/A",LEN(L175),LOWER(Concatenate("{",char(34),"asset",char(34),":{",char(34),"guid",char(34),":",char(34),L175,char(34),",",char(34),"site",char(34),":",char(34),'2-Building'!$B$4,char(34),",",char(34),"name",char(34),":",char(34),K175,char(34),"}}")))</f>
        <v>{"asset":{"guid":"uuid://fdf7baaf-3373-47d8-8e8c-81df4e855ea4","site":"in-blr-ananta","name":"hvaccp-75"}}</v>
      </c>
      <c r="N175" s="142" t="s">
        <v>11014</v>
      </c>
      <c r="O175" s="142" t="s">
        <v>10935</v>
      </c>
      <c r="P175" s="142" t="s">
        <v>2863</v>
      </c>
      <c r="Q175" s="173">
        <v>3.0</v>
      </c>
      <c r="R175" s="477"/>
      <c r="S175" s="271" t="s">
        <v>1844</v>
      </c>
      <c r="T175" s="141"/>
    </row>
    <row r="176">
      <c r="A176" s="173">
        <v>172.0</v>
      </c>
      <c r="B176" s="173" t="s">
        <v>670</v>
      </c>
      <c r="C176" s="142" t="s">
        <v>2588</v>
      </c>
      <c r="D176" s="173" t="s">
        <v>10766</v>
      </c>
      <c r="E176" s="173" t="s">
        <v>10766</v>
      </c>
      <c r="F176" s="476" t="s">
        <v>1393</v>
      </c>
      <c r="G176" s="142"/>
      <c r="H176" s="142" t="s">
        <v>2588</v>
      </c>
      <c r="I176" s="173" t="s">
        <v>679</v>
      </c>
      <c r="J176" s="173" t="s">
        <v>225</v>
      </c>
      <c r="K176" s="173" t="s">
        <v>2588</v>
      </c>
      <c r="L176" s="173" t="s">
        <v>11046</v>
      </c>
      <c r="M176" s="173" t="str">
        <f>IFS(L176="","",L176="n/a","N/A",LEN(L176),LOWER(Concatenate("{",char(34),"asset",char(34),":{",char(34),"guid",char(34),":",char(34),L176,char(34),",",char(34),"site",char(34),":",char(34),'2-Building'!$B$4,char(34),",",char(34),"name",char(34),":",char(34),K176,char(34),"}}")))</f>
        <v>{"asset":{"guid":"uuid://2b1a8615-ea4c-41e2-98c7-11cf39e444c5","site":"in-blr-ananta","name":"hvaccp-76"}}</v>
      </c>
      <c r="N176" s="142" t="s">
        <v>10974</v>
      </c>
      <c r="O176" s="142" t="s">
        <v>10946</v>
      </c>
      <c r="P176" s="142" t="s">
        <v>2863</v>
      </c>
      <c r="Q176" s="173">
        <v>2.0</v>
      </c>
      <c r="R176" s="477"/>
      <c r="S176" s="271" t="s">
        <v>1844</v>
      </c>
      <c r="T176" s="141"/>
    </row>
    <row r="177">
      <c r="A177" s="173">
        <v>173.0</v>
      </c>
      <c r="B177" s="173" t="s">
        <v>670</v>
      </c>
      <c r="C177" s="142" t="s">
        <v>2598</v>
      </c>
      <c r="D177" s="173" t="s">
        <v>10766</v>
      </c>
      <c r="E177" s="173" t="s">
        <v>10766</v>
      </c>
      <c r="F177" s="476" t="s">
        <v>1393</v>
      </c>
      <c r="G177" s="142"/>
      <c r="H177" s="142" t="s">
        <v>2598</v>
      </c>
      <c r="I177" s="173" t="s">
        <v>679</v>
      </c>
      <c r="J177" s="173" t="s">
        <v>225</v>
      </c>
      <c r="K177" s="173" t="s">
        <v>2598</v>
      </c>
      <c r="L177" s="173" t="s">
        <v>11047</v>
      </c>
      <c r="M177" s="173" t="str">
        <f>IFS(L177="","",L177="n/a","N/A",LEN(L177),LOWER(Concatenate("{",char(34),"asset",char(34),":{",char(34),"guid",char(34),":",char(34),L177,char(34),",",char(34),"site",char(34),":",char(34),'2-Building'!$B$4,char(34),",",char(34),"name",char(34),":",char(34),K177,char(34),"}}")))</f>
        <v>{"asset":{"guid":"uuid://0010f999-7748-4fe1-ac15-c7ecb4e3108b","site":"in-blr-ananta","name":"hvaccp-77"}}</v>
      </c>
      <c r="N177" s="142" t="s">
        <v>10976</v>
      </c>
      <c r="O177" s="142" t="s">
        <v>10966</v>
      </c>
      <c r="P177" s="142" t="s">
        <v>2863</v>
      </c>
      <c r="Q177" s="173">
        <v>2.0</v>
      </c>
      <c r="R177" s="477"/>
      <c r="S177" s="271" t="s">
        <v>1844</v>
      </c>
      <c r="T177" s="141"/>
    </row>
    <row r="178">
      <c r="A178" s="173">
        <v>174.0</v>
      </c>
      <c r="B178" s="173" t="s">
        <v>670</v>
      </c>
      <c r="C178" s="142" t="s">
        <v>2608</v>
      </c>
      <c r="D178" s="173" t="s">
        <v>10766</v>
      </c>
      <c r="E178" s="173" t="s">
        <v>10766</v>
      </c>
      <c r="F178" s="476" t="s">
        <v>1393</v>
      </c>
      <c r="G178" s="142"/>
      <c r="H178" s="142" t="s">
        <v>2608</v>
      </c>
      <c r="I178" s="173" t="s">
        <v>679</v>
      </c>
      <c r="J178" s="173" t="s">
        <v>225</v>
      </c>
      <c r="K178" s="173" t="s">
        <v>2608</v>
      </c>
      <c r="L178" s="173" t="s">
        <v>11048</v>
      </c>
      <c r="M178" s="173" t="str">
        <f>IFS(L178="","",L178="n/a","N/A",LEN(L178),LOWER(Concatenate("{",char(34),"asset",char(34),":{",char(34),"guid",char(34),":",char(34),L178,char(34),",",char(34),"site",char(34),":",char(34),'2-Building'!$B$4,char(34),",",char(34),"name",char(34),":",char(34),K178,char(34),"}}")))</f>
        <v>{"asset":{"guid":"uuid://95770721-8e29-4dd0-b187-e0820fad63cc","site":"in-blr-ananta","name":"hvaccp-78"}}</v>
      </c>
      <c r="N178" s="142" t="s">
        <v>10972</v>
      </c>
      <c r="O178" s="142" t="s">
        <v>10938</v>
      </c>
      <c r="P178" s="142" t="s">
        <v>2863</v>
      </c>
      <c r="Q178" s="173">
        <v>2.0</v>
      </c>
      <c r="R178" s="477"/>
      <c r="S178" s="271" t="s">
        <v>1844</v>
      </c>
      <c r="T178" s="141"/>
    </row>
    <row r="179">
      <c r="A179" s="173">
        <v>175.0</v>
      </c>
      <c r="B179" s="173" t="s">
        <v>670</v>
      </c>
      <c r="C179" s="142" t="s">
        <v>2618</v>
      </c>
      <c r="D179" s="173" t="s">
        <v>10766</v>
      </c>
      <c r="E179" s="173" t="s">
        <v>10766</v>
      </c>
      <c r="F179" s="476" t="s">
        <v>1393</v>
      </c>
      <c r="G179" s="142"/>
      <c r="H179" s="142" t="s">
        <v>2618</v>
      </c>
      <c r="I179" s="173" t="s">
        <v>679</v>
      </c>
      <c r="J179" s="173" t="s">
        <v>225</v>
      </c>
      <c r="K179" s="173" t="s">
        <v>2618</v>
      </c>
      <c r="L179" s="173" t="s">
        <v>11049</v>
      </c>
      <c r="M179" s="173" t="str">
        <f>IFS(L179="","",L179="n/a","N/A",LEN(L179),LOWER(Concatenate("{",char(34),"asset",char(34),":{",char(34),"guid",char(34),":",char(34),L179,char(34),",",char(34),"site",char(34),":",char(34),'2-Building'!$B$4,char(34),",",char(34),"name",char(34),":",char(34),K179,char(34),"}}")))</f>
        <v>{"asset":{"guid":"uuid://a8af149b-4e6f-4bea-ae33-6af169a9ff11","site":"in-blr-ananta","name":"hvaccp-79"}}</v>
      </c>
      <c r="N179" s="142" t="s">
        <v>11050</v>
      </c>
      <c r="O179" s="142" t="s">
        <v>10946</v>
      </c>
      <c r="P179" s="142" t="s">
        <v>2863</v>
      </c>
      <c r="Q179" s="173">
        <v>0.0</v>
      </c>
      <c r="R179" s="477"/>
      <c r="S179" s="271" t="s">
        <v>1844</v>
      </c>
      <c r="T179" s="141"/>
    </row>
    <row r="180">
      <c r="A180" s="173">
        <v>176.0</v>
      </c>
      <c r="B180" s="173" t="s">
        <v>670</v>
      </c>
      <c r="C180" s="142" t="s">
        <v>2628</v>
      </c>
      <c r="D180" s="173" t="s">
        <v>10766</v>
      </c>
      <c r="E180" s="173" t="s">
        <v>10766</v>
      </c>
      <c r="F180" s="476" t="s">
        <v>1393</v>
      </c>
      <c r="G180" s="142"/>
      <c r="H180" s="142" t="s">
        <v>2628</v>
      </c>
      <c r="I180" s="173" t="s">
        <v>679</v>
      </c>
      <c r="J180" s="173" t="s">
        <v>225</v>
      </c>
      <c r="K180" s="173" t="s">
        <v>2628</v>
      </c>
      <c r="L180" s="173" t="s">
        <v>11051</v>
      </c>
      <c r="M180" s="173" t="str">
        <f>IFS(L180="","",L180="n/a","N/A",LEN(L180),LOWER(Concatenate("{",char(34),"asset",char(34),":{",char(34),"guid",char(34),":",char(34),L180,char(34),",",char(34),"site",char(34),":",char(34),'2-Building'!$B$4,char(34),",",char(34),"name",char(34),":",char(34),K180,char(34),"}}")))</f>
        <v>{"asset":{"guid":"uuid://1d6b8d8e-12d2-47e6-a1be-f9f748ba7bee","site":"in-blr-ananta","name":"hvaccp-80"}}</v>
      </c>
      <c r="N180" s="142" t="s">
        <v>10976</v>
      </c>
      <c r="O180" s="142" t="s">
        <v>10966</v>
      </c>
      <c r="P180" s="142" t="s">
        <v>2863</v>
      </c>
      <c r="Q180" s="173">
        <v>2.0</v>
      </c>
      <c r="R180" s="477"/>
      <c r="S180" s="271" t="s">
        <v>1844</v>
      </c>
      <c r="T180" s="141"/>
    </row>
    <row r="181">
      <c r="A181" s="173">
        <v>177.0</v>
      </c>
      <c r="B181" s="173" t="s">
        <v>670</v>
      </c>
      <c r="C181" s="142" t="s">
        <v>2639</v>
      </c>
      <c r="D181" s="173" t="s">
        <v>10766</v>
      </c>
      <c r="E181" s="173" t="s">
        <v>10766</v>
      </c>
      <c r="F181" s="476" t="s">
        <v>1393</v>
      </c>
      <c r="G181" s="142"/>
      <c r="H181" s="142" t="s">
        <v>2639</v>
      </c>
      <c r="I181" s="173" t="s">
        <v>679</v>
      </c>
      <c r="J181" s="173" t="s">
        <v>225</v>
      </c>
      <c r="K181" s="173" t="s">
        <v>2639</v>
      </c>
      <c r="L181" s="173" t="s">
        <v>11052</v>
      </c>
      <c r="M181" s="173" t="str">
        <f>IFS(L181="","",L181="n/a","N/A",LEN(L181),LOWER(Concatenate("{",char(34),"asset",char(34),":{",char(34),"guid",char(34),":",char(34),L181,char(34),",",char(34),"site",char(34),":",char(34),'2-Building'!$B$4,char(34),",",char(34),"name",char(34),":",char(34),K181,char(34),"}}")))</f>
        <v>{"asset":{"guid":"uuid://72d03049-c9a5-434d-a4cc-cc9bfc3a2d5d","site":"in-blr-ananta","name":"hvaccp-81"}}</v>
      </c>
      <c r="N181" s="142" t="s">
        <v>11053</v>
      </c>
      <c r="O181" s="142" t="s">
        <v>11054</v>
      </c>
      <c r="P181" s="142" t="s">
        <v>2863</v>
      </c>
      <c r="Q181" s="173">
        <v>1.0</v>
      </c>
      <c r="R181" s="477"/>
      <c r="S181" s="271" t="s">
        <v>1844</v>
      </c>
      <c r="T181" s="141"/>
    </row>
    <row r="182">
      <c r="A182" s="173">
        <v>178.0</v>
      </c>
      <c r="B182" s="173" t="s">
        <v>670</v>
      </c>
      <c r="C182" s="142" t="s">
        <v>2644</v>
      </c>
      <c r="D182" s="173" t="s">
        <v>10766</v>
      </c>
      <c r="E182" s="173" t="s">
        <v>10766</v>
      </c>
      <c r="F182" s="476" t="s">
        <v>1453</v>
      </c>
      <c r="G182" s="142"/>
      <c r="H182" s="142" t="s">
        <v>2644</v>
      </c>
      <c r="I182" s="173" t="s">
        <v>679</v>
      </c>
      <c r="J182" s="173" t="s">
        <v>225</v>
      </c>
      <c r="K182" s="173" t="s">
        <v>2644</v>
      </c>
      <c r="L182" s="173" t="s">
        <v>11055</v>
      </c>
      <c r="M182" s="173" t="str">
        <f>IFS(L182="","",L182="n/a","N/A",LEN(L182),LOWER(Concatenate("{",char(34),"asset",char(34),":{",char(34),"guid",char(34),":",char(34),L182,char(34),",",char(34),"site",char(34),":",char(34),'2-Building'!$B$4,char(34),",",char(34),"name",char(34),":",char(34),K182,char(34),"}}")))</f>
        <v>{"asset":{"guid":"uuid://8d8b8afc-31ac-4fed-bb06-a4b56fa5cb4f","site":"in-blr-ananta","name":"hvaccp-82"}}</v>
      </c>
      <c r="N182" s="142" t="s">
        <v>10937</v>
      </c>
      <c r="O182" s="142" t="s">
        <v>10938</v>
      </c>
      <c r="P182" s="142" t="s">
        <v>2863</v>
      </c>
      <c r="Q182" s="173">
        <v>1.0</v>
      </c>
      <c r="R182" s="477"/>
      <c r="S182" s="271" t="s">
        <v>1844</v>
      </c>
      <c r="T182" s="141"/>
    </row>
    <row r="183">
      <c r="A183" s="173">
        <v>179.0</v>
      </c>
      <c r="B183" s="173" t="s">
        <v>670</v>
      </c>
      <c r="C183" s="142" t="s">
        <v>2654</v>
      </c>
      <c r="D183" s="173" t="s">
        <v>10766</v>
      </c>
      <c r="E183" s="173" t="s">
        <v>10766</v>
      </c>
      <c r="F183" s="476" t="s">
        <v>1453</v>
      </c>
      <c r="G183" s="142"/>
      <c r="H183" s="142" t="s">
        <v>2654</v>
      </c>
      <c r="I183" s="173" t="s">
        <v>679</v>
      </c>
      <c r="J183" s="173" t="s">
        <v>225</v>
      </c>
      <c r="K183" s="173" t="s">
        <v>2654</v>
      </c>
      <c r="L183" s="173" t="s">
        <v>11056</v>
      </c>
      <c r="M183" s="173" t="str">
        <f>IFS(L183="","",L183="n/a","N/A",LEN(L183),LOWER(Concatenate("{",char(34),"asset",char(34),":{",char(34),"guid",char(34),":",char(34),L183,char(34),",",char(34),"site",char(34),":",char(34),'2-Building'!$B$4,char(34),",",char(34),"name",char(34),":",char(34),K183,char(34),"}}")))</f>
        <v>{"asset":{"guid":"uuid://ffb96195-2265-4b4f-b8c4-4fa1691c6ecf","site":"in-blr-ananta","name":"hvaccp-83"}}</v>
      </c>
      <c r="N183" s="142" t="s">
        <v>10976</v>
      </c>
      <c r="O183" s="142" t="s">
        <v>10966</v>
      </c>
      <c r="P183" s="142" t="s">
        <v>2863</v>
      </c>
      <c r="Q183" s="173">
        <v>2.0</v>
      </c>
      <c r="R183" s="477"/>
      <c r="S183" s="271" t="s">
        <v>1844</v>
      </c>
      <c r="T183" s="141"/>
    </row>
    <row r="184">
      <c r="A184" s="173">
        <v>180.0</v>
      </c>
      <c r="B184" s="173" t="s">
        <v>670</v>
      </c>
      <c r="C184" s="142" t="s">
        <v>2664</v>
      </c>
      <c r="D184" s="173" t="s">
        <v>10766</v>
      </c>
      <c r="E184" s="173" t="s">
        <v>10766</v>
      </c>
      <c r="F184" s="476" t="s">
        <v>1453</v>
      </c>
      <c r="G184" s="142"/>
      <c r="H184" s="142" t="s">
        <v>2664</v>
      </c>
      <c r="I184" s="173" t="s">
        <v>679</v>
      </c>
      <c r="J184" s="173" t="s">
        <v>225</v>
      </c>
      <c r="K184" s="173" t="s">
        <v>2664</v>
      </c>
      <c r="L184" s="173" t="s">
        <v>11057</v>
      </c>
      <c r="M184" s="173" t="str">
        <f>IFS(L184="","",L184="n/a","N/A",LEN(L184),LOWER(Concatenate("{",char(34),"asset",char(34),":{",char(34),"guid",char(34),":",char(34),L184,char(34),",",char(34),"site",char(34),":",char(34),'2-Building'!$B$4,char(34),",",char(34),"name",char(34),":",char(34),K184,char(34),"}}")))</f>
        <v>{"asset":{"guid":"uuid://c2b17716-9e52-4257-befd-74122c92fb5b","site":"in-blr-ananta","name":"hvaccp-84"}}</v>
      </c>
      <c r="N184" s="142" t="s">
        <v>10976</v>
      </c>
      <c r="O184" s="142" t="s">
        <v>10966</v>
      </c>
      <c r="P184" s="142" t="s">
        <v>2863</v>
      </c>
      <c r="Q184" s="173">
        <v>2.0</v>
      </c>
      <c r="R184" s="477"/>
      <c r="S184" s="271" t="s">
        <v>1844</v>
      </c>
      <c r="T184" s="141"/>
    </row>
    <row r="185">
      <c r="A185" s="173">
        <v>181.0</v>
      </c>
      <c r="B185" s="173" t="s">
        <v>670</v>
      </c>
      <c r="C185" s="142" t="s">
        <v>2674</v>
      </c>
      <c r="D185" s="173" t="s">
        <v>10766</v>
      </c>
      <c r="E185" s="173" t="s">
        <v>10766</v>
      </c>
      <c r="F185" s="476" t="s">
        <v>1453</v>
      </c>
      <c r="G185" s="142"/>
      <c r="H185" s="142" t="s">
        <v>2674</v>
      </c>
      <c r="I185" s="173" t="s">
        <v>679</v>
      </c>
      <c r="J185" s="173" t="s">
        <v>225</v>
      </c>
      <c r="K185" s="173" t="s">
        <v>2674</v>
      </c>
      <c r="L185" s="173" t="s">
        <v>11058</v>
      </c>
      <c r="M185" s="173" t="str">
        <f>IFS(L185="","",L185="n/a","N/A",LEN(L185),LOWER(Concatenate("{",char(34),"asset",char(34),":{",char(34),"guid",char(34),":",char(34),L185,char(34),",",char(34),"site",char(34),":",char(34),'2-Building'!$B$4,char(34),",",char(34),"name",char(34),":",char(34),K185,char(34),"}}")))</f>
        <v>{"asset":{"guid":"uuid://0259dbb4-4737-4d21-8af1-b53556b2ae26","site":"in-blr-ananta","name":"hvaccp-85"}}</v>
      </c>
      <c r="N185" s="142" t="s">
        <v>10972</v>
      </c>
      <c r="O185" s="142" t="s">
        <v>10938</v>
      </c>
      <c r="P185" s="142" t="s">
        <v>2863</v>
      </c>
      <c r="Q185" s="173">
        <v>2.0</v>
      </c>
      <c r="R185" s="477"/>
      <c r="S185" s="271" t="s">
        <v>1844</v>
      </c>
      <c r="T185" s="141"/>
    </row>
    <row r="186">
      <c r="A186" s="173">
        <v>182.0</v>
      </c>
      <c r="B186" s="173" t="s">
        <v>670</v>
      </c>
      <c r="C186" s="142" t="s">
        <v>2685</v>
      </c>
      <c r="D186" s="173" t="s">
        <v>10766</v>
      </c>
      <c r="E186" s="173" t="s">
        <v>10766</v>
      </c>
      <c r="F186" s="476" t="s">
        <v>1453</v>
      </c>
      <c r="G186" s="142"/>
      <c r="H186" s="142" t="s">
        <v>2685</v>
      </c>
      <c r="I186" s="173" t="s">
        <v>679</v>
      </c>
      <c r="J186" s="173" t="s">
        <v>225</v>
      </c>
      <c r="K186" s="173" t="s">
        <v>2685</v>
      </c>
      <c r="L186" s="173" t="s">
        <v>11059</v>
      </c>
      <c r="M186" s="173" t="str">
        <f>IFS(L186="","",L186="n/a","N/A",LEN(L186),LOWER(Concatenate("{",char(34),"asset",char(34),":{",char(34),"guid",char(34),":",char(34),L186,char(34),",",char(34),"site",char(34),":",char(34),'2-Building'!$B$4,char(34),",",char(34),"name",char(34),":",char(34),K186,char(34),"}}")))</f>
        <v>{"asset":{"guid":"uuid://8e1f954e-197b-47af-a60b-3b3341fd6b4e","site":"in-blr-ananta","name":"hvaccp-86"}}</v>
      </c>
      <c r="N186" s="142" t="s">
        <v>10972</v>
      </c>
      <c r="O186" s="142" t="s">
        <v>10938</v>
      </c>
      <c r="P186" s="142" t="s">
        <v>2863</v>
      </c>
      <c r="Q186" s="173">
        <v>2.0</v>
      </c>
      <c r="R186" s="477"/>
      <c r="S186" s="271" t="s">
        <v>1844</v>
      </c>
      <c r="T186" s="141"/>
    </row>
    <row r="187">
      <c r="A187" s="173">
        <v>183.0</v>
      </c>
      <c r="B187" s="173" t="s">
        <v>670</v>
      </c>
      <c r="C187" s="142" t="s">
        <v>2694</v>
      </c>
      <c r="D187" s="173" t="s">
        <v>10766</v>
      </c>
      <c r="E187" s="173" t="s">
        <v>10766</v>
      </c>
      <c r="F187" s="476" t="s">
        <v>1453</v>
      </c>
      <c r="G187" s="142"/>
      <c r="H187" s="142" t="s">
        <v>2694</v>
      </c>
      <c r="I187" s="173" t="s">
        <v>679</v>
      </c>
      <c r="J187" s="173" t="s">
        <v>225</v>
      </c>
      <c r="K187" s="173" t="s">
        <v>2694</v>
      </c>
      <c r="L187" s="173" t="s">
        <v>11060</v>
      </c>
      <c r="M187" s="173" t="str">
        <f>IFS(L187="","",L187="n/a","N/A",LEN(L187),LOWER(Concatenate("{",char(34),"asset",char(34),":{",char(34),"guid",char(34),":",char(34),L187,char(34),",",char(34),"site",char(34),":",char(34),'2-Building'!$B$4,char(34),",",char(34),"name",char(34),":",char(34),K187,char(34),"}}")))</f>
        <v>{"asset":{"guid":"uuid://445fd816-2504-42f1-8c2c-f2698eb9f65f","site":"in-blr-ananta","name":"hvaccp-87"}}</v>
      </c>
      <c r="N187" s="142" t="s">
        <v>10942</v>
      </c>
      <c r="O187" s="142" t="s">
        <v>10938</v>
      </c>
      <c r="P187" s="142" t="s">
        <v>2863</v>
      </c>
      <c r="Q187" s="173">
        <v>2.0</v>
      </c>
      <c r="R187" s="477"/>
      <c r="S187" s="271" t="s">
        <v>1844</v>
      </c>
      <c r="T187" s="141"/>
    </row>
    <row r="188">
      <c r="A188" s="173">
        <v>184.0</v>
      </c>
      <c r="B188" s="173" t="s">
        <v>670</v>
      </c>
      <c r="C188" s="142" t="s">
        <v>2705</v>
      </c>
      <c r="D188" s="173" t="s">
        <v>10766</v>
      </c>
      <c r="E188" s="173" t="s">
        <v>10766</v>
      </c>
      <c r="F188" s="476" t="s">
        <v>1520</v>
      </c>
      <c r="G188" s="142"/>
      <c r="H188" s="142" t="s">
        <v>2705</v>
      </c>
      <c r="I188" s="173" t="s">
        <v>679</v>
      </c>
      <c r="J188" s="173" t="s">
        <v>225</v>
      </c>
      <c r="K188" s="173" t="s">
        <v>2705</v>
      </c>
      <c r="L188" s="173" t="s">
        <v>11061</v>
      </c>
      <c r="M188" s="173" t="str">
        <f>IFS(L188="","",L188="n/a","N/A",LEN(L188),LOWER(Concatenate("{",char(34),"asset",char(34),":{",char(34),"guid",char(34),":",char(34),L188,char(34),",",char(34),"site",char(34),":",char(34),'2-Building'!$B$4,char(34),",",char(34),"name",char(34),":",char(34),K188,char(34),"}}")))</f>
        <v>{"asset":{"guid":"uuid://6ba12f1c-a73b-4d73-85d1-5aec163b7091","site":"in-blr-ananta","name":"hvaccp-88"}}</v>
      </c>
      <c r="N188" s="142" t="s">
        <v>11012</v>
      </c>
      <c r="O188" s="142" t="s">
        <v>10946</v>
      </c>
      <c r="P188" s="142" t="s">
        <v>2863</v>
      </c>
      <c r="Q188" s="173">
        <v>2.0</v>
      </c>
      <c r="R188" s="477"/>
      <c r="S188" s="271" t="s">
        <v>1844</v>
      </c>
      <c r="T188" s="141"/>
    </row>
    <row r="189">
      <c r="A189" s="173">
        <v>185.0</v>
      </c>
      <c r="B189" s="173" t="s">
        <v>670</v>
      </c>
      <c r="C189" s="142" t="s">
        <v>2716</v>
      </c>
      <c r="D189" s="173" t="s">
        <v>10766</v>
      </c>
      <c r="E189" s="173" t="s">
        <v>10766</v>
      </c>
      <c r="F189" s="476" t="s">
        <v>1520</v>
      </c>
      <c r="G189" s="142"/>
      <c r="H189" s="142" t="s">
        <v>2716</v>
      </c>
      <c r="I189" s="173" t="s">
        <v>679</v>
      </c>
      <c r="J189" s="173" t="s">
        <v>225</v>
      </c>
      <c r="K189" s="173" t="s">
        <v>2716</v>
      </c>
      <c r="L189" s="173" t="s">
        <v>11062</v>
      </c>
      <c r="M189" s="173" t="str">
        <f>IFS(L189="","",L189="n/a","N/A",LEN(L189),LOWER(Concatenate("{",char(34),"asset",char(34),":{",char(34),"guid",char(34),":",char(34),L189,char(34),",",char(34),"site",char(34),":",char(34),'2-Building'!$B$4,char(34),",",char(34),"name",char(34),":",char(34),K189,char(34),"}}")))</f>
        <v>{"asset":{"guid":"uuid://e3dfd913-5e49-4855-925a-96fa07beda53","site":"in-blr-ananta","name":"hvaccp-89"}}</v>
      </c>
      <c r="N189" s="142" t="s">
        <v>10934</v>
      </c>
      <c r="O189" s="142" t="s">
        <v>10935</v>
      </c>
      <c r="P189" s="142" t="s">
        <v>2863</v>
      </c>
      <c r="Q189" s="173">
        <v>2.0</v>
      </c>
      <c r="R189" s="477"/>
      <c r="S189" s="271" t="s">
        <v>1844</v>
      </c>
      <c r="T189" s="141"/>
    </row>
    <row r="190">
      <c r="A190" s="173">
        <v>186.0</v>
      </c>
      <c r="B190" s="173" t="s">
        <v>670</v>
      </c>
      <c r="C190" s="142" t="s">
        <v>2727</v>
      </c>
      <c r="D190" s="173" t="s">
        <v>10766</v>
      </c>
      <c r="E190" s="173" t="s">
        <v>10766</v>
      </c>
      <c r="F190" s="476" t="s">
        <v>1520</v>
      </c>
      <c r="G190" s="142"/>
      <c r="H190" s="142" t="s">
        <v>2727</v>
      </c>
      <c r="I190" s="173" t="s">
        <v>679</v>
      </c>
      <c r="J190" s="173" t="s">
        <v>225</v>
      </c>
      <c r="K190" s="173" t="s">
        <v>2727</v>
      </c>
      <c r="L190" s="173" t="s">
        <v>11063</v>
      </c>
      <c r="M190" s="173" t="str">
        <f>IFS(L190="","",L190="n/a","N/A",LEN(L190),LOWER(Concatenate("{",char(34),"asset",char(34),":{",char(34),"guid",char(34),":",char(34),L190,char(34),",",char(34),"site",char(34),":",char(34),'2-Building'!$B$4,char(34),",",char(34),"name",char(34),":",char(34),K190,char(34),"}}")))</f>
        <v>{"asset":{"guid":"uuid://3767e2b6-17db-41a7-a6aa-4c629a3f5b3e","site":"in-blr-ananta","name":"hvaccp-90"}}</v>
      </c>
      <c r="N190" s="142" t="s">
        <v>10934</v>
      </c>
      <c r="O190" s="142" t="s">
        <v>10935</v>
      </c>
      <c r="P190" s="142" t="s">
        <v>2863</v>
      </c>
      <c r="Q190" s="173">
        <v>2.0</v>
      </c>
      <c r="R190" s="477"/>
      <c r="S190" s="271" t="s">
        <v>1844</v>
      </c>
      <c r="T190" s="141"/>
    </row>
    <row r="191">
      <c r="A191" s="173">
        <v>187.0</v>
      </c>
      <c r="B191" s="173" t="s">
        <v>670</v>
      </c>
      <c r="C191" s="142" t="s">
        <v>2736</v>
      </c>
      <c r="D191" s="173" t="s">
        <v>10766</v>
      </c>
      <c r="E191" s="173" t="s">
        <v>10766</v>
      </c>
      <c r="F191" s="476" t="s">
        <v>2839</v>
      </c>
      <c r="G191" s="142"/>
      <c r="H191" s="142" t="s">
        <v>2736</v>
      </c>
      <c r="I191" s="173" t="s">
        <v>679</v>
      </c>
      <c r="J191" s="173" t="s">
        <v>225</v>
      </c>
      <c r="K191" s="173" t="s">
        <v>2736</v>
      </c>
      <c r="L191" s="173" t="s">
        <v>11064</v>
      </c>
      <c r="M191" s="173" t="str">
        <f>IFS(L191="","",L191="n/a","N/A",LEN(L191),LOWER(Concatenate("{",char(34),"asset",char(34),":{",char(34),"guid",char(34),":",char(34),L191,char(34),",",char(34),"site",char(34),":",char(34),'2-Building'!$B$4,char(34),",",char(34),"name",char(34),":",char(34),K191,char(34),"}}")))</f>
        <v>{"asset":{"guid":"uuid://cb348465-2496-47d4-8c5d-cd4afa44dab2","site":"in-blr-ananta","name":"hvaccp-91"}}</v>
      </c>
      <c r="N191" s="142" t="s">
        <v>11010</v>
      </c>
      <c r="O191" s="142"/>
      <c r="P191" s="142" t="s">
        <v>2863</v>
      </c>
      <c r="Q191" s="173">
        <v>1.0</v>
      </c>
      <c r="R191" s="477"/>
      <c r="S191" s="271" t="s">
        <v>1844</v>
      </c>
      <c r="T191" s="141"/>
    </row>
    <row r="192">
      <c r="A192" s="173">
        <v>188.0</v>
      </c>
      <c r="B192" s="173" t="s">
        <v>670</v>
      </c>
      <c r="C192" s="142" t="s">
        <v>2741</v>
      </c>
      <c r="D192" s="173" t="s">
        <v>10766</v>
      </c>
      <c r="E192" s="173" t="s">
        <v>10766</v>
      </c>
      <c r="F192" s="476" t="s">
        <v>2839</v>
      </c>
      <c r="G192" s="142"/>
      <c r="H192" s="142" t="s">
        <v>2741</v>
      </c>
      <c r="I192" s="173" t="s">
        <v>679</v>
      </c>
      <c r="J192" s="173" t="s">
        <v>225</v>
      </c>
      <c r="K192" s="173" t="s">
        <v>2741</v>
      </c>
      <c r="L192" s="173" t="s">
        <v>11065</v>
      </c>
      <c r="M192" s="173" t="str">
        <f>IFS(L192="","",L192="n/a","N/A",LEN(L192),LOWER(Concatenate("{",char(34),"asset",char(34),":{",char(34),"guid",char(34),":",char(34),L192,char(34),",",char(34),"site",char(34),":",char(34),'2-Building'!$B$4,char(34),",",char(34),"name",char(34),":",char(34),K192,char(34),"}}")))</f>
        <v>{"asset":{"guid":"uuid://dfa93334-446d-4a18-9026-a26fd63dd20a","site":"in-blr-ananta","name":"hvaccp-92"}}</v>
      </c>
      <c r="N192" s="142" t="s">
        <v>11066</v>
      </c>
      <c r="O192" s="142" t="s">
        <v>11067</v>
      </c>
      <c r="P192" s="142" t="s">
        <v>2863</v>
      </c>
      <c r="Q192" s="173">
        <v>1.0</v>
      </c>
      <c r="R192" s="477"/>
      <c r="S192" s="271" t="s">
        <v>1844</v>
      </c>
      <c r="T192" s="141"/>
    </row>
    <row r="193">
      <c r="A193" s="173">
        <v>189.0</v>
      </c>
      <c r="B193" s="173" t="s">
        <v>670</v>
      </c>
      <c r="C193" s="142" t="s">
        <v>2747</v>
      </c>
      <c r="D193" s="173" t="s">
        <v>10766</v>
      </c>
      <c r="E193" s="173" t="s">
        <v>10766</v>
      </c>
      <c r="F193" s="476" t="s">
        <v>2839</v>
      </c>
      <c r="G193" s="142"/>
      <c r="H193" s="142" t="s">
        <v>2747</v>
      </c>
      <c r="I193" s="173" t="s">
        <v>679</v>
      </c>
      <c r="J193" s="173" t="s">
        <v>225</v>
      </c>
      <c r="K193" s="173" t="s">
        <v>2747</v>
      </c>
      <c r="L193" s="173" t="s">
        <v>11068</v>
      </c>
      <c r="M193" s="173" t="str">
        <f>IFS(L193="","",L193="n/a","N/A",LEN(L193),LOWER(Concatenate("{",char(34),"asset",char(34),":{",char(34),"guid",char(34),":",char(34),L193,char(34),",",char(34),"site",char(34),":",char(34),'2-Building'!$B$4,char(34),",",char(34),"name",char(34),":",char(34),K193,char(34),"}}")))</f>
        <v>{"asset":{"guid":"uuid://81c62bcd-4deb-4e0d-8af2-6da27c7691da","site":"in-blr-ananta","name":"hvaccp-93"}}</v>
      </c>
      <c r="N193" s="142" t="s">
        <v>11010</v>
      </c>
      <c r="O193" s="142"/>
      <c r="P193" s="142" t="s">
        <v>2863</v>
      </c>
      <c r="Q193" s="173">
        <v>1.0</v>
      </c>
      <c r="R193" s="477"/>
      <c r="S193" s="271" t="s">
        <v>1844</v>
      </c>
      <c r="T193" s="141"/>
    </row>
    <row r="194">
      <c r="A194" s="173">
        <v>190.0</v>
      </c>
      <c r="B194" s="173" t="s">
        <v>670</v>
      </c>
      <c r="C194" s="142" t="s">
        <v>2753</v>
      </c>
      <c r="D194" s="173" t="s">
        <v>10766</v>
      </c>
      <c r="E194" s="173" t="s">
        <v>10766</v>
      </c>
      <c r="F194" s="476" t="s">
        <v>739</v>
      </c>
      <c r="G194" s="142"/>
      <c r="H194" s="142"/>
      <c r="I194" s="173"/>
      <c r="J194" s="173"/>
      <c r="K194" s="173" t="s">
        <v>2753</v>
      </c>
      <c r="L194" s="173" t="s">
        <v>11069</v>
      </c>
      <c r="M194" s="173" t="str">
        <f>IFS(L194="","",L194="n/a","N/A",LEN(L194),LOWER(Concatenate("{",char(34),"asset",char(34),":{",char(34),"guid",char(34),":",char(34),L194,char(34),",",char(34),"site",char(34),":",char(34),'2-Building'!$B$4,char(34),",",char(34),"name",char(34),":",char(34),K194,char(34),"}}")))</f>
        <v>{"asset":{"guid":"uuid://0af8c4a1-f0e7-4d9d-90e9-93cda4d9c8b6","site":"in-blr-ananta","name":"hvaccp-94"}}</v>
      </c>
      <c r="N194" s="142" t="s">
        <v>11010</v>
      </c>
      <c r="O194" s="142"/>
      <c r="P194" s="142" t="s">
        <v>2863</v>
      </c>
      <c r="Q194" s="173">
        <v>1.0</v>
      </c>
      <c r="R194" s="477"/>
      <c r="S194" s="271"/>
      <c r="T194" s="141"/>
    </row>
    <row r="195">
      <c r="A195" s="173">
        <v>191.0</v>
      </c>
      <c r="B195" s="173" t="s">
        <v>670</v>
      </c>
      <c r="C195" s="142" t="s">
        <v>2774</v>
      </c>
      <c r="D195" s="173" t="s">
        <v>10766</v>
      </c>
      <c r="E195" s="173" t="s">
        <v>10766</v>
      </c>
      <c r="F195" s="476" t="s">
        <v>739</v>
      </c>
      <c r="G195" s="142"/>
      <c r="H195" s="142"/>
      <c r="I195" s="173"/>
      <c r="J195" s="173"/>
      <c r="K195" s="173" t="s">
        <v>2774</v>
      </c>
      <c r="L195" s="173" t="s">
        <v>11070</v>
      </c>
      <c r="M195" s="173" t="str">
        <f>IFS(L195="","",L195="n/a","N/A",LEN(L195),LOWER(Concatenate("{",char(34),"asset",char(34),":{",char(34),"guid",char(34),":",char(34),L195,char(34),",",char(34),"site",char(34),":",char(34),'2-Building'!$B$4,char(34),",",char(34),"name",char(34),":",char(34),K195,char(34),"}}")))</f>
        <v>{"asset":{"guid":"uuid://130d9b82-9d41-4cf1-a7d2-908549c44bad","site":"in-blr-ananta","name":"hvaccp-95"}}</v>
      </c>
      <c r="N195" s="142" t="s">
        <v>11071</v>
      </c>
      <c r="O195" s="142"/>
      <c r="P195" s="142" t="s">
        <v>2863</v>
      </c>
      <c r="Q195" s="173">
        <v>4.0</v>
      </c>
      <c r="R195" s="477"/>
      <c r="S195" s="271"/>
      <c r="T195" s="141"/>
    </row>
    <row r="196">
      <c r="A196" s="173">
        <v>192.0</v>
      </c>
      <c r="B196" s="173" t="s">
        <v>670</v>
      </c>
      <c r="C196" s="142" t="s">
        <v>2789</v>
      </c>
      <c r="D196" s="173" t="s">
        <v>10766</v>
      </c>
      <c r="E196" s="173" t="s">
        <v>10766</v>
      </c>
      <c r="F196" s="476" t="s">
        <v>965</v>
      </c>
      <c r="G196" s="142"/>
      <c r="H196" s="142"/>
      <c r="I196" s="173"/>
      <c r="J196" s="173"/>
      <c r="K196" s="173" t="s">
        <v>2789</v>
      </c>
      <c r="L196" s="173" t="s">
        <v>11072</v>
      </c>
      <c r="M196" s="173" t="str">
        <f>IFS(L196="","",L196="n/a","N/A",LEN(L196),LOWER(Concatenate("{",char(34),"asset",char(34),":{",char(34),"guid",char(34),":",char(34),L196,char(34),",",char(34),"site",char(34),":",char(34),'2-Building'!$B$4,char(34),",",char(34),"name",char(34),":",char(34),K196,char(34),"}}")))</f>
        <v>{"asset":{"guid":"uuid://f290be96-0fd5-4a5c-90b7-06ba66594b6b","site":"in-blr-ananta","name":"hvaccp-96"}}</v>
      </c>
      <c r="N196" s="142" t="s">
        <v>11021</v>
      </c>
      <c r="O196" s="142" t="s">
        <v>11022</v>
      </c>
      <c r="P196" s="142" t="s">
        <v>2863</v>
      </c>
      <c r="Q196" s="173"/>
      <c r="R196" s="477"/>
      <c r="S196" s="271"/>
      <c r="T196" s="141"/>
    </row>
    <row r="197">
      <c r="A197" s="173">
        <v>193.0</v>
      </c>
      <c r="B197" s="173" t="s">
        <v>670</v>
      </c>
      <c r="C197" s="142" t="s">
        <v>11073</v>
      </c>
      <c r="D197" s="173" t="s">
        <v>10766</v>
      </c>
      <c r="E197" s="173" t="s">
        <v>10766</v>
      </c>
      <c r="F197" s="476" t="s">
        <v>1088</v>
      </c>
      <c r="G197" s="142"/>
      <c r="H197" s="142"/>
      <c r="I197" s="173"/>
      <c r="J197" s="173"/>
      <c r="K197" s="173" t="s">
        <v>11073</v>
      </c>
      <c r="L197" s="173" t="s">
        <v>11074</v>
      </c>
      <c r="M197" s="173" t="str">
        <f>IFS(L197="","",L197="n/a","N/A",LEN(L197),LOWER(Concatenate("{",char(34),"asset",char(34),":{",char(34),"guid",char(34),":",char(34),L197,char(34),",",char(34),"site",char(34),":",char(34),'2-Building'!$B$4,char(34),",",char(34),"name",char(34),":",char(34),K197,char(34),"}}")))</f>
        <v>{"asset":{"guid":"uuid://dc93c1f7-dbcc-41fc-a71f-2ff72f472931","site":"in-blr-ananta","name":"hvaccp-97"}}</v>
      </c>
      <c r="N197" s="142" t="s">
        <v>11075</v>
      </c>
      <c r="O197" s="142"/>
      <c r="P197" s="142" t="s">
        <v>2863</v>
      </c>
      <c r="Q197" s="173">
        <v>4.0</v>
      </c>
      <c r="R197" s="477"/>
      <c r="S197" s="271"/>
      <c r="T197" s="141"/>
    </row>
    <row r="198">
      <c r="A198" s="173">
        <v>194.0</v>
      </c>
      <c r="B198" s="173" t="s">
        <v>670</v>
      </c>
      <c r="C198" s="142" t="s">
        <v>11076</v>
      </c>
      <c r="D198" s="173" t="s">
        <v>10766</v>
      </c>
      <c r="E198" s="173" t="s">
        <v>10766</v>
      </c>
      <c r="F198" s="476" t="s">
        <v>1088</v>
      </c>
      <c r="G198" s="142"/>
      <c r="H198" s="142"/>
      <c r="I198" s="173"/>
      <c r="J198" s="173"/>
      <c r="K198" s="173" t="s">
        <v>11076</v>
      </c>
      <c r="L198" s="173" t="s">
        <v>11077</v>
      </c>
      <c r="M198" s="173" t="str">
        <f>IFS(L198="","",L198="n/a","N/A",LEN(L198),LOWER(Concatenate("{",char(34),"asset",char(34),":{",char(34),"guid",char(34),":",char(34),L198,char(34),",",char(34),"site",char(34),":",char(34),'2-Building'!$B$4,char(34),",",char(34),"name",char(34),":",char(34),K198,char(34),"}}")))</f>
        <v>{"asset":{"guid":"uuid://04e2f87d-e6fc-4967-b981-fc3733ebaa47","site":"in-blr-ananta","name":"hvaccp-98"}}</v>
      </c>
      <c r="N198" s="142" t="s">
        <v>11075</v>
      </c>
      <c r="O198" s="142"/>
      <c r="P198" s="142" t="s">
        <v>2863</v>
      </c>
      <c r="Q198" s="173">
        <v>4.0</v>
      </c>
      <c r="R198" s="477"/>
      <c r="S198" s="271"/>
      <c r="T198" s="141"/>
    </row>
    <row r="199">
      <c r="A199" s="173">
        <v>195.0</v>
      </c>
      <c r="B199" s="173" t="s">
        <v>670</v>
      </c>
      <c r="C199" s="142" t="s">
        <v>11078</v>
      </c>
      <c r="D199" s="173" t="s">
        <v>10766</v>
      </c>
      <c r="E199" s="173" t="s">
        <v>10766</v>
      </c>
      <c r="F199" s="476" t="s">
        <v>1149</v>
      </c>
      <c r="G199" s="142"/>
      <c r="H199" s="142"/>
      <c r="I199" s="173"/>
      <c r="J199" s="173"/>
      <c r="K199" s="173" t="s">
        <v>11078</v>
      </c>
      <c r="L199" s="173" t="s">
        <v>11079</v>
      </c>
      <c r="M199" s="173" t="str">
        <f>IFS(L199="","",L199="n/a","N/A",LEN(L199),LOWER(Concatenate("{",char(34),"asset",char(34),":{",char(34),"guid",char(34),":",char(34),L199,char(34),",",char(34),"site",char(34),":",char(34),'2-Building'!$B$4,char(34),",",char(34),"name",char(34),":",char(34),K199,char(34),"}}")))</f>
        <v>{"asset":{"guid":"uuid://3bc8515a-a1c8-4dd2-a5c5-0f016e19e5d0","site":"in-blr-ananta","name":"hvaccp-99"}}</v>
      </c>
      <c r="N199" s="142" t="s">
        <v>10940</v>
      </c>
      <c r="O199" s="142" t="s">
        <v>10935</v>
      </c>
      <c r="P199" s="142" t="s">
        <v>2863</v>
      </c>
      <c r="Q199" s="173">
        <v>1.0</v>
      </c>
      <c r="R199" s="477"/>
      <c r="S199" s="271"/>
      <c r="T199" s="141"/>
    </row>
    <row r="200">
      <c r="A200" s="173">
        <v>196.0</v>
      </c>
      <c r="B200" s="173" t="s">
        <v>670</v>
      </c>
      <c r="C200" s="142" t="s">
        <v>2794</v>
      </c>
      <c r="D200" s="173" t="s">
        <v>10766</v>
      </c>
      <c r="E200" s="173" t="s">
        <v>10766</v>
      </c>
      <c r="F200" s="476" t="s">
        <v>1520</v>
      </c>
      <c r="G200" s="142"/>
      <c r="H200" s="142"/>
      <c r="I200" s="173"/>
      <c r="J200" s="173"/>
      <c r="K200" s="173" t="s">
        <v>2794</v>
      </c>
      <c r="L200" s="173" t="s">
        <v>11080</v>
      </c>
      <c r="M200" s="173" t="str">
        <f>IFS(L200="","",L200="n/a","N/A",LEN(L200),LOWER(Concatenate("{",char(34),"asset",char(34),":{",char(34),"guid",char(34),":",char(34),L200,char(34),",",char(34),"site",char(34),":",char(34),'2-Building'!$B$4,char(34),",",char(34),"name",char(34),":",char(34),K200,char(34),"}}")))</f>
        <v>{"asset":{"guid":"uuid://d6293b7b-a140-43bb-8d9a-be72ba30f4c8","site":"in-blr-ananta","name":"hvaccp-100"}}</v>
      </c>
      <c r="N200" s="142" t="s">
        <v>11081</v>
      </c>
      <c r="O200" s="142"/>
      <c r="P200" s="142" t="s">
        <v>2863</v>
      </c>
      <c r="Q200" s="173">
        <v>5.0</v>
      </c>
      <c r="R200" s="477"/>
      <c r="S200" s="271"/>
      <c r="T200" s="141"/>
    </row>
    <row r="201">
      <c r="A201" s="173">
        <v>197.0</v>
      </c>
      <c r="B201" s="173" t="s">
        <v>670</v>
      </c>
      <c r="C201" s="142" t="s">
        <v>11082</v>
      </c>
      <c r="D201" s="173" t="s">
        <v>10766</v>
      </c>
      <c r="E201" s="173" t="s">
        <v>10766</v>
      </c>
      <c r="F201" s="476" t="s">
        <v>1149</v>
      </c>
      <c r="G201" s="142"/>
      <c r="H201" s="142"/>
      <c r="I201" s="173"/>
      <c r="J201" s="173"/>
      <c r="K201" s="173" t="s">
        <v>11082</v>
      </c>
      <c r="L201" s="173" t="s">
        <v>11083</v>
      </c>
      <c r="M201" s="173" t="str">
        <f>IFS(L201="","",L201="n/a","N/A",LEN(L201),LOWER(Concatenate("{",char(34),"asset",char(34),":{",char(34),"guid",char(34),":",char(34),L201,char(34),",",char(34),"site",char(34),":",char(34),'2-Building'!$B$4,char(34),",",char(34),"name",char(34),":",char(34),K201,char(34),"}}")))</f>
        <v>{"asset":{"guid":"uuid://ac917317-34fb-4b6d-9b3e-fcf8faaf0a1c","site":"in-blr-ananta","name":"hvaccp-101"}}</v>
      </c>
      <c r="N201" s="142" t="s">
        <v>11084</v>
      </c>
      <c r="O201" s="142" t="s">
        <v>11085</v>
      </c>
      <c r="P201" s="142" t="s">
        <v>2863</v>
      </c>
      <c r="Q201" s="173"/>
      <c r="R201" s="477"/>
      <c r="S201" s="271"/>
      <c r="T201" s="141"/>
    </row>
    <row r="202">
      <c r="A202" s="173">
        <v>198.0</v>
      </c>
      <c r="B202" s="173" t="s">
        <v>670</v>
      </c>
      <c r="C202" s="142" t="s">
        <v>11086</v>
      </c>
      <c r="D202" s="173" t="s">
        <v>10766</v>
      </c>
      <c r="E202" s="173" t="s">
        <v>10766</v>
      </c>
      <c r="F202" s="476" t="s">
        <v>1088</v>
      </c>
      <c r="G202" s="142"/>
      <c r="H202" s="142"/>
      <c r="I202" s="173"/>
      <c r="J202" s="173"/>
      <c r="K202" s="173" t="s">
        <v>11086</v>
      </c>
      <c r="L202" s="173" t="s">
        <v>11087</v>
      </c>
      <c r="M202" s="173" t="str">
        <f>IFS(L202="","",L202="n/a","N/A",LEN(L202),LOWER(Concatenate("{",char(34),"asset",char(34),":{",char(34),"guid",char(34),":",char(34),L202,char(34),",",char(34),"site",char(34),":",char(34),'2-Building'!$B$4,char(34),",",char(34),"name",char(34),":",char(34),K202,char(34),"}}")))</f>
        <v>{"asset":{"guid":"uuid://64dfa6e1-8162-4583-8278-fdbdbe1c8101","site":"in-blr-ananta","name":"hvaccp-102"}}</v>
      </c>
      <c r="N202" s="142" t="s">
        <v>11084</v>
      </c>
      <c r="O202" s="142" t="s">
        <v>11085</v>
      </c>
      <c r="P202" s="142" t="s">
        <v>2863</v>
      </c>
      <c r="Q202" s="173"/>
      <c r="R202" s="477"/>
      <c r="S202" s="271"/>
      <c r="T202" s="141"/>
    </row>
    <row r="203">
      <c r="A203" s="173">
        <v>199.0</v>
      </c>
      <c r="B203" s="173" t="s">
        <v>670</v>
      </c>
      <c r="C203" s="142" t="s">
        <v>11088</v>
      </c>
      <c r="D203" s="173" t="s">
        <v>10766</v>
      </c>
      <c r="E203" s="173" t="s">
        <v>10766</v>
      </c>
      <c r="F203" s="476" t="s">
        <v>1088</v>
      </c>
      <c r="G203" s="142"/>
      <c r="H203" s="142"/>
      <c r="I203" s="173"/>
      <c r="J203" s="173"/>
      <c r="K203" s="173" t="s">
        <v>11088</v>
      </c>
      <c r="L203" s="173" t="s">
        <v>11089</v>
      </c>
      <c r="M203" s="173" t="str">
        <f>IFS(L203="","",L203="n/a","N/A",LEN(L203),LOWER(Concatenate("{",char(34),"asset",char(34),":{",char(34),"guid",char(34),":",char(34),L203,char(34),",",char(34),"site",char(34),":",char(34),'2-Building'!$B$4,char(34),",",char(34),"name",char(34),":",char(34),K203,char(34),"}}")))</f>
        <v>{"asset":{"guid":"uuid://54d0d314-ab3e-4d38-ba0d-6cfc911f6c07","site":"in-blr-ananta","name":"hvaccp-103"}}</v>
      </c>
      <c r="N203" s="142" t="s">
        <v>11090</v>
      </c>
      <c r="O203" s="142" t="s">
        <v>11091</v>
      </c>
      <c r="P203" s="142" t="s">
        <v>2863</v>
      </c>
      <c r="Q203" s="173"/>
      <c r="R203" s="477"/>
      <c r="S203" s="271"/>
      <c r="T203" s="141"/>
    </row>
    <row r="204" ht="30.0" customHeight="1">
      <c r="A204" s="173">
        <v>200.0</v>
      </c>
      <c r="B204" s="173"/>
      <c r="C204" s="142"/>
      <c r="D204" s="173"/>
      <c r="E204" s="173"/>
      <c r="F204" s="476"/>
      <c r="G204" s="142"/>
      <c r="H204" s="142"/>
      <c r="I204" s="173"/>
      <c r="J204" s="173"/>
      <c r="K204" s="173"/>
      <c r="L204" s="173"/>
      <c r="M204" s="173"/>
      <c r="N204" s="142"/>
      <c r="O204" s="142"/>
      <c r="P204" s="142"/>
      <c r="Q204" s="173"/>
      <c r="R204" s="477"/>
      <c r="S204" s="271"/>
      <c r="T204" s="141"/>
    </row>
    <row r="205" ht="30.0" customHeight="1">
      <c r="A205" s="173">
        <v>201.0</v>
      </c>
      <c r="B205" s="173"/>
      <c r="C205" s="142"/>
      <c r="D205" s="173"/>
      <c r="E205" s="173"/>
      <c r="F205" s="476"/>
      <c r="G205" s="142"/>
      <c r="H205" s="142"/>
      <c r="I205" s="173"/>
      <c r="J205" s="173"/>
      <c r="K205" s="173"/>
      <c r="L205" s="173"/>
      <c r="M205" s="173"/>
      <c r="N205" s="142"/>
      <c r="O205" s="142"/>
      <c r="P205" s="142"/>
      <c r="Q205" s="173"/>
      <c r="R205" s="477"/>
      <c r="S205" s="271"/>
      <c r="T205" s="141"/>
    </row>
    <row r="206" ht="30.0" customHeight="1">
      <c r="A206" s="173">
        <v>202.0</v>
      </c>
      <c r="B206" s="173"/>
      <c r="C206" s="142"/>
      <c r="D206" s="173"/>
      <c r="E206" s="173"/>
      <c r="F206" s="476"/>
      <c r="G206" s="142"/>
      <c r="H206" s="142"/>
      <c r="I206" s="173"/>
      <c r="J206" s="173"/>
      <c r="K206" s="173"/>
      <c r="L206" s="173"/>
      <c r="M206" s="173"/>
      <c r="N206" s="142"/>
      <c r="O206" s="142"/>
      <c r="P206" s="142"/>
      <c r="Q206" s="173"/>
      <c r="R206" s="477"/>
      <c r="S206" s="271"/>
      <c r="T206" s="141"/>
    </row>
    <row r="207" ht="30.0" customHeight="1">
      <c r="A207" s="173">
        <v>203.0</v>
      </c>
      <c r="B207" s="173"/>
      <c r="C207" s="142"/>
      <c r="D207" s="173"/>
      <c r="E207" s="173"/>
      <c r="F207" s="476"/>
      <c r="G207" s="142"/>
      <c r="H207" s="142"/>
      <c r="I207" s="173"/>
      <c r="J207" s="173"/>
      <c r="K207" s="173"/>
      <c r="L207" s="173"/>
      <c r="M207" s="173"/>
      <c r="N207" s="142"/>
      <c r="O207" s="142"/>
      <c r="P207" s="142"/>
      <c r="Q207" s="173"/>
      <c r="R207" s="477"/>
      <c r="S207" s="271"/>
      <c r="T207" s="141"/>
    </row>
    <row r="208" ht="30.0" customHeight="1">
      <c r="A208" s="173">
        <v>204.0</v>
      </c>
      <c r="B208" s="173"/>
      <c r="C208" s="142"/>
      <c r="D208" s="173"/>
      <c r="E208" s="173"/>
      <c r="F208" s="476"/>
      <c r="G208" s="142"/>
      <c r="H208" s="142"/>
      <c r="I208" s="173"/>
      <c r="J208" s="173"/>
      <c r="K208" s="173"/>
      <c r="L208" s="173"/>
      <c r="M208" s="173"/>
      <c r="N208" s="142"/>
      <c r="O208" s="142"/>
      <c r="P208" s="142"/>
      <c r="Q208" s="173"/>
      <c r="R208" s="477"/>
      <c r="S208" s="271"/>
      <c r="T208" s="141"/>
    </row>
    <row r="209" ht="30.0" customHeight="1">
      <c r="A209" s="173">
        <v>205.0</v>
      </c>
      <c r="B209" s="173"/>
      <c r="C209" s="142"/>
      <c r="D209" s="173"/>
      <c r="E209" s="173"/>
      <c r="F209" s="476"/>
      <c r="G209" s="142"/>
      <c r="H209" s="142"/>
      <c r="I209" s="173"/>
      <c r="J209" s="173"/>
      <c r="K209" s="173"/>
      <c r="L209" s="173"/>
      <c r="M209" s="173"/>
      <c r="N209" s="142"/>
      <c r="O209" s="142"/>
      <c r="P209" s="142"/>
      <c r="Q209" s="173"/>
      <c r="R209" s="477"/>
      <c r="S209" s="271"/>
      <c r="T209" s="141"/>
    </row>
    <row r="210" ht="30.0" customHeight="1">
      <c r="A210" s="173">
        <v>206.0</v>
      </c>
      <c r="B210" s="173"/>
      <c r="C210" s="142"/>
      <c r="D210" s="173"/>
      <c r="E210" s="173"/>
      <c r="F210" s="476"/>
      <c r="G210" s="142"/>
      <c r="H210" s="142"/>
      <c r="I210" s="173"/>
      <c r="J210" s="173"/>
      <c r="K210" s="173"/>
      <c r="L210" s="173"/>
      <c r="M210" s="173"/>
      <c r="N210" s="142"/>
      <c r="O210" s="142"/>
      <c r="P210" s="142"/>
      <c r="Q210" s="173"/>
      <c r="R210" s="477"/>
      <c r="S210" s="271"/>
      <c r="T210" s="141"/>
    </row>
    <row r="211" ht="30.0" customHeight="1">
      <c r="A211" s="173">
        <v>207.0</v>
      </c>
      <c r="B211" s="173"/>
      <c r="C211" s="142"/>
      <c r="D211" s="173"/>
      <c r="E211" s="173"/>
      <c r="F211" s="476"/>
      <c r="G211" s="142"/>
      <c r="H211" s="142"/>
      <c r="I211" s="173"/>
      <c r="J211" s="173"/>
      <c r="K211" s="173"/>
      <c r="L211" s="173"/>
      <c r="M211" s="173"/>
      <c r="N211" s="142"/>
      <c r="O211" s="142"/>
      <c r="P211" s="142"/>
      <c r="Q211" s="173"/>
      <c r="R211" s="477"/>
      <c r="S211" s="271"/>
      <c r="T211" s="141"/>
    </row>
    <row r="212" ht="30.0" customHeight="1">
      <c r="A212" s="173">
        <v>208.0</v>
      </c>
      <c r="B212" s="173"/>
      <c r="C212" s="142"/>
      <c r="D212" s="173"/>
      <c r="E212" s="173"/>
      <c r="F212" s="476"/>
      <c r="G212" s="142"/>
      <c r="H212" s="142"/>
      <c r="I212" s="173"/>
      <c r="J212" s="173"/>
      <c r="K212" s="173"/>
      <c r="L212" s="173"/>
      <c r="M212" s="173"/>
      <c r="N212" s="142"/>
      <c r="O212" s="142"/>
      <c r="P212" s="142"/>
      <c r="Q212" s="173"/>
      <c r="R212" s="477"/>
      <c r="S212" s="271"/>
      <c r="T212" s="141"/>
    </row>
    <row r="213" ht="30.0" customHeight="1">
      <c r="A213" s="173">
        <v>209.0</v>
      </c>
      <c r="B213" s="173"/>
      <c r="C213" s="142"/>
      <c r="D213" s="173"/>
      <c r="E213" s="173"/>
      <c r="F213" s="476"/>
      <c r="G213" s="142"/>
      <c r="H213" s="142"/>
      <c r="I213" s="173"/>
      <c r="J213" s="173"/>
      <c r="K213" s="173"/>
      <c r="L213" s="173"/>
      <c r="M213" s="173"/>
      <c r="N213" s="142"/>
      <c r="O213" s="142"/>
      <c r="P213" s="142"/>
      <c r="Q213" s="173"/>
      <c r="R213" s="477"/>
      <c r="S213" s="271"/>
      <c r="T213" s="141"/>
    </row>
    <row r="214" ht="30.0" customHeight="1">
      <c r="A214" s="173">
        <v>210.0</v>
      </c>
      <c r="B214" s="173"/>
      <c r="C214" s="142"/>
      <c r="D214" s="173"/>
      <c r="E214" s="173"/>
      <c r="F214" s="476"/>
      <c r="G214" s="142"/>
      <c r="H214" s="142"/>
      <c r="I214" s="173"/>
      <c r="J214" s="173"/>
      <c r="K214" s="173"/>
      <c r="L214" s="173"/>
      <c r="M214" s="173"/>
      <c r="N214" s="142"/>
      <c r="O214" s="142"/>
      <c r="P214" s="142"/>
      <c r="Q214" s="173"/>
      <c r="R214" s="477"/>
      <c r="S214" s="271"/>
      <c r="T214" s="141"/>
    </row>
    <row r="215" ht="30.0" customHeight="1">
      <c r="A215" s="173">
        <v>211.0</v>
      </c>
      <c r="B215" s="173"/>
      <c r="C215" s="142"/>
      <c r="D215" s="173"/>
      <c r="E215" s="173"/>
      <c r="F215" s="476"/>
      <c r="G215" s="142"/>
      <c r="H215" s="142"/>
      <c r="I215" s="173"/>
      <c r="J215" s="173"/>
      <c r="K215" s="173"/>
      <c r="L215" s="173"/>
      <c r="M215" s="173"/>
      <c r="N215" s="142"/>
      <c r="O215" s="142"/>
      <c r="P215" s="142"/>
      <c r="Q215" s="173"/>
      <c r="R215" s="477"/>
      <c r="S215" s="271"/>
      <c r="T215" s="141"/>
    </row>
    <row r="216" ht="30.0" customHeight="1">
      <c r="A216" s="173">
        <v>212.0</v>
      </c>
      <c r="B216" s="173"/>
      <c r="C216" s="142"/>
      <c r="D216" s="173"/>
      <c r="E216" s="173"/>
      <c r="F216" s="476"/>
      <c r="G216" s="142"/>
      <c r="H216" s="142"/>
      <c r="I216" s="173"/>
      <c r="J216" s="173"/>
      <c r="K216" s="173"/>
      <c r="L216" s="173"/>
      <c r="M216" s="173"/>
      <c r="N216" s="142"/>
      <c r="O216" s="142"/>
      <c r="P216" s="142"/>
      <c r="Q216" s="173"/>
      <c r="R216" s="477"/>
      <c r="S216" s="271"/>
      <c r="T216" s="141"/>
    </row>
    <row r="217" ht="30.0" customHeight="1">
      <c r="A217" s="173">
        <v>213.0</v>
      </c>
      <c r="B217" s="173"/>
      <c r="C217" s="142"/>
      <c r="D217" s="173"/>
      <c r="E217" s="173"/>
      <c r="F217" s="476"/>
      <c r="G217" s="142"/>
      <c r="H217" s="142"/>
      <c r="I217" s="173"/>
      <c r="J217" s="173"/>
      <c r="K217" s="173"/>
      <c r="L217" s="173"/>
      <c r="M217" s="173"/>
      <c r="N217" s="142"/>
      <c r="O217" s="142"/>
      <c r="P217" s="142"/>
      <c r="Q217" s="173"/>
      <c r="R217" s="477"/>
      <c r="S217" s="271"/>
      <c r="T217" s="141"/>
    </row>
    <row r="218" ht="30.0" customHeight="1">
      <c r="A218" s="173">
        <v>214.0</v>
      </c>
      <c r="B218" s="173"/>
      <c r="C218" s="142"/>
      <c r="D218" s="173"/>
      <c r="E218" s="173"/>
      <c r="F218" s="476"/>
      <c r="G218" s="142"/>
      <c r="H218" s="142"/>
      <c r="I218" s="173"/>
      <c r="J218" s="173"/>
      <c r="K218" s="173"/>
      <c r="L218" s="173"/>
      <c r="M218" s="173"/>
      <c r="N218" s="142"/>
      <c r="O218" s="142"/>
      <c r="P218" s="142"/>
      <c r="Q218" s="173"/>
      <c r="R218" s="477"/>
      <c r="S218" s="271"/>
      <c r="T218" s="141"/>
    </row>
    <row r="219" ht="30.0" customHeight="1">
      <c r="A219" s="173">
        <v>215.0</v>
      </c>
      <c r="B219" s="173"/>
      <c r="C219" s="142"/>
      <c r="D219" s="173"/>
      <c r="E219" s="173"/>
      <c r="F219" s="476"/>
      <c r="G219" s="142"/>
      <c r="H219" s="142"/>
      <c r="I219" s="173"/>
      <c r="J219" s="173"/>
      <c r="K219" s="173"/>
      <c r="L219" s="173"/>
      <c r="M219" s="173"/>
      <c r="N219" s="142"/>
      <c r="O219" s="142"/>
      <c r="P219" s="142"/>
      <c r="Q219" s="173"/>
      <c r="R219" s="477"/>
      <c r="S219" s="271"/>
      <c r="T219" s="141"/>
    </row>
    <row r="220" ht="30.0" customHeight="1">
      <c r="A220" s="173">
        <v>216.0</v>
      </c>
      <c r="B220" s="173"/>
      <c r="C220" s="142"/>
      <c r="D220" s="173"/>
      <c r="E220" s="173"/>
      <c r="F220" s="476"/>
      <c r="G220" s="142"/>
      <c r="H220" s="142"/>
      <c r="I220" s="173"/>
      <c r="J220" s="173"/>
      <c r="K220" s="173"/>
      <c r="L220" s="173"/>
      <c r="M220" s="173"/>
      <c r="N220" s="142"/>
      <c r="O220" s="142"/>
      <c r="P220" s="142"/>
      <c r="Q220" s="173"/>
      <c r="R220" s="477"/>
      <c r="S220" s="271"/>
      <c r="T220" s="141"/>
    </row>
    <row r="221" ht="30.0" customHeight="1">
      <c r="A221" s="173">
        <v>217.0</v>
      </c>
      <c r="B221" s="173"/>
      <c r="C221" s="142"/>
      <c r="D221" s="173"/>
      <c r="E221" s="173"/>
      <c r="F221" s="476"/>
      <c r="G221" s="142"/>
      <c r="H221" s="142"/>
      <c r="I221" s="173"/>
      <c r="J221" s="173"/>
      <c r="K221" s="173"/>
      <c r="L221" s="173"/>
      <c r="M221" s="173"/>
      <c r="N221" s="142"/>
      <c r="O221" s="142"/>
      <c r="P221" s="142"/>
      <c r="Q221" s="173"/>
      <c r="R221" s="477"/>
      <c r="S221" s="271"/>
      <c r="T221" s="141"/>
    </row>
    <row r="222" ht="30.0" customHeight="1">
      <c r="A222" s="173">
        <v>218.0</v>
      </c>
      <c r="B222" s="173"/>
      <c r="C222" s="142"/>
      <c r="D222" s="173"/>
      <c r="E222" s="173"/>
      <c r="F222" s="476"/>
      <c r="G222" s="142"/>
      <c r="H222" s="142"/>
      <c r="I222" s="173"/>
      <c r="J222" s="173"/>
      <c r="K222" s="173"/>
      <c r="L222" s="173"/>
      <c r="M222" s="173"/>
      <c r="N222" s="142"/>
      <c r="O222" s="142"/>
      <c r="P222" s="142"/>
      <c r="Q222" s="173"/>
      <c r="R222" s="477"/>
      <c r="S222" s="271"/>
      <c r="T222" s="141"/>
    </row>
    <row r="223" ht="30.0" customHeight="1">
      <c r="A223" s="173">
        <v>219.0</v>
      </c>
      <c r="B223" s="173"/>
      <c r="C223" s="142"/>
      <c r="D223" s="173"/>
      <c r="E223" s="173"/>
      <c r="F223" s="476"/>
      <c r="G223" s="142"/>
      <c r="H223" s="142"/>
      <c r="I223" s="173"/>
      <c r="J223" s="173"/>
      <c r="K223" s="173"/>
      <c r="L223" s="173"/>
      <c r="M223" s="173"/>
      <c r="N223" s="142"/>
      <c r="O223" s="142"/>
      <c r="P223" s="142"/>
      <c r="Q223" s="173"/>
      <c r="R223" s="477"/>
      <c r="S223" s="271"/>
      <c r="T223" s="141"/>
    </row>
    <row r="224" ht="30.0" customHeight="1">
      <c r="A224" s="173">
        <v>220.0</v>
      </c>
      <c r="B224" s="173"/>
      <c r="C224" s="142"/>
      <c r="D224" s="173"/>
      <c r="E224" s="173"/>
      <c r="F224" s="476"/>
      <c r="G224" s="142"/>
      <c r="H224" s="142"/>
      <c r="I224" s="173"/>
      <c r="J224" s="173"/>
      <c r="K224" s="173"/>
      <c r="L224" s="173"/>
      <c r="M224" s="173"/>
      <c r="N224" s="142"/>
      <c r="O224" s="142"/>
      <c r="P224" s="142"/>
      <c r="Q224" s="173"/>
      <c r="R224" s="477"/>
      <c r="S224" s="271"/>
      <c r="T224" s="141"/>
    </row>
    <row r="225" ht="30.0" customHeight="1">
      <c r="A225" s="173">
        <v>221.0</v>
      </c>
      <c r="B225" s="173"/>
      <c r="C225" s="142"/>
      <c r="D225" s="173"/>
      <c r="E225" s="173"/>
      <c r="F225" s="476"/>
      <c r="G225" s="142"/>
      <c r="H225" s="142"/>
      <c r="I225" s="173"/>
      <c r="J225" s="173"/>
      <c r="K225" s="173"/>
      <c r="L225" s="173"/>
      <c r="M225" s="173"/>
      <c r="N225" s="142"/>
      <c r="O225" s="142"/>
      <c r="P225" s="142"/>
      <c r="Q225" s="173"/>
      <c r="R225" s="477"/>
      <c r="S225" s="271"/>
      <c r="T225" s="141"/>
    </row>
    <row r="226" ht="30.0" customHeight="1">
      <c r="A226" s="173">
        <v>222.0</v>
      </c>
      <c r="B226" s="173"/>
      <c r="C226" s="142"/>
      <c r="D226" s="173"/>
      <c r="E226" s="173"/>
      <c r="F226" s="476"/>
      <c r="G226" s="142"/>
      <c r="H226" s="142"/>
      <c r="I226" s="173"/>
      <c r="J226" s="173"/>
      <c r="K226" s="173"/>
      <c r="L226" s="173"/>
      <c r="M226" s="173"/>
      <c r="N226" s="142"/>
      <c r="O226" s="142"/>
      <c r="P226" s="142"/>
      <c r="Q226" s="173"/>
      <c r="R226" s="477"/>
      <c r="S226" s="271"/>
      <c r="T226" s="141"/>
    </row>
    <row r="227" ht="30.0" customHeight="1">
      <c r="A227" s="173">
        <v>223.0</v>
      </c>
      <c r="B227" s="173"/>
      <c r="C227" s="142"/>
      <c r="D227" s="173"/>
      <c r="E227" s="173"/>
      <c r="F227" s="476"/>
      <c r="G227" s="142"/>
      <c r="H227" s="142"/>
      <c r="I227" s="173"/>
      <c r="J227" s="173"/>
      <c r="K227" s="173"/>
      <c r="L227" s="173"/>
      <c r="M227" s="173"/>
      <c r="N227" s="142"/>
      <c r="O227" s="142"/>
      <c r="P227" s="142"/>
      <c r="Q227" s="173"/>
      <c r="R227" s="477"/>
      <c r="S227" s="271"/>
      <c r="T227" s="141"/>
    </row>
    <row r="228" ht="30.0" customHeight="1">
      <c r="A228" s="173">
        <v>224.0</v>
      </c>
      <c r="B228" s="173"/>
      <c r="C228" s="142"/>
      <c r="D228" s="173"/>
      <c r="E228" s="173"/>
      <c r="F228" s="476"/>
      <c r="G228" s="142"/>
      <c r="H228" s="142"/>
      <c r="I228" s="173"/>
      <c r="J228" s="173"/>
      <c r="K228" s="173"/>
      <c r="L228" s="173"/>
      <c r="M228" s="173"/>
      <c r="N228" s="142"/>
      <c r="O228" s="142"/>
      <c r="P228" s="142"/>
      <c r="Q228" s="173"/>
      <c r="R228" s="477"/>
      <c r="S228" s="271"/>
      <c r="T228" s="141"/>
    </row>
    <row r="229" ht="30.0" customHeight="1">
      <c r="A229" s="173">
        <v>225.0</v>
      </c>
      <c r="B229" s="173"/>
      <c r="C229" s="142"/>
      <c r="D229" s="173"/>
      <c r="E229" s="173"/>
      <c r="F229" s="476"/>
      <c r="G229" s="142"/>
      <c r="H229" s="142"/>
      <c r="I229" s="173"/>
      <c r="J229" s="173"/>
      <c r="K229" s="173"/>
      <c r="L229" s="173"/>
      <c r="M229" s="173"/>
      <c r="N229" s="142"/>
      <c r="O229" s="142"/>
      <c r="P229" s="142"/>
      <c r="Q229" s="173"/>
      <c r="R229" s="477"/>
      <c r="S229" s="271"/>
      <c r="T229" s="141"/>
    </row>
    <row r="230" ht="30.0" customHeight="1">
      <c r="A230" s="173">
        <v>226.0</v>
      </c>
      <c r="B230" s="173"/>
      <c r="C230" s="142"/>
      <c r="D230" s="173"/>
      <c r="E230" s="173"/>
      <c r="F230" s="476"/>
      <c r="G230" s="142"/>
      <c r="H230" s="142"/>
      <c r="I230" s="173"/>
      <c r="J230" s="173"/>
      <c r="K230" s="173"/>
      <c r="L230" s="173"/>
      <c r="M230" s="173"/>
      <c r="N230" s="142"/>
      <c r="O230" s="142"/>
      <c r="P230" s="142"/>
      <c r="Q230" s="173"/>
      <c r="R230" s="477"/>
      <c r="S230" s="271"/>
      <c r="T230" s="141"/>
    </row>
    <row r="231" ht="30.0" customHeight="1">
      <c r="A231" s="173">
        <v>227.0</v>
      </c>
      <c r="B231" s="173"/>
      <c r="C231" s="142"/>
      <c r="D231" s="173"/>
      <c r="E231" s="173"/>
      <c r="F231" s="476"/>
      <c r="G231" s="142"/>
      <c r="H231" s="142"/>
      <c r="I231" s="173"/>
      <c r="J231" s="173"/>
      <c r="K231" s="173"/>
      <c r="L231" s="173"/>
      <c r="M231" s="173"/>
      <c r="N231" s="142"/>
      <c r="O231" s="142"/>
      <c r="P231" s="142"/>
      <c r="Q231" s="173"/>
      <c r="R231" s="477"/>
      <c r="S231" s="271"/>
      <c r="T231" s="141"/>
    </row>
    <row r="232" ht="30.0" customHeight="1">
      <c r="A232" s="173">
        <v>228.0</v>
      </c>
      <c r="B232" s="173"/>
      <c r="C232" s="142"/>
      <c r="D232" s="173"/>
      <c r="E232" s="173"/>
      <c r="F232" s="476"/>
      <c r="G232" s="142"/>
      <c r="H232" s="142"/>
      <c r="I232" s="173"/>
      <c r="J232" s="173"/>
      <c r="K232" s="173"/>
      <c r="L232" s="173"/>
      <c r="M232" s="173"/>
      <c r="N232" s="142"/>
      <c r="O232" s="142"/>
      <c r="P232" s="142"/>
      <c r="Q232" s="173"/>
      <c r="R232" s="477"/>
      <c r="S232" s="271"/>
      <c r="T232" s="141"/>
    </row>
    <row r="233" ht="30.0" customHeight="1">
      <c r="A233" s="173">
        <v>229.0</v>
      </c>
      <c r="B233" s="173"/>
      <c r="C233" s="142"/>
      <c r="D233" s="173"/>
      <c r="E233" s="173"/>
      <c r="F233" s="476"/>
      <c r="G233" s="142"/>
      <c r="H233" s="142"/>
      <c r="I233" s="173"/>
      <c r="J233" s="173"/>
      <c r="K233" s="173"/>
      <c r="L233" s="173"/>
      <c r="M233" s="173"/>
      <c r="N233" s="142"/>
      <c r="O233" s="142"/>
      <c r="P233" s="142"/>
      <c r="Q233" s="173"/>
      <c r="R233" s="477"/>
      <c r="S233" s="271"/>
      <c r="T233" s="141"/>
    </row>
    <row r="234" ht="30.0" customHeight="1">
      <c r="A234" s="173">
        <v>230.0</v>
      </c>
      <c r="B234" s="173"/>
      <c r="C234" s="142"/>
      <c r="D234" s="173"/>
      <c r="E234" s="173"/>
      <c r="F234" s="476"/>
      <c r="G234" s="142"/>
      <c r="H234" s="142"/>
      <c r="I234" s="173"/>
      <c r="J234" s="173"/>
      <c r="K234" s="173"/>
      <c r="L234" s="173"/>
      <c r="M234" s="173"/>
      <c r="N234" s="142"/>
      <c r="O234" s="142"/>
      <c r="P234" s="142"/>
      <c r="Q234" s="173"/>
      <c r="R234" s="477"/>
      <c r="S234" s="271"/>
      <c r="T234" s="141"/>
    </row>
    <row r="235" ht="30.0" customHeight="1">
      <c r="A235" s="173">
        <v>231.0</v>
      </c>
      <c r="B235" s="173"/>
      <c r="C235" s="142"/>
      <c r="D235" s="173"/>
      <c r="E235" s="173"/>
      <c r="F235" s="476"/>
      <c r="G235" s="142"/>
      <c r="H235" s="142"/>
      <c r="I235" s="173"/>
      <c r="J235" s="173"/>
      <c r="K235" s="173"/>
      <c r="L235" s="173"/>
      <c r="M235" s="173"/>
      <c r="N235" s="142"/>
      <c r="O235" s="142"/>
      <c r="P235" s="142"/>
      <c r="Q235" s="173"/>
      <c r="R235" s="477"/>
      <c r="S235" s="271"/>
      <c r="T235" s="141"/>
    </row>
    <row r="236" ht="30.0" customHeight="1">
      <c r="A236" s="173">
        <v>232.0</v>
      </c>
      <c r="B236" s="173"/>
      <c r="C236" s="142"/>
      <c r="D236" s="173"/>
      <c r="E236" s="173"/>
      <c r="F236" s="476"/>
      <c r="G236" s="142"/>
      <c r="H236" s="142"/>
      <c r="I236" s="173"/>
      <c r="J236" s="173"/>
      <c r="K236" s="173"/>
      <c r="L236" s="173"/>
      <c r="M236" s="173"/>
      <c r="N236" s="142"/>
      <c r="O236" s="142"/>
      <c r="P236" s="142"/>
      <c r="Q236" s="173"/>
      <c r="R236" s="477"/>
      <c r="S236" s="271"/>
      <c r="T236" s="141"/>
    </row>
    <row r="237" ht="30.0" customHeight="1">
      <c r="A237" s="173">
        <v>233.0</v>
      </c>
      <c r="B237" s="173"/>
      <c r="C237" s="142"/>
      <c r="D237" s="173"/>
      <c r="E237" s="173"/>
      <c r="F237" s="476"/>
      <c r="G237" s="142"/>
      <c r="H237" s="142"/>
      <c r="I237" s="173"/>
      <c r="J237" s="173"/>
      <c r="K237" s="173"/>
      <c r="L237" s="173"/>
      <c r="M237" s="173"/>
      <c r="N237" s="142"/>
      <c r="O237" s="142"/>
      <c r="P237" s="142"/>
      <c r="Q237" s="173"/>
      <c r="R237" s="477"/>
      <c r="S237" s="271"/>
      <c r="T237" s="141"/>
    </row>
    <row r="238" ht="30.0" customHeight="1">
      <c r="A238" s="173">
        <v>234.0</v>
      </c>
      <c r="B238" s="173"/>
      <c r="C238" s="142"/>
      <c r="D238" s="173"/>
      <c r="E238" s="173"/>
      <c r="F238" s="476"/>
      <c r="G238" s="142"/>
      <c r="H238" s="142"/>
      <c r="I238" s="173"/>
      <c r="J238" s="173"/>
      <c r="K238" s="173"/>
      <c r="L238" s="173"/>
      <c r="M238" s="173"/>
      <c r="N238" s="142"/>
      <c r="O238" s="142"/>
      <c r="P238" s="142"/>
      <c r="Q238" s="173"/>
      <c r="R238" s="477"/>
      <c r="S238" s="271"/>
      <c r="T238" s="141"/>
    </row>
    <row r="239" ht="30.0" customHeight="1">
      <c r="A239" s="173">
        <v>235.0</v>
      </c>
      <c r="B239" s="173"/>
      <c r="C239" s="142"/>
      <c r="D239" s="173"/>
      <c r="E239" s="173"/>
      <c r="F239" s="476"/>
      <c r="G239" s="142"/>
      <c r="H239" s="142"/>
      <c r="I239" s="173"/>
      <c r="J239" s="173"/>
      <c r="K239" s="173"/>
      <c r="L239" s="173"/>
      <c r="M239" s="173"/>
      <c r="N239" s="142"/>
      <c r="O239" s="142"/>
      <c r="P239" s="142"/>
      <c r="Q239" s="173"/>
      <c r="R239" s="477"/>
      <c r="S239" s="271"/>
      <c r="T239" s="141"/>
    </row>
    <row r="240" ht="30.0" customHeight="1">
      <c r="A240" s="173">
        <v>236.0</v>
      </c>
      <c r="B240" s="173"/>
      <c r="C240" s="142"/>
      <c r="D240" s="173"/>
      <c r="E240" s="173"/>
      <c r="F240" s="476"/>
      <c r="G240" s="142"/>
      <c r="H240" s="142"/>
      <c r="I240" s="173"/>
      <c r="J240" s="173"/>
      <c r="K240" s="173"/>
      <c r="L240" s="173"/>
      <c r="M240" s="173"/>
      <c r="N240" s="142"/>
      <c r="O240" s="142"/>
      <c r="P240" s="142"/>
      <c r="Q240" s="173"/>
      <c r="R240" s="477"/>
      <c r="S240" s="271"/>
      <c r="T240" s="141"/>
    </row>
    <row r="241" ht="30.0" customHeight="1">
      <c r="A241" s="173">
        <v>237.0</v>
      </c>
      <c r="B241" s="173"/>
      <c r="C241" s="142"/>
      <c r="D241" s="173"/>
      <c r="E241" s="173"/>
      <c r="F241" s="476"/>
      <c r="G241" s="142"/>
      <c r="H241" s="142"/>
      <c r="I241" s="173"/>
      <c r="J241" s="173"/>
      <c r="K241" s="173"/>
      <c r="L241" s="173"/>
      <c r="M241" s="173"/>
      <c r="N241" s="142"/>
      <c r="O241" s="142"/>
      <c r="P241" s="142"/>
      <c r="Q241" s="173"/>
      <c r="R241" s="477"/>
      <c r="S241" s="271"/>
      <c r="T241" s="141"/>
    </row>
    <row r="242" ht="30.0" customHeight="1">
      <c r="A242" s="173">
        <v>238.0</v>
      </c>
      <c r="B242" s="173"/>
      <c r="C242" s="142"/>
      <c r="D242" s="173"/>
      <c r="E242" s="173"/>
      <c r="F242" s="476"/>
      <c r="G242" s="142"/>
      <c r="H242" s="142"/>
      <c r="I242" s="173"/>
      <c r="J242" s="173"/>
      <c r="K242" s="173"/>
      <c r="L242" s="173"/>
      <c r="M242" s="173"/>
      <c r="N242" s="142"/>
      <c r="O242" s="142"/>
      <c r="P242" s="142"/>
      <c r="Q242" s="173"/>
      <c r="R242" s="477"/>
      <c r="S242" s="271"/>
      <c r="T242" s="141"/>
    </row>
    <row r="243" ht="30.0" customHeight="1">
      <c r="A243" s="173">
        <v>239.0</v>
      </c>
      <c r="B243" s="173"/>
      <c r="C243" s="142"/>
      <c r="D243" s="173"/>
      <c r="E243" s="173"/>
      <c r="F243" s="476"/>
      <c r="G243" s="142"/>
      <c r="H243" s="142"/>
      <c r="I243" s="173"/>
      <c r="J243" s="173"/>
      <c r="K243" s="173"/>
      <c r="L243" s="173"/>
      <c r="M243" s="173"/>
      <c r="N243" s="142"/>
      <c r="O243" s="142"/>
      <c r="P243" s="142"/>
      <c r="Q243" s="173"/>
      <c r="R243" s="477"/>
      <c r="S243" s="271"/>
      <c r="T243" s="141"/>
    </row>
    <row r="244" ht="30.0" customHeight="1">
      <c r="A244" s="173">
        <v>240.0</v>
      </c>
      <c r="B244" s="173"/>
      <c r="C244" s="142"/>
      <c r="D244" s="173"/>
      <c r="E244" s="173"/>
      <c r="F244" s="476"/>
      <c r="G244" s="142"/>
      <c r="H244" s="142"/>
      <c r="I244" s="173"/>
      <c r="J244" s="173"/>
      <c r="K244" s="173"/>
      <c r="L244" s="173"/>
      <c r="M244" s="173"/>
      <c r="N244" s="142"/>
      <c r="O244" s="142"/>
      <c r="P244" s="142"/>
      <c r="Q244" s="173"/>
      <c r="R244" s="477"/>
      <c r="S244" s="271"/>
      <c r="T244" s="141"/>
    </row>
    <row r="245" ht="30.0" customHeight="1">
      <c r="A245" s="173">
        <v>241.0</v>
      </c>
      <c r="B245" s="173"/>
      <c r="C245" s="142"/>
      <c r="D245" s="173"/>
      <c r="E245" s="173"/>
      <c r="F245" s="476"/>
      <c r="G245" s="142"/>
      <c r="H245" s="142"/>
      <c r="I245" s="173"/>
      <c r="J245" s="173"/>
      <c r="K245" s="173"/>
      <c r="L245" s="173"/>
      <c r="M245" s="173"/>
      <c r="N245" s="142"/>
      <c r="O245" s="142"/>
      <c r="P245" s="142"/>
      <c r="Q245" s="173"/>
      <c r="R245" s="477"/>
      <c r="S245" s="271"/>
      <c r="T245" s="141"/>
    </row>
    <row r="246" ht="30.0" customHeight="1">
      <c r="A246" s="173">
        <v>242.0</v>
      </c>
      <c r="B246" s="173"/>
      <c r="C246" s="142"/>
      <c r="D246" s="173"/>
      <c r="E246" s="173"/>
      <c r="F246" s="476"/>
      <c r="G246" s="142"/>
      <c r="H246" s="142"/>
      <c r="I246" s="173"/>
      <c r="J246" s="173"/>
      <c r="K246" s="173"/>
      <c r="L246" s="173"/>
      <c r="M246" s="173"/>
      <c r="N246" s="142"/>
      <c r="O246" s="142"/>
      <c r="P246" s="142"/>
      <c r="Q246" s="173"/>
      <c r="R246" s="477"/>
      <c r="S246" s="271"/>
      <c r="T246" s="141"/>
    </row>
    <row r="247" ht="30.0" customHeight="1">
      <c r="A247" s="173">
        <v>243.0</v>
      </c>
      <c r="B247" s="173"/>
      <c r="C247" s="142"/>
      <c r="D247" s="173"/>
      <c r="E247" s="173"/>
      <c r="F247" s="476"/>
      <c r="G247" s="142"/>
      <c r="H247" s="142"/>
      <c r="I247" s="173"/>
      <c r="J247" s="173"/>
      <c r="K247" s="173"/>
      <c r="L247" s="173"/>
      <c r="M247" s="173"/>
      <c r="N247" s="142"/>
      <c r="O247" s="142"/>
      <c r="P247" s="142"/>
      <c r="Q247" s="173"/>
      <c r="R247" s="477"/>
      <c r="S247" s="271"/>
      <c r="T247" s="141"/>
    </row>
    <row r="248" ht="30.0" customHeight="1">
      <c r="A248" s="173">
        <v>244.0</v>
      </c>
      <c r="B248" s="173"/>
      <c r="C248" s="142"/>
      <c r="D248" s="173"/>
      <c r="E248" s="173"/>
      <c r="F248" s="476"/>
      <c r="G248" s="142"/>
      <c r="H248" s="142"/>
      <c r="I248" s="173"/>
      <c r="J248" s="173"/>
      <c r="K248" s="173"/>
      <c r="L248" s="173"/>
      <c r="M248" s="173"/>
      <c r="N248" s="142"/>
      <c r="O248" s="142"/>
      <c r="P248" s="142"/>
      <c r="Q248" s="173"/>
      <c r="R248" s="477"/>
      <c r="S248" s="271"/>
      <c r="T248" s="141"/>
    </row>
    <row r="249" ht="30.0" customHeight="1">
      <c r="A249" s="173">
        <v>245.0</v>
      </c>
      <c r="B249" s="173"/>
      <c r="C249" s="142"/>
      <c r="D249" s="173"/>
      <c r="E249" s="173"/>
      <c r="F249" s="476"/>
      <c r="G249" s="142"/>
      <c r="H249" s="142"/>
      <c r="I249" s="173"/>
      <c r="J249" s="173"/>
      <c r="K249" s="173"/>
      <c r="L249" s="173"/>
      <c r="M249" s="173"/>
      <c r="N249" s="142"/>
      <c r="O249" s="142"/>
      <c r="P249" s="142"/>
      <c r="Q249" s="173"/>
      <c r="R249" s="477"/>
      <c r="S249" s="271"/>
      <c r="T249" s="141"/>
    </row>
    <row r="250" ht="30.0" customHeight="1">
      <c r="A250" s="173">
        <v>246.0</v>
      </c>
      <c r="B250" s="173"/>
      <c r="C250" s="142"/>
      <c r="D250" s="173"/>
      <c r="E250" s="173"/>
      <c r="F250" s="476"/>
      <c r="G250" s="142"/>
      <c r="H250" s="142"/>
      <c r="I250" s="173"/>
      <c r="J250" s="173"/>
      <c r="K250" s="173"/>
      <c r="L250" s="173"/>
      <c r="M250" s="173"/>
      <c r="N250" s="142"/>
      <c r="O250" s="142"/>
      <c r="P250" s="142"/>
      <c r="Q250" s="173"/>
      <c r="R250" s="477"/>
      <c r="S250" s="271"/>
      <c r="T250" s="141"/>
    </row>
    <row r="251" ht="30.0" customHeight="1">
      <c r="A251" s="173">
        <v>247.0</v>
      </c>
      <c r="B251" s="173"/>
      <c r="C251" s="142"/>
      <c r="D251" s="173"/>
      <c r="E251" s="173"/>
      <c r="F251" s="476"/>
      <c r="G251" s="142"/>
      <c r="H251" s="142"/>
      <c r="I251" s="173"/>
      <c r="J251" s="173"/>
      <c r="K251" s="173"/>
      <c r="L251" s="173"/>
      <c r="M251" s="173"/>
      <c r="N251" s="142"/>
      <c r="O251" s="142"/>
      <c r="P251" s="142"/>
      <c r="Q251" s="173"/>
      <c r="R251" s="477"/>
      <c r="S251" s="271"/>
      <c r="T251" s="141"/>
    </row>
    <row r="252" ht="30.0" customHeight="1">
      <c r="A252" s="173">
        <v>248.0</v>
      </c>
      <c r="B252" s="173"/>
      <c r="C252" s="142"/>
      <c r="D252" s="173"/>
      <c r="E252" s="173"/>
      <c r="F252" s="476"/>
      <c r="G252" s="142"/>
      <c r="H252" s="142"/>
      <c r="I252" s="173"/>
      <c r="J252" s="173"/>
      <c r="K252" s="173"/>
      <c r="L252" s="173"/>
      <c r="M252" s="173"/>
      <c r="N252" s="142"/>
      <c r="O252" s="142"/>
      <c r="P252" s="142"/>
      <c r="Q252" s="173"/>
      <c r="R252" s="477"/>
      <c r="S252" s="271"/>
      <c r="T252" s="141"/>
    </row>
    <row r="253" ht="30.0" customHeight="1">
      <c r="A253" s="173">
        <v>249.0</v>
      </c>
      <c r="B253" s="173"/>
      <c r="C253" s="142"/>
      <c r="D253" s="173"/>
      <c r="E253" s="173"/>
      <c r="F253" s="476"/>
      <c r="G253" s="142"/>
      <c r="H253" s="142"/>
      <c r="I253" s="173"/>
      <c r="J253" s="173"/>
      <c r="K253" s="173"/>
      <c r="L253" s="173"/>
      <c r="M253" s="173"/>
      <c r="N253" s="142"/>
      <c r="O253" s="142"/>
      <c r="P253" s="142"/>
      <c r="Q253" s="173"/>
      <c r="R253" s="477"/>
      <c r="S253" s="271"/>
      <c r="T253" s="141"/>
    </row>
    <row r="254" ht="30.0" customHeight="1">
      <c r="A254" s="173">
        <v>250.0</v>
      </c>
      <c r="B254" s="173"/>
      <c r="C254" s="142"/>
      <c r="D254" s="173"/>
      <c r="E254" s="173"/>
      <c r="F254" s="476"/>
      <c r="G254" s="142"/>
      <c r="H254" s="142"/>
      <c r="I254" s="173"/>
      <c r="J254" s="173"/>
      <c r="K254" s="173"/>
      <c r="L254" s="173"/>
      <c r="M254" s="173"/>
      <c r="N254" s="142"/>
      <c r="O254" s="142"/>
      <c r="P254" s="142"/>
      <c r="Q254" s="173"/>
      <c r="R254" s="477"/>
      <c r="S254" s="271"/>
      <c r="T254" s="141"/>
    </row>
    <row r="255" ht="30.0" customHeight="1">
      <c r="A255" s="173">
        <v>251.0</v>
      </c>
      <c r="B255" s="173"/>
      <c r="C255" s="142"/>
      <c r="D255" s="173"/>
      <c r="E255" s="173"/>
      <c r="F255" s="476"/>
      <c r="G255" s="142"/>
      <c r="H255" s="142"/>
      <c r="I255" s="173"/>
      <c r="J255" s="173"/>
      <c r="K255" s="173"/>
      <c r="L255" s="173"/>
      <c r="M255" s="173"/>
      <c r="N255" s="142"/>
      <c r="O255" s="142"/>
      <c r="P255" s="142"/>
      <c r="Q255" s="173"/>
      <c r="R255" s="477"/>
      <c r="S255" s="271"/>
      <c r="T255" s="141"/>
    </row>
    <row r="256" ht="30.0" customHeight="1">
      <c r="A256" s="173">
        <v>252.0</v>
      </c>
      <c r="B256" s="173"/>
      <c r="C256" s="142"/>
      <c r="D256" s="173"/>
      <c r="E256" s="173"/>
      <c r="F256" s="476"/>
      <c r="G256" s="142"/>
      <c r="H256" s="142"/>
      <c r="I256" s="173"/>
      <c r="J256" s="173"/>
      <c r="K256" s="173"/>
      <c r="L256" s="173"/>
      <c r="M256" s="173"/>
      <c r="N256" s="142"/>
      <c r="O256" s="142"/>
      <c r="P256" s="142"/>
      <c r="Q256" s="173"/>
      <c r="R256" s="477"/>
      <c r="S256" s="271"/>
      <c r="T256" s="141"/>
    </row>
    <row r="257" ht="30.0" customHeight="1">
      <c r="A257" s="173">
        <v>253.0</v>
      </c>
      <c r="B257" s="173"/>
      <c r="C257" s="142"/>
      <c r="D257" s="173"/>
      <c r="E257" s="173"/>
      <c r="F257" s="476"/>
      <c r="G257" s="142"/>
      <c r="H257" s="142"/>
      <c r="I257" s="173"/>
      <c r="J257" s="173"/>
      <c r="K257" s="173"/>
      <c r="L257" s="173"/>
      <c r="M257" s="173"/>
      <c r="N257" s="142"/>
      <c r="O257" s="142"/>
      <c r="P257" s="142"/>
      <c r="Q257" s="173"/>
      <c r="R257" s="477"/>
      <c r="S257" s="271"/>
      <c r="T257" s="141"/>
    </row>
    <row r="258" ht="30.0" customHeight="1">
      <c r="A258" s="173">
        <v>254.0</v>
      </c>
      <c r="B258" s="173"/>
      <c r="C258" s="142"/>
      <c r="D258" s="173"/>
      <c r="E258" s="173"/>
      <c r="F258" s="476"/>
      <c r="G258" s="142"/>
      <c r="H258" s="142"/>
      <c r="I258" s="173"/>
      <c r="J258" s="173"/>
      <c r="K258" s="173"/>
      <c r="L258" s="173"/>
      <c r="M258" s="173"/>
      <c r="N258" s="142"/>
      <c r="O258" s="142"/>
      <c r="P258" s="142"/>
      <c r="Q258" s="173"/>
      <c r="R258" s="477"/>
      <c r="S258" s="271"/>
      <c r="T258" s="141"/>
    </row>
    <row r="259" ht="30.0" customHeight="1">
      <c r="A259" s="173">
        <v>255.0</v>
      </c>
      <c r="B259" s="173"/>
      <c r="C259" s="142"/>
      <c r="D259" s="173"/>
      <c r="E259" s="173"/>
      <c r="F259" s="476"/>
      <c r="G259" s="142"/>
      <c r="H259" s="142"/>
      <c r="I259" s="173"/>
      <c r="J259" s="173"/>
      <c r="K259" s="173"/>
      <c r="L259" s="173"/>
      <c r="M259" s="173"/>
      <c r="N259" s="142"/>
      <c r="O259" s="142"/>
      <c r="P259" s="142"/>
      <c r="Q259" s="173"/>
      <c r="R259" s="477"/>
      <c r="S259" s="271"/>
      <c r="T259" s="141"/>
    </row>
    <row r="260" ht="30.0" customHeight="1">
      <c r="A260" s="173">
        <v>256.0</v>
      </c>
      <c r="B260" s="173"/>
      <c r="C260" s="142"/>
      <c r="D260" s="173"/>
      <c r="E260" s="173"/>
      <c r="F260" s="476"/>
      <c r="G260" s="142"/>
      <c r="H260" s="142"/>
      <c r="I260" s="173"/>
      <c r="J260" s="173"/>
      <c r="K260" s="173"/>
      <c r="L260" s="173"/>
      <c r="M260" s="173"/>
      <c r="N260" s="142"/>
      <c r="O260" s="142"/>
      <c r="P260" s="142"/>
      <c r="Q260" s="173"/>
      <c r="R260" s="477"/>
      <c r="S260" s="271"/>
      <c r="T260" s="141"/>
    </row>
    <row r="261" ht="30.0" customHeight="1">
      <c r="A261" s="173">
        <v>257.0</v>
      </c>
      <c r="B261" s="173"/>
      <c r="C261" s="142"/>
      <c r="D261" s="173"/>
      <c r="E261" s="173"/>
      <c r="F261" s="476"/>
      <c r="G261" s="142"/>
      <c r="H261" s="142"/>
      <c r="I261" s="173"/>
      <c r="J261" s="173"/>
      <c r="K261" s="173"/>
      <c r="L261" s="173"/>
      <c r="M261" s="173"/>
      <c r="N261" s="142"/>
      <c r="O261" s="142"/>
      <c r="P261" s="142"/>
      <c r="Q261" s="173"/>
      <c r="R261" s="477"/>
      <c r="S261" s="271"/>
      <c r="T261" s="141"/>
    </row>
    <row r="262" ht="30.0" customHeight="1">
      <c r="A262" s="173">
        <v>258.0</v>
      </c>
      <c r="B262" s="173"/>
      <c r="C262" s="142"/>
      <c r="D262" s="173"/>
      <c r="E262" s="173"/>
      <c r="F262" s="476"/>
      <c r="G262" s="142"/>
      <c r="H262" s="142"/>
      <c r="I262" s="173"/>
      <c r="J262" s="173"/>
      <c r="K262" s="173"/>
      <c r="L262" s="173"/>
      <c r="M262" s="173"/>
      <c r="N262" s="142"/>
      <c r="O262" s="142"/>
      <c r="P262" s="142"/>
      <c r="Q262" s="173"/>
      <c r="R262" s="477"/>
      <c r="S262" s="271"/>
      <c r="T262" s="141"/>
    </row>
    <row r="263" ht="30.0" customHeight="1">
      <c r="A263" s="173">
        <v>259.0</v>
      </c>
      <c r="B263" s="173"/>
      <c r="C263" s="142"/>
      <c r="D263" s="173"/>
      <c r="E263" s="173"/>
      <c r="F263" s="476"/>
      <c r="G263" s="142"/>
      <c r="H263" s="142"/>
      <c r="I263" s="173"/>
      <c r="J263" s="173"/>
      <c r="K263" s="173"/>
      <c r="L263" s="173"/>
      <c r="M263" s="173"/>
      <c r="N263" s="142"/>
      <c r="O263" s="142"/>
      <c r="P263" s="142"/>
      <c r="Q263" s="173"/>
      <c r="R263" s="477"/>
      <c r="S263" s="271"/>
      <c r="T263" s="141"/>
    </row>
    <row r="264" ht="30.0" customHeight="1">
      <c r="A264" s="173">
        <v>260.0</v>
      </c>
      <c r="B264" s="173"/>
      <c r="C264" s="142"/>
      <c r="D264" s="173"/>
      <c r="E264" s="173"/>
      <c r="F264" s="476"/>
      <c r="G264" s="142"/>
      <c r="H264" s="142"/>
      <c r="I264" s="173"/>
      <c r="J264" s="173"/>
      <c r="K264" s="173"/>
      <c r="L264" s="173"/>
      <c r="M264" s="173"/>
      <c r="N264" s="142"/>
      <c r="O264" s="142"/>
      <c r="P264" s="142"/>
      <c r="Q264" s="173"/>
      <c r="R264" s="477"/>
      <c r="S264" s="271"/>
      <c r="T264" s="141"/>
    </row>
    <row r="265" ht="30.0" customHeight="1">
      <c r="A265" s="173">
        <v>261.0</v>
      </c>
      <c r="B265" s="173"/>
      <c r="C265" s="142"/>
      <c r="D265" s="173"/>
      <c r="E265" s="173"/>
      <c r="F265" s="476"/>
      <c r="G265" s="142"/>
      <c r="H265" s="142"/>
      <c r="I265" s="173"/>
      <c r="J265" s="173"/>
      <c r="K265" s="173"/>
      <c r="L265" s="173"/>
      <c r="M265" s="173"/>
      <c r="N265" s="142"/>
      <c r="O265" s="142"/>
      <c r="P265" s="142"/>
      <c r="Q265" s="173"/>
      <c r="R265" s="477"/>
      <c r="S265" s="271"/>
      <c r="T265" s="141"/>
    </row>
    <row r="266" ht="30.0" customHeight="1">
      <c r="A266" s="173">
        <v>262.0</v>
      </c>
      <c r="B266" s="173"/>
      <c r="C266" s="142"/>
      <c r="D266" s="173"/>
      <c r="E266" s="173"/>
      <c r="F266" s="476"/>
      <c r="G266" s="142"/>
      <c r="H266" s="142"/>
      <c r="I266" s="173"/>
      <c r="J266" s="173"/>
      <c r="K266" s="173"/>
      <c r="L266" s="173"/>
      <c r="M266" s="173"/>
      <c r="N266" s="142"/>
      <c r="O266" s="142"/>
      <c r="P266" s="142"/>
      <c r="Q266" s="173"/>
      <c r="R266" s="477"/>
      <c r="S266" s="271"/>
      <c r="T266" s="141"/>
    </row>
    <row r="267" ht="30.0" customHeight="1">
      <c r="A267" s="173">
        <v>263.0</v>
      </c>
      <c r="B267" s="173"/>
      <c r="C267" s="142"/>
      <c r="D267" s="173"/>
      <c r="E267" s="173"/>
      <c r="F267" s="476"/>
      <c r="G267" s="142"/>
      <c r="H267" s="142"/>
      <c r="I267" s="173"/>
      <c r="J267" s="173"/>
      <c r="K267" s="173"/>
      <c r="L267" s="173"/>
      <c r="M267" s="173"/>
      <c r="N267" s="142"/>
      <c r="O267" s="142"/>
      <c r="P267" s="142"/>
      <c r="Q267" s="173"/>
      <c r="R267" s="477"/>
      <c r="S267" s="271"/>
      <c r="T267" s="141"/>
    </row>
    <row r="268" ht="30.0" customHeight="1">
      <c r="A268" s="173">
        <v>264.0</v>
      </c>
      <c r="B268" s="173"/>
      <c r="C268" s="142"/>
      <c r="D268" s="173"/>
      <c r="E268" s="173"/>
      <c r="F268" s="476"/>
      <c r="G268" s="142"/>
      <c r="H268" s="142"/>
      <c r="I268" s="173"/>
      <c r="J268" s="173"/>
      <c r="K268" s="173"/>
      <c r="L268" s="173"/>
      <c r="M268" s="173"/>
      <c r="N268" s="142"/>
      <c r="O268" s="142"/>
      <c r="P268" s="142"/>
      <c r="Q268" s="173"/>
      <c r="R268" s="477"/>
      <c r="S268" s="271"/>
      <c r="T268" s="141"/>
    </row>
    <row r="269" ht="30.0" customHeight="1">
      <c r="A269" s="173">
        <v>265.0</v>
      </c>
      <c r="B269" s="173"/>
      <c r="C269" s="142"/>
      <c r="D269" s="173"/>
      <c r="E269" s="173"/>
      <c r="F269" s="476"/>
      <c r="G269" s="142"/>
      <c r="H269" s="142"/>
      <c r="I269" s="173"/>
      <c r="J269" s="173"/>
      <c r="K269" s="173"/>
      <c r="L269" s="173"/>
      <c r="M269" s="173"/>
      <c r="N269" s="142"/>
      <c r="O269" s="142"/>
      <c r="P269" s="142"/>
      <c r="Q269" s="173"/>
      <c r="R269" s="477"/>
      <c r="S269" s="271"/>
      <c r="T269" s="141"/>
    </row>
    <row r="270" ht="30.0" customHeight="1">
      <c r="A270" s="173">
        <v>266.0</v>
      </c>
      <c r="B270" s="173"/>
      <c r="C270" s="142"/>
      <c r="D270" s="173"/>
      <c r="E270" s="173"/>
      <c r="F270" s="476"/>
      <c r="G270" s="142"/>
      <c r="H270" s="142"/>
      <c r="I270" s="173"/>
      <c r="J270" s="173"/>
      <c r="K270" s="173"/>
      <c r="L270" s="173"/>
      <c r="M270" s="173"/>
      <c r="N270" s="142"/>
      <c r="O270" s="142"/>
      <c r="P270" s="142"/>
      <c r="Q270" s="173"/>
      <c r="R270" s="477"/>
      <c r="S270" s="271"/>
      <c r="T270" s="141"/>
    </row>
    <row r="271" ht="30.0" customHeight="1">
      <c r="A271" s="173">
        <v>267.0</v>
      </c>
      <c r="B271" s="173"/>
      <c r="C271" s="142"/>
      <c r="D271" s="173"/>
      <c r="E271" s="173"/>
      <c r="F271" s="476"/>
      <c r="G271" s="142"/>
      <c r="H271" s="142"/>
      <c r="I271" s="173"/>
      <c r="J271" s="173"/>
      <c r="K271" s="173"/>
      <c r="L271" s="173"/>
      <c r="M271" s="173"/>
      <c r="N271" s="142"/>
      <c r="O271" s="142"/>
      <c r="P271" s="142"/>
      <c r="Q271" s="173"/>
      <c r="R271" s="477"/>
      <c r="S271" s="271"/>
      <c r="T271" s="141"/>
    </row>
    <row r="272" ht="30.0" customHeight="1">
      <c r="A272" s="173">
        <v>268.0</v>
      </c>
      <c r="B272" s="173"/>
      <c r="C272" s="142"/>
      <c r="D272" s="173"/>
      <c r="E272" s="173"/>
      <c r="F272" s="476"/>
      <c r="G272" s="142"/>
      <c r="H272" s="142"/>
      <c r="I272" s="173"/>
      <c r="J272" s="173"/>
      <c r="K272" s="173"/>
      <c r="L272" s="173"/>
      <c r="M272" s="173"/>
      <c r="N272" s="142"/>
      <c r="O272" s="142"/>
      <c r="P272" s="142"/>
      <c r="Q272" s="173"/>
      <c r="R272" s="477"/>
      <c r="S272" s="271"/>
      <c r="T272" s="141"/>
    </row>
    <row r="273" ht="30.0" customHeight="1">
      <c r="A273" s="173">
        <v>269.0</v>
      </c>
      <c r="B273" s="173"/>
      <c r="C273" s="142"/>
      <c r="D273" s="173"/>
      <c r="E273" s="173"/>
      <c r="F273" s="476"/>
      <c r="G273" s="142"/>
      <c r="H273" s="142"/>
      <c r="I273" s="173"/>
      <c r="J273" s="173"/>
      <c r="K273" s="173"/>
      <c r="L273" s="173"/>
      <c r="M273" s="173"/>
      <c r="N273" s="142"/>
      <c r="O273" s="142"/>
      <c r="P273" s="142"/>
      <c r="Q273" s="173"/>
      <c r="R273" s="477"/>
      <c r="S273" s="271"/>
      <c r="T273" s="141"/>
    </row>
    <row r="274" ht="30.0" customHeight="1">
      <c r="A274" s="173">
        <v>270.0</v>
      </c>
      <c r="B274" s="173"/>
      <c r="C274" s="142"/>
      <c r="D274" s="173"/>
      <c r="E274" s="173"/>
      <c r="F274" s="476"/>
      <c r="G274" s="142"/>
      <c r="H274" s="142"/>
      <c r="I274" s="173"/>
      <c r="J274" s="173"/>
      <c r="K274" s="173"/>
      <c r="L274" s="173"/>
      <c r="M274" s="173"/>
      <c r="N274" s="142"/>
      <c r="O274" s="142"/>
      <c r="P274" s="142"/>
      <c r="Q274" s="173"/>
      <c r="R274" s="477"/>
      <c r="S274" s="271"/>
      <c r="T274" s="141"/>
    </row>
    <row r="275" ht="30.0" customHeight="1">
      <c r="A275" s="173">
        <v>271.0</v>
      </c>
      <c r="B275" s="173"/>
      <c r="C275" s="142"/>
      <c r="D275" s="173"/>
      <c r="E275" s="173"/>
      <c r="F275" s="476"/>
      <c r="G275" s="142"/>
      <c r="H275" s="142"/>
      <c r="I275" s="173"/>
      <c r="J275" s="173"/>
      <c r="K275" s="173"/>
      <c r="L275" s="173"/>
      <c r="M275" s="173"/>
      <c r="N275" s="142"/>
      <c r="O275" s="142"/>
      <c r="P275" s="142"/>
      <c r="Q275" s="173"/>
      <c r="R275" s="477"/>
      <c r="S275" s="271"/>
      <c r="T275" s="141"/>
    </row>
    <row r="276" ht="30.0" customHeight="1">
      <c r="A276" s="173">
        <v>272.0</v>
      </c>
      <c r="B276" s="173"/>
      <c r="C276" s="142"/>
      <c r="D276" s="173"/>
      <c r="E276" s="173"/>
      <c r="F276" s="476"/>
      <c r="G276" s="142"/>
      <c r="H276" s="142"/>
      <c r="I276" s="173"/>
      <c r="J276" s="173"/>
      <c r="K276" s="173"/>
      <c r="L276" s="173"/>
      <c r="M276" s="173"/>
      <c r="N276" s="142"/>
      <c r="O276" s="142"/>
      <c r="P276" s="142"/>
      <c r="Q276" s="173"/>
      <c r="R276" s="477"/>
      <c r="S276" s="271"/>
      <c r="T276" s="141"/>
    </row>
    <row r="277" ht="30.0" customHeight="1">
      <c r="A277" s="173">
        <v>273.0</v>
      </c>
      <c r="B277" s="173"/>
      <c r="C277" s="142"/>
      <c r="D277" s="173"/>
      <c r="E277" s="173"/>
      <c r="F277" s="476"/>
      <c r="G277" s="142"/>
      <c r="H277" s="142"/>
      <c r="I277" s="173"/>
      <c r="J277" s="173"/>
      <c r="K277" s="173"/>
      <c r="L277" s="173"/>
      <c r="M277" s="173"/>
      <c r="N277" s="142"/>
      <c r="O277" s="142"/>
      <c r="P277" s="142"/>
      <c r="Q277" s="173"/>
      <c r="R277" s="477"/>
      <c r="S277" s="271"/>
      <c r="T277" s="141"/>
    </row>
    <row r="278" ht="30.0" customHeight="1">
      <c r="A278" s="173">
        <v>274.0</v>
      </c>
      <c r="B278" s="173"/>
      <c r="C278" s="142"/>
      <c r="D278" s="173"/>
      <c r="E278" s="173"/>
      <c r="F278" s="476"/>
      <c r="G278" s="142"/>
      <c r="H278" s="142"/>
      <c r="I278" s="173"/>
      <c r="J278" s="173"/>
      <c r="K278" s="173"/>
      <c r="L278" s="173"/>
      <c r="M278" s="173"/>
      <c r="N278" s="142"/>
      <c r="O278" s="142"/>
      <c r="P278" s="142"/>
      <c r="Q278" s="173"/>
      <c r="R278" s="477"/>
      <c r="S278" s="271"/>
      <c r="T278" s="141"/>
    </row>
    <row r="279" ht="30.0" customHeight="1">
      <c r="A279" s="173">
        <v>275.0</v>
      </c>
      <c r="B279" s="173"/>
      <c r="C279" s="142"/>
      <c r="D279" s="173"/>
      <c r="E279" s="173"/>
      <c r="F279" s="476"/>
      <c r="G279" s="142"/>
      <c r="H279" s="142"/>
      <c r="I279" s="173"/>
      <c r="J279" s="173"/>
      <c r="K279" s="173"/>
      <c r="L279" s="173"/>
      <c r="M279" s="173"/>
      <c r="N279" s="142"/>
      <c r="O279" s="142"/>
      <c r="P279" s="142"/>
      <c r="Q279" s="173"/>
      <c r="R279" s="477"/>
      <c r="S279" s="271"/>
      <c r="T279" s="141"/>
    </row>
    <row r="280" ht="30.0" customHeight="1">
      <c r="A280" s="173">
        <v>276.0</v>
      </c>
      <c r="B280" s="173"/>
      <c r="C280" s="142"/>
      <c r="D280" s="173"/>
      <c r="E280" s="173"/>
      <c r="F280" s="476"/>
      <c r="G280" s="142"/>
      <c r="H280" s="142"/>
      <c r="I280" s="173"/>
      <c r="J280" s="173"/>
      <c r="K280" s="173"/>
      <c r="L280" s="173"/>
      <c r="M280" s="173"/>
      <c r="N280" s="142"/>
      <c r="O280" s="142"/>
      <c r="P280" s="142"/>
      <c r="Q280" s="173"/>
      <c r="R280" s="477"/>
      <c r="S280" s="271"/>
      <c r="T280" s="141"/>
    </row>
    <row r="281" ht="30.0" customHeight="1">
      <c r="A281" s="173">
        <v>277.0</v>
      </c>
      <c r="B281" s="173"/>
      <c r="C281" s="142"/>
      <c r="D281" s="173"/>
      <c r="E281" s="173"/>
      <c r="F281" s="476"/>
      <c r="G281" s="142"/>
      <c r="H281" s="142"/>
      <c r="I281" s="173"/>
      <c r="J281" s="173"/>
      <c r="K281" s="173"/>
      <c r="L281" s="173"/>
      <c r="M281" s="173"/>
      <c r="N281" s="142"/>
      <c r="O281" s="142"/>
      <c r="P281" s="142"/>
      <c r="Q281" s="173"/>
      <c r="R281" s="477"/>
      <c r="S281" s="271"/>
      <c r="T281" s="141"/>
    </row>
    <row r="282" ht="30.0" customHeight="1">
      <c r="A282" s="173">
        <v>278.0</v>
      </c>
      <c r="B282" s="173"/>
      <c r="C282" s="142"/>
      <c r="D282" s="173"/>
      <c r="E282" s="173"/>
      <c r="F282" s="476"/>
      <c r="G282" s="142"/>
      <c r="H282" s="142"/>
      <c r="I282" s="173"/>
      <c r="J282" s="173"/>
      <c r="K282" s="173"/>
      <c r="L282" s="173"/>
      <c r="M282" s="173"/>
      <c r="N282" s="142"/>
      <c r="O282" s="142"/>
      <c r="P282" s="142"/>
      <c r="Q282" s="173"/>
      <c r="R282" s="477"/>
      <c r="S282" s="271"/>
      <c r="T282" s="141"/>
    </row>
    <row r="283" ht="30.0" customHeight="1">
      <c r="A283" s="173">
        <v>279.0</v>
      </c>
      <c r="B283" s="173"/>
      <c r="C283" s="142"/>
      <c r="D283" s="173"/>
      <c r="E283" s="173"/>
      <c r="F283" s="476"/>
      <c r="G283" s="142"/>
      <c r="H283" s="142"/>
      <c r="I283" s="173"/>
      <c r="J283" s="173"/>
      <c r="K283" s="173"/>
      <c r="L283" s="173"/>
      <c r="M283" s="173"/>
      <c r="N283" s="142"/>
      <c r="O283" s="142"/>
      <c r="P283" s="142"/>
      <c r="Q283" s="173"/>
      <c r="R283" s="477"/>
      <c r="S283" s="271"/>
      <c r="T283" s="141"/>
    </row>
    <row r="284" ht="30.0" customHeight="1">
      <c r="A284" s="173">
        <v>280.0</v>
      </c>
      <c r="B284" s="173"/>
      <c r="C284" s="142"/>
      <c r="D284" s="173"/>
      <c r="E284" s="173"/>
      <c r="F284" s="476"/>
      <c r="G284" s="142"/>
      <c r="H284" s="142"/>
      <c r="I284" s="173"/>
      <c r="J284" s="173"/>
      <c r="K284" s="173"/>
      <c r="L284" s="173"/>
      <c r="M284" s="173"/>
      <c r="N284" s="142"/>
      <c r="O284" s="142"/>
      <c r="P284" s="142"/>
      <c r="Q284" s="173"/>
      <c r="R284" s="477"/>
      <c r="S284" s="271"/>
      <c r="T284" s="141"/>
    </row>
    <row r="285" ht="30.0" customHeight="1">
      <c r="A285" s="173">
        <v>281.0</v>
      </c>
      <c r="B285" s="173"/>
      <c r="C285" s="142"/>
      <c r="D285" s="173"/>
      <c r="E285" s="173"/>
      <c r="F285" s="476"/>
      <c r="G285" s="142"/>
      <c r="H285" s="142"/>
      <c r="I285" s="173"/>
      <c r="J285" s="173"/>
      <c r="K285" s="173"/>
      <c r="L285" s="173"/>
      <c r="M285" s="173"/>
      <c r="N285" s="142"/>
      <c r="O285" s="142"/>
      <c r="P285" s="142"/>
      <c r="Q285" s="173"/>
      <c r="R285" s="477"/>
      <c r="S285" s="271"/>
      <c r="T285" s="141"/>
    </row>
    <row r="286" ht="30.0" customHeight="1">
      <c r="A286" s="173">
        <v>282.0</v>
      </c>
      <c r="B286" s="173"/>
      <c r="C286" s="142"/>
      <c r="D286" s="173"/>
      <c r="E286" s="173"/>
      <c r="F286" s="476"/>
      <c r="G286" s="142"/>
      <c r="H286" s="142"/>
      <c r="I286" s="173"/>
      <c r="J286" s="173"/>
      <c r="K286" s="173"/>
      <c r="L286" s="173"/>
      <c r="M286" s="173"/>
      <c r="N286" s="142"/>
      <c r="O286" s="142"/>
      <c r="P286" s="142"/>
      <c r="Q286" s="173"/>
      <c r="R286" s="477"/>
      <c r="S286" s="271"/>
      <c r="T286" s="141"/>
    </row>
    <row r="287" ht="30.0" customHeight="1">
      <c r="A287" s="173">
        <v>283.0</v>
      </c>
      <c r="B287" s="173"/>
      <c r="C287" s="142"/>
      <c r="D287" s="173"/>
      <c r="E287" s="173"/>
      <c r="F287" s="476"/>
      <c r="G287" s="142"/>
      <c r="H287" s="142"/>
      <c r="I287" s="173"/>
      <c r="J287" s="173"/>
      <c r="K287" s="173"/>
      <c r="L287" s="173"/>
      <c r="M287" s="173"/>
      <c r="N287" s="142"/>
      <c r="O287" s="142"/>
      <c r="P287" s="142"/>
      <c r="Q287" s="173"/>
      <c r="R287" s="477"/>
      <c r="S287" s="271"/>
      <c r="T287" s="141"/>
    </row>
    <row r="288" ht="30.0" customHeight="1">
      <c r="A288" s="173">
        <v>284.0</v>
      </c>
      <c r="B288" s="173"/>
      <c r="C288" s="142"/>
      <c r="D288" s="173"/>
      <c r="E288" s="173"/>
      <c r="F288" s="476"/>
      <c r="G288" s="142"/>
      <c r="H288" s="142"/>
      <c r="I288" s="173"/>
      <c r="J288" s="173"/>
      <c r="K288" s="173"/>
      <c r="L288" s="173"/>
      <c r="M288" s="173"/>
      <c r="N288" s="142"/>
      <c r="O288" s="142"/>
      <c r="P288" s="142"/>
      <c r="Q288" s="173"/>
      <c r="R288" s="477"/>
      <c r="S288" s="271"/>
      <c r="T288" s="141"/>
    </row>
    <row r="289" ht="30.0" customHeight="1">
      <c r="A289" s="173">
        <v>285.0</v>
      </c>
      <c r="B289" s="173"/>
      <c r="C289" s="142"/>
      <c r="D289" s="173"/>
      <c r="E289" s="173"/>
      <c r="F289" s="476"/>
      <c r="G289" s="142"/>
      <c r="H289" s="142"/>
      <c r="I289" s="173"/>
      <c r="J289" s="173"/>
      <c r="K289" s="173"/>
      <c r="L289" s="173"/>
      <c r="M289" s="173"/>
      <c r="N289" s="142"/>
      <c r="O289" s="142"/>
      <c r="P289" s="142"/>
      <c r="Q289" s="173"/>
      <c r="R289" s="477"/>
      <c r="S289" s="271"/>
      <c r="T289" s="141"/>
    </row>
    <row r="290" ht="30.0" customHeight="1">
      <c r="A290" s="173">
        <v>286.0</v>
      </c>
      <c r="B290" s="173"/>
      <c r="C290" s="142"/>
      <c r="D290" s="173"/>
      <c r="E290" s="173"/>
      <c r="F290" s="476"/>
      <c r="G290" s="142"/>
      <c r="H290" s="142"/>
      <c r="I290" s="173"/>
      <c r="J290" s="173"/>
      <c r="K290" s="173"/>
      <c r="L290" s="173"/>
      <c r="M290" s="173"/>
      <c r="N290" s="142"/>
      <c r="O290" s="142"/>
      <c r="P290" s="142"/>
      <c r="Q290" s="173"/>
      <c r="R290" s="477"/>
      <c r="S290" s="271"/>
      <c r="T290" s="141"/>
    </row>
    <row r="291" ht="30.0" customHeight="1">
      <c r="A291" s="173">
        <v>287.0</v>
      </c>
      <c r="B291" s="173"/>
      <c r="C291" s="142"/>
      <c r="D291" s="173"/>
      <c r="E291" s="173"/>
      <c r="F291" s="476"/>
      <c r="G291" s="142"/>
      <c r="H291" s="142"/>
      <c r="I291" s="173"/>
      <c r="J291" s="173"/>
      <c r="K291" s="173"/>
      <c r="L291" s="173"/>
      <c r="M291" s="173"/>
      <c r="N291" s="142"/>
      <c r="O291" s="142"/>
      <c r="P291" s="142"/>
      <c r="Q291" s="173"/>
      <c r="R291" s="477"/>
      <c r="S291" s="271"/>
      <c r="T291" s="141"/>
    </row>
    <row r="292" ht="30.0" customHeight="1">
      <c r="A292" s="173">
        <v>288.0</v>
      </c>
      <c r="B292" s="173"/>
      <c r="C292" s="142"/>
      <c r="D292" s="173"/>
      <c r="E292" s="173"/>
      <c r="F292" s="476"/>
      <c r="G292" s="142"/>
      <c r="H292" s="142"/>
      <c r="I292" s="173"/>
      <c r="J292" s="173"/>
      <c r="K292" s="173"/>
      <c r="L292" s="173"/>
      <c r="M292" s="173"/>
      <c r="N292" s="142"/>
      <c r="O292" s="142"/>
      <c r="P292" s="142"/>
      <c r="Q292" s="173"/>
      <c r="R292" s="477"/>
      <c r="S292" s="271"/>
      <c r="T292" s="141"/>
    </row>
    <row r="293" ht="30.0" customHeight="1">
      <c r="A293" s="173">
        <v>289.0</v>
      </c>
      <c r="B293" s="173"/>
      <c r="C293" s="142"/>
      <c r="D293" s="173"/>
      <c r="E293" s="173"/>
      <c r="F293" s="476"/>
      <c r="G293" s="142"/>
      <c r="H293" s="142"/>
      <c r="I293" s="173"/>
      <c r="J293" s="173"/>
      <c r="K293" s="173"/>
      <c r="L293" s="173"/>
      <c r="M293" s="173"/>
      <c r="N293" s="142"/>
      <c r="O293" s="142"/>
      <c r="P293" s="142"/>
      <c r="Q293" s="173"/>
      <c r="R293" s="477"/>
      <c r="S293" s="271"/>
      <c r="T293" s="141"/>
    </row>
    <row r="294" ht="30.0" customHeight="1">
      <c r="A294" s="173">
        <v>290.0</v>
      </c>
      <c r="B294" s="173"/>
      <c r="C294" s="142"/>
      <c r="D294" s="173"/>
      <c r="E294" s="173"/>
      <c r="F294" s="476"/>
      <c r="G294" s="142"/>
      <c r="H294" s="142"/>
      <c r="I294" s="173"/>
      <c r="J294" s="173"/>
      <c r="K294" s="173"/>
      <c r="L294" s="173"/>
      <c r="M294" s="173"/>
      <c r="N294" s="142"/>
      <c r="O294" s="142"/>
      <c r="P294" s="142"/>
      <c r="Q294" s="173"/>
      <c r="R294" s="477"/>
      <c r="S294" s="271"/>
      <c r="T294" s="141"/>
    </row>
    <row r="295" ht="30.0" customHeight="1">
      <c r="A295" s="173">
        <v>291.0</v>
      </c>
      <c r="B295" s="173"/>
      <c r="C295" s="142"/>
      <c r="D295" s="173"/>
      <c r="E295" s="173"/>
      <c r="F295" s="476"/>
      <c r="G295" s="142"/>
      <c r="H295" s="142"/>
      <c r="I295" s="173"/>
      <c r="J295" s="173"/>
      <c r="K295" s="173"/>
      <c r="L295" s="173"/>
      <c r="M295" s="173"/>
      <c r="N295" s="142"/>
      <c r="O295" s="142"/>
      <c r="P295" s="142"/>
      <c r="Q295" s="173"/>
      <c r="R295" s="477"/>
      <c r="S295" s="271"/>
      <c r="T295" s="141"/>
    </row>
    <row r="296" ht="30.0" customHeight="1">
      <c r="A296" s="173">
        <v>292.0</v>
      </c>
      <c r="B296" s="173"/>
      <c r="C296" s="142"/>
      <c r="D296" s="173"/>
      <c r="E296" s="173"/>
      <c r="F296" s="476"/>
      <c r="G296" s="142"/>
      <c r="H296" s="142"/>
      <c r="I296" s="173"/>
      <c r="J296" s="173"/>
      <c r="K296" s="173"/>
      <c r="L296" s="173"/>
      <c r="M296" s="173"/>
      <c r="N296" s="142"/>
      <c r="O296" s="142"/>
      <c r="P296" s="142"/>
      <c r="Q296" s="173"/>
      <c r="R296" s="477"/>
      <c r="S296" s="271"/>
      <c r="T296" s="141"/>
    </row>
    <row r="297" ht="30.0" customHeight="1">
      <c r="A297" s="173">
        <v>293.0</v>
      </c>
      <c r="B297" s="173"/>
      <c r="C297" s="142"/>
      <c r="D297" s="173"/>
      <c r="E297" s="173"/>
      <c r="F297" s="476"/>
      <c r="G297" s="142"/>
      <c r="H297" s="142"/>
      <c r="I297" s="173"/>
      <c r="J297" s="173"/>
      <c r="K297" s="173"/>
      <c r="L297" s="173"/>
      <c r="M297" s="173"/>
      <c r="N297" s="142"/>
      <c r="O297" s="142"/>
      <c r="P297" s="142"/>
      <c r="Q297" s="173"/>
      <c r="R297" s="477"/>
      <c r="S297" s="271"/>
      <c r="T297" s="141"/>
    </row>
    <row r="298" ht="30.0" customHeight="1">
      <c r="A298" s="173">
        <v>294.0</v>
      </c>
      <c r="B298" s="173"/>
      <c r="C298" s="142"/>
      <c r="D298" s="173"/>
      <c r="E298" s="173"/>
      <c r="F298" s="476"/>
      <c r="G298" s="142"/>
      <c r="H298" s="142"/>
      <c r="I298" s="173"/>
      <c r="J298" s="173"/>
      <c r="K298" s="173"/>
      <c r="L298" s="173"/>
      <c r="M298" s="173"/>
      <c r="N298" s="142"/>
      <c r="O298" s="142"/>
      <c r="P298" s="142"/>
      <c r="Q298" s="173"/>
      <c r="R298" s="477"/>
      <c r="S298" s="271"/>
      <c r="T298" s="141"/>
    </row>
    <row r="299" ht="30.0" customHeight="1">
      <c r="A299" s="173">
        <v>295.0</v>
      </c>
      <c r="B299" s="173"/>
      <c r="C299" s="142"/>
      <c r="D299" s="173"/>
      <c r="E299" s="173"/>
      <c r="F299" s="476"/>
      <c r="G299" s="142"/>
      <c r="H299" s="142"/>
      <c r="I299" s="173"/>
      <c r="J299" s="173"/>
      <c r="K299" s="173"/>
      <c r="L299" s="173"/>
      <c r="M299" s="173"/>
      <c r="N299" s="142"/>
      <c r="O299" s="142"/>
      <c r="P299" s="142"/>
      <c r="Q299" s="173"/>
      <c r="R299" s="477"/>
      <c r="S299" s="271"/>
      <c r="T299" s="141"/>
    </row>
    <row r="300" ht="30.0" customHeight="1">
      <c r="A300" s="173">
        <v>296.0</v>
      </c>
      <c r="B300" s="173"/>
      <c r="C300" s="142"/>
      <c r="D300" s="173"/>
      <c r="E300" s="173"/>
      <c r="F300" s="476"/>
      <c r="G300" s="142"/>
      <c r="H300" s="142"/>
      <c r="I300" s="173"/>
      <c r="J300" s="173"/>
      <c r="K300" s="173"/>
      <c r="L300" s="173"/>
      <c r="M300" s="173"/>
      <c r="N300" s="142"/>
      <c r="O300" s="142"/>
      <c r="P300" s="142"/>
      <c r="Q300" s="173"/>
      <c r="R300" s="477"/>
      <c r="S300" s="271"/>
      <c r="T300" s="141"/>
    </row>
    <row r="301" ht="30.0" customHeight="1">
      <c r="A301" s="173">
        <v>297.0</v>
      </c>
      <c r="B301" s="173"/>
      <c r="C301" s="142"/>
      <c r="D301" s="173"/>
      <c r="E301" s="173"/>
      <c r="F301" s="476"/>
      <c r="G301" s="142"/>
      <c r="H301" s="142"/>
      <c r="I301" s="173"/>
      <c r="J301" s="173"/>
      <c r="K301" s="173"/>
      <c r="L301" s="173"/>
      <c r="M301" s="173"/>
      <c r="N301" s="142"/>
      <c r="O301" s="142"/>
      <c r="P301" s="142"/>
      <c r="Q301" s="173"/>
      <c r="R301" s="477"/>
      <c r="S301" s="271"/>
      <c r="T301" s="141"/>
    </row>
    <row r="302" ht="30.0" customHeight="1">
      <c r="A302" s="173">
        <v>298.0</v>
      </c>
      <c r="B302" s="173"/>
      <c r="C302" s="142"/>
      <c r="D302" s="173"/>
      <c r="E302" s="173"/>
      <c r="F302" s="476"/>
      <c r="G302" s="142"/>
      <c r="H302" s="142"/>
      <c r="I302" s="173"/>
      <c r="J302" s="173"/>
      <c r="K302" s="173"/>
      <c r="L302" s="173"/>
      <c r="M302" s="173"/>
      <c r="N302" s="142"/>
      <c r="O302" s="142"/>
      <c r="P302" s="142"/>
      <c r="Q302" s="173"/>
      <c r="R302" s="477"/>
      <c r="S302" s="271"/>
      <c r="T302" s="141"/>
    </row>
    <row r="303" ht="30.0" customHeight="1">
      <c r="A303" s="173">
        <v>299.0</v>
      </c>
      <c r="B303" s="173"/>
      <c r="C303" s="142"/>
      <c r="D303" s="173"/>
      <c r="E303" s="173"/>
      <c r="F303" s="476"/>
      <c r="G303" s="142"/>
      <c r="H303" s="142"/>
      <c r="I303" s="173"/>
      <c r="J303" s="173"/>
      <c r="K303" s="173"/>
      <c r="L303" s="173"/>
      <c r="M303" s="173"/>
      <c r="N303" s="142"/>
      <c r="O303" s="142"/>
      <c r="P303" s="142"/>
      <c r="Q303" s="173"/>
      <c r="R303" s="477"/>
      <c r="S303" s="271"/>
      <c r="T303" s="141"/>
    </row>
    <row r="304" ht="30.0" customHeight="1">
      <c r="A304" s="173">
        <v>300.0</v>
      </c>
      <c r="B304" s="173"/>
      <c r="C304" s="142"/>
      <c r="D304" s="173"/>
      <c r="E304" s="173"/>
      <c r="F304" s="476"/>
      <c r="G304" s="142"/>
      <c r="H304" s="142"/>
      <c r="I304" s="173"/>
      <c r="J304" s="173"/>
      <c r="K304" s="173"/>
      <c r="L304" s="173"/>
      <c r="M304" s="173"/>
      <c r="N304" s="142"/>
      <c r="O304" s="142"/>
      <c r="P304" s="142"/>
      <c r="Q304" s="173"/>
      <c r="R304" s="477"/>
      <c r="S304" s="271"/>
      <c r="T304" s="141"/>
    </row>
    <row r="305" ht="30.0" customHeight="1">
      <c r="A305" s="173">
        <v>301.0</v>
      </c>
      <c r="B305" s="173"/>
      <c r="C305" s="142"/>
      <c r="D305" s="173"/>
      <c r="E305" s="173"/>
      <c r="F305" s="476"/>
      <c r="G305" s="142"/>
      <c r="H305" s="142"/>
      <c r="I305" s="173"/>
      <c r="J305" s="173"/>
      <c r="K305" s="173"/>
      <c r="L305" s="173"/>
      <c r="M305" s="173"/>
      <c r="N305" s="142"/>
      <c r="O305" s="142"/>
      <c r="P305" s="142"/>
      <c r="Q305" s="173"/>
      <c r="R305" s="477"/>
      <c r="S305" s="271"/>
      <c r="T305" s="141"/>
    </row>
    <row r="306" ht="30.0" customHeight="1">
      <c r="A306" s="173">
        <v>302.0</v>
      </c>
      <c r="B306" s="173"/>
      <c r="C306" s="142"/>
      <c r="D306" s="173"/>
      <c r="E306" s="173"/>
      <c r="F306" s="476"/>
      <c r="G306" s="142"/>
      <c r="H306" s="142"/>
      <c r="I306" s="173"/>
      <c r="J306" s="173"/>
      <c r="K306" s="173"/>
      <c r="L306" s="173"/>
      <c r="M306" s="173"/>
      <c r="N306" s="142"/>
      <c r="O306" s="142"/>
      <c r="P306" s="142"/>
      <c r="Q306" s="173"/>
      <c r="R306" s="477"/>
      <c r="S306" s="271"/>
      <c r="T306" s="141"/>
    </row>
    <row r="307" ht="30.0" customHeight="1">
      <c r="A307" s="173">
        <v>303.0</v>
      </c>
      <c r="B307" s="173"/>
      <c r="C307" s="142"/>
      <c r="D307" s="173"/>
      <c r="E307" s="173"/>
      <c r="F307" s="476"/>
      <c r="G307" s="142"/>
      <c r="H307" s="142"/>
      <c r="I307" s="173"/>
      <c r="J307" s="173"/>
      <c r="K307" s="173"/>
      <c r="L307" s="173"/>
      <c r="M307" s="173"/>
      <c r="N307" s="142"/>
      <c r="O307" s="142"/>
      <c r="P307" s="142"/>
      <c r="Q307" s="173"/>
      <c r="R307" s="477"/>
      <c r="S307" s="271"/>
      <c r="T307" s="141"/>
    </row>
    <row r="308" ht="30.0" customHeight="1">
      <c r="A308" s="173">
        <v>304.0</v>
      </c>
      <c r="B308" s="173"/>
      <c r="C308" s="142"/>
      <c r="D308" s="173"/>
      <c r="E308" s="173"/>
      <c r="F308" s="476"/>
      <c r="G308" s="142"/>
      <c r="H308" s="142"/>
      <c r="I308" s="173"/>
      <c r="J308" s="173"/>
      <c r="K308" s="173"/>
      <c r="L308" s="173"/>
      <c r="M308" s="173"/>
      <c r="N308" s="142"/>
      <c r="O308" s="142"/>
      <c r="P308" s="142"/>
      <c r="Q308" s="173"/>
      <c r="R308" s="477"/>
      <c r="S308" s="271"/>
      <c r="T308" s="141"/>
    </row>
    <row r="309" ht="30.0" customHeight="1">
      <c r="A309" s="173">
        <v>305.0</v>
      </c>
      <c r="B309" s="173"/>
      <c r="C309" s="142"/>
      <c r="D309" s="173"/>
      <c r="E309" s="173"/>
      <c r="F309" s="476"/>
      <c r="G309" s="142"/>
      <c r="H309" s="142"/>
      <c r="I309" s="173"/>
      <c r="J309" s="173"/>
      <c r="K309" s="173"/>
      <c r="L309" s="173"/>
      <c r="M309" s="173"/>
      <c r="N309" s="142"/>
      <c r="O309" s="142"/>
      <c r="P309" s="142"/>
      <c r="Q309" s="173"/>
      <c r="R309" s="477"/>
      <c r="S309" s="271"/>
      <c r="T309" s="141"/>
    </row>
    <row r="310" ht="30.0" customHeight="1">
      <c r="A310" s="173">
        <v>306.0</v>
      </c>
      <c r="B310" s="173"/>
      <c r="C310" s="142"/>
      <c r="D310" s="173"/>
      <c r="E310" s="173"/>
      <c r="F310" s="476"/>
      <c r="G310" s="142"/>
      <c r="H310" s="142"/>
      <c r="I310" s="173"/>
      <c r="J310" s="173"/>
      <c r="K310" s="173"/>
      <c r="L310" s="173"/>
      <c r="M310" s="173"/>
      <c r="N310" s="142"/>
      <c r="O310" s="142"/>
      <c r="P310" s="142"/>
      <c r="Q310" s="173"/>
      <c r="R310" s="477"/>
      <c r="S310" s="271"/>
      <c r="T310" s="141"/>
    </row>
    <row r="311" ht="30.0" customHeight="1">
      <c r="A311" s="173">
        <v>307.0</v>
      </c>
      <c r="B311" s="173"/>
      <c r="C311" s="142"/>
      <c r="D311" s="173"/>
      <c r="E311" s="173"/>
      <c r="F311" s="476"/>
      <c r="G311" s="142"/>
      <c r="H311" s="142"/>
      <c r="I311" s="173"/>
      <c r="J311" s="173"/>
      <c r="K311" s="173"/>
      <c r="L311" s="173"/>
      <c r="M311" s="173"/>
      <c r="N311" s="142"/>
      <c r="O311" s="142"/>
      <c r="P311" s="142"/>
      <c r="Q311" s="173"/>
      <c r="R311" s="477"/>
      <c r="S311" s="271"/>
      <c r="T311" s="141"/>
    </row>
    <row r="312" ht="30.0" customHeight="1">
      <c r="A312" s="173">
        <v>308.0</v>
      </c>
      <c r="B312" s="173"/>
      <c r="C312" s="142"/>
      <c r="D312" s="173"/>
      <c r="E312" s="173"/>
      <c r="F312" s="476"/>
      <c r="G312" s="142"/>
      <c r="H312" s="142"/>
      <c r="I312" s="173"/>
      <c r="J312" s="173"/>
      <c r="K312" s="173"/>
      <c r="L312" s="173"/>
      <c r="M312" s="173"/>
      <c r="N312" s="142"/>
      <c r="O312" s="142"/>
      <c r="P312" s="142"/>
      <c r="Q312" s="173"/>
      <c r="R312" s="477"/>
      <c r="S312" s="271"/>
      <c r="T312" s="141"/>
    </row>
    <row r="313" ht="30.0" customHeight="1">
      <c r="A313" s="173">
        <v>309.0</v>
      </c>
      <c r="B313" s="173"/>
      <c r="C313" s="142"/>
      <c r="D313" s="173"/>
      <c r="E313" s="173"/>
      <c r="F313" s="476"/>
      <c r="G313" s="142"/>
      <c r="H313" s="142"/>
      <c r="I313" s="173"/>
      <c r="J313" s="173"/>
      <c r="K313" s="173"/>
      <c r="L313" s="173"/>
      <c r="M313" s="173"/>
      <c r="N313" s="142"/>
      <c r="O313" s="142"/>
      <c r="P313" s="142"/>
      <c r="Q313" s="173"/>
      <c r="R313" s="477"/>
      <c r="S313" s="271"/>
      <c r="T313" s="141"/>
    </row>
    <row r="314" ht="30.0" customHeight="1">
      <c r="A314" s="173">
        <v>310.0</v>
      </c>
      <c r="B314" s="173"/>
      <c r="C314" s="142"/>
      <c r="D314" s="173"/>
      <c r="E314" s="173"/>
      <c r="F314" s="476"/>
      <c r="G314" s="142"/>
      <c r="H314" s="142"/>
      <c r="I314" s="173"/>
      <c r="J314" s="173"/>
      <c r="K314" s="173"/>
      <c r="L314" s="173"/>
      <c r="M314" s="173"/>
      <c r="N314" s="142"/>
      <c r="O314" s="142"/>
      <c r="P314" s="142"/>
      <c r="Q314" s="173"/>
      <c r="R314" s="477"/>
      <c r="S314" s="271"/>
      <c r="T314" s="141"/>
    </row>
    <row r="315" ht="30.0" customHeight="1">
      <c r="A315" s="173">
        <v>311.0</v>
      </c>
      <c r="B315" s="173"/>
      <c r="C315" s="142"/>
      <c r="D315" s="173"/>
      <c r="E315" s="173"/>
      <c r="F315" s="476"/>
      <c r="G315" s="142"/>
      <c r="H315" s="142"/>
      <c r="I315" s="173"/>
      <c r="J315" s="173"/>
      <c r="K315" s="173"/>
      <c r="L315" s="173"/>
      <c r="M315" s="173"/>
      <c r="N315" s="142"/>
      <c r="O315" s="142"/>
      <c r="P315" s="142"/>
      <c r="Q315" s="173"/>
      <c r="R315" s="477"/>
      <c r="S315" s="271"/>
      <c r="T315" s="141"/>
    </row>
    <row r="316" ht="30.0" customHeight="1">
      <c r="A316" s="173">
        <v>312.0</v>
      </c>
      <c r="B316" s="173"/>
      <c r="C316" s="142"/>
      <c r="D316" s="173"/>
      <c r="E316" s="173"/>
      <c r="F316" s="476"/>
      <c r="G316" s="142"/>
      <c r="H316" s="142"/>
      <c r="I316" s="173"/>
      <c r="J316" s="173"/>
      <c r="K316" s="173"/>
      <c r="L316" s="173"/>
      <c r="M316" s="173"/>
      <c r="N316" s="142"/>
      <c r="O316" s="142"/>
      <c r="P316" s="142"/>
      <c r="Q316" s="173"/>
      <c r="R316" s="477"/>
      <c r="S316" s="271"/>
      <c r="T316" s="141"/>
    </row>
    <row r="317" ht="30.0" customHeight="1">
      <c r="A317" s="173">
        <v>313.0</v>
      </c>
      <c r="B317" s="173"/>
      <c r="C317" s="142"/>
      <c r="D317" s="173"/>
      <c r="E317" s="173"/>
      <c r="F317" s="476"/>
      <c r="G317" s="142"/>
      <c r="H317" s="142"/>
      <c r="I317" s="173"/>
      <c r="J317" s="173"/>
      <c r="K317" s="173"/>
      <c r="L317" s="173"/>
      <c r="M317" s="173"/>
      <c r="N317" s="142"/>
      <c r="O317" s="142"/>
      <c r="P317" s="142"/>
      <c r="Q317" s="173"/>
      <c r="R317" s="477"/>
      <c r="S317" s="271"/>
      <c r="T317" s="141"/>
    </row>
    <row r="318" ht="30.0" customHeight="1">
      <c r="A318" s="173">
        <v>314.0</v>
      </c>
      <c r="B318" s="173"/>
      <c r="C318" s="142"/>
      <c r="D318" s="173"/>
      <c r="E318" s="173"/>
      <c r="F318" s="476"/>
      <c r="G318" s="142"/>
      <c r="H318" s="142"/>
      <c r="I318" s="173"/>
      <c r="J318" s="173"/>
      <c r="K318" s="173"/>
      <c r="L318" s="173"/>
      <c r="M318" s="173"/>
      <c r="N318" s="142"/>
      <c r="O318" s="142"/>
      <c r="P318" s="142"/>
      <c r="Q318" s="173"/>
      <c r="R318" s="477"/>
      <c r="S318" s="271"/>
      <c r="T318" s="141"/>
    </row>
    <row r="319" ht="30.0" customHeight="1">
      <c r="A319" s="173">
        <v>315.0</v>
      </c>
      <c r="B319" s="173"/>
      <c r="C319" s="142"/>
      <c r="D319" s="173"/>
      <c r="E319" s="173"/>
      <c r="F319" s="476"/>
      <c r="G319" s="142"/>
      <c r="H319" s="142"/>
      <c r="I319" s="173"/>
      <c r="J319" s="173"/>
      <c r="K319" s="173"/>
      <c r="L319" s="173"/>
      <c r="M319" s="173"/>
      <c r="N319" s="142"/>
      <c r="O319" s="142"/>
      <c r="P319" s="142"/>
      <c r="Q319" s="173"/>
      <c r="R319" s="477"/>
      <c r="S319" s="271"/>
      <c r="T319" s="141"/>
    </row>
    <row r="320" ht="30.0" customHeight="1">
      <c r="A320" s="173">
        <v>316.0</v>
      </c>
      <c r="B320" s="173"/>
      <c r="C320" s="142"/>
      <c r="D320" s="173"/>
      <c r="E320" s="173"/>
      <c r="F320" s="476"/>
      <c r="G320" s="142"/>
      <c r="H320" s="142"/>
      <c r="I320" s="173"/>
      <c r="J320" s="173"/>
      <c r="K320" s="173"/>
      <c r="L320" s="173"/>
      <c r="M320" s="173"/>
      <c r="N320" s="142"/>
      <c r="O320" s="142"/>
      <c r="P320" s="142"/>
      <c r="Q320" s="173"/>
      <c r="R320" s="477"/>
      <c r="S320" s="271"/>
      <c r="T320" s="141"/>
    </row>
    <row r="321" ht="30.0" customHeight="1">
      <c r="A321" s="173">
        <v>317.0</v>
      </c>
      <c r="B321" s="173"/>
      <c r="C321" s="142"/>
      <c r="D321" s="173"/>
      <c r="E321" s="173"/>
      <c r="F321" s="476"/>
      <c r="G321" s="142"/>
      <c r="H321" s="142"/>
      <c r="I321" s="173"/>
      <c r="J321" s="173"/>
      <c r="K321" s="173"/>
      <c r="L321" s="173"/>
      <c r="M321" s="173"/>
      <c r="N321" s="142"/>
      <c r="O321" s="142"/>
      <c r="P321" s="142"/>
      <c r="Q321" s="173"/>
      <c r="R321" s="477"/>
      <c r="S321" s="271"/>
      <c r="T321" s="141"/>
    </row>
    <row r="322" ht="30.0" customHeight="1">
      <c r="A322" s="173">
        <v>318.0</v>
      </c>
      <c r="B322" s="173"/>
      <c r="C322" s="142"/>
      <c r="D322" s="173"/>
      <c r="E322" s="173"/>
      <c r="F322" s="476"/>
      <c r="G322" s="142"/>
      <c r="H322" s="142"/>
      <c r="I322" s="173"/>
      <c r="J322" s="173"/>
      <c r="K322" s="173"/>
      <c r="L322" s="173"/>
      <c r="M322" s="173"/>
      <c r="N322" s="142"/>
      <c r="O322" s="142"/>
      <c r="P322" s="142"/>
      <c r="Q322" s="173"/>
      <c r="R322" s="477"/>
      <c r="S322" s="271"/>
      <c r="T322" s="141"/>
    </row>
    <row r="323" ht="30.0" customHeight="1">
      <c r="A323" s="173">
        <v>319.0</v>
      </c>
      <c r="B323" s="173"/>
      <c r="C323" s="142"/>
      <c r="D323" s="173"/>
      <c r="E323" s="173"/>
      <c r="F323" s="476"/>
      <c r="G323" s="142"/>
      <c r="H323" s="142"/>
      <c r="I323" s="173"/>
      <c r="J323" s="173"/>
      <c r="K323" s="173"/>
      <c r="L323" s="173"/>
      <c r="M323" s="173"/>
      <c r="N323" s="142"/>
      <c r="O323" s="142"/>
      <c r="P323" s="142"/>
      <c r="Q323" s="173"/>
      <c r="R323" s="477"/>
      <c r="S323" s="271"/>
      <c r="T323" s="141"/>
    </row>
    <row r="324" ht="30.0" customHeight="1">
      <c r="A324" s="173">
        <v>320.0</v>
      </c>
      <c r="B324" s="173"/>
      <c r="C324" s="142"/>
      <c r="D324" s="173"/>
      <c r="E324" s="173"/>
      <c r="F324" s="476"/>
      <c r="G324" s="142"/>
      <c r="H324" s="142"/>
      <c r="I324" s="173"/>
      <c r="J324" s="173"/>
      <c r="K324" s="173"/>
      <c r="L324" s="173"/>
      <c r="M324" s="173"/>
      <c r="N324" s="142"/>
      <c r="O324" s="142"/>
      <c r="P324" s="142"/>
      <c r="Q324" s="173"/>
      <c r="R324" s="477"/>
      <c r="S324" s="271"/>
      <c r="T324" s="141"/>
    </row>
    <row r="325" ht="30.0" customHeight="1">
      <c r="A325" s="173">
        <v>321.0</v>
      </c>
      <c r="B325" s="173"/>
      <c r="C325" s="142"/>
      <c r="D325" s="173"/>
      <c r="E325" s="173"/>
      <c r="F325" s="476"/>
      <c r="G325" s="142"/>
      <c r="H325" s="142"/>
      <c r="I325" s="173"/>
      <c r="J325" s="173"/>
      <c r="K325" s="173"/>
      <c r="L325" s="173"/>
      <c r="M325" s="173"/>
      <c r="N325" s="142"/>
      <c r="O325" s="142"/>
      <c r="P325" s="142"/>
      <c r="Q325" s="173"/>
      <c r="R325" s="477"/>
      <c r="S325" s="271"/>
      <c r="T325" s="141"/>
    </row>
    <row r="326" ht="30.0" customHeight="1">
      <c r="A326" s="173">
        <v>322.0</v>
      </c>
      <c r="B326" s="173"/>
      <c r="C326" s="142"/>
      <c r="D326" s="173"/>
      <c r="E326" s="173"/>
      <c r="F326" s="476"/>
      <c r="G326" s="142"/>
      <c r="H326" s="142"/>
      <c r="I326" s="173"/>
      <c r="J326" s="173"/>
      <c r="K326" s="173"/>
      <c r="L326" s="173"/>
      <c r="M326" s="173"/>
      <c r="N326" s="142"/>
      <c r="O326" s="142"/>
      <c r="P326" s="142"/>
      <c r="Q326" s="173"/>
      <c r="R326" s="477"/>
      <c r="S326" s="271"/>
      <c r="T326" s="141"/>
    </row>
    <row r="327" ht="30.0" customHeight="1">
      <c r="A327" s="173">
        <v>323.0</v>
      </c>
      <c r="B327" s="173"/>
      <c r="C327" s="142"/>
      <c r="D327" s="173"/>
      <c r="E327" s="173"/>
      <c r="F327" s="476"/>
      <c r="G327" s="142"/>
      <c r="H327" s="142"/>
      <c r="I327" s="173"/>
      <c r="J327" s="173"/>
      <c r="K327" s="173"/>
      <c r="L327" s="173"/>
      <c r="M327" s="173"/>
      <c r="N327" s="142"/>
      <c r="O327" s="142"/>
      <c r="P327" s="142"/>
      <c r="Q327" s="173"/>
      <c r="R327" s="477"/>
      <c r="S327" s="271"/>
      <c r="T327" s="141"/>
    </row>
    <row r="328" ht="30.0" customHeight="1">
      <c r="A328" s="173">
        <v>324.0</v>
      </c>
      <c r="B328" s="173"/>
      <c r="C328" s="142"/>
      <c r="D328" s="173"/>
      <c r="E328" s="173"/>
      <c r="F328" s="476"/>
      <c r="G328" s="142"/>
      <c r="H328" s="142"/>
      <c r="I328" s="173"/>
      <c r="J328" s="173"/>
      <c r="K328" s="173"/>
      <c r="L328" s="173"/>
      <c r="M328" s="173"/>
      <c r="N328" s="142"/>
      <c r="O328" s="142"/>
      <c r="P328" s="142"/>
      <c r="Q328" s="173"/>
      <c r="R328" s="477"/>
      <c r="S328" s="271"/>
      <c r="T328" s="141"/>
    </row>
    <row r="329" ht="30.0" customHeight="1">
      <c r="A329" s="173">
        <v>325.0</v>
      </c>
      <c r="B329" s="173"/>
      <c r="C329" s="142"/>
      <c r="D329" s="173"/>
      <c r="E329" s="173"/>
      <c r="F329" s="476"/>
      <c r="G329" s="142"/>
      <c r="H329" s="142"/>
      <c r="I329" s="173"/>
      <c r="J329" s="173"/>
      <c r="K329" s="173"/>
      <c r="L329" s="173"/>
      <c r="M329" s="173"/>
      <c r="N329" s="142"/>
      <c r="O329" s="142"/>
      <c r="P329" s="142"/>
      <c r="Q329" s="173"/>
      <c r="R329" s="477"/>
      <c r="S329" s="271"/>
      <c r="T329" s="141"/>
    </row>
    <row r="330" ht="30.0" customHeight="1">
      <c r="A330" s="173">
        <v>326.0</v>
      </c>
      <c r="B330" s="173"/>
      <c r="C330" s="142"/>
      <c r="D330" s="173"/>
      <c r="E330" s="173"/>
      <c r="F330" s="476"/>
      <c r="G330" s="142"/>
      <c r="H330" s="142"/>
      <c r="I330" s="173"/>
      <c r="J330" s="173"/>
      <c r="K330" s="173"/>
      <c r="L330" s="173"/>
      <c r="M330" s="173"/>
      <c r="N330" s="142"/>
      <c r="O330" s="142"/>
      <c r="P330" s="142"/>
      <c r="Q330" s="173"/>
      <c r="R330" s="477"/>
      <c r="S330" s="271"/>
      <c r="T330" s="141"/>
    </row>
    <row r="331" ht="30.0" customHeight="1">
      <c r="A331" s="173">
        <v>327.0</v>
      </c>
      <c r="B331" s="173"/>
      <c r="C331" s="142"/>
      <c r="D331" s="173"/>
      <c r="E331" s="173"/>
      <c r="F331" s="476"/>
      <c r="G331" s="142"/>
      <c r="H331" s="142"/>
      <c r="I331" s="173"/>
      <c r="J331" s="173"/>
      <c r="K331" s="173"/>
      <c r="L331" s="173"/>
      <c r="M331" s="173"/>
      <c r="N331" s="142"/>
      <c r="O331" s="142"/>
      <c r="P331" s="142"/>
      <c r="Q331" s="173"/>
      <c r="R331" s="477"/>
      <c r="S331" s="271"/>
      <c r="T331" s="141"/>
    </row>
    <row r="332" ht="30.0" customHeight="1">
      <c r="A332" s="173">
        <v>328.0</v>
      </c>
      <c r="B332" s="173"/>
      <c r="C332" s="142"/>
      <c r="D332" s="173"/>
      <c r="E332" s="173"/>
      <c r="F332" s="476"/>
      <c r="G332" s="142"/>
      <c r="H332" s="142"/>
      <c r="I332" s="173"/>
      <c r="J332" s="173"/>
      <c r="K332" s="173"/>
      <c r="L332" s="173"/>
      <c r="M332" s="173"/>
      <c r="N332" s="142"/>
      <c r="O332" s="142"/>
      <c r="P332" s="142"/>
      <c r="Q332" s="173"/>
      <c r="R332" s="477"/>
      <c r="S332" s="271"/>
      <c r="T332" s="141"/>
    </row>
    <row r="333" ht="30.0" customHeight="1">
      <c r="A333" s="173">
        <v>329.0</v>
      </c>
      <c r="B333" s="173"/>
      <c r="C333" s="142"/>
      <c r="D333" s="173"/>
      <c r="E333" s="173"/>
      <c r="F333" s="476"/>
      <c r="G333" s="142"/>
      <c r="H333" s="142"/>
      <c r="I333" s="173"/>
      <c r="J333" s="173"/>
      <c r="K333" s="173"/>
      <c r="L333" s="173"/>
      <c r="M333" s="173"/>
      <c r="N333" s="142"/>
      <c r="O333" s="142"/>
      <c r="P333" s="142"/>
      <c r="Q333" s="173"/>
      <c r="R333" s="477"/>
      <c r="S333" s="271"/>
      <c r="T333" s="141"/>
    </row>
    <row r="334" ht="30.0" customHeight="1">
      <c r="A334" s="173">
        <v>330.0</v>
      </c>
      <c r="B334" s="173"/>
      <c r="C334" s="142"/>
      <c r="D334" s="173"/>
      <c r="E334" s="173"/>
      <c r="F334" s="476"/>
      <c r="G334" s="142"/>
      <c r="H334" s="142"/>
      <c r="I334" s="173"/>
      <c r="J334" s="173"/>
      <c r="K334" s="173"/>
      <c r="L334" s="173"/>
      <c r="M334" s="173"/>
      <c r="N334" s="142"/>
      <c r="O334" s="142"/>
      <c r="P334" s="142"/>
      <c r="Q334" s="173"/>
      <c r="R334" s="477"/>
      <c r="S334" s="271"/>
      <c r="T334" s="141"/>
    </row>
    <row r="335" ht="30.0" customHeight="1">
      <c r="A335" s="173">
        <v>331.0</v>
      </c>
      <c r="B335" s="173"/>
      <c r="C335" s="142"/>
      <c r="D335" s="173"/>
      <c r="E335" s="173"/>
      <c r="F335" s="476"/>
      <c r="G335" s="142"/>
      <c r="H335" s="142"/>
      <c r="I335" s="173"/>
      <c r="J335" s="173"/>
      <c r="K335" s="173"/>
      <c r="L335" s="173"/>
      <c r="M335" s="173"/>
      <c r="N335" s="142"/>
      <c r="O335" s="142"/>
      <c r="P335" s="142"/>
      <c r="Q335" s="173"/>
      <c r="R335" s="477"/>
      <c r="S335" s="271"/>
      <c r="T335" s="141"/>
    </row>
    <row r="336" ht="30.0" customHeight="1">
      <c r="A336" s="173">
        <v>332.0</v>
      </c>
      <c r="B336" s="173"/>
      <c r="C336" s="142"/>
      <c r="D336" s="173"/>
      <c r="E336" s="173"/>
      <c r="F336" s="476"/>
      <c r="G336" s="142"/>
      <c r="H336" s="142"/>
      <c r="I336" s="173"/>
      <c r="J336" s="173"/>
      <c r="K336" s="173"/>
      <c r="L336" s="173"/>
      <c r="M336" s="173"/>
      <c r="N336" s="142"/>
      <c r="O336" s="142"/>
      <c r="P336" s="142"/>
      <c r="Q336" s="173"/>
      <c r="R336" s="477"/>
      <c r="S336" s="271"/>
      <c r="T336" s="141"/>
    </row>
    <row r="337" ht="30.0" customHeight="1">
      <c r="A337" s="173">
        <v>333.0</v>
      </c>
      <c r="B337" s="173"/>
      <c r="C337" s="142"/>
      <c r="D337" s="173"/>
      <c r="E337" s="173"/>
      <c r="F337" s="476"/>
      <c r="G337" s="142"/>
      <c r="H337" s="142"/>
      <c r="I337" s="173"/>
      <c r="J337" s="173"/>
      <c r="K337" s="173"/>
      <c r="L337" s="173"/>
      <c r="M337" s="173"/>
      <c r="N337" s="142"/>
      <c r="O337" s="142"/>
      <c r="P337" s="142"/>
      <c r="Q337" s="173"/>
      <c r="R337" s="477"/>
      <c r="S337" s="271"/>
      <c r="T337" s="141"/>
    </row>
    <row r="338" ht="30.0" customHeight="1">
      <c r="A338" s="173">
        <v>334.0</v>
      </c>
      <c r="B338" s="173"/>
      <c r="C338" s="142"/>
      <c r="D338" s="173"/>
      <c r="E338" s="173"/>
      <c r="F338" s="476"/>
      <c r="G338" s="142"/>
      <c r="H338" s="142"/>
      <c r="I338" s="173"/>
      <c r="J338" s="173"/>
      <c r="K338" s="173"/>
      <c r="L338" s="173"/>
      <c r="M338" s="173"/>
      <c r="N338" s="142"/>
      <c r="O338" s="142"/>
      <c r="P338" s="142"/>
      <c r="Q338" s="173"/>
      <c r="R338" s="477"/>
      <c r="S338" s="271"/>
      <c r="T338" s="141"/>
    </row>
    <row r="339" ht="30.0" customHeight="1">
      <c r="A339" s="173">
        <v>335.0</v>
      </c>
      <c r="B339" s="173"/>
      <c r="C339" s="142"/>
      <c r="D339" s="173"/>
      <c r="E339" s="173"/>
      <c r="F339" s="476"/>
      <c r="G339" s="142"/>
      <c r="H339" s="142"/>
      <c r="I339" s="173"/>
      <c r="J339" s="173"/>
      <c r="K339" s="173"/>
      <c r="L339" s="173"/>
      <c r="M339" s="173"/>
      <c r="N339" s="142"/>
      <c r="O339" s="142"/>
      <c r="P339" s="142"/>
      <c r="Q339" s="173"/>
      <c r="R339" s="477"/>
      <c r="S339" s="271"/>
      <c r="T339" s="141"/>
    </row>
    <row r="340" ht="30.0" customHeight="1">
      <c r="A340" s="173">
        <v>336.0</v>
      </c>
      <c r="B340" s="173"/>
      <c r="C340" s="142"/>
      <c r="D340" s="173"/>
      <c r="E340" s="173"/>
      <c r="F340" s="476"/>
      <c r="G340" s="142"/>
      <c r="H340" s="142"/>
      <c r="I340" s="173"/>
      <c r="J340" s="173"/>
      <c r="K340" s="173"/>
      <c r="L340" s="173"/>
      <c r="M340" s="173"/>
      <c r="N340" s="142"/>
      <c r="O340" s="142"/>
      <c r="P340" s="142"/>
      <c r="Q340" s="173"/>
      <c r="R340" s="477"/>
      <c r="S340" s="271"/>
      <c r="T340" s="141"/>
    </row>
    <row r="341" ht="30.0" customHeight="1">
      <c r="A341" s="173">
        <v>337.0</v>
      </c>
      <c r="B341" s="173"/>
      <c r="C341" s="142"/>
      <c r="D341" s="173"/>
      <c r="E341" s="173"/>
      <c r="F341" s="476"/>
      <c r="G341" s="142"/>
      <c r="H341" s="142"/>
      <c r="I341" s="173"/>
      <c r="J341" s="173"/>
      <c r="K341" s="173"/>
      <c r="L341" s="173"/>
      <c r="M341" s="173"/>
      <c r="N341" s="142"/>
      <c r="O341" s="142"/>
      <c r="P341" s="142"/>
      <c r="Q341" s="173"/>
      <c r="R341" s="477"/>
      <c r="S341" s="271"/>
      <c r="T341" s="141"/>
    </row>
    <row r="342" ht="30.0" customHeight="1">
      <c r="A342" s="173">
        <v>338.0</v>
      </c>
      <c r="B342" s="173"/>
      <c r="C342" s="142"/>
      <c r="D342" s="173"/>
      <c r="E342" s="173"/>
      <c r="F342" s="476"/>
      <c r="G342" s="142"/>
      <c r="H342" s="142"/>
      <c r="I342" s="173"/>
      <c r="J342" s="173"/>
      <c r="K342" s="173"/>
      <c r="L342" s="173"/>
      <c r="M342" s="173"/>
      <c r="N342" s="142"/>
      <c r="O342" s="142"/>
      <c r="P342" s="142"/>
      <c r="Q342" s="173"/>
      <c r="R342" s="477"/>
      <c r="S342" s="271"/>
      <c r="T342" s="141"/>
    </row>
    <row r="343" ht="30.0" customHeight="1">
      <c r="A343" s="173">
        <v>339.0</v>
      </c>
      <c r="B343" s="173"/>
      <c r="C343" s="142"/>
      <c r="D343" s="173"/>
      <c r="E343" s="173"/>
      <c r="F343" s="476"/>
      <c r="G343" s="142"/>
      <c r="H343" s="142"/>
      <c r="I343" s="173"/>
      <c r="J343" s="173"/>
      <c r="K343" s="173"/>
      <c r="L343" s="173"/>
      <c r="M343" s="173"/>
      <c r="N343" s="142"/>
      <c r="O343" s="142"/>
      <c r="P343" s="142"/>
      <c r="Q343" s="173"/>
      <c r="R343" s="477"/>
      <c r="S343" s="271"/>
      <c r="T343" s="141"/>
    </row>
    <row r="344" ht="30.0" customHeight="1">
      <c r="A344" s="173">
        <v>340.0</v>
      </c>
      <c r="B344" s="173"/>
      <c r="C344" s="142"/>
      <c r="D344" s="173"/>
      <c r="E344" s="173"/>
      <c r="F344" s="476"/>
      <c r="G344" s="142"/>
      <c r="H344" s="142"/>
      <c r="I344" s="173"/>
      <c r="J344" s="173"/>
      <c r="K344" s="173"/>
      <c r="L344" s="173"/>
      <c r="M344" s="173"/>
      <c r="N344" s="142"/>
      <c r="O344" s="142"/>
      <c r="P344" s="142"/>
      <c r="Q344" s="173"/>
      <c r="R344" s="477"/>
      <c r="S344" s="271"/>
      <c r="T344" s="141"/>
    </row>
    <row r="345" ht="30.0" customHeight="1">
      <c r="A345" s="173">
        <v>341.0</v>
      </c>
      <c r="B345" s="173"/>
      <c r="C345" s="142"/>
      <c r="D345" s="173"/>
      <c r="E345" s="173"/>
      <c r="F345" s="476"/>
      <c r="G345" s="142"/>
      <c r="H345" s="142"/>
      <c r="I345" s="173"/>
      <c r="J345" s="173"/>
      <c r="K345" s="173"/>
      <c r="L345" s="173"/>
      <c r="M345" s="173"/>
      <c r="N345" s="142"/>
      <c r="O345" s="142"/>
      <c r="P345" s="142"/>
      <c r="Q345" s="173"/>
      <c r="R345" s="477"/>
      <c r="S345" s="271"/>
      <c r="T345" s="141"/>
    </row>
    <row r="346" ht="30.0" customHeight="1">
      <c r="A346" s="173">
        <v>342.0</v>
      </c>
      <c r="B346" s="173"/>
      <c r="C346" s="142"/>
      <c r="D346" s="173"/>
      <c r="E346" s="173"/>
      <c r="F346" s="476"/>
      <c r="G346" s="142"/>
      <c r="H346" s="142"/>
      <c r="I346" s="173"/>
      <c r="J346" s="173"/>
      <c r="K346" s="173"/>
      <c r="L346" s="173"/>
      <c r="M346" s="173"/>
      <c r="N346" s="142"/>
      <c r="O346" s="142"/>
      <c r="P346" s="142"/>
      <c r="Q346" s="173"/>
      <c r="R346" s="477"/>
      <c r="S346" s="271"/>
      <c r="T346" s="141"/>
    </row>
    <row r="347" ht="30.0" customHeight="1">
      <c r="A347" s="173">
        <v>343.0</v>
      </c>
      <c r="B347" s="173"/>
      <c r="C347" s="142"/>
      <c r="D347" s="173"/>
      <c r="E347" s="173"/>
      <c r="F347" s="476"/>
      <c r="G347" s="142"/>
      <c r="H347" s="142"/>
      <c r="I347" s="173"/>
      <c r="J347" s="173"/>
      <c r="K347" s="173"/>
      <c r="L347" s="173"/>
      <c r="M347" s="173"/>
      <c r="N347" s="142"/>
      <c r="O347" s="142"/>
      <c r="P347" s="142"/>
      <c r="Q347" s="173"/>
      <c r="R347" s="477"/>
      <c r="S347" s="271"/>
      <c r="T347" s="141"/>
    </row>
    <row r="348" ht="30.0" customHeight="1">
      <c r="A348" s="173">
        <v>344.0</v>
      </c>
      <c r="B348" s="173"/>
      <c r="C348" s="142"/>
      <c r="D348" s="173"/>
      <c r="E348" s="173"/>
      <c r="F348" s="476"/>
      <c r="G348" s="142"/>
      <c r="H348" s="142"/>
      <c r="I348" s="173"/>
      <c r="J348" s="173"/>
      <c r="K348" s="173"/>
      <c r="L348" s="173"/>
      <c r="M348" s="173"/>
      <c r="N348" s="142"/>
      <c r="O348" s="142"/>
      <c r="P348" s="142"/>
      <c r="Q348" s="173"/>
      <c r="R348" s="477"/>
      <c r="S348" s="271"/>
      <c r="T348" s="141"/>
    </row>
    <row r="349" ht="30.0" customHeight="1">
      <c r="A349" s="173">
        <v>345.0</v>
      </c>
      <c r="B349" s="173"/>
      <c r="C349" s="142"/>
      <c r="D349" s="173"/>
      <c r="E349" s="173"/>
      <c r="F349" s="476"/>
      <c r="G349" s="142"/>
      <c r="H349" s="142"/>
      <c r="I349" s="173"/>
      <c r="J349" s="173"/>
      <c r="K349" s="173"/>
      <c r="L349" s="173"/>
      <c r="M349" s="173"/>
      <c r="N349" s="142"/>
      <c r="O349" s="142"/>
      <c r="P349" s="142"/>
      <c r="Q349" s="173"/>
      <c r="R349" s="477"/>
      <c r="S349" s="271"/>
      <c r="T349" s="141"/>
    </row>
    <row r="350" ht="30.0" customHeight="1">
      <c r="A350" s="173">
        <v>346.0</v>
      </c>
      <c r="B350" s="173"/>
      <c r="C350" s="142"/>
      <c r="D350" s="173"/>
      <c r="E350" s="173"/>
      <c r="F350" s="476"/>
      <c r="G350" s="142"/>
      <c r="H350" s="142"/>
      <c r="I350" s="173"/>
      <c r="J350" s="173"/>
      <c r="K350" s="173"/>
      <c r="L350" s="173"/>
      <c r="M350" s="173"/>
      <c r="N350" s="142"/>
      <c r="O350" s="142"/>
      <c r="P350" s="142"/>
      <c r="Q350" s="173"/>
      <c r="R350" s="477"/>
      <c r="S350" s="271"/>
      <c r="T350" s="141"/>
    </row>
    <row r="351" ht="30.0" customHeight="1">
      <c r="A351" s="173">
        <v>347.0</v>
      </c>
      <c r="B351" s="173"/>
      <c r="C351" s="142"/>
      <c r="D351" s="173"/>
      <c r="E351" s="173"/>
      <c r="F351" s="476"/>
      <c r="G351" s="142"/>
      <c r="H351" s="142"/>
      <c r="I351" s="173"/>
      <c r="J351" s="173"/>
      <c r="K351" s="173"/>
      <c r="L351" s="173"/>
      <c r="M351" s="173"/>
      <c r="N351" s="142"/>
      <c r="O351" s="142"/>
      <c r="P351" s="142"/>
      <c r="Q351" s="173"/>
      <c r="R351" s="477"/>
      <c r="S351" s="271"/>
      <c r="T351" s="141"/>
    </row>
    <row r="352" ht="30.0" customHeight="1">
      <c r="A352" s="173">
        <v>348.0</v>
      </c>
      <c r="B352" s="173"/>
      <c r="C352" s="142"/>
      <c r="D352" s="173"/>
      <c r="E352" s="173"/>
      <c r="F352" s="476"/>
      <c r="G352" s="142"/>
      <c r="H352" s="142"/>
      <c r="I352" s="173"/>
      <c r="J352" s="173"/>
      <c r="K352" s="173"/>
      <c r="L352" s="173"/>
      <c r="M352" s="173"/>
      <c r="N352" s="142"/>
      <c r="O352" s="142"/>
      <c r="P352" s="142"/>
      <c r="Q352" s="173"/>
      <c r="R352" s="477"/>
      <c r="S352" s="271"/>
      <c r="T352" s="141"/>
    </row>
    <row r="353" ht="30.0" customHeight="1">
      <c r="A353" s="173">
        <v>349.0</v>
      </c>
      <c r="B353" s="173"/>
      <c r="C353" s="142"/>
      <c r="D353" s="173"/>
      <c r="E353" s="173"/>
      <c r="F353" s="476"/>
      <c r="G353" s="142"/>
      <c r="H353" s="142"/>
      <c r="I353" s="173"/>
      <c r="J353" s="173"/>
      <c r="K353" s="173"/>
      <c r="L353" s="173"/>
      <c r="M353" s="173"/>
      <c r="N353" s="142"/>
      <c r="O353" s="142"/>
      <c r="P353" s="142"/>
      <c r="Q353" s="173"/>
      <c r="R353" s="477"/>
      <c r="S353" s="271"/>
      <c r="T353" s="141"/>
    </row>
    <row r="354" ht="30.0" customHeight="1">
      <c r="A354" s="173">
        <v>350.0</v>
      </c>
      <c r="B354" s="173"/>
      <c r="C354" s="142"/>
      <c r="D354" s="173"/>
      <c r="E354" s="173"/>
      <c r="F354" s="476"/>
      <c r="G354" s="142"/>
      <c r="H354" s="142"/>
      <c r="I354" s="173"/>
      <c r="J354" s="173"/>
      <c r="K354" s="173"/>
      <c r="L354" s="173"/>
      <c r="M354" s="173"/>
      <c r="N354" s="142"/>
      <c r="O354" s="142"/>
      <c r="P354" s="142"/>
      <c r="Q354" s="173"/>
      <c r="R354" s="477"/>
      <c r="S354" s="271"/>
      <c r="T354" s="141"/>
    </row>
    <row r="355" ht="30.0" customHeight="1">
      <c r="A355" s="173">
        <v>351.0</v>
      </c>
      <c r="B355" s="173"/>
      <c r="C355" s="142"/>
      <c r="D355" s="173"/>
      <c r="E355" s="173"/>
      <c r="F355" s="476"/>
      <c r="G355" s="142"/>
      <c r="H355" s="142"/>
      <c r="I355" s="173"/>
      <c r="J355" s="173"/>
      <c r="K355" s="173"/>
      <c r="L355" s="173"/>
      <c r="M355" s="173"/>
      <c r="N355" s="142"/>
      <c r="O355" s="142"/>
      <c r="P355" s="142"/>
      <c r="Q355" s="173"/>
      <c r="R355" s="477"/>
      <c r="S355" s="271"/>
      <c r="T355" s="141"/>
    </row>
    <row r="356" ht="30.0" customHeight="1">
      <c r="A356" s="173">
        <v>352.0</v>
      </c>
      <c r="B356" s="173"/>
      <c r="C356" s="142"/>
      <c r="D356" s="173"/>
      <c r="E356" s="173"/>
      <c r="F356" s="476"/>
      <c r="G356" s="142"/>
      <c r="H356" s="142"/>
      <c r="I356" s="173"/>
      <c r="J356" s="173"/>
      <c r="K356" s="173"/>
      <c r="L356" s="173"/>
      <c r="M356" s="173"/>
      <c r="N356" s="142"/>
      <c r="O356" s="142"/>
      <c r="P356" s="142"/>
      <c r="Q356" s="173"/>
      <c r="R356" s="477"/>
      <c r="S356" s="271"/>
      <c r="T356" s="141"/>
    </row>
    <row r="357" ht="30.0" customHeight="1">
      <c r="A357" s="173">
        <v>353.0</v>
      </c>
      <c r="B357" s="173"/>
      <c r="C357" s="142"/>
      <c r="D357" s="173"/>
      <c r="E357" s="173"/>
      <c r="F357" s="476"/>
      <c r="G357" s="142"/>
      <c r="H357" s="142"/>
      <c r="I357" s="173"/>
      <c r="J357" s="173"/>
      <c r="K357" s="173"/>
      <c r="L357" s="173"/>
      <c r="M357" s="173"/>
      <c r="N357" s="142"/>
      <c r="O357" s="142"/>
      <c r="P357" s="142"/>
      <c r="Q357" s="173"/>
      <c r="R357" s="477"/>
      <c r="S357" s="271"/>
      <c r="T357" s="141"/>
    </row>
    <row r="358" ht="30.0" customHeight="1">
      <c r="A358" s="173">
        <v>354.0</v>
      </c>
      <c r="B358" s="173"/>
      <c r="C358" s="142"/>
      <c r="D358" s="173"/>
      <c r="E358" s="173"/>
      <c r="F358" s="476"/>
      <c r="G358" s="142"/>
      <c r="H358" s="142"/>
      <c r="I358" s="173"/>
      <c r="J358" s="173"/>
      <c r="K358" s="173"/>
      <c r="L358" s="173"/>
      <c r="M358" s="173"/>
      <c r="N358" s="142"/>
      <c r="O358" s="142"/>
      <c r="P358" s="142"/>
      <c r="Q358" s="173"/>
      <c r="R358" s="477"/>
      <c r="S358" s="271"/>
      <c r="T358" s="141"/>
    </row>
    <row r="359" ht="30.0" customHeight="1">
      <c r="A359" s="173">
        <v>355.0</v>
      </c>
      <c r="B359" s="173"/>
      <c r="C359" s="142"/>
      <c r="D359" s="173"/>
      <c r="E359" s="173"/>
      <c r="F359" s="476"/>
      <c r="G359" s="142"/>
      <c r="H359" s="142"/>
      <c r="I359" s="173"/>
      <c r="J359" s="173"/>
      <c r="K359" s="173"/>
      <c r="L359" s="173"/>
      <c r="M359" s="173"/>
      <c r="N359" s="142"/>
      <c r="O359" s="142"/>
      <c r="P359" s="142"/>
      <c r="Q359" s="173"/>
      <c r="R359" s="477"/>
      <c r="S359" s="271"/>
      <c r="T359" s="141"/>
    </row>
    <row r="360" ht="30.0" customHeight="1">
      <c r="A360" s="173">
        <v>356.0</v>
      </c>
      <c r="B360" s="173"/>
      <c r="C360" s="142"/>
      <c r="D360" s="173"/>
      <c r="E360" s="173"/>
      <c r="F360" s="476"/>
      <c r="G360" s="142"/>
      <c r="H360" s="142"/>
      <c r="I360" s="173"/>
      <c r="J360" s="173"/>
      <c r="K360" s="173"/>
      <c r="L360" s="173"/>
      <c r="M360" s="173"/>
      <c r="N360" s="142"/>
      <c r="O360" s="142"/>
      <c r="P360" s="142"/>
      <c r="Q360" s="173"/>
      <c r="R360" s="477"/>
      <c r="S360" s="271"/>
      <c r="T360" s="141"/>
    </row>
    <row r="361" ht="30.0" customHeight="1">
      <c r="A361" s="173">
        <v>357.0</v>
      </c>
      <c r="B361" s="173"/>
      <c r="C361" s="142"/>
      <c r="D361" s="173"/>
      <c r="E361" s="173"/>
      <c r="F361" s="476"/>
      <c r="G361" s="142"/>
      <c r="H361" s="142"/>
      <c r="I361" s="173"/>
      <c r="J361" s="173"/>
      <c r="K361" s="173"/>
      <c r="L361" s="173"/>
      <c r="M361" s="173"/>
      <c r="N361" s="142"/>
      <c r="O361" s="142"/>
      <c r="P361" s="142"/>
      <c r="Q361" s="173"/>
      <c r="R361" s="477"/>
      <c r="S361" s="271"/>
      <c r="T361" s="141"/>
    </row>
    <row r="362" ht="30.0" customHeight="1">
      <c r="A362" s="173">
        <v>358.0</v>
      </c>
      <c r="B362" s="173"/>
      <c r="C362" s="142"/>
      <c r="D362" s="173"/>
      <c r="E362" s="173"/>
      <c r="F362" s="476"/>
      <c r="G362" s="142"/>
      <c r="H362" s="142"/>
      <c r="I362" s="173"/>
      <c r="J362" s="173"/>
      <c r="K362" s="173"/>
      <c r="L362" s="173"/>
      <c r="M362" s="173"/>
      <c r="N362" s="142"/>
      <c r="O362" s="142"/>
      <c r="P362" s="142"/>
      <c r="Q362" s="173"/>
      <c r="R362" s="477"/>
      <c r="S362" s="271"/>
      <c r="T362" s="141"/>
    </row>
    <row r="363" ht="30.0" customHeight="1">
      <c r="A363" s="173">
        <v>359.0</v>
      </c>
      <c r="B363" s="173"/>
      <c r="C363" s="142"/>
      <c r="D363" s="173"/>
      <c r="E363" s="173"/>
      <c r="F363" s="476"/>
      <c r="G363" s="142"/>
      <c r="H363" s="142"/>
      <c r="I363" s="173"/>
      <c r="J363" s="173"/>
      <c r="K363" s="173"/>
      <c r="L363" s="173"/>
      <c r="M363" s="173"/>
      <c r="N363" s="142"/>
      <c r="O363" s="142"/>
      <c r="P363" s="142"/>
      <c r="Q363" s="173"/>
      <c r="R363" s="477"/>
      <c r="S363" s="271"/>
      <c r="T363" s="141"/>
    </row>
    <row r="364" ht="30.0" customHeight="1">
      <c r="A364" s="173">
        <v>360.0</v>
      </c>
      <c r="B364" s="173"/>
      <c r="C364" s="142"/>
      <c r="D364" s="173"/>
      <c r="E364" s="173"/>
      <c r="F364" s="476"/>
      <c r="G364" s="142"/>
      <c r="H364" s="142"/>
      <c r="I364" s="173"/>
      <c r="J364" s="173"/>
      <c r="K364" s="173"/>
      <c r="L364" s="173"/>
      <c r="M364" s="173"/>
      <c r="N364" s="142"/>
      <c r="O364" s="142"/>
      <c r="P364" s="142"/>
      <c r="Q364" s="173"/>
      <c r="R364" s="477"/>
      <c r="S364" s="271"/>
      <c r="T364" s="141"/>
    </row>
    <row r="365" ht="30.0" customHeight="1">
      <c r="A365" s="173">
        <v>361.0</v>
      </c>
      <c r="B365" s="173"/>
      <c r="C365" s="142"/>
      <c r="D365" s="173"/>
      <c r="E365" s="173"/>
      <c r="F365" s="476"/>
      <c r="G365" s="142"/>
      <c r="H365" s="142"/>
      <c r="I365" s="173"/>
      <c r="J365" s="173"/>
      <c r="K365" s="173"/>
      <c r="L365" s="173"/>
      <c r="M365" s="173"/>
      <c r="N365" s="142"/>
      <c r="O365" s="142"/>
      <c r="P365" s="142"/>
      <c r="Q365" s="173"/>
      <c r="R365" s="477"/>
      <c r="S365" s="271"/>
      <c r="T365" s="141"/>
    </row>
    <row r="366" ht="30.0" customHeight="1">
      <c r="A366" s="173">
        <v>362.0</v>
      </c>
      <c r="B366" s="173"/>
      <c r="C366" s="142"/>
      <c r="D366" s="173"/>
      <c r="E366" s="173"/>
      <c r="F366" s="476"/>
      <c r="G366" s="142"/>
      <c r="H366" s="142"/>
      <c r="I366" s="173"/>
      <c r="J366" s="173"/>
      <c r="K366" s="173"/>
      <c r="L366" s="173"/>
      <c r="M366" s="173"/>
      <c r="N366" s="142"/>
      <c r="O366" s="142"/>
      <c r="P366" s="142"/>
      <c r="Q366" s="173"/>
      <c r="R366" s="477"/>
      <c r="S366" s="271"/>
      <c r="T366" s="141"/>
    </row>
    <row r="367" ht="30.0" customHeight="1">
      <c r="A367" s="173">
        <v>363.0</v>
      </c>
      <c r="B367" s="173"/>
      <c r="C367" s="142"/>
      <c r="D367" s="173"/>
      <c r="E367" s="173"/>
      <c r="F367" s="476"/>
      <c r="G367" s="142"/>
      <c r="H367" s="142"/>
      <c r="I367" s="173"/>
      <c r="J367" s="173"/>
      <c r="K367" s="173"/>
      <c r="L367" s="173"/>
      <c r="M367" s="173"/>
      <c r="N367" s="142"/>
      <c r="O367" s="142"/>
      <c r="P367" s="142"/>
      <c r="Q367" s="173"/>
      <c r="R367" s="477"/>
      <c r="S367" s="271"/>
      <c r="T367" s="141"/>
    </row>
    <row r="368" ht="30.0" customHeight="1">
      <c r="A368" s="173">
        <v>364.0</v>
      </c>
      <c r="B368" s="173"/>
      <c r="C368" s="142"/>
      <c r="D368" s="173"/>
      <c r="E368" s="173"/>
      <c r="F368" s="476"/>
      <c r="G368" s="142"/>
      <c r="H368" s="142"/>
      <c r="I368" s="173"/>
      <c r="J368" s="173"/>
      <c r="K368" s="173"/>
      <c r="L368" s="173"/>
      <c r="M368" s="173"/>
      <c r="N368" s="142"/>
      <c r="O368" s="142"/>
      <c r="P368" s="142"/>
      <c r="Q368" s="173"/>
      <c r="R368" s="477"/>
      <c r="S368" s="271"/>
      <c r="T368" s="141"/>
    </row>
    <row r="369" ht="30.0" customHeight="1">
      <c r="A369" s="173">
        <v>365.0</v>
      </c>
      <c r="B369" s="173"/>
      <c r="C369" s="142"/>
      <c r="D369" s="173"/>
      <c r="E369" s="173"/>
      <c r="F369" s="476"/>
      <c r="G369" s="142"/>
      <c r="H369" s="142"/>
      <c r="I369" s="173"/>
      <c r="J369" s="173"/>
      <c r="K369" s="173"/>
      <c r="L369" s="173"/>
      <c r="M369" s="173"/>
      <c r="N369" s="142"/>
      <c r="O369" s="142"/>
      <c r="P369" s="142"/>
      <c r="Q369" s="173"/>
      <c r="R369" s="477"/>
      <c r="S369" s="271"/>
      <c r="T369" s="141"/>
    </row>
    <row r="370" ht="30.0" customHeight="1">
      <c r="A370" s="173">
        <v>366.0</v>
      </c>
      <c r="B370" s="173"/>
      <c r="C370" s="142"/>
      <c r="D370" s="173"/>
      <c r="E370" s="173"/>
      <c r="F370" s="476"/>
      <c r="G370" s="142"/>
      <c r="H370" s="142"/>
      <c r="I370" s="173"/>
      <c r="J370" s="173"/>
      <c r="K370" s="173"/>
      <c r="L370" s="173"/>
      <c r="M370" s="173"/>
      <c r="N370" s="142"/>
      <c r="O370" s="142"/>
      <c r="P370" s="142"/>
      <c r="Q370" s="173"/>
      <c r="R370" s="477"/>
      <c r="S370" s="271"/>
      <c r="T370" s="141"/>
    </row>
    <row r="371" ht="30.0" customHeight="1">
      <c r="A371" s="173">
        <v>367.0</v>
      </c>
      <c r="B371" s="173"/>
      <c r="C371" s="142"/>
      <c r="D371" s="173"/>
      <c r="E371" s="173"/>
      <c r="F371" s="476"/>
      <c r="G371" s="142"/>
      <c r="H371" s="142"/>
      <c r="I371" s="173"/>
      <c r="J371" s="173"/>
      <c r="K371" s="173"/>
      <c r="L371" s="173"/>
      <c r="M371" s="173"/>
      <c r="N371" s="142"/>
      <c r="O371" s="142"/>
      <c r="P371" s="142"/>
      <c r="Q371" s="173"/>
      <c r="R371" s="477"/>
      <c r="S371" s="271"/>
      <c r="T371" s="141"/>
    </row>
    <row r="372" ht="30.0" customHeight="1">
      <c r="A372" s="173">
        <v>368.0</v>
      </c>
      <c r="B372" s="173"/>
      <c r="C372" s="142"/>
      <c r="D372" s="173"/>
      <c r="E372" s="173"/>
      <c r="F372" s="476"/>
      <c r="G372" s="142"/>
      <c r="H372" s="142"/>
      <c r="I372" s="173"/>
      <c r="J372" s="173"/>
      <c r="K372" s="173"/>
      <c r="L372" s="173"/>
      <c r="M372" s="173"/>
      <c r="N372" s="142"/>
      <c r="O372" s="142"/>
      <c r="P372" s="142"/>
      <c r="Q372" s="173"/>
      <c r="R372" s="477"/>
      <c r="S372" s="271"/>
      <c r="T372" s="141"/>
    </row>
    <row r="373" ht="30.0" customHeight="1">
      <c r="A373" s="173">
        <v>369.0</v>
      </c>
      <c r="B373" s="173"/>
      <c r="C373" s="142"/>
      <c r="D373" s="173"/>
      <c r="E373" s="173"/>
      <c r="F373" s="476"/>
      <c r="G373" s="142"/>
      <c r="H373" s="142"/>
      <c r="I373" s="173"/>
      <c r="J373" s="173"/>
      <c r="K373" s="173"/>
      <c r="L373" s="173"/>
      <c r="M373" s="173"/>
      <c r="N373" s="142"/>
      <c r="O373" s="142"/>
      <c r="P373" s="142"/>
      <c r="Q373" s="173"/>
      <c r="R373" s="477"/>
      <c r="S373" s="271"/>
      <c r="T373" s="141"/>
    </row>
    <row r="374" ht="30.0" customHeight="1">
      <c r="A374" s="173">
        <v>370.0</v>
      </c>
      <c r="B374" s="173"/>
      <c r="C374" s="142"/>
      <c r="D374" s="173"/>
      <c r="E374" s="173"/>
      <c r="F374" s="476"/>
      <c r="G374" s="142"/>
      <c r="H374" s="142"/>
      <c r="I374" s="173"/>
      <c r="J374" s="173"/>
      <c r="K374" s="173"/>
      <c r="L374" s="173"/>
      <c r="M374" s="173"/>
      <c r="N374" s="142"/>
      <c r="O374" s="142"/>
      <c r="P374" s="142"/>
      <c r="Q374" s="173"/>
      <c r="R374" s="477"/>
      <c r="S374" s="271"/>
      <c r="T374" s="141"/>
    </row>
    <row r="375" ht="30.0" customHeight="1">
      <c r="A375" s="173">
        <v>371.0</v>
      </c>
      <c r="B375" s="173"/>
      <c r="C375" s="142"/>
      <c r="D375" s="173"/>
      <c r="E375" s="173"/>
      <c r="F375" s="476"/>
      <c r="G375" s="142"/>
      <c r="H375" s="142"/>
      <c r="I375" s="173"/>
      <c r="J375" s="173"/>
      <c r="K375" s="173"/>
      <c r="L375" s="173"/>
      <c r="M375" s="173"/>
      <c r="N375" s="142"/>
      <c r="O375" s="142"/>
      <c r="P375" s="142"/>
      <c r="Q375" s="173"/>
      <c r="R375" s="477"/>
      <c r="S375" s="271"/>
      <c r="T375" s="141"/>
    </row>
    <row r="376" ht="30.0" customHeight="1">
      <c r="A376" s="173">
        <v>372.0</v>
      </c>
      <c r="B376" s="173"/>
      <c r="C376" s="142"/>
      <c r="D376" s="173"/>
      <c r="E376" s="173"/>
      <c r="F376" s="476"/>
      <c r="G376" s="142"/>
      <c r="H376" s="142"/>
      <c r="I376" s="173"/>
      <c r="J376" s="173"/>
      <c r="K376" s="173"/>
      <c r="L376" s="173"/>
      <c r="M376" s="173"/>
      <c r="N376" s="142"/>
      <c r="O376" s="142"/>
      <c r="P376" s="142"/>
      <c r="Q376" s="173"/>
      <c r="R376" s="477"/>
      <c r="S376" s="271"/>
      <c r="T376" s="141"/>
    </row>
    <row r="377" ht="30.0" customHeight="1">
      <c r="A377" s="173">
        <v>373.0</v>
      </c>
      <c r="B377" s="173"/>
      <c r="C377" s="142"/>
      <c r="D377" s="173"/>
      <c r="E377" s="173"/>
      <c r="F377" s="476"/>
      <c r="G377" s="142"/>
      <c r="H377" s="142"/>
      <c r="I377" s="173"/>
      <c r="J377" s="173"/>
      <c r="K377" s="173"/>
      <c r="L377" s="173"/>
      <c r="M377" s="173"/>
      <c r="N377" s="142"/>
      <c r="O377" s="142"/>
      <c r="P377" s="142"/>
      <c r="Q377" s="173"/>
      <c r="R377" s="477"/>
      <c r="S377" s="271"/>
      <c r="T377" s="141"/>
    </row>
    <row r="378" ht="30.0" customHeight="1">
      <c r="A378" s="173">
        <v>374.0</v>
      </c>
      <c r="B378" s="173"/>
      <c r="C378" s="142"/>
      <c r="D378" s="173"/>
      <c r="E378" s="173"/>
      <c r="F378" s="476"/>
      <c r="G378" s="142"/>
      <c r="H378" s="142"/>
      <c r="I378" s="173"/>
      <c r="J378" s="173"/>
      <c r="K378" s="173"/>
      <c r="L378" s="173"/>
      <c r="M378" s="173"/>
      <c r="N378" s="142"/>
      <c r="O378" s="142"/>
      <c r="P378" s="142"/>
      <c r="Q378" s="173"/>
      <c r="R378" s="477"/>
      <c r="S378" s="271"/>
      <c r="T378" s="141"/>
    </row>
    <row r="379" ht="30.0" customHeight="1">
      <c r="A379" s="173">
        <v>375.0</v>
      </c>
      <c r="B379" s="173"/>
      <c r="C379" s="142"/>
      <c r="D379" s="173"/>
      <c r="E379" s="173"/>
      <c r="F379" s="476"/>
      <c r="G379" s="142"/>
      <c r="H379" s="142"/>
      <c r="I379" s="173"/>
      <c r="J379" s="173"/>
      <c r="K379" s="173"/>
      <c r="L379" s="173"/>
      <c r="M379" s="173"/>
      <c r="N379" s="142"/>
      <c r="O379" s="142"/>
      <c r="P379" s="142"/>
      <c r="Q379" s="173"/>
      <c r="R379" s="477"/>
      <c r="S379" s="271"/>
      <c r="T379" s="141"/>
    </row>
    <row r="380" ht="30.0" customHeight="1">
      <c r="A380" s="173">
        <v>376.0</v>
      </c>
      <c r="B380" s="173"/>
      <c r="C380" s="142"/>
      <c r="D380" s="173"/>
      <c r="E380" s="173"/>
      <c r="F380" s="476"/>
      <c r="G380" s="142"/>
      <c r="H380" s="142"/>
      <c r="I380" s="173"/>
      <c r="J380" s="173"/>
      <c r="K380" s="173"/>
      <c r="L380" s="173"/>
      <c r="M380" s="173"/>
      <c r="N380" s="142"/>
      <c r="O380" s="142"/>
      <c r="P380" s="142"/>
      <c r="Q380" s="173"/>
      <c r="R380" s="477"/>
      <c r="S380" s="271"/>
      <c r="T380" s="141"/>
    </row>
    <row r="381" ht="30.0" customHeight="1">
      <c r="A381" s="173">
        <v>377.0</v>
      </c>
      <c r="B381" s="173"/>
      <c r="C381" s="142"/>
      <c r="D381" s="173"/>
      <c r="E381" s="173"/>
      <c r="F381" s="476"/>
      <c r="G381" s="142"/>
      <c r="H381" s="142"/>
      <c r="I381" s="173"/>
      <c r="J381" s="173"/>
      <c r="K381" s="173"/>
      <c r="L381" s="173"/>
      <c r="M381" s="173"/>
      <c r="N381" s="142"/>
      <c r="O381" s="142"/>
      <c r="P381" s="142"/>
      <c r="Q381" s="173"/>
      <c r="R381" s="477"/>
      <c r="S381" s="271"/>
      <c r="T381" s="141"/>
    </row>
    <row r="382" ht="30.0" customHeight="1">
      <c r="A382" s="173">
        <v>378.0</v>
      </c>
      <c r="B382" s="173"/>
      <c r="C382" s="142"/>
      <c r="D382" s="173"/>
      <c r="E382" s="173"/>
      <c r="F382" s="476"/>
      <c r="G382" s="142"/>
      <c r="H382" s="142"/>
      <c r="I382" s="173"/>
      <c r="J382" s="173"/>
      <c r="K382" s="173"/>
      <c r="L382" s="173"/>
      <c r="M382" s="173"/>
      <c r="N382" s="142"/>
      <c r="O382" s="142"/>
      <c r="P382" s="142"/>
      <c r="Q382" s="173"/>
      <c r="R382" s="477"/>
      <c r="S382" s="271"/>
      <c r="T382" s="141"/>
    </row>
    <row r="383" ht="30.0" customHeight="1">
      <c r="A383" s="173">
        <v>379.0</v>
      </c>
      <c r="B383" s="173"/>
      <c r="C383" s="142"/>
      <c r="D383" s="173"/>
      <c r="E383" s="173"/>
      <c r="F383" s="476"/>
      <c r="G383" s="142"/>
      <c r="H383" s="142"/>
      <c r="I383" s="173"/>
      <c r="J383" s="173"/>
      <c r="K383" s="173"/>
      <c r="L383" s="173"/>
      <c r="M383" s="173"/>
      <c r="N383" s="142"/>
      <c r="O383" s="142"/>
      <c r="P383" s="142"/>
      <c r="Q383" s="173"/>
      <c r="R383" s="477"/>
      <c r="S383" s="271"/>
      <c r="T383" s="141"/>
    </row>
    <row r="384" ht="30.0" customHeight="1">
      <c r="A384" s="173">
        <v>380.0</v>
      </c>
      <c r="B384" s="173"/>
      <c r="C384" s="142"/>
      <c r="D384" s="173"/>
      <c r="E384" s="173"/>
      <c r="F384" s="476"/>
      <c r="G384" s="142"/>
      <c r="H384" s="142"/>
      <c r="I384" s="173"/>
      <c r="J384" s="173"/>
      <c r="K384" s="173"/>
      <c r="L384" s="173"/>
      <c r="M384" s="173"/>
      <c r="N384" s="142"/>
      <c r="O384" s="142"/>
      <c r="P384" s="142"/>
      <c r="Q384" s="173"/>
      <c r="R384" s="477"/>
      <c r="S384" s="271"/>
      <c r="T384" s="141"/>
    </row>
    <row r="385" ht="30.0" customHeight="1">
      <c r="A385" s="173">
        <v>381.0</v>
      </c>
      <c r="B385" s="173"/>
      <c r="C385" s="142"/>
      <c r="D385" s="173"/>
      <c r="E385" s="173"/>
      <c r="F385" s="476"/>
      <c r="G385" s="142"/>
      <c r="H385" s="142"/>
      <c r="I385" s="173"/>
      <c r="J385" s="173"/>
      <c r="K385" s="173"/>
      <c r="L385" s="173"/>
      <c r="M385" s="173"/>
      <c r="N385" s="142"/>
      <c r="O385" s="142"/>
      <c r="P385" s="142"/>
      <c r="Q385" s="173"/>
      <c r="R385" s="477"/>
      <c r="S385" s="271"/>
      <c r="T385" s="141"/>
    </row>
    <row r="386" ht="30.0" customHeight="1">
      <c r="A386" s="173">
        <v>382.0</v>
      </c>
      <c r="B386" s="173"/>
      <c r="C386" s="142"/>
      <c r="D386" s="173"/>
      <c r="E386" s="173"/>
      <c r="F386" s="476"/>
      <c r="G386" s="142"/>
      <c r="H386" s="142"/>
      <c r="I386" s="173"/>
      <c r="J386" s="173"/>
      <c r="K386" s="173"/>
      <c r="L386" s="173"/>
      <c r="M386" s="173"/>
      <c r="N386" s="142"/>
      <c r="O386" s="142"/>
      <c r="P386" s="142"/>
      <c r="Q386" s="173"/>
      <c r="R386" s="477"/>
      <c r="S386" s="271"/>
      <c r="T386" s="141"/>
    </row>
    <row r="387" ht="30.0" customHeight="1">
      <c r="A387" s="173">
        <v>383.0</v>
      </c>
      <c r="B387" s="173"/>
      <c r="C387" s="142"/>
      <c r="D387" s="173"/>
      <c r="E387" s="173"/>
      <c r="F387" s="476"/>
      <c r="G387" s="142"/>
      <c r="H387" s="142"/>
      <c r="I387" s="173"/>
      <c r="J387" s="173"/>
      <c r="K387" s="173"/>
      <c r="L387" s="173"/>
      <c r="M387" s="173"/>
      <c r="N387" s="142"/>
      <c r="O387" s="142"/>
      <c r="P387" s="142"/>
      <c r="Q387" s="173"/>
      <c r="R387" s="477"/>
      <c r="S387" s="271"/>
      <c r="T387" s="141"/>
    </row>
    <row r="388" ht="30.0" customHeight="1">
      <c r="A388" s="173">
        <v>384.0</v>
      </c>
      <c r="B388" s="173"/>
      <c r="C388" s="142"/>
      <c r="D388" s="173"/>
      <c r="E388" s="173"/>
      <c r="F388" s="476"/>
      <c r="G388" s="142"/>
      <c r="H388" s="142"/>
      <c r="I388" s="173"/>
      <c r="J388" s="173"/>
      <c r="K388" s="173"/>
      <c r="L388" s="173"/>
      <c r="M388" s="173"/>
      <c r="N388" s="142"/>
      <c r="O388" s="142"/>
      <c r="P388" s="142"/>
      <c r="Q388" s="173"/>
      <c r="R388" s="477"/>
      <c r="S388" s="271"/>
      <c r="T388" s="141"/>
    </row>
    <row r="389" ht="30.0" customHeight="1">
      <c r="A389" s="173">
        <v>385.0</v>
      </c>
      <c r="B389" s="173"/>
      <c r="C389" s="142"/>
      <c r="D389" s="173"/>
      <c r="E389" s="173"/>
      <c r="F389" s="476"/>
      <c r="G389" s="142"/>
      <c r="H389" s="142"/>
      <c r="I389" s="173"/>
      <c r="J389" s="173"/>
      <c r="K389" s="173"/>
      <c r="L389" s="173"/>
      <c r="M389" s="173"/>
      <c r="N389" s="142"/>
      <c r="O389" s="142"/>
      <c r="P389" s="142"/>
      <c r="Q389" s="173"/>
      <c r="R389" s="477"/>
      <c r="S389" s="271"/>
      <c r="T389" s="141"/>
    </row>
    <row r="390" ht="30.0" customHeight="1">
      <c r="A390" s="173">
        <v>386.0</v>
      </c>
      <c r="B390" s="173"/>
      <c r="C390" s="142"/>
      <c r="D390" s="173"/>
      <c r="E390" s="173"/>
      <c r="F390" s="476"/>
      <c r="G390" s="142"/>
      <c r="H390" s="142"/>
      <c r="I390" s="173"/>
      <c r="J390" s="173"/>
      <c r="K390" s="173"/>
      <c r="L390" s="173"/>
      <c r="M390" s="173"/>
      <c r="N390" s="142"/>
      <c r="O390" s="142"/>
      <c r="P390" s="142"/>
      <c r="Q390" s="173"/>
      <c r="R390" s="477"/>
      <c r="S390" s="271"/>
      <c r="T390" s="141"/>
    </row>
    <row r="391" ht="30.0" customHeight="1">
      <c r="A391" s="173">
        <v>387.0</v>
      </c>
      <c r="B391" s="173"/>
      <c r="C391" s="142"/>
      <c r="D391" s="173"/>
      <c r="E391" s="173"/>
      <c r="F391" s="476"/>
      <c r="G391" s="142"/>
      <c r="H391" s="142"/>
      <c r="I391" s="173"/>
      <c r="J391" s="173"/>
      <c r="K391" s="173"/>
      <c r="L391" s="173"/>
      <c r="M391" s="173"/>
      <c r="N391" s="142"/>
      <c r="O391" s="142"/>
      <c r="P391" s="142"/>
      <c r="Q391" s="173"/>
      <c r="R391" s="477"/>
      <c r="S391" s="271"/>
      <c r="T391" s="141"/>
    </row>
    <row r="392" ht="30.0" customHeight="1">
      <c r="A392" s="173">
        <v>388.0</v>
      </c>
      <c r="B392" s="173"/>
      <c r="C392" s="142"/>
      <c r="D392" s="173"/>
      <c r="E392" s="173"/>
      <c r="F392" s="476"/>
      <c r="G392" s="142"/>
      <c r="H392" s="142"/>
      <c r="I392" s="173"/>
      <c r="J392" s="173"/>
      <c r="K392" s="173"/>
      <c r="L392" s="173"/>
      <c r="M392" s="173"/>
      <c r="N392" s="142"/>
      <c r="O392" s="142"/>
      <c r="P392" s="142"/>
      <c r="Q392" s="173"/>
      <c r="R392" s="477"/>
      <c r="S392" s="271"/>
      <c r="T392" s="141"/>
    </row>
    <row r="393" ht="30.0" customHeight="1">
      <c r="A393" s="173">
        <v>389.0</v>
      </c>
      <c r="B393" s="173"/>
      <c r="C393" s="142"/>
      <c r="D393" s="173"/>
      <c r="E393" s="173"/>
      <c r="F393" s="476"/>
      <c r="G393" s="142"/>
      <c r="H393" s="142"/>
      <c r="I393" s="173"/>
      <c r="J393" s="173"/>
      <c r="K393" s="173"/>
      <c r="L393" s="173"/>
      <c r="M393" s="173"/>
      <c r="N393" s="142"/>
      <c r="O393" s="142"/>
      <c r="P393" s="142"/>
      <c r="Q393" s="173"/>
      <c r="R393" s="477"/>
      <c r="S393" s="271"/>
      <c r="T393" s="141"/>
    </row>
    <row r="394" ht="30.0" customHeight="1">
      <c r="A394" s="173">
        <v>390.0</v>
      </c>
      <c r="B394" s="173"/>
      <c r="C394" s="142"/>
      <c r="D394" s="173"/>
      <c r="E394" s="173"/>
      <c r="F394" s="476"/>
      <c r="G394" s="142"/>
      <c r="H394" s="142"/>
      <c r="I394" s="173"/>
      <c r="J394" s="173"/>
      <c r="K394" s="173"/>
      <c r="L394" s="173"/>
      <c r="M394" s="173"/>
      <c r="N394" s="142"/>
      <c r="O394" s="142"/>
      <c r="P394" s="142"/>
      <c r="Q394" s="173"/>
      <c r="R394" s="477"/>
      <c r="S394" s="271"/>
      <c r="T394" s="141"/>
    </row>
    <row r="395" ht="30.0" customHeight="1">
      <c r="A395" s="173">
        <v>391.0</v>
      </c>
      <c r="B395" s="173"/>
      <c r="C395" s="142"/>
      <c r="D395" s="173"/>
      <c r="E395" s="173"/>
      <c r="F395" s="476"/>
      <c r="G395" s="142"/>
      <c r="H395" s="142"/>
      <c r="I395" s="173"/>
      <c r="J395" s="173"/>
      <c r="K395" s="173"/>
      <c r="L395" s="173"/>
      <c r="M395" s="173"/>
      <c r="N395" s="142"/>
      <c r="O395" s="142"/>
      <c r="P395" s="142"/>
      <c r="Q395" s="173"/>
      <c r="R395" s="477"/>
      <c r="S395" s="271"/>
      <c r="T395" s="141"/>
    </row>
    <row r="396" ht="30.0" customHeight="1">
      <c r="A396" s="173">
        <v>392.0</v>
      </c>
      <c r="B396" s="173"/>
      <c r="C396" s="142"/>
      <c r="D396" s="173"/>
      <c r="E396" s="173"/>
      <c r="F396" s="476"/>
      <c r="G396" s="142"/>
      <c r="H396" s="142"/>
      <c r="I396" s="173"/>
      <c r="J396" s="173"/>
      <c r="K396" s="173"/>
      <c r="L396" s="173"/>
      <c r="M396" s="173"/>
      <c r="N396" s="142"/>
      <c r="O396" s="142"/>
      <c r="P396" s="142"/>
      <c r="Q396" s="173"/>
      <c r="R396" s="477"/>
      <c r="S396" s="271"/>
      <c r="T396" s="141"/>
    </row>
    <row r="397" ht="30.0" customHeight="1">
      <c r="A397" s="173">
        <v>393.0</v>
      </c>
      <c r="B397" s="173"/>
      <c r="C397" s="142"/>
      <c r="D397" s="173"/>
      <c r="E397" s="173"/>
      <c r="F397" s="476"/>
      <c r="G397" s="142"/>
      <c r="H397" s="142"/>
      <c r="I397" s="173"/>
      <c r="J397" s="173"/>
      <c r="K397" s="173"/>
      <c r="L397" s="173"/>
      <c r="M397" s="173"/>
      <c r="N397" s="142"/>
      <c r="O397" s="142"/>
      <c r="P397" s="142"/>
      <c r="Q397" s="173"/>
      <c r="R397" s="477"/>
      <c r="S397" s="271"/>
      <c r="T397" s="141"/>
    </row>
    <row r="398" ht="30.0" customHeight="1">
      <c r="A398" s="173">
        <v>394.0</v>
      </c>
      <c r="B398" s="173"/>
      <c r="C398" s="142"/>
      <c r="D398" s="173"/>
      <c r="E398" s="173"/>
      <c r="F398" s="476"/>
      <c r="G398" s="142"/>
      <c r="H398" s="142"/>
      <c r="I398" s="173"/>
      <c r="J398" s="173"/>
      <c r="K398" s="173"/>
      <c r="L398" s="173"/>
      <c r="M398" s="173"/>
      <c r="N398" s="142"/>
      <c r="O398" s="142"/>
      <c r="P398" s="142"/>
      <c r="Q398" s="173"/>
      <c r="R398" s="477"/>
      <c r="S398" s="271"/>
      <c r="T398" s="141"/>
    </row>
    <row r="399" ht="30.0" customHeight="1">
      <c r="A399" s="173">
        <v>395.0</v>
      </c>
      <c r="B399" s="173"/>
      <c r="C399" s="142"/>
      <c r="D399" s="173"/>
      <c r="E399" s="173"/>
      <c r="F399" s="476"/>
      <c r="G399" s="142"/>
      <c r="H399" s="142"/>
      <c r="I399" s="173"/>
      <c r="J399" s="173"/>
      <c r="K399" s="173"/>
      <c r="L399" s="173"/>
      <c r="M399" s="173"/>
      <c r="N399" s="142"/>
      <c r="O399" s="142"/>
      <c r="P399" s="142"/>
      <c r="Q399" s="173"/>
      <c r="R399" s="477"/>
      <c r="S399" s="271"/>
      <c r="T399" s="141"/>
    </row>
    <row r="400" ht="30.0" customHeight="1">
      <c r="A400" s="173">
        <v>396.0</v>
      </c>
      <c r="B400" s="173"/>
      <c r="C400" s="142"/>
      <c r="D400" s="173"/>
      <c r="E400" s="173"/>
      <c r="F400" s="476"/>
      <c r="G400" s="142"/>
      <c r="H400" s="142"/>
      <c r="I400" s="173"/>
      <c r="J400" s="173"/>
      <c r="K400" s="173"/>
      <c r="L400" s="173"/>
      <c r="M400" s="173"/>
      <c r="N400" s="142"/>
      <c r="O400" s="142"/>
      <c r="P400" s="142"/>
      <c r="Q400" s="173"/>
      <c r="R400" s="477"/>
      <c r="S400" s="271"/>
      <c r="T400" s="141"/>
    </row>
    <row r="401" ht="30.0" customHeight="1">
      <c r="A401" s="173">
        <v>397.0</v>
      </c>
      <c r="B401" s="173"/>
      <c r="C401" s="142"/>
      <c r="D401" s="173"/>
      <c r="E401" s="173"/>
      <c r="F401" s="476"/>
      <c r="G401" s="142"/>
      <c r="H401" s="142"/>
      <c r="I401" s="173"/>
      <c r="J401" s="173"/>
      <c r="K401" s="173"/>
      <c r="L401" s="173"/>
      <c r="M401" s="173"/>
      <c r="N401" s="142"/>
      <c r="O401" s="142"/>
      <c r="P401" s="142"/>
      <c r="Q401" s="173"/>
      <c r="R401" s="477"/>
      <c r="S401" s="271"/>
      <c r="T401" s="141"/>
    </row>
    <row r="402" ht="30.0" customHeight="1">
      <c r="A402" s="173">
        <v>398.0</v>
      </c>
      <c r="B402" s="173"/>
      <c r="C402" s="142"/>
      <c r="D402" s="173"/>
      <c r="E402" s="173"/>
      <c r="F402" s="476"/>
      <c r="G402" s="142"/>
      <c r="H402" s="142"/>
      <c r="I402" s="173"/>
      <c r="J402" s="173"/>
      <c r="K402" s="173"/>
      <c r="L402" s="173"/>
      <c r="M402" s="173"/>
      <c r="N402" s="142"/>
      <c r="O402" s="142"/>
      <c r="P402" s="142"/>
      <c r="Q402" s="173"/>
      <c r="R402" s="477"/>
      <c r="S402" s="271"/>
      <c r="T402" s="141"/>
    </row>
    <row r="403" ht="30.0" customHeight="1">
      <c r="A403" s="173">
        <v>399.0</v>
      </c>
      <c r="B403" s="173"/>
      <c r="C403" s="142"/>
      <c r="D403" s="173"/>
      <c r="E403" s="173"/>
      <c r="F403" s="476"/>
      <c r="G403" s="142"/>
      <c r="H403" s="142"/>
      <c r="I403" s="173"/>
      <c r="J403" s="173"/>
      <c r="K403" s="173"/>
      <c r="L403" s="173"/>
      <c r="M403" s="173"/>
      <c r="N403" s="142"/>
      <c r="O403" s="142"/>
      <c r="P403" s="142"/>
      <c r="Q403" s="173"/>
      <c r="R403" s="477"/>
      <c r="S403" s="271"/>
      <c r="T403" s="141"/>
    </row>
    <row r="404" ht="30.0" customHeight="1">
      <c r="A404" s="173">
        <v>400.0</v>
      </c>
      <c r="B404" s="173"/>
      <c r="C404" s="142"/>
      <c r="D404" s="173"/>
      <c r="E404" s="173"/>
      <c r="F404" s="476"/>
      <c r="G404" s="142"/>
      <c r="H404" s="142"/>
      <c r="I404" s="173"/>
      <c r="J404" s="173"/>
      <c r="K404" s="173"/>
      <c r="L404" s="173"/>
      <c r="M404" s="173"/>
      <c r="N404" s="142"/>
      <c r="O404" s="142"/>
      <c r="P404" s="142"/>
      <c r="Q404" s="173"/>
      <c r="R404" s="477"/>
      <c r="S404" s="271"/>
      <c r="T404" s="141"/>
    </row>
    <row r="405" ht="30.0" customHeight="1">
      <c r="A405" s="173">
        <v>401.0</v>
      </c>
      <c r="B405" s="173"/>
      <c r="C405" s="142"/>
      <c r="D405" s="173"/>
      <c r="E405" s="173"/>
      <c r="F405" s="476"/>
      <c r="G405" s="142"/>
      <c r="H405" s="142"/>
      <c r="I405" s="173"/>
      <c r="J405" s="173"/>
      <c r="K405" s="173"/>
      <c r="L405" s="173"/>
      <c r="M405" s="173"/>
      <c r="N405" s="142"/>
      <c r="O405" s="142"/>
      <c r="P405" s="142"/>
      <c r="Q405" s="173"/>
      <c r="R405" s="477"/>
      <c r="S405" s="271"/>
      <c r="T405" s="141"/>
    </row>
    <row r="406" ht="30.0" customHeight="1">
      <c r="A406" s="173">
        <v>402.0</v>
      </c>
      <c r="B406" s="173"/>
      <c r="C406" s="142"/>
      <c r="D406" s="173"/>
      <c r="E406" s="173"/>
      <c r="F406" s="476"/>
      <c r="G406" s="142"/>
      <c r="H406" s="142"/>
      <c r="I406" s="173"/>
      <c r="J406" s="173"/>
      <c r="K406" s="173"/>
      <c r="L406" s="173"/>
      <c r="M406" s="173"/>
      <c r="N406" s="142"/>
      <c r="O406" s="142"/>
      <c r="P406" s="142"/>
      <c r="Q406" s="173"/>
      <c r="R406" s="477"/>
      <c r="S406" s="271"/>
      <c r="T406" s="141"/>
    </row>
    <row r="407" ht="30.0" customHeight="1">
      <c r="A407" s="173">
        <v>403.0</v>
      </c>
      <c r="B407" s="173"/>
      <c r="C407" s="142"/>
      <c r="D407" s="173"/>
      <c r="E407" s="173"/>
      <c r="F407" s="476"/>
      <c r="G407" s="142"/>
      <c r="H407" s="142"/>
      <c r="I407" s="173"/>
      <c r="J407" s="173"/>
      <c r="K407" s="173"/>
      <c r="L407" s="173"/>
      <c r="M407" s="173"/>
      <c r="N407" s="142"/>
      <c r="O407" s="142"/>
      <c r="P407" s="142"/>
      <c r="Q407" s="173"/>
      <c r="R407" s="477"/>
      <c r="S407" s="271"/>
      <c r="T407" s="141"/>
    </row>
    <row r="408" ht="30.0" customHeight="1">
      <c r="A408" s="173">
        <v>404.0</v>
      </c>
      <c r="B408" s="173"/>
      <c r="C408" s="142"/>
      <c r="D408" s="173"/>
      <c r="E408" s="173"/>
      <c r="F408" s="476"/>
      <c r="G408" s="142"/>
      <c r="H408" s="142"/>
      <c r="I408" s="173"/>
      <c r="J408" s="173"/>
      <c r="K408" s="173"/>
      <c r="L408" s="173"/>
      <c r="M408" s="173"/>
      <c r="N408" s="142"/>
      <c r="O408" s="142"/>
      <c r="P408" s="142"/>
      <c r="Q408" s="173"/>
      <c r="R408" s="477"/>
      <c r="S408" s="271"/>
      <c r="T408" s="141"/>
    </row>
    <row r="409" ht="30.0" customHeight="1">
      <c r="A409" s="173">
        <v>405.0</v>
      </c>
      <c r="B409" s="173"/>
      <c r="C409" s="142"/>
      <c r="D409" s="173"/>
      <c r="E409" s="173"/>
      <c r="F409" s="476"/>
      <c r="G409" s="142"/>
      <c r="H409" s="142"/>
      <c r="I409" s="173"/>
      <c r="J409" s="173"/>
      <c r="K409" s="173"/>
      <c r="L409" s="173"/>
      <c r="M409" s="173"/>
      <c r="N409" s="142"/>
      <c r="O409" s="142"/>
      <c r="P409" s="142"/>
      <c r="Q409" s="173"/>
      <c r="R409" s="477"/>
      <c r="S409" s="271"/>
      <c r="T409" s="141"/>
    </row>
    <row r="410" ht="30.0" customHeight="1">
      <c r="A410" s="173">
        <v>406.0</v>
      </c>
      <c r="B410" s="173"/>
      <c r="C410" s="142"/>
      <c r="D410" s="173"/>
      <c r="E410" s="173"/>
      <c r="F410" s="476"/>
      <c r="G410" s="142"/>
      <c r="H410" s="142"/>
      <c r="I410" s="173"/>
      <c r="J410" s="173"/>
      <c r="K410" s="173"/>
      <c r="L410" s="173"/>
      <c r="M410" s="173"/>
      <c r="N410" s="142"/>
      <c r="O410" s="142"/>
      <c r="P410" s="142"/>
      <c r="Q410" s="173"/>
      <c r="R410" s="477"/>
      <c r="S410" s="271"/>
      <c r="T410" s="141"/>
    </row>
    <row r="411" ht="30.0" customHeight="1">
      <c r="A411" s="173">
        <v>407.0</v>
      </c>
      <c r="B411" s="173"/>
      <c r="C411" s="142"/>
      <c r="D411" s="173"/>
      <c r="E411" s="173"/>
      <c r="F411" s="476"/>
      <c r="G411" s="142"/>
      <c r="H411" s="142"/>
      <c r="I411" s="173"/>
      <c r="J411" s="173"/>
      <c r="K411" s="173"/>
      <c r="L411" s="173"/>
      <c r="M411" s="173"/>
      <c r="N411" s="142"/>
      <c r="O411" s="142"/>
      <c r="P411" s="142"/>
      <c r="Q411" s="173"/>
      <c r="R411" s="477"/>
      <c r="S411" s="271"/>
      <c r="T411" s="141"/>
    </row>
    <row r="412" ht="30.0" customHeight="1">
      <c r="A412" s="173">
        <v>408.0</v>
      </c>
      <c r="B412" s="173"/>
      <c r="C412" s="142"/>
      <c r="D412" s="173"/>
      <c r="E412" s="173"/>
      <c r="F412" s="476"/>
      <c r="G412" s="142"/>
      <c r="H412" s="142"/>
      <c r="I412" s="173"/>
      <c r="J412" s="173"/>
      <c r="K412" s="173"/>
      <c r="L412" s="173"/>
      <c r="M412" s="173"/>
      <c r="N412" s="142"/>
      <c r="O412" s="142"/>
      <c r="P412" s="142"/>
      <c r="Q412" s="173"/>
      <c r="R412" s="477"/>
      <c r="S412" s="271"/>
      <c r="T412" s="141"/>
    </row>
    <row r="413" ht="30.0" customHeight="1">
      <c r="A413" s="173">
        <v>409.0</v>
      </c>
      <c r="B413" s="173"/>
      <c r="C413" s="142"/>
      <c r="D413" s="173"/>
      <c r="E413" s="173"/>
      <c r="F413" s="476"/>
      <c r="G413" s="142"/>
      <c r="H413" s="142"/>
      <c r="I413" s="173"/>
      <c r="J413" s="173"/>
      <c r="K413" s="173"/>
      <c r="L413" s="173"/>
      <c r="M413" s="173"/>
      <c r="N413" s="142"/>
      <c r="O413" s="142"/>
      <c r="P413" s="142"/>
      <c r="Q413" s="173"/>
      <c r="R413" s="477"/>
      <c r="S413" s="271"/>
      <c r="T413" s="141"/>
    </row>
    <row r="414" ht="30.0" customHeight="1">
      <c r="A414" s="173">
        <v>410.0</v>
      </c>
      <c r="B414" s="173"/>
      <c r="C414" s="142"/>
      <c r="D414" s="173"/>
      <c r="E414" s="173"/>
      <c r="F414" s="476"/>
      <c r="G414" s="142"/>
      <c r="H414" s="142"/>
      <c r="I414" s="173"/>
      <c r="J414" s="173"/>
      <c r="K414" s="173"/>
      <c r="L414" s="173"/>
      <c r="M414" s="173"/>
      <c r="N414" s="142"/>
      <c r="O414" s="142"/>
      <c r="P414" s="142"/>
      <c r="Q414" s="173"/>
      <c r="R414" s="477"/>
      <c r="S414" s="271"/>
      <c r="T414" s="141"/>
    </row>
    <row r="415" ht="30.0" customHeight="1">
      <c r="A415" s="173">
        <v>411.0</v>
      </c>
      <c r="B415" s="173"/>
      <c r="C415" s="142"/>
      <c r="D415" s="173"/>
      <c r="E415" s="173"/>
      <c r="F415" s="476"/>
      <c r="G415" s="142"/>
      <c r="H415" s="142"/>
      <c r="I415" s="173"/>
      <c r="J415" s="173"/>
      <c r="K415" s="173"/>
      <c r="L415" s="173"/>
      <c r="M415" s="173"/>
      <c r="N415" s="142"/>
      <c r="O415" s="142"/>
      <c r="P415" s="142"/>
      <c r="Q415" s="173"/>
      <c r="R415" s="477"/>
      <c r="S415" s="271"/>
      <c r="T415" s="141"/>
    </row>
    <row r="416" ht="30.0" customHeight="1">
      <c r="A416" s="173">
        <v>412.0</v>
      </c>
      <c r="B416" s="173"/>
      <c r="C416" s="142"/>
      <c r="D416" s="173"/>
      <c r="E416" s="173"/>
      <c r="F416" s="476"/>
      <c r="G416" s="142"/>
      <c r="H416" s="142"/>
      <c r="I416" s="173"/>
      <c r="J416" s="173"/>
      <c r="K416" s="173"/>
      <c r="L416" s="173"/>
      <c r="M416" s="173"/>
      <c r="N416" s="142"/>
      <c r="O416" s="142"/>
      <c r="P416" s="142"/>
      <c r="Q416" s="173"/>
      <c r="R416" s="477"/>
      <c r="S416" s="271"/>
      <c r="T416" s="141"/>
    </row>
    <row r="417" ht="30.0" customHeight="1">
      <c r="A417" s="173">
        <v>413.0</v>
      </c>
      <c r="B417" s="173"/>
      <c r="C417" s="142"/>
      <c r="D417" s="173"/>
      <c r="E417" s="173"/>
      <c r="F417" s="476"/>
      <c r="G417" s="142"/>
      <c r="H417" s="142"/>
      <c r="I417" s="173"/>
      <c r="J417" s="173"/>
      <c r="K417" s="173"/>
      <c r="L417" s="173"/>
      <c r="M417" s="173"/>
      <c r="N417" s="142"/>
      <c r="O417" s="142"/>
      <c r="P417" s="142"/>
      <c r="Q417" s="173"/>
      <c r="R417" s="477"/>
      <c r="S417" s="271"/>
      <c r="T417" s="141"/>
    </row>
    <row r="418" ht="30.0" customHeight="1">
      <c r="A418" s="173">
        <v>414.0</v>
      </c>
      <c r="B418" s="173"/>
      <c r="C418" s="142"/>
      <c r="D418" s="173"/>
      <c r="E418" s="173"/>
      <c r="F418" s="476"/>
      <c r="G418" s="142"/>
      <c r="H418" s="142"/>
      <c r="I418" s="173"/>
      <c r="J418" s="173"/>
      <c r="K418" s="173"/>
      <c r="L418" s="173"/>
      <c r="M418" s="173"/>
      <c r="N418" s="142"/>
      <c r="O418" s="142"/>
      <c r="P418" s="142"/>
      <c r="Q418" s="173"/>
      <c r="R418" s="477"/>
      <c r="S418" s="271"/>
      <c r="T418" s="141"/>
    </row>
    <row r="419" ht="30.0" customHeight="1">
      <c r="A419" s="173">
        <v>415.0</v>
      </c>
      <c r="B419" s="173"/>
      <c r="C419" s="142"/>
      <c r="D419" s="173"/>
      <c r="E419" s="173"/>
      <c r="F419" s="476"/>
      <c r="G419" s="142"/>
      <c r="H419" s="142"/>
      <c r="I419" s="173"/>
      <c r="J419" s="173"/>
      <c r="K419" s="173"/>
      <c r="L419" s="173"/>
      <c r="M419" s="173"/>
      <c r="N419" s="142"/>
      <c r="O419" s="142"/>
      <c r="P419" s="142"/>
      <c r="Q419" s="173"/>
      <c r="R419" s="477"/>
      <c r="S419" s="271"/>
      <c r="T419" s="141"/>
    </row>
    <row r="420" ht="30.0" customHeight="1">
      <c r="A420" s="173">
        <v>416.0</v>
      </c>
      <c r="B420" s="173"/>
      <c r="C420" s="142"/>
      <c r="D420" s="173"/>
      <c r="E420" s="173"/>
      <c r="F420" s="476"/>
      <c r="G420" s="142"/>
      <c r="H420" s="142"/>
      <c r="I420" s="173"/>
      <c r="J420" s="173"/>
      <c r="K420" s="173"/>
      <c r="L420" s="173"/>
      <c r="M420" s="173"/>
      <c r="N420" s="142"/>
      <c r="O420" s="142"/>
      <c r="P420" s="142"/>
      <c r="Q420" s="173"/>
      <c r="R420" s="477"/>
      <c r="S420" s="271"/>
      <c r="T420" s="141"/>
    </row>
    <row r="421" ht="30.0" customHeight="1">
      <c r="A421" s="173">
        <v>417.0</v>
      </c>
      <c r="B421" s="173"/>
      <c r="C421" s="142"/>
      <c r="D421" s="173"/>
      <c r="E421" s="173"/>
      <c r="F421" s="476"/>
      <c r="G421" s="142"/>
      <c r="H421" s="142"/>
      <c r="I421" s="173"/>
      <c r="J421" s="173"/>
      <c r="K421" s="173"/>
      <c r="L421" s="173"/>
      <c r="M421" s="173"/>
      <c r="N421" s="142"/>
      <c r="O421" s="142"/>
      <c r="P421" s="142"/>
      <c r="Q421" s="173"/>
      <c r="R421" s="477"/>
      <c r="S421" s="271"/>
      <c r="T421" s="141"/>
    </row>
    <row r="422" ht="30.0" customHeight="1">
      <c r="A422" s="173">
        <v>418.0</v>
      </c>
      <c r="B422" s="173"/>
      <c r="C422" s="142"/>
      <c r="D422" s="173"/>
      <c r="E422" s="173"/>
      <c r="F422" s="476"/>
      <c r="G422" s="142"/>
      <c r="H422" s="142"/>
      <c r="I422" s="173"/>
      <c r="J422" s="173"/>
      <c r="K422" s="173"/>
      <c r="L422" s="173"/>
      <c r="M422" s="173"/>
      <c r="N422" s="142"/>
      <c r="O422" s="142"/>
      <c r="P422" s="142"/>
      <c r="Q422" s="173"/>
      <c r="R422" s="477"/>
      <c r="S422" s="271"/>
      <c r="T422" s="141"/>
    </row>
    <row r="423" ht="30.0" customHeight="1">
      <c r="A423" s="173">
        <v>419.0</v>
      </c>
      <c r="B423" s="173"/>
      <c r="C423" s="142"/>
      <c r="D423" s="173"/>
      <c r="E423" s="173"/>
      <c r="F423" s="476"/>
      <c r="G423" s="142"/>
      <c r="H423" s="142"/>
      <c r="I423" s="173"/>
      <c r="J423" s="173"/>
      <c r="K423" s="173"/>
      <c r="L423" s="173"/>
      <c r="M423" s="173"/>
      <c r="N423" s="142"/>
      <c r="O423" s="142"/>
      <c r="P423" s="142"/>
      <c r="Q423" s="173"/>
      <c r="R423" s="477"/>
      <c r="S423" s="271"/>
      <c r="T423" s="141"/>
    </row>
    <row r="424" ht="30.0" customHeight="1">
      <c r="A424" s="173">
        <v>420.0</v>
      </c>
      <c r="B424" s="173"/>
      <c r="C424" s="142"/>
      <c r="D424" s="173"/>
      <c r="E424" s="173"/>
      <c r="F424" s="476"/>
      <c r="G424" s="142"/>
      <c r="H424" s="142"/>
      <c r="I424" s="173"/>
      <c r="J424" s="173"/>
      <c r="K424" s="173"/>
      <c r="L424" s="173"/>
      <c r="M424" s="173"/>
      <c r="N424" s="142"/>
      <c r="O424" s="142"/>
      <c r="P424" s="142"/>
      <c r="Q424" s="173"/>
      <c r="R424" s="477"/>
      <c r="S424" s="271"/>
      <c r="T424" s="141"/>
    </row>
    <row r="425" ht="30.0" customHeight="1">
      <c r="A425" s="173">
        <v>421.0</v>
      </c>
      <c r="B425" s="173"/>
      <c r="C425" s="142"/>
      <c r="D425" s="173"/>
      <c r="E425" s="173"/>
      <c r="F425" s="476"/>
      <c r="G425" s="142"/>
      <c r="H425" s="142"/>
      <c r="I425" s="173"/>
      <c r="J425" s="173"/>
      <c r="K425" s="173"/>
      <c r="L425" s="173"/>
      <c r="M425" s="173"/>
      <c r="N425" s="142"/>
      <c r="O425" s="142"/>
      <c r="P425" s="142"/>
      <c r="Q425" s="173"/>
      <c r="R425" s="477"/>
      <c r="S425" s="271"/>
      <c r="T425" s="141"/>
    </row>
    <row r="426" ht="30.0" customHeight="1">
      <c r="A426" s="173">
        <v>422.0</v>
      </c>
      <c r="B426" s="173"/>
      <c r="C426" s="142"/>
      <c r="D426" s="173"/>
      <c r="E426" s="173"/>
      <c r="F426" s="476"/>
      <c r="G426" s="142"/>
      <c r="H426" s="142"/>
      <c r="I426" s="173"/>
      <c r="J426" s="173"/>
      <c r="K426" s="173"/>
      <c r="L426" s="173"/>
      <c r="M426" s="173"/>
      <c r="N426" s="142"/>
      <c r="O426" s="142"/>
      <c r="P426" s="142"/>
      <c r="Q426" s="173"/>
      <c r="R426" s="477"/>
      <c r="S426" s="271"/>
      <c r="T426" s="141"/>
    </row>
    <row r="427" ht="30.0" customHeight="1">
      <c r="A427" s="173">
        <v>423.0</v>
      </c>
      <c r="B427" s="173"/>
      <c r="C427" s="142"/>
      <c r="D427" s="173"/>
      <c r="E427" s="173"/>
      <c r="F427" s="476"/>
      <c r="G427" s="142"/>
      <c r="H427" s="142"/>
      <c r="I427" s="173"/>
      <c r="J427" s="173"/>
      <c r="K427" s="173"/>
      <c r="L427" s="173"/>
      <c r="M427" s="173"/>
      <c r="N427" s="142"/>
      <c r="O427" s="142"/>
      <c r="P427" s="142"/>
      <c r="Q427" s="173"/>
      <c r="R427" s="477"/>
      <c r="S427" s="271"/>
      <c r="T427" s="141"/>
    </row>
    <row r="428" ht="30.0" customHeight="1">
      <c r="A428" s="173">
        <v>424.0</v>
      </c>
      <c r="B428" s="173"/>
      <c r="C428" s="142"/>
      <c r="D428" s="173"/>
      <c r="E428" s="173"/>
      <c r="F428" s="476"/>
      <c r="G428" s="142"/>
      <c r="H428" s="142"/>
      <c r="I428" s="173"/>
      <c r="J428" s="173"/>
      <c r="K428" s="173"/>
      <c r="L428" s="173"/>
      <c r="M428" s="173"/>
      <c r="N428" s="142"/>
      <c r="O428" s="142"/>
      <c r="P428" s="142"/>
      <c r="Q428" s="173"/>
      <c r="R428" s="477"/>
      <c r="S428" s="271"/>
      <c r="T428" s="141"/>
    </row>
    <row r="429" ht="30.0" customHeight="1">
      <c r="A429" s="173">
        <v>425.0</v>
      </c>
      <c r="B429" s="173"/>
      <c r="C429" s="142"/>
      <c r="D429" s="173"/>
      <c r="E429" s="173"/>
      <c r="F429" s="476"/>
      <c r="G429" s="142"/>
      <c r="H429" s="142"/>
      <c r="I429" s="173"/>
      <c r="J429" s="173"/>
      <c r="K429" s="173"/>
      <c r="L429" s="173"/>
      <c r="M429" s="173"/>
      <c r="N429" s="142"/>
      <c r="O429" s="142"/>
      <c r="P429" s="142"/>
      <c r="Q429" s="173"/>
      <c r="R429" s="477"/>
      <c r="S429" s="271"/>
      <c r="T429" s="141"/>
    </row>
    <row r="430" ht="30.0" customHeight="1">
      <c r="A430" s="173">
        <v>426.0</v>
      </c>
      <c r="B430" s="173"/>
      <c r="C430" s="142"/>
      <c r="D430" s="173"/>
      <c r="E430" s="173"/>
      <c r="F430" s="476"/>
      <c r="G430" s="142"/>
      <c r="H430" s="142"/>
      <c r="I430" s="173"/>
      <c r="J430" s="173"/>
      <c r="K430" s="173"/>
      <c r="L430" s="173"/>
      <c r="M430" s="173"/>
      <c r="N430" s="142"/>
      <c r="O430" s="142"/>
      <c r="P430" s="142"/>
      <c r="Q430" s="173"/>
      <c r="R430" s="477"/>
      <c r="S430" s="271"/>
      <c r="T430" s="141"/>
    </row>
    <row r="431" ht="30.0" customHeight="1">
      <c r="A431" s="173">
        <v>427.0</v>
      </c>
      <c r="B431" s="173"/>
      <c r="C431" s="142"/>
      <c r="D431" s="173"/>
      <c r="E431" s="173"/>
      <c r="F431" s="476"/>
      <c r="G431" s="142"/>
      <c r="H431" s="142"/>
      <c r="I431" s="173"/>
      <c r="J431" s="173"/>
      <c r="K431" s="173"/>
      <c r="L431" s="173"/>
      <c r="M431" s="173"/>
      <c r="N431" s="142"/>
      <c r="O431" s="142"/>
      <c r="P431" s="142"/>
      <c r="Q431" s="173"/>
      <c r="R431" s="477"/>
      <c r="S431" s="271"/>
      <c r="T431" s="141"/>
    </row>
    <row r="432" ht="30.0" customHeight="1">
      <c r="A432" s="173">
        <v>428.0</v>
      </c>
      <c r="B432" s="173"/>
      <c r="C432" s="142"/>
      <c r="D432" s="173"/>
      <c r="E432" s="173"/>
      <c r="F432" s="476"/>
      <c r="G432" s="142"/>
      <c r="H432" s="142"/>
      <c r="I432" s="173"/>
      <c r="J432" s="173"/>
      <c r="K432" s="173"/>
      <c r="L432" s="173"/>
      <c r="M432" s="173"/>
      <c r="N432" s="142"/>
      <c r="O432" s="142"/>
      <c r="P432" s="142"/>
      <c r="Q432" s="173"/>
      <c r="R432" s="477"/>
      <c r="S432" s="271"/>
      <c r="T432" s="141"/>
    </row>
    <row r="433" ht="30.0" customHeight="1">
      <c r="A433" s="173">
        <v>429.0</v>
      </c>
      <c r="B433" s="173"/>
      <c r="C433" s="142"/>
      <c r="D433" s="173"/>
      <c r="E433" s="173"/>
      <c r="F433" s="476"/>
      <c r="G433" s="142"/>
      <c r="H433" s="142"/>
      <c r="I433" s="173"/>
      <c r="J433" s="173"/>
      <c r="K433" s="173"/>
      <c r="L433" s="173"/>
      <c r="M433" s="173"/>
      <c r="N433" s="142"/>
      <c r="O433" s="142"/>
      <c r="P433" s="142"/>
      <c r="Q433" s="173"/>
      <c r="R433" s="477"/>
      <c r="S433" s="271"/>
      <c r="T433" s="141"/>
    </row>
    <row r="434" ht="30.0" customHeight="1">
      <c r="A434" s="173">
        <v>430.0</v>
      </c>
      <c r="B434" s="173"/>
      <c r="C434" s="142"/>
      <c r="D434" s="173"/>
      <c r="E434" s="173"/>
      <c r="F434" s="476"/>
      <c r="G434" s="142"/>
      <c r="H434" s="142"/>
      <c r="I434" s="173"/>
      <c r="J434" s="173"/>
      <c r="K434" s="173"/>
      <c r="L434" s="173"/>
      <c r="M434" s="173"/>
      <c r="N434" s="142"/>
      <c r="O434" s="142"/>
      <c r="P434" s="142"/>
      <c r="Q434" s="173"/>
      <c r="R434" s="477"/>
      <c r="S434" s="271"/>
      <c r="T434" s="141"/>
    </row>
    <row r="435" ht="30.0" customHeight="1">
      <c r="A435" s="173">
        <v>431.0</v>
      </c>
      <c r="B435" s="173"/>
      <c r="C435" s="142"/>
      <c r="D435" s="173"/>
      <c r="E435" s="173"/>
      <c r="F435" s="476"/>
      <c r="G435" s="142"/>
      <c r="H435" s="142"/>
      <c r="I435" s="173"/>
      <c r="J435" s="173"/>
      <c r="K435" s="173"/>
      <c r="L435" s="173"/>
      <c r="M435" s="173"/>
      <c r="N435" s="142"/>
      <c r="O435" s="142"/>
      <c r="P435" s="142"/>
      <c r="Q435" s="173"/>
      <c r="R435" s="477"/>
      <c r="S435" s="271"/>
      <c r="T435" s="141"/>
    </row>
    <row r="436" ht="30.0" customHeight="1">
      <c r="A436" s="173">
        <v>432.0</v>
      </c>
      <c r="B436" s="173"/>
      <c r="C436" s="142"/>
      <c r="D436" s="173"/>
      <c r="E436" s="173"/>
      <c r="F436" s="476"/>
      <c r="G436" s="142"/>
      <c r="H436" s="142"/>
      <c r="I436" s="173"/>
      <c r="J436" s="173"/>
      <c r="K436" s="173"/>
      <c r="L436" s="173"/>
      <c r="M436" s="173"/>
      <c r="N436" s="142"/>
      <c r="O436" s="142"/>
      <c r="P436" s="142"/>
      <c r="Q436" s="173"/>
      <c r="R436" s="477"/>
      <c r="S436" s="271"/>
      <c r="T436" s="141"/>
    </row>
    <row r="437" ht="30.0" customHeight="1">
      <c r="A437" s="173">
        <v>433.0</v>
      </c>
      <c r="B437" s="173"/>
      <c r="C437" s="142"/>
      <c r="D437" s="173"/>
      <c r="E437" s="173"/>
      <c r="F437" s="476"/>
      <c r="G437" s="142"/>
      <c r="H437" s="142"/>
      <c r="I437" s="173"/>
      <c r="J437" s="173"/>
      <c r="K437" s="173"/>
      <c r="L437" s="173"/>
      <c r="M437" s="173"/>
      <c r="N437" s="142"/>
      <c r="O437" s="142"/>
      <c r="P437" s="142"/>
      <c r="Q437" s="173"/>
      <c r="R437" s="477"/>
      <c r="S437" s="271"/>
      <c r="T437" s="141"/>
    </row>
    <row r="438" ht="30.0" customHeight="1">
      <c r="A438" s="173">
        <v>434.0</v>
      </c>
      <c r="B438" s="173"/>
      <c r="C438" s="142"/>
      <c r="D438" s="173"/>
      <c r="E438" s="173"/>
      <c r="F438" s="476"/>
      <c r="G438" s="142"/>
      <c r="H438" s="142"/>
      <c r="I438" s="173"/>
      <c r="J438" s="173"/>
      <c r="K438" s="173"/>
      <c r="L438" s="173"/>
      <c r="M438" s="173"/>
      <c r="N438" s="142"/>
      <c r="O438" s="142"/>
      <c r="P438" s="142"/>
      <c r="Q438" s="173"/>
      <c r="R438" s="477"/>
      <c r="S438" s="271"/>
      <c r="T438" s="141"/>
    </row>
    <row r="439" ht="30.0" customHeight="1">
      <c r="A439" s="173">
        <v>435.0</v>
      </c>
      <c r="B439" s="173"/>
      <c r="C439" s="142"/>
      <c r="D439" s="173"/>
      <c r="E439" s="173"/>
      <c r="F439" s="476"/>
      <c r="G439" s="142"/>
      <c r="H439" s="142"/>
      <c r="I439" s="173"/>
      <c r="J439" s="173"/>
      <c r="K439" s="173"/>
      <c r="L439" s="173"/>
      <c r="M439" s="173"/>
      <c r="N439" s="142"/>
      <c r="O439" s="142"/>
      <c r="P439" s="142"/>
      <c r="Q439" s="173"/>
      <c r="R439" s="477"/>
      <c r="S439" s="271"/>
      <c r="T439" s="141"/>
    </row>
    <row r="440" ht="30.0" customHeight="1">
      <c r="A440" s="173">
        <v>436.0</v>
      </c>
      <c r="B440" s="173"/>
      <c r="C440" s="142"/>
      <c r="D440" s="173"/>
      <c r="E440" s="173"/>
      <c r="F440" s="476"/>
      <c r="G440" s="142"/>
      <c r="H440" s="142"/>
      <c r="I440" s="173"/>
      <c r="J440" s="173"/>
      <c r="K440" s="173"/>
      <c r="L440" s="173"/>
      <c r="M440" s="173"/>
      <c r="N440" s="142"/>
      <c r="O440" s="142"/>
      <c r="P440" s="142"/>
      <c r="Q440" s="173"/>
      <c r="R440" s="477"/>
      <c r="S440" s="271"/>
      <c r="T440" s="141"/>
    </row>
    <row r="441" ht="30.0" customHeight="1">
      <c r="A441" s="173">
        <v>437.0</v>
      </c>
      <c r="B441" s="173"/>
      <c r="C441" s="142"/>
      <c r="D441" s="173"/>
      <c r="E441" s="173"/>
      <c r="F441" s="476"/>
      <c r="G441" s="142"/>
      <c r="H441" s="142"/>
      <c r="I441" s="173"/>
      <c r="J441" s="173"/>
      <c r="K441" s="173"/>
      <c r="L441" s="173"/>
      <c r="M441" s="173"/>
      <c r="N441" s="142"/>
      <c r="O441" s="142"/>
      <c r="P441" s="142"/>
      <c r="Q441" s="173"/>
      <c r="R441" s="477"/>
      <c r="S441" s="271"/>
      <c r="T441" s="141"/>
    </row>
    <row r="442" ht="30.0" customHeight="1">
      <c r="A442" s="173">
        <v>438.0</v>
      </c>
      <c r="B442" s="173"/>
      <c r="C442" s="142"/>
      <c r="D442" s="173"/>
      <c r="E442" s="173"/>
      <c r="F442" s="476"/>
      <c r="G442" s="142"/>
      <c r="H442" s="142"/>
      <c r="I442" s="173"/>
      <c r="J442" s="173"/>
      <c r="K442" s="173"/>
      <c r="L442" s="173"/>
      <c r="M442" s="173"/>
      <c r="N442" s="142"/>
      <c r="O442" s="142"/>
      <c r="P442" s="142"/>
      <c r="Q442" s="173"/>
      <c r="R442" s="477"/>
      <c r="S442" s="271"/>
      <c r="T442" s="141"/>
    </row>
    <row r="443" ht="30.0" customHeight="1">
      <c r="A443" s="173">
        <v>439.0</v>
      </c>
      <c r="B443" s="173"/>
      <c r="C443" s="142"/>
      <c r="D443" s="173"/>
      <c r="E443" s="173"/>
      <c r="F443" s="476"/>
      <c r="G443" s="142"/>
      <c r="H443" s="142"/>
      <c r="I443" s="173"/>
      <c r="J443" s="173"/>
      <c r="K443" s="173"/>
      <c r="L443" s="173"/>
      <c r="M443" s="173"/>
      <c r="N443" s="142"/>
      <c r="O443" s="142"/>
      <c r="P443" s="142"/>
      <c r="Q443" s="173"/>
      <c r="R443" s="477"/>
      <c r="S443" s="271"/>
      <c r="T443" s="141"/>
    </row>
    <row r="444" ht="30.0" customHeight="1">
      <c r="A444" s="173">
        <v>440.0</v>
      </c>
      <c r="B444" s="173"/>
      <c r="C444" s="142"/>
      <c r="D444" s="173"/>
      <c r="E444" s="173"/>
      <c r="F444" s="476"/>
      <c r="G444" s="142"/>
      <c r="H444" s="142"/>
      <c r="I444" s="173"/>
      <c r="J444" s="173"/>
      <c r="K444" s="173"/>
      <c r="L444" s="173"/>
      <c r="M444" s="173"/>
      <c r="N444" s="142"/>
      <c r="O444" s="142"/>
      <c r="P444" s="142"/>
      <c r="Q444" s="173"/>
      <c r="R444" s="477"/>
      <c r="S444" s="271"/>
      <c r="T444" s="141"/>
    </row>
    <row r="445" ht="30.0" customHeight="1">
      <c r="A445" s="173">
        <v>441.0</v>
      </c>
      <c r="B445" s="173"/>
      <c r="C445" s="142"/>
      <c r="D445" s="173"/>
      <c r="E445" s="173"/>
      <c r="F445" s="476"/>
      <c r="G445" s="142"/>
      <c r="H445" s="142"/>
      <c r="I445" s="173"/>
      <c r="J445" s="173"/>
      <c r="K445" s="173"/>
      <c r="L445" s="173"/>
      <c r="M445" s="173"/>
      <c r="N445" s="142"/>
      <c r="O445" s="142"/>
      <c r="P445" s="142"/>
      <c r="Q445" s="173"/>
      <c r="R445" s="477"/>
      <c r="S445" s="271"/>
      <c r="T445" s="141"/>
    </row>
    <row r="446" ht="30.0" customHeight="1">
      <c r="A446" s="173">
        <v>442.0</v>
      </c>
      <c r="B446" s="173"/>
      <c r="C446" s="142"/>
      <c r="D446" s="173"/>
      <c r="E446" s="173"/>
      <c r="F446" s="476"/>
      <c r="G446" s="142"/>
      <c r="H446" s="142"/>
      <c r="I446" s="173"/>
      <c r="J446" s="173"/>
      <c r="K446" s="173"/>
      <c r="L446" s="173"/>
      <c r="M446" s="173"/>
      <c r="N446" s="142"/>
      <c r="O446" s="142"/>
      <c r="P446" s="142"/>
      <c r="Q446" s="173"/>
      <c r="R446" s="477"/>
      <c r="S446" s="271"/>
      <c r="T446" s="141"/>
    </row>
    <row r="447" ht="30.0" customHeight="1">
      <c r="A447" s="173">
        <v>443.0</v>
      </c>
      <c r="B447" s="173"/>
      <c r="C447" s="142"/>
      <c r="D447" s="173"/>
      <c r="E447" s="173"/>
      <c r="F447" s="476"/>
      <c r="G447" s="142"/>
      <c r="H447" s="142"/>
      <c r="I447" s="173"/>
      <c r="J447" s="173"/>
      <c r="K447" s="173"/>
      <c r="L447" s="173"/>
      <c r="M447" s="173"/>
      <c r="N447" s="142"/>
      <c r="O447" s="142"/>
      <c r="P447" s="142"/>
      <c r="Q447" s="173"/>
      <c r="R447" s="477"/>
      <c r="S447" s="271"/>
      <c r="T447" s="141"/>
    </row>
    <row r="448" ht="30.0" customHeight="1">
      <c r="A448" s="173">
        <v>444.0</v>
      </c>
      <c r="B448" s="173"/>
      <c r="C448" s="142"/>
      <c r="D448" s="173"/>
      <c r="E448" s="173"/>
      <c r="F448" s="476"/>
      <c r="G448" s="142"/>
      <c r="H448" s="142"/>
      <c r="I448" s="173"/>
      <c r="J448" s="173"/>
      <c r="K448" s="173"/>
      <c r="L448" s="173"/>
      <c r="M448" s="173"/>
      <c r="N448" s="142"/>
      <c r="O448" s="142"/>
      <c r="P448" s="142"/>
      <c r="Q448" s="173"/>
      <c r="R448" s="477"/>
      <c r="S448" s="271"/>
      <c r="T448" s="141"/>
    </row>
    <row r="449" ht="30.0" customHeight="1">
      <c r="A449" s="173">
        <v>445.0</v>
      </c>
      <c r="B449" s="173"/>
      <c r="C449" s="142"/>
      <c r="D449" s="173"/>
      <c r="E449" s="173"/>
      <c r="F449" s="476"/>
      <c r="G449" s="142"/>
      <c r="H449" s="142"/>
      <c r="I449" s="173"/>
      <c r="J449" s="173"/>
      <c r="K449" s="173"/>
      <c r="L449" s="173"/>
      <c r="M449" s="173"/>
      <c r="N449" s="142"/>
      <c r="O449" s="142"/>
      <c r="P449" s="142"/>
      <c r="Q449" s="173"/>
      <c r="R449" s="477"/>
      <c r="S449" s="271"/>
      <c r="T449" s="141"/>
    </row>
    <row r="450" ht="30.0" customHeight="1">
      <c r="A450" s="173">
        <v>446.0</v>
      </c>
      <c r="B450" s="173"/>
      <c r="C450" s="142"/>
      <c r="D450" s="173"/>
      <c r="E450" s="173"/>
      <c r="F450" s="476"/>
      <c r="G450" s="142"/>
      <c r="H450" s="142"/>
      <c r="I450" s="173"/>
      <c r="J450" s="173"/>
      <c r="K450" s="173"/>
      <c r="L450" s="173"/>
      <c r="M450" s="173"/>
      <c r="N450" s="142"/>
      <c r="O450" s="142"/>
      <c r="P450" s="142"/>
      <c r="Q450" s="173"/>
      <c r="R450" s="477"/>
      <c r="S450" s="271"/>
      <c r="T450" s="141"/>
    </row>
    <row r="451" ht="30.0" customHeight="1">
      <c r="A451" s="173">
        <v>447.0</v>
      </c>
      <c r="B451" s="173"/>
      <c r="C451" s="142"/>
      <c r="D451" s="173"/>
      <c r="E451" s="173"/>
      <c r="F451" s="476"/>
      <c r="G451" s="142"/>
      <c r="H451" s="142"/>
      <c r="I451" s="173"/>
      <c r="J451" s="173"/>
      <c r="K451" s="173"/>
      <c r="L451" s="173"/>
      <c r="M451" s="173"/>
      <c r="N451" s="142"/>
      <c r="O451" s="142"/>
      <c r="P451" s="142"/>
      <c r="Q451" s="173"/>
      <c r="R451" s="477"/>
      <c r="S451" s="271"/>
      <c r="T451" s="141"/>
    </row>
    <row r="452" ht="30.0" customHeight="1">
      <c r="A452" s="173">
        <v>448.0</v>
      </c>
      <c r="B452" s="173"/>
      <c r="C452" s="142"/>
      <c r="D452" s="173"/>
      <c r="E452" s="173"/>
      <c r="F452" s="476"/>
      <c r="G452" s="142"/>
      <c r="H452" s="142"/>
      <c r="I452" s="173"/>
      <c r="J452" s="173"/>
      <c r="K452" s="173"/>
      <c r="L452" s="173"/>
      <c r="M452" s="173"/>
      <c r="N452" s="142"/>
      <c r="O452" s="142"/>
      <c r="P452" s="142"/>
      <c r="Q452" s="173"/>
      <c r="R452" s="477"/>
      <c r="S452" s="271"/>
      <c r="T452" s="141"/>
    </row>
    <row r="453" ht="30.0" customHeight="1">
      <c r="A453" s="173">
        <v>449.0</v>
      </c>
      <c r="B453" s="173"/>
      <c r="C453" s="142"/>
      <c r="D453" s="173"/>
      <c r="E453" s="173"/>
      <c r="F453" s="476"/>
      <c r="G453" s="142"/>
      <c r="H453" s="142"/>
      <c r="I453" s="173"/>
      <c r="J453" s="173"/>
      <c r="K453" s="173"/>
      <c r="L453" s="173"/>
      <c r="M453" s="173"/>
      <c r="N453" s="142"/>
      <c r="O453" s="142"/>
      <c r="P453" s="142"/>
      <c r="Q453" s="173"/>
      <c r="R453" s="477"/>
      <c r="S453" s="271"/>
      <c r="T453" s="141"/>
    </row>
    <row r="454" ht="30.0" customHeight="1">
      <c r="A454" s="173">
        <v>450.0</v>
      </c>
      <c r="B454" s="173"/>
      <c r="C454" s="142"/>
      <c r="D454" s="173"/>
      <c r="E454" s="173"/>
      <c r="F454" s="476"/>
      <c r="G454" s="142"/>
      <c r="H454" s="142"/>
      <c r="I454" s="173"/>
      <c r="J454" s="173"/>
      <c r="K454" s="173"/>
      <c r="L454" s="173"/>
      <c r="M454" s="173"/>
      <c r="N454" s="142"/>
      <c r="O454" s="142"/>
      <c r="P454" s="142"/>
      <c r="Q454" s="173"/>
      <c r="R454" s="477"/>
      <c r="S454" s="271"/>
      <c r="T454" s="141"/>
    </row>
    <row r="455" ht="30.0" customHeight="1">
      <c r="A455" s="173">
        <v>451.0</v>
      </c>
      <c r="B455" s="173"/>
      <c r="C455" s="142"/>
      <c r="D455" s="173"/>
      <c r="E455" s="173"/>
      <c r="F455" s="476"/>
      <c r="G455" s="142"/>
      <c r="H455" s="142"/>
      <c r="I455" s="173"/>
      <c r="J455" s="173"/>
      <c r="K455" s="173"/>
      <c r="L455" s="173"/>
      <c r="M455" s="173"/>
      <c r="N455" s="142"/>
      <c r="O455" s="142"/>
      <c r="P455" s="142"/>
      <c r="Q455" s="173"/>
      <c r="R455" s="477"/>
      <c r="S455" s="271"/>
      <c r="T455" s="141"/>
    </row>
    <row r="456" ht="30.0" customHeight="1">
      <c r="A456" s="173">
        <v>452.0</v>
      </c>
      <c r="B456" s="173"/>
      <c r="C456" s="142"/>
      <c r="D456" s="173"/>
      <c r="E456" s="173"/>
      <c r="F456" s="476"/>
      <c r="G456" s="142"/>
      <c r="H456" s="142"/>
      <c r="I456" s="173"/>
      <c r="J456" s="173"/>
      <c r="K456" s="173"/>
      <c r="L456" s="173"/>
      <c r="M456" s="173"/>
      <c r="N456" s="142"/>
      <c r="O456" s="142"/>
      <c r="P456" s="142"/>
      <c r="Q456" s="173"/>
      <c r="R456" s="477"/>
      <c r="S456" s="271"/>
      <c r="T456" s="141"/>
    </row>
    <row r="457" ht="30.0" customHeight="1">
      <c r="A457" s="173">
        <v>453.0</v>
      </c>
      <c r="B457" s="173"/>
      <c r="C457" s="142"/>
      <c r="D457" s="173"/>
      <c r="E457" s="173"/>
      <c r="F457" s="476"/>
      <c r="G457" s="142"/>
      <c r="H457" s="142"/>
      <c r="I457" s="173"/>
      <c r="J457" s="173"/>
      <c r="K457" s="173"/>
      <c r="L457" s="173"/>
      <c r="M457" s="173"/>
      <c r="N457" s="142"/>
      <c r="O457" s="142"/>
      <c r="P457" s="142"/>
      <c r="Q457" s="173"/>
      <c r="R457" s="477"/>
      <c r="S457" s="271"/>
      <c r="T457" s="141"/>
    </row>
    <row r="458" ht="30.0" customHeight="1">
      <c r="A458" s="173">
        <v>454.0</v>
      </c>
      <c r="B458" s="173"/>
      <c r="C458" s="142"/>
      <c r="D458" s="173"/>
      <c r="E458" s="173"/>
      <c r="F458" s="476"/>
      <c r="G458" s="142"/>
      <c r="H458" s="142"/>
      <c r="I458" s="173"/>
      <c r="J458" s="173"/>
      <c r="K458" s="173"/>
      <c r="L458" s="173"/>
      <c r="M458" s="173"/>
      <c r="N458" s="142"/>
      <c r="O458" s="142"/>
      <c r="P458" s="142"/>
      <c r="Q458" s="173"/>
      <c r="R458" s="477"/>
      <c r="S458" s="271"/>
      <c r="T458" s="141"/>
    </row>
    <row r="459" ht="30.0" customHeight="1">
      <c r="A459" s="173">
        <v>455.0</v>
      </c>
      <c r="B459" s="173"/>
      <c r="C459" s="142"/>
      <c r="D459" s="173"/>
      <c r="E459" s="173"/>
      <c r="F459" s="476"/>
      <c r="G459" s="142"/>
      <c r="H459" s="142"/>
      <c r="I459" s="173"/>
      <c r="J459" s="173"/>
      <c r="K459" s="173"/>
      <c r="L459" s="173"/>
      <c r="M459" s="173"/>
      <c r="N459" s="142"/>
      <c r="O459" s="142"/>
      <c r="P459" s="142"/>
      <c r="Q459" s="173"/>
      <c r="R459" s="477"/>
      <c r="S459" s="271"/>
      <c r="T459" s="141"/>
    </row>
    <row r="460" ht="30.0" customHeight="1">
      <c r="A460" s="173">
        <v>456.0</v>
      </c>
      <c r="B460" s="173"/>
      <c r="C460" s="142"/>
      <c r="D460" s="173"/>
      <c r="E460" s="173"/>
      <c r="F460" s="476"/>
      <c r="G460" s="142"/>
      <c r="H460" s="142"/>
      <c r="I460" s="173"/>
      <c r="J460" s="173"/>
      <c r="K460" s="173"/>
      <c r="L460" s="173"/>
      <c r="M460" s="173"/>
      <c r="N460" s="142"/>
      <c r="O460" s="142"/>
      <c r="P460" s="142"/>
      <c r="Q460" s="173"/>
      <c r="R460" s="477"/>
      <c r="S460" s="271"/>
      <c r="T460" s="141"/>
    </row>
    <row r="461" ht="30.0" customHeight="1">
      <c r="A461" s="173">
        <v>457.0</v>
      </c>
      <c r="B461" s="173"/>
      <c r="C461" s="142"/>
      <c r="D461" s="173"/>
      <c r="E461" s="173"/>
      <c r="F461" s="476"/>
      <c r="G461" s="142"/>
      <c r="H461" s="142"/>
      <c r="I461" s="173"/>
      <c r="J461" s="173"/>
      <c r="K461" s="173"/>
      <c r="L461" s="173"/>
      <c r="M461" s="173"/>
      <c r="N461" s="142"/>
      <c r="O461" s="142"/>
      <c r="P461" s="142"/>
      <c r="Q461" s="173"/>
      <c r="R461" s="477"/>
      <c r="S461" s="271"/>
      <c r="T461" s="141"/>
    </row>
    <row r="462" ht="30.0" customHeight="1">
      <c r="A462" s="173">
        <v>458.0</v>
      </c>
      <c r="B462" s="173"/>
      <c r="C462" s="142"/>
      <c r="D462" s="173"/>
      <c r="E462" s="173"/>
      <c r="F462" s="476"/>
      <c r="G462" s="142"/>
      <c r="H462" s="142"/>
      <c r="I462" s="173"/>
      <c r="J462" s="173"/>
      <c r="K462" s="173"/>
      <c r="L462" s="173"/>
      <c r="M462" s="173"/>
      <c r="N462" s="142"/>
      <c r="O462" s="142"/>
      <c r="P462" s="142"/>
      <c r="Q462" s="173"/>
      <c r="R462" s="477"/>
      <c r="S462" s="271"/>
      <c r="T462" s="141"/>
    </row>
    <row r="463" ht="30.0" customHeight="1">
      <c r="A463" s="173">
        <v>459.0</v>
      </c>
      <c r="B463" s="173"/>
      <c r="C463" s="142"/>
      <c r="D463" s="173"/>
      <c r="E463" s="173"/>
      <c r="F463" s="476"/>
      <c r="G463" s="142"/>
      <c r="H463" s="142"/>
      <c r="I463" s="173"/>
      <c r="J463" s="173"/>
      <c r="K463" s="173"/>
      <c r="L463" s="173"/>
      <c r="M463" s="173"/>
      <c r="N463" s="142"/>
      <c r="O463" s="142"/>
      <c r="P463" s="142"/>
      <c r="Q463" s="173"/>
      <c r="R463" s="477"/>
      <c r="S463" s="271"/>
      <c r="T463" s="141"/>
    </row>
    <row r="464" ht="30.0" customHeight="1">
      <c r="A464" s="173">
        <v>460.0</v>
      </c>
      <c r="B464" s="173"/>
      <c r="C464" s="142"/>
      <c r="D464" s="173"/>
      <c r="E464" s="173"/>
      <c r="F464" s="476"/>
      <c r="G464" s="142"/>
      <c r="H464" s="142"/>
      <c r="I464" s="173"/>
      <c r="J464" s="173"/>
      <c r="K464" s="173"/>
      <c r="L464" s="173"/>
      <c r="M464" s="173"/>
      <c r="N464" s="142"/>
      <c r="O464" s="142"/>
      <c r="P464" s="142"/>
      <c r="Q464" s="173"/>
      <c r="R464" s="477"/>
      <c r="S464" s="271"/>
      <c r="T464" s="141"/>
    </row>
    <row r="465" ht="30.0" customHeight="1">
      <c r="A465" s="173">
        <v>461.0</v>
      </c>
      <c r="B465" s="173"/>
      <c r="C465" s="142"/>
      <c r="D465" s="173"/>
      <c r="E465" s="173"/>
      <c r="F465" s="476"/>
      <c r="G465" s="142"/>
      <c r="H465" s="142"/>
      <c r="I465" s="173"/>
      <c r="J465" s="173"/>
      <c r="K465" s="173"/>
      <c r="L465" s="173"/>
      <c r="M465" s="173"/>
      <c r="N465" s="142"/>
      <c r="O465" s="142"/>
      <c r="P465" s="142"/>
      <c r="Q465" s="173"/>
      <c r="R465" s="477"/>
      <c r="S465" s="271"/>
      <c r="T465" s="141"/>
    </row>
    <row r="466" ht="30.0" customHeight="1">
      <c r="A466" s="173">
        <v>462.0</v>
      </c>
      <c r="B466" s="173"/>
      <c r="C466" s="142"/>
      <c r="D466" s="173"/>
      <c r="E466" s="173"/>
      <c r="F466" s="476"/>
      <c r="G466" s="142"/>
      <c r="H466" s="142"/>
      <c r="I466" s="173"/>
      <c r="J466" s="173"/>
      <c r="K466" s="173"/>
      <c r="L466" s="173"/>
      <c r="M466" s="173"/>
      <c r="N466" s="142"/>
      <c r="O466" s="142"/>
      <c r="P466" s="142"/>
      <c r="Q466" s="173"/>
      <c r="R466" s="477"/>
      <c r="S466" s="271"/>
      <c r="T466" s="141"/>
    </row>
    <row r="467" ht="30.0" customHeight="1">
      <c r="A467" s="173">
        <v>463.0</v>
      </c>
      <c r="B467" s="173"/>
      <c r="C467" s="142"/>
      <c r="D467" s="173"/>
      <c r="E467" s="173"/>
      <c r="F467" s="476"/>
      <c r="G467" s="142"/>
      <c r="H467" s="142"/>
      <c r="I467" s="173"/>
      <c r="J467" s="173"/>
      <c r="K467" s="173"/>
      <c r="L467" s="173"/>
      <c r="M467" s="173"/>
      <c r="N467" s="142"/>
      <c r="O467" s="142"/>
      <c r="P467" s="142"/>
      <c r="Q467" s="173"/>
      <c r="R467" s="477"/>
      <c r="S467" s="271"/>
      <c r="T467" s="141"/>
    </row>
    <row r="468" ht="30.0" customHeight="1">
      <c r="A468" s="173">
        <v>464.0</v>
      </c>
      <c r="B468" s="173"/>
      <c r="C468" s="142"/>
      <c r="D468" s="173"/>
      <c r="E468" s="173"/>
      <c r="F468" s="476"/>
      <c r="G468" s="142"/>
      <c r="H468" s="142"/>
      <c r="I468" s="173"/>
      <c r="J468" s="173"/>
      <c r="K468" s="173"/>
      <c r="L468" s="173"/>
      <c r="M468" s="173"/>
      <c r="N468" s="142"/>
      <c r="O468" s="142"/>
      <c r="P468" s="142"/>
      <c r="Q468" s="173"/>
      <c r="R468" s="477"/>
      <c r="S468" s="271"/>
      <c r="T468" s="141"/>
    </row>
    <row r="469" ht="30.0" customHeight="1">
      <c r="A469" s="173">
        <v>465.0</v>
      </c>
      <c r="B469" s="173"/>
      <c r="C469" s="142"/>
      <c r="D469" s="173"/>
      <c r="E469" s="173"/>
      <c r="F469" s="476"/>
      <c r="G469" s="142"/>
      <c r="H469" s="142"/>
      <c r="I469" s="173"/>
      <c r="J469" s="173"/>
      <c r="K469" s="173"/>
      <c r="L469" s="173"/>
      <c r="M469" s="173"/>
      <c r="N469" s="142"/>
      <c r="O469" s="142"/>
      <c r="P469" s="142"/>
      <c r="Q469" s="173"/>
      <c r="R469" s="477"/>
      <c r="S469" s="271"/>
      <c r="T469" s="141"/>
    </row>
    <row r="470" ht="30.0" customHeight="1">
      <c r="A470" s="173">
        <v>466.0</v>
      </c>
      <c r="B470" s="173"/>
      <c r="C470" s="142"/>
      <c r="D470" s="173"/>
      <c r="E470" s="173"/>
      <c r="F470" s="476"/>
      <c r="G470" s="142"/>
      <c r="H470" s="142"/>
      <c r="I470" s="173"/>
      <c r="J470" s="173"/>
      <c r="K470" s="173"/>
      <c r="L470" s="173"/>
      <c r="M470" s="173"/>
      <c r="N470" s="142"/>
      <c r="O470" s="142"/>
      <c r="P470" s="142"/>
      <c r="Q470" s="173"/>
      <c r="R470" s="477"/>
      <c r="S470" s="271"/>
      <c r="T470" s="141"/>
    </row>
    <row r="471" ht="30.0" customHeight="1">
      <c r="A471" s="173">
        <v>467.0</v>
      </c>
      <c r="B471" s="173"/>
      <c r="C471" s="142"/>
      <c r="D471" s="173"/>
      <c r="E471" s="173"/>
      <c r="F471" s="476"/>
      <c r="G471" s="142"/>
      <c r="H471" s="142"/>
      <c r="I471" s="173"/>
      <c r="J471" s="173"/>
      <c r="K471" s="173"/>
      <c r="L471" s="173"/>
      <c r="M471" s="173"/>
      <c r="N471" s="142"/>
      <c r="O471" s="142"/>
      <c r="P471" s="142"/>
      <c r="Q471" s="173"/>
      <c r="R471" s="477"/>
      <c r="S471" s="271"/>
      <c r="T471" s="141"/>
    </row>
    <row r="472" ht="30.0" customHeight="1">
      <c r="A472" s="173">
        <v>468.0</v>
      </c>
      <c r="B472" s="173"/>
      <c r="C472" s="142"/>
      <c r="D472" s="173"/>
      <c r="E472" s="173"/>
      <c r="F472" s="476"/>
      <c r="G472" s="142"/>
      <c r="H472" s="142"/>
      <c r="I472" s="173"/>
      <c r="J472" s="173"/>
      <c r="K472" s="173"/>
      <c r="L472" s="173"/>
      <c r="M472" s="173"/>
      <c r="N472" s="142"/>
      <c r="O472" s="142"/>
      <c r="P472" s="142"/>
      <c r="Q472" s="173"/>
      <c r="R472" s="477"/>
      <c r="S472" s="271"/>
      <c r="T472" s="141"/>
    </row>
    <row r="473" ht="30.0" customHeight="1">
      <c r="A473" s="173">
        <v>469.0</v>
      </c>
      <c r="B473" s="173"/>
      <c r="C473" s="142"/>
      <c r="D473" s="173"/>
      <c r="E473" s="173"/>
      <c r="F473" s="476"/>
      <c r="G473" s="142"/>
      <c r="H473" s="142"/>
      <c r="I473" s="173"/>
      <c r="J473" s="173"/>
      <c r="K473" s="173"/>
      <c r="L473" s="173"/>
      <c r="M473" s="173"/>
      <c r="N473" s="142"/>
      <c r="O473" s="142"/>
      <c r="P473" s="142"/>
      <c r="Q473" s="173"/>
      <c r="R473" s="477"/>
      <c r="S473" s="271"/>
      <c r="T473" s="141"/>
    </row>
    <row r="474" ht="30.0" customHeight="1">
      <c r="A474" s="173">
        <v>470.0</v>
      </c>
      <c r="B474" s="173"/>
      <c r="C474" s="142"/>
      <c r="D474" s="173"/>
      <c r="E474" s="173"/>
      <c r="F474" s="476"/>
      <c r="G474" s="142"/>
      <c r="H474" s="142"/>
      <c r="I474" s="173"/>
      <c r="J474" s="173"/>
      <c r="K474" s="173"/>
      <c r="L474" s="173"/>
      <c r="M474" s="173"/>
      <c r="N474" s="142"/>
      <c r="O474" s="142"/>
      <c r="P474" s="142"/>
      <c r="Q474" s="173"/>
      <c r="R474" s="477"/>
      <c r="S474" s="271"/>
      <c r="T474" s="141"/>
    </row>
    <row r="475" ht="30.0" customHeight="1">
      <c r="A475" s="173">
        <v>471.0</v>
      </c>
      <c r="B475" s="173"/>
      <c r="C475" s="142"/>
      <c r="D475" s="173"/>
      <c r="E475" s="173"/>
      <c r="F475" s="476"/>
      <c r="G475" s="142"/>
      <c r="H475" s="142"/>
      <c r="I475" s="173"/>
      <c r="J475" s="173"/>
      <c r="K475" s="173"/>
      <c r="L475" s="173"/>
      <c r="M475" s="173"/>
      <c r="N475" s="142"/>
      <c r="O475" s="142"/>
      <c r="P475" s="142"/>
      <c r="Q475" s="173"/>
      <c r="R475" s="477"/>
      <c r="S475" s="271"/>
      <c r="T475" s="141"/>
    </row>
    <row r="476" ht="30.0" customHeight="1">
      <c r="A476" s="173">
        <v>472.0</v>
      </c>
      <c r="B476" s="173"/>
      <c r="C476" s="142"/>
      <c r="D476" s="173"/>
      <c r="E476" s="173"/>
      <c r="F476" s="476"/>
      <c r="G476" s="142"/>
      <c r="H476" s="142"/>
      <c r="I476" s="173"/>
      <c r="J476" s="173"/>
      <c r="K476" s="173"/>
      <c r="L476" s="173"/>
      <c r="M476" s="173"/>
      <c r="N476" s="142"/>
      <c r="O476" s="142"/>
      <c r="P476" s="142"/>
      <c r="Q476" s="173"/>
      <c r="R476" s="477"/>
      <c r="S476" s="271"/>
      <c r="T476" s="141"/>
    </row>
    <row r="477" ht="30.0" customHeight="1">
      <c r="A477" s="173">
        <v>473.0</v>
      </c>
      <c r="B477" s="173"/>
      <c r="C477" s="142"/>
      <c r="D477" s="173"/>
      <c r="E477" s="173"/>
      <c r="F477" s="476"/>
      <c r="G477" s="142"/>
      <c r="H477" s="142"/>
      <c r="I477" s="173"/>
      <c r="J477" s="173"/>
      <c r="K477" s="173"/>
      <c r="L477" s="173"/>
      <c r="M477" s="173"/>
      <c r="N477" s="142"/>
      <c r="O477" s="142"/>
      <c r="P477" s="142"/>
      <c r="Q477" s="173"/>
      <c r="R477" s="477"/>
      <c r="S477" s="271"/>
      <c r="T477" s="141"/>
    </row>
    <row r="478" ht="30.0" customHeight="1">
      <c r="A478" s="173">
        <v>474.0</v>
      </c>
      <c r="B478" s="173"/>
      <c r="C478" s="142"/>
      <c r="D478" s="173"/>
      <c r="E478" s="173"/>
      <c r="F478" s="476"/>
      <c r="G478" s="142"/>
      <c r="H478" s="142"/>
      <c r="I478" s="173"/>
      <c r="J478" s="173"/>
      <c r="K478" s="173"/>
      <c r="L478" s="173"/>
      <c r="M478" s="173"/>
      <c r="N478" s="142"/>
      <c r="O478" s="142"/>
      <c r="P478" s="142"/>
      <c r="Q478" s="173"/>
      <c r="R478" s="477"/>
      <c r="S478" s="271"/>
      <c r="T478" s="141"/>
    </row>
    <row r="479" ht="30.0" customHeight="1">
      <c r="A479" s="173">
        <v>475.0</v>
      </c>
      <c r="B479" s="173"/>
      <c r="C479" s="142"/>
      <c r="D479" s="173"/>
      <c r="E479" s="173"/>
      <c r="F479" s="476"/>
      <c r="G479" s="142"/>
      <c r="H479" s="142"/>
      <c r="I479" s="173"/>
      <c r="J479" s="173"/>
      <c r="K479" s="173"/>
      <c r="L479" s="173"/>
      <c r="M479" s="173"/>
      <c r="N479" s="142"/>
      <c r="O479" s="142"/>
      <c r="P479" s="142"/>
      <c r="Q479" s="173"/>
      <c r="R479" s="477"/>
      <c r="S479" s="271"/>
      <c r="T479" s="141"/>
    </row>
    <row r="480" ht="30.0" customHeight="1">
      <c r="A480" s="173">
        <v>476.0</v>
      </c>
      <c r="B480" s="173"/>
      <c r="C480" s="142"/>
      <c r="D480" s="173"/>
      <c r="E480" s="173"/>
      <c r="F480" s="476"/>
      <c r="G480" s="142"/>
      <c r="H480" s="142"/>
      <c r="I480" s="173"/>
      <c r="J480" s="173"/>
      <c r="K480" s="173"/>
      <c r="L480" s="173"/>
      <c r="M480" s="173"/>
      <c r="N480" s="142"/>
      <c r="O480" s="142"/>
      <c r="P480" s="142"/>
      <c r="Q480" s="173"/>
      <c r="R480" s="477"/>
      <c r="S480" s="271"/>
      <c r="T480" s="141"/>
    </row>
    <row r="481" ht="30.0" customHeight="1">
      <c r="A481" s="173">
        <v>477.0</v>
      </c>
      <c r="B481" s="173"/>
      <c r="C481" s="142"/>
      <c r="D481" s="173"/>
      <c r="E481" s="173"/>
      <c r="F481" s="476"/>
      <c r="G481" s="142"/>
      <c r="H481" s="142"/>
      <c r="I481" s="173"/>
      <c r="J481" s="173"/>
      <c r="K481" s="173"/>
      <c r="L481" s="173"/>
      <c r="M481" s="173"/>
      <c r="N481" s="142"/>
      <c r="O481" s="142"/>
      <c r="P481" s="142"/>
      <c r="Q481" s="173"/>
      <c r="R481" s="477"/>
      <c r="S481" s="271"/>
      <c r="T481" s="141"/>
    </row>
    <row r="482" ht="30.0" customHeight="1">
      <c r="A482" s="173">
        <v>478.0</v>
      </c>
      <c r="B482" s="173"/>
      <c r="C482" s="142"/>
      <c r="D482" s="173"/>
      <c r="E482" s="173"/>
      <c r="F482" s="476"/>
      <c r="G482" s="142"/>
      <c r="H482" s="142"/>
      <c r="I482" s="173"/>
      <c r="J482" s="173"/>
      <c r="K482" s="173"/>
      <c r="L482" s="173"/>
      <c r="M482" s="173"/>
      <c r="N482" s="142"/>
      <c r="O482" s="142"/>
      <c r="P482" s="142"/>
      <c r="Q482" s="173"/>
      <c r="R482" s="477"/>
      <c r="S482" s="271"/>
      <c r="T482" s="141"/>
    </row>
    <row r="483" ht="30.0" customHeight="1">
      <c r="A483" s="173">
        <v>479.0</v>
      </c>
      <c r="B483" s="173"/>
      <c r="C483" s="142"/>
      <c r="D483" s="173"/>
      <c r="E483" s="173"/>
      <c r="F483" s="476"/>
      <c r="G483" s="142"/>
      <c r="H483" s="142"/>
      <c r="I483" s="173"/>
      <c r="J483" s="173"/>
      <c r="K483" s="173"/>
      <c r="L483" s="173"/>
      <c r="M483" s="173"/>
      <c r="N483" s="142"/>
      <c r="O483" s="142"/>
      <c r="P483" s="142"/>
      <c r="Q483" s="173"/>
      <c r="R483" s="477"/>
      <c r="S483" s="271"/>
      <c r="T483" s="141"/>
    </row>
    <row r="484" ht="30.0" customHeight="1">
      <c r="A484" s="173">
        <v>480.0</v>
      </c>
      <c r="B484" s="173"/>
      <c r="C484" s="142"/>
      <c r="D484" s="173"/>
      <c r="E484" s="173"/>
      <c r="F484" s="476"/>
      <c r="G484" s="142"/>
      <c r="H484" s="142"/>
      <c r="I484" s="173"/>
      <c r="J484" s="173"/>
      <c r="K484" s="173"/>
      <c r="L484" s="173"/>
      <c r="M484" s="173"/>
      <c r="N484" s="142"/>
      <c r="O484" s="142"/>
      <c r="P484" s="142"/>
      <c r="Q484" s="173"/>
      <c r="R484" s="477"/>
      <c r="S484" s="271"/>
      <c r="T484" s="141"/>
    </row>
    <row r="485" ht="30.0" customHeight="1">
      <c r="A485" s="173">
        <v>481.0</v>
      </c>
      <c r="B485" s="173"/>
      <c r="C485" s="142"/>
      <c r="D485" s="173"/>
      <c r="E485" s="173"/>
      <c r="F485" s="476"/>
      <c r="G485" s="142"/>
      <c r="H485" s="142"/>
      <c r="I485" s="173"/>
      <c r="J485" s="173"/>
      <c r="K485" s="173"/>
      <c r="L485" s="173"/>
      <c r="M485" s="173"/>
      <c r="N485" s="142"/>
      <c r="O485" s="142"/>
      <c r="P485" s="142"/>
      <c r="Q485" s="173"/>
      <c r="R485" s="477"/>
      <c r="S485" s="271"/>
      <c r="T485" s="141"/>
    </row>
    <row r="486" ht="30.0" customHeight="1">
      <c r="A486" s="173">
        <v>482.0</v>
      </c>
      <c r="B486" s="173"/>
      <c r="C486" s="142"/>
      <c r="D486" s="173"/>
      <c r="E486" s="173"/>
      <c r="F486" s="476"/>
      <c r="G486" s="142"/>
      <c r="H486" s="142"/>
      <c r="I486" s="173"/>
      <c r="J486" s="173"/>
      <c r="K486" s="173"/>
      <c r="L486" s="173"/>
      <c r="M486" s="173"/>
      <c r="N486" s="142"/>
      <c r="O486" s="142"/>
      <c r="P486" s="142"/>
      <c r="Q486" s="173"/>
      <c r="R486" s="477"/>
      <c r="S486" s="271"/>
      <c r="T486" s="141"/>
    </row>
    <row r="487" ht="30.0" customHeight="1">
      <c r="A487" s="173">
        <v>483.0</v>
      </c>
      <c r="B487" s="173"/>
      <c r="C487" s="142"/>
      <c r="D487" s="173"/>
      <c r="E487" s="173"/>
      <c r="F487" s="476"/>
      <c r="G487" s="142"/>
      <c r="H487" s="142"/>
      <c r="I487" s="173"/>
      <c r="J487" s="173"/>
      <c r="K487" s="173"/>
      <c r="L487" s="173"/>
      <c r="M487" s="173"/>
      <c r="N487" s="142"/>
      <c r="O487" s="142"/>
      <c r="P487" s="142"/>
      <c r="Q487" s="173"/>
      <c r="R487" s="477"/>
      <c r="S487" s="271"/>
      <c r="T487" s="141"/>
    </row>
    <row r="488" ht="30.0" customHeight="1">
      <c r="A488" s="173">
        <v>484.0</v>
      </c>
      <c r="B488" s="173"/>
      <c r="C488" s="142"/>
      <c r="D488" s="173"/>
      <c r="E488" s="173"/>
      <c r="F488" s="476"/>
      <c r="G488" s="142"/>
      <c r="H488" s="142"/>
      <c r="I488" s="173"/>
      <c r="J488" s="173"/>
      <c r="K488" s="173"/>
      <c r="L488" s="173"/>
      <c r="M488" s="173"/>
      <c r="N488" s="142"/>
      <c r="O488" s="142"/>
      <c r="P488" s="142"/>
      <c r="Q488" s="173"/>
      <c r="R488" s="477"/>
      <c r="S488" s="271"/>
      <c r="T488" s="141"/>
    </row>
    <row r="489" ht="30.0" customHeight="1">
      <c r="A489" s="173">
        <v>485.0</v>
      </c>
      <c r="B489" s="173"/>
      <c r="C489" s="142"/>
      <c r="D489" s="173"/>
      <c r="E489" s="173"/>
      <c r="F489" s="476"/>
      <c r="G489" s="142"/>
      <c r="H489" s="142"/>
      <c r="I489" s="173"/>
      <c r="J489" s="173"/>
      <c r="K489" s="173"/>
      <c r="L489" s="173"/>
      <c r="M489" s="173"/>
      <c r="N489" s="142"/>
      <c r="O489" s="142"/>
      <c r="P489" s="142"/>
      <c r="Q489" s="173"/>
      <c r="R489" s="477"/>
      <c r="S489" s="271"/>
      <c r="T489" s="141"/>
    </row>
    <row r="490" ht="30.0" customHeight="1">
      <c r="A490" s="173">
        <v>486.0</v>
      </c>
      <c r="B490" s="173"/>
      <c r="C490" s="142"/>
      <c r="D490" s="173"/>
      <c r="E490" s="173"/>
      <c r="F490" s="476"/>
      <c r="G490" s="142"/>
      <c r="H490" s="142"/>
      <c r="I490" s="173"/>
      <c r="J490" s="173"/>
      <c r="K490" s="173"/>
      <c r="L490" s="173"/>
      <c r="M490" s="173"/>
      <c r="N490" s="142"/>
      <c r="O490" s="142"/>
      <c r="P490" s="142"/>
      <c r="Q490" s="173"/>
      <c r="R490" s="477"/>
      <c r="S490" s="271"/>
      <c r="T490" s="141"/>
    </row>
    <row r="491" ht="30.0" customHeight="1">
      <c r="A491" s="173">
        <v>487.0</v>
      </c>
      <c r="B491" s="173"/>
      <c r="C491" s="142"/>
      <c r="D491" s="173"/>
      <c r="E491" s="173"/>
      <c r="F491" s="476"/>
      <c r="G491" s="142"/>
      <c r="H491" s="142"/>
      <c r="I491" s="173"/>
      <c r="J491" s="173"/>
      <c r="K491" s="173"/>
      <c r="L491" s="173"/>
      <c r="M491" s="173"/>
      <c r="N491" s="142"/>
      <c r="O491" s="142"/>
      <c r="P491" s="142"/>
      <c r="Q491" s="173"/>
      <c r="R491" s="477"/>
      <c r="S491" s="271"/>
      <c r="T491" s="141"/>
    </row>
    <row r="492" ht="30.0" customHeight="1">
      <c r="A492" s="173">
        <v>488.0</v>
      </c>
      <c r="B492" s="173"/>
      <c r="C492" s="142"/>
      <c r="D492" s="173"/>
      <c r="E492" s="173"/>
      <c r="F492" s="476"/>
      <c r="G492" s="142"/>
      <c r="H492" s="142"/>
      <c r="I492" s="173"/>
      <c r="J492" s="173"/>
      <c r="K492" s="173"/>
      <c r="L492" s="173"/>
      <c r="M492" s="173"/>
      <c r="N492" s="142"/>
      <c r="O492" s="142"/>
      <c r="P492" s="142"/>
      <c r="Q492" s="173"/>
      <c r="R492" s="477"/>
      <c r="S492" s="271"/>
      <c r="T492" s="141"/>
    </row>
    <row r="493" ht="30.0" customHeight="1">
      <c r="A493" s="173">
        <v>489.0</v>
      </c>
      <c r="B493" s="173"/>
      <c r="C493" s="142"/>
      <c r="D493" s="173"/>
      <c r="E493" s="173"/>
      <c r="F493" s="476"/>
      <c r="G493" s="142"/>
      <c r="H493" s="142"/>
      <c r="I493" s="173"/>
      <c r="J493" s="173"/>
      <c r="K493" s="173"/>
      <c r="L493" s="173"/>
      <c r="M493" s="173"/>
      <c r="N493" s="142"/>
      <c r="O493" s="142"/>
      <c r="P493" s="142"/>
      <c r="Q493" s="173"/>
      <c r="R493" s="477"/>
      <c r="S493" s="271"/>
      <c r="T493" s="141"/>
    </row>
    <row r="494" ht="30.0" customHeight="1">
      <c r="A494" s="173">
        <v>490.0</v>
      </c>
      <c r="B494" s="173"/>
      <c r="C494" s="142"/>
      <c r="D494" s="173"/>
      <c r="E494" s="173"/>
      <c r="F494" s="476"/>
      <c r="G494" s="142"/>
      <c r="H494" s="142"/>
      <c r="I494" s="173"/>
      <c r="J494" s="173"/>
      <c r="K494" s="173"/>
      <c r="L494" s="173"/>
      <c r="M494" s="173"/>
      <c r="N494" s="142"/>
      <c r="O494" s="142"/>
      <c r="P494" s="142"/>
      <c r="Q494" s="173"/>
      <c r="R494" s="477"/>
      <c r="S494" s="271"/>
      <c r="T494" s="141"/>
    </row>
    <row r="495" ht="30.0" customHeight="1">
      <c r="A495" s="173">
        <v>491.0</v>
      </c>
      <c r="B495" s="173"/>
      <c r="C495" s="142"/>
      <c r="D495" s="173"/>
      <c r="E495" s="173"/>
      <c r="F495" s="476"/>
      <c r="G495" s="142"/>
      <c r="H495" s="142"/>
      <c r="I495" s="173"/>
      <c r="J495" s="173"/>
      <c r="K495" s="173"/>
      <c r="L495" s="173"/>
      <c r="M495" s="173"/>
      <c r="N495" s="142"/>
      <c r="O495" s="142"/>
      <c r="P495" s="142"/>
      <c r="Q495" s="173"/>
      <c r="R495" s="477"/>
      <c r="S495" s="271"/>
      <c r="T495" s="141"/>
    </row>
    <row r="496" ht="30.0" customHeight="1">
      <c r="A496" s="173">
        <v>492.0</v>
      </c>
      <c r="B496" s="173"/>
      <c r="C496" s="142"/>
      <c r="D496" s="173"/>
      <c r="E496" s="173"/>
      <c r="F496" s="476"/>
      <c r="G496" s="142"/>
      <c r="H496" s="142"/>
      <c r="I496" s="173"/>
      <c r="J496" s="173"/>
      <c r="K496" s="173"/>
      <c r="L496" s="173"/>
      <c r="M496" s="173"/>
      <c r="N496" s="142"/>
      <c r="O496" s="142"/>
      <c r="P496" s="142"/>
      <c r="Q496" s="173"/>
      <c r="R496" s="477"/>
      <c r="S496" s="271"/>
      <c r="T496" s="141"/>
    </row>
    <row r="497" ht="30.0" customHeight="1">
      <c r="A497" s="173">
        <v>493.0</v>
      </c>
      <c r="B497" s="173"/>
      <c r="C497" s="142"/>
      <c r="D497" s="173"/>
      <c r="E497" s="173"/>
      <c r="F497" s="476"/>
      <c r="G497" s="142"/>
      <c r="H497" s="142"/>
      <c r="I497" s="173"/>
      <c r="J497" s="173"/>
      <c r="K497" s="173"/>
      <c r="L497" s="173"/>
      <c r="M497" s="173"/>
      <c r="N497" s="142"/>
      <c r="O497" s="142"/>
      <c r="P497" s="142"/>
      <c r="Q497" s="173"/>
      <c r="R497" s="477"/>
      <c r="S497" s="271"/>
      <c r="T497" s="141"/>
    </row>
    <row r="498" ht="30.0" customHeight="1">
      <c r="A498" s="173">
        <v>494.0</v>
      </c>
      <c r="B498" s="173"/>
      <c r="C498" s="142"/>
      <c r="D498" s="173"/>
      <c r="E498" s="173"/>
      <c r="F498" s="476"/>
      <c r="G498" s="142"/>
      <c r="H498" s="142"/>
      <c r="I498" s="173"/>
      <c r="J498" s="173"/>
      <c r="K498" s="173"/>
      <c r="L498" s="173"/>
      <c r="M498" s="173"/>
      <c r="N498" s="142"/>
      <c r="O498" s="142"/>
      <c r="P498" s="142"/>
      <c r="Q498" s="173"/>
      <c r="R498" s="477"/>
      <c r="S498" s="271"/>
      <c r="T498" s="141"/>
    </row>
    <row r="499" ht="30.0" customHeight="1">
      <c r="A499" s="173">
        <v>495.0</v>
      </c>
      <c r="B499" s="173"/>
      <c r="C499" s="142"/>
      <c r="D499" s="173"/>
      <c r="E499" s="173"/>
      <c r="F499" s="476"/>
      <c r="G499" s="142"/>
      <c r="H499" s="142"/>
      <c r="I499" s="173"/>
      <c r="J499" s="173"/>
      <c r="K499" s="173"/>
      <c r="L499" s="173"/>
      <c r="M499" s="173"/>
      <c r="N499" s="142"/>
      <c r="O499" s="142"/>
      <c r="P499" s="142"/>
      <c r="Q499" s="173"/>
      <c r="R499" s="477"/>
      <c r="S499" s="271"/>
      <c r="T499" s="141"/>
    </row>
    <row r="500" ht="30.0" customHeight="1">
      <c r="A500" s="173">
        <v>496.0</v>
      </c>
      <c r="B500" s="173"/>
      <c r="C500" s="142"/>
      <c r="D500" s="173"/>
      <c r="E500" s="173"/>
      <c r="F500" s="476"/>
      <c r="G500" s="142"/>
      <c r="H500" s="142"/>
      <c r="I500" s="173"/>
      <c r="J500" s="173"/>
      <c r="K500" s="173"/>
      <c r="L500" s="173"/>
      <c r="M500" s="173"/>
      <c r="N500" s="142"/>
      <c r="O500" s="142"/>
      <c r="P500" s="142"/>
      <c r="Q500" s="173"/>
      <c r="R500" s="477"/>
      <c r="S500" s="271"/>
      <c r="T500" s="141"/>
    </row>
    <row r="501" ht="30.0" customHeight="1">
      <c r="A501" s="173">
        <v>497.0</v>
      </c>
      <c r="B501" s="173"/>
      <c r="C501" s="142"/>
      <c r="D501" s="173"/>
      <c r="E501" s="173"/>
      <c r="F501" s="476"/>
      <c r="G501" s="142"/>
      <c r="H501" s="142"/>
      <c r="I501" s="173"/>
      <c r="J501" s="173"/>
      <c r="K501" s="173"/>
      <c r="L501" s="173"/>
      <c r="M501" s="173"/>
      <c r="N501" s="142"/>
      <c r="O501" s="142"/>
      <c r="P501" s="142"/>
      <c r="Q501" s="173"/>
      <c r="R501" s="477"/>
      <c r="S501" s="271"/>
      <c r="T501" s="141"/>
    </row>
    <row r="502" ht="30.0" customHeight="1">
      <c r="A502" s="173">
        <v>498.0</v>
      </c>
      <c r="B502" s="173"/>
      <c r="C502" s="142"/>
      <c r="D502" s="173"/>
      <c r="E502" s="173"/>
      <c r="F502" s="476"/>
      <c r="G502" s="142"/>
      <c r="H502" s="142"/>
      <c r="I502" s="173"/>
      <c r="J502" s="173"/>
      <c r="K502" s="173"/>
      <c r="L502" s="173"/>
      <c r="M502" s="173"/>
      <c r="N502" s="142"/>
      <c r="O502" s="142"/>
      <c r="P502" s="142"/>
      <c r="Q502" s="173"/>
      <c r="R502" s="477"/>
      <c r="S502" s="271"/>
      <c r="T502" s="141"/>
    </row>
    <row r="503" ht="30.0" customHeight="1">
      <c r="A503" s="173">
        <v>499.0</v>
      </c>
      <c r="B503" s="173"/>
      <c r="C503" s="142"/>
      <c r="D503" s="173"/>
      <c r="E503" s="173"/>
      <c r="F503" s="476"/>
      <c r="G503" s="142"/>
      <c r="H503" s="142"/>
      <c r="I503" s="173"/>
      <c r="J503" s="173"/>
      <c r="K503" s="173"/>
      <c r="L503" s="173"/>
      <c r="M503" s="173"/>
      <c r="N503" s="142"/>
      <c r="O503" s="142"/>
      <c r="P503" s="142"/>
      <c r="Q503" s="173"/>
      <c r="R503" s="477"/>
      <c r="S503" s="271"/>
      <c r="T503" s="141"/>
    </row>
    <row r="504" ht="30.0" customHeight="1">
      <c r="A504" s="173">
        <v>500.0</v>
      </c>
      <c r="B504" s="173"/>
      <c r="C504" s="142"/>
      <c r="D504" s="173"/>
      <c r="E504" s="173"/>
      <c r="F504" s="476"/>
      <c r="G504" s="142"/>
      <c r="H504" s="142"/>
      <c r="I504" s="173"/>
      <c r="J504" s="173"/>
      <c r="K504" s="173"/>
      <c r="L504" s="173"/>
      <c r="M504" s="173"/>
      <c r="N504" s="142"/>
      <c r="O504" s="142"/>
      <c r="P504" s="142"/>
      <c r="Q504" s="173"/>
      <c r="R504" s="477"/>
      <c r="S504" s="271"/>
      <c r="T504" s="141"/>
    </row>
    <row r="505" ht="30.0" customHeight="1">
      <c r="A505" s="173">
        <v>501.0</v>
      </c>
      <c r="B505" s="173"/>
      <c r="C505" s="142"/>
      <c r="D505" s="173"/>
      <c r="E505" s="173"/>
      <c r="F505" s="476"/>
      <c r="G505" s="142"/>
      <c r="H505" s="142"/>
      <c r="I505" s="173"/>
      <c r="J505" s="173"/>
      <c r="K505" s="173"/>
      <c r="L505" s="173"/>
      <c r="M505" s="173"/>
      <c r="N505" s="142"/>
      <c r="O505" s="142"/>
      <c r="P505" s="142"/>
      <c r="Q505" s="173"/>
      <c r="R505" s="477"/>
      <c r="S505" s="271"/>
      <c r="T505" s="141"/>
    </row>
    <row r="506" ht="30.0" customHeight="1">
      <c r="A506" s="173">
        <v>502.0</v>
      </c>
      <c r="B506" s="173"/>
      <c r="C506" s="142"/>
      <c r="D506" s="173"/>
      <c r="E506" s="173"/>
      <c r="F506" s="476"/>
      <c r="G506" s="142"/>
      <c r="H506" s="142"/>
      <c r="I506" s="173"/>
      <c r="J506" s="173"/>
      <c r="K506" s="173"/>
      <c r="L506" s="173"/>
      <c r="M506" s="173"/>
      <c r="N506" s="142"/>
      <c r="O506" s="142"/>
      <c r="P506" s="142"/>
      <c r="Q506" s="173"/>
      <c r="R506" s="477"/>
      <c r="S506" s="271"/>
      <c r="T506" s="141"/>
    </row>
    <row r="507" ht="30.0" customHeight="1">
      <c r="A507" s="173">
        <v>503.0</v>
      </c>
      <c r="B507" s="173"/>
      <c r="C507" s="142"/>
      <c r="D507" s="173"/>
      <c r="E507" s="173"/>
      <c r="F507" s="476"/>
      <c r="G507" s="142"/>
      <c r="H507" s="142"/>
      <c r="I507" s="173"/>
      <c r="J507" s="173"/>
      <c r="K507" s="173"/>
      <c r="L507" s="173"/>
      <c r="M507" s="173"/>
      <c r="N507" s="142"/>
      <c r="O507" s="142"/>
      <c r="P507" s="142"/>
      <c r="Q507" s="173"/>
      <c r="R507" s="477"/>
      <c r="S507" s="271"/>
      <c r="T507" s="141"/>
    </row>
    <row r="508" ht="30.0" customHeight="1">
      <c r="A508" s="173">
        <v>504.0</v>
      </c>
      <c r="B508" s="173"/>
      <c r="C508" s="142"/>
      <c r="D508" s="173"/>
      <c r="E508" s="173"/>
      <c r="F508" s="476"/>
      <c r="G508" s="142"/>
      <c r="H508" s="142"/>
      <c r="I508" s="173"/>
      <c r="J508" s="173"/>
      <c r="K508" s="173"/>
      <c r="L508" s="173"/>
      <c r="M508" s="173"/>
      <c r="N508" s="142"/>
      <c r="O508" s="142"/>
      <c r="P508" s="142"/>
      <c r="Q508" s="173"/>
      <c r="R508" s="477"/>
      <c r="S508" s="271"/>
      <c r="T508" s="141"/>
    </row>
    <row r="509" ht="30.0" customHeight="1">
      <c r="A509" s="173">
        <v>505.0</v>
      </c>
      <c r="B509" s="173"/>
      <c r="C509" s="142"/>
      <c r="D509" s="173"/>
      <c r="E509" s="173"/>
      <c r="F509" s="476"/>
      <c r="G509" s="142"/>
      <c r="H509" s="142"/>
      <c r="I509" s="173"/>
      <c r="J509" s="173"/>
      <c r="K509" s="173"/>
      <c r="L509" s="173"/>
      <c r="M509" s="173"/>
      <c r="N509" s="142"/>
      <c r="O509" s="142"/>
      <c r="P509" s="142"/>
      <c r="Q509" s="173"/>
      <c r="R509" s="477"/>
      <c r="S509" s="271"/>
      <c r="T509" s="141"/>
    </row>
    <row r="510" ht="30.0" customHeight="1">
      <c r="A510" s="173">
        <v>506.0</v>
      </c>
      <c r="B510" s="173"/>
      <c r="C510" s="142"/>
      <c r="D510" s="173"/>
      <c r="E510" s="173"/>
      <c r="F510" s="476"/>
      <c r="G510" s="142"/>
      <c r="H510" s="142"/>
      <c r="I510" s="173"/>
      <c r="J510" s="173"/>
      <c r="K510" s="173"/>
      <c r="L510" s="173"/>
      <c r="M510" s="173"/>
      <c r="N510" s="142"/>
      <c r="O510" s="142"/>
      <c r="P510" s="142"/>
      <c r="Q510" s="173"/>
      <c r="R510" s="477"/>
      <c r="S510" s="271"/>
      <c r="T510" s="141"/>
    </row>
    <row r="511" ht="30.0" customHeight="1">
      <c r="A511" s="173">
        <v>507.0</v>
      </c>
      <c r="B511" s="173"/>
      <c r="C511" s="142"/>
      <c r="D511" s="173"/>
      <c r="E511" s="173"/>
      <c r="F511" s="476"/>
      <c r="G511" s="142"/>
      <c r="H511" s="142"/>
      <c r="I511" s="173"/>
      <c r="J511" s="173"/>
      <c r="K511" s="173"/>
      <c r="L511" s="173"/>
      <c r="M511" s="173"/>
      <c r="N511" s="142"/>
      <c r="O511" s="142"/>
      <c r="P511" s="142"/>
      <c r="Q511" s="173"/>
      <c r="R511" s="477"/>
      <c r="S511" s="271"/>
      <c r="T511" s="141"/>
    </row>
    <row r="512" ht="30.0" customHeight="1">
      <c r="A512" s="173">
        <v>508.0</v>
      </c>
      <c r="B512" s="173"/>
      <c r="C512" s="142"/>
      <c r="D512" s="173"/>
      <c r="E512" s="173"/>
      <c r="F512" s="476"/>
      <c r="G512" s="142"/>
      <c r="H512" s="142"/>
      <c r="I512" s="173"/>
      <c r="J512" s="173"/>
      <c r="K512" s="173"/>
      <c r="L512" s="173"/>
      <c r="M512" s="173"/>
      <c r="N512" s="142"/>
      <c r="O512" s="142"/>
      <c r="P512" s="142"/>
      <c r="Q512" s="173"/>
      <c r="R512" s="477"/>
      <c r="S512" s="271"/>
      <c r="T512" s="141"/>
    </row>
    <row r="513" ht="30.0" customHeight="1">
      <c r="A513" s="173">
        <v>509.0</v>
      </c>
      <c r="B513" s="173"/>
      <c r="C513" s="142"/>
      <c r="D513" s="173"/>
      <c r="E513" s="173"/>
      <c r="F513" s="476"/>
      <c r="G513" s="142"/>
      <c r="H513" s="142"/>
      <c r="I513" s="173"/>
      <c r="J513" s="173"/>
      <c r="K513" s="173"/>
      <c r="L513" s="173"/>
      <c r="M513" s="173"/>
      <c r="N513" s="142"/>
      <c r="O513" s="142"/>
      <c r="P513" s="142"/>
      <c r="Q513" s="173"/>
      <c r="R513" s="477"/>
      <c r="S513" s="271"/>
      <c r="T513" s="141"/>
    </row>
    <row r="514" ht="30.0" customHeight="1">
      <c r="A514" s="173">
        <v>510.0</v>
      </c>
      <c r="B514" s="173"/>
      <c r="C514" s="142"/>
      <c r="D514" s="173"/>
      <c r="E514" s="173"/>
      <c r="F514" s="476"/>
      <c r="G514" s="142"/>
      <c r="H514" s="142"/>
      <c r="I514" s="173"/>
      <c r="J514" s="173"/>
      <c r="K514" s="173"/>
      <c r="L514" s="173"/>
      <c r="M514" s="173"/>
      <c r="N514" s="142"/>
      <c r="O514" s="142"/>
      <c r="P514" s="142"/>
      <c r="Q514" s="173"/>
      <c r="R514" s="477"/>
      <c r="S514" s="271"/>
      <c r="T514" s="141"/>
    </row>
    <row r="515" ht="30.0" customHeight="1">
      <c r="A515" s="173">
        <v>511.0</v>
      </c>
      <c r="B515" s="173"/>
      <c r="C515" s="142"/>
      <c r="D515" s="173"/>
      <c r="E515" s="173"/>
      <c r="F515" s="476"/>
      <c r="G515" s="142"/>
      <c r="H515" s="142"/>
      <c r="I515" s="173"/>
      <c r="J515" s="173"/>
      <c r="K515" s="173"/>
      <c r="L515" s="173"/>
      <c r="M515" s="173"/>
      <c r="N515" s="142"/>
      <c r="O515" s="142"/>
      <c r="P515" s="142"/>
      <c r="Q515" s="173"/>
      <c r="R515" s="477"/>
      <c r="S515" s="271"/>
      <c r="T515" s="141"/>
    </row>
    <row r="516" ht="30.0" customHeight="1">
      <c r="A516" s="173">
        <v>512.0</v>
      </c>
      <c r="B516" s="173"/>
      <c r="C516" s="142"/>
      <c r="D516" s="173"/>
      <c r="E516" s="173"/>
      <c r="F516" s="476"/>
      <c r="G516" s="142"/>
      <c r="H516" s="142"/>
      <c r="I516" s="173"/>
      <c r="J516" s="173"/>
      <c r="K516" s="173"/>
      <c r="L516" s="173"/>
      <c r="M516" s="173"/>
      <c r="N516" s="142"/>
      <c r="O516" s="142"/>
      <c r="P516" s="142"/>
      <c r="Q516" s="173"/>
      <c r="R516" s="477"/>
      <c r="S516" s="271"/>
      <c r="T516" s="141"/>
    </row>
    <row r="517" ht="30.0" customHeight="1">
      <c r="A517" s="173">
        <v>513.0</v>
      </c>
      <c r="B517" s="173"/>
      <c r="C517" s="142"/>
      <c r="D517" s="173"/>
      <c r="E517" s="173"/>
      <c r="F517" s="476"/>
      <c r="G517" s="142"/>
      <c r="H517" s="142"/>
      <c r="I517" s="173"/>
      <c r="J517" s="173"/>
      <c r="K517" s="173"/>
      <c r="L517" s="173"/>
      <c r="M517" s="173"/>
      <c r="N517" s="142"/>
      <c r="O517" s="142"/>
      <c r="P517" s="142"/>
      <c r="Q517" s="173"/>
      <c r="R517" s="477"/>
      <c r="S517" s="271"/>
      <c r="T517" s="141"/>
    </row>
    <row r="518" ht="30.0" customHeight="1">
      <c r="A518" s="173">
        <v>514.0</v>
      </c>
      <c r="B518" s="173"/>
      <c r="C518" s="142"/>
      <c r="D518" s="173"/>
      <c r="E518" s="173"/>
      <c r="F518" s="476"/>
      <c r="G518" s="142"/>
      <c r="H518" s="142"/>
      <c r="I518" s="173"/>
      <c r="J518" s="173"/>
      <c r="K518" s="173"/>
      <c r="L518" s="173"/>
      <c r="M518" s="173"/>
      <c r="N518" s="142"/>
      <c r="O518" s="142"/>
      <c r="P518" s="142"/>
      <c r="Q518" s="173"/>
      <c r="R518" s="477"/>
      <c r="S518" s="271"/>
      <c r="T518" s="141"/>
    </row>
    <row r="519" ht="30.0" customHeight="1">
      <c r="A519" s="173">
        <v>515.0</v>
      </c>
      <c r="B519" s="173"/>
      <c r="C519" s="142"/>
      <c r="D519" s="173"/>
      <c r="E519" s="173"/>
      <c r="F519" s="476"/>
      <c r="G519" s="142"/>
      <c r="H519" s="142"/>
      <c r="I519" s="173"/>
      <c r="J519" s="173"/>
      <c r="K519" s="173"/>
      <c r="L519" s="173"/>
      <c r="M519" s="173"/>
      <c r="N519" s="142"/>
      <c r="O519" s="142"/>
      <c r="P519" s="142"/>
      <c r="Q519" s="173"/>
      <c r="R519" s="477"/>
      <c r="S519" s="271"/>
      <c r="T519" s="141"/>
    </row>
    <row r="520" ht="30.0" customHeight="1">
      <c r="A520" s="173">
        <v>516.0</v>
      </c>
      <c r="B520" s="173"/>
      <c r="C520" s="142"/>
      <c r="D520" s="173"/>
      <c r="E520" s="173"/>
      <c r="F520" s="476"/>
      <c r="G520" s="142"/>
      <c r="H520" s="142"/>
      <c r="I520" s="173"/>
      <c r="J520" s="173"/>
      <c r="K520" s="173"/>
      <c r="L520" s="173"/>
      <c r="M520" s="173"/>
      <c r="N520" s="142"/>
      <c r="O520" s="142"/>
      <c r="P520" s="142"/>
      <c r="Q520" s="173"/>
      <c r="R520" s="477"/>
      <c r="S520" s="271"/>
      <c r="T520" s="141"/>
    </row>
    <row r="521" ht="30.0" customHeight="1">
      <c r="A521" s="173">
        <v>517.0</v>
      </c>
      <c r="B521" s="173"/>
      <c r="C521" s="142"/>
      <c r="D521" s="173"/>
      <c r="E521" s="173"/>
      <c r="F521" s="476"/>
      <c r="G521" s="142"/>
      <c r="H521" s="142"/>
      <c r="I521" s="173"/>
      <c r="J521" s="173"/>
      <c r="K521" s="173"/>
      <c r="L521" s="173"/>
      <c r="M521" s="173"/>
      <c r="N521" s="142"/>
      <c r="O521" s="142"/>
      <c r="P521" s="142"/>
      <c r="Q521" s="173"/>
      <c r="R521" s="477"/>
      <c r="S521" s="271"/>
      <c r="T521" s="141"/>
    </row>
    <row r="522" ht="30.0" customHeight="1">
      <c r="A522" s="173">
        <v>518.0</v>
      </c>
      <c r="B522" s="173"/>
      <c r="C522" s="142"/>
      <c r="D522" s="173"/>
      <c r="E522" s="173"/>
      <c r="F522" s="476"/>
      <c r="G522" s="142"/>
      <c r="H522" s="142"/>
      <c r="I522" s="173"/>
      <c r="J522" s="173"/>
      <c r="K522" s="173"/>
      <c r="L522" s="173"/>
      <c r="M522" s="173"/>
      <c r="N522" s="142"/>
      <c r="O522" s="142"/>
      <c r="P522" s="142"/>
      <c r="Q522" s="173"/>
      <c r="R522" s="477"/>
      <c r="S522" s="271"/>
      <c r="T522" s="141"/>
    </row>
    <row r="523" ht="30.0" customHeight="1">
      <c r="A523" s="173">
        <v>519.0</v>
      </c>
      <c r="B523" s="173"/>
      <c r="C523" s="142"/>
      <c r="D523" s="173"/>
      <c r="E523" s="173"/>
      <c r="F523" s="476"/>
      <c r="G523" s="142"/>
      <c r="H523" s="142"/>
      <c r="I523" s="173"/>
      <c r="J523" s="173"/>
      <c r="K523" s="173"/>
      <c r="L523" s="173"/>
      <c r="M523" s="173"/>
      <c r="N523" s="142"/>
      <c r="O523" s="142"/>
      <c r="P523" s="142"/>
      <c r="Q523" s="173"/>
      <c r="R523" s="477"/>
      <c r="S523" s="271"/>
      <c r="T523" s="141"/>
    </row>
    <row r="524" ht="30.0" customHeight="1">
      <c r="A524" s="173">
        <v>520.0</v>
      </c>
      <c r="B524" s="173"/>
      <c r="C524" s="142"/>
      <c r="D524" s="173"/>
      <c r="E524" s="173"/>
      <c r="F524" s="476"/>
      <c r="G524" s="142"/>
      <c r="H524" s="142"/>
      <c r="I524" s="173"/>
      <c r="J524" s="173"/>
      <c r="K524" s="173"/>
      <c r="L524" s="173"/>
      <c r="M524" s="173"/>
      <c r="N524" s="142"/>
      <c r="O524" s="142"/>
      <c r="P524" s="142"/>
      <c r="Q524" s="173"/>
      <c r="R524" s="477"/>
      <c r="S524" s="271"/>
      <c r="T524" s="141"/>
    </row>
    <row r="525" ht="30.0" customHeight="1">
      <c r="A525" s="173">
        <v>521.0</v>
      </c>
      <c r="B525" s="173"/>
      <c r="C525" s="142"/>
      <c r="D525" s="173"/>
      <c r="E525" s="173"/>
      <c r="F525" s="476"/>
      <c r="G525" s="142"/>
      <c r="H525" s="142"/>
      <c r="I525" s="173"/>
      <c r="J525" s="173"/>
      <c r="K525" s="173"/>
      <c r="L525" s="173"/>
      <c r="M525" s="173"/>
      <c r="N525" s="142"/>
      <c r="O525" s="142"/>
      <c r="P525" s="142"/>
      <c r="Q525" s="173"/>
      <c r="R525" s="477"/>
      <c r="S525" s="271"/>
      <c r="T525" s="141"/>
    </row>
    <row r="526" ht="30.0" customHeight="1">
      <c r="A526" s="173">
        <v>522.0</v>
      </c>
      <c r="B526" s="173"/>
      <c r="C526" s="142"/>
      <c r="D526" s="173"/>
      <c r="E526" s="173"/>
      <c r="F526" s="476"/>
      <c r="G526" s="142"/>
      <c r="H526" s="142"/>
      <c r="I526" s="173"/>
      <c r="J526" s="173"/>
      <c r="K526" s="173"/>
      <c r="L526" s="173"/>
      <c r="M526" s="173"/>
      <c r="N526" s="142"/>
      <c r="O526" s="142"/>
      <c r="P526" s="142"/>
      <c r="Q526" s="173"/>
      <c r="R526" s="477"/>
      <c r="S526" s="271"/>
      <c r="T526" s="141"/>
    </row>
    <row r="527" ht="30.0" customHeight="1">
      <c r="A527" s="173">
        <v>523.0</v>
      </c>
      <c r="B527" s="173"/>
      <c r="C527" s="142"/>
      <c r="D527" s="173"/>
      <c r="E527" s="173"/>
      <c r="F527" s="476"/>
      <c r="G527" s="142"/>
      <c r="H527" s="142"/>
      <c r="I527" s="173"/>
      <c r="J527" s="173"/>
      <c r="K527" s="173"/>
      <c r="L527" s="173"/>
      <c r="M527" s="173"/>
      <c r="N527" s="142"/>
      <c r="O527" s="142"/>
      <c r="P527" s="142"/>
      <c r="Q527" s="173"/>
      <c r="R527" s="477"/>
      <c r="S527" s="271"/>
      <c r="T527" s="141"/>
    </row>
    <row r="528" ht="30.0" customHeight="1">
      <c r="A528" s="173">
        <v>524.0</v>
      </c>
      <c r="B528" s="173"/>
      <c r="C528" s="142"/>
      <c r="D528" s="173"/>
      <c r="E528" s="173"/>
      <c r="F528" s="476"/>
      <c r="G528" s="142"/>
      <c r="H528" s="142"/>
      <c r="I528" s="173"/>
      <c r="J528" s="173"/>
      <c r="K528" s="173"/>
      <c r="L528" s="173"/>
      <c r="M528" s="173"/>
      <c r="N528" s="142"/>
      <c r="O528" s="142"/>
      <c r="P528" s="142"/>
      <c r="Q528" s="173"/>
      <c r="R528" s="477"/>
      <c r="S528" s="271"/>
      <c r="T528" s="141"/>
    </row>
    <row r="529" ht="30.0" customHeight="1">
      <c r="A529" s="173">
        <v>525.0</v>
      </c>
      <c r="B529" s="173"/>
      <c r="C529" s="142"/>
      <c r="D529" s="173"/>
      <c r="E529" s="173"/>
      <c r="F529" s="476"/>
      <c r="G529" s="142"/>
      <c r="H529" s="142"/>
      <c r="I529" s="173"/>
      <c r="J529" s="173"/>
      <c r="K529" s="173"/>
      <c r="L529" s="173"/>
      <c r="M529" s="173"/>
      <c r="N529" s="142"/>
      <c r="O529" s="142"/>
      <c r="P529" s="142"/>
      <c r="Q529" s="173"/>
      <c r="R529" s="477"/>
      <c r="S529" s="271"/>
      <c r="T529" s="141"/>
    </row>
    <row r="530" ht="30.0" customHeight="1">
      <c r="A530" s="173">
        <v>526.0</v>
      </c>
      <c r="B530" s="173"/>
      <c r="C530" s="142"/>
      <c r="D530" s="173"/>
      <c r="E530" s="173"/>
      <c r="F530" s="476"/>
      <c r="G530" s="142"/>
      <c r="H530" s="142"/>
      <c r="I530" s="173"/>
      <c r="J530" s="173"/>
      <c r="K530" s="173"/>
      <c r="L530" s="173"/>
      <c r="M530" s="173"/>
      <c r="N530" s="142"/>
      <c r="O530" s="142"/>
      <c r="P530" s="142"/>
      <c r="Q530" s="173"/>
      <c r="R530" s="477"/>
      <c r="S530" s="271"/>
      <c r="T530" s="141"/>
    </row>
    <row r="531" ht="30.0" customHeight="1">
      <c r="A531" s="173">
        <v>527.0</v>
      </c>
      <c r="B531" s="173"/>
      <c r="C531" s="142"/>
      <c r="D531" s="173"/>
      <c r="E531" s="173"/>
      <c r="F531" s="476"/>
      <c r="G531" s="142"/>
      <c r="H531" s="142"/>
      <c r="I531" s="173"/>
      <c r="J531" s="173"/>
      <c r="K531" s="173"/>
      <c r="L531" s="173"/>
      <c r="M531" s="173"/>
      <c r="N531" s="142"/>
      <c r="O531" s="142"/>
      <c r="P531" s="142"/>
      <c r="Q531" s="173"/>
      <c r="R531" s="477"/>
      <c r="S531" s="271"/>
      <c r="T531" s="141"/>
    </row>
    <row r="532" ht="30.0" customHeight="1">
      <c r="A532" s="173">
        <v>528.0</v>
      </c>
      <c r="B532" s="173"/>
      <c r="C532" s="142"/>
      <c r="D532" s="173"/>
      <c r="E532" s="173"/>
      <c r="F532" s="476"/>
      <c r="G532" s="142"/>
      <c r="H532" s="142"/>
      <c r="I532" s="173"/>
      <c r="J532" s="173"/>
      <c r="K532" s="173"/>
      <c r="L532" s="173"/>
      <c r="M532" s="173"/>
      <c r="N532" s="142"/>
      <c r="O532" s="142"/>
      <c r="P532" s="142"/>
      <c r="Q532" s="173"/>
      <c r="R532" s="477"/>
      <c r="S532" s="271"/>
      <c r="T532" s="141"/>
    </row>
    <row r="533" ht="30.0" customHeight="1">
      <c r="A533" s="173">
        <v>529.0</v>
      </c>
      <c r="B533" s="173"/>
      <c r="C533" s="142"/>
      <c r="D533" s="173"/>
      <c r="E533" s="173"/>
      <c r="F533" s="476"/>
      <c r="G533" s="142"/>
      <c r="H533" s="142"/>
      <c r="I533" s="173"/>
      <c r="J533" s="173"/>
      <c r="K533" s="173"/>
      <c r="L533" s="173"/>
      <c r="M533" s="173"/>
      <c r="N533" s="142"/>
      <c r="O533" s="142"/>
      <c r="P533" s="142"/>
      <c r="Q533" s="173"/>
      <c r="R533" s="477"/>
      <c r="S533" s="271"/>
      <c r="T533" s="141"/>
    </row>
    <row r="534" ht="30.0" customHeight="1">
      <c r="A534" s="173">
        <v>530.0</v>
      </c>
      <c r="B534" s="173"/>
      <c r="C534" s="142"/>
      <c r="D534" s="173"/>
      <c r="E534" s="173"/>
      <c r="F534" s="476"/>
      <c r="G534" s="142"/>
      <c r="H534" s="142"/>
      <c r="I534" s="173"/>
      <c r="J534" s="173"/>
      <c r="K534" s="173"/>
      <c r="L534" s="173"/>
      <c r="M534" s="173"/>
      <c r="N534" s="142"/>
      <c r="O534" s="142"/>
      <c r="P534" s="142"/>
      <c r="Q534" s="173"/>
      <c r="R534" s="477"/>
      <c r="S534" s="271"/>
      <c r="T534" s="141"/>
    </row>
    <row r="535" ht="30.0" customHeight="1">
      <c r="A535" s="173">
        <v>531.0</v>
      </c>
      <c r="B535" s="173"/>
      <c r="C535" s="142"/>
      <c r="D535" s="173"/>
      <c r="E535" s="173"/>
      <c r="F535" s="476"/>
      <c r="G535" s="142"/>
      <c r="H535" s="142"/>
      <c r="I535" s="173"/>
      <c r="J535" s="173"/>
      <c r="K535" s="173"/>
      <c r="L535" s="173"/>
      <c r="M535" s="173"/>
      <c r="N535" s="142"/>
      <c r="O535" s="142"/>
      <c r="P535" s="142"/>
      <c r="Q535" s="173"/>
      <c r="R535" s="477"/>
      <c r="S535" s="271"/>
      <c r="T535" s="141"/>
    </row>
    <row r="536" ht="30.0" customHeight="1">
      <c r="A536" s="173">
        <v>532.0</v>
      </c>
      <c r="B536" s="173"/>
      <c r="C536" s="142"/>
      <c r="D536" s="173"/>
      <c r="E536" s="173"/>
      <c r="F536" s="476"/>
      <c r="G536" s="142"/>
      <c r="H536" s="142"/>
      <c r="I536" s="173"/>
      <c r="J536" s="173"/>
      <c r="K536" s="173"/>
      <c r="L536" s="173"/>
      <c r="M536" s="173"/>
      <c r="N536" s="142"/>
      <c r="O536" s="142"/>
      <c r="P536" s="142"/>
      <c r="Q536" s="173"/>
      <c r="R536" s="477"/>
      <c r="S536" s="271"/>
      <c r="T536" s="141"/>
    </row>
    <row r="537" ht="30.0" customHeight="1">
      <c r="A537" s="173">
        <v>533.0</v>
      </c>
      <c r="B537" s="173"/>
      <c r="C537" s="142"/>
      <c r="D537" s="173"/>
      <c r="E537" s="173"/>
      <c r="F537" s="476"/>
      <c r="G537" s="142"/>
      <c r="H537" s="142"/>
      <c r="I537" s="173"/>
      <c r="J537" s="173"/>
      <c r="K537" s="173"/>
      <c r="L537" s="173"/>
      <c r="M537" s="173"/>
      <c r="N537" s="142"/>
      <c r="O537" s="142"/>
      <c r="P537" s="142"/>
      <c r="Q537" s="173"/>
      <c r="R537" s="477"/>
      <c r="S537" s="271"/>
      <c r="T537" s="141"/>
    </row>
    <row r="538" ht="30.0" customHeight="1">
      <c r="A538" s="173">
        <v>534.0</v>
      </c>
      <c r="B538" s="173"/>
      <c r="C538" s="142"/>
      <c r="D538" s="173"/>
      <c r="E538" s="173"/>
      <c r="F538" s="476"/>
      <c r="G538" s="142"/>
      <c r="H538" s="142"/>
      <c r="I538" s="173"/>
      <c r="J538" s="173"/>
      <c r="K538" s="173"/>
      <c r="L538" s="173"/>
      <c r="M538" s="173"/>
      <c r="N538" s="142"/>
      <c r="O538" s="142"/>
      <c r="P538" s="142"/>
      <c r="Q538" s="173"/>
      <c r="R538" s="477"/>
      <c r="S538" s="271"/>
      <c r="T538" s="141"/>
    </row>
    <row r="539" ht="30.0" customHeight="1">
      <c r="A539" s="173">
        <v>535.0</v>
      </c>
      <c r="B539" s="173"/>
      <c r="C539" s="142"/>
      <c r="D539" s="173"/>
      <c r="E539" s="173"/>
      <c r="F539" s="476"/>
      <c r="G539" s="142"/>
      <c r="H539" s="142"/>
      <c r="I539" s="173"/>
      <c r="J539" s="173"/>
      <c r="K539" s="173"/>
      <c r="L539" s="173"/>
      <c r="M539" s="173"/>
      <c r="N539" s="142"/>
      <c r="O539" s="142"/>
      <c r="P539" s="142"/>
      <c r="Q539" s="173"/>
      <c r="R539" s="477"/>
      <c r="S539" s="271"/>
      <c r="T539" s="141"/>
    </row>
    <row r="540" ht="30.0" customHeight="1">
      <c r="A540" s="173">
        <v>536.0</v>
      </c>
      <c r="B540" s="173"/>
      <c r="C540" s="142"/>
      <c r="D540" s="173"/>
      <c r="E540" s="173"/>
      <c r="F540" s="476"/>
      <c r="G540" s="142"/>
      <c r="H540" s="142"/>
      <c r="I540" s="173"/>
      <c r="J540" s="173"/>
      <c r="K540" s="173"/>
      <c r="L540" s="173"/>
      <c r="M540" s="173"/>
      <c r="N540" s="142"/>
      <c r="O540" s="142"/>
      <c r="P540" s="142"/>
      <c r="Q540" s="173"/>
      <c r="R540" s="477"/>
      <c r="S540" s="271"/>
      <c r="T540" s="141"/>
    </row>
    <row r="541" ht="30.0" customHeight="1">
      <c r="A541" s="173">
        <v>537.0</v>
      </c>
      <c r="B541" s="173"/>
      <c r="C541" s="142"/>
      <c r="D541" s="173"/>
      <c r="E541" s="173"/>
      <c r="F541" s="476"/>
      <c r="G541" s="142"/>
      <c r="H541" s="142"/>
      <c r="I541" s="173"/>
      <c r="J541" s="173"/>
      <c r="K541" s="173"/>
      <c r="L541" s="173"/>
      <c r="M541" s="173"/>
      <c r="N541" s="142"/>
      <c r="O541" s="142"/>
      <c r="P541" s="142"/>
      <c r="Q541" s="173"/>
      <c r="R541" s="477"/>
      <c r="S541" s="271"/>
      <c r="T541" s="141"/>
    </row>
    <row r="542" ht="30.0" customHeight="1">
      <c r="A542" s="173">
        <v>538.0</v>
      </c>
      <c r="B542" s="173"/>
      <c r="C542" s="142"/>
      <c r="D542" s="173"/>
      <c r="E542" s="173"/>
      <c r="F542" s="476"/>
      <c r="G542" s="142"/>
      <c r="H542" s="142"/>
      <c r="I542" s="173"/>
      <c r="J542" s="173"/>
      <c r="K542" s="173"/>
      <c r="L542" s="173"/>
      <c r="M542" s="173"/>
      <c r="N542" s="142"/>
      <c r="O542" s="142"/>
      <c r="P542" s="142"/>
      <c r="Q542" s="173"/>
      <c r="R542" s="477"/>
      <c r="S542" s="271"/>
      <c r="T542" s="141"/>
    </row>
    <row r="543" ht="30.0" customHeight="1">
      <c r="A543" s="173">
        <v>539.0</v>
      </c>
      <c r="B543" s="173"/>
      <c r="C543" s="142"/>
      <c r="D543" s="173"/>
      <c r="E543" s="173"/>
      <c r="F543" s="476"/>
      <c r="G543" s="142"/>
      <c r="H543" s="142"/>
      <c r="I543" s="173"/>
      <c r="J543" s="173"/>
      <c r="K543" s="173"/>
      <c r="L543" s="173"/>
      <c r="M543" s="173"/>
      <c r="N543" s="142"/>
      <c r="O543" s="142"/>
      <c r="P543" s="142"/>
      <c r="Q543" s="173"/>
      <c r="R543" s="477"/>
      <c r="S543" s="271"/>
      <c r="T543" s="141"/>
    </row>
    <row r="544" ht="30.0" customHeight="1">
      <c r="A544" s="173">
        <v>540.0</v>
      </c>
      <c r="B544" s="173"/>
      <c r="C544" s="142"/>
      <c r="D544" s="173"/>
      <c r="E544" s="173"/>
      <c r="F544" s="476"/>
      <c r="G544" s="142"/>
      <c r="H544" s="142"/>
      <c r="I544" s="173"/>
      <c r="J544" s="173"/>
      <c r="K544" s="173"/>
      <c r="L544" s="173"/>
      <c r="M544" s="173"/>
      <c r="N544" s="142"/>
      <c r="O544" s="142"/>
      <c r="P544" s="142"/>
      <c r="Q544" s="173"/>
      <c r="R544" s="477"/>
      <c r="S544" s="271"/>
      <c r="T544" s="141"/>
    </row>
    <row r="545" ht="30.0" customHeight="1">
      <c r="A545" s="173">
        <v>541.0</v>
      </c>
      <c r="B545" s="173"/>
      <c r="C545" s="142"/>
      <c r="D545" s="173"/>
      <c r="E545" s="173"/>
      <c r="F545" s="476"/>
      <c r="G545" s="142"/>
      <c r="H545" s="142"/>
      <c r="I545" s="173"/>
      <c r="J545" s="173"/>
      <c r="K545" s="173"/>
      <c r="L545" s="173"/>
      <c r="M545" s="173"/>
      <c r="N545" s="142"/>
      <c r="O545" s="142"/>
      <c r="P545" s="142"/>
      <c r="Q545" s="173"/>
      <c r="R545" s="477"/>
      <c r="S545" s="271"/>
      <c r="T545" s="141"/>
    </row>
    <row r="546" ht="30.0" customHeight="1">
      <c r="A546" s="173">
        <v>542.0</v>
      </c>
      <c r="B546" s="173"/>
      <c r="C546" s="142"/>
      <c r="D546" s="173"/>
      <c r="E546" s="173"/>
      <c r="F546" s="476"/>
      <c r="G546" s="142"/>
      <c r="H546" s="142"/>
      <c r="I546" s="173"/>
      <c r="J546" s="173"/>
      <c r="K546" s="173"/>
      <c r="L546" s="173"/>
      <c r="M546" s="173"/>
      <c r="N546" s="142"/>
      <c r="O546" s="142"/>
      <c r="P546" s="142"/>
      <c r="Q546" s="173"/>
      <c r="R546" s="477"/>
      <c r="S546" s="271"/>
      <c r="T546" s="141"/>
    </row>
    <row r="547" ht="30.0" customHeight="1">
      <c r="A547" s="173">
        <v>543.0</v>
      </c>
      <c r="B547" s="173"/>
      <c r="C547" s="142"/>
      <c r="D547" s="173"/>
      <c r="E547" s="173"/>
      <c r="F547" s="476"/>
      <c r="G547" s="142"/>
      <c r="H547" s="142"/>
      <c r="I547" s="173"/>
      <c r="J547" s="173"/>
      <c r="K547" s="173"/>
      <c r="L547" s="173"/>
      <c r="M547" s="173"/>
      <c r="N547" s="142"/>
      <c r="O547" s="142"/>
      <c r="P547" s="142"/>
      <c r="Q547" s="173"/>
      <c r="R547" s="477"/>
      <c r="S547" s="271"/>
      <c r="T547" s="141"/>
    </row>
    <row r="548" ht="30.0" customHeight="1">
      <c r="A548" s="173">
        <v>544.0</v>
      </c>
      <c r="B548" s="173"/>
      <c r="C548" s="142"/>
      <c r="D548" s="173"/>
      <c r="E548" s="173"/>
      <c r="F548" s="476"/>
      <c r="G548" s="142"/>
      <c r="H548" s="142"/>
      <c r="I548" s="173"/>
      <c r="J548" s="173"/>
      <c r="K548" s="173"/>
      <c r="L548" s="173"/>
      <c r="M548" s="173"/>
      <c r="N548" s="142"/>
      <c r="O548" s="142"/>
      <c r="P548" s="142"/>
      <c r="Q548" s="173"/>
      <c r="R548" s="477"/>
      <c r="S548" s="271"/>
      <c r="T548" s="141"/>
    </row>
    <row r="549" ht="30.0" customHeight="1">
      <c r="A549" s="173">
        <v>545.0</v>
      </c>
      <c r="B549" s="173"/>
      <c r="C549" s="142"/>
      <c r="D549" s="173"/>
      <c r="E549" s="173"/>
      <c r="F549" s="476"/>
      <c r="G549" s="142"/>
      <c r="H549" s="142"/>
      <c r="I549" s="173"/>
      <c r="J549" s="173"/>
      <c r="K549" s="173"/>
      <c r="L549" s="173"/>
      <c r="M549" s="173"/>
      <c r="N549" s="142"/>
      <c r="O549" s="142"/>
      <c r="P549" s="142"/>
      <c r="Q549" s="173"/>
      <c r="R549" s="477"/>
      <c r="S549" s="271"/>
      <c r="T549" s="141"/>
    </row>
    <row r="550" ht="30.0" customHeight="1">
      <c r="A550" s="173">
        <v>546.0</v>
      </c>
      <c r="B550" s="173"/>
      <c r="C550" s="142"/>
      <c r="D550" s="173"/>
      <c r="E550" s="173"/>
      <c r="F550" s="476"/>
      <c r="G550" s="142"/>
      <c r="H550" s="142"/>
      <c r="I550" s="173"/>
      <c r="J550" s="173"/>
      <c r="K550" s="173"/>
      <c r="L550" s="173"/>
      <c r="M550" s="173"/>
      <c r="N550" s="142"/>
      <c r="O550" s="142"/>
      <c r="P550" s="142"/>
      <c r="Q550" s="173"/>
      <c r="R550" s="477"/>
      <c r="S550" s="271"/>
      <c r="T550" s="141"/>
    </row>
    <row r="551" ht="30.0" customHeight="1">
      <c r="A551" s="173">
        <v>547.0</v>
      </c>
      <c r="B551" s="173"/>
      <c r="C551" s="142"/>
      <c r="D551" s="173"/>
      <c r="E551" s="173"/>
      <c r="F551" s="476"/>
      <c r="G551" s="142"/>
      <c r="H551" s="142"/>
      <c r="I551" s="173"/>
      <c r="J551" s="173"/>
      <c r="K551" s="173"/>
      <c r="L551" s="173"/>
      <c r="M551" s="173"/>
      <c r="N551" s="142"/>
      <c r="O551" s="142"/>
      <c r="P551" s="142"/>
      <c r="Q551" s="173"/>
      <c r="R551" s="477"/>
      <c r="S551" s="271"/>
      <c r="T551" s="141"/>
    </row>
    <row r="552" ht="30.0" customHeight="1">
      <c r="A552" s="173">
        <v>548.0</v>
      </c>
      <c r="B552" s="173"/>
      <c r="C552" s="142"/>
      <c r="D552" s="173"/>
      <c r="E552" s="173"/>
      <c r="F552" s="476"/>
      <c r="G552" s="142"/>
      <c r="H552" s="142"/>
      <c r="I552" s="173"/>
      <c r="J552" s="173"/>
      <c r="K552" s="173"/>
      <c r="L552" s="173"/>
      <c r="M552" s="173"/>
      <c r="N552" s="142"/>
      <c r="O552" s="142"/>
      <c r="P552" s="142"/>
      <c r="Q552" s="173"/>
      <c r="R552" s="477"/>
      <c r="S552" s="271"/>
      <c r="T552" s="141"/>
    </row>
    <row r="553" ht="30.0" customHeight="1">
      <c r="A553" s="173">
        <v>549.0</v>
      </c>
      <c r="B553" s="173"/>
      <c r="C553" s="142"/>
      <c r="D553" s="173"/>
      <c r="E553" s="173"/>
      <c r="F553" s="476"/>
      <c r="G553" s="142"/>
      <c r="H553" s="142"/>
      <c r="I553" s="173"/>
      <c r="J553" s="173"/>
      <c r="K553" s="173"/>
      <c r="L553" s="173"/>
      <c r="M553" s="173"/>
      <c r="N553" s="142"/>
      <c r="O553" s="142"/>
      <c r="P553" s="142"/>
      <c r="Q553" s="173"/>
      <c r="R553" s="477"/>
      <c r="S553" s="271"/>
      <c r="T553" s="141"/>
    </row>
    <row r="554" ht="30.0" customHeight="1">
      <c r="A554" s="173">
        <v>550.0</v>
      </c>
      <c r="B554" s="173"/>
      <c r="C554" s="142"/>
      <c r="D554" s="173"/>
      <c r="E554" s="173"/>
      <c r="F554" s="476"/>
      <c r="G554" s="142"/>
      <c r="H554" s="142"/>
      <c r="I554" s="173"/>
      <c r="J554" s="173"/>
      <c r="K554" s="173"/>
      <c r="L554" s="173"/>
      <c r="M554" s="173"/>
      <c r="N554" s="142"/>
      <c r="O554" s="142"/>
      <c r="P554" s="142"/>
      <c r="Q554" s="173"/>
      <c r="R554" s="477"/>
      <c r="S554" s="271"/>
      <c r="T554" s="141"/>
    </row>
    <row r="555" ht="30.0" customHeight="1">
      <c r="A555" s="173">
        <v>551.0</v>
      </c>
      <c r="B555" s="173"/>
      <c r="C555" s="142"/>
      <c r="D555" s="173"/>
      <c r="E555" s="173"/>
      <c r="F555" s="476"/>
      <c r="G555" s="142"/>
      <c r="H555" s="142"/>
      <c r="I555" s="173"/>
      <c r="J555" s="173"/>
      <c r="K555" s="173"/>
      <c r="L555" s="173"/>
      <c r="M555" s="173"/>
      <c r="N555" s="142"/>
      <c r="O555" s="142"/>
      <c r="P555" s="142"/>
      <c r="Q555" s="173"/>
      <c r="R555" s="477"/>
      <c r="S555" s="271"/>
      <c r="T555" s="141"/>
    </row>
    <row r="556" ht="30.0" customHeight="1">
      <c r="A556" s="173">
        <v>552.0</v>
      </c>
      <c r="B556" s="173"/>
      <c r="C556" s="142"/>
      <c r="D556" s="173"/>
      <c r="E556" s="173"/>
      <c r="F556" s="476"/>
      <c r="G556" s="142"/>
      <c r="H556" s="142"/>
      <c r="I556" s="173"/>
      <c r="J556" s="173"/>
      <c r="K556" s="173"/>
      <c r="L556" s="173"/>
      <c r="M556" s="173"/>
      <c r="N556" s="142"/>
      <c r="O556" s="142"/>
      <c r="P556" s="142"/>
      <c r="Q556" s="173"/>
      <c r="R556" s="477"/>
      <c r="S556" s="271"/>
      <c r="T556" s="141"/>
    </row>
    <row r="557" ht="30.0" customHeight="1">
      <c r="A557" s="173">
        <v>553.0</v>
      </c>
      <c r="B557" s="173"/>
      <c r="C557" s="142"/>
      <c r="D557" s="173"/>
      <c r="E557" s="173"/>
      <c r="F557" s="476"/>
      <c r="G557" s="142"/>
      <c r="H557" s="142"/>
      <c r="I557" s="173"/>
      <c r="J557" s="173"/>
      <c r="K557" s="173"/>
      <c r="L557" s="173"/>
      <c r="M557" s="173"/>
      <c r="N557" s="142"/>
      <c r="O557" s="142"/>
      <c r="P557" s="142"/>
      <c r="Q557" s="173"/>
      <c r="R557" s="477"/>
      <c r="S557" s="271"/>
      <c r="T557" s="141"/>
    </row>
    <row r="558" ht="30.0" customHeight="1">
      <c r="A558" s="173">
        <v>554.0</v>
      </c>
      <c r="B558" s="173"/>
      <c r="C558" s="142"/>
      <c r="D558" s="173"/>
      <c r="E558" s="173"/>
      <c r="F558" s="476"/>
      <c r="G558" s="142"/>
      <c r="H558" s="142"/>
      <c r="I558" s="173"/>
      <c r="J558" s="173"/>
      <c r="K558" s="173"/>
      <c r="L558" s="173"/>
      <c r="M558" s="173"/>
      <c r="N558" s="142"/>
      <c r="O558" s="142"/>
      <c r="P558" s="142"/>
      <c r="Q558" s="173"/>
      <c r="R558" s="477"/>
      <c r="S558" s="271"/>
      <c r="T558" s="141"/>
    </row>
    <row r="559" ht="30.0" customHeight="1">
      <c r="A559" s="173">
        <v>555.0</v>
      </c>
      <c r="B559" s="173"/>
      <c r="C559" s="142"/>
      <c r="D559" s="173"/>
      <c r="E559" s="173"/>
      <c r="F559" s="476"/>
      <c r="G559" s="142"/>
      <c r="H559" s="142"/>
      <c r="I559" s="173"/>
      <c r="J559" s="173"/>
      <c r="K559" s="173"/>
      <c r="L559" s="173"/>
      <c r="M559" s="173"/>
      <c r="N559" s="142"/>
      <c r="O559" s="142"/>
      <c r="P559" s="142"/>
      <c r="Q559" s="173"/>
      <c r="R559" s="477"/>
      <c r="S559" s="271"/>
      <c r="T559" s="141"/>
    </row>
    <row r="560" ht="30.0" customHeight="1">
      <c r="A560" s="173">
        <v>556.0</v>
      </c>
      <c r="B560" s="173"/>
      <c r="C560" s="142"/>
      <c r="D560" s="173"/>
      <c r="E560" s="173"/>
      <c r="F560" s="476"/>
      <c r="G560" s="142"/>
      <c r="H560" s="142"/>
      <c r="I560" s="173"/>
      <c r="J560" s="173"/>
      <c r="K560" s="173"/>
      <c r="L560" s="173"/>
      <c r="M560" s="173"/>
      <c r="N560" s="142"/>
      <c r="O560" s="142"/>
      <c r="P560" s="142"/>
      <c r="Q560" s="173"/>
      <c r="R560" s="477"/>
      <c r="S560" s="271"/>
      <c r="T560" s="141"/>
    </row>
    <row r="561" ht="30.0" customHeight="1">
      <c r="A561" s="173">
        <v>557.0</v>
      </c>
      <c r="B561" s="173"/>
      <c r="C561" s="142"/>
      <c r="D561" s="173"/>
      <c r="E561" s="173"/>
      <c r="F561" s="476"/>
      <c r="G561" s="142"/>
      <c r="H561" s="142"/>
      <c r="I561" s="173"/>
      <c r="J561" s="173"/>
      <c r="K561" s="173"/>
      <c r="L561" s="173"/>
      <c r="M561" s="173"/>
      <c r="N561" s="142"/>
      <c r="O561" s="142"/>
      <c r="P561" s="142"/>
      <c r="Q561" s="173"/>
      <c r="R561" s="477"/>
      <c r="S561" s="271"/>
      <c r="T561" s="141"/>
    </row>
    <row r="562" ht="30.0" customHeight="1">
      <c r="A562" s="173">
        <v>558.0</v>
      </c>
      <c r="B562" s="173"/>
      <c r="C562" s="142"/>
      <c r="D562" s="173"/>
      <c r="E562" s="173"/>
      <c r="F562" s="476"/>
      <c r="G562" s="142"/>
      <c r="H562" s="142"/>
      <c r="I562" s="173"/>
      <c r="J562" s="173"/>
      <c r="K562" s="173"/>
      <c r="L562" s="173"/>
      <c r="M562" s="173"/>
      <c r="N562" s="142"/>
      <c r="O562" s="142"/>
      <c r="P562" s="142"/>
      <c r="Q562" s="173"/>
      <c r="R562" s="477"/>
      <c r="S562" s="271"/>
      <c r="T562" s="141"/>
    </row>
    <row r="563" ht="30.0" customHeight="1">
      <c r="A563" s="173">
        <v>559.0</v>
      </c>
      <c r="B563" s="173"/>
      <c r="C563" s="142"/>
      <c r="D563" s="173"/>
      <c r="E563" s="173"/>
      <c r="F563" s="476"/>
      <c r="G563" s="142"/>
      <c r="H563" s="142"/>
      <c r="I563" s="173"/>
      <c r="J563" s="173"/>
      <c r="K563" s="173"/>
      <c r="L563" s="173"/>
      <c r="M563" s="173"/>
      <c r="N563" s="142"/>
      <c r="O563" s="142"/>
      <c r="P563" s="142"/>
      <c r="Q563" s="173"/>
      <c r="R563" s="477"/>
      <c r="S563" s="271"/>
      <c r="T563" s="141"/>
    </row>
    <row r="564" ht="30.0" customHeight="1">
      <c r="A564" s="173">
        <v>560.0</v>
      </c>
      <c r="B564" s="173"/>
      <c r="C564" s="142"/>
      <c r="D564" s="173"/>
      <c r="E564" s="173"/>
      <c r="F564" s="476"/>
      <c r="G564" s="142"/>
      <c r="H564" s="142"/>
      <c r="I564" s="173"/>
      <c r="J564" s="173"/>
      <c r="K564" s="173"/>
      <c r="L564" s="173"/>
      <c r="M564" s="173"/>
      <c r="N564" s="142"/>
      <c r="O564" s="142"/>
      <c r="P564" s="142"/>
      <c r="Q564" s="173"/>
      <c r="R564" s="477"/>
      <c r="S564" s="271"/>
      <c r="T564" s="141"/>
    </row>
    <row r="565" ht="30.0" customHeight="1">
      <c r="A565" s="173">
        <v>561.0</v>
      </c>
      <c r="B565" s="173"/>
      <c r="C565" s="142"/>
      <c r="D565" s="173"/>
      <c r="E565" s="173"/>
      <c r="F565" s="476"/>
      <c r="G565" s="142"/>
      <c r="H565" s="142"/>
      <c r="I565" s="173"/>
      <c r="J565" s="173"/>
      <c r="K565" s="173"/>
      <c r="L565" s="173"/>
      <c r="M565" s="173"/>
      <c r="N565" s="142"/>
      <c r="O565" s="142"/>
      <c r="P565" s="142"/>
      <c r="Q565" s="173"/>
      <c r="R565" s="477"/>
      <c r="S565" s="271"/>
      <c r="T565" s="141"/>
    </row>
    <row r="566" ht="30.0" customHeight="1">
      <c r="A566" s="173">
        <v>562.0</v>
      </c>
      <c r="B566" s="173"/>
      <c r="C566" s="142"/>
      <c r="D566" s="173"/>
      <c r="E566" s="173"/>
      <c r="F566" s="476"/>
      <c r="G566" s="142"/>
      <c r="H566" s="142"/>
      <c r="I566" s="173"/>
      <c r="J566" s="173"/>
      <c r="K566" s="173"/>
      <c r="L566" s="173"/>
      <c r="M566" s="173"/>
      <c r="N566" s="142"/>
      <c r="O566" s="142"/>
      <c r="P566" s="142"/>
      <c r="Q566" s="173"/>
      <c r="R566" s="477"/>
      <c r="S566" s="271"/>
      <c r="T566" s="141"/>
    </row>
    <row r="567" ht="30.0" customHeight="1">
      <c r="A567" s="173">
        <v>563.0</v>
      </c>
      <c r="B567" s="173"/>
      <c r="C567" s="142"/>
      <c r="D567" s="173"/>
      <c r="E567" s="173"/>
      <c r="F567" s="476"/>
      <c r="G567" s="142"/>
      <c r="H567" s="142"/>
      <c r="I567" s="173"/>
      <c r="J567" s="173"/>
      <c r="K567" s="173"/>
      <c r="L567" s="173"/>
      <c r="M567" s="173"/>
      <c r="N567" s="142"/>
      <c r="O567" s="142"/>
      <c r="P567" s="142"/>
      <c r="Q567" s="173"/>
      <c r="R567" s="477"/>
      <c r="S567" s="271"/>
      <c r="T567" s="141"/>
    </row>
    <row r="568" ht="30.0" customHeight="1">
      <c r="A568" s="173">
        <v>564.0</v>
      </c>
      <c r="B568" s="173"/>
      <c r="C568" s="142"/>
      <c r="D568" s="173"/>
      <c r="E568" s="173"/>
      <c r="F568" s="476"/>
      <c r="G568" s="142"/>
      <c r="H568" s="142"/>
      <c r="I568" s="173"/>
      <c r="J568" s="173"/>
      <c r="K568" s="173"/>
      <c r="L568" s="173"/>
      <c r="M568" s="173"/>
      <c r="N568" s="142"/>
      <c r="O568" s="142"/>
      <c r="P568" s="142"/>
      <c r="Q568" s="173"/>
      <c r="R568" s="477"/>
      <c r="S568" s="271"/>
      <c r="T568" s="141"/>
    </row>
    <row r="569" ht="30.0" customHeight="1">
      <c r="A569" s="173">
        <v>565.0</v>
      </c>
      <c r="B569" s="173"/>
      <c r="C569" s="142"/>
      <c r="D569" s="173"/>
      <c r="E569" s="173"/>
      <c r="F569" s="476"/>
      <c r="G569" s="142"/>
      <c r="H569" s="142"/>
      <c r="I569" s="173"/>
      <c r="J569" s="173"/>
      <c r="K569" s="173"/>
      <c r="L569" s="173"/>
      <c r="M569" s="173"/>
      <c r="N569" s="142"/>
      <c r="O569" s="142"/>
      <c r="P569" s="142"/>
      <c r="Q569" s="173"/>
      <c r="R569" s="477"/>
      <c r="S569" s="271"/>
      <c r="T569" s="141"/>
    </row>
    <row r="570" ht="30.0" customHeight="1">
      <c r="A570" s="173">
        <v>566.0</v>
      </c>
      <c r="B570" s="173"/>
      <c r="C570" s="142"/>
      <c r="D570" s="173"/>
      <c r="E570" s="173"/>
      <c r="F570" s="476"/>
      <c r="G570" s="142"/>
      <c r="H570" s="142"/>
      <c r="I570" s="173"/>
      <c r="J570" s="173"/>
      <c r="K570" s="173"/>
      <c r="L570" s="173"/>
      <c r="M570" s="173"/>
      <c r="N570" s="142"/>
      <c r="O570" s="142"/>
      <c r="P570" s="142"/>
      <c r="Q570" s="173"/>
      <c r="R570" s="477"/>
      <c r="S570" s="271"/>
      <c r="T570" s="141"/>
    </row>
    <row r="571" ht="30.0" customHeight="1">
      <c r="A571" s="173">
        <v>567.0</v>
      </c>
      <c r="B571" s="173"/>
      <c r="C571" s="142"/>
      <c r="D571" s="173"/>
      <c r="E571" s="173"/>
      <c r="F571" s="476"/>
      <c r="G571" s="142"/>
      <c r="H571" s="142"/>
      <c r="I571" s="173"/>
      <c r="J571" s="173"/>
      <c r="K571" s="173"/>
      <c r="L571" s="173"/>
      <c r="M571" s="173"/>
      <c r="N571" s="142"/>
      <c r="O571" s="142"/>
      <c r="P571" s="142"/>
      <c r="Q571" s="173"/>
      <c r="R571" s="477"/>
      <c r="S571" s="271"/>
      <c r="T571" s="141"/>
    </row>
    <row r="572" ht="30.0" customHeight="1">
      <c r="A572" s="173">
        <v>568.0</v>
      </c>
      <c r="B572" s="173"/>
      <c r="C572" s="142"/>
      <c r="D572" s="173"/>
      <c r="E572" s="173"/>
      <c r="F572" s="476"/>
      <c r="G572" s="142"/>
      <c r="H572" s="142"/>
      <c r="I572" s="173"/>
      <c r="J572" s="173"/>
      <c r="K572" s="173"/>
      <c r="L572" s="173"/>
      <c r="M572" s="173"/>
      <c r="N572" s="142"/>
      <c r="O572" s="142"/>
      <c r="P572" s="142"/>
      <c r="Q572" s="173"/>
      <c r="R572" s="477"/>
      <c r="S572" s="271"/>
      <c r="T572" s="141"/>
    </row>
    <row r="573" ht="30.0" customHeight="1">
      <c r="A573" s="173">
        <v>569.0</v>
      </c>
      <c r="B573" s="173"/>
      <c r="C573" s="142"/>
      <c r="D573" s="173"/>
      <c r="E573" s="173"/>
      <c r="F573" s="476"/>
      <c r="G573" s="142"/>
      <c r="H573" s="142"/>
      <c r="I573" s="173"/>
      <c r="J573" s="173"/>
      <c r="K573" s="173"/>
      <c r="L573" s="173"/>
      <c r="M573" s="173"/>
      <c r="N573" s="142"/>
      <c r="O573" s="142"/>
      <c r="P573" s="142"/>
      <c r="Q573" s="173"/>
      <c r="R573" s="477"/>
      <c r="S573" s="271"/>
      <c r="T573" s="141"/>
    </row>
    <row r="574" ht="30.0" customHeight="1">
      <c r="A574" s="173">
        <v>570.0</v>
      </c>
      <c r="B574" s="173"/>
      <c r="C574" s="142"/>
      <c r="D574" s="173"/>
      <c r="E574" s="173"/>
      <c r="F574" s="476"/>
      <c r="G574" s="142"/>
      <c r="H574" s="142"/>
      <c r="I574" s="173"/>
      <c r="J574" s="173"/>
      <c r="K574" s="173"/>
      <c r="L574" s="173"/>
      <c r="M574" s="173"/>
      <c r="N574" s="142"/>
      <c r="O574" s="142"/>
      <c r="P574" s="142"/>
      <c r="Q574" s="173"/>
      <c r="R574" s="477"/>
      <c r="S574" s="271"/>
      <c r="T574" s="141"/>
    </row>
    <row r="575" ht="30.0" customHeight="1">
      <c r="A575" s="173">
        <v>571.0</v>
      </c>
      <c r="B575" s="173"/>
      <c r="C575" s="142"/>
      <c r="D575" s="173"/>
      <c r="E575" s="173"/>
      <c r="F575" s="476"/>
      <c r="G575" s="142"/>
      <c r="H575" s="142"/>
      <c r="I575" s="173"/>
      <c r="J575" s="173"/>
      <c r="K575" s="173"/>
      <c r="L575" s="173"/>
      <c r="M575" s="173"/>
      <c r="N575" s="142"/>
      <c r="O575" s="142"/>
      <c r="P575" s="142"/>
      <c r="Q575" s="173"/>
      <c r="R575" s="477"/>
      <c r="S575" s="271"/>
      <c r="T575" s="141"/>
    </row>
    <row r="576" ht="30.0" customHeight="1">
      <c r="A576" s="173">
        <v>572.0</v>
      </c>
      <c r="B576" s="173"/>
      <c r="C576" s="142"/>
      <c r="D576" s="173"/>
      <c r="E576" s="173"/>
      <c r="F576" s="476"/>
      <c r="G576" s="142"/>
      <c r="H576" s="142"/>
      <c r="I576" s="173"/>
      <c r="J576" s="173"/>
      <c r="K576" s="173"/>
      <c r="L576" s="173"/>
      <c r="M576" s="173"/>
      <c r="N576" s="142"/>
      <c r="O576" s="142"/>
      <c r="P576" s="142"/>
      <c r="Q576" s="173"/>
      <c r="R576" s="477"/>
      <c r="S576" s="271"/>
      <c r="T576" s="141"/>
    </row>
    <row r="577" ht="30.0" customHeight="1">
      <c r="A577" s="173">
        <v>573.0</v>
      </c>
      <c r="B577" s="173"/>
      <c r="C577" s="142"/>
      <c r="D577" s="173"/>
      <c r="E577" s="173"/>
      <c r="F577" s="476"/>
      <c r="G577" s="142"/>
      <c r="H577" s="142"/>
      <c r="I577" s="173"/>
      <c r="J577" s="173"/>
      <c r="K577" s="173"/>
      <c r="L577" s="173"/>
      <c r="M577" s="173"/>
      <c r="N577" s="142"/>
      <c r="O577" s="142"/>
      <c r="P577" s="142"/>
      <c r="Q577" s="173"/>
      <c r="R577" s="477"/>
      <c r="S577" s="271"/>
      <c r="T577" s="141"/>
    </row>
    <row r="578" ht="30.0" customHeight="1">
      <c r="A578" s="173">
        <v>574.0</v>
      </c>
      <c r="B578" s="173"/>
      <c r="C578" s="142"/>
      <c r="D578" s="173"/>
      <c r="E578" s="173"/>
      <c r="F578" s="476"/>
      <c r="G578" s="142"/>
      <c r="H578" s="142"/>
      <c r="I578" s="173"/>
      <c r="J578" s="173"/>
      <c r="K578" s="173"/>
      <c r="L578" s="173"/>
      <c r="M578" s="173"/>
      <c r="N578" s="142"/>
      <c r="O578" s="142"/>
      <c r="P578" s="142"/>
      <c r="Q578" s="173"/>
      <c r="R578" s="477"/>
      <c r="S578" s="271"/>
      <c r="T578" s="141"/>
    </row>
    <row r="579" ht="30.0" customHeight="1">
      <c r="A579" s="173">
        <v>575.0</v>
      </c>
      <c r="B579" s="173"/>
      <c r="C579" s="142"/>
      <c r="D579" s="173"/>
      <c r="E579" s="173"/>
      <c r="F579" s="476"/>
      <c r="G579" s="142"/>
      <c r="H579" s="142"/>
      <c r="I579" s="173"/>
      <c r="J579" s="173"/>
      <c r="K579" s="173"/>
      <c r="L579" s="173"/>
      <c r="M579" s="173"/>
      <c r="N579" s="142"/>
      <c r="O579" s="142"/>
      <c r="P579" s="142"/>
      <c r="Q579" s="173"/>
      <c r="R579" s="477"/>
      <c r="S579" s="271"/>
      <c r="T579" s="141"/>
    </row>
    <row r="580" ht="30.0" customHeight="1">
      <c r="A580" s="173">
        <v>576.0</v>
      </c>
      <c r="B580" s="173"/>
      <c r="C580" s="142"/>
      <c r="D580" s="173"/>
      <c r="E580" s="173"/>
      <c r="F580" s="476"/>
      <c r="G580" s="142"/>
      <c r="H580" s="142"/>
      <c r="I580" s="173"/>
      <c r="J580" s="173"/>
      <c r="K580" s="173"/>
      <c r="L580" s="173"/>
      <c r="M580" s="173"/>
      <c r="N580" s="142"/>
      <c r="O580" s="142"/>
      <c r="P580" s="142"/>
      <c r="Q580" s="173"/>
      <c r="R580" s="477"/>
      <c r="S580" s="271"/>
      <c r="T580" s="141"/>
    </row>
    <row r="581" ht="30.0" customHeight="1">
      <c r="A581" s="173">
        <v>577.0</v>
      </c>
      <c r="B581" s="173"/>
      <c r="C581" s="142"/>
      <c r="D581" s="173"/>
      <c r="E581" s="173"/>
      <c r="F581" s="476"/>
      <c r="G581" s="142"/>
      <c r="H581" s="142"/>
      <c r="I581" s="173"/>
      <c r="J581" s="173"/>
      <c r="K581" s="173"/>
      <c r="L581" s="173"/>
      <c r="M581" s="173"/>
      <c r="N581" s="142"/>
      <c r="O581" s="142"/>
      <c r="P581" s="142"/>
      <c r="Q581" s="173"/>
      <c r="R581" s="477"/>
      <c r="S581" s="271"/>
      <c r="T581" s="141"/>
    </row>
    <row r="582" ht="30.0" customHeight="1">
      <c r="A582" s="173">
        <v>578.0</v>
      </c>
      <c r="B582" s="173"/>
      <c r="C582" s="142"/>
      <c r="D582" s="173"/>
      <c r="E582" s="173"/>
      <c r="F582" s="476"/>
      <c r="G582" s="142"/>
      <c r="H582" s="142"/>
      <c r="I582" s="173"/>
      <c r="J582" s="173"/>
      <c r="K582" s="173"/>
      <c r="L582" s="173"/>
      <c r="M582" s="173"/>
      <c r="N582" s="142"/>
      <c r="O582" s="142"/>
      <c r="P582" s="142"/>
      <c r="Q582" s="173"/>
      <c r="R582" s="477"/>
      <c r="S582" s="271"/>
      <c r="T582" s="141"/>
    </row>
    <row r="583" ht="30.0" customHeight="1">
      <c r="A583" s="173">
        <v>579.0</v>
      </c>
      <c r="B583" s="173"/>
      <c r="C583" s="142"/>
      <c r="D583" s="173"/>
      <c r="E583" s="173"/>
      <c r="F583" s="476"/>
      <c r="G583" s="142"/>
      <c r="H583" s="142"/>
      <c r="I583" s="173"/>
      <c r="J583" s="173"/>
      <c r="K583" s="173"/>
      <c r="L583" s="173"/>
      <c r="M583" s="173"/>
      <c r="N583" s="142"/>
      <c r="O583" s="142"/>
      <c r="P583" s="142"/>
      <c r="Q583" s="173"/>
      <c r="R583" s="477"/>
      <c r="S583" s="271"/>
      <c r="T583" s="141"/>
    </row>
    <row r="584" ht="30.0" customHeight="1">
      <c r="A584" s="173">
        <v>580.0</v>
      </c>
      <c r="B584" s="173"/>
      <c r="C584" s="142"/>
      <c r="D584" s="173"/>
      <c r="E584" s="173"/>
      <c r="F584" s="476"/>
      <c r="G584" s="142"/>
      <c r="H584" s="142"/>
      <c r="I584" s="173"/>
      <c r="J584" s="173"/>
      <c r="K584" s="173"/>
      <c r="L584" s="173"/>
      <c r="M584" s="173"/>
      <c r="N584" s="142"/>
      <c r="O584" s="142"/>
      <c r="P584" s="142"/>
      <c r="Q584" s="173"/>
      <c r="R584" s="477"/>
      <c r="S584" s="271"/>
      <c r="T584" s="141"/>
    </row>
    <row r="585" ht="30.0" customHeight="1">
      <c r="A585" s="173">
        <v>581.0</v>
      </c>
      <c r="B585" s="173"/>
      <c r="C585" s="142"/>
      <c r="D585" s="173"/>
      <c r="E585" s="173"/>
      <c r="F585" s="476"/>
      <c r="G585" s="142"/>
      <c r="H585" s="142"/>
      <c r="I585" s="173"/>
      <c r="J585" s="173"/>
      <c r="K585" s="173"/>
      <c r="L585" s="173"/>
      <c r="M585" s="173"/>
      <c r="N585" s="142"/>
      <c r="O585" s="142"/>
      <c r="P585" s="142"/>
      <c r="Q585" s="173"/>
      <c r="R585" s="477"/>
      <c r="S585" s="271"/>
      <c r="T585" s="141"/>
    </row>
    <row r="586" ht="30.0" customHeight="1">
      <c r="A586" s="173">
        <v>582.0</v>
      </c>
      <c r="B586" s="173"/>
      <c r="C586" s="142"/>
      <c r="D586" s="173"/>
      <c r="E586" s="173"/>
      <c r="F586" s="476"/>
      <c r="G586" s="142"/>
      <c r="H586" s="142"/>
      <c r="I586" s="173"/>
      <c r="J586" s="173"/>
      <c r="K586" s="173"/>
      <c r="L586" s="173"/>
      <c r="M586" s="173"/>
      <c r="N586" s="142"/>
      <c r="O586" s="142"/>
      <c r="P586" s="142"/>
      <c r="Q586" s="173"/>
      <c r="R586" s="477"/>
      <c r="S586" s="271"/>
      <c r="T586" s="141"/>
    </row>
    <row r="587" ht="30.0" customHeight="1">
      <c r="A587" s="173">
        <v>583.0</v>
      </c>
      <c r="B587" s="173"/>
      <c r="C587" s="142"/>
      <c r="D587" s="173"/>
      <c r="E587" s="173"/>
      <c r="F587" s="476"/>
      <c r="G587" s="142"/>
      <c r="H587" s="142"/>
      <c r="I587" s="173"/>
      <c r="J587" s="173"/>
      <c r="K587" s="173"/>
      <c r="L587" s="173"/>
      <c r="M587" s="173"/>
      <c r="N587" s="142"/>
      <c r="O587" s="142"/>
      <c r="P587" s="142"/>
      <c r="Q587" s="173"/>
      <c r="R587" s="477"/>
      <c r="S587" s="271"/>
      <c r="T587" s="141"/>
    </row>
    <row r="588" ht="30.0" customHeight="1">
      <c r="A588" s="173">
        <v>584.0</v>
      </c>
      <c r="B588" s="173"/>
      <c r="C588" s="142"/>
      <c r="D588" s="173"/>
      <c r="E588" s="173"/>
      <c r="F588" s="476"/>
      <c r="G588" s="142"/>
      <c r="H588" s="142"/>
      <c r="I588" s="173"/>
      <c r="J588" s="173"/>
      <c r="K588" s="173"/>
      <c r="L588" s="173"/>
      <c r="M588" s="173"/>
      <c r="N588" s="142"/>
      <c r="O588" s="142"/>
      <c r="P588" s="142"/>
      <c r="Q588" s="173"/>
      <c r="R588" s="477"/>
      <c r="S588" s="271"/>
      <c r="T588" s="141"/>
    </row>
    <row r="589" ht="30.0" customHeight="1">
      <c r="A589" s="173">
        <v>585.0</v>
      </c>
      <c r="B589" s="173"/>
      <c r="C589" s="142"/>
      <c r="D589" s="173"/>
      <c r="E589" s="173"/>
      <c r="F589" s="476"/>
      <c r="G589" s="142"/>
      <c r="H589" s="142"/>
      <c r="I589" s="173"/>
      <c r="J589" s="173"/>
      <c r="K589" s="173"/>
      <c r="L589" s="173"/>
      <c r="M589" s="173"/>
      <c r="N589" s="142"/>
      <c r="O589" s="142"/>
      <c r="P589" s="142"/>
      <c r="Q589" s="173"/>
      <c r="R589" s="477"/>
      <c r="S589" s="271"/>
      <c r="T589" s="141"/>
    </row>
    <row r="590" ht="30.0" customHeight="1">
      <c r="A590" s="173">
        <v>586.0</v>
      </c>
      <c r="B590" s="173"/>
      <c r="C590" s="142"/>
      <c r="D590" s="173"/>
      <c r="E590" s="173"/>
      <c r="F590" s="476"/>
      <c r="G590" s="142"/>
      <c r="H590" s="142"/>
      <c r="I590" s="173"/>
      <c r="J590" s="173"/>
      <c r="K590" s="173"/>
      <c r="L590" s="173"/>
      <c r="M590" s="173"/>
      <c r="N590" s="142"/>
      <c r="O590" s="142"/>
      <c r="P590" s="142"/>
      <c r="Q590" s="173"/>
      <c r="R590" s="477"/>
      <c r="S590" s="271"/>
      <c r="T590" s="141"/>
    </row>
    <row r="591" ht="30.0" customHeight="1">
      <c r="A591" s="173">
        <v>587.0</v>
      </c>
      <c r="B591" s="173"/>
      <c r="C591" s="142"/>
      <c r="D591" s="173"/>
      <c r="E591" s="173"/>
      <c r="F591" s="476"/>
      <c r="G591" s="142"/>
      <c r="H591" s="142"/>
      <c r="I591" s="173"/>
      <c r="J591" s="173"/>
      <c r="K591" s="173"/>
      <c r="L591" s="173"/>
      <c r="M591" s="173"/>
      <c r="N591" s="142"/>
      <c r="O591" s="142"/>
      <c r="P591" s="142"/>
      <c r="Q591" s="173"/>
      <c r="R591" s="477"/>
      <c r="S591" s="271"/>
      <c r="T591" s="141"/>
    </row>
    <row r="592" ht="30.0" customHeight="1">
      <c r="A592" s="173">
        <v>588.0</v>
      </c>
      <c r="B592" s="173"/>
      <c r="C592" s="142"/>
      <c r="D592" s="173"/>
      <c r="E592" s="173"/>
      <c r="F592" s="476"/>
      <c r="G592" s="142"/>
      <c r="H592" s="142"/>
      <c r="I592" s="173"/>
      <c r="J592" s="173"/>
      <c r="K592" s="173"/>
      <c r="L592" s="173"/>
      <c r="M592" s="173"/>
      <c r="N592" s="142"/>
      <c r="O592" s="142"/>
      <c r="P592" s="142"/>
      <c r="Q592" s="173"/>
      <c r="R592" s="477"/>
      <c r="S592" s="271"/>
      <c r="T592" s="141"/>
    </row>
    <row r="593" ht="30.0" customHeight="1">
      <c r="A593" s="173">
        <v>589.0</v>
      </c>
      <c r="B593" s="173"/>
      <c r="C593" s="142"/>
      <c r="D593" s="173"/>
      <c r="E593" s="173"/>
      <c r="F593" s="476"/>
      <c r="G593" s="142"/>
      <c r="H593" s="142"/>
      <c r="I593" s="173"/>
      <c r="J593" s="173"/>
      <c r="K593" s="173"/>
      <c r="L593" s="173"/>
      <c r="M593" s="173"/>
      <c r="N593" s="142"/>
      <c r="O593" s="142"/>
      <c r="P593" s="142"/>
      <c r="Q593" s="173"/>
      <c r="R593" s="477"/>
      <c r="S593" s="271"/>
      <c r="T593" s="141"/>
    </row>
    <row r="594" ht="30.0" customHeight="1">
      <c r="A594" s="173">
        <v>590.0</v>
      </c>
      <c r="B594" s="173"/>
      <c r="C594" s="142"/>
      <c r="D594" s="173"/>
      <c r="E594" s="173"/>
      <c r="F594" s="476"/>
      <c r="G594" s="142"/>
      <c r="H594" s="142"/>
      <c r="I594" s="173"/>
      <c r="J594" s="173"/>
      <c r="K594" s="173"/>
      <c r="L594" s="173"/>
      <c r="M594" s="173"/>
      <c r="N594" s="142"/>
      <c r="O594" s="142"/>
      <c r="P594" s="142"/>
      <c r="Q594" s="173"/>
      <c r="R594" s="477"/>
      <c r="S594" s="271"/>
      <c r="T594" s="141"/>
    </row>
    <row r="595" ht="30.0" customHeight="1">
      <c r="A595" s="173">
        <v>591.0</v>
      </c>
      <c r="B595" s="173"/>
      <c r="C595" s="142"/>
      <c r="D595" s="173"/>
      <c r="E595" s="173"/>
      <c r="F595" s="476"/>
      <c r="G595" s="142"/>
      <c r="H595" s="142"/>
      <c r="I595" s="173"/>
      <c r="J595" s="173"/>
      <c r="K595" s="173"/>
      <c r="L595" s="173"/>
      <c r="M595" s="173"/>
      <c r="N595" s="142"/>
      <c r="O595" s="142"/>
      <c r="P595" s="142"/>
      <c r="Q595" s="173"/>
      <c r="R595" s="477"/>
      <c r="S595" s="271"/>
      <c r="T595" s="141"/>
    </row>
    <row r="596" ht="30.0" customHeight="1">
      <c r="A596" s="173">
        <v>592.0</v>
      </c>
      <c r="B596" s="173"/>
      <c r="C596" s="142"/>
      <c r="D596" s="173"/>
      <c r="E596" s="173"/>
      <c r="F596" s="476"/>
      <c r="G596" s="142"/>
      <c r="H596" s="142"/>
      <c r="I596" s="173"/>
      <c r="J596" s="173"/>
      <c r="K596" s="173"/>
      <c r="L596" s="173"/>
      <c r="M596" s="173"/>
      <c r="N596" s="142"/>
      <c r="O596" s="142"/>
      <c r="P596" s="142"/>
      <c r="Q596" s="173"/>
      <c r="R596" s="477"/>
      <c r="S596" s="271"/>
      <c r="T596" s="141"/>
    </row>
    <row r="597" ht="30.0" customHeight="1">
      <c r="A597" s="173">
        <v>593.0</v>
      </c>
      <c r="B597" s="173"/>
      <c r="C597" s="142"/>
      <c r="D597" s="173"/>
      <c r="E597" s="173"/>
      <c r="F597" s="476"/>
      <c r="G597" s="142"/>
      <c r="H597" s="142"/>
      <c r="I597" s="173"/>
      <c r="J597" s="173"/>
      <c r="K597" s="173"/>
      <c r="L597" s="173"/>
      <c r="M597" s="173"/>
      <c r="N597" s="142"/>
      <c r="O597" s="142"/>
      <c r="P597" s="142"/>
      <c r="Q597" s="173"/>
      <c r="R597" s="477"/>
      <c r="S597" s="271"/>
      <c r="T597" s="141"/>
    </row>
    <row r="598" ht="30.0" customHeight="1">
      <c r="A598" s="173">
        <v>594.0</v>
      </c>
      <c r="B598" s="173"/>
      <c r="C598" s="142"/>
      <c r="D598" s="173"/>
      <c r="E598" s="173"/>
      <c r="F598" s="476"/>
      <c r="G598" s="142"/>
      <c r="H598" s="142"/>
      <c r="I598" s="173"/>
      <c r="J598" s="173"/>
      <c r="K598" s="173"/>
      <c r="L598" s="173"/>
      <c r="M598" s="173"/>
      <c r="N598" s="142"/>
      <c r="O598" s="142"/>
      <c r="P598" s="142"/>
      <c r="Q598" s="173"/>
      <c r="R598" s="477"/>
      <c r="S598" s="271"/>
      <c r="T598" s="141"/>
    </row>
    <row r="599" ht="30.0" customHeight="1">
      <c r="A599" s="173">
        <v>595.0</v>
      </c>
      <c r="B599" s="173"/>
      <c r="C599" s="142"/>
      <c r="D599" s="173"/>
      <c r="E599" s="173"/>
      <c r="F599" s="476"/>
      <c r="G599" s="142"/>
      <c r="H599" s="142"/>
      <c r="I599" s="173"/>
      <c r="J599" s="173"/>
      <c r="K599" s="173"/>
      <c r="L599" s="173"/>
      <c r="M599" s="173"/>
      <c r="N599" s="142"/>
      <c r="O599" s="142"/>
      <c r="P599" s="142"/>
      <c r="Q599" s="173"/>
      <c r="R599" s="477"/>
      <c r="S599" s="271"/>
      <c r="T599" s="141"/>
    </row>
    <row r="600" ht="30.0" customHeight="1">
      <c r="A600" s="173">
        <v>596.0</v>
      </c>
      <c r="B600" s="173"/>
      <c r="C600" s="142"/>
      <c r="D600" s="173"/>
      <c r="E600" s="173"/>
      <c r="F600" s="476"/>
      <c r="G600" s="142"/>
      <c r="H600" s="142"/>
      <c r="I600" s="173"/>
      <c r="J600" s="173"/>
      <c r="K600" s="173"/>
      <c r="L600" s="173"/>
      <c r="M600" s="173"/>
      <c r="N600" s="142"/>
      <c r="O600" s="142"/>
      <c r="P600" s="142"/>
      <c r="Q600" s="173"/>
      <c r="R600" s="477"/>
      <c r="S600" s="271"/>
      <c r="T600" s="141"/>
    </row>
    <row r="601" ht="30.0" customHeight="1">
      <c r="A601" s="173">
        <v>597.0</v>
      </c>
      <c r="B601" s="173"/>
      <c r="C601" s="142"/>
      <c r="D601" s="173"/>
      <c r="E601" s="173"/>
      <c r="F601" s="476"/>
      <c r="G601" s="142"/>
      <c r="H601" s="142"/>
      <c r="I601" s="173"/>
      <c r="J601" s="173"/>
      <c r="K601" s="173"/>
      <c r="L601" s="173"/>
      <c r="M601" s="173"/>
      <c r="N601" s="142"/>
      <c r="O601" s="142"/>
      <c r="P601" s="142"/>
      <c r="Q601" s="173"/>
      <c r="R601" s="477"/>
      <c r="S601" s="271"/>
      <c r="T601" s="141"/>
    </row>
    <row r="602" ht="30.0" customHeight="1">
      <c r="A602" s="173">
        <v>598.0</v>
      </c>
      <c r="B602" s="173"/>
      <c r="C602" s="142"/>
      <c r="D602" s="173"/>
      <c r="E602" s="173"/>
      <c r="F602" s="476"/>
      <c r="G602" s="142"/>
      <c r="H602" s="142"/>
      <c r="I602" s="173"/>
      <c r="J602" s="173"/>
      <c r="K602" s="173"/>
      <c r="L602" s="173"/>
      <c r="M602" s="173"/>
      <c r="N602" s="142"/>
      <c r="O602" s="142"/>
      <c r="P602" s="142"/>
      <c r="Q602" s="173"/>
      <c r="R602" s="477"/>
      <c r="S602" s="271"/>
      <c r="T602" s="141"/>
    </row>
    <row r="603" ht="30.0" customHeight="1">
      <c r="A603" s="173">
        <v>599.0</v>
      </c>
      <c r="B603" s="173"/>
      <c r="C603" s="142"/>
      <c r="D603" s="173"/>
      <c r="E603" s="173"/>
      <c r="F603" s="476"/>
      <c r="G603" s="142"/>
      <c r="H603" s="142"/>
      <c r="I603" s="173"/>
      <c r="J603" s="173"/>
      <c r="K603" s="173"/>
      <c r="L603" s="173"/>
      <c r="M603" s="173"/>
      <c r="N603" s="142"/>
      <c r="O603" s="142"/>
      <c r="P603" s="142"/>
      <c r="Q603" s="173"/>
      <c r="R603" s="477"/>
      <c r="S603" s="271"/>
      <c r="T603" s="141"/>
    </row>
    <row r="604" ht="30.0" customHeight="1">
      <c r="A604" s="173">
        <v>600.0</v>
      </c>
      <c r="B604" s="173"/>
      <c r="C604" s="142"/>
      <c r="D604" s="173"/>
      <c r="E604" s="173"/>
      <c r="F604" s="476"/>
      <c r="G604" s="142"/>
      <c r="H604" s="142"/>
      <c r="I604" s="173"/>
      <c r="J604" s="173"/>
      <c r="K604" s="173"/>
      <c r="L604" s="173"/>
      <c r="M604" s="173"/>
      <c r="N604" s="142"/>
      <c r="O604" s="142"/>
      <c r="P604" s="142"/>
      <c r="Q604" s="173"/>
      <c r="R604" s="477"/>
      <c r="S604" s="271"/>
      <c r="T604" s="141"/>
    </row>
    <row r="605" ht="30.0" customHeight="1">
      <c r="A605" s="173">
        <v>601.0</v>
      </c>
      <c r="B605" s="173"/>
      <c r="C605" s="142"/>
      <c r="D605" s="173"/>
      <c r="E605" s="173"/>
      <c r="F605" s="476"/>
      <c r="G605" s="142"/>
      <c r="H605" s="142"/>
      <c r="I605" s="173"/>
      <c r="J605" s="173"/>
      <c r="K605" s="173"/>
      <c r="L605" s="173"/>
      <c r="M605" s="173"/>
      <c r="N605" s="142"/>
      <c r="O605" s="142"/>
      <c r="P605" s="142"/>
      <c r="Q605" s="173"/>
      <c r="R605" s="477"/>
      <c r="S605" s="271"/>
      <c r="T605" s="141"/>
    </row>
    <row r="606" ht="30.0" customHeight="1">
      <c r="A606" s="173">
        <v>602.0</v>
      </c>
      <c r="B606" s="173"/>
      <c r="C606" s="142"/>
      <c r="D606" s="173"/>
      <c r="E606" s="173"/>
      <c r="F606" s="476"/>
      <c r="G606" s="142"/>
      <c r="H606" s="142"/>
      <c r="I606" s="173"/>
      <c r="J606" s="173"/>
      <c r="K606" s="173"/>
      <c r="L606" s="173"/>
      <c r="M606" s="173"/>
      <c r="N606" s="142"/>
      <c r="O606" s="142"/>
      <c r="P606" s="142"/>
      <c r="Q606" s="173"/>
      <c r="R606" s="477"/>
      <c r="S606" s="271"/>
      <c r="T606" s="141"/>
    </row>
    <row r="607" ht="30.0" customHeight="1">
      <c r="A607" s="173">
        <v>603.0</v>
      </c>
      <c r="B607" s="173"/>
      <c r="C607" s="142"/>
      <c r="D607" s="173"/>
      <c r="E607" s="173"/>
      <c r="F607" s="476"/>
      <c r="G607" s="142"/>
      <c r="H607" s="142"/>
      <c r="I607" s="173"/>
      <c r="J607" s="173"/>
      <c r="K607" s="173"/>
      <c r="L607" s="173"/>
      <c r="M607" s="173"/>
      <c r="N607" s="142"/>
      <c r="O607" s="142"/>
      <c r="P607" s="142"/>
      <c r="Q607" s="173"/>
      <c r="R607" s="477"/>
      <c r="S607" s="271"/>
      <c r="T607" s="141"/>
    </row>
    <row r="608" ht="30.0" customHeight="1">
      <c r="A608" s="173">
        <v>604.0</v>
      </c>
      <c r="B608" s="173"/>
      <c r="C608" s="142"/>
      <c r="D608" s="173"/>
      <c r="E608" s="173"/>
      <c r="F608" s="476"/>
      <c r="G608" s="142"/>
      <c r="H608" s="142"/>
      <c r="I608" s="173"/>
      <c r="J608" s="173"/>
      <c r="K608" s="173"/>
      <c r="L608" s="173"/>
      <c r="M608" s="173"/>
      <c r="N608" s="142"/>
      <c r="O608" s="142"/>
      <c r="P608" s="142"/>
      <c r="Q608" s="173"/>
      <c r="R608" s="477"/>
      <c r="S608" s="271"/>
      <c r="T608" s="141"/>
    </row>
    <row r="609" ht="30.0" customHeight="1">
      <c r="A609" s="173">
        <v>605.0</v>
      </c>
      <c r="B609" s="173"/>
      <c r="C609" s="142"/>
      <c r="D609" s="173"/>
      <c r="E609" s="173"/>
      <c r="F609" s="476"/>
      <c r="G609" s="142"/>
      <c r="H609" s="142"/>
      <c r="I609" s="173"/>
      <c r="J609" s="173"/>
      <c r="K609" s="173"/>
      <c r="L609" s="173"/>
      <c r="M609" s="173"/>
      <c r="N609" s="142"/>
      <c r="O609" s="142"/>
      <c r="P609" s="142"/>
      <c r="Q609" s="173"/>
      <c r="R609" s="477"/>
      <c r="S609" s="271"/>
      <c r="T609" s="141"/>
    </row>
    <row r="610" ht="30.0" customHeight="1">
      <c r="A610" s="173">
        <v>606.0</v>
      </c>
      <c r="B610" s="173"/>
      <c r="C610" s="142"/>
      <c r="D610" s="173"/>
      <c r="E610" s="173"/>
      <c r="F610" s="476"/>
      <c r="G610" s="142"/>
      <c r="H610" s="142"/>
      <c r="I610" s="173"/>
      <c r="J610" s="173"/>
      <c r="K610" s="173"/>
      <c r="L610" s="173"/>
      <c r="M610" s="173"/>
      <c r="N610" s="142"/>
      <c r="O610" s="142"/>
      <c r="P610" s="142"/>
      <c r="Q610" s="173"/>
      <c r="R610" s="477"/>
      <c r="S610" s="271"/>
      <c r="T610" s="141"/>
    </row>
    <row r="611" ht="30.0" customHeight="1">
      <c r="A611" s="173">
        <v>607.0</v>
      </c>
      <c r="B611" s="173"/>
      <c r="C611" s="142"/>
      <c r="D611" s="173"/>
      <c r="E611" s="173"/>
      <c r="F611" s="476"/>
      <c r="G611" s="142"/>
      <c r="H611" s="142"/>
      <c r="I611" s="173"/>
      <c r="J611" s="173"/>
      <c r="K611" s="173"/>
      <c r="L611" s="173"/>
      <c r="M611" s="173"/>
      <c r="N611" s="142"/>
      <c r="O611" s="142"/>
      <c r="P611" s="142"/>
      <c r="Q611" s="173"/>
      <c r="R611" s="477"/>
      <c r="S611" s="271"/>
      <c r="T611" s="141"/>
    </row>
    <row r="612" ht="30.0" customHeight="1">
      <c r="A612" s="173">
        <v>608.0</v>
      </c>
      <c r="B612" s="173"/>
      <c r="C612" s="142"/>
      <c r="D612" s="173"/>
      <c r="E612" s="173"/>
      <c r="F612" s="476"/>
      <c r="G612" s="142"/>
      <c r="H612" s="142"/>
      <c r="I612" s="173"/>
      <c r="J612" s="173"/>
      <c r="K612" s="173"/>
      <c r="L612" s="173"/>
      <c r="M612" s="173"/>
      <c r="N612" s="142"/>
      <c r="O612" s="142"/>
      <c r="P612" s="142"/>
      <c r="Q612" s="173"/>
      <c r="R612" s="477"/>
      <c r="S612" s="271"/>
      <c r="T612" s="141"/>
    </row>
    <row r="613" ht="30.0" customHeight="1">
      <c r="A613" s="173">
        <v>609.0</v>
      </c>
      <c r="B613" s="173"/>
      <c r="C613" s="142"/>
      <c r="D613" s="173"/>
      <c r="E613" s="173"/>
      <c r="F613" s="476"/>
      <c r="G613" s="142"/>
      <c r="H613" s="142"/>
      <c r="I613" s="173"/>
      <c r="J613" s="173"/>
      <c r="K613" s="173"/>
      <c r="L613" s="173"/>
      <c r="M613" s="173"/>
      <c r="N613" s="142"/>
      <c r="O613" s="142"/>
      <c r="P613" s="142"/>
      <c r="Q613" s="173"/>
      <c r="R613" s="477"/>
      <c r="S613" s="271"/>
      <c r="T613" s="141"/>
    </row>
    <row r="614" ht="30.0" customHeight="1">
      <c r="A614" s="173">
        <v>610.0</v>
      </c>
      <c r="B614" s="173"/>
      <c r="C614" s="142"/>
      <c r="D614" s="173"/>
      <c r="E614" s="173"/>
      <c r="F614" s="476"/>
      <c r="G614" s="142"/>
      <c r="H614" s="142"/>
      <c r="I614" s="173"/>
      <c r="J614" s="173"/>
      <c r="K614" s="173"/>
      <c r="L614" s="173"/>
      <c r="M614" s="173"/>
      <c r="N614" s="142"/>
      <c r="O614" s="142"/>
      <c r="P614" s="142"/>
      <c r="Q614" s="173"/>
      <c r="R614" s="477"/>
      <c r="S614" s="271"/>
      <c r="T614" s="141"/>
    </row>
    <row r="615" ht="30.0" customHeight="1">
      <c r="A615" s="173">
        <v>611.0</v>
      </c>
      <c r="B615" s="173"/>
      <c r="C615" s="142"/>
      <c r="D615" s="173"/>
      <c r="E615" s="173"/>
      <c r="F615" s="476"/>
      <c r="G615" s="142"/>
      <c r="H615" s="142"/>
      <c r="I615" s="173"/>
      <c r="J615" s="173"/>
      <c r="K615" s="173"/>
      <c r="L615" s="173"/>
      <c r="M615" s="173"/>
      <c r="N615" s="142"/>
      <c r="O615" s="142"/>
      <c r="P615" s="142"/>
      <c r="Q615" s="173"/>
      <c r="R615" s="477"/>
      <c r="S615" s="271"/>
      <c r="T615" s="141"/>
    </row>
    <row r="616" ht="30.0" customHeight="1">
      <c r="A616" s="173">
        <v>612.0</v>
      </c>
      <c r="B616" s="173"/>
      <c r="C616" s="142"/>
      <c r="D616" s="173"/>
      <c r="E616" s="173"/>
      <c r="F616" s="476"/>
      <c r="G616" s="142"/>
      <c r="H616" s="142"/>
      <c r="I616" s="173"/>
      <c r="J616" s="173"/>
      <c r="K616" s="173"/>
      <c r="L616" s="173"/>
      <c r="M616" s="173"/>
      <c r="N616" s="142"/>
      <c r="O616" s="142"/>
      <c r="P616" s="142"/>
      <c r="Q616" s="173"/>
      <c r="R616" s="477"/>
      <c r="S616" s="271"/>
      <c r="T616" s="141"/>
    </row>
    <row r="617" ht="30.0" customHeight="1">
      <c r="A617" s="173">
        <v>613.0</v>
      </c>
      <c r="B617" s="173"/>
      <c r="C617" s="142"/>
      <c r="D617" s="173"/>
      <c r="E617" s="173"/>
      <c r="F617" s="476"/>
      <c r="G617" s="142"/>
      <c r="H617" s="142"/>
      <c r="I617" s="173"/>
      <c r="J617" s="173"/>
      <c r="K617" s="173"/>
      <c r="L617" s="173"/>
      <c r="M617" s="173"/>
      <c r="N617" s="142"/>
      <c r="O617" s="142"/>
      <c r="P617" s="142"/>
      <c r="Q617" s="173"/>
      <c r="R617" s="477"/>
      <c r="S617" s="271"/>
      <c r="T617" s="141"/>
    </row>
    <row r="618" ht="30.0" customHeight="1">
      <c r="A618" s="173">
        <v>614.0</v>
      </c>
      <c r="B618" s="173"/>
      <c r="C618" s="142"/>
      <c r="D618" s="173"/>
      <c r="E618" s="173"/>
      <c r="F618" s="476"/>
      <c r="G618" s="142"/>
      <c r="H618" s="142"/>
      <c r="I618" s="173"/>
      <c r="J618" s="173"/>
      <c r="K618" s="173"/>
      <c r="L618" s="173"/>
      <c r="M618" s="173"/>
      <c r="N618" s="142"/>
      <c r="O618" s="142"/>
      <c r="P618" s="142"/>
      <c r="Q618" s="173"/>
      <c r="R618" s="477"/>
      <c r="S618" s="271"/>
      <c r="T618" s="141"/>
    </row>
    <row r="619" ht="30.0" customHeight="1">
      <c r="A619" s="173">
        <v>615.0</v>
      </c>
      <c r="B619" s="173"/>
      <c r="C619" s="142"/>
      <c r="D619" s="173"/>
      <c r="E619" s="173"/>
      <c r="F619" s="476"/>
      <c r="G619" s="142"/>
      <c r="H619" s="142"/>
      <c r="I619" s="173"/>
      <c r="J619" s="173"/>
      <c r="K619" s="173"/>
      <c r="L619" s="173"/>
      <c r="M619" s="173"/>
      <c r="N619" s="142"/>
      <c r="O619" s="142"/>
      <c r="P619" s="142"/>
      <c r="Q619" s="173"/>
      <c r="R619" s="477"/>
      <c r="S619" s="271"/>
      <c r="T619" s="141"/>
    </row>
    <row r="620" ht="30.0" customHeight="1">
      <c r="A620" s="173">
        <v>616.0</v>
      </c>
      <c r="B620" s="173"/>
      <c r="C620" s="142"/>
      <c r="D620" s="173"/>
      <c r="E620" s="173"/>
      <c r="F620" s="476"/>
      <c r="G620" s="142"/>
      <c r="H620" s="142"/>
      <c r="I620" s="173"/>
      <c r="J620" s="173"/>
      <c r="K620" s="173"/>
      <c r="L620" s="173"/>
      <c r="M620" s="173"/>
      <c r="N620" s="142"/>
      <c r="O620" s="142"/>
      <c r="P620" s="142"/>
      <c r="Q620" s="173"/>
      <c r="R620" s="477"/>
      <c r="S620" s="271"/>
      <c r="T620" s="141"/>
    </row>
    <row r="621" ht="30.0" customHeight="1">
      <c r="A621" s="173">
        <v>617.0</v>
      </c>
      <c r="B621" s="173"/>
      <c r="C621" s="142"/>
      <c r="D621" s="173"/>
      <c r="E621" s="173"/>
      <c r="F621" s="476"/>
      <c r="G621" s="142"/>
      <c r="H621" s="142"/>
      <c r="I621" s="173"/>
      <c r="J621" s="173"/>
      <c r="K621" s="173"/>
      <c r="L621" s="173"/>
      <c r="M621" s="173"/>
      <c r="N621" s="142"/>
      <c r="O621" s="142"/>
      <c r="P621" s="142"/>
      <c r="Q621" s="173"/>
      <c r="R621" s="477"/>
      <c r="S621" s="271"/>
      <c r="T621" s="141"/>
    </row>
    <row r="622" ht="30.0" customHeight="1">
      <c r="A622" s="173">
        <v>618.0</v>
      </c>
      <c r="B622" s="173"/>
      <c r="C622" s="142"/>
      <c r="D622" s="173"/>
      <c r="E622" s="173"/>
      <c r="F622" s="476"/>
      <c r="G622" s="142"/>
      <c r="H622" s="142"/>
      <c r="I622" s="173"/>
      <c r="J622" s="173"/>
      <c r="K622" s="173"/>
      <c r="L622" s="173"/>
      <c r="M622" s="173"/>
      <c r="N622" s="142"/>
      <c r="O622" s="142"/>
      <c r="P622" s="142"/>
      <c r="Q622" s="173"/>
      <c r="R622" s="477"/>
      <c r="S622" s="271"/>
      <c r="T622" s="141"/>
    </row>
    <row r="623" ht="30.0" customHeight="1">
      <c r="A623" s="173">
        <v>619.0</v>
      </c>
      <c r="B623" s="173"/>
      <c r="C623" s="142"/>
      <c r="D623" s="173"/>
      <c r="E623" s="173"/>
      <c r="F623" s="476"/>
      <c r="G623" s="142"/>
      <c r="H623" s="142"/>
      <c r="I623" s="173"/>
      <c r="J623" s="173"/>
      <c r="K623" s="173"/>
      <c r="L623" s="173"/>
      <c r="M623" s="173"/>
      <c r="N623" s="142"/>
      <c r="O623" s="142"/>
      <c r="P623" s="142"/>
      <c r="Q623" s="173"/>
      <c r="R623" s="477"/>
      <c r="S623" s="271"/>
      <c r="T623" s="141"/>
    </row>
    <row r="624" ht="30.0" customHeight="1">
      <c r="A624" s="173">
        <v>620.0</v>
      </c>
      <c r="B624" s="173"/>
      <c r="C624" s="142"/>
      <c r="D624" s="173"/>
      <c r="E624" s="173"/>
      <c r="F624" s="476"/>
      <c r="G624" s="142"/>
      <c r="H624" s="142"/>
      <c r="I624" s="173"/>
      <c r="J624" s="173"/>
      <c r="K624" s="173"/>
      <c r="L624" s="173"/>
      <c r="M624" s="173"/>
      <c r="N624" s="142"/>
      <c r="O624" s="142"/>
      <c r="P624" s="142"/>
      <c r="Q624" s="173"/>
      <c r="R624" s="477"/>
      <c r="S624" s="271"/>
      <c r="T624" s="141"/>
    </row>
    <row r="625" ht="30.0" customHeight="1">
      <c r="A625" s="173">
        <v>621.0</v>
      </c>
      <c r="B625" s="173"/>
      <c r="C625" s="142"/>
      <c r="D625" s="173"/>
      <c r="E625" s="173"/>
      <c r="F625" s="476"/>
      <c r="G625" s="142"/>
      <c r="H625" s="142"/>
      <c r="I625" s="173"/>
      <c r="J625" s="173"/>
      <c r="K625" s="173"/>
      <c r="L625" s="173"/>
      <c r="M625" s="173"/>
      <c r="N625" s="142"/>
      <c r="O625" s="142"/>
      <c r="P625" s="142"/>
      <c r="Q625" s="173"/>
      <c r="R625" s="477"/>
      <c r="S625" s="271"/>
      <c r="T625" s="141"/>
    </row>
    <row r="626" ht="30.0" customHeight="1">
      <c r="A626" s="173">
        <v>622.0</v>
      </c>
      <c r="B626" s="173"/>
      <c r="C626" s="142"/>
      <c r="D626" s="173"/>
      <c r="E626" s="173"/>
      <c r="F626" s="476"/>
      <c r="G626" s="142"/>
      <c r="H626" s="142"/>
      <c r="I626" s="173"/>
      <c r="J626" s="173"/>
      <c r="K626" s="173"/>
      <c r="L626" s="173"/>
      <c r="M626" s="173"/>
      <c r="N626" s="142"/>
      <c r="O626" s="142"/>
      <c r="P626" s="142"/>
      <c r="Q626" s="173"/>
      <c r="R626" s="477"/>
      <c r="S626" s="271"/>
      <c r="T626" s="141"/>
    </row>
    <row r="627" ht="30.0" customHeight="1">
      <c r="A627" s="173">
        <v>623.0</v>
      </c>
      <c r="B627" s="173"/>
      <c r="C627" s="142"/>
      <c r="D627" s="173"/>
      <c r="E627" s="173"/>
      <c r="F627" s="476"/>
      <c r="G627" s="142"/>
      <c r="H627" s="142"/>
      <c r="I627" s="173"/>
      <c r="J627" s="173"/>
      <c r="K627" s="173"/>
      <c r="L627" s="173"/>
      <c r="M627" s="173"/>
      <c r="N627" s="142"/>
      <c r="O627" s="142"/>
      <c r="P627" s="142"/>
      <c r="Q627" s="173"/>
      <c r="R627" s="477"/>
      <c r="S627" s="271"/>
      <c r="T627" s="141"/>
    </row>
    <row r="628" ht="30.0" customHeight="1">
      <c r="A628" s="173">
        <v>624.0</v>
      </c>
      <c r="B628" s="173"/>
      <c r="C628" s="142"/>
      <c r="D628" s="173"/>
      <c r="E628" s="173"/>
      <c r="F628" s="476"/>
      <c r="G628" s="142"/>
      <c r="H628" s="142"/>
      <c r="I628" s="173"/>
      <c r="J628" s="173"/>
      <c r="K628" s="173"/>
      <c r="L628" s="173"/>
      <c r="M628" s="173"/>
      <c r="N628" s="142"/>
      <c r="O628" s="142"/>
      <c r="P628" s="142"/>
      <c r="Q628" s="173"/>
      <c r="R628" s="477"/>
      <c r="S628" s="271"/>
      <c r="T628" s="141"/>
    </row>
    <row r="629" ht="30.0" customHeight="1">
      <c r="A629" s="173">
        <v>625.0</v>
      </c>
      <c r="B629" s="173"/>
      <c r="C629" s="142"/>
      <c r="D629" s="173"/>
      <c r="E629" s="173"/>
      <c r="F629" s="476"/>
      <c r="G629" s="142"/>
      <c r="H629" s="142"/>
      <c r="I629" s="173"/>
      <c r="J629" s="173"/>
      <c r="K629" s="173"/>
      <c r="L629" s="173"/>
      <c r="M629" s="173"/>
      <c r="N629" s="142"/>
      <c r="O629" s="142"/>
      <c r="P629" s="142"/>
      <c r="Q629" s="173"/>
      <c r="R629" s="477"/>
      <c r="S629" s="271"/>
      <c r="T629" s="141"/>
    </row>
    <row r="630" ht="30.0" customHeight="1">
      <c r="A630" s="173">
        <v>626.0</v>
      </c>
      <c r="B630" s="173"/>
      <c r="C630" s="142"/>
      <c r="D630" s="173"/>
      <c r="E630" s="173"/>
      <c r="F630" s="476"/>
      <c r="G630" s="142"/>
      <c r="H630" s="142"/>
      <c r="I630" s="173"/>
      <c r="J630" s="173"/>
      <c r="K630" s="173"/>
      <c r="L630" s="173"/>
      <c r="M630" s="173"/>
      <c r="N630" s="142"/>
      <c r="O630" s="142"/>
      <c r="P630" s="142"/>
      <c r="Q630" s="173"/>
      <c r="R630" s="477"/>
      <c r="S630" s="271"/>
      <c r="T630" s="141"/>
    </row>
    <row r="631" ht="30.0" customHeight="1">
      <c r="A631" s="173">
        <v>627.0</v>
      </c>
      <c r="B631" s="173"/>
      <c r="C631" s="142"/>
      <c r="D631" s="173"/>
      <c r="E631" s="173"/>
      <c r="F631" s="476"/>
      <c r="G631" s="142"/>
      <c r="H631" s="142"/>
      <c r="I631" s="173"/>
      <c r="J631" s="173"/>
      <c r="K631" s="173"/>
      <c r="L631" s="173"/>
      <c r="M631" s="173"/>
      <c r="N631" s="142"/>
      <c r="O631" s="142"/>
      <c r="P631" s="142"/>
      <c r="Q631" s="173"/>
      <c r="R631" s="477"/>
      <c r="S631" s="271"/>
      <c r="T631" s="141"/>
    </row>
    <row r="632" ht="30.0" customHeight="1">
      <c r="A632" s="173">
        <v>628.0</v>
      </c>
      <c r="B632" s="173"/>
      <c r="C632" s="142"/>
      <c r="D632" s="173"/>
      <c r="E632" s="173"/>
      <c r="F632" s="476"/>
      <c r="G632" s="142"/>
      <c r="H632" s="142"/>
      <c r="I632" s="173"/>
      <c r="J632" s="173"/>
      <c r="K632" s="173"/>
      <c r="L632" s="173"/>
      <c r="M632" s="173"/>
      <c r="N632" s="142"/>
      <c r="O632" s="142"/>
      <c r="P632" s="142"/>
      <c r="Q632" s="173"/>
      <c r="R632" s="477"/>
      <c r="S632" s="271"/>
      <c r="T632" s="141"/>
    </row>
    <row r="633" ht="30.0" customHeight="1">
      <c r="A633" s="173">
        <v>629.0</v>
      </c>
      <c r="B633" s="173"/>
      <c r="C633" s="142"/>
      <c r="D633" s="173"/>
      <c r="E633" s="173"/>
      <c r="F633" s="476"/>
      <c r="G633" s="142"/>
      <c r="H633" s="142"/>
      <c r="I633" s="173"/>
      <c r="J633" s="173"/>
      <c r="K633" s="173"/>
      <c r="L633" s="173"/>
      <c r="M633" s="173"/>
      <c r="N633" s="142"/>
      <c r="O633" s="142"/>
      <c r="P633" s="142"/>
      <c r="Q633" s="173"/>
      <c r="R633" s="477"/>
      <c r="S633" s="271"/>
      <c r="T633" s="141"/>
    </row>
    <row r="634" ht="30.0" customHeight="1">
      <c r="A634" s="173">
        <v>630.0</v>
      </c>
      <c r="B634" s="173"/>
      <c r="C634" s="142"/>
      <c r="D634" s="173"/>
      <c r="E634" s="173"/>
      <c r="F634" s="476"/>
      <c r="G634" s="142"/>
      <c r="H634" s="142"/>
      <c r="I634" s="173"/>
      <c r="J634" s="173"/>
      <c r="K634" s="173"/>
      <c r="L634" s="173"/>
      <c r="M634" s="173"/>
      <c r="N634" s="142"/>
      <c r="O634" s="142"/>
      <c r="P634" s="142"/>
      <c r="Q634" s="173"/>
      <c r="R634" s="477"/>
      <c r="S634" s="271"/>
      <c r="T634" s="141"/>
    </row>
    <row r="635" ht="30.0" customHeight="1">
      <c r="A635" s="173">
        <v>631.0</v>
      </c>
      <c r="B635" s="173"/>
      <c r="C635" s="142"/>
      <c r="D635" s="173"/>
      <c r="E635" s="173"/>
      <c r="F635" s="476"/>
      <c r="G635" s="142"/>
      <c r="H635" s="142"/>
      <c r="I635" s="173"/>
      <c r="J635" s="173"/>
      <c r="K635" s="173"/>
      <c r="L635" s="173"/>
      <c r="M635" s="173"/>
      <c r="N635" s="142"/>
      <c r="O635" s="142"/>
      <c r="P635" s="142"/>
      <c r="Q635" s="173"/>
      <c r="R635" s="477"/>
      <c r="S635" s="271"/>
      <c r="T635" s="141"/>
    </row>
    <row r="636" ht="30.0" customHeight="1">
      <c r="A636" s="173">
        <v>632.0</v>
      </c>
      <c r="B636" s="173"/>
      <c r="C636" s="142"/>
      <c r="D636" s="173"/>
      <c r="E636" s="173"/>
      <c r="F636" s="476"/>
      <c r="G636" s="142"/>
      <c r="H636" s="142"/>
      <c r="I636" s="173"/>
      <c r="J636" s="173"/>
      <c r="K636" s="173"/>
      <c r="L636" s="173"/>
      <c r="M636" s="173"/>
      <c r="N636" s="142"/>
      <c r="O636" s="142"/>
      <c r="P636" s="142"/>
      <c r="Q636" s="173"/>
      <c r="R636" s="477"/>
      <c r="S636" s="271"/>
      <c r="T636" s="141"/>
    </row>
    <row r="637" ht="30.0" customHeight="1">
      <c r="A637" s="173">
        <v>633.0</v>
      </c>
      <c r="B637" s="173"/>
      <c r="C637" s="142"/>
      <c r="D637" s="173"/>
      <c r="E637" s="173"/>
      <c r="F637" s="476"/>
      <c r="G637" s="142"/>
      <c r="H637" s="142"/>
      <c r="I637" s="173"/>
      <c r="J637" s="173"/>
      <c r="K637" s="173"/>
      <c r="L637" s="173"/>
      <c r="M637" s="173"/>
      <c r="N637" s="142"/>
      <c r="O637" s="142"/>
      <c r="P637" s="142"/>
      <c r="Q637" s="173"/>
      <c r="R637" s="477"/>
      <c r="S637" s="271"/>
      <c r="T637" s="141"/>
    </row>
    <row r="638" ht="30.0" customHeight="1">
      <c r="A638" s="173">
        <v>634.0</v>
      </c>
      <c r="B638" s="173"/>
      <c r="C638" s="142"/>
      <c r="D638" s="173"/>
      <c r="E638" s="173"/>
      <c r="F638" s="476"/>
      <c r="G638" s="142"/>
      <c r="H638" s="142"/>
      <c r="I638" s="173"/>
      <c r="J638" s="173"/>
      <c r="K638" s="173"/>
      <c r="L638" s="173"/>
      <c r="M638" s="173"/>
      <c r="N638" s="142"/>
      <c r="O638" s="142"/>
      <c r="P638" s="142"/>
      <c r="Q638" s="173"/>
      <c r="R638" s="477"/>
      <c r="S638" s="271"/>
      <c r="T638" s="141"/>
    </row>
    <row r="639" ht="30.0" customHeight="1">
      <c r="A639" s="173">
        <v>635.0</v>
      </c>
      <c r="B639" s="173"/>
      <c r="C639" s="142"/>
      <c r="D639" s="173"/>
      <c r="E639" s="173"/>
      <c r="F639" s="476"/>
      <c r="G639" s="142"/>
      <c r="H639" s="142"/>
      <c r="I639" s="173"/>
      <c r="J639" s="173"/>
      <c r="K639" s="173"/>
      <c r="L639" s="173"/>
      <c r="M639" s="173"/>
      <c r="N639" s="142"/>
      <c r="O639" s="142"/>
      <c r="P639" s="142"/>
      <c r="Q639" s="173"/>
      <c r="R639" s="477"/>
      <c r="S639" s="271"/>
      <c r="T639" s="141"/>
    </row>
    <row r="640" ht="30.0" customHeight="1">
      <c r="A640" s="173">
        <v>636.0</v>
      </c>
      <c r="B640" s="173"/>
      <c r="C640" s="142"/>
      <c r="D640" s="173"/>
      <c r="E640" s="173"/>
      <c r="F640" s="476"/>
      <c r="G640" s="142"/>
      <c r="H640" s="142"/>
      <c r="I640" s="173"/>
      <c r="J640" s="173"/>
      <c r="K640" s="173"/>
      <c r="L640" s="173"/>
      <c r="M640" s="173"/>
      <c r="N640" s="142"/>
      <c r="O640" s="142"/>
      <c r="P640" s="142"/>
      <c r="Q640" s="173"/>
      <c r="R640" s="477"/>
      <c r="S640" s="271"/>
      <c r="T640" s="141"/>
    </row>
    <row r="641" ht="30.0" customHeight="1">
      <c r="A641" s="173">
        <v>637.0</v>
      </c>
      <c r="B641" s="173"/>
      <c r="C641" s="142"/>
      <c r="D641" s="173"/>
      <c r="E641" s="173"/>
      <c r="F641" s="476"/>
      <c r="G641" s="142"/>
      <c r="H641" s="142"/>
      <c r="I641" s="173"/>
      <c r="J641" s="173"/>
      <c r="K641" s="173"/>
      <c r="L641" s="173"/>
      <c r="M641" s="173"/>
      <c r="N641" s="142"/>
      <c r="O641" s="142"/>
      <c r="P641" s="142"/>
      <c r="Q641" s="173"/>
      <c r="R641" s="477"/>
      <c r="S641" s="271"/>
      <c r="T641" s="141"/>
    </row>
  </sheetData>
  <autoFilter ref="$A$4:$T$93"/>
  <mergeCells count="5">
    <mergeCell ref="B1:I1"/>
    <mergeCell ref="J1:R1"/>
    <mergeCell ref="B2:I2"/>
    <mergeCell ref="J2:M2"/>
    <mergeCell ref="N2:R2"/>
  </mergeCells>
  <conditionalFormatting sqref="I5:I641">
    <cfRule type="cellIs" dxfId="1" priority="1" operator="equal">
      <formula>"Active"</formula>
    </cfRule>
  </conditionalFormatting>
  <conditionalFormatting sqref="I5:I641">
    <cfRule type="cellIs" dxfId="6" priority="2" operator="equal">
      <formula>"Inactive"</formula>
    </cfRule>
  </conditionalFormatting>
  <conditionalFormatting sqref="I5:I641">
    <cfRule type="cellIs" dxfId="5" priority="3" operator="equal">
      <formula>"Retired"</formula>
    </cfRule>
  </conditionalFormatting>
  <conditionalFormatting sqref="I5:I641">
    <cfRule type="cellIs" dxfId="7" priority="4" operator="equal">
      <formula>"Temporary"</formula>
    </cfRule>
  </conditionalFormatting>
  <conditionalFormatting sqref="M5:M641">
    <cfRule type="containsBlanks" dxfId="5" priority="5">
      <formula>LEN(TRIM(M5))=0</formula>
    </cfRule>
  </conditionalFormatting>
  <conditionalFormatting sqref="B5:S641">
    <cfRule type="containsBlanks" dxfId="0" priority="6">
      <formula>LEN(TRIM(B5))=0</formula>
    </cfRule>
  </conditionalFormatting>
  <dataValidations>
    <dataValidation type="list" allowBlank="1" sqref="B5:B641">
      <formula1>'12-VLook'!$C$2:$C$500</formula1>
    </dataValidation>
    <dataValidation type="list" allowBlank="1" showErrorMessage="1" sqref="I5:I641">
      <formula1>"Active,Retired"</formula1>
    </dataValidation>
    <dataValidation type="list" allowBlank="1" sqref="C5:C203 K5:K203 H5:H641">
      <formula1>'4-All Devices'!$L$5:$L641</formula1>
    </dataValidation>
    <dataValidation type="custom" allowBlank="1" showDropDown="1" sqref="D204:D641">
      <formula1>LEN(C204)&lt;=20</formula1>
    </dataValidation>
    <dataValidation type="list" allowBlank="1" showErrorMessage="1" sqref="J5:J641">
      <formula1>"Yes,No"</formula1>
    </dataValidation>
    <dataValidation type="custom" allowBlank="1" showDropDown="1" showInputMessage="1" showErrorMessage="1" prompt="Enter valid URL to Photos. If unobtainable, enter &quot;Not Verified&quot; and add comment in comment column" sqref="R5:R641">
      <formula1>OR(ISURL(R5), R5 = "N/A", R5 = "Not Verified")</formula1>
    </dataValidation>
    <dataValidation type="list" allowBlank="1" sqref="P5:P641">
      <formula1>'12-VLook'!$A$2:$A$500</formula1>
    </dataValidation>
    <dataValidation type="list" allowBlank="1" sqref="C204:C641 K204:K641">
      <formula1>'4-All Devices'!$L$5:$L641</formula1>
    </dataValidation>
    <dataValidation type="list" allowBlank="1" sqref="F5:F641">
      <formula1>'12-VLook'!$K$2:$K$200</formula1>
    </dataValidation>
    <dataValidation type="list" allowBlank="1" showInputMessage="1" prompt="Enter valid URL to Photos. If unobtainable, enter &quot;Not Verified&quot; and add comment in comment column" sqref="S5:S641">
      <formula1>"WS/Facilities,Food,GFit,Events,GEN,BOPS/AV,SecOps,Landlord,Unknown,Other"</formula1>
    </dataValidation>
  </dataValidations>
  <printOptions gridLines="1" horizontalCentered="1"/>
  <pageMargins bottom="0.75" footer="0.0" header="0.0" left="0.7" right="0.7" top="0.75"/>
  <pageSetup fitToHeight="0" paperSize="8"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10.14"/>
    <col customWidth="1" min="2" max="6" width="35.86"/>
    <col customWidth="1" min="7" max="7" width="31.14"/>
    <col customWidth="1" min="8" max="19" width="35.86"/>
    <col customWidth="1" min="20" max="20" width="40.29"/>
    <col customWidth="1" min="21" max="21" width="35.86"/>
  </cols>
  <sheetData>
    <row r="1" ht="30.0" customHeight="1">
      <c r="A1" s="478" t="s">
        <v>11092</v>
      </c>
      <c r="B1" s="462" t="s">
        <v>10745</v>
      </c>
      <c r="C1" s="48"/>
      <c r="D1" s="48"/>
      <c r="E1" s="48"/>
      <c r="F1" s="48"/>
      <c r="G1" s="48"/>
      <c r="H1" s="183" t="s">
        <v>532</v>
      </c>
      <c r="I1" s="48"/>
      <c r="J1" s="48"/>
      <c r="K1" s="49"/>
      <c r="L1" s="479" t="s">
        <v>11093</v>
      </c>
      <c r="M1" s="48"/>
      <c r="N1" s="48"/>
      <c r="O1" s="48"/>
      <c r="P1" s="48"/>
      <c r="Q1" s="48"/>
      <c r="R1" s="49"/>
      <c r="S1" s="198" t="s">
        <v>550</v>
      </c>
      <c r="T1" s="463" t="s">
        <v>551</v>
      </c>
      <c r="U1" s="480" t="s">
        <v>27</v>
      </c>
    </row>
    <row r="2" ht="30.0" customHeight="1">
      <c r="A2" s="161" t="s">
        <v>468</v>
      </c>
      <c r="B2" s="165" t="s">
        <v>469</v>
      </c>
      <c r="C2" s="48"/>
      <c r="D2" s="48"/>
      <c r="E2" s="48"/>
      <c r="F2" s="48"/>
      <c r="G2" s="48"/>
      <c r="H2" s="465" t="s">
        <v>553</v>
      </c>
      <c r="I2" s="48"/>
      <c r="J2" s="48"/>
      <c r="K2" s="48"/>
      <c r="L2" s="481" t="s">
        <v>469</v>
      </c>
      <c r="M2" s="48"/>
      <c r="N2" s="48"/>
      <c r="O2" s="48"/>
      <c r="P2" s="48"/>
      <c r="Q2" s="48"/>
      <c r="R2" s="49"/>
      <c r="S2" s="216" t="s">
        <v>559</v>
      </c>
      <c r="T2" s="466" t="s">
        <v>469</v>
      </c>
      <c r="U2" s="482"/>
    </row>
    <row r="3" ht="112.5" customHeight="1" outlineLevel="1">
      <c r="A3" s="221" t="s">
        <v>472</v>
      </c>
      <c r="B3" s="222" t="s">
        <v>11094</v>
      </c>
      <c r="C3" s="222" t="s">
        <v>11095</v>
      </c>
      <c r="D3" s="222" t="s">
        <v>11096</v>
      </c>
      <c r="E3" s="222" t="s">
        <v>11097</v>
      </c>
      <c r="F3" s="222" t="s">
        <v>11098</v>
      </c>
      <c r="G3" s="222" t="s">
        <v>11099</v>
      </c>
      <c r="H3" s="222" t="s">
        <v>11100</v>
      </c>
      <c r="I3" s="227" t="s">
        <v>11101</v>
      </c>
      <c r="J3" s="222" t="s">
        <v>11102</v>
      </c>
      <c r="K3" s="222" t="s">
        <v>576</v>
      </c>
      <c r="L3" s="222" t="s">
        <v>11103</v>
      </c>
      <c r="M3" s="222" t="s">
        <v>11104</v>
      </c>
      <c r="N3" s="222" t="s">
        <v>11105</v>
      </c>
      <c r="O3" s="222" t="s">
        <v>11106</v>
      </c>
      <c r="P3" s="222" t="s">
        <v>11107</v>
      </c>
      <c r="Q3" s="222" t="s">
        <v>11108</v>
      </c>
      <c r="R3" s="222" t="s">
        <v>11109</v>
      </c>
      <c r="S3" s="483" t="s">
        <v>11110</v>
      </c>
      <c r="T3" s="222" t="s">
        <v>11111</v>
      </c>
      <c r="U3" s="222" t="s">
        <v>489</v>
      </c>
    </row>
    <row r="4" ht="30.0" customHeight="1">
      <c r="A4" s="221" t="s">
        <v>61</v>
      </c>
      <c r="B4" s="161" t="s">
        <v>182</v>
      </c>
      <c r="C4" s="161" t="s">
        <v>11112</v>
      </c>
      <c r="D4" s="161" t="s">
        <v>622</v>
      </c>
      <c r="E4" s="161" t="s">
        <v>623</v>
      </c>
      <c r="F4" s="161" t="s">
        <v>624</v>
      </c>
      <c r="G4" s="172" t="s">
        <v>626</v>
      </c>
      <c r="H4" s="472" t="s">
        <v>627</v>
      </c>
      <c r="I4" s="473" t="s">
        <v>628</v>
      </c>
      <c r="J4" s="472" t="s">
        <v>629</v>
      </c>
      <c r="K4" s="472" t="s">
        <v>630</v>
      </c>
      <c r="L4" s="161" t="s">
        <v>11113</v>
      </c>
      <c r="M4" s="161" t="s">
        <v>11114</v>
      </c>
      <c r="N4" s="161" t="s">
        <v>11115</v>
      </c>
      <c r="O4" s="161" t="s">
        <v>11116</v>
      </c>
      <c r="P4" s="161" t="s">
        <v>10765</v>
      </c>
      <c r="Q4" s="242" t="s">
        <v>11117</v>
      </c>
      <c r="R4" s="242" t="s">
        <v>11118</v>
      </c>
      <c r="S4" s="252" t="s">
        <v>666</v>
      </c>
      <c r="T4" s="235" t="s">
        <v>667</v>
      </c>
      <c r="U4" s="161" t="s">
        <v>27</v>
      </c>
    </row>
    <row r="5" ht="30.0" customHeight="1">
      <c r="A5" s="173">
        <v>1.0</v>
      </c>
      <c r="B5" s="173"/>
      <c r="C5" s="173"/>
      <c r="D5" s="173"/>
      <c r="E5" s="173"/>
      <c r="F5" s="173"/>
      <c r="G5" s="173"/>
      <c r="H5" s="173"/>
      <c r="I5" s="173"/>
      <c r="J5" s="173"/>
      <c r="K5" s="173" t="str">
        <f>IFS(J5="","",J5="n/a","N/A",LEN(J5),LOWER(Concatenate("{",char(34),"asset",char(34),":{",char(34),"guid",char(34),":",char(34),J5,char(34),",",char(34),"site",char(34),":",char(34),'2-Building'!$B$4,char(34),",",char(34),"name",char(34),":",char(34),I5,char(34),"}}")))</f>
        <v/>
      </c>
      <c r="L5" s="173"/>
      <c r="M5" s="173"/>
      <c r="N5" s="173"/>
      <c r="O5" s="484"/>
      <c r="P5" s="485"/>
      <c r="Q5" s="485"/>
      <c r="R5" s="485"/>
      <c r="S5" s="486"/>
      <c r="T5" s="271"/>
      <c r="U5" s="173"/>
    </row>
    <row r="6" ht="30.0" customHeight="1">
      <c r="A6" s="173">
        <v>2.0</v>
      </c>
      <c r="B6" s="173"/>
      <c r="C6" s="173"/>
      <c r="D6" s="173"/>
      <c r="E6" s="173"/>
      <c r="F6" s="173"/>
      <c r="G6" s="173"/>
      <c r="H6" s="173"/>
      <c r="I6" s="173"/>
      <c r="J6" s="173"/>
      <c r="K6" s="173" t="str">
        <f>IFS(J6="","",J6="n/a","N/A",LEN(J6),LOWER(Concatenate("{",char(34),"asset",char(34),":{",char(34),"guid",char(34),":",char(34),J6,char(34),",",char(34),"site",char(34),":",char(34),'2-Building'!$B$4,char(34),",",char(34),"name",char(34),":",char(34),I6,char(34),"}}")))</f>
        <v/>
      </c>
      <c r="L6" s="173"/>
      <c r="M6" s="173"/>
      <c r="N6" s="173"/>
      <c r="O6" s="484"/>
      <c r="P6" s="485"/>
      <c r="Q6" s="485"/>
      <c r="R6" s="485"/>
      <c r="S6" s="173"/>
      <c r="T6" s="271"/>
      <c r="U6" s="173"/>
    </row>
    <row r="7" ht="30.0" customHeight="1">
      <c r="A7" s="173">
        <v>3.0</v>
      </c>
      <c r="B7" s="173"/>
      <c r="C7" s="173"/>
      <c r="D7" s="173"/>
      <c r="E7" s="173"/>
      <c r="F7" s="173"/>
      <c r="G7" s="173"/>
      <c r="H7" s="173"/>
      <c r="I7" s="173"/>
      <c r="J7" s="173"/>
      <c r="K7" s="173" t="str">
        <f>IFS(J7="","",J7="n/a","N/A",LEN(J7),LOWER(Concatenate("{",char(34),"asset",char(34),":{",char(34),"guid",char(34),":",char(34),J7,char(34),",",char(34),"site",char(34),":",char(34),'2-Building'!$B$4,char(34),",",char(34),"name",char(34),":",char(34),I7,char(34),"}}")))</f>
        <v/>
      </c>
      <c r="L7" s="173"/>
      <c r="M7" s="173"/>
      <c r="N7" s="173"/>
      <c r="O7" s="484"/>
      <c r="P7" s="485"/>
      <c r="Q7" s="485"/>
      <c r="R7" s="485"/>
      <c r="S7" s="24"/>
      <c r="T7" s="271"/>
      <c r="U7" s="484"/>
    </row>
    <row r="8" ht="30.0" customHeight="1">
      <c r="A8" s="173">
        <v>4.0</v>
      </c>
      <c r="B8" s="173"/>
      <c r="C8" s="173"/>
      <c r="D8" s="173"/>
      <c r="E8" s="173"/>
      <c r="F8" s="173"/>
      <c r="G8" s="173"/>
      <c r="H8" s="314"/>
      <c r="I8" s="173"/>
      <c r="J8" s="173"/>
      <c r="K8" s="173" t="str">
        <f>IFS(J8="","",J8="n/a","N/A",LEN(J8),LOWER(Concatenate("{",char(34),"asset",char(34),":{",char(34),"guid",char(34),":",char(34),J8,char(34),",",char(34),"site",char(34),":",char(34),'2-Building'!$B$4,char(34),",",char(34),"name",char(34),":",char(34),I8,char(34),"}}")))</f>
        <v/>
      </c>
      <c r="L8" s="173"/>
      <c r="M8" s="173"/>
      <c r="N8" s="173"/>
      <c r="O8" s="484"/>
      <c r="P8" s="485"/>
      <c r="Q8" s="485"/>
      <c r="R8" s="485"/>
      <c r="S8" s="24"/>
      <c r="T8" s="271"/>
      <c r="U8" s="487"/>
    </row>
    <row r="9" ht="30.0" customHeight="1">
      <c r="A9" s="173">
        <v>5.0</v>
      </c>
      <c r="B9" s="173"/>
      <c r="C9" s="173"/>
      <c r="D9" s="173"/>
      <c r="E9" s="173"/>
      <c r="F9" s="173"/>
      <c r="G9" s="173"/>
      <c r="H9" s="173"/>
      <c r="I9" s="173"/>
      <c r="J9" s="173"/>
      <c r="K9" s="173" t="str">
        <f>IFS(J9="","",J9="n/a","N/A",LEN(J9),LOWER(Concatenate("{",char(34),"asset",char(34),":{",char(34),"guid",char(34),":",char(34),J9,char(34),",",char(34),"site",char(34),":",char(34),'2-Building'!$B$4,char(34),",",char(34),"name",char(34),":",char(34),I9,char(34),"}}")))</f>
        <v/>
      </c>
      <c r="L9" s="173"/>
      <c r="M9" s="173"/>
      <c r="N9" s="173"/>
      <c r="O9" s="484"/>
      <c r="P9" s="485"/>
      <c r="Q9" s="485"/>
      <c r="R9" s="485"/>
      <c r="S9" s="24"/>
      <c r="T9" s="271"/>
      <c r="U9" s="487"/>
    </row>
    <row r="10" ht="30.0" customHeight="1">
      <c r="A10" s="173">
        <v>6.0</v>
      </c>
      <c r="B10" s="173"/>
      <c r="C10" s="484"/>
      <c r="D10" s="173"/>
      <c r="E10" s="484"/>
      <c r="F10" s="484"/>
      <c r="G10" s="173"/>
      <c r="H10" s="173"/>
      <c r="I10" s="173"/>
      <c r="J10" s="173"/>
      <c r="K10" s="173" t="str">
        <f>IFS(J10="","",J10="n/a","N/A",LEN(J10),LOWER(Concatenate("{",char(34),"asset",char(34),":{",char(34),"guid",char(34),":",char(34),J10,char(34),",",char(34),"site",char(34),":",char(34),'2-Building'!$B$4,char(34),",",char(34),"name",char(34),":",char(34),I10,char(34),"}}")))</f>
        <v/>
      </c>
      <c r="L10" s="173"/>
      <c r="M10" s="173"/>
      <c r="N10" s="173"/>
      <c r="O10" s="484"/>
      <c r="P10" s="485"/>
      <c r="Q10" s="485"/>
      <c r="R10" s="485"/>
      <c r="S10" s="24"/>
      <c r="T10" s="271"/>
      <c r="U10" s="487"/>
    </row>
    <row r="11" ht="30.0" customHeight="1">
      <c r="A11" s="173">
        <v>7.0</v>
      </c>
      <c r="B11" s="173"/>
      <c r="C11" s="484"/>
      <c r="D11" s="173"/>
      <c r="E11" s="484"/>
      <c r="F11" s="484"/>
      <c r="G11" s="173"/>
      <c r="H11" s="173"/>
      <c r="I11" s="173"/>
      <c r="J11" s="173"/>
      <c r="K11" s="173" t="str">
        <f>IFS(J11="","",J11="n/a","N/A",LEN(J11),LOWER(Concatenate("{",char(34),"asset",char(34),":{",char(34),"guid",char(34),":",char(34),J11,char(34),",",char(34),"site",char(34),":",char(34),'2-Building'!$B$4,char(34),",",char(34),"name",char(34),":",char(34),I11,char(34),"}}")))</f>
        <v/>
      </c>
      <c r="L11" s="173"/>
      <c r="M11" s="173"/>
      <c r="N11" s="173"/>
      <c r="O11" s="484"/>
      <c r="P11" s="485"/>
      <c r="Q11" s="485"/>
      <c r="R11" s="485"/>
      <c r="S11" s="24"/>
      <c r="T11" s="271"/>
      <c r="U11" s="487"/>
    </row>
    <row r="12" ht="30.0" customHeight="1">
      <c r="A12" s="173">
        <v>8.0</v>
      </c>
      <c r="B12" s="173"/>
      <c r="C12" s="484"/>
      <c r="D12" s="173"/>
      <c r="E12" s="484"/>
      <c r="F12" s="484"/>
      <c r="G12" s="173"/>
      <c r="H12" s="173"/>
      <c r="I12" s="173"/>
      <c r="J12" s="173"/>
      <c r="K12" s="173" t="str">
        <f>IFS(J12="","",J12="n/a","N/A",LEN(J12),LOWER(Concatenate("{",char(34),"asset",char(34),":{",char(34),"guid",char(34),":",char(34),J12,char(34),",",char(34),"site",char(34),":",char(34),'2-Building'!$B$4,char(34),",",char(34),"name",char(34),":",char(34),I12,char(34),"}}")))</f>
        <v/>
      </c>
      <c r="L12" s="173"/>
      <c r="M12" s="173"/>
      <c r="N12" s="173"/>
      <c r="O12" s="484"/>
      <c r="P12" s="485"/>
      <c r="Q12" s="485"/>
      <c r="R12" s="485"/>
      <c r="S12" s="24"/>
      <c r="T12" s="271"/>
      <c r="U12" s="487"/>
    </row>
    <row r="13" ht="30.0" customHeight="1">
      <c r="A13" s="173">
        <v>9.0</v>
      </c>
      <c r="B13" s="173"/>
      <c r="C13" s="484"/>
      <c r="D13" s="173"/>
      <c r="E13" s="484"/>
      <c r="F13" s="484"/>
      <c r="G13" s="173"/>
      <c r="H13" s="173"/>
      <c r="I13" s="173"/>
      <c r="J13" s="173"/>
      <c r="K13" s="173" t="str">
        <f>IFS(J13="","",J13="n/a","N/A",LEN(J13),LOWER(Concatenate("{",char(34),"asset",char(34),":{",char(34),"guid",char(34),":",char(34),J13,char(34),",",char(34),"site",char(34),":",char(34),'2-Building'!$B$4,char(34),",",char(34),"name",char(34),":",char(34),I13,char(34),"}}")))</f>
        <v/>
      </c>
      <c r="L13" s="173"/>
      <c r="M13" s="173"/>
      <c r="N13" s="173"/>
      <c r="O13" s="484"/>
      <c r="P13" s="485"/>
      <c r="Q13" s="485"/>
      <c r="R13" s="485"/>
      <c r="S13" s="24"/>
      <c r="T13" s="271"/>
      <c r="U13" s="487"/>
    </row>
    <row r="14" ht="30.0" customHeight="1">
      <c r="A14" s="173">
        <v>10.0</v>
      </c>
      <c r="B14" s="173"/>
      <c r="C14" s="484"/>
      <c r="D14" s="173"/>
      <c r="E14" s="484"/>
      <c r="F14" s="484"/>
      <c r="G14" s="173"/>
      <c r="H14" s="173"/>
      <c r="I14" s="173"/>
      <c r="J14" s="173"/>
      <c r="K14" s="173" t="str">
        <f>IFS(J14="","",J14="n/a","N/A",LEN(J14),LOWER(Concatenate("{",char(34),"asset",char(34),":{",char(34),"guid",char(34),":",char(34),J14,char(34),",",char(34),"site",char(34),":",char(34),'2-Building'!$B$4,char(34),",",char(34),"name",char(34),":",char(34),I14,char(34),"}}")))</f>
        <v/>
      </c>
      <c r="L14" s="173"/>
      <c r="M14" s="173"/>
      <c r="N14" s="173"/>
      <c r="O14" s="484"/>
      <c r="P14" s="485"/>
      <c r="Q14" s="485"/>
      <c r="R14" s="485"/>
      <c r="S14" s="24"/>
      <c r="T14" s="271"/>
      <c r="U14" s="487"/>
    </row>
    <row r="15" ht="30.0" customHeight="1">
      <c r="A15" s="173">
        <v>11.0</v>
      </c>
      <c r="B15" s="173"/>
      <c r="C15" s="484"/>
      <c r="D15" s="173"/>
      <c r="E15" s="484"/>
      <c r="F15" s="484"/>
      <c r="G15" s="173"/>
      <c r="H15" s="173"/>
      <c r="I15" s="173"/>
      <c r="J15" s="173"/>
      <c r="K15" s="173" t="str">
        <f>IFS(J15="","",J15="n/a","N/A",LEN(J15),LOWER(Concatenate("{",char(34),"asset",char(34),":{",char(34),"guid",char(34),":",char(34),J15,char(34),",",char(34),"site",char(34),":",char(34),'2-Building'!$B$4,char(34),",",char(34),"name",char(34),":",char(34),I15,char(34),"}}")))</f>
        <v/>
      </c>
      <c r="L15" s="173"/>
      <c r="M15" s="173"/>
      <c r="N15" s="173"/>
      <c r="O15" s="484"/>
      <c r="P15" s="485"/>
      <c r="Q15" s="485"/>
      <c r="R15" s="485"/>
      <c r="S15" s="24"/>
      <c r="T15" s="271"/>
      <c r="U15" s="487"/>
    </row>
    <row r="16" ht="30.0" customHeight="1">
      <c r="A16" s="173">
        <v>12.0</v>
      </c>
      <c r="B16" s="173"/>
      <c r="C16" s="484"/>
      <c r="D16" s="173"/>
      <c r="E16" s="484"/>
      <c r="F16" s="484"/>
      <c r="G16" s="173"/>
      <c r="H16" s="173"/>
      <c r="I16" s="173"/>
      <c r="J16" s="173"/>
      <c r="K16" s="173" t="str">
        <f>IFS(J16="","",J16="n/a","N/A",LEN(J16),LOWER(Concatenate("{",char(34),"asset",char(34),":{",char(34),"guid",char(34),":",char(34),J16,char(34),",",char(34),"site",char(34),":",char(34),'2-Building'!$B$4,char(34),",",char(34),"name",char(34),":",char(34),I16,char(34),"}}")))</f>
        <v/>
      </c>
      <c r="L16" s="173"/>
      <c r="M16" s="173"/>
      <c r="N16" s="173"/>
      <c r="O16" s="484"/>
      <c r="P16" s="485"/>
      <c r="Q16" s="485"/>
      <c r="R16" s="485"/>
      <c r="S16" s="24"/>
      <c r="T16" s="271"/>
      <c r="U16" s="487"/>
    </row>
    <row r="17" ht="30.0" customHeight="1">
      <c r="A17" s="173">
        <v>13.0</v>
      </c>
      <c r="B17" s="173"/>
      <c r="C17" s="173"/>
      <c r="D17" s="173"/>
      <c r="E17" s="173"/>
      <c r="F17" s="173"/>
      <c r="G17" s="173"/>
      <c r="H17" s="173"/>
      <c r="I17" s="173"/>
      <c r="J17" s="173"/>
      <c r="K17" s="173" t="str">
        <f>IFS(J17="","",J17="n/a","N/A",LEN(J17),LOWER(Concatenate("{",char(34),"asset",char(34),":{",char(34),"guid",char(34),":",char(34),J17,char(34),",",char(34),"site",char(34),":",char(34),'2-Building'!$B$4,char(34),",",char(34),"name",char(34),":",char(34),I17,char(34),"}}")))</f>
        <v/>
      </c>
      <c r="L17" s="173"/>
      <c r="M17" s="484"/>
      <c r="N17" s="173"/>
      <c r="O17" s="484"/>
      <c r="P17" s="485"/>
      <c r="Q17" s="485"/>
      <c r="R17" s="485"/>
      <c r="S17" s="24"/>
      <c r="T17" s="271"/>
      <c r="U17" s="484"/>
    </row>
    <row r="18" ht="30.0" customHeight="1">
      <c r="A18" s="173">
        <v>14.0</v>
      </c>
      <c r="B18" s="173"/>
      <c r="C18" s="484"/>
      <c r="D18" s="173"/>
      <c r="E18" s="484"/>
      <c r="F18" s="484"/>
      <c r="G18" s="173"/>
      <c r="H18" s="173"/>
      <c r="I18" s="173"/>
      <c r="J18" s="173"/>
      <c r="K18" s="173" t="str">
        <f>IFS(J18="","",J18="n/a","N/A",LEN(J18),LOWER(Concatenate("{",char(34),"asset",char(34),":{",char(34),"guid",char(34),":",char(34),J18,char(34),",",char(34),"site",char(34),":",char(34),'2-Building'!$B$4,char(34),",",char(34),"name",char(34),":",char(34),I18,char(34),"}}")))</f>
        <v/>
      </c>
      <c r="L18" s="173"/>
      <c r="M18" s="173"/>
      <c r="N18" s="173"/>
      <c r="O18" s="484"/>
      <c r="P18" s="485"/>
      <c r="Q18" s="485"/>
      <c r="R18" s="485"/>
      <c r="S18" s="24"/>
      <c r="T18" s="271"/>
      <c r="U18" s="487"/>
    </row>
    <row r="19" ht="30.0" customHeight="1">
      <c r="A19" s="173">
        <v>15.0</v>
      </c>
      <c r="B19" s="173"/>
      <c r="C19" s="484"/>
      <c r="D19" s="173"/>
      <c r="E19" s="484"/>
      <c r="F19" s="484"/>
      <c r="G19" s="173"/>
      <c r="H19" s="173"/>
      <c r="I19" s="173"/>
      <c r="J19" s="173"/>
      <c r="K19" s="173" t="str">
        <f>IFS(J19="","",J19="n/a","N/A",LEN(J19),LOWER(Concatenate("{",char(34),"asset",char(34),":{",char(34),"guid",char(34),":",char(34),J19,char(34),",",char(34),"site",char(34),":",char(34),'2-Building'!$B$4,char(34),",",char(34),"name",char(34),":",char(34),I19,char(34),"}}")))</f>
        <v/>
      </c>
      <c r="L19" s="173"/>
      <c r="M19" s="173"/>
      <c r="N19" s="173"/>
      <c r="O19" s="484"/>
      <c r="P19" s="485"/>
      <c r="Q19" s="485"/>
      <c r="R19" s="485"/>
      <c r="S19" s="24"/>
      <c r="T19" s="271"/>
      <c r="U19" s="487"/>
    </row>
    <row r="20" ht="30.0" customHeight="1">
      <c r="A20" s="173">
        <v>16.0</v>
      </c>
      <c r="B20" s="173"/>
      <c r="C20" s="487"/>
      <c r="D20" s="173"/>
      <c r="E20" s="487"/>
      <c r="F20" s="487"/>
      <c r="G20" s="173"/>
      <c r="H20" s="173"/>
      <c r="I20" s="173"/>
      <c r="J20" s="173"/>
      <c r="K20" s="173" t="str">
        <f>IFS(J20="","",J20="n/a","N/A",LEN(J20),LOWER(Concatenate("{",char(34),"asset",char(34),":{",char(34),"guid",char(34),":",char(34),J20,char(34),",",char(34),"site",char(34),":",char(34),'2-Building'!$B$4,char(34),",",char(34),"name",char(34),":",char(34),I20,char(34),"}}")))</f>
        <v/>
      </c>
      <c r="L20" s="173"/>
      <c r="M20" s="487"/>
      <c r="N20" s="173"/>
      <c r="O20" s="487"/>
      <c r="P20" s="487"/>
      <c r="Q20" s="487"/>
      <c r="R20" s="487"/>
      <c r="S20" s="24"/>
      <c r="T20" s="271"/>
      <c r="U20" s="487"/>
    </row>
    <row r="21" ht="30.0" customHeight="1">
      <c r="A21" s="173">
        <v>17.0</v>
      </c>
      <c r="B21" s="173"/>
      <c r="C21" s="487"/>
      <c r="D21" s="173"/>
      <c r="E21" s="487"/>
      <c r="F21" s="487"/>
      <c r="G21" s="173"/>
      <c r="H21" s="173"/>
      <c r="I21" s="173"/>
      <c r="J21" s="173"/>
      <c r="K21" s="173" t="str">
        <f>IFS(J21="","",J21="n/a","N/A",LEN(J21),LOWER(Concatenate("{",char(34),"asset",char(34),":{",char(34),"guid",char(34),":",char(34),J21,char(34),",",char(34),"site",char(34),":",char(34),'2-Building'!$B$4,char(34),",",char(34),"name",char(34),":",char(34),I21,char(34),"}}")))</f>
        <v/>
      </c>
      <c r="L21" s="173"/>
      <c r="M21" s="487"/>
      <c r="N21" s="173"/>
      <c r="O21" s="487"/>
      <c r="P21" s="487"/>
      <c r="Q21" s="487"/>
      <c r="R21" s="487"/>
      <c r="S21" s="24"/>
      <c r="T21" s="271"/>
      <c r="U21" s="487"/>
    </row>
    <row r="22" ht="30.0" customHeight="1">
      <c r="A22" s="173">
        <v>18.0</v>
      </c>
      <c r="B22" s="173"/>
      <c r="C22" s="487"/>
      <c r="D22" s="173"/>
      <c r="E22" s="487"/>
      <c r="F22" s="487"/>
      <c r="G22" s="173"/>
      <c r="H22" s="173"/>
      <c r="I22" s="173"/>
      <c r="J22" s="173"/>
      <c r="K22" s="173" t="str">
        <f>IFS(J22="","",J22="n/a","N/A",LEN(J22),LOWER(Concatenate("{",char(34),"asset",char(34),":{",char(34),"guid",char(34),":",char(34),J22,char(34),",",char(34),"site",char(34),":",char(34),'2-Building'!$B$4,char(34),",",char(34),"name",char(34),":",char(34),I22,char(34),"}}")))</f>
        <v/>
      </c>
      <c r="L22" s="173"/>
      <c r="M22" s="487"/>
      <c r="N22" s="173"/>
      <c r="O22" s="487"/>
      <c r="P22" s="487"/>
      <c r="Q22" s="487"/>
      <c r="R22" s="487"/>
      <c r="S22" s="24"/>
      <c r="T22" s="271"/>
      <c r="U22" s="487"/>
    </row>
    <row r="23" ht="30.0" customHeight="1">
      <c r="A23" s="173">
        <v>19.0</v>
      </c>
      <c r="B23" s="173"/>
      <c r="C23" s="487"/>
      <c r="D23" s="173"/>
      <c r="E23" s="487"/>
      <c r="F23" s="487"/>
      <c r="G23" s="173"/>
      <c r="H23" s="173"/>
      <c r="I23" s="173"/>
      <c r="J23" s="173"/>
      <c r="K23" s="173" t="str">
        <f>IFS(J23="","",J23="n/a","N/A",LEN(J23),LOWER(Concatenate("{",char(34),"asset",char(34),":{",char(34),"guid",char(34),":",char(34),J23,char(34),",",char(34),"site",char(34),":",char(34),'2-Building'!$B$4,char(34),",",char(34),"name",char(34),":",char(34),I23,char(34),"}}")))</f>
        <v/>
      </c>
      <c r="L23" s="173"/>
      <c r="M23" s="487"/>
      <c r="N23" s="173"/>
      <c r="O23" s="487"/>
      <c r="P23" s="487"/>
      <c r="Q23" s="487"/>
      <c r="R23" s="487"/>
      <c r="S23" s="24"/>
      <c r="T23" s="271"/>
      <c r="U23" s="487"/>
    </row>
    <row r="24" ht="30.0" customHeight="1">
      <c r="A24" s="173">
        <v>20.0</v>
      </c>
      <c r="B24" s="487"/>
      <c r="C24" s="487"/>
      <c r="D24" s="173"/>
      <c r="E24" s="487"/>
      <c r="F24" s="487"/>
      <c r="G24" s="173"/>
      <c r="H24" s="173"/>
      <c r="I24" s="173"/>
      <c r="J24" s="173"/>
      <c r="K24" s="173" t="str">
        <f>IFS(J24="","",J24="n/a","N/A",LEN(J24),LOWER(Concatenate("{",char(34),"asset",char(34),":{",char(34),"guid",char(34),":",char(34),J24,char(34),",",char(34),"site",char(34),":",char(34),'2-Building'!$B$4,char(34),",",char(34),"name",char(34),":",char(34),I24,char(34),"}}")))</f>
        <v/>
      </c>
      <c r="L24" s="173"/>
      <c r="M24" s="487"/>
      <c r="N24" s="173"/>
      <c r="O24" s="487"/>
      <c r="P24" s="487"/>
      <c r="Q24" s="487"/>
      <c r="R24" s="487"/>
      <c r="S24" s="24"/>
      <c r="T24" s="271"/>
      <c r="U24" s="487"/>
    </row>
    <row r="25" ht="30.0" customHeight="1">
      <c r="A25" s="173">
        <v>21.0</v>
      </c>
      <c r="B25" s="487"/>
      <c r="C25" s="487"/>
      <c r="D25" s="173"/>
      <c r="E25" s="487"/>
      <c r="F25" s="487"/>
      <c r="G25" s="173"/>
      <c r="H25" s="173"/>
      <c r="I25" s="173"/>
      <c r="J25" s="173"/>
      <c r="K25" s="173" t="str">
        <f>IFS(J25="","",J25="n/a","N/A",LEN(J25),LOWER(Concatenate("{",char(34),"asset",char(34),":{",char(34),"guid",char(34),":",char(34),J25,char(34),",",char(34),"site",char(34),":",char(34),'2-Building'!$B$4,char(34),",",char(34),"name",char(34),":",char(34),I25,char(34),"}}")))</f>
        <v/>
      </c>
      <c r="L25" s="173"/>
      <c r="M25" s="487"/>
      <c r="N25" s="173"/>
      <c r="O25" s="487"/>
      <c r="P25" s="487"/>
      <c r="Q25" s="487"/>
      <c r="R25" s="487"/>
      <c r="S25" s="24"/>
      <c r="T25" s="271"/>
      <c r="U25" s="487"/>
    </row>
    <row r="26" ht="30.0" customHeight="1">
      <c r="A26" s="173">
        <v>22.0</v>
      </c>
      <c r="B26" s="487"/>
      <c r="C26" s="487"/>
      <c r="D26" s="173"/>
      <c r="E26" s="487"/>
      <c r="F26" s="487"/>
      <c r="G26" s="173"/>
      <c r="H26" s="173"/>
      <c r="I26" s="173"/>
      <c r="J26" s="173"/>
      <c r="K26" s="173" t="str">
        <f>IFS(J26="","",J26="n/a","N/A",LEN(J26),LOWER(Concatenate("{",char(34),"asset",char(34),":{",char(34),"guid",char(34),":",char(34),J26,char(34),",",char(34),"site",char(34),":",char(34),'2-Building'!$B$4,char(34),",",char(34),"name",char(34),":",char(34),I26,char(34),"}}")))</f>
        <v/>
      </c>
      <c r="L26" s="173"/>
      <c r="M26" s="487"/>
      <c r="N26" s="173"/>
      <c r="O26" s="487"/>
      <c r="P26" s="487"/>
      <c r="Q26" s="487"/>
      <c r="R26" s="487"/>
      <c r="S26" s="24"/>
      <c r="T26" s="271"/>
      <c r="U26" s="487"/>
    </row>
    <row r="27" ht="30.0" customHeight="1">
      <c r="A27" s="173">
        <v>23.0</v>
      </c>
      <c r="B27" s="487"/>
      <c r="C27" s="487"/>
      <c r="D27" s="173"/>
      <c r="E27" s="487"/>
      <c r="F27" s="487"/>
      <c r="G27" s="173"/>
      <c r="H27" s="173"/>
      <c r="I27" s="173"/>
      <c r="J27" s="173"/>
      <c r="K27" s="173" t="str">
        <f>IFS(J27="","",J27="n/a","N/A",LEN(J27),LOWER(Concatenate("{",char(34),"asset",char(34),":{",char(34),"guid",char(34),":",char(34),J27,char(34),",",char(34),"site",char(34),":",char(34),'2-Building'!$B$4,char(34),",",char(34),"name",char(34),":",char(34),I27,char(34),"}}")))</f>
        <v/>
      </c>
      <c r="L27" s="173"/>
      <c r="M27" s="487"/>
      <c r="N27" s="173"/>
      <c r="O27" s="487"/>
      <c r="P27" s="487"/>
      <c r="Q27" s="487"/>
      <c r="R27" s="487"/>
      <c r="S27" s="24"/>
      <c r="T27" s="271"/>
      <c r="U27" s="487"/>
    </row>
    <row r="28" ht="30.0" customHeight="1">
      <c r="A28" s="173">
        <v>24.0</v>
      </c>
      <c r="B28" s="487"/>
      <c r="C28" s="487"/>
      <c r="D28" s="173"/>
      <c r="E28" s="487"/>
      <c r="F28" s="487"/>
      <c r="G28" s="173"/>
      <c r="H28" s="173"/>
      <c r="I28" s="173"/>
      <c r="J28" s="173"/>
      <c r="K28" s="173" t="str">
        <f>IFS(J28="","",J28="n/a","N/A",LEN(J28),LOWER(Concatenate("{",char(34),"asset",char(34),":{",char(34),"guid",char(34),":",char(34),J28,char(34),",",char(34),"site",char(34),":",char(34),'2-Building'!$B$4,char(34),",",char(34),"name",char(34),":",char(34),I28,char(34),"}}")))</f>
        <v/>
      </c>
      <c r="L28" s="173"/>
      <c r="M28" s="487"/>
      <c r="N28" s="173"/>
      <c r="O28" s="487"/>
      <c r="P28" s="487"/>
      <c r="Q28" s="487"/>
      <c r="R28" s="487"/>
      <c r="S28" s="24"/>
      <c r="T28" s="271"/>
      <c r="U28" s="487"/>
    </row>
    <row r="29" ht="30.0" customHeight="1">
      <c r="A29" s="173">
        <v>25.0</v>
      </c>
      <c r="B29" s="487"/>
      <c r="C29" s="487"/>
      <c r="D29" s="173"/>
      <c r="E29" s="487"/>
      <c r="F29" s="487"/>
      <c r="G29" s="173"/>
      <c r="H29" s="173"/>
      <c r="I29" s="173"/>
      <c r="J29" s="173"/>
      <c r="K29" s="173" t="str">
        <f>IFS(J29="","",J29="n/a","N/A",LEN(J29),LOWER(Concatenate("{",char(34),"asset",char(34),":{",char(34),"guid",char(34),":",char(34),J29,char(34),",",char(34),"site",char(34),":",char(34),'2-Building'!$B$4,char(34),",",char(34),"name",char(34),":",char(34),I29,char(34),"}}")))</f>
        <v/>
      </c>
      <c r="L29" s="173"/>
      <c r="M29" s="487"/>
      <c r="N29" s="173"/>
      <c r="O29" s="487"/>
      <c r="P29" s="487"/>
      <c r="Q29" s="487"/>
      <c r="R29" s="487"/>
      <c r="S29" s="24"/>
      <c r="T29" s="271"/>
      <c r="U29" s="487"/>
    </row>
    <row r="30" ht="30.0" customHeight="1">
      <c r="A30" s="173">
        <v>26.0</v>
      </c>
      <c r="B30" s="487"/>
      <c r="C30" s="487"/>
      <c r="D30" s="173"/>
      <c r="E30" s="487"/>
      <c r="F30" s="487"/>
      <c r="G30" s="173"/>
      <c r="H30" s="173"/>
      <c r="I30" s="173"/>
      <c r="J30" s="173"/>
      <c r="K30" s="173" t="str">
        <f>IFS(J30="","",J30="n/a","N/A",LEN(J30),LOWER(Concatenate("{",char(34),"asset",char(34),":{",char(34),"guid",char(34),":",char(34),J30,char(34),",",char(34),"site",char(34),":",char(34),'2-Building'!$B$4,char(34),",",char(34),"name",char(34),":",char(34),I30,char(34),"}}")))</f>
        <v/>
      </c>
      <c r="L30" s="173"/>
      <c r="M30" s="487"/>
      <c r="N30" s="173"/>
      <c r="O30" s="487"/>
      <c r="P30" s="487"/>
      <c r="Q30" s="487"/>
      <c r="R30" s="487"/>
      <c r="S30" s="24"/>
      <c r="T30" s="271"/>
      <c r="U30" s="487"/>
    </row>
    <row r="31" ht="30.0" customHeight="1">
      <c r="A31" s="173">
        <v>27.0</v>
      </c>
      <c r="B31" s="487"/>
      <c r="C31" s="487"/>
      <c r="D31" s="173"/>
      <c r="E31" s="487"/>
      <c r="F31" s="487"/>
      <c r="G31" s="173"/>
      <c r="H31" s="173"/>
      <c r="I31" s="173"/>
      <c r="J31" s="173"/>
      <c r="K31" s="173" t="str">
        <f>IFS(J31="","",J31="n/a","N/A",LEN(J31),LOWER(Concatenate("{",char(34),"asset",char(34),":{",char(34),"guid",char(34),":",char(34),J31,char(34),",",char(34),"site",char(34),":",char(34),'2-Building'!$B$4,char(34),",",char(34),"name",char(34),":",char(34),I31,char(34),"}}")))</f>
        <v/>
      </c>
      <c r="L31" s="173"/>
      <c r="M31" s="487"/>
      <c r="N31" s="173"/>
      <c r="O31" s="487"/>
      <c r="P31" s="487"/>
      <c r="Q31" s="487"/>
      <c r="R31" s="487"/>
      <c r="S31" s="24"/>
      <c r="T31" s="271"/>
      <c r="U31" s="487"/>
    </row>
    <row r="32" ht="30.0" customHeight="1">
      <c r="A32" s="173">
        <v>28.0</v>
      </c>
      <c r="B32" s="487"/>
      <c r="C32" s="487"/>
      <c r="D32" s="173"/>
      <c r="E32" s="487"/>
      <c r="F32" s="487"/>
      <c r="G32" s="173"/>
      <c r="H32" s="173"/>
      <c r="I32" s="173"/>
      <c r="J32" s="173"/>
      <c r="K32" s="173" t="str">
        <f>IFS(J32="","",J32="n/a","N/A",LEN(J32),LOWER(Concatenate("{",char(34),"asset",char(34),":{",char(34),"guid",char(34),":",char(34),J32,char(34),",",char(34),"site",char(34),":",char(34),'2-Building'!$B$4,char(34),",",char(34),"name",char(34),":",char(34),I32,char(34),"}}")))</f>
        <v/>
      </c>
      <c r="L32" s="173"/>
      <c r="M32" s="487"/>
      <c r="N32" s="173"/>
      <c r="O32" s="487"/>
      <c r="P32" s="487"/>
      <c r="Q32" s="487"/>
      <c r="R32" s="487"/>
      <c r="S32" s="24"/>
      <c r="T32" s="271"/>
      <c r="U32" s="487"/>
    </row>
    <row r="33" ht="30.0" customHeight="1">
      <c r="A33" s="173">
        <v>29.0</v>
      </c>
      <c r="B33" s="487"/>
      <c r="C33" s="487"/>
      <c r="D33" s="173"/>
      <c r="E33" s="487"/>
      <c r="F33" s="487"/>
      <c r="G33" s="173"/>
      <c r="H33" s="173"/>
      <c r="I33" s="173"/>
      <c r="J33" s="173"/>
      <c r="K33" s="173" t="str">
        <f>IFS(J33="","",J33="n/a","N/A",LEN(J33),LOWER(Concatenate("{",char(34),"asset",char(34),":{",char(34),"guid",char(34),":",char(34),J33,char(34),",",char(34),"site",char(34),":",char(34),'2-Building'!$B$4,char(34),",",char(34),"name",char(34),":",char(34),I33,char(34),"}}")))</f>
        <v/>
      </c>
      <c r="L33" s="173"/>
      <c r="M33" s="487"/>
      <c r="N33" s="173"/>
      <c r="O33" s="487"/>
      <c r="P33" s="487"/>
      <c r="Q33" s="487"/>
      <c r="R33" s="487"/>
      <c r="S33" s="24"/>
      <c r="T33" s="271"/>
      <c r="U33" s="487"/>
    </row>
    <row r="34" ht="30.0" customHeight="1">
      <c r="A34" s="173">
        <v>30.0</v>
      </c>
      <c r="B34" s="487"/>
      <c r="C34" s="487"/>
      <c r="D34" s="173"/>
      <c r="E34" s="487"/>
      <c r="F34" s="487"/>
      <c r="G34" s="173"/>
      <c r="H34" s="173"/>
      <c r="I34" s="173"/>
      <c r="J34" s="173"/>
      <c r="K34" s="173" t="str">
        <f>IFS(J34="","",J34="n/a","N/A",LEN(J34),LOWER(Concatenate("{",char(34),"asset",char(34),":{",char(34),"guid",char(34),":",char(34),J34,char(34),",",char(34),"site",char(34),":",char(34),'2-Building'!$B$4,char(34),",",char(34),"name",char(34),":",char(34),I34,char(34),"}}")))</f>
        <v/>
      </c>
      <c r="L34" s="173"/>
      <c r="M34" s="487"/>
      <c r="N34" s="173"/>
      <c r="O34" s="487"/>
      <c r="P34" s="487"/>
      <c r="Q34" s="487"/>
      <c r="R34" s="487"/>
      <c r="S34" s="24"/>
      <c r="T34" s="271"/>
      <c r="U34" s="487"/>
    </row>
    <row r="35" ht="30.0" customHeight="1">
      <c r="A35" s="173">
        <v>31.0</v>
      </c>
      <c r="B35" s="487"/>
      <c r="C35" s="487"/>
      <c r="D35" s="173"/>
      <c r="E35" s="487"/>
      <c r="F35" s="487"/>
      <c r="G35" s="173"/>
      <c r="H35" s="173"/>
      <c r="I35" s="173"/>
      <c r="J35" s="173"/>
      <c r="K35" s="173" t="str">
        <f>IFS(J35="","",J35="n/a","N/A",LEN(J35),LOWER(Concatenate("{",char(34),"asset",char(34),":{",char(34),"guid",char(34),":",char(34),J35,char(34),",",char(34),"site",char(34),":",char(34),'2-Building'!$B$4,char(34),",",char(34),"name",char(34),":",char(34),I35,char(34),"}}")))</f>
        <v/>
      </c>
      <c r="L35" s="173"/>
      <c r="M35" s="487"/>
      <c r="N35" s="173"/>
      <c r="O35" s="487"/>
      <c r="P35" s="487"/>
      <c r="Q35" s="487"/>
      <c r="R35" s="487"/>
      <c r="S35" s="24"/>
      <c r="T35" s="271"/>
      <c r="U35" s="487"/>
    </row>
    <row r="36" ht="30.0" customHeight="1">
      <c r="A36" s="173">
        <v>32.0</v>
      </c>
      <c r="B36" s="487"/>
      <c r="C36" s="487"/>
      <c r="D36" s="173"/>
      <c r="E36" s="487"/>
      <c r="F36" s="487"/>
      <c r="G36" s="173"/>
      <c r="H36" s="173"/>
      <c r="I36" s="173"/>
      <c r="J36" s="173"/>
      <c r="K36" s="173" t="str">
        <f>IFS(J36="","",J36="n/a","N/A",LEN(J36),LOWER(Concatenate("{",char(34),"asset",char(34),":{",char(34),"guid",char(34),":",char(34),J36,char(34),",",char(34),"site",char(34),":",char(34),'2-Building'!$B$4,char(34),",",char(34),"name",char(34),":",char(34),I36,char(34),"}}")))</f>
        <v/>
      </c>
      <c r="L36" s="173"/>
      <c r="M36" s="487"/>
      <c r="N36" s="173"/>
      <c r="O36" s="487"/>
      <c r="P36" s="487"/>
      <c r="Q36" s="487"/>
      <c r="R36" s="487"/>
      <c r="S36" s="24"/>
      <c r="T36" s="271"/>
      <c r="U36" s="487"/>
    </row>
    <row r="37" ht="30.0" customHeight="1">
      <c r="A37" s="173">
        <v>33.0</v>
      </c>
      <c r="B37" s="487"/>
      <c r="C37" s="487"/>
      <c r="D37" s="173"/>
      <c r="E37" s="487"/>
      <c r="F37" s="487"/>
      <c r="G37" s="173"/>
      <c r="H37" s="173"/>
      <c r="I37" s="173"/>
      <c r="J37" s="173"/>
      <c r="K37" s="173" t="str">
        <f>IFS(J37="","",J37="n/a","N/A",LEN(J37),LOWER(Concatenate("{",char(34),"asset",char(34),":{",char(34),"guid",char(34),":",char(34),J37,char(34),",",char(34),"site",char(34),":",char(34),'2-Building'!$B$4,char(34),",",char(34),"name",char(34),":",char(34),I37,char(34),"}}")))</f>
        <v/>
      </c>
      <c r="L37" s="173"/>
      <c r="M37" s="487"/>
      <c r="N37" s="173"/>
      <c r="O37" s="487"/>
      <c r="P37" s="487"/>
      <c r="Q37" s="487"/>
      <c r="R37" s="487"/>
      <c r="S37" s="24"/>
      <c r="T37" s="271"/>
      <c r="U37" s="487"/>
    </row>
    <row r="38" ht="30.0" customHeight="1">
      <c r="A38" s="173">
        <v>34.0</v>
      </c>
      <c r="B38" s="487"/>
      <c r="C38" s="487"/>
      <c r="D38" s="173"/>
      <c r="E38" s="487"/>
      <c r="F38" s="487"/>
      <c r="G38" s="173"/>
      <c r="H38" s="173"/>
      <c r="I38" s="173"/>
      <c r="J38" s="173"/>
      <c r="K38" s="173" t="str">
        <f>IFS(J38="","",J38="n/a","N/A",LEN(J38),LOWER(Concatenate("{",char(34),"asset",char(34),":{",char(34),"guid",char(34),":",char(34),J38,char(34),",",char(34),"site",char(34),":",char(34),'2-Building'!$B$4,char(34),",",char(34),"name",char(34),":",char(34),I38,char(34),"}}")))</f>
        <v/>
      </c>
      <c r="L38" s="173"/>
      <c r="M38" s="487"/>
      <c r="N38" s="173"/>
      <c r="O38" s="487"/>
      <c r="P38" s="487"/>
      <c r="Q38" s="487"/>
      <c r="R38" s="487"/>
      <c r="S38" s="24"/>
      <c r="T38" s="271"/>
      <c r="U38" s="487"/>
    </row>
    <row r="39" ht="30.0" customHeight="1">
      <c r="A39" s="173">
        <v>35.0</v>
      </c>
      <c r="B39" s="487"/>
      <c r="C39" s="487"/>
      <c r="D39" s="173"/>
      <c r="E39" s="487"/>
      <c r="F39" s="487"/>
      <c r="G39" s="173"/>
      <c r="H39" s="173"/>
      <c r="I39" s="173"/>
      <c r="J39" s="173"/>
      <c r="K39" s="173" t="str">
        <f>IFS(J39="","",J39="n/a","N/A",LEN(J39),LOWER(Concatenate("{",char(34),"asset",char(34),":{",char(34),"guid",char(34),":",char(34),J39,char(34),",",char(34),"site",char(34),":",char(34),'2-Building'!$B$4,char(34),",",char(34),"name",char(34),":",char(34),I39,char(34),"}}")))</f>
        <v/>
      </c>
      <c r="L39" s="173"/>
      <c r="M39" s="487"/>
      <c r="N39" s="173"/>
      <c r="O39" s="487"/>
      <c r="P39" s="487"/>
      <c r="Q39" s="487"/>
      <c r="R39" s="487"/>
      <c r="S39" s="24"/>
      <c r="T39" s="271"/>
      <c r="U39" s="487"/>
    </row>
    <row r="40" ht="30.0" customHeight="1">
      <c r="A40" s="173">
        <v>36.0</v>
      </c>
      <c r="B40" s="487"/>
      <c r="C40" s="487"/>
      <c r="D40" s="173"/>
      <c r="E40" s="487"/>
      <c r="F40" s="487"/>
      <c r="G40" s="173"/>
      <c r="H40" s="173"/>
      <c r="I40" s="173"/>
      <c r="J40" s="173"/>
      <c r="K40" s="173" t="str">
        <f>IFS(J40="","",J40="n/a","N/A",LEN(J40),LOWER(Concatenate("{",char(34),"asset",char(34),":{",char(34),"guid",char(34),":",char(34),J40,char(34),",",char(34),"site",char(34),":",char(34),'2-Building'!$B$4,char(34),",",char(34),"name",char(34),":",char(34),I40,char(34),"}}")))</f>
        <v/>
      </c>
      <c r="L40" s="173"/>
      <c r="M40" s="487"/>
      <c r="N40" s="173"/>
      <c r="O40" s="487"/>
      <c r="P40" s="487"/>
      <c r="Q40" s="487"/>
      <c r="R40" s="487"/>
      <c r="S40" s="24"/>
      <c r="T40" s="271"/>
      <c r="U40" s="487"/>
    </row>
    <row r="41" ht="30.0" customHeight="1">
      <c r="A41" s="173">
        <v>37.0</v>
      </c>
      <c r="B41" s="487"/>
      <c r="C41" s="487"/>
      <c r="D41" s="173"/>
      <c r="E41" s="487"/>
      <c r="F41" s="487"/>
      <c r="G41" s="173"/>
      <c r="H41" s="173"/>
      <c r="I41" s="173"/>
      <c r="J41" s="173"/>
      <c r="K41" s="173" t="str">
        <f>IFS(J41="","",J41="n/a","N/A",LEN(J41),LOWER(Concatenate("{",char(34),"asset",char(34),":{",char(34),"guid",char(34),":",char(34),J41,char(34),",",char(34),"site",char(34),":",char(34),'2-Building'!$B$4,char(34),",",char(34),"name",char(34),":",char(34),I41,char(34),"}}")))</f>
        <v/>
      </c>
      <c r="L41" s="173"/>
      <c r="M41" s="487"/>
      <c r="N41" s="173"/>
      <c r="O41" s="487"/>
      <c r="P41" s="487"/>
      <c r="Q41" s="487"/>
      <c r="R41" s="487"/>
      <c r="S41" s="24"/>
      <c r="T41" s="271"/>
      <c r="U41" s="487"/>
    </row>
    <row r="42" ht="30.0" customHeight="1">
      <c r="A42" s="173">
        <v>38.0</v>
      </c>
      <c r="B42" s="487"/>
      <c r="C42" s="487"/>
      <c r="D42" s="173"/>
      <c r="E42" s="487"/>
      <c r="F42" s="487"/>
      <c r="G42" s="173"/>
      <c r="H42" s="173"/>
      <c r="I42" s="173"/>
      <c r="J42" s="173"/>
      <c r="K42" s="173" t="str">
        <f>IFS(J42="","",J42="n/a","N/A",LEN(J42),LOWER(Concatenate("{",char(34),"asset",char(34),":{",char(34),"guid",char(34),":",char(34),J42,char(34),",",char(34),"site",char(34),":",char(34),'2-Building'!$B$4,char(34),",",char(34),"name",char(34),":",char(34),I42,char(34),"}}")))</f>
        <v/>
      </c>
      <c r="L42" s="173"/>
      <c r="M42" s="487"/>
      <c r="N42" s="173"/>
      <c r="O42" s="487"/>
      <c r="P42" s="487"/>
      <c r="Q42" s="487"/>
      <c r="R42" s="487"/>
      <c r="S42" s="24"/>
      <c r="T42" s="271"/>
      <c r="U42" s="487"/>
    </row>
    <row r="43" ht="30.0" customHeight="1">
      <c r="A43" s="173">
        <v>39.0</v>
      </c>
      <c r="B43" s="487"/>
      <c r="C43" s="487"/>
      <c r="D43" s="173"/>
      <c r="E43" s="487"/>
      <c r="F43" s="487"/>
      <c r="G43" s="173"/>
      <c r="H43" s="173"/>
      <c r="I43" s="173"/>
      <c r="J43" s="173"/>
      <c r="K43" s="173" t="str">
        <f>IFS(J43="","",J43="n/a","N/A",LEN(J43),LOWER(Concatenate("{",char(34),"asset",char(34),":{",char(34),"guid",char(34),":",char(34),J43,char(34),",",char(34),"site",char(34),":",char(34),'2-Building'!$B$4,char(34),",",char(34),"name",char(34),":",char(34),I43,char(34),"}}")))</f>
        <v/>
      </c>
      <c r="L43" s="173"/>
      <c r="M43" s="487"/>
      <c r="N43" s="173"/>
      <c r="O43" s="487"/>
      <c r="P43" s="487"/>
      <c r="Q43" s="487"/>
      <c r="R43" s="487"/>
      <c r="S43" s="24"/>
      <c r="T43" s="271"/>
      <c r="U43" s="487"/>
    </row>
    <row r="44" ht="30.0" customHeight="1">
      <c r="A44" s="173">
        <v>40.0</v>
      </c>
      <c r="B44" s="487"/>
      <c r="C44" s="487"/>
      <c r="D44" s="173"/>
      <c r="E44" s="487"/>
      <c r="F44" s="487"/>
      <c r="G44" s="173"/>
      <c r="H44" s="173"/>
      <c r="I44" s="173"/>
      <c r="J44" s="173"/>
      <c r="K44" s="173" t="str">
        <f>IFS(J44="","",J44="n/a","N/A",LEN(J44),LOWER(Concatenate("{",char(34),"asset",char(34),":{",char(34),"guid",char(34),":",char(34),J44,char(34),",",char(34),"site",char(34),":",char(34),'2-Building'!$B$4,char(34),",",char(34),"name",char(34),":",char(34),I44,char(34),"}}")))</f>
        <v/>
      </c>
      <c r="L44" s="173"/>
      <c r="M44" s="487"/>
      <c r="N44" s="173"/>
      <c r="O44" s="487"/>
      <c r="P44" s="487"/>
      <c r="Q44" s="487"/>
      <c r="R44" s="487"/>
      <c r="S44" s="24"/>
      <c r="T44" s="271"/>
      <c r="U44" s="487"/>
    </row>
    <row r="45" ht="30.0" customHeight="1">
      <c r="A45" s="173">
        <v>41.0</v>
      </c>
      <c r="B45" s="487"/>
      <c r="C45" s="487"/>
      <c r="D45" s="173"/>
      <c r="E45" s="487"/>
      <c r="F45" s="487"/>
      <c r="G45" s="173"/>
      <c r="H45" s="173"/>
      <c r="I45" s="173"/>
      <c r="J45" s="173"/>
      <c r="K45" s="173" t="str">
        <f>IFS(J45="","",J45="n/a","N/A",LEN(J45),LOWER(Concatenate("{",char(34),"asset",char(34),":{",char(34),"guid",char(34),":",char(34),J45,char(34),",",char(34),"site",char(34),":",char(34),'2-Building'!$B$4,char(34),",",char(34),"name",char(34),":",char(34),I45,char(34),"}}")))</f>
        <v/>
      </c>
      <c r="L45" s="173"/>
      <c r="M45" s="487"/>
      <c r="N45" s="173"/>
      <c r="O45" s="487"/>
      <c r="P45" s="487"/>
      <c r="Q45" s="487"/>
      <c r="R45" s="487"/>
      <c r="S45" s="24"/>
      <c r="T45" s="271"/>
      <c r="U45" s="487"/>
    </row>
    <row r="46" ht="30.0" customHeight="1">
      <c r="A46" s="173">
        <v>42.0</v>
      </c>
      <c r="B46" s="487"/>
      <c r="C46" s="487"/>
      <c r="D46" s="173"/>
      <c r="E46" s="487"/>
      <c r="F46" s="487"/>
      <c r="G46" s="173"/>
      <c r="H46" s="173"/>
      <c r="I46" s="173"/>
      <c r="J46" s="173"/>
      <c r="K46" s="173" t="str">
        <f>IFS(J46="","",J46="n/a","N/A",LEN(J46),LOWER(Concatenate("{",char(34),"asset",char(34),":{",char(34),"guid",char(34),":",char(34),J46,char(34),",",char(34),"site",char(34),":",char(34),'2-Building'!$B$4,char(34),",",char(34),"name",char(34),":",char(34),I46,char(34),"}}")))</f>
        <v/>
      </c>
      <c r="L46" s="173"/>
      <c r="M46" s="487"/>
      <c r="N46" s="173"/>
      <c r="O46" s="487"/>
      <c r="P46" s="487"/>
      <c r="Q46" s="487"/>
      <c r="R46" s="487"/>
      <c r="S46" s="24"/>
      <c r="T46" s="271"/>
      <c r="U46" s="487"/>
    </row>
    <row r="47" ht="30.0" customHeight="1">
      <c r="A47" s="173">
        <v>43.0</v>
      </c>
      <c r="B47" s="487"/>
      <c r="C47" s="487"/>
      <c r="D47" s="173"/>
      <c r="E47" s="487"/>
      <c r="F47" s="487"/>
      <c r="G47" s="173"/>
      <c r="H47" s="173"/>
      <c r="I47" s="173"/>
      <c r="J47" s="173"/>
      <c r="K47" s="173" t="str">
        <f>IFS(J47="","",J47="n/a","N/A",LEN(J47),LOWER(Concatenate("{",char(34),"asset",char(34),":{",char(34),"guid",char(34),":",char(34),J47,char(34),",",char(34),"site",char(34),":",char(34),'2-Building'!$B$4,char(34),",",char(34),"name",char(34),":",char(34),I47,char(34),"}}")))</f>
        <v/>
      </c>
      <c r="L47" s="173"/>
      <c r="M47" s="487"/>
      <c r="N47" s="173"/>
      <c r="O47" s="487"/>
      <c r="P47" s="487"/>
      <c r="Q47" s="487"/>
      <c r="R47" s="487"/>
      <c r="S47" s="24"/>
      <c r="T47" s="271"/>
      <c r="U47" s="487"/>
    </row>
    <row r="48" ht="30.0" customHeight="1">
      <c r="A48" s="173">
        <v>44.0</v>
      </c>
      <c r="B48" s="487"/>
      <c r="C48" s="487"/>
      <c r="D48" s="173"/>
      <c r="E48" s="487"/>
      <c r="F48" s="487"/>
      <c r="G48" s="173"/>
      <c r="H48" s="173"/>
      <c r="I48" s="173"/>
      <c r="J48" s="173"/>
      <c r="K48" s="173" t="str">
        <f>IFS(J48="","",J48="n/a","N/A",LEN(J48),LOWER(Concatenate("{",char(34),"asset",char(34),":{",char(34),"guid",char(34),":",char(34),J48,char(34),",",char(34),"site",char(34),":",char(34),'2-Building'!$B$4,char(34),",",char(34),"name",char(34),":",char(34),I48,char(34),"}}")))</f>
        <v/>
      </c>
      <c r="L48" s="173"/>
      <c r="M48" s="487"/>
      <c r="N48" s="173"/>
      <c r="O48" s="487"/>
      <c r="P48" s="487"/>
      <c r="Q48" s="487"/>
      <c r="R48" s="487"/>
      <c r="S48" s="24"/>
      <c r="T48" s="271"/>
      <c r="U48" s="487"/>
    </row>
    <row r="49" ht="30.0" customHeight="1">
      <c r="A49" s="173">
        <v>45.0</v>
      </c>
      <c r="B49" s="487"/>
      <c r="C49" s="487"/>
      <c r="D49" s="173"/>
      <c r="E49" s="487"/>
      <c r="F49" s="487"/>
      <c r="G49" s="173"/>
      <c r="H49" s="173"/>
      <c r="I49" s="173"/>
      <c r="J49" s="173"/>
      <c r="K49" s="173" t="str">
        <f>IFS(J49="","",J49="n/a","N/A",LEN(J49),LOWER(Concatenate("{",char(34),"asset",char(34),":{",char(34),"guid",char(34),":",char(34),J49,char(34),",",char(34),"site",char(34),":",char(34),'2-Building'!$B$4,char(34),",",char(34),"name",char(34),":",char(34),I49,char(34),"}}")))</f>
        <v/>
      </c>
      <c r="L49" s="173"/>
      <c r="M49" s="487"/>
      <c r="N49" s="173"/>
      <c r="O49" s="487"/>
      <c r="P49" s="487"/>
      <c r="Q49" s="487"/>
      <c r="R49" s="487"/>
      <c r="S49" s="24"/>
      <c r="T49" s="271"/>
      <c r="U49" s="487"/>
    </row>
    <row r="50" ht="30.0" customHeight="1">
      <c r="A50" s="173">
        <v>46.0</v>
      </c>
      <c r="B50" s="487"/>
      <c r="C50" s="487"/>
      <c r="D50" s="173"/>
      <c r="E50" s="487"/>
      <c r="F50" s="487"/>
      <c r="G50" s="173"/>
      <c r="H50" s="173"/>
      <c r="I50" s="173"/>
      <c r="J50" s="173"/>
      <c r="K50" s="173" t="str">
        <f>IFS(J50="","",J50="n/a","N/A",LEN(J50),LOWER(Concatenate("{",char(34),"asset",char(34),":{",char(34),"guid",char(34),":",char(34),J50,char(34),",",char(34),"site",char(34),":",char(34),'2-Building'!$B$4,char(34),",",char(34),"name",char(34),":",char(34),I50,char(34),"}}")))</f>
        <v/>
      </c>
      <c r="L50" s="173"/>
      <c r="M50" s="487"/>
      <c r="N50" s="173"/>
      <c r="O50" s="487"/>
      <c r="P50" s="487"/>
      <c r="Q50" s="487"/>
      <c r="R50" s="487"/>
      <c r="S50" s="24"/>
      <c r="T50" s="271"/>
      <c r="U50" s="487"/>
    </row>
    <row r="51" ht="30.0" customHeight="1">
      <c r="A51" s="173">
        <v>47.0</v>
      </c>
      <c r="B51" s="487"/>
      <c r="C51" s="487"/>
      <c r="D51" s="173"/>
      <c r="E51" s="487"/>
      <c r="F51" s="487"/>
      <c r="G51" s="173"/>
      <c r="H51" s="173"/>
      <c r="I51" s="173"/>
      <c r="J51" s="173"/>
      <c r="K51" s="173" t="str">
        <f>IFS(J51="","",J51="n/a","N/A",LEN(J51),LOWER(Concatenate("{",char(34),"asset",char(34),":{",char(34),"guid",char(34),":",char(34),J51,char(34),",",char(34),"site",char(34),":",char(34),'2-Building'!$B$4,char(34),",",char(34),"name",char(34),":",char(34),I51,char(34),"}}")))</f>
        <v/>
      </c>
      <c r="L51" s="173"/>
      <c r="M51" s="487"/>
      <c r="N51" s="173"/>
      <c r="O51" s="487"/>
      <c r="P51" s="487"/>
      <c r="Q51" s="487"/>
      <c r="R51" s="487"/>
      <c r="S51" s="24"/>
      <c r="T51" s="271"/>
      <c r="U51" s="487"/>
    </row>
    <row r="52" ht="30.0" customHeight="1">
      <c r="A52" s="173">
        <v>48.0</v>
      </c>
      <c r="B52" s="487"/>
      <c r="C52" s="487"/>
      <c r="D52" s="173"/>
      <c r="E52" s="487"/>
      <c r="F52" s="487"/>
      <c r="G52" s="173"/>
      <c r="H52" s="173"/>
      <c r="I52" s="173"/>
      <c r="J52" s="173"/>
      <c r="K52" s="173" t="str">
        <f>IFS(J52="","",J52="n/a","N/A",LEN(J52),LOWER(Concatenate("{",char(34),"asset",char(34),":{",char(34),"guid",char(34),":",char(34),J52,char(34),",",char(34),"site",char(34),":",char(34),'2-Building'!$B$4,char(34),",",char(34),"name",char(34),":",char(34),I52,char(34),"}}")))</f>
        <v/>
      </c>
      <c r="L52" s="173"/>
      <c r="M52" s="487"/>
      <c r="N52" s="173"/>
      <c r="O52" s="487"/>
      <c r="P52" s="487"/>
      <c r="Q52" s="487"/>
      <c r="R52" s="487"/>
      <c r="S52" s="24"/>
      <c r="T52" s="271"/>
      <c r="U52" s="487"/>
    </row>
    <row r="53" ht="30.0" customHeight="1">
      <c r="A53" s="173">
        <v>49.0</v>
      </c>
      <c r="B53" s="487"/>
      <c r="C53" s="487"/>
      <c r="D53" s="173"/>
      <c r="E53" s="487"/>
      <c r="F53" s="487"/>
      <c r="G53" s="173"/>
      <c r="H53" s="173"/>
      <c r="I53" s="173"/>
      <c r="J53" s="173"/>
      <c r="K53" s="173" t="str">
        <f>IFS(J53="","",J53="n/a","N/A",LEN(J53),LOWER(Concatenate("{",char(34),"asset",char(34),":{",char(34),"guid",char(34),":",char(34),J53,char(34),",",char(34),"site",char(34),":",char(34),'2-Building'!$B$4,char(34),",",char(34),"name",char(34),":",char(34),I53,char(34),"}}")))</f>
        <v/>
      </c>
      <c r="L53" s="173"/>
      <c r="M53" s="487"/>
      <c r="N53" s="173"/>
      <c r="O53" s="487"/>
      <c r="P53" s="487"/>
      <c r="Q53" s="487"/>
      <c r="R53" s="487"/>
      <c r="S53" s="24"/>
      <c r="T53" s="271"/>
      <c r="U53" s="487"/>
    </row>
    <row r="54" ht="30.0" customHeight="1">
      <c r="A54" s="173">
        <v>50.0</v>
      </c>
      <c r="B54" s="487"/>
      <c r="C54" s="487"/>
      <c r="D54" s="173"/>
      <c r="E54" s="487"/>
      <c r="F54" s="487"/>
      <c r="G54" s="173"/>
      <c r="H54" s="173"/>
      <c r="I54" s="173"/>
      <c r="J54" s="173"/>
      <c r="K54" s="173" t="str">
        <f>IFS(J54="","",J54="n/a","N/A",LEN(J54),LOWER(Concatenate("{",char(34),"asset",char(34),":{",char(34),"guid",char(34),":",char(34),J54,char(34),",",char(34),"site",char(34),":",char(34),'2-Building'!$B$4,char(34),",",char(34),"name",char(34),":",char(34),I54,char(34),"}}")))</f>
        <v/>
      </c>
      <c r="L54" s="173"/>
      <c r="M54" s="487"/>
      <c r="N54" s="173"/>
      <c r="O54" s="487"/>
      <c r="P54" s="487"/>
      <c r="Q54" s="487"/>
      <c r="R54" s="487"/>
      <c r="S54" s="24"/>
      <c r="T54" s="271"/>
      <c r="U54" s="487"/>
    </row>
    <row r="55" ht="30.0" customHeight="1">
      <c r="A55" s="173">
        <v>51.0</v>
      </c>
      <c r="B55" s="487"/>
      <c r="C55" s="487"/>
      <c r="D55" s="173"/>
      <c r="E55" s="487"/>
      <c r="F55" s="487"/>
      <c r="G55" s="173"/>
      <c r="H55" s="173"/>
      <c r="I55" s="173"/>
      <c r="J55" s="173"/>
      <c r="K55" s="173" t="str">
        <f>IFS(J55="","",J55="n/a","N/A",LEN(J55),LOWER(Concatenate("{",char(34),"asset",char(34),":{",char(34),"guid",char(34),":",char(34),J55,char(34),",",char(34),"site",char(34),":",char(34),'2-Building'!$B$4,char(34),",",char(34),"name",char(34),":",char(34),I55,char(34),"}}")))</f>
        <v/>
      </c>
      <c r="L55" s="173"/>
      <c r="M55" s="487"/>
      <c r="N55" s="173"/>
      <c r="O55" s="487"/>
      <c r="P55" s="487"/>
      <c r="Q55" s="487"/>
      <c r="R55" s="487"/>
      <c r="S55" s="24"/>
      <c r="T55" s="271"/>
      <c r="U55" s="487"/>
    </row>
    <row r="56" ht="30.0" customHeight="1">
      <c r="A56" s="173">
        <v>52.0</v>
      </c>
      <c r="B56" s="487"/>
      <c r="C56" s="487"/>
      <c r="D56" s="173"/>
      <c r="E56" s="487"/>
      <c r="F56" s="487"/>
      <c r="G56" s="173"/>
      <c r="H56" s="173"/>
      <c r="I56" s="173"/>
      <c r="J56" s="173"/>
      <c r="K56" s="173" t="str">
        <f>IFS(J56="","",J56="n/a","N/A",LEN(J56),LOWER(Concatenate("{",char(34),"asset",char(34),":{",char(34),"guid",char(34),":",char(34),J56,char(34),",",char(34),"site",char(34),":",char(34),'2-Building'!$B$4,char(34),",",char(34),"name",char(34),":",char(34),I56,char(34),"}}")))</f>
        <v/>
      </c>
      <c r="L56" s="173"/>
      <c r="M56" s="487"/>
      <c r="N56" s="173"/>
      <c r="O56" s="487"/>
      <c r="P56" s="487"/>
      <c r="Q56" s="487"/>
      <c r="R56" s="487"/>
      <c r="S56" s="24"/>
      <c r="T56" s="271"/>
      <c r="U56" s="487"/>
    </row>
    <row r="57" ht="30.0" customHeight="1">
      <c r="A57" s="173">
        <v>53.0</v>
      </c>
      <c r="B57" s="487"/>
      <c r="C57" s="487"/>
      <c r="D57" s="173"/>
      <c r="E57" s="487"/>
      <c r="F57" s="487"/>
      <c r="G57" s="173"/>
      <c r="H57" s="173"/>
      <c r="I57" s="173"/>
      <c r="J57" s="173"/>
      <c r="K57" s="173" t="str">
        <f>IFS(J57="","",J57="n/a","N/A",LEN(J57),LOWER(Concatenate("{",char(34),"asset",char(34),":{",char(34),"guid",char(34),":",char(34),J57,char(34),",",char(34),"site",char(34),":",char(34),'2-Building'!$B$4,char(34),",",char(34),"name",char(34),":",char(34),I57,char(34),"}}")))</f>
        <v/>
      </c>
      <c r="L57" s="173"/>
      <c r="M57" s="487"/>
      <c r="N57" s="173"/>
      <c r="O57" s="487"/>
      <c r="P57" s="487"/>
      <c r="Q57" s="487"/>
      <c r="R57" s="487"/>
      <c r="S57" s="24"/>
      <c r="T57" s="271"/>
      <c r="U57" s="487"/>
    </row>
    <row r="58" ht="30.0" customHeight="1">
      <c r="A58" s="173">
        <v>54.0</v>
      </c>
      <c r="B58" s="487"/>
      <c r="C58" s="487"/>
      <c r="D58" s="173"/>
      <c r="E58" s="487"/>
      <c r="F58" s="487"/>
      <c r="G58" s="173"/>
      <c r="H58" s="173"/>
      <c r="I58" s="173"/>
      <c r="J58" s="173"/>
      <c r="K58" s="173" t="str">
        <f>IFS(J58="","",J58="n/a","N/A",LEN(J58),LOWER(Concatenate("{",char(34),"asset",char(34),":{",char(34),"guid",char(34),":",char(34),J58,char(34),",",char(34),"site",char(34),":",char(34),'2-Building'!$B$4,char(34),",",char(34),"name",char(34),":",char(34),I58,char(34),"}}")))</f>
        <v/>
      </c>
      <c r="L58" s="173"/>
      <c r="M58" s="487"/>
      <c r="N58" s="173"/>
      <c r="O58" s="487"/>
      <c r="P58" s="487"/>
      <c r="Q58" s="487"/>
      <c r="R58" s="487"/>
      <c r="S58" s="24"/>
      <c r="T58" s="271"/>
      <c r="U58" s="487"/>
    </row>
    <row r="59" ht="30.0" customHeight="1">
      <c r="A59" s="173">
        <v>55.0</v>
      </c>
      <c r="B59" s="487"/>
      <c r="C59" s="487"/>
      <c r="D59" s="173"/>
      <c r="E59" s="487"/>
      <c r="F59" s="487"/>
      <c r="G59" s="173"/>
      <c r="H59" s="173"/>
      <c r="I59" s="173"/>
      <c r="J59" s="173"/>
      <c r="K59" s="173" t="str">
        <f>IFS(J59="","",J59="n/a","N/A",LEN(J59),LOWER(Concatenate("{",char(34),"asset",char(34),":{",char(34),"guid",char(34),":",char(34),J59,char(34),",",char(34),"site",char(34),":",char(34),'2-Building'!$B$4,char(34),",",char(34),"name",char(34),":",char(34),I59,char(34),"}}")))</f>
        <v/>
      </c>
      <c r="L59" s="173"/>
      <c r="M59" s="487"/>
      <c r="N59" s="173"/>
      <c r="O59" s="487"/>
      <c r="P59" s="487"/>
      <c r="Q59" s="487"/>
      <c r="R59" s="487"/>
      <c r="S59" s="24"/>
      <c r="T59" s="271"/>
      <c r="U59" s="487"/>
    </row>
    <row r="60" ht="30.0" customHeight="1">
      <c r="A60" s="173">
        <v>56.0</v>
      </c>
      <c r="B60" s="487"/>
      <c r="C60" s="487"/>
      <c r="D60" s="173"/>
      <c r="E60" s="487"/>
      <c r="F60" s="487"/>
      <c r="G60" s="173"/>
      <c r="H60" s="173"/>
      <c r="I60" s="173"/>
      <c r="J60" s="173"/>
      <c r="K60" s="173" t="str">
        <f>IFS(J60="","",J60="n/a","N/A",LEN(J60),LOWER(Concatenate("{",char(34),"asset",char(34),":{",char(34),"guid",char(34),":",char(34),J60,char(34),",",char(34),"site",char(34),":",char(34),'2-Building'!$B$4,char(34),",",char(34),"name",char(34),":",char(34),I60,char(34),"}}")))</f>
        <v/>
      </c>
      <c r="L60" s="173"/>
      <c r="M60" s="487"/>
      <c r="N60" s="173"/>
      <c r="O60" s="487"/>
      <c r="P60" s="487"/>
      <c r="Q60" s="487"/>
      <c r="R60" s="487"/>
      <c r="S60" s="24"/>
      <c r="T60" s="271"/>
      <c r="U60" s="487"/>
    </row>
    <row r="61" ht="30.0" customHeight="1">
      <c r="A61" s="173">
        <v>57.0</v>
      </c>
      <c r="B61" s="487"/>
      <c r="C61" s="487"/>
      <c r="D61" s="173"/>
      <c r="E61" s="487"/>
      <c r="F61" s="487"/>
      <c r="G61" s="173"/>
      <c r="H61" s="173"/>
      <c r="I61" s="173"/>
      <c r="J61" s="173"/>
      <c r="K61" s="173" t="str">
        <f>IFS(J61="","",J61="n/a","N/A",LEN(J61),LOWER(Concatenate("{",char(34),"asset",char(34),":{",char(34),"guid",char(34),":",char(34),J61,char(34),",",char(34),"site",char(34),":",char(34),'2-Building'!$B$4,char(34),",",char(34),"name",char(34),":",char(34),I61,char(34),"}}")))</f>
        <v/>
      </c>
      <c r="L61" s="173"/>
      <c r="M61" s="487"/>
      <c r="N61" s="173"/>
      <c r="O61" s="487"/>
      <c r="P61" s="487"/>
      <c r="Q61" s="487"/>
      <c r="R61" s="487"/>
      <c r="S61" s="24"/>
      <c r="T61" s="271"/>
      <c r="U61" s="487"/>
    </row>
    <row r="62" ht="30.0" customHeight="1">
      <c r="A62" s="173">
        <v>58.0</v>
      </c>
      <c r="B62" s="487"/>
      <c r="C62" s="487"/>
      <c r="D62" s="173"/>
      <c r="E62" s="487"/>
      <c r="F62" s="487"/>
      <c r="G62" s="173"/>
      <c r="H62" s="173"/>
      <c r="I62" s="173"/>
      <c r="J62" s="173"/>
      <c r="K62" s="173" t="str">
        <f>IFS(J62="","",J62="n/a","N/A",LEN(J62),LOWER(Concatenate("{",char(34),"asset",char(34),":{",char(34),"guid",char(34),":",char(34),J62,char(34),",",char(34),"site",char(34),":",char(34),'2-Building'!$B$4,char(34),",",char(34),"name",char(34),":",char(34),I62,char(34),"}}")))</f>
        <v/>
      </c>
      <c r="L62" s="173"/>
      <c r="M62" s="487"/>
      <c r="N62" s="173"/>
      <c r="O62" s="487"/>
      <c r="P62" s="487"/>
      <c r="Q62" s="487"/>
      <c r="R62" s="487"/>
      <c r="S62" s="24"/>
      <c r="T62" s="271"/>
      <c r="U62" s="487"/>
    </row>
    <row r="63" ht="30.0" customHeight="1">
      <c r="A63" s="173">
        <v>59.0</v>
      </c>
      <c r="B63" s="487"/>
      <c r="C63" s="487"/>
      <c r="D63" s="173"/>
      <c r="E63" s="487"/>
      <c r="F63" s="487"/>
      <c r="G63" s="173"/>
      <c r="H63" s="173"/>
      <c r="I63" s="173"/>
      <c r="J63" s="173"/>
      <c r="K63" s="173" t="str">
        <f>IFS(J63="","",J63="n/a","N/A",LEN(J63),LOWER(Concatenate("{",char(34),"asset",char(34),":{",char(34),"guid",char(34),":",char(34),J63,char(34),",",char(34),"site",char(34),":",char(34),'2-Building'!$B$4,char(34),",",char(34),"name",char(34),":",char(34),I63,char(34),"}}")))</f>
        <v/>
      </c>
      <c r="L63" s="173"/>
      <c r="M63" s="487"/>
      <c r="N63" s="173"/>
      <c r="O63" s="487"/>
      <c r="P63" s="487"/>
      <c r="Q63" s="487"/>
      <c r="R63" s="487"/>
      <c r="S63" s="24"/>
      <c r="T63" s="271"/>
      <c r="U63" s="487"/>
    </row>
    <row r="64" ht="30.0" customHeight="1">
      <c r="A64" s="173">
        <v>60.0</v>
      </c>
      <c r="B64" s="487"/>
      <c r="C64" s="487"/>
      <c r="D64" s="173"/>
      <c r="E64" s="487"/>
      <c r="F64" s="487"/>
      <c r="G64" s="173"/>
      <c r="H64" s="173"/>
      <c r="I64" s="173"/>
      <c r="J64" s="173"/>
      <c r="K64" s="173" t="str">
        <f>IFS(J64="","",J64="n/a","N/A",LEN(J64),LOWER(Concatenate("{",char(34),"asset",char(34),":{",char(34),"guid",char(34),":",char(34),J64,char(34),",",char(34),"site",char(34),":",char(34),'2-Building'!$B$4,char(34),",",char(34),"name",char(34),":",char(34),I64,char(34),"}}")))</f>
        <v/>
      </c>
      <c r="L64" s="173"/>
      <c r="M64" s="487"/>
      <c r="N64" s="173"/>
      <c r="O64" s="487"/>
      <c r="P64" s="487"/>
      <c r="Q64" s="487"/>
      <c r="R64" s="487"/>
      <c r="S64" s="24"/>
      <c r="T64" s="271"/>
      <c r="U64" s="487"/>
    </row>
    <row r="65" ht="30.0" customHeight="1">
      <c r="A65" s="173">
        <v>61.0</v>
      </c>
      <c r="B65" s="487"/>
      <c r="C65" s="487"/>
      <c r="D65" s="173"/>
      <c r="E65" s="487"/>
      <c r="F65" s="487"/>
      <c r="G65" s="173"/>
      <c r="H65" s="173"/>
      <c r="I65" s="173"/>
      <c r="J65" s="173"/>
      <c r="K65" s="173" t="str">
        <f>IFS(J65="","",J65="n/a","N/A",LEN(J65),LOWER(Concatenate("{",char(34),"asset",char(34),":{",char(34),"guid",char(34),":",char(34),J65,char(34),",",char(34),"site",char(34),":",char(34),'2-Building'!$B$4,char(34),",",char(34),"name",char(34),":",char(34),I65,char(34),"}}")))</f>
        <v/>
      </c>
      <c r="L65" s="173"/>
      <c r="M65" s="487"/>
      <c r="N65" s="173"/>
      <c r="O65" s="487"/>
      <c r="P65" s="487"/>
      <c r="Q65" s="487"/>
      <c r="R65" s="487"/>
      <c r="S65" s="24"/>
      <c r="T65" s="271"/>
      <c r="U65" s="487"/>
    </row>
    <row r="66" ht="30.0" customHeight="1">
      <c r="A66" s="173">
        <v>62.0</v>
      </c>
      <c r="B66" s="487"/>
      <c r="C66" s="487"/>
      <c r="D66" s="173"/>
      <c r="E66" s="487"/>
      <c r="F66" s="487"/>
      <c r="G66" s="173"/>
      <c r="H66" s="173"/>
      <c r="I66" s="173"/>
      <c r="J66" s="173"/>
      <c r="K66" s="173" t="str">
        <f>IFS(J66="","",J66="n/a","N/A",LEN(J66),LOWER(Concatenate("{",char(34),"asset",char(34),":{",char(34),"guid",char(34),":",char(34),J66,char(34),",",char(34),"site",char(34),":",char(34),'2-Building'!$B$4,char(34),",",char(34),"name",char(34),":",char(34),I66,char(34),"}}")))</f>
        <v/>
      </c>
      <c r="L66" s="173"/>
      <c r="M66" s="487"/>
      <c r="N66" s="173"/>
      <c r="O66" s="487"/>
      <c r="P66" s="487"/>
      <c r="Q66" s="487"/>
      <c r="R66" s="487"/>
      <c r="S66" s="24"/>
      <c r="T66" s="271"/>
      <c r="U66" s="487"/>
    </row>
    <row r="67" ht="30.0" customHeight="1">
      <c r="A67" s="173">
        <v>63.0</v>
      </c>
      <c r="B67" s="487"/>
      <c r="C67" s="487"/>
      <c r="D67" s="173"/>
      <c r="E67" s="487"/>
      <c r="F67" s="487"/>
      <c r="G67" s="173"/>
      <c r="H67" s="173"/>
      <c r="I67" s="173"/>
      <c r="J67" s="173"/>
      <c r="K67" s="173" t="str">
        <f>IFS(J67="","",J67="n/a","N/A",LEN(J67),LOWER(Concatenate("{",char(34),"asset",char(34),":{",char(34),"guid",char(34),":",char(34),J67,char(34),",",char(34),"site",char(34),":",char(34),'2-Building'!$B$4,char(34),",",char(34),"name",char(34),":",char(34),I67,char(34),"}}")))</f>
        <v/>
      </c>
      <c r="L67" s="173"/>
      <c r="M67" s="487"/>
      <c r="N67" s="173"/>
      <c r="O67" s="487"/>
      <c r="P67" s="487"/>
      <c r="Q67" s="487"/>
      <c r="R67" s="487"/>
      <c r="S67" s="24"/>
      <c r="T67" s="271"/>
      <c r="U67" s="487"/>
    </row>
    <row r="68" ht="30.0" customHeight="1">
      <c r="A68" s="173">
        <v>64.0</v>
      </c>
      <c r="B68" s="487"/>
      <c r="C68" s="487"/>
      <c r="D68" s="173"/>
      <c r="E68" s="487"/>
      <c r="F68" s="487"/>
      <c r="G68" s="173"/>
      <c r="H68" s="173"/>
      <c r="I68" s="173"/>
      <c r="J68" s="173"/>
      <c r="K68" s="173" t="str">
        <f>IFS(J68="","",J68="n/a","N/A",LEN(J68),LOWER(Concatenate("{",char(34),"asset",char(34),":{",char(34),"guid",char(34),":",char(34),J68,char(34),",",char(34),"site",char(34),":",char(34),'2-Building'!$B$4,char(34),",",char(34),"name",char(34),":",char(34),I68,char(34),"}}")))</f>
        <v/>
      </c>
      <c r="L68" s="173"/>
      <c r="M68" s="487"/>
      <c r="N68" s="173"/>
      <c r="O68" s="487"/>
      <c r="P68" s="487"/>
      <c r="Q68" s="487"/>
      <c r="R68" s="487"/>
      <c r="S68" s="24"/>
      <c r="T68" s="271"/>
      <c r="U68" s="487"/>
    </row>
    <row r="69" ht="30.0" customHeight="1">
      <c r="A69" s="173">
        <v>65.0</v>
      </c>
      <c r="B69" s="487"/>
      <c r="C69" s="487"/>
      <c r="D69" s="173"/>
      <c r="E69" s="487"/>
      <c r="F69" s="487"/>
      <c r="G69" s="173"/>
      <c r="H69" s="173"/>
      <c r="I69" s="173"/>
      <c r="J69" s="173"/>
      <c r="K69" s="173" t="str">
        <f>IFS(J69="","",J69="n/a","N/A",LEN(J69),LOWER(Concatenate("{",char(34),"asset",char(34),":{",char(34),"guid",char(34),":",char(34),J69,char(34),",",char(34),"site",char(34),":",char(34),'2-Building'!$B$4,char(34),",",char(34),"name",char(34),":",char(34),I69,char(34),"}}")))</f>
        <v/>
      </c>
      <c r="L69" s="173"/>
      <c r="M69" s="487"/>
      <c r="N69" s="173"/>
      <c r="O69" s="487"/>
      <c r="P69" s="487"/>
      <c r="Q69" s="487"/>
      <c r="R69" s="487"/>
      <c r="S69" s="24"/>
      <c r="T69" s="271"/>
      <c r="U69" s="487"/>
    </row>
    <row r="70" ht="30.0" customHeight="1">
      <c r="A70" s="173">
        <v>66.0</v>
      </c>
      <c r="B70" s="487"/>
      <c r="C70" s="487"/>
      <c r="D70" s="173"/>
      <c r="E70" s="487"/>
      <c r="F70" s="487"/>
      <c r="G70" s="173"/>
      <c r="H70" s="173"/>
      <c r="I70" s="173"/>
      <c r="J70" s="173"/>
      <c r="K70" s="173" t="str">
        <f>IFS(J70="","",J70="n/a","N/A",LEN(J70),LOWER(Concatenate("{",char(34),"asset",char(34),":{",char(34),"guid",char(34),":",char(34),J70,char(34),",",char(34),"site",char(34),":",char(34),'2-Building'!$B$4,char(34),",",char(34),"name",char(34),":",char(34),I70,char(34),"}}")))</f>
        <v/>
      </c>
      <c r="L70" s="173"/>
      <c r="M70" s="487"/>
      <c r="N70" s="173"/>
      <c r="O70" s="487"/>
      <c r="P70" s="487"/>
      <c r="Q70" s="487"/>
      <c r="R70" s="487"/>
      <c r="S70" s="24"/>
      <c r="T70" s="271"/>
      <c r="U70" s="487"/>
    </row>
    <row r="71" ht="30.0" customHeight="1">
      <c r="A71" s="173">
        <v>67.0</v>
      </c>
      <c r="B71" s="487"/>
      <c r="C71" s="487"/>
      <c r="D71" s="173"/>
      <c r="E71" s="487"/>
      <c r="F71" s="487"/>
      <c r="G71" s="173"/>
      <c r="H71" s="173"/>
      <c r="I71" s="173"/>
      <c r="J71" s="173"/>
      <c r="K71" s="173" t="str">
        <f>IFS(J71="","",J71="n/a","N/A",LEN(J71),LOWER(Concatenate("{",char(34),"asset",char(34),":{",char(34),"guid",char(34),":",char(34),J71,char(34),",",char(34),"site",char(34),":",char(34),'2-Building'!$B$4,char(34),",",char(34),"name",char(34),":",char(34),I71,char(34),"}}")))</f>
        <v/>
      </c>
      <c r="L71" s="173"/>
      <c r="M71" s="487"/>
      <c r="N71" s="173"/>
      <c r="O71" s="487"/>
      <c r="P71" s="487"/>
      <c r="Q71" s="487"/>
      <c r="R71" s="487"/>
      <c r="S71" s="24"/>
      <c r="T71" s="271"/>
      <c r="U71" s="487"/>
    </row>
    <row r="72" ht="30.0" customHeight="1">
      <c r="A72" s="173">
        <v>68.0</v>
      </c>
      <c r="B72" s="487"/>
      <c r="C72" s="487"/>
      <c r="D72" s="173"/>
      <c r="E72" s="487"/>
      <c r="F72" s="487"/>
      <c r="G72" s="173"/>
      <c r="H72" s="173"/>
      <c r="I72" s="173"/>
      <c r="J72" s="173"/>
      <c r="K72" s="173" t="str">
        <f>IFS(J72="","",J72="n/a","N/A",LEN(J72),LOWER(Concatenate("{",char(34),"asset",char(34),":{",char(34),"guid",char(34),":",char(34),J72,char(34),",",char(34),"site",char(34),":",char(34),'2-Building'!$B$4,char(34),",",char(34),"name",char(34),":",char(34),I72,char(34),"}}")))</f>
        <v/>
      </c>
      <c r="L72" s="173"/>
      <c r="M72" s="487"/>
      <c r="N72" s="173"/>
      <c r="O72" s="487"/>
      <c r="P72" s="487"/>
      <c r="Q72" s="487"/>
      <c r="R72" s="487"/>
      <c r="S72" s="24"/>
      <c r="T72" s="271"/>
      <c r="U72" s="487"/>
    </row>
    <row r="73" ht="30.0" customHeight="1">
      <c r="A73" s="173">
        <v>69.0</v>
      </c>
      <c r="B73" s="487"/>
      <c r="C73" s="487"/>
      <c r="D73" s="173"/>
      <c r="E73" s="487"/>
      <c r="F73" s="487"/>
      <c r="G73" s="173"/>
      <c r="H73" s="173"/>
      <c r="I73" s="173"/>
      <c r="J73" s="173"/>
      <c r="K73" s="173" t="str">
        <f>IFS(J73="","",J73="n/a","N/A",LEN(J73),LOWER(Concatenate("{",char(34),"asset",char(34),":{",char(34),"guid",char(34),":",char(34),J73,char(34),",",char(34),"site",char(34),":",char(34),'2-Building'!$B$4,char(34),",",char(34),"name",char(34),":",char(34),I73,char(34),"}}")))</f>
        <v/>
      </c>
      <c r="L73" s="173"/>
      <c r="M73" s="487"/>
      <c r="N73" s="173"/>
      <c r="O73" s="487"/>
      <c r="P73" s="487"/>
      <c r="Q73" s="487"/>
      <c r="R73" s="487"/>
      <c r="S73" s="24"/>
      <c r="T73" s="271"/>
      <c r="U73" s="487"/>
    </row>
    <row r="74" ht="30.0" customHeight="1">
      <c r="A74" s="173">
        <v>70.0</v>
      </c>
      <c r="B74" s="487"/>
      <c r="C74" s="487"/>
      <c r="D74" s="173"/>
      <c r="E74" s="487"/>
      <c r="F74" s="487"/>
      <c r="G74" s="173"/>
      <c r="H74" s="173"/>
      <c r="I74" s="173"/>
      <c r="J74" s="173"/>
      <c r="K74" s="173" t="str">
        <f>IFS(J74="","",J74="n/a","N/A",LEN(J74),LOWER(Concatenate("{",char(34),"asset",char(34),":{",char(34),"guid",char(34),":",char(34),J74,char(34),",",char(34),"site",char(34),":",char(34),'2-Building'!$B$4,char(34),",",char(34),"name",char(34),":",char(34),I74,char(34),"}}")))</f>
        <v/>
      </c>
      <c r="L74" s="173"/>
      <c r="M74" s="487"/>
      <c r="N74" s="173"/>
      <c r="O74" s="487"/>
      <c r="P74" s="487"/>
      <c r="Q74" s="487"/>
      <c r="R74" s="487"/>
      <c r="S74" s="24"/>
      <c r="T74" s="271"/>
      <c r="U74" s="487"/>
    </row>
    <row r="75" ht="30.0" customHeight="1">
      <c r="A75" s="173">
        <v>71.0</v>
      </c>
      <c r="B75" s="487"/>
      <c r="C75" s="487"/>
      <c r="D75" s="173"/>
      <c r="E75" s="487"/>
      <c r="F75" s="487"/>
      <c r="G75" s="173"/>
      <c r="H75" s="173"/>
      <c r="I75" s="173"/>
      <c r="J75" s="173"/>
      <c r="K75" s="173" t="str">
        <f>IFS(J75="","",J75="n/a","N/A",LEN(J75),LOWER(Concatenate("{",char(34),"asset",char(34),":{",char(34),"guid",char(34),":",char(34),J75,char(34),",",char(34),"site",char(34),":",char(34),'2-Building'!$B$4,char(34),",",char(34),"name",char(34),":",char(34),I75,char(34),"}}")))</f>
        <v/>
      </c>
      <c r="L75" s="173"/>
      <c r="M75" s="487"/>
      <c r="N75" s="173"/>
      <c r="O75" s="487"/>
      <c r="P75" s="487"/>
      <c r="Q75" s="487"/>
      <c r="R75" s="487"/>
      <c r="S75" s="24"/>
      <c r="T75" s="271"/>
      <c r="U75" s="487"/>
    </row>
    <row r="76" ht="30.0" customHeight="1">
      <c r="A76" s="173">
        <v>72.0</v>
      </c>
      <c r="B76" s="487"/>
      <c r="C76" s="487"/>
      <c r="D76" s="173"/>
      <c r="E76" s="487"/>
      <c r="F76" s="487"/>
      <c r="G76" s="173"/>
      <c r="H76" s="173"/>
      <c r="I76" s="173"/>
      <c r="J76" s="173"/>
      <c r="K76" s="173" t="str">
        <f>IFS(J76="","",J76="n/a","N/A",LEN(J76),LOWER(Concatenate("{",char(34),"asset",char(34),":{",char(34),"guid",char(34),":",char(34),J76,char(34),",",char(34),"site",char(34),":",char(34),'2-Building'!$B$4,char(34),",",char(34),"name",char(34),":",char(34),I76,char(34),"}}")))</f>
        <v/>
      </c>
      <c r="L76" s="173"/>
      <c r="M76" s="487"/>
      <c r="N76" s="173"/>
      <c r="O76" s="487"/>
      <c r="P76" s="487"/>
      <c r="Q76" s="487"/>
      <c r="R76" s="487"/>
      <c r="S76" s="24"/>
      <c r="T76" s="271"/>
      <c r="U76" s="487"/>
    </row>
    <row r="77" ht="30.0" customHeight="1">
      <c r="A77" s="173">
        <v>73.0</v>
      </c>
      <c r="B77" s="487"/>
      <c r="C77" s="487"/>
      <c r="D77" s="173"/>
      <c r="E77" s="487"/>
      <c r="F77" s="487"/>
      <c r="G77" s="173"/>
      <c r="H77" s="173"/>
      <c r="I77" s="173"/>
      <c r="J77" s="173"/>
      <c r="K77" s="173" t="str">
        <f>IFS(J77="","",J77="n/a","N/A",LEN(J77),LOWER(Concatenate("{",char(34),"asset",char(34),":{",char(34),"guid",char(34),":",char(34),J77,char(34),",",char(34),"site",char(34),":",char(34),'2-Building'!$B$4,char(34),",",char(34),"name",char(34),":",char(34),I77,char(34),"}}")))</f>
        <v/>
      </c>
      <c r="L77" s="173"/>
      <c r="M77" s="487"/>
      <c r="N77" s="173"/>
      <c r="O77" s="487"/>
      <c r="P77" s="487"/>
      <c r="Q77" s="487"/>
      <c r="R77" s="487"/>
      <c r="S77" s="24"/>
      <c r="T77" s="271"/>
      <c r="U77" s="487"/>
    </row>
    <row r="78" ht="30.0" customHeight="1">
      <c r="A78" s="173">
        <v>74.0</v>
      </c>
      <c r="B78" s="487"/>
      <c r="C78" s="487"/>
      <c r="D78" s="173"/>
      <c r="E78" s="487"/>
      <c r="F78" s="487"/>
      <c r="G78" s="173"/>
      <c r="H78" s="173"/>
      <c r="I78" s="173"/>
      <c r="J78" s="173"/>
      <c r="K78" s="173" t="str">
        <f>IFS(J78="","",J78="n/a","N/A",LEN(J78),LOWER(Concatenate("{",char(34),"asset",char(34),":{",char(34),"guid",char(34),":",char(34),J78,char(34),",",char(34),"site",char(34),":",char(34),'2-Building'!$B$4,char(34),",",char(34),"name",char(34),":",char(34),I78,char(34),"}}")))</f>
        <v/>
      </c>
      <c r="L78" s="173"/>
      <c r="M78" s="487"/>
      <c r="N78" s="173"/>
      <c r="O78" s="487"/>
      <c r="P78" s="487"/>
      <c r="Q78" s="487"/>
      <c r="R78" s="487"/>
      <c r="S78" s="24"/>
      <c r="T78" s="271"/>
      <c r="U78" s="487"/>
    </row>
    <row r="79" ht="30.0" customHeight="1">
      <c r="A79" s="173">
        <v>75.0</v>
      </c>
      <c r="B79" s="487"/>
      <c r="C79" s="487"/>
      <c r="D79" s="173"/>
      <c r="E79" s="487"/>
      <c r="F79" s="487"/>
      <c r="G79" s="173"/>
      <c r="H79" s="173"/>
      <c r="I79" s="173"/>
      <c r="J79" s="173"/>
      <c r="K79" s="173" t="str">
        <f>IFS(J79="","",J79="n/a","N/A",LEN(J79),LOWER(Concatenate("{",char(34),"asset",char(34),":{",char(34),"guid",char(34),":",char(34),J79,char(34),",",char(34),"site",char(34),":",char(34),'2-Building'!$B$4,char(34),",",char(34),"name",char(34),":",char(34),I79,char(34),"}}")))</f>
        <v/>
      </c>
      <c r="L79" s="173"/>
      <c r="M79" s="487"/>
      <c r="N79" s="173"/>
      <c r="O79" s="487"/>
      <c r="P79" s="487"/>
      <c r="Q79" s="487"/>
      <c r="R79" s="487"/>
      <c r="S79" s="24"/>
      <c r="T79" s="271"/>
      <c r="U79" s="487"/>
    </row>
    <row r="80" ht="30.0" customHeight="1">
      <c r="A80" s="173">
        <v>76.0</v>
      </c>
      <c r="B80" s="487"/>
      <c r="C80" s="487"/>
      <c r="D80" s="173"/>
      <c r="E80" s="487"/>
      <c r="F80" s="487"/>
      <c r="G80" s="173"/>
      <c r="H80" s="173"/>
      <c r="I80" s="173"/>
      <c r="J80" s="173"/>
      <c r="K80" s="173" t="str">
        <f>IFS(J80="","",J80="n/a","N/A",LEN(J80),LOWER(Concatenate("{",char(34),"asset",char(34),":{",char(34),"guid",char(34),":",char(34),J80,char(34),",",char(34),"site",char(34),":",char(34),'2-Building'!$B$4,char(34),",",char(34),"name",char(34),":",char(34),I80,char(34),"}}")))</f>
        <v/>
      </c>
      <c r="L80" s="173"/>
      <c r="M80" s="487"/>
      <c r="N80" s="173"/>
      <c r="O80" s="487"/>
      <c r="P80" s="487"/>
      <c r="Q80" s="487"/>
      <c r="R80" s="487"/>
      <c r="S80" s="24"/>
      <c r="T80" s="271"/>
      <c r="U80" s="487"/>
    </row>
    <row r="81" ht="30.0" customHeight="1">
      <c r="A81" s="173">
        <v>77.0</v>
      </c>
      <c r="B81" s="487"/>
      <c r="C81" s="487"/>
      <c r="D81" s="173"/>
      <c r="E81" s="487"/>
      <c r="F81" s="487"/>
      <c r="G81" s="173"/>
      <c r="H81" s="173"/>
      <c r="I81" s="173"/>
      <c r="J81" s="173"/>
      <c r="K81" s="173" t="str">
        <f>IFS(J81="","",J81="n/a","N/A",LEN(J81),LOWER(Concatenate("{",char(34),"asset",char(34),":{",char(34),"guid",char(34),":",char(34),J81,char(34),",",char(34),"site",char(34),":",char(34),'2-Building'!$B$4,char(34),",",char(34),"name",char(34),":",char(34),I81,char(34),"}}")))</f>
        <v/>
      </c>
      <c r="L81" s="173"/>
      <c r="M81" s="487"/>
      <c r="N81" s="173"/>
      <c r="O81" s="487"/>
      <c r="P81" s="487"/>
      <c r="Q81" s="487"/>
      <c r="R81" s="487"/>
      <c r="S81" s="24"/>
      <c r="T81" s="271"/>
      <c r="U81" s="487"/>
    </row>
    <row r="82" ht="30.0" customHeight="1">
      <c r="A82" s="173">
        <v>78.0</v>
      </c>
      <c r="B82" s="487"/>
      <c r="C82" s="487"/>
      <c r="D82" s="173"/>
      <c r="E82" s="487"/>
      <c r="F82" s="487"/>
      <c r="G82" s="173"/>
      <c r="H82" s="173"/>
      <c r="I82" s="173"/>
      <c r="J82" s="173"/>
      <c r="K82" s="173" t="str">
        <f>IFS(J82="","",J82="n/a","N/A",LEN(J82),LOWER(Concatenate("{",char(34),"asset",char(34),":{",char(34),"guid",char(34),":",char(34),J82,char(34),",",char(34),"site",char(34),":",char(34),'2-Building'!$B$4,char(34),",",char(34),"name",char(34),":",char(34),I82,char(34),"}}")))</f>
        <v/>
      </c>
      <c r="L82" s="173"/>
      <c r="M82" s="487"/>
      <c r="N82" s="173"/>
      <c r="O82" s="487"/>
      <c r="P82" s="487"/>
      <c r="Q82" s="487"/>
      <c r="R82" s="487"/>
      <c r="S82" s="24"/>
      <c r="T82" s="271"/>
      <c r="U82" s="487"/>
    </row>
    <row r="83" ht="30.0" customHeight="1">
      <c r="A83" s="173">
        <v>79.0</v>
      </c>
      <c r="B83" s="487"/>
      <c r="C83" s="487"/>
      <c r="D83" s="173"/>
      <c r="E83" s="487"/>
      <c r="F83" s="487"/>
      <c r="G83" s="173"/>
      <c r="H83" s="173"/>
      <c r="I83" s="173"/>
      <c r="J83" s="173"/>
      <c r="K83" s="173" t="str">
        <f>IFS(J83="","",J83="n/a","N/A",LEN(J83),LOWER(Concatenate("{",char(34),"asset",char(34),":{",char(34),"guid",char(34),":",char(34),J83,char(34),",",char(34),"site",char(34),":",char(34),'2-Building'!$B$4,char(34),",",char(34),"name",char(34),":",char(34),I83,char(34),"}}")))</f>
        <v/>
      </c>
      <c r="L83" s="173"/>
      <c r="M83" s="487"/>
      <c r="N83" s="173"/>
      <c r="O83" s="487"/>
      <c r="P83" s="487"/>
      <c r="Q83" s="487"/>
      <c r="R83" s="487"/>
      <c r="S83" s="24"/>
      <c r="T83" s="271"/>
      <c r="U83" s="487"/>
    </row>
    <row r="84" ht="30.0" customHeight="1">
      <c r="A84" s="173">
        <v>80.0</v>
      </c>
      <c r="B84" s="487"/>
      <c r="C84" s="487"/>
      <c r="D84" s="173"/>
      <c r="E84" s="487"/>
      <c r="F84" s="487"/>
      <c r="G84" s="173"/>
      <c r="H84" s="173"/>
      <c r="I84" s="173"/>
      <c r="J84" s="173"/>
      <c r="K84" s="173" t="str">
        <f>IFS(J84="","",J84="n/a","N/A",LEN(J84),LOWER(Concatenate("{",char(34),"asset",char(34),":{",char(34),"guid",char(34),":",char(34),J84,char(34),",",char(34),"site",char(34),":",char(34),'2-Building'!$B$4,char(34),",",char(34),"name",char(34),":",char(34),I84,char(34),"}}")))</f>
        <v/>
      </c>
      <c r="L84" s="173"/>
      <c r="M84" s="487"/>
      <c r="N84" s="173"/>
      <c r="O84" s="487"/>
      <c r="P84" s="487"/>
      <c r="Q84" s="487"/>
      <c r="R84" s="487"/>
      <c r="S84" s="24"/>
      <c r="T84" s="271"/>
      <c r="U84" s="487"/>
    </row>
    <row r="85" ht="30.0" customHeight="1">
      <c r="A85" s="173">
        <v>81.0</v>
      </c>
      <c r="B85" s="487"/>
      <c r="C85" s="487"/>
      <c r="D85" s="173"/>
      <c r="E85" s="487"/>
      <c r="F85" s="487"/>
      <c r="G85" s="173"/>
      <c r="H85" s="173"/>
      <c r="I85" s="173"/>
      <c r="J85" s="173"/>
      <c r="K85" s="173" t="str">
        <f>IFS(J85="","",J85="n/a","N/A",LEN(J85),LOWER(Concatenate("{",char(34),"asset",char(34),":{",char(34),"guid",char(34),":",char(34),J85,char(34),",",char(34),"site",char(34),":",char(34),'2-Building'!$B$4,char(34),",",char(34),"name",char(34),":",char(34),I85,char(34),"}}")))</f>
        <v/>
      </c>
      <c r="L85" s="173"/>
      <c r="M85" s="487"/>
      <c r="N85" s="173"/>
      <c r="O85" s="487"/>
      <c r="P85" s="487"/>
      <c r="Q85" s="487"/>
      <c r="R85" s="487"/>
      <c r="S85" s="24"/>
      <c r="T85" s="271"/>
      <c r="U85" s="487"/>
    </row>
    <row r="86" ht="30.0" customHeight="1">
      <c r="A86" s="173">
        <v>82.0</v>
      </c>
      <c r="B86" s="487"/>
      <c r="C86" s="487"/>
      <c r="D86" s="173"/>
      <c r="E86" s="487"/>
      <c r="F86" s="487"/>
      <c r="G86" s="173"/>
      <c r="H86" s="173"/>
      <c r="I86" s="173"/>
      <c r="J86" s="173"/>
      <c r="K86" s="173" t="str">
        <f>IFS(J86="","",J86="n/a","N/A",LEN(J86),LOWER(Concatenate("{",char(34),"asset",char(34),":{",char(34),"guid",char(34),":",char(34),J86,char(34),",",char(34),"site",char(34),":",char(34),'2-Building'!$B$4,char(34),",",char(34),"name",char(34),":",char(34),I86,char(34),"}}")))</f>
        <v/>
      </c>
      <c r="L86" s="173"/>
      <c r="M86" s="487"/>
      <c r="N86" s="173"/>
      <c r="O86" s="487"/>
      <c r="P86" s="487"/>
      <c r="Q86" s="487"/>
      <c r="R86" s="487"/>
      <c r="S86" s="24"/>
      <c r="T86" s="271"/>
      <c r="U86" s="487"/>
    </row>
    <row r="87" ht="30.0" customHeight="1">
      <c r="A87" s="173">
        <v>83.0</v>
      </c>
      <c r="B87" s="487"/>
      <c r="C87" s="487"/>
      <c r="D87" s="173"/>
      <c r="E87" s="487"/>
      <c r="F87" s="487"/>
      <c r="G87" s="173"/>
      <c r="H87" s="173"/>
      <c r="I87" s="173"/>
      <c r="J87" s="173"/>
      <c r="K87" s="173" t="str">
        <f>IFS(J87="","",J87="n/a","N/A",LEN(J87),LOWER(Concatenate("{",char(34),"asset",char(34),":{",char(34),"guid",char(34),":",char(34),J87,char(34),",",char(34),"site",char(34),":",char(34),'2-Building'!$B$4,char(34),",",char(34),"name",char(34),":",char(34),I87,char(34),"}}")))</f>
        <v/>
      </c>
      <c r="L87" s="173"/>
      <c r="M87" s="487"/>
      <c r="N87" s="173"/>
      <c r="O87" s="487"/>
      <c r="P87" s="487"/>
      <c r="Q87" s="487"/>
      <c r="R87" s="487"/>
      <c r="S87" s="24"/>
      <c r="T87" s="271"/>
      <c r="U87" s="487"/>
    </row>
    <row r="88" ht="30.0" customHeight="1">
      <c r="A88" s="173">
        <v>84.0</v>
      </c>
      <c r="B88" s="487"/>
      <c r="C88" s="487"/>
      <c r="D88" s="173"/>
      <c r="E88" s="487"/>
      <c r="F88" s="487"/>
      <c r="G88" s="173"/>
      <c r="H88" s="173"/>
      <c r="I88" s="173"/>
      <c r="J88" s="173"/>
      <c r="K88" s="173" t="str">
        <f>IFS(J88="","",J88="n/a","N/A",LEN(J88),LOWER(Concatenate("{",char(34),"asset",char(34),":{",char(34),"guid",char(34),":",char(34),J88,char(34),",",char(34),"site",char(34),":",char(34),'2-Building'!$B$4,char(34),",",char(34),"name",char(34),":",char(34),I88,char(34),"}}")))</f>
        <v/>
      </c>
      <c r="L88" s="173"/>
      <c r="M88" s="487"/>
      <c r="N88" s="173"/>
      <c r="O88" s="487"/>
      <c r="P88" s="487"/>
      <c r="Q88" s="487"/>
      <c r="R88" s="487"/>
      <c r="S88" s="24"/>
      <c r="T88" s="271"/>
      <c r="U88" s="487"/>
    </row>
    <row r="89" ht="30.0" customHeight="1">
      <c r="A89" s="173">
        <v>85.0</v>
      </c>
      <c r="B89" s="487"/>
      <c r="C89" s="487"/>
      <c r="D89" s="173"/>
      <c r="E89" s="487"/>
      <c r="F89" s="487"/>
      <c r="G89" s="173"/>
      <c r="H89" s="173"/>
      <c r="I89" s="173"/>
      <c r="J89" s="173"/>
      <c r="K89" s="173" t="str">
        <f>IFS(J89="","",J89="n/a","N/A",LEN(J89),LOWER(Concatenate("{",char(34),"asset",char(34),":{",char(34),"guid",char(34),":",char(34),J89,char(34),",",char(34),"site",char(34),":",char(34),'2-Building'!$B$4,char(34),",",char(34),"name",char(34),":",char(34),I89,char(34),"}}")))</f>
        <v/>
      </c>
      <c r="L89" s="173"/>
      <c r="M89" s="487"/>
      <c r="N89" s="173"/>
      <c r="O89" s="487"/>
      <c r="P89" s="487"/>
      <c r="Q89" s="487"/>
      <c r="R89" s="487"/>
      <c r="S89" s="24"/>
      <c r="T89" s="271"/>
      <c r="U89" s="487"/>
    </row>
    <row r="90" ht="30.0" customHeight="1">
      <c r="A90" s="173">
        <v>86.0</v>
      </c>
      <c r="B90" s="487"/>
      <c r="C90" s="487"/>
      <c r="D90" s="173"/>
      <c r="E90" s="487"/>
      <c r="F90" s="487"/>
      <c r="G90" s="173"/>
      <c r="H90" s="173"/>
      <c r="I90" s="173"/>
      <c r="J90" s="173"/>
      <c r="K90" s="173" t="str">
        <f>IFS(J90="","",J90="n/a","N/A",LEN(J90),LOWER(Concatenate("{",char(34),"asset",char(34),":{",char(34),"guid",char(34),":",char(34),J90,char(34),",",char(34),"site",char(34),":",char(34),'2-Building'!$B$4,char(34),",",char(34),"name",char(34),":",char(34),I90,char(34),"}}")))</f>
        <v/>
      </c>
      <c r="L90" s="173"/>
      <c r="M90" s="487"/>
      <c r="N90" s="173"/>
      <c r="O90" s="487"/>
      <c r="P90" s="487"/>
      <c r="Q90" s="487"/>
      <c r="R90" s="487"/>
      <c r="S90" s="24"/>
      <c r="T90" s="271"/>
      <c r="U90" s="487"/>
    </row>
    <row r="91" ht="30.0" customHeight="1">
      <c r="A91" s="173">
        <v>87.0</v>
      </c>
      <c r="B91" s="487"/>
      <c r="C91" s="487"/>
      <c r="D91" s="173"/>
      <c r="E91" s="487"/>
      <c r="F91" s="487"/>
      <c r="G91" s="173"/>
      <c r="H91" s="173"/>
      <c r="I91" s="173"/>
      <c r="J91" s="173"/>
      <c r="K91" s="173" t="str">
        <f>IFS(J91="","",J91="n/a","N/A",LEN(J91),LOWER(Concatenate("{",char(34),"asset",char(34),":{",char(34),"guid",char(34),":",char(34),J91,char(34),",",char(34),"site",char(34),":",char(34),'2-Building'!$B$4,char(34),",",char(34),"name",char(34),":",char(34),I91,char(34),"}}")))</f>
        <v/>
      </c>
      <c r="L91" s="173"/>
      <c r="M91" s="487"/>
      <c r="N91" s="173"/>
      <c r="O91" s="487"/>
      <c r="P91" s="487"/>
      <c r="Q91" s="487"/>
      <c r="R91" s="487"/>
      <c r="S91" s="24"/>
      <c r="T91" s="271"/>
      <c r="U91" s="487"/>
    </row>
    <row r="92" ht="30.0" customHeight="1">
      <c r="A92" s="173">
        <v>88.0</v>
      </c>
      <c r="B92" s="487"/>
      <c r="C92" s="487"/>
      <c r="D92" s="173"/>
      <c r="E92" s="487"/>
      <c r="F92" s="487"/>
      <c r="G92" s="173"/>
      <c r="H92" s="173"/>
      <c r="I92" s="173"/>
      <c r="J92" s="173"/>
      <c r="K92" s="173" t="str">
        <f>IFS(J92="","",J92="n/a","N/A",LEN(J92),LOWER(Concatenate("{",char(34),"asset",char(34),":{",char(34),"guid",char(34),":",char(34),J92,char(34),",",char(34),"site",char(34),":",char(34),'2-Building'!$B$4,char(34),",",char(34),"name",char(34),":",char(34),I92,char(34),"}}")))</f>
        <v/>
      </c>
      <c r="L92" s="173"/>
      <c r="M92" s="487"/>
      <c r="N92" s="173"/>
      <c r="O92" s="487"/>
      <c r="P92" s="487"/>
      <c r="Q92" s="487"/>
      <c r="R92" s="487"/>
      <c r="S92" s="24"/>
      <c r="T92" s="271"/>
      <c r="U92" s="487"/>
    </row>
    <row r="93" ht="30.0" customHeight="1">
      <c r="A93" s="173">
        <v>89.0</v>
      </c>
      <c r="B93" s="487"/>
      <c r="C93" s="487"/>
      <c r="D93" s="173"/>
      <c r="E93" s="487"/>
      <c r="F93" s="487"/>
      <c r="G93" s="173"/>
      <c r="H93" s="173"/>
      <c r="I93" s="173"/>
      <c r="J93" s="173"/>
      <c r="K93" s="173" t="str">
        <f>IFS(J93="","",J93="n/a","N/A",LEN(J93),LOWER(Concatenate("{",char(34),"asset",char(34),":{",char(34),"guid",char(34),":",char(34),J93,char(34),",",char(34),"site",char(34),":",char(34),'2-Building'!$B$4,char(34),",",char(34),"name",char(34),":",char(34),I93,char(34),"}}")))</f>
        <v/>
      </c>
      <c r="L93" s="173"/>
      <c r="M93" s="487"/>
      <c r="N93" s="173"/>
      <c r="O93" s="487"/>
      <c r="P93" s="487"/>
      <c r="Q93" s="487"/>
      <c r="R93" s="487"/>
      <c r="S93" s="24"/>
      <c r="T93" s="271"/>
      <c r="U93" s="487"/>
    </row>
    <row r="94" ht="30.0" customHeight="1">
      <c r="A94" s="173">
        <v>90.0</v>
      </c>
      <c r="B94" s="487"/>
      <c r="C94" s="487"/>
      <c r="D94" s="173"/>
      <c r="E94" s="487"/>
      <c r="F94" s="487"/>
      <c r="G94" s="173"/>
      <c r="H94" s="173"/>
      <c r="I94" s="173"/>
      <c r="J94" s="173"/>
      <c r="K94" s="173" t="str">
        <f>IFS(J94="","",J94="n/a","N/A",LEN(J94),LOWER(Concatenate("{",char(34),"asset",char(34),":{",char(34),"guid",char(34),":",char(34),J94,char(34),",",char(34),"site",char(34),":",char(34),'2-Building'!$B$4,char(34),",",char(34),"name",char(34),":",char(34),I94,char(34),"}}")))</f>
        <v/>
      </c>
      <c r="L94" s="173"/>
      <c r="M94" s="487"/>
      <c r="N94" s="173"/>
      <c r="O94" s="487"/>
      <c r="P94" s="487"/>
      <c r="Q94" s="487"/>
      <c r="R94" s="487"/>
      <c r="S94" s="24"/>
      <c r="T94" s="271"/>
      <c r="U94" s="487"/>
    </row>
    <row r="95" ht="30.0" customHeight="1">
      <c r="A95" s="173">
        <v>91.0</v>
      </c>
      <c r="B95" s="487"/>
      <c r="C95" s="487"/>
      <c r="D95" s="173"/>
      <c r="E95" s="487"/>
      <c r="F95" s="487"/>
      <c r="G95" s="173"/>
      <c r="H95" s="173"/>
      <c r="I95" s="173"/>
      <c r="J95" s="173"/>
      <c r="K95" s="173" t="str">
        <f>IFS(J95="","",J95="n/a","N/A",LEN(J95),LOWER(Concatenate("{",char(34),"asset",char(34),":{",char(34),"guid",char(34),":",char(34),J95,char(34),",",char(34),"site",char(34),":",char(34),'2-Building'!$B$4,char(34),",",char(34),"name",char(34),":",char(34),I95,char(34),"}}")))</f>
        <v/>
      </c>
      <c r="L95" s="173"/>
      <c r="M95" s="487"/>
      <c r="N95" s="173"/>
      <c r="O95" s="487"/>
      <c r="P95" s="487"/>
      <c r="Q95" s="487"/>
      <c r="R95" s="487"/>
      <c r="S95" s="24"/>
      <c r="T95" s="271"/>
      <c r="U95" s="487"/>
    </row>
    <row r="96" ht="30.0" customHeight="1">
      <c r="A96" s="173">
        <v>92.0</v>
      </c>
      <c r="B96" s="487"/>
      <c r="C96" s="487"/>
      <c r="D96" s="173"/>
      <c r="E96" s="487"/>
      <c r="F96" s="487"/>
      <c r="G96" s="173"/>
      <c r="H96" s="173"/>
      <c r="I96" s="173"/>
      <c r="J96" s="173"/>
      <c r="K96" s="173" t="str">
        <f>IFS(J96="","",J96="n/a","N/A",LEN(J96),LOWER(Concatenate("{",char(34),"asset",char(34),":{",char(34),"guid",char(34),":",char(34),J96,char(34),",",char(34),"site",char(34),":",char(34),'2-Building'!$B$4,char(34),",",char(34),"name",char(34),":",char(34),I96,char(34),"}}")))</f>
        <v/>
      </c>
      <c r="L96" s="173"/>
      <c r="M96" s="487"/>
      <c r="N96" s="173"/>
      <c r="O96" s="487"/>
      <c r="P96" s="487"/>
      <c r="Q96" s="487"/>
      <c r="R96" s="487"/>
      <c r="S96" s="24"/>
      <c r="T96" s="271"/>
      <c r="U96" s="487"/>
    </row>
    <row r="97" ht="30.0" customHeight="1">
      <c r="A97" s="173">
        <v>93.0</v>
      </c>
      <c r="B97" s="487"/>
      <c r="C97" s="487"/>
      <c r="D97" s="173"/>
      <c r="E97" s="487"/>
      <c r="F97" s="487"/>
      <c r="G97" s="173"/>
      <c r="H97" s="173"/>
      <c r="I97" s="173"/>
      <c r="J97" s="173"/>
      <c r="K97" s="173" t="str">
        <f>IFS(J97="","",J97="n/a","N/A",LEN(J97),LOWER(Concatenate("{",char(34),"asset",char(34),":{",char(34),"guid",char(34),":",char(34),J97,char(34),",",char(34),"site",char(34),":",char(34),'2-Building'!$B$4,char(34),",",char(34),"name",char(34),":",char(34),I97,char(34),"}}")))</f>
        <v/>
      </c>
      <c r="L97" s="173"/>
      <c r="M97" s="487"/>
      <c r="N97" s="173"/>
      <c r="O97" s="487"/>
      <c r="P97" s="487"/>
      <c r="Q97" s="487"/>
      <c r="R97" s="487"/>
      <c r="S97" s="24"/>
      <c r="T97" s="271"/>
      <c r="U97" s="487"/>
    </row>
    <row r="98" ht="30.0" customHeight="1">
      <c r="A98" s="173">
        <v>94.0</v>
      </c>
      <c r="B98" s="487"/>
      <c r="C98" s="487"/>
      <c r="D98" s="173"/>
      <c r="E98" s="487"/>
      <c r="F98" s="487"/>
      <c r="G98" s="173"/>
      <c r="H98" s="173"/>
      <c r="I98" s="173"/>
      <c r="J98" s="173"/>
      <c r="K98" s="173" t="str">
        <f>IFS(J98="","",J98="n/a","N/A",LEN(J98),LOWER(Concatenate("{",char(34),"asset",char(34),":{",char(34),"guid",char(34),":",char(34),J98,char(34),",",char(34),"site",char(34),":",char(34),'2-Building'!$B$4,char(34),",",char(34),"name",char(34),":",char(34),I98,char(34),"}}")))</f>
        <v/>
      </c>
      <c r="L98" s="173"/>
      <c r="M98" s="487"/>
      <c r="N98" s="173"/>
      <c r="O98" s="487"/>
      <c r="P98" s="487"/>
      <c r="Q98" s="487"/>
      <c r="R98" s="487"/>
      <c r="S98" s="24"/>
      <c r="T98" s="271"/>
      <c r="U98" s="487"/>
    </row>
    <row r="99" ht="30.0" customHeight="1">
      <c r="A99" s="173">
        <v>95.0</v>
      </c>
      <c r="B99" s="487"/>
      <c r="C99" s="487"/>
      <c r="D99" s="173"/>
      <c r="E99" s="487"/>
      <c r="F99" s="487"/>
      <c r="G99" s="173"/>
      <c r="H99" s="173"/>
      <c r="I99" s="173"/>
      <c r="J99" s="173"/>
      <c r="K99" s="173" t="str">
        <f>IFS(J99="","",J99="n/a","N/A",LEN(J99),LOWER(Concatenate("{",char(34),"asset",char(34),":{",char(34),"guid",char(34),":",char(34),J99,char(34),",",char(34),"site",char(34),":",char(34),'2-Building'!$B$4,char(34),",",char(34),"name",char(34),":",char(34),I99,char(34),"}}")))</f>
        <v/>
      </c>
      <c r="L99" s="173"/>
      <c r="M99" s="487"/>
      <c r="N99" s="173"/>
      <c r="O99" s="487"/>
      <c r="P99" s="487"/>
      <c r="Q99" s="487"/>
      <c r="R99" s="487"/>
      <c r="S99" s="24"/>
      <c r="T99" s="271"/>
      <c r="U99" s="487"/>
    </row>
    <row r="100" ht="30.0" customHeight="1">
      <c r="A100" s="173">
        <v>96.0</v>
      </c>
      <c r="B100" s="487"/>
      <c r="C100" s="487"/>
      <c r="D100" s="173"/>
      <c r="E100" s="487"/>
      <c r="F100" s="487"/>
      <c r="G100" s="173"/>
      <c r="H100" s="173"/>
      <c r="I100" s="173"/>
      <c r="J100" s="173"/>
      <c r="K100" s="173" t="str">
        <f>IFS(J100="","",J100="n/a","N/A",LEN(J100),LOWER(Concatenate("{",char(34),"asset",char(34),":{",char(34),"guid",char(34),":",char(34),J100,char(34),",",char(34),"site",char(34),":",char(34),'2-Building'!$B$4,char(34),",",char(34),"name",char(34),":",char(34),I100,char(34),"}}")))</f>
        <v/>
      </c>
      <c r="L100" s="173"/>
      <c r="M100" s="487"/>
      <c r="N100" s="173"/>
      <c r="O100" s="487"/>
      <c r="P100" s="487"/>
      <c r="Q100" s="487"/>
      <c r="R100" s="487"/>
      <c r="S100" s="24"/>
      <c r="T100" s="271"/>
      <c r="U100" s="487"/>
    </row>
    <row r="101" ht="30.0" customHeight="1">
      <c r="A101" s="173">
        <v>97.0</v>
      </c>
      <c r="B101" s="487"/>
      <c r="C101" s="487"/>
      <c r="D101" s="173"/>
      <c r="E101" s="487"/>
      <c r="F101" s="487"/>
      <c r="G101" s="173"/>
      <c r="H101" s="173"/>
      <c r="I101" s="173"/>
      <c r="J101" s="173"/>
      <c r="K101" s="173" t="str">
        <f>IFS(J101="","",J101="n/a","N/A",LEN(J101),LOWER(Concatenate("{",char(34),"asset",char(34),":{",char(34),"guid",char(34),":",char(34),J101,char(34),",",char(34),"site",char(34),":",char(34),'2-Building'!$B$4,char(34),",",char(34),"name",char(34),":",char(34),I101,char(34),"}}")))</f>
        <v/>
      </c>
      <c r="L101" s="173"/>
      <c r="M101" s="487"/>
      <c r="N101" s="173"/>
      <c r="O101" s="487"/>
      <c r="P101" s="487"/>
      <c r="Q101" s="487"/>
      <c r="R101" s="487"/>
      <c r="S101" s="24"/>
      <c r="T101" s="271"/>
      <c r="U101" s="487"/>
    </row>
    <row r="102" ht="30.0" customHeight="1">
      <c r="A102" s="173">
        <v>98.0</v>
      </c>
      <c r="B102" s="487"/>
      <c r="C102" s="487"/>
      <c r="D102" s="173"/>
      <c r="E102" s="487"/>
      <c r="F102" s="487"/>
      <c r="G102" s="173"/>
      <c r="H102" s="173"/>
      <c r="I102" s="173"/>
      <c r="J102" s="173"/>
      <c r="K102" s="173" t="str">
        <f>IFS(J102="","",J102="n/a","N/A",LEN(J102),LOWER(Concatenate("{",char(34),"asset",char(34),":{",char(34),"guid",char(34),":",char(34),J102,char(34),",",char(34),"site",char(34),":",char(34),'2-Building'!$B$4,char(34),",",char(34),"name",char(34),":",char(34),I102,char(34),"}}")))</f>
        <v/>
      </c>
      <c r="L102" s="173"/>
      <c r="M102" s="487"/>
      <c r="N102" s="173"/>
      <c r="O102" s="487"/>
      <c r="P102" s="487"/>
      <c r="Q102" s="487"/>
      <c r="R102" s="487"/>
      <c r="S102" s="24"/>
      <c r="T102" s="271"/>
      <c r="U102" s="487"/>
    </row>
    <row r="103" ht="30.0" customHeight="1">
      <c r="A103" s="173">
        <v>99.0</v>
      </c>
      <c r="B103" s="487"/>
      <c r="C103" s="487"/>
      <c r="D103" s="173"/>
      <c r="E103" s="487"/>
      <c r="F103" s="487"/>
      <c r="G103" s="173"/>
      <c r="H103" s="173"/>
      <c r="I103" s="173"/>
      <c r="J103" s="173"/>
      <c r="K103" s="173" t="str">
        <f>IFS(J103="","",J103="n/a","N/A",LEN(J103),LOWER(Concatenate("{",char(34),"asset",char(34),":{",char(34),"guid",char(34),":",char(34),J103,char(34),",",char(34),"site",char(34),":",char(34),'2-Building'!$B$4,char(34),",",char(34),"name",char(34),":",char(34),I103,char(34),"}}")))</f>
        <v/>
      </c>
      <c r="L103" s="173"/>
      <c r="M103" s="487"/>
      <c r="N103" s="173"/>
      <c r="O103" s="487"/>
      <c r="P103" s="487"/>
      <c r="Q103" s="487"/>
      <c r="R103" s="487"/>
      <c r="S103" s="24"/>
      <c r="T103" s="271"/>
      <c r="U103" s="487"/>
    </row>
    <row r="104" ht="30.0" customHeight="1">
      <c r="A104" s="173">
        <v>100.0</v>
      </c>
      <c r="B104" s="487"/>
      <c r="C104" s="487"/>
      <c r="D104" s="173"/>
      <c r="E104" s="487"/>
      <c r="F104" s="487"/>
      <c r="G104" s="173"/>
      <c r="H104" s="173"/>
      <c r="I104" s="173"/>
      <c r="J104" s="173"/>
      <c r="K104" s="173" t="str">
        <f>IFS(J104="","",J104="n/a","N/A",LEN(J104),LOWER(Concatenate("{",char(34),"asset",char(34),":{",char(34),"guid",char(34),":",char(34),J104,char(34),",",char(34),"site",char(34),":",char(34),'2-Building'!$B$4,char(34),",",char(34),"name",char(34),":",char(34),I104,char(34),"}}")))</f>
        <v/>
      </c>
      <c r="L104" s="173"/>
      <c r="M104" s="487"/>
      <c r="N104" s="173"/>
      <c r="O104" s="487"/>
      <c r="P104" s="487"/>
      <c r="Q104" s="487"/>
      <c r="R104" s="487"/>
      <c r="S104" s="24"/>
      <c r="T104" s="271"/>
      <c r="U104" s="487"/>
    </row>
    <row r="105" ht="30.0" customHeight="1">
      <c r="A105" s="488"/>
      <c r="B105" s="489"/>
      <c r="C105" s="489"/>
      <c r="D105" s="488"/>
      <c r="E105" s="489"/>
      <c r="F105" s="489"/>
      <c r="G105" s="173"/>
      <c r="H105" s="488"/>
      <c r="I105" s="488"/>
      <c r="J105" s="488"/>
      <c r="K105" s="488"/>
      <c r="L105" s="488"/>
      <c r="M105" s="489"/>
      <c r="N105" s="488"/>
      <c r="O105" s="489"/>
      <c r="P105" s="489"/>
      <c r="Q105" s="489"/>
      <c r="R105" s="489"/>
      <c r="S105" s="28"/>
      <c r="T105" s="490"/>
      <c r="U105" s="489"/>
    </row>
    <row r="106" ht="30.0" customHeight="1">
      <c r="A106" s="488"/>
      <c r="B106" s="489"/>
      <c r="C106" s="489"/>
      <c r="D106" s="488"/>
      <c r="E106" s="489"/>
      <c r="F106" s="489"/>
      <c r="G106" s="173"/>
      <c r="H106" s="488"/>
      <c r="I106" s="488"/>
      <c r="J106" s="488"/>
      <c r="K106" s="488"/>
      <c r="L106" s="488"/>
      <c r="M106" s="489"/>
      <c r="N106" s="488"/>
      <c r="O106" s="489"/>
      <c r="P106" s="489"/>
      <c r="Q106" s="489"/>
      <c r="R106" s="489"/>
      <c r="S106" s="28"/>
      <c r="T106" s="490"/>
      <c r="U106" s="489"/>
    </row>
    <row r="107" ht="30.0" customHeight="1">
      <c r="A107" s="488"/>
      <c r="B107" s="489"/>
      <c r="C107" s="489"/>
      <c r="D107" s="488"/>
      <c r="E107" s="489"/>
      <c r="F107" s="489"/>
      <c r="G107" s="173"/>
      <c r="H107" s="488"/>
      <c r="I107" s="488"/>
      <c r="J107" s="488"/>
      <c r="K107" s="488"/>
      <c r="L107" s="488"/>
      <c r="M107" s="489"/>
      <c r="N107" s="488"/>
      <c r="O107" s="489"/>
      <c r="P107" s="489"/>
      <c r="Q107" s="489"/>
      <c r="R107" s="489"/>
      <c r="S107" s="28"/>
      <c r="T107" s="490"/>
      <c r="U107" s="489"/>
    </row>
    <row r="108" ht="30.0" customHeight="1">
      <c r="A108" s="488"/>
      <c r="B108" s="489"/>
      <c r="C108" s="489"/>
      <c r="D108" s="488"/>
      <c r="E108" s="489"/>
      <c r="F108" s="489"/>
      <c r="G108" s="173"/>
      <c r="H108" s="488"/>
      <c r="I108" s="488"/>
      <c r="J108" s="488"/>
      <c r="K108" s="488"/>
      <c r="L108" s="488"/>
      <c r="M108" s="489"/>
      <c r="N108" s="488"/>
      <c r="O108" s="489"/>
      <c r="P108" s="489"/>
      <c r="Q108" s="489"/>
      <c r="R108" s="489"/>
      <c r="S108" s="28"/>
      <c r="T108" s="490"/>
      <c r="U108" s="489"/>
    </row>
    <row r="109" ht="30.0" customHeight="1">
      <c r="A109" s="488"/>
      <c r="B109" s="489"/>
      <c r="C109" s="489"/>
      <c r="D109" s="488"/>
      <c r="E109" s="489"/>
      <c r="F109" s="489"/>
      <c r="G109" s="173"/>
      <c r="H109" s="488"/>
      <c r="I109" s="488"/>
      <c r="J109" s="488"/>
      <c r="K109" s="488"/>
      <c r="L109" s="488"/>
      <c r="M109" s="489"/>
      <c r="N109" s="488"/>
      <c r="O109" s="489"/>
      <c r="P109" s="489"/>
      <c r="Q109" s="489"/>
      <c r="R109" s="489"/>
      <c r="S109" s="28"/>
      <c r="T109" s="490"/>
      <c r="U109" s="489"/>
    </row>
    <row r="110" ht="30.0" customHeight="1">
      <c r="A110" s="488"/>
      <c r="B110" s="489"/>
      <c r="C110" s="489"/>
      <c r="D110" s="488"/>
      <c r="E110" s="489"/>
      <c r="F110" s="489"/>
      <c r="G110" s="173"/>
      <c r="H110" s="488"/>
      <c r="I110" s="488"/>
      <c r="J110" s="488"/>
      <c r="K110" s="488"/>
      <c r="L110" s="488"/>
      <c r="M110" s="489"/>
      <c r="N110" s="488"/>
      <c r="O110" s="489"/>
      <c r="P110" s="489"/>
      <c r="Q110" s="489"/>
      <c r="R110" s="489"/>
      <c r="S110" s="28"/>
      <c r="T110" s="490"/>
      <c r="U110" s="489"/>
    </row>
    <row r="111" ht="30.0" customHeight="1">
      <c r="A111" s="488"/>
      <c r="B111" s="489"/>
      <c r="C111" s="489"/>
      <c r="D111" s="488"/>
      <c r="E111" s="489"/>
      <c r="F111" s="489"/>
      <c r="G111" s="173"/>
      <c r="H111" s="488"/>
      <c r="I111" s="488"/>
      <c r="J111" s="488"/>
      <c r="K111" s="488"/>
      <c r="L111" s="488"/>
      <c r="M111" s="489"/>
      <c r="N111" s="488"/>
      <c r="O111" s="489"/>
      <c r="P111" s="489"/>
      <c r="Q111" s="489"/>
      <c r="R111" s="489"/>
      <c r="S111" s="28"/>
      <c r="T111" s="490"/>
      <c r="U111" s="489"/>
    </row>
    <row r="112" ht="30.0" customHeight="1">
      <c r="A112" s="488"/>
      <c r="B112" s="489"/>
      <c r="C112" s="489"/>
      <c r="D112" s="488"/>
      <c r="E112" s="489"/>
      <c r="F112" s="489"/>
      <c r="G112" s="173"/>
      <c r="H112" s="488"/>
      <c r="I112" s="488"/>
      <c r="J112" s="488"/>
      <c r="K112" s="488"/>
      <c r="L112" s="488"/>
      <c r="M112" s="489"/>
      <c r="N112" s="488"/>
      <c r="O112" s="489"/>
      <c r="P112" s="489"/>
      <c r="Q112" s="489"/>
      <c r="R112" s="489"/>
      <c r="S112" s="28"/>
      <c r="T112" s="490"/>
      <c r="U112" s="489"/>
    </row>
    <row r="113" ht="30.0" customHeight="1">
      <c r="A113" s="488"/>
      <c r="B113" s="489"/>
      <c r="C113" s="489"/>
      <c r="D113" s="488"/>
      <c r="E113" s="489"/>
      <c r="F113" s="489"/>
      <c r="G113" s="173"/>
      <c r="H113" s="488"/>
      <c r="I113" s="488"/>
      <c r="J113" s="488"/>
      <c r="K113" s="488"/>
      <c r="L113" s="488"/>
      <c r="M113" s="489"/>
      <c r="N113" s="488"/>
      <c r="O113" s="489"/>
      <c r="P113" s="489"/>
      <c r="Q113" s="489"/>
      <c r="R113" s="489"/>
      <c r="S113" s="28"/>
      <c r="T113" s="490"/>
      <c r="U113" s="489"/>
    </row>
    <row r="114" ht="30.0" customHeight="1">
      <c r="A114" s="488"/>
      <c r="B114" s="489"/>
      <c r="C114" s="489"/>
      <c r="D114" s="488"/>
      <c r="E114" s="489"/>
      <c r="F114" s="489"/>
      <c r="G114" s="173"/>
      <c r="H114" s="488"/>
      <c r="I114" s="488"/>
      <c r="J114" s="488"/>
      <c r="K114" s="488"/>
      <c r="L114" s="488"/>
      <c r="M114" s="489"/>
      <c r="N114" s="488"/>
      <c r="O114" s="489"/>
      <c r="P114" s="489"/>
      <c r="Q114" s="489"/>
      <c r="R114" s="489"/>
      <c r="S114" s="28"/>
      <c r="T114" s="490"/>
      <c r="U114" s="489"/>
    </row>
    <row r="115" ht="30.0" customHeight="1">
      <c r="A115" s="488"/>
      <c r="B115" s="489"/>
      <c r="C115" s="489"/>
      <c r="D115" s="488"/>
      <c r="E115" s="489"/>
      <c r="F115" s="489"/>
      <c r="G115" s="173"/>
      <c r="H115" s="488"/>
      <c r="I115" s="488"/>
      <c r="J115" s="488"/>
      <c r="K115" s="488"/>
      <c r="L115" s="488"/>
      <c r="M115" s="489"/>
      <c r="N115" s="488"/>
      <c r="O115" s="489"/>
      <c r="P115" s="489"/>
      <c r="Q115" s="489"/>
      <c r="R115" s="489"/>
      <c r="S115" s="28"/>
      <c r="T115" s="490"/>
      <c r="U115" s="489"/>
    </row>
    <row r="116" ht="30.0" customHeight="1">
      <c r="A116" s="488"/>
      <c r="B116" s="489"/>
      <c r="C116" s="489"/>
      <c r="D116" s="488"/>
      <c r="E116" s="489"/>
      <c r="F116" s="489"/>
      <c r="G116" s="173"/>
      <c r="H116" s="488"/>
      <c r="I116" s="488"/>
      <c r="J116" s="488"/>
      <c r="K116" s="488"/>
      <c r="L116" s="488"/>
      <c r="M116" s="489"/>
      <c r="N116" s="488"/>
      <c r="O116" s="489"/>
      <c r="P116" s="489"/>
      <c r="Q116" s="489"/>
      <c r="R116" s="489"/>
      <c r="S116" s="28"/>
      <c r="T116" s="490"/>
      <c r="U116" s="489"/>
    </row>
    <row r="117" ht="30.0" customHeight="1">
      <c r="A117" s="488"/>
      <c r="B117" s="489"/>
      <c r="C117" s="489"/>
      <c r="D117" s="488"/>
      <c r="E117" s="489"/>
      <c r="F117" s="489"/>
      <c r="G117" s="173"/>
      <c r="H117" s="488"/>
      <c r="I117" s="488"/>
      <c r="J117" s="488"/>
      <c r="K117" s="488"/>
      <c r="L117" s="488"/>
      <c r="M117" s="489"/>
      <c r="N117" s="488"/>
      <c r="O117" s="489"/>
      <c r="P117" s="489"/>
      <c r="Q117" s="489"/>
      <c r="R117" s="489"/>
      <c r="S117" s="28"/>
      <c r="T117" s="490"/>
      <c r="U117" s="489"/>
    </row>
    <row r="118" ht="30.0" customHeight="1">
      <c r="A118" s="488"/>
      <c r="B118" s="489"/>
      <c r="C118" s="489"/>
      <c r="D118" s="488"/>
      <c r="E118" s="489"/>
      <c r="F118" s="489"/>
      <c r="G118" s="173"/>
      <c r="H118" s="488"/>
      <c r="I118" s="488"/>
      <c r="J118" s="488"/>
      <c r="K118" s="488"/>
      <c r="L118" s="488"/>
      <c r="M118" s="489"/>
      <c r="N118" s="488"/>
      <c r="O118" s="489"/>
      <c r="P118" s="489"/>
      <c r="Q118" s="489"/>
      <c r="R118" s="489"/>
      <c r="S118" s="28"/>
      <c r="T118" s="490"/>
      <c r="U118" s="489"/>
    </row>
    <row r="119" ht="30.0" customHeight="1">
      <c r="A119" s="488"/>
      <c r="B119" s="489"/>
      <c r="C119" s="489"/>
      <c r="D119" s="488"/>
      <c r="E119" s="489"/>
      <c r="F119" s="489"/>
      <c r="G119" s="173"/>
      <c r="H119" s="488"/>
      <c r="I119" s="488"/>
      <c r="J119" s="488"/>
      <c r="K119" s="488"/>
      <c r="L119" s="488"/>
      <c r="M119" s="489"/>
      <c r="N119" s="488"/>
      <c r="O119" s="489"/>
      <c r="P119" s="489"/>
      <c r="Q119" s="489"/>
      <c r="R119" s="489"/>
      <c r="S119" s="28"/>
      <c r="T119" s="490"/>
      <c r="U119" s="489"/>
    </row>
    <row r="120" ht="30.0" customHeight="1">
      <c r="A120" s="488"/>
      <c r="B120" s="489"/>
      <c r="C120" s="489"/>
      <c r="D120" s="488"/>
      <c r="E120" s="489"/>
      <c r="F120" s="489"/>
      <c r="G120" s="173"/>
      <c r="H120" s="488"/>
      <c r="I120" s="488"/>
      <c r="J120" s="488"/>
      <c r="K120" s="488"/>
      <c r="L120" s="488"/>
      <c r="M120" s="489"/>
      <c r="N120" s="488"/>
      <c r="O120" s="489"/>
      <c r="P120" s="489"/>
      <c r="Q120" s="489"/>
      <c r="R120" s="489"/>
      <c r="S120" s="28"/>
      <c r="T120" s="490"/>
      <c r="U120" s="489"/>
    </row>
    <row r="121" ht="30.0" customHeight="1">
      <c r="A121" s="488"/>
      <c r="B121" s="489"/>
      <c r="C121" s="489"/>
      <c r="D121" s="488"/>
      <c r="E121" s="489"/>
      <c r="F121" s="489"/>
      <c r="G121" s="173"/>
      <c r="H121" s="488"/>
      <c r="I121" s="488"/>
      <c r="J121" s="488"/>
      <c r="K121" s="488"/>
      <c r="L121" s="488"/>
      <c r="M121" s="489"/>
      <c r="N121" s="488"/>
      <c r="O121" s="489"/>
      <c r="P121" s="489"/>
      <c r="Q121" s="489"/>
      <c r="R121" s="489"/>
      <c r="S121" s="28"/>
      <c r="T121" s="490"/>
      <c r="U121" s="489"/>
    </row>
    <row r="122" ht="30.0" customHeight="1">
      <c r="A122" s="488"/>
      <c r="B122" s="489"/>
      <c r="C122" s="489"/>
      <c r="D122" s="488"/>
      <c r="E122" s="489"/>
      <c r="F122" s="489"/>
      <c r="G122" s="173"/>
      <c r="H122" s="488"/>
      <c r="I122" s="488"/>
      <c r="J122" s="488"/>
      <c r="K122" s="488"/>
      <c r="L122" s="488"/>
      <c r="M122" s="489"/>
      <c r="N122" s="488"/>
      <c r="O122" s="489"/>
      <c r="P122" s="489"/>
      <c r="Q122" s="489"/>
      <c r="R122" s="489"/>
      <c r="S122" s="28"/>
      <c r="T122" s="490"/>
      <c r="U122" s="489"/>
    </row>
    <row r="123" ht="30.0" customHeight="1">
      <c r="A123" s="488"/>
      <c r="B123" s="489"/>
      <c r="C123" s="489"/>
      <c r="D123" s="488"/>
      <c r="E123" s="489"/>
      <c r="F123" s="489"/>
      <c r="G123" s="173"/>
      <c r="H123" s="488"/>
      <c r="I123" s="488"/>
      <c r="J123" s="488"/>
      <c r="K123" s="488"/>
      <c r="L123" s="488"/>
      <c r="M123" s="489"/>
      <c r="N123" s="488"/>
      <c r="O123" s="489"/>
      <c r="P123" s="489"/>
      <c r="Q123" s="489"/>
      <c r="R123" s="489"/>
      <c r="S123" s="28"/>
      <c r="T123" s="490"/>
      <c r="U123" s="489"/>
    </row>
    <row r="124" ht="30.0" customHeight="1">
      <c r="A124" s="488"/>
      <c r="B124" s="489"/>
      <c r="C124" s="489"/>
      <c r="D124" s="488"/>
      <c r="E124" s="489"/>
      <c r="F124" s="489"/>
      <c r="G124" s="173"/>
      <c r="H124" s="488"/>
      <c r="I124" s="488"/>
      <c r="J124" s="488"/>
      <c r="K124" s="488"/>
      <c r="L124" s="488"/>
      <c r="M124" s="489"/>
      <c r="N124" s="488"/>
      <c r="O124" s="489"/>
      <c r="P124" s="489"/>
      <c r="Q124" s="489"/>
      <c r="R124" s="489"/>
      <c r="S124" s="28"/>
      <c r="T124" s="490"/>
      <c r="U124" s="489"/>
    </row>
    <row r="125" ht="30.0" customHeight="1">
      <c r="A125" s="488"/>
      <c r="B125" s="489"/>
      <c r="C125" s="489"/>
      <c r="D125" s="488"/>
      <c r="E125" s="489"/>
      <c r="F125" s="489"/>
      <c r="G125" s="173"/>
      <c r="H125" s="488"/>
      <c r="I125" s="488"/>
      <c r="J125" s="488"/>
      <c r="K125" s="488"/>
      <c r="L125" s="488"/>
      <c r="M125" s="489"/>
      <c r="N125" s="488"/>
      <c r="O125" s="489"/>
      <c r="P125" s="489"/>
      <c r="Q125" s="489"/>
      <c r="R125" s="489"/>
      <c r="S125" s="28"/>
      <c r="T125" s="490"/>
      <c r="U125" s="489"/>
    </row>
    <row r="126" ht="30.0" customHeight="1">
      <c r="A126" s="488"/>
      <c r="B126" s="489"/>
      <c r="C126" s="489"/>
      <c r="D126" s="488"/>
      <c r="E126" s="489"/>
      <c r="F126" s="489"/>
      <c r="G126" s="173"/>
      <c r="H126" s="488"/>
      <c r="I126" s="488"/>
      <c r="J126" s="488"/>
      <c r="K126" s="488"/>
      <c r="L126" s="488"/>
      <c r="M126" s="489"/>
      <c r="N126" s="488"/>
      <c r="O126" s="489"/>
      <c r="P126" s="489"/>
      <c r="Q126" s="489"/>
      <c r="R126" s="489"/>
      <c r="S126" s="28"/>
      <c r="T126" s="490"/>
      <c r="U126" s="489"/>
    </row>
    <row r="127" ht="30.0" customHeight="1">
      <c r="A127" s="488"/>
      <c r="B127" s="489"/>
      <c r="C127" s="489"/>
      <c r="D127" s="488"/>
      <c r="E127" s="489"/>
      <c r="F127" s="489"/>
      <c r="G127" s="173"/>
      <c r="H127" s="488"/>
      <c r="I127" s="488"/>
      <c r="J127" s="488"/>
      <c r="K127" s="488"/>
      <c r="L127" s="488"/>
      <c r="M127" s="489"/>
      <c r="N127" s="488"/>
      <c r="O127" s="489"/>
      <c r="P127" s="489"/>
      <c r="Q127" s="489"/>
      <c r="R127" s="489"/>
      <c r="S127" s="28"/>
      <c r="T127" s="490"/>
      <c r="U127" s="489"/>
    </row>
    <row r="128" ht="30.0" customHeight="1">
      <c r="A128" s="488"/>
      <c r="B128" s="489"/>
      <c r="C128" s="489"/>
      <c r="D128" s="488"/>
      <c r="E128" s="489"/>
      <c r="F128" s="489"/>
      <c r="G128" s="173"/>
      <c r="H128" s="488"/>
      <c r="I128" s="488"/>
      <c r="J128" s="488"/>
      <c r="K128" s="488"/>
      <c r="L128" s="488"/>
      <c r="M128" s="489"/>
      <c r="N128" s="488"/>
      <c r="O128" s="489"/>
      <c r="P128" s="489"/>
      <c r="Q128" s="489"/>
      <c r="R128" s="489"/>
      <c r="S128" s="28"/>
      <c r="T128" s="490"/>
      <c r="U128" s="489"/>
    </row>
    <row r="129" ht="30.0" customHeight="1">
      <c r="A129" s="488"/>
      <c r="B129" s="489"/>
      <c r="C129" s="489"/>
      <c r="D129" s="488"/>
      <c r="E129" s="489"/>
      <c r="F129" s="489"/>
      <c r="G129" s="173"/>
      <c r="H129" s="488"/>
      <c r="I129" s="488"/>
      <c r="J129" s="488"/>
      <c r="K129" s="488"/>
      <c r="L129" s="488"/>
      <c r="M129" s="489"/>
      <c r="N129" s="488"/>
      <c r="O129" s="489"/>
      <c r="P129" s="489"/>
      <c r="Q129" s="489"/>
      <c r="R129" s="489"/>
      <c r="S129" s="28"/>
      <c r="T129" s="490"/>
      <c r="U129" s="489"/>
    </row>
    <row r="130" ht="30.0" customHeight="1">
      <c r="A130" s="488"/>
      <c r="B130" s="489"/>
      <c r="C130" s="489"/>
      <c r="D130" s="488"/>
      <c r="E130" s="489"/>
      <c r="F130" s="489"/>
      <c r="G130" s="173"/>
      <c r="H130" s="488"/>
      <c r="I130" s="488"/>
      <c r="J130" s="488"/>
      <c r="K130" s="488"/>
      <c r="L130" s="488"/>
      <c r="M130" s="489"/>
      <c r="N130" s="488"/>
      <c r="O130" s="489"/>
      <c r="P130" s="489"/>
      <c r="Q130" s="489"/>
      <c r="R130" s="489"/>
      <c r="S130" s="28"/>
      <c r="T130" s="490"/>
      <c r="U130" s="489"/>
    </row>
    <row r="131" ht="30.0" customHeight="1">
      <c r="A131" s="488"/>
      <c r="B131" s="489"/>
      <c r="C131" s="489"/>
      <c r="D131" s="488"/>
      <c r="E131" s="489"/>
      <c r="F131" s="489"/>
      <c r="G131" s="173"/>
      <c r="H131" s="488"/>
      <c r="I131" s="488"/>
      <c r="J131" s="488"/>
      <c r="K131" s="488"/>
      <c r="L131" s="488"/>
      <c r="M131" s="489"/>
      <c r="N131" s="488"/>
      <c r="O131" s="489"/>
      <c r="P131" s="489"/>
      <c r="Q131" s="489"/>
      <c r="R131" s="489"/>
      <c r="S131" s="28"/>
      <c r="T131" s="490"/>
      <c r="U131" s="489"/>
    </row>
    <row r="132" ht="30.0" customHeight="1">
      <c r="A132" s="488"/>
      <c r="B132" s="489"/>
      <c r="C132" s="489"/>
      <c r="D132" s="488"/>
      <c r="E132" s="489"/>
      <c r="F132" s="489"/>
      <c r="G132" s="173"/>
      <c r="H132" s="488"/>
      <c r="I132" s="488"/>
      <c r="J132" s="488"/>
      <c r="K132" s="488"/>
      <c r="L132" s="488"/>
      <c r="M132" s="489"/>
      <c r="N132" s="488"/>
      <c r="O132" s="489"/>
      <c r="P132" s="489"/>
      <c r="Q132" s="489"/>
      <c r="R132" s="489"/>
      <c r="S132" s="28"/>
      <c r="T132" s="490"/>
      <c r="U132" s="489"/>
    </row>
    <row r="133" ht="30.0" customHeight="1">
      <c r="A133" s="488"/>
      <c r="B133" s="489"/>
      <c r="C133" s="489"/>
      <c r="D133" s="488"/>
      <c r="E133" s="489"/>
      <c r="F133" s="489"/>
      <c r="G133" s="173"/>
      <c r="H133" s="488"/>
      <c r="I133" s="488"/>
      <c r="J133" s="488"/>
      <c r="K133" s="488"/>
      <c r="L133" s="488"/>
      <c r="M133" s="489"/>
      <c r="N133" s="488"/>
      <c r="O133" s="489"/>
      <c r="P133" s="489"/>
      <c r="Q133" s="489"/>
      <c r="R133" s="489"/>
      <c r="S133" s="28"/>
      <c r="T133" s="490"/>
      <c r="U133" s="489"/>
    </row>
    <row r="134" ht="30.0" customHeight="1">
      <c r="A134" s="488"/>
      <c r="B134" s="489"/>
      <c r="C134" s="489"/>
      <c r="D134" s="488"/>
      <c r="E134" s="489"/>
      <c r="F134" s="489"/>
      <c r="G134" s="173"/>
      <c r="H134" s="488"/>
      <c r="I134" s="488"/>
      <c r="J134" s="488"/>
      <c r="K134" s="488"/>
      <c r="L134" s="488"/>
      <c r="M134" s="489"/>
      <c r="N134" s="488"/>
      <c r="O134" s="489"/>
      <c r="P134" s="489"/>
      <c r="Q134" s="489"/>
      <c r="R134" s="489"/>
      <c r="S134" s="28"/>
      <c r="T134" s="490"/>
      <c r="U134" s="489"/>
    </row>
    <row r="135" ht="30.0" customHeight="1">
      <c r="A135" s="488"/>
      <c r="B135" s="489"/>
      <c r="C135" s="489"/>
      <c r="D135" s="488"/>
      <c r="E135" s="489"/>
      <c r="F135" s="489"/>
      <c r="G135" s="173"/>
      <c r="H135" s="488"/>
      <c r="I135" s="488"/>
      <c r="J135" s="488"/>
      <c r="K135" s="488"/>
      <c r="L135" s="488"/>
      <c r="M135" s="489"/>
      <c r="N135" s="488"/>
      <c r="O135" s="489"/>
      <c r="P135" s="489"/>
      <c r="Q135" s="489"/>
      <c r="R135" s="489"/>
      <c r="S135" s="28"/>
      <c r="T135" s="490"/>
      <c r="U135" s="489"/>
    </row>
    <row r="136" ht="30.0" customHeight="1">
      <c r="A136" s="488"/>
      <c r="B136" s="489"/>
      <c r="C136" s="489"/>
      <c r="D136" s="488"/>
      <c r="E136" s="489"/>
      <c r="F136" s="489"/>
      <c r="G136" s="173"/>
      <c r="H136" s="488"/>
      <c r="I136" s="488"/>
      <c r="J136" s="488"/>
      <c r="K136" s="488"/>
      <c r="L136" s="488"/>
      <c r="M136" s="489"/>
      <c r="N136" s="488"/>
      <c r="O136" s="489"/>
      <c r="P136" s="489"/>
      <c r="Q136" s="489"/>
      <c r="R136" s="489"/>
      <c r="S136" s="28"/>
      <c r="T136" s="490"/>
      <c r="U136" s="489"/>
    </row>
    <row r="137" ht="30.0" customHeight="1">
      <c r="A137" s="488"/>
      <c r="B137" s="489"/>
      <c r="C137" s="489"/>
      <c r="D137" s="488"/>
      <c r="E137" s="489"/>
      <c r="F137" s="489"/>
      <c r="G137" s="173"/>
      <c r="H137" s="488"/>
      <c r="I137" s="488"/>
      <c r="J137" s="488"/>
      <c r="K137" s="488"/>
      <c r="L137" s="488"/>
      <c r="M137" s="489"/>
      <c r="N137" s="488"/>
      <c r="O137" s="489"/>
      <c r="P137" s="489"/>
      <c r="Q137" s="489"/>
      <c r="R137" s="489"/>
      <c r="S137" s="28"/>
      <c r="T137" s="490"/>
      <c r="U137" s="489"/>
    </row>
    <row r="138" ht="30.0" customHeight="1">
      <c r="A138" s="488"/>
      <c r="B138" s="489"/>
      <c r="C138" s="489"/>
      <c r="D138" s="488"/>
      <c r="E138" s="489"/>
      <c r="F138" s="489"/>
      <c r="G138" s="173"/>
      <c r="H138" s="488"/>
      <c r="I138" s="488"/>
      <c r="J138" s="488"/>
      <c r="K138" s="488"/>
      <c r="L138" s="488"/>
      <c r="M138" s="489"/>
      <c r="N138" s="488"/>
      <c r="O138" s="489"/>
      <c r="P138" s="489"/>
      <c r="Q138" s="489"/>
      <c r="R138" s="489"/>
      <c r="S138" s="28"/>
      <c r="T138" s="490"/>
      <c r="U138" s="489"/>
    </row>
    <row r="139" ht="30.0" customHeight="1">
      <c r="A139" s="488"/>
      <c r="B139" s="489"/>
      <c r="C139" s="489"/>
      <c r="D139" s="488"/>
      <c r="E139" s="489"/>
      <c r="F139" s="489"/>
      <c r="G139" s="173"/>
      <c r="H139" s="488"/>
      <c r="I139" s="488"/>
      <c r="J139" s="488"/>
      <c r="K139" s="488"/>
      <c r="L139" s="488"/>
      <c r="M139" s="489"/>
      <c r="N139" s="488"/>
      <c r="O139" s="489"/>
      <c r="P139" s="489"/>
      <c r="Q139" s="489"/>
      <c r="R139" s="489"/>
      <c r="S139" s="28"/>
      <c r="T139" s="490"/>
      <c r="U139" s="489"/>
    </row>
    <row r="140" ht="30.0" customHeight="1">
      <c r="A140" s="488"/>
      <c r="B140" s="489"/>
      <c r="C140" s="489"/>
      <c r="D140" s="488"/>
      <c r="E140" s="489"/>
      <c r="F140" s="489"/>
      <c r="G140" s="173"/>
      <c r="H140" s="488"/>
      <c r="I140" s="488"/>
      <c r="J140" s="488"/>
      <c r="K140" s="488"/>
      <c r="L140" s="488"/>
      <c r="M140" s="489"/>
      <c r="N140" s="488"/>
      <c r="O140" s="489"/>
      <c r="P140" s="489"/>
      <c r="Q140" s="489"/>
      <c r="R140" s="489"/>
      <c r="S140" s="28"/>
      <c r="T140" s="490"/>
      <c r="U140" s="489"/>
    </row>
    <row r="141" ht="30.0" customHeight="1">
      <c r="A141" s="488"/>
      <c r="B141" s="489"/>
      <c r="C141" s="489"/>
      <c r="D141" s="488"/>
      <c r="E141" s="489"/>
      <c r="F141" s="489"/>
      <c r="G141" s="173"/>
      <c r="H141" s="488"/>
      <c r="I141" s="488"/>
      <c r="J141" s="488"/>
      <c r="K141" s="488"/>
      <c r="L141" s="488"/>
      <c r="M141" s="489"/>
      <c r="N141" s="488"/>
      <c r="O141" s="489"/>
      <c r="P141" s="489"/>
      <c r="Q141" s="489"/>
      <c r="R141" s="489"/>
      <c r="S141" s="28"/>
      <c r="T141" s="490"/>
      <c r="U141" s="489"/>
    </row>
    <row r="142" ht="30.0" customHeight="1">
      <c r="A142" s="488"/>
      <c r="B142" s="489"/>
      <c r="C142" s="489"/>
      <c r="D142" s="488"/>
      <c r="E142" s="489"/>
      <c r="F142" s="489"/>
      <c r="G142" s="173"/>
      <c r="H142" s="488"/>
      <c r="I142" s="488"/>
      <c r="J142" s="488"/>
      <c r="K142" s="488"/>
      <c r="L142" s="488"/>
      <c r="M142" s="489"/>
      <c r="N142" s="488"/>
      <c r="O142" s="489"/>
      <c r="P142" s="489"/>
      <c r="Q142" s="489"/>
      <c r="R142" s="489"/>
      <c r="S142" s="28"/>
      <c r="T142" s="490"/>
      <c r="U142" s="489"/>
    </row>
    <row r="143" ht="30.0" customHeight="1">
      <c r="A143" s="488"/>
      <c r="B143" s="489"/>
      <c r="C143" s="489"/>
      <c r="D143" s="488"/>
      <c r="E143" s="489"/>
      <c r="F143" s="489"/>
      <c r="G143" s="173"/>
      <c r="H143" s="488"/>
      <c r="I143" s="488"/>
      <c r="J143" s="488"/>
      <c r="K143" s="488"/>
      <c r="L143" s="488"/>
      <c r="M143" s="489"/>
      <c r="N143" s="488"/>
      <c r="O143" s="489"/>
      <c r="P143" s="489"/>
      <c r="Q143" s="489"/>
      <c r="R143" s="489"/>
      <c r="S143" s="28"/>
      <c r="T143" s="490"/>
      <c r="U143" s="489"/>
    </row>
    <row r="144" ht="30.0" customHeight="1">
      <c r="A144" s="488"/>
      <c r="B144" s="489"/>
      <c r="C144" s="489"/>
      <c r="D144" s="488"/>
      <c r="E144" s="489"/>
      <c r="F144" s="489"/>
      <c r="G144" s="173"/>
      <c r="H144" s="488"/>
      <c r="I144" s="488"/>
      <c r="J144" s="488"/>
      <c r="K144" s="488"/>
      <c r="L144" s="488"/>
      <c r="M144" s="489"/>
      <c r="N144" s="488"/>
      <c r="O144" s="489"/>
      <c r="P144" s="489"/>
      <c r="Q144" s="489"/>
      <c r="R144" s="489"/>
      <c r="S144" s="28"/>
      <c r="T144" s="490"/>
      <c r="U144" s="489"/>
    </row>
    <row r="145" ht="30.0" customHeight="1">
      <c r="A145" s="488"/>
      <c r="B145" s="489"/>
      <c r="C145" s="489"/>
      <c r="D145" s="488"/>
      <c r="E145" s="489"/>
      <c r="F145" s="489"/>
      <c r="G145" s="173"/>
      <c r="H145" s="488"/>
      <c r="I145" s="488"/>
      <c r="J145" s="488"/>
      <c r="K145" s="488"/>
      <c r="L145" s="488"/>
      <c r="M145" s="489"/>
      <c r="N145" s="488"/>
      <c r="O145" s="489"/>
      <c r="P145" s="489"/>
      <c r="Q145" s="489"/>
      <c r="R145" s="489"/>
      <c r="S145" s="28"/>
      <c r="T145" s="490"/>
      <c r="U145" s="489"/>
    </row>
    <row r="146" ht="30.0" customHeight="1">
      <c r="A146" s="488"/>
      <c r="B146" s="489"/>
      <c r="C146" s="489"/>
      <c r="D146" s="488"/>
      <c r="E146" s="489"/>
      <c r="F146" s="489"/>
      <c r="G146" s="173"/>
      <c r="H146" s="488"/>
      <c r="I146" s="488"/>
      <c r="J146" s="488"/>
      <c r="K146" s="488"/>
      <c r="L146" s="488"/>
      <c r="M146" s="489"/>
      <c r="N146" s="488"/>
      <c r="O146" s="489"/>
      <c r="P146" s="489"/>
      <c r="Q146" s="489"/>
      <c r="R146" s="489"/>
      <c r="S146" s="28"/>
      <c r="T146" s="490"/>
      <c r="U146" s="489"/>
    </row>
    <row r="147" ht="30.0" customHeight="1">
      <c r="A147" s="488"/>
      <c r="B147" s="489"/>
      <c r="C147" s="489"/>
      <c r="D147" s="488"/>
      <c r="E147" s="489"/>
      <c r="F147" s="489"/>
      <c r="G147" s="173"/>
      <c r="H147" s="488"/>
      <c r="I147" s="488"/>
      <c r="J147" s="488"/>
      <c r="K147" s="488"/>
      <c r="L147" s="488"/>
      <c r="M147" s="489"/>
      <c r="N147" s="488"/>
      <c r="O147" s="489"/>
      <c r="P147" s="489"/>
      <c r="Q147" s="489"/>
      <c r="R147" s="489"/>
      <c r="S147" s="28"/>
      <c r="T147" s="490"/>
      <c r="U147" s="489"/>
    </row>
    <row r="148" ht="30.0" customHeight="1">
      <c r="A148" s="488"/>
      <c r="B148" s="489"/>
      <c r="C148" s="489"/>
      <c r="D148" s="488"/>
      <c r="E148" s="489"/>
      <c r="F148" s="489"/>
      <c r="G148" s="173"/>
      <c r="H148" s="488"/>
      <c r="I148" s="488"/>
      <c r="J148" s="488"/>
      <c r="K148" s="488"/>
      <c r="L148" s="488"/>
      <c r="M148" s="489"/>
      <c r="N148" s="488"/>
      <c r="O148" s="489"/>
      <c r="P148" s="489"/>
      <c r="Q148" s="489"/>
      <c r="R148" s="489"/>
      <c r="S148" s="28"/>
      <c r="T148" s="490"/>
      <c r="U148" s="489"/>
    </row>
    <row r="149" ht="30.0" customHeight="1">
      <c r="A149" s="488"/>
      <c r="B149" s="489"/>
      <c r="C149" s="489"/>
      <c r="D149" s="488"/>
      <c r="E149" s="489"/>
      <c r="F149" s="489"/>
      <c r="G149" s="173"/>
      <c r="H149" s="488"/>
      <c r="I149" s="488"/>
      <c r="J149" s="488"/>
      <c r="K149" s="488"/>
      <c r="L149" s="488"/>
      <c r="M149" s="489"/>
      <c r="N149" s="488"/>
      <c r="O149" s="489"/>
      <c r="P149" s="489"/>
      <c r="Q149" s="489"/>
      <c r="R149" s="489"/>
      <c r="S149" s="28"/>
      <c r="T149" s="490"/>
      <c r="U149" s="489"/>
    </row>
    <row r="150" ht="30.0" customHeight="1">
      <c r="A150" s="488"/>
      <c r="B150" s="489"/>
      <c r="C150" s="489"/>
      <c r="D150" s="488"/>
      <c r="E150" s="489"/>
      <c r="F150" s="489"/>
      <c r="G150" s="173"/>
      <c r="H150" s="488"/>
      <c r="I150" s="488"/>
      <c r="J150" s="488"/>
      <c r="K150" s="488"/>
      <c r="L150" s="488"/>
      <c r="M150" s="489"/>
      <c r="N150" s="488"/>
      <c r="O150" s="489"/>
      <c r="P150" s="489"/>
      <c r="Q150" s="489"/>
      <c r="R150" s="489"/>
      <c r="S150" s="28"/>
      <c r="T150" s="490"/>
      <c r="U150" s="489"/>
    </row>
    <row r="151" ht="30.0" customHeight="1">
      <c r="A151" s="488"/>
      <c r="B151" s="489"/>
      <c r="C151" s="489"/>
      <c r="D151" s="488"/>
      <c r="E151" s="489"/>
      <c r="F151" s="489"/>
      <c r="G151" s="173"/>
      <c r="H151" s="488"/>
      <c r="I151" s="488"/>
      <c r="J151" s="488"/>
      <c r="K151" s="488"/>
      <c r="L151" s="488"/>
      <c r="M151" s="489"/>
      <c r="N151" s="488"/>
      <c r="O151" s="489"/>
      <c r="P151" s="489"/>
      <c r="Q151" s="489"/>
      <c r="R151" s="489"/>
      <c r="S151" s="28"/>
      <c r="T151" s="490"/>
      <c r="U151" s="489"/>
    </row>
    <row r="152" ht="30.0" customHeight="1">
      <c r="A152" s="488"/>
      <c r="B152" s="489"/>
      <c r="C152" s="489"/>
      <c r="D152" s="488"/>
      <c r="E152" s="489"/>
      <c r="F152" s="489"/>
      <c r="G152" s="173"/>
      <c r="H152" s="488"/>
      <c r="I152" s="488"/>
      <c r="J152" s="488"/>
      <c r="K152" s="488"/>
      <c r="L152" s="488"/>
      <c r="M152" s="489"/>
      <c r="N152" s="488"/>
      <c r="O152" s="489"/>
      <c r="P152" s="489"/>
      <c r="Q152" s="489"/>
      <c r="R152" s="489"/>
      <c r="S152" s="28"/>
      <c r="T152" s="490"/>
      <c r="U152" s="489"/>
    </row>
    <row r="153" ht="30.0" customHeight="1">
      <c r="A153" s="488"/>
      <c r="B153" s="489"/>
      <c r="C153" s="489"/>
      <c r="D153" s="488"/>
      <c r="E153" s="489"/>
      <c r="F153" s="489"/>
      <c r="G153" s="173"/>
      <c r="H153" s="488"/>
      <c r="I153" s="488"/>
      <c r="J153" s="488"/>
      <c r="K153" s="488"/>
      <c r="L153" s="488"/>
      <c r="M153" s="489"/>
      <c r="N153" s="488"/>
      <c r="O153" s="489"/>
      <c r="P153" s="489"/>
      <c r="Q153" s="489"/>
      <c r="R153" s="489"/>
      <c r="S153" s="28"/>
      <c r="T153" s="490"/>
      <c r="U153" s="489"/>
    </row>
    <row r="154" ht="30.0" customHeight="1">
      <c r="A154" s="488"/>
      <c r="B154" s="489"/>
      <c r="C154" s="489"/>
      <c r="D154" s="488"/>
      <c r="E154" s="489"/>
      <c r="F154" s="489"/>
      <c r="G154" s="173"/>
      <c r="H154" s="488"/>
      <c r="I154" s="488"/>
      <c r="J154" s="488"/>
      <c r="K154" s="488"/>
      <c r="L154" s="488"/>
      <c r="M154" s="489"/>
      <c r="N154" s="488"/>
      <c r="O154" s="489"/>
      <c r="P154" s="489"/>
      <c r="Q154" s="489"/>
      <c r="R154" s="489"/>
      <c r="S154" s="28"/>
      <c r="T154" s="490"/>
      <c r="U154" s="489"/>
    </row>
    <row r="155" ht="30.0" customHeight="1">
      <c r="A155" s="488"/>
      <c r="B155" s="489"/>
      <c r="C155" s="489"/>
      <c r="D155" s="488"/>
      <c r="E155" s="489"/>
      <c r="F155" s="489"/>
      <c r="G155" s="173"/>
      <c r="H155" s="488"/>
      <c r="I155" s="488"/>
      <c r="J155" s="488"/>
      <c r="K155" s="488"/>
      <c r="L155" s="488"/>
      <c r="M155" s="489"/>
      <c r="N155" s="488"/>
      <c r="O155" s="489"/>
      <c r="P155" s="489"/>
      <c r="Q155" s="489"/>
      <c r="R155" s="489"/>
      <c r="S155" s="28"/>
      <c r="T155" s="490"/>
      <c r="U155" s="489"/>
    </row>
    <row r="156" ht="30.0" customHeight="1">
      <c r="A156" s="488"/>
      <c r="B156" s="489"/>
      <c r="C156" s="489"/>
      <c r="D156" s="488"/>
      <c r="E156" s="489"/>
      <c r="F156" s="489"/>
      <c r="G156" s="173"/>
      <c r="H156" s="488"/>
      <c r="I156" s="488"/>
      <c r="J156" s="488"/>
      <c r="K156" s="488"/>
      <c r="L156" s="488"/>
      <c r="M156" s="489"/>
      <c r="N156" s="488"/>
      <c r="O156" s="489"/>
      <c r="P156" s="489"/>
      <c r="Q156" s="489"/>
      <c r="R156" s="489"/>
      <c r="S156" s="28"/>
      <c r="T156" s="490"/>
      <c r="U156" s="489"/>
    </row>
    <row r="157" ht="30.0" customHeight="1">
      <c r="A157" s="488"/>
      <c r="B157" s="489"/>
      <c r="C157" s="489"/>
      <c r="D157" s="488"/>
      <c r="E157" s="489"/>
      <c r="F157" s="489"/>
      <c r="G157" s="173"/>
      <c r="H157" s="488"/>
      <c r="I157" s="488"/>
      <c r="J157" s="488"/>
      <c r="K157" s="488"/>
      <c r="L157" s="488"/>
      <c r="M157" s="489"/>
      <c r="N157" s="488"/>
      <c r="O157" s="489"/>
      <c r="P157" s="489"/>
      <c r="Q157" s="489"/>
      <c r="R157" s="489"/>
      <c r="S157" s="28"/>
      <c r="T157" s="490"/>
      <c r="U157" s="489"/>
    </row>
    <row r="158" ht="30.0" customHeight="1">
      <c r="A158" s="488"/>
      <c r="B158" s="489"/>
      <c r="C158" s="489"/>
      <c r="D158" s="488"/>
      <c r="E158" s="489"/>
      <c r="F158" s="489"/>
      <c r="G158" s="173"/>
      <c r="H158" s="488"/>
      <c r="I158" s="488"/>
      <c r="J158" s="488"/>
      <c r="K158" s="488"/>
      <c r="L158" s="488"/>
      <c r="M158" s="489"/>
      <c r="N158" s="488"/>
      <c r="O158" s="489"/>
      <c r="P158" s="489"/>
      <c r="Q158" s="489"/>
      <c r="R158" s="489"/>
      <c r="S158" s="28"/>
      <c r="T158" s="490"/>
      <c r="U158" s="489"/>
    </row>
    <row r="159" ht="30.0" customHeight="1">
      <c r="A159" s="488"/>
      <c r="B159" s="489"/>
      <c r="C159" s="489"/>
      <c r="D159" s="488"/>
      <c r="E159" s="489"/>
      <c r="F159" s="489"/>
      <c r="G159" s="173"/>
      <c r="H159" s="488"/>
      <c r="I159" s="488"/>
      <c r="J159" s="488"/>
      <c r="K159" s="488"/>
      <c r="L159" s="488"/>
      <c r="M159" s="489"/>
      <c r="N159" s="488"/>
      <c r="O159" s="489"/>
      <c r="P159" s="489"/>
      <c r="Q159" s="489"/>
      <c r="R159" s="489"/>
      <c r="S159" s="28"/>
      <c r="T159" s="490"/>
      <c r="U159" s="489"/>
    </row>
    <row r="160" ht="30.0" customHeight="1">
      <c r="A160" s="488"/>
      <c r="B160" s="489"/>
      <c r="C160" s="489"/>
      <c r="D160" s="488"/>
      <c r="E160" s="489"/>
      <c r="F160" s="489"/>
      <c r="G160" s="173"/>
      <c r="H160" s="488"/>
      <c r="I160" s="488"/>
      <c r="J160" s="488"/>
      <c r="K160" s="488"/>
      <c r="L160" s="488"/>
      <c r="M160" s="489"/>
      <c r="N160" s="488"/>
      <c r="O160" s="489"/>
      <c r="P160" s="489"/>
      <c r="Q160" s="489"/>
      <c r="R160" s="489"/>
      <c r="S160" s="28"/>
      <c r="T160" s="490"/>
      <c r="U160" s="489"/>
    </row>
    <row r="161" ht="30.0" customHeight="1">
      <c r="A161" s="488"/>
      <c r="B161" s="489"/>
      <c r="C161" s="489"/>
      <c r="D161" s="488"/>
      <c r="E161" s="489"/>
      <c r="F161" s="489"/>
      <c r="G161" s="173"/>
      <c r="H161" s="488"/>
      <c r="I161" s="488"/>
      <c r="J161" s="488"/>
      <c r="K161" s="488"/>
      <c r="L161" s="488"/>
      <c r="M161" s="489"/>
      <c r="N161" s="488"/>
      <c r="O161" s="489"/>
      <c r="P161" s="489"/>
      <c r="Q161" s="489"/>
      <c r="R161" s="489"/>
      <c r="S161" s="28"/>
      <c r="T161" s="490"/>
      <c r="U161" s="489"/>
    </row>
    <row r="162" ht="30.0" customHeight="1">
      <c r="A162" s="488"/>
      <c r="B162" s="489"/>
      <c r="C162" s="489"/>
      <c r="D162" s="488"/>
      <c r="E162" s="489"/>
      <c r="F162" s="489"/>
      <c r="G162" s="173"/>
      <c r="H162" s="488"/>
      <c r="I162" s="488"/>
      <c r="J162" s="488"/>
      <c r="K162" s="488"/>
      <c r="L162" s="488"/>
      <c r="M162" s="489"/>
      <c r="N162" s="488"/>
      <c r="O162" s="489"/>
      <c r="P162" s="489"/>
      <c r="Q162" s="489"/>
      <c r="R162" s="489"/>
      <c r="S162" s="28"/>
      <c r="T162" s="490"/>
      <c r="U162" s="489"/>
    </row>
    <row r="163" ht="30.0" customHeight="1">
      <c r="A163" s="488"/>
      <c r="B163" s="489"/>
      <c r="C163" s="489"/>
      <c r="D163" s="488"/>
      <c r="E163" s="489"/>
      <c r="F163" s="489"/>
      <c r="G163" s="173"/>
      <c r="H163" s="488"/>
      <c r="I163" s="488"/>
      <c r="J163" s="488"/>
      <c r="K163" s="488"/>
      <c r="L163" s="488"/>
      <c r="M163" s="489"/>
      <c r="N163" s="488"/>
      <c r="O163" s="489"/>
      <c r="P163" s="489"/>
      <c r="Q163" s="489"/>
      <c r="R163" s="489"/>
      <c r="S163" s="28"/>
      <c r="T163" s="490"/>
      <c r="U163" s="489"/>
    </row>
    <row r="164" ht="30.0" customHeight="1">
      <c r="A164" s="488"/>
      <c r="B164" s="489"/>
      <c r="C164" s="489"/>
      <c r="D164" s="488"/>
      <c r="E164" s="489"/>
      <c r="F164" s="489"/>
      <c r="G164" s="173"/>
      <c r="H164" s="488"/>
      <c r="I164" s="488"/>
      <c r="J164" s="488"/>
      <c r="K164" s="488"/>
      <c r="L164" s="488"/>
      <c r="M164" s="489"/>
      <c r="N164" s="488"/>
      <c r="O164" s="489"/>
      <c r="P164" s="489"/>
      <c r="Q164" s="489"/>
      <c r="R164" s="489"/>
      <c r="S164" s="28"/>
      <c r="T164" s="490"/>
      <c r="U164" s="489"/>
    </row>
    <row r="165" ht="30.0" customHeight="1">
      <c r="A165" s="488"/>
      <c r="B165" s="489"/>
      <c r="C165" s="489"/>
      <c r="D165" s="488"/>
      <c r="E165" s="489"/>
      <c r="F165" s="489"/>
      <c r="G165" s="173"/>
      <c r="H165" s="488"/>
      <c r="I165" s="488"/>
      <c r="J165" s="488"/>
      <c r="K165" s="488"/>
      <c r="L165" s="488"/>
      <c r="M165" s="489"/>
      <c r="N165" s="488"/>
      <c r="O165" s="489"/>
      <c r="P165" s="489"/>
      <c r="Q165" s="489"/>
      <c r="R165" s="489"/>
      <c r="S165" s="28"/>
      <c r="T165" s="490"/>
      <c r="U165" s="489"/>
    </row>
    <row r="166" ht="30.0" customHeight="1">
      <c r="A166" s="488"/>
      <c r="B166" s="489"/>
      <c r="C166" s="489"/>
      <c r="D166" s="488"/>
      <c r="E166" s="489"/>
      <c r="F166" s="489"/>
      <c r="G166" s="173"/>
      <c r="H166" s="488"/>
      <c r="I166" s="488"/>
      <c r="J166" s="488"/>
      <c r="K166" s="488"/>
      <c r="L166" s="488"/>
      <c r="M166" s="489"/>
      <c r="N166" s="488"/>
      <c r="O166" s="489"/>
      <c r="P166" s="489"/>
      <c r="Q166" s="489"/>
      <c r="R166" s="489"/>
      <c r="S166" s="28"/>
      <c r="T166" s="490"/>
      <c r="U166" s="489"/>
    </row>
    <row r="167" ht="30.0" customHeight="1">
      <c r="A167" s="488"/>
      <c r="B167" s="489"/>
      <c r="C167" s="489"/>
      <c r="D167" s="488"/>
      <c r="E167" s="489"/>
      <c r="F167" s="489"/>
      <c r="G167" s="173"/>
      <c r="H167" s="488"/>
      <c r="I167" s="488"/>
      <c r="J167" s="488"/>
      <c r="K167" s="488"/>
      <c r="L167" s="488"/>
      <c r="M167" s="489"/>
      <c r="N167" s="488"/>
      <c r="O167" s="489"/>
      <c r="P167" s="489"/>
      <c r="Q167" s="489"/>
      <c r="R167" s="489"/>
      <c r="S167" s="28"/>
      <c r="T167" s="490"/>
      <c r="U167" s="489"/>
    </row>
    <row r="168" ht="30.0" customHeight="1">
      <c r="A168" s="488"/>
      <c r="B168" s="489"/>
      <c r="C168" s="489"/>
      <c r="D168" s="488"/>
      <c r="E168" s="489"/>
      <c r="F168" s="489"/>
      <c r="G168" s="173"/>
      <c r="H168" s="488"/>
      <c r="I168" s="488"/>
      <c r="J168" s="488"/>
      <c r="K168" s="488"/>
      <c r="L168" s="488"/>
      <c r="M168" s="489"/>
      <c r="N168" s="488"/>
      <c r="O168" s="489"/>
      <c r="P168" s="489"/>
      <c r="Q168" s="489"/>
      <c r="R168" s="489"/>
      <c r="S168" s="28"/>
      <c r="T168" s="490"/>
      <c r="U168" s="489"/>
    </row>
    <row r="169" ht="30.0" customHeight="1">
      <c r="A169" s="488"/>
      <c r="B169" s="489"/>
      <c r="C169" s="489"/>
      <c r="D169" s="488"/>
      <c r="E169" s="489"/>
      <c r="F169" s="489"/>
      <c r="G169" s="173"/>
      <c r="H169" s="488"/>
      <c r="I169" s="488"/>
      <c r="J169" s="488"/>
      <c r="K169" s="488"/>
      <c r="L169" s="488"/>
      <c r="M169" s="489"/>
      <c r="N169" s="488"/>
      <c r="O169" s="489"/>
      <c r="P169" s="489"/>
      <c r="Q169" s="489"/>
      <c r="R169" s="489"/>
      <c r="S169" s="28"/>
      <c r="T169" s="490"/>
      <c r="U169" s="489"/>
    </row>
    <row r="170" ht="30.0" customHeight="1">
      <c r="A170" s="488"/>
      <c r="B170" s="489"/>
      <c r="C170" s="489"/>
      <c r="D170" s="488"/>
      <c r="E170" s="489"/>
      <c r="F170" s="489"/>
      <c r="G170" s="173"/>
      <c r="H170" s="488"/>
      <c r="I170" s="488"/>
      <c r="J170" s="488"/>
      <c r="K170" s="488"/>
      <c r="L170" s="488"/>
      <c r="M170" s="489"/>
      <c r="N170" s="488"/>
      <c r="O170" s="489"/>
      <c r="P170" s="489"/>
      <c r="Q170" s="489"/>
      <c r="R170" s="489"/>
      <c r="S170" s="28"/>
      <c r="T170" s="490"/>
      <c r="U170" s="489"/>
    </row>
    <row r="171" ht="30.0" customHeight="1">
      <c r="A171" s="488"/>
      <c r="B171" s="489"/>
      <c r="C171" s="489"/>
      <c r="D171" s="488"/>
      <c r="E171" s="489"/>
      <c r="F171" s="489"/>
      <c r="G171" s="173"/>
      <c r="H171" s="488"/>
      <c r="I171" s="488"/>
      <c r="J171" s="488"/>
      <c r="K171" s="488"/>
      <c r="L171" s="488"/>
      <c r="M171" s="489"/>
      <c r="N171" s="488"/>
      <c r="O171" s="489"/>
      <c r="P171" s="489"/>
      <c r="Q171" s="489"/>
      <c r="R171" s="489"/>
      <c r="S171" s="28"/>
      <c r="T171" s="490"/>
      <c r="U171" s="489"/>
    </row>
    <row r="172" ht="30.0" customHeight="1">
      <c r="A172" s="488"/>
      <c r="B172" s="489"/>
      <c r="C172" s="489"/>
      <c r="D172" s="488"/>
      <c r="E172" s="489"/>
      <c r="F172" s="489"/>
      <c r="G172" s="173"/>
      <c r="H172" s="488"/>
      <c r="I172" s="488"/>
      <c r="J172" s="488"/>
      <c r="K172" s="488"/>
      <c r="L172" s="488"/>
      <c r="M172" s="489"/>
      <c r="N172" s="488"/>
      <c r="O172" s="489"/>
      <c r="P172" s="489"/>
      <c r="Q172" s="489"/>
      <c r="R172" s="489"/>
      <c r="S172" s="28"/>
      <c r="T172" s="490"/>
      <c r="U172" s="489"/>
    </row>
    <row r="173" ht="30.0" customHeight="1">
      <c r="A173" s="488"/>
      <c r="B173" s="489"/>
      <c r="C173" s="489"/>
      <c r="D173" s="488"/>
      <c r="E173" s="489"/>
      <c r="F173" s="489"/>
      <c r="G173" s="173"/>
      <c r="H173" s="488"/>
      <c r="I173" s="488"/>
      <c r="J173" s="488"/>
      <c r="K173" s="488"/>
      <c r="L173" s="488"/>
      <c r="M173" s="489"/>
      <c r="N173" s="488"/>
      <c r="O173" s="489"/>
      <c r="P173" s="489"/>
      <c r="Q173" s="489"/>
      <c r="R173" s="489"/>
      <c r="S173" s="28"/>
      <c r="T173" s="490"/>
      <c r="U173" s="489"/>
    </row>
    <row r="174" ht="30.0" customHeight="1">
      <c r="A174" s="488"/>
      <c r="B174" s="489"/>
      <c r="C174" s="489"/>
      <c r="D174" s="488"/>
      <c r="E174" s="489"/>
      <c r="F174" s="489"/>
      <c r="G174" s="173"/>
      <c r="H174" s="488"/>
      <c r="I174" s="488"/>
      <c r="J174" s="488"/>
      <c r="K174" s="488"/>
      <c r="L174" s="488"/>
      <c r="M174" s="489"/>
      <c r="N174" s="488"/>
      <c r="O174" s="489"/>
      <c r="P174" s="489"/>
      <c r="Q174" s="489"/>
      <c r="R174" s="489"/>
      <c r="S174" s="28"/>
      <c r="T174" s="490"/>
      <c r="U174" s="489"/>
    </row>
    <row r="175" ht="30.0" customHeight="1">
      <c r="A175" s="488"/>
      <c r="B175" s="489"/>
      <c r="C175" s="489"/>
      <c r="D175" s="488"/>
      <c r="E175" s="489"/>
      <c r="F175" s="489"/>
      <c r="G175" s="173"/>
      <c r="H175" s="488"/>
      <c r="I175" s="488"/>
      <c r="J175" s="488"/>
      <c r="K175" s="488"/>
      <c r="L175" s="488"/>
      <c r="M175" s="489"/>
      <c r="N175" s="488"/>
      <c r="O175" s="489"/>
      <c r="P175" s="489"/>
      <c r="Q175" s="489"/>
      <c r="R175" s="489"/>
      <c r="S175" s="28"/>
      <c r="T175" s="490"/>
      <c r="U175" s="489"/>
    </row>
    <row r="176" ht="30.0" customHeight="1">
      <c r="A176" s="488"/>
      <c r="B176" s="489"/>
      <c r="C176" s="489"/>
      <c r="D176" s="488"/>
      <c r="E176" s="489"/>
      <c r="F176" s="489"/>
      <c r="G176" s="173"/>
      <c r="H176" s="488"/>
      <c r="I176" s="488"/>
      <c r="J176" s="488"/>
      <c r="K176" s="488"/>
      <c r="L176" s="488"/>
      <c r="M176" s="489"/>
      <c r="N176" s="488"/>
      <c r="O176" s="489"/>
      <c r="P176" s="489"/>
      <c r="Q176" s="489"/>
      <c r="R176" s="489"/>
      <c r="S176" s="28"/>
      <c r="T176" s="490"/>
      <c r="U176" s="489"/>
    </row>
    <row r="177" ht="30.0" customHeight="1">
      <c r="A177" s="488"/>
      <c r="B177" s="489"/>
      <c r="C177" s="489"/>
      <c r="D177" s="488"/>
      <c r="E177" s="489"/>
      <c r="F177" s="489"/>
      <c r="G177" s="173"/>
      <c r="H177" s="488"/>
      <c r="I177" s="488"/>
      <c r="J177" s="488"/>
      <c r="K177" s="488"/>
      <c r="L177" s="488"/>
      <c r="M177" s="489"/>
      <c r="N177" s="488"/>
      <c r="O177" s="489"/>
      <c r="P177" s="489"/>
      <c r="Q177" s="489"/>
      <c r="R177" s="489"/>
      <c r="S177" s="28"/>
      <c r="T177" s="490"/>
      <c r="U177" s="489"/>
    </row>
    <row r="178" ht="30.0" customHeight="1">
      <c r="A178" s="488"/>
      <c r="B178" s="489"/>
      <c r="C178" s="489"/>
      <c r="D178" s="488"/>
      <c r="E178" s="489"/>
      <c r="F178" s="489"/>
      <c r="G178" s="173"/>
      <c r="H178" s="488"/>
      <c r="I178" s="488"/>
      <c r="J178" s="488"/>
      <c r="K178" s="488"/>
      <c r="L178" s="488"/>
      <c r="M178" s="489"/>
      <c r="N178" s="488"/>
      <c r="O178" s="489"/>
      <c r="P178" s="489"/>
      <c r="Q178" s="489"/>
      <c r="R178" s="489"/>
      <c r="S178" s="28"/>
      <c r="T178" s="490"/>
      <c r="U178" s="489"/>
    </row>
    <row r="179" ht="30.0" customHeight="1">
      <c r="A179" s="488"/>
      <c r="B179" s="489"/>
      <c r="C179" s="489"/>
      <c r="D179" s="488"/>
      <c r="E179" s="489"/>
      <c r="F179" s="489"/>
      <c r="G179" s="173"/>
      <c r="H179" s="488"/>
      <c r="I179" s="488"/>
      <c r="J179" s="488"/>
      <c r="K179" s="488"/>
      <c r="L179" s="488"/>
      <c r="M179" s="489"/>
      <c r="N179" s="488"/>
      <c r="O179" s="489"/>
      <c r="P179" s="489"/>
      <c r="Q179" s="489"/>
      <c r="R179" s="489"/>
      <c r="S179" s="28"/>
      <c r="T179" s="490"/>
      <c r="U179" s="489"/>
    </row>
    <row r="180" ht="30.0" customHeight="1">
      <c r="A180" s="488"/>
      <c r="B180" s="489"/>
      <c r="C180" s="489"/>
      <c r="D180" s="488"/>
      <c r="E180" s="489"/>
      <c r="F180" s="489"/>
      <c r="G180" s="173"/>
      <c r="H180" s="488"/>
      <c r="I180" s="488"/>
      <c r="J180" s="488"/>
      <c r="K180" s="488"/>
      <c r="L180" s="488"/>
      <c r="M180" s="489"/>
      <c r="N180" s="488"/>
      <c r="O180" s="489"/>
      <c r="P180" s="489"/>
      <c r="Q180" s="489"/>
      <c r="R180" s="489"/>
      <c r="S180" s="28"/>
      <c r="T180" s="490"/>
      <c r="U180" s="489"/>
    </row>
    <row r="181" ht="30.0" customHeight="1">
      <c r="A181" s="488"/>
      <c r="B181" s="489"/>
      <c r="C181" s="489"/>
      <c r="D181" s="488"/>
      <c r="E181" s="489"/>
      <c r="F181" s="489"/>
      <c r="G181" s="173"/>
      <c r="H181" s="488"/>
      <c r="I181" s="488"/>
      <c r="J181" s="488"/>
      <c r="K181" s="488"/>
      <c r="L181" s="488"/>
      <c r="M181" s="489"/>
      <c r="N181" s="488"/>
      <c r="O181" s="489"/>
      <c r="P181" s="489"/>
      <c r="Q181" s="489"/>
      <c r="R181" s="489"/>
      <c r="S181" s="28"/>
      <c r="T181" s="490"/>
      <c r="U181" s="489"/>
    </row>
    <row r="182" ht="30.0" customHeight="1">
      <c r="A182" s="488"/>
      <c r="B182" s="489"/>
      <c r="C182" s="489"/>
      <c r="D182" s="488"/>
      <c r="E182" s="489"/>
      <c r="F182" s="489"/>
      <c r="G182" s="173"/>
      <c r="H182" s="488"/>
      <c r="I182" s="488"/>
      <c r="J182" s="488"/>
      <c r="K182" s="488"/>
      <c r="L182" s="488"/>
      <c r="M182" s="489"/>
      <c r="N182" s="488"/>
      <c r="O182" s="489"/>
      <c r="P182" s="489"/>
      <c r="Q182" s="489"/>
      <c r="R182" s="489"/>
      <c r="S182" s="28"/>
      <c r="T182" s="490"/>
      <c r="U182" s="489"/>
    </row>
    <row r="183" ht="30.0" customHeight="1">
      <c r="A183" s="488"/>
      <c r="B183" s="489"/>
      <c r="C183" s="489"/>
      <c r="D183" s="488"/>
      <c r="E183" s="489"/>
      <c r="F183" s="489"/>
      <c r="G183" s="173"/>
      <c r="H183" s="488"/>
      <c r="I183" s="488"/>
      <c r="J183" s="488"/>
      <c r="K183" s="488"/>
      <c r="L183" s="488"/>
      <c r="M183" s="489"/>
      <c r="N183" s="488"/>
      <c r="O183" s="489"/>
      <c r="P183" s="489"/>
      <c r="Q183" s="489"/>
      <c r="R183" s="489"/>
      <c r="S183" s="28"/>
      <c r="T183" s="490"/>
      <c r="U183" s="489"/>
    </row>
    <row r="184" ht="30.0" customHeight="1">
      <c r="A184" s="488"/>
      <c r="B184" s="489"/>
      <c r="C184" s="489"/>
      <c r="D184" s="488"/>
      <c r="E184" s="489"/>
      <c r="F184" s="489"/>
      <c r="G184" s="173"/>
      <c r="H184" s="488"/>
      <c r="I184" s="488"/>
      <c r="J184" s="488"/>
      <c r="K184" s="488"/>
      <c r="L184" s="488"/>
      <c r="M184" s="489"/>
      <c r="N184" s="488"/>
      <c r="O184" s="489"/>
      <c r="P184" s="489"/>
      <c r="Q184" s="489"/>
      <c r="R184" s="489"/>
      <c r="S184" s="28"/>
      <c r="T184" s="490"/>
      <c r="U184" s="489"/>
    </row>
    <row r="185" ht="30.0" customHeight="1">
      <c r="A185" s="488"/>
      <c r="B185" s="489"/>
      <c r="C185" s="489"/>
      <c r="D185" s="488"/>
      <c r="E185" s="489"/>
      <c r="F185" s="489"/>
      <c r="G185" s="173"/>
      <c r="H185" s="488"/>
      <c r="I185" s="488"/>
      <c r="J185" s="488"/>
      <c r="K185" s="488"/>
      <c r="L185" s="488"/>
      <c r="M185" s="489"/>
      <c r="N185" s="488"/>
      <c r="O185" s="489"/>
      <c r="P185" s="489"/>
      <c r="Q185" s="489"/>
      <c r="R185" s="489"/>
      <c r="S185" s="28"/>
      <c r="T185" s="490"/>
      <c r="U185" s="489"/>
    </row>
    <row r="186" ht="30.0" customHeight="1">
      <c r="A186" s="488"/>
      <c r="B186" s="489"/>
      <c r="C186" s="489"/>
      <c r="D186" s="488"/>
      <c r="E186" s="489"/>
      <c r="F186" s="489"/>
      <c r="G186" s="173"/>
      <c r="H186" s="488"/>
      <c r="I186" s="488"/>
      <c r="J186" s="488"/>
      <c r="K186" s="488"/>
      <c r="L186" s="488"/>
      <c r="M186" s="489"/>
      <c r="N186" s="488"/>
      <c r="O186" s="489"/>
      <c r="P186" s="489"/>
      <c r="Q186" s="489"/>
      <c r="R186" s="489"/>
      <c r="S186" s="28"/>
      <c r="T186" s="490"/>
      <c r="U186" s="489"/>
    </row>
    <row r="187" ht="30.0" customHeight="1">
      <c r="A187" s="488"/>
      <c r="B187" s="489"/>
      <c r="C187" s="489"/>
      <c r="D187" s="488"/>
      <c r="E187" s="489"/>
      <c r="F187" s="489"/>
      <c r="G187" s="173"/>
      <c r="H187" s="488"/>
      <c r="I187" s="488"/>
      <c r="J187" s="488"/>
      <c r="K187" s="488"/>
      <c r="L187" s="488"/>
      <c r="M187" s="489"/>
      <c r="N187" s="488"/>
      <c r="O187" s="489"/>
      <c r="P187" s="489"/>
      <c r="Q187" s="489"/>
      <c r="R187" s="489"/>
      <c r="S187" s="28"/>
      <c r="T187" s="490"/>
      <c r="U187" s="489"/>
    </row>
    <row r="188" ht="30.0" customHeight="1">
      <c r="A188" s="488"/>
      <c r="B188" s="489"/>
      <c r="C188" s="489"/>
      <c r="D188" s="488"/>
      <c r="E188" s="489"/>
      <c r="F188" s="489"/>
      <c r="G188" s="173"/>
      <c r="H188" s="488"/>
      <c r="I188" s="488"/>
      <c r="J188" s="488"/>
      <c r="K188" s="488"/>
      <c r="L188" s="488"/>
      <c r="M188" s="489"/>
      <c r="N188" s="488"/>
      <c r="O188" s="489"/>
      <c r="P188" s="489"/>
      <c r="Q188" s="489"/>
      <c r="R188" s="489"/>
      <c r="S188" s="28"/>
      <c r="T188" s="490"/>
      <c r="U188" s="489"/>
    </row>
    <row r="189" ht="30.0" customHeight="1">
      <c r="A189" s="488"/>
      <c r="B189" s="489"/>
      <c r="C189" s="489"/>
      <c r="D189" s="488"/>
      <c r="E189" s="489"/>
      <c r="F189" s="489"/>
      <c r="G189" s="173"/>
      <c r="H189" s="488"/>
      <c r="I189" s="488"/>
      <c r="J189" s="488"/>
      <c r="K189" s="488"/>
      <c r="L189" s="488"/>
      <c r="M189" s="489"/>
      <c r="N189" s="488"/>
      <c r="O189" s="489"/>
      <c r="P189" s="489"/>
      <c r="Q189" s="489"/>
      <c r="R189" s="489"/>
      <c r="S189" s="28"/>
      <c r="T189" s="490"/>
      <c r="U189" s="489"/>
    </row>
    <row r="190" ht="30.0" customHeight="1">
      <c r="A190" s="488"/>
      <c r="B190" s="489"/>
      <c r="C190" s="489"/>
      <c r="D190" s="488"/>
      <c r="E190" s="489"/>
      <c r="F190" s="489"/>
      <c r="G190" s="173"/>
      <c r="H190" s="488"/>
      <c r="I190" s="488"/>
      <c r="J190" s="488"/>
      <c r="K190" s="488"/>
      <c r="L190" s="488"/>
      <c r="M190" s="489"/>
      <c r="N190" s="488"/>
      <c r="O190" s="489"/>
      <c r="P190" s="489"/>
      <c r="Q190" s="489"/>
      <c r="R190" s="489"/>
      <c r="S190" s="28"/>
      <c r="T190" s="490"/>
      <c r="U190" s="489"/>
    </row>
    <row r="191" ht="30.0" customHeight="1">
      <c r="A191" s="488"/>
      <c r="B191" s="489"/>
      <c r="C191" s="489"/>
      <c r="D191" s="488"/>
      <c r="E191" s="489"/>
      <c r="F191" s="489"/>
      <c r="G191" s="173"/>
      <c r="H191" s="488"/>
      <c r="I191" s="488"/>
      <c r="J191" s="488"/>
      <c r="K191" s="488"/>
      <c r="L191" s="488"/>
      <c r="M191" s="489"/>
      <c r="N191" s="488"/>
      <c r="O191" s="489"/>
      <c r="P191" s="489"/>
      <c r="Q191" s="489"/>
      <c r="R191" s="489"/>
      <c r="S191" s="28"/>
      <c r="T191" s="490"/>
      <c r="U191" s="489"/>
    </row>
    <row r="192" ht="30.0" customHeight="1">
      <c r="A192" s="488"/>
      <c r="B192" s="489"/>
      <c r="C192" s="489"/>
      <c r="D192" s="488"/>
      <c r="E192" s="489"/>
      <c r="F192" s="489"/>
      <c r="G192" s="173"/>
      <c r="H192" s="488"/>
      <c r="I192" s="488"/>
      <c r="J192" s="488"/>
      <c r="K192" s="488"/>
      <c r="L192" s="488"/>
      <c r="M192" s="489"/>
      <c r="N192" s="488"/>
      <c r="O192" s="489"/>
      <c r="P192" s="489"/>
      <c r="Q192" s="489"/>
      <c r="R192" s="489"/>
      <c r="S192" s="28"/>
      <c r="T192" s="490"/>
      <c r="U192" s="489"/>
    </row>
    <row r="193" ht="30.0" customHeight="1">
      <c r="A193" s="488"/>
      <c r="B193" s="489"/>
      <c r="C193" s="489"/>
      <c r="D193" s="488"/>
      <c r="E193" s="489"/>
      <c r="F193" s="489"/>
      <c r="G193" s="173"/>
      <c r="H193" s="488"/>
      <c r="I193" s="488"/>
      <c r="J193" s="488"/>
      <c r="K193" s="488"/>
      <c r="L193" s="488"/>
      <c r="M193" s="489"/>
      <c r="N193" s="488"/>
      <c r="O193" s="489"/>
      <c r="P193" s="489"/>
      <c r="Q193" s="489"/>
      <c r="R193" s="489"/>
      <c r="S193" s="28"/>
      <c r="T193" s="490"/>
      <c r="U193" s="489"/>
    </row>
    <row r="194" ht="30.0" customHeight="1">
      <c r="A194" s="488"/>
      <c r="B194" s="489"/>
      <c r="C194" s="489"/>
      <c r="D194" s="488"/>
      <c r="E194" s="489"/>
      <c r="F194" s="489"/>
      <c r="G194" s="173"/>
      <c r="H194" s="488"/>
      <c r="I194" s="488"/>
      <c r="J194" s="488"/>
      <c r="K194" s="488"/>
      <c r="L194" s="488"/>
      <c r="M194" s="489"/>
      <c r="N194" s="488"/>
      <c r="O194" s="489"/>
      <c r="P194" s="489"/>
      <c r="Q194" s="489"/>
      <c r="R194" s="489"/>
      <c r="S194" s="28"/>
      <c r="T194" s="490"/>
      <c r="U194" s="489"/>
    </row>
    <row r="195" ht="30.0" customHeight="1">
      <c r="A195" s="488"/>
      <c r="B195" s="489"/>
      <c r="C195" s="489"/>
      <c r="D195" s="488"/>
      <c r="E195" s="489"/>
      <c r="F195" s="489"/>
      <c r="G195" s="173"/>
      <c r="H195" s="488"/>
      <c r="I195" s="488"/>
      <c r="J195" s="488"/>
      <c r="K195" s="488"/>
      <c r="L195" s="488"/>
      <c r="M195" s="489"/>
      <c r="N195" s="488"/>
      <c r="O195" s="489"/>
      <c r="P195" s="489"/>
      <c r="Q195" s="489"/>
      <c r="R195" s="489"/>
      <c r="S195" s="28"/>
      <c r="T195" s="490"/>
      <c r="U195" s="489"/>
    </row>
    <row r="196" ht="30.0" customHeight="1">
      <c r="A196" s="488"/>
      <c r="B196" s="489"/>
      <c r="C196" s="489"/>
      <c r="D196" s="488"/>
      <c r="E196" s="489"/>
      <c r="F196" s="489"/>
      <c r="G196" s="173"/>
      <c r="H196" s="488"/>
      <c r="I196" s="488"/>
      <c r="J196" s="488"/>
      <c r="K196" s="488"/>
      <c r="L196" s="488"/>
      <c r="M196" s="489"/>
      <c r="N196" s="488"/>
      <c r="O196" s="489"/>
      <c r="P196" s="489"/>
      <c r="Q196" s="489"/>
      <c r="R196" s="489"/>
      <c r="S196" s="28"/>
      <c r="T196" s="490"/>
      <c r="U196" s="489"/>
    </row>
    <row r="197" ht="30.0" customHeight="1">
      <c r="A197" s="488"/>
      <c r="B197" s="489"/>
      <c r="C197" s="489"/>
      <c r="D197" s="488"/>
      <c r="E197" s="489"/>
      <c r="F197" s="489"/>
      <c r="G197" s="173"/>
      <c r="H197" s="488"/>
      <c r="I197" s="488"/>
      <c r="J197" s="488"/>
      <c r="K197" s="488"/>
      <c r="L197" s="488"/>
      <c r="M197" s="489"/>
      <c r="N197" s="488"/>
      <c r="O197" s="489"/>
      <c r="P197" s="489"/>
      <c r="Q197" s="489"/>
      <c r="R197" s="489"/>
      <c r="S197" s="28"/>
      <c r="T197" s="490"/>
      <c r="U197" s="489"/>
    </row>
    <row r="198" ht="30.0" customHeight="1">
      <c r="A198" s="488"/>
      <c r="B198" s="489"/>
      <c r="C198" s="489"/>
      <c r="D198" s="488"/>
      <c r="E198" s="489"/>
      <c r="F198" s="489"/>
      <c r="G198" s="173"/>
      <c r="H198" s="488"/>
      <c r="I198" s="488"/>
      <c r="J198" s="488"/>
      <c r="K198" s="488"/>
      <c r="L198" s="488"/>
      <c r="M198" s="489"/>
      <c r="N198" s="488"/>
      <c r="O198" s="489"/>
      <c r="P198" s="489"/>
      <c r="Q198" s="489"/>
      <c r="R198" s="489"/>
      <c r="S198" s="28"/>
      <c r="T198" s="490"/>
      <c r="U198" s="489"/>
    </row>
    <row r="199" ht="30.0" customHeight="1">
      <c r="A199" s="488"/>
      <c r="B199" s="489"/>
      <c r="C199" s="489"/>
      <c r="D199" s="488"/>
      <c r="E199" s="489"/>
      <c r="F199" s="489"/>
      <c r="G199" s="173"/>
      <c r="H199" s="488"/>
      <c r="I199" s="488"/>
      <c r="J199" s="488"/>
      <c r="K199" s="488"/>
      <c r="L199" s="488"/>
      <c r="M199" s="489"/>
      <c r="N199" s="488"/>
      <c r="O199" s="489"/>
      <c r="P199" s="489"/>
      <c r="Q199" s="489"/>
      <c r="R199" s="489"/>
      <c r="S199" s="28"/>
      <c r="T199" s="490"/>
      <c r="U199" s="489"/>
    </row>
    <row r="200" ht="30.0" customHeight="1">
      <c r="A200" s="488"/>
      <c r="B200" s="489"/>
      <c r="C200" s="489"/>
      <c r="D200" s="488"/>
      <c r="E200" s="489"/>
      <c r="F200" s="489"/>
      <c r="G200" s="173"/>
      <c r="H200" s="488"/>
      <c r="I200" s="488"/>
      <c r="J200" s="488"/>
      <c r="K200" s="488"/>
      <c r="L200" s="488"/>
      <c r="M200" s="489"/>
      <c r="N200" s="488"/>
      <c r="O200" s="489"/>
      <c r="P200" s="489"/>
      <c r="Q200" s="489"/>
      <c r="R200" s="489"/>
      <c r="S200" s="28"/>
      <c r="T200" s="490"/>
      <c r="U200" s="489"/>
    </row>
    <row r="201" ht="30.0" customHeight="1">
      <c r="A201" s="488"/>
      <c r="B201" s="489"/>
      <c r="C201" s="489"/>
      <c r="D201" s="488"/>
      <c r="E201" s="489"/>
      <c r="F201" s="489"/>
      <c r="G201" s="173"/>
      <c r="H201" s="488"/>
      <c r="I201" s="488"/>
      <c r="J201" s="488"/>
      <c r="K201" s="488"/>
      <c r="L201" s="488"/>
      <c r="M201" s="489"/>
      <c r="N201" s="488"/>
      <c r="O201" s="489"/>
      <c r="P201" s="489"/>
      <c r="Q201" s="489"/>
      <c r="R201" s="489"/>
      <c r="S201" s="28"/>
      <c r="T201" s="490"/>
      <c r="U201" s="489"/>
    </row>
    <row r="202" ht="30.0" customHeight="1">
      <c r="A202" s="488"/>
      <c r="B202" s="489"/>
      <c r="C202" s="489"/>
      <c r="D202" s="488"/>
      <c r="E202" s="489"/>
      <c r="F202" s="489"/>
      <c r="G202" s="173"/>
      <c r="H202" s="488"/>
      <c r="I202" s="488"/>
      <c r="J202" s="488"/>
      <c r="K202" s="488"/>
      <c r="L202" s="488"/>
      <c r="M202" s="489"/>
      <c r="N202" s="488"/>
      <c r="O202" s="489"/>
      <c r="P202" s="489"/>
      <c r="Q202" s="489"/>
      <c r="R202" s="489"/>
      <c r="S202" s="28"/>
      <c r="T202" s="490"/>
      <c r="U202" s="489"/>
    </row>
    <row r="203" ht="30.0" customHeight="1">
      <c r="A203" s="488"/>
      <c r="B203" s="489"/>
      <c r="C203" s="489"/>
      <c r="D203" s="488"/>
      <c r="E203" s="489"/>
      <c r="F203" s="489"/>
      <c r="G203" s="173"/>
      <c r="H203" s="488"/>
      <c r="I203" s="488"/>
      <c r="J203" s="488"/>
      <c r="K203" s="488"/>
      <c r="L203" s="488"/>
      <c r="M203" s="489"/>
      <c r="N203" s="488"/>
      <c r="O203" s="489"/>
      <c r="P203" s="489"/>
      <c r="Q203" s="489"/>
      <c r="R203" s="489"/>
      <c r="S203" s="28"/>
      <c r="T203" s="490"/>
      <c r="U203" s="489"/>
    </row>
    <row r="204" ht="30.0" customHeight="1">
      <c r="A204" s="488"/>
      <c r="B204" s="489"/>
      <c r="C204" s="489"/>
      <c r="D204" s="488"/>
      <c r="E204" s="489"/>
      <c r="F204" s="489"/>
      <c r="G204" s="173"/>
      <c r="H204" s="488"/>
      <c r="I204" s="488"/>
      <c r="J204" s="488"/>
      <c r="K204" s="488"/>
      <c r="L204" s="488"/>
      <c r="M204" s="489"/>
      <c r="N204" s="488"/>
      <c r="O204" s="489"/>
      <c r="P204" s="489"/>
      <c r="Q204" s="489"/>
      <c r="R204" s="489"/>
      <c r="S204" s="28"/>
      <c r="T204" s="490"/>
      <c r="U204" s="489"/>
    </row>
    <row r="205" ht="30.0" customHeight="1">
      <c r="A205" s="488"/>
      <c r="B205" s="489"/>
      <c r="C205" s="489"/>
      <c r="D205" s="488"/>
      <c r="E205" s="489"/>
      <c r="F205" s="489"/>
      <c r="G205" s="173"/>
      <c r="H205" s="488"/>
      <c r="I205" s="488"/>
      <c r="J205" s="488"/>
      <c r="K205" s="488"/>
      <c r="L205" s="488"/>
      <c r="M205" s="489"/>
      <c r="N205" s="488"/>
      <c r="O205" s="489"/>
      <c r="P205" s="489"/>
      <c r="Q205" s="489"/>
      <c r="R205" s="489"/>
      <c r="S205" s="28"/>
      <c r="T205" s="490"/>
      <c r="U205" s="489"/>
    </row>
    <row r="206" ht="30.0" customHeight="1">
      <c r="A206" s="488"/>
      <c r="B206" s="489"/>
      <c r="C206" s="489"/>
      <c r="D206" s="488"/>
      <c r="E206" s="489"/>
      <c r="F206" s="489"/>
      <c r="G206" s="173"/>
      <c r="H206" s="488"/>
      <c r="I206" s="488"/>
      <c r="J206" s="488"/>
      <c r="K206" s="488"/>
      <c r="L206" s="488"/>
      <c r="M206" s="489"/>
      <c r="N206" s="488"/>
      <c r="O206" s="489"/>
      <c r="P206" s="489"/>
      <c r="Q206" s="489"/>
      <c r="R206" s="489"/>
      <c r="S206" s="28"/>
      <c r="T206" s="490"/>
      <c r="U206" s="489"/>
    </row>
    <row r="207" ht="30.0" customHeight="1">
      <c r="A207" s="488"/>
      <c r="B207" s="489"/>
      <c r="C207" s="489"/>
      <c r="D207" s="488"/>
      <c r="E207" s="489"/>
      <c r="F207" s="489"/>
      <c r="G207" s="173"/>
      <c r="H207" s="488"/>
      <c r="I207" s="488"/>
      <c r="J207" s="488"/>
      <c r="K207" s="488"/>
      <c r="L207" s="488"/>
      <c r="M207" s="489"/>
      <c r="N207" s="488"/>
      <c r="O207" s="489"/>
      <c r="P207" s="489"/>
      <c r="Q207" s="489"/>
      <c r="R207" s="489"/>
      <c r="S207" s="28"/>
      <c r="T207" s="490"/>
      <c r="U207" s="489"/>
    </row>
    <row r="208" ht="30.0" customHeight="1">
      <c r="A208" s="488"/>
      <c r="B208" s="489"/>
      <c r="C208" s="489"/>
      <c r="D208" s="488"/>
      <c r="E208" s="489"/>
      <c r="F208" s="489"/>
      <c r="G208" s="173"/>
      <c r="H208" s="488"/>
      <c r="I208" s="488"/>
      <c r="J208" s="488"/>
      <c r="K208" s="488"/>
      <c r="L208" s="488"/>
      <c r="M208" s="489"/>
      <c r="N208" s="488"/>
      <c r="O208" s="489"/>
      <c r="P208" s="489"/>
      <c r="Q208" s="489"/>
      <c r="R208" s="489"/>
      <c r="S208" s="28"/>
      <c r="T208" s="490"/>
      <c r="U208" s="489"/>
    </row>
    <row r="209" ht="30.0" customHeight="1">
      <c r="A209" s="488"/>
      <c r="B209" s="489"/>
      <c r="C209" s="489"/>
      <c r="D209" s="488"/>
      <c r="E209" s="489"/>
      <c r="F209" s="489"/>
      <c r="G209" s="173"/>
      <c r="H209" s="488"/>
      <c r="I209" s="488"/>
      <c r="J209" s="488"/>
      <c r="K209" s="488"/>
      <c r="L209" s="488"/>
      <c r="M209" s="489"/>
      <c r="N209" s="488"/>
      <c r="O209" s="489"/>
      <c r="P209" s="489"/>
      <c r="Q209" s="489"/>
      <c r="R209" s="489"/>
      <c r="S209" s="28"/>
      <c r="T209" s="490"/>
      <c r="U209" s="489"/>
    </row>
    <row r="210" ht="30.0" customHeight="1">
      <c r="A210" s="488"/>
      <c r="B210" s="489"/>
      <c r="C210" s="489"/>
      <c r="D210" s="488"/>
      <c r="E210" s="489"/>
      <c r="F210" s="489"/>
      <c r="G210" s="173"/>
      <c r="H210" s="488"/>
      <c r="I210" s="488"/>
      <c r="J210" s="488"/>
      <c r="K210" s="488"/>
      <c r="L210" s="488"/>
      <c r="M210" s="489"/>
      <c r="N210" s="488"/>
      <c r="O210" s="489"/>
      <c r="P210" s="489"/>
      <c r="Q210" s="489"/>
      <c r="R210" s="489"/>
      <c r="S210" s="28"/>
      <c r="T210" s="490"/>
      <c r="U210" s="489"/>
    </row>
    <row r="211" ht="30.0" customHeight="1">
      <c r="A211" s="488"/>
      <c r="B211" s="489"/>
      <c r="C211" s="489"/>
      <c r="D211" s="488"/>
      <c r="E211" s="489"/>
      <c r="F211" s="489"/>
      <c r="G211" s="173"/>
      <c r="H211" s="488"/>
      <c r="I211" s="488"/>
      <c r="J211" s="488"/>
      <c r="K211" s="488"/>
      <c r="L211" s="488"/>
      <c r="M211" s="489"/>
      <c r="N211" s="488"/>
      <c r="O211" s="489"/>
      <c r="P211" s="489"/>
      <c r="Q211" s="489"/>
      <c r="R211" s="489"/>
      <c r="S211" s="28"/>
      <c r="T211" s="490"/>
      <c r="U211" s="489"/>
    </row>
    <row r="212" ht="30.0" customHeight="1">
      <c r="A212" s="488"/>
      <c r="B212" s="489"/>
      <c r="C212" s="489"/>
      <c r="D212" s="488"/>
      <c r="E212" s="489"/>
      <c r="F212" s="489"/>
      <c r="G212" s="173"/>
      <c r="H212" s="488"/>
      <c r="I212" s="488"/>
      <c r="J212" s="488"/>
      <c r="K212" s="488"/>
      <c r="L212" s="488"/>
      <c r="M212" s="489"/>
      <c r="N212" s="488"/>
      <c r="O212" s="489"/>
      <c r="P212" s="489"/>
      <c r="Q212" s="489"/>
      <c r="R212" s="489"/>
      <c r="S212" s="28"/>
      <c r="T212" s="490"/>
      <c r="U212" s="489"/>
    </row>
    <row r="213" ht="30.0" customHeight="1">
      <c r="A213" s="488"/>
      <c r="B213" s="489"/>
      <c r="C213" s="489"/>
      <c r="D213" s="488"/>
      <c r="E213" s="489"/>
      <c r="F213" s="489"/>
      <c r="G213" s="173"/>
      <c r="H213" s="488"/>
      <c r="I213" s="488"/>
      <c r="J213" s="488"/>
      <c r="K213" s="488"/>
      <c r="L213" s="488"/>
      <c r="M213" s="489"/>
      <c r="N213" s="488"/>
      <c r="O213" s="489"/>
      <c r="P213" s="489"/>
      <c r="Q213" s="489"/>
      <c r="R213" s="489"/>
      <c r="S213" s="28"/>
      <c r="T213" s="490"/>
      <c r="U213" s="489"/>
    </row>
    <row r="214" ht="30.0" customHeight="1">
      <c r="A214" s="488"/>
      <c r="B214" s="489"/>
      <c r="C214" s="489"/>
      <c r="D214" s="488"/>
      <c r="E214" s="489"/>
      <c r="F214" s="489"/>
      <c r="G214" s="173"/>
      <c r="H214" s="488"/>
      <c r="I214" s="488"/>
      <c r="J214" s="488"/>
      <c r="K214" s="488"/>
      <c r="L214" s="488"/>
      <c r="M214" s="489"/>
      <c r="N214" s="488"/>
      <c r="O214" s="489"/>
      <c r="P214" s="489"/>
      <c r="Q214" s="489"/>
      <c r="R214" s="489"/>
      <c r="S214" s="28"/>
      <c r="T214" s="490"/>
      <c r="U214" s="489"/>
    </row>
    <row r="215" ht="30.0" customHeight="1">
      <c r="A215" s="488"/>
      <c r="B215" s="489"/>
      <c r="C215" s="489"/>
      <c r="D215" s="488"/>
      <c r="E215" s="489"/>
      <c r="F215" s="489"/>
      <c r="G215" s="173"/>
      <c r="H215" s="488"/>
      <c r="I215" s="488"/>
      <c r="J215" s="488"/>
      <c r="K215" s="488"/>
      <c r="L215" s="488"/>
      <c r="M215" s="489"/>
      <c r="N215" s="488"/>
      <c r="O215" s="489"/>
      <c r="P215" s="489"/>
      <c r="Q215" s="489"/>
      <c r="R215" s="489"/>
      <c r="S215" s="28"/>
      <c r="T215" s="490"/>
      <c r="U215" s="489"/>
    </row>
    <row r="216" ht="30.0" customHeight="1">
      <c r="A216" s="488"/>
      <c r="B216" s="489"/>
      <c r="C216" s="489"/>
      <c r="D216" s="488"/>
      <c r="E216" s="489"/>
      <c r="F216" s="489"/>
      <c r="G216" s="173"/>
      <c r="H216" s="488"/>
      <c r="I216" s="488"/>
      <c r="J216" s="488"/>
      <c r="K216" s="488"/>
      <c r="L216" s="488"/>
      <c r="M216" s="489"/>
      <c r="N216" s="488"/>
      <c r="O216" s="489"/>
      <c r="P216" s="489"/>
      <c r="Q216" s="489"/>
      <c r="R216" s="489"/>
      <c r="S216" s="28"/>
      <c r="T216" s="490"/>
      <c r="U216" s="489"/>
    </row>
    <row r="217" ht="30.0" customHeight="1">
      <c r="A217" s="488"/>
      <c r="B217" s="489"/>
      <c r="C217" s="489"/>
      <c r="D217" s="488"/>
      <c r="E217" s="489"/>
      <c r="F217" s="489"/>
      <c r="G217" s="173"/>
      <c r="H217" s="488"/>
      <c r="I217" s="488"/>
      <c r="J217" s="488"/>
      <c r="K217" s="488"/>
      <c r="L217" s="488"/>
      <c r="M217" s="489"/>
      <c r="N217" s="488"/>
      <c r="O217" s="489"/>
      <c r="P217" s="489"/>
      <c r="Q217" s="489"/>
      <c r="R217" s="489"/>
      <c r="S217" s="28"/>
      <c r="T217" s="490"/>
      <c r="U217" s="489"/>
    </row>
    <row r="218" ht="30.0" customHeight="1">
      <c r="A218" s="488"/>
      <c r="B218" s="489"/>
      <c r="C218" s="489"/>
      <c r="D218" s="488"/>
      <c r="E218" s="489"/>
      <c r="F218" s="489"/>
      <c r="G218" s="173"/>
      <c r="H218" s="488"/>
      <c r="I218" s="488"/>
      <c r="J218" s="488"/>
      <c r="K218" s="488"/>
      <c r="L218" s="488"/>
      <c r="M218" s="489"/>
      <c r="N218" s="488"/>
      <c r="O218" s="489"/>
      <c r="P218" s="489"/>
      <c r="Q218" s="489"/>
      <c r="R218" s="489"/>
      <c r="S218" s="28"/>
      <c r="T218" s="490"/>
      <c r="U218" s="489"/>
    </row>
    <row r="219" ht="30.0" customHeight="1">
      <c r="A219" s="488"/>
      <c r="B219" s="489"/>
      <c r="C219" s="489"/>
      <c r="D219" s="488"/>
      <c r="E219" s="489"/>
      <c r="F219" s="489"/>
      <c r="G219" s="173"/>
      <c r="H219" s="488"/>
      <c r="I219" s="488"/>
      <c r="J219" s="488"/>
      <c r="K219" s="488"/>
      <c r="L219" s="488"/>
      <c r="M219" s="489"/>
      <c r="N219" s="488"/>
      <c r="O219" s="489"/>
      <c r="P219" s="489"/>
      <c r="Q219" s="489"/>
      <c r="R219" s="489"/>
      <c r="S219" s="28"/>
      <c r="T219" s="490"/>
      <c r="U219" s="489"/>
    </row>
    <row r="220" ht="30.0" customHeight="1">
      <c r="A220" s="488"/>
      <c r="B220" s="489"/>
      <c r="C220" s="489"/>
      <c r="D220" s="488"/>
      <c r="E220" s="489"/>
      <c r="F220" s="489"/>
      <c r="G220" s="173"/>
      <c r="H220" s="488"/>
      <c r="I220" s="488"/>
      <c r="J220" s="488"/>
      <c r="K220" s="488"/>
      <c r="L220" s="488"/>
      <c r="M220" s="489"/>
      <c r="N220" s="488"/>
      <c r="O220" s="489"/>
      <c r="P220" s="489"/>
      <c r="Q220" s="489"/>
      <c r="R220" s="489"/>
      <c r="S220" s="28"/>
      <c r="T220" s="490"/>
      <c r="U220" s="489"/>
    </row>
    <row r="221" ht="30.0" customHeight="1">
      <c r="A221" s="488"/>
      <c r="B221" s="489"/>
      <c r="C221" s="489"/>
      <c r="D221" s="488"/>
      <c r="E221" s="489"/>
      <c r="F221" s="489"/>
      <c r="G221" s="173"/>
      <c r="H221" s="488"/>
      <c r="I221" s="488"/>
      <c r="J221" s="488"/>
      <c r="K221" s="488"/>
      <c r="L221" s="488"/>
      <c r="M221" s="489"/>
      <c r="N221" s="488"/>
      <c r="O221" s="489"/>
      <c r="P221" s="489"/>
      <c r="Q221" s="489"/>
      <c r="R221" s="489"/>
      <c r="S221" s="28"/>
      <c r="T221" s="490"/>
      <c r="U221" s="489"/>
    </row>
    <row r="222" ht="30.0" customHeight="1">
      <c r="A222" s="488"/>
      <c r="B222" s="489"/>
      <c r="C222" s="489"/>
      <c r="D222" s="488"/>
      <c r="E222" s="489"/>
      <c r="F222" s="489"/>
      <c r="G222" s="173"/>
      <c r="H222" s="488"/>
      <c r="I222" s="488"/>
      <c r="J222" s="488"/>
      <c r="K222" s="488"/>
      <c r="L222" s="488"/>
      <c r="M222" s="489"/>
      <c r="N222" s="488"/>
      <c r="O222" s="489"/>
      <c r="P222" s="489"/>
      <c r="Q222" s="489"/>
      <c r="R222" s="489"/>
      <c r="S222" s="28"/>
      <c r="T222" s="490"/>
      <c r="U222" s="489"/>
    </row>
    <row r="223" ht="30.0" customHeight="1">
      <c r="A223" s="488"/>
      <c r="B223" s="489"/>
      <c r="C223" s="489"/>
      <c r="D223" s="488"/>
      <c r="E223" s="489"/>
      <c r="F223" s="489"/>
      <c r="G223" s="173"/>
      <c r="H223" s="488"/>
      <c r="I223" s="488"/>
      <c r="J223" s="488"/>
      <c r="K223" s="488"/>
      <c r="L223" s="488"/>
      <c r="M223" s="489"/>
      <c r="N223" s="488"/>
      <c r="O223" s="489"/>
      <c r="P223" s="489"/>
      <c r="Q223" s="489"/>
      <c r="R223" s="489"/>
      <c r="S223" s="28"/>
      <c r="T223" s="490"/>
      <c r="U223" s="489"/>
    </row>
    <row r="224" ht="30.0" customHeight="1">
      <c r="A224" s="488"/>
      <c r="B224" s="489"/>
      <c r="C224" s="489"/>
      <c r="D224" s="488"/>
      <c r="E224" s="489"/>
      <c r="F224" s="489"/>
      <c r="G224" s="173"/>
      <c r="H224" s="488"/>
      <c r="I224" s="488"/>
      <c r="J224" s="488"/>
      <c r="K224" s="488"/>
      <c r="L224" s="488"/>
      <c r="M224" s="489"/>
      <c r="N224" s="488"/>
      <c r="O224" s="489"/>
      <c r="P224" s="489"/>
      <c r="Q224" s="489"/>
      <c r="R224" s="489"/>
      <c r="S224" s="28"/>
      <c r="T224" s="490"/>
      <c r="U224" s="489"/>
    </row>
    <row r="225" ht="30.0" customHeight="1">
      <c r="A225" s="488"/>
      <c r="B225" s="489"/>
      <c r="C225" s="489"/>
      <c r="D225" s="488"/>
      <c r="E225" s="489"/>
      <c r="F225" s="489"/>
      <c r="G225" s="173"/>
      <c r="H225" s="488"/>
      <c r="I225" s="488"/>
      <c r="J225" s="488"/>
      <c r="K225" s="488"/>
      <c r="L225" s="488"/>
      <c r="M225" s="489"/>
      <c r="N225" s="488"/>
      <c r="O225" s="489"/>
      <c r="P225" s="489"/>
      <c r="Q225" s="489"/>
      <c r="R225" s="489"/>
      <c r="S225" s="28"/>
      <c r="T225" s="490"/>
      <c r="U225" s="489"/>
    </row>
    <row r="226" ht="30.0" customHeight="1">
      <c r="A226" s="488"/>
      <c r="B226" s="489"/>
      <c r="C226" s="489"/>
      <c r="D226" s="488"/>
      <c r="E226" s="489"/>
      <c r="F226" s="489"/>
      <c r="G226" s="173"/>
      <c r="H226" s="488"/>
      <c r="I226" s="488"/>
      <c r="J226" s="488"/>
      <c r="K226" s="488"/>
      <c r="L226" s="488"/>
      <c r="M226" s="489"/>
      <c r="N226" s="488"/>
      <c r="O226" s="489"/>
      <c r="P226" s="489"/>
      <c r="Q226" s="489"/>
      <c r="R226" s="489"/>
      <c r="S226" s="28"/>
      <c r="T226" s="490"/>
      <c r="U226" s="489"/>
    </row>
    <row r="227" ht="30.0" customHeight="1">
      <c r="A227" s="488"/>
      <c r="B227" s="489"/>
      <c r="C227" s="489"/>
      <c r="D227" s="488"/>
      <c r="E227" s="489"/>
      <c r="F227" s="489"/>
      <c r="G227" s="173"/>
      <c r="H227" s="488"/>
      <c r="I227" s="488"/>
      <c r="J227" s="488"/>
      <c r="K227" s="488"/>
      <c r="L227" s="488"/>
      <c r="M227" s="489"/>
      <c r="N227" s="488"/>
      <c r="O227" s="489"/>
      <c r="P227" s="489"/>
      <c r="Q227" s="489"/>
      <c r="R227" s="489"/>
      <c r="S227" s="28"/>
      <c r="T227" s="490"/>
      <c r="U227" s="489"/>
    </row>
    <row r="228" ht="30.0" customHeight="1">
      <c r="A228" s="488"/>
      <c r="B228" s="489"/>
      <c r="C228" s="489"/>
      <c r="D228" s="488"/>
      <c r="E228" s="489"/>
      <c r="F228" s="489"/>
      <c r="G228" s="173"/>
      <c r="H228" s="488"/>
      <c r="I228" s="488"/>
      <c r="J228" s="488"/>
      <c r="K228" s="488"/>
      <c r="L228" s="488"/>
      <c r="M228" s="489"/>
      <c r="N228" s="488"/>
      <c r="O228" s="489"/>
      <c r="P228" s="489"/>
      <c r="Q228" s="489"/>
      <c r="R228" s="489"/>
      <c r="S228" s="28"/>
      <c r="T228" s="490"/>
      <c r="U228" s="489"/>
    </row>
    <row r="229" ht="30.0" customHeight="1">
      <c r="A229" s="488"/>
      <c r="B229" s="489"/>
      <c r="C229" s="489"/>
      <c r="D229" s="488"/>
      <c r="E229" s="489"/>
      <c r="F229" s="489"/>
      <c r="G229" s="173"/>
      <c r="H229" s="488"/>
      <c r="I229" s="488"/>
      <c r="J229" s="488"/>
      <c r="K229" s="488"/>
      <c r="L229" s="488"/>
      <c r="M229" s="489"/>
      <c r="N229" s="488"/>
      <c r="O229" s="489"/>
      <c r="P229" s="489"/>
      <c r="Q229" s="489"/>
      <c r="R229" s="489"/>
      <c r="S229" s="28"/>
      <c r="T229" s="490"/>
      <c r="U229" s="489"/>
    </row>
    <row r="230" ht="30.0" customHeight="1">
      <c r="A230" s="488"/>
      <c r="B230" s="489"/>
      <c r="C230" s="489"/>
      <c r="D230" s="488"/>
      <c r="E230" s="489"/>
      <c r="F230" s="489"/>
      <c r="G230" s="173"/>
      <c r="H230" s="488"/>
      <c r="I230" s="488"/>
      <c r="J230" s="488"/>
      <c r="K230" s="488"/>
      <c r="L230" s="488"/>
      <c r="M230" s="489"/>
      <c r="N230" s="488"/>
      <c r="O230" s="489"/>
      <c r="P230" s="489"/>
      <c r="Q230" s="489"/>
      <c r="R230" s="489"/>
      <c r="S230" s="28"/>
      <c r="T230" s="490"/>
      <c r="U230" s="489"/>
    </row>
    <row r="231" ht="30.0" customHeight="1">
      <c r="A231" s="488"/>
      <c r="B231" s="489"/>
      <c r="C231" s="489"/>
      <c r="D231" s="488"/>
      <c r="E231" s="489"/>
      <c r="F231" s="489"/>
      <c r="G231" s="173"/>
      <c r="H231" s="488"/>
      <c r="I231" s="488"/>
      <c r="J231" s="488"/>
      <c r="K231" s="488"/>
      <c r="L231" s="488"/>
      <c r="M231" s="489"/>
      <c r="N231" s="488"/>
      <c r="O231" s="489"/>
      <c r="P231" s="489"/>
      <c r="Q231" s="489"/>
      <c r="R231" s="489"/>
      <c r="S231" s="28"/>
      <c r="T231" s="490"/>
      <c r="U231" s="489"/>
    </row>
    <row r="232" ht="30.0" customHeight="1">
      <c r="A232" s="488"/>
      <c r="B232" s="489"/>
      <c r="C232" s="489"/>
      <c r="D232" s="488"/>
      <c r="E232" s="489"/>
      <c r="F232" s="489"/>
      <c r="G232" s="173"/>
      <c r="H232" s="488"/>
      <c r="I232" s="488"/>
      <c r="J232" s="488"/>
      <c r="K232" s="488"/>
      <c r="L232" s="488"/>
      <c r="M232" s="489"/>
      <c r="N232" s="488"/>
      <c r="O232" s="489"/>
      <c r="P232" s="489"/>
      <c r="Q232" s="489"/>
      <c r="R232" s="489"/>
      <c r="S232" s="28"/>
      <c r="T232" s="490"/>
      <c r="U232" s="489"/>
    </row>
    <row r="233" ht="30.0" customHeight="1">
      <c r="A233" s="488"/>
      <c r="B233" s="489"/>
      <c r="C233" s="489"/>
      <c r="D233" s="488"/>
      <c r="E233" s="489"/>
      <c r="F233" s="489"/>
      <c r="G233" s="173"/>
      <c r="H233" s="488"/>
      <c r="I233" s="488"/>
      <c r="J233" s="488"/>
      <c r="K233" s="488"/>
      <c r="L233" s="488"/>
      <c r="M233" s="489"/>
      <c r="N233" s="488"/>
      <c r="O233" s="489"/>
      <c r="P233" s="489"/>
      <c r="Q233" s="489"/>
      <c r="R233" s="489"/>
      <c r="S233" s="28"/>
      <c r="T233" s="490"/>
      <c r="U233" s="489"/>
    </row>
    <row r="234" ht="30.0" customHeight="1">
      <c r="A234" s="488"/>
      <c r="B234" s="489"/>
      <c r="C234" s="489"/>
      <c r="D234" s="488"/>
      <c r="E234" s="489"/>
      <c r="F234" s="489"/>
      <c r="G234" s="173"/>
      <c r="H234" s="488"/>
      <c r="I234" s="488"/>
      <c r="J234" s="488"/>
      <c r="K234" s="488"/>
      <c r="L234" s="488"/>
      <c r="M234" s="489"/>
      <c r="N234" s="488"/>
      <c r="O234" s="489"/>
      <c r="P234" s="489"/>
      <c r="Q234" s="489"/>
      <c r="R234" s="489"/>
      <c r="S234" s="28"/>
      <c r="T234" s="490"/>
      <c r="U234" s="489"/>
    </row>
    <row r="235" ht="30.0" customHeight="1">
      <c r="A235" s="488"/>
      <c r="B235" s="489"/>
      <c r="C235" s="489"/>
      <c r="D235" s="488"/>
      <c r="E235" s="489"/>
      <c r="F235" s="489"/>
      <c r="G235" s="173"/>
      <c r="H235" s="488"/>
      <c r="I235" s="488"/>
      <c r="J235" s="488"/>
      <c r="K235" s="488"/>
      <c r="L235" s="488"/>
      <c r="M235" s="489"/>
      <c r="N235" s="488"/>
      <c r="O235" s="489"/>
      <c r="P235" s="489"/>
      <c r="Q235" s="489"/>
      <c r="R235" s="489"/>
      <c r="S235" s="28"/>
      <c r="T235" s="490"/>
      <c r="U235" s="489"/>
    </row>
    <row r="236" ht="30.0" customHeight="1">
      <c r="A236" s="488"/>
      <c r="B236" s="489"/>
      <c r="C236" s="489"/>
      <c r="D236" s="488"/>
      <c r="E236" s="489"/>
      <c r="F236" s="489"/>
      <c r="G236" s="173"/>
      <c r="H236" s="488"/>
      <c r="I236" s="488"/>
      <c r="J236" s="488"/>
      <c r="K236" s="488"/>
      <c r="L236" s="488"/>
      <c r="M236" s="489"/>
      <c r="N236" s="488"/>
      <c r="O236" s="489"/>
      <c r="P236" s="489"/>
      <c r="Q236" s="489"/>
      <c r="R236" s="489"/>
      <c r="S236" s="28"/>
      <c r="T236" s="490"/>
      <c r="U236" s="489"/>
    </row>
    <row r="237" ht="30.0" customHeight="1">
      <c r="A237" s="488"/>
      <c r="B237" s="489"/>
      <c r="C237" s="489"/>
      <c r="D237" s="488"/>
      <c r="E237" s="489"/>
      <c r="F237" s="489"/>
      <c r="G237" s="173"/>
      <c r="H237" s="488"/>
      <c r="I237" s="488"/>
      <c r="J237" s="488"/>
      <c r="K237" s="488"/>
      <c r="L237" s="488"/>
      <c r="M237" s="489"/>
      <c r="N237" s="488"/>
      <c r="O237" s="489"/>
      <c r="P237" s="489"/>
      <c r="Q237" s="489"/>
      <c r="R237" s="489"/>
      <c r="S237" s="28"/>
      <c r="T237" s="490"/>
      <c r="U237" s="489"/>
    </row>
    <row r="238" ht="30.0" customHeight="1">
      <c r="A238" s="488"/>
      <c r="B238" s="489"/>
      <c r="C238" s="489"/>
      <c r="D238" s="488"/>
      <c r="E238" s="489"/>
      <c r="F238" s="489"/>
      <c r="G238" s="173"/>
      <c r="H238" s="488"/>
      <c r="I238" s="488"/>
      <c r="J238" s="488"/>
      <c r="K238" s="488"/>
      <c r="L238" s="488"/>
      <c r="M238" s="489"/>
      <c r="N238" s="488"/>
      <c r="O238" s="489"/>
      <c r="P238" s="489"/>
      <c r="Q238" s="489"/>
      <c r="R238" s="489"/>
      <c r="S238" s="28"/>
      <c r="T238" s="490"/>
      <c r="U238" s="489"/>
    </row>
    <row r="239" ht="30.0" customHeight="1">
      <c r="A239" s="488"/>
      <c r="B239" s="489"/>
      <c r="C239" s="489"/>
      <c r="D239" s="488"/>
      <c r="E239" s="489"/>
      <c r="F239" s="489"/>
      <c r="G239" s="173"/>
      <c r="H239" s="488"/>
      <c r="I239" s="488"/>
      <c r="J239" s="488"/>
      <c r="K239" s="488"/>
      <c r="L239" s="488"/>
      <c r="M239" s="489"/>
      <c r="N239" s="488"/>
      <c r="O239" s="489"/>
      <c r="P239" s="489"/>
      <c r="Q239" s="489"/>
      <c r="R239" s="489"/>
      <c r="S239" s="28"/>
      <c r="T239" s="490"/>
      <c r="U239" s="489"/>
    </row>
    <row r="240" ht="30.0" customHeight="1">
      <c r="A240" s="488"/>
      <c r="B240" s="489"/>
      <c r="C240" s="489"/>
      <c r="D240" s="488"/>
      <c r="E240" s="489"/>
      <c r="F240" s="489"/>
      <c r="G240" s="173"/>
      <c r="H240" s="488"/>
      <c r="I240" s="488"/>
      <c r="J240" s="488"/>
      <c r="K240" s="488"/>
      <c r="L240" s="488"/>
      <c r="M240" s="489"/>
      <c r="N240" s="488"/>
      <c r="O240" s="489"/>
      <c r="P240" s="489"/>
      <c r="Q240" s="489"/>
      <c r="R240" s="489"/>
      <c r="S240" s="28"/>
      <c r="T240" s="490"/>
      <c r="U240" s="489"/>
    </row>
    <row r="241" ht="30.0" customHeight="1">
      <c r="A241" s="488"/>
      <c r="B241" s="489"/>
      <c r="C241" s="489"/>
      <c r="D241" s="488"/>
      <c r="E241" s="489"/>
      <c r="F241" s="489"/>
      <c r="G241" s="173"/>
      <c r="H241" s="488"/>
      <c r="I241" s="488"/>
      <c r="J241" s="488"/>
      <c r="K241" s="488"/>
      <c r="L241" s="488"/>
      <c r="M241" s="489"/>
      <c r="N241" s="488"/>
      <c r="O241" s="489"/>
      <c r="P241" s="489"/>
      <c r="Q241" s="489"/>
      <c r="R241" s="489"/>
      <c r="S241" s="28"/>
      <c r="T241" s="490"/>
      <c r="U241" s="489"/>
    </row>
    <row r="242" ht="30.0" customHeight="1">
      <c r="A242" s="488"/>
      <c r="B242" s="489"/>
      <c r="C242" s="489"/>
      <c r="D242" s="488"/>
      <c r="E242" s="489"/>
      <c r="F242" s="489"/>
      <c r="G242" s="173"/>
      <c r="H242" s="488"/>
      <c r="I242" s="488"/>
      <c r="J242" s="488"/>
      <c r="K242" s="488"/>
      <c r="L242" s="488"/>
      <c r="M242" s="489"/>
      <c r="N242" s="488"/>
      <c r="O242" s="489"/>
      <c r="P242" s="489"/>
      <c r="Q242" s="489"/>
      <c r="R242" s="489"/>
      <c r="S242" s="28"/>
      <c r="T242" s="490"/>
      <c r="U242" s="489"/>
    </row>
    <row r="243" ht="30.0" customHeight="1">
      <c r="A243" s="488"/>
      <c r="B243" s="489"/>
      <c r="C243" s="489"/>
      <c r="D243" s="488"/>
      <c r="E243" s="489"/>
      <c r="F243" s="489"/>
      <c r="G243" s="173"/>
      <c r="H243" s="488"/>
      <c r="I243" s="488"/>
      <c r="J243" s="488"/>
      <c r="K243" s="488"/>
      <c r="L243" s="488"/>
      <c r="M243" s="489"/>
      <c r="N243" s="488"/>
      <c r="O243" s="489"/>
      <c r="P243" s="489"/>
      <c r="Q243" s="489"/>
      <c r="R243" s="489"/>
      <c r="S243" s="28"/>
      <c r="T243" s="490"/>
      <c r="U243" s="489"/>
    </row>
    <row r="244" ht="30.0" customHeight="1">
      <c r="A244" s="488"/>
      <c r="B244" s="489"/>
      <c r="C244" s="489"/>
      <c r="D244" s="488"/>
      <c r="E244" s="489"/>
      <c r="F244" s="489"/>
      <c r="G244" s="173"/>
      <c r="H244" s="488"/>
      <c r="I244" s="488"/>
      <c r="J244" s="488"/>
      <c r="K244" s="488"/>
      <c r="L244" s="488"/>
      <c r="M244" s="489"/>
      <c r="N244" s="488"/>
      <c r="O244" s="489"/>
      <c r="P244" s="489"/>
      <c r="Q244" s="489"/>
      <c r="R244" s="489"/>
      <c r="S244" s="28"/>
      <c r="T244" s="490"/>
      <c r="U244" s="489"/>
    </row>
    <row r="245" ht="30.0" customHeight="1">
      <c r="A245" s="488"/>
      <c r="B245" s="489"/>
      <c r="C245" s="489"/>
      <c r="D245" s="488"/>
      <c r="E245" s="489"/>
      <c r="F245" s="489"/>
      <c r="G245" s="173"/>
      <c r="H245" s="488"/>
      <c r="I245" s="488"/>
      <c r="J245" s="488"/>
      <c r="K245" s="488"/>
      <c r="L245" s="488"/>
      <c r="M245" s="489"/>
      <c r="N245" s="488"/>
      <c r="O245" s="489"/>
      <c r="P245" s="489"/>
      <c r="Q245" s="489"/>
      <c r="R245" s="489"/>
      <c r="S245" s="28"/>
      <c r="T245" s="490"/>
      <c r="U245" s="489"/>
    </row>
    <row r="246" ht="30.0" customHeight="1">
      <c r="A246" s="488"/>
      <c r="B246" s="489"/>
      <c r="C246" s="489"/>
      <c r="D246" s="488"/>
      <c r="E246" s="489"/>
      <c r="F246" s="489"/>
      <c r="G246" s="173"/>
      <c r="H246" s="488"/>
      <c r="I246" s="488"/>
      <c r="J246" s="488"/>
      <c r="K246" s="488"/>
      <c r="L246" s="488"/>
      <c r="M246" s="489"/>
      <c r="N246" s="488"/>
      <c r="O246" s="489"/>
      <c r="P246" s="489"/>
      <c r="Q246" s="489"/>
      <c r="R246" s="489"/>
      <c r="S246" s="28"/>
      <c r="T246" s="490"/>
      <c r="U246" s="489"/>
    </row>
    <row r="247" ht="30.0" customHeight="1">
      <c r="A247" s="488"/>
      <c r="B247" s="489"/>
      <c r="C247" s="489"/>
      <c r="D247" s="488"/>
      <c r="E247" s="489"/>
      <c r="F247" s="489"/>
      <c r="G247" s="173"/>
      <c r="H247" s="488"/>
      <c r="I247" s="488"/>
      <c r="J247" s="488"/>
      <c r="K247" s="488"/>
      <c r="L247" s="488"/>
      <c r="M247" s="489"/>
      <c r="N247" s="488"/>
      <c r="O247" s="489"/>
      <c r="P247" s="489"/>
      <c r="Q247" s="489"/>
      <c r="R247" s="489"/>
      <c r="S247" s="28"/>
      <c r="T247" s="490"/>
      <c r="U247" s="489"/>
    </row>
    <row r="248" ht="30.0" customHeight="1">
      <c r="A248" s="488"/>
      <c r="B248" s="489"/>
      <c r="C248" s="489"/>
      <c r="D248" s="488"/>
      <c r="E248" s="489"/>
      <c r="F248" s="489"/>
      <c r="G248" s="173"/>
      <c r="H248" s="488"/>
      <c r="I248" s="488"/>
      <c r="J248" s="488"/>
      <c r="K248" s="488"/>
      <c r="L248" s="488"/>
      <c r="M248" s="489"/>
      <c r="N248" s="488"/>
      <c r="O248" s="489"/>
      <c r="P248" s="489"/>
      <c r="Q248" s="489"/>
      <c r="R248" s="489"/>
      <c r="S248" s="28"/>
      <c r="T248" s="490"/>
      <c r="U248" s="489"/>
    </row>
    <row r="249" ht="30.0" customHeight="1">
      <c r="A249" s="488"/>
      <c r="B249" s="489"/>
      <c r="C249" s="489"/>
      <c r="D249" s="488"/>
      <c r="E249" s="489"/>
      <c r="F249" s="489"/>
      <c r="G249" s="173"/>
      <c r="H249" s="488"/>
      <c r="I249" s="488"/>
      <c r="J249" s="488"/>
      <c r="K249" s="488"/>
      <c r="L249" s="488"/>
      <c r="M249" s="489"/>
      <c r="N249" s="488"/>
      <c r="O249" s="489"/>
      <c r="P249" s="489"/>
      <c r="Q249" s="489"/>
      <c r="R249" s="489"/>
      <c r="S249" s="28"/>
      <c r="T249" s="490"/>
      <c r="U249" s="489"/>
    </row>
    <row r="250" ht="30.0" customHeight="1">
      <c r="A250" s="488"/>
      <c r="B250" s="489"/>
      <c r="C250" s="489"/>
      <c r="D250" s="488"/>
      <c r="E250" s="489"/>
      <c r="F250" s="489"/>
      <c r="G250" s="173"/>
      <c r="H250" s="488"/>
      <c r="I250" s="488"/>
      <c r="J250" s="488"/>
      <c r="K250" s="488"/>
      <c r="L250" s="488"/>
      <c r="M250" s="489"/>
      <c r="N250" s="488"/>
      <c r="O250" s="489"/>
      <c r="P250" s="489"/>
      <c r="Q250" s="489"/>
      <c r="R250" s="489"/>
      <c r="S250" s="28"/>
      <c r="T250" s="490"/>
      <c r="U250" s="489"/>
    </row>
    <row r="251" ht="30.0" customHeight="1">
      <c r="A251" s="488"/>
      <c r="B251" s="489"/>
      <c r="C251" s="489"/>
      <c r="D251" s="488"/>
      <c r="E251" s="489"/>
      <c r="F251" s="489"/>
      <c r="G251" s="173"/>
      <c r="H251" s="488"/>
      <c r="I251" s="488"/>
      <c r="J251" s="488"/>
      <c r="K251" s="488"/>
      <c r="L251" s="488"/>
      <c r="M251" s="489"/>
      <c r="N251" s="488"/>
      <c r="O251" s="489"/>
      <c r="P251" s="489"/>
      <c r="Q251" s="489"/>
      <c r="R251" s="489"/>
      <c r="S251" s="28"/>
      <c r="T251" s="490"/>
      <c r="U251" s="489"/>
    </row>
    <row r="252" ht="30.0" customHeight="1">
      <c r="A252" s="488"/>
      <c r="B252" s="489"/>
      <c r="C252" s="489"/>
      <c r="D252" s="488"/>
      <c r="E252" s="489"/>
      <c r="F252" s="489"/>
      <c r="G252" s="173"/>
      <c r="H252" s="488"/>
      <c r="I252" s="488"/>
      <c r="J252" s="488"/>
      <c r="K252" s="488"/>
      <c r="L252" s="488"/>
      <c r="M252" s="489"/>
      <c r="N252" s="488"/>
      <c r="O252" s="489"/>
      <c r="P252" s="489"/>
      <c r="Q252" s="489"/>
      <c r="R252" s="489"/>
      <c r="S252" s="28"/>
      <c r="T252" s="490"/>
      <c r="U252" s="489"/>
    </row>
    <row r="253" ht="30.0" customHeight="1">
      <c r="A253" s="488"/>
      <c r="B253" s="489"/>
      <c r="C253" s="489"/>
      <c r="D253" s="488"/>
      <c r="E253" s="489"/>
      <c r="F253" s="489"/>
      <c r="G253" s="173"/>
      <c r="H253" s="488"/>
      <c r="I253" s="488"/>
      <c r="J253" s="488"/>
      <c r="K253" s="488"/>
      <c r="L253" s="488"/>
      <c r="M253" s="489"/>
      <c r="N253" s="488"/>
      <c r="O253" s="489"/>
      <c r="P253" s="489"/>
      <c r="Q253" s="489"/>
      <c r="R253" s="489"/>
      <c r="S253" s="28"/>
      <c r="T253" s="490"/>
      <c r="U253" s="489"/>
    </row>
    <row r="254" ht="30.0" customHeight="1">
      <c r="A254" s="488"/>
      <c r="B254" s="489"/>
      <c r="C254" s="489"/>
      <c r="D254" s="488"/>
      <c r="E254" s="489"/>
      <c r="F254" s="489"/>
      <c r="G254" s="173"/>
      <c r="H254" s="488"/>
      <c r="I254" s="488"/>
      <c r="J254" s="488"/>
      <c r="K254" s="488"/>
      <c r="L254" s="488"/>
      <c r="M254" s="489"/>
      <c r="N254" s="488"/>
      <c r="O254" s="489"/>
      <c r="P254" s="489"/>
      <c r="Q254" s="489"/>
      <c r="R254" s="489"/>
      <c r="S254" s="28"/>
      <c r="T254" s="490"/>
      <c r="U254" s="489"/>
    </row>
    <row r="255" ht="30.0" customHeight="1">
      <c r="A255" s="488"/>
      <c r="B255" s="489"/>
      <c r="C255" s="489"/>
      <c r="D255" s="488"/>
      <c r="E255" s="489"/>
      <c r="F255" s="489"/>
      <c r="G255" s="173"/>
      <c r="H255" s="488"/>
      <c r="I255" s="488"/>
      <c r="J255" s="488"/>
      <c r="K255" s="488"/>
      <c r="L255" s="488"/>
      <c r="M255" s="489"/>
      <c r="N255" s="488"/>
      <c r="O255" s="489"/>
      <c r="P255" s="489"/>
      <c r="Q255" s="489"/>
      <c r="R255" s="489"/>
      <c r="S255" s="28"/>
      <c r="T255" s="490"/>
      <c r="U255" s="489"/>
    </row>
    <row r="256" ht="30.0" customHeight="1">
      <c r="A256" s="488"/>
      <c r="B256" s="489"/>
      <c r="C256" s="489"/>
      <c r="D256" s="488"/>
      <c r="E256" s="489"/>
      <c r="F256" s="489"/>
      <c r="G256" s="173"/>
      <c r="H256" s="488"/>
      <c r="I256" s="488"/>
      <c r="J256" s="488"/>
      <c r="K256" s="488"/>
      <c r="L256" s="488"/>
      <c r="M256" s="489"/>
      <c r="N256" s="488"/>
      <c r="O256" s="489"/>
      <c r="P256" s="489"/>
      <c r="Q256" s="489"/>
      <c r="R256" s="489"/>
      <c r="S256" s="28"/>
      <c r="T256" s="490"/>
      <c r="U256" s="489"/>
    </row>
    <row r="257" ht="30.0" customHeight="1">
      <c r="A257" s="488"/>
      <c r="B257" s="489"/>
      <c r="C257" s="489"/>
      <c r="D257" s="488"/>
      <c r="E257" s="489"/>
      <c r="F257" s="489"/>
      <c r="G257" s="173"/>
      <c r="H257" s="488"/>
      <c r="I257" s="488"/>
      <c r="J257" s="488"/>
      <c r="K257" s="488"/>
      <c r="L257" s="488"/>
      <c r="M257" s="489"/>
      <c r="N257" s="488"/>
      <c r="O257" s="489"/>
      <c r="P257" s="489"/>
      <c r="Q257" s="489"/>
      <c r="R257" s="489"/>
      <c r="S257" s="28"/>
      <c r="T257" s="490"/>
      <c r="U257" s="489"/>
    </row>
    <row r="258" ht="30.0" customHeight="1">
      <c r="A258" s="488"/>
      <c r="B258" s="489"/>
      <c r="C258" s="489"/>
      <c r="D258" s="488"/>
      <c r="E258" s="489"/>
      <c r="F258" s="489"/>
      <c r="G258" s="173"/>
      <c r="H258" s="488"/>
      <c r="I258" s="488"/>
      <c r="J258" s="488"/>
      <c r="K258" s="488"/>
      <c r="L258" s="488"/>
      <c r="M258" s="489"/>
      <c r="N258" s="488"/>
      <c r="O258" s="489"/>
      <c r="P258" s="489"/>
      <c r="Q258" s="489"/>
      <c r="R258" s="489"/>
      <c r="S258" s="28"/>
      <c r="T258" s="490"/>
      <c r="U258" s="489"/>
    </row>
    <row r="259" ht="30.0" customHeight="1">
      <c r="A259" s="488"/>
      <c r="B259" s="489"/>
      <c r="C259" s="489"/>
      <c r="D259" s="488"/>
      <c r="E259" s="489"/>
      <c r="F259" s="489"/>
      <c r="G259" s="173"/>
      <c r="H259" s="488"/>
      <c r="I259" s="488"/>
      <c r="J259" s="488"/>
      <c r="K259" s="488"/>
      <c r="L259" s="488"/>
      <c r="M259" s="489"/>
      <c r="N259" s="488"/>
      <c r="O259" s="489"/>
      <c r="P259" s="489"/>
      <c r="Q259" s="489"/>
      <c r="R259" s="489"/>
      <c r="S259" s="28"/>
      <c r="T259" s="490"/>
      <c r="U259" s="489"/>
    </row>
    <row r="260" ht="30.0" customHeight="1">
      <c r="A260" s="488"/>
      <c r="B260" s="489"/>
      <c r="C260" s="489"/>
      <c r="D260" s="488"/>
      <c r="E260" s="489"/>
      <c r="F260" s="489"/>
      <c r="G260" s="173"/>
      <c r="H260" s="488"/>
      <c r="I260" s="488"/>
      <c r="J260" s="488"/>
      <c r="K260" s="488"/>
      <c r="L260" s="488"/>
      <c r="M260" s="489"/>
      <c r="N260" s="488"/>
      <c r="O260" s="489"/>
      <c r="P260" s="489"/>
      <c r="Q260" s="489"/>
      <c r="R260" s="489"/>
      <c r="S260" s="28"/>
      <c r="T260" s="490"/>
      <c r="U260" s="489"/>
    </row>
    <row r="261" ht="30.0" customHeight="1">
      <c r="A261" s="488"/>
      <c r="B261" s="489"/>
      <c r="C261" s="489"/>
      <c r="D261" s="488"/>
      <c r="E261" s="489"/>
      <c r="F261" s="489"/>
      <c r="G261" s="173"/>
      <c r="H261" s="488"/>
      <c r="I261" s="488"/>
      <c r="J261" s="488"/>
      <c r="K261" s="488"/>
      <c r="L261" s="488"/>
      <c r="M261" s="489"/>
      <c r="N261" s="488"/>
      <c r="O261" s="489"/>
      <c r="P261" s="489"/>
      <c r="Q261" s="489"/>
      <c r="R261" s="489"/>
      <c r="S261" s="28"/>
      <c r="T261" s="490"/>
      <c r="U261" s="489"/>
    </row>
    <row r="262" ht="30.0" customHeight="1">
      <c r="A262" s="488"/>
      <c r="B262" s="489"/>
      <c r="C262" s="489"/>
      <c r="D262" s="488"/>
      <c r="E262" s="489"/>
      <c r="F262" s="489"/>
      <c r="G262" s="173"/>
      <c r="H262" s="488"/>
      <c r="I262" s="488"/>
      <c r="J262" s="488"/>
      <c r="K262" s="488"/>
      <c r="L262" s="488"/>
      <c r="M262" s="489"/>
      <c r="N262" s="488"/>
      <c r="O262" s="489"/>
      <c r="P262" s="489"/>
      <c r="Q262" s="489"/>
      <c r="R262" s="489"/>
      <c r="S262" s="28"/>
      <c r="T262" s="490"/>
      <c r="U262" s="489"/>
    </row>
    <row r="263" ht="30.0" customHeight="1">
      <c r="A263" s="488"/>
      <c r="B263" s="489"/>
      <c r="C263" s="489"/>
      <c r="D263" s="488"/>
      <c r="E263" s="489"/>
      <c r="F263" s="489"/>
      <c r="G263" s="173"/>
      <c r="H263" s="488"/>
      <c r="I263" s="488"/>
      <c r="J263" s="488"/>
      <c r="K263" s="488"/>
      <c r="L263" s="488"/>
      <c r="M263" s="489"/>
      <c r="N263" s="488"/>
      <c r="O263" s="489"/>
      <c r="P263" s="489"/>
      <c r="Q263" s="489"/>
      <c r="R263" s="489"/>
      <c r="S263" s="28"/>
      <c r="T263" s="490"/>
      <c r="U263" s="489"/>
    </row>
    <row r="264" ht="30.0" customHeight="1">
      <c r="A264" s="488"/>
      <c r="B264" s="489"/>
      <c r="C264" s="489"/>
      <c r="D264" s="488"/>
      <c r="E264" s="489"/>
      <c r="F264" s="489"/>
      <c r="G264" s="173"/>
      <c r="H264" s="488"/>
      <c r="I264" s="488"/>
      <c r="J264" s="488"/>
      <c r="K264" s="488"/>
      <c r="L264" s="488"/>
      <c r="M264" s="489"/>
      <c r="N264" s="488"/>
      <c r="O264" s="489"/>
      <c r="P264" s="489"/>
      <c r="Q264" s="489"/>
      <c r="R264" s="489"/>
      <c r="S264" s="28"/>
      <c r="T264" s="490"/>
      <c r="U264" s="489"/>
    </row>
    <row r="265" ht="30.0" customHeight="1">
      <c r="A265" s="488"/>
      <c r="B265" s="489"/>
      <c r="C265" s="489"/>
      <c r="D265" s="488"/>
      <c r="E265" s="489"/>
      <c r="F265" s="489"/>
      <c r="G265" s="173"/>
      <c r="H265" s="488"/>
      <c r="I265" s="488"/>
      <c r="J265" s="488"/>
      <c r="K265" s="488"/>
      <c r="L265" s="488"/>
      <c r="M265" s="489"/>
      <c r="N265" s="488"/>
      <c r="O265" s="489"/>
      <c r="P265" s="489"/>
      <c r="Q265" s="489"/>
      <c r="R265" s="489"/>
      <c r="S265" s="28"/>
      <c r="T265" s="490"/>
      <c r="U265" s="489"/>
    </row>
    <row r="266" ht="30.0" customHeight="1">
      <c r="A266" s="488"/>
      <c r="B266" s="489"/>
      <c r="C266" s="489"/>
      <c r="D266" s="488"/>
      <c r="E266" s="489"/>
      <c r="F266" s="489"/>
      <c r="G266" s="173"/>
      <c r="H266" s="488"/>
      <c r="I266" s="488"/>
      <c r="J266" s="488"/>
      <c r="K266" s="488"/>
      <c r="L266" s="488"/>
      <c r="M266" s="489"/>
      <c r="N266" s="488"/>
      <c r="O266" s="489"/>
      <c r="P266" s="489"/>
      <c r="Q266" s="489"/>
      <c r="R266" s="489"/>
      <c r="S266" s="28"/>
      <c r="T266" s="490"/>
      <c r="U266" s="489"/>
    </row>
    <row r="267" ht="30.0" customHeight="1">
      <c r="A267" s="488"/>
      <c r="B267" s="489"/>
      <c r="C267" s="489"/>
      <c r="D267" s="488"/>
      <c r="E267" s="489"/>
      <c r="F267" s="489"/>
      <c r="G267" s="173"/>
      <c r="H267" s="488"/>
      <c r="I267" s="488"/>
      <c r="J267" s="488"/>
      <c r="K267" s="488"/>
      <c r="L267" s="488"/>
      <c r="M267" s="489"/>
      <c r="N267" s="488"/>
      <c r="O267" s="489"/>
      <c r="P267" s="489"/>
      <c r="Q267" s="489"/>
      <c r="R267" s="489"/>
      <c r="S267" s="28"/>
      <c r="T267" s="490"/>
      <c r="U267" s="489"/>
    </row>
    <row r="268" ht="30.0" customHeight="1">
      <c r="A268" s="488"/>
      <c r="B268" s="489"/>
      <c r="C268" s="489"/>
      <c r="D268" s="488"/>
      <c r="E268" s="489"/>
      <c r="F268" s="489"/>
      <c r="G268" s="173"/>
      <c r="H268" s="488"/>
      <c r="I268" s="488"/>
      <c r="J268" s="488"/>
      <c r="K268" s="488"/>
      <c r="L268" s="488"/>
      <c r="M268" s="489"/>
      <c r="N268" s="488"/>
      <c r="O268" s="489"/>
      <c r="P268" s="489"/>
      <c r="Q268" s="489"/>
      <c r="R268" s="489"/>
      <c r="S268" s="28"/>
      <c r="T268" s="490"/>
      <c r="U268" s="489"/>
    </row>
    <row r="269" ht="30.0" customHeight="1">
      <c r="A269" s="488"/>
      <c r="B269" s="489"/>
      <c r="C269" s="489"/>
      <c r="D269" s="488"/>
      <c r="E269" s="489"/>
      <c r="F269" s="489"/>
      <c r="G269" s="173"/>
      <c r="H269" s="488"/>
      <c r="I269" s="488"/>
      <c r="J269" s="488"/>
      <c r="K269" s="488"/>
      <c r="L269" s="488"/>
      <c r="M269" s="489"/>
      <c r="N269" s="488"/>
      <c r="O269" s="489"/>
      <c r="P269" s="489"/>
      <c r="Q269" s="489"/>
      <c r="R269" s="489"/>
      <c r="S269" s="28"/>
      <c r="T269" s="490"/>
      <c r="U269" s="489"/>
    </row>
    <row r="270" ht="30.0" customHeight="1">
      <c r="A270" s="488"/>
      <c r="B270" s="489"/>
      <c r="C270" s="489"/>
      <c r="D270" s="488"/>
      <c r="E270" s="489"/>
      <c r="F270" s="489"/>
      <c r="G270" s="173"/>
      <c r="H270" s="488"/>
      <c r="I270" s="488"/>
      <c r="J270" s="488"/>
      <c r="K270" s="488"/>
      <c r="L270" s="488"/>
      <c r="M270" s="489"/>
      <c r="N270" s="488"/>
      <c r="O270" s="489"/>
      <c r="P270" s="489"/>
      <c r="Q270" s="489"/>
      <c r="R270" s="489"/>
      <c r="S270" s="28"/>
      <c r="T270" s="490"/>
      <c r="U270" s="489"/>
    </row>
    <row r="271" ht="30.0" customHeight="1">
      <c r="A271" s="488"/>
      <c r="B271" s="489"/>
      <c r="C271" s="489"/>
      <c r="D271" s="488"/>
      <c r="E271" s="489"/>
      <c r="F271" s="489"/>
      <c r="G271" s="173"/>
      <c r="H271" s="488"/>
      <c r="I271" s="488"/>
      <c r="J271" s="488"/>
      <c r="K271" s="488"/>
      <c r="L271" s="488"/>
      <c r="M271" s="489"/>
      <c r="N271" s="488"/>
      <c r="O271" s="489"/>
      <c r="P271" s="489"/>
      <c r="Q271" s="489"/>
      <c r="R271" s="489"/>
      <c r="S271" s="28"/>
      <c r="T271" s="490"/>
      <c r="U271" s="489"/>
    </row>
    <row r="272" ht="30.0" customHeight="1">
      <c r="A272" s="488"/>
      <c r="B272" s="489"/>
      <c r="C272" s="489"/>
      <c r="D272" s="488"/>
      <c r="E272" s="489"/>
      <c r="F272" s="489"/>
      <c r="G272" s="173"/>
      <c r="H272" s="488"/>
      <c r="I272" s="488"/>
      <c r="J272" s="488"/>
      <c r="K272" s="488"/>
      <c r="L272" s="488"/>
      <c r="M272" s="489"/>
      <c r="N272" s="488"/>
      <c r="O272" s="489"/>
      <c r="P272" s="489"/>
      <c r="Q272" s="489"/>
      <c r="R272" s="489"/>
      <c r="S272" s="28"/>
      <c r="T272" s="490"/>
      <c r="U272" s="489"/>
    </row>
    <row r="273" ht="30.0" customHeight="1">
      <c r="A273" s="488"/>
      <c r="B273" s="489"/>
      <c r="C273" s="489"/>
      <c r="D273" s="488"/>
      <c r="E273" s="489"/>
      <c r="F273" s="489"/>
      <c r="G273" s="173"/>
      <c r="H273" s="488"/>
      <c r="I273" s="488"/>
      <c r="J273" s="488"/>
      <c r="K273" s="488"/>
      <c r="L273" s="488"/>
      <c r="M273" s="489"/>
      <c r="N273" s="488"/>
      <c r="O273" s="489"/>
      <c r="P273" s="489"/>
      <c r="Q273" s="489"/>
      <c r="R273" s="489"/>
      <c r="S273" s="28"/>
      <c r="T273" s="490"/>
      <c r="U273" s="489"/>
    </row>
    <row r="274" ht="30.0" customHeight="1">
      <c r="A274" s="488"/>
      <c r="B274" s="489"/>
      <c r="C274" s="489"/>
      <c r="D274" s="488"/>
      <c r="E274" s="489"/>
      <c r="F274" s="489"/>
      <c r="G274" s="173"/>
      <c r="H274" s="488"/>
      <c r="I274" s="488"/>
      <c r="J274" s="488"/>
      <c r="K274" s="488"/>
      <c r="L274" s="488"/>
      <c r="M274" s="489"/>
      <c r="N274" s="488"/>
      <c r="O274" s="489"/>
      <c r="P274" s="489"/>
      <c r="Q274" s="489"/>
      <c r="R274" s="489"/>
      <c r="S274" s="28"/>
      <c r="T274" s="490"/>
      <c r="U274" s="489"/>
    </row>
    <row r="275" ht="30.0" customHeight="1">
      <c r="A275" s="488"/>
      <c r="B275" s="489"/>
      <c r="C275" s="489"/>
      <c r="D275" s="488"/>
      <c r="E275" s="489"/>
      <c r="F275" s="489"/>
      <c r="G275" s="173"/>
      <c r="H275" s="488"/>
      <c r="I275" s="488"/>
      <c r="J275" s="488"/>
      <c r="K275" s="488"/>
      <c r="L275" s="488"/>
      <c r="M275" s="489"/>
      <c r="N275" s="488"/>
      <c r="O275" s="489"/>
      <c r="P275" s="489"/>
      <c r="Q275" s="489"/>
      <c r="R275" s="489"/>
      <c r="S275" s="28"/>
      <c r="T275" s="490"/>
      <c r="U275" s="489"/>
    </row>
    <row r="276" ht="30.0" customHeight="1">
      <c r="A276" s="488"/>
      <c r="B276" s="489"/>
      <c r="C276" s="489"/>
      <c r="D276" s="488"/>
      <c r="E276" s="489"/>
      <c r="F276" s="489"/>
      <c r="G276" s="173"/>
      <c r="H276" s="488"/>
      <c r="I276" s="488"/>
      <c r="J276" s="488"/>
      <c r="K276" s="488"/>
      <c r="L276" s="488"/>
      <c r="M276" s="489"/>
      <c r="N276" s="488"/>
      <c r="O276" s="489"/>
      <c r="P276" s="489"/>
      <c r="Q276" s="489"/>
      <c r="R276" s="489"/>
      <c r="S276" s="28"/>
      <c r="T276" s="490"/>
      <c r="U276" s="489"/>
    </row>
    <row r="277" ht="30.0" customHeight="1">
      <c r="A277" s="488"/>
      <c r="B277" s="489"/>
      <c r="C277" s="489"/>
      <c r="D277" s="488"/>
      <c r="E277" s="489"/>
      <c r="F277" s="489"/>
      <c r="G277" s="173"/>
      <c r="H277" s="488"/>
      <c r="I277" s="488"/>
      <c r="J277" s="488"/>
      <c r="K277" s="488"/>
      <c r="L277" s="488"/>
      <c r="M277" s="489"/>
      <c r="N277" s="488"/>
      <c r="O277" s="489"/>
      <c r="P277" s="489"/>
      <c r="Q277" s="489"/>
      <c r="R277" s="489"/>
      <c r="S277" s="28"/>
      <c r="T277" s="490"/>
      <c r="U277" s="489"/>
    </row>
    <row r="278" ht="30.0" customHeight="1">
      <c r="A278" s="488"/>
      <c r="B278" s="489"/>
      <c r="C278" s="489"/>
      <c r="D278" s="488"/>
      <c r="E278" s="489"/>
      <c r="F278" s="489"/>
      <c r="G278" s="173"/>
      <c r="H278" s="488"/>
      <c r="I278" s="488"/>
      <c r="J278" s="488"/>
      <c r="K278" s="488"/>
      <c r="L278" s="488"/>
      <c r="M278" s="489"/>
      <c r="N278" s="488"/>
      <c r="O278" s="489"/>
      <c r="P278" s="489"/>
      <c r="Q278" s="489"/>
      <c r="R278" s="489"/>
      <c r="S278" s="28"/>
      <c r="T278" s="490"/>
      <c r="U278" s="489"/>
    </row>
    <row r="279" ht="30.0" customHeight="1">
      <c r="A279" s="488"/>
      <c r="B279" s="489"/>
      <c r="C279" s="489"/>
      <c r="D279" s="488"/>
      <c r="E279" s="489"/>
      <c r="F279" s="489"/>
      <c r="G279" s="173"/>
      <c r="H279" s="488"/>
      <c r="I279" s="488"/>
      <c r="J279" s="488"/>
      <c r="K279" s="488"/>
      <c r="L279" s="488"/>
      <c r="M279" s="489"/>
      <c r="N279" s="488"/>
      <c r="O279" s="489"/>
      <c r="P279" s="489"/>
      <c r="Q279" s="489"/>
      <c r="R279" s="489"/>
      <c r="S279" s="28"/>
      <c r="T279" s="490"/>
      <c r="U279" s="489"/>
    </row>
    <row r="280" ht="30.0" customHeight="1">
      <c r="A280" s="488"/>
      <c r="B280" s="489"/>
      <c r="C280" s="489"/>
      <c r="D280" s="488"/>
      <c r="E280" s="489"/>
      <c r="F280" s="489"/>
      <c r="G280" s="173"/>
      <c r="H280" s="488"/>
      <c r="I280" s="488"/>
      <c r="J280" s="488"/>
      <c r="K280" s="488"/>
      <c r="L280" s="488"/>
      <c r="M280" s="489"/>
      <c r="N280" s="488"/>
      <c r="O280" s="489"/>
      <c r="P280" s="489"/>
      <c r="Q280" s="489"/>
      <c r="R280" s="489"/>
      <c r="S280" s="28"/>
      <c r="T280" s="490"/>
      <c r="U280" s="489"/>
    </row>
    <row r="281" ht="30.0" customHeight="1">
      <c r="A281" s="488"/>
      <c r="B281" s="489"/>
      <c r="C281" s="489"/>
      <c r="D281" s="488"/>
      <c r="E281" s="489"/>
      <c r="F281" s="489"/>
      <c r="G281" s="173"/>
      <c r="H281" s="488"/>
      <c r="I281" s="488"/>
      <c r="J281" s="488"/>
      <c r="K281" s="488"/>
      <c r="L281" s="488"/>
      <c r="M281" s="489"/>
      <c r="N281" s="488"/>
      <c r="O281" s="489"/>
      <c r="P281" s="489"/>
      <c r="Q281" s="489"/>
      <c r="R281" s="489"/>
      <c r="S281" s="28"/>
      <c r="T281" s="490"/>
      <c r="U281" s="489"/>
    </row>
    <row r="282" ht="30.0" customHeight="1">
      <c r="A282" s="488"/>
      <c r="B282" s="489"/>
      <c r="C282" s="489"/>
      <c r="D282" s="488"/>
      <c r="E282" s="489"/>
      <c r="F282" s="489"/>
      <c r="G282" s="173"/>
      <c r="H282" s="488"/>
      <c r="I282" s="488"/>
      <c r="J282" s="488"/>
      <c r="K282" s="488"/>
      <c r="L282" s="488"/>
      <c r="M282" s="489"/>
      <c r="N282" s="488"/>
      <c r="O282" s="489"/>
      <c r="P282" s="489"/>
      <c r="Q282" s="489"/>
      <c r="R282" s="489"/>
      <c r="S282" s="28"/>
      <c r="T282" s="490"/>
      <c r="U282" s="489"/>
    </row>
    <row r="283" ht="30.0" customHeight="1">
      <c r="A283" s="488"/>
      <c r="B283" s="489"/>
      <c r="C283" s="489"/>
      <c r="D283" s="488"/>
      <c r="E283" s="489"/>
      <c r="F283" s="489"/>
      <c r="G283" s="173"/>
      <c r="H283" s="488"/>
      <c r="I283" s="488"/>
      <c r="J283" s="488"/>
      <c r="K283" s="488"/>
      <c r="L283" s="488"/>
      <c r="M283" s="489"/>
      <c r="N283" s="488"/>
      <c r="O283" s="489"/>
      <c r="P283" s="489"/>
      <c r="Q283" s="489"/>
      <c r="R283" s="489"/>
      <c r="S283" s="28"/>
      <c r="T283" s="490"/>
      <c r="U283" s="489"/>
    </row>
    <row r="284" ht="30.0" customHeight="1">
      <c r="A284" s="488"/>
      <c r="B284" s="489"/>
      <c r="C284" s="489"/>
      <c r="D284" s="488"/>
      <c r="E284" s="489"/>
      <c r="F284" s="489"/>
      <c r="G284" s="173"/>
      <c r="H284" s="488"/>
      <c r="I284" s="488"/>
      <c r="J284" s="488"/>
      <c r="K284" s="488"/>
      <c r="L284" s="488"/>
      <c r="M284" s="489"/>
      <c r="N284" s="488"/>
      <c r="O284" s="489"/>
      <c r="P284" s="489"/>
      <c r="Q284" s="489"/>
      <c r="R284" s="489"/>
      <c r="S284" s="28"/>
      <c r="T284" s="490"/>
      <c r="U284" s="489"/>
    </row>
    <row r="285" ht="30.0" customHeight="1">
      <c r="A285" s="488"/>
      <c r="B285" s="489"/>
      <c r="C285" s="489"/>
      <c r="D285" s="488"/>
      <c r="E285" s="489"/>
      <c r="F285" s="489"/>
      <c r="G285" s="173"/>
      <c r="H285" s="488"/>
      <c r="I285" s="488"/>
      <c r="J285" s="488"/>
      <c r="K285" s="488"/>
      <c r="L285" s="488"/>
      <c r="M285" s="489"/>
      <c r="N285" s="488"/>
      <c r="O285" s="489"/>
      <c r="P285" s="489"/>
      <c r="Q285" s="489"/>
      <c r="R285" s="489"/>
      <c r="S285" s="28"/>
      <c r="T285" s="490"/>
      <c r="U285" s="489"/>
    </row>
    <row r="286" ht="30.0" customHeight="1">
      <c r="A286" s="488"/>
      <c r="B286" s="489"/>
      <c r="C286" s="489"/>
      <c r="D286" s="488"/>
      <c r="E286" s="489"/>
      <c r="F286" s="489"/>
      <c r="G286" s="173"/>
      <c r="H286" s="488"/>
      <c r="I286" s="488"/>
      <c r="J286" s="488"/>
      <c r="K286" s="488"/>
      <c r="L286" s="488"/>
      <c r="M286" s="489"/>
      <c r="N286" s="488"/>
      <c r="O286" s="489"/>
      <c r="P286" s="489"/>
      <c r="Q286" s="489"/>
      <c r="R286" s="489"/>
      <c r="S286" s="28"/>
      <c r="T286" s="490"/>
      <c r="U286" s="489"/>
    </row>
    <row r="287" ht="30.0" customHeight="1">
      <c r="A287" s="488"/>
      <c r="B287" s="489"/>
      <c r="C287" s="489"/>
      <c r="D287" s="488"/>
      <c r="E287" s="489"/>
      <c r="F287" s="489"/>
      <c r="G287" s="173"/>
      <c r="H287" s="488"/>
      <c r="I287" s="488"/>
      <c r="J287" s="488"/>
      <c r="K287" s="488"/>
      <c r="L287" s="488"/>
      <c r="M287" s="489"/>
      <c r="N287" s="488"/>
      <c r="O287" s="489"/>
      <c r="P287" s="489"/>
      <c r="Q287" s="489"/>
      <c r="R287" s="489"/>
      <c r="S287" s="28"/>
      <c r="T287" s="490"/>
      <c r="U287" s="489"/>
    </row>
    <row r="288" ht="30.0" customHeight="1">
      <c r="A288" s="488"/>
      <c r="B288" s="489"/>
      <c r="C288" s="489"/>
      <c r="D288" s="488"/>
      <c r="E288" s="489"/>
      <c r="F288" s="489"/>
      <c r="G288" s="173"/>
      <c r="H288" s="488"/>
      <c r="I288" s="488"/>
      <c r="J288" s="488"/>
      <c r="K288" s="488"/>
      <c r="L288" s="488"/>
      <c r="M288" s="489"/>
      <c r="N288" s="488"/>
      <c r="O288" s="489"/>
      <c r="P288" s="489"/>
      <c r="Q288" s="489"/>
      <c r="R288" s="489"/>
      <c r="S288" s="28"/>
      <c r="T288" s="490"/>
      <c r="U288" s="489"/>
    </row>
    <row r="289" ht="30.0" customHeight="1">
      <c r="A289" s="488"/>
      <c r="B289" s="489"/>
      <c r="C289" s="489"/>
      <c r="D289" s="488"/>
      <c r="E289" s="489"/>
      <c r="F289" s="489"/>
      <c r="G289" s="173"/>
      <c r="H289" s="488"/>
      <c r="I289" s="488"/>
      <c r="J289" s="488"/>
      <c r="K289" s="488"/>
      <c r="L289" s="488"/>
      <c r="M289" s="489"/>
      <c r="N289" s="488"/>
      <c r="O289" s="489"/>
      <c r="P289" s="489"/>
      <c r="Q289" s="489"/>
      <c r="R289" s="489"/>
      <c r="S289" s="28"/>
      <c r="T289" s="490"/>
      <c r="U289" s="489"/>
    </row>
    <row r="290" ht="30.0" customHeight="1">
      <c r="A290" s="488"/>
      <c r="B290" s="489"/>
      <c r="C290" s="489"/>
      <c r="D290" s="488"/>
      <c r="E290" s="489"/>
      <c r="F290" s="489"/>
      <c r="G290" s="173"/>
      <c r="H290" s="488"/>
      <c r="I290" s="488"/>
      <c r="J290" s="488"/>
      <c r="K290" s="488"/>
      <c r="L290" s="488"/>
      <c r="M290" s="489"/>
      <c r="N290" s="488"/>
      <c r="O290" s="489"/>
      <c r="P290" s="489"/>
      <c r="Q290" s="489"/>
      <c r="R290" s="489"/>
      <c r="S290" s="28"/>
      <c r="T290" s="490"/>
      <c r="U290" s="489"/>
    </row>
    <row r="291" ht="30.0" customHeight="1">
      <c r="A291" s="488"/>
      <c r="B291" s="489"/>
      <c r="C291" s="489"/>
      <c r="D291" s="488"/>
      <c r="E291" s="489"/>
      <c r="F291" s="489"/>
      <c r="G291" s="173"/>
      <c r="H291" s="488"/>
      <c r="I291" s="488"/>
      <c r="J291" s="488"/>
      <c r="K291" s="488"/>
      <c r="L291" s="488"/>
      <c r="M291" s="489"/>
      <c r="N291" s="488"/>
      <c r="O291" s="489"/>
      <c r="P291" s="489"/>
      <c r="Q291" s="489"/>
      <c r="R291" s="489"/>
      <c r="S291" s="28"/>
      <c r="T291" s="490"/>
      <c r="U291" s="489"/>
    </row>
    <row r="292" ht="30.0" customHeight="1">
      <c r="A292" s="488"/>
      <c r="B292" s="489"/>
      <c r="C292" s="489"/>
      <c r="D292" s="488"/>
      <c r="E292" s="489"/>
      <c r="F292" s="489"/>
      <c r="G292" s="173"/>
      <c r="H292" s="488"/>
      <c r="I292" s="488"/>
      <c r="J292" s="488"/>
      <c r="K292" s="488"/>
      <c r="L292" s="488"/>
      <c r="M292" s="489"/>
      <c r="N292" s="488"/>
      <c r="O292" s="489"/>
      <c r="P292" s="489"/>
      <c r="Q292" s="489"/>
      <c r="R292" s="489"/>
      <c r="S292" s="28"/>
      <c r="T292" s="490"/>
      <c r="U292" s="489"/>
    </row>
    <row r="293" ht="30.0" customHeight="1">
      <c r="A293" s="488"/>
      <c r="B293" s="489"/>
      <c r="C293" s="489"/>
      <c r="D293" s="488"/>
      <c r="E293" s="489"/>
      <c r="F293" s="489"/>
      <c r="G293" s="173"/>
      <c r="H293" s="488"/>
      <c r="I293" s="488"/>
      <c r="J293" s="488"/>
      <c r="K293" s="488"/>
      <c r="L293" s="488"/>
      <c r="M293" s="489"/>
      <c r="N293" s="488"/>
      <c r="O293" s="489"/>
      <c r="P293" s="489"/>
      <c r="Q293" s="489"/>
      <c r="R293" s="489"/>
      <c r="S293" s="28"/>
      <c r="T293" s="490"/>
      <c r="U293" s="489"/>
    </row>
    <row r="294" ht="30.0" customHeight="1">
      <c r="A294" s="488"/>
      <c r="B294" s="489"/>
      <c r="C294" s="489"/>
      <c r="D294" s="488"/>
      <c r="E294" s="489"/>
      <c r="F294" s="489"/>
      <c r="G294" s="173"/>
      <c r="H294" s="488"/>
      <c r="I294" s="488"/>
      <c r="J294" s="488"/>
      <c r="K294" s="488"/>
      <c r="L294" s="488"/>
      <c r="M294" s="489"/>
      <c r="N294" s="488"/>
      <c r="O294" s="489"/>
      <c r="P294" s="489"/>
      <c r="Q294" s="489"/>
      <c r="R294" s="489"/>
      <c r="S294" s="28"/>
      <c r="T294" s="490"/>
      <c r="U294" s="489"/>
    </row>
    <row r="295" ht="30.0" customHeight="1">
      <c r="A295" s="488"/>
      <c r="B295" s="489"/>
      <c r="C295" s="489"/>
      <c r="D295" s="488"/>
      <c r="E295" s="489"/>
      <c r="F295" s="489"/>
      <c r="G295" s="173"/>
      <c r="H295" s="488"/>
      <c r="I295" s="488"/>
      <c r="J295" s="488"/>
      <c r="K295" s="488"/>
      <c r="L295" s="488"/>
      <c r="M295" s="489"/>
      <c r="N295" s="488"/>
      <c r="O295" s="489"/>
      <c r="P295" s="489"/>
      <c r="Q295" s="489"/>
      <c r="R295" s="489"/>
      <c r="S295" s="28"/>
      <c r="T295" s="490"/>
      <c r="U295" s="489"/>
    </row>
    <row r="296" ht="30.0" customHeight="1">
      <c r="A296" s="488"/>
      <c r="B296" s="489"/>
      <c r="C296" s="489"/>
      <c r="D296" s="488"/>
      <c r="E296" s="489"/>
      <c r="F296" s="489"/>
      <c r="G296" s="173"/>
      <c r="H296" s="488"/>
      <c r="I296" s="488"/>
      <c r="J296" s="488"/>
      <c r="K296" s="488"/>
      <c r="L296" s="488"/>
      <c r="M296" s="489"/>
      <c r="N296" s="488"/>
      <c r="O296" s="489"/>
      <c r="P296" s="489"/>
      <c r="Q296" s="489"/>
      <c r="R296" s="489"/>
      <c r="S296" s="28"/>
      <c r="T296" s="490"/>
      <c r="U296" s="489"/>
    </row>
    <row r="297" ht="30.0" customHeight="1">
      <c r="A297" s="488"/>
      <c r="B297" s="489"/>
      <c r="C297" s="489"/>
      <c r="D297" s="488"/>
      <c r="E297" s="489"/>
      <c r="F297" s="489"/>
      <c r="G297" s="173"/>
      <c r="H297" s="488"/>
      <c r="I297" s="488"/>
      <c r="J297" s="488"/>
      <c r="K297" s="488"/>
      <c r="L297" s="488"/>
      <c r="M297" s="489"/>
      <c r="N297" s="488"/>
      <c r="O297" s="489"/>
      <c r="P297" s="489"/>
      <c r="Q297" s="489"/>
      <c r="R297" s="489"/>
      <c r="S297" s="28"/>
      <c r="T297" s="490"/>
      <c r="U297" s="489"/>
    </row>
    <row r="298" ht="30.0" customHeight="1">
      <c r="A298" s="488"/>
      <c r="B298" s="489"/>
      <c r="C298" s="489"/>
      <c r="D298" s="488"/>
      <c r="E298" s="489"/>
      <c r="F298" s="489"/>
      <c r="G298" s="173"/>
      <c r="H298" s="488"/>
      <c r="I298" s="488"/>
      <c r="J298" s="488"/>
      <c r="K298" s="488"/>
      <c r="L298" s="488"/>
      <c r="M298" s="489"/>
      <c r="N298" s="488"/>
      <c r="O298" s="489"/>
      <c r="P298" s="489"/>
      <c r="Q298" s="489"/>
      <c r="R298" s="489"/>
      <c r="S298" s="28"/>
      <c r="T298" s="490"/>
      <c r="U298" s="489"/>
    </row>
    <row r="299" ht="30.0" customHeight="1">
      <c r="A299" s="488"/>
      <c r="B299" s="489"/>
      <c r="C299" s="489"/>
      <c r="D299" s="488"/>
      <c r="E299" s="489"/>
      <c r="F299" s="489"/>
      <c r="G299" s="173"/>
      <c r="H299" s="488"/>
      <c r="I299" s="488"/>
      <c r="J299" s="488"/>
      <c r="K299" s="488"/>
      <c r="L299" s="488"/>
      <c r="M299" s="489"/>
      <c r="N299" s="488"/>
      <c r="O299" s="489"/>
      <c r="P299" s="489"/>
      <c r="Q299" s="489"/>
      <c r="R299" s="489"/>
      <c r="S299" s="28"/>
      <c r="T299" s="490"/>
      <c r="U299" s="489"/>
    </row>
    <row r="300" ht="30.0" customHeight="1">
      <c r="A300" s="488"/>
      <c r="B300" s="489"/>
      <c r="C300" s="489"/>
      <c r="D300" s="488"/>
      <c r="E300" s="489"/>
      <c r="F300" s="489"/>
      <c r="G300" s="173"/>
      <c r="H300" s="488"/>
      <c r="I300" s="488"/>
      <c r="J300" s="488"/>
      <c r="K300" s="488"/>
      <c r="L300" s="488"/>
      <c r="M300" s="489"/>
      <c r="N300" s="488"/>
      <c r="O300" s="489"/>
      <c r="P300" s="489"/>
      <c r="Q300" s="489"/>
      <c r="R300" s="489"/>
      <c r="S300" s="28"/>
      <c r="T300" s="490"/>
      <c r="U300" s="489"/>
    </row>
    <row r="301" ht="30.0" customHeight="1">
      <c r="A301" s="488"/>
      <c r="B301" s="489"/>
      <c r="C301" s="489"/>
      <c r="D301" s="488"/>
      <c r="E301" s="489"/>
      <c r="F301" s="489"/>
      <c r="G301" s="173"/>
      <c r="H301" s="488"/>
      <c r="I301" s="488"/>
      <c r="J301" s="488"/>
      <c r="K301" s="488"/>
      <c r="L301" s="488"/>
      <c r="M301" s="489"/>
      <c r="N301" s="488"/>
      <c r="O301" s="489"/>
      <c r="P301" s="489"/>
      <c r="Q301" s="489"/>
      <c r="R301" s="489"/>
      <c r="S301" s="28"/>
      <c r="T301" s="490"/>
      <c r="U301" s="489"/>
    </row>
    <row r="302" ht="30.0" customHeight="1">
      <c r="A302" s="488"/>
      <c r="B302" s="489"/>
      <c r="C302" s="489"/>
      <c r="D302" s="488"/>
      <c r="E302" s="489"/>
      <c r="F302" s="489"/>
      <c r="G302" s="173"/>
      <c r="H302" s="488"/>
      <c r="I302" s="488"/>
      <c r="J302" s="488"/>
      <c r="K302" s="488"/>
      <c r="L302" s="488"/>
      <c r="M302" s="489"/>
      <c r="N302" s="488"/>
      <c r="O302" s="489"/>
      <c r="P302" s="489"/>
      <c r="Q302" s="489"/>
      <c r="R302" s="489"/>
      <c r="S302" s="28"/>
      <c r="T302" s="490"/>
      <c r="U302" s="489"/>
    </row>
    <row r="303" ht="30.0" customHeight="1">
      <c r="A303" s="488"/>
      <c r="B303" s="489"/>
      <c r="C303" s="489"/>
      <c r="D303" s="488"/>
      <c r="E303" s="489"/>
      <c r="F303" s="489"/>
      <c r="G303" s="173"/>
      <c r="H303" s="488"/>
      <c r="I303" s="488"/>
      <c r="J303" s="488"/>
      <c r="K303" s="488"/>
      <c r="L303" s="488"/>
      <c r="M303" s="489"/>
      <c r="N303" s="488"/>
      <c r="O303" s="489"/>
      <c r="P303" s="489"/>
      <c r="Q303" s="489"/>
      <c r="R303" s="489"/>
      <c r="S303" s="28"/>
      <c r="T303" s="490"/>
      <c r="U303" s="489"/>
    </row>
    <row r="304" ht="30.0" customHeight="1">
      <c r="A304" s="488"/>
      <c r="B304" s="489"/>
      <c r="C304" s="489"/>
      <c r="D304" s="488"/>
      <c r="E304" s="489"/>
      <c r="F304" s="489"/>
      <c r="G304" s="173"/>
      <c r="H304" s="488"/>
      <c r="I304" s="488"/>
      <c r="J304" s="488"/>
      <c r="K304" s="488"/>
      <c r="L304" s="488"/>
      <c r="M304" s="489"/>
      <c r="N304" s="488"/>
      <c r="O304" s="489"/>
      <c r="P304" s="489"/>
      <c r="Q304" s="489"/>
      <c r="R304" s="489"/>
      <c r="S304" s="28"/>
      <c r="T304" s="490"/>
      <c r="U304" s="489"/>
    </row>
    <row r="305" ht="30.0" customHeight="1">
      <c r="A305" s="488"/>
      <c r="B305" s="489"/>
      <c r="C305" s="489"/>
      <c r="D305" s="488"/>
      <c r="E305" s="489"/>
      <c r="F305" s="489"/>
      <c r="G305" s="173"/>
      <c r="H305" s="488"/>
      <c r="I305" s="488"/>
      <c r="J305" s="488"/>
      <c r="K305" s="488"/>
      <c r="L305" s="488"/>
      <c r="M305" s="489"/>
      <c r="N305" s="488"/>
      <c r="O305" s="489"/>
      <c r="P305" s="489"/>
      <c r="Q305" s="489"/>
      <c r="R305" s="489"/>
      <c r="S305" s="28"/>
      <c r="T305" s="490"/>
      <c r="U305" s="489"/>
    </row>
    <row r="306" ht="30.0" customHeight="1">
      <c r="A306" s="488"/>
      <c r="B306" s="489"/>
      <c r="C306" s="489"/>
      <c r="D306" s="488"/>
      <c r="E306" s="489"/>
      <c r="F306" s="489"/>
      <c r="G306" s="173"/>
      <c r="H306" s="488"/>
      <c r="I306" s="488"/>
      <c r="J306" s="488"/>
      <c r="K306" s="488"/>
      <c r="L306" s="488"/>
      <c r="M306" s="489"/>
      <c r="N306" s="488"/>
      <c r="O306" s="489"/>
      <c r="P306" s="489"/>
      <c r="Q306" s="489"/>
      <c r="R306" s="489"/>
      <c r="S306" s="28"/>
      <c r="T306" s="490"/>
      <c r="U306" s="489"/>
    </row>
    <row r="307" ht="30.0" customHeight="1">
      <c r="A307" s="488"/>
      <c r="B307" s="489"/>
      <c r="C307" s="489"/>
      <c r="D307" s="488"/>
      <c r="E307" s="489"/>
      <c r="F307" s="489"/>
      <c r="G307" s="173"/>
      <c r="H307" s="488"/>
      <c r="I307" s="488"/>
      <c r="J307" s="488"/>
      <c r="K307" s="488"/>
      <c r="L307" s="488"/>
      <c r="M307" s="489"/>
      <c r="N307" s="488"/>
      <c r="O307" s="489"/>
      <c r="P307" s="489"/>
      <c r="Q307" s="489"/>
      <c r="R307" s="489"/>
      <c r="S307" s="28"/>
      <c r="T307" s="490"/>
      <c r="U307" s="489"/>
    </row>
    <row r="308" ht="30.0" customHeight="1">
      <c r="A308" s="488"/>
      <c r="B308" s="489"/>
      <c r="C308" s="489"/>
      <c r="D308" s="488"/>
      <c r="E308" s="489"/>
      <c r="F308" s="489"/>
      <c r="G308" s="173"/>
      <c r="H308" s="488"/>
      <c r="I308" s="488"/>
      <c r="J308" s="488"/>
      <c r="K308" s="488"/>
      <c r="L308" s="488"/>
      <c r="M308" s="489"/>
      <c r="N308" s="488"/>
      <c r="O308" s="489"/>
      <c r="P308" s="489"/>
      <c r="Q308" s="489"/>
      <c r="R308" s="489"/>
      <c r="S308" s="28"/>
      <c r="T308" s="490"/>
      <c r="U308" s="489"/>
    </row>
    <row r="309" ht="30.0" customHeight="1">
      <c r="A309" s="488"/>
      <c r="B309" s="489"/>
      <c r="C309" s="489"/>
      <c r="D309" s="488"/>
      <c r="E309" s="489"/>
      <c r="F309" s="489"/>
      <c r="G309" s="173"/>
      <c r="H309" s="488"/>
      <c r="I309" s="488"/>
      <c r="J309" s="488"/>
      <c r="K309" s="488"/>
      <c r="L309" s="488"/>
      <c r="M309" s="489"/>
      <c r="N309" s="488"/>
      <c r="O309" s="489"/>
      <c r="P309" s="489"/>
      <c r="Q309" s="489"/>
      <c r="R309" s="489"/>
      <c r="S309" s="28"/>
      <c r="T309" s="490"/>
      <c r="U309" s="489"/>
    </row>
    <row r="310" ht="30.0" customHeight="1">
      <c r="A310" s="488"/>
      <c r="B310" s="489"/>
      <c r="C310" s="489"/>
      <c r="D310" s="488"/>
      <c r="E310" s="489"/>
      <c r="F310" s="489"/>
      <c r="G310" s="173"/>
      <c r="H310" s="488"/>
      <c r="I310" s="488"/>
      <c r="J310" s="488"/>
      <c r="K310" s="488"/>
      <c r="L310" s="488"/>
      <c r="M310" s="489"/>
      <c r="N310" s="488"/>
      <c r="O310" s="489"/>
      <c r="P310" s="489"/>
      <c r="Q310" s="489"/>
      <c r="R310" s="489"/>
      <c r="S310" s="28"/>
      <c r="T310" s="490"/>
      <c r="U310" s="489"/>
    </row>
    <row r="311" ht="30.0" customHeight="1">
      <c r="A311" s="488"/>
      <c r="B311" s="489"/>
      <c r="C311" s="489"/>
      <c r="D311" s="488"/>
      <c r="E311" s="489"/>
      <c r="F311" s="489"/>
      <c r="G311" s="173"/>
      <c r="H311" s="488"/>
      <c r="I311" s="488"/>
      <c r="J311" s="488"/>
      <c r="K311" s="488"/>
      <c r="L311" s="488"/>
      <c r="M311" s="489"/>
      <c r="N311" s="488"/>
      <c r="O311" s="489"/>
      <c r="P311" s="489"/>
      <c r="Q311" s="489"/>
      <c r="R311" s="489"/>
      <c r="S311" s="28"/>
      <c r="T311" s="490"/>
      <c r="U311" s="489"/>
    </row>
    <row r="312" ht="30.0" customHeight="1">
      <c r="A312" s="488"/>
      <c r="B312" s="489"/>
      <c r="C312" s="489"/>
      <c r="D312" s="488"/>
      <c r="E312" s="489"/>
      <c r="F312" s="489"/>
      <c r="G312" s="173"/>
      <c r="H312" s="488"/>
      <c r="I312" s="488"/>
      <c r="J312" s="488"/>
      <c r="K312" s="488"/>
      <c r="L312" s="488"/>
      <c r="M312" s="489"/>
      <c r="N312" s="488"/>
      <c r="O312" s="489"/>
      <c r="P312" s="489"/>
      <c r="Q312" s="489"/>
      <c r="R312" s="489"/>
      <c r="S312" s="28"/>
      <c r="T312" s="490"/>
      <c r="U312" s="489"/>
    </row>
    <row r="313" ht="30.0" customHeight="1">
      <c r="A313" s="488"/>
      <c r="B313" s="489"/>
      <c r="C313" s="489"/>
      <c r="D313" s="488"/>
      <c r="E313" s="489"/>
      <c r="F313" s="489"/>
      <c r="G313" s="173"/>
      <c r="H313" s="488"/>
      <c r="I313" s="488"/>
      <c r="J313" s="488"/>
      <c r="K313" s="488"/>
      <c r="L313" s="488"/>
      <c r="M313" s="489"/>
      <c r="N313" s="488"/>
      <c r="O313" s="489"/>
      <c r="P313" s="489"/>
      <c r="Q313" s="489"/>
      <c r="R313" s="489"/>
      <c r="S313" s="28"/>
      <c r="T313" s="490"/>
      <c r="U313" s="489"/>
    </row>
    <row r="314" ht="30.0" customHeight="1">
      <c r="A314" s="488"/>
      <c r="B314" s="489"/>
      <c r="C314" s="489"/>
      <c r="D314" s="488"/>
      <c r="E314" s="489"/>
      <c r="F314" s="489"/>
      <c r="G314" s="173"/>
      <c r="H314" s="488"/>
      <c r="I314" s="488"/>
      <c r="J314" s="488"/>
      <c r="K314" s="488"/>
      <c r="L314" s="488"/>
      <c r="M314" s="489"/>
      <c r="N314" s="488"/>
      <c r="O314" s="489"/>
      <c r="P314" s="489"/>
      <c r="Q314" s="489"/>
      <c r="R314" s="489"/>
      <c r="S314" s="28"/>
      <c r="T314" s="490"/>
      <c r="U314" s="489"/>
    </row>
    <row r="315" ht="30.0" customHeight="1">
      <c r="A315" s="488"/>
      <c r="B315" s="489"/>
      <c r="C315" s="489"/>
      <c r="D315" s="488"/>
      <c r="E315" s="489"/>
      <c r="F315" s="489"/>
      <c r="G315" s="173"/>
      <c r="H315" s="488"/>
      <c r="I315" s="488"/>
      <c r="J315" s="488"/>
      <c r="K315" s="488"/>
      <c r="L315" s="488"/>
      <c r="M315" s="489"/>
      <c r="N315" s="488"/>
      <c r="O315" s="489"/>
      <c r="P315" s="489"/>
      <c r="Q315" s="489"/>
      <c r="R315" s="489"/>
      <c r="S315" s="28"/>
      <c r="T315" s="490"/>
      <c r="U315" s="489"/>
    </row>
    <row r="316" ht="30.0" customHeight="1">
      <c r="A316" s="488"/>
      <c r="B316" s="489"/>
      <c r="C316" s="489"/>
      <c r="D316" s="488"/>
      <c r="E316" s="489"/>
      <c r="F316" s="489"/>
      <c r="G316" s="173"/>
      <c r="H316" s="488"/>
      <c r="I316" s="488"/>
      <c r="J316" s="488"/>
      <c r="K316" s="488"/>
      <c r="L316" s="488"/>
      <c r="M316" s="489"/>
      <c r="N316" s="488"/>
      <c r="O316" s="489"/>
      <c r="P316" s="489"/>
      <c r="Q316" s="489"/>
      <c r="R316" s="489"/>
      <c r="S316" s="28"/>
      <c r="T316" s="490"/>
      <c r="U316" s="489"/>
    </row>
    <row r="317" ht="30.0" customHeight="1">
      <c r="A317" s="488"/>
      <c r="B317" s="489"/>
      <c r="C317" s="489"/>
      <c r="D317" s="488"/>
      <c r="E317" s="489"/>
      <c r="F317" s="489"/>
      <c r="G317" s="173"/>
      <c r="H317" s="488"/>
      <c r="I317" s="488"/>
      <c r="J317" s="488"/>
      <c r="K317" s="488"/>
      <c r="L317" s="488"/>
      <c r="M317" s="489"/>
      <c r="N317" s="488"/>
      <c r="O317" s="489"/>
      <c r="P317" s="489"/>
      <c r="Q317" s="489"/>
      <c r="R317" s="489"/>
      <c r="S317" s="28"/>
      <c r="T317" s="490"/>
      <c r="U317" s="489"/>
    </row>
    <row r="318" ht="30.0" customHeight="1">
      <c r="A318" s="488"/>
      <c r="B318" s="489"/>
      <c r="C318" s="489"/>
      <c r="D318" s="488"/>
      <c r="E318" s="489"/>
      <c r="F318" s="489"/>
      <c r="G318" s="173"/>
      <c r="H318" s="488"/>
      <c r="I318" s="488"/>
      <c r="J318" s="488"/>
      <c r="K318" s="488"/>
      <c r="L318" s="488"/>
      <c r="M318" s="489"/>
      <c r="N318" s="488"/>
      <c r="O318" s="489"/>
      <c r="P318" s="489"/>
      <c r="Q318" s="489"/>
      <c r="R318" s="489"/>
      <c r="S318" s="28"/>
      <c r="T318" s="490"/>
      <c r="U318" s="489"/>
    </row>
    <row r="319" ht="30.0" customHeight="1">
      <c r="A319" s="488"/>
      <c r="B319" s="489"/>
      <c r="C319" s="489"/>
      <c r="D319" s="488"/>
      <c r="E319" s="489"/>
      <c r="F319" s="489"/>
      <c r="G319" s="173"/>
      <c r="H319" s="488"/>
      <c r="I319" s="488"/>
      <c r="J319" s="488"/>
      <c r="K319" s="488"/>
      <c r="L319" s="488"/>
      <c r="M319" s="489"/>
      <c r="N319" s="488"/>
      <c r="O319" s="489"/>
      <c r="P319" s="489"/>
      <c r="Q319" s="489"/>
      <c r="R319" s="489"/>
      <c r="S319" s="28"/>
      <c r="T319" s="490"/>
      <c r="U319" s="489"/>
    </row>
    <row r="320" ht="30.0" customHeight="1">
      <c r="A320" s="488"/>
      <c r="B320" s="489"/>
      <c r="C320" s="489"/>
      <c r="D320" s="488"/>
      <c r="E320" s="489"/>
      <c r="F320" s="489"/>
      <c r="G320" s="173"/>
      <c r="H320" s="488"/>
      <c r="I320" s="488"/>
      <c r="J320" s="488"/>
      <c r="K320" s="488"/>
      <c r="L320" s="488"/>
      <c r="M320" s="489"/>
      <c r="N320" s="488"/>
      <c r="O320" s="489"/>
      <c r="P320" s="489"/>
      <c r="Q320" s="489"/>
      <c r="R320" s="489"/>
      <c r="S320" s="28"/>
      <c r="T320" s="490"/>
      <c r="U320" s="489"/>
    </row>
    <row r="321" ht="30.0" customHeight="1">
      <c r="A321" s="488"/>
      <c r="B321" s="489"/>
      <c r="C321" s="489"/>
      <c r="D321" s="488"/>
      <c r="E321" s="489"/>
      <c r="F321" s="489"/>
      <c r="G321" s="173"/>
      <c r="H321" s="488"/>
      <c r="I321" s="488"/>
      <c r="J321" s="488"/>
      <c r="K321" s="488"/>
      <c r="L321" s="488"/>
      <c r="M321" s="489"/>
      <c r="N321" s="488"/>
      <c r="O321" s="489"/>
      <c r="P321" s="489"/>
      <c r="Q321" s="489"/>
      <c r="R321" s="489"/>
      <c r="S321" s="28"/>
      <c r="T321" s="490"/>
      <c r="U321" s="489"/>
    </row>
    <row r="322" ht="30.0" customHeight="1">
      <c r="A322" s="488"/>
      <c r="B322" s="489"/>
      <c r="C322" s="489"/>
      <c r="D322" s="488"/>
      <c r="E322" s="489"/>
      <c r="F322" s="489"/>
      <c r="G322" s="173"/>
      <c r="H322" s="488"/>
      <c r="I322" s="488"/>
      <c r="J322" s="488"/>
      <c r="K322" s="488"/>
      <c r="L322" s="488"/>
      <c r="M322" s="489"/>
      <c r="N322" s="488"/>
      <c r="O322" s="489"/>
      <c r="P322" s="489"/>
      <c r="Q322" s="489"/>
      <c r="R322" s="489"/>
      <c r="S322" s="28"/>
      <c r="T322" s="490"/>
      <c r="U322" s="489"/>
    </row>
    <row r="323" ht="30.0" customHeight="1">
      <c r="A323" s="488"/>
      <c r="B323" s="489"/>
      <c r="C323" s="489"/>
      <c r="D323" s="488"/>
      <c r="E323" s="489"/>
      <c r="F323" s="489"/>
      <c r="G323" s="173"/>
      <c r="H323" s="488"/>
      <c r="I323" s="488"/>
      <c r="J323" s="488"/>
      <c r="K323" s="488"/>
      <c r="L323" s="488"/>
      <c r="M323" s="489"/>
      <c r="N323" s="488"/>
      <c r="O323" s="489"/>
      <c r="P323" s="489"/>
      <c r="Q323" s="489"/>
      <c r="R323" s="489"/>
      <c r="S323" s="28"/>
      <c r="T323" s="490"/>
      <c r="U323" s="489"/>
    </row>
    <row r="324" ht="30.0" customHeight="1">
      <c r="A324" s="488"/>
      <c r="B324" s="489"/>
      <c r="C324" s="489"/>
      <c r="D324" s="488"/>
      <c r="E324" s="489"/>
      <c r="F324" s="489"/>
      <c r="G324" s="173"/>
      <c r="H324" s="488"/>
      <c r="I324" s="488"/>
      <c r="J324" s="488"/>
      <c r="K324" s="488"/>
      <c r="L324" s="488"/>
      <c r="M324" s="489"/>
      <c r="N324" s="488"/>
      <c r="O324" s="489"/>
      <c r="P324" s="489"/>
      <c r="Q324" s="489"/>
      <c r="R324" s="489"/>
      <c r="S324" s="28"/>
      <c r="T324" s="490"/>
      <c r="U324" s="489"/>
    </row>
    <row r="325" ht="30.0" customHeight="1">
      <c r="A325" s="488"/>
      <c r="B325" s="489"/>
      <c r="C325" s="489"/>
      <c r="D325" s="488"/>
      <c r="E325" s="489"/>
      <c r="F325" s="489"/>
      <c r="G325" s="173"/>
      <c r="H325" s="488"/>
      <c r="I325" s="488"/>
      <c r="J325" s="488"/>
      <c r="K325" s="488"/>
      <c r="L325" s="488"/>
      <c r="M325" s="489"/>
      <c r="N325" s="488"/>
      <c r="O325" s="489"/>
      <c r="P325" s="489"/>
      <c r="Q325" s="489"/>
      <c r="R325" s="489"/>
      <c r="S325" s="28"/>
      <c r="T325" s="490"/>
      <c r="U325" s="489"/>
    </row>
    <row r="326" ht="30.0" customHeight="1">
      <c r="A326" s="488"/>
      <c r="B326" s="489"/>
      <c r="C326" s="489"/>
      <c r="D326" s="488"/>
      <c r="E326" s="489"/>
      <c r="F326" s="489"/>
      <c r="G326" s="173"/>
      <c r="H326" s="488"/>
      <c r="I326" s="488"/>
      <c r="J326" s="488"/>
      <c r="K326" s="488"/>
      <c r="L326" s="488"/>
      <c r="M326" s="489"/>
      <c r="N326" s="488"/>
      <c r="O326" s="489"/>
      <c r="P326" s="489"/>
      <c r="Q326" s="489"/>
      <c r="R326" s="489"/>
      <c r="S326" s="28"/>
      <c r="T326" s="490"/>
      <c r="U326" s="489"/>
    </row>
    <row r="327" ht="30.0" customHeight="1">
      <c r="A327" s="488"/>
      <c r="B327" s="489"/>
      <c r="C327" s="489"/>
      <c r="D327" s="488"/>
      <c r="E327" s="489"/>
      <c r="F327" s="489"/>
      <c r="G327" s="173"/>
      <c r="H327" s="488"/>
      <c r="I327" s="488"/>
      <c r="J327" s="488"/>
      <c r="K327" s="488"/>
      <c r="L327" s="488"/>
      <c r="M327" s="489"/>
      <c r="N327" s="488"/>
      <c r="O327" s="489"/>
      <c r="P327" s="489"/>
      <c r="Q327" s="489"/>
      <c r="R327" s="489"/>
      <c r="S327" s="28"/>
      <c r="T327" s="490"/>
      <c r="U327" s="489"/>
    </row>
    <row r="328" ht="30.0" customHeight="1">
      <c r="A328" s="488"/>
      <c r="B328" s="489"/>
      <c r="C328" s="489"/>
      <c r="D328" s="488"/>
      <c r="E328" s="489"/>
      <c r="F328" s="489"/>
      <c r="G328" s="173"/>
      <c r="H328" s="488"/>
      <c r="I328" s="488"/>
      <c r="J328" s="488"/>
      <c r="K328" s="488"/>
      <c r="L328" s="488"/>
      <c r="M328" s="489"/>
      <c r="N328" s="488"/>
      <c r="O328" s="489"/>
      <c r="P328" s="489"/>
      <c r="Q328" s="489"/>
      <c r="R328" s="489"/>
      <c r="S328" s="28"/>
      <c r="T328" s="490"/>
      <c r="U328" s="489"/>
    </row>
    <row r="329" ht="30.0" customHeight="1">
      <c r="A329" s="488"/>
      <c r="B329" s="489"/>
      <c r="C329" s="489"/>
      <c r="D329" s="488"/>
      <c r="E329" s="489"/>
      <c r="F329" s="489"/>
      <c r="G329" s="173"/>
      <c r="H329" s="488"/>
      <c r="I329" s="488"/>
      <c r="J329" s="488"/>
      <c r="K329" s="488"/>
      <c r="L329" s="488"/>
      <c r="M329" s="489"/>
      <c r="N329" s="488"/>
      <c r="O329" s="489"/>
      <c r="P329" s="489"/>
      <c r="Q329" s="489"/>
      <c r="R329" s="489"/>
      <c r="S329" s="28"/>
      <c r="T329" s="490"/>
      <c r="U329" s="489"/>
    </row>
    <row r="330" ht="30.0" customHeight="1">
      <c r="A330" s="488"/>
      <c r="B330" s="489"/>
      <c r="C330" s="489"/>
      <c r="D330" s="488"/>
      <c r="E330" s="489"/>
      <c r="F330" s="489"/>
      <c r="G330" s="173"/>
      <c r="H330" s="488"/>
      <c r="I330" s="488"/>
      <c r="J330" s="488"/>
      <c r="K330" s="488"/>
      <c r="L330" s="488"/>
      <c r="M330" s="489"/>
      <c r="N330" s="488"/>
      <c r="O330" s="489"/>
      <c r="P330" s="489"/>
      <c r="Q330" s="489"/>
      <c r="R330" s="489"/>
      <c r="S330" s="28"/>
      <c r="T330" s="490"/>
      <c r="U330" s="489"/>
    </row>
    <row r="331" ht="30.0" customHeight="1">
      <c r="A331" s="488"/>
      <c r="B331" s="489"/>
      <c r="C331" s="489"/>
      <c r="D331" s="488"/>
      <c r="E331" s="489"/>
      <c r="F331" s="489"/>
      <c r="G331" s="173"/>
      <c r="H331" s="488"/>
      <c r="I331" s="488"/>
      <c r="J331" s="488"/>
      <c r="K331" s="488"/>
      <c r="L331" s="488"/>
      <c r="M331" s="489"/>
      <c r="N331" s="488"/>
      <c r="O331" s="489"/>
      <c r="P331" s="489"/>
      <c r="Q331" s="489"/>
      <c r="R331" s="489"/>
      <c r="S331" s="28"/>
      <c r="T331" s="490"/>
      <c r="U331" s="489"/>
    </row>
    <row r="332" ht="30.0" customHeight="1">
      <c r="A332" s="488"/>
      <c r="B332" s="489"/>
      <c r="C332" s="489"/>
      <c r="D332" s="488"/>
      <c r="E332" s="489"/>
      <c r="F332" s="489"/>
      <c r="G332" s="173"/>
      <c r="H332" s="488"/>
      <c r="I332" s="488"/>
      <c r="J332" s="488"/>
      <c r="K332" s="488"/>
      <c r="L332" s="488"/>
      <c r="M332" s="489"/>
      <c r="N332" s="488"/>
      <c r="O332" s="489"/>
      <c r="P332" s="489"/>
      <c r="Q332" s="489"/>
      <c r="R332" s="489"/>
      <c r="S332" s="28"/>
      <c r="T332" s="490"/>
      <c r="U332" s="489"/>
    </row>
    <row r="333" ht="30.0" customHeight="1">
      <c r="A333" s="488"/>
      <c r="B333" s="489"/>
      <c r="C333" s="489"/>
      <c r="D333" s="488"/>
      <c r="E333" s="489"/>
      <c r="F333" s="489"/>
      <c r="G333" s="173"/>
      <c r="H333" s="488"/>
      <c r="I333" s="488"/>
      <c r="J333" s="488"/>
      <c r="K333" s="488"/>
      <c r="L333" s="488"/>
      <c r="M333" s="489"/>
      <c r="N333" s="488"/>
      <c r="O333" s="489"/>
      <c r="P333" s="489"/>
      <c r="Q333" s="489"/>
      <c r="R333" s="489"/>
      <c r="S333" s="28"/>
      <c r="T333" s="490"/>
      <c r="U333" s="489"/>
    </row>
    <row r="334" ht="30.0" customHeight="1">
      <c r="A334" s="488"/>
      <c r="B334" s="489"/>
      <c r="C334" s="489"/>
      <c r="D334" s="488"/>
      <c r="E334" s="489"/>
      <c r="F334" s="489"/>
      <c r="G334" s="173"/>
      <c r="H334" s="488"/>
      <c r="I334" s="488"/>
      <c r="J334" s="488"/>
      <c r="K334" s="488"/>
      <c r="L334" s="488"/>
      <c r="M334" s="489"/>
      <c r="N334" s="488"/>
      <c r="O334" s="489"/>
      <c r="P334" s="489"/>
      <c r="Q334" s="489"/>
      <c r="R334" s="489"/>
      <c r="S334" s="28"/>
      <c r="T334" s="490"/>
      <c r="U334" s="489"/>
    </row>
    <row r="335" ht="30.0" customHeight="1">
      <c r="A335" s="488"/>
      <c r="B335" s="489"/>
      <c r="C335" s="489"/>
      <c r="D335" s="488"/>
      <c r="E335" s="489"/>
      <c r="F335" s="489"/>
      <c r="G335" s="173"/>
      <c r="H335" s="488"/>
      <c r="I335" s="488"/>
      <c r="J335" s="488"/>
      <c r="K335" s="488"/>
      <c r="L335" s="488"/>
      <c r="M335" s="489"/>
      <c r="N335" s="488"/>
      <c r="O335" s="489"/>
      <c r="P335" s="489"/>
      <c r="Q335" s="489"/>
      <c r="R335" s="489"/>
      <c r="S335" s="28"/>
      <c r="T335" s="490"/>
      <c r="U335" s="489"/>
    </row>
    <row r="336" ht="30.0" customHeight="1">
      <c r="A336" s="488"/>
      <c r="B336" s="489"/>
      <c r="C336" s="489"/>
      <c r="D336" s="488"/>
      <c r="E336" s="489"/>
      <c r="F336" s="489"/>
      <c r="G336" s="173"/>
      <c r="H336" s="488"/>
      <c r="I336" s="488"/>
      <c r="J336" s="488"/>
      <c r="K336" s="488"/>
      <c r="L336" s="488"/>
      <c r="M336" s="489"/>
      <c r="N336" s="488"/>
      <c r="O336" s="489"/>
      <c r="P336" s="489"/>
      <c r="Q336" s="489"/>
      <c r="R336" s="489"/>
      <c r="S336" s="28"/>
      <c r="T336" s="490"/>
      <c r="U336" s="489"/>
    </row>
    <row r="337" ht="30.0" customHeight="1">
      <c r="A337" s="488"/>
      <c r="B337" s="489"/>
      <c r="C337" s="489"/>
      <c r="D337" s="488"/>
      <c r="E337" s="489"/>
      <c r="F337" s="489"/>
      <c r="G337" s="173"/>
      <c r="H337" s="488"/>
      <c r="I337" s="488"/>
      <c r="J337" s="488"/>
      <c r="K337" s="488"/>
      <c r="L337" s="488"/>
      <c r="M337" s="489"/>
      <c r="N337" s="488"/>
      <c r="O337" s="489"/>
      <c r="P337" s="489"/>
      <c r="Q337" s="489"/>
      <c r="R337" s="489"/>
      <c r="S337" s="28"/>
      <c r="T337" s="490"/>
      <c r="U337" s="489"/>
    </row>
    <row r="338" ht="30.0" customHeight="1">
      <c r="A338" s="488"/>
      <c r="B338" s="489"/>
      <c r="C338" s="489"/>
      <c r="D338" s="488"/>
      <c r="E338" s="489"/>
      <c r="F338" s="489"/>
      <c r="G338" s="173"/>
      <c r="H338" s="488"/>
      <c r="I338" s="488"/>
      <c r="J338" s="488"/>
      <c r="K338" s="488"/>
      <c r="L338" s="488"/>
      <c r="M338" s="489"/>
      <c r="N338" s="488"/>
      <c r="O338" s="489"/>
      <c r="P338" s="489"/>
      <c r="Q338" s="489"/>
      <c r="R338" s="489"/>
      <c r="S338" s="28"/>
      <c r="T338" s="490"/>
      <c r="U338" s="489"/>
    </row>
    <row r="339" ht="30.0" customHeight="1">
      <c r="A339" s="488"/>
      <c r="B339" s="489"/>
      <c r="C339" s="489"/>
      <c r="D339" s="488"/>
      <c r="E339" s="489"/>
      <c r="F339" s="489"/>
      <c r="G339" s="173"/>
      <c r="H339" s="488"/>
      <c r="I339" s="488"/>
      <c r="J339" s="488"/>
      <c r="K339" s="488"/>
      <c r="L339" s="488"/>
      <c r="M339" s="489"/>
      <c r="N339" s="488"/>
      <c r="O339" s="489"/>
      <c r="P339" s="489"/>
      <c r="Q339" s="489"/>
      <c r="R339" s="489"/>
      <c r="S339" s="28"/>
      <c r="T339" s="490"/>
      <c r="U339" s="489"/>
    </row>
    <row r="340" ht="30.0" customHeight="1">
      <c r="A340" s="488"/>
      <c r="B340" s="489"/>
      <c r="C340" s="489"/>
      <c r="D340" s="488"/>
      <c r="E340" s="489"/>
      <c r="F340" s="489"/>
      <c r="G340" s="173"/>
      <c r="H340" s="488"/>
      <c r="I340" s="488"/>
      <c r="J340" s="488"/>
      <c r="K340" s="488"/>
      <c r="L340" s="488"/>
      <c r="M340" s="489"/>
      <c r="N340" s="488"/>
      <c r="O340" s="489"/>
      <c r="P340" s="489"/>
      <c r="Q340" s="489"/>
      <c r="R340" s="489"/>
      <c r="S340" s="28"/>
      <c r="T340" s="490"/>
      <c r="U340" s="489"/>
    </row>
    <row r="341" ht="30.0" customHeight="1">
      <c r="A341" s="488"/>
      <c r="B341" s="489"/>
      <c r="C341" s="489"/>
      <c r="D341" s="488"/>
      <c r="E341" s="489"/>
      <c r="F341" s="489"/>
      <c r="G341" s="173"/>
      <c r="H341" s="488"/>
      <c r="I341" s="488"/>
      <c r="J341" s="488"/>
      <c r="K341" s="488"/>
      <c r="L341" s="488"/>
      <c r="M341" s="489"/>
      <c r="N341" s="488"/>
      <c r="O341" s="489"/>
      <c r="P341" s="489"/>
      <c r="Q341" s="489"/>
      <c r="R341" s="489"/>
      <c r="S341" s="28"/>
      <c r="T341" s="490"/>
      <c r="U341" s="489"/>
    </row>
    <row r="342" ht="30.0" customHeight="1">
      <c r="A342" s="488"/>
      <c r="B342" s="489"/>
      <c r="C342" s="489"/>
      <c r="D342" s="488"/>
      <c r="E342" s="489"/>
      <c r="F342" s="489"/>
      <c r="G342" s="173"/>
      <c r="H342" s="488"/>
      <c r="I342" s="488"/>
      <c r="J342" s="488"/>
      <c r="K342" s="488"/>
      <c r="L342" s="488"/>
      <c r="M342" s="489"/>
      <c r="N342" s="488"/>
      <c r="O342" s="489"/>
      <c r="P342" s="489"/>
      <c r="Q342" s="489"/>
      <c r="R342" s="489"/>
      <c r="S342" s="28"/>
      <c r="T342" s="490"/>
      <c r="U342" s="489"/>
    </row>
    <row r="343" ht="30.0" customHeight="1">
      <c r="A343" s="488"/>
      <c r="B343" s="489"/>
      <c r="C343" s="489"/>
      <c r="D343" s="488"/>
      <c r="E343" s="489"/>
      <c r="F343" s="489"/>
      <c r="G343" s="173"/>
      <c r="H343" s="488"/>
      <c r="I343" s="488"/>
      <c r="J343" s="488"/>
      <c r="K343" s="488"/>
      <c r="L343" s="488"/>
      <c r="M343" s="489"/>
      <c r="N343" s="488"/>
      <c r="O343" s="489"/>
      <c r="P343" s="489"/>
      <c r="Q343" s="489"/>
      <c r="R343" s="489"/>
      <c r="S343" s="28"/>
      <c r="T343" s="490"/>
      <c r="U343" s="489"/>
    </row>
    <row r="344" ht="30.0" customHeight="1">
      <c r="A344" s="488"/>
      <c r="B344" s="489"/>
      <c r="C344" s="489"/>
      <c r="D344" s="488"/>
      <c r="E344" s="489"/>
      <c r="F344" s="489"/>
      <c r="G344" s="173"/>
      <c r="H344" s="488"/>
      <c r="I344" s="488"/>
      <c r="J344" s="488"/>
      <c r="K344" s="488"/>
      <c r="L344" s="488"/>
      <c r="M344" s="489"/>
      <c r="N344" s="488"/>
      <c r="O344" s="489"/>
      <c r="P344" s="489"/>
      <c r="Q344" s="489"/>
      <c r="R344" s="489"/>
      <c r="S344" s="28"/>
      <c r="T344" s="490"/>
      <c r="U344" s="489"/>
    </row>
    <row r="345" ht="30.0" customHeight="1">
      <c r="A345" s="488"/>
      <c r="B345" s="489"/>
      <c r="C345" s="489"/>
      <c r="D345" s="488"/>
      <c r="E345" s="489"/>
      <c r="F345" s="489"/>
      <c r="G345" s="173"/>
      <c r="H345" s="488"/>
      <c r="I345" s="488"/>
      <c r="J345" s="488"/>
      <c r="K345" s="488"/>
      <c r="L345" s="488"/>
      <c r="M345" s="489"/>
      <c r="N345" s="488"/>
      <c r="O345" s="489"/>
      <c r="P345" s="489"/>
      <c r="Q345" s="489"/>
      <c r="R345" s="489"/>
      <c r="S345" s="28"/>
      <c r="T345" s="490"/>
      <c r="U345" s="489"/>
    </row>
    <row r="346" ht="30.0" customHeight="1">
      <c r="A346" s="488"/>
      <c r="B346" s="489"/>
      <c r="C346" s="489"/>
      <c r="D346" s="488"/>
      <c r="E346" s="489"/>
      <c r="F346" s="489"/>
      <c r="G346" s="173"/>
      <c r="H346" s="488"/>
      <c r="I346" s="488"/>
      <c r="J346" s="488"/>
      <c r="K346" s="488"/>
      <c r="L346" s="488"/>
      <c r="M346" s="489"/>
      <c r="N346" s="488"/>
      <c r="O346" s="489"/>
      <c r="P346" s="489"/>
      <c r="Q346" s="489"/>
      <c r="R346" s="489"/>
      <c r="S346" s="28"/>
      <c r="T346" s="490"/>
      <c r="U346" s="489"/>
    </row>
    <row r="347" ht="30.0" customHeight="1">
      <c r="A347" s="488"/>
      <c r="B347" s="489"/>
      <c r="C347" s="489"/>
      <c r="D347" s="488"/>
      <c r="E347" s="489"/>
      <c r="F347" s="489"/>
      <c r="G347" s="173"/>
      <c r="H347" s="488"/>
      <c r="I347" s="488"/>
      <c r="J347" s="488"/>
      <c r="K347" s="488"/>
      <c r="L347" s="488"/>
      <c r="M347" s="489"/>
      <c r="N347" s="488"/>
      <c r="O347" s="489"/>
      <c r="P347" s="489"/>
      <c r="Q347" s="489"/>
      <c r="R347" s="489"/>
      <c r="S347" s="28"/>
      <c r="T347" s="490"/>
      <c r="U347" s="489"/>
    </row>
    <row r="348" ht="30.0" customHeight="1">
      <c r="A348" s="488"/>
      <c r="B348" s="489"/>
      <c r="C348" s="489"/>
      <c r="D348" s="488"/>
      <c r="E348" s="489"/>
      <c r="F348" s="489"/>
      <c r="G348" s="173"/>
      <c r="H348" s="488"/>
      <c r="I348" s="488"/>
      <c r="J348" s="488"/>
      <c r="K348" s="488"/>
      <c r="L348" s="488"/>
      <c r="M348" s="489"/>
      <c r="N348" s="488"/>
      <c r="O348" s="489"/>
      <c r="P348" s="489"/>
      <c r="Q348" s="489"/>
      <c r="R348" s="489"/>
      <c r="S348" s="28"/>
      <c r="T348" s="490"/>
      <c r="U348" s="489"/>
    </row>
    <row r="349" ht="30.0" customHeight="1">
      <c r="A349" s="488"/>
      <c r="B349" s="489"/>
      <c r="C349" s="489"/>
      <c r="D349" s="488"/>
      <c r="E349" s="489"/>
      <c r="F349" s="489"/>
      <c r="G349" s="173"/>
      <c r="H349" s="488"/>
      <c r="I349" s="488"/>
      <c r="J349" s="488"/>
      <c r="K349" s="488"/>
      <c r="L349" s="488"/>
      <c r="M349" s="489"/>
      <c r="N349" s="488"/>
      <c r="O349" s="489"/>
      <c r="P349" s="489"/>
      <c r="Q349" s="489"/>
      <c r="R349" s="489"/>
      <c r="S349" s="28"/>
      <c r="T349" s="490"/>
      <c r="U349" s="489"/>
    </row>
    <row r="350" ht="30.0" customHeight="1">
      <c r="A350" s="488"/>
      <c r="B350" s="489"/>
      <c r="C350" s="489"/>
      <c r="D350" s="488"/>
      <c r="E350" s="489"/>
      <c r="F350" s="489"/>
      <c r="G350" s="173"/>
      <c r="H350" s="488"/>
      <c r="I350" s="488"/>
      <c r="J350" s="488"/>
      <c r="K350" s="488"/>
      <c r="L350" s="488"/>
      <c r="M350" s="489"/>
      <c r="N350" s="488"/>
      <c r="O350" s="489"/>
      <c r="P350" s="489"/>
      <c r="Q350" s="489"/>
      <c r="R350" s="489"/>
      <c r="S350" s="28"/>
      <c r="T350" s="490"/>
      <c r="U350" s="489"/>
    </row>
    <row r="351" ht="30.0" customHeight="1">
      <c r="A351" s="488"/>
      <c r="B351" s="489"/>
      <c r="C351" s="489"/>
      <c r="D351" s="488"/>
      <c r="E351" s="489"/>
      <c r="F351" s="489"/>
      <c r="G351" s="173"/>
      <c r="H351" s="488"/>
      <c r="I351" s="488"/>
      <c r="J351" s="488"/>
      <c r="K351" s="488"/>
      <c r="L351" s="488"/>
      <c r="M351" s="489"/>
      <c r="N351" s="488"/>
      <c r="O351" s="489"/>
      <c r="P351" s="489"/>
      <c r="Q351" s="489"/>
      <c r="R351" s="489"/>
      <c r="S351" s="28"/>
      <c r="T351" s="490"/>
      <c r="U351" s="489"/>
    </row>
    <row r="352" ht="30.0" customHeight="1">
      <c r="A352" s="488"/>
      <c r="B352" s="489"/>
      <c r="C352" s="489"/>
      <c r="D352" s="488"/>
      <c r="E352" s="489"/>
      <c r="F352" s="489"/>
      <c r="G352" s="173"/>
      <c r="H352" s="488"/>
      <c r="I352" s="488"/>
      <c r="J352" s="488"/>
      <c r="K352" s="488"/>
      <c r="L352" s="488"/>
      <c r="M352" s="489"/>
      <c r="N352" s="488"/>
      <c r="O352" s="489"/>
      <c r="P352" s="489"/>
      <c r="Q352" s="489"/>
      <c r="R352" s="489"/>
      <c r="S352" s="28"/>
      <c r="T352" s="490"/>
      <c r="U352" s="489"/>
    </row>
    <row r="353" ht="30.0" customHeight="1">
      <c r="A353" s="488"/>
      <c r="B353" s="489"/>
      <c r="C353" s="489"/>
      <c r="D353" s="488"/>
      <c r="E353" s="489"/>
      <c r="F353" s="489"/>
      <c r="G353" s="173"/>
      <c r="H353" s="488"/>
      <c r="I353" s="488"/>
      <c r="J353" s="488"/>
      <c r="K353" s="488"/>
      <c r="L353" s="488"/>
      <c r="M353" s="489"/>
      <c r="N353" s="488"/>
      <c r="O353" s="489"/>
      <c r="P353" s="489"/>
      <c r="Q353" s="489"/>
      <c r="R353" s="489"/>
      <c r="S353" s="28"/>
      <c r="T353" s="490"/>
      <c r="U353" s="489"/>
    </row>
    <row r="354" ht="30.0" customHeight="1">
      <c r="A354" s="488"/>
      <c r="B354" s="489"/>
      <c r="C354" s="489"/>
      <c r="D354" s="488"/>
      <c r="E354" s="489"/>
      <c r="F354" s="489"/>
      <c r="G354" s="173"/>
      <c r="H354" s="488"/>
      <c r="I354" s="488"/>
      <c r="J354" s="488"/>
      <c r="K354" s="488"/>
      <c r="L354" s="488"/>
      <c r="M354" s="489"/>
      <c r="N354" s="488"/>
      <c r="O354" s="489"/>
      <c r="P354" s="489"/>
      <c r="Q354" s="489"/>
      <c r="R354" s="489"/>
      <c r="S354" s="28"/>
      <c r="T354" s="490"/>
      <c r="U354" s="489"/>
    </row>
    <row r="355" ht="30.0" customHeight="1">
      <c r="A355" s="488"/>
      <c r="B355" s="489"/>
      <c r="C355" s="489"/>
      <c r="D355" s="488"/>
      <c r="E355" s="489"/>
      <c r="F355" s="489"/>
      <c r="G355" s="173"/>
      <c r="H355" s="488"/>
      <c r="I355" s="488"/>
      <c r="J355" s="488"/>
      <c r="K355" s="488"/>
      <c r="L355" s="488"/>
      <c r="M355" s="489"/>
      <c r="N355" s="488"/>
      <c r="O355" s="489"/>
      <c r="P355" s="489"/>
      <c r="Q355" s="489"/>
      <c r="R355" s="489"/>
      <c r="S355" s="28"/>
      <c r="T355" s="490"/>
      <c r="U355" s="489"/>
    </row>
    <row r="356" ht="30.0" customHeight="1">
      <c r="A356" s="488"/>
      <c r="B356" s="489"/>
      <c r="C356" s="489"/>
      <c r="D356" s="488"/>
      <c r="E356" s="489"/>
      <c r="F356" s="489"/>
      <c r="G356" s="173"/>
      <c r="H356" s="488"/>
      <c r="I356" s="488"/>
      <c r="J356" s="488"/>
      <c r="K356" s="488"/>
      <c r="L356" s="488"/>
      <c r="M356" s="489"/>
      <c r="N356" s="488"/>
      <c r="O356" s="489"/>
      <c r="P356" s="489"/>
      <c r="Q356" s="489"/>
      <c r="R356" s="489"/>
      <c r="S356" s="28"/>
      <c r="T356" s="490"/>
      <c r="U356" s="489"/>
    </row>
    <row r="357" ht="30.0" customHeight="1">
      <c r="A357" s="488"/>
      <c r="B357" s="489"/>
      <c r="C357" s="489"/>
      <c r="D357" s="488"/>
      <c r="E357" s="489"/>
      <c r="F357" s="489"/>
      <c r="G357" s="173"/>
      <c r="H357" s="488"/>
      <c r="I357" s="488"/>
      <c r="J357" s="488"/>
      <c r="K357" s="488"/>
      <c r="L357" s="488"/>
      <c r="M357" s="489"/>
      <c r="N357" s="488"/>
      <c r="O357" s="489"/>
      <c r="P357" s="489"/>
      <c r="Q357" s="489"/>
      <c r="R357" s="489"/>
      <c r="S357" s="28"/>
      <c r="T357" s="490"/>
      <c r="U357" s="489"/>
    </row>
    <row r="358" ht="30.0" customHeight="1">
      <c r="A358" s="488"/>
      <c r="B358" s="489"/>
      <c r="C358" s="489"/>
      <c r="D358" s="488"/>
      <c r="E358" s="489"/>
      <c r="F358" s="489"/>
      <c r="G358" s="173"/>
      <c r="H358" s="488"/>
      <c r="I358" s="488"/>
      <c r="J358" s="488"/>
      <c r="K358" s="488"/>
      <c r="L358" s="488"/>
      <c r="M358" s="489"/>
      <c r="N358" s="488"/>
      <c r="O358" s="489"/>
      <c r="P358" s="489"/>
      <c r="Q358" s="489"/>
      <c r="R358" s="489"/>
      <c r="S358" s="28"/>
      <c r="T358" s="490"/>
      <c r="U358" s="489"/>
    </row>
    <row r="359" ht="30.0" customHeight="1">
      <c r="A359" s="488"/>
      <c r="B359" s="489"/>
      <c r="C359" s="489"/>
      <c r="D359" s="488"/>
      <c r="E359" s="489"/>
      <c r="F359" s="489"/>
      <c r="G359" s="173"/>
      <c r="H359" s="488"/>
      <c r="I359" s="488"/>
      <c r="J359" s="488"/>
      <c r="K359" s="488"/>
      <c r="L359" s="488"/>
      <c r="M359" s="489"/>
      <c r="N359" s="488"/>
      <c r="O359" s="489"/>
      <c r="P359" s="489"/>
      <c r="Q359" s="489"/>
      <c r="R359" s="489"/>
      <c r="S359" s="28"/>
      <c r="T359" s="490"/>
      <c r="U359" s="489"/>
    </row>
    <row r="360" ht="30.0" customHeight="1">
      <c r="A360" s="488"/>
      <c r="B360" s="489"/>
      <c r="C360" s="489"/>
      <c r="D360" s="488"/>
      <c r="E360" s="489"/>
      <c r="F360" s="489"/>
      <c r="G360" s="173"/>
      <c r="H360" s="488"/>
      <c r="I360" s="488"/>
      <c r="J360" s="488"/>
      <c r="K360" s="488"/>
      <c r="L360" s="488"/>
      <c r="M360" s="489"/>
      <c r="N360" s="488"/>
      <c r="O360" s="489"/>
      <c r="P360" s="489"/>
      <c r="Q360" s="489"/>
      <c r="R360" s="489"/>
      <c r="S360" s="28"/>
      <c r="T360" s="490"/>
      <c r="U360" s="489"/>
    </row>
    <row r="361" ht="30.0" customHeight="1">
      <c r="A361" s="488"/>
      <c r="B361" s="489"/>
      <c r="C361" s="489"/>
      <c r="D361" s="488"/>
      <c r="E361" s="489"/>
      <c r="F361" s="489"/>
      <c r="G361" s="173"/>
      <c r="H361" s="488"/>
      <c r="I361" s="488"/>
      <c r="J361" s="488"/>
      <c r="K361" s="488"/>
      <c r="L361" s="488"/>
      <c r="M361" s="489"/>
      <c r="N361" s="488"/>
      <c r="O361" s="489"/>
      <c r="P361" s="489"/>
      <c r="Q361" s="489"/>
      <c r="R361" s="489"/>
      <c r="S361" s="28"/>
      <c r="T361" s="490"/>
      <c r="U361" s="489"/>
    </row>
    <row r="362" ht="30.0" customHeight="1">
      <c r="A362" s="488"/>
      <c r="B362" s="489"/>
      <c r="C362" s="489"/>
      <c r="D362" s="488"/>
      <c r="E362" s="489"/>
      <c r="F362" s="489"/>
      <c r="G362" s="173"/>
      <c r="H362" s="488"/>
      <c r="I362" s="488"/>
      <c r="J362" s="488"/>
      <c r="K362" s="488"/>
      <c r="L362" s="488"/>
      <c r="M362" s="489"/>
      <c r="N362" s="488"/>
      <c r="O362" s="489"/>
      <c r="P362" s="489"/>
      <c r="Q362" s="489"/>
      <c r="R362" s="489"/>
      <c r="S362" s="28"/>
      <c r="T362" s="490"/>
      <c r="U362" s="489"/>
    </row>
    <row r="363" ht="30.0" customHeight="1">
      <c r="A363" s="488"/>
      <c r="B363" s="489"/>
      <c r="C363" s="489"/>
      <c r="D363" s="488"/>
      <c r="E363" s="489"/>
      <c r="F363" s="489"/>
      <c r="G363" s="173"/>
      <c r="H363" s="488"/>
      <c r="I363" s="488"/>
      <c r="J363" s="488"/>
      <c r="K363" s="488"/>
      <c r="L363" s="488"/>
      <c r="M363" s="489"/>
      <c r="N363" s="488"/>
      <c r="O363" s="489"/>
      <c r="P363" s="489"/>
      <c r="Q363" s="489"/>
      <c r="R363" s="489"/>
      <c r="S363" s="28"/>
      <c r="T363" s="490"/>
      <c r="U363" s="489"/>
    </row>
    <row r="364" ht="30.0" customHeight="1">
      <c r="A364" s="488"/>
      <c r="B364" s="489"/>
      <c r="C364" s="489"/>
      <c r="D364" s="488"/>
      <c r="E364" s="489"/>
      <c r="F364" s="489"/>
      <c r="G364" s="173"/>
      <c r="H364" s="488"/>
      <c r="I364" s="488"/>
      <c r="J364" s="488"/>
      <c r="K364" s="488"/>
      <c r="L364" s="488"/>
      <c r="M364" s="489"/>
      <c r="N364" s="488"/>
      <c r="O364" s="489"/>
      <c r="P364" s="489"/>
      <c r="Q364" s="489"/>
      <c r="R364" s="489"/>
      <c r="S364" s="28"/>
      <c r="T364" s="490"/>
      <c r="U364" s="489"/>
    </row>
    <row r="365" ht="30.0" customHeight="1">
      <c r="A365" s="488"/>
      <c r="B365" s="489"/>
      <c r="C365" s="489"/>
      <c r="D365" s="488"/>
      <c r="E365" s="489"/>
      <c r="F365" s="489"/>
      <c r="G365" s="173"/>
      <c r="H365" s="488"/>
      <c r="I365" s="488"/>
      <c r="J365" s="488"/>
      <c r="K365" s="488"/>
      <c r="L365" s="488"/>
      <c r="M365" s="489"/>
      <c r="N365" s="488"/>
      <c r="O365" s="489"/>
      <c r="P365" s="489"/>
      <c r="Q365" s="489"/>
      <c r="R365" s="489"/>
      <c r="S365" s="28"/>
      <c r="T365" s="490"/>
      <c r="U365" s="489"/>
    </row>
    <row r="366" ht="30.0" customHeight="1">
      <c r="A366" s="488"/>
      <c r="B366" s="489"/>
      <c r="C366" s="489"/>
      <c r="D366" s="488"/>
      <c r="E366" s="489"/>
      <c r="F366" s="489"/>
      <c r="G366" s="173"/>
      <c r="H366" s="488"/>
      <c r="I366" s="488"/>
      <c r="J366" s="488"/>
      <c r="K366" s="488"/>
      <c r="L366" s="488"/>
      <c r="M366" s="489"/>
      <c r="N366" s="488"/>
      <c r="O366" s="489"/>
      <c r="P366" s="489"/>
      <c r="Q366" s="489"/>
      <c r="R366" s="489"/>
      <c r="S366" s="28"/>
      <c r="T366" s="490"/>
      <c r="U366" s="489"/>
    </row>
    <row r="367" ht="30.0" customHeight="1">
      <c r="A367" s="488"/>
      <c r="B367" s="489"/>
      <c r="C367" s="489"/>
      <c r="D367" s="488"/>
      <c r="E367" s="489"/>
      <c r="F367" s="489"/>
      <c r="G367" s="173"/>
      <c r="H367" s="488"/>
      <c r="I367" s="488"/>
      <c r="J367" s="488"/>
      <c r="K367" s="488"/>
      <c r="L367" s="488"/>
      <c r="M367" s="489"/>
      <c r="N367" s="488"/>
      <c r="O367" s="489"/>
      <c r="P367" s="489"/>
      <c r="Q367" s="489"/>
      <c r="R367" s="489"/>
      <c r="S367" s="28"/>
      <c r="T367" s="490"/>
      <c r="U367" s="489"/>
    </row>
    <row r="368" ht="30.0" customHeight="1">
      <c r="A368" s="488"/>
      <c r="B368" s="489"/>
      <c r="C368" s="489"/>
      <c r="D368" s="488"/>
      <c r="E368" s="489"/>
      <c r="F368" s="489"/>
      <c r="G368" s="173"/>
      <c r="H368" s="488"/>
      <c r="I368" s="488"/>
      <c r="J368" s="488"/>
      <c r="K368" s="488"/>
      <c r="L368" s="488"/>
      <c r="M368" s="489"/>
      <c r="N368" s="488"/>
      <c r="O368" s="489"/>
      <c r="P368" s="489"/>
      <c r="Q368" s="489"/>
      <c r="R368" s="489"/>
      <c r="S368" s="28"/>
      <c r="T368" s="490"/>
      <c r="U368" s="489"/>
    </row>
    <row r="369" ht="30.0" customHeight="1">
      <c r="A369" s="488"/>
      <c r="B369" s="489"/>
      <c r="C369" s="489"/>
      <c r="D369" s="488"/>
      <c r="E369" s="489"/>
      <c r="F369" s="489"/>
      <c r="G369" s="173"/>
      <c r="H369" s="488"/>
      <c r="I369" s="488"/>
      <c r="J369" s="488"/>
      <c r="K369" s="488"/>
      <c r="L369" s="488"/>
      <c r="M369" s="489"/>
      <c r="N369" s="488"/>
      <c r="O369" s="489"/>
      <c r="P369" s="489"/>
      <c r="Q369" s="489"/>
      <c r="R369" s="489"/>
      <c r="S369" s="28"/>
      <c r="T369" s="490"/>
      <c r="U369" s="489"/>
    </row>
    <row r="370" ht="30.0" customHeight="1">
      <c r="A370" s="488"/>
      <c r="B370" s="489"/>
      <c r="C370" s="489"/>
      <c r="D370" s="488"/>
      <c r="E370" s="489"/>
      <c r="F370" s="489"/>
      <c r="G370" s="173"/>
      <c r="H370" s="488"/>
      <c r="I370" s="488"/>
      <c r="J370" s="488"/>
      <c r="K370" s="488"/>
      <c r="L370" s="488"/>
      <c r="M370" s="489"/>
      <c r="N370" s="488"/>
      <c r="O370" s="489"/>
      <c r="P370" s="489"/>
      <c r="Q370" s="489"/>
      <c r="R370" s="489"/>
      <c r="S370" s="28"/>
      <c r="T370" s="490"/>
      <c r="U370" s="489"/>
    </row>
    <row r="371" ht="30.0" customHeight="1">
      <c r="A371" s="488"/>
      <c r="B371" s="489"/>
      <c r="C371" s="489"/>
      <c r="D371" s="488"/>
      <c r="E371" s="489"/>
      <c r="F371" s="489"/>
      <c r="G371" s="173"/>
      <c r="H371" s="488"/>
      <c r="I371" s="488"/>
      <c r="J371" s="488"/>
      <c r="K371" s="488"/>
      <c r="L371" s="488"/>
      <c r="M371" s="489"/>
      <c r="N371" s="488"/>
      <c r="O371" s="489"/>
      <c r="P371" s="489"/>
      <c r="Q371" s="489"/>
      <c r="R371" s="489"/>
      <c r="S371" s="28"/>
      <c r="T371" s="490"/>
      <c r="U371" s="489"/>
    </row>
    <row r="372" ht="30.0" customHeight="1">
      <c r="A372" s="488"/>
      <c r="B372" s="489"/>
      <c r="C372" s="489"/>
      <c r="D372" s="488"/>
      <c r="E372" s="489"/>
      <c r="F372" s="489"/>
      <c r="G372" s="173"/>
      <c r="H372" s="488"/>
      <c r="I372" s="488"/>
      <c r="J372" s="488"/>
      <c r="K372" s="488"/>
      <c r="L372" s="488"/>
      <c r="M372" s="489"/>
      <c r="N372" s="488"/>
      <c r="O372" s="489"/>
      <c r="P372" s="489"/>
      <c r="Q372" s="489"/>
      <c r="R372" s="489"/>
      <c r="S372" s="28"/>
      <c r="T372" s="490"/>
      <c r="U372" s="489"/>
    </row>
    <row r="373" ht="30.0" customHeight="1">
      <c r="A373" s="488"/>
      <c r="B373" s="489"/>
      <c r="C373" s="489"/>
      <c r="D373" s="488"/>
      <c r="E373" s="489"/>
      <c r="F373" s="489"/>
      <c r="G373" s="173"/>
      <c r="H373" s="488"/>
      <c r="I373" s="488"/>
      <c r="J373" s="488"/>
      <c r="K373" s="488"/>
      <c r="L373" s="488"/>
      <c r="M373" s="489"/>
      <c r="N373" s="488"/>
      <c r="O373" s="489"/>
      <c r="P373" s="489"/>
      <c r="Q373" s="489"/>
      <c r="R373" s="489"/>
      <c r="S373" s="28"/>
      <c r="T373" s="490"/>
      <c r="U373" s="489"/>
    </row>
    <row r="374" ht="30.0" customHeight="1">
      <c r="A374" s="488"/>
      <c r="B374" s="489"/>
      <c r="C374" s="489"/>
      <c r="D374" s="488"/>
      <c r="E374" s="489"/>
      <c r="F374" s="489"/>
      <c r="G374" s="173"/>
      <c r="H374" s="488"/>
      <c r="I374" s="488"/>
      <c r="J374" s="488"/>
      <c r="K374" s="488"/>
      <c r="L374" s="488"/>
      <c r="M374" s="489"/>
      <c r="N374" s="488"/>
      <c r="O374" s="489"/>
      <c r="P374" s="489"/>
      <c r="Q374" s="489"/>
      <c r="R374" s="489"/>
      <c r="S374" s="28"/>
      <c r="T374" s="490"/>
      <c r="U374" s="489"/>
    </row>
    <row r="375" ht="30.0" customHeight="1">
      <c r="A375" s="488"/>
      <c r="B375" s="489"/>
      <c r="C375" s="489"/>
      <c r="D375" s="488"/>
      <c r="E375" s="489"/>
      <c r="F375" s="489"/>
      <c r="G375" s="173"/>
      <c r="H375" s="488"/>
      <c r="I375" s="488"/>
      <c r="J375" s="488"/>
      <c r="K375" s="488"/>
      <c r="L375" s="488"/>
      <c r="M375" s="489"/>
      <c r="N375" s="488"/>
      <c r="O375" s="489"/>
      <c r="P375" s="489"/>
      <c r="Q375" s="489"/>
      <c r="R375" s="489"/>
      <c r="S375" s="28"/>
      <c r="T375" s="490"/>
      <c r="U375" s="489"/>
    </row>
    <row r="376" ht="30.0" customHeight="1">
      <c r="A376" s="488"/>
      <c r="B376" s="489"/>
      <c r="C376" s="489"/>
      <c r="D376" s="488"/>
      <c r="E376" s="489"/>
      <c r="F376" s="489"/>
      <c r="G376" s="173"/>
      <c r="H376" s="488"/>
      <c r="I376" s="488"/>
      <c r="J376" s="488"/>
      <c r="K376" s="488"/>
      <c r="L376" s="488"/>
      <c r="M376" s="489"/>
      <c r="N376" s="488"/>
      <c r="O376" s="489"/>
      <c r="P376" s="489"/>
      <c r="Q376" s="489"/>
      <c r="R376" s="489"/>
      <c r="S376" s="28"/>
      <c r="T376" s="490"/>
      <c r="U376" s="489"/>
    </row>
    <row r="377" ht="30.0" customHeight="1">
      <c r="A377" s="488"/>
      <c r="B377" s="489"/>
      <c r="C377" s="489"/>
      <c r="D377" s="488"/>
      <c r="E377" s="489"/>
      <c r="F377" s="489"/>
      <c r="G377" s="173"/>
      <c r="H377" s="488"/>
      <c r="I377" s="488"/>
      <c r="J377" s="488"/>
      <c r="K377" s="488"/>
      <c r="L377" s="488"/>
      <c r="M377" s="489"/>
      <c r="N377" s="488"/>
      <c r="O377" s="489"/>
      <c r="P377" s="489"/>
      <c r="Q377" s="489"/>
      <c r="R377" s="489"/>
      <c r="S377" s="28"/>
      <c r="T377" s="490"/>
      <c r="U377" s="489"/>
    </row>
    <row r="378" ht="30.0" customHeight="1">
      <c r="A378" s="488"/>
      <c r="B378" s="489"/>
      <c r="C378" s="489"/>
      <c r="D378" s="488"/>
      <c r="E378" s="489"/>
      <c r="F378" s="489"/>
      <c r="G378" s="173"/>
      <c r="H378" s="488"/>
      <c r="I378" s="488"/>
      <c r="J378" s="488"/>
      <c r="K378" s="488"/>
      <c r="L378" s="488"/>
      <c r="M378" s="489"/>
      <c r="N378" s="488"/>
      <c r="O378" s="489"/>
      <c r="P378" s="489"/>
      <c r="Q378" s="489"/>
      <c r="R378" s="489"/>
      <c r="S378" s="28"/>
      <c r="T378" s="490"/>
      <c r="U378" s="489"/>
    </row>
    <row r="379" ht="30.0" customHeight="1">
      <c r="A379" s="488"/>
      <c r="B379" s="489"/>
      <c r="C379" s="489"/>
      <c r="D379" s="488"/>
      <c r="E379" s="489"/>
      <c r="F379" s="489"/>
      <c r="G379" s="173"/>
      <c r="H379" s="488"/>
      <c r="I379" s="488"/>
      <c r="J379" s="488"/>
      <c r="K379" s="488"/>
      <c r="L379" s="488"/>
      <c r="M379" s="489"/>
      <c r="N379" s="488"/>
      <c r="O379" s="489"/>
      <c r="P379" s="489"/>
      <c r="Q379" s="489"/>
      <c r="R379" s="489"/>
      <c r="S379" s="28"/>
      <c r="T379" s="490"/>
      <c r="U379" s="489"/>
    </row>
    <row r="380" ht="30.0" customHeight="1">
      <c r="A380" s="488"/>
      <c r="B380" s="489"/>
      <c r="C380" s="489"/>
      <c r="D380" s="488"/>
      <c r="E380" s="489"/>
      <c r="F380" s="489"/>
      <c r="G380" s="173"/>
      <c r="H380" s="488"/>
      <c r="I380" s="488"/>
      <c r="J380" s="488"/>
      <c r="K380" s="488"/>
      <c r="L380" s="488"/>
      <c r="M380" s="489"/>
      <c r="N380" s="488"/>
      <c r="O380" s="489"/>
      <c r="P380" s="489"/>
      <c r="Q380" s="489"/>
      <c r="R380" s="489"/>
      <c r="S380" s="28"/>
      <c r="T380" s="490"/>
      <c r="U380" s="489"/>
    </row>
    <row r="381" ht="30.0" customHeight="1">
      <c r="A381" s="488"/>
      <c r="B381" s="489"/>
      <c r="C381" s="489"/>
      <c r="D381" s="488"/>
      <c r="E381" s="489"/>
      <c r="F381" s="489"/>
      <c r="G381" s="173"/>
      <c r="H381" s="488"/>
      <c r="I381" s="488"/>
      <c r="J381" s="488"/>
      <c r="K381" s="488"/>
      <c r="L381" s="488"/>
      <c r="M381" s="489"/>
      <c r="N381" s="488"/>
      <c r="O381" s="489"/>
      <c r="P381" s="489"/>
      <c r="Q381" s="489"/>
      <c r="R381" s="489"/>
      <c r="S381" s="28"/>
      <c r="T381" s="490"/>
      <c r="U381" s="489"/>
    </row>
    <row r="382" ht="30.0" customHeight="1">
      <c r="A382" s="488"/>
      <c r="B382" s="489"/>
      <c r="C382" s="489"/>
      <c r="D382" s="488"/>
      <c r="E382" s="489"/>
      <c r="F382" s="489"/>
      <c r="G382" s="173"/>
      <c r="H382" s="488"/>
      <c r="I382" s="488"/>
      <c r="J382" s="488"/>
      <c r="K382" s="488"/>
      <c r="L382" s="488"/>
      <c r="M382" s="489"/>
      <c r="N382" s="488"/>
      <c r="O382" s="489"/>
      <c r="P382" s="489"/>
      <c r="Q382" s="489"/>
      <c r="R382" s="489"/>
      <c r="S382" s="28"/>
      <c r="T382" s="490"/>
      <c r="U382" s="489"/>
    </row>
    <row r="383" ht="30.0" customHeight="1">
      <c r="A383" s="488"/>
      <c r="B383" s="489"/>
      <c r="C383" s="489"/>
      <c r="D383" s="488"/>
      <c r="E383" s="489"/>
      <c r="F383" s="489"/>
      <c r="G383" s="173"/>
      <c r="H383" s="488"/>
      <c r="I383" s="488"/>
      <c r="J383" s="488"/>
      <c r="K383" s="488"/>
      <c r="L383" s="488"/>
      <c r="M383" s="489"/>
      <c r="N383" s="488"/>
      <c r="O383" s="489"/>
      <c r="P383" s="489"/>
      <c r="Q383" s="489"/>
      <c r="R383" s="489"/>
      <c r="S383" s="28"/>
      <c r="T383" s="490"/>
      <c r="U383" s="489"/>
    </row>
    <row r="384" ht="30.0" customHeight="1">
      <c r="A384" s="488"/>
      <c r="B384" s="489"/>
      <c r="C384" s="489"/>
      <c r="D384" s="488"/>
      <c r="E384" s="489"/>
      <c r="F384" s="489"/>
      <c r="G384" s="173"/>
      <c r="H384" s="488"/>
      <c r="I384" s="488"/>
      <c r="J384" s="488"/>
      <c r="K384" s="488"/>
      <c r="L384" s="488"/>
      <c r="M384" s="489"/>
      <c r="N384" s="488"/>
      <c r="O384" s="489"/>
      <c r="P384" s="489"/>
      <c r="Q384" s="489"/>
      <c r="R384" s="489"/>
      <c r="S384" s="28"/>
      <c r="T384" s="490"/>
      <c r="U384" s="489"/>
    </row>
    <row r="385" ht="30.0" customHeight="1">
      <c r="A385" s="488"/>
      <c r="B385" s="489"/>
      <c r="C385" s="489"/>
      <c r="D385" s="488"/>
      <c r="E385" s="489"/>
      <c r="F385" s="489"/>
      <c r="G385" s="173"/>
      <c r="H385" s="488"/>
      <c r="I385" s="488"/>
      <c r="J385" s="488"/>
      <c r="K385" s="488"/>
      <c r="L385" s="488"/>
      <c r="M385" s="489"/>
      <c r="N385" s="488"/>
      <c r="O385" s="489"/>
      <c r="P385" s="489"/>
      <c r="Q385" s="489"/>
      <c r="R385" s="489"/>
      <c r="S385" s="28"/>
      <c r="T385" s="490"/>
      <c r="U385" s="489"/>
    </row>
    <row r="386" ht="30.0" customHeight="1">
      <c r="A386" s="488"/>
      <c r="B386" s="489"/>
      <c r="C386" s="489"/>
      <c r="D386" s="488"/>
      <c r="E386" s="489"/>
      <c r="F386" s="489"/>
      <c r="G386" s="173"/>
      <c r="H386" s="488"/>
      <c r="I386" s="488"/>
      <c r="J386" s="488"/>
      <c r="K386" s="488"/>
      <c r="L386" s="488"/>
      <c r="M386" s="489"/>
      <c r="N386" s="488"/>
      <c r="O386" s="489"/>
      <c r="P386" s="489"/>
      <c r="Q386" s="489"/>
      <c r="R386" s="489"/>
      <c r="S386" s="28"/>
      <c r="T386" s="490"/>
      <c r="U386" s="489"/>
    </row>
    <row r="387" ht="30.0" customHeight="1">
      <c r="A387" s="488"/>
      <c r="B387" s="489"/>
      <c r="C387" s="489"/>
      <c r="D387" s="488"/>
      <c r="E387" s="489"/>
      <c r="F387" s="489"/>
      <c r="G387" s="173"/>
      <c r="H387" s="488"/>
      <c r="I387" s="488"/>
      <c r="J387" s="488"/>
      <c r="K387" s="488"/>
      <c r="L387" s="488"/>
      <c r="M387" s="489"/>
      <c r="N387" s="488"/>
      <c r="O387" s="489"/>
      <c r="P387" s="489"/>
      <c r="Q387" s="489"/>
      <c r="R387" s="489"/>
      <c r="S387" s="28"/>
      <c r="T387" s="490"/>
      <c r="U387" s="489"/>
    </row>
    <row r="388" ht="30.0" customHeight="1">
      <c r="A388" s="488"/>
      <c r="B388" s="489"/>
      <c r="C388" s="489"/>
      <c r="D388" s="488"/>
      <c r="E388" s="489"/>
      <c r="F388" s="489"/>
      <c r="G388" s="173"/>
      <c r="H388" s="488"/>
      <c r="I388" s="488"/>
      <c r="J388" s="488"/>
      <c r="K388" s="488"/>
      <c r="L388" s="488"/>
      <c r="M388" s="489"/>
      <c r="N388" s="488"/>
      <c r="O388" s="489"/>
      <c r="P388" s="489"/>
      <c r="Q388" s="489"/>
      <c r="R388" s="489"/>
      <c r="S388" s="28"/>
      <c r="T388" s="490"/>
      <c r="U388" s="489"/>
    </row>
    <row r="389" ht="30.0" customHeight="1">
      <c r="A389" s="488"/>
      <c r="B389" s="489"/>
      <c r="C389" s="489"/>
      <c r="D389" s="488"/>
      <c r="E389" s="489"/>
      <c r="F389" s="489"/>
      <c r="G389" s="173"/>
      <c r="H389" s="488"/>
      <c r="I389" s="488"/>
      <c r="J389" s="488"/>
      <c r="K389" s="488"/>
      <c r="L389" s="488"/>
      <c r="M389" s="489"/>
      <c r="N389" s="488"/>
      <c r="O389" s="489"/>
      <c r="P389" s="489"/>
      <c r="Q389" s="489"/>
      <c r="R389" s="489"/>
      <c r="S389" s="28"/>
      <c r="T389" s="490"/>
      <c r="U389" s="489"/>
    </row>
    <row r="390" ht="30.0" customHeight="1">
      <c r="A390" s="488"/>
      <c r="B390" s="489"/>
      <c r="C390" s="489"/>
      <c r="D390" s="488"/>
      <c r="E390" s="489"/>
      <c r="F390" s="489"/>
      <c r="G390" s="173"/>
      <c r="H390" s="488"/>
      <c r="I390" s="488"/>
      <c r="J390" s="488"/>
      <c r="K390" s="488"/>
      <c r="L390" s="488"/>
      <c r="M390" s="489"/>
      <c r="N390" s="488"/>
      <c r="O390" s="489"/>
      <c r="P390" s="489"/>
      <c r="Q390" s="489"/>
      <c r="R390" s="489"/>
      <c r="S390" s="28"/>
      <c r="T390" s="490"/>
      <c r="U390" s="489"/>
    </row>
    <row r="391" ht="30.0" customHeight="1">
      <c r="A391" s="488"/>
      <c r="B391" s="489"/>
      <c r="C391" s="489"/>
      <c r="D391" s="488"/>
      <c r="E391" s="489"/>
      <c r="F391" s="489"/>
      <c r="G391" s="173"/>
      <c r="H391" s="488"/>
      <c r="I391" s="488"/>
      <c r="J391" s="488"/>
      <c r="K391" s="488"/>
      <c r="L391" s="488"/>
      <c r="M391" s="489"/>
      <c r="N391" s="488"/>
      <c r="O391" s="489"/>
      <c r="P391" s="489"/>
      <c r="Q391" s="489"/>
      <c r="R391" s="489"/>
      <c r="S391" s="28"/>
      <c r="T391" s="490"/>
      <c r="U391" s="489"/>
    </row>
    <row r="392" ht="30.0" customHeight="1">
      <c r="A392" s="488"/>
      <c r="B392" s="489"/>
      <c r="C392" s="489"/>
      <c r="D392" s="488"/>
      <c r="E392" s="489"/>
      <c r="F392" s="489"/>
      <c r="G392" s="173"/>
      <c r="H392" s="488"/>
      <c r="I392" s="488"/>
      <c r="J392" s="488"/>
      <c r="K392" s="488"/>
      <c r="L392" s="488"/>
      <c r="M392" s="489"/>
      <c r="N392" s="488"/>
      <c r="O392" s="489"/>
      <c r="P392" s="489"/>
      <c r="Q392" s="489"/>
      <c r="R392" s="489"/>
      <c r="S392" s="28"/>
      <c r="T392" s="490"/>
      <c r="U392" s="489"/>
    </row>
    <row r="393" ht="30.0" customHeight="1">
      <c r="A393" s="488"/>
      <c r="B393" s="489"/>
      <c r="C393" s="489"/>
      <c r="D393" s="488"/>
      <c r="E393" s="489"/>
      <c r="F393" s="489"/>
      <c r="G393" s="173"/>
      <c r="H393" s="488"/>
      <c r="I393" s="488"/>
      <c r="J393" s="488"/>
      <c r="K393" s="488"/>
      <c r="L393" s="488"/>
      <c r="M393" s="489"/>
      <c r="N393" s="488"/>
      <c r="O393" s="489"/>
      <c r="P393" s="489"/>
      <c r="Q393" s="489"/>
      <c r="R393" s="489"/>
      <c r="S393" s="28"/>
      <c r="T393" s="490"/>
      <c r="U393" s="489"/>
    </row>
    <row r="394" ht="30.0" customHeight="1">
      <c r="A394" s="488"/>
      <c r="B394" s="489"/>
      <c r="C394" s="489"/>
      <c r="D394" s="488"/>
      <c r="E394" s="489"/>
      <c r="F394" s="489"/>
      <c r="G394" s="173"/>
      <c r="H394" s="488"/>
      <c r="I394" s="488"/>
      <c r="J394" s="488"/>
      <c r="K394" s="488"/>
      <c r="L394" s="488"/>
      <c r="M394" s="489"/>
      <c r="N394" s="488"/>
      <c r="O394" s="489"/>
      <c r="P394" s="489"/>
      <c r="Q394" s="489"/>
      <c r="R394" s="489"/>
      <c r="S394" s="28"/>
      <c r="T394" s="490"/>
      <c r="U394" s="489"/>
    </row>
    <row r="395" ht="30.0" customHeight="1">
      <c r="A395" s="488"/>
      <c r="B395" s="489"/>
      <c r="C395" s="489"/>
      <c r="D395" s="488"/>
      <c r="E395" s="489"/>
      <c r="F395" s="489"/>
      <c r="G395" s="173"/>
      <c r="H395" s="488"/>
      <c r="I395" s="488"/>
      <c r="J395" s="488"/>
      <c r="K395" s="488"/>
      <c r="L395" s="488"/>
      <c r="M395" s="489"/>
      <c r="N395" s="488"/>
      <c r="O395" s="489"/>
      <c r="P395" s="489"/>
      <c r="Q395" s="489"/>
      <c r="R395" s="489"/>
      <c r="S395" s="28"/>
      <c r="T395" s="490"/>
      <c r="U395" s="489"/>
    </row>
    <row r="396" ht="30.0" customHeight="1">
      <c r="A396" s="488"/>
      <c r="B396" s="489"/>
      <c r="C396" s="489"/>
      <c r="D396" s="488"/>
      <c r="E396" s="489"/>
      <c r="F396" s="489"/>
      <c r="G396" s="173"/>
      <c r="H396" s="488"/>
      <c r="I396" s="488"/>
      <c r="J396" s="488"/>
      <c r="K396" s="488"/>
      <c r="L396" s="488"/>
      <c r="M396" s="489"/>
      <c r="N396" s="488"/>
      <c r="O396" s="489"/>
      <c r="P396" s="489"/>
      <c r="Q396" s="489"/>
      <c r="R396" s="489"/>
      <c r="S396" s="28"/>
      <c r="T396" s="490"/>
      <c r="U396" s="489"/>
    </row>
    <row r="397" ht="30.0" customHeight="1">
      <c r="A397" s="488"/>
      <c r="B397" s="489"/>
      <c r="C397" s="489"/>
      <c r="D397" s="488"/>
      <c r="E397" s="489"/>
      <c r="F397" s="489"/>
      <c r="G397" s="173"/>
      <c r="H397" s="488"/>
      <c r="I397" s="488"/>
      <c r="J397" s="488"/>
      <c r="K397" s="488"/>
      <c r="L397" s="488"/>
      <c r="M397" s="489"/>
      <c r="N397" s="488"/>
      <c r="O397" s="489"/>
      <c r="P397" s="489"/>
      <c r="Q397" s="489"/>
      <c r="R397" s="489"/>
      <c r="S397" s="28"/>
      <c r="T397" s="490"/>
      <c r="U397" s="489"/>
    </row>
    <row r="398" ht="30.0" customHeight="1">
      <c r="A398" s="488"/>
      <c r="B398" s="489"/>
      <c r="C398" s="489"/>
      <c r="D398" s="488"/>
      <c r="E398" s="489"/>
      <c r="F398" s="489"/>
      <c r="G398" s="173"/>
      <c r="H398" s="488"/>
      <c r="I398" s="488"/>
      <c r="J398" s="488"/>
      <c r="K398" s="488"/>
      <c r="L398" s="488"/>
      <c r="M398" s="489"/>
      <c r="N398" s="488"/>
      <c r="O398" s="489"/>
      <c r="P398" s="489"/>
      <c r="Q398" s="489"/>
      <c r="R398" s="489"/>
      <c r="S398" s="28"/>
      <c r="T398" s="490"/>
      <c r="U398" s="489"/>
    </row>
    <row r="399" ht="30.0" customHeight="1">
      <c r="A399" s="488"/>
      <c r="B399" s="489"/>
      <c r="C399" s="489"/>
      <c r="D399" s="488"/>
      <c r="E399" s="489"/>
      <c r="F399" s="489"/>
      <c r="G399" s="173"/>
      <c r="H399" s="488"/>
      <c r="I399" s="488"/>
      <c r="J399" s="488"/>
      <c r="K399" s="488"/>
      <c r="L399" s="488"/>
      <c r="M399" s="489"/>
      <c r="N399" s="488"/>
      <c r="O399" s="489"/>
      <c r="P399" s="489"/>
      <c r="Q399" s="489"/>
      <c r="R399" s="489"/>
      <c r="S399" s="28"/>
      <c r="T399" s="490"/>
      <c r="U399" s="489"/>
    </row>
    <row r="400" ht="30.0" customHeight="1">
      <c r="A400" s="488"/>
      <c r="B400" s="489"/>
      <c r="C400" s="489"/>
      <c r="D400" s="488"/>
      <c r="E400" s="489"/>
      <c r="F400" s="489"/>
      <c r="G400" s="173"/>
      <c r="H400" s="488"/>
      <c r="I400" s="488"/>
      <c r="J400" s="488"/>
      <c r="K400" s="488"/>
      <c r="L400" s="488"/>
      <c r="M400" s="489"/>
      <c r="N400" s="488"/>
      <c r="O400" s="489"/>
      <c r="P400" s="489"/>
      <c r="Q400" s="489"/>
      <c r="R400" s="489"/>
      <c r="S400" s="28"/>
      <c r="T400" s="490"/>
      <c r="U400" s="489"/>
    </row>
    <row r="401" ht="30.0" customHeight="1">
      <c r="A401" s="488"/>
      <c r="B401" s="489"/>
      <c r="C401" s="489"/>
      <c r="D401" s="488"/>
      <c r="E401" s="489"/>
      <c r="F401" s="489"/>
      <c r="G401" s="173"/>
      <c r="H401" s="488"/>
      <c r="I401" s="488"/>
      <c r="J401" s="488"/>
      <c r="K401" s="488"/>
      <c r="L401" s="488"/>
      <c r="M401" s="489"/>
      <c r="N401" s="488"/>
      <c r="O401" s="489"/>
      <c r="P401" s="489"/>
      <c r="Q401" s="489"/>
      <c r="R401" s="489"/>
      <c r="S401" s="28"/>
      <c r="T401" s="490"/>
      <c r="U401" s="489"/>
    </row>
    <row r="402" ht="30.0" customHeight="1">
      <c r="A402" s="488"/>
      <c r="B402" s="489"/>
      <c r="C402" s="489"/>
      <c r="D402" s="488"/>
      <c r="E402" s="489"/>
      <c r="F402" s="489"/>
      <c r="G402" s="173"/>
      <c r="H402" s="488"/>
      <c r="I402" s="488"/>
      <c r="J402" s="488"/>
      <c r="K402" s="488"/>
      <c r="L402" s="488"/>
      <c r="M402" s="489"/>
      <c r="N402" s="488"/>
      <c r="O402" s="489"/>
      <c r="P402" s="489"/>
      <c r="Q402" s="489"/>
      <c r="R402" s="489"/>
      <c r="S402" s="28"/>
      <c r="T402" s="490"/>
      <c r="U402" s="489"/>
    </row>
    <row r="403" ht="30.0" customHeight="1">
      <c r="A403" s="488"/>
      <c r="B403" s="489"/>
      <c r="C403" s="489"/>
      <c r="D403" s="488"/>
      <c r="E403" s="489"/>
      <c r="F403" s="489"/>
      <c r="G403" s="173"/>
      <c r="H403" s="488"/>
      <c r="I403" s="488"/>
      <c r="J403" s="488"/>
      <c r="K403" s="488"/>
      <c r="L403" s="488"/>
      <c r="M403" s="489"/>
      <c r="N403" s="488"/>
      <c r="O403" s="489"/>
      <c r="P403" s="489"/>
      <c r="Q403" s="489"/>
      <c r="R403" s="489"/>
      <c r="S403" s="28"/>
      <c r="T403" s="490"/>
      <c r="U403" s="489"/>
    </row>
    <row r="404" ht="30.0" customHeight="1">
      <c r="A404" s="488"/>
      <c r="B404" s="489"/>
      <c r="C404" s="489"/>
      <c r="D404" s="488"/>
      <c r="E404" s="489"/>
      <c r="F404" s="489"/>
      <c r="G404" s="173"/>
      <c r="H404" s="488"/>
      <c r="I404" s="488"/>
      <c r="J404" s="488"/>
      <c r="K404" s="488"/>
      <c r="L404" s="488"/>
      <c r="M404" s="489"/>
      <c r="N404" s="488"/>
      <c r="O404" s="489"/>
      <c r="P404" s="489"/>
      <c r="Q404" s="489"/>
      <c r="R404" s="489"/>
      <c r="S404" s="28"/>
      <c r="T404" s="490"/>
      <c r="U404" s="489"/>
    </row>
    <row r="405" ht="30.0" customHeight="1">
      <c r="A405" s="488"/>
      <c r="B405" s="489"/>
      <c r="C405" s="489"/>
      <c r="D405" s="488"/>
      <c r="E405" s="489"/>
      <c r="F405" s="489"/>
      <c r="G405" s="173"/>
      <c r="H405" s="488"/>
      <c r="I405" s="488"/>
      <c r="J405" s="488"/>
      <c r="K405" s="488"/>
      <c r="L405" s="488"/>
      <c r="M405" s="489"/>
      <c r="N405" s="488"/>
      <c r="O405" s="489"/>
      <c r="P405" s="489"/>
      <c r="Q405" s="489"/>
      <c r="R405" s="489"/>
      <c r="S405" s="28"/>
      <c r="T405" s="490"/>
      <c r="U405" s="489"/>
    </row>
    <row r="406" ht="30.0" customHeight="1">
      <c r="A406" s="488"/>
      <c r="B406" s="489"/>
      <c r="C406" s="489"/>
      <c r="D406" s="488"/>
      <c r="E406" s="489"/>
      <c r="F406" s="489"/>
      <c r="G406" s="173"/>
      <c r="H406" s="488"/>
      <c r="I406" s="488"/>
      <c r="J406" s="488"/>
      <c r="K406" s="488"/>
      <c r="L406" s="488"/>
      <c r="M406" s="489"/>
      <c r="N406" s="488"/>
      <c r="O406" s="489"/>
      <c r="P406" s="489"/>
      <c r="Q406" s="489"/>
      <c r="R406" s="489"/>
      <c r="S406" s="28"/>
      <c r="T406" s="490"/>
      <c r="U406" s="489"/>
    </row>
    <row r="407" ht="30.0" customHeight="1">
      <c r="A407" s="488"/>
      <c r="B407" s="489"/>
      <c r="C407" s="489"/>
      <c r="D407" s="488"/>
      <c r="E407" s="489"/>
      <c r="F407" s="489"/>
      <c r="G407" s="173"/>
      <c r="H407" s="488"/>
      <c r="I407" s="488"/>
      <c r="J407" s="488"/>
      <c r="K407" s="488"/>
      <c r="L407" s="488"/>
      <c r="M407" s="489"/>
      <c r="N407" s="488"/>
      <c r="O407" s="489"/>
      <c r="P407" s="489"/>
      <c r="Q407" s="489"/>
      <c r="R407" s="489"/>
      <c r="S407" s="28"/>
      <c r="T407" s="490"/>
      <c r="U407" s="489"/>
    </row>
    <row r="408" ht="30.0" customHeight="1">
      <c r="A408" s="488"/>
      <c r="B408" s="489"/>
      <c r="C408" s="489"/>
      <c r="D408" s="488"/>
      <c r="E408" s="489"/>
      <c r="F408" s="489"/>
      <c r="G408" s="173"/>
      <c r="H408" s="488"/>
      <c r="I408" s="488"/>
      <c r="J408" s="488"/>
      <c r="K408" s="488"/>
      <c r="L408" s="488"/>
      <c r="M408" s="489"/>
      <c r="N408" s="488"/>
      <c r="O408" s="489"/>
      <c r="P408" s="489"/>
      <c r="Q408" s="489"/>
      <c r="R408" s="489"/>
      <c r="S408" s="28"/>
      <c r="T408" s="490"/>
      <c r="U408" s="489"/>
    </row>
    <row r="409" ht="30.0" customHeight="1">
      <c r="A409" s="488"/>
      <c r="B409" s="489"/>
      <c r="C409" s="489"/>
      <c r="D409" s="488"/>
      <c r="E409" s="489"/>
      <c r="F409" s="489"/>
      <c r="G409" s="173"/>
      <c r="H409" s="488"/>
      <c r="I409" s="488"/>
      <c r="J409" s="488"/>
      <c r="K409" s="488"/>
      <c r="L409" s="488"/>
      <c r="M409" s="489"/>
      <c r="N409" s="488"/>
      <c r="O409" s="489"/>
      <c r="P409" s="489"/>
      <c r="Q409" s="489"/>
      <c r="R409" s="489"/>
      <c r="S409" s="28"/>
      <c r="T409" s="490"/>
      <c r="U409" s="489"/>
    </row>
    <row r="410" ht="30.0" customHeight="1">
      <c r="A410" s="488"/>
      <c r="B410" s="489"/>
      <c r="C410" s="489"/>
      <c r="D410" s="488"/>
      <c r="E410" s="489"/>
      <c r="F410" s="489"/>
      <c r="G410" s="173"/>
      <c r="H410" s="488"/>
      <c r="I410" s="488"/>
      <c r="J410" s="488"/>
      <c r="K410" s="488"/>
      <c r="L410" s="488"/>
      <c r="M410" s="489"/>
      <c r="N410" s="488"/>
      <c r="O410" s="489"/>
      <c r="P410" s="489"/>
      <c r="Q410" s="489"/>
      <c r="R410" s="489"/>
      <c r="S410" s="28"/>
      <c r="T410" s="490"/>
      <c r="U410" s="489"/>
    </row>
    <row r="411" ht="30.0" customHeight="1">
      <c r="A411" s="488"/>
      <c r="B411" s="489"/>
      <c r="C411" s="489"/>
      <c r="D411" s="488"/>
      <c r="E411" s="489"/>
      <c r="F411" s="489"/>
      <c r="G411" s="173"/>
      <c r="H411" s="488"/>
      <c r="I411" s="488"/>
      <c r="J411" s="488"/>
      <c r="K411" s="488"/>
      <c r="L411" s="488"/>
      <c r="M411" s="489"/>
      <c r="N411" s="488"/>
      <c r="O411" s="489"/>
      <c r="P411" s="489"/>
      <c r="Q411" s="489"/>
      <c r="R411" s="489"/>
      <c r="S411" s="28"/>
      <c r="T411" s="490"/>
      <c r="U411" s="489"/>
    </row>
    <row r="412" ht="30.0" customHeight="1">
      <c r="A412" s="488"/>
      <c r="B412" s="489"/>
      <c r="C412" s="489"/>
      <c r="D412" s="488"/>
      <c r="E412" s="489"/>
      <c r="F412" s="489"/>
      <c r="G412" s="173"/>
      <c r="H412" s="488"/>
      <c r="I412" s="488"/>
      <c r="J412" s="488"/>
      <c r="K412" s="488"/>
      <c r="L412" s="488"/>
      <c r="M412" s="489"/>
      <c r="N412" s="488"/>
      <c r="O412" s="489"/>
      <c r="P412" s="489"/>
      <c r="Q412" s="489"/>
      <c r="R412" s="489"/>
      <c r="S412" s="28"/>
      <c r="T412" s="490"/>
      <c r="U412" s="489"/>
    </row>
    <row r="413" ht="30.0" customHeight="1">
      <c r="A413" s="488"/>
      <c r="B413" s="489"/>
      <c r="C413" s="489"/>
      <c r="D413" s="488"/>
      <c r="E413" s="489"/>
      <c r="F413" s="489"/>
      <c r="G413" s="173"/>
      <c r="H413" s="488"/>
      <c r="I413" s="488"/>
      <c r="J413" s="488"/>
      <c r="K413" s="488"/>
      <c r="L413" s="488"/>
      <c r="M413" s="489"/>
      <c r="N413" s="488"/>
      <c r="O413" s="489"/>
      <c r="P413" s="489"/>
      <c r="Q413" s="489"/>
      <c r="R413" s="489"/>
      <c r="S413" s="28"/>
      <c r="T413" s="490"/>
      <c r="U413" s="489"/>
    </row>
    <row r="414" ht="30.0" customHeight="1">
      <c r="A414" s="488"/>
      <c r="B414" s="489"/>
      <c r="C414" s="489"/>
      <c r="D414" s="488"/>
      <c r="E414" s="489"/>
      <c r="F414" s="489"/>
      <c r="G414" s="173"/>
      <c r="H414" s="488"/>
      <c r="I414" s="488"/>
      <c r="J414" s="488"/>
      <c r="K414" s="488"/>
      <c r="L414" s="488"/>
      <c r="M414" s="489"/>
      <c r="N414" s="488"/>
      <c r="O414" s="489"/>
      <c r="P414" s="489"/>
      <c r="Q414" s="489"/>
      <c r="R414" s="489"/>
      <c r="S414" s="28"/>
      <c r="T414" s="490"/>
      <c r="U414" s="489"/>
    </row>
    <row r="415" ht="30.0" customHeight="1">
      <c r="A415" s="488"/>
      <c r="B415" s="489"/>
      <c r="C415" s="489"/>
      <c r="D415" s="488"/>
      <c r="E415" s="489"/>
      <c r="F415" s="489"/>
      <c r="G415" s="173"/>
      <c r="H415" s="488"/>
      <c r="I415" s="488"/>
      <c r="J415" s="488"/>
      <c r="K415" s="488"/>
      <c r="L415" s="488"/>
      <c r="M415" s="489"/>
      <c r="N415" s="488"/>
      <c r="O415" s="489"/>
      <c r="P415" s="489"/>
      <c r="Q415" s="489"/>
      <c r="R415" s="489"/>
      <c r="S415" s="28"/>
      <c r="T415" s="490"/>
      <c r="U415" s="489"/>
    </row>
    <row r="416" ht="30.0" customHeight="1">
      <c r="A416" s="488"/>
      <c r="B416" s="489"/>
      <c r="C416" s="489"/>
      <c r="D416" s="488"/>
      <c r="E416" s="489"/>
      <c r="F416" s="489"/>
      <c r="G416" s="173"/>
      <c r="H416" s="488"/>
      <c r="I416" s="488"/>
      <c r="J416" s="488"/>
      <c r="K416" s="488"/>
      <c r="L416" s="488"/>
      <c r="M416" s="489"/>
      <c r="N416" s="488"/>
      <c r="O416" s="489"/>
      <c r="P416" s="489"/>
      <c r="Q416" s="489"/>
      <c r="R416" s="489"/>
      <c r="S416" s="28"/>
      <c r="T416" s="490"/>
      <c r="U416" s="489"/>
    </row>
    <row r="417" ht="30.0" customHeight="1">
      <c r="A417" s="488"/>
      <c r="B417" s="489"/>
      <c r="C417" s="489"/>
      <c r="D417" s="488"/>
      <c r="E417" s="489"/>
      <c r="F417" s="489"/>
      <c r="G417" s="173"/>
      <c r="H417" s="488"/>
      <c r="I417" s="488"/>
      <c r="J417" s="488"/>
      <c r="K417" s="488"/>
      <c r="L417" s="488"/>
      <c r="M417" s="489"/>
      <c r="N417" s="488"/>
      <c r="O417" s="489"/>
      <c r="P417" s="489"/>
      <c r="Q417" s="489"/>
      <c r="R417" s="489"/>
      <c r="S417" s="28"/>
      <c r="T417" s="490"/>
      <c r="U417" s="489"/>
    </row>
    <row r="418" ht="30.0" customHeight="1">
      <c r="A418" s="488"/>
      <c r="B418" s="489"/>
      <c r="C418" s="489"/>
      <c r="D418" s="488"/>
      <c r="E418" s="489"/>
      <c r="F418" s="489"/>
      <c r="G418" s="173"/>
      <c r="H418" s="488"/>
      <c r="I418" s="488"/>
      <c r="J418" s="488"/>
      <c r="K418" s="488"/>
      <c r="L418" s="488"/>
      <c r="M418" s="489"/>
      <c r="N418" s="488"/>
      <c r="O418" s="489"/>
      <c r="P418" s="489"/>
      <c r="Q418" s="489"/>
      <c r="R418" s="489"/>
      <c r="S418" s="28"/>
      <c r="T418" s="490"/>
      <c r="U418" s="489"/>
    </row>
    <row r="419" ht="30.0" customHeight="1">
      <c r="A419" s="488"/>
      <c r="B419" s="489"/>
      <c r="C419" s="489"/>
      <c r="D419" s="488"/>
      <c r="E419" s="489"/>
      <c r="F419" s="489"/>
      <c r="G419" s="173"/>
      <c r="H419" s="488"/>
      <c r="I419" s="488"/>
      <c r="J419" s="488"/>
      <c r="K419" s="488"/>
      <c r="L419" s="488"/>
      <c r="M419" s="489"/>
      <c r="N419" s="488"/>
      <c r="O419" s="489"/>
      <c r="P419" s="489"/>
      <c r="Q419" s="489"/>
      <c r="R419" s="489"/>
      <c r="S419" s="28"/>
      <c r="T419" s="490"/>
      <c r="U419" s="489"/>
    </row>
    <row r="420" ht="30.0" customHeight="1">
      <c r="A420" s="488"/>
      <c r="B420" s="489"/>
      <c r="C420" s="489"/>
      <c r="D420" s="488"/>
      <c r="E420" s="489"/>
      <c r="F420" s="489"/>
      <c r="G420" s="173"/>
      <c r="H420" s="488"/>
      <c r="I420" s="488"/>
      <c r="J420" s="488"/>
      <c r="K420" s="488"/>
      <c r="L420" s="488"/>
      <c r="M420" s="489"/>
      <c r="N420" s="488"/>
      <c r="O420" s="489"/>
      <c r="P420" s="489"/>
      <c r="Q420" s="489"/>
      <c r="R420" s="489"/>
      <c r="S420" s="28"/>
      <c r="T420" s="490"/>
      <c r="U420" s="489"/>
    </row>
    <row r="421" ht="30.0" customHeight="1">
      <c r="A421" s="488"/>
      <c r="B421" s="489"/>
      <c r="C421" s="489"/>
      <c r="D421" s="488"/>
      <c r="E421" s="489"/>
      <c r="F421" s="489"/>
      <c r="G421" s="173"/>
      <c r="H421" s="488"/>
      <c r="I421" s="488"/>
      <c r="J421" s="488"/>
      <c r="K421" s="488"/>
      <c r="L421" s="488"/>
      <c r="M421" s="489"/>
      <c r="N421" s="488"/>
      <c r="O421" s="489"/>
      <c r="P421" s="489"/>
      <c r="Q421" s="489"/>
      <c r="R421" s="489"/>
      <c r="S421" s="28"/>
      <c r="T421" s="490"/>
      <c r="U421" s="489"/>
    </row>
    <row r="422" ht="30.0" customHeight="1">
      <c r="A422" s="488"/>
      <c r="B422" s="489"/>
      <c r="C422" s="489"/>
      <c r="D422" s="488"/>
      <c r="E422" s="489"/>
      <c r="F422" s="489"/>
      <c r="G422" s="173"/>
      <c r="H422" s="488"/>
      <c r="I422" s="488"/>
      <c r="J422" s="488"/>
      <c r="K422" s="488"/>
      <c r="L422" s="488"/>
      <c r="M422" s="489"/>
      <c r="N422" s="488"/>
      <c r="O422" s="489"/>
      <c r="P422" s="489"/>
      <c r="Q422" s="489"/>
      <c r="R422" s="489"/>
      <c r="S422" s="28"/>
      <c r="T422" s="490"/>
      <c r="U422" s="489"/>
    </row>
    <row r="423" ht="30.0" customHeight="1">
      <c r="A423" s="488"/>
      <c r="B423" s="489"/>
      <c r="C423" s="489"/>
      <c r="D423" s="488"/>
      <c r="E423" s="489"/>
      <c r="F423" s="489"/>
      <c r="G423" s="173"/>
      <c r="H423" s="488"/>
      <c r="I423" s="488"/>
      <c r="J423" s="488"/>
      <c r="K423" s="488"/>
      <c r="L423" s="488"/>
      <c r="M423" s="489"/>
      <c r="N423" s="488"/>
      <c r="O423" s="489"/>
      <c r="P423" s="489"/>
      <c r="Q423" s="489"/>
      <c r="R423" s="489"/>
      <c r="S423" s="28"/>
      <c r="T423" s="490"/>
      <c r="U423" s="489"/>
    </row>
    <row r="424" ht="30.0" customHeight="1">
      <c r="A424" s="488"/>
      <c r="B424" s="489"/>
      <c r="C424" s="489"/>
      <c r="D424" s="488"/>
      <c r="E424" s="489"/>
      <c r="F424" s="489"/>
      <c r="G424" s="173"/>
      <c r="H424" s="488"/>
      <c r="I424" s="488"/>
      <c r="J424" s="488"/>
      <c r="K424" s="488"/>
      <c r="L424" s="488"/>
      <c r="M424" s="489"/>
      <c r="N424" s="488"/>
      <c r="O424" s="489"/>
      <c r="P424" s="489"/>
      <c r="Q424" s="489"/>
      <c r="R424" s="489"/>
      <c r="S424" s="28"/>
      <c r="T424" s="490"/>
      <c r="U424" s="489"/>
    </row>
    <row r="425" ht="30.0" customHeight="1">
      <c r="A425" s="488"/>
      <c r="B425" s="489"/>
      <c r="C425" s="489"/>
      <c r="D425" s="488"/>
      <c r="E425" s="489"/>
      <c r="F425" s="489"/>
      <c r="G425" s="173"/>
      <c r="H425" s="488"/>
      <c r="I425" s="488"/>
      <c r="J425" s="488"/>
      <c r="K425" s="488"/>
      <c r="L425" s="488"/>
      <c r="M425" s="489"/>
      <c r="N425" s="488"/>
      <c r="O425" s="489"/>
      <c r="P425" s="489"/>
      <c r="Q425" s="489"/>
      <c r="R425" s="489"/>
      <c r="S425" s="28"/>
      <c r="T425" s="490"/>
      <c r="U425" s="489"/>
    </row>
    <row r="426" ht="30.0" customHeight="1">
      <c r="A426" s="488"/>
      <c r="B426" s="489"/>
      <c r="C426" s="489"/>
      <c r="D426" s="488"/>
      <c r="E426" s="489"/>
      <c r="F426" s="489"/>
      <c r="G426" s="173"/>
      <c r="H426" s="488"/>
      <c r="I426" s="488"/>
      <c r="J426" s="488"/>
      <c r="K426" s="488"/>
      <c r="L426" s="488"/>
      <c r="M426" s="489"/>
      <c r="N426" s="488"/>
      <c r="O426" s="489"/>
      <c r="P426" s="489"/>
      <c r="Q426" s="489"/>
      <c r="R426" s="489"/>
      <c r="S426" s="28"/>
      <c r="T426" s="490"/>
      <c r="U426" s="489"/>
    </row>
    <row r="427" ht="30.0" customHeight="1">
      <c r="A427" s="488"/>
      <c r="B427" s="489"/>
      <c r="C427" s="489"/>
      <c r="D427" s="488"/>
      <c r="E427" s="489"/>
      <c r="F427" s="489"/>
      <c r="G427" s="173"/>
      <c r="H427" s="488"/>
      <c r="I427" s="488"/>
      <c r="J427" s="488"/>
      <c r="K427" s="488"/>
      <c r="L427" s="488"/>
      <c r="M427" s="489"/>
      <c r="N427" s="488"/>
      <c r="O427" s="489"/>
      <c r="P427" s="489"/>
      <c r="Q427" s="489"/>
      <c r="R427" s="489"/>
      <c r="S427" s="28"/>
      <c r="T427" s="490"/>
      <c r="U427" s="489"/>
    </row>
    <row r="428" ht="30.0" customHeight="1">
      <c r="A428" s="488"/>
      <c r="B428" s="489"/>
      <c r="C428" s="489"/>
      <c r="D428" s="488"/>
      <c r="E428" s="489"/>
      <c r="F428" s="489"/>
      <c r="G428" s="173"/>
      <c r="H428" s="488"/>
      <c r="I428" s="488"/>
      <c r="J428" s="488"/>
      <c r="K428" s="488"/>
      <c r="L428" s="488"/>
      <c r="M428" s="489"/>
      <c r="N428" s="488"/>
      <c r="O428" s="489"/>
      <c r="P428" s="489"/>
      <c r="Q428" s="489"/>
      <c r="R428" s="489"/>
      <c r="S428" s="28"/>
      <c r="T428" s="490"/>
      <c r="U428" s="489"/>
    </row>
    <row r="429" ht="30.0" customHeight="1">
      <c r="A429" s="488"/>
      <c r="B429" s="489"/>
      <c r="C429" s="489"/>
      <c r="D429" s="488"/>
      <c r="E429" s="489"/>
      <c r="F429" s="489"/>
      <c r="G429" s="173"/>
      <c r="H429" s="488"/>
      <c r="I429" s="488"/>
      <c r="J429" s="488"/>
      <c r="K429" s="488"/>
      <c r="L429" s="488"/>
      <c r="M429" s="489"/>
      <c r="N429" s="488"/>
      <c r="O429" s="489"/>
      <c r="P429" s="489"/>
      <c r="Q429" s="489"/>
      <c r="R429" s="489"/>
      <c r="S429" s="28"/>
      <c r="T429" s="490"/>
      <c r="U429" s="489"/>
    </row>
    <row r="430" ht="30.0" customHeight="1">
      <c r="A430" s="488"/>
      <c r="B430" s="489"/>
      <c r="C430" s="489"/>
      <c r="D430" s="488"/>
      <c r="E430" s="489"/>
      <c r="F430" s="489"/>
      <c r="G430" s="173"/>
      <c r="H430" s="488"/>
      <c r="I430" s="488"/>
      <c r="J430" s="488"/>
      <c r="K430" s="488"/>
      <c r="L430" s="488"/>
      <c r="M430" s="489"/>
      <c r="N430" s="488"/>
      <c r="O430" s="489"/>
      <c r="P430" s="489"/>
      <c r="Q430" s="489"/>
      <c r="R430" s="489"/>
      <c r="S430" s="28"/>
      <c r="T430" s="490"/>
      <c r="U430" s="489"/>
    </row>
    <row r="431" ht="30.0" customHeight="1">
      <c r="A431" s="488"/>
      <c r="B431" s="489"/>
      <c r="C431" s="489"/>
      <c r="D431" s="488"/>
      <c r="E431" s="489"/>
      <c r="F431" s="489"/>
      <c r="G431" s="173"/>
      <c r="H431" s="488"/>
      <c r="I431" s="488"/>
      <c r="J431" s="488"/>
      <c r="K431" s="488"/>
      <c r="L431" s="488"/>
      <c r="M431" s="489"/>
      <c r="N431" s="488"/>
      <c r="O431" s="489"/>
      <c r="P431" s="489"/>
      <c r="Q431" s="489"/>
      <c r="R431" s="489"/>
      <c r="S431" s="28"/>
      <c r="T431" s="490"/>
      <c r="U431" s="489"/>
    </row>
    <row r="432" ht="30.0" customHeight="1">
      <c r="A432" s="488"/>
      <c r="B432" s="489"/>
      <c r="C432" s="489"/>
      <c r="D432" s="488"/>
      <c r="E432" s="489"/>
      <c r="F432" s="489"/>
      <c r="G432" s="173"/>
      <c r="H432" s="488"/>
      <c r="I432" s="488"/>
      <c r="J432" s="488"/>
      <c r="K432" s="488"/>
      <c r="L432" s="488"/>
      <c r="M432" s="489"/>
      <c r="N432" s="488"/>
      <c r="O432" s="489"/>
      <c r="P432" s="489"/>
      <c r="Q432" s="489"/>
      <c r="R432" s="489"/>
      <c r="S432" s="28"/>
      <c r="T432" s="490"/>
      <c r="U432" s="489"/>
    </row>
    <row r="433" ht="30.0" customHeight="1">
      <c r="A433" s="488"/>
      <c r="B433" s="489"/>
      <c r="C433" s="489"/>
      <c r="D433" s="488"/>
      <c r="E433" s="489"/>
      <c r="F433" s="489"/>
      <c r="G433" s="173"/>
      <c r="H433" s="488"/>
      <c r="I433" s="488"/>
      <c r="J433" s="488"/>
      <c r="K433" s="488"/>
      <c r="L433" s="488"/>
      <c r="M433" s="489"/>
      <c r="N433" s="488"/>
      <c r="O433" s="489"/>
      <c r="P433" s="489"/>
      <c r="Q433" s="489"/>
      <c r="R433" s="489"/>
      <c r="S433" s="28"/>
      <c r="T433" s="490"/>
      <c r="U433" s="489"/>
    </row>
    <row r="434" ht="30.0" customHeight="1">
      <c r="A434" s="488"/>
      <c r="B434" s="489"/>
      <c r="C434" s="489"/>
      <c r="D434" s="488"/>
      <c r="E434" s="489"/>
      <c r="F434" s="489"/>
      <c r="G434" s="173"/>
      <c r="H434" s="488"/>
      <c r="I434" s="488"/>
      <c r="J434" s="488"/>
      <c r="K434" s="488"/>
      <c r="L434" s="488"/>
      <c r="M434" s="489"/>
      <c r="N434" s="488"/>
      <c r="O434" s="489"/>
      <c r="P434" s="489"/>
      <c r="Q434" s="489"/>
      <c r="R434" s="489"/>
      <c r="S434" s="28"/>
      <c r="T434" s="490"/>
      <c r="U434" s="489"/>
    </row>
    <row r="435" ht="30.0" customHeight="1">
      <c r="A435" s="488"/>
      <c r="B435" s="489"/>
      <c r="C435" s="489"/>
      <c r="D435" s="488"/>
      <c r="E435" s="489"/>
      <c r="F435" s="489"/>
      <c r="G435" s="173"/>
      <c r="H435" s="488"/>
      <c r="I435" s="488"/>
      <c r="J435" s="488"/>
      <c r="K435" s="488"/>
      <c r="L435" s="488"/>
      <c r="M435" s="489"/>
      <c r="N435" s="488"/>
      <c r="O435" s="489"/>
      <c r="P435" s="489"/>
      <c r="Q435" s="489"/>
      <c r="R435" s="489"/>
      <c r="S435" s="28"/>
      <c r="T435" s="490"/>
      <c r="U435" s="489"/>
    </row>
    <row r="436" ht="30.0" customHeight="1">
      <c r="A436" s="488"/>
      <c r="B436" s="489"/>
      <c r="C436" s="489"/>
      <c r="D436" s="488"/>
      <c r="E436" s="489"/>
      <c r="F436" s="489"/>
      <c r="G436" s="173"/>
      <c r="H436" s="488"/>
      <c r="I436" s="488"/>
      <c r="J436" s="488"/>
      <c r="K436" s="488"/>
      <c r="L436" s="488"/>
      <c r="M436" s="489"/>
      <c r="N436" s="488"/>
      <c r="O436" s="489"/>
      <c r="P436" s="489"/>
      <c r="Q436" s="489"/>
      <c r="R436" s="489"/>
      <c r="S436" s="28"/>
      <c r="T436" s="490"/>
      <c r="U436" s="489"/>
    </row>
    <row r="437" ht="30.0" customHeight="1">
      <c r="A437" s="488"/>
      <c r="B437" s="489"/>
      <c r="C437" s="489"/>
      <c r="D437" s="488"/>
      <c r="E437" s="489"/>
      <c r="F437" s="489"/>
      <c r="G437" s="173"/>
      <c r="H437" s="488"/>
      <c r="I437" s="488"/>
      <c r="J437" s="488"/>
      <c r="K437" s="488"/>
      <c r="L437" s="488"/>
      <c r="M437" s="489"/>
      <c r="N437" s="488"/>
      <c r="O437" s="489"/>
      <c r="P437" s="489"/>
      <c r="Q437" s="489"/>
      <c r="R437" s="489"/>
      <c r="S437" s="28"/>
      <c r="T437" s="490"/>
      <c r="U437" s="489"/>
    </row>
    <row r="438" ht="30.0" customHeight="1">
      <c r="A438" s="488"/>
      <c r="B438" s="489"/>
      <c r="C438" s="489"/>
      <c r="D438" s="488"/>
      <c r="E438" s="489"/>
      <c r="F438" s="489"/>
      <c r="G438" s="173"/>
      <c r="H438" s="488"/>
      <c r="I438" s="488"/>
      <c r="J438" s="488"/>
      <c r="K438" s="488"/>
      <c r="L438" s="488"/>
      <c r="M438" s="489"/>
      <c r="N438" s="488"/>
      <c r="O438" s="489"/>
      <c r="P438" s="489"/>
      <c r="Q438" s="489"/>
      <c r="R438" s="489"/>
      <c r="S438" s="28"/>
      <c r="T438" s="490"/>
      <c r="U438" s="489"/>
    </row>
    <row r="439" ht="30.0" customHeight="1">
      <c r="A439" s="488"/>
      <c r="B439" s="489"/>
      <c r="C439" s="489"/>
      <c r="D439" s="488"/>
      <c r="E439" s="489"/>
      <c r="F439" s="489"/>
      <c r="G439" s="173"/>
      <c r="H439" s="488"/>
      <c r="I439" s="488"/>
      <c r="J439" s="488"/>
      <c r="K439" s="488"/>
      <c r="L439" s="488"/>
      <c r="M439" s="489"/>
      <c r="N439" s="488"/>
      <c r="O439" s="489"/>
      <c r="P439" s="489"/>
      <c r="Q439" s="489"/>
      <c r="R439" s="489"/>
      <c r="S439" s="28"/>
      <c r="T439" s="490"/>
      <c r="U439" s="489"/>
    </row>
    <row r="440" ht="30.0" customHeight="1">
      <c r="A440" s="488"/>
      <c r="B440" s="489"/>
      <c r="C440" s="489"/>
      <c r="D440" s="488"/>
      <c r="E440" s="489"/>
      <c r="F440" s="489"/>
      <c r="G440" s="173"/>
      <c r="H440" s="488"/>
      <c r="I440" s="488"/>
      <c r="J440" s="488"/>
      <c r="K440" s="488"/>
      <c r="L440" s="488"/>
      <c r="M440" s="489"/>
      <c r="N440" s="488"/>
      <c r="O440" s="489"/>
      <c r="P440" s="489"/>
      <c r="Q440" s="489"/>
      <c r="R440" s="489"/>
      <c r="S440" s="28"/>
      <c r="T440" s="490"/>
      <c r="U440" s="489"/>
    </row>
    <row r="441" ht="30.0" customHeight="1">
      <c r="A441" s="488"/>
      <c r="B441" s="489"/>
      <c r="C441" s="489"/>
      <c r="D441" s="488"/>
      <c r="E441" s="489"/>
      <c r="F441" s="489"/>
      <c r="G441" s="173"/>
      <c r="H441" s="488"/>
      <c r="I441" s="488"/>
      <c r="J441" s="488"/>
      <c r="K441" s="488"/>
      <c r="L441" s="488"/>
      <c r="M441" s="489"/>
      <c r="N441" s="488"/>
      <c r="O441" s="489"/>
      <c r="P441" s="489"/>
      <c r="Q441" s="489"/>
      <c r="R441" s="489"/>
      <c r="S441" s="28"/>
      <c r="T441" s="490"/>
      <c r="U441" s="489"/>
    </row>
    <row r="442" ht="30.0" customHeight="1">
      <c r="A442" s="488"/>
      <c r="B442" s="489"/>
      <c r="C442" s="489"/>
      <c r="D442" s="488"/>
      <c r="E442" s="489"/>
      <c r="F442" s="489"/>
      <c r="G442" s="173"/>
      <c r="H442" s="488"/>
      <c r="I442" s="488"/>
      <c r="J442" s="488"/>
      <c r="K442" s="488"/>
      <c r="L442" s="488"/>
      <c r="M442" s="489"/>
      <c r="N442" s="488"/>
      <c r="O442" s="489"/>
      <c r="P442" s="489"/>
      <c r="Q442" s="489"/>
      <c r="R442" s="489"/>
      <c r="S442" s="28"/>
      <c r="T442" s="490"/>
      <c r="U442" s="489"/>
    </row>
    <row r="443" ht="30.0" customHeight="1">
      <c r="A443" s="488"/>
      <c r="B443" s="489"/>
      <c r="C443" s="489"/>
      <c r="D443" s="488"/>
      <c r="E443" s="489"/>
      <c r="F443" s="489"/>
      <c r="G443" s="173"/>
      <c r="H443" s="488"/>
      <c r="I443" s="488"/>
      <c r="J443" s="488"/>
      <c r="K443" s="488"/>
      <c r="L443" s="488"/>
      <c r="M443" s="489"/>
      <c r="N443" s="488"/>
      <c r="O443" s="489"/>
      <c r="P443" s="489"/>
      <c r="Q443" s="489"/>
      <c r="R443" s="489"/>
      <c r="S443" s="28"/>
      <c r="T443" s="490"/>
      <c r="U443" s="489"/>
    </row>
    <row r="444" ht="30.0" customHeight="1">
      <c r="A444" s="488"/>
      <c r="B444" s="489"/>
      <c r="C444" s="489"/>
      <c r="D444" s="488"/>
      <c r="E444" s="489"/>
      <c r="F444" s="489"/>
      <c r="G444" s="173"/>
      <c r="H444" s="488"/>
      <c r="I444" s="488"/>
      <c r="J444" s="488"/>
      <c r="K444" s="488"/>
      <c r="L444" s="488"/>
      <c r="M444" s="489"/>
      <c r="N444" s="488"/>
      <c r="O444" s="489"/>
      <c r="P444" s="489"/>
      <c r="Q444" s="489"/>
      <c r="R444" s="489"/>
      <c r="S444" s="28"/>
      <c r="T444" s="490"/>
      <c r="U444" s="489"/>
    </row>
    <row r="445" ht="30.0" customHeight="1">
      <c r="A445" s="488"/>
      <c r="B445" s="489"/>
      <c r="C445" s="489"/>
      <c r="D445" s="488"/>
      <c r="E445" s="489"/>
      <c r="F445" s="489"/>
      <c r="G445" s="173"/>
      <c r="H445" s="488"/>
      <c r="I445" s="488"/>
      <c r="J445" s="488"/>
      <c r="K445" s="488"/>
      <c r="L445" s="488"/>
      <c r="M445" s="489"/>
      <c r="N445" s="488"/>
      <c r="O445" s="489"/>
      <c r="P445" s="489"/>
      <c r="Q445" s="489"/>
      <c r="R445" s="489"/>
      <c r="S445" s="28"/>
      <c r="T445" s="490"/>
      <c r="U445" s="489"/>
    </row>
    <row r="446" ht="30.0" customHeight="1">
      <c r="A446" s="488"/>
      <c r="B446" s="489"/>
      <c r="C446" s="489"/>
      <c r="D446" s="488"/>
      <c r="E446" s="489"/>
      <c r="F446" s="489"/>
      <c r="G446" s="173"/>
      <c r="H446" s="488"/>
      <c r="I446" s="488"/>
      <c r="J446" s="488"/>
      <c r="K446" s="488"/>
      <c r="L446" s="488"/>
      <c r="M446" s="489"/>
      <c r="N446" s="488"/>
      <c r="O446" s="489"/>
      <c r="P446" s="489"/>
      <c r="Q446" s="489"/>
      <c r="R446" s="489"/>
      <c r="S446" s="28"/>
      <c r="T446" s="490"/>
      <c r="U446" s="489"/>
    </row>
    <row r="447" ht="30.0" customHeight="1">
      <c r="A447" s="488"/>
      <c r="B447" s="489"/>
      <c r="C447" s="489"/>
      <c r="D447" s="488"/>
      <c r="E447" s="489"/>
      <c r="F447" s="489"/>
      <c r="G447" s="173"/>
      <c r="H447" s="488"/>
      <c r="I447" s="488"/>
      <c r="J447" s="488"/>
      <c r="K447" s="488"/>
      <c r="L447" s="488"/>
      <c r="M447" s="489"/>
      <c r="N447" s="488"/>
      <c r="O447" s="489"/>
      <c r="P447" s="489"/>
      <c r="Q447" s="489"/>
      <c r="R447" s="489"/>
      <c r="S447" s="28"/>
      <c r="T447" s="490"/>
      <c r="U447" s="489"/>
    </row>
    <row r="448" ht="30.0" customHeight="1">
      <c r="A448" s="488"/>
      <c r="B448" s="489"/>
      <c r="C448" s="489"/>
      <c r="D448" s="488"/>
      <c r="E448" s="489"/>
      <c r="F448" s="489"/>
      <c r="G448" s="173"/>
      <c r="H448" s="488"/>
      <c r="I448" s="488"/>
      <c r="J448" s="488"/>
      <c r="K448" s="488"/>
      <c r="L448" s="488"/>
      <c r="M448" s="489"/>
      <c r="N448" s="488"/>
      <c r="O448" s="489"/>
      <c r="P448" s="489"/>
      <c r="Q448" s="489"/>
      <c r="R448" s="489"/>
      <c r="S448" s="28"/>
      <c r="T448" s="490"/>
      <c r="U448" s="489"/>
    </row>
    <row r="449" ht="30.0" customHeight="1">
      <c r="A449" s="488"/>
      <c r="B449" s="489"/>
      <c r="C449" s="489"/>
      <c r="D449" s="488"/>
      <c r="E449" s="489"/>
      <c r="F449" s="489"/>
      <c r="G449" s="173"/>
      <c r="H449" s="488"/>
      <c r="I449" s="488"/>
      <c r="J449" s="488"/>
      <c r="K449" s="488"/>
      <c r="L449" s="488"/>
      <c r="M449" s="489"/>
      <c r="N449" s="488"/>
      <c r="O449" s="489"/>
      <c r="P449" s="489"/>
      <c r="Q449" s="489"/>
      <c r="R449" s="489"/>
      <c r="S449" s="28"/>
      <c r="T449" s="490"/>
      <c r="U449" s="489"/>
    </row>
    <row r="450" ht="30.0" customHeight="1">
      <c r="A450" s="488"/>
      <c r="B450" s="489"/>
      <c r="C450" s="489"/>
      <c r="D450" s="488"/>
      <c r="E450" s="489"/>
      <c r="F450" s="489"/>
      <c r="G450" s="173"/>
      <c r="H450" s="488"/>
      <c r="I450" s="488"/>
      <c r="J450" s="488"/>
      <c r="K450" s="488"/>
      <c r="L450" s="488"/>
      <c r="M450" s="489"/>
      <c r="N450" s="488"/>
      <c r="O450" s="489"/>
      <c r="P450" s="489"/>
      <c r="Q450" s="489"/>
      <c r="R450" s="489"/>
      <c r="S450" s="28"/>
      <c r="T450" s="490"/>
      <c r="U450" s="489"/>
    </row>
    <row r="451" ht="30.0" customHeight="1">
      <c r="A451" s="488"/>
      <c r="B451" s="489"/>
      <c r="C451" s="489"/>
      <c r="D451" s="488"/>
      <c r="E451" s="489"/>
      <c r="F451" s="489"/>
      <c r="G451" s="173"/>
      <c r="H451" s="488"/>
      <c r="I451" s="488"/>
      <c r="J451" s="488"/>
      <c r="K451" s="488"/>
      <c r="L451" s="488"/>
      <c r="M451" s="489"/>
      <c r="N451" s="488"/>
      <c r="O451" s="489"/>
      <c r="P451" s="489"/>
      <c r="Q451" s="489"/>
      <c r="R451" s="489"/>
      <c r="S451" s="28"/>
      <c r="T451" s="490"/>
      <c r="U451" s="489"/>
    </row>
    <row r="452" ht="30.0" customHeight="1">
      <c r="A452" s="488"/>
      <c r="B452" s="489"/>
      <c r="C452" s="489"/>
      <c r="D452" s="488"/>
      <c r="E452" s="489"/>
      <c r="F452" s="489"/>
      <c r="G452" s="173"/>
      <c r="H452" s="488"/>
      <c r="I452" s="488"/>
      <c r="J452" s="488"/>
      <c r="K452" s="488"/>
      <c r="L452" s="488"/>
      <c r="M452" s="489"/>
      <c r="N452" s="488"/>
      <c r="O452" s="489"/>
      <c r="P452" s="489"/>
      <c r="Q452" s="489"/>
      <c r="R452" s="489"/>
      <c r="S452" s="28"/>
      <c r="T452" s="490"/>
      <c r="U452" s="489"/>
    </row>
    <row r="453" ht="30.0" customHeight="1">
      <c r="A453" s="488"/>
      <c r="B453" s="489"/>
      <c r="C453" s="489"/>
      <c r="D453" s="488"/>
      <c r="E453" s="489"/>
      <c r="F453" s="489"/>
      <c r="G453" s="173"/>
      <c r="H453" s="488"/>
      <c r="I453" s="488"/>
      <c r="J453" s="488"/>
      <c r="K453" s="488"/>
      <c r="L453" s="488"/>
      <c r="M453" s="489"/>
      <c r="N453" s="488"/>
      <c r="O453" s="489"/>
      <c r="P453" s="489"/>
      <c r="Q453" s="489"/>
      <c r="R453" s="489"/>
      <c r="S453" s="28"/>
      <c r="T453" s="490"/>
      <c r="U453" s="489"/>
    </row>
    <row r="454" ht="30.0" customHeight="1">
      <c r="A454" s="488"/>
      <c r="B454" s="489"/>
      <c r="C454" s="489"/>
      <c r="D454" s="488"/>
      <c r="E454" s="489"/>
      <c r="F454" s="489"/>
      <c r="G454" s="173"/>
      <c r="H454" s="488"/>
      <c r="I454" s="488"/>
      <c r="J454" s="488"/>
      <c r="K454" s="488"/>
      <c r="L454" s="488"/>
      <c r="M454" s="489"/>
      <c r="N454" s="488"/>
      <c r="O454" s="489"/>
      <c r="P454" s="489"/>
      <c r="Q454" s="489"/>
      <c r="R454" s="489"/>
      <c r="S454" s="28"/>
      <c r="T454" s="490"/>
      <c r="U454" s="489"/>
    </row>
    <row r="455" ht="30.0" customHeight="1">
      <c r="A455" s="488"/>
      <c r="B455" s="489"/>
      <c r="C455" s="489"/>
      <c r="D455" s="488"/>
      <c r="E455" s="489"/>
      <c r="F455" s="489"/>
      <c r="G455" s="173"/>
      <c r="H455" s="488"/>
      <c r="I455" s="488"/>
      <c r="J455" s="488"/>
      <c r="K455" s="488"/>
      <c r="L455" s="488"/>
      <c r="M455" s="489"/>
      <c r="N455" s="488"/>
      <c r="O455" s="489"/>
      <c r="P455" s="489"/>
      <c r="Q455" s="489"/>
      <c r="R455" s="489"/>
      <c r="S455" s="28"/>
      <c r="T455" s="490"/>
      <c r="U455" s="489"/>
    </row>
    <row r="456" ht="30.0" customHeight="1">
      <c r="A456" s="488"/>
      <c r="B456" s="489"/>
      <c r="C456" s="489"/>
      <c r="D456" s="488"/>
      <c r="E456" s="489"/>
      <c r="F456" s="489"/>
      <c r="G456" s="173"/>
      <c r="H456" s="488"/>
      <c r="I456" s="488"/>
      <c r="J456" s="488"/>
      <c r="K456" s="488"/>
      <c r="L456" s="488"/>
      <c r="M456" s="489"/>
      <c r="N456" s="488"/>
      <c r="O456" s="489"/>
      <c r="P456" s="489"/>
      <c r="Q456" s="489"/>
      <c r="R456" s="489"/>
      <c r="S456" s="28"/>
      <c r="T456" s="490"/>
      <c r="U456" s="489"/>
    </row>
    <row r="457" ht="30.0" customHeight="1">
      <c r="A457" s="488"/>
      <c r="B457" s="489"/>
      <c r="C457" s="489"/>
      <c r="D457" s="488"/>
      <c r="E457" s="489"/>
      <c r="F457" s="489"/>
      <c r="G457" s="173"/>
      <c r="H457" s="488"/>
      <c r="I457" s="488"/>
      <c r="J457" s="488"/>
      <c r="K457" s="488"/>
      <c r="L457" s="488"/>
      <c r="M457" s="489"/>
      <c r="N457" s="488"/>
      <c r="O457" s="489"/>
      <c r="P457" s="489"/>
      <c r="Q457" s="489"/>
      <c r="R457" s="489"/>
      <c r="S457" s="28"/>
      <c r="T457" s="490"/>
      <c r="U457" s="489"/>
    </row>
    <row r="458" ht="30.0" customHeight="1">
      <c r="A458" s="488"/>
      <c r="B458" s="489"/>
      <c r="C458" s="489"/>
      <c r="D458" s="488"/>
      <c r="E458" s="489"/>
      <c r="F458" s="489"/>
      <c r="G458" s="173"/>
      <c r="H458" s="488"/>
      <c r="I458" s="488"/>
      <c r="J458" s="488"/>
      <c r="K458" s="488"/>
      <c r="L458" s="488"/>
      <c r="M458" s="489"/>
      <c r="N458" s="488"/>
      <c r="O458" s="489"/>
      <c r="P458" s="489"/>
      <c r="Q458" s="489"/>
      <c r="R458" s="489"/>
      <c r="S458" s="28"/>
      <c r="T458" s="490"/>
      <c r="U458" s="489"/>
    </row>
    <row r="459" ht="30.0" customHeight="1">
      <c r="A459" s="488"/>
      <c r="B459" s="489"/>
      <c r="C459" s="489"/>
      <c r="D459" s="488"/>
      <c r="E459" s="489"/>
      <c r="F459" s="489"/>
      <c r="G459" s="173"/>
      <c r="H459" s="488"/>
      <c r="I459" s="488"/>
      <c r="J459" s="488"/>
      <c r="K459" s="488"/>
      <c r="L459" s="488"/>
      <c r="M459" s="489"/>
      <c r="N459" s="488"/>
      <c r="O459" s="489"/>
      <c r="P459" s="489"/>
      <c r="Q459" s="489"/>
      <c r="R459" s="489"/>
      <c r="S459" s="28"/>
      <c r="T459" s="490"/>
      <c r="U459" s="489"/>
    </row>
    <row r="460" ht="30.0" customHeight="1">
      <c r="A460" s="488"/>
      <c r="B460" s="489"/>
      <c r="C460" s="489"/>
      <c r="D460" s="488"/>
      <c r="E460" s="489"/>
      <c r="F460" s="489"/>
      <c r="G460" s="173"/>
      <c r="H460" s="488"/>
      <c r="I460" s="488"/>
      <c r="J460" s="488"/>
      <c r="K460" s="488"/>
      <c r="L460" s="488"/>
      <c r="M460" s="489"/>
      <c r="N460" s="488"/>
      <c r="O460" s="489"/>
      <c r="P460" s="489"/>
      <c r="Q460" s="489"/>
      <c r="R460" s="489"/>
      <c r="S460" s="28"/>
      <c r="T460" s="490"/>
      <c r="U460" s="489"/>
    </row>
    <row r="461" ht="30.0" customHeight="1">
      <c r="A461" s="488"/>
      <c r="B461" s="489"/>
      <c r="C461" s="489"/>
      <c r="D461" s="488"/>
      <c r="E461" s="489"/>
      <c r="F461" s="489"/>
      <c r="G461" s="173"/>
      <c r="H461" s="488"/>
      <c r="I461" s="488"/>
      <c r="J461" s="488"/>
      <c r="K461" s="488"/>
      <c r="L461" s="488"/>
      <c r="M461" s="489"/>
      <c r="N461" s="488"/>
      <c r="O461" s="489"/>
      <c r="P461" s="489"/>
      <c r="Q461" s="489"/>
      <c r="R461" s="489"/>
      <c r="S461" s="28"/>
      <c r="T461" s="490"/>
      <c r="U461" s="489"/>
    </row>
    <row r="462" ht="30.0" customHeight="1">
      <c r="A462" s="488"/>
      <c r="B462" s="489"/>
      <c r="C462" s="489"/>
      <c r="D462" s="488"/>
      <c r="E462" s="489"/>
      <c r="F462" s="489"/>
      <c r="G462" s="173"/>
      <c r="H462" s="488"/>
      <c r="I462" s="488"/>
      <c r="J462" s="488"/>
      <c r="K462" s="488"/>
      <c r="L462" s="488"/>
      <c r="M462" s="489"/>
      <c r="N462" s="488"/>
      <c r="O462" s="489"/>
      <c r="P462" s="489"/>
      <c r="Q462" s="489"/>
      <c r="R462" s="489"/>
      <c r="S462" s="28"/>
      <c r="T462" s="490"/>
      <c r="U462" s="489"/>
    </row>
    <row r="463" ht="30.0" customHeight="1">
      <c r="A463" s="488"/>
      <c r="B463" s="489"/>
      <c r="C463" s="489"/>
      <c r="D463" s="488"/>
      <c r="E463" s="489"/>
      <c r="F463" s="489"/>
      <c r="G463" s="173"/>
      <c r="H463" s="488"/>
      <c r="I463" s="488"/>
      <c r="J463" s="488"/>
      <c r="K463" s="488"/>
      <c r="L463" s="488"/>
      <c r="M463" s="489"/>
      <c r="N463" s="488"/>
      <c r="O463" s="489"/>
      <c r="P463" s="489"/>
      <c r="Q463" s="489"/>
      <c r="R463" s="489"/>
      <c r="S463" s="28"/>
      <c r="T463" s="490"/>
      <c r="U463" s="489"/>
    </row>
    <row r="464" ht="30.0" customHeight="1">
      <c r="A464" s="488"/>
      <c r="B464" s="489"/>
      <c r="C464" s="489"/>
      <c r="D464" s="488"/>
      <c r="E464" s="489"/>
      <c r="F464" s="489"/>
      <c r="G464" s="173"/>
      <c r="H464" s="488"/>
      <c r="I464" s="488"/>
      <c r="J464" s="488"/>
      <c r="K464" s="488"/>
      <c r="L464" s="488"/>
      <c r="M464" s="489"/>
      <c r="N464" s="488"/>
      <c r="O464" s="489"/>
      <c r="P464" s="489"/>
      <c r="Q464" s="489"/>
      <c r="R464" s="489"/>
      <c r="S464" s="28"/>
      <c r="T464" s="490"/>
      <c r="U464" s="489"/>
    </row>
    <row r="465" ht="30.0" customHeight="1">
      <c r="A465" s="488"/>
      <c r="B465" s="489"/>
      <c r="C465" s="489"/>
      <c r="D465" s="488"/>
      <c r="E465" s="489"/>
      <c r="F465" s="489"/>
      <c r="G465" s="173"/>
      <c r="H465" s="488"/>
      <c r="I465" s="488"/>
      <c r="J465" s="488"/>
      <c r="K465" s="488"/>
      <c r="L465" s="488"/>
      <c r="M465" s="489"/>
      <c r="N465" s="488"/>
      <c r="O465" s="489"/>
      <c r="P465" s="489"/>
      <c r="Q465" s="489"/>
      <c r="R465" s="489"/>
      <c r="S465" s="28"/>
      <c r="T465" s="490"/>
      <c r="U465" s="489"/>
    </row>
    <row r="466" ht="30.0" customHeight="1">
      <c r="A466" s="488"/>
      <c r="B466" s="489"/>
      <c r="C466" s="489"/>
      <c r="D466" s="488"/>
      <c r="E466" s="489"/>
      <c r="F466" s="489"/>
      <c r="G466" s="173"/>
      <c r="H466" s="488"/>
      <c r="I466" s="488"/>
      <c r="J466" s="488"/>
      <c r="K466" s="488"/>
      <c r="L466" s="488"/>
      <c r="M466" s="489"/>
      <c r="N466" s="488"/>
      <c r="O466" s="489"/>
      <c r="P466" s="489"/>
      <c r="Q466" s="489"/>
      <c r="R466" s="489"/>
      <c r="S466" s="28"/>
      <c r="T466" s="490"/>
      <c r="U466" s="489"/>
    </row>
    <row r="467" ht="30.0" customHeight="1">
      <c r="A467" s="488"/>
      <c r="B467" s="489"/>
      <c r="C467" s="489"/>
      <c r="D467" s="488"/>
      <c r="E467" s="489"/>
      <c r="F467" s="489"/>
      <c r="G467" s="173"/>
      <c r="H467" s="488"/>
      <c r="I467" s="488"/>
      <c r="J467" s="488"/>
      <c r="K467" s="488"/>
      <c r="L467" s="488"/>
      <c r="M467" s="489"/>
      <c r="N467" s="488"/>
      <c r="O467" s="489"/>
      <c r="P467" s="489"/>
      <c r="Q467" s="489"/>
      <c r="R467" s="489"/>
      <c r="S467" s="28"/>
      <c r="T467" s="490"/>
      <c r="U467" s="489"/>
    </row>
    <row r="468" ht="30.0" customHeight="1">
      <c r="A468" s="488"/>
      <c r="B468" s="489"/>
      <c r="C468" s="489"/>
      <c r="D468" s="488"/>
      <c r="E468" s="489"/>
      <c r="F468" s="489"/>
      <c r="G468" s="173"/>
      <c r="H468" s="488"/>
      <c r="I468" s="488"/>
      <c r="J468" s="488"/>
      <c r="K468" s="488"/>
      <c r="L468" s="488"/>
      <c r="M468" s="489"/>
      <c r="N468" s="488"/>
      <c r="O468" s="489"/>
      <c r="P468" s="489"/>
      <c r="Q468" s="489"/>
      <c r="R468" s="489"/>
      <c r="S468" s="28"/>
      <c r="T468" s="490"/>
      <c r="U468" s="489"/>
    </row>
    <row r="469" ht="30.0" customHeight="1">
      <c r="A469" s="488"/>
      <c r="B469" s="489"/>
      <c r="C469" s="489"/>
      <c r="D469" s="488"/>
      <c r="E469" s="489"/>
      <c r="F469" s="489"/>
      <c r="G469" s="173"/>
      <c r="H469" s="488"/>
      <c r="I469" s="488"/>
      <c r="J469" s="488"/>
      <c r="K469" s="488"/>
      <c r="L469" s="488"/>
      <c r="M469" s="489"/>
      <c r="N469" s="488"/>
      <c r="O469" s="489"/>
      <c r="P469" s="489"/>
      <c r="Q469" s="489"/>
      <c r="R469" s="489"/>
      <c r="S469" s="28"/>
      <c r="T469" s="490"/>
      <c r="U469" s="489"/>
    </row>
    <row r="470" ht="30.0" customHeight="1">
      <c r="A470" s="488"/>
      <c r="B470" s="489"/>
      <c r="C470" s="489"/>
      <c r="D470" s="488"/>
      <c r="E470" s="489"/>
      <c r="F470" s="489"/>
      <c r="G470" s="173"/>
      <c r="H470" s="488"/>
      <c r="I470" s="488"/>
      <c r="J470" s="488"/>
      <c r="K470" s="488"/>
      <c r="L470" s="488"/>
      <c r="M470" s="489"/>
      <c r="N470" s="488"/>
      <c r="O470" s="489"/>
      <c r="P470" s="489"/>
      <c r="Q470" s="489"/>
      <c r="R470" s="489"/>
      <c r="S470" s="28"/>
      <c r="T470" s="490"/>
      <c r="U470" s="489"/>
    </row>
    <row r="471" ht="30.0" customHeight="1">
      <c r="A471" s="488"/>
      <c r="B471" s="489"/>
      <c r="C471" s="489"/>
      <c r="D471" s="488"/>
      <c r="E471" s="489"/>
      <c r="F471" s="489"/>
      <c r="G471" s="173"/>
      <c r="H471" s="488"/>
      <c r="I471" s="488"/>
      <c r="J471" s="488"/>
      <c r="K471" s="488"/>
      <c r="L471" s="488"/>
      <c r="M471" s="489"/>
      <c r="N471" s="488"/>
      <c r="O471" s="489"/>
      <c r="P471" s="489"/>
      <c r="Q471" s="489"/>
      <c r="R471" s="489"/>
      <c r="S471" s="28"/>
      <c r="T471" s="490"/>
      <c r="U471" s="489"/>
    </row>
    <row r="472" ht="30.0" customHeight="1">
      <c r="A472" s="488"/>
      <c r="B472" s="489"/>
      <c r="C472" s="489"/>
      <c r="D472" s="488"/>
      <c r="E472" s="489"/>
      <c r="F472" s="489"/>
      <c r="G472" s="173"/>
      <c r="H472" s="488"/>
      <c r="I472" s="488"/>
      <c r="J472" s="488"/>
      <c r="K472" s="488"/>
      <c r="L472" s="488"/>
      <c r="M472" s="489"/>
      <c r="N472" s="488"/>
      <c r="O472" s="489"/>
      <c r="P472" s="489"/>
      <c r="Q472" s="489"/>
      <c r="R472" s="489"/>
      <c r="S472" s="28"/>
      <c r="T472" s="490"/>
      <c r="U472" s="489"/>
    </row>
    <row r="473" ht="30.0" customHeight="1">
      <c r="A473" s="488"/>
      <c r="B473" s="489"/>
      <c r="C473" s="489"/>
      <c r="D473" s="488"/>
      <c r="E473" s="489"/>
      <c r="F473" s="489"/>
      <c r="G473" s="173"/>
      <c r="H473" s="488"/>
      <c r="I473" s="488"/>
      <c r="J473" s="488"/>
      <c r="K473" s="488"/>
      <c r="L473" s="488"/>
      <c r="M473" s="489"/>
      <c r="N473" s="488"/>
      <c r="O473" s="489"/>
      <c r="P473" s="489"/>
      <c r="Q473" s="489"/>
      <c r="R473" s="489"/>
      <c r="S473" s="28"/>
      <c r="T473" s="490"/>
      <c r="U473" s="489"/>
    </row>
    <row r="474" ht="30.0" customHeight="1">
      <c r="A474" s="488"/>
      <c r="B474" s="489"/>
      <c r="C474" s="489"/>
      <c r="D474" s="488"/>
      <c r="E474" s="489"/>
      <c r="F474" s="489"/>
      <c r="G474" s="173"/>
      <c r="H474" s="488"/>
      <c r="I474" s="488"/>
      <c r="J474" s="488"/>
      <c r="K474" s="488"/>
      <c r="L474" s="488"/>
      <c r="M474" s="489"/>
      <c r="N474" s="488"/>
      <c r="O474" s="489"/>
      <c r="P474" s="489"/>
      <c r="Q474" s="489"/>
      <c r="R474" s="489"/>
      <c r="S474" s="28"/>
      <c r="T474" s="490"/>
      <c r="U474" s="489"/>
    </row>
    <row r="475" ht="30.0" customHeight="1">
      <c r="A475" s="488"/>
      <c r="B475" s="489"/>
      <c r="C475" s="489"/>
      <c r="D475" s="488"/>
      <c r="E475" s="489"/>
      <c r="F475" s="489"/>
      <c r="G475" s="173"/>
      <c r="H475" s="488"/>
      <c r="I475" s="488"/>
      <c r="J475" s="488"/>
      <c r="K475" s="488"/>
      <c r="L475" s="488"/>
      <c r="M475" s="489"/>
      <c r="N475" s="488"/>
      <c r="O475" s="489"/>
      <c r="P475" s="489"/>
      <c r="Q475" s="489"/>
      <c r="R475" s="489"/>
      <c r="S475" s="28"/>
      <c r="T475" s="490"/>
      <c r="U475" s="489"/>
    </row>
    <row r="476" ht="30.0" customHeight="1">
      <c r="A476" s="488"/>
      <c r="B476" s="489"/>
      <c r="C476" s="489"/>
      <c r="D476" s="488"/>
      <c r="E476" s="489"/>
      <c r="F476" s="489"/>
      <c r="G476" s="173"/>
      <c r="H476" s="488"/>
      <c r="I476" s="488"/>
      <c r="J476" s="488"/>
      <c r="K476" s="488"/>
      <c r="L476" s="488"/>
      <c r="M476" s="489"/>
      <c r="N476" s="488"/>
      <c r="O476" s="489"/>
      <c r="P476" s="489"/>
      <c r="Q476" s="489"/>
      <c r="R476" s="489"/>
      <c r="S476" s="28"/>
      <c r="T476" s="490"/>
      <c r="U476" s="489"/>
    </row>
    <row r="477" ht="30.0" customHeight="1">
      <c r="A477" s="488"/>
      <c r="B477" s="489"/>
      <c r="C477" s="489"/>
      <c r="D477" s="488"/>
      <c r="E477" s="489"/>
      <c r="F477" s="489"/>
      <c r="G477" s="173"/>
      <c r="H477" s="488"/>
      <c r="I477" s="488"/>
      <c r="J477" s="488"/>
      <c r="K477" s="488"/>
      <c r="L477" s="488"/>
      <c r="M477" s="489"/>
      <c r="N477" s="488"/>
      <c r="O477" s="489"/>
      <c r="P477" s="489"/>
      <c r="Q477" s="489"/>
      <c r="R477" s="489"/>
      <c r="S477" s="28"/>
      <c r="T477" s="490"/>
      <c r="U477" s="489"/>
    </row>
    <row r="478" ht="30.0" customHeight="1">
      <c r="A478" s="488"/>
      <c r="B478" s="489"/>
      <c r="C478" s="489"/>
      <c r="D478" s="488"/>
      <c r="E478" s="489"/>
      <c r="F478" s="489"/>
      <c r="G478" s="173"/>
      <c r="H478" s="488"/>
      <c r="I478" s="488"/>
      <c r="J478" s="488"/>
      <c r="K478" s="488"/>
      <c r="L478" s="488"/>
      <c r="M478" s="489"/>
      <c r="N478" s="488"/>
      <c r="O478" s="489"/>
      <c r="P478" s="489"/>
      <c r="Q478" s="489"/>
      <c r="R478" s="489"/>
      <c r="S478" s="28"/>
      <c r="T478" s="490"/>
      <c r="U478" s="489"/>
    </row>
    <row r="479" ht="30.0" customHeight="1">
      <c r="A479" s="488"/>
      <c r="B479" s="489"/>
      <c r="C479" s="489"/>
      <c r="D479" s="488"/>
      <c r="E479" s="489"/>
      <c r="F479" s="489"/>
      <c r="G479" s="173"/>
      <c r="H479" s="488"/>
      <c r="I479" s="488"/>
      <c r="J479" s="488"/>
      <c r="K479" s="488"/>
      <c r="L479" s="488"/>
      <c r="M479" s="489"/>
      <c r="N479" s="488"/>
      <c r="O479" s="489"/>
      <c r="P479" s="489"/>
      <c r="Q479" s="489"/>
      <c r="R479" s="489"/>
      <c r="S479" s="28"/>
      <c r="T479" s="490"/>
      <c r="U479" s="489"/>
    </row>
    <row r="480" ht="30.0" customHeight="1">
      <c r="A480" s="488"/>
      <c r="B480" s="489"/>
      <c r="C480" s="489"/>
      <c r="D480" s="488"/>
      <c r="E480" s="489"/>
      <c r="F480" s="489"/>
      <c r="G480" s="173"/>
      <c r="H480" s="488"/>
      <c r="I480" s="488"/>
      <c r="J480" s="488"/>
      <c r="K480" s="488"/>
      <c r="L480" s="488"/>
      <c r="M480" s="489"/>
      <c r="N480" s="488"/>
      <c r="O480" s="489"/>
      <c r="P480" s="489"/>
      <c r="Q480" s="489"/>
      <c r="R480" s="489"/>
      <c r="S480" s="28"/>
      <c r="T480" s="490"/>
      <c r="U480" s="489"/>
    </row>
    <row r="481" ht="30.0" customHeight="1">
      <c r="A481" s="488"/>
      <c r="B481" s="489"/>
      <c r="C481" s="489"/>
      <c r="D481" s="488"/>
      <c r="E481" s="489"/>
      <c r="F481" s="489"/>
      <c r="G481" s="173"/>
      <c r="H481" s="488"/>
      <c r="I481" s="488"/>
      <c r="J481" s="488"/>
      <c r="K481" s="488"/>
      <c r="L481" s="488"/>
      <c r="M481" s="489"/>
      <c r="N481" s="488"/>
      <c r="O481" s="489"/>
      <c r="P481" s="489"/>
      <c r="Q481" s="489"/>
      <c r="R481" s="489"/>
      <c r="S481" s="28"/>
      <c r="T481" s="490"/>
      <c r="U481" s="489"/>
    </row>
    <row r="482" ht="30.0" customHeight="1">
      <c r="A482" s="488"/>
      <c r="B482" s="489"/>
      <c r="C482" s="489"/>
      <c r="D482" s="488"/>
      <c r="E482" s="489"/>
      <c r="F482" s="489"/>
      <c r="G482" s="173"/>
      <c r="H482" s="488"/>
      <c r="I482" s="488"/>
      <c r="J482" s="488"/>
      <c r="K482" s="488"/>
      <c r="L482" s="488"/>
      <c r="M482" s="489"/>
      <c r="N482" s="488"/>
      <c r="O482" s="489"/>
      <c r="P482" s="489"/>
      <c r="Q482" s="489"/>
      <c r="R482" s="489"/>
      <c r="S482" s="28"/>
      <c r="T482" s="490"/>
      <c r="U482" s="489"/>
    </row>
    <row r="483" ht="30.0" customHeight="1">
      <c r="A483" s="488"/>
      <c r="B483" s="489"/>
      <c r="C483" s="489"/>
      <c r="D483" s="488"/>
      <c r="E483" s="489"/>
      <c r="F483" s="489"/>
      <c r="G483" s="173"/>
      <c r="H483" s="488"/>
      <c r="I483" s="488"/>
      <c r="J483" s="488"/>
      <c r="K483" s="488"/>
      <c r="L483" s="488"/>
      <c r="M483" s="489"/>
      <c r="N483" s="488"/>
      <c r="O483" s="489"/>
      <c r="P483" s="489"/>
      <c r="Q483" s="489"/>
      <c r="R483" s="489"/>
      <c r="S483" s="28"/>
      <c r="T483" s="490"/>
      <c r="U483" s="489"/>
    </row>
    <row r="484" ht="30.0" customHeight="1">
      <c r="A484" s="488"/>
      <c r="B484" s="489"/>
      <c r="C484" s="489"/>
      <c r="D484" s="488"/>
      <c r="E484" s="489"/>
      <c r="F484" s="489"/>
      <c r="G484" s="173"/>
      <c r="H484" s="488"/>
      <c r="I484" s="488"/>
      <c r="J484" s="488"/>
      <c r="K484" s="488"/>
      <c r="L484" s="488"/>
      <c r="M484" s="489"/>
      <c r="N484" s="488"/>
      <c r="O484" s="489"/>
      <c r="P484" s="489"/>
      <c r="Q484" s="489"/>
      <c r="R484" s="489"/>
      <c r="S484" s="28"/>
      <c r="T484" s="490"/>
      <c r="U484" s="489"/>
    </row>
    <row r="485" ht="30.0" customHeight="1">
      <c r="A485" s="488"/>
      <c r="B485" s="489"/>
      <c r="C485" s="489"/>
      <c r="D485" s="488"/>
      <c r="E485" s="489"/>
      <c r="F485" s="489"/>
      <c r="G485" s="173"/>
      <c r="H485" s="488"/>
      <c r="I485" s="488"/>
      <c r="J485" s="488"/>
      <c r="K485" s="488"/>
      <c r="L485" s="488"/>
      <c r="M485" s="489"/>
      <c r="N485" s="488"/>
      <c r="O485" s="489"/>
      <c r="P485" s="489"/>
      <c r="Q485" s="489"/>
      <c r="R485" s="489"/>
      <c r="S485" s="28"/>
      <c r="T485" s="490"/>
      <c r="U485" s="489"/>
    </row>
    <row r="486" ht="30.0" customHeight="1">
      <c r="A486" s="488"/>
      <c r="B486" s="489"/>
      <c r="C486" s="489"/>
      <c r="D486" s="488"/>
      <c r="E486" s="489"/>
      <c r="F486" s="489"/>
      <c r="G486" s="173"/>
      <c r="H486" s="488"/>
      <c r="I486" s="488"/>
      <c r="J486" s="488"/>
      <c r="K486" s="488"/>
      <c r="L486" s="488"/>
      <c r="M486" s="489"/>
      <c r="N486" s="488"/>
      <c r="O486" s="489"/>
      <c r="P486" s="489"/>
      <c r="Q486" s="489"/>
      <c r="R486" s="489"/>
      <c r="S486" s="28"/>
      <c r="T486" s="490"/>
      <c r="U486" s="489"/>
    </row>
    <row r="487" ht="30.0" customHeight="1">
      <c r="A487" s="488"/>
      <c r="B487" s="489"/>
      <c r="C487" s="489"/>
      <c r="D487" s="488"/>
      <c r="E487" s="489"/>
      <c r="F487" s="489"/>
      <c r="G487" s="173"/>
      <c r="H487" s="488"/>
      <c r="I487" s="488"/>
      <c r="J487" s="488"/>
      <c r="K487" s="488"/>
      <c r="L487" s="488"/>
      <c r="M487" s="489"/>
      <c r="N487" s="488"/>
      <c r="O487" s="489"/>
      <c r="P487" s="489"/>
      <c r="Q487" s="489"/>
      <c r="R487" s="489"/>
      <c r="S487" s="28"/>
      <c r="T487" s="490"/>
      <c r="U487" s="489"/>
    </row>
    <row r="488" ht="30.0" customHeight="1">
      <c r="A488" s="488"/>
      <c r="B488" s="489"/>
      <c r="C488" s="489"/>
      <c r="D488" s="488"/>
      <c r="E488" s="489"/>
      <c r="F488" s="489"/>
      <c r="G488" s="173"/>
      <c r="H488" s="488"/>
      <c r="I488" s="488"/>
      <c r="J488" s="488"/>
      <c r="K488" s="488"/>
      <c r="L488" s="488"/>
      <c r="M488" s="489"/>
      <c r="N488" s="488"/>
      <c r="O488" s="489"/>
      <c r="P488" s="489"/>
      <c r="Q488" s="489"/>
      <c r="R488" s="489"/>
      <c r="S488" s="28"/>
      <c r="T488" s="490"/>
      <c r="U488" s="489"/>
    </row>
    <row r="489" ht="30.0" customHeight="1">
      <c r="A489" s="488"/>
      <c r="B489" s="489"/>
      <c r="C489" s="489"/>
      <c r="D489" s="488"/>
      <c r="E489" s="489"/>
      <c r="F489" s="489"/>
      <c r="G489" s="173"/>
      <c r="H489" s="488"/>
      <c r="I489" s="488"/>
      <c r="J489" s="488"/>
      <c r="K489" s="488"/>
      <c r="L489" s="488"/>
      <c r="M489" s="489"/>
      <c r="N489" s="488"/>
      <c r="O489" s="489"/>
      <c r="P489" s="489"/>
      <c r="Q489" s="489"/>
      <c r="R489" s="489"/>
      <c r="S489" s="28"/>
      <c r="T489" s="490"/>
      <c r="U489" s="489"/>
    </row>
    <row r="490" ht="30.0" customHeight="1">
      <c r="A490" s="488"/>
      <c r="B490" s="489"/>
      <c r="C490" s="489"/>
      <c r="D490" s="488"/>
      <c r="E490" s="489"/>
      <c r="F490" s="489"/>
      <c r="G490" s="173"/>
      <c r="H490" s="488"/>
      <c r="I490" s="488"/>
      <c r="J490" s="488"/>
      <c r="K490" s="488"/>
      <c r="L490" s="488"/>
      <c r="M490" s="489"/>
      <c r="N490" s="488"/>
      <c r="O490" s="489"/>
      <c r="P490" s="489"/>
      <c r="Q490" s="489"/>
      <c r="R490" s="489"/>
      <c r="S490" s="28"/>
      <c r="T490" s="490"/>
      <c r="U490" s="489"/>
    </row>
    <row r="491" ht="30.0" customHeight="1">
      <c r="A491" s="488"/>
      <c r="B491" s="489"/>
      <c r="C491" s="489"/>
      <c r="D491" s="488"/>
      <c r="E491" s="489"/>
      <c r="F491" s="489"/>
      <c r="G491" s="173"/>
      <c r="H491" s="488"/>
      <c r="I491" s="488"/>
      <c r="J491" s="488"/>
      <c r="K491" s="488"/>
      <c r="L491" s="488"/>
      <c r="M491" s="489"/>
      <c r="N491" s="488"/>
      <c r="O491" s="489"/>
      <c r="P491" s="489"/>
      <c r="Q491" s="489"/>
      <c r="R491" s="489"/>
      <c r="S491" s="28"/>
      <c r="T491" s="490"/>
      <c r="U491" s="489"/>
    </row>
    <row r="492" ht="30.0" customHeight="1">
      <c r="A492" s="488"/>
      <c r="B492" s="489"/>
      <c r="C492" s="489"/>
      <c r="D492" s="488"/>
      <c r="E492" s="489"/>
      <c r="F492" s="489"/>
      <c r="G492" s="173"/>
      <c r="H492" s="488"/>
      <c r="I492" s="488"/>
      <c r="J492" s="488"/>
      <c r="K492" s="488"/>
      <c r="L492" s="488"/>
      <c r="M492" s="489"/>
      <c r="N492" s="488"/>
      <c r="O492" s="489"/>
      <c r="P492" s="489"/>
      <c r="Q492" s="489"/>
      <c r="R492" s="489"/>
      <c r="S492" s="28"/>
      <c r="T492" s="490"/>
      <c r="U492" s="489"/>
    </row>
    <row r="493" ht="30.0" customHeight="1">
      <c r="A493" s="488"/>
      <c r="B493" s="489"/>
      <c r="C493" s="489"/>
      <c r="D493" s="488"/>
      <c r="E493" s="489"/>
      <c r="F493" s="489"/>
      <c r="G493" s="173"/>
      <c r="H493" s="488"/>
      <c r="I493" s="488"/>
      <c r="J493" s="488"/>
      <c r="K493" s="488"/>
      <c r="L493" s="488"/>
      <c r="M493" s="489"/>
      <c r="N493" s="488"/>
      <c r="O493" s="489"/>
      <c r="P493" s="489"/>
      <c r="Q493" s="489"/>
      <c r="R493" s="489"/>
      <c r="S493" s="28"/>
      <c r="T493" s="490"/>
      <c r="U493" s="489"/>
    </row>
    <row r="494" ht="30.0" customHeight="1">
      <c r="A494" s="488"/>
      <c r="B494" s="489"/>
      <c r="C494" s="489"/>
      <c r="D494" s="488"/>
      <c r="E494" s="489"/>
      <c r="F494" s="489"/>
      <c r="G494" s="173"/>
      <c r="H494" s="488"/>
      <c r="I494" s="488"/>
      <c r="J494" s="488"/>
      <c r="K494" s="488"/>
      <c r="L494" s="488"/>
      <c r="M494" s="489"/>
      <c r="N494" s="488"/>
      <c r="O494" s="489"/>
      <c r="P494" s="489"/>
      <c r="Q494" s="489"/>
      <c r="R494" s="489"/>
      <c r="S494" s="28"/>
      <c r="T494" s="490"/>
      <c r="U494" s="489"/>
    </row>
    <row r="495" ht="30.0" customHeight="1">
      <c r="A495" s="488"/>
      <c r="B495" s="489"/>
      <c r="C495" s="489"/>
      <c r="D495" s="488"/>
      <c r="E495" s="489"/>
      <c r="F495" s="489"/>
      <c r="G495" s="173"/>
      <c r="H495" s="488"/>
      <c r="I495" s="488"/>
      <c r="J495" s="488"/>
      <c r="K495" s="488"/>
      <c r="L495" s="488"/>
      <c r="M495" s="489"/>
      <c r="N495" s="488"/>
      <c r="O495" s="489"/>
      <c r="P495" s="489"/>
      <c r="Q495" s="489"/>
      <c r="R495" s="489"/>
      <c r="S495" s="28"/>
      <c r="T495" s="490"/>
      <c r="U495" s="489"/>
    </row>
    <row r="496" ht="30.0" customHeight="1">
      <c r="A496" s="488"/>
      <c r="B496" s="489"/>
      <c r="C496" s="489"/>
      <c r="D496" s="488"/>
      <c r="E496" s="489"/>
      <c r="F496" s="489"/>
      <c r="G496" s="173"/>
      <c r="H496" s="488"/>
      <c r="I496" s="488"/>
      <c r="J496" s="488"/>
      <c r="K496" s="488"/>
      <c r="L496" s="488"/>
      <c r="M496" s="489"/>
      <c r="N496" s="488"/>
      <c r="O496" s="489"/>
      <c r="P496" s="489"/>
      <c r="Q496" s="489"/>
      <c r="R496" s="489"/>
      <c r="S496" s="28"/>
      <c r="T496" s="490"/>
      <c r="U496" s="489"/>
    </row>
    <row r="497" ht="30.0" customHeight="1">
      <c r="A497" s="488"/>
      <c r="B497" s="489"/>
      <c r="C497" s="489"/>
      <c r="D497" s="488"/>
      <c r="E497" s="489"/>
      <c r="F497" s="489"/>
      <c r="G497" s="173"/>
      <c r="H497" s="488"/>
      <c r="I497" s="488"/>
      <c r="J497" s="488"/>
      <c r="K497" s="488"/>
      <c r="L497" s="488"/>
      <c r="M497" s="489"/>
      <c r="N497" s="488"/>
      <c r="O497" s="489"/>
      <c r="P497" s="489"/>
      <c r="Q497" s="489"/>
      <c r="R497" s="489"/>
      <c r="S497" s="28"/>
      <c r="T497" s="490"/>
      <c r="U497" s="489"/>
    </row>
    <row r="498" ht="30.0" customHeight="1">
      <c r="A498" s="488"/>
      <c r="B498" s="489"/>
      <c r="C498" s="489"/>
      <c r="D498" s="488"/>
      <c r="E498" s="489"/>
      <c r="F498" s="489"/>
      <c r="G498" s="173"/>
      <c r="H498" s="488"/>
      <c r="I498" s="488"/>
      <c r="J498" s="488"/>
      <c r="K498" s="488"/>
      <c r="L498" s="488"/>
      <c r="M498" s="489"/>
      <c r="N498" s="488"/>
      <c r="O498" s="489"/>
      <c r="P498" s="489"/>
      <c r="Q498" s="489"/>
      <c r="R498" s="489"/>
      <c r="S498" s="28"/>
      <c r="T498" s="490"/>
      <c r="U498" s="489"/>
    </row>
    <row r="499" ht="30.0" customHeight="1">
      <c r="A499" s="488"/>
      <c r="B499" s="489"/>
      <c r="C499" s="489"/>
      <c r="D499" s="488"/>
      <c r="E499" s="489"/>
      <c r="F499" s="489"/>
      <c r="G499" s="173"/>
      <c r="H499" s="488"/>
      <c r="I499" s="488"/>
      <c r="J499" s="488"/>
      <c r="K499" s="488"/>
      <c r="L499" s="488"/>
      <c r="M499" s="489"/>
      <c r="N499" s="488"/>
      <c r="O499" s="489"/>
      <c r="P499" s="489"/>
      <c r="Q499" s="489"/>
      <c r="R499" s="489"/>
      <c r="S499" s="28"/>
      <c r="T499" s="490"/>
      <c r="U499" s="489"/>
    </row>
    <row r="500" ht="30.0" customHeight="1">
      <c r="A500" s="488"/>
      <c r="B500" s="489"/>
      <c r="C500" s="489"/>
      <c r="D500" s="488"/>
      <c r="E500" s="489"/>
      <c r="F500" s="489"/>
      <c r="G500" s="173"/>
      <c r="H500" s="488"/>
      <c r="I500" s="488"/>
      <c r="J500" s="488"/>
      <c r="K500" s="488"/>
      <c r="L500" s="488"/>
      <c r="M500" s="489"/>
      <c r="N500" s="488"/>
      <c r="O500" s="489"/>
      <c r="P500" s="489"/>
      <c r="Q500" s="489"/>
      <c r="R500" s="489"/>
      <c r="S500" s="28"/>
      <c r="T500" s="490"/>
      <c r="U500" s="489"/>
    </row>
    <row r="501" ht="30.0" customHeight="1">
      <c r="A501" s="488"/>
      <c r="B501" s="489"/>
      <c r="C501" s="489"/>
      <c r="D501" s="488"/>
      <c r="E501" s="489"/>
      <c r="F501" s="489"/>
      <c r="G501" s="173"/>
      <c r="H501" s="488"/>
      <c r="I501" s="488"/>
      <c r="J501" s="488"/>
      <c r="K501" s="488"/>
      <c r="L501" s="488"/>
      <c r="M501" s="489"/>
      <c r="N501" s="488"/>
      <c r="O501" s="489"/>
      <c r="P501" s="489"/>
      <c r="Q501" s="489"/>
      <c r="R501" s="489"/>
      <c r="S501" s="28"/>
      <c r="T501" s="490"/>
      <c r="U501" s="489"/>
    </row>
    <row r="502" ht="30.0" customHeight="1">
      <c r="A502" s="488"/>
      <c r="B502" s="489"/>
      <c r="C502" s="489"/>
      <c r="D502" s="488"/>
      <c r="E502" s="489"/>
      <c r="F502" s="489"/>
      <c r="G502" s="173"/>
      <c r="H502" s="488"/>
      <c r="I502" s="488"/>
      <c r="J502" s="488"/>
      <c r="K502" s="488"/>
      <c r="L502" s="488"/>
      <c r="M502" s="489"/>
      <c r="N502" s="488"/>
      <c r="O502" s="489"/>
      <c r="P502" s="489"/>
      <c r="Q502" s="489"/>
      <c r="R502" s="489"/>
      <c r="S502" s="28"/>
      <c r="T502" s="490"/>
      <c r="U502" s="489"/>
    </row>
    <row r="503" ht="30.0" customHeight="1">
      <c r="A503" s="488"/>
      <c r="B503" s="489"/>
      <c r="C503" s="489"/>
      <c r="D503" s="488"/>
      <c r="E503" s="489"/>
      <c r="F503" s="489"/>
      <c r="G503" s="173"/>
      <c r="H503" s="488"/>
      <c r="I503" s="488"/>
      <c r="J503" s="488"/>
      <c r="K503" s="488"/>
      <c r="L503" s="488"/>
      <c r="M503" s="489"/>
      <c r="N503" s="488"/>
      <c r="O503" s="489"/>
      <c r="P503" s="489"/>
      <c r="Q503" s="489"/>
      <c r="R503" s="489"/>
      <c r="S503" s="28"/>
      <c r="T503" s="490"/>
      <c r="U503" s="489"/>
    </row>
    <row r="504" ht="30.0" customHeight="1">
      <c r="A504" s="488"/>
      <c r="B504" s="489"/>
      <c r="C504" s="489"/>
      <c r="D504" s="488"/>
      <c r="E504" s="489"/>
      <c r="F504" s="489"/>
      <c r="G504" s="173"/>
      <c r="H504" s="488"/>
      <c r="I504" s="488"/>
      <c r="J504" s="488"/>
      <c r="K504" s="488"/>
      <c r="L504" s="488"/>
      <c r="M504" s="489"/>
      <c r="N504" s="488"/>
      <c r="O504" s="489"/>
      <c r="P504" s="489"/>
      <c r="Q504" s="489"/>
      <c r="R504" s="489"/>
      <c r="S504" s="28"/>
      <c r="T504" s="490"/>
      <c r="U504" s="489"/>
    </row>
    <row r="505" ht="30.0" customHeight="1">
      <c r="A505" s="488"/>
      <c r="B505" s="489"/>
      <c r="C505" s="489"/>
      <c r="D505" s="488"/>
      <c r="E505" s="489"/>
      <c r="F505" s="489"/>
      <c r="G505" s="173"/>
      <c r="H505" s="488"/>
      <c r="I505" s="488"/>
      <c r="J505" s="488"/>
      <c r="K505" s="488"/>
      <c r="L505" s="488"/>
      <c r="M505" s="489"/>
      <c r="N505" s="488"/>
      <c r="O505" s="489"/>
      <c r="P505" s="489"/>
      <c r="Q505" s="489"/>
      <c r="R505" s="489"/>
      <c r="S505" s="28"/>
      <c r="T505" s="490"/>
      <c r="U505" s="489"/>
    </row>
    <row r="506" ht="30.0" customHeight="1">
      <c r="A506" s="488"/>
      <c r="B506" s="489"/>
      <c r="C506" s="489"/>
      <c r="D506" s="488"/>
      <c r="E506" s="489"/>
      <c r="F506" s="489"/>
      <c r="G506" s="173"/>
      <c r="H506" s="488"/>
      <c r="I506" s="488"/>
      <c r="J506" s="488"/>
      <c r="K506" s="488"/>
      <c r="L506" s="488"/>
      <c r="M506" s="489"/>
      <c r="N506" s="488"/>
      <c r="O506" s="489"/>
      <c r="P506" s="489"/>
      <c r="Q506" s="489"/>
      <c r="R506" s="489"/>
      <c r="S506" s="28"/>
      <c r="T506" s="490"/>
      <c r="U506" s="489"/>
    </row>
    <row r="507" ht="30.0" customHeight="1">
      <c r="A507" s="488"/>
      <c r="B507" s="489"/>
      <c r="C507" s="489"/>
      <c r="D507" s="488"/>
      <c r="E507" s="489"/>
      <c r="F507" s="489"/>
      <c r="G507" s="173"/>
      <c r="H507" s="488"/>
      <c r="I507" s="488"/>
      <c r="J507" s="488"/>
      <c r="K507" s="488"/>
      <c r="L507" s="488"/>
      <c r="M507" s="489"/>
      <c r="N507" s="488"/>
      <c r="O507" s="489"/>
      <c r="P507" s="489"/>
      <c r="Q507" s="489"/>
      <c r="R507" s="489"/>
      <c r="S507" s="28"/>
      <c r="T507" s="490"/>
      <c r="U507" s="489"/>
    </row>
    <row r="508" ht="30.0" customHeight="1">
      <c r="A508" s="488"/>
      <c r="B508" s="489"/>
      <c r="C508" s="489"/>
      <c r="D508" s="488"/>
      <c r="E508" s="489"/>
      <c r="F508" s="489"/>
      <c r="G508" s="173"/>
      <c r="H508" s="488"/>
      <c r="I508" s="488"/>
      <c r="J508" s="488"/>
      <c r="K508" s="488"/>
      <c r="L508" s="488"/>
      <c r="M508" s="489"/>
      <c r="N508" s="488"/>
      <c r="O508" s="489"/>
      <c r="P508" s="489"/>
      <c r="Q508" s="489"/>
      <c r="R508" s="489"/>
      <c r="S508" s="28"/>
      <c r="T508" s="490"/>
      <c r="U508" s="489"/>
    </row>
    <row r="509" ht="30.0" customHeight="1">
      <c r="A509" s="488"/>
      <c r="B509" s="489"/>
      <c r="C509" s="489"/>
      <c r="D509" s="488"/>
      <c r="E509" s="489"/>
      <c r="F509" s="489"/>
      <c r="G509" s="173"/>
      <c r="H509" s="488"/>
      <c r="I509" s="488"/>
      <c r="J509" s="488"/>
      <c r="K509" s="488"/>
      <c r="L509" s="488"/>
      <c r="M509" s="489"/>
      <c r="N509" s="488"/>
      <c r="O509" s="489"/>
      <c r="P509" s="489"/>
      <c r="Q509" s="489"/>
      <c r="R509" s="489"/>
      <c r="S509" s="28"/>
      <c r="T509" s="490"/>
      <c r="U509" s="489"/>
    </row>
    <row r="510" ht="30.0" customHeight="1">
      <c r="A510" s="488"/>
      <c r="B510" s="489"/>
      <c r="C510" s="489"/>
      <c r="D510" s="488"/>
      <c r="E510" s="489"/>
      <c r="F510" s="489"/>
      <c r="G510" s="173"/>
      <c r="H510" s="488"/>
      <c r="I510" s="488"/>
      <c r="J510" s="488"/>
      <c r="K510" s="488"/>
      <c r="L510" s="488"/>
      <c r="M510" s="489"/>
      <c r="N510" s="488"/>
      <c r="O510" s="489"/>
      <c r="P510" s="489"/>
      <c r="Q510" s="489"/>
      <c r="R510" s="489"/>
      <c r="S510" s="28"/>
      <c r="T510" s="490"/>
      <c r="U510" s="489"/>
    </row>
    <row r="511" ht="30.0" customHeight="1">
      <c r="A511" s="488"/>
      <c r="B511" s="489"/>
      <c r="C511" s="489"/>
      <c r="D511" s="488"/>
      <c r="E511" s="489"/>
      <c r="F511" s="489"/>
      <c r="G511" s="173"/>
      <c r="H511" s="488"/>
      <c r="I511" s="488"/>
      <c r="J511" s="488"/>
      <c r="K511" s="488"/>
      <c r="L511" s="488"/>
      <c r="M511" s="489"/>
      <c r="N511" s="488"/>
      <c r="O511" s="489"/>
      <c r="P511" s="489"/>
      <c r="Q511" s="489"/>
      <c r="R511" s="489"/>
      <c r="S511" s="28"/>
      <c r="T511" s="490"/>
      <c r="U511" s="489"/>
    </row>
    <row r="512" ht="30.0" customHeight="1">
      <c r="A512" s="488"/>
      <c r="B512" s="489"/>
      <c r="C512" s="489"/>
      <c r="D512" s="488"/>
      <c r="E512" s="489"/>
      <c r="F512" s="489"/>
      <c r="G512" s="173"/>
      <c r="H512" s="488"/>
      <c r="I512" s="488"/>
      <c r="J512" s="488"/>
      <c r="K512" s="488"/>
      <c r="L512" s="488"/>
      <c r="M512" s="489"/>
      <c r="N512" s="488"/>
      <c r="O512" s="489"/>
      <c r="P512" s="489"/>
      <c r="Q512" s="489"/>
      <c r="R512" s="489"/>
      <c r="S512" s="28"/>
      <c r="T512" s="490"/>
      <c r="U512" s="489"/>
    </row>
    <row r="513" ht="30.0" customHeight="1">
      <c r="A513" s="488"/>
      <c r="B513" s="489"/>
      <c r="C513" s="489"/>
      <c r="D513" s="488"/>
      <c r="E513" s="489"/>
      <c r="F513" s="489"/>
      <c r="G513" s="173"/>
      <c r="H513" s="488"/>
      <c r="I513" s="488"/>
      <c r="J513" s="488"/>
      <c r="K513" s="488"/>
      <c r="L513" s="488"/>
      <c r="M513" s="489"/>
      <c r="N513" s="488"/>
      <c r="O513" s="489"/>
      <c r="P513" s="489"/>
      <c r="Q513" s="489"/>
      <c r="R513" s="489"/>
      <c r="S513" s="28"/>
      <c r="T513" s="490"/>
      <c r="U513" s="489"/>
    </row>
    <row r="514" ht="30.0" customHeight="1">
      <c r="A514" s="488"/>
      <c r="B514" s="489"/>
      <c r="C514" s="489"/>
      <c r="D514" s="488"/>
      <c r="E514" s="489"/>
      <c r="F514" s="489"/>
      <c r="G514" s="173"/>
      <c r="H514" s="488"/>
      <c r="I514" s="488"/>
      <c r="J514" s="488"/>
      <c r="K514" s="488"/>
      <c r="L514" s="488"/>
      <c r="M514" s="489"/>
      <c r="N514" s="488"/>
      <c r="O514" s="489"/>
      <c r="P514" s="489"/>
      <c r="Q514" s="489"/>
      <c r="R514" s="489"/>
      <c r="S514" s="28"/>
      <c r="T514" s="490"/>
      <c r="U514" s="489"/>
    </row>
    <row r="515" ht="30.0" customHeight="1">
      <c r="A515" s="488"/>
      <c r="B515" s="489"/>
      <c r="C515" s="489"/>
      <c r="D515" s="488"/>
      <c r="E515" s="489"/>
      <c r="F515" s="489"/>
      <c r="G515" s="173"/>
      <c r="H515" s="488"/>
      <c r="I515" s="488"/>
      <c r="J515" s="488"/>
      <c r="K515" s="488"/>
      <c r="L515" s="488"/>
      <c r="M515" s="489"/>
      <c r="N515" s="488"/>
      <c r="O515" s="489"/>
      <c r="P515" s="489"/>
      <c r="Q515" s="489"/>
      <c r="R515" s="489"/>
      <c r="S515" s="28"/>
      <c r="T515" s="490"/>
      <c r="U515" s="489"/>
    </row>
    <row r="516" ht="30.0" customHeight="1">
      <c r="A516" s="488"/>
      <c r="B516" s="489"/>
      <c r="C516" s="489"/>
      <c r="D516" s="488"/>
      <c r="E516" s="489"/>
      <c r="F516" s="489"/>
      <c r="G516" s="173"/>
      <c r="H516" s="488"/>
      <c r="I516" s="488"/>
      <c r="J516" s="488"/>
      <c r="K516" s="488"/>
      <c r="L516" s="488"/>
      <c r="M516" s="489"/>
      <c r="N516" s="488"/>
      <c r="O516" s="489"/>
      <c r="P516" s="489"/>
      <c r="Q516" s="489"/>
      <c r="R516" s="489"/>
      <c r="S516" s="28"/>
      <c r="T516" s="490"/>
      <c r="U516" s="489"/>
    </row>
    <row r="517" ht="30.0" customHeight="1">
      <c r="A517" s="488"/>
      <c r="B517" s="489"/>
      <c r="C517" s="489"/>
      <c r="D517" s="488"/>
      <c r="E517" s="489"/>
      <c r="F517" s="489"/>
      <c r="G517" s="173"/>
      <c r="H517" s="488"/>
      <c r="I517" s="488"/>
      <c r="J517" s="488"/>
      <c r="K517" s="488"/>
      <c r="L517" s="488"/>
      <c r="M517" s="489"/>
      <c r="N517" s="488"/>
      <c r="O517" s="489"/>
      <c r="P517" s="489"/>
      <c r="Q517" s="489"/>
      <c r="R517" s="489"/>
      <c r="S517" s="28"/>
      <c r="T517" s="490"/>
      <c r="U517" s="489"/>
    </row>
    <row r="518" ht="30.0" customHeight="1">
      <c r="A518" s="488"/>
      <c r="B518" s="489"/>
      <c r="C518" s="489"/>
      <c r="D518" s="488"/>
      <c r="E518" s="489"/>
      <c r="F518" s="489"/>
      <c r="G518" s="173"/>
      <c r="H518" s="488"/>
      <c r="I518" s="488"/>
      <c r="J518" s="488"/>
      <c r="K518" s="488"/>
      <c r="L518" s="488"/>
      <c r="M518" s="489"/>
      <c r="N518" s="488"/>
      <c r="O518" s="489"/>
      <c r="P518" s="489"/>
      <c r="Q518" s="489"/>
      <c r="R518" s="489"/>
      <c r="S518" s="28"/>
      <c r="T518" s="490"/>
      <c r="U518" s="489"/>
    </row>
    <row r="519" ht="30.0" customHeight="1">
      <c r="A519" s="488"/>
      <c r="B519" s="489"/>
      <c r="C519" s="489"/>
      <c r="D519" s="488"/>
      <c r="E519" s="489"/>
      <c r="F519" s="489"/>
      <c r="G519" s="173"/>
      <c r="H519" s="488"/>
      <c r="I519" s="488"/>
      <c r="J519" s="488"/>
      <c r="K519" s="488"/>
      <c r="L519" s="488"/>
      <c r="M519" s="489"/>
      <c r="N519" s="488"/>
      <c r="O519" s="489"/>
      <c r="P519" s="489"/>
      <c r="Q519" s="489"/>
      <c r="R519" s="489"/>
      <c r="S519" s="28"/>
      <c r="T519" s="490"/>
      <c r="U519" s="489"/>
    </row>
    <row r="520" ht="30.0" customHeight="1">
      <c r="A520" s="488"/>
      <c r="B520" s="489"/>
      <c r="C520" s="489"/>
      <c r="D520" s="488"/>
      <c r="E520" s="489"/>
      <c r="F520" s="489"/>
      <c r="G520" s="173"/>
      <c r="H520" s="488"/>
      <c r="I520" s="488"/>
      <c r="J520" s="488"/>
      <c r="K520" s="488"/>
      <c r="L520" s="488"/>
      <c r="M520" s="489"/>
      <c r="N520" s="488"/>
      <c r="O520" s="489"/>
      <c r="P520" s="489"/>
      <c r="Q520" s="489"/>
      <c r="R520" s="489"/>
      <c r="S520" s="28"/>
      <c r="T520" s="490"/>
      <c r="U520" s="489"/>
    </row>
    <row r="521" ht="30.0" customHeight="1">
      <c r="A521" s="488"/>
      <c r="B521" s="489"/>
      <c r="C521" s="489"/>
      <c r="D521" s="488"/>
      <c r="E521" s="489"/>
      <c r="F521" s="489"/>
      <c r="G521" s="173"/>
      <c r="H521" s="488"/>
      <c r="I521" s="488"/>
      <c r="J521" s="488"/>
      <c r="K521" s="488"/>
      <c r="L521" s="488"/>
      <c r="M521" s="489"/>
      <c r="N521" s="488"/>
      <c r="O521" s="489"/>
      <c r="P521" s="489"/>
      <c r="Q521" s="489"/>
      <c r="R521" s="489"/>
      <c r="S521" s="28"/>
      <c r="T521" s="490"/>
      <c r="U521" s="489"/>
    </row>
    <row r="522" ht="30.0" customHeight="1">
      <c r="A522" s="488"/>
      <c r="B522" s="489"/>
      <c r="C522" s="489"/>
      <c r="D522" s="488"/>
      <c r="E522" s="489"/>
      <c r="F522" s="489"/>
      <c r="G522" s="173"/>
      <c r="H522" s="488"/>
      <c r="I522" s="488"/>
      <c r="J522" s="488"/>
      <c r="K522" s="488"/>
      <c r="L522" s="488"/>
      <c r="M522" s="489"/>
      <c r="N522" s="488"/>
      <c r="O522" s="489"/>
      <c r="P522" s="489"/>
      <c r="Q522" s="489"/>
      <c r="R522" s="489"/>
      <c r="S522" s="28"/>
      <c r="T522" s="490"/>
      <c r="U522" s="489"/>
    </row>
    <row r="523" ht="30.0" customHeight="1">
      <c r="A523" s="488"/>
      <c r="B523" s="489"/>
      <c r="C523" s="489"/>
      <c r="D523" s="488"/>
      <c r="E523" s="489"/>
      <c r="F523" s="489"/>
      <c r="G523" s="173"/>
      <c r="H523" s="488"/>
      <c r="I523" s="488"/>
      <c r="J523" s="488"/>
      <c r="K523" s="488"/>
      <c r="L523" s="488"/>
      <c r="M523" s="489"/>
      <c r="N523" s="488"/>
      <c r="O523" s="489"/>
      <c r="P523" s="489"/>
      <c r="Q523" s="489"/>
      <c r="R523" s="489"/>
      <c r="S523" s="28"/>
      <c r="T523" s="490"/>
      <c r="U523" s="489"/>
    </row>
    <row r="524" ht="30.0" customHeight="1">
      <c r="A524" s="488"/>
      <c r="B524" s="489"/>
      <c r="C524" s="489"/>
      <c r="D524" s="488"/>
      <c r="E524" s="489"/>
      <c r="F524" s="489"/>
      <c r="G524" s="173"/>
      <c r="H524" s="488"/>
      <c r="I524" s="488"/>
      <c r="J524" s="488"/>
      <c r="K524" s="488"/>
      <c r="L524" s="488"/>
      <c r="M524" s="489"/>
      <c r="N524" s="488"/>
      <c r="O524" s="489"/>
      <c r="P524" s="489"/>
      <c r="Q524" s="489"/>
      <c r="R524" s="489"/>
      <c r="S524" s="28"/>
      <c r="T524" s="490"/>
      <c r="U524" s="489"/>
    </row>
    <row r="525" ht="30.0" customHeight="1">
      <c r="A525" s="488"/>
      <c r="B525" s="489"/>
      <c r="C525" s="489"/>
      <c r="D525" s="488"/>
      <c r="E525" s="489"/>
      <c r="F525" s="489"/>
      <c r="G525" s="173"/>
      <c r="H525" s="488"/>
      <c r="I525" s="488"/>
      <c r="J525" s="488"/>
      <c r="K525" s="488"/>
      <c r="L525" s="488"/>
      <c r="M525" s="489"/>
      <c r="N525" s="488"/>
      <c r="O525" s="489"/>
      <c r="P525" s="489"/>
      <c r="Q525" s="489"/>
      <c r="R525" s="489"/>
      <c r="S525" s="28"/>
      <c r="T525" s="490"/>
      <c r="U525" s="489"/>
    </row>
    <row r="526" ht="30.0" customHeight="1">
      <c r="A526" s="488"/>
      <c r="B526" s="489"/>
      <c r="C526" s="489"/>
      <c r="D526" s="488"/>
      <c r="E526" s="489"/>
      <c r="F526" s="489"/>
      <c r="G526" s="173"/>
      <c r="H526" s="488"/>
      <c r="I526" s="488"/>
      <c r="J526" s="488"/>
      <c r="K526" s="488"/>
      <c r="L526" s="488"/>
      <c r="M526" s="489"/>
      <c r="N526" s="488"/>
      <c r="O526" s="489"/>
      <c r="P526" s="489"/>
      <c r="Q526" s="489"/>
      <c r="R526" s="489"/>
      <c r="S526" s="28"/>
      <c r="T526" s="490"/>
      <c r="U526" s="489"/>
    </row>
    <row r="527" ht="30.0" customHeight="1">
      <c r="A527" s="488"/>
      <c r="B527" s="489"/>
      <c r="C527" s="489"/>
      <c r="D527" s="488"/>
      <c r="E527" s="489"/>
      <c r="F527" s="489"/>
      <c r="G527" s="173"/>
      <c r="H527" s="488"/>
      <c r="I527" s="488"/>
      <c r="J527" s="488"/>
      <c r="K527" s="488"/>
      <c r="L527" s="488"/>
      <c r="M527" s="489"/>
      <c r="N527" s="488"/>
      <c r="O527" s="489"/>
      <c r="P527" s="489"/>
      <c r="Q527" s="489"/>
      <c r="R527" s="489"/>
      <c r="S527" s="28"/>
      <c r="T527" s="490"/>
      <c r="U527" s="489"/>
    </row>
    <row r="528" ht="30.0" customHeight="1">
      <c r="A528" s="488"/>
      <c r="B528" s="489"/>
      <c r="C528" s="489"/>
      <c r="D528" s="488"/>
      <c r="E528" s="489"/>
      <c r="F528" s="489"/>
      <c r="G528" s="173"/>
      <c r="H528" s="488"/>
      <c r="I528" s="488"/>
      <c r="J528" s="488"/>
      <c r="K528" s="488"/>
      <c r="L528" s="488"/>
      <c r="M528" s="489"/>
      <c r="N528" s="488"/>
      <c r="O528" s="489"/>
      <c r="P528" s="489"/>
      <c r="Q528" s="489"/>
      <c r="R528" s="489"/>
      <c r="S528" s="28"/>
      <c r="T528" s="490"/>
      <c r="U528" s="489"/>
    </row>
    <row r="529" ht="30.0" customHeight="1">
      <c r="A529" s="488"/>
      <c r="B529" s="489"/>
      <c r="C529" s="489"/>
      <c r="D529" s="488"/>
      <c r="E529" s="489"/>
      <c r="F529" s="489"/>
      <c r="G529" s="173"/>
      <c r="H529" s="488"/>
      <c r="I529" s="488"/>
      <c r="J529" s="488"/>
      <c r="K529" s="488"/>
      <c r="L529" s="488"/>
      <c r="M529" s="489"/>
      <c r="N529" s="488"/>
      <c r="O529" s="489"/>
      <c r="P529" s="489"/>
      <c r="Q529" s="489"/>
      <c r="R529" s="489"/>
      <c r="S529" s="28"/>
      <c r="T529" s="490"/>
      <c r="U529" s="489"/>
    </row>
    <row r="530" ht="30.0" customHeight="1">
      <c r="A530" s="488"/>
      <c r="B530" s="489"/>
      <c r="C530" s="489"/>
      <c r="D530" s="488"/>
      <c r="E530" s="489"/>
      <c r="F530" s="489"/>
      <c r="G530" s="173"/>
      <c r="H530" s="488"/>
      <c r="I530" s="488"/>
      <c r="J530" s="488"/>
      <c r="K530" s="488"/>
      <c r="L530" s="488"/>
      <c r="M530" s="489"/>
      <c r="N530" s="488"/>
      <c r="O530" s="489"/>
      <c r="P530" s="489"/>
      <c r="Q530" s="489"/>
      <c r="R530" s="489"/>
      <c r="S530" s="28"/>
      <c r="T530" s="490"/>
      <c r="U530" s="489"/>
    </row>
    <row r="531" ht="30.0" customHeight="1">
      <c r="A531" s="488"/>
      <c r="B531" s="489"/>
      <c r="C531" s="489"/>
      <c r="D531" s="488"/>
      <c r="E531" s="489"/>
      <c r="F531" s="489"/>
      <c r="G531" s="173"/>
      <c r="H531" s="488"/>
      <c r="I531" s="488"/>
      <c r="J531" s="488"/>
      <c r="K531" s="488"/>
      <c r="L531" s="488"/>
      <c r="M531" s="489"/>
      <c r="N531" s="488"/>
      <c r="O531" s="489"/>
      <c r="P531" s="489"/>
      <c r="Q531" s="489"/>
      <c r="R531" s="489"/>
      <c r="S531" s="28"/>
      <c r="T531" s="490"/>
      <c r="U531" s="489"/>
    </row>
    <row r="532" ht="30.0" customHeight="1">
      <c r="A532" s="488"/>
      <c r="B532" s="489"/>
      <c r="C532" s="489"/>
      <c r="D532" s="488"/>
      <c r="E532" s="489"/>
      <c r="F532" s="489"/>
      <c r="G532" s="173"/>
      <c r="H532" s="488"/>
      <c r="I532" s="488"/>
      <c r="J532" s="488"/>
      <c r="K532" s="488"/>
      <c r="L532" s="488"/>
      <c r="M532" s="489"/>
      <c r="N532" s="488"/>
      <c r="O532" s="489"/>
      <c r="P532" s="489"/>
      <c r="Q532" s="489"/>
      <c r="R532" s="489"/>
      <c r="S532" s="28"/>
      <c r="T532" s="490"/>
      <c r="U532" s="489"/>
    </row>
    <row r="533" ht="30.0" customHeight="1">
      <c r="A533" s="488"/>
      <c r="B533" s="489"/>
      <c r="C533" s="489"/>
      <c r="D533" s="488"/>
      <c r="E533" s="489"/>
      <c r="F533" s="489"/>
      <c r="G533" s="173"/>
      <c r="H533" s="488"/>
      <c r="I533" s="488"/>
      <c r="J533" s="488"/>
      <c r="K533" s="488"/>
      <c r="L533" s="488"/>
      <c r="M533" s="489"/>
      <c r="N533" s="488"/>
      <c r="O533" s="489"/>
      <c r="P533" s="489"/>
      <c r="Q533" s="489"/>
      <c r="R533" s="489"/>
      <c r="S533" s="28"/>
      <c r="T533" s="490"/>
      <c r="U533" s="489"/>
    </row>
    <row r="534" ht="30.0" customHeight="1">
      <c r="A534" s="488"/>
      <c r="B534" s="489"/>
      <c r="C534" s="489"/>
      <c r="D534" s="488"/>
      <c r="E534" s="489"/>
      <c r="F534" s="489"/>
      <c r="G534" s="173"/>
      <c r="H534" s="488"/>
      <c r="I534" s="488"/>
      <c r="J534" s="488"/>
      <c r="K534" s="488"/>
      <c r="L534" s="488"/>
      <c r="M534" s="489"/>
      <c r="N534" s="488"/>
      <c r="O534" s="489"/>
      <c r="P534" s="489"/>
      <c r="Q534" s="489"/>
      <c r="R534" s="489"/>
      <c r="S534" s="28"/>
      <c r="T534" s="490"/>
      <c r="U534" s="489"/>
    </row>
    <row r="535" ht="30.0" customHeight="1">
      <c r="A535" s="488"/>
      <c r="B535" s="489"/>
      <c r="C535" s="489"/>
      <c r="D535" s="488"/>
      <c r="E535" s="489"/>
      <c r="F535" s="489"/>
      <c r="G535" s="173"/>
      <c r="H535" s="488"/>
      <c r="I535" s="488"/>
      <c r="J535" s="488"/>
      <c r="K535" s="488"/>
      <c r="L535" s="488"/>
      <c r="M535" s="489"/>
      <c r="N535" s="488"/>
      <c r="O535" s="489"/>
      <c r="P535" s="489"/>
      <c r="Q535" s="489"/>
      <c r="R535" s="489"/>
      <c r="S535" s="28"/>
      <c r="T535" s="490"/>
      <c r="U535" s="489"/>
    </row>
    <row r="536" ht="30.0" customHeight="1">
      <c r="A536" s="488"/>
      <c r="B536" s="489"/>
      <c r="C536" s="489"/>
      <c r="D536" s="488"/>
      <c r="E536" s="489"/>
      <c r="F536" s="489"/>
      <c r="G536" s="173"/>
      <c r="H536" s="488"/>
      <c r="I536" s="488"/>
      <c r="J536" s="488"/>
      <c r="K536" s="488"/>
      <c r="L536" s="488"/>
      <c r="M536" s="489"/>
      <c r="N536" s="488"/>
      <c r="O536" s="489"/>
      <c r="P536" s="489"/>
      <c r="Q536" s="489"/>
      <c r="R536" s="489"/>
      <c r="S536" s="28"/>
      <c r="T536" s="490"/>
      <c r="U536" s="489"/>
    </row>
    <row r="537" ht="30.0" customHeight="1">
      <c r="A537" s="488"/>
      <c r="B537" s="489"/>
      <c r="C537" s="489"/>
      <c r="D537" s="488"/>
      <c r="E537" s="489"/>
      <c r="F537" s="489"/>
      <c r="G537" s="173"/>
      <c r="H537" s="488"/>
      <c r="I537" s="488"/>
      <c r="J537" s="488"/>
      <c r="K537" s="488"/>
      <c r="L537" s="488"/>
      <c r="M537" s="489"/>
      <c r="N537" s="488"/>
      <c r="O537" s="489"/>
      <c r="P537" s="489"/>
      <c r="Q537" s="489"/>
      <c r="R537" s="489"/>
      <c r="S537" s="28"/>
      <c r="T537" s="490"/>
      <c r="U537" s="489"/>
    </row>
    <row r="538" ht="30.0" customHeight="1">
      <c r="A538" s="488"/>
      <c r="B538" s="489"/>
      <c r="C538" s="489"/>
      <c r="D538" s="488"/>
      <c r="E538" s="489"/>
      <c r="F538" s="489"/>
      <c r="G538" s="173"/>
      <c r="H538" s="488"/>
      <c r="I538" s="488"/>
      <c r="J538" s="488"/>
      <c r="K538" s="488"/>
      <c r="L538" s="488"/>
      <c r="M538" s="489"/>
      <c r="N538" s="488"/>
      <c r="O538" s="489"/>
      <c r="P538" s="489"/>
      <c r="Q538" s="489"/>
      <c r="R538" s="489"/>
      <c r="S538" s="28"/>
      <c r="T538" s="490"/>
      <c r="U538" s="489"/>
    </row>
    <row r="539" ht="30.0" customHeight="1">
      <c r="A539" s="488"/>
      <c r="B539" s="489"/>
      <c r="C539" s="489"/>
      <c r="D539" s="488"/>
      <c r="E539" s="489"/>
      <c r="F539" s="489"/>
      <c r="G539" s="173"/>
      <c r="H539" s="488"/>
      <c r="I539" s="488"/>
      <c r="J539" s="488"/>
      <c r="K539" s="488"/>
      <c r="L539" s="488"/>
      <c r="M539" s="489"/>
      <c r="N539" s="488"/>
      <c r="O539" s="489"/>
      <c r="P539" s="489"/>
      <c r="Q539" s="489"/>
      <c r="R539" s="489"/>
      <c r="S539" s="28"/>
      <c r="T539" s="490"/>
      <c r="U539" s="489"/>
    </row>
    <row r="540" ht="30.0" customHeight="1">
      <c r="A540" s="488"/>
      <c r="B540" s="489"/>
      <c r="C540" s="489"/>
      <c r="D540" s="488"/>
      <c r="E540" s="489"/>
      <c r="F540" s="489"/>
      <c r="G540" s="173"/>
      <c r="H540" s="488"/>
      <c r="I540" s="488"/>
      <c r="J540" s="488"/>
      <c r="K540" s="488"/>
      <c r="L540" s="488"/>
      <c r="M540" s="489"/>
      <c r="N540" s="488"/>
      <c r="O540" s="489"/>
      <c r="P540" s="489"/>
      <c r="Q540" s="489"/>
      <c r="R540" s="489"/>
      <c r="S540" s="28"/>
      <c r="T540" s="490"/>
      <c r="U540" s="489"/>
    </row>
    <row r="541" ht="30.0" customHeight="1">
      <c r="A541" s="488"/>
      <c r="B541" s="489"/>
      <c r="C541" s="489"/>
      <c r="D541" s="488"/>
      <c r="E541" s="489"/>
      <c r="F541" s="489"/>
      <c r="G541" s="173"/>
      <c r="H541" s="488"/>
      <c r="I541" s="488"/>
      <c r="J541" s="488"/>
      <c r="K541" s="488"/>
      <c r="L541" s="488"/>
      <c r="M541" s="489"/>
      <c r="N541" s="488"/>
      <c r="O541" s="489"/>
      <c r="P541" s="489"/>
      <c r="Q541" s="489"/>
      <c r="R541" s="489"/>
      <c r="S541" s="28"/>
      <c r="T541" s="490"/>
      <c r="U541" s="489"/>
    </row>
    <row r="542" ht="30.0" customHeight="1">
      <c r="A542" s="488"/>
      <c r="B542" s="489"/>
      <c r="C542" s="489"/>
      <c r="D542" s="488"/>
      <c r="E542" s="489"/>
      <c r="F542" s="489"/>
      <c r="G542" s="173"/>
      <c r="H542" s="488"/>
      <c r="I542" s="488"/>
      <c r="J542" s="488"/>
      <c r="K542" s="488"/>
      <c r="L542" s="488"/>
      <c r="M542" s="489"/>
      <c r="N542" s="488"/>
      <c r="O542" s="489"/>
      <c r="P542" s="489"/>
      <c r="Q542" s="489"/>
      <c r="R542" s="489"/>
      <c r="S542" s="28"/>
      <c r="T542" s="490"/>
      <c r="U542" s="489"/>
    </row>
    <row r="543" ht="30.0" customHeight="1">
      <c r="A543" s="488"/>
      <c r="B543" s="489"/>
      <c r="C543" s="489"/>
      <c r="D543" s="488"/>
      <c r="E543" s="489"/>
      <c r="F543" s="489"/>
      <c r="G543" s="173"/>
      <c r="H543" s="488"/>
      <c r="I543" s="488"/>
      <c r="J543" s="488"/>
      <c r="K543" s="488"/>
      <c r="L543" s="488"/>
      <c r="M543" s="489"/>
      <c r="N543" s="488"/>
      <c r="O543" s="489"/>
      <c r="P543" s="489"/>
      <c r="Q543" s="489"/>
      <c r="R543" s="489"/>
      <c r="S543" s="28"/>
      <c r="T543" s="490"/>
      <c r="U543" s="489"/>
    </row>
    <row r="544" ht="30.0" customHeight="1">
      <c r="A544" s="488"/>
      <c r="B544" s="489"/>
      <c r="C544" s="489"/>
      <c r="D544" s="488"/>
      <c r="E544" s="489"/>
      <c r="F544" s="489"/>
      <c r="G544" s="173"/>
      <c r="H544" s="488"/>
      <c r="I544" s="488"/>
      <c r="J544" s="488"/>
      <c r="K544" s="488"/>
      <c r="L544" s="488"/>
      <c r="M544" s="489"/>
      <c r="N544" s="488"/>
      <c r="O544" s="489"/>
      <c r="P544" s="489"/>
      <c r="Q544" s="489"/>
      <c r="R544" s="489"/>
      <c r="S544" s="28"/>
      <c r="T544" s="490"/>
      <c r="U544" s="489"/>
    </row>
    <row r="545" ht="30.0" customHeight="1">
      <c r="A545" s="488"/>
      <c r="B545" s="489"/>
      <c r="C545" s="489"/>
      <c r="D545" s="488"/>
      <c r="E545" s="489"/>
      <c r="F545" s="489"/>
      <c r="G545" s="173"/>
      <c r="H545" s="488"/>
      <c r="I545" s="488"/>
      <c r="J545" s="488"/>
      <c r="K545" s="488"/>
      <c r="L545" s="488"/>
      <c r="M545" s="489"/>
      <c r="N545" s="488"/>
      <c r="O545" s="489"/>
      <c r="P545" s="489"/>
      <c r="Q545" s="489"/>
      <c r="R545" s="489"/>
      <c r="S545" s="28"/>
      <c r="T545" s="490"/>
      <c r="U545" s="489"/>
    </row>
    <row r="546" ht="30.0" customHeight="1">
      <c r="A546" s="488"/>
      <c r="B546" s="489"/>
      <c r="C546" s="489"/>
      <c r="D546" s="488"/>
      <c r="E546" s="489"/>
      <c r="F546" s="489"/>
      <c r="G546" s="173"/>
      <c r="H546" s="488"/>
      <c r="I546" s="488"/>
      <c r="J546" s="488"/>
      <c r="K546" s="488"/>
      <c r="L546" s="488"/>
      <c r="M546" s="489"/>
      <c r="N546" s="488"/>
      <c r="O546" s="489"/>
      <c r="P546" s="489"/>
      <c r="Q546" s="489"/>
      <c r="R546" s="489"/>
      <c r="S546" s="28"/>
      <c r="T546" s="490"/>
      <c r="U546" s="489"/>
    </row>
    <row r="547" ht="30.0" customHeight="1">
      <c r="A547" s="488"/>
      <c r="B547" s="489"/>
      <c r="C547" s="489"/>
      <c r="D547" s="488"/>
      <c r="E547" s="489"/>
      <c r="F547" s="489"/>
      <c r="G547" s="173"/>
      <c r="H547" s="488"/>
      <c r="I547" s="488"/>
      <c r="J547" s="488"/>
      <c r="K547" s="488"/>
      <c r="L547" s="488"/>
      <c r="M547" s="489"/>
      <c r="N547" s="488"/>
      <c r="O547" s="489"/>
      <c r="P547" s="489"/>
      <c r="Q547" s="489"/>
      <c r="R547" s="489"/>
      <c r="S547" s="28"/>
      <c r="T547" s="490"/>
      <c r="U547" s="489"/>
    </row>
    <row r="548" ht="30.0" customHeight="1">
      <c r="A548" s="488"/>
      <c r="B548" s="489"/>
      <c r="C548" s="489"/>
      <c r="D548" s="488"/>
      <c r="E548" s="489"/>
      <c r="F548" s="489"/>
      <c r="G548" s="173"/>
      <c r="H548" s="488"/>
      <c r="I548" s="488"/>
      <c r="J548" s="488"/>
      <c r="K548" s="488"/>
      <c r="L548" s="488"/>
      <c r="M548" s="489"/>
      <c r="N548" s="488"/>
      <c r="O548" s="489"/>
      <c r="P548" s="489"/>
      <c r="Q548" s="489"/>
      <c r="R548" s="489"/>
      <c r="S548" s="28"/>
      <c r="T548" s="490"/>
      <c r="U548" s="489"/>
    </row>
    <row r="549" ht="30.0" customHeight="1">
      <c r="A549" s="488"/>
      <c r="B549" s="489"/>
      <c r="C549" s="489"/>
      <c r="D549" s="488"/>
      <c r="E549" s="489"/>
      <c r="F549" s="489"/>
      <c r="G549" s="173"/>
      <c r="H549" s="488"/>
      <c r="I549" s="488"/>
      <c r="J549" s="488"/>
      <c r="K549" s="488"/>
      <c r="L549" s="488"/>
      <c r="M549" s="489"/>
      <c r="N549" s="488"/>
      <c r="O549" s="489"/>
      <c r="P549" s="489"/>
      <c r="Q549" s="489"/>
      <c r="R549" s="489"/>
      <c r="S549" s="28"/>
      <c r="T549" s="490"/>
      <c r="U549" s="489"/>
    </row>
    <row r="550" ht="30.0" customHeight="1">
      <c r="A550" s="488"/>
      <c r="B550" s="489"/>
      <c r="C550" s="489"/>
      <c r="D550" s="488"/>
      <c r="E550" s="489"/>
      <c r="F550" s="489"/>
      <c r="G550" s="173"/>
      <c r="H550" s="488"/>
      <c r="I550" s="488"/>
      <c r="J550" s="488"/>
      <c r="K550" s="488"/>
      <c r="L550" s="488"/>
      <c r="M550" s="489"/>
      <c r="N550" s="488"/>
      <c r="O550" s="489"/>
      <c r="P550" s="489"/>
      <c r="Q550" s="489"/>
      <c r="R550" s="489"/>
      <c r="S550" s="28"/>
      <c r="T550" s="490"/>
      <c r="U550" s="489"/>
    </row>
    <row r="551" ht="30.0" customHeight="1">
      <c r="A551" s="488"/>
      <c r="B551" s="489"/>
      <c r="C551" s="489"/>
      <c r="D551" s="488"/>
      <c r="E551" s="489"/>
      <c r="F551" s="489"/>
      <c r="G551" s="173"/>
      <c r="H551" s="488"/>
      <c r="I551" s="488"/>
      <c r="J551" s="488"/>
      <c r="K551" s="488"/>
      <c r="L551" s="488"/>
      <c r="M551" s="489"/>
      <c r="N551" s="488"/>
      <c r="O551" s="489"/>
      <c r="P551" s="489"/>
      <c r="Q551" s="489"/>
      <c r="R551" s="489"/>
      <c r="S551" s="28"/>
      <c r="T551" s="490"/>
      <c r="U551" s="489"/>
    </row>
    <row r="552" ht="30.0" customHeight="1">
      <c r="A552" s="488"/>
      <c r="B552" s="489"/>
      <c r="C552" s="489"/>
      <c r="D552" s="488"/>
      <c r="E552" s="489"/>
      <c r="F552" s="489"/>
      <c r="G552" s="173"/>
      <c r="H552" s="488"/>
      <c r="I552" s="488"/>
      <c r="J552" s="488"/>
      <c r="K552" s="488"/>
      <c r="L552" s="488"/>
      <c r="M552" s="489"/>
      <c r="N552" s="488"/>
      <c r="O552" s="489"/>
      <c r="P552" s="489"/>
      <c r="Q552" s="489"/>
      <c r="R552" s="489"/>
      <c r="S552" s="28"/>
      <c r="T552" s="490"/>
      <c r="U552" s="489"/>
    </row>
    <row r="553" ht="30.0" customHeight="1">
      <c r="A553" s="488"/>
      <c r="B553" s="489"/>
      <c r="C553" s="489"/>
      <c r="D553" s="488"/>
      <c r="E553" s="489"/>
      <c r="F553" s="489"/>
      <c r="G553" s="173"/>
      <c r="H553" s="488"/>
      <c r="I553" s="488"/>
      <c r="J553" s="488"/>
      <c r="K553" s="488"/>
      <c r="L553" s="488"/>
      <c r="M553" s="489"/>
      <c r="N553" s="488"/>
      <c r="O553" s="489"/>
      <c r="P553" s="489"/>
      <c r="Q553" s="489"/>
      <c r="R553" s="489"/>
      <c r="S553" s="28"/>
      <c r="T553" s="490"/>
      <c r="U553" s="489"/>
    </row>
    <row r="554" ht="30.0" customHeight="1">
      <c r="A554" s="488"/>
      <c r="B554" s="489"/>
      <c r="C554" s="489"/>
      <c r="D554" s="488"/>
      <c r="E554" s="489"/>
      <c r="F554" s="489"/>
      <c r="G554" s="173"/>
      <c r="H554" s="488"/>
      <c r="I554" s="488"/>
      <c r="J554" s="488"/>
      <c r="K554" s="488"/>
      <c r="L554" s="488"/>
      <c r="M554" s="489"/>
      <c r="N554" s="488"/>
      <c r="O554" s="489"/>
      <c r="P554" s="489"/>
      <c r="Q554" s="489"/>
      <c r="R554" s="489"/>
      <c r="S554" s="28"/>
      <c r="T554" s="490"/>
      <c r="U554" s="489"/>
    </row>
    <row r="555" ht="30.0" customHeight="1">
      <c r="A555" s="488"/>
      <c r="B555" s="489"/>
      <c r="C555" s="489"/>
      <c r="D555" s="488"/>
      <c r="E555" s="489"/>
      <c r="F555" s="489"/>
      <c r="G555" s="173"/>
      <c r="H555" s="488"/>
      <c r="I555" s="488"/>
      <c r="J555" s="488"/>
      <c r="K555" s="488"/>
      <c r="L555" s="488"/>
      <c r="M555" s="489"/>
      <c r="N555" s="488"/>
      <c r="O555" s="489"/>
      <c r="P555" s="489"/>
      <c r="Q555" s="489"/>
      <c r="R555" s="489"/>
      <c r="S555" s="28"/>
      <c r="T555" s="490"/>
      <c r="U555" s="489"/>
    </row>
    <row r="556" ht="30.0" customHeight="1">
      <c r="A556" s="488"/>
      <c r="B556" s="489"/>
      <c r="C556" s="489"/>
      <c r="D556" s="488"/>
      <c r="E556" s="489"/>
      <c r="F556" s="489"/>
      <c r="G556" s="173"/>
      <c r="H556" s="488"/>
      <c r="I556" s="488"/>
      <c r="J556" s="488"/>
      <c r="K556" s="488"/>
      <c r="L556" s="488"/>
      <c r="M556" s="489"/>
      <c r="N556" s="488"/>
      <c r="O556" s="489"/>
      <c r="P556" s="489"/>
      <c r="Q556" s="489"/>
      <c r="R556" s="489"/>
      <c r="S556" s="28"/>
      <c r="T556" s="490"/>
      <c r="U556" s="489"/>
    </row>
    <row r="557" ht="30.0" customHeight="1">
      <c r="A557" s="488"/>
      <c r="B557" s="489"/>
      <c r="C557" s="489"/>
      <c r="D557" s="488"/>
      <c r="E557" s="489"/>
      <c r="F557" s="489"/>
      <c r="G557" s="173"/>
      <c r="H557" s="488"/>
      <c r="I557" s="488"/>
      <c r="J557" s="488"/>
      <c r="K557" s="488"/>
      <c r="L557" s="488"/>
      <c r="M557" s="489"/>
      <c r="N557" s="488"/>
      <c r="O557" s="489"/>
      <c r="P557" s="489"/>
      <c r="Q557" s="489"/>
      <c r="R557" s="489"/>
      <c r="S557" s="28"/>
      <c r="T557" s="490"/>
      <c r="U557" s="489"/>
    </row>
    <row r="558" ht="30.0" customHeight="1">
      <c r="A558" s="488"/>
      <c r="B558" s="489"/>
      <c r="C558" s="489"/>
      <c r="D558" s="488"/>
      <c r="E558" s="489"/>
      <c r="F558" s="489"/>
      <c r="G558" s="173"/>
      <c r="H558" s="488"/>
      <c r="I558" s="488"/>
      <c r="J558" s="488"/>
      <c r="K558" s="488"/>
      <c r="L558" s="488"/>
      <c r="M558" s="489"/>
      <c r="N558" s="488"/>
      <c r="O558" s="489"/>
      <c r="P558" s="489"/>
      <c r="Q558" s="489"/>
      <c r="R558" s="489"/>
      <c r="S558" s="28"/>
      <c r="T558" s="490"/>
      <c r="U558" s="489"/>
    </row>
    <row r="559" ht="30.0" customHeight="1">
      <c r="A559" s="488"/>
      <c r="B559" s="489"/>
      <c r="C559" s="489"/>
      <c r="D559" s="488"/>
      <c r="E559" s="489"/>
      <c r="F559" s="489"/>
      <c r="G559" s="173"/>
      <c r="H559" s="488"/>
      <c r="I559" s="488"/>
      <c r="J559" s="488"/>
      <c r="K559" s="488"/>
      <c r="L559" s="488"/>
      <c r="M559" s="489"/>
      <c r="N559" s="488"/>
      <c r="O559" s="489"/>
      <c r="P559" s="489"/>
      <c r="Q559" s="489"/>
      <c r="R559" s="489"/>
      <c r="S559" s="28"/>
      <c r="T559" s="490"/>
      <c r="U559" s="489"/>
    </row>
    <row r="560" ht="30.0" customHeight="1">
      <c r="A560" s="488"/>
      <c r="B560" s="489"/>
      <c r="C560" s="489"/>
      <c r="D560" s="488"/>
      <c r="E560" s="489"/>
      <c r="F560" s="489"/>
      <c r="G560" s="173"/>
      <c r="H560" s="488"/>
      <c r="I560" s="488"/>
      <c r="J560" s="488"/>
      <c r="K560" s="488"/>
      <c r="L560" s="488"/>
      <c r="M560" s="489"/>
      <c r="N560" s="488"/>
      <c r="O560" s="489"/>
      <c r="P560" s="489"/>
      <c r="Q560" s="489"/>
      <c r="R560" s="489"/>
      <c r="S560" s="28"/>
      <c r="T560" s="490"/>
      <c r="U560" s="489"/>
    </row>
    <row r="561" ht="30.0" customHeight="1">
      <c r="A561" s="488"/>
      <c r="B561" s="489"/>
      <c r="C561" s="489"/>
      <c r="D561" s="488"/>
      <c r="E561" s="489"/>
      <c r="F561" s="489"/>
      <c r="G561" s="173"/>
      <c r="H561" s="488"/>
      <c r="I561" s="488"/>
      <c r="J561" s="488"/>
      <c r="K561" s="488"/>
      <c r="L561" s="488"/>
      <c r="M561" s="489"/>
      <c r="N561" s="488"/>
      <c r="O561" s="489"/>
      <c r="P561" s="489"/>
      <c r="Q561" s="489"/>
      <c r="R561" s="489"/>
      <c r="S561" s="28"/>
      <c r="T561" s="490"/>
      <c r="U561" s="489"/>
    </row>
    <row r="562" ht="30.0" customHeight="1">
      <c r="A562" s="488"/>
      <c r="B562" s="489"/>
      <c r="C562" s="489"/>
      <c r="D562" s="488"/>
      <c r="E562" s="489"/>
      <c r="F562" s="489"/>
      <c r="G562" s="173"/>
      <c r="H562" s="488"/>
      <c r="I562" s="488"/>
      <c r="J562" s="488"/>
      <c r="K562" s="488"/>
      <c r="L562" s="488"/>
      <c r="M562" s="489"/>
      <c r="N562" s="488"/>
      <c r="O562" s="489"/>
      <c r="P562" s="489"/>
      <c r="Q562" s="489"/>
      <c r="R562" s="489"/>
      <c r="S562" s="28"/>
      <c r="T562" s="490"/>
      <c r="U562" s="489"/>
    </row>
    <row r="563" ht="30.0" customHeight="1">
      <c r="A563" s="488"/>
      <c r="B563" s="489"/>
      <c r="C563" s="489"/>
      <c r="D563" s="488"/>
      <c r="E563" s="489"/>
      <c r="F563" s="489"/>
      <c r="G563" s="173"/>
      <c r="H563" s="488"/>
      <c r="I563" s="488"/>
      <c r="J563" s="488"/>
      <c r="K563" s="488"/>
      <c r="L563" s="488"/>
      <c r="M563" s="489"/>
      <c r="N563" s="488"/>
      <c r="O563" s="489"/>
      <c r="P563" s="489"/>
      <c r="Q563" s="489"/>
      <c r="R563" s="489"/>
      <c r="S563" s="28"/>
      <c r="T563" s="490"/>
      <c r="U563" s="489"/>
    </row>
    <row r="564" ht="30.0" customHeight="1">
      <c r="A564" s="488"/>
      <c r="B564" s="489"/>
      <c r="C564" s="489"/>
      <c r="D564" s="488"/>
      <c r="E564" s="489"/>
      <c r="F564" s="489"/>
      <c r="G564" s="173"/>
      <c r="H564" s="488"/>
      <c r="I564" s="488"/>
      <c r="J564" s="488"/>
      <c r="K564" s="488"/>
      <c r="L564" s="488"/>
      <c r="M564" s="489"/>
      <c r="N564" s="488"/>
      <c r="O564" s="489"/>
      <c r="P564" s="489"/>
      <c r="Q564" s="489"/>
      <c r="R564" s="489"/>
      <c r="S564" s="28"/>
      <c r="T564" s="490"/>
      <c r="U564" s="489"/>
    </row>
    <row r="565" ht="30.0" customHeight="1">
      <c r="A565" s="488"/>
      <c r="B565" s="489"/>
      <c r="C565" s="489"/>
      <c r="D565" s="488"/>
      <c r="E565" s="489"/>
      <c r="F565" s="489"/>
      <c r="G565" s="173"/>
      <c r="H565" s="488"/>
      <c r="I565" s="488"/>
      <c r="J565" s="488"/>
      <c r="K565" s="488"/>
      <c r="L565" s="488"/>
      <c r="M565" s="489"/>
      <c r="N565" s="488"/>
      <c r="O565" s="489"/>
      <c r="P565" s="489"/>
      <c r="Q565" s="489"/>
      <c r="R565" s="489"/>
      <c r="S565" s="28"/>
      <c r="T565" s="490"/>
      <c r="U565" s="489"/>
    </row>
    <row r="566" ht="30.0" customHeight="1">
      <c r="A566" s="488"/>
      <c r="B566" s="489"/>
      <c r="C566" s="489"/>
      <c r="D566" s="488"/>
      <c r="E566" s="489"/>
      <c r="F566" s="489"/>
      <c r="G566" s="173"/>
      <c r="H566" s="488"/>
      <c r="I566" s="488"/>
      <c r="J566" s="488"/>
      <c r="K566" s="488"/>
      <c r="L566" s="488"/>
      <c r="M566" s="489"/>
      <c r="N566" s="488"/>
      <c r="O566" s="489"/>
      <c r="P566" s="489"/>
      <c r="Q566" s="489"/>
      <c r="R566" s="489"/>
      <c r="S566" s="28"/>
      <c r="T566" s="490"/>
      <c r="U566" s="489"/>
    </row>
    <row r="567" ht="30.0" customHeight="1">
      <c r="A567" s="488"/>
      <c r="B567" s="489"/>
      <c r="C567" s="489"/>
      <c r="D567" s="488"/>
      <c r="E567" s="489"/>
      <c r="F567" s="489"/>
      <c r="G567" s="173"/>
      <c r="H567" s="488"/>
      <c r="I567" s="488"/>
      <c r="J567" s="488"/>
      <c r="K567" s="488"/>
      <c r="L567" s="488"/>
      <c r="M567" s="489"/>
      <c r="N567" s="488"/>
      <c r="O567" s="489"/>
      <c r="P567" s="489"/>
      <c r="Q567" s="489"/>
      <c r="R567" s="489"/>
      <c r="S567" s="28"/>
      <c r="T567" s="490"/>
      <c r="U567" s="489"/>
    </row>
    <row r="568" ht="30.0" customHeight="1">
      <c r="A568" s="488"/>
      <c r="B568" s="489"/>
      <c r="C568" s="489"/>
      <c r="D568" s="488"/>
      <c r="E568" s="489"/>
      <c r="F568" s="489"/>
      <c r="G568" s="173"/>
      <c r="H568" s="488"/>
      <c r="I568" s="488"/>
      <c r="J568" s="488"/>
      <c r="K568" s="488"/>
      <c r="L568" s="488"/>
      <c r="M568" s="489"/>
      <c r="N568" s="488"/>
      <c r="O568" s="489"/>
      <c r="P568" s="489"/>
      <c r="Q568" s="489"/>
      <c r="R568" s="489"/>
      <c r="S568" s="28"/>
      <c r="T568" s="490"/>
      <c r="U568" s="489"/>
    </row>
    <row r="569" ht="30.0" customHeight="1">
      <c r="A569" s="488"/>
      <c r="B569" s="489"/>
      <c r="C569" s="489"/>
      <c r="D569" s="488"/>
      <c r="E569" s="489"/>
      <c r="F569" s="489"/>
      <c r="G569" s="173"/>
      <c r="H569" s="488"/>
      <c r="I569" s="488"/>
      <c r="J569" s="488"/>
      <c r="K569" s="488"/>
      <c r="L569" s="488"/>
      <c r="M569" s="489"/>
      <c r="N569" s="488"/>
      <c r="O569" s="489"/>
      <c r="P569" s="489"/>
      <c r="Q569" s="489"/>
      <c r="R569" s="489"/>
      <c r="S569" s="28"/>
      <c r="T569" s="490"/>
      <c r="U569" s="489"/>
    </row>
    <row r="570" ht="30.0" customHeight="1">
      <c r="A570" s="488"/>
      <c r="B570" s="489"/>
      <c r="C570" s="489"/>
      <c r="D570" s="488"/>
      <c r="E570" s="489"/>
      <c r="F570" s="489"/>
      <c r="G570" s="173"/>
      <c r="H570" s="488"/>
      <c r="I570" s="488"/>
      <c r="J570" s="488"/>
      <c r="K570" s="488"/>
      <c r="L570" s="488"/>
      <c r="M570" s="489"/>
      <c r="N570" s="488"/>
      <c r="O570" s="489"/>
      <c r="P570" s="489"/>
      <c r="Q570" s="489"/>
      <c r="R570" s="489"/>
      <c r="S570" s="28"/>
      <c r="T570" s="490"/>
      <c r="U570" s="489"/>
    </row>
    <row r="571" ht="30.0" customHeight="1">
      <c r="A571" s="488"/>
      <c r="B571" s="489"/>
      <c r="C571" s="489"/>
      <c r="D571" s="488"/>
      <c r="E571" s="489"/>
      <c r="F571" s="489"/>
      <c r="G571" s="173"/>
      <c r="H571" s="488"/>
      <c r="I571" s="488"/>
      <c r="J571" s="488"/>
      <c r="K571" s="488"/>
      <c r="L571" s="488"/>
      <c r="M571" s="489"/>
      <c r="N571" s="488"/>
      <c r="O571" s="489"/>
      <c r="P571" s="489"/>
      <c r="Q571" s="489"/>
      <c r="R571" s="489"/>
      <c r="S571" s="28"/>
      <c r="T571" s="490"/>
      <c r="U571" s="489"/>
    </row>
    <row r="572" ht="30.0" customHeight="1">
      <c r="A572" s="488"/>
      <c r="B572" s="489"/>
      <c r="C572" s="489"/>
      <c r="D572" s="488"/>
      <c r="E572" s="489"/>
      <c r="F572" s="489"/>
      <c r="G572" s="173"/>
      <c r="H572" s="488"/>
      <c r="I572" s="488"/>
      <c r="J572" s="488"/>
      <c r="K572" s="488"/>
      <c r="L572" s="488"/>
      <c r="M572" s="489"/>
      <c r="N572" s="488"/>
      <c r="O572" s="489"/>
      <c r="P572" s="489"/>
      <c r="Q572" s="489"/>
      <c r="R572" s="489"/>
      <c r="S572" s="28"/>
      <c r="T572" s="490"/>
      <c r="U572" s="489"/>
    </row>
    <row r="573" ht="30.0" customHeight="1">
      <c r="A573" s="488"/>
      <c r="B573" s="489"/>
      <c r="C573" s="489"/>
      <c r="D573" s="488"/>
      <c r="E573" s="489"/>
      <c r="F573" s="489"/>
      <c r="G573" s="173"/>
      <c r="H573" s="488"/>
      <c r="I573" s="488"/>
      <c r="J573" s="488"/>
      <c r="K573" s="488"/>
      <c r="L573" s="488"/>
      <c r="M573" s="489"/>
      <c r="N573" s="488"/>
      <c r="O573" s="489"/>
      <c r="P573" s="489"/>
      <c r="Q573" s="489"/>
      <c r="R573" s="489"/>
      <c r="S573" s="28"/>
      <c r="T573" s="490"/>
      <c r="U573" s="489"/>
    </row>
    <row r="574" ht="30.0" customHeight="1">
      <c r="A574" s="488"/>
      <c r="B574" s="489"/>
      <c r="C574" s="489"/>
      <c r="D574" s="488"/>
      <c r="E574" s="489"/>
      <c r="F574" s="489"/>
      <c r="G574" s="173"/>
      <c r="H574" s="488"/>
      <c r="I574" s="488"/>
      <c r="J574" s="488"/>
      <c r="K574" s="488"/>
      <c r="L574" s="488"/>
      <c r="M574" s="489"/>
      <c r="N574" s="488"/>
      <c r="O574" s="489"/>
      <c r="P574" s="489"/>
      <c r="Q574" s="489"/>
      <c r="R574" s="489"/>
      <c r="S574" s="28"/>
      <c r="T574" s="490"/>
      <c r="U574" s="489"/>
    </row>
    <row r="575" ht="30.0" customHeight="1">
      <c r="A575" s="488"/>
      <c r="B575" s="489"/>
      <c r="C575" s="489"/>
      <c r="D575" s="488"/>
      <c r="E575" s="489"/>
      <c r="F575" s="489"/>
      <c r="G575" s="173"/>
      <c r="H575" s="488"/>
      <c r="I575" s="488"/>
      <c r="J575" s="488"/>
      <c r="K575" s="488"/>
      <c r="L575" s="488"/>
      <c r="M575" s="489"/>
      <c r="N575" s="488"/>
      <c r="O575" s="489"/>
      <c r="P575" s="489"/>
      <c r="Q575" s="489"/>
      <c r="R575" s="489"/>
      <c r="S575" s="28"/>
      <c r="T575" s="490"/>
      <c r="U575" s="489"/>
    </row>
    <row r="576" ht="30.0" customHeight="1">
      <c r="A576" s="488"/>
      <c r="B576" s="489"/>
      <c r="C576" s="489"/>
      <c r="D576" s="488"/>
      <c r="E576" s="489"/>
      <c r="F576" s="489"/>
      <c r="G576" s="173"/>
      <c r="H576" s="488"/>
      <c r="I576" s="488"/>
      <c r="J576" s="488"/>
      <c r="K576" s="488"/>
      <c r="L576" s="488"/>
      <c r="M576" s="489"/>
      <c r="N576" s="488"/>
      <c r="O576" s="489"/>
      <c r="P576" s="489"/>
      <c r="Q576" s="489"/>
      <c r="R576" s="489"/>
      <c r="S576" s="28"/>
      <c r="T576" s="490"/>
      <c r="U576" s="489"/>
    </row>
    <row r="577" ht="30.0" customHeight="1">
      <c r="A577" s="488"/>
      <c r="B577" s="489"/>
      <c r="C577" s="489"/>
      <c r="D577" s="488"/>
      <c r="E577" s="489"/>
      <c r="F577" s="489"/>
      <c r="G577" s="173"/>
      <c r="H577" s="488"/>
      <c r="I577" s="488"/>
      <c r="J577" s="488"/>
      <c r="K577" s="488"/>
      <c r="L577" s="488"/>
      <c r="M577" s="489"/>
      <c r="N577" s="488"/>
      <c r="O577" s="489"/>
      <c r="P577" s="489"/>
      <c r="Q577" s="489"/>
      <c r="R577" s="489"/>
      <c r="S577" s="28"/>
      <c r="T577" s="490"/>
      <c r="U577" s="489"/>
    </row>
    <row r="578" ht="30.0" customHeight="1">
      <c r="A578" s="488"/>
      <c r="B578" s="489"/>
      <c r="C578" s="489"/>
      <c r="D578" s="488"/>
      <c r="E578" s="489"/>
      <c r="F578" s="489"/>
      <c r="G578" s="173"/>
      <c r="H578" s="488"/>
      <c r="I578" s="488"/>
      <c r="J578" s="488"/>
      <c r="K578" s="488"/>
      <c r="L578" s="488"/>
      <c r="M578" s="489"/>
      <c r="N578" s="488"/>
      <c r="O578" s="489"/>
      <c r="P578" s="489"/>
      <c r="Q578" s="489"/>
      <c r="R578" s="489"/>
      <c r="S578" s="28"/>
      <c r="T578" s="490"/>
      <c r="U578" s="489"/>
    </row>
    <row r="579" ht="30.0" customHeight="1">
      <c r="A579" s="488"/>
      <c r="B579" s="489"/>
      <c r="C579" s="489"/>
      <c r="D579" s="488"/>
      <c r="E579" s="489"/>
      <c r="F579" s="489"/>
      <c r="G579" s="173"/>
      <c r="H579" s="488"/>
      <c r="I579" s="488"/>
      <c r="J579" s="488"/>
      <c r="K579" s="488"/>
      <c r="L579" s="488"/>
      <c r="M579" s="489"/>
      <c r="N579" s="488"/>
      <c r="O579" s="489"/>
      <c r="P579" s="489"/>
      <c r="Q579" s="489"/>
      <c r="R579" s="489"/>
      <c r="S579" s="28"/>
      <c r="T579" s="490"/>
      <c r="U579" s="489"/>
    </row>
    <row r="580" ht="30.0" customHeight="1">
      <c r="A580" s="488"/>
      <c r="B580" s="489"/>
      <c r="C580" s="489"/>
      <c r="D580" s="488"/>
      <c r="E580" s="489"/>
      <c r="F580" s="489"/>
      <c r="G580" s="173"/>
      <c r="H580" s="488"/>
      <c r="I580" s="488"/>
      <c r="J580" s="488"/>
      <c r="K580" s="488"/>
      <c r="L580" s="488"/>
      <c r="M580" s="489"/>
      <c r="N580" s="488"/>
      <c r="O580" s="489"/>
      <c r="P580" s="489"/>
      <c r="Q580" s="489"/>
      <c r="R580" s="489"/>
      <c r="S580" s="28"/>
      <c r="T580" s="490"/>
      <c r="U580" s="489"/>
    </row>
    <row r="581" ht="30.0" customHeight="1">
      <c r="A581" s="488"/>
      <c r="B581" s="489"/>
      <c r="C581" s="489"/>
      <c r="D581" s="488"/>
      <c r="E581" s="489"/>
      <c r="F581" s="489"/>
      <c r="G581" s="173"/>
      <c r="H581" s="488"/>
      <c r="I581" s="488"/>
      <c r="J581" s="488"/>
      <c r="K581" s="488"/>
      <c r="L581" s="488"/>
      <c r="M581" s="489"/>
      <c r="N581" s="488"/>
      <c r="O581" s="489"/>
      <c r="P581" s="489"/>
      <c r="Q581" s="489"/>
      <c r="R581" s="489"/>
      <c r="S581" s="28"/>
      <c r="T581" s="490"/>
      <c r="U581" s="489"/>
    </row>
    <row r="582" ht="30.0" customHeight="1">
      <c r="A582" s="488"/>
      <c r="B582" s="489"/>
      <c r="C582" s="489"/>
      <c r="D582" s="488"/>
      <c r="E582" s="489"/>
      <c r="F582" s="489"/>
      <c r="G582" s="173"/>
      <c r="H582" s="488"/>
      <c r="I582" s="488"/>
      <c r="J582" s="488"/>
      <c r="K582" s="488"/>
      <c r="L582" s="488"/>
      <c r="M582" s="489"/>
      <c r="N582" s="488"/>
      <c r="O582" s="489"/>
      <c r="P582" s="489"/>
      <c r="Q582" s="489"/>
      <c r="R582" s="489"/>
      <c r="S582" s="28"/>
      <c r="T582" s="490"/>
      <c r="U582" s="489"/>
    </row>
    <row r="583" ht="30.0" customHeight="1">
      <c r="A583" s="488"/>
      <c r="B583" s="489"/>
      <c r="C583" s="489"/>
      <c r="D583" s="488"/>
      <c r="E583" s="489"/>
      <c r="F583" s="489"/>
      <c r="G583" s="173"/>
      <c r="H583" s="488"/>
      <c r="I583" s="488"/>
      <c r="J583" s="488"/>
      <c r="K583" s="488"/>
      <c r="L583" s="488"/>
      <c r="M583" s="489"/>
      <c r="N583" s="488"/>
      <c r="O583" s="489"/>
      <c r="P583" s="489"/>
      <c r="Q583" s="489"/>
      <c r="R583" s="489"/>
      <c r="S583" s="28"/>
      <c r="T583" s="490"/>
      <c r="U583" s="489"/>
    </row>
    <row r="584" ht="30.0" customHeight="1">
      <c r="A584" s="488"/>
      <c r="B584" s="489"/>
      <c r="C584" s="489"/>
      <c r="D584" s="488"/>
      <c r="E584" s="489"/>
      <c r="F584" s="489"/>
      <c r="G584" s="173"/>
      <c r="H584" s="488"/>
      <c r="I584" s="488"/>
      <c r="J584" s="488"/>
      <c r="K584" s="488"/>
      <c r="L584" s="488"/>
      <c r="M584" s="489"/>
      <c r="N584" s="488"/>
      <c r="O584" s="489"/>
      <c r="P584" s="489"/>
      <c r="Q584" s="489"/>
      <c r="R584" s="489"/>
      <c r="S584" s="28"/>
      <c r="T584" s="490"/>
      <c r="U584" s="489"/>
    </row>
    <row r="585" ht="30.0" customHeight="1">
      <c r="A585" s="488"/>
      <c r="B585" s="489"/>
      <c r="C585" s="489"/>
      <c r="D585" s="488"/>
      <c r="E585" s="489"/>
      <c r="F585" s="489"/>
      <c r="G585" s="173"/>
      <c r="H585" s="488"/>
      <c r="I585" s="488"/>
      <c r="J585" s="488"/>
      <c r="K585" s="488"/>
      <c r="L585" s="488"/>
      <c r="M585" s="489"/>
      <c r="N585" s="488"/>
      <c r="O585" s="489"/>
      <c r="P585" s="489"/>
      <c r="Q585" s="489"/>
      <c r="R585" s="489"/>
      <c r="S585" s="28"/>
      <c r="T585" s="490"/>
      <c r="U585" s="489"/>
    </row>
    <row r="586" ht="30.0" customHeight="1">
      <c r="A586" s="488"/>
      <c r="B586" s="489"/>
      <c r="C586" s="489"/>
      <c r="D586" s="488"/>
      <c r="E586" s="489"/>
      <c r="F586" s="489"/>
      <c r="G586" s="173"/>
      <c r="H586" s="488"/>
      <c r="I586" s="488"/>
      <c r="J586" s="488"/>
      <c r="K586" s="488"/>
      <c r="L586" s="488"/>
      <c r="M586" s="489"/>
      <c r="N586" s="488"/>
      <c r="O586" s="489"/>
      <c r="P586" s="489"/>
      <c r="Q586" s="489"/>
      <c r="R586" s="489"/>
      <c r="S586" s="28"/>
      <c r="T586" s="490"/>
      <c r="U586" s="489"/>
    </row>
    <row r="587" ht="30.0" customHeight="1">
      <c r="A587" s="488"/>
      <c r="B587" s="489"/>
      <c r="C587" s="489"/>
      <c r="D587" s="488"/>
      <c r="E587" s="489"/>
      <c r="F587" s="489"/>
      <c r="G587" s="173"/>
      <c r="H587" s="488"/>
      <c r="I587" s="488"/>
      <c r="J587" s="488"/>
      <c r="K587" s="488"/>
      <c r="L587" s="488"/>
      <c r="M587" s="489"/>
      <c r="N587" s="488"/>
      <c r="O587" s="489"/>
      <c r="P587" s="489"/>
      <c r="Q587" s="489"/>
      <c r="R587" s="489"/>
      <c r="S587" s="28"/>
      <c r="T587" s="490"/>
      <c r="U587" s="489"/>
    </row>
    <row r="588" ht="30.0" customHeight="1">
      <c r="A588" s="488"/>
      <c r="B588" s="489"/>
      <c r="C588" s="489"/>
      <c r="D588" s="488"/>
      <c r="E588" s="489"/>
      <c r="F588" s="489"/>
      <c r="G588" s="173"/>
      <c r="H588" s="488"/>
      <c r="I588" s="488"/>
      <c r="J588" s="488"/>
      <c r="K588" s="488"/>
      <c r="L588" s="488"/>
      <c r="M588" s="489"/>
      <c r="N588" s="488"/>
      <c r="O588" s="489"/>
      <c r="P588" s="489"/>
      <c r="Q588" s="489"/>
      <c r="R588" s="489"/>
      <c r="S588" s="28"/>
      <c r="T588" s="490"/>
      <c r="U588" s="489"/>
    </row>
    <row r="589" ht="30.0" customHeight="1">
      <c r="A589" s="488"/>
      <c r="B589" s="489"/>
      <c r="C589" s="489"/>
      <c r="D589" s="488"/>
      <c r="E589" s="489"/>
      <c r="F589" s="489"/>
      <c r="G589" s="173"/>
      <c r="H589" s="488"/>
      <c r="I589" s="488"/>
      <c r="J589" s="488"/>
      <c r="K589" s="488"/>
      <c r="L589" s="488"/>
      <c r="M589" s="489"/>
      <c r="N589" s="488"/>
      <c r="O589" s="489"/>
      <c r="P589" s="489"/>
      <c r="Q589" s="489"/>
      <c r="R589" s="489"/>
      <c r="S589" s="28"/>
      <c r="T589" s="490"/>
      <c r="U589" s="489"/>
    </row>
    <row r="590" ht="30.0" customHeight="1">
      <c r="A590" s="488"/>
      <c r="B590" s="489"/>
      <c r="C590" s="489"/>
      <c r="D590" s="488"/>
      <c r="E590" s="489"/>
      <c r="F590" s="489"/>
      <c r="G590" s="173"/>
      <c r="H590" s="488"/>
      <c r="I590" s="488"/>
      <c r="J590" s="488"/>
      <c r="K590" s="488"/>
      <c r="L590" s="488"/>
      <c r="M590" s="489"/>
      <c r="N590" s="488"/>
      <c r="O590" s="489"/>
      <c r="P590" s="489"/>
      <c r="Q590" s="489"/>
      <c r="R590" s="489"/>
      <c r="S590" s="28"/>
      <c r="T590" s="490"/>
      <c r="U590" s="489"/>
    </row>
    <row r="591" ht="30.0" customHeight="1">
      <c r="A591" s="488"/>
      <c r="B591" s="489"/>
      <c r="C591" s="489"/>
      <c r="D591" s="488"/>
      <c r="E591" s="489"/>
      <c r="F591" s="489"/>
      <c r="G591" s="173"/>
      <c r="H591" s="488"/>
      <c r="I591" s="488"/>
      <c r="J591" s="488"/>
      <c r="K591" s="488"/>
      <c r="L591" s="488"/>
      <c r="M591" s="489"/>
      <c r="N591" s="488"/>
      <c r="O591" s="489"/>
      <c r="P591" s="489"/>
      <c r="Q591" s="489"/>
      <c r="R591" s="489"/>
      <c r="S591" s="28"/>
      <c r="T591" s="490"/>
      <c r="U591" s="489"/>
    </row>
    <row r="592" ht="30.0" customHeight="1">
      <c r="A592" s="488"/>
      <c r="B592" s="489"/>
      <c r="C592" s="489"/>
      <c r="D592" s="488"/>
      <c r="E592" s="489"/>
      <c r="F592" s="489"/>
      <c r="G592" s="173"/>
      <c r="H592" s="488"/>
      <c r="I592" s="488"/>
      <c r="J592" s="488"/>
      <c r="K592" s="488"/>
      <c r="L592" s="488"/>
      <c r="M592" s="489"/>
      <c r="N592" s="488"/>
      <c r="O592" s="489"/>
      <c r="P592" s="489"/>
      <c r="Q592" s="489"/>
      <c r="R592" s="489"/>
      <c r="S592" s="28"/>
      <c r="T592" s="490"/>
      <c r="U592" s="489"/>
    </row>
    <row r="593" ht="30.0" customHeight="1">
      <c r="A593" s="488"/>
      <c r="B593" s="489"/>
      <c r="C593" s="489"/>
      <c r="D593" s="488"/>
      <c r="E593" s="489"/>
      <c r="F593" s="489"/>
      <c r="G593" s="173"/>
      <c r="H593" s="488"/>
      <c r="I593" s="488"/>
      <c r="J593" s="488"/>
      <c r="K593" s="488"/>
      <c r="L593" s="488"/>
      <c r="M593" s="489"/>
      <c r="N593" s="488"/>
      <c r="O593" s="489"/>
      <c r="P593" s="489"/>
      <c r="Q593" s="489"/>
      <c r="R593" s="489"/>
      <c r="S593" s="28"/>
      <c r="T593" s="490"/>
      <c r="U593" s="489"/>
    </row>
    <row r="594" ht="30.0" customHeight="1">
      <c r="A594" s="488"/>
      <c r="B594" s="489"/>
      <c r="C594" s="489"/>
      <c r="D594" s="488"/>
      <c r="E594" s="489"/>
      <c r="F594" s="489"/>
      <c r="G594" s="173"/>
      <c r="H594" s="488"/>
      <c r="I594" s="488"/>
      <c r="J594" s="488"/>
      <c r="K594" s="488"/>
      <c r="L594" s="488"/>
      <c r="M594" s="489"/>
      <c r="N594" s="488"/>
      <c r="O594" s="489"/>
      <c r="P594" s="489"/>
      <c r="Q594" s="489"/>
      <c r="R594" s="489"/>
      <c r="S594" s="28"/>
      <c r="T594" s="490"/>
      <c r="U594" s="489"/>
    </row>
    <row r="595" ht="30.0" customHeight="1">
      <c r="A595" s="488"/>
      <c r="B595" s="489"/>
      <c r="C595" s="489"/>
      <c r="D595" s="488"/>
      <c r="E595" s="489"/>
      <c r="F595" s="489"/>
      <c r="G595" s="173"/>
      <c r="H595" s="488"/>
      <c r="I595" s="488"/>
      <c r="J595" s="488"/>
      <c r="K595" s="488"/>
      <c r="L595" s="488"/>
      <c r="M595" s="489"/>
      <c r="N595" s="488"/>
      <c r="O595" s="489"/>
      <c r="P595" s="489"/>
      <c r="Q595" s="489"/>
      <c r="R595" s="489"/>
      <c r="S595" s="28"/>
      <c r="T595" s="490"/>
      <c r="U595" s="489"/>
    </row>
    <row r="596" ht="30.0" customHeight="1">
      <c r="A596" s="488"/>
      <c r="B596" s="489"/>
      <c r="C596" s="489"/>
      <c r="D596" s="488"/>
      <c r="E596" s="489"/>
      <c r="F596" s="489"/>
      <c r="G596" s="173"/>
      <c r="H596" s="488"/>
      <c r="I596" s="488"/>
      <c r="J596" s="488"/>
      <c r="K596" s="488"/>
      <c r="L596" s="488"/>
      <c r="M596" s="489"/>
      <c r="N596" s="488"/>
      <c r="O596" s="489"/>
      <c r="P596" s="489"/>
      <c r="Q596" s="489"/>
      <c r="R596" s="489"/>
      <c r="S596" s="28"/>
      <c r="T596" s="490"/>
      <c r="U596" s="489"/>
    </row>
    <row r="597" ht="30.0" customHeight="1">
      <c r="A597" s="488"/>
      <c r="B597" s="489"/>
      <c r="C597" s="489"/>
      <c r="D597" s="488"/>
      <c r="E597" s="489"/>
      <c r="F597" s="489"/>
      <c r="G597" s="173"/>
      <c r="H597" s="488"/>
      <c r="I597" s="488"/>
      <c r="J597" s="488"/>
      <c r="K597" s="488"/>
      <c r="L597" s="488"/>
      <c r="M597" s="489"/>
      <c r="N597" s="488"/>
      <c r="O597" s="489"/>
      <c r="P597" s="489"/>
      <c r="Q597" s="489"/>
      <c r="R597" s="489"/>
      <c r="S597" s="28"/>
      <c r="T597" s="490"/>
      <c r="U597" s="489"/>
    </row>
    <row r="598" ht="30.0" customHeight="1">
      <c r="A598" s="488"/>
      <c r="B598" s="489"/>
      <c r="C598" s="489"/>
      <c r="D598" s="488"/>
      <c r="E598" s="489"/>
      <c r="F598" s="489"/>
      <c r="G598" s="173"/>
      <c r="H598" s="488"/>
      <c r="I598" s="488"/>
      <c r="J598" s="488"/>
      <c r="K598" s="488"/>
      <c r="L598" s="488"/>
      <c r="M598" s="489"/>
      <c r="N598" s="488"/>
      <c r="O598" s="489"/>
      <c r="P598" s="489"/>
      <c r="Q598" s="489"/>
      <c r="R598" s="489"/>
      <c r="S598" s="28"/>
      <c r="T598" s="490"/>
      <c r="U598" s="489"/>
    </row>
    <row r="599" ht="30.0" customHeight="1">
      <c r="A599" s="488"/>
      <c r="B599" s="489"/>
      <c r="C599" s="489"/>
      <c r="D599" s="488"/>
      <c r="E599" s="489"/>
      <c r="F599" s="489"/>
      <c r="G599" s="173"/>
      <c r="H599" s="488"/>
      <c r="I599" s="488"/>
      <c r="J599" s="488"/>
      <c r="K599" s="488"/>
      <c r="L599" s="488"/>
      <c r="M599" s="489"/>
      <c r="N599" s="488"/>
      <c r="O599" s="489"/>
      <c r="P599" s="489"/>
      <c r="Q599" s="489"/>
      <c r="R599" s="489"/>
      <c r="S599" s="28"/>
      <c r="T599" s="490"/>
      <c r="U599" s="489"/>
    </row>
    <row r="600" ht="30.0" customHeight="1">
      <c r="A600" s="488"/>
      <c r="B600" s="489"/>
      <c r="C600" s="489"/>
      <c r="D600" s="488"/>
      <c r="E600" s="489"/>
      <c r="F600" s="489"/>
      <c r="G600" s="173"/>
      <c r="H600" s="488"/>
      <c r="I600" s="488"/>
      <c r="J600" s="488"/>
      <c r="K600" s="488"/>
      <c r="L600" s="488"/>
      <c r="M600" s="489"/>
      <c r="N600" s="488"/>
      <c r="O600" s="489"/>
      <c r="P600" s="489"/>
      <c r="Q600" s="489"/>
      <c r="R600" s="489"/>
      <c r="S600" s="28"/>
      <c r="T600" s="490"/>
      <c r="U600" s="489"/>
    </row>
    <row r="601" ht="30.0" customHeight="1">
      <c r="A601" s="488"/>
      <c r="B601" s="489"/>
      <c r="C601" s="489"/>
      <c r="D601" s="488"/>
      <c r="E601" s="489"/>
      <c r="F601" s="489"/>
      <c r="G601" s="173"/>
      <c r="H601" s="488"/>
      <c r="I601" s="488"/>
      <c r="J601" s="488"/>
      <c r="K601" s="488"/>
      <c r="L601" s="488"/>
      <c r="M601" s="489"/>
      <c r="N601" s="488"/>
      <c r="O601" s="489"/>
      <c r="P601" s="489"/>
      <c r="Q601" s="489"/>
      <c r="R601" s="489"/>
      <c r="S601" s="28"/>
      <c r="T601" s="490"/>
      <c r="U601" s="489"/>
    </row>
    <row r="602" ht="30.0" customHeight="1">
      <c r="A602" s="488"/>
      <c r="B602" s="489"/>
      <c r="C602" s="489"/>
      <c r="D602" s="488"/>
      <c r="E602" s="489"/>
      <c r="F602" s="489"/>
      <c r="G602" s="173"/>
      <c r="H602" s="488"/>
      <c r="I602" s="488"/>
      <c r="J602" s="488"/>
      <c r="K602" s="488"/>
      <c r="L602" s="488"/>
      <c r="M602" s="489"/>
      <c r="N602" s="488"/>
      <c r="O602" s="489"/>
      <c r="P602" s="489"/>
      <c r="Q602" s="489"/>
      <c r="R602" s="489"/>
      <c r="S602" s="28"/>
      <c r="T602" s="490"/>
      <c r="U602" s="489"/>
    </row>
    <row r="603" ht="30.0" customHeight="1">
      <c r="A603" s="488"/>
      <c r="B603" s="489"/>
      <c r="C603" s="489"/>
      <c r="D603" s="488"/>
      <c r="E603" s="489"/>
      <c r="F603" s="489"/>
      <c r="G603" s="173"/>
      <c r="H603" s="488"/>
      <c r="I603" s="488"/>
      <c r="J603" s="488"/>
      <c r="K603" s="488"/>
      <c r="L603" s="488"/>
      <c r="M603" s="489"/>
      <c r="N603" s="488"/>
      <c r="O603" s="489"/>
      <c r="P603" s="489"/>
      <c r="Q603" s="489"/>
      <c r="R603" s="489"/>
      <c r="S603" s="28"/>
      <c r="T603" s="490"/>
      <c r="U603" s="489"/>
    </row>
    <row r="604" ht="30.0" customHeight="1">
      <c r="A604" s="488"/>
      <c r="B604" s="489"/>
      <c r="C604" s="489"/>
      <c r="D604" s="488"/>
      <c r="E604" s="489"/>
      <c r="F604" s="489"/>
      <c r="G604" s="173"/>
      <c r="H604" s="488"/>
      <c r="I604" s="488"/>
      <c r="J604" s="488"/>
      <c r="K604" s="488"/>
      <c r="L604" s="488"/>
      <c r="M604" s="489"/>
      <c r="N604" s="488"/>
      <c r="O604" s="489"/>
      <c r="P604" s="489"/>
      <c r="Q604" s="489"/>
      <c r="R604" s="489"/>
      <c r="S604" s="28"/>
      <c r="T604" s="490"/>
      <c r="U604" s="489"/>
    </row>
    <row r="605" ht="30.0" customHeight="1">
      <c r="A605" s="488"/>
      <c r="B605" s="489"/>
      <c r="C605" s="489"/>
      <c r="D605" s="488"/>
      <c r="E605" s="489"/>
      <c r="F605" s="489"/>
      <c r="G605" s="173"/>
      <c r="H605" s="488"/>
      <c r="I605" s="488"/>
      <c r="J605" s="488"/>
      <c r="K605" s="488"/>
      <c r="L605" s="488"/>
      <c r="M605" s="489"/>
      <c r="N605" s="488"/>
      <c r="O605" s="489"/>
      <c r="P605" s="489"/>
      <c r="Q605" s="489"/>
      <c r="R605" s="489"/>
      <c r="S605" s="28"/>
      <c r="T605" s="490"/>
      <c r="U605" s="489"/>
    </row>
    <row r="606" ht="30.0" customHeight="1">
      <c r="A606" s="488"/>
      <c r="B606" s="489"/>
      <c r="C606" s="489"/>
      <c r="D606" s="488"/>
      <c r="E606" s="489"/>
      <c r="F606" s="489"/>
      <c r="G606" s="173"/>
      <c r="H606" s="488"/>
      <c r="I606" s="488"/>
      <c r="J606" s="488"/>
      <c r="K606" s="488"/>
      <c r="L606" s="488"/>
      <c r="M606" s="489"/>
      <c r="N606" s="488"/>
      <c r="O606" s="489"/>
      <c r="P606" s="489"/>
      <c r="Q606" s="489"/>
      <c r="R606" s="489"/>
      <c r="S606" s="28"/>
      <c r="T606" s="490"/>
      <c r="U606" s="489"/>
    </row>
    <row r="607" ht="30.0" customHeight="1">
      <c r="A607" s="488"/>
      <c r="B607" s="489"/>
      <c r="C607" s="489"/>
      <c r="D607" s="488"/>
      <c r="E607" s="489"/>
      <c r="F607" s="489"/>
      <c r="G607" s="173"/>
      <c r="H607" s="488"/>
      <c r="I607" s="488"/>
      <c r="J607" s="488"/>
      <c r="K607" s="488"/>
      <c r="L607" s="488"/>
      <c r="M607" s="489"/>
      <c r="N607" s="488"/>
      <c r="O607" s="489"/>
      <c r="P607" s="489"/>
      <c r="Q607" s="489"/>
      <c r="R607" s="489"/>
      <c r="S607" s="28"/>
      <c r="T607" s="490"/>
      <c r="U607" s="489"/>
    </row>
    <row r="608" ht="30.0" customHeight="1">
      <c r="A608" s="488"/>
      <c r="B608" s="489"/>
      <c r="C608" s="489"/>
      <c r="D608" s="488"/>
      <c r="E608" s="489"/>
      <c r="F608" s="489"/>
      <c r="G608" s="173"/>
      <c r="H608" s="488"/>
      <c r="I608" s="488"/>
      <c r="J608" s="488"/>
      <c r="K608" s="488"/>
      <c r="L608" s="488"/>
      <c r="M608" s="489"/>
      <c r="N608" s="488"/>
      <c r="O608" s="489"/>
      <c r="P608" s="489"/>
      <c r="Q608" s="489"/>
      <c r="R608" s="489"/>
      <c r="S608" s="28"/>
      <c r="T608" s="490"/>
      <c r="U608" s="489"/>
    </row>
    <row r="609" ht="30.0" customHeight="1">
      <c r="A609" s="488"/>
      <c r="B609" s="489"/>
      <c r="C609" s="489"/>
      <c r="D609" s="488"/>
      <c r="E609" s="489"/>
      <c r="F609" s="489"/>
      <c r="G609" s="173"/>
      <c r="H609" s="488"/>
      <c r="I609" s="488"/>
      <c r="J609" s="488"/>
      <c r="K609" s="488"/>
      <c r="L609" s="488"/>
      <c r="M609" s="489"/>
      <c r="N609" s="488"/>
      <c r="O609" s="489"/>
      <c r="P609" s="489"/>
      <c r="Q609" s="489"/>
      <c r="R609" s="489"/>
      <c r="S609" s="28"/>
      <c r="T609" s="490"/>
      <c r="U609" s="489"/>
    </row>
    <row r="610" ht="30.0" customHeight="1">
      <c r="A610" s="488"/>
      <c r="B610" s="489"/>
      <c r="C610" s="489"/>
      <c r="D610" s="488"/>
      <c r="E610" s="489"/>
      <c r="F610" s="489"/>
      <c r="G610" s="173"/>
      <c r="H610" s="488"/>
      <c r="I610" s="488"/>
      <c r="J610" s="488"/>
      <c r="K610" s="488"/>
      <c r="L610" s="488"/>
      <c r="M610" s="489"/>
      <c r="N610" s="488"/>
      <c r="O610" s="489"/>
      <c r="P610" s="489"/>
      <c r="Q610" s="489"/>
      <c r="R610" s="489"/>
      <c r="S610" s="28"/>
      <c r="T610" s="490"/>
      <c r="U610" s="489"/>
    </row>
    <row r="611" ht="30.0" customHeight="1">
      <c r="A611" s="488"/>
      <c r="B611" s="489"/>
      <c r="C611" s="489"/>
      <c r="D611" s="488"/>
      <c r="E611" s="489"/>
      <c r="F611" s="489"/>
      <c r="G611" s="173"/>
      <c r="H611" s="488"/>
      <c r="I611" s="488"/>
      <c r="J611" s="488"/>
      <c r="K611" s="488"/>
      <c r="L611" s="488"/>
      <c r="M611" s="489"/>
      <c r="N611" s="488"/>
      <c r="O611" s="489"/>
      <c r="P611" s="489"/>
      <c r="Q611" s="489"/>
      <c r="R611" s="489"/>
      <c r="S611" s="28"/>
      <c r="T611" s="490"/>
      <c r="U611" s="489"/>
    </row>
    <row r="612" ht="30.0" customHeight="1">
      <c r="A612" s="488"/>
      <c r="B612" s="489"/>
      <c r="C612" s="489"/>
      <c r="D612" s="488"/>
      <c r="E612" s="489"/>
      <c r="F612" s="489"/>
      <c r="G612" s="173"/>
      <c r="H612" s="488"/>
      <c r="I612" s="488"/>
      <c r="J612" s="488"/>
      <c r="K612" s="488"/>
      <c r="L612" s="488"/>
      <c r="M612" s="489"/>
      <c r="N612" s="488"/>
      <c r="O612" s="489"/>
      <c r="P612" s="489"/>
      <c r="Q612" s="489"/>
      <c r="R612" s="489"/>
      <c r="S612" s="28"/>
      <c r="T612" s="490"/>
      <c r="U612" s="489"/>
    </row>
    <row r="613" ht="30.0" customHeight="1">
      <c r="A613" s="488"/>
      <c r="B613" s="489"/>
      <c r="C613" s="489"/>
      <c r="D613" s="488"/>
      <c r="E613" s="489"/>
      <c r="F613" s="489"/>
      <c r="G613" s="173"/>
      <c r="H613" s="488"/>
      <c r="I613" s="488"/>
      <c r="J613" s="488"/>
      <c r="K613" s="488"/>
      <c r="L613" s="488"/>
      <c r="M613" s="489"/>
      <c r="N613" s="488"/>
      <c r="O613" s="489"/>
      <c r="P613" s="489"/>
      <c r="Q613" s="489"/>
      <c r="R613" s="489"/>
      <c r="S613" s="28"/>
      <c r="T613" s="490"/>
      <c r="U613" s="489"/>
    </row>
    <row r="614" ht="30.0" customHeight="1">
      <c r="A614" s="488"/>
      <c r="B614" s="489"/>
      <c r="C614" s="489"/>
      <c r="D614" s="488"/>
      <c r="E614" s="489"/>
      <c r="F614" s="489"/>
      <c r="G614" s="173"/>
      <c r="H614" s="488"/>
      <c r="I614" s="488"/>
      <c r="J614" s="488"/>
      <c r="K614" s="488"/>
      <c r="L614" s="488"/>
      <c r="M614" s="489"/>
      <c r="N614" s="488"/>
      <c r="O614" s="489"/>
      <c r="P614" s="489"/>
      <c r="Q614" s="489"/>
      <c r="R614" s="489"/>
      <c r="S614" s="28"/>
      <c r="T614" s="490"/>
      <c r="U614" s="489"/>
    </row>
    <row r="615" ht="30.0" customHeight="1">
      <c r="A615" s="488"/>
      <c r="B615" s="489"/>
      <c r="C615" s="489"/>
      <c r="D615" s="488"/>
      <c r="E615" s="489"/>
      <c r="F615" s="489"/>
      <c r="G615" s="173"/>
      <c r="H615" s="488"/>
      <c r="I615" s="488"/>
      <c r="J615" s="488"/>
      <c r="K615" s="488"/>
      <c r="L615" s="488"/>
      <c r="M615" s="489"/>
      <c r="N615" s="488"/>
      <c r="O615" s="489"/>
      <c r="P615" s="489"/>
      <c r="Q615" s="489"/>
      <c r="R615" s="489"/>
      <c r="S615" s="28"/>
      <c r="T615" s="490"/>
      <c r="U615" s="489"/>
    </row>
    <row r="616" ht="30.0" customHeight="1">
      <c r="A616" s="488"/>
      <c r="B616" s="489"/>
      <c r="C616" s="489"/>
      <c r="D616" s="488"/>
      <c r="E616" s="489"/>
      <c r="F616" s="489"/>
      <c r="G616" s="173"/>
      <c r="H616" s="488"/>
      <c r="I616" s="488"/>
      <c r="J616" s="488"/>
      <c r="K616" s="488"/>
      <c r="L616" s="488"/>
      <c r="M616" s="489"/>
      <c r="N616" s="488"/>
      <c r="O616" s="489"/>
      <c r="P616" s="489"/>
      <c r="Q616" s="489"/>
      <c r="R616" s="489"/>
      <c r="S616" s="28"/>
      <c r="T616" s="490"/>
      <c r="U616" s="489"/>
    </row>
    <row r="617" ht="30.0" customHeight="1">
      <c r="A617" s="488"/>
      <c r="B617" s="489"/>
      <c r="C617" s="489"/>
      <c r="D617" s="488"/>
      <c r="E617" s="489"/>
      <c r="F617" s="489"/>
      <c r="G617" s="173"/>
      <c r="H617" s="488"/>
      <c r="I617" s="488"/>
      <c r="J617" s="488"/>
      <c r="K617" s="488"/>
      <c r="L617" s="488"/>
      <c r="M617" s="489"/>
      <c r="N617" s="488"/>
      <c r="O617" s="489"/>
      <c r="P617" s="489"/>
      <c r="Q617" s="489"/>
      <c r="R617" s="489"/>
      <c r="S617" s="28"/>
      <c r="T617" s="490"/>
      <c r="U617" s="489"/>
    </row>
    <row r="618" ht="30.0" customHeight="1">
      <c r="A618" s="488"/>
      <c r="B618" s="489"/>
      <c r="C618" s="489"/>
      <c r="D618" s="488"/>
      <c r="E618" s="489"/>
      <c r="F618" s="489"/>
      <c r="G618" s="173"/>
      <c r="H618" s="488"/>
      <c r="I618" s="488"/>
      <c r="J618" s="488"/>
      <c r="K618" s="488"/>
      <c r="L618" s="488"/>
      <c r="M618" s="489"/>
      <c r="N618" s="488"/>
      <c r="O618" s="489"/>
      <c r="P618" s="489"/>
      <c r="Q618" s="489"/>
      <c r="R618" s="489"/>
      <c r="S618" s="28"/>
      <c r="T618" s="490"/>
      <c r="U618" s="489"/>
    </row>
    <row r="619" ht="30.0" customHeight="1">
      <c r="A619" s="488"/>
      <c r="B619" s="489"/>
      <c r="C619" s="489"/>
      <c r="D619" s="488"/>
      <c r="E619" s="489"/>
      <c r="F619" s="489"/>
      <c r="G619" s="173"/>
      <c r="H619" s="488"/>
      <c r="I619" s="488"/>
      <c r="J619" s="488"/>
      <c r="K619" s="488"/>
      <c r="L619" s="488"/>
      <c r="M619" s="489"/>
      <c r="N619" s="488"/>
      <c r="O619" s="489"/>
      <c r="P619" s="489"/>
      <c r="Q619" s="489"/>
      <c r="R619" s="489"/>
      <c r="S619" s="28"/>
      <c r="T619" s="490"/>
      <c r="U619" s="489"/>
    </row>
    <row r="620" ht="30.0" customHeight="1">
      <c r="A620" s="488"/>
      <c r="B620" s="489"/>
      <c r="C620" s="489"/>
      <c r="D620" s="488"/>
      <c r="E620" s="489"/>
      <c r="F620" s="489"/>
      <c r="G620" s="173"/>
      <c r="H620" s="488"/>
      <c r="I620" s="488"/>
      <c r="J620" s="488"/>
      <c r="K620" s="488"/>
      <c r="L620" s="488"/>
      <c r="M620" s="489"/>
      <c r="N620" s="488"/>
      <c r="O620" s="489"/>
      <c r="P620" s="489"/>
      <c r="Q620" s="489"/>
      <c r="R620" s="489"/>
      <c r="S620" s="28"/>
      <c r="T620" s="490"/>
      <c r="U620" s="489"/>
    </row>
    <row r="621" ht="30.0" customHeight="1">
      <c r="A621" s="488"/>
      <c r="B621" s="489"/>
      <c r="C621" s="489"/>
      <c r="D621" s="488"/>
      <c r="E621" s="489"/>
      <c r="F621" s="489"/>
      <c r="G621" s="173"/>
      <c r="H621" s="488"/>
      <c r="I621" s="488"/>
      <c r="J621" s="488"/>
      <c r="K621" s="488"/>
      <c r="L621" s="488"/>
      <c r="M621" s="489"/>
      <c r="N621" s="488"/>
      <c r="O621" s="489"/>
      <c r="P621" s="489"/>
      <c r="Q621" s="489"/>
      <c r="R621" s="489"/>
      <c r="S621" s="28"/>
      <c r="T621" s="490"/>
      <c r="U621" s="489"/>
    </row>
    <row r="622" ht="30.0" customHeight="1">
      <c r="A622" s="488"/>
      <c r="B622" s="489"/>
      <c r="C622" s="489"/>
      <c r="D622" s="488"/>
      <c r="E622" s="489"/>
      <c r="F622" s="489"/>
      <c r="G622" s="173"/>
      <c r="H622" s="488"/>
      <c r="I622" s="488"/>
      <c r="J622" s="488"/>
      <c r="K622" s="488"/>
      <c r="L622" s="488"/>
      <c r="M622" s="489"/>
      <c r="N622" s="488"/>
      <c r="O622" s="489"/>
      <c r="P622" s="489"/>
      <c r="Q622" s="489"/>
      <c r="R622" s="489"/>
      <c r="S622" s="28"/>
      <c r="T622" s="490"/>
      <c r="U622" s="489"/>
    </row>
    <row r="623" ht="30.0" customHeight="1">
      <c r="A623" s="488"/>
      <c r="B623" s="489"/>
      <c r="C623" s="489"/>
      <c r="D623" s="488"/>
      <c r="E623" s="489"/>
      <c r="F623" s="489"/>
      <c r="G623" s="173"/>
      <c r="H623" s="488"/>
      <c r="I623" s="488"/>
      <c r="J623" s="488"/>
      <c r="K623" s="488"/>
      <c r="L623" s="488"/>
      <c r="M623" s="489"/>
      <c r="N623" s="488"/>
      <c r="O623" s="489"/>
      <c r="P623" s="489"/>
      <c r="Q623" s="489"/>
      <c r="R623" s="489"/>
      <c r="S623" s="28"/>
      <c r="T623" s="490"/>
      <c r="U623" s="489"/>
    </row>
    <row r="624" ht="30.0" customHeight="1">
      <c r="A624" s="488"/>
      <c r="B624" s="489"/>
      <c r="C624" s="489"/>
      <c r="D624" s="488"/>
      <c r="E624" s="489"/>
      <c r="F624" s="489"/>
      <c r="G624" s="173"/>
      <c r="H624" s="488"/>
      <c r="I624" s="488"/>
      <c r="J624" s="488"/>
      <c r="K624" s="488"/>
      <c r="L624" s="488"/>
      <c r="M624" s="489"/>
      <c r="N624" s="488"/>
      <c r="O624" s="489"/>
      <c r="P624" s="489"/>
      <c r="Q624" s="489"/>
      <c r="R624" s="489"/>
      <c r="S624" s="28"/>
      <c r="T624" s="490"/>
      <c r="U624" s="489"/>
    </row>
    <row r="625" ht="30.0" customHeight="1">
      <c r="A625" s="488"/>
      <c r="B625" s="489"/>
      <c r="C625" s="489"/>
      <c r="D625" s="488"/>
      <c r="E625" s="489"/>
      <c r="F625" s="489"/>
      <c r="G625" s="173"/>
      <c r="H625" s="488"/>
      <c r="I625" s="488"/>
      <c r="J625" s="488"/>
      <c r="K625" s="488"/>
      <c r="L625" s="488"/>
      <c r="M625" s="489"/>
      <c r="N625" s="488"/>
      <c r="O625" s="489"/>
      <c r="P625" s="489"/>
      <c r="Q625" s="489"/>
      <c r="R625" s="489"/>
      <c r="S625" s="28"/>
      <c r="T625" s="490"/>
      <c r="U625" s="489"/>
    </row>
    <row r="626" ht="30.0" customHeight="1">
      <c r="A626" s="488"/>
      <c r="B626" s="489"/>
      <c r="C626" s="489"/>
      <c r="D626" s="488"/>
      <c r="E626" s="489"/>
      <c r="F626" s="489"/>
      <c r="G626" s="173"/>
      <c r="H626" s="488"/>
      <c r="I626" s="488"/>
      <c r="J626" s="488"/>
      <c r="K626" s="488"/>
      <c r="L626" s="488"/>
      <c r="M626" s="489"/>
      <c r="N626" s="488"/>
      <c r="O626" s="489"/>
      <c r="P626" s="489"/>
      <c r="Q626" s="489"/>
      <c r="R626" s="489"/>
      <c r="S626" s="28"/>
      <c r="T626" s="490"/>
      <c r="U626" s="489"/>
    </row>
    <row r="627" ht="30.0" customHeight="1">
      <c r="A627" s="488"/>
      <c r="B627" s="489"/>
      <c r="C627" s="489"/>
      <c r="D627" s="488"/>
      <c r="E627" s="489"/>
      <c r="F627" s="489"/>
      <c r="G627" s="173"/>
      <c r="H627" s="488"/>
      <c r="I627" s="488"/>
      <c r="J627" s="488"/>
      <c r="K627" s="488"/>
      <c r="L627" s="488"/>
      <c r="M627" s="489"/>
      <c r="N627" s="488"/>
      <c r="O627" s="489"/>
      <c r="P627" s="489"/>
      <c r="Q627" s="489"/>
      <c r="R627" s="489"/>
      <c r="S627" s="28"/>
      <c r="T627" s="490"/>
      <c r="U627" s="489"/>
    </row>
    <row r="628" ht="30.0" customHeight="1">
      <c r="A628" s="488"/>
      <c r="B628" s="489"/>
      <c r="C628" s="489"/>
      <c r="D628" s="488"/>
      <c r="E628" s="489"/>
      <c r="F628" s="489"/>
      <c r="G628" s="173"/>
      <c r="H628" s="488"/>
      <c r="I628" s="488"/>
      <c r="J628" s="488"/>
      <c r="K628" s="488"/>
      <c r="L628" s="488"/>
      <c r="M628" s="489"/>
      <c r="N628" s="488"/>
      <c r="O628" s="489"/>
      <c r="P628" s="489"/>
      <c r="Q628" s="489"/>
      <c r="R628" s="489"/>
      <c r="S628" s="28"/>
      <c r="T628" s="490"/>
      <c r="U628" s="489"/>
    </row>
    <row r="629" ht="30.0" customHeight="1">
      <c r="A629" s="488"/>
      <c r="B629" s="489"/>
      <c r="C629" s="489"/>
      <c r="D629" s="488"/>
      <c r="E629" s="489"/>
      <c r="F629" s="489"/>
      <c r="G629" s="173"/>
      <c r="H629" s="488"/>
      <c r="I629" s="488"/>
      <c r="J629" s="488"/>
      <c r="K629" s="488"/>
      <c r="L629" s="488"/>
      <c r="M629" s="489"/>
      <c r="N629" s="488"/>
      <c r="O629" s="489"/>
      <c r="P629" s="489"/>
      <c r="Q629" s="489"/>
      <c r="R629" s="489"/>
      <c r="S629" s="28"/>
      <c r="T629" s="490"/>
      <c r="U629" s="489"/>
    </row>
    <row r="630" ht="30.0" customHeight="1">
      <c r="A630" s="488"/>
      <c r="B630" s="489"/>
      <c r="C630" s="489"/>
      <c r="D630" s="488"/>
      <c r="E630" s="489"/>
      <c r="F630" s="489"/>
      <c r="G630" s="173"/>
      <c r="H630" s="488"/>
      <c r="I630" s="488"/>
      <c r="J630" s="488"/>
      <c r="K630" s="488"/>
      <c r="L630" s="488"/>
      <c r="M630" s="489"/>
      <c r="N630" s="488"/>
      <c r="O630" s="489"/>
      <c r="P630" s="489"/>
      <c r="Q630" s="489"/>
      <c r="R630" s="489"/>
      <c r="S630" s="28"/>
      <c r="T630" s="490"/>
      <c r="U630" s="489"/>
    </row>
    <row r="631" ht="30.0" customHeight="1">
      <c r="A631" s="488"/>
      <c r="B631" s="489"/>
      <c r="C631" s="489"/>
      <c r="D631" s="488"/>
      <c r="E631" s="489"/>
      <c r="F631" s="489"/>
      <c r="G631" s="173"/>
      <c r="H631" s="488"/>
      <c r="I631" s="488"/>
      <c r="J631" s="488"/>
      <c r="K631" s="488"/>
      <c r="L631" s="488"/>
      <c r="M631" s="489"/>
      <c r="N631" s="488"/>
      <c r="O631" s="489"/>
      <c r="P631" s="489"/>
      <c r="Q631" s="489"/>
      <c r="R631" s="489"/>
      <c r="S631" s="28"/>
      <c r="T631" s="490"/>
      <c r="U631" s="489"/>
    </row>
    <row r="632" ht="30.0" customHeight="1">
      <c r="A632" s="488"/>
      <c r="B632" s="489"/>
      <c r="C632" s="489"/>
      <c r="D632" s="488"/>
      <c r="E632" s="489"/>
      <c r="F632" s="489"/>
      <c r="G632" s="173"/>
      <c r="H632" s="488"/>
      <c r="I632" s="488"/>
      <c r="J632" s="488"/>
      <c r="K632" s="488"/>
      <c r="L632" s="488"/>
      <c r="M632" s="489"/>
      <c r="N632" s="488"/>
      <c r="O632" s="489"/>
      <c r="P632" s="489"/>
      <c r="Q632" s="489"/>
      <c r="R632" s="489"/>
      <c r="S632" s="28"/>
      <c r="T632" s="490"/>
      <c r="U632" s="489"/>
    </row>
    <row r="633" ht="30.0" customHeight="1">
      <c r="A633" s="488"/>
      <c r="B633" s="489"/>
      <c r="C633" s="489"/>
      <c r="D633" s="488"/>
      <c r="E633" s="489"/>
      <c r="F633" s="489"/>
      <c r="G633" s="173"/>
      <c r="H633" s="488"/>
      <c r="I633" s="488"/>
      <c r="J633" s="488"/>
      <c r="K633" s="488"/>
      <c r="L633" s="488"/>
      <c r="M633" s="489"/>
      <c r="N633" s="488"/>
      <c r="O633" s="489"/>
      <c r="P633" s="489"/>
      <c r="Q633" s="489"/>
      <c r="R633" s="489"/>
      <c r="S633" s="28"/>
      <c r="T633" s="490"/>
      <c r="U633" s="489"/>
    </row>
    <row r="634" ht="30.0" customHeight="1">
      <c r="A634" s="488"/>
      <c r="B634" s="489"/>
      <c r="C634" s="489"/>
      <c r="D634" s="488"/>
      <c r="E634" s="489"/>
      <c r="F634" s="489"/>
      <c r="G634" s="173"/>
      <c r="H634" s="488"/>
      <c r="I634" s="488"/>
      <c r="J634" s="488"/>
      <c r="K634" s="488"/>
      <c r="L634" s="488"/>
      <c r="M634" s="489"/>
      <c r="N634" s="488"/>
      <c r="O634" s="489"/>
      <c r="P634" s="489"/>
      <c r="Q634" s="489"/>
      <c r="R634" s="489"/>
      <c r="S634" s="28"/>
      <c r="T634" s="490"/>
      <c r="U634" s="489"/>
    </row>
    <row r="635" ht="30.0" customHeight="1">
      <c r="A635" s="488"/>
      <c r="B635" s="489"/>
      <c r="C635" s="489"/>
      <c r="D635" s="488"/>
      <c r="E635" s="489"/>
      <c r="F635" s="489"/>
      <c r="G635" s="173"/>
      <c r="H635" s="488"/>
      <c r="I635" s="488"/>
      <c r="J635" s="488"/>
      <c r="K635" s="488"/>
      <c r="L635" s="488"/>
      <c r="M635" s="489"/>
      <c r="N635" s="488"/>
      <c r="O635" s="489"/>
      <c r="P635" s="489"/>
      <c r="Q635" s="489"/>
      <c r="R635" s="489"/>
      <c r="S635" s="28"/>
      <c r="T635" s="490"/>
      <c r="U635" s="489"/>
    </row>
    <row r="636" ht="30.0" customHeight="1">
      <c r="A636" s="488"/>
      <c r="B636" s="489"/>
      <c r="C636" s="489"/>
      <c r="D636" s="488"/>
      <c r="E636" s="489"/>
      <c r="F636" s="489"/>
      <c r="G636" s="173"/>
      <c r="H636" s="488"/>
      <c r="I636" s="488"/>
      <c r="J636" s="488"/>
      <c r="K636" s="488"/>
      <c r="L636" s="488"/>
      <c r="M636" s="489"/>
      <c r="N636" s="488"/>
      <c r="O636" s="489"/>
      <c r="P636" s="489"/>
      <c r="Q636" s="489"/>
      <c r="R636" s="489"/>
      <c r="S636" s="28"/>
      <c r="T636" s="490"/>
      <c r="U636" s="489"/>
    </row>
    <row r="637" ht="30.0" customHeight="1">
      <c r="A637" s="488"/>
      <c r="B637" s="489"/>
      <c r="C637" s="489"/>
      <c r="D637" s="488"/>
      <c r="E637" s="489"/>
      <c r="F637" s="489"/>
      <c r="G637" s="173"/>
      <c r="H637" s="488"/>
      <c r="I637" s="488"/>
      <c r="J637" s="488"/>
      <c r="K637" s="488"/>
      <c r="L637" s="488"/>
      <c r="M637" s="489"/>
      <c r="N637" s="488"/>
      <c r="O637" s="489"/>
      <c r="P637" s="489"/>
      <c r="Q637" s="489"/>
      <c r="R637" s="489"/>
      <c r="S637" s="28"/>
      <c r="T637" s="490"/>
      <c r="U637" s="489"/>
    </row>
    <row r="638" ht="30.0" customHeight="1">
      <c r="A638" s="488"/>
      <c r="B638" s="489"/>
      <c r="C638" s="489"/>
      <c r="D638" s="488"/>
      <c r="E638" s="489"/>
      <c r="F638" s="489"/>
      <c r="G638" s="173"/>
      <c r="H638" s="488"/>
      <c r="I638" s="488"/>
      <c r="J638" s="488"/>
      <c r="K638" s="488"/>
      <c r="L638" s="488"/>
      <c r="M638" s="489"/>
      <c r="N638" s="488"/>
      <c r="O638" s="489"/>
      <c r="P638" s="489"/>
      <c r="Q638" s="489"/>
      <c r="R638" s="489"/>
      <c r="S638" s="28"/>
      <c r="T638" s="490"/>
      <c r="U638" s="489"/>
    </row>
    <row r="639" ht="30.0" customHeight="1">
      <c r="A639" s="488"/>
      <c r="B639" s="489"/>
      <c r="C639" s="489"/>
      <c r="D639" s="488"/>
      <c r="E639" s="489"/>
      <c r="F639" s="489"/>
      <c r="G639" s="173"/>
      <c r="H639" s="488"/>
      <c r="I639" s="488"/>
      <c r="J639" s="488"/>
      <c r="K639" s="488"/>
      <c r="L639" s="488"/>
      <c r="M639" s="489"/>
      <c r="N639" s="488"/>
      <c r="O639" s="489"/>
      <c r="P639" s="489"/>
      <c r="Q639" s="489"/>
      <c r="R639" s="489"/>
      <c r="S639" s="28"/>
      <c r="T639" s="490"/>
      <c r="U639" s="489"/>
    </row>
    <row r="640" ht="30.0" customHeight="1">
      <c r="A640" s="488"/>
      <c r="B640" s="489"/>
      <c r="C640" s="489"/>
      <c r="D640" s="488"/>
      <c r="E640" s="489"/>
      <c r="F640" s="489"/>
      <c r="G640" s="173"/>
      <c r="H640" s="488"/>
      <c r="I640" s="488"/>
      <c r="J640" s="488"/>
      <c r="K640" s="488"/>
      <c r="L640" s="488"/>
      <c r="M640" s="489"/>
      <c r="N640" s="488"/>
      <c r="O640" s="489"/>
      <c r="P640" s="489"/>
      <c r="Q640" s="489"/>
      <c r="R640" s="489"/>
      <c r="S640" s="28"/>
      <c r="T640" s="490"/>
      <c r="U640" s="489"/>
    </row>
    <row r="641" ht="30.0" customHeight="1">
      <c r="A641" s="488"/>
      <c r="B641" s="489"/>
      <c r="C641" s="489"/>
      <c r="D641" s="488"/>
      <c r="E641" s="489"/>
      <c r="F641" s="489"/>
      <c r="G641" s="173"/>
      <c r="H641" s="488"/>
      <c r="I641" s="488"/>
      <c r="J641" s="488"/>
      <c r="K641" s="488"/>
      <c r="L641" s="488"/>
      <c r="M641" s="489"/>
      <c r="N641" s="488"/>
      <c r="O641" s="489"/>
      <c r="P641" s="489"/>
      <c r="Q641" s="489"/>
      <c r="R641" s="489"/>
      <c r="S641" s="28"/>
      <c r="T641" s="490"/>
      <c r="U641" s="489"/>
    </row>
    <row r="642" ht="30.0" customHeight="1">
      <c r="A642" s="488"/>
      <c r="B642" s="489"/>
      <c r="C642" s="489"/>
      <c r="D642" s="488"/>
      <c r="E642" s="489"/>
      <c r="F642" s="489"/>
      <c r="G642" s="173"/>
      <c r="H642" s="488"/>
      <c r="I642" s="488"/>
      <c r="J642" s="488"/>
      <c r="K642" s="488"/>
      <c r="L642" s="488"/>
      <c r="M642" s="489"/>
      <c r="N642" s="488"/>
      <c r="O642" s="489"/>
      <c r="P642" s="489"/>
      <c r="Q642" s="489"/>
      <c r="R642" s="489"/>
      <c r="S642" s="28"/>
      <c r="T642" s="490"/>
      <c r="U642" s="489"/>
    </row>
    <row r="643" ht="30.0" customHeight="1">
      <c r="A643" s="488"/>
      <c r="B643" s="489"/>
      <c r="C643" s="489"/>
      <c r="D643" s="488"/>
      <c r="E643" s="489"/>
      <c r="F643" s="489"/>
      <c r="G643" s="173"/>
      <c r="H643" s="488"/>
      <c r="I643" s="488"/>
      <c r="J643" s="488"/>
      <c r="K643" s="488"/>
      <c r="L643" s="488"/>
      <c r="M643" s="489"/>
      <c r="N643" s="488"/>
      <c r="O643" s="489"/>
      <c r="P643" s="489"/>
      <c r="Q643" s="489"/>
      <c r="R643" s="489"/>
      <c r="S643" s="28"/>
      <c r="T643" s="490"/>
      <c r="U643" s="489"/>
    </row>
    <row r="644" ht="30.0" customHeight="1">
      <c r="A644" s="488"/>
      <c r="B644" s="489"/>
      <c r="C644" s="489"/>
      <c r="D644" s="488"/>
      <c r="E644" s="489"/>
      <c r="F644" s="489"/>
      <c r="G644" s="173"/>
      <c r="H644" s="488"/>
      <c r="I644" s="488"/>
      <c r="J644" s="488"/>
      <c r="K644" s="488"/>
      <c r="L644" s="488"/>
      <c r="M644" s="489"/>
      <c r="N644" s="488"/>
      <c r="O644" s="489"/>
      <c r="P644" s="489"/>
      <c r="Q644" s="489"/>
      <c r="R644" s="489"/>
      <c r="S644" s="28"/>
      <c r="T644" s="490"/>
      <c r="U644" s="489"/>
    </row>
    <row r="645" ht="30.0" customHeight="1">
      <c r="A645" s="488"/>
      <c r="B645" s="489"/>
      <c r="C645" s="489"/>
      <c r="D645" s="488"/>
      <c r="E645" s="489"/>
      <c r="F645" s="489"/>
      <c r="G645" s="173"/>
      <c r="H645" s="488"/>
      <c r="I645" s="488"/>
      <c r="J645" s="488"/>
      <c r="K645" s="488"/>
      <c r="L645" s="488"/>
      <c r="M645" s="489"/>
      <c r="N645" s="488"/>
      <c r="O645" s="489"/>
      <c r="P645" s="489"/>
      <c r="Q645" s="489"/>
      <c r="R645" s="489"/>
      <c r="S645" s="28"/>
      <c r="T645" s="490"/>
      <c r="U645" s="489"/>
    </row>
    <row r="646" ht="30.0" customHeight="1">
      <c r="A646" s="488"/>
      <c r="B646" s="489"/>
      <c r="C646" s="489"/>
      <c r="D646" s="488"/>
      <c r="E646" s="489"/>
      <c r="F646" s="489"/>
      <c r="G646" s="173"/>
      <c r="H646" s="488"/>
      <c r="I646" s="488"/>
      <c r="J646" s="488"/>
      <c r="K646" s="488"/>
      <c r="L646" s="488"/>
      <c r="M646" s="489"/>
      <c r="N646" s="488"/>
      <c r="O646" s="489"/>
      <c r="P646" s="489"/>
      <c r="Q646" s="489"/>
      <c r="R646" s="489"/>
      <c r="S646" s="28"/>
      <c r="T646" s="490"/>
      <c r="U646" s="489"/>
    </row>
    <row r="647" ht="30.0" customHeight="1">
      <c r="A647" s="488"/>
      <c r="B647" s="489"/>
      <c r="C647" s="489"/>
      <c r="D647" s="488"/>
      <c r="E647" s="489"/>
      <c r="F647" s="489"/>
      <c r="G647" s="173"/>
      <c r="H647" s="488"/>
      <c r="I647" s="488"/>
      <c r="J647" s="488"/>
      <c r="K647" s="488"/>
      <c r="L647" s="488"/>
      <c r="M647" s="489"/>
      <c r="N647" s="488"/>
      <c r="O647" s="489"/>
      <c r="P647" s="489"/>
      <c r="Q647" s="489"/>
      <c r="R647" s="489"/>
      <c r="S647" s="28"/>
      <c r="T647" s="490"/>
      <c r="U647" s="489"/>
    </row>
    <row r="648" ht="30.0" customHeight="1">
      <c r="A648" s="488"/>
      <c r="B648" s="489"/>
      <c r="C648" s="489"/>
      <c r="D648" s="488"/>
      <c r="E648" s="489"/>
      <c r="F648" s="489"/>
      <c r="G648" s="173"/>
      <c r="H648" s="488"/>
      <c r="I648" s="488"/>
      <c r="J648" s="488"/>
      <c r="K648" s="488"/>
      <c r="L648" s="488"/>
      <c r="M648" s="489"/>
      <c r="N648" s="488"/>
      <c r="O648" s="489"/>
      <c r="P648" s="489"/>
      <c r="Q648" s="489"/>
      <c r="R648" s="489"/>
      <c r="S648" s="28"/>
      <c r="T648" s="490"/>
      <c r="U648" s="489"/>
    </row>
    <row r="649" ht="30.0" customHeight="1">
      <c r="A649" s="488"/>
      <c r="B649" s="489"/>
      <c r="C649" s="489"/>
      <c r="D649" s="488"/>
      <c r="E649" s="489"/>
      <c r="F649" s="489"/>
      <c r="G649" s="173"/>
      <c r="H649" s="488"/>
      <c r="I649" s="488"/>
      <c r="J649" s="488"/>
      <c r="K649" s="488"/>
      <c r="L649" s="488"/>
      <c r="M649" s="489"/>
      <c r="N649" s="488"/>
      <c r="O649" s="489"/>
      <c r="P649" s="489"/>
      <c r="Q649" s="489"/>
      <c r="R649" s="489"/>
      <c r="S649" s="28"/>
      <c r="T649" s="490"/>
      <c r="U649" s="489"/>
    </row>
    <row r="650" ht="30.0" customHeight="1">
      <c r="A650" s="488"/>
      <c r="B650" s="489"/>
      <c r="C650" s="489"/>
      <c r="D650" s="488"/>
      <c r="E650" s="489"/>
      <c r="F650" s="489"/>
      <c r="G650" s="173"/>
      <c r="H650" s="488"/>
      <c r="I650" s="488"/>
      <c r="J650" s="488"/>
      <c r="K650" s="488"/>
      <c r="L650" s="488"/>
      <c r="M650" s="489"/>
      <c r="N650" s="488"/>
      <c r="O650" s="489"/>
      <c r="P650" s="489"/>
      <c r="Q650" s="489"/>
      <c r="R650" s="489"/>
      <c r="S650" s="28"/>
      <c r="T650" s="490"/>
      <c r="U650" s="489"/>
    </row>
    <row r="651" ht="30.0" customHeight="1">
      <c r="A651" s="488"/>
      <c r="B651" s="489"/>
      <c r="C651" s="489"/>
      <c r="D651" s="488"/>
      <c r="E651" s="489"/>
      <c r="F651" s="489"/>
      <c r="G651" s="173"/>
      <c r="H651" s="488"/>
      <c r="I651" s="488"/>
      <c r="J651" s="488"/>
      <c r="K651" s="488"/>
      <c r="L651" s="488"/>
      <c r="M651" s="489"/>
      <c r="N651" s="488"/>
      <c r="O651" s="489"/>
      <c r="P651" s="489"/>
      <c r="Q651" s="489"/>
      <c r="R651" s="489"/>
      <c r="S651" s="28"/>
      <c r="T651" s="490"/>
      <c r="U651" s="489"/>
    </row>
    <row r="652" ht="30.0" customHeight="1">
      <c r="A652" s="488"/>
      <c r="B652" s="489"/>
      <c r="C652" s="489"/>
      <c r="D652" s="488"/>
      <c r="E652" s="489"/>
      <c r="F652" s="489"/>
      <c r="G652" s="173"/>
      <c r="H652" s="488"/>
      <c r="I652" s="488"/>
      <c r="J652" s="488"/>
      <c r="K652" s="488"/>
      <c r="L652" s="488"/>
      <c r="M652" s="489"/>
      <c r="N652" s="488"/>
      <c r="O652" s="489"/>
      <c r="P652" s="489"/>
      <c r="Q652" s="489"/>
      <c r="R652" s="489"/>
      <c r="S652" s="28"/>
      <c r="T652" s="490"/>
      <c r="U652" s="489"/>
    </row>
    <row r="653" ht="30.0" customHeight="1">
      <c r="A653" s="488"/>
      <c r="B653" s="489"/>
      <c r="C653" s="489"/>
      <c r="D653" s="488"/>
      <c r="E653" s="489"/>
      <c r="F653" s="489"/>
      <c r="G653" s="173"/>
      <c r="H653" s="488"/>
      <c r="I653" s="488"/>
      <c r="J653" s="488"/>
      <c r="K653" s="488"/>
      <c r="L653" s="488"/>
      <c r="M653" s="489"/>
      <c r="N653" s="488"/>
      <c r="O653" s="489"/>
      <c r="P653" s="489"/>
      <c r="Q653" s="489"/>
      <c r="R653" s="489"/>
      <c r="S653" s="28"/>
      <c r="T653" s="490"/>
      <c r="U653" s="489"/>
    </row>
    <row r="654" ht="30.0" customHeight="1">
      <c r="A654" s="488"/>
      <c r="B654" s="489"/>
      <c r="C654" s="489"/>
      <c r="D654" s="488"/>
      <c r="E654" s="489"/>
      <c r="F654" s="489"/>
      <c r="G654" s="173"/>
      <c r="H654" s="488"/>
      <c r="I654" s="488"/>
      <c r="J654" s="488"/>
      <c r="K654" s="488"/>
      <c r="L654" s="488"/>
      <c r="M654" s="489"/>
      <c r="N654" s="488"/>
      <c r="O654" s="489"/>
      <c r="P654" s="489"/>
      <c r="Q654" s="489"/>
      <c r="R654" s="489"/>
      <c r="S654" s="28"/>
      <c r="T654" s="490"/>
      <c r="U654" s="489"/>
    </row>
    <row r="655" ht="30.0" customHeight="1">
      <c r="A655" s="488"/>
      <c r="B655" s="489"/>
      <c r="C655" s="489"/>
      <c r="D655" s="488"/>
      <c r="E655" s="489"/>
      <c r="F655" s="489"/>
      <c r="G655" s="173"/>
      <c r="H655" s="488"/>
      <c r="I655" s="488"/>
      <c r="J655" s="488"/>
      <c r="K655" s="488"/>
      <c r="L655" s="488"/>
      <c r="M655" s="489"/>
      <c r="N655" s="488"/>
      <c r="O655" s="489"/>
      <c r="P655" s="489"/>
      <c r="Q655" s="489"/>
      <c r="R655" s="489"/>
      <c r="S655" s="28"/>
      <c r="T655" s="490"/>
      <c r="U655" s="489"/>
    </row>
    <row r="656" ht="30.0" customHeight="1">
      <c r="A656" s="488"/>
      <c r="B656" s="489"/>
      <c r="C656" s="489"/>
      <c r="D656" s="488"/>
      <c r="E656" s="489"/>
      <c r="F656" s="489"/>
      <c r="G656" s="173"/>
      <c r="H656" s="488"/>
      <c r="I656" s="488"/>
      <c r="J656" s="488"/>
      <c r="K656" s="488"/>
      <c r="L656" s="488"/>
      <c r="M656" s="489"/>
      <c r="N656" s="488"/>
      <c r="O656" s="489"/>
      <c r="P656" s="489"/>
      <c r="Q656" s="489"/>
      <c r="R656" s="489"/>
      <c r="S656" s="28"/>
      <c r="T656" s="490"/>
      <c r="U656" s="489"/>
    </row>
    <row r="657" ht="30.0" customHeight="1">
      <c r="A657" s="488"/>
      <c r="B657" s="489"/>
      <c r="C657" s="489"/>
      <c r="D657" s="488"/>
      <c r="E657" s="489"/>
      <c r="F657" s="489"/>
      <c r="G657" s="173"/>
      <c r="H657" s="488"/>
      <c r="I657" s="488"/>
      <c r="J657" s="488"/>
      <c r="K657" s="488"/>
      <c r="L657" s="488"/>
      <c r="M657" s="489"/>
      <c r="N657" s="488"/>
      <c r="O657" s="489"/>
      <c r="P657" s="489"/>
      <c r="Q657" s="489"/>
      <c r="R657" s="489"/>
      <c r="S657" s="28"/>
      <c r="T657" s="490"/>
      <c r="U657" s="489"/>
    </row>
    <row r="658" ht="30.0" customHeight="1">
      <c r="A658" s="488"/>
      <c r="B658" s="489"/>
      <c r="C658" s="489"/>
      <c r="D658" s="488"/>
      <c r="E658" s="489"/>
      <c r="F658" s="489"/>
      <c r="G658" s="173"/>
      <c r="H658" s="488"/>
      <c r="I658" s="488"/>
      <c r="J658" s="488"/>
      <c r="K658" s="488"/>
      <c r="L658" s="488"/>
      <c r="M658" s="489"/>
      <c r="N658" s="488"/>
      <c r="O658" s="489"/>
      <c r="P658" s="489"/>
      <c r="Q658" s="489"/>
      <c r="R658" s="489"/>
      <c r="S658" s="28"/>
      <c r="T658" s="490"/>
      <c r="U658" s="489"/>
    </row>
    <row r="659" ht="30.0" customHeight="1">
      <c r="A659" s="488"/>
      <c r="B659" s="489"/>
      <c r="C659" s="489"/>
      <c r="D659" s="488"/>
      <c r="E659" s="489"/>
      <c r="F659" s="489"/>
      <c r="G659" s="173"/>
      <c r="H659" s="488"/>
      <c r="I659" s="488"/>
      <c r="J659" s="488"/>
      <c r="K659" s="488"/>
      <c r="L659" s="488"/>
      <c r="M659" s="489"/>
      <c r="N659" s="488"/>
      <c r="O659" s="489"/>
      <c r="P659" s="489"/>
      <c r="Q659" s="489"/>
      <c r="R659" s="489"/>
      <c r="S659" s="28"/>
      <c r="T659" s="490"/>
      <c r="U659" s="489"/>
    </row>
    <row r="660" ht="30.0" customHeight="1">
      <c r="A660" s="488"/>
      <c r="B660" s="489"/>
      <c r="C660" s="489"/>
      <c r="D660" s="488"/>
      <c r="E660" s="489"/>
      <c r="F660" s="489"/>
      <c r="G660" s="173"/>
      <c r="H660" s="488"/>
      <c r="I660" s="488"/>
      <c r="J660" s="488"/>
      <c r="K660" s="488"/>
      <c r="L660" s="488"/>
      <c r="M660" s="489"/>
      <c r="N660" s="488"/>
      <c r="O660" s="489"/>
      <c r="P660" s="489"/>
      <c r="Q660" s="489"/>
      <c r="R660" s="489"/>
      <c r="S660" s="28"/>
      <c r="T660" s="490"/>
      <c r="U660" s="489"/>
    </row>
    <row r="661" ht="30.0" customHeight="1">
      <c r="A661" s="488"/>
      <c r="B661" s="489"/>
      <c r="C661" s="489"/>
      <c r="D661" s="488"/>
      <c r="E661" s="489"/>
      <c r="F661" s="489"/>
      <c r="G661" s="173"/>
      <c r="H661" s="488"/>
      <c r="I661" s="488"/>
      <c r="J661" s="488"/>
      <c r="K661" s="488"/>
      <c r="L661" s="488"/>
      <c r="M661" s="489"/>
      <c r="N661" s="488"/>
      <c r="O661" s="489"/>
      <c r="P661" s="489"/>
      <c r="Q661" s="489"/>
      <c r="R661" s="489"/>
      <c r="S661" s="28"/>
      <c r="T661" s="490"/>
      <c r="U661" s="489"/>
    </row>
    <row r="662" ht="30.0" customHeight="1">
      <c r="A662" s="488"/>
      <c r="B662" s="489"/>
      <c r="C662" s="489"/>
      <c r="D662" s="488"/>
      <c r="E662" s="489"/>
      <c r="F662" s="489"/>
      <c r="G662" s="173"/>
      <c r="H662" s="488"/>
      <c r="I662" s="488"/>
      <c r="J662" s="488"/>
      <c r="K662" s="488"/>
      <c r="L662" s="488"/>
      <c r="M662" s="489"/>
      <c r="N662" s="488"/>
      <c r="O662" s="489"/>
      <c r="P662" s="489"/>
      <c r="Q662" s="489"/>
      <c r="R662" s="489"/>
      <c r="S662" s="28"/>
      <c r="T662" s="490"/>
      <c r="U662" s="489"/>
    </row>
    <row r="663" ht="30.0" customHeight="1">
      <c r="A663" s="488"/>
      <c r="B663" s="489"/>
      <c r="C663" s="489"/>
      <c r="D663" s="488"/>
      <c r="E663" s="489"/>
      <c r="F663" s="489"/>
      <c r="G663" s="173"/>
      <c r="H663" s="488"/>
      <c r="I663" s="488"/>
      <c r="J663" s="488"/>
      <c r="K663" s="488"/>
      <c r="L663" s="488"/>
      <c r="M663" s="489"/>
      <c r="N663" s="488"/>
      <c r="O663" s="489"/>
      <c r="P663" s="489"/>
      <c r="Q663" s="489"/>
      <c r="R663" s="489"/>
      <c r="S663" s="28"/>
      <c r="T663" s="490"/>
      <c r="U663" s="489"/>
    </row>
    <row r="664" ht="30.0" customHeight="1">
      <c r="A664" s="488"/>
      <c r="B664" s="489"/>
      <c r="C664" s="489"/>
      <c r="D664" s="488"/>
      <c r="E664" s="489"/>
      <c r="F664" s="489"/>
      <c r="G664" s="173"/>
      <c r="H664" s="488"/>
      <c r="I664" s="488"/>
      <c r="J664" s="488"/>
      <c r="K664" s="488"/>
      <c r="L664" s="488"/>
      <c r="M664" s="489"/>
      <c r="N664" s="488"/>
      <c r="O664" s="489"/>
      <c r="P664" s="489"/>
      <c r="Q664" s="489"/>
      <c r="R664" s="489"/>
      <c r="S664" s="28"/>
      <c r="T664" s="490"/>
      <c r="U664" s="489"/>
    </row>
    <row r="665" ht="30.0" customHeight="1">
      <c r="A665" s="488"/>
      <c r="B665" s="489"/>
      <c r="C665" s="489"/>
      <c r="D665" s="488"/>
      <c r="E665" s="489"/>
      <c r="F665" s="489"/>
      <c r="G665" s="173"/>
      <c r="H665" s="488"/>
      <c r="I665" s="488"/>
      <c r="J665" s="488"/>
      <c r="K665" s="488"/>
      <c r="L665" s="488"/>
      <c r="M665" s="489"/>
      <c r="N665" s="488"/>
      <c r="O665" s="489"/>
      <c r="P665" s="489"/>
      <c r="Q665" s="489"/>
      <c r="R665" s="489"/>
      <c r="S665" s="28"/>
      <c r="T665" s="490"/>
      <c r="U665" s="489"/>
    </row>
    <row r="666" ht="30.0" customHeight="1">
      <c r="A666" s="488"/>
      <c r="B666" s="489"/>
      <c r="C666" s="489"/>
      <c r="D666" s="488"/>
      <c r="E666" s="489"/>
      <c r="F666" s="489"/>
      <c r="G666" s="173"/>
      <c r="H666" s="488"/>
      <c r="I666" s="488"/>
      <c r="J666" s="488"/>
      <c r="K666" s="488"/>
      <c r="L666" s="488"/>
      <c r="M666" s="489"/>
      <c r="N666" s="488"/>
      <c r="O666" s="489"/>
      <c r="P666" s="489"/>
      <c r="Q666" s="489"/>
      <c r="R666" s="489"/>
      <c r="S666" s="28"/>
      <c r="T666" s="490"/>
      <c r="U666" s="489"/>
    </row>
    <row r="667" ht="30.0" customHeight="1">
      <c r="A667" s="488"/>
      <c r="B667" s="489"/>
      <c r="C667" s="489"/>
      <c r="D667" s="488"/>
      <c r="E667" s="489"/>
      <c r="F667" s="489"/>
      <c r="G667" s="173"/>
      <c r="H667" s="488"/>
      <c r="I667" s="488"/>
      <c r="J667" s="488"/>
      <c r="K667" s="488"/>
      <c r="L667" s="488"/>
      <c r="M667" s="489"/>
      <c r="N667" s="488"/>
      <c r="O667" s="489"/>
      <c r="P667" s="489"/>
      <c r="Q667" s="489"/>
      <c r="R667" s="489"/>
      <c r="S667" s="28"/>
      <c r="T667" s="490"/>
      <c r="U667" s="489"/>
    </row>
    <row r="668" ht="30.0" customHeight="1">
      <c r="A668" s="488"/>
      <c r="B668" s="489"/>
      <c r="C668" s="489"/>
      <c r="D668" s="488"/>
      <c r="E668" s="489"/>
      <c r="F668" s="489"/>
      <c r="G668" s="173"/>
      <c r="H668" s="488"/>
      <c r="I668" s="488"/>
      <c r="J668" s="488"/>
      <c r="K668" s="488"/>
      <c r="L668" s="488"/>
      <c r="M668" s="489"/>
      <c r="N668" s="488"/>
      <c r="O668" s="489"/>
      <c r="P668" s="489"/>
      <c r="Q668" s="489"/>
      <c r="R668" s="489"/>
      <c r="S668" s="28"/>
      <c r="T668" s="490"/>
      <c r="U668" s="489"/>
    </row>
    <row r="669" ht="30.0" customHeight="1">
      <c r="A669" s="488"/>
      <c r="B669" s="489"/>
      <c r="C669" s="489"/>
      <c r="D669" s="488"/>
      <c r="E669" s="489"/>
      <c r="F669" s="489"/>
      <c r="G669" s="173"/>
      <c r="H669" s="488"/>
      <c r="I669" s="488"/>
      <c r="J669" s="488"/>
      <c r="K669" s="488"/>
      <c r="L669" s="488"/>
      <c r="M669" s="489"/>
      <c r="N669" s="488"/>
      <c r="O669" s="489"/>
      <c r="P669" s="489"/>
      <c r="Q669" s="489"/>
      <c r="R669" s="489"/>
      <c r="S669" s="28"/>
      <c r="T669" s="490"/>
      <c r="U669" s="489"/>
    </row>
    <row r="670" ht="30.0" customHeight="1">
      <c r="A670" s="488"/>
      <c r="B670" s="489"/>
      <c r="C670" s="489"/>
      <c r="D670" s="488"/>
      <c r="E670" s="489"/>
      <c r="F670" s="489"/>
      <c r="G670" s="173"/>
      <c r="H670" s="488"/>
      <c r="I670" s="488"/>
      <c r="J670" s="488"/>
      <c r="K670" s="488"/>
      <c r="L670" s="488"/>
      <c r="M670" s="489"/>
      <c r="N670" s="488"/>
      <c r="O670" s="489"/>
      <c r="P670" s="489"/>
      <c r="Q670" s="489"/>
      <c r="R670" s="489"/>
      <c r="S670" s="28"/>
      <c r="T670" s="490"/>
      <c r="U670" s="489"/>
    </row>
    <row r="671" ht="30.0" customHeight="1">
      <c r="A671" s="488"/>
      <c r="B671" s="489"/>
      <c r="C671" s="489"/>
      <c r="D671" s="488"/>
      <c r="E671" s="489"/>
      <c r="F671" s="489"/>
      <c r="G671" s="173"/>
      <c r="H671" s="488"/>
      <c r="I671" s="488"/>
      <c r="J671" s="488"/>
      <c r="K671" s="488"/>
      <c r="L671" s="488"/>
      <c r="M671" s="489"/>
      <c r="N671" s="488"/>
      <c r="O671" s="489"/>
      <c r="P671" s="489"/>
      <c r="Q671" s="489"/>
      <c r="R671" s="489"/>
      <c r="S671" s="28"/>
      <c r="T671" s="490"/>
      <c r="U671" s="489"/>
    </row>
    <row r="672" ht="30.0" customHeight="1">
      <c r="A672" s="488"/>
      <c r="B672" s="489"/>
      <c r="C672" s="489"/>
      <c r="D672" s="488"/>
      <c r="E672" s="489"/>
      <c r="F672" s="489"/>
      <c r="G672" s="173"/>
      <c r="H672" s="488"/>
      <c r="I672" s="488"/>
      <c r="J672" s="488"/>
      <c r="K672" s="488"/>
      <c r="L672" s="488"/>
      <c r="M672" s="489"/>
      <c r="N672" s="488"/>
      <c r="O672" s="489"/>
      <c r="P672" s="489"/>
      <c r="Q672" s="489"/>
      <c r="R672" s="489"/>
      <c r="S672" s="28"/>
      <c r="T672" s="490"/>
      <c r="U672" s="489"/>
    </row>
    <row r="673" ht="30.0" customHeight="1">
      <c r="A673" s="488"/>
      <c r="B673" s="489"/>
      <c r="C673" s="489"/>
      <c r="D673" s="488"/>
      <c r="E673" s="489"/>
      <c r="F673" s="489"/>
      <c r="G673" s="173"/>
      <c r="H673" s="488"/>
      <c r="I673" s="488"/>
      <c r="J673" s="488"/>
      <c r="K673" s="488"/>
      <c r="L673" s="488"/>
      <c r="M673" s="489"/>
      <c r="N673" s="488"/>
      <c r="O673" s="489"/>
      <c r="P673" s="489"/>
      <c r="Q673" s="489"/>
      <c r="R673" s="489"/>
      <c r="S673" s="28"/>
      <c r="T673" s="490"/>
      <c r="U673" s="489"/>
    </row>
    <row r="674" ht="30.0" customHeight="1">
      <c r="A674" s="488"/>
      <c r="B674" s="489"/>
      <c r="C674" s="489"/>
      <c r="D674" s="488"/>
      <c r="E674" s="489"/>
      <c r="F674" s="489"/>
      <c r="G674" s="173"/>
      <c r="H674" s="488"/>
      <c r="I674" s="488"/>
      <c r="J674" s="488"/>
      <c r="K674" s="488"/>
      <c r="L674" s="488"/>
      <c r="M674" s="489"/>
      <c r="N674" s="488"/>
      <c r="O674" s="489"/>
      <c r="P674" s="489"/>
      <c r="Q674" s="489"/>
      <c r="R674" s="489"/>
      <c r="S674" s="28"/>
      <c r="T674" s="490"/>
      <c r="U674" s="489"/>
    </row>
    <row r="675" ht="30.0" customHeight="1">
      <c r="A675" s="488"/>
      <c r="B675" s="489"/>
      <c r="C675" s="489"/>
      <c r="D675" s="488"/>
      <c r="E675" s="489"/>
      <c r="F675" s="489"/>
      <c r="G675" s="173"/>
      <c r="H675" s="488"/>
      <c r="I675" s="488"/>
      <c r="J675" s="488"/>
      <c r="K675" s="488"/>
      <c r="L675" s="488"/>
      <c r="M675" s="489"/>
      <c r="N675" s="488"/>
      <c r="O675" s="489"/>
      <c r="P675" s="489"/>
      <c r="Q675" s="489"/>
      <c r="R675" s="489"/>
      <c r="S675" s="28"/>
      <c r="T675" s="490"/>
      <c r="U675" s="489"/>
    </row>
    <row r="676" ht="30.0" customHeight="1">
      <c r="A676" s="488"/>
      <c r="B676" s="489"/>
      <c r="C676" s="489"/>
      <c r="D676" s="488"/>
      <c r="E676" s="489"/>
      <c r="F676" s="489"/>
      <c r="G676" s="173"/>
      <c r="H676" s="488"/>
      <c r="I676" s="488"/>
      <c r="J676" s="488"/>
      <c r="K676" s="488"/>
      <c r="L676" s="488"/>
      <c r="M676" s="489"/>
      <c r="N676" s="488"/>
      <c r="O676" s="489"/>
      <c r="P676" s="489"/>
      <c r="Q676" s="489"/>
      <c r="R676" s="489"/>
      <c r="S676" s="28"/>
      <c r="T676" s="490"/>
      <c r="U676" s="489"/>
    </row>
    <row r="677" ht="30.0" customHeight="1">
      <c r="A677" s="488"/>
      <c r="B677" s="489"/>
      <c r="C677" s="489"/>
      <c r="D677" s="488"/>
      <c r="E677" s="489"/>
      <c r="F677" s="489"/>
      <c r="G677" s="173"/>
      <c r="H677" s="488"/>
      <c r="I677" s="488"/>
      <c r="J677" s="488"/>
      <c r="K677" s="488"/>
      <c r="L677" s="488"/>
      <c r="M677" s="489"/>
      <c r="N677" s="488"/>
      <c r="O677" s="489"/>
      <c r="P677" s="489"/>
      <c r="Q677" s="489"/>
      <c r="R677" s="489"/>
      <c r="S677" s="28"/>
      <c r="T677" s="490"/>
      <c r="U677" s="489"/>
    </row>
    <row r="678" ht="30.0" customHeight="1">
      <c r="A678" s="488"/>
      <c r="B678" s="489"/>
      <c r="C678" s="489"/>
      <c r="D678" s="488"/>
      <c r="E678" s="489"/>
      <c r="F678" s="489"/>
      <c r="G678" s="173"/>
      <c r="H678" s="488"/>
      <c r="I678" s="488"/>
      <c r="J678" s="488"/>
      <c r="K678" s="488"/>
      <c r="L678" s="488"/>
      <c r="M678" s="489"/>
      <c r="N678" s="488"/>
      <c r="O678" s="489"/>
      <c r="P678" s="489"/>
      <c r="Q678" s="489"/>
      <c r="R678" s="489"/>
      <c r="S678" s="28"/>
      <c r="T678" s="490"/>
      <c r="U678" s="489"/>
    </row>
    <row r="679" ht="30.0" customHeight="1">
      <c r="A679" s="488"/>
      <c r="B679" s="489"/>
      <c r="C679" s="489"/>
      <c r="D679" s="488"/>
      <c r="E679" s="489"/>
      <c r="F679" s="489"/>
      <c r="G679" s="173"/>
      <c r="H679" s="488"/>
      <c r="I679" s="488"/>
      <c r="J679" s="488"/>
      <c r="K679" s="488"/>
      <c r="L679" s="488"/>
      <c r="M679" s="489"/>
      <c r="N679" s="488"/>
      <c r="O679" s="489"/>
      <c r="P679" s="489"/>
      <c r="Q679" s="489"/>
      <c r="R679" s="489"/>
      <c r="S679" s="28"/>
      <c r="T679" s="490"/>
      <c r="U679" s="489"/>
    </row>
    <row r="680" ht="30.0" customHeight="1">
      <c r="A680" s="488"/>
      <c r="B680" s="489"/>
      <c r="C680" s="489"/>
      <c r="D680" s="488"/>
      <c r="E680" s="489"/>
      <c r="F680" s="489"/>
      <c r="G680" s="173"/>
      <c r="H680" s="488"/>
      <c r="I680" s="488"/>
      <c r="J680" s="488"/>
      <c r="K680" s="488"/>
      <c r="L680" s="488"/>
      <c r="M680" s="489"/>
      <c r="N680" s="488"/>
      <c r="O680" s="489"/>
      <c r="P680" s="489"/>
      <c r="Q680" s="489"/>
      <c r="R680" s="489"/>
      <c r="S680" s="28"/>
      <c r="T680" s="490"/>
      <c r="U680" s="489"/>
    </row>
    <row r="681" ht="30.0" customHeight="1">
      <c r="A681" s="488"/>
      <c r="B681" s="489"/>
      <c r="C681" s="489"/>
      <c r="D681" s="488"/>
      <c r="E681" s="489"/>
      <c r="F681" s="489"/>
      <c r="G681" s="173"/>
      <c r="H681" s="488"/>
      <c r="I681" s="488"/>
      <c r="J681" s="488"/>
      <c r="K681" s="488"/>
      <c r="L681" s="488"/>
      <c r="M681" s="489"/>
      <c r="N681" s="488"/>
      <c r="O681" s="489"/>
      <c r="P681" s="489"/>
      <c r="Q681" s="489"/>
      <c r="R681" s="489"/>
      <c r="S681" s="28"/>
      <c r="T681" s="490"/>
      <c r="U681" s="489"/>
    </row>
    <row r="682" ht="30.0" customHeight="1">
      <c r="A682" s="488"/>
      <c r="B682" s="489"/>
      <c r="C682" s="489"/>
      <c r="D682" s="488"/>
      <c r="E682" s="489"/>
      <c r="F682" s="489"/>
      <c r="G682" s="173"/>
      <c r="H682" s="488"/>
      <c r="I682" s="488"/>
      <c r="J682" s="488"/>
      <c r="K682" s="488"/>
      <c r="L682" s="488"/>
      <c r="M682" s="489"/>
      <c r="N682" s="488"/>
      <c r="O682" s="489"/>
      <c r="P682" s="489"/>
      <c r="Q682" s="489"/>
      <c r="R682" s="489"/>
      <c r="S682" s="28"/>
      <c r="T682" s="490"/>
      <c r="U682" s="489"/>
    </row>
    <row r="683" ht="30.0" customHeight="1">
      <c r="A683" s="488"/>
      <c r="B683" s="489"/>
      <c r="C683" s="489"/>
      <c r="D683" s="488"/>
      <c r="E683" s="489"/>
      <c r="F683" s="489"/>
      <c r="G683" s="173"/>
      <c r="H683" s="488"/>
      <c r="I683" s="488"/>
      <c r="J683" s="488"/>
      <c r="K683" s="488"/>
      <c r="L683" s="488"/>
      <c r="M683" s="489"/>
      <c r="N683" s="488"/>
      <c r="O683" s="489"/>
      <c r="P683" s="489"/>
      <c r="Q683" s="489"/>
      <c r="R683" s="489"/>
      <c r="S683" s="28"/>
      <c r="T683" s="490"/>
      <c r="U683" s="489"/>
    </row>
    <row r="684" ht="30.0" customHeight="1">
      <c r="A684" s="488"/>
      <c r="B684" s="489"/>
      <c r="C684" s="489"/>
      <c r="D684" s="488"/>
      <c r="E684" s="489"/>
      <c r="F684" s="489"/>
      <c r="G684" s="173"/>
      <c r="H684" s="488"/>
      <c r="I684" s="488"/>
      <c r="J684" s="488"/>
      <c r="K684" s="488"/>
      <c r="L684" s="488"/>
      <c r="M684" s="489"/>
      <c r="N684" s="488"/>
      <c r="O684" s="489"/>
      <c r="P684" s="489"/>
      <c r="Q684" s="489"/>
      <c r="R684" s="489"/>
      <c r="S684" s="28"/>
      <c r="T684" s="490"/>
      <c r="U684" s="489"/>
    </row>
    <row r="685" ht="30.0" customHeight="1">
      <c r="A685" s="488"/>
      <c r="B685" s="489"/>
      <c r="C685" s="489"/>
      <c r="D685" s="488"/>
      <c r="E685" s="489"/>
      <c r="F685" s="489"/>
      <c r="G685" s="173"/>
      <c r="H685" s="488"/>
      <c r="I685" s="488"/>
      <c r="J685" s="488"/>
      <c r="K685" s="488"/>
      <c r="L685" s="488"/>
      <c r="M685" s="489"/>
      <c r="N685" s="488"/>
      <c r="O685" s="489"/>
      <c r="P685" s="489"/>
      <c r="Q685" s="489"/>
      <c r="R685" s="489"/>
      <c r="S685" s="28"/>
      <c r="T685" s="490"/>
      <c r="U685" s="489"/>
    </row>
    <row r="686" ht="30.0" customHeight="1">
      <c r="A686" s="488"/>
      <c r="B686" s="489"/>
      <c r="C686" s="489"/>
      <c r="D686" s="488"/>
      <c r="E686" s="489"/>
      <c r="F686" s="489"/>
      <c r="G686" s="173"/>
      <c r="H686" s="488"/>
      <c r="I686" s="488"/>
      <c r="J686" s="488"/>
      <c r="K686" s="488"/>
      <c r="L686" s="488"/>
      <c r="M686" s="489"/>
      <c r="N686" s="488"/>
      <c r="O686" s="489"/>
      <c r="P686" s="489"/>
      <c r="Q686" s="489"/>
      <c r="R686" s="489"/>
      <c r="S686" s="28"/>
      <c r="T686" s="490"/>
      <c r="U686" s="489"/>
    </row>
    <row r="687" ht="30.0" customHeight="1">
      <c r="A687" s="488"/>
      <c r="B687" s="489"/>
      <c r="C687" s="489"/>
      <c r="D687" s="488"/>
      <c r="E687" s="489"/>
      <c r="F687" s="489"/>
      <c r="G687" s="173"/>
      <c r="H687" s="488"/>
      <c r="I687" s="488"/>
      <c r="J687" s="488"/>
      <c r="K687" s="488"/>
      <c r="L687" s="488"/>
      <c r="M687" s="489"/>
      <c r="N687" s="488"/>
      <c r="O687" s="489"/>
      <c r="P687" s="489"/>
      <c r="Q687" s="489"/>
      <c r="R687" s="489"/>
      <c r="S687" s="28"/>
      <c r="T687" s="490"/>
      <c r="U687" s="489"/>
    </row>
    <row r="688" ht="30.0" customHeight="1">
      <c r="A688" s="488"/>
      <c r="B688" s="489"/>
      <c r="C688" s="489"/>
      <c r="D688" s="488"/>
      <c r="E688" s="489"/>
      <c r="F688" s="489"/>
      <c r="G688" s="173"/>
      <c r="H688" s="488"/>
      <c r="I688" s="488"/>
      <c r="J688" s="488"/>
      <c r="K688" s="488"/>
      <c r="L688" s="488"/>
      <c r="M688" s="489"/>
      <c r="N688" s="488"/>
      <c r="O688" s="489"/>
      <c r="P688" s="489"/>
      <c r="Q688" s="489"/>
      <c r="R688" s="489"/>
      <c r="S688" s="28"/>
      <c r="T688" s="490"/>
      <c r="U688" s="489"/>
    </row>
    <row r="689" ht="30.0" customHeight="1">
      <c r="A689" s="488"/>
      <c r="B689" s="489"/>
      <c r="C689" s="489"/>
      <c r="D689" s="488"/>
      <c r="E689" s="489"/>
      <c r="F689" s="489"/>
      <c r="G689" s="173"/>
      <c r="H689" s="488"/>
      <c r="I689" s="488"/>
      <c r="J689" s="488"/>
      <c r="K689" s="488"/>
      <c r="L689" s="488"/>
      <c r="M689" s="489"/>
      <c r="N689" s="488"/>
      <c r="O689" s="489"/>
      <c r="P689" s="489"/>
      <c r="Q689" s="489"/>
      <c r="R689" s="489"/>
      <c r="S689" s="28"/>
      <c r="T689" s="490"/>
      <c r="U689" s="489"/>
    </row>
    <row r="690" ht="30.0" customHeight="1">
      <c r="A690" s="488"/>
      <c r="B690" s="489"/>
      <c r="C690" s="489"/>
      <c r="D690" s="488"/>
      <c r="E690" s="489"/>
      <c r="F690" s="489"/>
      <c r="G690" s="173"/>
      <c r="H690" s="488"/>
      <c r="I690" s="488"/>
      <c r="J690" s="488"/>
      <c r="K690" s="488"/>
      <c r="L690" s="488"/>
      <c r="M690" s="489"/>
      <c r="N690" s="488"/>
      <c r="O690" s="489"/>
      <c r="P690" s="489"/>
      <c r="Q690" s="489"/>
      <c r="R690" s="489"/>
      <c r="S690" s="28"/>
      <c r="T690" s="490"/>
      <c r="U690" s="489"/>
    </row>
    <row r="691" ht="30.0" customHeight="1">
      <c r="A691" s="488"/>
      <c r="B691" s="489"/>
      <c r="C691" s="489"/>
      <c r="D691" s="488"/>
      <c r="E691" s="489"/>
      <c r="F691" s="489"/>
      <c r="G691" s="173"/>
      <c r="H691" s="488"/>
      <c r="I691" s="488"/>
      <c r="J691" s="488"/>
      <c r="K691" s="488"/>
      <c r="L691" s="488"/>
      <c r="M691" s="489"/>
      <c r="N691" s="488"/>
      <c r="O691" s="489"/>
      <c r="P691" s="489"/>
      <c r="Q691" s="489"/>
      <c r="R691" s="489"/>
      <c r="S691" s="28"/>
      <c r="T691" s="490"/>
      <c r="U691" s="489"/>
    </row>
    <row r="692" ht="30.0" customHeight="1">
      <c r="A692" s="488"/>
      <c r="B692" s="489"/>
      <c r="C692" s="489"/>
      <c r="D692" s="488"/>
      <c r="E692" s="489"/>
      <c r="F692" s="489"/>
      <c r="G692" s="173"/>
      <c r="H692" s="488"/>
      <c r="I692" s="488"/>
      <c r="J692" s="488"/>
      <c r="K692" s="488"/>
      <c r="L692" s="488"/>
      <c r="M692" s="489"/>
      <c r="N692" s="488"/>
      <c r="O692" s="489"/>
      <c r="P692" s="489"/>
      <c r="Q692" s="489"/>
      <c r="R692" s="489"/>
      <c r="S692" s="28"/>
      <c r="T692" s="490"/>
      <c r="U692" s="489"/>
    </row>
    <row r="693" ht="30.0" customHeight="1">
      <c r="A693" s="488"/>
      <c r="B693" s="489"/>
      <c r="C693" s="489"/>
      <c r="D693" s="488"/>
      <c r="E693" s="489"/>
      <c r="F693" s="489"/>
      <c r="G693" s="173"/>
      <c r="H693" s="488"/>
      <c r="I693" s="488"/>
      <c r="J693" s="488"/>
      <c r="K693" s="488"/>
      <c r="L693" s="488"/>
      <c r="M693" s="489"/>
      <c r="N693" s="488"/>
      <c r="O693" s="489"/>
      <c r="P693" s="489"/>
      <c r="Q693" s="489"/>
      <c r="R693" s="489"/>
      <c r="S693" s="28"/>
      <c r="T693" s="490"/>
      <c r="U693" s="489"/>
    </row>
    <row r="694" ht="30.0" customHeight="1">
      <c r="A694" s="488"/>
      <c r="B694" s="489"/>
      <c r="C694" s="489"/>
      <c r="D694" s="488"/>
      <c r="E694" s="489"/>
      <c r="F694" s="489"/>
      <c r="G694" s="173"/>
      <c r="H694" s="488"/>
      <c r="I694" s="488"/>
      <c r="J694" s="488"/>
      <c r="K694" s="488"/>
      <c r="L694" s="488"/>
      <c r="M694" s="489"/>
      <c r="N694" s="488"/>
      <c r="O694" s="489"/>
      <c r="P694" s="489"/>
      <c r="Q694" s="489"/>
      <c r="R694" s="489"/>
      <c r="S694" s="28"/>
      <c r="T694" s="490"/>
      <c r="U694" s="489"/>
    </row>
    <row r="695" ht="30.0" customHeight="1">
      <c r="A695" s="488"/>
      <c r="B695" s="489"/>
      <c r="C695" s="489"/>
      <c r="D695" s="488"/>
      <c r="E695" s="489"/>
      <c r="F695" s="489"/>
      <c r="G695" s="173"/>
      <c r="H695" s="488"/>
      <c r="I695" s="488"/>
      <c r="J695" s="488"/>
      <c r="K695" s="488"/>
      <c r="L695" s="488"/>
      <c r="M695" s="489"/>
      <c r="N695" s="488"/>
      <c r="O695" s="489"/>
      <c r="P695" s="489"/>
      <c r="Q695" s="489"/>
      <c r="R695" s="489"/>
      <c r="S695" s="28"/>
      <c r="T695" s="490"/>
      <c r="U695" s="489"/>
    </row>
    <row r="696" ht="30.0" customHeight="1">
      <c r="A696" s="488"/>
      <c r="B696" s="489"/>
      <c r="C696" s="489"/>
      <c r="D696" s="488"/>
      <c r="E696" s="489"/>
      <c r="F696" s="489"/>
      <c r="G696" s="173"/>
      <c r="H696" s="488"/>
      <c r="I696" s="488"/>
      <c r="J696" s="488"/>
      <c r="K696" s="488"/>
      <c r="L696" s="488"/>
      <c r="M696" s="489"/>
      <c r="N696" s="488"/>
      <c r="O696" s="489"/>
      <c r="P696" s="489"/>
      <c r="Q696" s="489"/>
      <c r="R696" s="489"/>
      <c r="S696" s="28"/>
      <c r="T696" s="490"/>
      <c r="U696" s="489"/>
    </row>
    <row r="697" ht="30.0" customHeight="1">
      <c r="A697" s="488"/>
      <c r="B697" s="489"/>
      <c r="C697" s="489"/>
      <c r="D697" s="488"/>
      <c r="E697" s="489"/>
      <c r="F697" s="489"/>
      <c r="G697" s="173"/>
      <c r="H697" s="488"/>
      <c r="I697" s="488"/>
      <c r="J697" s="488"/>
      <c r="K697" s="488"/>
      <c r="L697" s="488"/>
      <c r="M697" s="489"/>
      <c r="N697" s="488"/>
      <c r="O697" s="489"/>
      <c r="P697" s="489"/>
      <c r="Q697" s="489"/>
      <c r="R697" s="489"/>
      <c r="S697" s="28"/>
      <c r="T697" s="490"/>
      <c r="U697" s="489"/>
    </row>
    <row r="698" ht="30.0" customHeight="1">
      <c r="A698" s="488"/>
      <c r="B698" s="489"/>
      <c r="C698" s="489"/>
      <c r="D698" s="488"/>
      <c r="E698" s="489"/>
      <c r="F698" s="489"/>
      <c r="G698" s="173"/>
      <c r="H698" s="488"/>
      <c r="I698" s="488"/>
      <c r="J698" s="488"/>
      <c r="K698" s="488"/>
      <c r="L698" s="488"/>
      <c r="M698" s="489"/>
      <c r="N698" s="488"/>
      <c r="O698" s="489"/>
      <c r="P698" s="489"/>
      <c r="Q698" s="489"/>
      <c r="R698" s="489"/>
      <c r="S698" s="28"/>
      <c r="T698" s="490"/>
      <c r="U698" s="489"/>
    </row>
    <row r="699" ht="30.0" customHeight="1">
      <c r="A699" s="488"/>
      <c r="B699" s="489"/>
      <c r="C699" s="489"/>
      <c r="D699" s="488"/>
      <c r="E699" s="489"/>
      <c r="F699" s="489"/>
      <c r="G699" s="173"/>
      <c r="H699" s="488"/>
      <c r="I699" s="488"/>
      <c r="J699" s="488"/>
      <c r="K699" s="488"/>
      <c r="L699" s="488"/>
      <c r="M699" s="489"/>
      <c r="N699" s="488"/>
      <c r="O699" s="489"/>
      <c r="P699" s="489"/>
      <c r="Q699" s="489"/>
      <c r="R699" s="489"/>
      <c r="S699" s="28"/>
      <c r="T699" s="490"/>
      <c r="U699" s="489"/>
    </row>
    <row r="700" ht="30.0" customHeight="1">
      <c r="A700" s="488"/>
      <c r="B700" s="489"/>
      <c r="C700" s="489"/>
      <c r="D700" s="488"/>
      <c r="E700" s="489"/>
      <c r="F700" s="489"/>
      <c r="G700" s="173"/>
      <c r="H700" s="488"/>
      <c r="I700" s="488"/>
      <c r="J700" s="488"/>
      <c r="K700" s="488"/>
      <c r="L700" s="488"/>
      <c r="M700" s="489"/>
      <c r="N700" s="488"/>
      <c r="O700" s="489"/>
      <c r="P700" s="489"/>
      <c r="Q700" s="489"/>
      <c r="R700" s="489"/>
      <c r="S700" s="28"/>
      <c r="T700" s="490"/>
      <c r="U700" s="489"/>
    </row>
    <row r="701" ht="30.0" customHeight="1">
      <c r="A701" s="488"/>
      <c r="B701" s="489"/>
      <c r="C701" s="489"/>
      <c r="D701" s="488"/>
      <c r="E701" s="489"/>
      <c r="F701" s="489"/>
      <c r="G701" s="173"/>
      <c r="H701" s="488"/>
      <c r="I701" s="488"/>
      <c r="J701" s="488"/>
      <c r="K701" s="488"/>
      <c r="L701" s="488"/>
      <c r="M701" s="489"/>
      <c r="N701" s="488"/>
      <c r="O701" s="489"/>
      <c r="P701" s="489"/>
      <c r="Q701" s="489"/>
      <c r="R701" s="489"/>
      <c r="S701" s="28"/>
      <c r="T701" s="490"/>
      <c r="U701" s="489"/>
    </row>
    <row r="702" ht="30.0" customHeight="1">
      <c r="A702" s="488"/>
      <c r="B702" s="489"/>
      <c r="C702" s="489"/>
      <c r="D702" s="488"/>
      <c r="E702" s="489"/>
      <c r="F702" s="489"/>
      <c r="G702" s="173"/>
      <c r="H702" s="488"/>
      <c r="I702" s="488"/>
      <c r="J702" s="488"/>
      <c r="K702" s="488"/>
      <c r="L702" s="488"/>
      <c r="M702" s="489"/>
      <c r="N702" s="488"/>
      <c r="O702" s="489"/>
      <c r="P702" s="489"/>
      <c r="Q702" s="489"/>
      <c r="R702" s="489"/>
      <c r="S702" s="28"/>
      <c r="T702" s="490"/>
      <c r="U702" s="489"/>
    </row>
    <row r="703" ht="30.0" customHeight="1">
      <c r="A703" s="488"/>
      <c r="B703" s="489"/>
      <c r="C703" s="489"/>
      <c r="D703" s="488"/>
      <c r="E703" s="489"/>
      <c r="F703" s="489"/>
      <c r="G703" s="173"/>
      <c r="H703" s="488"/>
      <c r="I703" s="488"/>
      <c r="J703" s="488"/>
      <c r="K703" s="488"/>
      <c r="L703" s="488"/>
      <c r="M703" s="489"/>
      <c r="N703" s="488"/>
      <c r="O703" s="489"/>
      <c r="P703" s="489"/>
      <c r="Q703" s="489"/>
      <c r="R703" s="489"/>
      <c r="S703" s="28"/>
      <c r="T703" s="490"/>
      <c r="U703" s="489"/>
    </row>
    <row r="704" ht="30.0" customHeight="1">
      <c r="A704" s="488"/>
      <c r="B704" s="489"/>
      <c r="C704" s="489"/>
      <c r="D704" s="488"/>
      <c r="E704" s="489"/>
      <c r="F704" s="489"/>
      <c r="G704" s="173"/>
      <c r="H704" s="488"/>
      <c r="I704" s="488"/>
      <c r="J704" s="488"/>
      <c r="K704" s="488"/>
      <c r="L704" s="488"/>
      <c r="M704" s="489"/>
      <c r="N704" s="488"/>
      <c r="O704" s="489"/>
      <c r="P704" s="489"/>
      <c r="Q704" s="489"/>
      <c r="R704" s="489"/>
      <c r="S704" s="28"/>
      <c r="T704" s="490"/>
      <c r="U704" s="489"/>
    </row>
    <row r="705" ht="30.0" customHeight="1">
      <c r="A705" s="488"/>
      <c r="B705" s="489"/>
      <c r="C705" s="489"/>
      <c r="D705" s="488"/>
      <c r="E705" s="489"/>
      <c r="F705" s="489"/>
      <c r="G705" s="173"/>
      <c r="H705" s="488"/>
      <c r="I705" s="488"/>
      <c r="J705" s="488"/>
      <c r="K705" s="488"/>
      <c r="L705" s="488"/>
      <c r="M705" s="489"/>
      <c r="N705" s="488"/>
      <c r="O705" s="489"/>
      <c r="P705" s="489"/>
      <c r="Q705" s="489"/>
      <c r="R705" s="489"/>
      <c r="S705" s="28"/>
      <c r="T705" s="490"/>
      <c r="U705" s="489"/>
    </row>
    <row r="706" ht="30.0" customHeight="1">
      <c r="A706" s="488"/>
      <c r="B706" s="489"/>
      <c r="C706" s="489"/>
      <c r="D706" s="488"/>
      <c r="E706" s="489"/>
      <c r="F706" s="489"/>
      <c r="G706" s="173"/>
      <c r="H706" s="488"/>
      <c r="I706" s="488"/>
      <c r="J706" s="488"/>
      <c r="K706" s="488"/>
      <c r="L706" s="488"/>
      <c r="M706" s="489"/>
      <c r="N706" s="488"/>
      <c r="O706" s="489"/>
      <c r="P706" s="489"/>
      <c r="Q706" s="489"/>
      <c r="R706" s="489"/>
      <c r="S706" s="28"/>
      <c r="T706" s="490"/>
      <c r="U706" s="489"/>
    </row>
    <row r="707" ht="30.0" customHeight="1">
      <c r="A707" s="488"/>
      <c r="B707" s="489"/>
      <c r="C707" s="489"/>
      <c r="D707" s="488"/>
      <c r="E707" s="489"/>
      <c r="F707" s="489"/>
      <c r="G707" s="173"/>
      <c r="H707" s="488"/>
      <c r="I707" s="488"/>
      <c r="J707" s="488"/>
      <c r="K707" s="488"/>
      <c r="L707" s="488"/>
      <c r="M707" s="489"/>
      <c r="N707" s="488"/>
      <c r="O707" s="489"/>
      <c r="P707" s="489"/>
      <c r="Q707" s="489"/>
      <c r="R707" s="489"/>
      <c r="S707" s="28"/>
      <c r="T707" s="490"/>
      <c r="U707" s="489"/>
    </row>
    <row r="708" ht="30.0" customHeight="1">
      <c r="A708" s="488"/>
      <c r="B708" s="489"/>
      <c r="C708" s="489"/>
      <c r="D708" s="488"/>
      <c r="E708" s="489"/>
      <c r="F708" s="489"/>
      <c r="G708" s="173"/>
      <c r="H708" s="488"/>
      <c r="I708" s="488"/>
      <c r="J708" s="488"/>
      <c r="K708" s="488"/>
      <c r="L708" s="488"/>
      <c r="M708" s="489"/>
      <c r="N708" s="488"/>
      <c r="O708" s="489"/>
      <c r="P708" s="489"/>
      <c r="Q708" s="489"/>
      <c r="R708" s="489"/>
      <c r="S708" s="28"/>
      <c r="T708" s="490"/>
      <c r="U708" s="489"/>
    </row>
    <row r="709" ht="30.0" customHeight="1">
      <c r="A709" s="488"/>
      <c r="B709" s="489"/>
      <c r="C709" s="489"/>
      <c r="D709" s="488"/>
      <c r="E709" s="489"/>
      <c r="F709" s="489"/>
      <c r="G709" s="173"/>
      <c r="H709" s="488"/>
      <c r="I709" s="488"/>
      <c r="J709" s="488"/>
      <c r="K709" s="488"/>
      <c r="L709" s="488"/>
      <c r="M709" s="489"/>
      <c r="N709" s="488"/>
      <c r="O709" s="489"/>
      <c r="P709" s="489"/>
      <c r="Q709" s="489"/>
      <c r="R709" s="489"/>
      <c r="S709" s="28"/>
      <c r="T709" s="490"/>
      <c r="U709" s="489"/>
    </row>
    <row r="710" ht="30.0" customHeight="1">
      <c r="A710" s="488"/>
      <c r="B710" s="489"/>
      <c r="C710" s="489"/>
      <c r="D710" s="488"/>
      <c r="E710" s="489"/>
      <c r="F710" s="489"/>
      <c r="G710" s="173"/>
      <c r="H710" s="488"/>
      <c r="I710" s="488"/>
      <c r="J710" s="488"/>
      <c r="K710" s="488"/>
      <c r="L710" s="488"/>
      <c r="M710" s="489"/>
      <c r="N710" s="488"/>
      <c r="O710" s="489"/>
      <c r="P710" s="489"/>
      <c r="Q710" s="489"/>
      <c r="R710" s="489"/>
      <c r="S710" s="28"/>
      <c r="T710" s="490"/>
      <c r="U710" s="489"/>
    </row>
    <row r="711" ht="30.0" customHeight="1">
      <c r="A711" s="488"/>
      <c r="B711" s="489"/>
      <c r="C711" s="489"/>
      <c r="D711" s="488"/>
      <c r="E711" s="489"/>
      <c r="F711" s="489"/>
      <c r="G711" s="173"/>
      <c r="H711" s="488"/>
      <c r="I711" s="488"/>
      <c r="J711" s="488"/>
      <c r="K711" s="488"/>
      <c r="L711" s="488"/>
      <c r="M711" s="489"/>
      <c r="N711" s="488"/>
      <c r="O711" s="489"/>
      <c r="P711" s="489"/>
      <c r="Q711" s="489"/>
      <c r="R711" s="489"/>
      <c r="S711" s="28"/>
      <c r="T711" s="490"/>
      <c r="U711" s="489"/>
    </row>
    <row r="712" ht="30.0" customHeight="1">
      <c r="A712" s="488"/>
      <c r="B712" s="489"/>
      <c r="C712" s="489"/>
      <c r="D712" s="488"/>
      <c r="E712" s="489"/>
      <c r="F712" s="489"/>
      <c r="G712" s="173"/>
      <c r="H712" s="488"/>
      <c r="I712" s="488"/>
      <c r="J712" s="488"/>
      <c r="K712" s="488"/>
      <c r="L712" s="488"/>
      <c r="M712" s="489"/>
      <c r="N712" s="488"/>
      <c r="O712" s="489"/>
      <c r="P712" s="489"/>
      <c r="Q712" s="489"/>
      <c r="R712" s="489"/>
      <c r="S712" s="28"/>
      <c r="T712" s="490"/>
      <c r="U712" s="489"/>
    </row>
    <row r="713" ht="30.0" customHeight="1">
      <c r="A713" s="488"/>
      <c r="B713" s="489"/>
      <c r="C713" s="489"/>
      <c r="D713" s="488"/>
      <c r="E713" s="489"/>
      <c r="F713" s="489"/>
      <c r="G713" s="173"/>
      <c r="H713" s="488"/>
      <c r="I713" s="488"/>
      <c r="J713" s="488"/>
      <c r="K713" s="488"/>
      <c r="L713" s="488"/>
      <c r="M713" s="489"/>
      <c r="N713" s="488"/>
      <c r="O713" s="489"/>
      <c r="P713" s="489"/>
      <c r="Q713" s="489"/>
      <c r="R713" s="489"/>
      <c r="S713" s="28"/>
      <c r="T713" s="490"/>
      <c r="U713" s="489"/>
    </row>
    <row r="714" ht="30.0" customHeight="1">
      <c r="A714" s="488"/>
      <c r="B714" s="489"/>
      <c r="C714" s="489"/>
      <c r="D714" s="488"/>
      <c r="E714" s="489"/>
      <c r="F714" s="489"/>
      <c r="G714" s="173"/>
      <c r="H714" s="488"/>
      <c r="I714" s="488"/>
      <c r="J714" s="488"/>
      <c r="K714" s="488"/>
      <c r="L714" s="488"/>
      <c r="M714" s="489"/>
      <c r="N714" s="488"/>
      <c r="O714" s="489"/>
      <c r="P714" s="489"/>
      <c r="Q714" s="489"/>
      <c r="R714" s="489"/>
      <c r="S714" s="28"/>
      <c r="T714" s="490"/>
      <c r="U714" s="489"/>
    </row>
    <row r="715" ht="30.0" customHeight="1">
      <c r="A715" s="488"/>
      <c r="B715" s="489"/>
      <c r="C715" s="489"/>
      <c r="D715" s="488"/>
      <c r="E715" s="489"/>
      <c r="F715" s="489"/>
      <c r="G715" s="173"/>
      <c r="H715" s="488"/>
      <c r="I715" s="488"/>
      <c r="J715" s="488"/>
      <c r="K715" s="488"/>
      <c r="L715" s="488"/>
      <c r="M715" s="489"/>
      <c r="N715" s="488"/>
      <c r="O715" s="489"/>
      <c r="P715" s="489"/>
      <c r="Q715" s="489"/>
      <c r="R715" s="489"/>
      <c r="S715" s="28"/>
      <c r="T715" s="490"/>
      <c r="U715" s="489"/>
    </row>
    <row r="716" ht="30.0" customHeight="1">
      <c r="A716" s="488"/>
      <c r="B716" s="489"/>
      <c r="C716" s="489"/>
      <c r="D716" s="488"/>
      <c r="E716" s="489"/>
      <c r="F716" s="489"/>
      <c r="G716" s="173"/>
      <c r="H716" s="488"/>
      <c r="I716" s="488"/>
      <c r="J716" s="488"/>
      <c r="K716" s="488"/>
      <c r="L716" s="488"/>
      <c r="M716" s="489"/>
      <c r="N716" s="488"/>
      <c r="O716" s="489"/>
      <c r="P716" s="489"/>
      <c r="Q716" s="489"/>
      <c r="R716" s="489"/>
      <c r="S716" s="28"/>
      <c r="T716" s="490"/>
      <c r="U716" s="489"/>
    </row>
    <row r="717" ht="30.0" customHeight="1">
      <c r="A717" s="488"/>
      <c r="B717" s="489"/>
      <c r="C717" s="489"/>
      <c r="D717" s="488"/>
      <c r="E717" s="489"/>
      <c r="F717" s="489"/>
      <c r="G717" s="173"/>
      <c r="H717" s="488"/>
      <c r="I717" s="488"/>
      <c r="J717" s="488"/>
      <c r="K717" s="488"/>
      <c r="L717" s="488"/>
      <c r="M717" s="489"/>
      <c r="N717" s="488"/>
      <c r="O717" s="489"/>
      <c r="P717" s="489"/>
      <c r="Q717" s="489"/>
      <c r="R717" s="489"/>
      <c r="S717" s="28"/>
      <c r="T717" s="490"/>
      <c r="U717" s="489"/>
    </row>
    <row r="718" ht="30.0" customHeight="1">
      <c r="A718" s="488"/>
      <c r="B718" s="489"/>
      <c r="C718" s="489"/>
      <c r="D718" s="488"/>
      <c r="E718" s="489"/>
      <c r="F718" s="489"/>
      <c r="G718" s="173"/>
      <c r="H718" s="488"/>
      <c r="I718" s="488"/>
      <c r="J718" s="488"/>
      <c r="K718" s="488"/>
      <c r="L718" s="488"/>
      <c r="M718" s="489"/>
      <c r="N718" s="488"/>
      <c r="O718" s="489"/>
      <c r="P718" s="489"/>
      <c r="Q718" s="489"/>
      <c r="R718" s="489"/>
      <c r="S718" s="28"/>
      <c r="T718" s="490"/>
      <c r="U718" s="489"/>
    </row>
    <row r="719" ht="30.0" customHeight="1">
      <c r="A719" s="488"/>
      <c r="B719" s="489"/>
      <c r="C719" s="489"/>
      <c r="D719" s="488"/>
      <c r="E719" s="489"/>
      <c r="F719" s="489"/>
      <c r="G719" s="173"/>
      <c r="H719" s="488"/>
      <c r="I719" s="488"/>
      <c r="J719" s="488"/>
      <c r="K719" s="488"/>
      <c r="L719" s="488"/>
      <c r="M719" s="489"/>
      <c r="N719" s="488"/>
      <c r="O719" s="489"/>
      <c r="P719" s="489"/>
      <c r="Q719" s="489"/>
      <c r="R719" s="489"/>
      <c r="S719" s="28"/>
      <c r="T719" s="490"/>
      <c r="U719" s="489"/>
    </row>
    <row r="720" ht="30.0" customHeight="1">
      <c r="A720" s="488"/>
      <c r="B720" s="489"/>
      <c r="C720" s="489"/>
      <c r="D720" s="488"/>
      <c r="E720" s="489"/>
      <c r="F720" s="489"/>
      <c r="G720" s="173"/>
      <c r="H720" s="488"/>
      <c r="I720" s="488"/>
      <c r="J720" s="488"/>
      <c r="K720" s="488"/>
      <c r="L720" s="488"/>
      <c r="M720" s="489"/>
      <c r="N720" s="488"/>
      <c r="O720" s="489"/>
      <c r="P720" s="489"/>
      <c r="Q720" s="489"/>
      <c r="R720" s="489"/>
      <c r="S720" s="28"/>
      <c r="T720" s="490"/>
      <c r="U720" s="489"/>
    </row>
    <row r="721" ht="30.0" customHeight="1">
      <c r="A721" s="488"/>
      <c r="B721" s="489"/>
      <c r="C721" s="489"/>
      <c r="D721" s="488"/>
      <c r="E721" s="489"/>
      <c r="F721" s="489"/>
      <c r="G721" s="173"/>
      <c r="H721" s="488"/>
      <c r="I721" s="488"/>
      <c r="J721" s="488"/>
      <c r="K721" s="488"/>
      <c r="L721" s="488"/>
      <c r="M721" s="489"/>
      <c r="N721" s="488"/>
      <c r="O721" s="489"/>
      <c r="P721" s="489"/>
      <c r="Q721" s="489"/>
      <c r="R721" s="489"/>
      <c r="S721" s="28"/>
      <c r="T721" s="490"/>
      <c r="U721" s="489"/>
    </row>
    <row r="722" ht="30.0" customHeight="1">
      <c r="A722" s="488"/>
      <c r="B722" s="489"/>
      <c r="C722" s="489"/>
      <c r="D722" s="488"/>
      <c r="E722" s="489"/>
      <c r="F722" s="489"/>
      <c r="G722" s="173"/>
      <c r="H722" s="488"/>
      <c r="I722" s="488"/>
      <c r="J722" s="488"/>
      <c r="K722" s="488"/>
      <c r="L722" s="488"/>
      <c r="M722" s="489"/>
      <c r="N722" s="488"/>
      <c r="O722" s="489"/>
      <c r="P722" s="489"/>
      <c r="Q722" s="489"/>
      <c r="R722" s="489"/>
      <c r="S722" s="28"/>
      <c r="T722" s="490"/>
      <c r="U722" s="489"/>
    </row>
    <row r="723" ht="30.0" customHeight="1">
      <c r="A723" s="488"/>
      <c r="B723" s="489"/>
      <c r="C723" s="489"/>
      <c r="D723" s="488"/>
      <c r="E723" s="489"/>
      <c r="F723" s="489"/>
      <c r="G723" s="173"/>
      <c r="H723" s="488"/>
      <c r="I723" s="488"/>
      <c r="J723" s="488"/>
      <c r="K723" s="488"/>
      <c r="L723" s="488"/>
      <c r="M723" s="489"/>
      <c r="N723" s="488"/>
      <c r="O723" s="489"/>
      <c r="P723" s="489"/>
      <c r="Q723" s="489"/>
      <c r="R723" s="489"/>
      <c r="S723" s="28"/>
      <c r="T723" s="490"/>
      <c r="U723" s="489"/>
    </row>
    <row r="724" ht="30.0" customHeight="1">
      <c r="A724" s="488"/>
      <c r="B724" s="489"/>
      <c r="C724" s="489"/>
      <c r="D724" s="488"/>
      <c r="E724" s="489"/>
      <c r="F724" s="489"/>
      <c r="G724" s="173"/>
      <c r="H724" s="488"/>
      <c r="I724" s="488"/>
      <c r="J724" s="488"/>
      <c r="K724" s="488"/>
      <c r="L724" s="488"/>
      <c r="M724" s="489"/>
      <c r="N724" s="488"/>
      <c r="O724" s="489"/>
      <c r="P724" s="489"/>
      <c r="Q724" s="489"/>
      <c r="R724" s="489"/>
      <c r="S724" s="28"/>
      <c r="T724" s="490"/>
      <c r="U724" s="489"/>
    </row>
    <row r="725" ht="30.0" customHeight="1">
      <c r="A725" s="488"/>
      <c r="B725" s="489"/>
      <c r="C725" s="489"/>
      <c r="D725" s="488"/>
      <c r="E725" s="489"/>
      <c r="F725" s="489"/>
      <c r="G725" s="173"/>
      <c r="H725" s="488"/>
      <c r="I725" s="488"/>
      <c r="J725" s="488"/>
      <c r="K725" s="488"/>
      <c r="L725" s="488"/>
      <c r="M725" s="489"/>
      <c r="N725" s="488"/>
      <c r="O725" s="489"/>
      <c r="P725" s="489"/>
      <c r="Q725" s="489"/>
      <c r="R725" s="489"/>
      <c r="S725" s="28"/>
      <c r="T725" s="490"/>
      <c r="U725" s="489"/>
    </row>
    <row r="726" ht="30.0" customHeight="1">
      <c r="A726" s="488"/>
      <c r="B726" s="489"/>
      <c r="C726" s="489"/>
      <c r="D726" s="488"/>
      <c r="E726" s="489"/>
      <c r="F726" s="489"/>
      <c r="G726" s="173"/>
      <c r="H726" s="488"/>
      <c r="I726" s="488"/>
      <c r="J726" s="488"/>
      <c r="K726" s="488"/>
      <c r="L726" s="488"/>
      <c r="M726" s="489"/>
      <c r="N726" s="488"/>
      <c r="O726" s="489"/>
      <c r="P726" s="489"/>
      <c r="Q726" s="489"/>
      <c r="R726" s="489"/>
      <c r="S726" s="28"/>
      <c r="T726" s="490"/>
      <c r="U726" s="489"/>
    </row>
    <row r="727" ht="30.0" customHeight="1">
      <c r="A727" s="488"/>
      <c r="B727" s="489"/>
      <c r="C727" s="489"/>
      <c r="D727" s="488"/>
      <c r="E727" s="489"/>
      <c r="F727" s="489"/>
      <c r="G727" s="173"/>
      <c r="H727" s="488"/>
      <c r="I727" s="488"/>
      <c r="J727" s="488"/>
      <c r="K727" s="488"/>
      <c r="L727" s="488"/>
      <c r="M727" s="489"/>
      <c r="N727" s="488"/>
      <c r="O727" s="489"/>
      <c r="P727" s="489"/>
      <c r="Q727" s="489"/>
      <c r="R727" s="489"/>
      <c r="S727" s="28"/>
      <c r="T727" s="490"/>
      <c r="U727" s="489"/>
    </row>
    <row r="728" ht="30.0" customHeight="1">
      <c r="A728" s="488"/>
      <c r="B728" s="489"/>
      <c r="C728" s="489"/>
      <c r="D728" s="488"/>
      <c r="E728" s="489"/>
      <c r="F728" s="489"/>
      <c r="G728" s="173"/>
      <c r="H728" s="488"/>
      <c r="I728" s="488"/>
      <c r="J728" s="488"/>
      <c r="K728" s="488"/>
      <c r="L728" s="488"/>
      <c r="M728" s="489"/>
      <c r="N728" s="488"/>
      <c r="O728" s="489"/>
      <c r="P728" s="489"/>
      <c r="Q728" s="489"/>
      <c r="R728" s="489"/>
      <c r="S728" s="28"/>
      <c r="T728" s="490"/>
      <c r="U728" s="489"/>
    </row>
    <row r="729" ht="30.0" customHeight="1">
      <c r="A729" s="488"/>
      <c r="B729" s="489"/>
      <c r="C729" s="489"/>
      <c r="D729" s="488"/>
      <c r="E729" s="489"/>
      <c r="F729" s="489"/>
      <c r="G729" s="173"/>
      <c r="H729" s="488"/>
      <c r="I729" s="488"/>
      <c r="J729" s="488"/>
      <c r="K729" s="488"/>
      <c r="L729" s="488"/>
      <c r="M729" s="489"/>
      <c r="N729" s="488"/>
      <c r="O729" s="489"/>
      <c r="P729" s="489"/>
      <c r="Q729" s="489"/>
      <c r="R729" s="489"/>
      <c r="S729" s="28"/>
      <c r="T729" s="490"/>
      <c r="U729" s="489"/>
    </row>
    <row r="730" ht="30.0" customHeight="1">
      <c r="A730" s="488"/>
      <c r="B730" s="489"/>
      <c r="C730" s="489"/>
      <c r="D730" s="488"/>
      <c r="E730" s="489"/>
      <c r="F730" s="489"/>
      <c r="G730" s="173"/>
      <c r="H730" s="488"/>
      <c r="I730" s="488"/>
      <c r="J730" s="488"/>
      <c r="K730" s="488"/>
      <c r="L730" s="488"/>
      <c r="M730" s="489"/>
      <c r="N730" s="488"/>
      <c r="O730" s="489"/>
      <c r="P730" s="489"/>
      <c r="Q730" s="489"/>
      <c r="R730" s="489"/>
      <c r="S730" s="28"/>
      <c r="T730" s="490"/>
      <c r="U730" s="489"/>
    </row>
    <row r="731" ht="30.0" customHeight="1">
      <c r="A731" s="488"/>
      <c r="B731" s="489"/>
      <c r="C731" s="489"/>
      <c r="D731" s="488"/>
      <c r="E731" s="489"/>
      <c r="F731" s="489"/>
      <c r="G731" s="173"/>
      <c r="H731" s="488"/>
      <c r="I731" s="488"/>
      <c r="J731" s="488"/>
      <c r="K731" s="488"/>
      <c r="L731" s="488"/>
      <c r="M731" s="489"/>
      <c r="N731" s="488"/>
      <c r="O731" s="489"/>
      <c r="P731" s="489"/>
      <c r="Q731" s="489"/>
      <c r="R731" s="489"/>
      <c r="S731" s="28"/>
      <c r="T731" s="490"/>
      <c r="U731" s="489"/>
    </row>
    <row r="732" ht="30.0" customHeight="1">
      <c r="A732" s="488"/>
      <c r="B732" s="489"/>
      <c r="C732" s="489"/>
      <c r="D732" s="488"/>
      <c r="E732" s="489"/>
      <c r="F732" s="489"/>
      <c r="G732" s="173"/>
      <c r="H732" s="488"/>
      <c r="I732" s="488"/>
      <c r="J732" s="488"/>
      <c r="K732" s="488"/>
      <c r="L732" s="488"/>
      <c r="M732" s="489"/>
      <c r="N732" s="488"/>
      <c r="O732" s="489"/>
      <c r="P732" s="489"/>
      <c r="Q732" s="489"/>
      <c r="R732" s="489"/>
      <c r="S732" s="28"/>
      <c r="T732" s="490"/>
      <c r="U732" s="489"/>
    </row>
    <row r="733" ht="30.0" customHeight="1">
      <c r="A733" s="488"/>
      <c r="B733" s="489"/>
      <c r="C733" s="489"/>
      <c r="D733" s="488"/>
      <c r="E733" s="489"/>
      <c r="F733" s="489"/>
      <c r="G733" s="173"/>
      <c r="H733" s="488"/>
      <c r="I733" s="488"/>
      <c r="J733" s="488"/>
      <c r="K733" s="488"/>
      <c r="L733" s="488"/>
      <c r="M733" s="489"/>
      <c r="N733" s="488"/>
      <c r="O733" s="489"/>
      <c r="P733" s="489"/>
      <c r="Q733" s="489"/>
      <c r="R733" s="489"/>
      <c r="S733" s="28"/>
      <c r="T733" s="490"/>
      <c r="U733" s="489"/>
    </row>
    <row r="734" ht="30.0" customHeight="1">
      <c r="A734" s="488"/>
      <c r="B734" s="489"/>
      <c r="C734" s="489"/>
      <c r="D734" s="488"/>
      <c r="E734" s="489"/>
      <c r="F734" s="489"/>
      <c r="G734" s="173"/>
      <c r="H734" s="488"/>
      <c r="I734" s="488"/>
      <c r="J734" s="488"/>
      <c r="K734" s="488"/>
      <c r="L734" s="488"/>
      <c r="M734" s="489"/>
      <c r="N734" s="488"/>
      <c r="O734" s="489"/>
      <c r="P734" s="489"/>
      <c r="Q734" s="489"/>
      <c r="R734" s="489"/>
      <c r="S734" s="28"/>
      <c r="T734" s="490"/>
      <c r="U734" s="489"/>
    </row>
    <row r="735" ht="30.0" customHeight="1">
      <c r="A735" s="488"/>
      <c r="B735" s="489"/>
      <c r="C735" s="489"/>
      <c r="D735" s="488"/>
      <c r="E735" s="489"/>
      <c r="F735" s="489"/>
      <c r="G735" s="173"/>
      <c r="H735" s="488"/>
      <c r="I735" s="488"/>
      <c r="J735" s="488"/>
      <c r="K735" s="488"/>
      <c r="L735" s="488"/>
      <c r="M735" s="489"/>
      <c r="N735" s="488"/>
      <c r="O735" s="489"/>
      <c r="P735" s="489"/>
      <c r="Q735" s="489"/>
      <c r="R735" s="489"/>
      <c r="S735" s="28"/>
      <c r="T735" s="490"/>
      <c r="U735" s="489"/>
    </row>
    <row r="736" ht="30.0" customHeight="1">
      <c r="A736" s="488"/>
      <c r="B736" s="489"/>
      <c r="C736" s="489"/>
      <c r="D736" s="488"/>
      <c r="E736" s="489"/>
      <c r="F736" s="489"/>
      <c r="G736" s="173"/>
      <c r="H736" s="488"/>
      <c r="I736" s="488"/>
      <c r="J736" s="488"/>
      <c r="K736" s="488"/>
      <c r="L736" s="488"/>
      <c r="M736" s="489"/>
      <c r="N736" s="488"/>
      <c r="O736" s="489"/>
      <c r="P736" s="489"/>
      <c r="Q736" s="489"/>
      <c r="R736" s="489"/>
      <c r="S736" s="28"/>
      <c r="T736" s="490"/>
      <c r="U736" s="489"/>
    </row>
    <row r="737" ht="30.0" customHeight="1">
      <c r="A737" s="488"/>
      <c r="B737" s="489"/>
      <c r="C737" s="489"/>
      <c r="D737" s="488"/>
      <c r="E737" s="489"/>
      <c r="F737" s="489"/>
      <c r="G737" s="173"/>
      <c r="H737" s="488"/>
      <c r="I737" s="488"/>
      <c r="J737" s="488"/>
      <c r="K737" s="488"/>
      <c r="L737" s="488"/>
      <c r="M737" s="489"/>
      <c r="N737" s="488"/>
      <c r="O737" s="489"/>
      <c r="P737" s="489"/>
      <c r="Q737" s="489"/>
      <c r="R737" s="489"/>
      <c r="S737" s="28"/>
      <c r="T737" s="490"/>
      <c r="U737" s="489"/>
    </row>
    <row r="738" ht="30.0" customHeight="1">
      <c r="A738" s="488"/>
      <c r="B738" s="489"/>
      <c r="C738" s="489"/>
      <c r="D738" s="488"/>
      <c r="E738" s="489"/>
      <c r="F738" s="489"/>
      <c r="G738" s="173"/>
      <c r="H738" s="488"/>
      <c r="I738" s="488"/>
      <c r="J738" s="488"/>
      <c r="K738" s="488"/>
      <c r="L738" s="488"/>
      <c r="M738" s="489"/>
      <c r="N738" s="488"/>
      <c r="O738" s="489"/>
      <c r="P738" s="489"/>
      <c r="Q738" s="489"/>
      <c r="R738" s="489"/>
      <c r="S738" s="28"/>
      <c r="T738" s="490"/>
      <c r="U738" s="489"/>
    </row>
    <row r="739" ht="30.0" customHeight="1">
      <c r="A739" s="488"/>
      <c r="B739" s="489"/>
      <c r="C739" s="489"/>
      <c r="D739" s="488"/>
      <c r="E739" s="489"/>
      <c r="F739" s="489"/>
      <c r="G739" s="173"/>
      <c r="H739" s="488"/>
      <c r="I739" s="488"/>
      <c r="J739" s="488"/>
      <c r="K739" s="488"/>
      <c r="L739" s="488"/>
      <c r="M739" s="489"/>
      <c r="N739" s="488"/>
      <c r="O739" s="489"/>
      <c r="P739" s="489"/>
      <c r="Q739" s="489"/>
      <c r="R739" s="489"/>
      <c r="S739" s="28"/>
      <c r="T739" s="490"/>
      <c r="U739" s="489"/>
    </row>
    <row r="740" ht="30.0" customHeight="1">
      <c r="A740" s="488"/>
      <c r="B740" s="489"/>
      <c r="C740" s="489"/>
      <c r="D740" s="488"/>
      <c r="E740" s="489"/>
      <c r="F740" s="489"/>
      <c r="G740" s="173"/>
      <c r="H740" s="488"/>
      <c r="I740" s="488"/>
      <c r="J740" s="488"/>
      <c r="K740" s="488"/>
      <c r="L740" s="488"/>
      <c r="M740" s="489"/>
      <c r="N740" s="488"/>
      <c r="O740" s="489"/>
      <c r="P740" s="489"/>
      <c r="Q740" s="489"/>
      <c r="R740" s="489"/>
      <c r="S740" s="28"/>
      <c r="T740" s="490"/>
      <c r="U740" s="489"/>
    </row>
    <row r="741" ht="30.0" customHeight="1">
      <c r="A741" s="488"/>
      <c r="B741" s="489"/>
      <c r="C741" s="489"/>
      <c r="D741" s="488"/>
      <c r="E741" s="489"/>
      <c r="F741" s="489"/>
      <c r="G741" s="173"/>
      <c r="H741" s="488"/>
      <c r="I741" s="488"/>
      <c r="J741" s="488"/>
      <c r="K741" s="488"/>
      <c r="L741" s="488"/>
      <c r="M741" s="489"/>
      <c r="N741" s="488"/>
      <c r="O741" s="489"/>
      <c r="P741" s="489"/>
      <c r="Q741" s="489"/>
      <c r="R741" s="489"/>
      <c r="S741" s="28"/>
      <c r="T741" s="490"/>
      <c r="U741" s="489"/>
    </row>
    <row r="742" ht="30.0" customHeight="1">
      <c r="A742" s="488"/>
      <c r="B742" s="489"/>
      <c r="C742" s="489"/>
      <c r="D742" s="488"/>
      <c r="E742" s="489"/>
      <c r="F742" s="489"/>
      <c r="G742" s="173"/>
      <c r="H742" s="488"/>
      <c r="I742" s="488"/>
      <c r="J742" s="488"/>
      <c r="K742" s="488"/>
      <c r="L742" s="488"/>
      <c r="M742" s="489"/>
      <c r="N742" s="488"/>
      <c r="O742" s="489"/>
      <c r="P742" s="489"/>
      <c r="Q742" s="489"/>
      <c r="R742" s="489"/>
      <c r="S742" s="28"/>
      <c r="T742" s="490"/>
      <c r="U742" s="489"/>
    </row>
    <row r="743" ht="30.0" customHeight="1">
      <c r="A743" s="488"/>
      <c r="B743" s="489"/>
      <c r="C743" s="489"/>
      <c r="D743" s="488"/>
      <c r="E743" s="489"/>
      <c r="F743" s="489"/>
      <c r="G743" s="173"/>
      <c r="H743" s="488"/>
      <c r="I743" s="488"/>
      <c r="J743" s="488"/>
      <c r="K743" s="488"/>
      <c r="L743" s="488"/>
      <c r="M743" s="489"/>
      <c r="N743" s="488"/>
      <c r="O743" s="489"/>
      <c r="P743" s="489"/>
      <c r="Q743" s="489"/>
      <c r="R743" s="489"/>
      <c r="S743" s="28"/>
      <c r="T743" s="490"/>
      <c r="U743" s="489"/>
    </row>
    <row r="744" ht="30.0" customHeight="1">
      <c r="A744" s="488"/>
      <c r="B744" s="489"/>
      <c r="C744" s="489"/>
      <c r="D744" s="488"/>
      <c r="E744" s="489"/>
      <c r="F744" s="489"/>
      <c r="G744" s="173"/>
      <c r="H744" s="488"/>
      <c r="I744" s="488"/>
      <c r="J744" s="488"/>
      <c r="K744" s="488"/>
      <c r="L744" s="488"/>
      <c r="M744" s="489"/>
      <c r="N744" s="488"/>
      <c r="O744" s="489"/>
      <c r="P744" s="489"/>
      <c r="Q744" s="489"/>
      <c r="R744" s="489"/>
      <c r="S744" s="28"/>
      <c r="T744" s="490"/>
      <c r="U744" s="489"/>
    </row>
    <row r="745" ht="30.0" customHeight="1">
      <c r="A745" s="488"/>
      <c r="B745" s="489"/>
      <c r="C745" s="489"/>
      <c r="D745" s="488"/>
      <c r="E745" s="489"/>
      <c r="F745" s="489"/>
      <c r="G745" s="173"/>
      <c r="H745" s="488"/>
      <c r="I745" s="488"/>
      <c r="J745" s="488"/>
      <c r="K745" s="488"/>
      <c r="L745" s="488"/>
      <c r="M745" s="489"/>
      <c r="N745" s="488"/>
      <c r="O745" s="489"/>
      <c r="P745" s="489"/>
      <c r="Q745" s="489"/>
      <c r="R745" s="489"/>
      <c r="S745" s="28"/>
      <c r="T745" s="490"/>
      <c r="U745" s="489"/>
    </row>
    <row r="746" ht="30.0" customHeight="1">
      <c r="A746" s="488"/>
      <c r="B746" s="489"/>
      <c r="C746" s="489"/>
      <c r="D746" s="488"/>
      <c r="E746" s="489"/>
      <c r="F746" s="489"/>
      <c r="G746" s="173"/>
      <c r="H746" s="488"/>
      <c r="I746" s="488"/>
      <c r="J746" s="488"/>
      <c r="K746" s="488"/>
      <c r="L746" s="488"/>
      <c r="M746" s="489"/>
      <c r="N746" s="488"/>
      <c r="O746" s="489"/>
      <c r="P746" s="489"/>
      <c r="Q746" s="489"/>
      <c r="R746" s="489"/>
      <c r="S746" s="28"/>
      <c r="T746" s="490"/>
      <c r="U746" s="489"/>
    </row>
    <row r="747" ht="30.0" customHeight="1">
      <c r="A747" s="488"/>
      <c r="B747" s="489"/>
      <c r="C747" s="489"/>
      <c r="D747" s="488"/>
      <c r="E747" s="489"/>
      <c r="F747" s="489"/>
      <c r="G747" s="173"/>
      <c r="H747" s="488"/>
      <c r="I747" s="488"/>
      <c r="J747" s="488"/>
      <c r="K747" s="488"/>
      <c r="L747" s="488"/>
      <c r="M747" s="489"/>
      <c r="N747" s="488"/>
      <c r="O747" s="489"/>
      <c r="P747" s="489"/>
      <c r="Q747" s="489"/>
      <c r="R747" s="489"/>
      <c r="S747" s="28"/>
      <c r="T747" s="490"/>
      <c r="U747" s="489"/>
    </row>
    <row r="748" ht="30.0" customHeight="1">
      <c r="A748" s="488"/>
      <c r="B748" s="489"/>
      <c r="C748" s="489"/>
      <c r="D748" s="488"/>
      <c r="E748" s="489"/>
      <c r="F748" s="489"/>
      <c r="G748" s="173"/>
      <c r="H748" s="488"/>
      <c r="I748" s="488"/>
      <c r="J748" s="488"/>
      <c r="K748" s="488"/>
      <c r="L748" s="488"/>
      <c r="M748" s="489"/>
      <c r="N748" s="488"/>
      <c r="O748" s="489"/>
      <c r="P748" s="489"/>
      <c r="Q748" s="489"/>
      <c r="R748" s="489"/>
      <c r="S748" s="28"/>
      <c r="T748" s="490"/>
      <c r="U748" s="489"/>
    </row>
    <row r="749" ht="30.0" customHeight="1">
      <c r="A749" s="488"/>
      <c r="B749" s="489"/>
      <c r="C749" s="489"/>
      <c r="D749" s="488"/>
      <c r="E749" s="489"/>
      <c r="F749" s="489"/>
      <c r="G749" s="173"/>
      <c r="H749" s="488"/>
      <c r="I749" s="488"/>
      <c r="J749" s="488"/>
      <c r="K749" s="488"/>
      <c r="L749" s="488"/>
      <c r="M749" s="489"/>
      <c r="N749" s="488"/>
      <c r="O749" s="489"/>
      <c r="P749" s="489"/>
      <c r="Q749" s="489"/>
      <c r="R749" s="489"/>
      <c r="S749" s="28"/>
      <c r="T749" s="490"/>
      <c r="U749" s="489"/>
    </row>
    <row r="750" ht="30.0" customHeight="1">
      <c r="A750" s="488"/>
      <c r="B750" s="489"/>
      <c r="C750" s="489"/>
      <c r="D750" s="488"/>
      <c r="E750" s="489"/>
      <c r="F750" s="489"/>
      <c r="G750" s="173"/>
      <c r="H750" s="488"/>
      <c r="I750" s="488"/>
      <c r="J750" s="488"/>
      <c r="K750" s="488"/>
      <c r="L750" s="488"/>
      <c r="M750" s="489"/>
      <c r="N750" s="488"/>
      <c r="O750" s="489"/>
      <c r="P750" s="489"/>
      <c r="Q750" s="489"/>
      <c r="R750" s="489"/>
      <c r="S750" s="28"/>
      <c r="T750" s="490"/>
      <c r="U750" s="489"/>
    </row>
    <row r="751" ht="30.0" customHeight="1">
      <c r="A751" s="488"/>
      <c r="B751" s="489"/>
      <c r="C751" s="489"/>
      <c r="D751" s="488"/>
      <c r="E751" s="489"/>
      <c r="F751" s="489"/>
      <c r="G751" s="173"/>
      <c r="H751" s="488"/>
      <c r="I751" s="488"/>
      <c r="J751" s="488"/>
      <c r="K751" s="488"/>
      <c r="L751" s="488"/>
      <c r="M751" s="489"/>
      <c r="N751" s="488"/>
      <c r="O751" s="489"/>
      <c r="P751" s="489"/>
      <c r="Q751" s="489"/>
      <c r="R751" s="489"/>
      <c r="S751" s="28"/>
      <c r="T751" s="490"/>
      <c r="U751" s="489"/>
    </row>
    <row r="752" ht="30.0" customHeight="1">
      <c r="A752" s="488"/>
      <c r="B752" s="489"/>
      <c r="C752" s="489"/>
      <c r="D752" s="488"/>
      <c r="E752" s="489"/>
      <c r="F752" s="489"/>
      <c r="G752" s="173"/>
      <c r="H752" s="488"/>
      <c r="I752" s="488"/>
      <c r="J752" s="488"/>
      <c r="K752" s="488"/>
      <c r="L752" s="488"/>
      <c r="M752" s="489"/>
      <c r="N752" s="488"/>
      <c r="O752" s="489"/>
      <c r="P752" s="489"/>
      <c r="Q752" s="489"/>
      <c r="R752" s="489"/>
      <c r="S752" s="28"/>
      <c r="T752" s="490"/>
      <c r="U752" s="489"/>
    </row>
    <row r="753" ht="30.0" customHeight="1">
      <c r="A753" s="488"/>
      <c r="B753" s="489"/>
      <c r="C753" s="489"/>
      <c r="D753" s="488"/>
      <c r="E753" s="489"/>
      <c r="F753" s="489"/>
      <c r="G753" s="173"/>
      <c r="H753" s="488"/>
      <c r="I753" s="488"/>
      <c r="J753" s="488"/>
      <c r="K753" s="488"/>
      <c r="L753" s="488"/>
      <c r="M753" s="489"/>
      <c r="N753" s="488"/>
      <c r="O753" s="489"/>
      <c r="P753" s="489"/>
      <c r="Q753" s="489"/>
      <c r="R753" s="489"/>
      <c r="S753" s="28"/>
      <c r="T753" s="490"/>
      <c r="U753" s="489"/>
    </row>
    <row r="754" ht="30.0" customHeight="1">
      <c r="A754" s="488"/>
      <c r="B754" s="489"/>
      <c r="C754" s="489"/>
      <c r="D754" s="488"/>
      <c r="E754" s="489"/>
      <c r="F754" s="489"/>
      <c r="G754" s="173"/>
      <c r="H754" s="488"/>
      <c r="I754" s="488"/>
      <c r="J754" s="488"/>
      <c r="K754" s="488"/>
      <c r="L754" s="488"/>
      <c r="M754" s="489"/>
      <c r="N754" s="488"/>
      <c r="O754" s="489"/>
      <c r="P754" s="489"/>
      <c r="Q754" s="489"/>
      <c r="R754" s="489"/>
      <c r="S754" s="28"/>
      <c r="T754" s="490"/>
      <c r="U754" s="489"/>
    </row>
    <row r="755" ht="30.0" customHeight="1">
      <c r="A755" s="488"/>
      <c r="B755" s="489"/>
      <c r="C755" s="489"/>
      <c r="D755" s="488"/>
      <c r="E755" s="489"/>
      <c r="F755" s="489"/>
      <c r="G755" s="173"/>
      <c r="H755" s="488"/>
      <c r="I755" s="488"/>
      <c r="J755" s="488"/>
      <c r="K755" s="488"/>
      <c r="L755" s="488"/>
      <c r="M755" s="489"/>
      <c r="N755" s="488"/>
      <c r="O755" s="489"/>
      <c r="P755" s="489"/>
      <c r="Q755" s="489"/>
      <c r="R755" s="489"/>
      <c r="S755" s="28"/>
      <c r="T755" s="490"/>
      <c r="U755" s="489"/>
    </row>
    <row r="756" ht="30.0" customHeight="1">
      <c r="A756" s="488"/>
      <c r="B756" s="489"/>
      <c r="C756" s="489"/>
      <c r="D756" s="488"/>
      <c r="E756" s="489"/>
      <c r="F756" s="489"/>
      <c r="G756" s="173"/>
      <c r="H756" s="488"/>
      <c r="I756" s="488"/>
      <c r="J756" s="488"/>
      <c r="K756" s="488"/>
      <c r="L756" s="488"/>
      <c r="M756" s="489"/>
      <c r="N756" s="488"/>
      <c r="O756" s="489"/>
      <c r="P756" s="489"/>
      <c r="Q756" s="489"/>
      <c r="R756" s="489"/>
      <c r="S756" s="28"/>
      <c r="T756" s="490"/>
      <c r="U756" s="489"/>
    </row>
    <row r="757" ht="30.0" customHeight="1">
      <c r="A757" s="488"/>
      <c r="B757" s="489"/>
      <c r="C757" s="489"/>
      <c r="D757" s="488"/>
      <c r="E757" s="489"/>
      <c r="F757" s="489"/>
      <c r="G757" s="173"/>
      <c r="H757" s="488"/>
      <c r="I757" s="488"/>
      <c r="J757" s="488"/>
      <c r="K757" s="488"/>
      <c r="L757" s="488"/>
      <c r="M757" s="489"/>
      <c r="N757" s="488"/>
      <c r="O757" s="489"/>
      <c r="P757" s="489"/>
      <c r="Q757" s="489"/>
      <c r="R757" s="489"/>
      <c r="S757" s="28"/>
      <c r="T757" s="490"/>
      <c r="U757" s="489"/>
    </row>
    <row r="758" ht="30.0" customHeight="1">
      <c r="A758" s="488"/>
      <c r="B758" s="489"/>
      <c r="C758" s="489"/>
      <c r="D758" s="488"/>
      <c r="E758" s="489"/>
      <c r="F758" s="489"/>
      <c r="G758" s="173"/>
      <c r="H758" s="488"/>
      <c r="I758" s="488"/>
      <c r="J758" s="488"/>
      <c r="K758" s="488"/>
      <c r="L758" s="488"/>
      <c r="M758" s="489"/>
      <c r="N758" s="488"/>
      <c r="O758" s="489"/>
      <c r="P758" s="489"/>
      <c r="Q758" s="489"/>
      <c r="R758" s="489"/>
      <c r="S758" s="28"/>
      <c r="T758" s="490"/>
      <c r="U758" s="489"/>
    </row>
    <row r="759" ht="30.0" customHeight="1">
      <c r="A759" s="488"/>
      <c r="B759" s="489"/>
      <c r="C759" s="489"/>
      <c r="D759" s="488"/>
      <c r="E759" s="489"/>
      <c r="F759" s="489"/>
      <c r="G759" s="173"/>
      <c r="H759" s="488"/>
      <c r="I759" s="488"/>
      <c r="J759" s="488"/>
      <c r="K759" s="488"/>
      <c r="L759" s="488"/>
      <c r="M759" s="489"/>
      <c r="N759" s="488"/>
      <c r="O759" s="489"/>
      <c r="P759" s="489"/>
      <c r="Q759" s="489"/>
      <c r="R759" s="489"/>
      <c r="S759" s="28"/>
      <c r="T759" s="490"/>
      <c r="U759" s="489"/>
    </row>
    <row r="760" ht="30.0" customHeight="1">
      <c r="A760" s="488"/>
      <c r="B760" s="489"/>
      <c r="C760" s="489"/>
      <c r="D760" s="488"/>
      <c r="E760" s="489"/>
      <c r="F760" s="489"/>
      <c r="G760" s="173"/>
      <c r="H760" s="488"/>
      <c r="I760" s="488"/>
      <c r="J760" s="488"/>
      <c r="K760" s="488"/>
      <c r="L760" s="488"/>
      <c r="M760" s="489"/>
      <c r="N760" s="488"/>
      <c r="O760" s="489"/>
      <c r="P760" s="489"/>
      <c r="Q760" s="489"/>
      <c r="R760" s="489"/>
      <c r="S760" s="28"/>
      <c r="T760" s="490"/>
      <c r="U760" s="489"/>
    </row>
    <row r="761" ht="30.0" customHeight="1">
      <c r="A761" s="488"/>
      <c r="B761" s="489"/>
      <c r="C761" s="489"/>
      <c r="D761" s="488"/>
      <c r="E761" s="489"/>
      <c r="F761" s="489"/>
      <c r="G761" s="173"/>
      <c r="H761" s="488"/>
      <c r="I761" s="488"/>
      <c r="J761" s="488"/>
      <c r="K761" s="488"/>
      <c r="L761" s="488"/>
      <c r="M761" s="489"/>
      <c r="N761" s="488"/>
      <c r="O761" s="489"/>
      <c r="P761" s="489"/>
      <c r="Q761" s="489"/>
      <c r="R761" s="489"/>
      <c r="S761" s="28"/>
      <c r="T761" s="490"/>
      <c r="U761" s="489"/>
    </row>
    <row r="762" ht="30.0" customHeight="1">
      <c r="A762" s="488"/>
      <c r="B762" s="489"/>
      <c r="C762" s="489"/>
      <c r="D762" s="488"/>
      <c r="E762" s="489"/>
      <c r="F762" s="489"/>
      <c r="G762" s="173"/>
      <c r="H762" s="488"/>
      <c r="I762" s="488"/>
      <c r="J762" s="488"/>
      <c r="K762" s="488"/>
      <c r="L762" s="488"/>
      <c r="M762" s="489"/>
      <c r="N762" s="488"/>
      <c r="O762" s="489"/>
      <c r="P762" s="489"/>
      <c r="Q762" s="489"/>
      <c r="R762" s="489"/>
      <c r="S762" s="28"/>
      <c r="T762" s="490"/>
      <c r="U762" s="489"/>
    </row>
    <row r="763" ht="30.0" customHeight="1">
      <c r="A763" s="488"/>
      <c r="B763" s="489"/>
      <c r="C763" s="489"/>
      <c r="D763" s="488"/>
      <c r="E763" s="489"/>
      <c r="F763" s="489"/>
      <c r="G763" s="173"/>
      <c r="H763" s="488"/>
      <c r="I763" s="488"/>
      <c r="J763" s="488"/>
      <c r="K763" s="488"/>
      <c r="L763" s="488"/>
      <c r="M763" s="489"/>
      <c r="N763" s="488"/>
      <c r="O763" s="489"/>
      <c r="P763" s="489"/>
      <c r="Q763" s="489"/>
      <c r="R763" s="489"/>
      <c r="S763" s="28"/>
      <c r="T763" s="490"/>
      <c r="U763" s="489"/>
    </row>
    <row r="764" ht="30.0" customHeight="1">
      <c r="A764" s="488"/>
      <c r="B764" s="489"/>
      <c r="C764" s="489"/>
      <c r="D764" s="488"/>
      <c r="E764" s="489"/>
      <c r="F764" s="489"/>
      <c r="G764" s="173"/>
      <c r="H764" s="488"/>
      <c r="I764" s="488"/>
      <c r="J764" s="488"/>
      <c r="K764" s="488"/>
      <c r="L764" s="488"/>
      <c r="M764" s="489"/>
      <c r="N764" s="488"/>
      <c r="O764" s="489"/>
      <c r="P764" s="489"/>
      <c r="Q764" s="489"/>
      <c r="R764" s="489"/>
      <c r="S764" s="28"/>
      <c r="T764" s="490"/>
      <c r="U764" s="489"/>
    </row>
    <row r="765" ht="30.0" customHeight="1">
      <c r="A765" s="488"/>
      <c r="B765" s="489"/>
      <c r="C765" s="489"/>
      <c r="D765" s="488"/>
      <c r="E765" s="489"/>
      <c r="F765" s="489"/>
      <c r="G765" s="173"/>
      <c r="H765" s="488"/>
      <c r="I765" s="488"/>
      <c r="J765" s="488"/>
      <c r="K765" s="488"/>
      <c r="L765" s="488"/>
      <c r="M765" s="489"/>
      <c r="N765" s="488"/>
      <c r="O765" s="489"/>
      <c r="P765" s="489"/>
      <c r="Q765" s="489"/>
      <c r="R765" s="489"/>
      <c r="S765" s="28"/>
      <c r="T765" s="490"/>
      <c r="U765" s="489"/>
    </row>
    <row r="766" ht="30.0" customHeight="1">
      <c r="A766" s="488"/>
      <c r="B766" s="489"/>
      <c r="C766" s="489"/>
      <c r="D766" s="488"/>
      <c r="E766" s="489"/>
      <c r="F766" s="489"/>
      <c r="G766" s="173"/>
      <c r="H766" s="488"/>
      <c r="I766" s="488"/>
      <c r="J766" s="488"/>
      <c r="K766" s="488"/>
      <c r="L766" s="488"/>
      <c r="M766" s="489"/>
      <c r="N766" s="488"/>
      <c r="O766" s="489"/>
      <c r="P766" s="489"/>
      <c r="Q766" s="489"/>
      <c r="R766" s="489"/>
      <c r="S766" s="28"/>
      <c r="T766" s="490"/>
      <c r="U766" s="489"/>
    </row>
    <row r="767" ht="30.0" customHeight="1">
      <c r="A767" s="488"/>
      <c r="B767" s="489"/>
      <c r="C767" s="489"/>
      <c r="D767" s="488"/>
      <c r="E767" s="489"/>
      <c r="F767" s="489"/>
      <c r="G767" s="173"/>
      <c r="H767" s="488"/>
      <c r="I767" s="488"/>
      <c r="J767" s="488"/>
      <c r="K767" s="488"/>
      <c r="L767" s="488"/>
      <c r="M767" s="489"/>
      <c r="N767" s="488"/>
      <c r="O767" s="489"/>
      <c r="P767" s="489"/>
      <c r="Q767" s="489"/>
      <c r="R767" s="489"/>
      <c r="S767" s="28"/>
      <c r="T767" s="490"/>
      <c r="U767" s="489"/>
    </row>
    <row r="768" ht="30.0" customHeight="1">
      <c r="A768" s="488"/>
      <c r="B768" s="489"/>
      <c r="C768" s="489"/>
      <c r="D768" s="488"/>
      <c r="E768" s="489"/>
      <c r="F768" s="489"/>
      <c r="G768" s="173"/>
      <c r="H768" s="488"/>
      <c r="I768" s="488"/>
      <c r="J768" s="488"/>
      <c r="K768" s="488"/>
      <c r="L768" s="488"/>
      <c r="M768" s="489"/>
      <c r="N768" s="488"/>
      <c r="O768" s="489"/>
      <c r="P768" s="489"/>
      <c r="Q768" s="489"/>
      <c r="R768" s="489"/>
      <c r="S768" s="28"/>
      <c r="T768" s="490"/>
      <c r="U768" s="489"/>
    </row>
    <row r="769" ht="30.0" customHeight="1">
      <c r="A769" s="488"/>
      <c r="B769" s="489"/>
      <c r="C769" s="489"/>
      <c r="D769" s="488"/>
      <c r="E769" s="489"/>
      <c r="F769" s="489"/>
      <c r="G769" s="173"/>
      <c r="H769" s="488"/>
      <c r="I769" s="488"/>
      <c r="J769" s="488"/>
      <c r="K769" s="488"/>
      <c r="L769" s="488"/>
      <c r="M769" s="489"/>
      <c r="N769" s="488"/>
      <c r="O769" s="489"/>
      <c r="P769" s="489"/>
      <c r="Q769" s="489"/>
      <c r="R769" s="489"/>
      <c r="S769" s="28"/>
      <c r="T769" s="490"/>
      <c r="U769" s="489"/>
    </row>
    <row r="770" ht="30.0" customHeight="1">
      <c r="A770" s="488"/>
      <c r="B770" s="489"/>
      <c r="C770" s="489"/>
      <c r="D770" s="488"/>
      <c r="E770" s="489"/>
      <c r="F770" s="489"/>
      <c r="G770" s="173"/>
      <c r="H770" s="488"/>
      <c r="I770" s="488"/>
      <c r="J770" s="488"/>
      <c r="K770" s="488"/>
      <c r="L770" s="488"/>
      <c r="M770" s="489"/>
      <c r="N770" s="488"/>
      <c r="O770" s="489"/>
      <c r="P770" s="489"/>
      <c r="Q770" s="489"/>
      <c r="R770" s="489"/>
      <c r="S770" s="28"/>
      <c r="T770" s="490"/>
      <c r="U770" s="489"/>
    </row>
    <row r="771" ht="30.0" customHeight="1">
      <c r="A771" s="488"/>
      <c r="B771" s="489"/>
      <c r="C771" s="489"/>
      <c r="D771" s="488"/>
      <c r="E771" s="489"/>
      <c r="F771" s="489"/>
      <c r="G771" s="173"/>
      <c r="H771" s="488"/>
      <c r="I771" s="488"/>
      <c r="J771" s="488"/>
      <c r="K771" s="488"/>
      <c r="L771" s="488"/>
      <c r="M771" s="489"/>
      <c r="N771" s="488"/>
      <c r="O771" s="489"/>
      <c r="P771" s="489"/>
      <c r="Q771" s="489"/>
      <c r="R771" s="489"/>
      <c r="S771" s="28"/>
      <c r="T771" s="490"/>
      <c r="U771" s="489"/>
    </row>
    <row r="772" ht="30.0" customHeight="1">
      <c r="A772" s="488"/>
      <c r="B772" s="489"/>
      <c r="C772" s="489"/>
      <c r="D772" s="488"/>
      <c r="E772" s="489"/>
      <c r="F772" s="489"/>
      <c r="G772" s="173"/>
      <c r="H772" s="488"/>
      <c r="I772" s="488"/>
      <c r="J772" s="488"/>
      <c r="K772" s="488"/>
      <c r="L772" s="488"/>
      <c r="M772" s="489"/>
      <c r="N772" s="488"/>
      <c r="O772" s="489"/>
      <c r="P772" s="489"/>
      <c r="Q772" s="489"/>
      <c r="R772" s="489"/>
      <c r="S772" s="28"/>
      <c r="T772" s="490"/>
      <c r="U772" s="489"/>
    </row>
    <row r="773" ht="30.0" customHeight="1">
      <c r="A773" s="488"/>
      <c r="B773" s="489"/>
      <c r="C773" s="489"/>
      <c r="D773" s="488"/>
      <c r="E773" s="489"/>
      <c r="F773" s="489"/>
      <c r="G773" s="173"/>
      <c r="H773" s="488"/>
      <c r="I773" s="488"/>
      <c r="J773" s="488"/>
      <c r="K773" s="488"/>
      <c r="L773" s="488"/>
      <c r="M773" s="489"/>
      <c r="N773" s="488"/>
      <c r="O773" s="489"/>
      <c r="P773" s="489"/>
      <c r="Q773" s="489"/>
      <c r="R773" s="489"/>
      <c r="S773" s="28"/>
      <c r="T773" s="490"/>
      <c r="U773" s="489"/>
    </row>
    <row r="774" ht="30.0" customHeight="1">
      <c r="A774" s="488"/>
      <c r="B774" s="489"/>
      <c r="C774" s="489"/>
      <c r="D774" s="488"/>
      <c r="E774" s="489"/>
      <c r="F774" s="489"/>
      <c r="G774" s="173"/>
      <c r="H774" s="488"/>
      <c r="I774" s="488"/>
      <c r="J774" s="488"/>
      <c r="K774" s="488"/>
      <c r="L774" s="488"/>
      <c r="M774" s="489"/>
      <c r="N774" s="488"/>
      <c r="O774" s="489"/>
      <c r="P774" s="489"/>
      <c r="Q774" s="489"/>
      <c r="R774" s="489"/>
      <c r="S774" s="28"/>
      <c r="T774" s="490"/>
      <c r="U774" s="489"/>
    </row>
    <row r="775" ht="30.0" customHeight="1">
      <c r="A775" s="488"/>
      <c r="B775" s="489"/>
      <c r="C775" s="489"/>
      <c r="D775" s="488"/>
      <c r="E775" s="489"/>
      <c r="F775" s="489"/>
      <c r="G775" s="173"/>
      <c r="H775" s="488"/>
      <c r="I775" s="488"/>
      <c r="J775" s="488"/>
      <c r="K775" s="488"/>
      <c r="L775" s="488"/>
      <c r="M775" s="489"/>
      <c r="N775" s="488"/>
      <c r="O775" s="489"/>
      <c r="P775" s="489"/>
      <c r="Q775" s="489"/>
      <c r="R775" s="489"/>
      <c r="S775" s="28"/>
      <c r="T775" s="490"/>
      <c r="U775" s="489"/>
    </row>
    <row r="776" ht="30.0" customHeight="1">
      <c r="A776" s="488"/>
      <c r="B776" s="489"/>
      <c r="C776" s="489"/>
      <c r="D776" s="488"/>
      <c r="E776" s="489"/>
      <c r="F776" s="489"/>
      <c r="G776" s="173"/>
      <c r="H776" s="488"/>
      <c r="I776" s="488"/>
      <c r="J776" s="488"/>
      <c r="K776" s="488"/>
      <c r="L776" s="488"/>
      <c r="M776" s="489"/>
      <c r="N776" s="488"/>
      <c r="O776" s="489"/>
      <c r="P776" s="489"/>
      <c r="Q776" s="489"/>
      <c r="R776" s="489"/>
      <c r="S776" s="28"/>
      <c r="T776" s="490"/>
      <c r="U776" s="489"/>
    </row>
    <row r="777" ht="30.0" customHeight="1">
      <c r="A777" s="488"/>
      <c r="B777" s="489"/>
      <c r="C777" s="489"/>
      <c r="D777" s="488"/>
      <c r="E777" s="489"/>
      <c r="F777" s="489"/>
      <c r="G777" s="173"/>
      <c r="H777" s="488"/>
      <c r="I777" s="488"/>
      <c r="J777" s="488"/>
      <c r="K777" s="488"/>
      <c r="L777" s="488"/>
      <c r="M777" s="489"/>
      <c r="N777" s="488"/>
      <c r="O777" s="489"/>
      <c r="P777" s="489"/>
      <c r="Q777" s="489"/>
      <c r="R777" s="489"/>
      <c r="S777" s="28"/>
      <c r="T777" s="490"/>
      <c r="U777" s="489"/>
    </row>
    <row r="778" ht="30.0" customHeight="1">
      <c r="A778" s="488"/>
      <c r="B778" s="489"/>
      <c r="C778" s="489"/>
      <c r="D778" s="488"/>
      <c r="E778" s="489"/>
      <c r="F778" s="489"/>
      <c r="G778" s="173"/>
      <c r="H778" s="488"/>
      <c r="I778" s="488"/>
      <c r="J778" s="488"/>
      <c r="K778" s="488"/>
      <c r="L778" s="488"/>
      <c r="M778" s="489"/>
      <c r="N778" s="488"/>
      <c r="O778" s="489"/>
      <c r="P778" s="489"/>
      <c r="Q778" s="489"/>
      <c r="R778" s="489"/>
      <c r="S778" s="28"/>
      <c r="T778" s="490"/>
      <c r="U778" s="489"/>
    </row>
    <row r="779" ht="30.0" customHeight="1">
      <c r="A779" s="488"/>
      <c r="B779" s="489"/>
      <c r="C779" s="489"/>
      <c r="D779" s="488"/>
      <c r="E779" s="489"/>
      <c r="F779" s="489"/>
      <c r="G779" s="173"/>
      <c r="H779" s="488"/>
      <c r="I779" s="488"/>
      <c r="J779" s="488"/>
      <c r="K779" s="488"/>
      <c r="L779" s="488"/>
      <c r="M779" s="489"/>
      <c r="N779" s="488"/>
      <c r="O779" s="489"/>
      <c r="P779" s="489"/>
      <c r="Q779" s="489"/>
      <c r="R779" s="489"/>
      <c r="S779" s="28"/>
      <c r="T779" s="490"/>
      <c r="U779" s="489"/>
    </row>
    <row r="780" ht="30.0" customHeight="1">
      <c r="A780" s="488"/>
      <c r="B780" s="489"/>
      <c r="C780" s="489"/>
      <c r="D780" s="488"/>
      <c r="E780" s="489"/>
      <c r="F780" s="489"/>
      <c r="G780" s="173"/>
      <c r="H780" s="488"/>
      <c r="I780" s="488"/>
      <c r="J780" s="488"/>
      <c r="K780" s="488"/>
      <c r="L780" s="488"/>
      <c r="M780" s="489"/>
      <c r="N780" s="488"/>
      <c r="O780" s="489"/>
      <c r="P780" s="489"/>
      <c r="Q780" s="489"/>
      <c r="R780" s="489"/>
      <c r="S780" s="28"/>
      <c r="T780" s="490"/>
      <c r="U780" s="489"/>
    </row>
    <row r="781" ht="30.0" customHeight="1">
      <c r="A781" s="488"/>
      <c r="B781" s="489"/>
      <c r="C781" s="489"/>
      <c r="D781" s="488"/>
      <c r="E781" s="489"/>
      <c r="F781" s="489"/>
      <c r="G781" s="173"/>
      <c r="H781" s="488"/>
      <c r="I781" s="488"/>
      <c r="J781" s="488"/>
      <c r="K781" s="488"/>
      <c r="L781" s="488"/>
      <c r="M781" s="489"/>
      <c r="N781" s="488"/>
      <c r="O781" s="489"/>
      <c r="P781" s="489"/>
      <c r="Q781" s="489"/>
      <c r="R781" s="489"/>
      <c r="S781" s="28"/>
      <c r="T781" s="490"/>
      <c r="U781" s="489"/>
    </row>
    <row r="782" ht="30.0" customHeight="1">
      <c r="A782" s="488"/>
      <c r="B782" s="489"/>
      <c r="C782" s="489"/>
      <c r="D782" s="488"/>
      <c r="E782" s="489"/>
      <c r="F782" s="489"/>
      <c r="G782" s="173"/>
      <c r="H782" s="488"/>
      <c r="I782" s="488"/>
      <c r="J782" s="488"/>
      <c r="K782" s="488"/>
      <c r="L782" s="488"/>
      <c r="M782" s="489"/>
      <c r="N782" s="488"/>
      <c r="O782" s="489"/>
      <c r="P782" s="489"/>
      <c r="Q782" s="489"/>
      <c r="R782" s="489"/>
      <c r="S782" s="28"/>
      <c r="T782" s="490"/>
      <c r="U782" s="489"/>
    </row>
    <row r="783" ht="30.0" customHeight="1">
      <c r="A783" s="488"/>
      <c r="B783" s="489"/>
      <c r="C783" s="489"/>
      <c r="D783" s="488"/>
      <c r="E783" s="489"/>
      <c r="F783" s="489"/>
      <c r="G783" s="173"/>
      <c r="H783" s="488"/>
      <c r="I783" s="488"/>
      <c r="J783" s="488"/>
      <c r="K783" s="488"/>
      <c r="L783" s="488"/>
      <c r="M783" s="489"/>
      <c r="N783" s="488"/>
      <c r="O783" s="489"/>
      <c r="P783" s="489"/>
      <c r="Q783" s="489"/>
      <c r="R783" s="489"/>
      <c r="S783" s="28"/>
      <c r="T783" s="490"/>
      <c r="U783" s="489"/>
    </row>
    <row r="784" ht="30.0" customHeight="1">
      <c r="A784" s="488"/>
      <c r="B784" s="489"/>
      <c r="C784" s="489"/>
      <c r="D784" s="488"/>
      <c r="E784" s="489"/>
      <c r="F784" s="489"/>
      <c r="G784" s="173"/>
      <c r="H784" s="488"/>
      <c r="I784" s="488"/>
      <c r="J784" s="488"/>
      <c r="K784" s="488"/>
      <c r="L784" s="488"/>
      <c r="M784" s="489"/>
      <c r="N784" s="488"/>
      <c r="O784" s="489"/>
      <c r="P784" s="489"/>
      <c r="Q784" s="489"/>
      <c r="R784" s="489"/>
      <c r="S784" s="28"/>
      <c r="T784" s="490"/>
      <c r="U784" s="489"/>
    </row>
    <row r="785" ht="30.0" customHeight="1">
      <c r="A785" s="488"/>
      <c r="B785" s="489"/>
      <c r="C785" s="489"/>
      <c r="D785" s="488"/>
      <c r="E785" s="489"/>
      <c r="F785" s="489"/>
      <c r="G785" s="173"/>
      <c r="H785" s="488"/>
      <c r="I785" s="488"/>
      <c r="J785" s="488"/>
      <c r="K785" s="488"/>
      <c r="L785" s="488"/>
      <c r="M785" s="489"/>
      <c r="N785" s="488"/>
      <c r="O785" s="489"/>
      <c r="P785" s="489"/>
      <c r="Q785" s="489"/>
      <c r="R785" s="489"/>
      <c r="S785" s="28"/>
      <c r="T785" s="490"/>
      <c r="U785" s="489"/>
    </row>
    <row r="786" ht="30.0" customHeight="1">
      <c r="A786" s="488"/>
      <c r="B786" s="489"/>
      <c r="C786" s="489"/>
      <c r="D786" s="488"/>
      <c r="E786" s="489"/>
      <c r="F786" s="489"/>
      <c r="G786" s="173"/>
      <c r="H786" s="488"/>
      <c r="I786" s="488"/>
      <c r="J786" s="488"/>
      <c r="K786" s="488"/>
      <c r="L786" s="488"/>
      <c r="M786" s="489"/>
      <c r="N786" s="488"/>
      <c r="O786" s="489"/>
      <c r="P786" s="489"/>
      <c r="Q786" s="489"/>
      <c r="R786" s="489"/>
      <c r="S786" s="28"/>
      <c r="T786" s="490"/>
      <c r="U786" s="489"/>
    </row>
    <row r="787" ht="30.0" customHeight="1">
      <c r="A787" s="488"/>
      <c r="B787" s="489"/>
      <c r="C787" s="489"/>
      <c r="D787" s="488"/>
      <c r="E787" s="489"/>
      <c r="F787" s="489"/>
      <c r="G787" s="173"/>
      <c r="H787" s="488"/>
      <c r="I787" s="488"/>
      <c r="J787" s="488"/>
      <c r="K787" s="488"/>
      <c r="L787" s="488"/>
      <c r="M787" s="489"/>
      <c r="N787" s="488"/>
      <c r="O787" s="489"/>
      <c r="P787" s="489"/>
      <c r="Q787" s="489"/>
      <c r="R787" s="489"/>
      <c r="S787" s="28"/>
      <c r="T787" s="490"/>
      <c r="U787" s="489"/>
    </row>
    <row r="788" ht="30.0" customHeight="1">
      <c r="A788" s="488"/>
      <c r="B788" s="489"/>
      <c r="C788" s="489"/>
      <c r="D788" s="488"/>
      <c r="E788" s="489"/>
      <c r="F788" s="489"/>
      <c r="G788" s="173"/>
      <c r="H788" s="488"/>
      <c r="I788" s="488"/>
      <c r="J788" s="488"/>
      <c r="K788" s="488"/>
      <c r="L788" s="488"/>
      <c r="M788" s="489"/>
      <c r="N788" s="488"/>
      <c r="O788" s="489"/>
      <c r="P788" s="489"/>
      <c r="Q788" s="489"/>
      <c r="R788" s="489"/>
      <c r="S788" s="28"/>
      <c r="T788" s="490"/>
      <c r="U788" s="489"/>
    </row>
    <row r="789" ht="30.0" customHeight="1">
      <c r="A789" s="488"/>
      <c r="B789" s="489"/>
      <c r="C789" s="489"/>
      <c r="D789" s="488"/>
      <c r="E789" s="489"/>
      <c r="F789" s="489"/>
      <c r="G789" s="173"/>
      <c r="H789" s="488"/>
      <c r="I789" s="488"/>
      <c r="J789" s="488"/>
      <c r="K789" s="488"/>
      <c r="L789" s="488"/>
      <c r="M789" s="489"/>
      <c r="N789" s="488"/>
      <c r="O789" s="489"/>
      <c r="P789" s="489"/>
      <c r="Q789" s="489"/>
      <c r="R789" s="489"/>
      <c r="S789" s="28"/>
      <c r="T789" s="490"/>
      <c r="U789" s="489"/>
    </row>
    <row r="790" ht="30.0" customHeight="1">
      <c r="A790" s="488"/>
      <c r="B790" s="489"/>
      <c r="C790" s="489"/>
      <c r="D790" s="488"/>
      <c r="E790" s="489"/>
      <c r="F790" s="489"/>
      <c r="G790" s="173"/>
      <c r="H790" s="488"/>
      <c r="I790" s="488"/>
      <c r="J790" s="488"/>
      <c r="K790" s="488"/>
      <c r="L790" s="488"/>
      <c r="M790" s="489"/>
      <c r="N790" s="488"/>
      <c r="O790" s="489"/>
      <c r="P790" s="489"/>
      <c r="Q790" s="489"/>
      <c r="R790" s="489"/>
      <c r="S790" s="28"/>
      <c r="T790" s="490"/>
      <c r="U790" s="489"/>
    </row>
    <row r="791" ht="30.0" customHeight="1">
      <c r="A791" s="488"/>
      <c r="B791" s="489"/>
      <c r="C791" s="489"/>
      <c r="D791" s="488"/>
      <c r="E791" s="489"/>
      <c r="F791" s="489"/>
      <c r="G791" s="173"/>
      <c r="H791" s="488"/>
      <c r="I791" s="488"/>
      <c r="J791" s="488"/>
      <c r="K791" s="488"/>
      <c r="L791" s="488"/>
      <c r="M791" s="489"/>
      <c r="N791" s="488"/>
      <c r="O791" s="489"/>
      <c r="P791" s="489"/>
      <c r="Q791" s="489"/>
      <c r="R791" s="489"/>
      <c r="S791" s="28"/>
      <c r="T791" s="490"/>
      <c r="U791" s="489"/>
    </row>
    <row r="792" ht="30.0" customHeight="1">
      <c r="A792" s="488"/>
      <c r="B792" s="489"/>
      <c r="C792" s="489"/>
      <c r="D792" s="488"/>
      <c r="E792" s="489"/>
      <c r="F792" s="489"/>
      <c r="G792" s="173"/>
      <c r="H792" s="488"/>
      <c r="I792" s="488"/>
      <c r="J792" s="488"/>
      <c r="K792" s="488"/>
      <c r="L792" s="488"/>
      <c r="M792" s="489"/>
      <c r="N792" s="488"/>
      <c r="O792" s="489"/>
      <c r="P792" s="489"/>
      <c r="Q792" s="489"/>
      <c r="R792" s="489"/>
      <c r="S792" s="28"/>
      <c r="T792" s="490"/>
      <c r="U792" s="489"/>
    </row>
    <row r="793" ht="30.0" customHeight="1">
      <c r="A793" s="488"/>
      <c r="B793" s="489"/>
      <c r="C793" s="489"/>
      <c r="D793" s="488"/>
      <c r="E793" s="489"/>
      <c r="F793" s="489"/>
      <c r="G793" s="173"/>
      <c r="H793" s="488"/>
      <c r="I793" s="488"/>
      <c r="J793" s="488"/>
      <c r="K793" s="488"/>
      <c r="L793" s="488"/>
      <c r="M793" s="489"/>
      <c r="N793" s="488"/>
      <c r="O793" s="489"/>
      <c r="P793" s="489"/>
      <c r="Q793" s="489"/>
      <c r="R793" s="489"/>
      <c r="S793" s="28"/>
      <c r="T793" s="490"/>
      <c r="U793" s="489"/>
    </row>
    <row r="794" ht="30.0" customHeight="1">
      <c r="A794" s="488"/>
      <c r="B794" s="489"/>
      <c r="C794" s="489"/>
      <c r="D794" s="488"/>
      <c r="E794" s="489"/>
      <c r="F794" s="489"/>
      <c r="G794" s="173"/>
      <c r="H794" s="488"/>
      <c r="I794" s="488"/>
      <c r="J794" s="488"/>
      <c r="K794" s="488"/>
      <c r="L794" s="488"/>
      <c r="M794" s="489"/>
      <c r="N794" s="488"/>
      <c r="O794" s="489"/>
      <c r="P794" s="489"/>
      <c r="Q794" s="489"/>
      <c r="R794" s="489"/>
      <c r="S794" s="28"/>
      <c r="T794" s="490"/>
      <c r="U794" s="489"/>
    </row>
    <row r="795" ht="30.0" customHeight="1">
      <c r="A795" s="488"/>
      <c r="B795" s="489"/>
      <c r="C795" s="489"/>
      <c r="D795" s="488"/>
      <c r="E795" s="489"/>
      <c r="F795" s="489"/>
      <c r="G795" s="173"/>
      <c r="H795" s="488"/>
      <c r="I795" s="488"/>
      <c r="J795" s="488"/>
      <c r="K795" s="488"/>
      <c r="L795" s="488"/>
      <c r="M795" s="489"/>
      <c r="N795" s="488"/>
      <c r="O795" s="489"/>
      <c r="P795" s="489"/>
      <c r="Q795" s="489"/>
      <c r="R795" s="489"/>
      <c r="S795" s="28"/>
      <c r="T795" s="490"/>
      <c r="U795" s="489"/>
    </row>
    <row r="796" ht="30.0" customHeight="1">
      <c r="A796" s="488"/>
      <c r="B796" s="489"/>
      <c r="C796" s="489"/>
      <c r="D796" s="488"/>
      <c r="E796" s="489"/>
      <c r="F796" s="489"/>
      <c r="G796" s="173"/>
      <c r="H796" s="488"/>
      <c r="I796" s="488"/>
      <c r="J796" s="488"/>
      <c r="K796" s="488"/>
      <c r="L796" s="488"/>
      <c r="M796" s="489"/>
      <c r="N796" s="488"/>
      <c r="O796" s="489"/>
      <c r="P796" s="489"/>
      <c r="Q796" s="489"/>
      <c r="R796" s="489"/>
      <c r="S796" s="28"/>
      <c r="T796" s="490"/>
      <c r="U796" s="489"/>
    </row>
    <row r="797" ht="30.0" customHeight="1">
      <c r="A797" s="488"/>
      <c r="B797" s="489"/>
      <c r="C797" s="489"/>
      <c r="D797" s="488"/>
      <c r="E797" s="489"/>
      <c r="F797" s="489"/>
      <c r="G797" s="173"/>
      <c r="H797" s="488"/>
      <c r="I797" s="488"/>
      <c r="J797" s="488"/>
      <c r="K797" s="488"/>
      <c r="L797" s="488"/>
      <c r="M797" s="489"/>
      <c r="N797" s="488"/>
      <c r="O797" s="489"/>
      <c r="P797" s="489"/>
      <c r="Q797" s="489"/>
      <c r="R797" s="489"/>
      <c r="S797" s="28"/>
      <c r="T797" s="490"/>
      <c r="U797" s="489"/>
    </row>
    <row r="798" ht="30.0" customHeight="1">
      <c r="A798" s="488"/>
      <c r="B798" s="489"/>
      <c r="C798" s="489"/>
      <c r="D798" s="488"/>
      <c r="E798" s="489"/>
      <c r="F798" s="489"/>
      <c r="G798" s="173"/>
      <c r="H798" s="488"/>
      <c r="I798" s="488"/>
      <c r="J798" s="488"/>
      <c r="K798" s="488"/>
      <c r="L798" s="488"/>
      <c r="M798" s="489"/>
      <c r="N798" s="488"/>
      <c r="O798" s="489"/>
      <c r="P798" s="489"/>
      <c r="Q798" s="489"/>
      <c r="R798" s="489"/>
      <c r="S798" s="28"/>
      <c r="T798" s="490"/>
      <c r="U798" s="489"/>
    </row>
    <row r="799" ht="30.0" customHeight="1">
      <c r="A799" s="488"/>
      <c r="B799" s="489"/>
      <c r="C799" s="489"/>
      <c r="D799" s="488"/>
      <c r="E799" s="489"/>
      <c r="F799" s="489"/>
      <c r="G799" s="173"/>
      <c r="H799" s="488"/>
      <c r="I799" s="488"/>
      <c r="J799" s="488"/>
      <c r="K799" s="488"/>
      <c r="L799" s="488"/>
      <c r="M799" s="489"/>
      <c r="N799" s="488"/>
      <c r="O799" s="489"/>
      <c r="P799" s="489"/>
      <c r="Q799" s="489"/>
      <c r="R799" s="489"/>
      <c r="S799" s="28"/>
      <c r="T799" s="490"/>
      <c r="U799" s="489"/>
    </row>
    <row r="800" ht="30.0" customHeight="1">
      <c r="A800" s="488"/>
      <c r="B800" s="489"/>
      <c r="C800" s="489"/>
      <c r="D800" s="488"/>
      <c r="E800" s="489"/>
      <c r="F800" s="489"/>
      <c r="G800" s="173"/>
      <c r="H800" s="488"/>
      <c r="I800" s="488"/>
      <c r="J800" s="488"/>
      <c r="K800" s="488"/>
      <c r="L800" s="488"/>
      <c r="M800" s="489"/>
      <c r="N800" s="488"/>
      <c r="O800" s="489"/>
      <c r="P800" s="489"/>
      <c r="Q800" s="489"/>
      <c r="R800" s="489"/>
      <c r="S800" s="28"/>
      <c r="T800" s="490"/>
      <c r="U800" s="489"/>
    </row>
    <row r="801" ht="30.0" customHeight="1">
      <c r="A801" s="488"/>
      <c r="B801" s="489"/>
      <c r="C801" s="489"/>
      <c r="D801" s="488"/>
      <c r="E801" s="489"/>
      <c r="F801" s="489"/>
      <c r="G801" s="173"/>
      <c r="H801" s="488"/>
      <c r="I801" s="488"/>
      <c r="J801" s="488"/>
      <c r="K801" s="488"/>
      <c r="L801" s="488"/>
      <c r="M801" s="489"/>
      <c r="N801" s="488"/>
      <c r="O801" s="489"/>
      <c r="P801" s="489"/>
      <c r="Q801" s="489"/>
      <c r="R801" s="489"/>
      <c r="S801" s="28"/>
      <c r="T801" s="490"/>
      <c r="U801" s="489"/>
    </row>
    <row r="802" ht="30.0" customHeight="1">
      <c r="A802" s="488"/>
      <c r="B802" s="489"/>
      <c r="C802" s="489"/>
      <c r="D802" s="488"/>
      <c r="E802" s="489"/>
      <c r="F802" s="489"/>
      <c r="G802" s="173"/>
      <c r="H802" s="488"/>
      <c r="I802" s="488"/>
      <c r="J802" s="488"/>
      <c r="K802" s="488"/>
      <c r="L802" s="488"/>
      <c r="M802" s="489"/>
      <c r="N802" s="488"/>
      <c r="O802" s="489"/>
      <c r="P802" s="489"/>
      <c r="Q802" s="489"/>
      <c r="R802" s="489"/>
      <c r="S802" s="28"/>
      <c r="T802" s="490"/>
      <c r="U802" s="489"/>
    </row>
    <row r="803" ht="30.0" customHeight="1">
      <c r="A803" s="488"/>
      <c r="B803" s="489"/>
      <c r="C803" s="489"/>
      <c r="D803" s="488"/>
      <c r="E803" s="489"/>
      <c r="F803" s="489"/>
      <c r="G803" s="173"/>
      <c r="H803" s="488"/>
      <c r="I803" s="488"/>
      <c r="J803" s="488"/>
      <c r="K803" s="488"/>
      <c r="L803" s="488"/>
      <c r="M803" s="489"/>
      <c r="N803" s="488"/>
      <c r="O803" s="489"/>
      <c r="P803" s="489"/>
      <c r="Q803" s="489"/>
      <c r="R803" s="489"/>
      <c r="S803" s="28"/>
      <c r="T803" s="490"/>
      <c r="U803" s="489"/>
    </row>
    <row r="804" ht="30.0" customHeight="1">
      <c r="A804" s="488"/>
      <c r="B804" s="489"/>
      <c r="C804" s="489"/>
      <c r="D804" s="488"/>
      <c r="E804" s="489"/>
      <c r="F804" s="489"/>
      <c r="G804" s="173"/>
      <c r="H804" s="488"/>
      <c r="I804" s="488"/>
      <c r="J804" s="488"/>
      <c r="K804" s="488"/>
      <c r="L804" s="488"/>
      <c r="M804" s="489"/>
      <c r="N804" s="488"/>
      <c r="O804" s="489"/>
      <c r="P804" s="489"/>
      <c r="Q804" s="489"/>
      <c r="R804" s="489"/>
      <c r="S804" s="28"/>
      <c r="T804" s="490"/>
      <c r="U804" s="489"/>
    </row>
    <row r="805" ht="30.0" customHeight="1">
      <c r="A805" s="488"/>
      <c r="B805" s="489"/>
      <c r="C805" s="489"/>
      <c r="D805" s="488"/>
      <c r="E805" s="489"/>
      <c r="F805" s="489"/>
      <c r="G805" s="173"/>
      <c r="H805" s="488"/>
      <c r="I805" s="488"/>
      <c r="J805" s="488"/>
      <c r="K805" s="488"/>
      <c r="L805" s="488"/>
      <c r="M805" s="489"/>
      <c r="N805" s="488"/>
      <c r="O805" s="489"/>
      <c r="P805" s="489"/>
      <c r="Q805" s="489"/>
      <c r="R805" s="489"/>
      <c r="S805" s="28"/>
      <c r="T805" s="490"/>
      <c r="U805" s="489"/>
    </row>
    <row r="806" ht="30.0" customHeight="1">
      <c r="A806" s="488"/>
      <c r="B806" s="489"/>
      <c r="C806" s="489"/>
      <c r="D806" s="488"/>
      <c r="E806" s="489"/>
      <c r="F806" s="489"/>
      <c r="G806" s="173"/>
      <c r="H806" s="488"/>
      <c r="I806" s="488"/>
      <c r="J806" s="488"/>
      <c r="K806" s="488"/>
      <c r="L806" s="488"/>
      <c r="M806" s="489"/>
      <c r="N806" s="488"/>
      <c r="O806" s="489"/>
      <c r="P806" s="489"/>
      <c r="Q806" s="489"/>
      <c r="R806" s="489"/>
      <c r="S806" s="28"/>
      <c r="T806" s="490"/>
      <c r="U806" s="489"/>
    </row>
    <row r="807" ht="30.0" customHeight="1">
      <c r="A807" s="488"/>
      <c r="B807" s="489"/>
      <c r="C807" s="489"/>
      <c r="D807" s="488"/>
      <c r="E807" s="489"/>
      <c r="F807" s="489"/>
      <c r="G807" s="173"/>
      <c r="H807" s="488"/>
      <c r="I807" s="488"/>
      <c r="J807" s="488"/>
      <c r="K807" s="488"/>
      <c r="L807" s="488"/>
      <c r="M807" s="489"/>
      <c r="N807" s="488"/>
      <c r="O807" s="489"/>
      <c r="P807" s="489"/>
      <c r="Q807" s="489"/>
      <c r="R807" s="489"/>
      <c r="S807" s="28"/>
      <c r="T807" s="490"/>
      <c r="U807" s="489"/>
    </row>
    <row r="808" ht="30.0" customHeight="1">
      <c r="A808" s="488"/>
      <c r="B808" s="489"/>
      <c r="C808" s="489"/>
      <c r="D808" s="488"/>
      <c r="E808" s="489"/>
      <c r="F808" s="489"/>
      <c r="G808" s="173"/>
      <c r="H808" s="488"/>
      <c r="I808" s="488"/>
      <c r="J808" s="488"/>
      <c r="K808" s="488"/>
      <c r="L808" s="488"/>
      <c r="M808" s="489"/>
      <c r="N808" s="488"/>
      <c r="O808" s="489"/>
      <c r="P808" s="489"/>
      <c r="Q808" s="489"/>
      <c r="R808" s="489"/>
      <c r="S808" s="28"/>
      <c r="T808" s="490"/>
      <c r="U808" s="489"/>
    </row>
    <row r="809" ht="30.0" customHeight="1">
      <c r="A809" s="488"/>
      <c r="B809" s="489"/>
      <c r="C809" s="489"/>
      <c r="D809" s="488"/>
      <c r="E809" s="489"/>
      <c r="F809" s="489"/>
      <c r="G809" s="173"/>
      <c r="H809" s="488"/>
      <c r="I809" s="488"/>
      <c r="J809" s="488"/>
      <c r="K809" s="488"/>
      <c r="L809" s="488"/>
      <c r="M809" s="489"/>
      <c r="N809" s="488"/>
      <c r="O809" s="489"/>
      <c r="P809" s="489"/>
      <c r="Q809" s="489"/>
      <c r="R809" s="489"/>
      <c r="S809" s="28"/>
      <c r="T809" s="490"/>
      <c r="U809" s="489"/>
    </row>
    <row r="810" ht="30.0" customHeight="1">
      <c r="A810" s="488"/>
      <c r="B810" s="489"/>
      <c r="C810" s="489"/>
      <c r="D810" s="488"/>
      <c r="E810" s="489"/>
      <c r="F810" s="489"/>
      <c r="G810" s="173"/>
      <c r="H810" s="488"/>
      <c r="I810" s="488"/>
      <c r="J810" s="488"/>
      <c r="K810" s="488"/>
      <c r="L810" s="488"/>
      <c r="M810" s="489"/>
      <c r="N810" s="488"/>
      <c r="O810" s="489"/>
      <c r="P810" s="489"/>
      <c r="Q810" s="489"/>
      <c r="R810" s="489"/>
      <c r="S810" s="28"/>
      <c r="T810" s="490"/>
      <c r="U810" s="489"/>
    </row>
    <row r="811" ht="30.0" customHeight="1">
      <c r="A811" s="488"/>
      <c r="B811" s="489"/>
      <c r="C811" s="489"/>
      <c r="D811" s="488"/>
      <c r="E811" s="489"/>
      <c r="F811" s="489"/>
      <c r="G811" s="173"/>
      <c r="H811" s="488"/>
      <c r="I811" s="488"/>
      <c r="J811" s="488"/>
      <c r="K811" s="488"/>
      <c r="L811" s="488"/>
      <c r="M811" s="489"/>
      <c r="N811" s="488"/>
      <c r="O811" s="489"/>
      <c r="P811" s="489"/>
      <c r="Q811" s="489"/>
      <c r="R811" s="489"/>
      <c r="S811" s="28"/>
      <c r="T811" s="490"/>
      <c r="U811" s="489"/>
    </row>
    <row r="812" ht="30.0" customHeight="1">
      <c r="A812" s="488"/>
      <c r="B812" s="489"/>
      <c r="C812" s="489"/>
      <c r="D812" s="488"/>
      <c r="E812" s="489"/>
      <c r="F812" s="489"/>
      <c r="G812" s="173"/>
      <c r="H812" s="488"/>
      <c r="I812" s="488"/>
      <c r="J812" s="488"/>
      <c r="K812" s="488"/>
      <c r="L812" s="488"/>
      <c r="M812" s="489"/>
      <c r="N812" s="488"/>
      <c r="O812" s="489"/>
      <c r="P812" s="489"/>
      <c r="Q812" s="489"/>
      <c r="R812" s="489"/>
      <c r="S812" s="28"/>
      <c r="T812" s="490"/>
      <c r="U812" s="489"/>
    </row>
    <row r="813" ht="30.0" customHeight="1">
      <c r="A813" s="488"/>
      <c r="B813" s="489"/>
      <c r="C813" s="489"/>
      <c r="D813" s="488"/>
      <c r="E813" s="489"/>
      <c r="F813" s="489"/>
      <c r="G813" s="173"/>
      <c r="H813" s="488"/>
      <c r="I813" s="488"/>
      <c r="J813" s="488"/>
      <c r="K813" s="488"/>
      <c r="L813" s="488"/>
      <c r="M813" s="489"/>
      <c r="N813" s="488"/>
      <c r="O813" s="489"/>
      <c r="P813" s="489"/>
      <c r="Q813" s="489"/>
      <c r="R813" s="489"/>
      <c r="S813" s="28"/>
      <c r="T813" s="490"/>
      <c r="U813" s="489"/>
    </row>
    <row r="814" ht="30.0" customHeight="1">
      <c r="A814" s="488"/>
      <c r="B814" s="489"/>
      <c r="C814" s="489"/>
      <c r="D814" s="488"/>
      <c r="E814" s="489"/>
      <c r="F814" s="489"/>
      <c r="G814" s="173"/>
      <c r="H814" s="488"/>
      <c r="I814" s="488"/>
      <c r="J814" s="488"/>
      <c r="K814" s="488"/>
      <c r="L814" s="488"/>
      <c r="M814" s="489"/>
      <c r="N814" s="488"/>
      <c r="O814" s="489"/>
      <c r="P814" s="489"/>
      <c r="Q814" s="489"/>
      <c r="R814" s="489"/>
      <c r="S814" s="28"/>
      <c r="T814" s="490"/>
      <c r="U814" s="489"/>
    </row>
    <row r="815" ht="30.0" customHeight="1">
      <c r="A815" s="488"/>
      <c r="B815" s="489"/>
      <c r="C815" s="489"/>
      <c r="D815" s="488"/>
      <c r="E815" s="489"/>
      <c r="F815" s="489"/>
      <c r="G815" s="173"/>
      <c r="H815" s="488"/>
      <c r="I815" s="488"/>
      <c r="J815" s="488"/>
      <c r="K815" s="488"/>
      <c r="L815" s="488"/>
      <c r="M815" s="489"/>
      <c r="N815" s="488"/>
      <c r="O815" s="489"/>
      <c r="P815" s="489"/>
      <c r="Q815" s="489"/>
      <c r="R815" s="489"/>
      <c r="S815" s="28"/>
      <c r="T815" s="490"/>
      <c r="U815" s="489"/>
    </row>
    <row r="816" ht="30.0" customHeight="1">
      <c r="A816" s="488"/>
      <c r="B816" s="489"/>
      <c r="C816" s="489"/>
      <c r="D816" s="488"/>
      <c r="E816" s="489"/>
      <c r="F816" s="489"/>
      <c r="G816" s="173"/>
      <c r="H816" s="488"/>
      <c r="I816" s="488"/>
      <c r="J816" s="488"/>
      <c r="K816" s="488"/>
      <c r="L816" s="488"/>
      <c r="M816" s="489"/>
      <c r="N816" s="488"/>
      <c r="O816" s="489"/>
      <c r="P816" s="489"/>
      <c r="Q816" s="489"/>
      <c r="R816" s="489"/>
      <c r="S816" s="28"/>
      <c r="T816" s="490"/>
      <c r="U816" s="489"/>
    </row>
    <row r="817" ht="30.0" customHeight="1">
      <c r="A817" s="488"/>
      <c r="B817" s="489"/>
      <c r="C817" s="489"/>
      <c r="D817" s="488"/>
      <c r="E817" s="489"/>
      <c r="F817" s="489"/>
      <c r="G817" s="173"/>
      <c r="H817" s="488"/>
      <c r="I817" s="488"/>
      <c r="J817" s="488"/>
      <c r="K817" s="488"/>
      <c r="L817" s="488"/>
      <c r="M817" s="489"/>
      <c r="N817" s="488"/>
      <c r="O817" s="489"/>
      <c r="P817" s="489"/>
      <c r="Q817" s="489"/>
      <c r="R817" s="489"/>
      <c r="S817" s="28"/>
      <c r="T817" s="490"/>
      <c r="U817" s="489"/>
    </row>
    <row r="818" ht="30.0" customHeight="1">
      <c r="A818" s="488"/>
      <c r="B818" s="489"/>
      <c r="C818" s="489"/>
      <c r="D818" s="488"/>
      <c r="E818" s="489"/>
      <c r="F818" s="489"/>
      <c r="G818" s="173"/>
      <c r="H818" s="488"/>
      <c r="I818" s="488"/>
      <c r="J818" s="488"/>
      <c r="K818" s="488"/>
      <c r="L818" s="488"/>
      <c r="M818" s="489"/>
      <c r="N818" s="488"/>
      <c r="O818" s="489"/>
      <c r="P818" s="489"/>
      <c r="Q818" s="489"/>
      <c r="R818" s="489"/>
      <c r="S818" s="28"/>
      <c r="T818" s="490"/>
      <c r="U818" s="489"/>
    </row>
    <row r="819" ht="30.0" customHeight="1">
      <c r="A819" s="488"/>
      <c r="B819" s="489"/>
      <c r="C819" s="489"/>
      <c r="D819" s="488"/>
      <c r="E819" s="489"/>
      <c r="F819" s="489"/>
      <c r="G819" s="173"/>
      <c r="H819" s="488"/>
      <c r="I819" s="488"/>
      <c r="J819" s="488"/>
      <c r="K819" s="488"/>
      <c r="L819" s="488"/>
      <c r="M819" s="489"/>
      <c r="N819" s="488"/>
      <c r="O819" s="489"/>
      <c r="P819" s="489"/>
      <c r="Q819" s="489"/>
      <c r="R819" s="489"/>
      <c r="S819" s="28"/>
      <c r="T819" s="490"/>
      <c r="U819" s="489"/>
    </row>
    <row r="820" ht="30.0" customHeight="1">
      <c r="A820" s="488"/>
      <c r="B820" s="489"/>
      <c r="C820" s="489"/>
      <c r="D820" s="488"/>
      <c r="E820" s="489"/>
      <c r="F820" s="489"/>
      <c r="G820" s="173"/>
      <c r="H820" s="488"/>
      <c r="I820" s="488"/>
      <c r="J820" s="488"/>
      <c r="K820" s="488"/>
      <c r="L820" s="488"/>
      <c r="M820" s="489"/>
      <c r="N820" s="488"/>
      <c r="O820" s="489"/>
      <c r="P820" s="489"/>
      <c r="Q820" s="489"/>
      <c r="R820" s="489"/>
      <c r="S820" s="28"/>
      <c r="T820" s="490"/>
      <c r="U820" s="489"/>
    </row>
    <row r="821" ht="30.0" customHeight="1">
      <c r="A821" s="488"/>
      <c r="B821" s="489"/>
      <c r="C821" s="489"/>
      <c r="D821" s="488"/>
      <c r="E821" s="489"/>
      <c r="F821" s="489"/>
      <c r="G821" s="173"/>
      <c r="H821" s="488"/>
      <c r="I821" s="488"/>
      <c r="J821" s="488"/>
      <c r="K821" s="488"/>
      <c r="L821" s="488"/>
      <c r="M821" s="489"/>
      <c r="N821" s="488"/>
      <c r="O821" s="489"/>
      <c r="P821" s="489"/>
      <c r="Q821" s="489"/>
      <c r="R821" s="489"/>
      <c r="S821" s="28"/>
      <c r="T821" s="490"/>
      <c r="U821" s="489"/>
    </row>
    <row r="822" ht="30.0" customHeight="1">
      <c r="A822" s="488"/>
      <c r="B822" s="489"/>
      <c r="C822" s="489"/>
      <c r="D822" s="488"/>
      <c r="E822" s="489"/>
      <c r="F822" s="489"/>
      <c r="G822" s="173"/>
      <c r="H822" s="488"/>
      <c r="I822" s="488"/>
      <c r="J822" s="488"/>
      <c r="K822" s="488"/>
      <c r="L822" s="488"/>
      <c r="M822" s="489"/>
      <c r="N822" s="488"/>
      <c r="O822" s="489"/>
      <c r="P822" s="489"/>
      <c r="Q822" s="489"/>
      <c r="R822" s="489"/>
      <c r="S822" s="28"/>
      <c r="T822" s="490"/>
      <c r="U822" s="489"/>
    </row>
    <row r="823" ht="30.0" customHeight="1">
      <c r="A823" s="488"/>
      <c r="B823" s="489"/>
      <c r="C823" s="489"/>
      <c r="D823" s="488"/>
      <c r="E823" s="489"/>
      <c r="F823" s="489"/>
      <c r="G823" s="173"/>
      <c r="H823" s="488"/>
      <c r="I823" s="488"/>
      <c r="J823" s="488"/>
      <c r="K823" s="488"/>
      <c r="L823" s="488"/>
      <c r="M823" s="489"/>
      <c r="N823" s="488"/>
      <c r="O823" s="489"/>
      <c r="P823" s="489"/>
      <c r="Q823" s="489"/>
      <c r="R823" s="489"/>
      <c r="S823" s="28"/>
      <c r="T823" s="490"/>
      <c r="U823" s="489"/>
    </row>
    <row r="824" ht="30.0" customHeight="1">
      <c r="A824" s="488"/>
      <c r="B824" s="489"/>
      <c r="C824" s="489"/>
      <c r="D824" s="488"/>
      <c r="E824" s="489"/>
      <c r="F824" s="489"/>
      <c r="G824" s="173"/>
      <c r="H824" s="488"/>
      <c r="I824" s="488"/>
      <c r="J824" s="488"/>
      <c r="K824" s="488"/>
      <c r="L824" s="488"/>
      <c r="M824" s="489"/>
      <c r="N824" s="488"/>
      <c r="O824" s="489"/>
      <c r="P824" s="489"/>
      <c r="Q824" s="489"/>
      <c r="R824" s="489"/>
      <c r="S824" s="28"/>
      <c r="T824" s="490"/>
      <c r="U824" s="489"/>
    </row>
    <row r="825" ht="30.0" customHeight="1">
      <c r="A825" s="488"/>
      <c r="B825" s="489"/>
      <c r="C825" s="489"/>
      <c r="D825" s="488"/>
      <c r="E825" s="489"/>
      <c r="F825" s="489"/>
      <c r="G825" s="173"/>
      <c r="H825" s="488"/>
      <c r="I825" s="488"/>
      <c r="J825" s="488"/>
      <c r="K825" s="488"/>
      <c r="L825" s="488"/>
      <c r="M825" s="489"/>
      <c r="N825" s="488"/>
      <c r="O825" s="489"/>
      <c r="P825" s="489"/>
      <c r="Q825" s="489"/>
      <c r="R825" s="489"/>
      <c r="S825" s="28"/>
      <c r="T825" s="490"/>
      <c r="U825" s="489"/>
    </row>
    <row r="826" ht="30.0" customHeight="1">
      <c r="A826" s="488"/>
      <c r="B826" s="489"/>
      <c r="C826" s="489"/>
      <c r="D826" s="488"/>
      <c r="E826" s="489"/>
      <c r="F826" s="489"/>
      <c r="G826" s="173"/>
      <c r="H826" s="488"/>
      <c r="I826" s="488"/>
      <c r="J826" s="488"/>
      <c r="K826" s="488"/>
      <c r="L826" s="488"/>
      <c r="M826" s="489"/>
      <c r="N826" s="488"/>
      <c r="O826" s="489"/>
      <c r="P826" s="489"/>
      <c r="Q826" s="489"/>
      <c r="R826" s="489"/>
      <c r="S826" s="28"/>
      <c r="T826" s="490"/>
      <c r="U826" s="489"/>
    </row>
    <row r="827" ht="30.0" customHeight="1">
      <c r="A827" s="488"/>
      <c r="B827" s="489"/>
      <c r="C827" s="489"/>
      <c r="D827" s="488"/>
      <c r="E827" s="489"/>
      <c r="F827" s="489"/>
      <c r="G827" s="173"/>
      <c r="H827" s="488"/>
      <c r="I827" s="488"/>
      <c r="J827" s="488"/>
      <c r="K827" s="488"/>
      <c r="L827" s="488"/>
      <c r="M827" s="489"/>
      <c r="N827" s="488"/>
      <c r="O827" s="489"/>
      <c r="P827" s="489"/>
      <c r="Q827" s="489"/>
      <c r="R827" s="489"/>
      <c r="S827" s="28"/>
      <c r="T827" s="490"/>
      <c r="U827" s="489"/>
    </row>
    <row r="828" ht="30.0" customHeight="1">
      <c r="A828" s="488"/>
      <c r="B828" s="489"/>
      <c r="C828" s="489"/>
      <c r="D828" s="488"/>
      <c r="E828" s="489"/>
      <c r="F828" s="489"/>
      <c r="G828" s="173"/>
      <c r="H828" s="488"/>
      <c r="I828" s="488"/>
      <c r="J828" s="488"/>
      <c r="K828" s="488"/>
      <c r="L828" s="488"/>
      <c r="M828" s="489"/>
      <c r="N828" s="488"/>
      <c r="O828" s="489"/>
      <c r="P828" s="489"/>
      <c r="Q828" s="489"/>
      <c r="R828" s="489"/>
      <c r="S828" s="28"/>
      <c r="T828" s="490"/>
      <c r="U828" s="489"/>
    </row>
    <row r="829" ht="30.0" customHeight="1">
      <c r="A829" s="488"/>
      <c r="B829" s="489"/>
      <c r="C829" s="489"/>
      <c r="D829" s="488"/>
      <c r="E829" s="489"/>
      <c r="F829" s="489"/>
      <c r="G829" s="173"/>
      <c r="H829" s="488"/>
      <c r="I829" s="488"/>
      <c r="J829" s="488"/>
      <c r="K829" s="488"/>
      <c r="L829" s="488"/>
      <c r="M829" s="489"/>
      <c r="N829" s="488"/>
      <c r="O829" s="489"/>
      <c r="P829" s="489"/>
      <c r="Q829" s="489"/>
      <c r="R829" s="489"/>
      <c r="S829" s="28"/>
      <c r="T829" s="490"/>
      <c r="U829" s="489"/>
    </row>
    <row r="830" ht="30.0" customHeight="1">
      <c r="A830" s="488"/>
      <c r="B830" s="489"/>
      <c r="C830" s="489"/>
      <c r="D830" s="488"/>
      <c r="E830" s="489"/>
      <c r="F830" s="489"/>
      <c r="G830" s="173"/>
      <c r="H830" s="488"/>
      <c r="I830" s="488"/>
      <c r="J830" s="488"/>
      <c r="K830" s="488"/>
      <c r="L830" s="488"/>
      <c r="M830" s="489"/>
      <c r="N830" s="488"/>
      <c r="O830" s="489"/>
      <c r="P830" s="489"/>
      <c r="Q830" s="489"/>
      <c r="R830" s="489"/>
      <c r="S830" s="28"/>
      <c r="T830" s="490"/>
      <c r="U830" s="489"/>
    </row>
    <row r="831" ht="30.0" customHeight="1">
      <c r="A831" s="488"/>
      <c r="B831" s="489"/>
      <c r="C831" s="489"/>
      <c r="D831" s="488"/>
      <c r="E831" s="489"/>
      <c r="F831" s="489"/>
      <c r="G831" s="173"/>
      <c r="H831" s="488"/>
      <c r="I831" s="488"/>
      <c r="J831" s="488"/>
      <c r="K831" s="488"/>
      <c r="L831" s="488"/>
      <c r="M831" s="489"/>
      <c r="N831" s="488"/>
      <c r="O831" s="489"/>
      <c r="P831" s="489"/>
      <c r="Q831" s="489"/>
      <c r="R831" s="489"/>
      <c r="S831" s="28"/>
      <c r="T831" s="490"/>
      <c r="U831" s="489"/>
    </row>
    <row r="832" ht="30.0" customHeight="1">
      <c r="A832" s="488"/>
      <c r="B832" s="489"/>
      <c r="C832" s="489"/>
      <c r="D832" s="488"/>
      <c r="E832" s="489"/>
      <c r="F832" s="489"/>
      <c r="G832" s="173"/>
      <c r="H832" s="488"/>
      <c r="I832" s="488"/>
      <c r="J832" s="488"/>
      <c r="K832" s="488"/>
      <c r="L832" s="488"/>
      <c r="M832" s="489"/>
      <c r="N832" s="488"/>
      <c r="O832" s="489"/>
      <c r="P832" s="489"/>
      <c r="Q832" s="489"/>
      <c r="R832" s="489"/>
      <c r="S832" s="28"/>
      <c r="T832" s="490"/>
      <c r="U832" s="489"/>
    </row>
    <row r="833" ht="30.0" customHeight="1">
      <c r="A833" s="488"/>
      <c r="B833" s="489"/>
      <c r="C833" s="489"/>
      <c r="D833" s="488"/>
      <c r="E833" s="489"/>
      <c r="F833" s="489"/>
      <c r="G833" s="173"/>
      <c r="H833" s="488"/>
      <c r="I833" s="488"/>
      <c r="J833" s="488"/>
      <c r="K833" s="488"/>
      <c r="L833" s="488"/>
      <c r="M833" s="489"/>
      <c r="N833" s="488"/>
      <c r="O833" s="489"/>
      <c r="P833" s="489"/>
      <c r="Q833" s="489"/>
      <c r="R833" s="489"/>
      <c r="S833" s="28"/>
      <c r="T833" s="490"/>
      <c r="U833" s="489"/>
    </row>
    <row r="834" ht="30.0" customHeight="1">
      <c r="A834" s="488"/>
      <c r="B834" s="489"/>
      <c r="C834" s="489"/>
      <c r="D834" s="488"/>
      <c r="E834" s="489"/>
      <c r="F834" s="489"/>
      <c r="G834" s="173"/>
      <c r="H834" s="488"/>
      <c r="I834" s="488"/>
      <c r="J834" s="488"/>
      <c r="K834" s="488"/>
      <c r="L834" s="488"/>
      <c r="M834" s="489"/>
      <c r="N834" s="488"/>
      <c r="O834" s="489"/>
      <c r="P834" s="489"/>
      <c r="Q834" s="489"/>
      <c r="R834" s="489"/>
      <c r="S834" s="28"/>
      <c r="T834" s="490"/>
      <c r="U834" s="489"/>
    </row>
    <row r="835" ht="30.0" customHeight="1">
      <c r="A835" s="488"/>
      <c r="B835" s="489"/>
      <c r="C835" s="489"/>
      <c r="D835" s="488"/>
      <c r="E835" s="489"/>
      <c r="F835" s="489"/>
      <c r="G835" s="173"/>
      <c r="H835" s="488"/>
      <c r="I835" s="488"/>
      <c r="J835" s="488"/>
      <c r="K835" s="488"/>
      <c r="L835" s="488"/>
      <c r="M835" s="489"/>
      <c r="N835" s="488"/>
      <c r="O835" s="489"/>
      <c r="P835" s="489"/>
      <c r="Q835" s="489"/>
      <c r="R835" s="489"/>
      <c r="S835" s="28"/>
      <c r="T835" s="490"/>
      <c r="U835" s="489"/>
    </row>
    <row r="836" ht="30.0" customHeight="1">
      <c r="A836" s="488"/>
      <c r="B836" s="489"/>
      <c r="C836" s="489"/>
      <c r="D836" s="488"/>
      <c r="E836" s="489"/>
      <c r="F836" s="489"/>
      <c r="G836" s="173"/>
      <c r="H836" s="488"/>
      <c r="I836" s="488"/>
      <c r="J836" s="488"/>
      <c r="K836" s="488"/>
      <c r="L836" s="488"/>
      <c r="M836" s="489"/>
      <c r="N836" s="488"/>
      <c r="O836" s="489"/>
      <c r="P836" s="489"/>
      <c r="Q836" s="489"/>
      <c r="R836" s="489"/>
      <c r="S836" s="28"/>
      <c r="T836" s="490"/>
      <c r="U836" s="489"/>
    </row>
    <row r="837" ht="30.0" customHeight="1">
      <c r="A837" s="488"/>
      <c r="B837" s="489"/>
      <c r="C837" s="489"/>
      <c r="D837" s="488"/>
      <c r="E837" s="489"/>
      <c r="F837" s="489"/>
      <c r="G837" s="173"/>
      <c r="H837" s="488"/>
      <c r="I837" s="488"/>
      <c r="J837" s="488"/>
      <c r="K837" s="488"/>
      <c r="L837" s="488"/>
      <c r="M837" s="489"/>
      <c r="N837" s="488"/>
      <c r="O837" s="489"/>
      <c r="P837" s="489"/>
      <c r="Q837" s="489"/>
      <c r="R837" s="489"/>
      <c r="S837" s="28"/>
      <c r="T837" s="490"/>
      <c r="U837" s="489"/>
    </row>
    <row r="838" ht="30.0" customHeight="1">
      <c r="A838" s="488"/>
      <c r="B838" s="489"/>
      <c r="C838" s="489"/>
      <c r="D838" s="488"/>
      <c r="E838" s="489"/>
      <c r="F838" s="489"/>
      <c r="G838" s="173"/>
      <c r="H838" s="488"/>
      <c r="I838" s="488"/>
      <c r="J838" s="488"/>
      <c r="K838" s="488"/>
      <c r="L838" s="488"/>
      <c r="M838" s="489"/>
      <c r="N838" s="488"/>
      <c r="O838" s="489"/>
      <c r="P838" s="489"/>
      <c r="Q838" s="489"/>
      <c r="R838" s="489"/>
      <c r="S838" s="28"/>
      <c r="T838" s="490"/>
      <c r="U838" s="489"/>
    </row>
    <row r="839" ht="30.0" customHeight="1">
      <c r="A839" s="488"/>
      <c r="B839" s="489"/>
      <c r="C839" s="489"/>
      <c r="D839" s="488"/>
      <c r="E839" s="489"/>
      <c r="F839" s="489"/>
      <c r="G839" s="173"/>
      <c r="H839" s="488"/>
      <c r="I839" s="488"/>
      <c r="J839" s="488"/>
      <c r="K839" s="488"/>
      <c r="L839" s="488"/>
      <c r="M839" s="489"/>
      <c r="N839" s="488"/>
      <c r="O839" s="489"/>
      <c r="P839" s="489"/>
      <c r="Q839" s="489"/>
      <c r="R839" s="489"/>
      <c r="S839" s="28"/>
      <c r="T839" s="490"/>
      <c r="U839" s="489"/>
    </row>
    <row r="840" ht="30.0" customHeight="1">
      <c r="A840" s="488"/>
      <c r="B840" s="489"/>
      <c r="C840" s="489"/>
      <c r="D840" s="488"/>
      <c r="E840" s="489"/>
      <c r="F840" s="489"/>
      <c r="G840" s="173"/>
      <c r="H840" s="488"/>
      <c r="I840" s="488"/>
      <c r="J840" s="488"/>
      <c r="K840" s="488"/>
      <c r="L840" s="488"/>
      <c r="M840" s="489"/>
      <c r="N840" s="488"/>
      <c r="O840" s="489"/>
      <c r="P840" s="489"/>
      <c r="Q840" s="489"/>
      <c r="R840" s="489"/>
      <c r="S840" s="28"/>
      <c r="T840" s="490"/>
      <c r="U840" s="489"/>
    </row>
    <row r="841" ht="30.0" customHeight="1">
      <c r="A841" s="488"/>
      <c r="B841" s="489"/>
      <c r="C841" s="489"/>
      <c r="D841" s="488"/>
      <c r="E841" s="489"/>
      <c r="F841" s="489"/>
      <c r="G841" s="173"/>
      <c r="H841" s="488"/>
      <c r="I841" s="488"/>
      <c r="J841" s="488"/>
      <c r="K841" s="488"/>
      <c r="L841" s="488"/>
      <c r="M841" s="489"/>
      <c r="N841" s="488"/>
      <c r="O841" s="489"/>
      <c r="P841" s="489"/>
      <c r="Q841" s="489"/>
      <c r="R841" s="489"/>
      <c r="S841" s="28"/>
      <c r="T841" s="490"/>
      <c r="U841" s="489"/>
    </row>
    <row r="842" ht="30.0" customHeight="1">
      <c r="A842" s="488"/>
      <c r="B842" s="489"/>
      <c r="C842" s="489"/>
      <c r="D842" s="488"/>
      <c r="E842" s="489"/>
      <c r="F842" s="489"/>
      <c r="G842" s="173"/>
      <c r="H842" s="488"/>
      <c r="I842" s="488"/>
      <c r="J842" s="488"/>
      <c r="K842" s="488"/>
      <c r="L842" s="488"/>
      <c r="M842" s="489"/>
      <c r="N842" s="488"/>
      <c r="O842" s="489"/>
      <c r="P842" s="489"/>
      <c r="Q842" s="489"/>
      <c r="R842" s="489"/>
      <c r="S842" s="28"/>
      <c r="T842" s="490"/>
      <c r="U842" s="489"/>
    </row>
    <row r="843" ht="30.0" customHeight="1">
      <c r="A843" s="488"/>
      <c r="B843" s="489"/>
      <c r="C843" s="489"/>
      <c r="D843" s="488"/>
      <c r="E843" s="489"/>
      <c r="F843" s="489"/>
      <c r="G843" s="173"/>
      <c r="H843" s="488"/>
      <c r="I843" s="488"/>
      <c r="J843" s="488"/>
      <c r="K843" s="488"/>
      <c r="L843" s="488"/>
      <c r="M843" s="489"/>
      <c r="N843" s="488"/>
      <c r="O843" s="489"/>
      <c r="P843" s="489"/>
      <c r="Q843" s="489"/>
      <c r="R843" s="489"/>
      <c r="S843" s="28"/>
      <c r="T843" s="490"/>
      <c r="U843" s="489"/>
    </row>
    <row r="844" ht="30.0" customHeight="1">
      <c r="A844" s="488"/>
      <c r="B844" s="489"/>
      <c r="C844" s="489"/>
      <c r="D844" s="488"/>
      <c r="E844" s="489"/>
      <c r="F844" s="489"/>
      <c r="G844" s="173"/>
      <c r="H844" s="488"/>
      <c r="I844" s="488"/>
      <c r="J844" s="488"/>
      <c r="K844" s="488"/>
      <c r="L844" s="488"/>
      <c r="M844" s="489"/>
      <c r="N844" s="488"/>
      <c r="O844" s="489"/>
      <c r="P844" s="489"/>
      <c r="Q844" s="489"/>
      <c r="R844" s="489"/>
      <c r="S844" s="28"/>
      <c r="T844" s="490"/>
      <c r="U844" s="489"/>
    </row>
    <row r="845" ht="30.0" customHeight="1">
      <c r="A845" s="488"/>
      <c r="B845" s="489"/>
      <c r="C845" s="489"/>
      <c r="D845" s="488"/>
      <c r="E845" s="489"/>
      <c r="F845" s="489"/>
      <c r="G845" s="173"/>
      <c r="H845" s="488"/>
      <c r="I845" s="488"/>
      <c r="J845" s="488"/>
      <c r="K845" s="488"/>
      <c r="L845" s="488"/>
      <c r="M845" s="489"/>
      <c r="N845" s="488"/>
      <c r="O845" s="489"/>
      <c r="P845" s="489"/>
      <c r="Q845" s="489"/>
      <c r="R845" s="489"/>
      <c r="S845" s="28"/>
      <c r="T845" s="490"/>
      <c r="U845" s="489"/>
    </row>
    <row r="846" ht="30.0" customHeight="1">
      <c r="A846" s="488"/>
      <c r="B846" s="489"/>
      <c r="C846" s="489"/>
      <c r="D846" s="488"/>
      <c r="E846" s="489"/>
      <c r="F846" s="489"/>
      <c r="G846" s="173"/>
      <c r="H846" s="488"/>
      <c r="I846" s="488"/>
      <c r="J846" s="488"/>
      <c r="K846" s="488"/>
      <c r="L846" s="488"/>
      <c r="M846" s="489"/>
      <c r="N846" s="488"/>
      <c r="O846" s="489"/>
      <c r="P846" s="489"/>
      <c r="Q846" s="489"/>
      <c r="R846" s="489"/>
      <c r="S846" s="28"/>
      <c r="T846" s="490"/>
      <c r="U846" s="489"/>
    </row>
    <row r="847" ht="30.0" customHeight="1">
      <c r="A847" s="488"/>
      <c r="B847" s="489"/>
      <c r="C847" s="489"/>
      <c r="D847" s="488"/>
      <c r="E847" s="489"/>
      <c r="F847" s="489"/>
      <c r="G847" s="173"/>
      <c r="H847" s="488"/>
      <c r="I847" s="488"/>
      <c r="J847" s="488"/>
      <c r="K847" s="488"/>
      <c r="L847" s="488"/>
      <c r="M847" s="489"/>
      <c r="N847" s="488"/>
      <c r="O847" s="489"/>
      <c r="P847" s="489"/>
      <c r="Q847" s="489"/>
      <c r="R847" s="489"/>
      <c r="S847" s="28"/>
      <c r="T847" s="490"/>
      <c r="U847" s="489"/>
    </row>
    <row r="848" ht="30.0" customHeight="1">
      <c r="A848" s="488"/>
      <c r="B848" s="489"/>
      <c r="C848" s="489"/>
      <c r="D848" s="488"/>
      <c r="E848" s="489"/>
      <c r="F848" s="489"/>
      <c r="G848" s="173"/>
      <c r="H848" s="488"/>
      <c r="I848" s="488"/>
      <c r="J848" s="488"/>
      <c r="K848" s="488"/>
      <c r="L848" s="488"/>
      <c r="M848" s="489"/>
      <c r="N848" s="488"/>
      <c r="O848" s="489"/>
      <c r="P848" s="489"/>
      <c r="Q848" s="489"/>
      <c r="R848" s="489"/>
      <c r="S848" s="28"/>
      <c r="T848" s="490"/>
      <c r="U848" s="489"/>
    </row>
    <row r="849" ht="30.0" customHeight="1">
      <c r="A849" s="488"/>
      <c r="B849" s="489"/>
      <c r="C849" s="489"/>
      <c r="D849" s="488"/>
      <c r="E849" s="489"/>
      <c r="F849" s="489"/>
      <c r="G849" s="173"/>
      <c r="H849" s="488"/>
      <c r="I849" s="488"/>
      <c r="J849" s="488"/>
      <c r="K849" s="488"/>
      <c r="L849" s="488"/>
      <c r="M849" s="489"/>
      <c r="N849" s="488"/>
      <c r="O849" s="489"/>
      <c r="P849" s="489"/>
      <c r="Q849" s="489"/>
      <c r="R849" s="489"/>
      <c r="S849" s="28"/>
      <c r="T849" s="490"/>
      <c r="U849" s="489"/>
    </row>
    <row r="850" ht="30.0" customHeight="1">
      <c r="A850" s="488"/>
      <c r="B850" s="489"/>
      <c r="C850" s="489"/>
      <c r="D850" s="488"/>
      <c r="E850" s="489"/>
      <c r="F850" s="489"/>
      <c r="G850" s="173"/>
      <c r="H850" s="488"/>
      <c r="I850" s="488"/>
      <c r="J850" s="488"/>
      <c r="K850" s="488"/>
      <c r="L850" s="488"/>
      <c r="M850" s="489"/>
      <c r="N850" s="488"/>
      <c r="O850" s="489"/>
      <c r="P850" s="489"/>
      <c r="Q850" s="489"/>
      <c r="R850" s="489"/>
      <c r="S850" s="28"/>
      <c r="T850" s="490"/>
      <c r="U850" s="489"/>
    </row>
    <row r="851" ht="30.0" customHeight="1">
      <c r="A851" s="488"/>
      <c r="B851" s="489"/>
      <c r="C851" s="489"/>
      <c r="D851" s="488"/>
      <c r="E851" s="489"/>
      <c r="F851" s="489"/>
      <c r="G851" s="173"/>
      <c r="H851" s="488"/>
      <c r="I851" s="488"/>
      <c r="J851" s="488"/>
      <c r="K851" s="488"/>
      <c r="L851" s="488"/>
      <c r="M851" s="489"/>
      <c r="N851" s="488"/>
      <c r="O851" s="489"/>
      <c r="P851" s="489"/>
      <c r="Q851" s="489"/>
      <c r="R851" s="489"/>
      <c r="S851" s="28"/>
      <c r="T851" s="490"/>
      <c r="U851" s="489"/>
    </row>
    <row r="852" ht="30.0" customHeight="1">
      <c r="A852" s="488"/>
      <c r="B852" s="489"/>
      <c r="C852" s="489"/>
      <c r="D852" s="488"/>
      <c r="E852" s="489"/>
      <c r="F852" s="489"/>
      <c r="G852" s="173"/>
      <c r="H852" s="488"/>
      <c r="I852" s="488"/>
      <c r="J852" s="488"/>
      <c r="K852" s="488"/>
      <c r="L852" s="488"/>
      <c r="M852" s="489"/>
      <c r="N852" s="488"/>
      <c r="O852" s="489"/>
      <c r="P852" s="489"/>
      <c r="Q852" s="489"/>
      <c r="R852" s="489"/>
      <c r="S852" s="28"/>
      <c r="T852" s="490"/>
      <c r="U852" s="489"/>
    </row>
    <row r="853" ht="30.0" customHeight="1">
      <c r="A853" s="488"/>
      <c r="B853" s="489"/>
      <c r="C853" s="489"/>
      <c r="D853" s="488"/>
      <c r="E853" s="489"/>
      <c r="F853" s="489"/>
      <c r="G853" s="173"/>
      <c r="H853" s="488"/>
      <c r="I853" s="488"/>
      <c r="J853" s="488"/>
      <c r="K853" s="488"/>
      <c r="L853" s="488"/>
      <c r="M853" s="489"/>
      <c r="N853" s="488"/>
      <c r="O853" s="489"/>
      <c r="P853" s="489"/>
      <c r="Q853" s="489"/>
      <c r="R853" s="489"/>
      <c r="S853" s="28"/>
      <c r="T853" s="490"/>
      <c r="U853" s="489"/>
    </row>
    <row r="854" ht="30.0" customHeight="1">
      <c r="A854" s="488"/>
      <c r="B854" s="489"/>
      <c r="C854" s="489"/>
      <c r="D854" s="488"/>
      <c r="E854" s="489"/>
      <c r="F854" s="489"/>
      <c r="G854" s="173"/>
      <c r="H854" s="488"/>
      <c r="I854" s="488"/>
      <c r="J854" s="488"/>
      <c r="K854" s="488"/>
      <c r="L854" s="488"/>
      <c r="M854" s="489"/>
      <c r="N854" s="488"/>
      <c r="O854" s="489"/>
      <c r="P854" s="489"/>
      <c r="Q854" s="489"/>
      <c r="R854" s="489"/>
      <c r="S854" s="28"/>
      <c r="T854" s="490"/>
      <c r="U854" s="489"/>
    </row>
    <row r="855" ht="30.0" customHeight="1">
      <c r="A855" s="488"/>
      <c r="B855" s="489"/>
      <c r="C855" s="489"/>
      <c r="D855" s="488"/>
      <c r="E855" s="489"/>
      <c r="F855" s="489"/>
      <c r="G855" s="173"/>
      <c r="H855" s="488"/>
      <c r="I855" s="488"/>
      <c r="J855" s="488"/>
      <c r="K855" s="488"/>
      <c r="L855" s="488"/>
      <c r="M855" s="489"/>
      <c r="N855" s="488"/>
      <c r="O855" s="489"/>
      <c r="P855" s="489"/>
      <c r="Q855" s="489"/>
      <c r="R855" s="489"/>
      <c r="S855" s="28"/>
      <c r="T855" s="490"/>
      <c r="U855" s="489"/>
    </row>
    <row r="856" ht="30.0" customHeight="1">
      <c r="A856" s="488"/>
      <c r="B856" s="489"/>
      <c r="C856" s="489"/>
      <c r="D856" s="488"/>
      <c r="E856" s="489"/>
      <c r="F856" s="489"/>
      <c r="G856" s="173"/>
      <c r="H856" s="488"/>
      <c r="I856" s="488"/>
      <c r="J856" s="488"/>
      <c r="K856" s="488"/>
      <c r="L856" s="488"/>
      <c r="M856" s="489"/>
      <c r="N856" s="488"/>
      <c r="O856" s="489"/>
      <c r="P856" s="489"/>
      <c r="Q856" s="489"/>
      <c r="R856" s="489"/>
      <c r="S856" s="28"/>
      <c r="T856" s="490"/>
      <c r="U856" s="489"/>
    </row>
    <row r="857" ht="30.0" customHeight="1">
      <c r="A857" s="488"/>
      <c r="B857" s="489"/>
      <c r="C857" s="489"/>
      <c r="D857" s="488"/>
      <c r="E857" s="489"/>
      <c r="F857" s="489"/>
      <c r="G857" s="173"/>
      <c r="H857" s="488"/>
      <c r="I857" s="488"/>
      <c r="J857" s="488"/>
      <c r="K857" s="488"/>
      <c r="L857" s="488"/>
      <c r="M857" s="489"/>
      <c r="N857" s="488"/>
      <c r="O857" s="489"/>
      <c r="P857" s="489"/>
      <c r="Q857" s="489"/>
      <c r="R857" s="489"/>
      <c r="S857" s="28"/>
      <c r="T857" s="490"/>
      <c r="U857" s="489"/>
    </row>
    <row r="858" ht="30.0" customHeight="1">
      <c r="A858" s="488"/>
      <c r="B858" s="489"/>
      <c r="C858" s="489"/>
      <c r="D858" s="488"/>
      <c r="E858" s="489"/>
      <c r="F858" s="489"/>
      <c r="G858" s="173"/>
      <c r="H858" s="488"/>
      <c r="I858" s="488"/>
      <c r="J858" s="488"/>
      <c r="K858" s="488"/>
      <c r="L858" s="488"/>
      <c r="M858" s="489"/>
      <c r="N858" s="488"/>
      <c r="O858" s="489"/>
      <c r="P858" s="489"/>
      <c r="Q858" s="489"/>
      <c r="R858" s="489"/>
      <c r="S858" s="28"/>
      <c r="T858" s="490"/>
      <c r="U858" s="489"/>
    </row>
    <row r="859" ht="30.0" customHeight="1">
      <c r="A859" s="488"/>
      <c r="B859" s="489"/>
      <c r="C859" s="489"/>
      <c r="D859" s="488"/>
      <c r="E859" s="489"/>
      <c r="F859" s="489"/>
      <c r="G859" s="173"/>
      <c r="H859" s="488"/>
      <c r="I859" s="488"/>
      <c r="J859" s="488"/>
      <c r="K859" s="488"/>
      <c r="L859" s="488"/>
      <c r="M859" s="489"/>
      <c r="N859" s="488"/>
      <c r="O859" s="489"/>
      <c r="P859" s="489"/>
      <c r="Q859" s="489"/>
      <c r="R859" s="489"/>
      <c r="S859" s="28"/>
      <c r="T859" s="490"/>
      <c r="U859" s="489"/>
    </row>
    <row r="860" ht="30.0" customHeight="1">
      <c r="A860" s="488"/>
      <c r="B860" s="489"/>
      <c r="C860" s="489"/>
      <c r="D860" s="488"/>
      <c r="E860" s="489"/>
      <c r="F860" s="489"/>
      <c r="G860" s="173"/>
      <c r="H860" s="488"/>
      <c r="I860" s="488"/>
      <c r="J860" s="488"/>
      <c r="K860" s="488"/>
      <c r="L860" s="488"/>
      <c r="M860" s="489"/>
      <c r="N860" s="488"/>
      <c r="O860" s="489"/>
      <c r="P860" s="489"/>
      <c r="Q860" s="489"/>
      <c r="R860" s="489"/>
      <c r="S860" s="28"/>
      <c r="T860" s="490"/>
      <c r="U860" s="489"/>
    </row>
    <row r="861" ht="30.0" customHeight="1">
      <c r="A861" s="488"/>
      <c r="B861" s="489"/>
      <c r="C861" s="489"/>
      <c r="D861" s="488"/>
      <c r="E861" s="489"/>
      <c r="F861" s="489"/>
      <c r="G861" s="173"/>
      <c r="H861" s="488"/>
      <c r="I861" s="488"/>
      <c r="J861" s="488"/>
      <c r="K861" s="488"/>
      <c r="L861" s="488"/>
      <c r="M861" s="489"/>
      <c r="N861" s="488"/>
      <c r="O861" s="489"/>
      <c r="P861" s="489"/>
      <c r="Q861" s="489"/>
      <c r="R861" s="489"/>
      <c r="S861" s="28"/>
      <c r="T861" s="490"/>
      <c r="U861" s="489"/>
    </row>
    <row r="862" ht="30.0" customHeight="1">
      <c r="A862" s="488"/>
      <c r="B862" s="489"/>
      <c r="C862" s="489"/>
      <c r="D862" s="488"/>
      <c r="E862" s="489"/>
      <c r="F862" s="489"/>
      <c r="G862" s="173"/>
      <c r="H862" s="488"/>
      <c r="I862" s="488"/>
      <c r="J862" s="488"/>
      <c r="K862" s="488"/>
      <c r="L862" s="488"/>
      <c r="M862" s="489"/>
      <c r="N862" s="488"/>
      <c r="O862" s="489"/>
      <c r="P862" s="489"/>
      <c r="Q862" s="489"/>
      <c r="R862" s="489"/>
      <c r="S862" s="28"/>
      <c r="T862" s="490"/>
      <c r="U862" s="489"/>
    </row>
    <row r="863" ht="30.0" customHeight="1">
      <c r="A863" s="488"/>
      <c r="B863" s="489"/>
      <c r="C863" s="489"/>
      <c r="D863" s="488"/>
      <c r="E863" s="489"/>
      <c r="F863" s="489"/>
      <c r="G863" s="173"/>
      <c r="H863" s="488"/>
      <c r="I863" s="488"/>
      <c r="J863" s="488"/>
      <c r="K863" s="488"/>
      <c r="L863" s="488"/>
      <c r="M863" s="489"/>
      <c r="N863" s="488"/>
      <c r="O863" s="489"/>
      <c r="P863" s="489"/>
      <c r="Q863" s="489"/>
      <c r="R863" s="489"/>
      <c r="S863" s="28"/>
      <c r="T863" s="490"/>
      <c r="U863" s="489"/>
    </row>
    <row r="864" ht="30.0" customHeight="1">
      <c r="A864" s="488"/>
      <c r="B864" s="489"/>
      <c r="C864" s="489"/>
      <c r="D864" s="488"/>
      <c r="E864" s="489"/>
      <c r="F864" s="489"/>
      <c r="G864" s="173"/>
      <c r="H864" s="488"/>
      <c r="I864" s="488"/>
      <c r="J864" s="488"/>
      <c r="K864" s="488"/>
      <c r="L864" s="488"/>
      <c r="M864" s="489"/>
      <c r="N864" s="488"/>
      <c r="O864" s="489"/>
      <c r="P864" s="489"/>
      <c r="Q864" s="489"/>
      <c r="R864" s="489"/>
      <c r="S864" s="28"/>
      <c r="T864" s="490"/>
      <c r="U864" s="489"/>
    </row>
    <row r="865" ht="30.0" customHeight="1">
      <c r="A865" s="488"/>
      <c r="B865" s="489"/>
      <c r="C865" s="489"/>
      <c r="D865" s="488"/>
      <c r="E865" s="489"/>
      <c r="F865" s="489"/>
      <c r="G865" s="173"/>
      <c r="H865" s="488"/>
      <c r="I865" s="488"/>
      <c r="J865" s="488"/>
      <c r="K865" s="488"/>
      <c r="L865" s="488"/>
      <c r="M865" s="489"/>
      <c r="N865" s="488"/>
      <c r="O865" s="489"/>
      <c r="P865" s="489"/>
      <c r="Q865" s="489"/>
      <c r="R865" s="489"/>
      <c r="S865" s="28"/>
      <c r="T865" s="490"/>
      <c r="U865" s="489"/>
    </row>
    <row r="866" ht="30.0" customHeight="1">
      <c r="A866" s="488"/>
      <c r="B866" s="489"/>
      <c r="C866" s="489"/>
      <c r="D866" s="488"/>
      <c r="E866" s="489"/>
      <c r="F866" s="489"/>
      <c r="G866" s="173"/>
      <c r="H866" s="488"/>
      <c r="I866" s="488"/>
      <c r="J866" s="488"/>
      <c r="K866" s="488"/>
      <c r="L866" s="488"/>
      <c r="M866" s="489"/>
      <c r="N866" s="488"/>
      <c r="O866" s="489"/>
      <c r="P866" s="489"/>
      <c r="Q866" s="489"/>
      <c r="R866" s="489"/>
      <c r="S866" s="28"/>
      <c r="T866" s="490"/>
      <c r="U866" s="489"/>
    </row>
    <row r="867" ht="30.0" customHeight="1">
      <c r="A867" s="488"/>
      <c r="B867" s="489"/>
      <c r="C867" s="489"/>
      <c r="D867" s="488"/>
      <c r="E867" s="489"/>
      <c r="F867" s="489"/>
      <c r="G867" s="173"/>
      <c r="H867" s="488"/>
      <c r="I867" s="488"/>
      <c r="J867" s="488"/>
      <c r="K867" s="488"/>
      <c r="L867" s="488"/>
      <c r="M867" s="489"/>
      <c r="N867" s="488"/>
      <c r="O867" s="489"/>
      <c r="P867" s="489"/>
      <c r="Q867" s="489"/>
      <c r="R867" s="489"/>
      <c r="S867" s="28"/>
      <c r="T867" s="490"/>
      <c r="U867" s="489"/>
    </row>
    <row r="868" ht="30.0" customHeight="1">
      <c r="A868" s="488"/>
      <c r="B868" s="489"/>
      <c r="C868" s="489"/>
      <c r="D868" s="488"/>
      <c r="E868" s="489"/>
      <c r="F868" s="489"/>
      <c r="G868" s="173"/>
      <c r="H868" s="488"/>
      <c r="I868" s="488"/>
      <c r="J868" s="488"/>
      <c r="K868" s="488"/>
      <c r="L868" s="488"/>
      <c r="M868" s="489"/>
      <c r="N868" s="488"/>
      <c r="O868" s="489"/>
      <c r="P868" s="489"/>
      <c r="Q868" s="489"/>
      <c r="R868" s="489"/>
      <c r="S868" s="28"/>
      <c r="T868" s="490"/>
      <c r="U868" s="489"/>
    </row>
    <row r="869" ht="30.0" customHeight="1">
      <c r="A869" s="488"/>
      <c r="B869" s="489"/>
      <c r="C869" s="489"/>
      <c r="D869" s="488"/>
      <c r="E869" s="489"/>
      <c r="F869" s="489"/>
      <c r="G869" s="173"/>
      <c r="H869" s="488"/>
      <c r="I869" s="488"/>
      <c r="J869" s="488"/>
      <c r="K869" s="488"/>
      <c r="L869" s="488"/>
      <c r="M869" s="489"/>
      <c r="N869" s="488"/>
      <c r="O869" s="489"/>
      <c r="P869" s="489"/>
      <c r="Q869" s="489"/>
      <c r="R869" s="489"/>
      <c r="S869" s="28"/>
      <c r="T869" s="490"/>
      <c r="U869" s="489"/>
    </row>
    <row r="870" ht="30.0" customHeight="1">
      <c r="A870" s="488"/>
      <c r="B870" s="489"/>
      <c r="C870" s="489"/>
      <c r="D870" s="488"/>
      <c r="E870" s="489"/>
      <c r="F870" s="489"/>
      <c r="G870" s="173"/>
      <c r="H870" s="488"/>
      <c r="I870" s="488"/>
      <c r="J870" s="488"/>
      <c r="K870" s="488"/>
      <c r="L870" s="488"/>
      <c r="M870" s="489"/>
      <c r="N870" s="488"/>
      <c r="O870" s="489"/>
      <c r="P870" s="489"/>
      <c r="Q870" s="489"/>
      <c r="R870" s="489"/>
      <c r="S870" s="28"/>
      <c r="T870" s="490"/>
      <c r="U870" s="489"/>
    </row>
    <row r="871" ht="30.0" customHeight="1">
      <c r="A871" s="488"/>
      <c r="B871" s="489"/>
      <c r="C871" s="489"/>
      <c r="D871" s="488"/>
      <c r="E871" s="489"/>
      <c r="F871" s="489"/>
      <c r="G871" s="173"/>
      <c r="H871" s="488"/>
      <c r="I871" s="488"/>
      <c r="J871" s="488"/>
      <c r="K871" s="488"/>
      <c r="L871" s="488"/>
      <c r="M871" s="489"/>
      <c r="N871" s="488"/>
      <c r="O871" s="489"/>
      <c r="P871" s="489"/>
      <c r="Q871" s="489"/>
      <c r="R871" s="489"/>
      <c r="S871" s="28"/>
      <c r="T871" s="490"/>
      <c r="U871" s="489"/>
    </row>
    <row r="872" ht="30.0" customHeight="1">
      <c r="A872" s="488"/>
      <c r="B872" s="489"/>
      <c r="C872" s="489"/>
      <c r="D872" s="488"/>
      <c r="E872" s="489"/>
      <c r="F872" s="489"/>
      <c r="G872" s="173"/>
      <c r="H872" s="488"/>
      <c r="I872" s="488"/>
      <c r="J872" s="488"/>
      <c r="K872" s="488"/>
      <c r="L872" s="488"/>
      <c r="M872" s="489"/>
      <c r="N872" s="488"/>
      <c r="O872" s="489"/>
      <c r="P872" s="489"/>
      <c r="Q872" s="489"/>
      <c r="R872" s="489"/>
      <c r="S872" s="28"/>
      <c r="T872" s="490"/>
      <c r="U872" s="489"/>
    </row>
    <row r="873" ht="30.0" customHeight="1">
      <c r="A873" s="488"/>
      <c r="B873" s="489"/>
      <c r="C873" s="489"/>
      <c r="D873" s="488"/>
      <c r="E873" s="489"/>
      <c r="F873" s="489"/>
      <c r="G873" s="173"/>
      <c r="H873" s="488"/>
      <c r="I873" s="488"/>
      <c r="J873" s="488"/>
      <c r="K873" s="488"/>
      <c r="L873" s="488"/>
      <c r="M873" s="489"/>
      <c r="N873" s="488"/>
      <c r="O873" s="489"/>
      <c r="P873" s="489"/>
      <c r="Q873" s="489"/>
      <c r="R873" s="489"/>
      <c r="S873" s="28"/>
      <c r="T873" s="490"/>
      <c r="U873" s="489"/>
    </row>
    <row r="874" ht="30.0" customHeight="1">
      <c r="A874" s="488"/>
      <c r="B874" s="489"/>
      <c r="C874" s="489"/>
      <c r="D874" s="488"/>
      <c r="E874" s="489"/>
      <c r="F874" s="489"/>
      <c r="G874" s="173"/>
      <c r="H874" s="488"/>
      <c r="I874" s="488"/>
      <c r="J874" s="488"/>
      <c r="K874" s="488"/>
      <c r="L874" s="488"/>
      <c r="M874" s="489"/>
      <c r="N874" s="488"/>
      <c r="O874" s="489"/>
      <c r="P874" s="489"/>
      <c r="Q874" s="489"/>
      <c r="R874" s="489"/>
      <c r="S874" s="28"/>
      <c r="T874" s="490"/>
      <c r="U874" s="489"/>
    </row>
    <row r="875" ht="30.0" customHeight="1">
      <c r="A875" s="488"/>
      <c r="B875" s="489"/>
      <c r="C875" s="489"/>
      <c r="D875" s="488"/>
      <c r="E875" s="489"/>
      <c r="F875" s="489"/>
      <c r="G875" s="173"/>
      <c r="H875" s="488"/>
      <c r="I875" s="488"/>
      <c r="J875" s="488"/>
      <c r="K875" s="488"/>
      <c r="L875" s="488"/>
      <c r="M875" s="489"/>
      <c r="N875" s="488"/>
      <c r="O875" s="489"/>
      <c r="P875" s="489"/>
      <c r="Q875" s="489"/>
      <c r="R875" s="489"/>
      <c r="S875" s="28"/>
      <c r="T875" s="490"/>
      <c r="U875" s="489"/>
    </row>
    <row r="876" ht="30.0" customHeight="1">
      <c r="A876" s="488"/>
      <c r="B876" s="489"/>
      <c r="C876" s="489"/>
      <c r="D876" s="488"/>
      <c r="E876" s="489"/>
      <c r="F876" s="489"/>
      <c r="G876" s="173"/>
      <c r="H876" s="488"/>
      <c r="I876" s="488"/>
      <c r="J876" s="488"/>
      <c r="K876" s="488"/>
      <c r="L876" s="488"/>
      <c r="M876" s="489"/>
      <c r="N876" s="488"/>
      <c r="O876" s="489"/>
      <c r="P876" s="489"/>
      <c r="Q876" s="489"/>
      <c r="R876" s="489"/>
      <c r="S876" s="28"/>
      <c r="T876" s="490"/>
      <c r="U876" s="489"/>
    </row>
    <row r="877" ht="30.0" customHeight="1">
      <c r="A877" s="488"/>
      <c r="B877" s="489"/>
      <c r="C877" s="489"/>
      <c r="D877" s="488"/>
      <c r="E877" s="489"/>
      <c r="F877" s="489"/>
      <c r="G877" s="173"/>
      <c r="H877" s="488"/>
      <c r="I877" s="488"/>
      <c r="J877" s="488"/>
      <c r="K877" s="488"/>
      <c r="L877" s="488"/>
      <c r="M877" s="489"/>
      <c r="N877" s="488"/>
      <c r="O877" s="489"/>
      <c r="P877" s="489"/>
      <c r="Q877" s="489"/>
      <c r="R877" s="489"/>
      <c r="S877" s="28"/>
      <c r="T877" s="490"/>
      <c r="U877" s="489"/>
    </row>
    <row r="878" ht="30.0" customHeight="1">
      <c r="A878" s="488"/>
      <c r="B878" s="489"/>
      <c r="C878" s="489"/>
      <c r="D878" s="488"/>
      <c r="E878" s="489"/>
      <c r="F878" s="489"/>
      <c r="G878" s="173"/>
      <c r="H878" s="488"/>
      <c r="I878" s="488"/>
      <c r="J878" s="488"/>
      <c r="K878" s="488"/>
      <c r="L878" s="488"/>
      <c r="M878" s="489"/>
      <c r="N878" s="488"/>
      <c r="O878" s="489"/>
      <c r="P878" s="489"/>
      <c r="Q878" s="489"/>
      <c r="R878" s="489"/>
      <c r="S878" s="28"/>
      <c r="T878" s="490"/>
      <c r="U878" s="489"/>
    </row>
    <row r="879" ht="30.0" customHeight="1">
      <c r="A879" s="488"/>
      <c r="B879" s="489"/>
      <c r="C879" s="489"/>
      <c r="D879" s="488"/>
      <c r="E879" s="489"/>
      <c r="F879" s="489"/>
      <c r="G879" s="173"/>
      <c r="H879" s="488"/>
      <c r="I879" s="488"/>
      <c r="J879" s="488"/>
      <c r="K879" s="488"/>
      <c r="L879" s="488"/>
      <c r="M879" s="489"/>
      <c r="N879" s="488"/>
      <c r="O879" s="489"/>
      <c r="P879" s="489"/>
      <c r="Q879" s="489"/>
      <c r="R879" s="489"/>
      <c r="S879" s="28"/>
      <c r="T879" s="490"/>
      <c r="U879" s="489"/>
    </row>
    <row r="880" ht="30.0" customHeight="1">
      <c r="A880" s="488"/>
      <c r="B880" s="489"/>
      <c r="C880" s="489"/>
      <c r="D880" s="488"/>
      <c r="E880" s="489"/>
      <c r="F880" s="489"/>
      <c r="G880" s="173"/>
      <c r="H880" s="488"/>
      <c r="I880" s="488"/>
      <c r="J880" s="488"/>
      <c r="K880" s="488"/>
      <c r="L880" s="488"/>
      <c r="M880" s="489"/>
      <c r="N880" s="488"/>
      <c r="O880" s="489"/>
      <c r="P880" s="489"/>
      <c r="Q880" s="489"/>
      <c r="R880" s="489"/>
      <c r="S880" s="28"/>
      <c r="T880" s="490"/>
      <c r="U880" s="489"/>
    </row>
    <row r="881" ht="30.0" customHeight="1">
      <c r="A881" s="488"/>
      <c r="B881" s="489"/>
      <c r="C881" s="489"/>
      <c r="D881" s="488"/>
      <c r="E881" s="489"/>
      <c r="F881" s="489"/>
      <c r="G881" s="173"/>
      <c r="H881" s="488"/>
      <c r="I881" s="488"/>
      <c r="J881" s="488"/>
      <c r="K881" s="488"/>
      <c r="L881" s="488"/>
      <c r="M881" s="489"/>
      <c r="N881" s="488"/>
      <c r="O881" s="489"/>
      <c r="P881" s="489"/>
      <c r="Q881" s="489"/>
      <c r="R881" s="489"/>
      <c r="S881" s="28"/>
      <c r="T881" s="490"/>
      <c r="U881" s="489"/>
    </row>
    <row r="882" ht="30.0" customHeight="1">
      <c r="A882" s="488"/>
      <c r="B882" s="489"/>
      <c r="C882" s="489"/>
      <c r="D882" s="488"/>
      <c r="E882" s="489"/>
      <c r="F882" s="489"/>
      <c r="G882" s="173"/>
      <c r="H882" s="488"/>
      <c r="I882" s="488"/>
      <c r="J882" s="488"/>
      <c r="K882" s="488"/>
      <c r="L882" s="488"/>
      <c r="M882" s="489"/>
      <c r="N882" s="488"/>
      <c r="O882" s="489"/>
      <c r="P882" s="489"/>
      <c r="Q882" s="489"/>
      <c r="R882" s="489"/>
      <c r="S882" s="28"/>
      <c r="T882" s="490"/>
      <c r="U882" s="489"/>
    </row>
    <row r="883" ht="30.0" customHeight="1">
      <c r="A883" s="488"/>
      <c r="B883" s="489"/>
      <c r="C883" s="489"/>
      <c r="D883" s="488"/>
      <c r="E883" s="489"/>
      <c r="F883" s="489"/>
      <c r="G883" s="173"/>
      <c r="H883" s="488"/>
      <c r="I883" s="488"/>
      <c r="J883" s="488"/>
      <c r="K883" s="488"/>
      <c r="L883" s="488"/>
      <c r="M883" s="489"/>
      <c r="N883" s="488"/>
      <c r="O883" s="489"/>
      <c r="P883" s="489"/>
      <c r="Q883" s="489"/>
      <c r="R883" s="489"/>
      <c r="S883" s="28"/>
      <c r="T883" s="490"/>
      <c r="U883" s="489"/>
    </row>
    <row r="884" ht="30.0" customHeight="1">
      <c r="A884" s="488"/>
      <c r="B884" s="489"/>
      <c r="C884" s="489"/>
      <c r="D884" s="488"/>
      <c r="E884" s="489"/>
      <c r="F884" s="489"/>
      <c r="G884" s="173"/>
      <c r="H884" s="488"/>
      <c r="I884" s="488"/>
      <c r="J884" s="488"/>
      <c r="K884" s="488"/>
      <c r="L884" s="488"/>
      <c r="M884" s="489"/>
      <c r="N884" s="488"/>
      <c r="O884" s="489"/>
      <c r="P884" s="489"/>
      <c r="Q884" s="489"/>
      <c r="R884" s="489"/>
      <c r="S884" s="28"/>
      <c r="T884" s="490"/>
      <c r="U884" s="489"/>
    </row>
    <row r="885" ht="30.0" customHeight="1">
      <c r="A885" s="488"/>
      <c r="B885" s="489"/>
      <c r="C885" s="489"/>
      <c r="D885" s="488"/>
      <c r="E885" s="489"/>
      <c r="F885" s="489"/>
      <c r="G885" s="173"/>
      <c r="H885" s="488"/>
      <c r="I885" s="488"/>
      <c r="J885" s="488"/>
      <c r="K885" s="488"/>
      <c r="L885" s="488"/>
      <c r="M885" s="489"/>
      <c r="N885" s="488"/>
      <c r="O885" s="489"/>
      <c r="P885" s="489"/>
      <c r="Q885" s="489"/>
      <c r="R885" s="489"/>
      <c r="S885" s="28"/>
      <c r="T885" s="490"/>
      <c r="U885" s="489"/>
    </row>
    <row r="886" ht="30.0" customHeight="1">
      <c r="A886" s="488"/>
      <c r="B886" s="489"/>
      <c r="C886" s="489"/>
      <c r="D886" s="488"/>
      <c r="E886" s="489"/>
      <c r="F886" s="489"/>
      <c r="G886" s="173"/>
      <c r="H886" s="488"/>
      <c r="I886" s="488"/>
      <c r="J886" s="488"/>
      <c r="K886" s="488"/>
      <c r="L886" s="488"/>
      <c r="M886" s="489"/>
      <c r="N886" s="488"/>
      <c r="O886" s="489"/>
      <c r="P886" s="489"/>
      <c r="Q886" s="489"/>
      <c r="R886" s="489"/>
      <c r="S886" s="28"/>
      <c r="T886" s="490"/>
      <c r="U886" s="489"/>
    </row>
    <row r="887" ht="30.0" customHeight="1">
      <c r="A887" s="488"/>
      <c r="B887" s="489"/>
      <c r="C887" s="489"/>
      <c r="D887" s="488"/>
      <c r="E887" s="489"/>
      <c r="F887" s="489"/>
      <c r="G887" s="173"/>
      <c r="H887" s="488"/>
      <c r="I887" s="488"/>
      <c r="J887" s="488"/>
      <c r="K887" s="488"/>
      <c r="L887" s="488"/>
      <c r="M887" s="489"/>
      <c r="N887" s="488"/>
      <c r="O887" s="489"/>
      <c r="P887" s="489"/>
      <c r="Q887" s="489"/>
      <c r="R887" s="489"/>
      <c r="S887" s="28"/>
      <c r="T887" s="490"/>
      <c r="U887" s="489"/>
    </row>
    <row r="888" ht="30.0" customHeight="1">
      <c r="A888" s="488"/>
      <c r="B888" s="489"/>
      <c r="C888" s="489"/>
      <c r="D888" s="488"/>
      <c r="E888" s="489"/>
      <c r="F888" s="489"/>
      <c r="G888" s="173"/>
      <c r="H888" s="488"/>
      <c r="I888" s="488"/>
      <c r="J888" s="488"/>
      <c r="K888" s="488"/>
      <c r="L888" s="488"/>
      <c r="M888" s="489"/>
      <c r="N888" s="488"/>
      <c r="O888" s="489"/>
      <c r="P888" s="489"/>
      <c r="Q888" s="489"/>
      <c r="R888" s="489"/>
      <c r="S888" s="28"/>
      <c r="T888" s="490"/>
      <c r="U888" s="489"/>
    </row>
    <row r="889" ht="30.0" customHeight="1">
      <c r="A889" s="488"/>
      <c r="B889" s="489"/>
      <c r="C889" s="489"/>
      <c r="D889" s="488"/>
      <c r="E889" s="489"/>
      <c r="F889" s="489"/>
      <c r="G889" s="173"/>
      <c r="H889" s="488"/>
      <c r="I889" s="488"/>
      <c r="J889" s="488"/>
      <c r="K889" s="488"/>
      <c r="L889" s="488"/>
      <c r="M889" s="489"/>
      <c r="N889" s="488"/>
      <c r="O889" s="489"/>
      <c r="P889" s="489"/>
      <c r="Q889" s="489"/>
      <c r="R889" s="489"/>
      <c r="S889" s="28"/>
      <c r="T889" s="490"/>
      <c r="U889" s="489"/>
    </row>
    <row r="890" ht="30.0" customHeight="1">
      <c r="A890" s="488"/>
      <c r="B890" s="489"/>
      <c r="C890" s="489"/>
      <c r="D890" s="488"/>
      <c r="E890" s="489"/>
      <c r="F890" s="489"/>
      <c r="G890" s="173"/>
      <c r="H890" s="488"/>
      <c r="I890" s="488"/>
      <c r="J890" s="488"/>
      <c r="K890" s="488"/>
      <c r="L890" s="488"/>
      <c r="M890" s="489"/>
      <c r="N890" s="488"/>
      <c r="O890" s="489"/>
      <c r="P890" s="489"/>
      <c r="Q890" s="489"/>
      <c r="R890" s="489"/>
      <c r="S890" s="28"/>
      <c r="T890" s="490"/>
      <c r="U890" s="489"/>
    </row>
    <row r="891" ht="30.0" customHeight="1">
      <c r="A891" s="488"/>
      <c r="B891" s="489"/>
      <c r="C891" s="489"/>
      <c r="D891" s="488"/>
      <c r="E891" s="489"/>
      <c r="F891" s="489"/>
      <c r="G891" s="173"/>
      <c r="H891" s="488"/>
      <c r="I891" s="488"/>
      <c r="J891" s="488"/>
      <c r="K891" s="488"/>
      <c r="L891" s="488"/>
      <c r="M891" s="489"/>
      <c r="N891" s="488"/>
      <c r="O891" s="489"/>
      <c r="P891" s="489"/>
      <c r="Q891" s="489"/>
      <c r="R891" s="489"/>
      <c r="S891" s="28"/>
      <c r="T891" s="490"/>
      <c r="U891" s="489"/>
    </row>
    <row r="892" ht="30.0" customHeight="1">
      <c r="A892" s="488"/>
      <c r="B892" s="489"/>
      <c r="C892" s="489"/>
      <c r="D892" s="488"/>
      <c r="E892" s="489"/>
      <c r="F892" s="489"/>
      <c r="G892" s="173"/>
      <c r="H892" s="488"/>
      <c r="I892" s="488"/>
      <c r="J892" s="488"/>
      <c r="K892" s="488"/>
      <c r="L892" s="488"/>
      <c r="M892" s="489"/>
      <c r="N892" s="488"/>
      <c r="O892" s="489"/>
      <c r="P892" s="489"/>
      <c r="Q892" s="489"/>
      <c r="R892" s="489"/>
      <c r="S892" s="28"/>
      <c r="T892" s="490"/>
      <c r="U892" s="489"/>
    </row>
    <row r="893" ht="30.0" customHeight="1">
      <c r="A893" s="488"/>
      <c r="B893" s="489"/>
      <c r="C893" s="489"/>
      <c r="D893" s="488"/>
      <c r="E893" s="489"/>
      <c r="F893" s="489"/>
      <c r="G893" s="173"/>
      <c r="H893" s="488"/>
      <c r="I893" s="488"/>
      <c r="J893" s="488"/>
      <c r="K893" s="488"/>
      <c r="L893" s="488"/>
      <c r="M893" s="489"/>
      <c r="N893" s="488"/>
      <c r="O893" s="489"/>
      <c r="P893" s="489"/>
      <c r="Q893" s="489"/>
      <c r="R893" s="489"/>
      <c r="S893" s="28"/>
      <c r="T893" s="490"/>
      <c r="U893" s="489"/>
    </row>
    <row r="894" ht="30.0" customHeight="1">
      <c r="A894" s="488"/>
      <c r="B894" s="489"/>
      <c r="C894" s="489"/>
      <c r="D894" s="488"/>
      <c r="E894" s="489"/>
      <c r="F894" s="489"/>
      <c r="G894" s="173"/>
      <c r="H894" s="488"/>
      <c r="I894" s="488"/>
      <c r="J894" s="488"/>
      <c r="K894" s="488"/>
      <c r="L894" s="488"/>
      <c r="M894" s="489"/>
      <c r="N894" s="488"/>
      <c r="O894" s="489"/>
      <c r="P894" s="489"/>
      <c r="Q894" s="489"/>
      <c r="R894" s="489"/>
      <c r="S894" s="28"/>
      <c r="T894" s="490"/>
      <c r="U894" s="489"/>
    </row>
    <row r="895" ht="30.0" customHeight="1">
      <c r="A895" s="488"/>
      <c r="B895" s="489"/>
      <c r="C895" s="489"/>
      <c r="D895" s="488"/>
      <c r="E895" s="489"/>
      <c r="F895" s="489"/>
      <c r="G895" s="173"/>
      <c r="H895" s="488"/>
      <c r="I895" s="488"/>
      <c r="J895" s="488"/>
      <c r="K895" s="488"/>
      <c r="L895" s="488"/>
      <c r="M895" s="489"/>
      <c r="N895" s="488"/>
      <c r="O895" s="489"/>
      <c r="P895" s="489"/>
      <c r="Q895" s="489"/>
      <c r="R895" s="489"/>
      <c r="S895" s="28"/>
      <c r="T895" s="490"/>
      <c r="U895" s="489"/>
    </row>
    <row r="896" ht="30.0" customHeight="1">
      <c r="A896" s="488"/>
      <c r="B896" s="489"/>
      <c r="C896" s="489"/>
      <c r="D896" s="488"/>
      <c r="E896" s="489"/>
      <c r="F896" s="489"/>
      <c r="G896" s="173"/>
      <c r="H896" s="488"/>
      <c r="I896" s="488"/>
      <c r="J896" s="488"/>
      <c r="K896" s="488"/>
      <c r="L896" s="488"/>
      <c r="M896" s="489"/>
      <c r="N896" s="488"/>
      <c r="O896" s="489"/>
      <c r="P896" s="489"/>
      <c r="Q896" s="489"/>
      <c r="R896" s="489"/>
      <c r="S896" s="28"/>
      <c r="T896" s="490"/>
      <c r="U896" s="489"/>
    </row>
    <row r="897" ht="30.0" customHeight="1">
      <c r="A897" s="488"/>
      <c r="B897" s="489"/>
      <c r="C897" s="489"/>
      <c r="D897" s="488"/>
      <c r="E897" s="489"/>
      <c r="F897" s="489"/>
      <c r="G897" s="173"/>
      <c r="H897" s="488"/>
      <c r="I897" s="488"/>
      <c r="J897" s="488"/>
      <c r="K897" s="488"/>
      <c r="L897" s="488"/>
      <c r="M897" s="489"/>
      <c r="N897" s="488"/>
      <c r="O897" s="489"/>
      <c r="P897" s="489"/>
      <c r="Q897" s="489"/>
      <c r="R897" s="489"/>
      <c r="S897" s="28"/>
      <c r="T897" s="490"/>
      <c r="U897" s="489"/>
    </row>
    <row r="898" ht="30.0" customHeight="1">
      <c r="A898" s="488"/>
      <c r="B898" s="489"/>
      <c r="C898" s="489"/>
      <c r="D898" s="488"/>
      <c r="E898" s="489"/>
      <c r="F898" s="489"/>
      <c r="G898" s="173"/>
      <c r="H898" s="488"/>
      <c r="I898" s="488"/>
      <c r="J898" s="488"/>
      <c r="K898" s="488"/>
      <c r="L898" s="488"/>
      <c r="M898" s="489"/>
      <c r="N898" s="488"/>
      <c r="O898" s="489"/>
      <c r="P898" s="489"/>
      <c r="Q898" s="489"/>
      <c r="R898" s="489"/>
      <c r="S898" s="28"/>
      <c r="T898" s="490"/>
      <c r="U898" s="489"/>
    </row>
    <row r="899" ht="30.0" customHeight="1">
      <c r="A899" s="488"/>
      <c r="B899" s="489"/>
      <c r="C899" s="489"/>
      <c r="D899" s="488"/>
      <c r="E899" s="489"/>
      <c r="F899" s="489"/>
      <c r="G899" s="173"/>
      <c r="H899" s="488"/>
      <c r="I899" s="488"/>
      <c r="J899" s="488"/>
      <c r="K899" s="488"/>
      <c r="L899" s="488"/>
      <c r="M899" s="489"/>
      <c r="N899" s="488"/>
      <c r="O899" s="489"/>
      <c r="P899" s="489"/>
      <c r="Q899" s="489"/>
      <c r="R899" s="489"/>
      <c r="S899" s="28"/>
      <c r="T899" s="490"/>
      <c r="U899" s="489"/>
    </row>
    <row r="900" ht="30.0" customHeight="1">
      <c r="A900" s="488"/>
      <c r="B900" s="489"/>
      <c r="C900" s="489"/>
      <c r="D900" s="488"/>
      <c r="E900" s="489"/>
      <c r="F900" s="489"/>
      <c r="G900" s="173"/>
      <c r="H900" s="488"/>
      <c r="I900" s="488"/>
      <c r="J900" s="488"/>
      <c r="K900" s="488"/>
      <c r="L900" s="488"/>
      <c r="M900" s="489"/>
      <c r="N900" s="488"/>
      <c r="O900" s="489"/>
      <c r="P900" s="489"/>
      <c r="Q900" s="489"/>
      <c r="R900" s="489"/>
      <c r="S900" s="28"/>
      <c r="T900" s="490"/>
      <c r="U900" s="489"/>
    </row>
    <row r="901" ht="30.0" customHeight="1">
      <c r="A901" s="488"/>
      <c r="B901" s="489"/>
      <c r="C901" s="489"/>
      <c r="D901" s="488"/>
      <c r="E901" s="489"/>
      <c r="F901" s="489"/>
      <c r="G901" s="173"/>
      <c r="H901" s="488"/>
      <c r="I901" s="488"/>
      <c r="J901" s="488"/>
      <c r="K901" s="488"/>
      <c r="L901" s="488"/>
      <c r="M901" s="489"/>
      <c r="N901" s="488"/>
      <c r="O901" s="489"/>
      <c r="P901" s="489"/>
      <c r="Q901" s="489"/>
      <c r="R901" s="489"/>
      <c r="S901" s="28"/>
      <c r="T901" s="490"/>
      <c r="U901" s="489"/>
    </row>
    <row r="902" ht="30.0" customHeight="1">
      <c r="A902" s="488"/>
      <c r="B902" s="489"/>
      <c r="C902" s="489"/>
      <c r="D902" s="488"/>
      <c r="E902" s="489"/>
      <c r="F902" s="489"/>
      <c r="G902" s="173"/>
      <c r="H902" s="488"/>
      <c r="I902" s="488"/>
      <c r="J902" s="488"/>
      <c r="K902" s="488"/>
      <c r="L902" s="488"/>
      <c r="M902" s="489"/>
      <c r="N902" s="488"/>
      <c r="O902" s="489"/>
      <c r="P902" s="489"/>
      <c r="Q902" s="489"/>
      <c r="R902" s="489"/>
      <c r="S902" s="28"/>
      <c r="T902" s="490"/>
      <c r="U902" s="489"/>
    </row>
    <row r="903" ht="30.0" customHeight="1">
      <c r="A903" s="488"/>
      <c r="B903" s="489"/>
      <c r="C903" s="489"/>
      <c r="D903" s="488"/>
      <c r="E903" s="489"/>
      <c r="F903" s="489"/>
      <c r="G903" s="173"/>
      <c r="H903" s="488"/>
      <c r="I903" s="488"/>
      <c r="J903" s="488"/>
      <c r="K903" s="488"/>
      <c r="L903" s="488"/>
      <c r="M903" s="489"/>
      <c r="N903" s="488"/>
      <c r="O903" s="489"/>
      <c r="P903" s="489"/>
      <c r="Q903" s="489"/>
      <c r="R903" s="489"/>
      <c r="S903" s="28"/>
      <c r="T903" s="490"/>
      <c r="U903" s="489"/>
    </row>
    <row r="904" ht="30.0" customHeight="1">
      <c r="A904" s="488"/>
      <c r="B904" s="489"/>
      <c r="C904" s="489"/>
      <c r="D904" s="488"/>
      <c r="E904" s="489"/>
      <c r="F904" s="489"/>
      <c r="G904" s="173"/>
      <c r="H904" s="488"/>
      <c r="I904" s="488"/>
      <c r="J904" s="488"/>
      <c r="K904" s="488"/>
      <c r="L904" s="488"/>
      <c r="M904" s="489"/>
      <c r="N904" s="488"/>
      <c r="O904" s="489"/>
      <c r="P904" s="489"/>
      <c r="Q904" s="489"/>
      <c r="R904" s="489"/>
      <c r="S904" s="28"/>
      <c r="T904" s="490"/>
      <c r="U904" s="489"/>
    </row>
    <row r="905" ht="30.0" customHeight="1">
      <c r="A905" s="488"/>
      <c r="B905" s="489"/>
      <c r="C905" s="489"/>
      <c r="D905" s="488"/>
      <c r="E905" s="489"/>
      <c r="F905" s="489"/>
      <c r="G905" s="173"/>
      <c r="H905" s="488"/>
      <c r="I905" s="488"/>
      <c r="J905" s="488"/>
      <c r="K905" s="488"/>
      <c r="L905" s="488"/>
      <c r="M905" s="489"/>
      <c r="N905" s="488"/>
      <c r="O905" s="489"/>
      <c r="P905" s="489"/>
      <c r="Q905" s="489"/>
      <c r="R905" s="489"/>
      <c r="S905" s="28"/>
      <c r="T905" s="490"/>
      <c r="U905" s="489"/>
    </row>
    <row r="906" ht="30.0" customHeight="1">
      <c r="A906" s="488"/>
      <c r="B906" s="489"/>
      <c r="C906" s="489"/>
      <c r="D906" s="488"/>
      <c r="E906" s="489"/>
      <c r="F906" s="489"/>
      <c r="G906" s="173"/>
      <c r="H906" s="488"/>
      <c r="I906" s="488"/>
      <c r="J906" s="488"/>
      <c r="K906" s="488"/>
      <c r="L906" s="488"/>
      <c r="M906" s="489"/>
      <c r="N906" s="488"/>
      <c r="O906" s="489"/>
      <c r="P906" s="489"/>
      <c r="Q906" s="489"/>
      <c r="R906" s="489"/>
      <c r="S906" s="28"/>
      <c r="T906" s="490"/>
      <c r="U906" s="489"/>
    </row>
    <row r="907" ht="30.0" customHeight="1">
      <c r="A907" s="488"/>
      <c r="B907" s="489"/>
      <c r="C907" s="489"/>
      <c r="D907" s="488"/>
      <c r="E907" s="489"/>
      <c r="F907" s="489"/>
      <c r="G907" s="173"/>
      <c r="H907" s="488"/>
      <c r="I907" s="488"/>
      <c r="J907" s="488"/>
      <c r="K907" s="488"/>
      <c r="L907" s="488"/>
      <c r="M907" s="489"/>
      <c r="N907" s="488"/>
      <c r="O907" s="489"/>
      <c r="P907" s="489"/>
      <c r="Q907" s="489"/>
      <c r="R907" s="489"/>
      <c r="S907" s="28"/>
      <c r="T907" s="490"/>
      <c r="U907" s="489"/>
    </row>
    <row r="908" ht="30.0" customHeight="1">
      <c r="A908" s="488"/>
      <c r="B908" s="489"/>
      <c r="C908" s="489"/>
      <c r="D908" s="488"/>
      <c r="E908" s="489"/>
      <c r="F908" s="489"/>
      <c r="G908" s="173"/>
      <c r="H908" s="488"/>
      <c r="I908" s="488"/>
      <c r="J908" s="488"/>
      <c r="K908" s="488"/>
      <c r="L908" s="488"/>
      <c r="M908" s="489"/>
      <c r="N908" s="488"/>
      <c r="O908" s="489"/>
      <c r="P908" s="489"/>
      <c r="Q908" s="489"/>
      <c r="R908" s="489"/>
      <c r="S908" s="28"/>
      <c r="T908" s="490"/>
      <c r="U908" s="489"/>
    </row>
    <row r="909" ht="30.0" customHeight="1">
      <c r="A909" s="488"/>
      <c r="B909" s="489"/>
      <c r="C909" s="489"/>
      <c r="D909" s="488"/>
      <c r="E909" s="489"/>
      <c r="F909" s="489"/>
      <c r="G909" s="173"/>
      <c r="H909" s="488"/>
      <c r="I909" s="488"/>
      <c r="J909" s="488"/>
      <c r="K909" s="488"/>
      <c r="L909" s="488"/>
      <c r="M909" s="489"/>
      <c r="N909" s="488"/>
      <c r="O909" s="489"/>
      <c r="P909" s="489"/>
      <c r="Q909" s="489"/>
      <c r="R909" s="489"/>
      <c r="S909" s="28"/>
      <c r="T909" s="490"/>
      <c r="U909" s="489"/>
    </row>
    <row r="910" ht="30.0" customHeight="1">
      <c r="A910" s="488"/>
      <c r="B910" s="489"/>
      <c r="C910" s="489"/>
      <c r="D910" s="488"/>
      <c r="E910" s="489"/>
      <c r="F910" s="489"/>
      <c r="G910" s="173"/>
      <c r="H910" s="488"/>
      <c r="I910" s="488"/>
      <c r="J910" s="488"/>
      <c r="K910" s="488"/>
      <c r="L910" s="488"/>
      <c r="M910" s="489"/>
      <c r="N910" s="488"/>
      <c r="O910" s="489"/>
      <c r="P910" s="489"/>
      <c r="Q910" s="489"/>
      <c r="R910" s="489"/>
      <c r="S910" s="28"/>
      <c r="T910" s="490"/>
      <c r="U910" s="489"/>
    </row>
    <row r="911" ht="30.0" customHeight="1">
      <c r="A911" s="488"/>
      <c r="B911" s="489"/>
      <c r="C911" s="489"/>
      <c r="D911" s="488"/>
      <c r="E911" s="489"/>
      <c r="F911" s="489"/>
      <c r="G911" s="173"/>
      <c r="H911" s="488"/>
      <c r="I911" s="488"/>
      <c r="J911" s="488"/>
      <c r="K911" s="488"/>
      <c r="L911" s="488"/>
      <c r="M911" s="489"/>
      <c r="N911" s="488"/>
      <c r="O911" s="489"/>
      <c r="P911" s="489"/>
      <c r="Q911" s="489"/>
      <c r="R911" s="489"/>
      <c r="S911" s="28"/>
      <c r="T911" s="490"/>
      <c r="U911" s="489"/>
    </row>
    <row r="912" ht="30.0" customHeight="1">
      <c r="A912" s="488"/>
      <c r="B912" s="489"/>
      <c r="C912" s="489"/>
      <c r="D912" s="488"/>
      <c r="E912" s="489"/>
      <c r="F912" s="489"/>
      <c r="G912" s="173"/>
      <c r="H912" s="488"/>
      <c r="I912" s="488"/>
      <c r="J912" s="488"/>
      <c r="K912" s="488"/>
      <c r="L912" s="488"/>
      <c r="M912" s="489"/>
      <c r="N912" s="488"/>
      <c r="O912" s="489"/>
      <c r="P912" s="489"/>
      <c r="Q912" s="489"/>
      <c r="R912" s="489"/>
      <c r="S912" s="28"/>
      <c r="T912" s="490"/>
      <c r="U912" s="489"/>
    </row>
    <row r="913" ht="30.0" customHeight="1">
      <c r="A913" s="488"/>
      <c r="B913" s="489"/>
      <c r="C913" s="489"/>
      <c r="D913" s="488"/>
      <c r="E913" s="489"/>
      <c r="F913" s="489"/>
      <c r="G913" s="173"/>
      <c r="H913" s="488"/>
      <c r="I913" s="488"/>
      <c r="J913" s="488"/>
      <c r="K913" s="488"/>
      <c r="L913" s="488"/>
      <c r="M913" s="489"/>
      <c r="N913" s="488"/>
      <c r="O913" s="489"/>
      <c r="P913" s="489"/>
      <c r="Q913" s="489"/>
      <c r="R913" s="489"/>
      <c r="S913" s="28"/>
      <c r="T913" s="490"/>
      <c r="U913" s="489"/>
    </row>
    <row r="914" ht="30.0" customHeight="1">
      <c r="A914" s="488"/>
      <c r="B914" s="489"/>
      <c r="C914" s="489"/>
      <c r="D914" s="488"/>
      <c r="E914" s="489"/>
      <c r="F914" s="489"/>
      <c r="G914" s="173"/>
      <c r="H914" s="488"/>
      <c r="I914" s="488"/>
      <c r="J914" s="488"/>
      <c r="K914" s="488"/>
      <c r="L914" s="488"/>
      <c r="M914" s="489"/>
      <c r="N914" s="488"/>
      <c r="O914" s="489"/>
      <c r="P914" s="489"/>
      <c r="Q914" s="489"/>
      <c r="R914" s="489"/>
      <c r="S914" s="28"/>
      <c r="T914" s="490"/>
      <c r="U914" s="489"/>
    </row>
    <row r="915" ht="30.0" customHeight="1">
      <c r="A915" s="488"/>
      <c r="B915" s="489"/>
      <c r="C915" s="489"/>
      <c r="D915" s="488"/>
      <c r="E915" s="489"/>
      <c r="F915" s="489"/>
      <c r="G915" s="173"/>
      <c r="H915" s="488"/>
      <c r="I915" s="488"/>
      <c r="J915" s="488"/>
      <c r="K915" s="488"/>
      <c r="L915" s="488"/>
      <c r="M915" s="489"/>
      <c r="N915" s="488"/>
      <c r="O915" s="489"/>
      <c r="P915" s="489"/>
      <c r="Q915" s="489"/>
      <c r="R915" s="489"/>
      <c r="S915" s="28"/>
      <c r="T915" s="490"/>
      <c r="U915" s="489"/>
    </row>
    <row r="916" ht="30.0" customHeight="1">
      <c r="A916" s="488"/>
      <c r="B916" s="489"/>
      <c r="C916" s="489"/>
      <c r="D916" s="488"/>
      <c r="E916" s="489"/>
      <c r="F916" s="489"/>
      <c r="G916" s="173"/>
      <c r="H916" s="488"/>
      <c r="I916" s="488"/>
      <c r="J916" s="488"/>
      <c r="K916" s="488"/>
      <c r="L916" s="488"/>
      <c r="M916" s="489"/>
      <c r="N916" s="488"/>
      <c r="O916" s="489"/>
      <c r="P916" s="489"/>
      <c r="Q916" s="489"/>
      <c r="R916" s="489"/>
      <c r="S916" s="28"/>
      <c r="T916" s="490"/>
      <c r="U916" s="489"/>
    </row>
    <row r="917" ht="30.0" customHeight="1">
      <c r="A917" s="488"/>
      <c r="B917" s="489"/>
      <c r="C917" s="489"/>
      <c r="D917" s="488"/>
      <c r="E917" s="489"/>
      <c r="F917" s="489"/>
      <c r="G917" s="173"/>
      <c r="H917" s="488"/>
      <c r="I917" s="488"/>
      <c r="J917" s="488"/>
      <c r="K917" s="488"/>
      <c r="L917" s="488"/>
      <c r="M917" s="489"/>
      <c r="N917" s="488"/>
      <c r="O917" s="489"/>
      <c r="P917" s="489"/>
      <c r="Q917" s="489"/>
      <c r="R917" s="489"/>
      <c r="S917" s="28"/>
      <c r="T917" s="490"/>
      <c r="U917" s="489"/>
    </row>
    <row r="918" ht="30.0" customHeight="1">
      <c r="A918" s="488"/>
      <c r="B918" s="489"/>
      <c r="C918" s="489"/>
      <c r="D918" s="488"/>
      <c r="E918" s="489"/>
      <c r="F918" s="489"/>
      <c r="G918" s="173"/>
      <c r="H918" s="488"/>
      <c r="I918" s="488"/>
      <c r="J918" s="488"/>
      <c r="K918" s="488"/>
      <c r="L918" s="488"/>
      <c r="M918" s="489"/>
      <c r="N918" s="488"/>
      <c r="O918" s="489"/>
      <c r="P918" s="489"/>
      <c r="Q918" s="489"/>
      <c r="R918" s="489"/>
      <c r="S918" s="28"/>
      <c r="T918" s="490"/>
      <c r="U918" s="489"/>
    </row>
    <row r="919" ht="30.0" customHeight="1">
      <c r="A919" s="488"/>
      <c r="B919" s="489"/>
      <c r="C919" s="489"/>
      <c r="D919" s="488"/>
      <c r="E919" s="489"/>
      <c r="F919" s="489"/>
      <c r="G919" s="173"/>
      <c r="H919" s="488"/>
      <c r="I919" s="488"/>
      <c r="J919" s="488"/>
      <c r="K919" s="488"/>
      <c r="L919" s="488"/>
      <c r="M919" s="489"/>
      <c r="N919" s="488"/>
      <c r="O919" s="489"/>
      <c r="P919" s="489"/>
      <c r="Q919" s="489"/>
      <c r="R919" s="489"/>
      <c r="S919" s="28"/>
      <c r="T919" s="490"/>
      <c r="U919" s="489"/>
    </row>
    <row r="920" ht="30.0" customHeight="1">
      <c r="A920" s="488"/>
      <c r="B920" s="489"/>
      <c r="C920" s="489"/>
      <c r="D920" s="488"/>
      <c r="E920" s="489"/>
      <c r="F920" s="489"/>
      <c r="G920" s="173"/>
      <c r="H920" s="488"/>
      <c r="I920" s="488"/>
      <c r="J920" s="488"/>
      <c r="K920" s="488"/>
      <c r="L920" s="488"/>
      <c r="M920" s="489"/>
      <c r="N920" s="488"/>
      <c r="O920" s="489"/>
      <c r="P920" s="489"/>
      <c r="Q920" s="489"/>
      <c r="R920" s="489"/>
      <c r="S920" s="28"/>
      <c r="T920" s="490"/>
      <c r="U920" s="489"/>
    </row>
    <row r="921" ht="30.0" customHeight="1">
      <c r="A921" s="488"/>
      <c r="B921" s="489"/>
      <c r="C921" s="489"/>
      <c r="D921" s="488"/>
      <c r="E921" s="489"/>
      <c r="F921" s="489"/>
      <c r="G921" s="173"/>
      <c r="H921" s="488"/>
      <c r="I921" s="488"/>
      <c r="J921" s="488"/>
      <c r="K921" s="488"/>
      <c r="L921" s="488"/>
      <c r="M921" s="489"/>
      <c r="N921" s="488"/>
      <c r="O921" s="489"/>
      <c r="P921" s="489"/>
      <c r="Q921" s="489"/>
      <c r="R921" s="489"/>
      <c r="S921" s="28"/>
      <c r="T921" s="490"/>
      <c r="U921" s="489"/>
    </row>
    <row r="922" ht="30.0" customHeight="1">
      <c r="A922" s="488"/>
      <c r="B922" s="489"/>
      <c r="C922" s="489"/>
      <c r="D922" s="488"/>
      <c r="E922" s="489"/>
      <c r="F922" s="489"/>
      <c r="G922" s="173"/>
      <c r="H922" s="488"/>
      <c r="I922" s="488"/>
      <c r="J922" s="488"/>
      <c r="K922" s="488"/>
      <c r="L922" s="488"/>
      <c r="M922" s="489"/>
      <c r="N922" s="488"/>
      <c r="O922" s="489"/>
      <c r="P922" s="489"/>
      <c r="Q922" s="489"/>
      <c r="R922" s="489"/>
      <c r="S922" s="28"/>
      <c r="T922" s="490"/>
      <c r="U922" s="489"/>
    </row>
    <row r="923" ht="30.0" customHeight="1">
      <c r="A923" s="488"/>
      <c r="B923" s="489"/>
      <c r="C923" s="489"/>
      <c r="D923" s="488"/>
      <c r="E923" s="489"/>
      <c r="F923" s="489"/>
      <c r="G923" s="173"/>
      <c r="H923" s="488"/>
      <c r="I923" s="488"/>
      <c r="J923" s="488"/>
      <c r="K923" s="488"/>
      <c r="L923" s="488"/>
      <c r="M923" s="489"/>
      <c r="N923" s="488"/>
      <c r="O923" s="489"/>
      <c r="P923" s="489"/>
      <c r="Q923" s="489"/>
      <c r="R923" s="489"/>
      <c r="S923" s="28"/>
      <c r="T923" s="490"/>
      <c r="U923" s="489"/>
    </row>
    <row r="924" ht="30.0" customHeight="1">
      <c r="A924" s="488"/>
      <c r="B924" s="489"/>
      <c r="C924" s="489"/>
      <c r="D924" s="488"/>
      <c r="E924" s="489"/>
      <c r="F924" s="489"/>
      <c r="G924" s="173"/>
      <c r="H924" s="488"/>
      <c r="I924" s="488"/>
      <c r="J924" s="488"/>
      <c r="K924" s="488"/>
      <c r="L924" s="488"/>
      <c r="M924" s="489"/>
      <c r="N924" s="488"/>
      <c r="O924" s="489"/>
      <c r="P924" s="489"/>
      <c r="Q924" s="489"/>
      <c r="R924" s="489"/>
      <c r="S924" s="28"/>
      <c r="T924" s="490"/>
      <c r="U924" s="489"/>
    </row>
    <row r="925" ht="30.0" customHeight="1">
      <c r="A925" s="488"/>
      <c r="B925" s="489"/>
      <c r="C925" s="489"/>
      <c r="D925" s="488"/>
      <c r="E925" s="489"/>
      <c r="F925" s="489"/>
      <c r="G925" s="173"/>
      <c r="H925" s="488"/>
      <c r="I925" s="488"/>
      <c r="J925" s="488"/>
      <c r="K925" s="488"/>
      <c r="L925" s="488"/>
      <c r="M925" s="489"/>
      <c r="N925" s="488"/>
      <c r="O925" s="489"/>
      <c r="P925" s="489"/>
      <c r="Q925" s="489"/>
      <c r="R925" s="489"/>
      <c r="S925" s="28"/>
      <c r="T925" s="490"/>
      <c r="U925" s="489"/>
    </row>
    <row r="926" ht="30.0" customHeight="1">
      <c r="A926" s="488"/>
      <c r="B926" s="489"/>
      <c r="C926" s="489"/>
      <c r="D926" s="488"/>
      <c r="E926" s="489"/>
      <c r="F926" s="489"/>
      <c r="G926" s="173"/>
      <c r="H926" s="488"/>
      <c r="I926" s="488"/>
      <c r="J926" s="488"/>
      <c r="K926" s="488"/>
      <c r="L926" s="488"/>
      <c r="M926" s="489"/>
      <c r="N926" s="488"/>
      <c r="O926" s="489"/>
      <c r="P926" s="489"/>
      <c r="Q926" s="489"/>
      <c r="R926" s="489"/>
      <c r="S926" s="28"/>
      <c r="T926" s="490"/>
      <c r="U926" s="489"/>
    </row>
    <row r="927" ht="30.0" customHeight="1">
      <c r="A927" s="488"/>
      <c r="B927" s="489"/>
      <c r="C927" s="489"/>
      <c r="D927" s="488"/>
      <c r="E927" s="489"/>
      <c r="F927" s="489"/>
      <c r="G927" s="173"/>
      <c r="H927" s="488"/>
      <c r="I927" s="488"/>
      <c r="J927" s="488"/>
      <c r="K927" s="488"/>
      <c r="L927" s="488"/>
      <c r="M927" s="489"/>
      <c r="N927" s="488"/>
      <c r="O927" s="489"/>
      <c r="P927" s="489"/>
      <c r="Q927" s="489"/>
      <c r="R927" s="489"/>
      <c r="S927" s="28"/>
      <c r="T927" s="490"/>
      <c r="U927" s="489"/>
    </row>
    <row r="928" ht="30.0" customHeight="1">
      <c r="A928" s="488"/>
      <c r="B928" s="489"/>
      <c r="C928" s="489"/>
      <c r="D928" s="488"/>
      <c r="E928" s="489"/>
      <c r="F928" s="489"/>
      <c r="G928" s="173"/>
      <c r="H928" s="488"/>
      <c r="I928" s="488"/>
      <c r="J928" s="488"/>
      <c r="K928" s="488"/>
      <c r="L928" s="488"/>
      <c r="M928" s="489"/>
      <c r="N928" s="488"/>
      <c r="O928" s="489"/>
      <c r="P928" s="489"/>
      <c r="Q928" s="489"/>
      <c r="R928" s="489"/>
      <c r="S928" s="28"/>
      <c r="T928" s="490"/>
      <c r="U928" s="489"/>
    </row>
    <row r="929" ht="30.0" customHeight="1">
      <c r="A929" s="488"/>
      <c r="B929" s="489"/>
      <c r="C929" s="489"/>
      <c r="D929" s="488"/>
      <c r="E929" s="489"/>
      <c r="F929" s="489"/>
      <c r="G929" s="173"/>
      <c r="H929" s="488"/>
      <c r="I929" s="488"/>
      <c r="J929" s="488"/>
      <c r="K929" s="488"/>
      <c r="L929" s="488"/>
      <c r="M929" s="489"/>
      <c r="N929" s="488"/>
      <c r="O929" s="489"/>
      <c r="P929" s="489"/>
      <c r="Q929" s="489"/>
      <c r="R929" s="489"/>
      <c r="S929" s="28"/>
      <c r="T929" s="490"/>
      <c r="U929" s="489"/>
    </row>
    <row r="930" ht="30.0" customHeight="1">
      <c r="A930" s="488"/>
      <c r="B930" s="489"/>
      <c r="C930" s="489"/>
      <c r="D930" s="488"/>
      <c r="E930" s="489"/>
      <c r="F930" s="489"/>
      <c r="G930" s="173"/>
      <c r="H930" s="488"/>
      <c r="I930" s="488"/>
      <c r="J930" s="488"/>
      <c r="K930" s="488"/>
      <c r="L930" s="488"/>
      <c r="M930" s="489"/>
      <c r="N930" s="488"/>
      <c r="O930" s="489"/>
      <c r="P930" s="489"/>
      <c r="Q930" s="489"/>
      <c r="R930" s="489"/>
      <c r="S930" s="28"/>
      <c r="T930" s="490"/>
      <c r="U930" s="489"/>
    </row>
    <row r="931" ht="30.0" customHeight="1">
      <c r="A931" s="488"/>
      <c r="B931" s="489"/>
      <c r="C931" s="489"/>
      <c r="D931" s="488"/>
      <c r="E931" s="489"/>
      <c r="F931" s="489"/>
      <c r="G931" s="173"/>
      <c r="H931" s="488"/>
      <c r="I931" s="488"/>
      <c r="J931" s="488"/>
      <c r="K931" s="488"/>
      <c r="L931" s="488"/>
      <c r="M931" s="489"/>
      <c r="N931" s="488"/>
      <c r="O931" s="489"/>
      <c r="P931" s="489"/>
      <c r="Q931" s="489"/>
      <c r="R931" s="489"/>
      <c r="S931" s="28"/>
      <c r="T931" s="490"/>
      <c r="U931" s="489"/>
    </row>
    <row r="932" ht="30.0" customHeight="1">
      <c r="A932" s="488"/>
      <c r="B932" s="489"/>
      <c r="C932" s="489"/>
      <c r="D932" s="488"/>
      <c r="E932" s="489"/>
      <c r="F932" s="489"/>
      <c r="G932" s="173"/>
      <c r="H932" s="488"/>
      <c r="I932" s="488"/>
      <c r="J932" s="488"/>
      <c r="K932" s="488"/>
      <c r="L932" s="488"/>
      <c r="M932" s="489"/>
      <c r="N932" s="488"/>
      <c r="O932" s="489"/>
      <c r="P932" s="489"/>
      <c r="Q932" s="489"/>
      <c r="R932" s="489"/>
      <c r="S932" s="28"/>
      <c r="T932" s="490"/>
      <c r="U932" s="489"/>
    </row>
    <row r="933" ht="30.0" customHeight="1">
      <c r="A933" s="488"/>
      <c r="B933" s="489"/>
      <c r="C933" s="489"/>
      <c r="D933" s="488"/>
      <c r="E933" s="489"/>
      <c r="F933" s="489"/>
      <c r="G933" s="173"/>
      <c r="H933" s="488"/>
      <c r="I933" s="488"/>
      <c r="J933" s="488"/>
      <c r="K933" s="488"/>
      <c r="L933" s="488"/>
      <c r="M933" s="489"/>
      <c r="N933" s="488"/>
      <c r="O933" s="489"/>
      <c r="P933" s="489"/>
      <c r="Q933" s="489"/>
      <c r="R933" s="489"/>
      <c r="S933" s="28"/>
      <c r="T933" s="490"/>
      <c r="U933" s="489"/>
    </row>
    <row r="934" ht="30.0" customHeight="1">
      <c r="A934" s="488"/>
      <c r="B934" s="489"/>
      <c r="C934" s="489"/>
      <c r="D934" s="488"/>
      <c r="E934" s="489"/>
      <c r="F934" s="489"/>
      <c r="G934" s="173"/>
      <c r="H934" s="488"/>
      <c r="I934" s="488"/>
      <c r="J934" s="488"/>
      <c r="K934" s="488"/>
      <c r="L934" s="488"/>
      <c r="M934" s="489"/>
      <c r="N934" s="488"/>
      <c r="O934" s="489"/>
      <c r="P934" s="489"/>
      <c r="Q934" s="489"/>
      <c r="R934" s="489"/>
      <c r="S934" s="28"/>
      <c r="T934" s="490"/>
      <c r="U934" s="489"/>
    </row>
    <row r="935" ht="30.0" customHeight="1">
      <c r="A935" s="488"/>
      <c r="B935" s="489"/>
      <c r="C935" s="489"/>
      <c r="D935" s="488"/>
      <c r="E935" s="489"/>
      <c r="F935" s="489"/>
      <c r="G935" s="173"/>
      <c r="H935" s="488"/>
      <c r="I935" s="488"/>
      <c r="J935" s="488"/>
      <c r="K935" s="488"/>
      <c r="L935" s="488"/>
      <c r="M935" s="489"/>
      <c r="N935" s="488"/>
      <c r="O935" s="489"/>
      <c r="P935" s="489"/>
      <c r="Q935" s="489"/>
      <c r="R935" s="489"/>
      <c r="S935" s="28"/>
      <c r="T935" s="490"/>
      <c r="U935" s="489"/>
    </row>
    <row r="936" ht="30.0" customHeight="1">
      <c r="A936" s="488"/>
      <c r="B936" s="489"/>
      <c r="C936" s="489"/>
      <c r="D936" s="488"/>
      <c r="E936" s="489"/>
      <c r="F936" s="489"/>
      <c r="G936" s="173"/>
      <c r="H936" s="488"/>
      <c r="I936" s="488"/>
      <c r="J936" s="488"/>
      <c r="K936" s="488"/>
      <c r="L936" s="488"/>
      <c r="M936" s="489"/>
      <c r="N936" s="488"/>
      <c r="O936" s="489"/>
      <c r="P936" s="489"/>
      <c r="Q936" s="489"/>
      <c r="R936" s="489"/>
      <c r="S936" s="28"/>
      <c r="T936" s="490"/>
      <c r="U936" s="489"/>
    </row>
    <row r="937" ht="30.0" customHeight="1">
      <c r="A937" s="488"/>
      <c r="B937" s="489"/>
      <c r="C937" s="489"/>
      <c r="D937" s="488"/>
      <c r="E937" s="489"/>
      <c r="F937" s="489"/>
      <c r="G937" s="173"/>
      <c r="H937" s="488"/>
      <c r="I937" s="488"/>
      <c r="J937" s="488"/>
      <c r="K937" s="488"/>
      <c r="L937" s="488"/>
      <c r="M937" s="489"/>
      <c r="N937" s="488"/>
      <c r="O937" s="489"/>
      <c r="P937" s="489"/>
      <c r="Q937" s="489"/>
      <c r="R937" s="489"/>
      <c r="S937" s="28"/>
      <c r="T937" s="490"/>
      <c r="U937" s="489"/>
    </row>
    <row r="938" ht="30.0" customHeight="1">
      <c r="A938" s="488"/>
      <c r="B938" s="489"/>
      <c r="C938" s="489"/>
      <c r="D938" s="488"/>
      <c r="E938" s="489"/>
      <c r="F938" s="489"/>
      <c r="G938" s="173"/>
      <c r="H938" s="488"/>
      <c r="I938" s="488"/>
      <c r="J938" s="488"/>
      <c r="K938" s="488"/>
      <c r="L938" s="488"/>
      <c r="M938" s="489"/>
      <c r="N938" s="488"/>
      <c r="O938" s="489"/>
      <c r="P938" s="489"/>
      <c r="Q938" s="489"/>
      <c r="R938" s="489"/>
      <c r="S938" s="28"/>
      <c r="T938" s="490"/>
      <c r="U938" s="489"/>
    </row>
    <row r="939" ht="30.0" customHeight="1">
      <c r="A939" s="488"/>
      <c r="B939" s="489"/>
      <c r="C939" s="489"/>
      <c r="D939" s="488"/>
      <c r="E939" s="489"/>
      <c r="F939" s="489"/>
      <c r="G939" s="173"/>
      <c r="H939" s="488"/>
      <c r="I939" s="488"/>
      <c r="J939" s="488"/>
      <c r="K939" s="488"/>
      <c r="L939" s="488"/>
      <c r="M939" s="489"/>
      <c r="N939" s="488"/>
      <c r="O939" s="489"/>
      <c r="P939" s="489"/>
      <c r="Q939" s="489"/>
      <c r="R939" s="489"/>
      <c r="S939" s="28"/>
      <c r="T939" s="490"/>
      <c r="U939" s="489"/>
    </row>
    <row r="940" ht="30.0" customHeight="1">
      <c r="A940" s="488"/>
      <c r="B940" s="489"/>
      <c r="C940" s="489"/>
      <c r="D940" s="488"/>
      <c r="E940" s="489"/>
      <c r="F940" s="489"/>
      <c r="G940" s="173"/>
      <c r="H940" s="488"/>
      <c r="I940" s="488"/>
      <c r="J940" s="488"/>
      <c r="K940" s="488"/>
      <c r="L940" s="488"/>
      <c r="M940" s="489"/>
      <c r="N940" s="488"/>
      <c r="O940" s="489"/>
      <c r="P940" s="489"/>
      <c r="Q940" s="489"/>
      <c r="R940" s="489"/>
      <c r="S940" s="28"/>
      <c r="T940" s="490"/>
      <c r="U940" s="489"/>
    </row>
    <row r="941" ht="30.0" customHeight="1">
      <c r="A941" s="488"/>
      <c r="B941" s="489"/>
      <c r="C941" s="489"/>
      <c r="D941" s="488"/>
      <c r="E941" s="489"/>
      <c r="F941" s="489"/>
      <c r="G941" s="173"/>
      <c r="H941" s="488"/>
      <c r="I941" s="488"/>
      <c r="J941" s="488"/>
      <c r="K941" s="488"/>
      <c r="L941" s="488"/>
      <c r="M941" s="489"/>
      <c r="N941" s="488"/>
      <c r="O941" s="489"/>
      <c r="P941" s="489"/>
      <c r="Q941" s="489"/>
      <c r="R941" s="489"/>
      <c r="S941" s="28"/>
      <c r="T941" s="490"/>
      <c r="U941" s="489"/>
    </row>
    <row r="942" ht="30.0" customHeight="1">
      <c r="A942" s="488"/>
      <c r="B942" s="489"/>
      <c r="C942" s="489"/>
      <c r="D942" s="488"/>
      <c r="E942" s="489"/>
      <c r="F942" s="489"/>
      <c r="G942" s="173"/>
      <c r="H942" s="488"/>
      <c r="I942" s="488"/>
      <c r="J942" s="488"/>
      <c r="K942" s="488"/>
      <c r="L942" s="488"/>
      <c r="M942" s="489"/>
      <c r="N942" s="488"/>
      <c r="O942" s="489"/>
      <c r="P942" s="489"/>
      <c r="Q942" s="489"/>
      <c r="R942" s="489"/>
      <c r="S942" s="28"/>
      <c r="T942" s="490"/>
      <c r="U942" s="489"/>
    </row>
    <row r="943" ht="30.0" customHeight="1">
      <c r="A943" s="488"/>
      <c r="B943" s="489"/>
      <c r="C943" s="489"/>
      <c r="D943" s="488"/>
      <c r="E943" s="489"/>
      <c r="F943" s="489"/>
      <c r="G943" s="173"/>
      <c r="H943" s="488"/>
      <c r="I943" s="488"/>
      <c r="J943" s="488"/>
      <c r="K943" s="488"/>
      <c r="L943" s="488"/>
      <c r="M943" s="489"/>
      <c r="N943" s="488"/>
      <c r="O943" s="489"/>
      <c r="P943" s="489"/>
      <c r="Q943" s="489"/>
      <c r="R943" s="489"/>
      <c r="S943" s="28"/>
      <c r="T943" s="490"/>
      <c r="U943" s="489"/>
    </row>
    <row r="944" ht="30.0" customHeight="1">
      <c r="A944" s="488"/>
      <c r="B944" s="489"/>
      <c r="C944" s="489"/>
      <c r="D944" s="488"/>
      <c r="E944" s="489"/>
      <c r="F944" s="489"/>
      <c r="G944" s="173"/>
      <c r="H944" s="488"/>
      <c r="I944" s="488"/>
      <c r="J944" s="488"/>
      <c r="K944" s="488"/>
      <c r="L944" s="488"/>
      <c r="M944" s="489"/>
      <c r="N944" s="488"/>
      <c r="O944" s="489"/>
      <c r="P944" s="489"/>
      <c r="Q944" s="489"/>
      <c r="R944" s="489"/>
      <c r="S944" s="28"/>
      <c r="T944" s="490"/>
      <c r="U944" s="489"/>
    </row>
    <row r="945" ht="30.0" customHeight="1">
      <c r="A945" s="488"/>
      <c r="B945" s="489"/>
      <c r="C945" s="489"/>
      <c r="D945" s="488"/>
      <c r="E945" s="489"/>
      <c r="F945" s="489"/>
      <c r="G945" s="173"/>
      <c r="H945" s="488"/>
      <c r="I945" s="488"/>
      <c r="J945" s="488"/>
      <c r="K945" s="488"/>
      <c r="L945" s="488"/>
      <c r="M945" s="489"/>
      <c r="N945" s="488"/>
      <c r="O945" s="489"/>
      <c r="P945" s="489"/>
      <c r="Q945" s="489"/>
      <c r="R945" s="489"/>
      <c r="S945" s="28"/>
      <c r="T945" s="490"/>
      <c r="U945" s="489"/>
    </row>
    <row r="946" ht="30.0" customHeight="1">
      <c r="A946" s="488"/>
      <c r="B946" s="489"/>
      <c r="C946" s="489"/>
      <c r="D946" s="488"/>
      <c r="E946" s="489"/>
      <c r="F946" s="489"/>
      <c r="G946" s="173"/>
      <c r="H946" s="488"/>
      <c r="I946" s="488"/>
      <c r="J946" s="488"/>
      <c r="K946" s="488"/>
      <c r="L946" s="488"/>
      <c r="M946" s="489"/>
      <c r="N946" s="488"/>
      <c r="O946" s="489"/>
      <c r="P946" s="489"/>
      <c r="Q946" s="489"/>
      <c r="R946" s="489"/>
      <c r="S946" s="28"/>
      <c r="T946" s="490"/>
      <c r="U946" s="489"/>
    </row>
    <row r="947" ht="30.0" customHeight="1">
      <c r="A947" s="488"/>
      <c r="B947" s="489"/>
      <c r="C947" s="489"/>
      <c r="D947" s="488"/>
      <c r="E947" s="489"/>
      <c r="F947" s="489"/>
      <c r="G947" s="173"/>
      <c r="H947" s="488"/>
      <c r="I947" s="488"/>
      <c r="J947" s="488"/>
      <c r="K947" s="488"/>
      <c r="L947" s="488"/>
      <c r="M947" s="489"/>
      <c r="N947" s="488"/>
      <c r="O947" s="489"/>
      <c r="P947" s="489"/>
      <c r="Q947" s="489"/>
      <c r="R947" s="489"/>
      <c r="S947" s="28"/>
      <c r="T947" s="490"/>
      <c r="U947" s="489"/>
    </row>
    <row r="948" ht="30.0" customHeight="1">
      <c r="A948" s="488"/>
      <c r="B948" s="489"/>
      <c r="C948" s="489"/>
      <c r="D948" s="488"/>
      <c r="E948" s="489"/>
      <c r="F948" s="489"/>
      <c r="G948" s="173"/>
      <c r="H948" s="488"/>
      <c r="I948" s="488"/>
      <c r="J948" s="488"/>
      <c r="K948" s="488"/>
      <c r="L948" s="488"/>
      <c r="M948" s="489"/>
      <c r="N948" s="488"/>
      <c r="O948" s="489"/>
      <c r="P948" s="489"/>
      <c r="Q948" s="489"/>
      <c r="R948" s="489"/>
      <c r="S948" s="28"/>
      <c r="T948" s="490"/>
      <c r="U948" s="489"/>
    </row>
    <row r="949" ht="30.0" customHeight="1">
      <c r="A949" s="488"/>
      <c r="B949" s="489"/>
      <c r="C949" s="489"/>
      <c r="D949" s="488"/>
      <c r="E949" s="489"/>
      <c r="F949" s="489"/>
      <c r="G949" s="173"/>
      <c r="H949" s="488"/>
      <c r="I949" s="488"/>
      <c r="J949" s="488"/>
      <c r="K949" s="488"/>
      <c r="L949" s="488"/>
      <c r="M949" s="489"/>
      <c r="N949" s="488"/>
      <c r="O949" s="489"/>
      <c r="P949" s="489"/>
      <c r="Q949" s="489"/>
      <c r="R949" s="489"/>
      <c r="S949" s="28"/>
      <c r="T949" s="490"/>
      <c r="U949" s="489"/>
    </row>
    <row r="950" ht="30.0" customHeight="1">
      <c r="A950" s="488"/>
      <c r="B950" s="489"/>
      <c r="C950" s="489"/>
      <c r="D950" s="488"/>
      <c r="E950" s="489"/>
      <c r="F950" s="489"/>
      <c r="G950" s="173"/>
      <c r="H950" s="488"/>
      <c r="I950" s="488"/>
      <c r="J950" s="488"/>
      <c r="K950" s="488"/>
      <c r="L950" s="488"/>
      <c r="M950" s="489"/>
      <c r="N950" s="488"/>
      <c r="O950" s="489"/>
      <c r="P950" s="489"/>
      <c r="Q950" s="489"/>
      <c r="R950" s="489"/>
      <c r="S950" s="28"/>
      <c r="T950" s="490"/>
      <c r="U950" s="489"/>
    </row>
    <row r="951" ht="30.0" customHeight="1">
      <c r="A951" s="488"/>
      <c r="B951" s="489"/>
      <c r="C951" s="489"/>
      <c r="D951" s="488"/>
      <c r="E951" s="489"/>
      <c r="F951" s="489"/>
      <c r="G951" s="173"/>
      <c r="H951" s="488"/>
      <c r="I951" s="488"/>
      <c r="J951" s="488"/>
      <c r="K951" s="488"/>
      <c r="L951" s="488"/>
      <c r="M951" s="489"/>
      <c r="N951" s="488"/>
      <c r="O951" s="489"/>
      <c r="P951" s="489"/>
      <c r="Q951" s="489"/>
      <c r="R951" s="489"/>
      <c r="S951" s="28"/>
      <c r="T951" s="490"/>
      <c r="U951" s="489"/>
    </row>
    <row r="952" ht="30.0" customHeight="1">
      <c r="A952" s="488"/>
      <c r="B952" s="489"/>
      <c r="C952" s="489"/>
      <c r="D952" s="488"/>
      <c r="E952" s="489"/>
      <c r="F952" s="489"/>
      <c r="G952" s="173"/>
      <c r="H952" s="488"/>
      <c r="I952" s="488"/>
      <c r="J952" s="488"/>
      <c r="K952" s="488"/>
      <c r="L952" s="488"/>
      <c r="M952" s="489"/>
      <c r="N952" s="488"/>
      <c r="O952" s="489"/>
      <c r="P952" s="489"/>
      <c r="Q952" s="489"/>
      <c r="R952" s="489"/>
      <c r="S952" s="28"/>
      <c r="T952" s="490"/>
      <c r="U952" s="489"/>
    </row>
    <row r="953" ht="30.0" customHeight="1">
      <c r="A953" s="488"/>
      <c r="B953" s="489"/>
      <c r="C953" s="489"/>
      <c r="D953" s="488"/>
      <c r="E953" s="489"/>
      <c r="F953" s="489"/>
      <c r="G953" s="173"/>
      <c r="H953" s="488"/>
      <c r="I953" s="488"/>
      <c r="J953" s="488"/>
      <c r="K953" s="488"/>
      <c r="L953" s="488"/>
      <c r="M953" s="489"/>
      <c r="N953" s="488"/>
      <c r="O953" s="489"/>
      <c r="P953" s="489"/>
      <c r="Q953" s="489"/>
      <c r="R953" s="489"/>
      <c r="S953" s="28"/>
      <c r="T953" s="490"/>
      <c r="U953" s="489"/>
    </row>
    <row r="954" ht="30.0" customHeight="1">
      <c r="A954" s="488"/>
      <c r="B954" s="489"/>
      <c r="C954" s="489"/>
      <c r="D954" s="488"/>
      <c r="E954" s="489"/>
      <c r="F954" s="489"/>
      <c r="G954" s="173"/>
      <c r="H954" s="488"/>
      <c r="I954" s="488"/>
      <c r="J954" s="488"/>
      <c r="K954" s="488"/>
      <c r="L954" s="488"/>
      <c r="M954" s="489"/>
      <c r="N954" s="488"/>
      <c r="O954" s="489"/>
      <c r="P954" s="489"/>
      <c r="Q954" s="489"/>
      <c r="R954" s="489"/>
      <c r="S954" s="28"/>
      <c r="T954" s="490"/>
      <c r="U954" s="489"/>
    </row>
    <row r="955" ht="30.0" customHeight="1">
      <c r="A955" s="488"/>
      <c r="B955" s="489"/>
      <c r="C955" s="489"/>
      <c r="D955" s="488"/>
      <c r="E955" s="489"/>
      <c r="F955" s="489"/>
      <c r="G955" s="173"/>
      <c r="H955" s="488"/>
      <c r="I955" s="488"/>
      <c r="J955" s="488"/>
      <c r="K955" s="488"/>
      <c r="L955" s="488"/>
      <c r="M955" s="489"/>
      <c r="N955" s="488"/>
      <c r="O955" s="489"/>
      <c r="P955" s="489"/>
      <c r="Q955" s="489"/>
      <c r="R955" s="489"/>
      <c r="S955" s="28"/>
      <c r="T955" s="490"/>
      <c r="U955" s="489"/>
    </row>
    <row r="956" ht="30.0" customHeight="1">
      <c r="A956" s="488"/>
      <c r="B956" s="489"/>
      <c r="C956" s="489"/>
      <c r="D956" s="488"/>
      <c r="E956" s="489"/>
      <c r="F956" s="489"/>
      <c r="G956" s="173"/>
      <c r="H956" s="488"/>
      <c r="I956" s="488"/>
      <c r="J956" s="488"/>
      <c r="K956" s="488"/>
      <c r="L956" s="488"/>
      <c r="M956" s="489"/>
      <c r="N956" s="488"/>
      <c r="O956" s="489"/>
      <c r="P956" s="489"/>
      <c r="Q956" s="489"/>
      <c r="R956" s="489"/>
      <c r="S956" s="28"/>
      <c r="T956" s="490"/>
      <c r="U956" s="489"/>
    </row>
    <row r="957" ht="30.0" customHeight="1">
      <c r="A957" s="488"/>
      <c r="B957" s="489"/>
      <c r="C957" s="489"/>
      <c r="D957" s="488"/>
      <c r="E957" s="489"/>
      <c r="F957" s="489"/>
      <c r="G957" s="173"/>
      <c r="H957" s="488"/>
      <c r="I957" s="488"/>
      <c r="J957" s="488"/>
      <c r="K957" s="488"/>
      <c r="L957" s="488"/>
      <c r="M957" s="489"/>
      <c r="N957" s="488"/>
      <c r="O957" s="489"/>
      <c r="P957" s="489"/>
      <c r="Q957" s="489"/>
      <c r="R957" s="489"/>
      <c r="S957" s="28"/>
      <c r="T957" s="490"/>
      <c r="U957" s="489"/>
    </row>
    <row r="958" ht="30.0" customHeight="1">
      <c r="A958" s="488"/>
      <c r="B958" s="489"/>
      <c r="C958" s="489"/>
      <c r="D958" s="488"/>
      <c r="E958" s="489"/>
      <c r="F958" s="489"/>
      <c r="G958" s="173"/>
      <c r="H958" s="488"/>
      <c r="I958" s="488"/>
      <c r="J958" s="488"/>
      <c r="K958" s="488"/>
      <c r="L958" s="488"/>
      <c r="M958" s="489"/>
      <c r="N958" s="488"/>
      <c r="O958" s="489"/>
      <c r="P958" s="489"/>
      <c r="Q958" s="489"/>
      <c r="R958" s="489"/>
      <c r="S958" s="28"/>
      <c r="T958" s="490"/>
      <c r="U958" s="489"/>
    </row>
    <row r="959" ht="30.0" customHeight="1">
      <c r="A959" s="488"/>
      <c r="B959" s="489"/>
      <c r="C959" s="489"/>
      <c r="D959" s="488"/>
      <c r="E959" s="489"/>
      <c r="F959" s="489"/>
      <c r="G959" s="173"/>
      <c r="H959" s="488"/>
      <c r="I959" s="488"/>
      <c r="J959" s="488"/>
      <c r="K959" s="488"/>
      <c r="L959" s="488"/>
      <c r="M959" s="489"/>
      <c r="N959" s="488"/>
      <c r="O959" s="489"/>
      <c r="P959" s="489"/>
      <c r="Q959" s="489"/>
      <c r="R959" s="489"/>
      <c r="S959" s="28"/>
      <c r="T959" s="490"/>
      <c r="U959" s="489"/>
    </row>
    <row r="960" ht="30.0" customHeight="1">
      <c r="A960" s="488"/>
      <c r="B960" s="489"/>
      <c r="C960" s="489"/>
      <c r="D960" s="488"/>
      <c r="E960" s="489"/>
      <c r="F960" s="489"/>
      <c r="G960" s="173"/>
      <c r="H960" s="488"/>
      <c r="I960" s="488"/>
      <c r="J960" s="488"/>
      <c r="K960" s="488"/>
      <c r="L960" s="488"/>
      <c r="M960" s="489"/>
      <c r="N960" s="488"/>
      <c r="O960" s="489"/>
      <c r="P960" s="489"/>
      <c r="Q960" s="489"/>
      <c r="R960" s="489"/>
      <c r="S960" s="28"/>
      <c r="T960" s="490"/>
      <c r="U960" s="489"/>
    </row>
    <row r="961" ht="30.0" customHeight="1">
      <c r="A961" s="488"/>
      <c r="B961" s="489"/>
      <c r="C961" s="489"/>
      <c r="D961" s="488"/>
      <c r="E961" s="489"/>
      <c r="F961" s="489"/>
      <c r="G961" s="173"/>
      <c r="H961" s="488"/>
      <c r="I961" s="488"/>
      <c r="J961" s="488"/>
      <c r="K961" s="488"/>
      <c r="L961" s="488"/>
      <c r="M961" s="489"/>
      <c r="N961" s="488"/>
      <c r="O961" s="489"/>
      <c r="P961" s="489"/>
      <c r="Q961" s="489"/>
      <c r="R961" s="489"/>
      <c r="S961" s="28"/>
      <c r="T961" s="490"/>
      <c r="U961" s="489"/>
    </row>
    <row r="962" ht="30.0" customHeight="1">
      <c r="A962" s="488"/>
      <c r="B962" s="489"/>
      <c r="C962" s="489"/>
      <c r="D962" s="488"/>
      <c r="E962" s="489"/>
      <c r="F962" s="489"/>
      <c r="G962" s="173"/>
      <c r="H962" s="488"/>
      <c r="I962" s="488"/>
      <c r="J962" s="488"/>
      <c r="K962" s="488"/>
      <c r="L962" s="488"/>
      <c r="M962" s="489"/>
      <c r="N962" s="488"/>
      <c r="O962" s="489"/>
      <c r="P962" s="489"/>
      <c r="Q962" s="489"/>
      <c r="R962" s="489"/>
      <c r="S962" s="28"/>
      <c r="T962" s="490"/>
      <c r="U962" s="489"/>
    </row>
    <row r="963" ht="30.0" customHeight="1">
      <c r="A963" s="488"/>
      <c r="B963" s="489"/>
      <c r="C963" s="489"/>
      <c r="D963" s="488"/>
      <c r="E963" s="489"/>
      <c r="F963" s="489"/>
      <c r="G963" s="173"/>
      <c r="H963" s="488"/>
      <c r="I963" s="488"/>
      <c r="J963" s="488"/>
      <c r="K963" s="488"/>
      <c r="L963" s="488"/>
      <c r="M963" s="489"/>
      <c r="N963" s="488"/>
      <c r="O963" s="489"/>
      <c r="P963" s="489"/>
      <c r="Q963" s="489"/>
      <c r="R963" s="489"/>
      <c r="S963" s="28"/>
      <c r="T963" s="490"/>
      <c r="U963" s="489"/>
    </row>
    <row r="964" ht="30.0" customHeight="1">
      <c r="A964" s="488"/>
      <c r="B964" s="489"/>
      <c r="C964" s="489"/>
      <c r="D964" s="488"/>
      <c r="E964" s="489"/>
      <c r="F964" s="489"/>
      <c r="G964" s="173"/>
      <c r="H964" s="488"/>
      <c r="I964" s="488"/>
      <c r="J964" s="488"/>
      <c r="K964" s="488"/>
      <c r="L964" s="488"/>
      <c r="M964" s="489"/>
      <c r="N964" s="488"/>
      <c r="O964" s="489"/>
      <c r="P964" s="489"/>
      <c r="Q964" s="489"/>
      <c r="R964" s="489"/>
      <c r="S964" s="28"/>
      <c r="T964" s="490"/>
      <c r="U964" s="489"/>
    </row>
    <row r="965" ht="30.0" customHeight="1">
      <c r="A965" s="488"/>
      <c r="B965" s="489"/>
      <c r="C965" s="489"/>
      <c r="D965" s="488"/>
      <c r="E965" s="489"/>
      <c r="F965" s="489"/>
      <c r="G965" s="173"/>
      <c r="H965" s="488"/>
      <c r="I965" s="488"/>
      <c r="J965" s="488"/>
      <c r="K965" s="488"/>
      <c r="L965" s="488"/>
      <c r="M965" s="489"/>
      <c r="N965" s="488"/>
      <c r="O965" s="489"/>
      <c r="P965" s="489"/>
      <c r="Q965" s="489"/>
      <c r="R965" s="489"/>
      <c r="S965" s="28"/>
      <c r="T965" s="490"/>
      <c r="U965" s="489"/>
    </row>
    <row r="966" ht="30.0" customHeight="1">
      <c r="A966" s="488"/>
      <c r="B966" s="489"/>
      <c r="C966" s="489"/>
      <c r="D966" s="488"/>
      <c r="E966" s="489"/>
      <c r="F966" s="489"/>
      <c r="G966" s="173"/>
      <c r="H966" s="488"/>
      <c r="I966" s="488"/>
      <c r="J966" s="488"/>
      <c r="K966" s="488"/>
      <c r="L966" s="488"/>
      <c r="M966" s="489"/>
      <c r="N966" s="488"/>
      <c r="O966" s="489"/>
      <c r="P966" s="489"/>
      <c r="Q966" s="489"/>
      <c r="R966" s="489"/>
      <c r="S966" s="28"/>
      <c r="T966" s="490"/>
      <c r="U966" s="489"/>
    </row>
    <row r="967" ht="30.0" customHeight="1">
      <c r="A967" s="488"/>
      <c r="B967" s="489"/>
      <c r="C967" s="489"/>
      <c r="D967" s="488"/>
      <c r="E967" s="489"/>
      <c r="F967" s="489"/>
      <c r="G967" s="173"/>
      <c r="H967" s="488"/>
      <c r="I967" s="488"/>
      <c r="J967" s="488"/>
      <c r="K967" s="488"/>
      <c r="L967" s="488"/>
      <c r="M967" s="489"/>
      <c r="N967" s="488"/>
      <c r="O967" s="489"/>
      <c r="P967" s="489"/>
      <c r="Q967" s="489"/>
      <c r="R967" s="489"/>
      <c r="S967" s="28"/>
      <c r="T967" s="490"/>
      <c r="U967" s="489"/>
    </row>
    <row r="968" ht="30.0" customHeight="1">
      <c r="A968" s="488"/>
      <c r="B968" s="489"/>
      <c r="C968" s="489"/>
      <c r="D968" s="488"/>
      <c r="E968" s="489"/>
      <c r="F968" s="489"/>
      <c r="G968" s="173"/>
      <c r="H968" s="488"/>
      <c r="I968" s="488"/>
      <c r="J968" s="488"/>
      <c r="K968" s="488"/>
      <c r="L968" s="488"/>
      <c r="M968" s="489"/>
      <c r="N968" s="488"/>
      <c r="O968" s="489"/>
      <c r="P968" s="489"/>
      <c r="Q968" s="489"/>
      <c r="R968" s="489"/>
      <c r="S968" s="28"/>
      <c r="T968" s="490"/>
      <c r="U968" s="489"/>
    </row>
    <row r="969" ht="30.0" customHeight="1">
      <c r="A969" s="488"/>
      <c r="B969" s="489"/>
      <c r="C969" s="489"/>
      <c r="D969" s="488"/>
      <c r="E969" s="489"/>
      <c r="F969" s="489"/>
      <c r="G969" s="173"/>
      <c r="H969" s="488"/>
      <c r="I969" s="488"/>
      <c r="J969" s="488"/>
      <c r="K969" s="488"/>
      <c r="L969" s="488"/>
      <c r="M969" s="489"/>
      <c r="N969" s="488"/>
      <c r="O969" s="489"/>
      <c r="P969" s="489"/>
      <c r="Q969" s="489"/>
      <c r="R969" s="489"/>
      <c r="S969" s="28"/>
      <c r="T969" s="490"/>
      <c r="U969" s="489"/>
    </row>
    <row r="970" ht="30.0" customHeight="1">
      <c r="A970" s="488"/>
      <c r="B970" s="489"/>
      <c r="C970" s="489"/>
      <c r="D970" s="488"/>
      <c r="E970" s="489"/>
      <c r="F970" s="489"/>
      <c r="G970" s="173"/>
      <c r="H970" s="488"/>
      <c r="I970" s="488"/>
      <c r="J970" s="488"/>
      <c r="K970" s="488"/>
      <c r="L970" s="488"/>
      <c r="M970" s="489"/>
      <c r="N970" s="488"/>
      <c r="O970" s="489"/>
      <c r="P970" s="489"/>
      <c r="Q970" s="489"/>
      <c r="R970" s="489"/>
      <c r="S970" s="28"/>
      <c r="T970" s="490"/>
      <c r="U970" s="489"/>
    </row>
    <row r="971" ht="30.0" customHeight="1">
      <c r="A971" s="488"/>
      <c r="B971" s="489"/>
      <c r="C971" s="489"/>
      <c r="D971" s="488"/>
      <c r="E971" s="489"/>
      <c r="F971" s="489"/>
      <c r="G971" s="173"/>
      <c r="H971" s="488"/>
      <c r="I971" s="488"/>
      <c r="J971" s="488"/>
      <c r="K971" s="488"/>
      <c r="L971" s="488"/>
      <c r="M971" s="489"/>
      <c r="N971" s="488"/>
      <c r="O971" s="489"/>
      <c r="P971" s="489"/>
      <c r="Q971" s="489"/>
      <c r="R971" s="489"/>
      <c r="S971" s="28"/>
      <c r="T971" s="490"/>
      <c r="U971" s="489"/>
    </row>
    <row r="972" ht="30.0" customHeight="1">
      <c r="A972" s="488"/>
      <c r="B972" s="489"/>
      <c r="C972" s="489"/>
      <c r="D972" s="488"/>
      <c r="E972" s="489"/>
      <c r="F972" s="489"/>
      <c r="G972" s="173"/>
      <c r="H972" s="488"/>
      <c r="I972" s="488"/>
      <c r="J972" s="488"/>
      <c r="K972" s="488"/>
      <c r="L972" s="488"/>
      <c r="M972" s="489"/>
      <c r="N972" s="488"/>
      <c r="O972" s="489"/>
      <c r="P972" s="489"/>
      <c r="Q972" s="489"/>
      <c r="R972" s="489"/>
      <c r="S972" s="28"/>
      <c r="T972" s="490"/>
      <c r="U972" s="489"/>
    </row>
    <row r="973" ht="30.0" customHeight="1">
      <c r="A973" s="488"/>
      <c r="B973" s="489"/>
      <c r="C973" s="489"/>
      <c r="D973" s="488"/>
      <c r="E973" s="489"/>
      <c r="F973" s="489"/>
      <c r="G973" s="173"/>
      <c r="H973" s="488"/>
      <c r="I973" s="488"/>
      <c r="J973" s="488"/>
      <c r="K973" s="488"/>
      <c r="L973" s="488"/>
      <c r="M973" s="489"/>
      <c r="N973" s="488"/>
      <c r="O973" s="489"/>
      <c r="P973" s="489"/>
      <c r="Q973" s="489"/>
      <c r="R973" s="489"/>
      <c r="S973" s="28"/>
      <c r="T973" s="490"/>
      <c r="U973" s="489"/>
    </row>
    <row r="974" ht="30.0" customHeight="1">
      <c r="A974" s="488"/>
      <c r="B974" s="489"/>
      <c r="C974" s="489"/>
      <c r="D974" s="488"/>
      <c r="E974" s="489"/>
      <c r="F974" s="489"/>
      <c r="G974" s="173"/>
      <c r="H974" s="488"/>
      <c r="I974" s="488"/>
      <c r="J974" s="488"/>
      <c r="K974" s="488"/>
      <c r="L974" s="488"/>
      <c r="M974" s="489"/>
      <c r="N974" s="488"/>
      <c r="O974" s="489"/>
      <c r="P974" s="489"/>
      <c r="Q974" s="489"/>
      <c r="R974" s="489"/>
      <c r="S974" s="28"/>
      <c r="T974" s="490"/>
      <c r="U974" s="489"/>
    </row>
    <row r="975" ht="30.0" customHeight="1">
      <c r="A975" s="488"/>
      <c r="B975" s="489"/>
      <c r="C975" s="489"/>
      <c r="D975" s="488"/>
      <c r="E975" s="489"/>
      <c r="F975" s="489"/>
      <c r="G975" s="173"/>
      <c r="H975" s="488"/>
      <c r="I975" s="488"/>
      <c r="J975" s="488"/>
      <c r="K975" s="488"/>
      <c r="L975" s="488"/>
      <c r="M975" s="489"/>
      <c r="N975" s="488"/>
      <c r="O975" s="489"/>
      <c r="P975" s="489"/>
      <c r="Q975" s="489"/>
      <c r="R975" s="489"/>
      <c r="S975" s="28"/>
      <c r="T975" s="490"/>
      <c r="U975" s="489"/>
    </row>
    <row r="976" ht="30.0" customHeight="1">
      <c r="A976" s="488"/>
      <c r="B976" s="489"/>
      <c r="C976" s="489"/>
      <c r="D976" s="488"/>
      <c r="E976" s="489"/>
      <c r="F976" s="489"/>
      <c r="G976" s="173"/>
      <c r="H976" s="488"/>
      <c r="I976" s="488"/>
      <c r="J976" s="488"/>
      <c r="K976" s="488"/>
      <c r="L976" s="488"/>
      <c r="M976" s="489"/>
      <c r="N976" s="488"/>
      <c r="O976" s="489"/>
      <c r="P976" s="489"/>
      <c r="Q976" s="489"/>
      <c r="R976" s="489"/>
      <c r="S976" s="28"/>
      <c r="T976" s="490"/>
      <c r="U976" s="489"/>
    </row>
    <row r="977" ht="30.0" customHeight="1">
      <c r="A977" s="488"/>
      <c r="B977" s="489"/>
      <c r="C977" s="489"/>
      <c r="D977" s="488"/>
      <c r="E977" s="489"/>
      <c r="F977" s="489"/>
      <c r="G977" s="173"/>
      <c r="H977" s="488"/>
      <c r="I977" s="488"/>
      <c r="J977" s="488"/>
      <c r="K977" s="488"/>
      <c r="L977" s="488"/>
      <c r="M977" s="489"/>
      <c r="N977" s="488"/>
      <c r="O977" s="489"/>
      <c r="P977" s="489"/>
      <c r="Q977" s="489"/>
      <c r="R977" s="489"/>
      <c r="S977" s="28"/>
      <c r="T977" s="490"/>
      <c r="U977" s="489"/>
    </row>
    <row r="978" ht="30.0" customHeight="1">
      <c r="A978" s="488"/>
      <c r="B978" s="489"/>
      <c r="C978" s="489"/>
      <c r="D978" s="488"/>
      <c r="E978" s="489"/>
      <c r="F978" s="489"/>
      <c r="G978" s="173"/>
      <c r="H978" s="488"/>
      <c r="I978" s="488"/>
      <c r="J978" s="488"/>
      <c r="K978" s="488"/>
      <c r="L978" s="488"/>
      <c r="M978" s="489"/>
      <c r="N978" s="488"/>
      <c r="O978" s="489"/>
      <c r="P978" s="489"/>
      <c r="Q978" s="489"/>
      <c r="R978" s="489"/>
      <c r="S978" s="28"/>
      <c r="T978" s="490"/>
      <c r="U978" s="489"/>
    </row>
    <row r="979" ht="30.0" customHeight="1">
      <c r="A979" s="488"/>
      <c r="B979" s="489"/>
      <c r="C979" s="489"/>
      <c r="D979" s="488"/>
      <c r="E979" s="489"/>
      <c r="F979" s="489"/>
      <c r="G979" s="173"/>
      <c r="H979" s="488"/>
      <c r="I979" s="488"/>
      <c r="J979" s="488"/>
      <c r="K979" s="488"/>
      <c r="L979" s="488"/>
      <c r="M979" s="489"/>
      <c r="N979" s="488"/>
      <c r="O979" s="489"/>
      <c r="P979" s="489"/>
      <c r="Q979" s="489"/>
      <c r="R979" s="489"/>
      <c r="S979" s="28"/>
      <c r="T979" s="490"/>
      <c r="U979" s="489"/>
    </row>
    <row r="980" ht="30.0" customHeight="1">
      <c r="A980" s="488"/>
      <c r="B980" s="489"/>
      <c r="C980" s="489"/>
      <c r="D980" s="488"/>
      <c r="E980" s="489"/>
      <c r="F980" s="489"/>
      <c r="G980" s="173"/>
      <c r="H980" s="488"/>
      <c r="I980" s="488"/>
      <c r="J980" s="488"/>
      <c r="K980" s="488"/>
      <c r="L980" s="488"/>
      <c r="M980" s="489"/>
      <c r="N980" s="488"/>
      <c r="O980" s="489"/>
      <c r="P980" s="489"/>
      <c r="Q980" s="489"/>
      <c r="R980" s="489"/>
      <c r="S980" s="28"/>
      <c r="T980" s="490"/>
      <c r="U980" s="489"/>
    </row>
    <row r="981" ht="30.0" customHeight="1">
      <c r="A981" s="488"/>
      <c r="B981" s="489"/>
      <c r="C981" s="489"/>
      <c r="D981" s="488"/>
      <c r="E981" s="489"/>
      <c r="F981" s="489"/>
      <c r="G981" s="173"/>
      <c r="H981" s="488"/>
      <c r="I981" s="488"/>
      <c r="J981" s="488"/>
      <c r="K981" s="488"/>
      <c r="L981" s="488"/>
      <c r="M981" s="489"/>
      <c r="N981" s="488"/>
      <c r="O981" s="489"/>
      <c r="P981" s="489"/>
      <c r="Q981" s="489"/>
      <c r="R981" s="489"/>
      <c r="S981" s="28"/>
      <c r="T981" s="490"/>
      <c r="U981" s="489"/>
    </row>
    <row r="982" ht="30.0" customHeight="1">
      <c r="A982" s="488"/>
      <c r="B982" s="489"/>
      <c r="C982" s="489"/>
      <c r="D982" s="488"/>
      <c r="E982" s="489"/>
      <c r="F982" s="489"/>
      <c r="G982" s="173"/>
      <c r="H982" s="488"/>
      <c r="I982" s="488"/>
      <c r="J982" s="488"/>
      <c r="K982" s="488"/>
      <c r="L982" s="488"/>
      <c r="M982" s="489"/>
      <c r="N982" s="488"/>
      <c r="O982" s="489"/>
      <c r="P982" s="489"/>
      <c r="Q982" s="489"/>
      <c r="R982" s="489"/>
      <c r="S982" s="28"/>
      <c r="T982" s="490"/>
      <c r="U982" s="489"/>
    </row>
    <row r="983" ht="30.0" customHeight="1">
      <c r="A983" s="488"/>
      <c r="B983" s="489"/>
      <c r="C983" s="489"/>
      <c r="D983" s="488"/>
      <c r="E983" s="489"/>
      <c r="F983" s="489"/>
      <c r="G983" s="173"/>
      <c r="H983" s="488"/>
      <c r="I983" s="488"/>
      <c r="J983" s="488"/>
      <c r="K983" s="488"/>
      <c r="L983" s="488"/>
      <c r="M983" s="489"/>
      <c r="N983" s="488"/>
      <c r="O983" s="489"/>
      <c r="P983" s="489"/>
      <c r="Q983" s="489"/>
      <c r="R983" s="489"/>
      <c r="S983" s="28"/>
      <c r="T983" s="490"/>
      <c r="U983" s="489"/>
    </row>
    <row r="984" ht="30.0" customHeight="1">
      <c r="A984" s="488"/>
      <c r="B984" s="489"/>
      <c r="C984" s="489"/>
      <c r="D984" s="488"/>
      <c r="E984" s="489"/>
      <c r="F984" s="489"/>
      <c r="G984" s="173"/>
      <c r="H984" s="488"/>
      <c r="I984" s="488"/>
      <c r="J984" s="488"/>
      <c r="K984" s="488"/>
      <c r="L984" s="488"/>
      <c r="M984" s="489"/>
      <c r="N984" s="488"/>
      <c r="O984" s="489"/>
      <c r="P984" s="489"/>
      <c r="Q984" s="489"/>
      <c r="R984" s="489"/>
      <c r="S984" s="28"/>
      <c r="T984" s="490"/>
      <c r="U984" s="489"/>
    </row>
    <row r="985" ht="30.0" customHeight="1">
      <c r="A985" s="488"/>
      <c r="B985" s="489"/>
      <c r="C985" s="489"/>
      <c r="D985" s="488"/>
      <c r="E985" s="489"/>
      <c r="F985" s="489"/>
      <c r="G985" s="173"/>
      <c r="H985" s="488"/>
      <c r="I985" s="488"/>
      <c r="J985" s="488"/>
      <c r="K985" s="488"/>
      <c r="L985" s="488"/>
      <c r="M985" s="489"/>
      <c r="N985" s="488"/>
      <c r="O985" s="489"/>
      <c r="P985" s="489"/>
      <c r="Q985" s="489"/>
      <c r="R985" s="489"/>
      <c r="S985" s="28"/>
      <c r="T985" s="490"/>
      <c r="U985" s="489"/>
    </row>
    <row r="986" ht="30.0" customHeight="1">
      <c r="A986" s="488"/>
      <c r="B986" s="489"/>
      <c r="C986" s="489"/>
      <c r="D986" s="488"/>
      <c r="E986" s="489"/>
      <c r="F986" s="489"/>
      <c r="G986" s="173"/>
      <c r="H986" s="488"/>
      <c r="I986" s="488"/>
      <c r="J986" s="488"/>
      <c r="K986" s="488"/>
      <c r="L986" s="488"/>
      <c r="M986" s="489"/>
      <c r="N986" s="488"/>
      <c r="O986" s="489"/>
      <c r="P986" s="489"/>
      <c r="Q986" s="489"/>
      <c r="R986" s="489"/>
      <c r="S986" s="28"/>
      <c r="T986" s="490"/>
      <c r="U986" s="489"/>
    </row>
    <row r="987" ht="30.0" customHeight="1">
      <c r="A987" s="488"/>
      <c r="B987" s="489"/>
      <c r="C987" s="489"/>
      <c r="D987" s="488"/>
      <c r="E987" s="489"/>
      <c r="F987" s="489"/>
      <c r="G987" s="173"/>
      <c r="H987" s="488"/>
      <c r="I987" s="488"/>
      <c r="J987" s="488"/>
      <c r="K987" s="488"/>
      <c r="L987" s="488"/>
      <c r="M987" s="489"/>
      <c r="N987" s="488"/>
      <c r="O987" s="489"/>
      <c r="P987" s="489"/>
      <c r="Q987" s="489"/>
      <c r="R987" s="489"/>
      <c r="S987" s="28"/>
      <c r="T987" s="490"/>
      <c r="U987" s="489"/>
    </row>
    <row r="988" ht="30.0" customHeight="1">
      <c r="A988" s="488"/>
      <c r="B988" s="489"/>
      <c r="C988" s="489"/>
      <c r="D988" s="488"/>
      <c r="E988" s="489"/>
      <c r="F988" s="489"/>
      <c r="G988" s="173"/>
      <c r="H988" s="488"/>
      <c r="I988" s="488"/>
      <c r="J988" s="488"/>
      <c r="K988" s="488"/>
      <c r="L988" s="488"/>
      <c r="M988" s="489"/>
      <c r="N988" s="488"/>
      <c r="O988" s="489"/>
      <c r="P988" s="489"/>
      <c r="Q988" s="489"/>
      <c r="R988" s="489"/>
      <c r="S988" s="28"/>
      <c r="T988" s="490"/>
      <c r="U988" s="489"/>
    </row>
    <row r="989" ht="30.0" customHeight="1">
      <c r="A989" s="488"/>
      <c r="B989" s="489"/>
      <c r="C989" s="489"/>
      <c r="D989" s="488"/>
      <c r="E989" s="489"/>
      <c r="F989" s="489"/>
      <c r="G989" s="173"/>
      <c r="H989" s="488"/>
      <c r="I989" s="488"/>
      <c r="J989" s="488"/>
      <c r="K989" s="488"/>
      <c r="L989" s="488"/>
      <c r="M989" s="489"/>
      <c r="N989" s="488"/>
      <c r="O989" s="489"/>
      <c r="P989" s="489"/>
      <c r="Q989" s="489"/>
      <c r="R989" s="489"/>
      <c r="S989" s="28"/>
      <c r="T989" s="490"/>
      <c r="U989" s="489"/>
    </row>
    <row r="990" ht="30.0" customHeight="1">
      <c r="A990" s="488"/>
      <c r="B990" s="489"/>
      <c r="C990" s="489"/>
      <c r="D990" s="488"/>
      <c r="E990" s="489"/>
      <c r="F990" s="489"/>
      <c r="G990" s="173"/>
      <c r="H990" s="488"/>
      <c r="I990" s="488"/>
      <c r="J990" s="488"/>
      <c r="K990" s="488"/>
      <c r="L990" s="488"/>
      <c r="M990" s="489"/>
      <c r="N990" s="488"/>
      <c r="O990" s="489"/>
      <c r="P990" s="489"/>
      <c r="Q990" s="489"/>
      <c r="R990" s="489"/>
      <c r="S990" s="28"/>
      <c r="T990" s="490"/>
      <c r="U990" s="489"/>
    </row>
    <row r="991" ht="30.0" customHeight="1">
      <c r="A991" s="488"/>
      <c r="B991" s="489"/>
      <c r="C991" s="489"/>
      <c r="D991" s="488"/>
      <c r="E991" s="489"/>
      <c r="F991" s="489"/>
      <c r="G991" s="173"/>
      <c r="H991" s="488"/>
      <c r="I991" s="488"/>
      <c r="J991" s="488"/>
      <c r="K991" s="488"/>
      <c r="L991" s="488"/>
      <c r="M991" s="489"/>
      <c r="N991" s="488"/>
      <c r="O991" s="489"/>
      <c r="P991" s="489"/>
      <c r="Q991" s="489"/>
      <c r="R991" s="489"/>
      <c r="S991" s="28"/>
      <c r="T991" s="490"/>
      <c r="U991" s="489"/>
    </row>
    <row r="992" ht="30.0" customHeight="1">
      <c r="A992" s="488"/>
      <c r="B992" s="489"/>
      <c r="C992" s="489"/>
      <c r="D992" s="488"/>
      <c r="E992" s="489"/>
      <c r="F992" s="489"/>
      <c r="G992" s="173"/>
      <c r="H992" s="488"/>
      <c r="I992" s="488"/>
      <c r="J992" s="488"/>
      <c r="K992" s="488"/>
      <c r="L992" s="488"/>
      <c r="M992" s="489"/>
      <c r="N992" s="488"/>
      <c r="O992" s="489"/>
      <c r="P992" s="489"/>
      <c r="Q992" s="489"/>
      <c r="R992" s="489"/>
      <c r="S992" s="28"/>
      <c r="T992" s="490"/>
      <c r="U992" s="489"/>
    </row>
    <row r="993" ht="30.0" customHeight="1">
      <c r="A993" s="488"/>
      <c r="B993" s="489"/>
      <c r="C993" s="489"/>
      <c r="D993" s="488"/>
      <c r="E993" s="489"/>
      <c r="F993" s="489"/>
      <c r="G993" s="173"/>
      <c r="H993" s="488"/>
      <c r="I993" s="488"/>
      <c r="J993" s="488"/>
      <c r="K993" s="488"/>
      <c r="L993" s="488"/>
      <c r="M993" s="489"/>
      <c r="N993" s="488"/>
      <c r="O993" s="489"/>
      <c r="P993" s="489"/>
      <c r="Q993" s="489"/>
      <c r="R993" s="489"/>
      <c r="S993" s="28"/>
      <c r="T993" s="490"/>
      <c r="U993" s="489"/>
    </row>
    <row r="994" ht="30.0" customHeight="1">
      <c r="A994" s="488"/>
      <c r="B994" s="489"/>
      <c r="C994" s="489"/>
      <c r="D994" s="488"/>
      <c r="E994" s="489"/>
      <c r="F994" s="489"/>
      <c r="G994" s="173"/>
      <c r="H994" s="488"/>
      <c r="I994" s="488"/>
      <c r="J994" s="488"/>
      <c r="K994" s="488"/>
      <c r="L994" s="488"/>
      <c r="M994" s="489"/>
      <c r="N994" s="488"/>
      <c r="O994" s="489"/>
      <c r="P994" s="489"/>
      <c r="Q994" s="489"/>
      <c r="R994" s="489"/>
      <c r="S994" s="28"/>
      <c r="T994" s="490"/>
      <c r="U994" s="489"/>
    </row>
    <row r="995" ht="30.0" customHeight="1">
      <c r="A995" s="488"/>
      <c r="B995" s="489"/>
      <c r="C995" s="489"/>
      <c r="D995" s="488"/>
      <c r="E995" s="489"/>
      <c r="F995" s="489"/>
      <c r="G995" s="173"/>
      <c r="H995" s="488"/>
      <c r="I995" s="488"/>
      <c r="J995" s="488"/>
      <c r="K995" s="488"/>
      <c r="L995" s="488"/>
      <c r="M995" s="489"/>
      <c r="N995" s="488"/>
      <c r="O995" s="489"/>
      <c r="P995" s="489"/>
      <c r="Q995" s="489"/>
      <c r="R995" s="489"/>
      <c r="S995" s="28"/>
      <c r="T995" s="490"/>
      <c r="U995" s="489"/>
    </row>
    <row r="996" ht="30.0" customHeight="1">
      <c r="A996" s="488"/>
      <c r="B996" s="489"/>
      <c r="C996" s="489"/>
      <c r="D996" s="488"/>
      <c r="E996" s="489"/>
      <c r="F996" s="489"/>
      <c r="G996" s="173"/>
      <c r="H996" s="488"/>
      <c r="I996" s="488"/>
      <c r="J996" s="488"/>
      <c r="K996" s="488"/>
      <c r="L996" s="488"/>
      <c r="M996" s="489"/>
      <c r="N996" s="488"/>
      <c r="O996" s="489"/>
      <c r="P996" s="489"/>
      <c r="Q996" s="489"/>
      <c r="R996" s="489"/>
      <c r="S996" s="28"/>
      <c r="T996" s="490"/>
      <c r="U996" s="489"/>
    </row>
    <row r="997" ht="30.0" customHeight="1">
      <c r="A997" s="488"/>
      <c r="B997" s="489"/>
      <c r="C997" s="489"/>
      <c r="D997" s="488"/>
      <c r="E997" s="489"/>
      <c r="F997" s="489"/>
      <c r="G997" s="173"/>
      <c r="H997" s="488"/>
      <c r="I997" s="488"/>
      <c r="J997" s="488"/>
      <c r="K997" s="488"/>
      <c r="L997" s="488"/>
      <c r="M997" s="489"/>
      <c r="N997" s="488"/>
      <c r="O997" s="489"/>
      <c r="P997" s="489"/>
      <c r="Q997" s="489"/>
      <c r="R997" s="489"/>
      <c r="S997" s="28"/>
      <c r="T997" s="490"/>
      <c r="U997" s="489"/>
    </row>
    <row r="998" ht="30.0" customHeight="1">
      <c r="A998" s="488"/>
      <c r="B998" s="489"/>
      <c r="C998" s="489"/>
      <c r="D998" s="488"/>
      <c r="E998" s="489"/>
      <c r="F998" s="489"/>
      <c r="G998" s="173"/>
      <c r="H998" s="488"/>
      <c r="I998" s="488"/>
      <c r="J998" s="488"/>
      <c r="K998" s="488"/>
      <c r="L998" s="488"/>
      <c r="M998" s="489"/>
      <c r="N998" s="488"/>
      <c r="O998" s="489"/>
      <c r="P998" s="489"/>
      <c r="Q998" s="489"/>
      <c r="R998" s="489"/>
      <c r="S998" s="28"/>
      <c r="T998" s="490"/>
      <c r="U998" s="489"/>
    </row>
    <row r="999" ht="30.0" customHeight="1">
      <c r="A999" s="488"/>
      <c r="B999" s="489"/>
      <c r="C999" s="489"/>
      <c r="D999" s="488"/>
      <c r="E999" s="489"/>
      <c r="F999" s="489"/>
      <c r="G999" s="173"/>
      <c r="H999" s="488"/>
      <c r="I999" s="488"/>
      <c r="J999" s="488"/>
      <c r="K999" s="488"/>
      <c r="L999" s="488"/>
      <c r="M999" s="489"/>
      <c r="N999" s="488"/>
      <c r="O999" s="489"/>
      <c r="P999" s="489"/>
      <c r="Q999" s="489"/>
      <c r="R999" s="489"/>
      <c r="S999" s="28"/>
      <c r="T999" s="490"/>
      <c r="U999" s="489"/>
    </row>
    <row r="1000" ht="30.0" customHeight="1">
      <c r="A1000" s="488"/>
      <c r="B1000" s="489"/>
      <c r="C1000" s="489"/>
      <c r="D1000" s="488"/>
      <c r="E1000" s="489"/>
      <c r="F1000" s="489"/>
      <c r="G1000" s="173"/>
      <c r="H1000" s="488"/>
      <c r="I1000" s="488"/>
      <c r="J1000" s="488"/>
      <c r="K1000" s="488"/>
      <c r="L1000" s="488"/>
      <c r="M1000" s="489"/>
      <c r="N1000" s="488"/>
      <c r="O1000" s="489"/>
      <c r="P1000" s="489"/>
      <c r="Q1000" s="489"/>
      <c r="R1000" s="489"/>
      <c r="S1000" s="28"/>
      <c r="T1000" s="490"/>
      <c r="U1000" s="489"/>
    </row>
  </sheetData>
  <autoFilter ref="$A$4:$U$104"/>
  <mergeCells count="6">
    <mergeCell ref="B1:G1"/>
    <mergeCell ref="H1:K1"/>
    <mergeCell ref="L1:R1"/>
    <mergeCell ref="B2:G2"/>
    <mergeCell ref="H2:K2"/>
    <mergeCell ref="L2:R2"/>
  </mergeCells>
  <conditionalFormatting sqref="G5:G1000">
    <cfRule type="cellIs" dxfId="1" priority="1" operator="equal">
      <formula>"Active"</formula>
    </cfRule>
  </conditionalFormatting>
  <conditionalFormatting sqref="G5:G1000">
    <cfRule type="cellIs" dxfId="6" priority="2" operator="equal">
      <formula>"Inactive"</formula>
    </cfRule>
  </conditionalFormatting>
  <conditionalFormatting sqref="G5:G1000">
    <cfRule type="cellIs" dxfId="5" priority="3" operator="equal">
      <formula>"Retired"</formula>
    </cfRule>
  </conditionalFormatting>
  <conditionalFormatting sqref="G5:G1000">
    <cfRule type="cellIs" dxfId="7" priority="4" operator="equal">
      <formula>"Temporary"</formula>
    </cfRule>
  </conditionalFormatting>
  <conditionalFormatting sqref="K5:K1000">
    <cfRule type="containsBlanks" dxfId="5" priority="5">
      <formula>LEN(TRIM(K5))=0</formula>
    </cfRule>
  </conditionalFormatting>
  <conditionalFormatting sqref="B5:T1000">
    <cfRule type="containsBlanks" dxfId="0" priority="6">
      <formula>LEN(TRIM(B5))=0</formula>
    </cfRule>
  </conditionalFormatting>
  <dataValidations>
    <dataValidation type="custom" allowBlank="1" showDropDown="1" sqref="I5:I1000">
      <formula1>LEN(I5)&lt;=30</formula1>
    </dataValidation>
    <dataValidation type="list" allowBlank="1" sqref="B5:B1000">
      <formula1>'12-VLook'!$C$2:$C$500</formula1>
    </dataValidation>
    <dataValidation type="list" allowBlank="1" showErrorMessage="1" sqref="G5:G1000">
      <formula1>"Active,Retired"</formula1>
    </dataValidation>
    <dataValidation type="list" allowBlank="1" sqref="L5:L1000">
      <formula1>'12-VLook'!$G$2:$G$500</formula1>
    </dataValidation>
    <dataValidation type="custom" allowBlank="1" showDropDown="1" showInputMessage="1" showErrorMessage="1" prompt="Enter a number, N/A or Not Verified" sqref="Q5:R5 P6:R1000">
      <formula1>OR(ISNUMBER(P5), P5 = "N/A", P5 = "Not Verified")</formula1>
    </dataValidation>
    <dataValidation type="list" allowBlank="1" showErrorMessage="1" sqref="H5:H1000">
      <formula1>"Yes,No"</formula1>
    </dataValidation>
    <dataValidation type="custom" allowBlank="1" showDropDown="1" showInputMessage="1" showErrorMessage="1" prompt="Enter valid URL to Photos. If unobtainable, enter &quot;Not Verified&quot; and add comment in comment column" sqref="S5:S1000">
      <formula1>OR(ISURL(S5), S5 = "N/A", S5 = "Not Verified")</formula1>
    </dataValidation>
    <dataValidation type="list" allowBlank="1" showErrorMessage="1" sqref="N5:N1000">
      <formula1>'12-VLook'!$M2:$M1000</formula1>
    </dataValidation>
    <dataValidation type="list" allowBlank="1" sqref="D5:D1000">
      <formula1>'12-VLook'!$K$2:$K$200</formula1>
    </dataValidation>
    <dataValidation type="list" allowBlank="1" showInputMessage="1" prompt="Enter valid URL to Photos. If unobtainable, enter &quot;Not Verified&quot; and add comment in comment column" sqref="T5:T1000">
      <formula1>"WS/Facilities,Food,GFit,Events,GEN,BOPS/AV,SecOps,Landlord,Unknown,Other"</formula1>
    </dataValidation>
  </dataValidations>
  <printOptions gridLines="1" horizontalCentered="1"/>
  <pageMargins bottom="0.75" footer="0.0" header="0.0" left="0.7" right="0.7" top="0.75"/>
  <pageSetup fitToHeight="0" paperSize="8"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showGridLines="0" workbookViewId="0"/>
  </sheetViews>
  <sheetFormatPr customHeight="1" defaultColWidth="14.43" defaultRowHeight="15.0"/>
  <cols>
    <col customWidth="1" min="1" max="1" width="71.57"/>
  </cols>
  <sheetData>
    <row r="1" ht="18.75" customHeight="1">
      <c r="A1" s="491" t="s">
        <v>11119</v>
      </c>
    </row>
    <row r="2" ht="40.5" customHeight="1">
      <c r="A2" s="492" t="s">
        <v>11120</v>
      </c>
    </row>
    <row r="3" ht="18.75" customHeight="1">
      <c r="A3" s="493"/>
    </row>
    <row r="4" ht="18.75" customHeight="1">
      <c r="A4" s="493"/>
    </row>
    <row r="5" ht="18.75" customHeight="1">
      <c r="A5" s="493"/>
    </row>
  </sheetData>
  <printOptions gridLines="1" horizontalCentered="1"/>
  <pageMargins bottom="0.75" footer="0.0" header="0.0" left="0.7" right="0.7" top="0.75"/>
  <pageSetup fitToHeight="0" paperSize="8"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4.43" defaultRowHeight="15.0"/>
  <cols>
    <col customWidth="1" min="1" max="1" width="10.14"/>
    <col customWidth="1" min="2" max="2" width="21.57"/>
    <col customWidth="1" min="3" max="3" width="70.57"/>
    <col customWidth="1" min="4" max="4" width="19.86"/>
    <col customWidth="1" min="5" max="5" width="21.57"/>
    <col customWidth="1" min="6" max="6" width="23.86"/>
    <col customWidth="1" min="7" max="7" width="21.57"/>
    <col customWidth="1" min="8" max="8" width="131.57"/>
    <col customWidth="1" min="9" max="10" width="21.57"/>
  </cols>
  <sheetData>
    <row r="1" ht="28.5" customHeight="1">
      <c r="A1" s="494" t="s">
        <v>11121</v>
      </c>
      <c r="G1" s="495"/>
      <c r="H1" s="496" t="s">
        <v>11122</v>
      </c>
      <c r="I1" s="496">
        <f>COUNTA(I5:I54)</f>
        <v>1</v>
      </c>
      <c r="J1" s="497" t="s">
        <v>11123</v>
      </c>
    </row>
    <row r="2" ht="28.5" customHeight="1">
      <c r="G2" s="495"/>
      <c r="H2" s="498" t="s">
        <v>11124</v>
      </c>
      <c r="I2" s="499">
        <f>countif(I5:I54,"Open")</f>
        <v>1</v>
      </c>
      <c r="J2" s="498">
        <f>iferror(I2/I1,0)</f>
        <v>1</v>
      </c>
    </row>
    <row r="3" ht="28.5" customHeight="1">
      <c r="A3" s="4"/>
      <c r="B3" s="4"/>
      <c r="C3" s="4"/>
      <c r="D3" s="4"/>
      <c r="E3" s="4"/>
      <c r="F3" s="4"/>
      <c r="G3" s="7"/>
      <c r="H3" s="500" t="s">
        <v>11125</v>
      </c>
      <c r="I3" s="501">
        <f>countif(I5:I54,"Resolved")</f>
        <v>0</v>
      </c>
      <c r="J3" s="500">
        <f>iferror(I3/I1,0)</f>
        <v>0</v>
      </c>
    </row>
    <row r="4" ht="34.5" customHeight="1">
      <c r="A4" s="502" t="s">
        <v>11126</v>
      </c>
      <c r="B4" s="503" t="s">
        <v>11127</v>
      </c>
      <c r="C4" s="503" t="s">
        <v>62</v>
      </c>
      <c r="D4" s="503" t="s">
        <v>11128</v>
      </c>
      <c r="E4" s="503" t="s">
        <v>11129</v>
      </c>
      <c r="F4" s="504" t="s">
        <v>11130</v>
      </c>
      <c r="G4" s="504" t="s">
        <v>11131</v>
      </c>
      <c r="H4" s="504" t="s">
        <v>11132</v>
      </c>
      <c r="I4" s="503" t="s">
        <v>11133</v>
      </c>
      <c r="J4" s="503" t="s">
        <v>11134</v>
      </c>
    </row>
    <row r="5" ht="45.0" customHeight="1">
      <c r="A5" s="502">
        <v>1.0</v>
      </c>
      <c r="B5" s="505"/>
      <c r="C5" s="505"/>
      <c r="D5" s="506"/>
      <c r="E5" s="507"/>
      <c r="F5" s="508"/>
      <c r="G5" s="509"/>
      <c r="H5" s="509"/>
      <c r="I5" s="510" t="s">
        <v>11124</v>
      </c>
      <c r="J5" s="508"/>
    </row>
    <row r="6" ht="45.0" customHeight="1">
      <c r="A6" s="502">
        <v>2.0</v>
      </c>
      <c r="B6" s="505"/>
      <c r="C6" s="505"/>
      <c r="D6" s="511"/>
      <c r="E6" s="512"/>
      <c r="F6" s="508"/>
      <c r="G6" s="509"/>
      <c r="H6" s="509"/>
      <c r="I6" s="510"/>
      <c r="J6" s="508"/>
    </row>
    <row r="7" ht="45.0" customHeight="1">
      <c r="A7" s="502">
        <v>3.0</v>
      </c>
      <c r="B7" s="511"/>
      <c r="C7" s="505"/>
      <c r="D7" s="511"/>
      <c r="E7" s="512"/>
      <c r="F7" s="508"/>
      <c r="G7" s="509"/>
      <c r="H7" s="509"/>
      <c r="I7" s="513"/>
      <c r="J7" s="508"/>
    </row>
    <row r="8" ht="45.0" customHeight="1">
      <c r="A8" s="502">
        <v>4.0</v>
      </c>
      <c r="B8" s="511"/>
      <c r="C8" s="505"/>
      <c r="D8" s="511"/>
      <c r="E8" s="512"/>
      <c r="F8" s="508"/>
      <c r="G8" s="509"/>
      <c r="H8" s="509"/>
      <c r="I8" s="513"/>
      <c r="J8" s="508"/>
    </row>
    <row r="9" ht="45.0" customHeight="1">
      <c r="A9" s="502">
        <v>5.0</v>
      </c>
      <c r="B9" s="511"/>
      <c r="C9" s="511"/>
      <c r="D9" s="511"/>
      <c r="E9" s="512"/>
      <c r="F9" s="508"/>
      <c r="G9" s="509"/>
      <c r="H9" s="509"/>
      <c r="I9" s="513"/>
      <c r="J9" s="508"/>
    </row>
    <row r="10" ht="45.0" customHeight="1">
      <c r="A10" s="502">
        <v>6.0</v>
      </c>
      <c r="B10" s="511"/>
      <c r="C10" s="511"/>
      <c r="D10" s="511"/>
      <c r="E10" s="512"/>
      <c r="F10" s="508"/>
      <c r="G10" s="509"/>
      <c r="H10" s="509"/>
      <c r="I10" s="513"/>
      <c r="J10" s="508"/>
    </row>
    <row r="11" ht="45.0" customHeight="1">
      <c r="A11" s="502">
        <v>7.0</v>
      </c>
      <c r="B11" s="511"/>
      <c r="C11" s="511"/>
      <c r="D11" s="511"/>
      <c r="E11" s="512"/>
      <c r="F11" s="508"/>
      <c r="G11" s="509"/>
      <c r="H11" s="509"/>
      <c r="I11" s="513"/>
      <c r="J11" s="508"/>
    </row>
    <row r="12" ht="45.0" customHeight="1">
      <c r="A12" s="502">
        <v>8.0</v>
      </c>
      <c r="B12" s="511"/>
      <c r="C12" s="511"/>
      <c r="D12" s="511"/>
      <c r="E12" s="512"/>
      <c r="F12" s="508"/>
      <c r="G12" s="509"/>
      <c r="H12" s="509"/>
      <c r="I12" s="513"/>
      <c r="J12" s="508"/>
    </row>
    <row r="13" ht="45.0" customHeight="1">
      <c r="A13" s="502">
        <v>9.0</v>
      </c>
      <c r="B13" s="511"/>
      <c r="C13" s="511"/>
      <c r="D13" s="511"/>
      <c r="E13" s="512"/>
      <c r="F13" s="508"/>
      <c r="G13" s="509"/>
      <c r="H13" s="509"/>
      <c r="I13" s="513"/>
      <c r="J13" s="508"/>
    </row>
    <row r="14" ht="45.0" customHeight="1">
      <c r="A14" s="502">
        <v>10.0</v>
      </c>
      <c r="B14" s="511"/>
      <c r="C14" s="511"/>
      <c r="D14" s="511"/>
      <c r="E14" s="512"/>
      <c r="F14" s="508"/>
      <c r="G14" s="509"/>
      <c r="H14" s="509"/>
      <c r="I14" s="513"/>
      <c r="J14" s="508"/>
    </row>
    <row r="15" ht="45.0" customHeight="1">
      <c r="A15" s="502">
        <v>11.0</v>
      </c>
      <c r="B15" s="511"/>
      <c r="C15" s="511"/>
      <c r="D15" s="511"/>
      <c r="E15" s="512"/>
      <c r="F15" s="508"/>
      <c r="G15" s="509"/>
      <c r="H15" s="509"/>
      <c r="I15" s="513"/>
      <c r="J15" s="508"/>
    </row>
    <row r="16" ht="45.0" customHeight="1">
      <c r="A16" s="502">
        <v>12.0</v>
      </c>
      <c r="B16" s="511"/>
      <c r="C16" s="511"/>
      <c r="D16" s="511"/>
      <c r="E16" s="512"/>
      <c r="F16" s="508"/>
      <c r="G16" s="509"/>
      <c r="H16" s="509"/>
      <c r="I16" s="513"/>
      <c r="J16" s="508"/>
    </row>
    <row r="17" ht="45.0" customHeight="1">
      <c r="A17" s="502">
        <v>13.0</v>
      </c>
      <c r="B17" s="511"/>
      <c r="C17" s="511"/>
      <c r="D17" s="511"/>
      <c r="E17" s="512"/>
      <c r="F17" s="508"/>
      <c r="G17" s="509"/>
      <c r="H17" s="509"/>
      <c r="I17" s="513"/>
      <c r="J17" s="508"/>
    </row>
    <row r="18" ht="45.0" customHeight="1">
      <c r="A18" s="502">
        <v>14.0</v>
      </c>
      <c r="B18" s="511"/>
      <c r="C18" s="511"/>
      <c r="D18" s="511"/>
      <c r="E18" s="512"/>
      <c r="F18" s="508"/>
      <c r="G18" s="509"/>
      <c r="H18" s="509"/>
      <c r="I18" s="513"/>
      <c r="J18" s="508"/>
    </row>
    <row r="19" ht="45.0" customHeight="1">
      <c r="A19" s="502">
        <v>15.0</v>
      </c>
      <c r="B19" s="511"/>
      <c r="C19" s="511"/>
      <c r="D19" s="511"/>
      <c r="E19" s="512"/>
      <c r="F19" s="508"/>
      <c r="G19" s="509"/>
      <c r="H19" s="509"/>
      <c r="I19" s="513"/>
      <c r="J19" s="508"/>
    </row>
    <row r="20" ht="45.0" customHeight="1">
      <c r="A20" s="502">
        <v>16.0</v>
      </c>
      <c r="B20" s="511"/>
      <c r="C20" s="511"/>
      <c r="D20" s="511"/>
      <c r="E20" s="512"/>
      <c r="F20" s="508"/>
      <c r="G20" s="509"/>
      <c r="H20" s="509"/>
      <c r="I20" s="513"/>
      <c r="J20" s="508"/>
    </row>
    <row r="21" ht="45.0" customHeight="1">
      <c r="A21" s="502">
        <v>17.0</v>
      </c>
      <c r="B21" s="511"/>
      <c r="C21" s="511"/>
      <c r="D21" s="511"/>
      <c r="E21" s="512"/>
      <c r="F21" s="508"/>
      <c r="G21" s="509"/>
      <c r="H21" s="509"/>
      <c r="I21" s="513"/>
      <c r="J21" s="508"/>
    </row>
    <row r="22" ht="45.0" customHeight="1">
      <c r="A22" s="502">
        <v>18.0</v>
      </c>
      <c r="B22" s="511"/>
      <c r="C22" s="511"/>
      <c r="D22" s="511"/>
      <c r="E22" s="512"/>
      <c r="F22" s="508"/>
      <c r="G22" s="509"/>
      <c r="H22" s="509"/>
      <c r="I22" s="513"/>
      <c r="J22" s="508"/>
    </row>
    <row r="23" ht="45.0" customHeight="1">
      <c r="A23" s="502">
        <v>19.0</v>
      </c>
      <c r="B23" s="511"/>
      <c r="C23" s="511"/>
      <c r="D23" s="511"/>
      <c r="E23" s="512"/>
      <c r="F23" s="508"/>
      <c r="G23" s="509"/>
      <c r="H23" s="509"/>
      <c r="I23" s="513"/>
      <c r="J23" s="508"/>
    </row>
    <row r="24" ht="45.0" customHeight="1">
      <c r="A24" s="502">
        <v>20.0</v>
      </c>
      <c r="B24" s="511"/>
      <c r="C24" s="511"/>
      <c r="D24" s="511"/>
      <c r="E24" s="512"/>
      <c r="F24" s="508"/>
      <c r="G24" s="509"/>
      <c r="H24" s="509"/>
      <c r="I24" s="513"/>
      <c r="J24" s="508"/>
    </row>
    <row r="25" ht="45.0" customHeight="1">
      <c r="A25" s="502">
        <v>21.0</v>
      </c>
      <c r="B25" s="511"/>
      <c r="C25" s="511"/>
      <c r="D25" s="511"/>
      <c r="E25" s="512"/>
      <c r="F25" s="508"/>
      <c r="G25" s="509"/>
      <c r="H25" s="509"/>
      <c r="I25" s="513"/>
      <c r="J25" s="508"/>
    </row>
    <row r="26" ht="45.0" customHeight="1">
      <c r="A26" s="502">
        <v>22.0</v>
      </c>
      <c r="B26" s="511"/>
      <c r="C26" s="511"/>
      <c r="D26" s="511"/>
      <c r="E26" s="512"/>
      <c r="F26" s="508"/>
      <c r="G26" s="509"/>
      <c r="H26" s="509"/>
      <c r="I26" s="513"/>
      <c r="J26" s="508"/>
    </row>
    <row r="27" ht="45.0" customHeight="1">
      <c r="A27" s="502">
        <v>23.0</v>
      </c>
      <c r="B27" s="511"/>
      <c r="C27" s="511"/>
      <c r="D27" s="511"/>
      <c r="E27" s="512"/>
      <c r="F27" s="508"/>
      <c r="G27" s="509"/>
      <c r="H27" s="509"/>
      <c r="I27" s="513"/>
      <c r="J27" s="508"/>
    </row>
    <row r="28" ht="45.0" customHeight="1">
      <c r="A28" s="502">
        <v>24.0</v>
      </c>
      <c r="B28" s="511"/>
      <c r="C28" s="511"/>
      <c r="D28" s="511"/>
      <c r="E28" s="512"/>
      <c r="F28" s="508"/>
      <c r="G28" s="509"/>
      <c r="H28" s="509"/>
      <c r="I28" s="513"/>
      <c r="J28" s="508"/>
    </row>
    <row r="29" ht="45.0" customHeight="1">
      <c r="A29" s="502">
        <v>25.0</v>
      </c>
      <c r="B29" s="511"/>
      <c r="C29" s="511"/>
      <c r="D29" s="511"/>
      <c r="E29" s="512"/>
      <c r="F29" s="508"/>
      <c r="G29" s="509"/>
      <c r="H29" s="509"/>
      <c r="I29" s="513"/>
      <c r="J29" s="508"/>
    </row>
    <row r="30" ht="45.0" customHeight="1">
      <c r="A30" s="502">
        <v>26.0</v>
      </c>
      <c r="B30" s="511"/>
      <c r="C30" s="511"/>
      <c r="D30" s="511"/>
      <c r="E30" s="512"/>
      <c r="F30" s="508"/>
      <c r="G30" s="509"/>
      <c r="H30" s="509"/>
      <c r="I30" s="513"/>
      <c r="J30" s="508"/>
    </row>
    <row r="31" ht="45.0" customHeight="1">
      <c r="A31" s="502">
        <v>27.0</v>
      </c>
      <c r="B31" s="511"/>
      <c r="C31" s="511"/>
      <c r="D31" s="511"/>
      <c r="E31" s="512"/>
      <c r="F31" s="508"/>
      <c r="G31" s="509"/>
      <c r="H31" s="509"/>
      <c r="I31" s="513"/>
      <c r="J31" s="508"/>
    </row>
    <row r="32" ht="45.0" customHeight="1">
      <c r="A32" s="502">
        <v>28.0</v>
      </c>
      <c r="B32" s="511"/>
      <c r="C32" s="511"/>
      <c r="D32" s="511"/>
      <c r="E32" s="512"/>
      <c r="F32" s="508"/>
      <c r="G32" s="509"/>
      <c r="H32" s="509"/>
      <c r="I32" s="509"/>
      <c r="J32" s="508"/>
    </row>
    <row r="33" ht="45.0" customHeight="1">
      <c r="A33" s="502">
        <v>29.0</v>
      </c>
      <c r="B33" s="511"/>
      <c r="C33" s="511"/>
      <c r="D33" s="511"/>
      <c r="E33" s="512"/>
      <c r="F33" s="508"/>
      <c r="G33" s="509"/>
      <c r="H33" s="509"/>
      <c r="I33" s="509"/>
      <c r="J33" s="508"/>
    </row>
    <row r="34" ht="45.0" customHeight="1">
      <c r="A34" s="502">
        <v>30.0</v>
      </c>
      <c r="B34" s="511"/>
      <c r="C34" s="511"/>
      <c r="D34" s="511"/>
      <c r="E34" s="512"/>
      <c r="F34" s="508"/>
      <c r="G34" s="509"/>
      <c r="H34" s="509"/>
      <c r="I34" s="509"/>
      <c r="J34" s="508"/>
    </row>
    <row r="35" ht="45.0" customHeight="1">
      <c r="A35" s="502">
        <v>31.0</v>
      </c>
      <c r="B35" s="511"/>
      <c r="C35" s="511"/>
      <c r="D35" s="511"/>
      <c r="E35" s="512"/>
      <c r="F35" s="508"/>
      <c r="G35" s="509"/>
      <c r="H35" s="509"/>
      <c r="I35" s="509"/>
      <c r="J35" s="508"/>
    </row>
    <row r="36" ht="45.0" customHeight="1">
      <c r="A36" s="502">
        <v>32.0</v>
      </c>
      <c r="B36" s="511"/>
      <c r="C36" s="511"/>
      <c r="D36" s="511"/>
      <c r="E36" s="512"/>
      <c r="F36" s="508"/>
      <c r="G36" s="509"/>
      <c r="H36" s="509"/>
      <c r="I36" s="509"/>
      <c r="J36" s="508"/>
    </row>
    <row r="37" ht="45.0" customHeight="1">
      <c r="A37" s="502">
        <v>33.0</v>
      </c>
      <c r="B37" s="511"/>
      <c r="C37" s="511"/>
      <c r="D37" s="511"/>
      <c r="E37" s="512"/>
      <c r="F37" s="508"/>
      <c r="G37" s="509"/>
      <c r="H37" s="509"/>
      <c r="I37" s="509"/>
      <c r="J37" s="508"/>
    </row>
    <row r="38" ht="45.0" customHeight="1">
      <c r="A38" s="502">
        <v>34.0</v>
      </c>
      <c r="B38" s="511"/>
      <c r="C38" s="511"/>
      <c r="D38" s="511"/>
      <c r="E38" s="512"/>
      <c r="F38" s="508"/>
      <c r="G38" s="509"/>
      <c r="H38" s="509"/>
      <c r="I38" s="509"/>
      <c r="J38" s="508"/>
    </row>
    <row r="39" ht="45.0" customHeight="1">
      <c r="A39" s="502">
        <v>35.0</v>
      </c>
      <c r="B39" s="511"/>
      <c r="C39" s="511"/>
      <c r="D39" s="511"/>
      <c r="E39" s="512"/>
      <c r="F39" s="508"/>
      <c r="G39" s="509"/>
      <c r="H39" s="509"/>
      <c r="I39" s="509"/>
      <c r="J39" s="508"/>
    </row>
    <row r="40" ht="45.0" customHeight="1">
      <c r="A40" s="502">
        <v>36.0</v>
      </c>
      <c r="B40" s="511"/>
      <c r="C40" s="511"/>
      <c r="D40" s="511"/>
      <c r="E40" s="512"/>
      <c r="F40" s="508"/>
      <c r="G40" s="509"/>
      <c r="H40" s="509"/>
      <c r="I40" s="509"/>
      <c r="J40" s="508"/>
    </row>
    <row r="41" ht="45.0" customHeight="1">
      <c r="A41" s="502">
        <v>37.0</v>
      </c>
      <c r="B41" s="511"/>
      <c r="C41" s="511"/>
      <c r="D41" s="511"/>
      <c r="E41" s="512"/>
      <c r="F41" s="508"/>
      <c r="G41" s="509"/>
      <c r="H41" s="509"/>
      <c r="I41" s="509"/>
      <c r="J41" s="508"/>
    </row>
    <row r="42" ht="45.0" customHeight="1">
      <c r="A42" s="502">
        <v>38.0</v>
      </c>
      <c r="B42" s="511"/>
      <c r="C42" s="511"/>
      <c r="D42" s="511"/>
      <c r="E42" s="512"/>
      <c r="F42" s="508"/>
      <c r="G42" s="509"/>
      <c r="H42" s="509"/>
      <c r="I42" s="509"/>
      <c r="J42" s="508"/>
    </row>
    <row r="43" ht="45.0" customHeight="1">
      <c r="A43" s="502">
        <v>39.0</v>
      </c>
      <c r="B43" s="511"/>
      <c r="C43" s="511"/>
      <c r="D43" s="511"/>
      <c r="E43" s="512"/>
      <c r="F43" s="508"/>
      <c r="G43" s="509"/>
      <c r="H43" s="509"/>
      <c r="I43" s="509"/>
      <c r="J43" s="508"/>
    </row>
    <row r="44" ht="45.0" customHeight="1">
      <c r="A44" s="502">
        <v>40.0</v>
      </c>
      <c r="B44" s="511"/>
      <c r="C44" s="511"/>
      <c r="D44" s="511"/>
      <c r="E44" s="512"/>
      <c r="F44" s="508"/>
      <c r="G44" s="509"/>
      <c r="H44" s="509"/>
      <c r="I44" s="509"/>
      <c r="J44" s="508"/>
    </row>
    <row r="45" ht="45.0" customHeight="1">
      <c r="A45" s="502">
        <v>41.0</v>
      </c>
      <c r="B45" s="511"/>
      <c r="C45" s="511"/>
      <c r="D45" s="511"/>
      <c r="E45" s="512"/>
      <c r="F45" s="508"/>
      <c r="G45" s="509"/>
      <c r="H45" s="509"/>
      <c r="I45" s="509"/>
      <c r="J45" s="508"/>
    </row>
    <row r="46" ht="45.0" customHeight="1">
      <c r="A46" s="502">
        <v>42.0</v>
      </c>
      <c r="B46" s="511"/>
      <c r="C46" s="511"/>
      <c r="D46" s="511"/>
      <c r="E46" s="512"/>
      <c r="F46" s="508"/>
      <c r="G46" s="509"/>
      <c r="H46" s="509"/>
      <c r="I46" s="509"/>
      <c r="J46" s="508"/>
    </row>
    <row r="47" ht="45.0" customHeight="1">
      <c r="A47" s="502">
        <v>43.0</v>
      </c>
      <c r="B47" s="511"/>
      <c r="C47" s="511"/>
      <c r="D47" s="511"/>
      <c r="E47" s="512"/>
      <c r="F47" s="508"/>
      <c r="G47" s="509"/>
      <c r="H47" s="509"/>
      <c r="I47" s="509"/>
      <c r="J47" s="508"/>
    </row>
    <row r="48" ht="45.0" customHeight="1">
      <c r="A48" s="502">
        <v>44.0</v>
      </c>
      <c r="B48" s="511"/>
      <c r="C48" s="511"/>
      <c r="D48" s="511"/>
      <c r="E48" s="512"/>
      <c r="F48" s="508"/>
      <c r="G48" s="509"/>
      <c r="H48" s="509"/>
      <c r="I48" s="509"/>
      <c r="J48" s="508"/>
    </row>
    <row r="49" ht="45.0" customHeight="1">
      <c r="A49" s="502">
        <v>45.0</v>
      </c>
      <c r="B49" s="511"/>
      <c r="C49" s="511"/>
      <c r="D49" s="511"/>
      <c r="E49" s="512"/>
      <c r="F49" s="508"/>
      <c r="G49" s="509"/>
      <c r="H49" s="509"/>
      <c r="I49" s="509"/>
      <c r="J49" s="508"/>
    </row>
    <row r="50" ht="45.0" customHeight="1">
      <c r="A50" s="502">
        <v>46.0</v>
      </c>
      <c r="B50" s="511"/>
      <c r="C50" s="511"/>
      <c r="D50" s="511"/>
      <c r="E50" s="512"/>
      <c r="F50" s="508"/>
      <c r="G50" s="509"/>
      <c r="H50" s="509"/>
      <c r="I50" s="509"/>
      <c r="J50" s="508"/>
    </row>
    <row r="51" ht="45.0" customHeight="1">
      <c r="A51" s="502">
        <v>47.0</v>
      </c>
      <c r="B51" s="511"/>
      <c r="C51" s="511"/>
      <c r="D51" s="511"/>
      <c r="E51" s="512"/>
      <c r="F51" s="508"/>
      <c r="G51" s="509"/>
      <c r="H51" s="509"/>
      <c r="I51" s="509"/>
      <c r="J51" s="508"/>
    </row>
    <row r="52" ht="45.0" customHeight="1">
      <c r="A52" s="502">
        <v>48.0</v>
      </c>
      <c r="B52" s="511"/>
      <c r="C52" s="511"/>
      <c r="D52" s="511"/>
      <c r="E52" s="512"/>
      <c r="F52" s="508"/>
      <c r="G52" s="509"/>
      <c r="H52" s="509"/>
      <c r="I52" s="509"/>
      <c r="J52" s="508"/>
    </row>
    <row r="53" ht="45.0" customHeight="1">
      <c r="A53" s="502">
        <v>49.0</v>
      </c>
      <c r="B53" s="511"/>
      <c r="C53" s="511"/>
      <c r="D53" s="511"/>
      <c r="E53" s="512"/>
      <c r="F53" s="508"/>
      <c r="G53" s="509"/>
      <c r="H53" s="509"/>
      <c r="I53" s="509"/>
      <c r="J53" s="508"/>
    </row>
    <row r="54" ht="45.0" customHeight="1">
      <c r="A54" s="502">
        <v>50.0</v>
      </c>
      <c r="B54" s="505"/>
      <c r="C54" s="511"/>
      <c r="D54" s="511"/>
      <c r="E54" s="512"/>
      <c r="F54" s="508"/>
      <c r="G54" s="509"/>
      <c r="H54" s="509"/>
      <c r="I54" s="509"/>
      <c r="J54" s="508"/>
    </row>
  </sheetData>
  <autoFilter ref="$A$4:$G$4"/>
  <mergeCells count="1">
    <mergeCell ref="A1:G3"/>
  </mergeCells>
  <conditionalFormatting sqref="F5:F54">
    <cfRule type="containsText" dxfId="3" priority="1" operator="containsText" text="Open">
      <formula>NOT(ISERROR(SEARCH(("Open"),(F5))))</formula>
    </cfRule>
  </conditionalFormatting>
  <conditionalFormatting sqref="F5:F54">
    <cfRule type="containsText" dxfId="1" priority="2" operator="containsText" text="Resolved">
      <formula>NOT(ISERROR(SEARCH(("Resolved"),(F5))))</formula>
    </cfRule>
  </conditionalFormatting>
  <conditionalFormatting sqref="C30">
    <cfRule type="notContainsBlanks" dxfId="1" priority="3">
      <formula>LEN(TRIM(C30))&gt;0</formula>
    </cfRule>
  </conditionalFormatting>
  <conditionalFormatting sqref="C31">
    <cfRule type="notContainsBlanks" dxfId="1" priority="4">
      <formula>LEN(TRIM(C31))&gt;0</formula>
    </cfRule>
  </conditionalFormatting>
  <conditionalFormatting sqref="I5:I54">
    <cfRule type="cellIs" dxfId="12" priority="5" operator="equal">
      <formula>"Open"</formula>
    </cfRule>
  </conditionalFormatting>
  <conditionalFormatting sqref="I5:I54">
    <cfRule type="cellIs" dxfId="13" priority="6" operator="equal">
      <formula>"Resolved"</formula>
    </cfRule>
  </conditionalFormatting>
  <conditionalFormatting sqref="B5:J54">
    <cfRule type="containsBlanks" dxfId="14" priority="7">
      <formula>LEN(TRIM(B5))=0</formula>
    </cfRule>
  </conditionalFormatting>
  <conditionalFormatting sqref="B5:J54">
    <cfRule type="notContainsBlanks" dxfId="15" priority="8">
      <formula>LEN(TRIM(B5))&gt;0</formula>
    </cfRule>
  </conditionalFormatting>
  <dataValidations>
    <dataValidation type="list" allowBlank="1" sqref="D5:D54">
      <formula1>"RG,ND,WB,ST"</formula1>
    </dataValidation>
    <dataValidation type="list" allowBlank="1" sqref="I5:I54">
      <formula1>"Open,Resolved"</formula1>
    </dataValidation>
    <dataValidation type="custom" allowBlank="1" showDropDown="1" sqref="E5:F54 J5:J54">
      <formula1>OR(NOT(ISERROR(DATEVALUE(E5))), AND(ISNUMBER(E5), LEFT(CELL("format", E5))="D"))</formula1>
    </dataValidation>
    <dataValidation type="list" allowBlank="1" sqref="B54">
      <formula1>"1,2,3,4,5,6,7,O&amp;M Docs,Schematics"</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4.43" defaultRowHeight="15.0" outlineLevelCol="1"/>
  <cols>
    <col customWidth="1" min="1" max="7" width="25.14"/>
    <col collapsed="1" customWidth="1" min="8" max="8" width="25.14"/>
    <col customWidth="1" hidden="1" min="9" max="9" width="42.29" outlineLevel="1"/>
  </cols>
  <sheetData>
    <row r="1">
      <c r="A1" s="514"/>
      <c r="B1" s="514"/>
      <c r="C1" s="514"/>
      <c r="D1" s="514"/>
      <c r="E1" s="514"/>
      <c r="F1" s="514"/>
      <c r="G1" s="514"/>
      <c r="H1" s="515"/>
      <c r="I1" s="514"/>
    </row>
    <row r="2">
      <c r="A2" s="516" t="s">
        <v>11135</v>
      </c>
      <c r="B2" s="514"/>
      <c r="C2" s="514"/>
      <c r="D2" s="514"/>
      <c r="E2" s="514"/>
      <c r="F2" s="514"/>
      <c r="G2" s="514"/>
      <c r="H2" s="514"/>
      <c r="I2" s="514"/>
    </row>
    <row r="3">
      <c r="A3" s="514"/>
      <c r="B3" s="514"/>
      <c r="C3" s="514"/>
      <c r="D3" s="514"/>
      <c r="E3" s="514"/>
      <c r="F3" s="514"/>
      <c r="G3" s="514"/>
      <c r="H3" s="514"/>
      <c r="I3" s="514"/>
    </row>
    <row r="4">
      <c r="A4" s="517" t="s">
        <v>11136</v>
      </c>
      <c r="B4" s="48"/>
      <c r="C4" s="48"/>
      <c r="D4" s="518"/>
      <c r="E4" s="518"/>
      <c r="F4" s="518"/>
      <c r="G4" s="518"/>
      <c r="H4" s="518"/>
      <c r="I4" s="514"/>
    </row>
    <row r="5">
      <c r="A5" s="519" t="s">
        <v>11137</v>
      </c>
      <c r="B5" s="519" t="s">
        <v>11138</v>
      </c>
      <c r="C5" s="519" t="s">
        <v>11139</v>
      </c>
      <c r="D5" s="520"/>
      <c r="E5" s="520"/>
      <c r="F5" s="520"/>
      <c r="G5" s="520"/>
      <c r="H5" s="520"/>
      <c r="I5" s="514"/>
    </row>
    <row r="6">
      <c r="A6" s="521">
        <f>SUM('3-Devices Types'!F5:F25)</f>
        <v>3244</v>
      </c>
      <c r="B6" s="521">
        <f>COUNTIF('4-All Devices'!B5:B25,"&lt;&gt;")</f>
        <v>3468</v>
      </c>
      <c r="C6" s="521">
        <f>A6-B6</f>
        <v>-224</v>
      </c>
      <c r="D6" s="522"/>
      <c r="E6" s="522"/>
      <c r="F6" s="522"/>
      <c r="G6" s="522"/>
      <c r="H6" s="522"/>
      <c r="I6" s="514"/>
    </row>
    <row r="7">
      <c r="A7" s="514"/>
      <c r="B7" s="514"/>
      <c r="C7" s="514"/>
      <c r="D7" s="523"/>
      <c r="E7" s="523"/>
      <c r="F7" s="523"/>
      <c r="G7" s="523"/>
      <c r="H7" s="523"/>
      <c r="I7" s="514"/>
    </row>
    <row r="8">
      <c r="A8" s="514"/>
      <c r="B8" s="514"/>
      <c r="C8" s="514"/>
      <c r="D8" s="514"/>
      <c r="E8" s="514"/>
      <c r="F8" s="514"/>
      <c r="G8" s="514"/>
      <c r="H8" s="514"/>
      <c r="I8" s="514"/>
    </row>
    <row r="9">
      <c r="A9" s="517" t="s">
        <v>11140</v>
      </c>
      <c r="B9" s="48"/>
      <c r="C9" s="48"/>
      <c r="D9" s="48"/>
      <c r="E9" s="517" t="s">
        <v>11141</v>
      </c>
      <c r="F9" s="48"/>
      <c r="G9" s="48"/>
      <c r="H9" s="48"/>
      <c r="I9" s="518"/>
    </row>
    <row r="10">
      <c r="A10" s="519" t="s">
        <v>182</v>
      </c>
      <c r="B10" s="519" t="s">
        <v>11142</v>
      </c>
      <c r="C10" s="519" t="s">
        <v>11143</v>
      </c>
      <c r="D10" s="519" t="s">
        <v>11144</v>
      </c>
      <c r="E10" s="519" t="s">
        <v>11145</v>
      </c>
      <c r="F10" s="519" t="s">
        <v>11146</v>
      </c>
      <c r="G10" s="519" t="s">
        <v>11147</v>
      </c>
      <c r="H10" s="520"/>
      <c r="I10" s="8"/>
    </row>
    <row r="11">
      <c r="A11" s="524" t="s">
        <v>11148</v>
      </c>
      <c r="B11" s="525">
        <f>IFERROR(__xludf.DUMMYFUNCTION("COUNTUNIQUEIFS('3-Devices Types'!$C$5:$C$400,'3-Devices Types'!$C$5:$C$400,H11)"),1.0)</f>
        <v>1</v>
      </c>
      <c r="C11" s="524">
        <f>sumIFS('3-Devices Types'!$F$5:$F$400,'3-Devices Types'!$C$5:$C$400,H11)</f>
        <v>3244</v>
      </c>
      <c r="D11" s="526">
        <f>sumIFS('3-Devices Types'!$F$5:$F$400,'3-Devices Types'!$S$5:$S$400,"P0",'3-Devices Types'!$C$5:$C$400,H11)</f>
        <v>0</v>
      </c>
      <c r="E11" s="526">
        <f>sumIFS('3-Devices Types'!$F$5:$F$400,'3-Devices Types'!$S$5:$S$400,"P1",'3-Devices Types'!$C$5:$C$400,H11)</f>
        <v>0</v>
      </c>
      <c r="F11" s="526">
        <f>sumIFS('3-Devices Types'!$F$5:$F$400,'3-Devices Types'!$S$5:$S$400,"P2",'3-Devices Types'!$C$5:$C$400,H11)</f>
        <v>0</v>
      </c>
      <c r="G11" s="526">
        <f>sumIFS('3-Devices Types'!$F$5:$F$400,'3-Devices Types'!$S$5:$S$400,"P3",'3-Devices Types'!$C$5:$C$400,H11)</f>
        <v>0</v>
      </c>
      <c r="H11" s="527" t="s">
        <v>11149</v>
      </c>
      <c r="I11" s="8"/>
    </row>
    <row r="12">
      <c r="A12" s="524" t="s">
        <v>11150</v>
      </c>
      <c r="B12" s="525">
        <f>IFERROR(__xludf.DUMMYFUNCTION("COUNTUNIQUEIFS('3-Devices Types'!$C$5:$C$400,'3-Devices Types'!$C$5:$C$400,H12)"),0.0)</f>
        <v>0</v>
      </c>
      <c r="C12" s="524">
        <f>sumIFS('3-Devices Types'!$F$5:$F$400,'3-Devices Types'!$C$5:$C$400,H12)</f>
        <v>0</v>
      </c>
      <c r="D12" s="526">
        <f>sumIFS('3-Devices Types'!$F$5:$F$400,'3-Devices Types'!$S$5:$S$400,"P0",'3-Devices Types'!$C$5:$C$400,H12)</f>
        <v>0</v>
      </c>
      <c r="E12" s="526">
        <f>sumIFS('3-Devices Types'!$F$5:$F$400,'3-Devices Types'!$S$5:$S$400,"P1",'3-Devices Types'!$C$5:$C$400,H12)</f>
        <v>0</v>
      </c>
      <c r="F12" s="526">
        <f>sumIFS('3-Devices Types'!$F$5:$F$400,'3-Devices Types'!$S$5:$S$400,"P2",'3-Devices Types'!$C$5:$C$400,H12)</f>
        <v>0</v>
      </c>
      <c r="G12" s="526">
        <f>sumIFS('3-Devices Types'!$F$5:$F$400,'3-Devices Types'!$S$5:$S$400,"P3",'3-Devices Types'!$C$5:$C$400,H12)</f>
        <v>0</v>
      </c>
      <c r="H12" s="528" t="s">
        <v>11151</v>
      </c>
      <c r="I12" s="8"/>
    </row>
    <row r="13">
      <c r="A13" s="524" t="s">
        <v>11152</v>
      </c>
      <c r="B13" s="525">
        <f>IFERROR(__xludf.DUMMYFUNCTION("COUNTUNIQUEIFS('3-Devices Types'!$C$5:$C$400,'3-Devices Types'!$C$5:$C$200,H13)"),0.0)</f>
        <v>0</v>
      </c>
      <c r="C13" s="524">
        <f>sumIFS('3-Devices Types'!$F$5:$F$400,'3-Devices Types'!$C$5:$C$400,H13)</f>
        <v>0</v>
      </c>
      <c r="D13" s="526">
        <f>sumIFS('3-Devices Types'!$F$5:$F$400,'3-Devices Types'!$S$5:$S$400,"P0",'3-Devices Types'!$C$5:$C$400,H13)</f>
        <v>0</v>
      </c>
      <c r="E13" s="526">
        <f>sumIFS('3-Devices Types'!$F$5:$F$400,'3-Devices Types'!$S$5:$S$400,"P1",'3-Devices Types'!$C$5:$C$400,H13)</f>
        <v>0</v>
      </c>
      <c r="F13" s="526">
        <f>sumIFS('3-Devices Types'!$F$5:$F$400,'3-Devices Types'!$S$5:$S$400,"P2",'3-Devices Types'!$C$5:$C$400,H13)</f>
        <v>0</v>
      </c>
      <c r="G13" s="526">
        <f>sumIFS('3-Devices Types'!$F$5:$F$400,'3-Devices Types'!$S$5:$S$400,"P3",'3-Devices Types'!$C$5:$C$400,H13)</f>
        <v>0</v>
      </c>
      <c r="H13" s="529" t="s">
        <v>11153</v>
      </c>
      <c r="I13" s="8"/>
    </row>
    <row r="14">
      <c r="A14" s="524" t="s">
        <v>11154</v>
      </c>
      <c r="B14" s="525">
        <f>IFERROR(__xludf.DUMMYFUNCTION("COUNTUNIQUEIFS('3-Devices Types'!$C$5:$C$400,'3-Devices Types'!$C$5:$C$200,H14)"),0.0)</f>
        <v>0</v>
      </c>
      <c r="C14" s="524">
        <f>sumIFS('3-Devices Types'!$F$5:$F$400,'3-Devices Types'!$C$5:$C$400,H14)</f>
        <v>0</v>
      </c>
      <c r="D14" s="526">
        <f>sumIFS('3-Devices Types'!$F$5:$F$400,'3-Devices Types'!$S$5:$S$400,"P0",'3-Devices Types'!$C$5:$C$400,H14)</f>
        <v>0</v>
      </c>
      <c r="E14" s="526">
        <f>sumIFS('3-Devices Types'!$F$5:$F$400,'3-Devices Types'!$S$5:$S$400,"P1",'3-Devices Types'!$C$5:$C$400,H14)</f>
        <v>0</v>
      </c>
      <c r="F14" s="526">
        <f>sumIFS('3-Devices Types'!$F$5:$F$400,'3-Devices Types'!$S$5:$S$400,"P2",'3-Devices Types'!$C$5:$C$400,H14)</f>
        <v>0</v>
      </c>
      <c r="G14" s="526">
        <f>sumIFS('3-Devices Types'!$F$5:$F$400,'3-Devices Types'!$S$5:$S$400,"P3",'3-Devices Types'!$C$5:$C$400,H14)</f>
        <v>0</v>
      </c>
      <c r="H14" s="529" t="s">
        <v>11155</v>
      </c>
      <c r="I14" s="8"/>
    </row>
    <row r="15">
      <c r="A15" s="524" t="s">
        <v>11156</v>
      </c>
      <c r="B15" s="525">
        <f>IFERROR(__xludf.DUMMYFUNCTION("COUNTUNIQUEIFS('3-Devices Types'!$C$5:$C$400,'3-Devices Types'!$C$5:$C$200,H15)"),0.0)</f>
        <v>0</v>
      </c>
      <c r="C15" s="524">
        <f>sumIFS('3-Devices Types'!$F$5:$F$400,'3-Devices Types'!$C$5:$C$400,H15)</f>
        <v>0</v>
      </c>
      <c r="D15" s="526">
        <f>sumIFS('3-Devices Types'!$F$5:$F$400,'3-Devices Types'!$S$5:$S$400,"P0",'3-Devices Types'!$C$5:$C$400,H15)</f>
        <v>0</v>
      </c>
      <c r="E15" s="526">
        <f>sumIFS('3-Devices Types'!$F$5:$F$400,'3-Devices Types'!$S$5:$S$400,"P1",'3-Devices Types'!$C$5:$C$400,H15)</f>
        <v>0</v>
      </c>
      <c r="F15" s="526">
        <f>sumIFS('3-Devices Types'!$F$5:$F$400,'3-Devices Types'!$S$5:$S$400,"P2",'3-Devices Types'!$C$5:$C$400,H15)</f>
        <v>0</v>
      </c>
      <c r="G15" s="526">
        <f>sumIFS('3-Devices Types'!$F$5:$F$400,'3-Devices Types'!$S$5:$S$400,"P3",'3-Devices Types'!$C$5:$C$400,H15)</f>
        <v>0</v>
      </c>
      <c r="H15" s="529" t="s">
        <v>11157</v>
      </c>
      <c r="I15" s="8"/>
    </row>
    <row r="16">
      <c r="A16" s="524" t="s">
        <v>11158</v>
      </c>
      <c r="B16" s="525">
        <f>IFERROR(__xludf.DUMMYFUNCTION("COUNTUNIQUEIFS('3-Devices Types'!$C$5:$C$400,'3-Devices Types'!$C$5:$C$200,H16)"),0.0)</f>
        <v>0</v>
      </c>
      <c r="C16" s="524">
        <f>sumIFS('3-Devices Types'!$F$5:$F$400,'3-Devices Types'!$C$5:$C$400,H16)</f>
        <v>0</v>
      </c>
      <c r="D16" s="526">
        <f>sumIFS('3-Devices Types'!$F$5:$F$400,'3-Devices Types'!$S$5:$S$400,"P0",'3-Devices Types'!$C$5:$C$400,H16)</f>
        <v>0</v>
      </c>
      <c r="E16" s="526">
        <f>sumIFS('3-Devices Types'!$F$5:$F$400,'3-Devices Types'!$S$5:$S$400,"P1",'3-Devices Types'!$C$5:$C$400,H16)</f>
        <v>0</v>
      </c>
      <c r="F16" s="526">
        <f>sumIFS('3-Devices Types'!$F$5:$F$400,'3-Devices Types'!$S$5:$S$400,"P2",'3-Devices Types'!$C$5:$C$400,H16)</f>
        <v>0</v>
      </c>
      <c r="G16" s="526">
        <f>sumIFS('3-Devices Types'!$F$5:$F$400,'3-Devices Types'!$S$5:$S$400,"P3",'3-Devices Types'!$C$5:$C$400,H16)</f>
        <v>0</v>
      </c>
      <c r="H16" s="528" t="s">
        <v>11159</v>
      </c>
      <c r="I16" s="8"/>
    </row>
    <row r="17">
      <c r="A17" s="524" t="s">
        <v>11160</v>
      </c>
      <c r="B17" s="525">
        <f>IFERROR(__xludf.DUMMYFUNCTION("COUNTUNIQUEIFS('3-Devices Types'!$C$5:$C$400,'3-Devices Types'!$C$5:$C$200,H17)"),0.0)</f>
        <v>0</v>
      </c>
      <c r="C17" s="524">
        <f>sumIFS('3-Devices Types'!$F$5:$F$400,'3-Devices Types'!$C$5:$C$400,H17)</f>
        <v>0</v>
      </c>
      <c r="D17" s="526">
        <f>sumIFS('3-Devices Types'!$F$5:$F$400,'3-Devices Types'!$S$5:$S$400,"P0",'3-Devices Types'!$C$5:$C$400,H17)</f>
        <v>0</v>
      </c>
      <c r="E17" s="526">
        <f>sumIFS('3-Devices Types'!$F$5:$F$400,'3-Devices Types'!$S$5:$S$400,"P1",'3-Devices Types'!$C$5:$C$400,H17)</f>
        <v>0</v>
      </c>
      <c r="F17" s="526">
        <f>sumIFS('3-Devices Types'!$F$5:$F$400,'3-Devices Types'!$S$5:$S$400,"P2",'3-Devices Types'!$C$5:$C$400,H17)</f>
        <v>0</v>
      </c>
      <c r="G17" s="526">
        <f>sumIFS('3-Devices Types'!$F$5:$F$400,'3-Devices Types'!$S$5:$S$400,"P3",'3-Devices Types'!$C$5:$C$400,H17)</f>
        <v>0</v>
      </c>
      <c r="H17" s="529" t="s">
        <v>11160</v>
      </c>
      <c r="I17" s="8"/>
    </row>
    <row r="18">
      <c r="A18" s="524" t="s">
        <v>9032</v>
      </c>
      <c r="B18" s="525">
        <f>IFERROR(__xludf.DUMMYFUNCTION("COUNTUNIQUEIFS('3-Devices Types'!$C$5:$C$400,'3-Devices Types'!$C$5:$C$200,H18)"),0.0)</f>
        <v>0</v>
      </c>
      <c r="C18" s="524">
        <f>sumIFS('3-Devices Types'!$F$5:$F$400,'3-Devices Types'!$C$5:$C$400,H18)</f>
        <v>0</v>
      </c>
      <c r="D18" s="526">
        <f>sumIFS('3-Devices Types'!$F$5:$F$400,'3-Devices Types'!$S$5:$S$400,"P0",'3-Devices Types'!$C$5:$C$400,H18)</f>
        <v>0</v>
      </c>
      <c r="E18" s="526">
        <f>sumIFS('3-Devices Types'!$F$5:$F$400,'3-Devices Types'!$S$5:$S$400,"P1",'3-Devices Types'!$C$5:$C$400,H18)</f>
        <v>0</v>
      </c>
      <c r="F18" s="526">
        <f>sumIFS('3-Devices Types'!$F$5:$F$400,'3-Devices Types'!$S$5:$S$400,"P2",'3-Devices Types'!$C$5:$C$400,H18)</f>
        <v>0</v>
      </c>
      <c r="G18" s="526">
        <f>sumIFS('3-Devices Types'!$F$5:$F$400,'3-Devices Types'!$S$5:$S$400,"P3",'3-Devices Types'!$C$5:$C$400,H18)</f>
        <v>0</v>
      </c>
      <c r="H18" s="529" t="s">
        <v>11161</v>
      </c>
      <c r="I18" s="8"/>
    </row>
    <row r="19">
      <c r="A19" s="524" t="s">
        <v>165</v>
      </c>
      <c r="B19" s="525">
        <f>IFERROR(__xludf.DUMMYFUNCTION("COUNTUNIQUEIFS('3-Devices Types'!$C$5:$C$400,'3-Devices Types'!$C$5:$C$200,H19)"),0.0)</f>
        <v>0</v>
      </c>
      <c r="C19" s="524">
        <f>sumIFS('3-Devices Types'!$F$5:$F$400,'3-Devices Types'!$C$5:$C$400,H19)</f>
        <v>0</v>
      </c>
      <c r="D19" s="526">
        <f>sumIFS('3-Devices Types'!$F$5:$F$400,'3-Devices Types'!$S$5:$S$400,"P0",'3-Devices Types'!$C$5:$C$400,H19)</f>
        <v>0</v>
      </c>
      <c r="E19" s="526">
        <f>sumIFS('3-Devices Types'!$F$5:$F$400,'3-Devices Types'!$S$5:$S$400,"P1",'3-Devices Types'!$C$5:$C$400,H19)</f>
        <v>0</v>
      </c>
      <c r="F19" s="526">
        <f>sumIFS('3-Devices Types'!$F$5:$F$400,'3-Devices Types'!$S$5:$S$400,"P2",'3-Devices Types'!$C$5:$C$400,H19)</f>
        <v>0</v>
      </c>
      <c r="G19" s="526">
        <f>sumIFS('3-Devices Types'!$F$5:$F$400,'3-Devices Types'!$S$5:$S$400,"P3",'3-Devices Types'!$C$5:$C$400,H19)</f>
        <v>0</v>
      </c>
      <c r="H19" s="529" t="s">
        <v>11162</v>
      </c>
      <c r="I19" s="8"/>
    </row>
    <row r="20">
      <c r="A20" s="237" t="s">
        <v>11163</v>
      </c>
      <c r="B20" s="525">
        <f>IFERROR(__xludf.DUMMYFUNCTION("COUNTUNIQUEIFS('3-Devices Types'!$C$5:$C$400,'3-Devices Types'!$C$5:$C$200,H20)"),0.0)</f>
        <v>0</v>
      </c>
      <c r="C20" s="524">
        <f>sumIFS('3-Devices Types'!$F$5:$F$400,'3-Devices Types'!$C$5:$C$400,H20)</f>
        <v>0</v>
      </c>
      <c r="D20" s="526">
        <f>sumIFS('3-Devices Types'!$F$5:$F$400,'3-Devices Types'!$S$5:$S$400,"P0",'3-Devices Types'!$C$5:$C$400,H20)</f>
        <v>0</v>
      </c>
      <c r="E20" s="526">
        <f>sumIFS('3-Devices Types'!$F$5:$F$400,'3-Devices Types'!$S$5:$S$400,"P1",'3-Devices Types'!$C$5:$C$400,H20)</f>
        <v>0</v>
      </c>
      <c r="F20" s="526">
        <f>sumIFS('3-Devices Types'!$F$5:$F$400,'3-Devices Types'!$S$5:$S$400,"P2",'3-Devices Types'!$C$5:$C$400,H20)</f>
        <v>0</v>
      </c>
      <c r="G20" s="526">
        <f>sumIFS('3-Devices Types'!$F$5:$F$400,'3-Devices Types'!$S$5:$S$400,"P3",'3-Devices Types'!$C$5:$C$400,H20)</f>
        <v>0</v>
      </c>
      <c r="H20" s="529" t="s">
        <v>11163</v>
      </c>
      <c r="I20" s="8"/>
    </row>
    <row r="21">
      <c r="A21" s="524" t="s">
        <v>11164</v>
      </c>
      <c r="B21" s="525">
        <f>IFERROR(__xludf.DUMMYFUNCTION("COUNTUNIQUEIFS('3-Devices Types'!$C$5:$C$400,'3-Devices Types'!$C$5:$C$200,H21)"),1.0)</f>
        <v>1</v>
      </c>
      <c r="C21" s="524">
        <f>sumIFS('3-Devices Types'!$F$5:$F$400,'3-Devices Types'!$C$5:$C$400,H21)</f>
        <v>3244</v>
      </c>
      <c r="D21" s="526">
        <f>sumIFS('3-Devices Types'!$F$5:$F$400,'3-Devices Types'!$S$5:$S$400,"P0",'3-Devices Types'!$C$5:$C$400,E21) - SUM(D11:D20)</f>
        <v>0</v>
      </c>
      <c r="E21" s="526">
        <f>sumIFS('3-Devices Types'!$F$5:$F$400,'3-Devices Types'!$S$5:$S$400,"P1",'3-Devices Types'!$C$5:$C$400,F21) - SUM(E11:E20)</f>
        <v>0</v>
      </c>
      <c r="F21" s="526">
        <f>sumIFS('3-Devices Types'!$F$5:$F$400,'3-Devices Types'!$S$5:$S$400,"P2",'3-Devices Types'!$C$5:$C$400,G21) - SUM(F11:F20)</f>
        <v>0</v>
      </c>
      <c r="G21" s="526">
        <f>sumIFS('3-Devices Types'!$F$5:$F$400,'3-Devices Types'!$S$5:$S$400,"P3",'3-Devices Types'!$C$5:$C$400,H21) - SUM(G11:G20)</f>
        <v>0</v>
      </c>
      <c r="H21" s="529" t="s">
        <v>11165</v>
      </c>
      <c r="I21" s="8"/>
    </row>
    <row r="22">
      <c r="A22" s="530" t="s">
        <v>11166</v>
      </c>
      <c r="B22" s="519">
        <f t="shared" ref="B22:C22" si="1">sum(B11:B21)</f>
        <v>2</v>
      </c>
      <c r="C22" s="519">
        <f t="shared" si="1"/>
        <v>6488</v>
      </c>
      <c r="D22" s="531">
        <f>sumIFS('3-Devices Types'!$F$5:$F$400,'3-Devices Types'!$S$5:$S$400,"P0")</f>
        <v>0</v>
      </c>
      <c r="E22" s="531">
        <f>sumIFS('3-Devices Types'!$F$5:$F$400,'3-Devices Types'!$S$5:$S$400,"P1")</f>
        <v>0</v>
      </c>
      <c r="F22" s="531">
        <f>sumIFS('3-Devices Types'!$F$5:$F$400,'3-Devices Types'!$S$5:$S$400,"P2")</f>
        <v>0</v>
      </c>
      <c r="G22" s="531">
        <f>sumIFS('3-Devices Types'!$F$5:$F$400,'3-Devices Types'!$S$5:$S$400,"P3")</f>
        <v>0</v>
      </c>
      <c r="H22" s="527"/>
      <c r="I22" s="8"/>
    </row>
    <row r="23">
      <c r="A23" s="532"/>
      <c r="B23" s="533"/>
      <c r="C23" s="533"/>
      <c r="D23" s="534"/>
      <c r="E23" s="8"/>
      <c r="F23" s="8"/>
      <c r="G23" s="8"/>
      <c r="H23" s="8"/>
      <c r="I23" s="527"/>
    </row>
    <row r="24">
      <c r="A24" s="530" t="s">
        <v>11167</v>
      </c>
      <c r="B24" s="48"/>
      <c r="C24" s="48"/>
      <c r="D24" s="535">
        <f>sumIFS('3-Devices Types'!$F$5:$F$400,'3-Devices Types'!$S$5:$S$400,"P*")</f>
        <v>0</v>
      </c>
      <c r="E24" s="514"/>
      <c r="F24" s="514"/>
      <c r="G24" s="514"/>
      <c r="H24" s="514"/>
      <c r="I24" s="514"/>
    </row>
    <row r="25">
      <c r="A25" s="530" t="s">
        <v>11168</v>
      </c>
      <c r="B25" s="48"/>
      <c r="C25" s="48"/>
      <c r="D25" s="535">
        <f>sumIFS('3-Devices Types'!$F$5:$F$400,'3-Devices Types'!$S$5:$S$400,"P0")</f>
        <v>0</v>
      </c>
      <c r="E25" s="514"/>
      <c r="F25" s="514"/>
      <c r="G25" s="514"/>
      <c r="H25" s="514"/>
      <c r="I25" s="514"/>
    </row>
  </sheetData>
  <mergeCells count="5">
    <mergeCell ref="A4:C4"/>
    <mergeCell ref="A9:D9"/>
    <mergeCell ref="E9:H9"/>
    <mergeCell ref="A24:C24"/>
    <mergeCell ref="A25:C25"/>
  </mergeCells>
  <conditionalFormatting sqref="H12:H22">
    <cfRule type="expression" dxfId="16" priority="1">
      <formula>countif(I:I,H12)&gt;1</formula>
    </cfRule>
  </conditionalFormatting>
  <conditionalFormatting sqref="A20 I23 I26:I32">
    <cfRule type="expression" dxfId="16" priority="2">
      <formula>countif(A:A,A20)&gt;1</formula>
    </cfRule>
  </conditionalFormatting>
  <conditionalFormatting sqref="C6">
    <cfRule type="cellIs" dxfId="6" priority="3" operator="notEqual">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2" max="2" width="53.43"/>
    <col customWidth="1" min="3" max="3" width="10.71"/>
    <col customWidth="1" min="4" max="4" width="25.29"/>
    <col customWidth="1" min="5" max="5" width="26.29"/>
    <col customWidth="1" min="6" max="6" width="27.0"/>
    <col customWidth="1" min="7" max="7" width="44.57"/>
    <col customWidth="1" min="8" max="8" width="23.71"/>
    <col customWidth="1" min="9" max="9" width="24.0"/>
    <col customWidth="1" min="10" max="10" width="26.57"/>
    <col customWidth="1" min="11" max="13" width="24.0"/>
  </cols>
  <sheetData>
    <row r="1">
      <c r="A1" s="536" t="s">
        <v>11169</v>
      </c>
      <c r="B1" s="536" t="s">
        <v>11170</v>
      </c>
      <c r="C1" s="536" t="s">
        <v>11171</v>
      </c>
      <c r="D1" s="536" t="s">
        <v>11172</v>
      </c>
      <c r="E1" s="536" t="s">
        <v>11173</v>
      </c>
      <c r="F1" s="536" t="s">
        <v>11174</v>
      </c>
      <c r="G1" s="536" t="s">
        <v>11175</v>
      </c>
      <c r="H1" s="536" t="s">
        <v>11176</v>
      </c>
      <c r="I1" s="536" t="s">
        <v>11177</v>
      </c>
      <c r="J1" s="537" t="s">
        <v>11178</v>
      </c>
      <c r="K1" s="536"/>
      <c r="L1" s="536"/>
      <c r="M1" s="536"/>
    </row>
    <row r="2">
      <c r="A2" s="538" t="s">
        <v>11179</v>
      </c>
      <c r="B2" s="539" t="s">
        <v>11180</v>
      </c>
      <c r="C2" s="540" t="s">
        <v>11181</v>
      </c>
      <c r="D2" s="540" t="s">
        <v>11182</v>
      </c>
      <c r="E2" s="540" t="s">
        <v>11183</v>
      </c>
      <c r="F2" s="540" t="s">
        <v>11184</v>
      </c>
      <c r="G2" s="540" t="s">
        <v>11185</v>
      </c>
      <c r="H2" s="540"/>
      <c r="I2" s="540"/>
      <c r="J2" s="541"/>
      <c r="K2" s="539"/>
      <c r="L2" s="539"/>
      <c r="M2" s="539"/>
    </row>
    <row r="3">
      <c r="A3" s="542"/>
      <c r="B3" s="543" t="str">
        <f t="array" ref="B3">IF(LEN(E3),INDEX('4-All Devices'!AG:AG, MATCH(E3, '4-All Devices'!AF:AF, 0)),"")</f>
        <v>in-blr-ananta-ddc-201</v>
      </c>
      <c r="C3" s="544" t="s">
        <v>11186</v>
      </c>
      <c r="D3" s="544" t="s">
        <v>11187</v>
      </c>
      <c r="E3" s="543" t="str">
        <f>IFERROR(__xludf.DUMMYFUNCTION("filter('4-All Devices'!AF5:AF2010, len('4-All Devices'!AF5:AF2010)=17)"),"5C:C2:13:05:DA:58")</f>
        <v>5C:C2:13:05:DA:58</v>
      </c>
      <c r="F3" s="545" t="s">
        <v>11188</v>
      </c>
      <c r="G3" s="1"/>
      <c r="H3" s="1"/>
      <c r="I3" s="1"/>
      <c r="J3" s="546" t="str">
        <f t="array" ref="J3">IF(LEN($E3),INDEX('4-All Devices'!AE:AE, MATCH($E3, '4-All Devices'!AF:AF, 0)),"")</f>
        <v>Corphosted</v>
      </c>
      <c r="K3" s="547"/>
      <c r="L3" s="547"/>
      <c r="M3" s="548"/>
    </row>
    <row r="4">
      <c r="A4" s="542"/>
      <c r="B4" s="543" t="str">
        <f t="array" ref="B4">IF(LEN(E4),INDEX('4-All Devices'!AG:AG, MATCH(E4, '4-All Devices'!AF:AF, 0)),"")</f>
        <v>in-blr-ananta-ddc-202</v>
      </c>
      <c r="C4" s="544" t="s">
        <v>11186</v>
      </c>
      <c r="D4" s="544" t="s">
        <v>11187</v>
      </c>
      <c r="E4" s="543" t="str">
        <f>IFERROR(__xludf.DUMMYFUNCTION("""COMPUTED_VALUE"""),"5C:C2:13:05:DD:6C")</f>
        <v>5C:C2:13:05:DD:6C</v>
      </c>
      <c r="F4" s="545" t="s">
        <v>11188</v>
      </c>
      <c r="G4" s="1"/>
      <c r="H4" s="1"/>
      <c r="I4" s="1"/>
      <c r="J4" s="546" t="str">
        <f t="array" ref="J4">IF(LEN($E4),INDEX('4-All Devices'!AE:AE, MATCH($E4, '4-All Devices'!AF:AF, 0)),"")</f>
        <v>Corphosted</v>
      </c>
      <c r="K4" s="547"/>
      <c r="L4" s="547"/>
      <c r="M4" s="548"/>
    </row>
    <row r="5">
      <c r="A5" s="542"/>
      <c r="B5" s="543" t="str">
        <f t="array" ref="B5">IF(LEN(E5),INDEX('4-All Devices'!AG:AG, MATCH(E5, '4-All Devices'!AF:AF, 0)),"")</f>
        <v>in-blr-ananta-ddc-203</v>
      </c>
      <c r="C5" s="544" t="s">
        <v>11186</v>
      </c>
      <c r="D5" s="544" t="s">
        <v>11187</v>
      </c>
      <c r="E5" s="543" t="str">
        <f>IFERROR(__xludf.DUMMYFUNCTION("""COMPUTED_VALUE"""),"5C:C2:13:06:8D:77")</f>
        <v>5C:C2:13:06:8D:77</v>
      </c>
      <c r="F5" s="549" t="s">
        <v>11188</v>
      </c>
      <c r="G5" s="1"/>
      <c r="H5" s="1"/>
      <c r="I5" s="1"/>
      <c r="J5" s="546" t="str">
        <f t="array" ref="J5">IF(LEN($E5),INDEX('4-All Devices'!AE:AE, MATCH($E5, '4-All Devices'!AF:AF, 0)),"")</f>
        <v>Corphosted</v>
      </c>
      <c r="K5" s="547"/>
      <c r="L5" s="547"/>
      <c r="M5" s="548"/>
    </row>
    <row r="6">
      <c r="A6" s="542"/>
      <c r="B6" s="543" t="str">
        <f t="array" ref="B6">IF(LEN(E6),INDEX('4-All Devices'!AG:AG, MATCH(E6, '4-All Devices'!AF:AF, 0)),"")</f>
        <v>in-blr-ananta-ddc-204</v>
      </c>
      <c r="C6" s="544" t="s">
        <v>11186</v>
      </c>
      <c r="D6" s="544" t="s">
        <v>11187</v>
      </c>
      <c r="E6" s="543" t="str">
        <f>IFERROR(__xludf.DUMMYFUNCTION("""COMPUTED_VALUE"""),"5C:C2:13:06:87:66")</f>
        <v>5C:C2:13:06:87:66</v>
      </c>
      <c r="F6" s="549" t="s">
        <v>11188</v>
      </c>
      <c r="G6" s="1"/>
      <c r="H6" s="1"/>
      <c r="I6" s="1"/>
      <c r="J6" s="546" t="str">
        <f t="array" ref="J6">IF(LEN($E6),INDEX('4-All Devices'!AE:AE, MATCH($E6, '4-All Devices'!AF:AF, 0)),"")</f>
        <v>Corphosted</v>
      </c>
      <c r="K6" s="547"/>
      <c r="L6" s="547"/>
      <c r="M6" s="548"/>
    </row>
    <row r="7">
      <c r="A7" s="542"/>
      <c r="B7" s="543" t="str">
        <f t="array" ref="B7">IF(LEN(E7),INDEX('4-All Devices'!AG:AG, MATCH(E7, '4-All Devices'!AF:AF, 0)),"")</f>
        <v>in-blr-ananta-ddc-205</v>
      </c>
      <c r="C7" s="544" t="s">
        <v>11186</v>
      </c>
      <c r="D7" s="544" t="s">
        <v>11187</v>
      </c>
      <c r="E7" s="543" t="str">
        <f>IFERROR(__xludf.DUMMYFUNCTION("""COMPUTED_VALUE"""),"5C:C2:13:05:DA:45")</f>
        <v>5C:C2:13:05:DA:45</v>
      </c>
      <c r="F7" s="549" t="s">
        <v>11188</v>
      </c>
      <c r="G7" s="1"/>
      <c r="H7" s="1"/>
      <c r="I7" s="1"/>
      <c r="J7" s="546" t="str">
        <f t="array" ref="J7">IF(LEN($E7),INDEX('4-All Devices'!AE:AE, MATCH($E7, '4-All Devices'!AF:AF, 0)),"")</f>
        <v>Corphosted</v>
      </c>
      <c r="K7" s="547"/>
      <c r="L7" s="547"/>
      <c r="M7" s="548"/>
    </row>
    <row r="8">
      <c r="A8" s="542"/>
      <c r="B8" s="543" t="str">
        <f t="array" ref="B8">IF(LEN(E8),INDEX('4-All Devices'!AG:AG, MATCH(E8, '4-All Devices'!AF:AF, 0)),"")</f>
        <v>in-blr-ananta-ddc-206</v>
      </c>
      <c r="C8" s="544" t="s">
        <v>11186</v>
      </c>
      <c r="D8" s="544" t="s">
        <v>11187</v>
      </c>
      <c r="E8" s="543" t="str">
        <f>IFERROR(__xludf.DUMMYFUNCTION("""COMPUTED_VALUE"""),"5C:C2:13:06:85:DD")</f>
        <v>5C:C2:13:06:85:DD</v>
      </c>
      <c r="F8" s="549" t="s">
        <v>11188</v>
      </c>
      <c r="G8" s="1"/>
      <c r="H8" s="1"/>
      <c r="I8" s="1"/>
      <c r="J8" s="546" t="str">
        <f t="array" ref="J8">IF(LEN($E8),INDEX('4-All Devices'!AE:AE, MATCH($E8, '4-All Devices'!AF:AF, 0)),"")</f>
        <v>Corphosted</v>
      </c>
      <c r="K8" s="547"/>
      <c r="L8" s="547"/>
      <c r="M8" s="548"/>
    </row>
    <row r="9">
      <c r="A9" s="542"/>
      <c r="B9" s="543" t="str">
        <f t="array" ref="B9">IF(LEN(E9),INDEX('4-All Devices'!AG:AG, MATCH(E9, '4-All Devices'!AF:AF, 0)),"")</f>
        <v>in-blr-ananta-ddc-207</v>
      </c>
      <c r="C9" s="544" t="s">
        <v>11186</v>
      </c>
      <c r="D9" s="544" t="s">
        <v>11187</v>
      </c>
      <c r="E9" s="543" t="str">
        <f>IFERROR(__xludf.DUMMYFUNCTION("""COMPUTED_VALUE"""),"5C:C2:13:06:8D:86")</f>
        <v>5C:C2:13:06:8D:86</v>
      </c>
      <c r="F9" s="549" t="s">
        <v>11188</v>
      </c>
      <c r="G9" s="1"/>
      <c r="H9" s="1"/>
      <c r="I9" s="1"/>
      <c r="J9" s="546" t="str">
        <f t="array" ref="J9">IF(LEN($E9),INDEX('4-All Devices'!AE:AE, MATCH($E9, '4-All Devices'!AF:AF, 0)),"")</f>
        <v>Corphosted</v>
      </c>
      <c r="K9" s="547"/>
      <c r="L9" s="547"/>
      <c r="M9" s="548"/>
    </row>
    <row r="10">
      <c r="A10" s="542"/>
      <c r="B10" s="543" t="str">
        <f t="array" ref="B10">IF(LEN(E10),INDEX('4-All Devices'!AG:AG, MATCH(E10, '4-All Devices'!AF:AF, 0)),"")</f>
        <v>in-blr-ananta-ddc-208</v>
      </c>
      <c r="C10" s="544" t="s">
        <v>11186</v>
      </c>
      <c r="D10" s="544" t="s">
        <v>11187</v>
      </c>
      <c r="E10" s="543" t="str">
        <f>IFERROR(__xludf.DUMMYFUNCTION("""COMPUTED_VALUE"""),"5C:C2:13:06:87:7D")</f>
        <v>5C:C2:13:06:87:7D</v>
      </c>
      <c r="F10" s="549" t="s">
        <v>11188</v>
      </c>
      <c r="G10" s="1"/>
      <c r="H10" s="1"/>
      <c r="I10" s="1"/>
      <c r="J10" s="546" t="str">
        <f t="array" ref="J10">IF(LEN($E10),INDEX('4-All Devices'!AE:AE, MATCH($E10, '4-All Devices'!AF:AF, 0)),"")</f>
        <v>Corphosted</v>
      </c>
      <c r="K10" s="547"/>
      <c r="L10" s="547"/>
      <c r="M10" s="548"/>
    </row>
    <row r="11">
      <c r="A11" s="542"/>
      <c r="B11" s="543" t="str">
        <f t="array" ref="B11">IF(LEN(E11),INDEX('4-All Devices'!AG:AG, MATCH(E11, '4-All Devices'!AF:AF, 0)),"")</f>
        <v>in-blr-ananta-ddc-209</v>
      </c>
      <c r="C11" s="544" t="s">
        <v>11186</v>
      </c>
      <c r="D11" s="544" t="s">
        <v>11187</v>
      </c>
      <c r="E11" s="543" t="str">
        <f>IFERROR(__xludf.DUMMYFUNCTION("""COMPUTED_VALUE"""),"5C:C2:13:05:DB:D6")</f>
        <v>5C:C2:13:05:DB:D6</v>
      </c>
      <c r="F11" s="549" t="s">
        <v>11188</v>
      </c>
      <c r="G11" s="1"/>
      <c r="H11" s="1"/>
      <c r="I11" s="1"/>
      <c r="J11" s="546" t="str">
        <f t="array" ref="J11">IF(LEN($E11),INDEX('4-All Devices'!AE:AE, MATCH($E11, '4-All Devices'!AF:AF, 0)),"")</f>
        <v>Corphosted</v>
      </c>
      <c r="K11" s="547"/>
      <c r="L11" s="547"/>
      <c r="M11" s="548"/>
    </row>
    <row r="12">
      <c r="A12" s="542"/>
      <c r="B12" s="543" t="str">
        <f t="array" ref="B12">IF(LEN(E12),INDEX('4-All Devices'!AG:AG, MATCH(E12, '4-All Devices'!AF:AF, 0)),"")</f>
        <v>in-blr-ananta-ddc-210</v>
      </c>
      <c r="C12" s="544" t="s">
        <v>11186</v>
      </c>
      <c r="D12" s="544" t="s">
        <v>11187</v>
      </c>
      <c r="E12" s="543" t="str">
        <f>IFERROR(__xludf.DUMMYFUNCTION("""COMPUTED_VALUE"""),"5C:C2:13:05:DB:90")</f>
        <v>5C:C2:13:05:DB:90</v>
      </c>
      <c r="F12" s="549" t="s">
        <v>11188</v>
      </c>
      <c r="G12" s="1"/>
      <c r="H12" s="1"/>
      <c r="I12" s="1"/>
      <c r="J12" s="546" t="str">
        <f t="array" ref="J12">IF(LEN($E12),INDEX('4-All Devices'!AE:AE, MATCH($E12, '4-All Devices'!AF:AF, 0)),"")</f>
        <v>Corphosted</v>
      </c>
      <c r="K12" s="547"/>
      <c r="L12" s="547"/>
      <c r="M12" s="548"/>
    </row>
    <row r="13">
      <c r="A13" s="542"/>
      <c r="B13" s="543" t="str">
        <f t="array" ref="B13">IF(LEN(E13),INDEX('4-All Devices'!AG:AG, MATCH(E13, '4-All Devices'!AF:AF, 0)),"")</f>
        <v>in-blr-ananta-ddc-211</v>
      </c>
      <c r="C13" s="544" t="s">
        <v>11186</v>
      </c>
      <c r="D13" s="544" t="s">
        <v>11187</v>
      </c>
      <c r="E13" s="543" t="str">
        <f>IFERROR(__xludf.DUMMYFUNCTION("""COMPUTED_VALUE"""),"5C:C2:13:05:DB:8A")</f>
        <v>5C:C2:13:05:DB:8A</v>
      </c>
      <c r="F13" s="549" t="s">
        <v>11188</v>
      </c>
      <c r="G13" s="1"/>
      <c r="H13" s="1"/>
      <c r="I13" s="1"/>
      <c r="J13" s="546" t="str">
        <f t="array" ref="J13">IF(LEN($E13),INDEX('4-All Devices'!AE:AE, MATCH($E13, '4-All Devices'!AF:AF, 0)),"")</f>
        <v>Corphosted</v>
      </c>
      <c r="K13" s="547"/>
      <c r="L13" s="547"/>
      <c r="M13" s="548"/>
    </row>
    <row r="14">
      <c r="A14" s="542"/>
      <c r="B14" s="543" t="str">
        <f t="array" ref="B14">IF(LEN(E14),INDEX('4-All Devices'!AG:AG, MATCH(E14, '4-All Devices'!AF:AF, 0)),"")</f>
        <v>in-blr-ananta-ddc-212</v>
      </c>
      <c r="C14" s="544" t="s">
        <v>11186</v>
      </c>
      <c r="D14" s="544" t="s">
        <v>11187</v>
      </c>
      <c r="E14" s="543" t="str">
        <f>IFERROR(__xludf.DUMMYFUNCTION("""COMPUTED_VALUE"""),"5C:C2:13:05:DB:D3")</f>
        <v>5C:C2:13:05:DB:D3</v>
      </c>
      <c r="F14" s="549" t="s">
        <v>11188</v>
      </c>
      <c r="G14" s="1"/>
      <c r="H14" s="1"/>
      <c r="I14" s="1"/>
      <c r="J14" s="546" t="str">
        <f t="array" ref="J14">IF(LEN($E14),INDEX('4-All Devices'!AE:AE, MATCH($E14, '4-All Devices'!AF:AF, 0)),"")</f>
        <v>Corphosted</v>
      </c>
      <c r="K14" s="547"/>
      <c r="L14" s="547"/>
      <c r="M14" s="548"/>
    </row>
    <row r="15">
      <c r="A15" s="542"/>
      <c r="B15" s="543" t="str">
        <f t="array" ref="B15">IF(LEN(E15),INDEX('4-All Devices'!AG:AG, MATCH(E15, '4-All Devices'!AF:AF, 0)),"")</f>
        <v>in-blr-ananta-ddc-213</v>
      </c>
      <c r="C15" s="544" t="s">
        <v>11186</v>
      </c>
      <c r="D15" s="544" t="s">
        <v>11187</v>
      </c>
      <c r="E15" s="543" t="str">
        <f>IFERROR(__xludf.DUMMYFUNCTION("""COMPUTED_VALUE"""),"5C:C2:13:05:DA:5C")</f>
        <v>5C:C2:13:05:DA:5C</v>
      </c>
      <c r="F15" s="549" t="s">
        <v>11188</v>
      </c>
      <c r="G15" s="1"/>
      <c r="H15" s="1"/>
      <c r="I15" s="1"/>
      <c r="J15" s="546" t="str">
        <f t="array" ref="J15">IF(LEN($E15),INDEX('4-All Devices'!AE:AE, MATCH($E15, '4-All Devices'!AF:AF, 0)),"")</f>
        <v>Corphosted</v>
      </c>
      <c r="K15" s="547"/>
      <c r="L15" s="547"/>
      <c r="M15" s="548"/>
    </row>
    <row r="16">
      <c r="A16" s="542"/>
      <c r="B16" s="543" t="str">
        <f t="array" ref="B16">IF(LEN(E16),INDEX('4-All Devices'!AG:AG, MATCH(E16, '4-All Devices'!AF:AF, 0)),"")</f>
        <v>in-blr-ananta-ddc-214</v>
      </c>
      <c r="C16" s="544" t="s">
        <v>11186</v>
      </c>
      <c r="D16" s="544" t="s">
        <v>11187</v>
      </c>
      <c r="E16" s="543" t="str">
        <f>IFERROR(__xludf.DUMMYFUNCTION("""COMPUTED_VALUE"""),"5C:C2:13:05:DC:44")</f>
        <v>5C:C2:13:05:DC:44</v>
      </c>
      <c r="F16" s="549" t="s">
        <v>11188</v>
      </c>
      <c r="G16" s="1"/>
      <c r="H16" s="1"/>
      <c r="I16" s="1"/>
      <c r="J16" s="546" t="str">
        <f t="array" ref="J16">IF(LEN($E16),INDEX('4-All Devices'!AE:AE, MATCH($E16, '4-All Devices'!AF:AF, 0)),"")</f>
        <v>Corphosted</v>
      </c>
      <c r="K16" s="547"/>
      <c r="L16" s="547"/>
      <c r="M16" s="548"/>
    </row>
    <row r="17">
      <c r="A17" s="542"/>
      <c r="B17" s="543" t="str">
        <f t="array" ref="B17">IF(LEN(E17),INDEX('4-All Devices'!AG:AG, MATCH(E17, '4-All Devices'!AF:AF, 0)),"")</f>
        <v>in-blr-ananta-ddc-215</v>
      </c>
      <c r="C17" s="544" t="s">
        <v>11186</v>
      </c>
      <c r="D17" s="544" t="s">
        <v>11187</v>
      </c>
      <c r="E17" s="543" t="str">
        <f>IFERROR(__xludf.DUMMYFUNCTION("""COMPUTED_VALUE"""),"5C:C2:13:05:DB:D7")</f>
        <v>5C:C2:13:05:DB:D7</v>
      </c>
      <c r="F17" s="549" t="s">
        <v>11188</v>
      </c>
      <c r="G17" s="1"/>
      <c r="H17" s="1"/>
      <c r="I17" s="1"/>
      <c r="J17" s="546" t="str">
        <f t="array" ref="J17">IF(LEN($E17),INDEX('4-All Devices'!AE:AE, MATCH($E17, '4-All Devices'!AF:AF, 0)),"")</f>
        <v>Corphosted</v>
      </c>
      <c r="K17" s="547"/>
      <c r="L17" s="547"/>
      <c r="M17" s="548"/>
    </row>
    <row r="18">
      <c r="A18" s="542"/>
      <c r="B18" s="543" t="str">
        <f t="array" ref="B18">IF(LEN(E18),INDEX('4-All Devices'!AG:AG, MATCH(E18, '4-All Devices'!AF:AF, 0)),"")</f>
        <v>in-blr-ananta-ddc-216</v>
      </c>
      <c r="C18" s="544" t="s">
        <v>11186</v>
      </c>
      <c r="D18" s="544" t="s">
        <v>11187</v>
      </c>
      <c r="E18" s="543" t="str">
        <f>IFERROR(__xludf.DUMMYFUNCTION("""COMPUTED_VALUE"""),"5C:C2:13:05:DC:21")</f>
        <v>5C:C2:13:05:DC:21</v>
      </c>
      <c r="F18" s="549" t="s">
        <v>11188</v>
      </c>
      <c r="G18" s="1"/>
      <c r="H18" s="1"/>
      <c r="I18" s="1"/>
      <c r="J18" s="546" t="str">
        <f t="array" ref="J18">IF(LEN($E18),INDEX('4-All Devices'!AE:AE, MATCH($E18, '4-All Devices'!AF:AF, 0)),"")</f>
        <v>Corphosted</v>
      </c>
      <c r="K18" s="547"/>
      <c r="L18" s="547"/>
      <c r="M18" s="548"/>
    </row>
    <row r="19">
      <c r="A19" s="542"/>
      <c r="B19" s="543" t="str">
        <f t="array" ref="B19">IF(LEN(E19),INDEX('4-All Devices'!AG:AG, MATCH(E19, '4-All Devices'!AF:AF, 0)),"")</f>
        <v>in-blr-ananta-ddc-217</v>
      </c>
      <c r="C19" s="544" t="s">
        <v>11186</v>
      </c>
      <c r="D19" s="544" t="s">
        <v>11187</v>
      </c>
      <c r="E19" s="543" t="str">
        <f>IFERROR(__xludf.DUMMYFUNCTION("""COMPUTED_VALUE"""),"5C:C2:13:05:DA:5E")</f>
        <v>5C:C2:13:05:DA:5E</v>
      </c>
      <c r="F19" s="549" t="s">
        <v>11188</v>
      </c>
      <c r="G19" s="1"/>
      <c r="H19" s="1"/>
      <c r="I19" s="1"/>
      <c r="J19" s="546" t="str">
        <f t="array" ref="J19">IF(LEN($E19),INDEX('4-All Devices'!AE:AE, MATCH($E19, '4-All Devices'!AF:AF, 0)),"")</f>
        <v>Corphosted</v>
      </c>
      <c r="K19" s="547"/>
      <c r="L19" s="547"/>
      <c r="M19" s="548"/>
    </row>
    <row r="20">
      <c r="A20" s="542"/>
      <c r="B20" s="543" t="str">
        <f t="array" ref="B20">IF(LEN(E20),INDEX('4-All Devices'!AG:AG, MATCH(E20, '4-All Devices'!AF:AF, 0)),"")</f>
        <v>in-blr-ananta-ddc-218</v>
      </c>
      <c r="C20" s="544" t="s">
        <v>11186</v>
      </c>
      <c r="D20" s="544" t="s">
        <v>11187</v>
      </c>
      <c r="E20" s="543" t="str">
        <f>IFERROR(__xludf.DUMMYFUNCTION("""COMPUTED_VALUE"""),"5C:C2:13:05:DC:1C")</f>
        <v>5C:C2:13:05:DC:1C</v>
      </c>
      <c r="F20" s="549" t="s">
        <v>11188</v>
      </c>
      <c r="G20" s="1"/>
      <c r="H20" s="1"/>
      <c r="I20" s="1"/>
      <c r="J20" s="546" t="str">
        <f t="array" ref="J20">IF(LEN($E20),INDEX('4-All Devices'!AE:AE, MATCH($E20, '4-All Devices'!AF:AF, 0)),"")</f>
        <v>Corphosted</v>
      </c>
      <c r="K20" s="547"/>
      <c r="L20" s="547"/>
      <c r="M20" s="548"/>
    </row>
    <row r="21">
      <c r="A21" s="542"/>
      <c r="B21" s="543" t="str">
        <f t="array" ref="B21">IF(LEN(E21),INDEX('4-All Devices'!AG:AG, MATCH(E21, '4-All Devices'!AF:AF, 0)),"")</f>
        <v>in-blr-ananta-ddc-219</v>
      </c>
      <c r="C21" s="544" t="s">
        <v>11186</v>
      </c>
      <c r="D21" s="544" t="s">
        <v>11187</v>
      </c>
      <c r="E21" s="543" t="str">
        <f>IFERROR(__xludf.DUMMYFUNCTION("""COMPUTED_VALUE"""),"5C:C2:13:05:DC:1B")</f>
        <v>5C:C2:13:05:DC:1B</v>
      </c>
      <c r="F21" s="549" t="s">
        <v>11188</v>
      </c>
      <c r="G21" s="1"/>
      <c r="H21" s="1"/>
      <c r="I21" s="1"/>
      <c r="J21" s="546" t="str">
        <f t="array" ref="J21">IF(LEN($E21),INDEX('4-All Devices'!AE:AE, MATCH($E21, '4-All Devices'!AF:AF, 0)),"")</f>
        <v>Corphosted</v>
      </c>
      <c r="K21" s="547"/>
      <c r="L21" s="547"/>
      <c r="M21" s="548"/>
    </row>
    <row r="22">
      <c r="A22" s="542"/>
      <c r="B22" s="543" t="str">
        <f t="array" ref="B22">IF(LEN(E22),INDEX('4-All Devices'!AG:AG, MATCH(E22, '4-All Devices'!AF:AF, 0)),"")</f>
        <v>in-blr-ananta-ddc-220</v>
      </c>
      <c r="C22" s="544" t="s">
        <v>11186</v>
      </c>
      <c r="D22" s="544" t="s">
        <v>11187</v>
      </c>
      <c r="E22" s="543" t="str">
        <f>IFERROR(__xludf.DUMMYFUNCTION("""COMPUTED_VALUE"""),"5C:C2:13:05:8D:84")</f>
        <v>5C:C2:13:05:8D:84</v>
      </c>
      <c r="F22" s="549" t="s">
        <v>11188</v>
      </c>
      <c r="G22" s="1"/>
      <c r="H22" s="1"/>
      <c r="I22" s="1"/>
      <c r="J22" s="546" t="str">
        <f t="array" ref="J22">IF(LEN($E22),INDEX('4-All Devices'!AE:AE, MATCH($E22, '4-All Devices'!AF:AF, 0)),"")</f>
        <v>Corphosted</v>
      </c>
      <c r="K22" s="547"/>
      <c r="L22" s="547"/>
      <c r="M22" s="548"/>
    </row>
    <row r="23">
      <c r="A23" s="542"/>
      <c r="B23" s="543" t="str">
        <f t="array" ref="B23">IF(LEN(E23),INDEX('4-All Devices'!AG:AG, MATCH(E23, '4-All Devices'!AF:AF, 0)),"")</f>
        <v>in-blr-ananta-ddc-221</v>
      </c>
      <c r="C23" s="544" t="s">
        <v>11186</v>
      </c>
      <c r="D23" s="544" t="s">
        <v>11187</v>
      </c>
      <c r="E23" s="543" t="str">
        <f>IFERROR(__xludf.DUMMYFUNCTION("""COMPUTED_VALUE"""),"5C:C2:13:06:8D:EA")</f>
        <v>5C:C2:13:06:8D:EA</v>
      </c>
      <c r="F23" s="549" t="s">
        <v>11188</v>
      </c>
      <c r="G23" s="1"/>
      <c r="H23" s="1"/>
      <c r="I23" s="1"/>
      <c r="J23" s="546" t="str">
        <f t="array" ref="J23">IF(LEN($E23),INDEX('4-All Devices'!AE:AE, MATCH($E23, '4-All Devices'!AF:AF, 0)),"")</f>
        <v>Corphosted</v>
      </c>
      <c r="K23" s="547"/>
      <c r="L23" s="547"/>
      <c r="M23" s="550"/>
    </row>
    <row r="24">
      <c r="A24" s="542"/>
      <c r="B24" s="543" t="str">
        <f t="array" ref="B24">IF(LEN(E24),INDEX('4-All Devices'!AG:AG, MATCH(E24, '4-All Devices'!AF:AF, 0)),"")</f>
        <v>in-blr-ananta-ddc-222</v>
      </c>
      <c r="C24" s="544" t="s">
        <v>11186</v>
      </c>
      <c r="D24" s="544" t="s">
        <v>11187</v>
      </c>
      <c r="E24" s="543" t="str">
        <f>IFERROR(__xludf.DUMMYFUNCTION("""COMPUTED_VALUE"""),"5C:C2:13:06:8D:7F")</f>
        <v>5C:C2:13:06:8D:7F</v>
      </c>
      <c r="F24" s="549" t="s">
        <v>11188</v>
      </c>
      <c r="G24" s="1"/>
      <c r="H24" s="1"/>
      <c r="I24" s="1"/>
      <c r="J24" s="546" t="str">
        <f t="array" ref="J24">IF(LEN($E24),INDEX('4-All Devices'!AE:AE, MATCH($E24, '4-All Devices'!AF:AF, 0)),"")</f>
        <v>Corphosted</v>
      </c>
      <c r="K24" s="547"/>
      <c r="L24" s="547"/>
      <c r="M24" s="547"/>
    </row>
    <row r="25">
      <c r="A25" s="542"/>
      <c r="B25" s="543" t="str">
        <f t="array" ref="B25">IF(LEN(E25),INDEX('4-All Devices'!AG:AG, MATCH(E25, '4-All Devices'!AF:AF, 0)),"")</f>
        <v>in-blr-ananta-ddc-223</v>
      </c>
      <c r="C25" s="544" t="s">
        <v>11186</v>
      </c>
      <c r="D25" s="544" t="s">
        <v>11187</v>
      </c>
      <c r="E25" s="543" t="str">
        <f>IFERROR(__xludf.DUMMYFUNCTION("""COMPUTED_VALUE"""),"5C:C2:13:06:8D:F0")</f>
        <v>5C:C2:13:06:8D:F0</v>
      </c>
      <c r="F25" s="549" t="s">
        <v>11188</v>
      </c>
      <c r="G25" s="1"/>
      <c r="H25" s="1"/>
      <c r="I25" s="1"/>
      <c r="J25" s="546" t="str">
        <f t="array" ref="J25">IF(LEN($E25),INDEX('4-All Devices'!AE:AE, MATCH($E25, '4-All Devices'!AF:AF, 0)),"")</f>
        <v>Corphosted</v>
      </c>
      <c r="K25" s="547"/>
      <c r="L25" s="547"/>
      <c r="M25" s="547"/>
    </row>
    <row r="26">
      <c r="A26" s="542"/>
      <c r="B26" s="543" t="str">
        <f t="array" ref="B26">IF(LEN(E26),INDEX('4-All Devices'!AG:AG, MATCH(E26, '4-All Devices'!AF:AF, 0)),"")</f>
        <v>in-blr-ananta-ddc-224</v>
      </c>
      <c r="C26" s="544" t="s">
        <v>11186</v>
      </c>
      <c r="D26" s="544" t="s">
        <v>11187</v>
      </c>
      <c r="E26" s="543" t="str">
        <f>IFERROR(__xludf.DUMMYFUNCTION("""COMPUTED_VALUE"""),"5C:C2:13:06:8D:81")</f>
        <v>5C:C2:13:06:8D:81</v>
      </c>
      <c r="F26" s="549" t="s">
        <v>11188</v>
      </c>
      <c r="G26" s="1"/>
      <c r="H26" s="1"/>
      <c r="I26" s="1"/>
      <c r="J26" s="546" t="str">
        <f t="array" ref="J26">IF(LEN($E26),INDEX('4-All Devices'!AE:AE, MATCH($E26, '4-All Devices'!AF:AF, 0)),"")</f>
        <v>Corphosted</v>
      </c>
      <c r="K26" s="547"/>
      <c r="L26" s="547"/>
      <c r="M26" s="547"/>
    </row>
    <row r="27">
      <c r="A27" s="542"/>
      <c r="B27" s="543" t="str">
        <f t="array" ref="B27">IF(LEN(E27),INDEX('4-All Devices'!AG:AG, MATCH(E27, '4-All Devices'!AF:AF, 0)),"")</f>
        <v>in-blr-ananta-ddc-225</v>
      </c>
      <c r="C27" s="544" t="s">
        <v>11186</v>
      </c>
      <c r="D27" s="544" t="s">
        <v>11187</v>
      </c>
      <c r="E27" s="543" t="str">
        <f>IFERROR(__xludf.DUMMYFUNCTION("""COMPUTED_VALUE"""),"5C:C2:13:06:87:92")</f>
        <v>5C:C2:13:06:87:92</v>
      </c>
      <c r="F27" s="549" t="s">
        <v>11188</v>
      </c>
      <c r="G27" s="1"/>
      <c r="H27" s="1"/>
      <c r="I27" s="1"/>
      <c r="J27" s="546" t="str">
        <f t="array" ref="J27">IF(LEN($E27),INDEX('4-All Devices'!AE:AE, MATCH($E27, '4-All Devices'!AF:AF, 0)),"")</f>
        <v>Corphosted</v>
      </c>
      <c r="K27" s="547"/>
      <c r="L27" s="547"/>
      <c r="M27" s="547"/>
    </row>
    <row r="28">
      <c r="A28" s="542"/>
      <c r="B28" s="543" t="str">
        <f t="array" ref="B28">IF(LEN(E28),INDEX('4-All Devices'!AG:AG, MATCH(E28, '4-All Devices'!AF:AF, 0)),"")</f>
        <v>in-blr-ananta-ddc-226</v>
      </c>
      <c r="C28" s="544" t="s">
        <v>11186</v>
      </c>
      <c r="D28" s="544" t="s">
        <v>11187</v>
      </c>
      <c r="E28" s="543" t="str">
        <f>IFERROR(__xludf.DUMMYFUNCTION("""COMPUTED_VALUE"""),"5C:C2:13:06:8D:8E")</f>
        <v>5C:C2:13:06:8D:8E</v>
      </c>
      <c r="F28" s="549" t="s">
        <v>11188</v>
      </c>
      <c r="G28" s="1"/>
      <c r="H28" s="1"/>
      <c r="I28" s="1"/>
      <c r="J28" s="546" t="str">
        <f t="array" ref="J28">IF(LEN($E28),INDEX('4-All Devices'!AE:AE, MATCH($E28, '4-All Devices'!AF:AF, 0)),"")</f>
        <v>Corphosted</v>
      </c>
      <c r="K28" s="547"/>
      <c r="L28" s="547"/>
      <c r="M28" s="547"/>
    </row>
    <row r="29">
      <c r="A29" s="542"/>
      <c r="B29" s="543" t="str">
        <f t="array" ref="B29">IF(LEN(E29),INDEX('4-All Devices'!AG:AG, MATCH(E29, '4-All Devices'!AF:AF, 0)),"")</f>
        <v>in-blr-ananta-ddc-227</v>
      </c>
      <c r="C29" s="544" t="s">
        <v>11186</v>
      </c>
      <c r="D29" s="544" t="s">
        <v>11187</v>
      </c>
      <c r="E29" s="543" t="str">
        <f>IFERROR(__xludf.DUMMYFUNCTION("""COMPUTED_VALUE"""),"5C:C2:13:06:87:52")</f>
        <v>5C:C2:13:06:87:52</v>
      </c>
      <c r="F29" s="549" t="s">
        <v>11188</v>
      </c>
      <c r="G29" s="1"/>
      <c r="H29" s="1"/>
      <c r="I29" s="1"/>
      <c r="J29" s="546" t="str">
        <f t="array" ref="J29">IF(LEN($E29),INDEX('4-All Devices'!AE:AE, MATCH($E29, '4-All Devices'!AF:AF, 0)),"")</f>
        <v>Corphosted</v>
      </c>
      <c r="K29" s="547"/>
      <c r="L29" s="547"/>
      <c r="M29" s="547"/>
    </row>
    <row r="30">
      <c r="A30" s="542"/>
      <c r="B30" s="543" t="str">
        <f t="array" ref="B30">IF(LEN(E30),INDEX('4-All Devices'!AG:AG, MATCH(E30, '4-All Devices'!AF:AF, 0)),"")</f>
        <v>in-blr-ananta-ddc-228</v>
      </c>
      <c r="C30" s="544" t="s">
        <v>11186</v>
      </c>
      <c r="D30" s="544" t="s">
        <v>11187</v>
      </c>
      <c r="E30" s="543" t="str">
        <f>IFERROR(__xludf.DUMMYFUNCTION("""COMPUTED_VALUE"""),"5C:C2:13:06:89:54")</f>
        <v>5C:C2:13:06:89:54</v>
      </c>
      <c r="F30" s="549" t="s">
        <v>11188</v>
      </c>
      <c r="G30" s="1"/>
      <c r="H30" s="1"/>
      <c r="I30" s="1"/>
      <c r="J30" s="546" t="str">
        <f t="array" ref="J30">IF(LEN($E30),INDEX('4-All Devices'!AE:AE, MATCH($E30, '4-All Devices'!AF:AF, 0)),"")</f>
        <v>Corphosted</v>
      </c>
      <c r="K30" s="547"/>
      <c r="L30" s="547"/>
      <c r="M30" s="547"/>
    </row>
    <row r="31">
      <c r="A31" s="542"/>
      <c r="B31" s="543" t="str">
        <f t="array" ref="B31">IF(LEN(E31),INDEX('4-All Devices'!AG:AG, MATCH(E31, '4-All Devices'!AF:AF, 0)),"")</f>
        <v>in-blr-ananta-ddc-229</v>
      </c>
      <c r="C31" s="544" t="s">
        <v>11186</v>
      </c>
      <c r="D31" s="544" t="s">
        <v>11187</v>
      </c>
      <c r="E31" s="543" t="str">
        <f>IFERROR(__xludf.DUMMYFUNCTION("""COMPUTED_VALUE"""),"5C:C2:13:06:8D:82")</f>
        <v>5C:C2:13:06:8D:82</v>
      </c>
      <c r="F31" s="549" t="s">
        <v>11188</v>
      </c>
      <c r="G31" s="1"/>
      <c r="H31" s="1"/>
      <c r="I31" s="1"/>
      <c r="J31" s="546" t="str">
        <f t="array" ref="J31">IF(LEN($E31),INDEX('4-All Devices'!AE:AE, MATCH($E31, '4-All Devices'!AF:AF, 0)),"")</f>
        <v>Corphosted</v>
      </c>
      <c r="K31" s="547"/>
      <c r="L31" s="547"/>
      <c r="M31" s="547"/>
    </row>
    <row r="32">
      <c r="A32" s="542"/>
      <c r="B32" s="543" t="str">
        <f t="array" ref="B32">IF(LEN(E32),INDEX('4-All Devices'!AG:AG, MATCH(E32, '4-All Devices'!AF:AF, 0)),"")</f>
        <v>in-blr-ananta-ddc-230</v>
      </c>
      <c r="C32" s="544" t="s">
        <v>11186</v>
      </c>
      <c r="D32" s="544" t="s">
        <v>11187</v>
      </c>
      <c r="E32" s="543" t="str">
        <f>IFERROR(__xludf.DUMMYFUNCTION("""COMPUTED_VALUE"""),"5C:C2:13:05:DC:32")</f>
        <v>5C:C2:13:05:DC:32</v>
      </c>
      <c r="F32" s="549" t="s">
        <v>11188</v>
      </c>
      <c r="G32" s="1"/>
      <c r="H32" s="1"/>
      <c r="I32" s="1"/>
      <c r="J32" s="546" t="str">
        <f t="array" ref="J32">IF(LEN($E32),INDEX('4-All Devices'!AE:AE, MATCH($E32, '4-All Devices'!AF:AF, 0)),"")</f>
        <v>Corphosted</v>
      </c>
      <c r="K32" s="547"/>
      <c r="L32" s="547"/>
      <c r="M32" s="547"/>
    </row>
    <row r="33">
      <c r="A33" s="542"/>
      <c r="B33" s="543" t="str">
        <f t="array" ref="B33">IF(LEN(E33),INDEX('4-All Devices'!AG:AG, MATCH(E33, '4-All Devices'!AF:AF, 0)),"")</f>
        <v>in-blr-ananta-ddc-231</v>
      </c>
      <c r="C33" s="544" t="s">
        <v>11186</v>
      </c>
      <c r="D33" s="544" t="s">
        <v>11187</v>
      </c>
      <c r="E33" s="543" t="str">
        <f>IFERROR(__xludf.DUMMYFUNCTION("""COMPUTED_VALUE"""),"5C:C2:13:06:8D:6E")</f>
        <v>5C:C2:13:06:8D:6E</v>
      </c>
      <c r="F33" s="549" t="s">
        <v>11188</v>
      </c>
      <c r="G33" s="1"/>
      <c r="H33" s="1"/>
      <c r="I33" s="1"/>
      <c r="J33" s="546" t="str">
        <f t="array" ref="J33">IF(LEN($E33),INDEX('4-All Devices'!AE:AE, MATCH($E33, '4-All Devices'!AF:AF, 0)),"")</f>
        <v>Corphosted</v>
      </c>
      <c r="K33" s="547"/>
      <c r="L33" s="547"/>
      <c r="M33" s="547"/>
    </row>
    <row r="34">
      <c r="A34" s="542"/>
      <c r="B34" s="543" t="str">
        <f t="array" ref="B34">IF(LEN(E34),INDEX('4-All Devices'!AG:AG, MATCH(E34, '4-All Devices'!AF:AF, 0)),"")</f>
        <v>in-blr-ananta-ddc-232</v>
      </c>
      <c r="C34" s="544" t="s">
        <v>11186</v>
      </c>
      <c r="D34" s="544" t="s">
        <v>11187</v>
      </c>
      <c r="E34" s="543" t="str">
        <f>IFERROR(__xludf.DUMMYFUNCTION("""COMPUTED_VALUE"""),"5C:C2:13:05:DD:46")</f>
        <v>5C:C2:13:05:DD:46</v>
      </c>
      <c r="F34" s="549" t="s">
        <v>11188</v>
      </c>
      <c r="G34" s="1"/>
      <c r="H34" s="1"/>
      <c r="I34" s="1"/>
      <c r="J34" s="546" t="str">
        <f t="array" ref="J34">IF(LEN($E34),INDEX('4-All Devices'!AE:AE, MATCH($E34, '4-All Devices'!AF:AF, 0)),"")</f>
        <v>Corphosted</v>
      </c>
      <c r="K34" s="547"/>
      <c r="L34" s="547"/>
      <c r="M34" s="547"/>
    </row>
    <row r="35">
      <c r="A35" s="542"/>
      <c r="B35" s="543" t="str">
        <f t="array" ref="B35">IF(LEN(E35),INDEX('4-All Devices'!AG:AG, MATCH(E35, '4-All Devices'!AF:AF, 0)),"")</f>
        <v>in-blr-ananta-ddc-233</v>
      </c>
      <c r="C35" s="544" t="s">
        <v>11186</v>
      </c>
      <c r="D35" s="544" t="s">
        <v>11187</v>
      </c>
      <c r="E35" s="543" t="str">
        <f>IFERROR(__xludf.DUMMYFUNCTION("""COMPUTED_VALUE"""),"5C:C2:13:06:8D:90")</f>
        <v>5C:C2:13:06:8D:90</v>
      </c>
      <c r="F35" s="549" t="s">
        <v>11188</v>
      </c>
      <c r="G35" s="1"/>
      <c r="H35" s="1"/>
      <c r="I35" s="1"/>
      <c r="J35" s="546" t="str">
        <f t="array" ref="J35">IF(LEN($E35),INDEX('4-All Devices'!AE:AE, MATCH($E35, '4-All Devices'!AF:AF, 0)),"")</f>
        <v>Corphosted</v>
      </c>
      <c r="K35" s="547"/>
      <c r="L35" s="547"/>
      <c r="M35" s="547"/>
    </row>
    <row r="36">
      <c r="A36" s="542"/>
      <c r="B36" s="543" t="str">
        <f t="array" ref="B36">IF(LEN(E36),INDEX('4-All Devices'!AG:AG, MATCH(E36, '4-All Devices'!AF:AF, 0)),"")</f>
        <v>in-blr-ananta-ddc-234</v>
      </c>
      <c r="C36" s="544" t="s">
        <v>11186</v>
      </c>
      <c r="D36" s="544" t="s">
        <v>11187</v>
      </c>
      <c r="E36" s="543" t="str">
        <f>IFERROR(__xludf.DUMMYFUNCTION("""COMPUTED_VALUE"""),"5C:C2:13:06:85:E0")</f>
        <v>5C:C2:13:06:85:E0</v>
      </c>
      <c r="F36" s="549" t="s">
        <v>11188</v>
      </c>
      <c r="G36" s="1"/>
      <c r="H36" s="1"/>
      <c r="I36" s="1"/>
      <c r="J36" s="546" t="str">
        <f t="array" ref="J36">IF(LEN($E36),INDEX('4-All Devices'!AE:AE, MATCH($E36, '4-All Devices'!AF:AF, 0)),"")</f>
        <v>Corphosted</v>
      </c>
      <c r="K36" s="547"/>
      <c r="L36" s="547"/>
      <c r="M36" s="547"/>
    </row>
    <row r="37">
      <c r="A37" s="542"/>
      <c r="B37" s="543" t="str">
        <f t="array" ref="B37">IF(LEN(E37),INDEX('4-All Devices'!AG:AG, MATCH(E37, '4-All Devices'!AF:AF, 0)),"")</f>
        <v>in-blr-ananta-ddc-235</v>
      </c>
      <c r="C37" s="544" t="s">
        <v>11186</v>
      </c>
      <c r="D37" s="544" t="s">
        <v>11187</v>
      </c>
      <c r="E37" s="543" t="str">
        <f>IFERROR(__xludf.DUMMYFUNCTION("""COMPUTED_VALUE"""),"5C:C2:13:06:87:93")</f>
        <v>5C:C2:13:06:87:93</v>
      </c>
      <c r="F37" s="549" t="s">
        <v>11188</v>
      </c>
      <c r="G37" s="1"/>
      <c r="H37" s="1"/>
      <c r="I37" s="1"/>
      <c r="J37" s="546" t="str">
        <f t="array" ref="J37">IF(LEN($E37),INDEX('4-All Devices'!AE:AE, MATCH($E37, '4-All Devices'!AF:AF, 0)),"")</f>
        <v>Corphosted</v>
      </c>
      <c r="K37" s="547"/>
      <c r="L37" s="547"/>
      <c r="M37" s="547"/>
    </row>
    <row r="38">
      <c r="A38" s="542"/>
      <c r="B38" s="543" t="str">
        <f t="array" ref="B38">IF(LEN(E38),INDEX('4-All Devices'!AG:AG, MATCH(E38, '4-All Devices'!AF:AF, 0)),"")</f>
        <v>in-blr-ananta-ddc-236</v>
      </c>
      <c r="C38" s="544" t="s">
        <v>11186</v>
      </c>
      <c r="D38" s="544" t="s">
        <v>11187</v>
      </c>
      <c r="E38" s="543" t="str">
        <f>IFERROR(__xludf.DUMMYFUNCTION("""COMPUTED_VALUE"""),"5C:C2:13:06:8D:94")</f>
        <v>5C:C2:13:06:8D:94</v>
      </c>
      <c r="F38" s="549" t="s">
        <v>11188</v>
      </c>
      <c r="G38" s="1"/>
      <c r="H38" s="1"/>
      <c r="I38" s="1"/>
      <c r="J38" s="546" t="str">
        <f t="array" ref="J38">IF(LEN($E38),INDEX('4-All Devices'!AE:AE, MATCH($E38, '4-All Devices'!AF:AF, 0)),"")</f>
        <v>Corphosted</v>
      </c>
      <c r="K38" s="547"/>
      <c r="L38" s="547"/>
      <c r="M38" s="547"/>
    </row>
    <row r="39">
      <c r="A39" s="542"/>
      <c r="B39" s="543" t="str">
        <f t="array" ref="B39">IF(LEN(E39),INDEX('4-All Devices'!AG:AG, MATCH(E39, '4-All Devices'!AF:AF, 0)),"")</f>
        <v>in-blr-ananta-ddc-237</v>
      </c>
      <c r="C39" s="544" t="s">
        <v>11186</v>
      </c>
      <c r="D39" s="544" t="s">
        <v>11187</v>
      </c>
      <c r="E39" s="543" t="str">
        <f>IFERROR(__xludf.DUMMYFUNCTION("""COMPUTED_VALUE"""),"5C:C2:13:06:8D:A4")</f>
        <v>5C:C2:13:06:8D:A4</v>
      </c>
      <c r="F39" s="549" t="s">
        <v>11188</v>
      </c>
      <c r="G39" s="1"/>
      <c r="H39" s="1"/>
      <c r="I39" s="1"/>
      <c r="J39" s="546" t="str">
        <f t="array" ref="J39">IF(LEN($E39),INDEX('4-All Devices'!AE:AE, MATCH($E39, '4-All Devices'!AF:AF, 0)),"")</f>
        <v>Corphosted</v>
      </c>
      <c r="K39" s="547"/>
      <c r="L39" s="547"/>
      <c r="M39" s="547"/>
    </row>
    <row r="40">
      <c r="A40" s="542"/>
      <c r="B40" s="543" t="str">
        <f t="array" ref="B40">IF(LEN(E40),INDEX('4-All Devices'!AG:AG, MATCH(E40, '4-All Devices'!AF:AF, 0)),"")</f>
        <v>in-blr-ananta-ddc-238</v>
      </c>
      <c r="C40" s="544" t="s">
        <v>11186</v>
      </c>
      <c r="D40" s="544" t="s">
        <v>11187</v>
      </c>
      <c r="E40" s="543" t="str">
        <f>IFERROR(__xludf.DUMMYFUNCTION("""COMPUTED_VALUE"""),"5C:C2:13:06:85:DF")</f>
        <v>5C:C2:13:06:85:DF</v>
      </c>
      <c r="F40" s="549" t="s">
        <v>11188</v>
      </c>
      <c r="G40" s="1"/>
      <c r="H40" s="1"/>
      <c r="I40" s="1"/>
      <c r="J40" s="546" t="str">
        <f t="array" ref="J40">IF(LEN($E40),INDEX('4-All Devices'!AE:AE, MATCH($E40, '4-All Devices'!AF:AF, 0)),"")</f>
        <v>Corphosted</v>
      </c>
      <c r="K40" s="547"/>
      <c r="L40" s="547"/>
      <c r="M40" s="547"/>
    </row>
    <row r="41">
      <c r="A41" s="542"/>
      <c r="B41" s="543" t="str">
        <f t="array" ref="B41">IF(LEN(E41),INDEX('4-All Devices'!AG:AG, MATCH(E41, '4-All Devices'!AF:AF, 0)),"")</f>
        <v>in-blr-ananta-ddc-239</v>
      </c>
      <c r="C41" s="544" t="s">
        <v>11186</v>
      </c>
      <c r="D41" s="544" t="s">
        <v>11187</v>
      </c>
      <c r="E41" s="543" t="str">
        <f>IFERROR(__xludf.DUMMYFUNCTION("""COMPUTED_VALUE"""),"5C:C2:13:06:8D:7D")</f>
        <v>5C:C2:13:06:8D:7D</v>
      </c>
      <c r="F41" s="549" t="s">
        <v>11188</v>
      </c>
      <c r="G41" s="1"/>
      <c r="H41" s="1"/>
      <c r="I41" s="1"/>
      <c r="J41" s="546" t="str">
        <f t="array" ref="J41">IF(LEN($E41),INDEX('4-All Devices'!AE:AE, MATCH($E41, '4-All Devices'!AF:AF, 0)),"")</f>
        <v>Corphosted</v>
      </c>
      <c r="K41" s="547"/>
      <c r="L41" s="547"/>
      <c r="M41" s="547"/>
    </row>
    <row r="42">
      <c r="A42" s="542"/>
      <c r="B42" s="543" t="str">
        <f t="array" ref="B42">IF(LEN(E42),INDEX('4-All Devices'!AG:AG, MATCH(E42, '4-All Devices'!AF:AF, 0)),"")</f>
        <v>in-blr-ananta-ddc-240</v>
      </c>
      <c r="C42" s="544" t="s">
        <v>11186</v>
      </c>
      <c r="D42" s="544" t="s">
        <v>11187</v>
      </c>
      <c r="E42" s="543" t="str">
        <f>IFERROR(__xludf.DUMMYFUNCTION("""COMPUTED_VALUE"""),"5C:C2:13:06:8D:78")</f>
        <v>5C:C2:13:06:8D:78</v>
      </c>
      <c r="F42" s="549" t="s">
        <v>11188</v>
      </c>
      <c r="G42" s="1"/>
      <c r="H42" s="1"/>
      <c r="I42" s="1"/>
      <c r="J42" s="546" t="str">
        <f t="array" ref="J42">IF(LEN($E42),INDEX('4-All Devices'!AE:AE, MATCH($E42, '4-All Devices'!AF:AF, 0)),"")</f>
        <v>Corphosted</v>
      </c>
      <c r="K42" s="547"/>
      <c r="L42" s="547"/>
      <c r="M42" s="547"/>
    </row>
    <row r="43">
      <c r="A43" s="542"/>
      <c r="B43" s="543" t="str">
        <f t="array" ref="B43">IF(LEN(E43),INDEX('4-All Devices'!AG:AG, MATCH(E43, '4-All Devices'!AF:AF, 0)),"")</f>
        <v>in-blr-ananta-ddc-241</v>
      </c>
      <c r="C43" s="544" t="s">
        <v>11186</v>
      </c>
      <c r="D43" s="544" t="s">
        <v>11187</v>
      </c>
      <c r="E43" s="543" t="str">
        <f>IFERROR(__xludf.DUMMYFUNCTION("""COMPUTED_VALUE"""),"5C:C2:13:06:DC:19")</f>
        <v>5C:C2:13:06:DC:19</v>
      </c>
      <c r="F43" s="549" t="s">
        <v>11188</v>
      </c>
      <c r="G43" s="1"/>
      <c r="H43" s="1"/>
      <c r="I43" s="1"/>
      <c r="J43" s="546" t="str">
        <f t="array" ref="J43">IF(LEN($E43),INDEX('4-All Devices'!AE:AE, MATCH($E43, '4-All Devices'!AF:AF, 0)),"")</f>
        <v>Corphosted</v>
      </c>
      <c r="K43" s="547"/>
      <c r="L43" s="547"/>
      <c r="M43" s="547"/>
    </row>
    <row r="44">
      <c r="A44" s="542"/>
      <c r="B44" s="543" t="str">
        <f t="array" ref="B44">IF(LEN(E44),INDEX('4-All Devices'!AG:AG, MATCH(E44, '4-All Devices'!AF:AF, 0)),"")</f>
        <v>in-blr-ananta-ddc-242</v>
      </c>
      <c r="C44" s="544" t="s">
        <v>11186</v>
      </c>
      <c r="D44" s="544" t="s">
        <v>11187</v>
      </c>
      <c r="E44" s="543" t="str">
        <f>IFERROR(__xludf.DUMMYFUNCTION("""COMPUTED_VALUE"""),"5C:C2:13:06:8D:9A")</f>
        <v>5C:C2:13:06:8D:9A</v>
      </c>
      <c r="F44" s="549" t="s">
        <v>11188</v>
      </c>
      <c r="G44" s="1"/>
      <c r="H44" s="1"/>
      <c r="I44" s="1"/>
      <c r="J44" s="546" t="str">
        <f t="array" ref="J44">IF(LEN($E44),INDEX('4-All Devices'!AE:AE, MATCH($E44, '4-All Devices'!AF:AF, 0)),"")</f>
        <v>Corphosted</v>
      </c>
      <c r="K44" s="547"/>
      <c r="L44" s="547"/>
      <c r="M44" s="547"/>
    </row>
    <row r="45">
      <c r="A45" s="542"/>
      <c r="B45" s="543" t="str">
        <f t="array" ref="B45">IF(LEN(E45),INDEX('4-All Devices'!AG:AG, MATCH(E45, '4-All Devices'!AF:AF, 0)),"")</f>
        <v>in-blr-ananta-ddc-243</v>
      </c>
      <c r="C45" s="544" t="s">
        <v>11186</v>
      </c>
      <c r="D45" s="544" t="s">
        <v>11187</v>
      </c>
      <c r="E45" s="543" t="str">
        <f>IFERROR(__xludf.DUMMYFUNCTION("""COMPUTED_VALUE"""),"5C:C2:13:05:DB:92")</f>
        <v>5C:C2:13:05:DB:92</v>
      </c>
      <c r="F45" s="549" t="s">
        <v>11188</v>
      </c>
      <c r="G45" s="1"/>
      <c r="H45" s="1"/>
      <c r="I45" s="1"/>
      <c r="J45" s="546" t="str">
        <f t="array" ref="J45">IF(LEN($E45),INDEX('4-All Devices'!AE:AE, MATCH($E45, '4-All Devices'!AF:AF, 0)),"")</f>
        <v>Corphosted</v>
      </c>
      <c r="K45" s="547"/>
      <c r="L45" s="547"/>
      <c r="M45" s="547"/>
    </row>
    <row r="46">
      <c r="A46" s="542"/>
      <c r="B46" s="543" t="str">
        <f t="array" ref="B46">IF(LEN(E46),INDEX('4-All Devices'!AG:AG, MATCH(E46, '4-All Devices'!AF:AF, 0)),"")</f>
        <v>in-blr-ananta-ddc-244</v>
      </c>
      <c r="C46" s="544" t="s">
        <v>11186</v>
      </c>
      <c r="D46" s="544" t="s">
        <v>11187</v>
      </c>
      <c r="E46" s="543" t="str">
        <f>IFERROR(__xludf.DUMMYFUNCTION("""COMPUTED_VALUE"""),"5C:C2:13:05:DB:8B")</f>
        <v>5C:C2:13:05:DB:8B</v>
      </c>
      <c r="F46" s="549" t="s">
        <v>11188</v>
      </c>
      <c r="G46" s="1"/>
      <c r="H46" s="1"/>
      <c r="I46" s="1"/>
      <c r="J46" s="546" t="str">
        <f t="array" ref="J46">IF(LEN($E46),INDEX('4-All Devices'!AE:AE, MATCH($E46, '4-All Devices'!AF:AF, 0)),"")</f>
        <v>Corphosted</v>
      </c>
      <c r="K46" s="547"/>
      <c r="L46" s="547"/>
      <c r="M46" s="547"/>
    </row>
    <row r="47">
      <c r="A47" s="542"/>
      <c r="B47" s="543" t="str">
        <f t="array" ref="B47">IF(LEN(E47),INDEX('4-All Devices'!AG:AG, MATCH(E47, '4-All Devices'!AF:AF, 0)),"")</f>
        <v>in-blr-ananta-ddc-245</v>
      </c>
      <c r="C47" s="544" t="s">
        <v>11186</v>
      </c>
      <c r="D47" s="544" t="s">
        <v>11187</v>
      </c>
      <c r="E47" s="543" t="str">
        <f>IFERROR(__xludf.DUMMYFUNCTION("""COMPUTED_VALUE"""),"5C:C2:13:05:DB:C2")</f>
        <v>5C:C2:13:05:DB:C2</v>
      </c>
      <c r="F47" s="549" t="s">
        <v>11188</v>
      </c>
      <c r="G47" s="1"/>
      <c r="H47" s="1"/>
      <c r="I47" s="1"/>
      <c r="J47" s="546" t="str">
        <f t="array" ref="J47">IF(LEN($E47),INDEX('4-All Devices'!AE:AE, MATCH($E47, '4-All Devices'!AF:AF, 0)),"")</f>
        <v>Corphosted</v>
      </c>
      <c r="K47" s="547"/>
      <c r="L47" s="547"/>
      <c r="M47" s="547"/>
    </row>
    <row r="48">
      <c r="A48" s="542"/>
      <c r="B48" s="543" t="str">
        <f t="array" ref="B48">IF(LEN(E48),INDEX('4-All Devices'!AG:AG, MATCH(E48, '4-All Devices'!AF:AF, 0)),"")</f>
        <v>in-blr-ananta-ddc-246</v>
      </c>
      <c r="C48" s="544" t="s">
        <v>11186</v>
      </c>
      <c r="D48" s="544" t="s">
        <v>11187</v>
      </c>
      <c r="E48" s="543" t="str">
        <f>IFERROR(__xludf.DUMMYFUNCTION("""COMPUTED_VALUE"""),"5C:C2:13:05:DD:9B")</f>
        <v>5C:C2:13:05:DD:9B</v>
      </c>
      <c r="F48" s="549" t="s">
        <v>11188</v>
      </c>
      <c r="G48" s="1"/>
      <c r="H48" s="1"/>
      <c r="I48" s="1"/>
      <c r="J48" s="546" t="str">
        <f t="array" ref="J48">IF(LEN($E48),INDEX('4-All Devices'!AE:AE, MATCH($E48, '4-All Devices'!AF:AF, 0)),"")</f>
        <v>Corphosted</v>
      </c>
      <c r="K48" s="547"/>
      <c r="L48" s="547"/>
      <c r="M48" s="547"/>
    </row>
    <row r="49">
      <c r="A49" s="542"/>
      <c r="B49" s="543" t="str">
        <f t="array" ref="B49">IF(LEN(E49),INDEX('4-All Devices'!AG:AG, MATCH(E49, '4-All Devices'!AF:AF, 0)),"")</f>
        <v>in-blr-ananta-ddc-247</v>
      </c>
      <c r="C49" s="544" t="s">
        <v>11186</v>
      </c>
      <c r="D49" s="544" t="s">
        <v>11187</v>
      </c>
      <c r="E49" s="543" t="str">
        <f>IFERROR(__xludf.DUMMYFUNCTION("""COMPUTED_VALUE"""),"5C:C2:13:05:DB:DA")</f>
        <v>5C:C2:13:05:DB:DA</v>
      </c>
      <c r="F49" s="549" t="s">
        <v>11188</v>
      </c>
      <c r="G49" s="1"/>
      <c r="H49" s="1"/>
      <c r="I49" s="1"/>
      <c r="J49" s="546" t="str">
        <f t="array" ref="J49">IF(LEN($E49),INDEX('4-All Devices'!AE:AE, MATCH($E49, '4-All Devices'!AF:AF, 0)),"")</f>
        <v>Corphosted</v>
      </c>
      <c r="K49" s="547"/>
      <c r="L49" s="547"/>
      <c r="M49" s="547"/>
    </row>
    <row r="50">
      <c r="A50" s="542"/>
      <c r="B50" s="543" t="str">
        <f t="array" ref="B50">IF(LEN(E50),INDEX('4-All Devices'!AG:AG, MATCH(E50, '4-All Devices'!AF:AF, 0)),"")</f>
        <v>in-blr-ananta-ddc-248</v>
      </c>
      <c r="C50" s="544" t="s">
        <v>11186</v>
      </c>
      <c r="D50" s="544" t="s">
        <v>11187</v>
      </c>
      <c r="E50" s="543" t="str">
        <f>IFERROR(__xludf.DUMMYFUNCTION("""COMPUTED_VALUE"""),"5C:C2:13:05:DB:E7")</f>
        <v>5C:C2:13:05:DB:E7</v>
      </c>
      <c r="F50" s="549" t="s">
        <v>11188</v>
      </c>
      <c r="G50" s="1"/>
      <c r="H50" s="1"/>
      <c r="I50" s="1"/>
      <c r="J50" s="546" t="str">
        <f t="array" ref="J50">IF(LEN($E50),INDEX('4-All Devices'!AE:AE, MATCH($E50, '4-All Devices'!AF:AF, 0)),"")</f>
        <v>Corphosted</v>
      </c>
      <c r="K50" s="547"/>
      <c r="L50" s="547"/>
      <c r="M50" s="1"/>
    </row>
    <row r="51">
      <c r="A51" s="542"/>
      <c r="B51" s="543" t="str">
        <f t="array" ref="B51">IF(LEN(E51),INDEX('4-All Devices'!AG:AG, MATCH(E51, '4-All Devices'!AF:AF, 0)),"")</f>
        <v>in-blr-ananta-ddc-249</v>
      </c>
      <c r="C51" s="544" t="s">
        <v>11186</v>
      </c>
      <c r="D51" s="544" t="s">
        <v>11187</v>
      </c>
      <c r="E51" s="543" t="str">
        <f>IFERROR(__xludf.DUMMYFUNCTION("""COMPUTED_VALUE"""),"5C:C2:13:05:DB:F0")</f>
        <v>5C:C2:13:05:DB:F0</v>
      </c>
      <c r="F51" s="549" t="s">
        <v>11188</v>
      </c>
      <c r="G51" s="1"/>
      <c r="H51" s="1"/>
      <c r="I51" s="1"/>
      <c r="J51" s="546" t="str">
        <f t="array" ref="J51">IF(LEN($E51),INDEX('4-All Devices'!AE:AE, MATCH($E51, '4-All Devices'!AF:AF, 0)),"")</f>
        <v>Corphosted</v>
      </c>
      <c r="K51" s="547"/>
      <c r="L51" s="547"/>
      <c r="M51" s="1"/>
    </row>
    <row r="52">
      <c r="A52" s="542"/>
      <c r="B52" s="543" t="str">
        <f t="array" ref="B52">IF(LEN(E52),INDEX('4-All Devices'!AG:AG, MATCH(E52, '4-All Devices'!AF:AF, 0)),"")</f>
        <v>in-blr-ananta-ddc-250</v>
      </c>
      <c r="C52" s="544" t="s">
        <v>11186</v>
      </c>
      <c r="D52" s="544" t="s">
        <v>11187</v>
      </c>
      <c r="E52" s="543" t="str">
        <f>IFERROR(__xludf.DUMMYFUNCTION("""COMPUTED_VALUE"""),"5C:C2:13:05:DC:23")</f>
        <v>5C:C2:13:05:DC:23</v>
      </c>
      <c r="F52" s="549" t="s">
        <v>11188</v>
      </c>
      <c r="G52" s="1"/>
      <c r="H52" s="1"/>
      <c r="I52" s="1"/>
      <c r="J52" s="546" t="str">
        <f t="array" ref="J52">IF(LEN($E52),INDEX('4-All Devices'!AE:AE, MATCH($E52, '4-All Devices'!AF:AF, 0)),"")</f>
        <v>Corphosted</v>
      </c>
      <c r="K52" s="547"/>
      <c r="L52" s="547"/>
      <c r="M52" s="1"/>
    </row>
    <row r="53">
      <c r="A53" s="542"/>
      <c r="B53" s="543" t="str">
        <f t="array" ref="B53">IF(LEN(E53),INDEX('4-All Devices'!AG:AG, MATCH(E53, '4-All Devices'!AF:AF, 0)),"")</f>
        <v>in-blr-ananta-ddc-251</v>
      </c>
      <c r="C53" s="544" t="s">
        <v>11186</v>
      </c>
      <c r="D53" s="544" t="s">
        <v>11187</v>
      </c>
      <c r="E53" s="543" t="str">
        <f>IFERROR(__xludf.DUMMYFUNCTION("""COMPUTED_VALUE"""),"5C:C2:13:05:DB:E4")</f>
        <v>5C:C2:13:05:DB:E4</v>
      </c>
      <c r="F53" s="549" t="s">
        <v>11188</v>
      </c>
      <c r="G53" s="1"/>
      <c r="H53" s="1"/>
      <c r="I53" s="1"/>
      <c r="J53" s="546" t="str">
        <f t="array" ref="J53">IF(LEN($E53),INDEX('4-All Devices'!AE:AE, MATCH($E53, '4-All Devices'!AF:AF, 0)),"")</f>
        <v>Corphosted</v>
      </c>
      <c r="K53" s="547"/>
      <c r="L53" s="547"/>
      <c r="M53" s="1"/>
    </row>
    <row r="54">
      <c r="A54" s="542"/>
      <c r="B54" s="543" t="str">
        <f t="array" ref="B54">IF(LEN(E54),INDEX('4-All Devices'!AG:AG, MATCH(E54, '4-All Devices'!AF:AF, 0)),"")</f>
        <v>in-blr-ananta-ddc-252</v>
      </c>
      <c r="C54" s="544" t="s">
        <v>11186</v>
      </c>
      <c r="D54" s="544" t="s">
        <v>11187</v>
      </c>
      <c r="E54" s="543" t="str">
        <f>IFERROR(__xludf.DUMMYFUNCTION("""COMPUTED_VALUE"""),"5C:C2:13:05:DB:31")</f>
        <v>5C:C2:13:05:DB:31</v>
      </c>
      <c r="F54" s="549" t="s">
        <v>11188</v>
      </c>
      <c r="G54" s="1"/>
      <c r="H54" s="1"/>
      <c r="I54" s="1"/>
      <c r="J54" s="546" t="str">
        <f t="array" ref="J54">IF(LEN($E54),INDEX('4-All Devices'!AE:AE, MATCH($E54, '4-All Devices'!AF:AF, 0)),"")</f>
        <v>Corphosted</v>
      </c>
      <c r="K54" s="547"/>
      <c r="L54" s="547"/>
      <c r="M54" s="1"/>
    </row>
    <row r="55">
      <c r="A55" s="542"/>
      <c r="B55" s="543" t="str">
        <f t="array" ref="B55">IF(LEN(E55),INDEX('4-All Devices'!AG:AG, MATCH(E55, '4-All Devices'!AF:AF, 0)),"")</f>
        <v>in-blr-ananta-ddc-253</v>
      </c>
      <c r="C55" s="544" t="s">
        <v>11186</v>
      </c>
      <c r="D55" s="544" t="s">
        <v>11187</v>
      </c>
      <c r="E55" s="543" t="str">
        <f>IFERROR(__xludf.DUMMYFUNCTION("""COMPUTED_VALUE"""),"5C:C2:13:05:DB:96")</f>
        <v>5C:C2:13:05:DB:96</v>
      </c>
      <c r="F55" s="549" t="s">
        <v>11188</v>
      </c>
      <c r="G55" s="1"/>
      <c r="H55" s="1"/>
      <c r="I55" s="1"/>
      <c r="J55" s="546" t="str">
        <f t="array" ref="J55">IF(LEN($E55),INDEX('4-All Devices'!AE:AE, MATCH($E55, '4-All Devices'!AF:AF, 0)),"")</f>
        <v>Corphosted</v>
      </c>
      <c r="K55" s="547"/>
      <c r="L55" s="547"/>
      <c r="M55" s="1"/>
    </row>
    <row r="56">
      <c r="A56" s="542"/>
      <c r="B56" s="543" t="str">
        <f t="array" ref="B56">IF(LEN(E56),INDEX('4-All Devices'!AG:AG, MATCH(E56, '4-All Devices'!AF:AF, 0)),"")</f>
        <v>in-blr-ananta-ddc-254</v>
      </c>
      <c r="C56" s="544" t="s">
        <v>11186</v>
      </c>
      <c r="D56" s="544" t="s">
        <v>11187</v>
      </c>
      <c r="E56" s="543" t="str">
        <f>IFERROR(__xludf.DUMMYFUNCTION("""COMPUTED_VALUE"""),"5C:C2:13:05:DB:E2")</f>
        <v>5C:C2:13:05:DB:E2</v>
      </c>
      <c r="F56" s="549" t="s">
        <v>11188</v>
      </c>
      <c r="G56" s="1"/>
      <c r="H56" s="1"/>
      <c r="I56" s="1"/>
      <c r="J56" s="546" t="str">
        <f t="array" ref="J56">IF(LEN($E56),INDEX('4-All Devices'!AE:AE, MATCH($E56, '4-All Devices'!AF:AF, 0)),"")</f>
        <v>Corphosted</v>
      </c>
      <c r="K56" s="1"/>
      <c r="L56" s="1"/>
      <c r="M56" s="1"/>
    </row>
    <row r="57">
      <c r="A57" s="542"/>
      <c r="B57" s="543" t="str">
        <f t="array" ref="B57">IF(LEN(E57),INDEX('4-All Devices'!AG:AG, MATCH(E57, '4-All Devices'!AF:AF, 0)),"")</f>
        <v>in-blr-ananta-ddc-255</v>
      </c>
      <c r="C57" s="544" t="s">
        <v>11186</v>
      </c>
      <c r="D57" s="544" t="s">
        <v>11187</v>
      </c>
      <c r="E57" s="543" t="str">
        <f>IFERROR(__xludf.DUMMYFUNCTION("""COMPUTED_VALUE"""),"5C:C2:13:05:DC:17")</f>
        <v>5C:C2:13:05:DC:17</v>
      </c>
      <c r="F57" s="549" t="s">
        <v>11188</v>
      </c>
      <c r="G57" s="1"/>
      <c r="H57" s="1"/>
      <c r="I57" s="1"/>
      <c r="J57" s="546" t="str">
        <f t="array" ref="J57">IF(LEN($E57),INDEX('4-All Devices'!AE:AE, MATCH($E57, '4-All Devices'!AF:AF, 0)),"")</f>
        <v>Corphosted</v>
      </c>
      <c r="K57" s="1"/>
      <c r="L57" s="1"/>
      <c r="M57" s="1"/>
    </row>
    <row r="58">
      <c r="A58" s="542"/>
      <c r="B58" s="543" t="str">
        <f t="array" ref="B58">IF(LEN(E58),INDEX('4-All Devices'!AG:AG, MATCH(E58, '4-All Devices'!AF:AF, 0)),"")</f>
        <v>in-blr-ananta-ddc-256</v>
      </c>
      <c r="C58" s="544" t="s">
        <v>11186</v>
      </c>
      <c r="D58" s="544" t="s">
        <v>11187</v>
      </c>
      <c r="E58" s="543" t="str">
        <f>IFERROR(__xludf.DUMMYFUNCTION("""COMPUTED_VALUE"""),"5C:C2:13:05:DC:41")</f>
        <v>5C:C2:13:05:DC:41</v>
      </c>
      <c r="F58" s="549" t="s">
        <v>11188</v>
      </c>
      <c r="G58" s="1"/>
      <c r="H58" s="1"/>
      <c r="I58" s="1"/>
      <c r="J58" s="546" t="str">
        <f t="array" ref="J58">IF(LEN($E58),INDEX('4-All Devices'!AE:AE, MATCH($E58, '4-All Devices'!AF:AF, 0)),"")</f>
        <v>Corphosted</v>
      </c>
      <c r="K58" s="1"/>
      <c r="L58" s="1"/>
      <c r="M58" s="1"/>
    </row>
    <row r="59">
      <c r="A59" s="542"/>
      <c r="B59" s="543" t="str">
        <f t="array" ref="B59">IF(LEN(E59),INDEX('4-All Devices'!AG:AG, MATCH(E59, '4-All Devices'!AF:AF, 0)),"")</f>
        <v>in-blr-ananta-ddc-257</v>
      </c>
      <c r="C59" s="544" t="s">
        <v>11186</v>
      </c>
      <c r="D59" s="544" t="s">
        <v>11187</v>
      </c>
      <c r="E59" s="543" t="str">
        <f>IFERROR(__xludf.DUMMYFUNCTION("""COMPUTED_VALUE"""),"5C:C2:13:05:DB:86")</f>
        <v>5C:C2:13:05:DB:86</v>
      </c>
      <c r="F59" s="549" t="s">
        <v>11188</v>
      </c>
      <c r="G59" s="1"/>
      <c r="H59" s="1"/>
      <c r="I59" s="1"/>
      <c r="J59" s="546" t="str">
        <f t="array" ref="J59">IF(LEN($E59),INDEX('4-All Devices'!AE:AE, MATCH($E59, '4-All Devices'!AF:AF, 0)),"")</f>
        <v>Corphosted</v>
      </c>
      <c r="K59" s="1"/>
      <c r="L59" s="1"/>
      <c r="M59" s="1"/>
    </row>
    <row r="60">
      <c r="A60" s="542"/>
      <c r="B60" s="543" t="str">
        <f t="array" ref="B60">IF(LEN(E60),INDEX('4-All Devices'!AG:AG, MATCH(E60, '4-All Devices'!AF:AF, 0)),"")</f>
        <v>in-blr-ananta-ddc-258</v>
      </c>
      <c r="C60" s="544" t="s">
        <v>11186</v>
      </c>
      <c r="D60" s="544" t="s">
        <v>11187</v>
      </c>
      <c r="E60" s="543" t="str">
        <f>IFERROR(__xludf.DUMMYFUNCTION("""COMPUTED_VALUE"""),"5C:C2:13:05:DB:DB")</f>
        <v>5C:C2:13:05:DB:DB</v>
      </c>
      <c r="F60" s="549" t="s">
        <v>11188</v>
      </c>
      <c r="G60" s="1"/>
      <c r="H60" s="1"/>
      <c r="I60" s="1"/>
      <c r="J60" s="546" t="str">
        <f t="array" ref="J60">IF(LEN($E60),INDEX('4-All Devices'!AE:AE, MATCH($E60, '4-All Devices'!AF:AF, 0)),"")</f>
        <v>Corphosted</v>
      </c>
      <c r="K60" s="1"/>
      <c r="L60" s="1"/>
      <c r="M60" s="1"/>
    </row>
    <row r="61">
      <c r="A61" s="542"/>
      <c r="B61" s="543" t="str">
        <f t="array" ref="B61">IF(LEN(E61),INDEX('4-All Devices'!AG:AG, MATCH(E61, '4-All Devices'!AF:AF, 0)),"")</f>
        <v>in-blr-ananta-ddc-259</v>
      </c>
      <c r="C61" s="544" t="s">
        <v>11186</v>
      </c>
      <c r="D61" s="544" t="s">
        <v>11187</v>
      </c>
      <c r="E61" s="543" t="str">
        <f>IFERROR(__xludf.DUMMYFUNCTION("""COMPUTED_VALUE"""),"5C:C2:13:05:DC:0C")</f>
        <v>5C:C2:13:05:DC:0C</v>
      </c>
      <c r="F61" s="549" t="s">
        <v>11188</v>
      </c>
      <c r="G61" s="1"/>
      <c r="H61" s="1"/>
      <c r="I61" s="1"/>
      <c r="J61" s="546" t="str">
        <f t="array" ref="J61">IF(LEN($E61),INDEX('4-All Devices'!AE:AE, MATCH($E61, '4-All Devices'!AF:AF, 0)),"")</f>
        <v>Corphosted</v>
      </c>
      <c r="K61" s="1"/>
      <c r="L61" s="1"/>
      <c r="M61" s="1"/>
    </row>
    <row r="62">
      <c r="A62" s="542"/>
      <c r="B62" s="543" t="str">
        <f t="array" ref="B62">IF(LEN(E62),INDEX('4-All Devices'!AG:AG, MATCH(E62, '4-All Devices'!AF:AF, 0)),"")</f>
        <v>in-blr-ananta-ddc-260</v>
      </c>
      <c r="C62" s="544" t="s">
        <v>11186</v>
      </c>
      <c r="D62" s="544" t="s">
        <v>11187</v>
      </c>
      <c r="E62" s="543" t="str">
        <f>IFERROR(__xludf.DUMMYFUNCTION("""COMPUTED_VALUE"""),"5C:C2:13:05:DC:4E")</f>
        <v>5C:C2:13:05:DC:4E</v>
      </c>
      <c r="F62" s="549" t="s">
        <v>11188</v>
      </c>
      <c r="G62" s="1"/>
      <c r="H62" s="1"/>
      <c r="I62" s="1"/>
      <c r="J62" s="546" t="str">
        <f t="array" ref="J62">IF(LEN($E62),INDEX('4-All Devices'!AE:AE, MATCH($E62, '4-All Devices'!AF:AF, 0)),"")</f>
        <v>Corphosted</v>
      </c>
      <c r="K62" s="1"/>
      <c r="L62" s="1"/>
      <c r="M62" s="1"/>
    </row>
    <row r="63">
      <c r="A63" s="542"/>
      <c r="B63" s="543" t="str">
        <f t="array" ref="B63">IF(LEN(E63),INDEX('4-All Devices'!AG:AG, MATCH(E63, '4-All Devices'!AF:AF, 0)),"")</f>
        <v>in-blr-ananta-ddc-261</v>
      </c>
      <c r="C63" s="544" t="s">
        <v>11186</v>
      </c>
      <c r="D63" s="544" t="s">
        <v>11187</v>
      </c>
      <c r="E63" s="543" t="str">
        <f>IFERROR(__xludf.DUMMYFUNCTION("""COMPUTED_VALUE"""),"5C:C2:13:05:DB:ED")</f>
        <v>5C:C2:13:05:DB:ED</v>
      </c>
      <c r="F63" s="549" t="s">
        <v>11188</v>
      </c>
      <c r="G63" s="1"/>
      <c r="H63" s="1"/>
      <c r="I63" s="1"/>
      <c r="J63" s="546" t="str">
        <f t="array" ref="J63">IF(LEN($E63),INDEX('4-All Devices'!AE:AE, MATCH($E63, '4-All Devices'!AF:AF, 0)),"")</f>
        <v>Corphosted</v>
      </c>
      <c r="K63" s="1"/>
      <c r="L63" s="1"/>
      <c r="M63" s="1"/>
    </row>
    <row r="64">
      <c r="A64" s="542"/>
      <c r="B64" s="543" t="str">
        <f t="array" ref="B64">IF(LEN(E64),INDEX('4-All Devices'!AG:AG, MATCH(E64, '4-All Devices'!AF:AF, 0)),"")</f>
        <v>in-blr-ananta-ddc-262</v>
      </c>
      <c r="C64" s="544" t="s">
        <v>11186</v>
      </c>
      <c r="D64" s="544" t="s">
        <v>11187</v>
      </c>
      <c r="E64" s="543" t="str">
        <f>IFERROR(__xludf.DUMMYFUNCTION("""COMPUTED_VALUE"""),"5C:C2:13:05:DB:F4")</f>
        <v>5C:C2:13:05:DB:F4</v>
      </c>
      <c r="F64" s="549" t="s">
        <v>11188</v>
      </c>
      <c r="G64" s="1"/>
      <c r="H64" s="1"/>
      <c r="I64" s="1"/>
      <c r="J64" s="546" t="str">
        <f t="array" ref="J64">IF(LEN($E64),INDEX('4-All Devices'!AE:AE, MATCH($E64, '4-All Devices'!AF:AF, 0)),"")</f>
        <v>Corphosted</v>
      </c>
      <c r="K64" s="1"/>
      <c r="L64" s="1"/>
      <c r="M64" s="1"/>
    </row>
    <row r="65">
      <c r="A65" s="542"/>
      <c r="B65" s="543" t="str">
        <f t="array" ref="B65">IF(LEN(E65),INDEX('4-All Devices'!AG:AG, MATCH(E65, '4-All Devices'!AF:AF, 0)),"")</f>
        <v>in-blr-ananta-ddc-263</v>
      </c>
      <c r="C65" s="544" t="s">
        <v>11186</v>
      </c>
      <c r="D65" s="544" t="s">
        <v>11187</v>
      </c>
      <c r="E65" s="543" t="str">
        <f>IFERROR(__xludf.DUMMYFUNCTION("""COMPUTED_VALUE"""),"5C:C2:13:05:DD:44")</f>
        <v>5C:C2:13:05:DD:44</v>
      </c>
      <c r="F65" s="549" t="s">
        <v>11188</v>
      </c>
      <c r="G65" s="1"/>
      <c r="H65" s="1"/>
      <c r="I65" s="1"/>
      <c r="J65" s="546" t="str">
        <f t="array" ref="J65">IF(LEN($E65),INDEX('4-All Devices'!AE:AE, MATCH($E65, '4-All Devices'!AF:AF, 0)),"")</f>
        <v>Corphosted</v>
      </c>
      <c r="K65" s="1"/>
      <c r="L65" s="1"/>
      <c r="M65" s="8"/>
    </row>
    <row r="66">
      <c r="A66" s="542"/>
      <c r="B66" s="551" t="str">
        <f t="array" ref="B66">IF(LEN(E66),INDEX('4-All Devices'!AG:AG, MATCH(E66, '4-All Devices'!AF:AF, 0)),"")</f>
        <v>in-blr-ananta-ddc-264</v>
      </c>
      <c r="C66" s="549" t="s">
        <v>11186</v>
      </c>
      <c r="D66" s="549" t="s">
        <v>11187</v>
      </c>
      <c r="E66" s="8" t="str">
        <f>IFERROR(__xludf.DUMMYFUNCTION("""COMPUTED_VALUE"""),"5C:C2:13:05:DD:9E")</f>
        <v>5C:C2:13:05:DD:9E</v>
      </c>
      <c r="F66" s="552" t="s">
        <v>11188</v>
      </c>
      <c r="G66" s="8"/>
      <c r="H66" s="8"/>
      <c r="I66" s="8"/>
      <c r="J66" s="546" t="str">
        <f t="array" ref="J66">IF(LEN($E66),INDEX('4-All Devices'!AE:AE, MATCH($E66, '4-All Devices'!AF:AF, 0)),"")</f>
        <v>Corphosted</v>
      </c>
      <c r="K66" s="8"/>
      <c r="L66" s="8"/>
      <c r="M66" s="8"/>
    </row>
    <row r="67">
      <c r="A67" s="542"/>
      <c r="B67" s="551" t="str">
        <f t="array" ref="B67">IF(LEN(E67),INDEX('4-All Devices'!AG:AG, MATCH(E67, '4-All Devices'!AF:AF, 0)),"")</f>
        <v>in-blr-ananta-ddc-265</v>
      </c>
      <c r="C67" s="549" t="s">
        <v>11186</v>
      </c>
      <c r="D67" s="549" t="s">
        <v>11187</v>
      </c>
      <c r="E67" s="8" t="str">
        <f>IFERROR(__xludf.DUMMYFUNCTION("""COMPUTED_VALUE"""),"5C:C2:13:05:DC:24")</f>
        <v>5C:C2:13:05:DC:24</v>
      </c>
      <c r="F67" s="552" t="s">
        <v>11188</v>
      </c>
      <c r="G67" s="8"/>
      <c r="H67" s="8"/>
      <c r="I67" s="8"/>
      <c r="J67" s="546" t="str">
        <f t="array" ref="J67">IF(LEN($E67),INDEX('4-All Devices'!AE:AE, MATCH($E67, '4-All Devices'!AF:AF, 0)),"")</f>
        <v>Corphosted</v>
      </c>
      <c r="K67" s="8"/>
      <c r="L67" s="8"/>
      <c r="M67" s="8"/>
    </row>
    <row r="68">
      <c r="A68" s="542"/>
      <c r="B68" s="551" t="str">
        <f t="array" ref="B68">IF(LEN(E68),INDEX('4-All Devices'!AG:AG, MATCH(E68, '4-All Devices'!AF:AF, 0)),"")</f>
        <v>in-blr-ananta-ddc-266</v>
      </c>
      <c r="C68" s="549" t="s">
        <v>11186</v>
      </c>
      <c r="D68" s="549" t="s">
        <v>11187</v>
      </c>
      <c r="E68" s="8" t="str">
        <f>IFERROR(__xludf.DUMMYFUNCTION("""COMPUTED_VALUE"""),"5C:C2:13:05:DB:D0")</f>
        <v>5C:C2:13:05:DB:D0</v>
      </c>
      <c r="F68" s="552" t="s">
        <v>11188</v>
      </c>
      <c r="G68" s="8"/>
      <c r="H68" s="8"/>
      <c r="I68" s="8"/>
      <c r="J68" s="546" t="str">
        <f t="array" ref="J68">IF(LEN($E68),INDEX('4-All Devices'!AE:AE, MATCH($E68, '4-All Devices'!AF:AF, 0)),"")</f>
        <v>Corphosted</v>
      </c>
      <c r="K68" s="8"/>
      <c r="L68" s="8"/>
      <c r="M68" s="8"/>
    </row>
    <row r="69">
      <c r="A69" s="542"/>
      <c r="B69" s="551" t="str">
        <f t="array" ref="B69">IF(LEN(E69),INDEX('4-All Devices'!AG:AG, MATCH(E69, '4-All Devices'!AF:AF, 0)),"")</f>
        <v>in-blr-ananta-ddc-267</v>
      </c>
      <c r="C69" s="549" t="s">
        <v>11186</v>
      </c>
      <c r="D69" s="549" t="s">
        <v>11187</v>
      </c>
      <c r="E69" s="8" t="str">
        <f>IFERROR(__xludf.DUMMYFUNCTION("""COMPUTED_VALUE"""),"5C:C2:13:05:DD:CF")</f>
        <v>5C:C2:13:05:DD:CF</v>
      </c>
      <c r="F69" s="552" t="s">
        <v>11188</v>
      </c>
      <c r="G69" s="8"/>
      <c r="H69" s="8"/>
      <c r="I69" s="8"/>
      <c r="J69" s="546" t="str">
        <f t="array" ref="J69">IF(LEN($E69),INDEX('4-All Devices'!AE:AE, MATCH($E69, '4-All Devices'!AF:AF, 0)),"")</f>
        <v>Corphosted</v>
      </c>
      <c r="K69" s="8"/>
      <c r="L69" s="8"/>
      <c r="M69" s="8"/>
    </row>
    <row r="70">
      <c r="A70" s="542"/>
      <c r="B70" s="551" t="str">
        <f t="array" ref="B70">IF(LEN(E70),INDEX('4-All Devices'!AG:AG, MATCH(E70, '4-All Devices'!AF:AF, 0)),"")</f>
        <v>in-blr-ananta-ddc-268</v>
      </c>
      <c r="C70" s="549" t="s">
        <v>11186</v>
      </c>
      <c r="D70" s="549" t="s">
        <v>11187</v>
      </c>
      <c r="E70" s="8" t="str">
        <f>IFERROR(__xludf.DUMMYFUNCTION("""COMPUTED_VALUE"""),"5C:C2:13:05:DC:29")</f>
        <v>5C:C2:13:05:DC:29</v>
      </c>
      <c r="F70" s="552" t="s">
        <v>11188</v>
      </c>
      <c r="G70" s="8"/>
      <c r="H70" s="8"/>
      <c r="I70" s="8"/>
      <c r="J70" s="546" t="str">
        <f t="array" ref="J70">IF(LEN($E70),INDEX('4-All Devices'!AE:AE, MATCH($E70, '4-All Devices'!AF:AF, 0)),"")</f>
        <v>Corphosted</v>
      </c>
      <c r="K70" s="8"/>
      <c r="L70" s="8"/>
      <c r="M70" s="8"/>
    </row>
    <row r="71">
      <c r="A71" s="542"/>
      <c r="B71" s="551" t="str">
        <f t="array" ref="B71">IF(LEN(E71),INDEX('4-All Devices'!AG:AG, MATCH(E71, '4-All Devices'!AF:AF, 0)),"")</f>
        <v>in-blr-ananta-ddc-269</v>
      </c>
      <c r="C71" s="549" t="s">
        <v>11186</v>
      </c>
      <c r="D71" s="549" t="s">
        <v>11187</v>
      </c>
      <c r="E71" s="8" t="str">
        <f>IFERROR(__xludf.DUMMYFUNCTION("""COMPUTED_VALUE"""),"5C:C2:13:05:DB:E0")</f>
        <v>5C:C2:13:05:DB:E0</v>
      </c>
      <c r="F71" s="552" t="s">
        <v>11188</v>
      </c>
      <c r="G71" s="8"/>
      <c r="H71" s="8"/>
      <c r="I71" s="8"/>
      <c r="J71" s="546" t="str">
        <f t="array" ref="J71">IF(LEN($E71),INDEX('4-All Devices'!AE:AE, MATCH($E71, '4-All Devices'!AF:AF, 0)),"")</f>
        <v>Corphosted</v>
      </c>
      <c r="K71" s="8"/>
      <c r="L71" s="8"/>
      <c r="M71" s="8"/>
    </row>
    <row r="72">
      <c r="A72" s="542"/>
      <c r="B72" s="551" t="str">
        <f t="array" ref="B72">IF(LEN(E72),INDEX('4-All Devices'!AG:AG, MATCH(E72, '4-All Devices'!AF:AF, 0)),"")</f>
        <v>in-blr-ananta-ddc-270</v>
      </c>
      <c r="C72" s="549" t="s">
        <v>11186</v>
      </c>
      <c r="D72" s="549" t="s">
        <v>11187</v>
      </c>
      <c r="E72" s="8" t="str">
        <f>IFERROR(__xludf.DUMMYFUNCTION("""COMPUTED_VALUE"""),"5C:C2:13:05:DB:8F")</f>
        <v>5C:C2:13:05:DB:8F</v>
      </c>
      <c r="F72" s="552" t="s">
        <v>11188</v>
      </c>
      <c r="G72" s="8"/>
      <c r="H72" s="8"/>
      <c r="I72" s="8"/>
      <c r="J72" s="546" t="str">
        <f t="array" ref="J72">IF(LEN($E72),INDEX('4-All Devices'!AE:AE, MATCH($E72, '4-All Devices'!AF:AF, 0)),"")</f>
        <v>Corphosted</v>
      </c>
      <c r="K72" s="8"/>
      <c r="L72" s="8"/>
      <c r="M72" s="8"/>
    </row>
    <row r="73">
      <c r="A73" s="542"/>
      <c r="B73" s="551" t="str">
        <f t="array" ref="B73">IF(LEN(E73),INDEX('4-All Devices'!AG:AG, MATCH(E73, '4-All Devices'!AF:AF, 0)),"")</f>
        <v>in-blr-ananta-ddc-271</v>
      </c>
      <c r="C73" s="549" t="s">
        <v>11186</v>
      </c>
      <c r="D73" s="549" t="s">
        <v>11187</v>
      </c>
      <c r="E73" s="8" t="str">
        <f>IFERROR(__xludf.DUMMYFUNCTION("""COMPUTED_VALUE"""),"5C:C2:13:05:DB:E3")</f>
        <v>5C:C2:13:05:DB:E3</v>
      </c>
      <c r="F73" s="552" t="s">
        <v>11188</v>
      </c>
      <c r="G73" s="8"/>
      <c r="H73" s="8"/>
      <c r="I73" s="8"/>
      <c r="J73" s="546" t="str">
        <f t="array" ref="J73">IF(LEN($E73),INDEX('4-All Devices'!AE:AE, MATCH($E73, '4-All Devices'!AF:AF, 0)),"")</f>
        <v>Corphosted</v>
      </c>
      <c r="K73" s="8"/>
      <c r="L73" s="8"/>
      <c r="M73" s="8"/>
    </row>
    <row r="74">
      <c r="A74" s="542"/>
      <c r="B74" s="551" t="str">
        <f t="array" ref="B74">IF(LEN(E74),INDEX('4-All Devices'!AG:AG, MATCH(E74, '4-All Devices'!AF:AF, 0)),"")</f>
        <v>in-blr-ananta-ddc-272</v>
      </c>
      <c r="C74" s="549" t="s">
        <v>11186</v>
      </c>
      <c r="D74" s="549" t="s">
        <v>11187</v>
      </c>
      <c r="E74" s="8" t="str">
        <f>IFERROR(__xludf.DUMMYFUNCTION("""COMPUTED_VALUE"""),"5C:C2:13:05:DD:57")</f>
        <v>5C:C2:13:05:DD:57</v>
      </c>
      <c r="F74" s="552" t="s">
        <v>11188</v>
      </c>
      <c r="G74" s="8"/>
      <c r="H74" s="8"/>
      <c r="I74" s="8"/>
      <c r="J74" s="546" t="str">
        <f t="array" ref="J74">IF(LEN($E74),INDEX('4-All Devices'!AE:AE, MATCH($E74, '4-All Devices'!AF:AF, 0)),"")</f>
        <v>Corphosted</v>
      </c>
      <c r="K74" s="8"/>
      <c r="L74" s="8"/>
      <c r="M74" s="8"/>
    </row>
    <row r="75">
      <c r="A75" s="542"/>
      <c r="B75" s="551" t="str">
        <f t="array" ref="B75">IF(LEN(E75),INDEX('4-All Devices'!AG:AG, MATCH(E75, '4-All Devices'!AF:AF, 0)),"")</f>
        <v>in-blr-ananta-ddc-273</v>
      </c>
      <c r="C75" s="549" t="s">
        <v>11186</v>
      </c>
      <c r="D75" s="549" t="s">
        <v>11187</v>
      </c>
      <c r="E75" s="8" t="str">
        <f>IFERROR(__xludf.DUMMYFUNCTION("""COMPUTED_VALUE"""),"5C:C2:13:05:DB:E9")</f>
        <v>5C:C2:13:05:DB:E9</v>
      </c>
      <c r="F75" s="552" t="s">
        <v>11188</v>
      </c>
      <c r="G75" s="8"/>
      <c r="H75" s="8"/>
      <c r="I75" s="8"/>
      <c r="J75" s="546" t="str">
        <f t="array" ref="J75">IF(LEN($E75),INDEX('4-All Devices'!AE:AE, MATCH($E75, '4-All Devices'!AF:AF, 0)),"")</f>
        <v>Corphosted</v>
      </c>
      <c r="K75" s="8"/>
      <c r="L75" s="8"/>
      <c r="M75" s="8"/>
    </row>
    <row r="76">
      <c r="A76" s="542"/>
      <c r="B76" s="551" t="str">
        <f t="array" ref="B76">IF(LEN(E76),INDEX('4-All Devices'!AG:AG, MATCH(E76, '4-All Devices'!AF:AF, 0)),"")</f>
        <v>in-blr-ananta-ddc-274</v>
      </c>
      <c r="C76" s="549" t="s">
        <v>11186</v>
      </c>
      <c r="D76" s="549" t="s">
        <v>11187</v>
      </c>
      <c r="E76" s="8" t="str">
        <f>IFERROR(__xludf.DUMMYFUNCTION("""COMPUTED_VALUE"""),"5C:C2:13:05:DD:AA")</f>
        <v>5C:C2:13:05:DD:AA</v>
      </c>
      <c r="F76" s="552" t="s">
        <v>11188</v>
      </c>
      <c r="G76" s="8"/>
      <c r="H76" s="8"/>
      <c r="I76" s="8"/>
      <c r="J76" s="546" t="str">
        <f t="array" ref="J76">IF(LEN($E76),INDEX('4-All Devices'!AE:AE, MATCH($E76, '4-All Devices'!AF:AF, 0)),"")</f>
        <v>Corphosted</v>
      </c>
      <c r="K76" s="8"/>
      <c r="L76" s="8"/>
      <c r="M76" s="8"/>
    </row>
    <row r="77">
      <c r="A77" s="542"/>
      <c r="B77" s="551" t="str">
        <f t="array" ref="B77">IF(LEN(E77),INDEX('4-All Devices'!AG:AG, MATCH(E77, '4-All Devices'!AF:AF, 0)),"")</f>
        <v>in-blr-ananta-ddc-275</v>
      </c>
      <c r="C77" s="549" t="s">
        <v>11186</v>
      </c>
      <c r="D77" s="549" t="s">
        <v>11187</v>
      </c>
      <c r="E77" s="8" t="str">
        <f>IFERROR(__xludf.DUMMYFUNCTION("""COMPUTED_VALUE"""),"5C:C2:13:05:DB:85")</f>
        <v>5C:C2:13:05:DB:85</v>
      </c>
      <c r="F77" s="552" t="s">
        <v>11188</v>
      </c>
      <c r="G77" s="8"/>
      <c r="H77" s="8"/>
      <c r="I77" s="8"/>
      <c r="J77" s="546" t="str">
        <f t="array" ref="J77">IF(LEN($E77),INDEX('4-All Devices'!AE:AE, MATCH($E77, '4-All Devices'!AF:AF, 0)),"")</f>
        <v>Corphosted</v>
      </c>
      <c r="K77" s="8"/>
      <c r="L77" s="8"/>
      <c r="M77" s="8"/>
    </row>
    <row r="78">
      <c r="A78" s="542"/>
      <c r="B78" s="551" t="str">
        <f t="array" ref="B78">IF(LEN(E78),INDEX('4-All Devices'!AG:AG, MATCH(E78, '4-All Devices'!AF:AF, 0)),"")</f>
        <v>in-blr-ananta-ddc-276</v>
      </c>
      <c r="C78" s="549" t="s">
        <v>11186</v>
      </c>
      <c r="D78" s="549" t="s">
        <v>11187</v>
      </c>
      <c r="E78" s="8" t="str">
        <f>IFERROR(__xludf.DUMMYFUNCTION("""COMPUTED_VALUE"""),"5C:C2:13:05:DC:DE")</f>
        <v>5C:C2:13:05:DC:DE</v>
      </c>
      <c r="F78" s="552" t="s">
        <v>11188</v>
      </c>
      <c r="G78" s="8"/>
      <c r="H78" s="8"/>
      <c r="I78" s="8"/>
      <c r="J78" s="546" t="str">
        <f t="array" ref="J78">IF(LEN($E78),INDEX('4-All Devices'!AE:AE, MATCH($E78, '4-All Devices'!AF:AF, 0)),"")</f>
        <v>Corphosted</v>
      </c>
      <c r="K78" s="8"/>
      <c r="L78" s="8"/>
      <c r="M78" s="8"/>
    </row>
    <row r="79">
      <c r="A79" s="542"/>
      <c r="B79" s="551" t="str">
        <f t="array" ref="B79">IF(LEN(E79),INDEX('4-All Devices'!AG:AG, MATCH(E79, '4-All Devices'!AF:AF, 0)),"")</f>
        <v>in-blr-ananta-ddc-277</v>
      </c>
      <c r="C79" s="549" t="s">
        <v>11186</v>
      </c>
      <c r="D79" s="549" t="s">
        <v>11187</v>
      </c>
      <c r="E79" s="8" t="str">
        <f>IFERROR(__xludf.DUMMYFUNCTION("""COMPUTED_VALUE"""),"5C:C2:13:05:DC:43")</f>
        <v>5C:C2:13:05:DC:43</v>
      </c>
      <c r="F79" s="552" t="s">
        <v>11188</v>
      </c>
      <c r="G79" s="8"/>
      <c r="H79" s="8"/>
      <c r="I79" s="8"/>
      <c r="J79" s="546" t="str">
        <f t="array" ref="J79">IF(LEN($E79),INDEX('4-All Devices'!AE:AE, MATCH($E79, '4-All Devices'!AF:AF, 0)),"")</f>
        <v>Corphosted</v>
      </c>
      <c r="K79" s="8"/>
      <c r="L79" s="8"/>
      <c r="M79" s="8"/>
    </row>
    <row r="80">
      <c r="A80" s="542"/>
      <c r="B80" s="551" t="str">
        <f t="array" ref="B80">IF(LEN(E80),INDEX('4-All Devices'!AG:AG, MATCH(E80, '4-All Devices'!AF:AF, 0)),"")</f>
        <v>in-blr-ananta-ddc-278</v>
      </c>
      <c r="C80" s="549" t="s">
        <v>11186</v>
      </c>
      <c r="D80" s="549" t="s">
        <v>11187</v>
      </c>
      <c r="E80" s="8" t="str">
        <f>IFERROR(__xludf.DUMMYFUNCTION("""COMPUTED_VALUE"""),"5C:C2:13:05:DB:E8")</f>
        <v>5C:C2:13:05:DB:E8</v>
      </c>
      <c r="F80" s="552" t="s">
        <v>11188</v>
      </c>
      <c r="G80" s="8"/>
      <c r="H80" s="8"/>
      <c r="I80" s="8"/>
      <c r="J80" s="546" t="str">
        <f t="array" ref="J80">IF(LEN($E80),INDEX('4-All Devices'!AE:AE, MATCH($E80, '4-All Devices'!AF:AF, 0)),"")</f>
        <v>Corphosted</v>
      </c>
      <c r="K80" s="8"/>
      <c r="L80" s="8"/>
      <c r="M80" s="8"/>
    </row>
    <row r="81">
      <c r="A81" s="542"/>
      <c r="B81" s="551" t="str">
        <f t="array" ref="B81">IF(LEN(E81),INDEX('4-All Devices'!AG:AG, MATCH(E81, '4-All Devices'!AF:AF, 0)),"")</f>
        <v>in-blr-ananta-ddc-279</v>
      </c>
      <c r="C81" s="549" t="s">
        <v>11186</v>
      </c>
      <c r="D81" s="549" t="s">
        <v>11187</v>
      </c>
      <c r="E81" s="8" t="str">
        <f>IFERROR(__xludf.DUMMYFUNCTION("""COMPUTED_VALUE"""),"5C:C2:13:05:DA:4A")</f>
        <v>5C:C2:13:05:DA:4A</v>
      </c>
      <c r="F81" s="552" t="s">
        <v>11188</v>
      </c>
      <c r="G81" s="8"/>
      <c r="H81" s="8"/>
      <c r="I81" s="8"/>
      <c r="J81" s="546" t="str">
        <f t="array" ref="J81">IF(LEN($E81),INDEX('4-All Devices'!AE:AE, MATCH($E81, '4-All Devices'!AF:AF, 0)),"")</f>
        <v>Corphosted</v>
      </c>
      <c r="K81" s="8"/>
      <c r="L81" s="8"/>
      <c r="M81" s="8"/>
    </row>
    <row r="82">
      <c r="A82" s="542"/>
      <c r="B82" s="551" t="str">
        <f t="array" ref="B82">IF(LEN(E82),INDEX('4-All Devices'!AG:AG, MATCH(E82, '4-All Devices'!AF:AF, 0)),"")</f>
        <v>in-blr-ananta-ddc-280</v>
      </c>
      <c r="C82" s="549" t="s">
        <v>11186</v>
      </c>
      <c r="D82" s="549" t="s">
        <v>11187</v>
      </c>
      <c r="E82" s="8" t="str">
        <f>IFERROR(__xludf.DUMMYFUNCTION("""COMPUTED_VALUE"""),"5C:C2:13:05:DC:45")</f>
        <v>5C:C2:13:05:DC:45</v>
      </c>
      <c r="F82" s="552" t="s">
        <v>11188</v>
      </c>
      <c r="G82" s="8"/>
      <c r="H82" s="8"/>
      <c r="I82" s="8"/>
      <c r="J82" s="546" t="str">
        <f t="array" ref="J82">IF(LEN($E82),INDEX('4-All Devices'!AE:AE, MATCH($E82, '4-All Devices'!AF:AF, 0)),"")</f>
        <v>Corphosted</v>
      </c>
      <c r="K82" s="8"/>
      <c r="L82" s="8"/>
      <c r="M82" s="8"/>
    </row>
    <row r="83">
      <c r="A83" s="542"/>
      <c r="B83" s="551" t="str">
        <f t="array" ref="B83">IF(LEN(E83),INDEX('4-All Devices'!AG:AG, MATCH(E83, '4-All Devices'!AF:AF, 0)),"")</f>
        <v>in-blr-ananta-ddc-281</v>
      </c>
      <c r="C83" s="549" t="s">
        <v>11186</v>
      </c>
      <c r="D83" s="549" t="s">
        <v>11187</v>
      </c>
      <c r="E83" s="8" t="str">
        <f>IFERROR(__xludf.DUMMYFUNCTION("""COMPUTED_VALUE"""),"5C:C2:13:05:DB:87")</f>
        <v>5C:C2:13:05:DB:87</v>
      </c>
      <c r="F83" s="552" t="s">
        <v>11188</v>
      </c>
      <c r="G83" s="8"/>
      <c r="H83" s="8"/>
      <c r="I83" s="8"/>
      <c r="J83" s="546" t="str">
        <f t="array" ref="J83">IF(LEN($E83),INDEX('4-All Devices'!AE:AE, MATCH($E83, '4-All Devices'!AF:AF, 0)),"")</f>
        <v>Corphosted</v>
      </c>
      <c r="K83" s="8"/>
      <c r="L83" s="8"/>
      <c r="M83" s="8"/>
    </row>
    <row r="84">
      <c r="A84" s="542"/>
      <c r="B84" s="551" t="str">
        <f t="array" ref="B84">IF(LEN(E84),INDEX('4-All Devices'!AG:AG, MATCH(E84, '4-All Devices'!AF:AF, 0)),"")</f>
        <v>in-blr-ananta-ddc-282</v>
      </c>
      <c r="C84" s="549" t="s">
        <v>11186</v>
      </c>
      <c r="D84" s="549" t="s">
        <v>11187</v>
      </c>
      <c r="E84" s="8" t="str">
        <f>IFERROR(__xludf.DUMMYFUNCTION("""COMPUTED_VALUE"""),"5C:C2:13:05:DC:54")</f>
        <v>5C:C2:13:05:DC:54</v>
      </c>
      <c r="F84" s="552" t="s">
        <v>11188</v>
      </c>
      <c r="G84" s="8"/>
      <c r="H84" s="8"/>
      <c r="I84" s="8"/>
      <c r="J84" s="546" t="str">
        <f t="array" ref="J84">IF(LEN($E84),INDEX('4-All Devices'!AE:AE, MATCH($E84, '4-All Devices'!AF:AF, 0)),"")</f>
        <v>Corphosted</v>
      </c>
      <c r="K84" s="8"/>
      <c r="L84" s="8"/>
      <c r="M84" s="8"/>
    </row>
    <row r="85">
      <c r="A85" s="542"/>
      <c r="B85" s="551" t="str">
        <f t="array" ref="B85">IF(LEN(E85),INDEX('4-All Devices'!AG:AG, MATCH(E85, '4-All Devices'!AF:AF, 0)),"")</f>
        <v>in-blr-ananta-ddc-283</v>
      </c>
      <c r="C85" s="549" t="s">
        <v>11186</v>
      </c>
      <c r="D85" s="549" t="s">
        <v>11187</v>
      </c>
      <c r="E85" s="8" t="str">
        <f>IFERROR(__xludf.DUMMYFUNCTION("""COMPUTED_VALUE"""),"5C:C2:13:05:DA:56")</f>
        <v>5C:C2:13:05:DA:56</v>
      </c>
      <c r="F85" s="552" t="s">
        <v>11188</v>
      </c>
      <c r="G85" s="8"/>
      <c r="H85" s="8"/>
      <c r="I85" s="8"/>
      <c r="J85" s="546" t="str">
        <f t="array" ref="J85">IF(LEN($E85),INDEX('4-All Devices'!AE:AE, MATCH($E85, '4-All Devices'!AF:AF, 0)),"")</f>
        <v>Corphosted</v>
      </c>
      <c r="K85" s="8"/>
      <c r="L85" s="8"/>
      <c r="M85" s="8"/>
    </row>
    <row r="86">
      <c r="A86" s="542"/>
      <c r="B86" s="551" t="str">
        <f t="array" ref="B86">IF(LEN(E86),INDEX('4-All Devices'!AG:AG, MATCH(E86, '4-All Devices'!AF:AF, 0)),"")</f>
        <v>in-blr-ananta-ddc-284</v>
      </c>
      <c r="C86" s="549" t="s">
        <v>11186</v>
      </c>
      <c r="D86" s="549" t="s">
        <v>11187</v>
      </c>
      <c r="E86" s="8" t="str">
        <f>IFERROR(__xludf.DUMMYFUNCTION("""COMPUTED_VALUE"""),"5C:C2:13:05:DA:5D")</f>
        <v>5C:C2:13:05:DA:5D</v>
      </c>
      <c r="F86" s="552" t="s">
        <v>11188</v>
      </c>
      <c r="G86" s="8"/>
      <c r="H86" s="8"/>
      <c r="I86" s="8"/>
      <c r="J86" s="546" t="str">
        <f t="array" ref="J86">IF(LEN($E86),INDEX('4-All Devices'!AE:AE, MATCH($E86, '4-All Devices'!AF:AF, 0)),"")</f>
        <v>Corphosted</v>
      </c>
      <c r="K86" s="8"/>
      <c r="L86" s="8"/>
      <c r="M86" s="8"/>
    </row>
    <row r="87">
      <c r="A87" s="542"/>
      <c r="B87" s="551" t="str">
        <f t="array" ref="B87">IF(LEN(E87),INDEX('4-All Devices'!AG:AG, MATCH(E87, '4-All Devices'!AF:AF, 0)),"")</f>
        <v>in-blr-ananta-ddc-285</v>
      </c>
      <c r="C87" s="549" t="s">
        <v>11186</v>
      </c>
      <c r="D87" s="549" t="s">
        <v>11187</v>
      </c>
      <c r="E87" s="8" t="str">
        <f>IFERROR(__xludf.DUMMYFUNCTION("""COMPUTED_VALUE"""),"5C:C2:13:05:DB:C8")</f>
        <v>5C:C2:13:05:DB:C8</v>
      </c>
      <c r="F87" s="552" t="s">
        <v>11188</v>
      </c>
      <c r="G87" s="8"/>
      <c r="H87" s="8"/>
      <c r="I87" s="8"/>
      <c r="J87" s="546" t="str">
        <f t="array" ref="J87">IF(LEN($E87),INDEX('4-All Devices'!AE:AE, MATCH($E87, '4-All Devices'!AF:AF, 0)),"")</f>
        <v>Corphosted</v>
      </c>
      <c r="K87" s="8"/>
      <c r="L87" s="8"/>
      <c r="M87" s="8"/>
    </row>
    <row r="88">
      <c r="A88" s="542"/>
      <c r="B88" s="551" t="str">
        <f t="array" ref="B88">IF(LEN(E88),INDEX('4-All Devices'!AG:AG, MATCH(E88, '4-All Devices'!AF:AF, 0)),"")</f>
        <v>in-blr-ananta-ddc-286</v>
      </c>
      <c r="C88" s="549" t="s">
        <v>11186</v>
      </c>
      <c r="D88" s="549" t="s">
        <v>11187</v>
      </c>
      <c r="E88" s="8" t="str">
        <f>IFERROR(__xludf.DUMMYFUNCTION("""COMPUTED_VALUE"""),"5C:C2:13:05:DB:89")</f>
        <v>5C:C2:13:05:DB:89</v>
      </c>
      <c r="F88" s="552" t="s">
        <v>11188</v>
      </c>
      <c r="G88" s="8"/>
      <c r="H88" s="8"/>
      <c r="I88" s="8"/>
      <c r="J88" s="546" t="str">
        <f t="array" ref="J88">IF(LEN($E88),INDEX('4-All Devices'!AE:AE, MATCH($E88, '4-All Devices'!AF:AF, 0)),"")</f>
        <v>Corphosted</v>
      </c>
      <c r="K88" s="8"/>
      <c r="L88" s="8"/>
      <c r="M88" s="8"/>
    </row>
    <row r="89">
      <c r="A89" s="542"/>
      <c r="B89" s="551" t="str">
        <f t="array" ref="B89">IF(LEN(E89),INDEX('4-All Devices'!AG:AG, MATCH(E89, '4-All Devices'!AF:AF, 0)),"")</f>
        <v>in-blr-ananta-ddc-287</v>
      </c>
      <c r="C89" s="549" t="s">
        <v>11186</v>
      </c>
      <c r="D89" s="549" t="s">
        <v>11187</v>
      </c>
      <c r="E89" s="8" t="str">
        <f>IFERROR(__xludf.DUMMYFUNCTION("""COMPUTED_VALUE"""),"5C:C2:13:05:DB:E5")</f>
        <v>5C:C2:13:05:DB:E5</v>
      </c>
      <c r="F89" s="552" t="s">
        <v>11188</v>
      </c>
      <c r="G89" s="8"/>
      <c r="H89" s="8"/>
      <c r="I89" s="8"/>
      <c r="J89" s="546" t="str">
        <f t="array" ref="J89">IF(LEN($E89),INDEX('4-All Devices'!AE:AE, MATCH($E89, '4-All Devices'!AF:AF, 0)),"")</f>
        <v>Corphosted</v>
      </c>
      <c r="K89" s="8"/>
      <c r="L89" s="8"/>
      <c r="M89" s="8"/>
    </row>
    <row r="90">
      <c r="A90" s="542"/>
      <c r="B90" s="551" t="str">
        <f t="array" ref="B90">IF(LEN(E90),INDEX('4-All Devices'!AG:AG, MATCH(E90, '4-All Devices'!AF:AF, 0)),"")</f>
        <v>in-blr-ananta-ddc-288</v>
      </c>
      <c r="C90" s="549" t="s">
        <v>11186</v>
      </c>
      <c r="D90" s="549" t="s">
        <v>11187</v>
      </c>
      <c r="E90" s="8" t="str">
        <f>IFERROR(__xludf.DUMMYFUNCTION("""COMPUTED_VALUE"""),"5C:C2:13:05:DA:55")</f>
        <v>5C:C2:13:05:DA:55</v>
      </c>
      <c r="F90" s="552" t="s">
        <v>11188</v>
      </c>
      <c r="G90" s="8"/>
      <c r="H90" s="8"/>
      <c r="I90" s="8"/>
      <c r="J90" s="546" t="str">
        <f t="array" ref="J90">IF(LEN($E90),INDEX('4-All Devices'!AE:AE, MATCH($E90, '4-All Devices'!AF:AF, 0)),"")</f>
        <v>Corphosted</v>
      </c>
      <c r="K90" s="8"/>
      <c r="L90" s="8"/>
      <c r="M90" s="8"/>
    </row>
    <row r="91">
      <c r="A91" s="542"/>
      <c r="B91" s="551" t="str">
        <f t="array" ref="B91">IF(LEN(E91),INDEX('4-All Devices'!AG:AG, MATCH(E91, '4-All Devices'!AF:AF, 0)),"")</f>
        <v>in-blr-ananta-ddc-289</v>
      </c>
      <c r="C91" s="549" t="s">
        <v>11186</v>
      </c>
      <c r="D91" s="549" t="s">
        <v>11187</v>
      </c>
      <c r="E91" s="8" t="str">
        <f>IFERROR(__xludf.DUMMYFUNCTION("""COMPUTED_VALUE"""),"5C:C2:13:05:D6:55")</f>
        <v>5C:C2:13:05:D6:55</v>
      </c>
      <c r="F91" s="552" t="s">
        <v>11188</v>
      </c>
      <c r="G91" s="8"/>
      <c r="H91" s="8"/>
      <c r="I91" s="8"/>
      <c r="J91" s="546" t="str">
        <f t="array" ref="J91">IF(LEN($E91),INDEX('4-All Devices'!AE:AE, MATCH($E91, '4-All Devices'!AF:AF, 0)),"")</f>
        <v>Corphosted</v>
      </c>
      <c r="K91" s="8"/>
      <c r="L91" s="8"/>
      <c r="M91" s="8"/>
    </row>
    <row r="92">
      <c r="A92" s="542"/>
      <c r="B92" s="551" t="str">
        <f t="array" ref="B92">IF(LEN(E92),INDEX('4-All Devices'!AG:AG, MATCH(E92, '4-All Devices'!AF:AF, 0)),"")</f>
        <v>in-blr-ananta-ddc-290</v>
      </c>
      <c r="C92" s="549" t="s">
        <v>11186</v>
      </c>
      <c r="D92" s="549" t="s">
        <v>11187</v>
      </c>
      <c r="E92" s="8" t="str">
        <f>IFERROR(__xludf.DUMMYFUNCTION("""COMPUTED_VALUE"""),"5C:C2:13:05:DA:4C")</f>
        <v>5C:C2:13:05:DA:4C</v>
      </c>
      <c r="F92" s="552" t="s">
        <v>11188</v>
      </c>
      <c r="G92" s="8"/>
      <c r="H92" s="8"/>
      <c r="I92" s="8"/>
      <c r="J92" s="546" t="str">
        <f t="array" ref="J92">IF(LEN($E92),INDEX('4-All Devices'!AE:AE, MATCH($E92, '4-All Devices'!AF:AF, 0)),"")</f>
        <v>Corphosted</v>
      </c>
      <c r="K92" s="8"/>
      <c r="L92" s="8"/>
      <c r="M92" s="8"/>
    </row>
    <row r="93">
      <c r="A93" s="542"/>
      <c r="B93" s="551" t="str">
        <f t="array" ref="B93">IF(LEN(E93),INDEX('4-All Devices'!AG:AG, MATCH(E93, '4-All Devices'!AF:AF, 0)),"")</f>
        <v>in-blr-ananta-ddc-291</v>
      </c>
      <c r="C93" s="549" t="s">
        <v>11186</v>
      </c>
      <c r="D93" s="549" t="s">
        <v>11187</v>
      </c>
      <c r="E93" s="8" t="str">
        <f>IFERROR(__xludf.DUMMYFUNCTION("""COMPUTED_VALUE"""),"5C:C2:13:05:DC:22")</f>
        <v>5C:C2:13:05:DC:22</v>
      </c>
      <c r="F93" s="552" t="s">
        <v>11188</v>
      </c>
      <c r="G93" s="8"/>
      <c r="H93" s="8"/>
      <c r="I93" s="8"/>
      <c r="J93" s="546" t="str">
        <f t="array" ref="J93">IF(LEN($E93),INDEX('4-All Devices'!AE:AE, MATCH($E93, '4-All Devices'!AF:AF, 0)),"")</f>
        <v>Corphosted</v>
      </c>
      <c r="K93" s="8"/>
      <c r="L93" s="8"/>
      <c r="M93" s="8"/>
    </row>
    <row r="94">
      <c r="A94" s="542"/>
      <c r="B94" s="551" t="str">
        <f t="array" ref="B94">IF(LEN(E94),INDEX('4-All Devices'!AG:AG, MATCH(E94, '4-All Devices'!AF:AF, 0)),"")</f>
        <v>in-blr-ananta-ddc-292</v>
      </c>
      <c r="C94" s="549" t="s">
        <v>11186</v>
      </c>
      <c r="D94" s="549" t="s">
        <v>11187</v>
      </c>
      <c r="E94" s="8" t="str">
        <f>IFERROR(__xludf.DUMMYFUNCTION("""COMPUTED_VALUE"""),"5C:C2:13:05:DB:8E")</f>
        <v>5C:C2:13:05:DB:8E</v>
      </c>
      <c r="F94" s="552" t="s">
        <v>11188</v>
      </c>
      <c r="G94" s="8"/>
      <c r="H94" s="8"/>
      <c r="I94" s="8"/>
      <c r="J94" s="546" t="str">
        <f t="array" ref="J94">IF(LEN($E94),INDEX('4-All Devices'!AE:AE, MATCH($E94, '4-All Devices'!AF:AF, 0)),"")</f>
        <v>Corphosted</v>
      </c>
      <c r="K94" s="8"/>
      <c r="L94" s="8"/>
      <c r="M94" s="8"/>
    </row>
    <row r="95">
      <c r="A95" s="542"/>
      <c r="B95" s="551" t="str">
        <f t="array" ref="B95">IF(LEN(E95),INDEX('4-All Devices'!AG:AG, MATCH(E95, '4-All Devices'!AF:AF, 0)),"")</f>
        <v>in-blr-ananta-ddc-293</v>
      </c>
      <c r="C95" s="549" t="s">
        <v>11186</v>
      </c>
      <c r="D95" s="549" t="s">
        <v>11187</v>
      </c>
      <c r="E95" s="8" t="str">
        <f>IFERROR(__xludf.DUMMYFUNCTION("""COMPUTED_VALUE"""),"5C:C2:13:05:DA:3C")</f>
        <v>5C:C2:13:05:DA:3C</v>
      </c>
      <c r="F95" s="552" t="s">
        <v>11188</v>
      </c>
      <c r="G95" s="8"/>
      <c r="H95" s="8"/>
      <c r="I95" s="8"/>
      <c r="J95" s="546" t="str">
        <f t="array" ref="J95">IF(LEN($E95),INDEX('4-All Devices'!AE:AE, MATCH($E95, '4-All Devices'!AF:AF, 0)),"")</f>
        <v>Corphosted</v>
      </c>
      <c r="K95" s="8"/>
      <c r="L95" s="8"/>
      <c r="M95" s="8"/>
    </row>
    <row r="96">
      <c r="A96" s="542"/>
      <c r="B96" s="551" t="str">
        <f t="array" ref="B96">IF(LEN(E96),INDEX('4-All Devices'!AG:AG, MATCH(E96, '4-All Devices'!AF:AF, 0)),"")</f>
        <v>in-blr-ananta-ddc-294</v>
      </c>
      <c r="C96" s="549" t="s">
        <v>11186</v>
      </c>
      <c r="D96" s="549" t="s">
        <v>11187</v>
      </c>
      <c r="E96" s="8" t="str">
        <f>IFERROR(__xludf.DUMMYFUNCTION("""COMPUTED_VALUE"""),"5C:C2:13:05:DB:D4")</f>
        <v>5C:C2:13:05:DB:D4</v>
      </c>
      <c r="F96" s="552" t="s">
        <v>11188</v>
      </c>
      <c r="G96" s="8"/>
      <c r="H96" s="8"/>
      <c r="I96" s="8"/>
      <c r="J96" s="546" t="str">
        <f t="array" ref="J96">IF(LEN($E96),INDEX('4-All Devices'!AE:AE, MATCH($E96, '4-All Devices'!AF:AF, 0)),"")</f>
        <v>Corphosted</v>
      </c>
      <c r="K96" s="8"/>
      <c r="L96" s="8"/>
      <c r="M96" s="8"/>
    </row>
    <row r="97">
      <c r="A97" s="542"/>
      <c r="B97" s="551" t="str">
        <f t="array" ref="B97">IF(LEN(E97),INDEX('4-All Devices'!AG:AG, MATCH(E97, '4-All Devices'!AF:AF, 0)),"")</f>
        <v>in-blr-ananta-ddc-295</v>
      </c>
      <c r="C97" s="549" t="s">
        <v>11186</v>
      </c>
      <c r="D97" s="549" t="s">
        <v>11187</v>
      </c>
      <c r="E97" s="8" t="str">
        <f>IFERROR(__xludf.DUMMYFUNCTION("""COMPUTED_VALUE"""),"5C:C2:13:05:DD:55")</f>
        <v>5C:C2:13:05:DD:55</v>
      </c>
      <c r="F97" s="552" t="s">
        <v>11188</v>
      </c>
      <c r="G97" s="8"/>
      <c r="H97" s="8"/>
      <c r="I97" s="8"/>
      <c r="J97" s="546" t="str">
        <f t="array" ref="J97">IF(LEN($E97),INDEX('4-All Devices'!AE:AE, MATCH($E97, '4-All Devices'!AF:AF, 0)),"")</f>
        <v>Corphosted</v>
      </c>
      <c r="K97" s="8"/>
      <c r="L97" s="8"/>
      <c r="M97" s="8"/>
    </row>
    <row r="98">
      <c r="A98" s="542"/>
      <c r="B98" s="551" t="str">
        <f t="array" ref="B98">IF(LEN(E98),INDEX('4-All Devices'!AG:AG, MATCH(E98, '4-All Devices'!AF:AF, 0)),"")</f>
        <v>in-blr-ananta-ddc-296</v>
      </c>
      <c r="C98" s="549" t="s">
        <v>11186</v>
      </c>
      <c r="D98" s="549" t="s">
        <v>11187</v>
      </c>
      <c r="E98" s="8" t="str">
        <f>IFERROR(__xludf.DUMMYFUNCTION("""COMPUTED_VALUE"""),"5C:C2:13:05:DC:12")</f>
        <v>5C:C2:13:05:DC:12</v>
      </c>
      <c r="F98" s="552" t="s">
        <v>11188</v>
      </c>
      <c r="G98" s="8"/>
      <c r="H98" s="8"/>
      <c r="I98" s="8"/>
      <c r="J98" s="546" t="str">
        <f t="array" ref="J98">IF(LEN($E98),INDEX('4-All Devices'!AE:AE, MATCH($E98, '4-All Devices'!AF:AF, 0)),"")</f>
        <v>Corphosted</v>
      </c>
      <c r="K98" s="8"/>
      <c r="L98" s="8"/>
      <c r="M98" s="8"/>
    </row>
    <row r="99">
      <c r="A99" s="542"/>
      <c r="B99" s="551" t="str">
        <f t="array" ref="B99">IF(LEN(E99),INDEX('4-All Devices'!AG:AG, MATCH(E99, '4-All Devices'!AF:AF, 0)),"")</f>
        <v>in-blr-ananta-ddc-297</v>
      </c>
      <c r="C99" s="549" t="s">
        <v>11186</v>
      </c>
      <c r="D99" s="549" t="s">
        <v>11187</v>
      </c>
      <c r="E99" s="8" t="str">
        <f>IFERROR(__xludf.DUMMYFUNCTION("""COMPUTED_VALUE"""),"5C:C2:13:05:DC:3A")</f>
        <v>5C:C2:13:05:DC:3A</v>
      </c>
      <c r="F99" s="552" t="s">
        <v>11188</v>
      </c>
      <c r="G99" s="8"/>
      <c r="H99" s="8"/>
      <c r="I99" s="8"/>
      <c r="J99" s="546" t="str">
        <f t="array" ref="J99">IF(LEN($E99),INDEX('4-All Devices'!AE:AE, MATCH($E99, '4-All Devices'!AF:AF, 0)),"")</f>
        <v>Corphosted</v>
      </c>
      <c r="K99" s="8"/>
      <c r="L99" s="8"/>
      <c r="M99" s="8"/>
    </row>
    <row r="100">
      <c r="A100" s="542"/>
      <c r="B100" s="551" t="str">
        <f t="array" ref="B100">IF(LEN(E100),INDEX('4-All Devices'!AG:AG, MATCH(E100, '4-All Devices'!AF:AF, 0)),"")</f>
        <v>in-blr-ananta-ddc-298</v>
      </c>
      <c r="C100" s="549" t="s">
        <v>11186</v>
      </c>
      <c r="D100" s="549" t="s">
        <v>11187</v>
      </c>
      <c r="E100" s="8" t="str">
        <f>IFERROR(__xludf.DUMMYFUNCTION("""COMPUTED_VALUE"""),"5C:C2:13:05:DC:55")</f>
        <v>5C:C2:13:05:DC:55</v>
      </c>
      <c r="F100" s="552" t="s">
        <v>11188</v>
      </c>
      <c r="G100" s="8"/>
      <c r="H100" s="8"/>
      <c r="I100" s="8"/>
      <c r="J100" s="546" t="str">
        <f t="array" ref="J100">IF(LEN($E100),INDEX('4-All Devices'!AE:AE, MATCH($E100, '4-All Devices'!AF:AF, 0)),"")</f>
        <v>Corphosted</v>
      </c>
      <c r="K100" s="8"/>
      <c r="L100" s="8"/>
      <c r="M100" s="8"/>
    </row>
    <row r="101">
      <c r="A101" s="542"/>
      <c r="B101" s="551" t="str">
        <f t="array" ref="B101">IF(LEN(E101),INDEX('4-All Devices'!AG:AG, MATCH(E101, '4-All Devices'!AF:AF, 0)),"")</f>
        <v>in-blr-ananta-ddc-299</v>
      </c>
      <c r="C101" s="549" t="s">
        <v>11186</v>
      </c>
      <c r="D101" s="549" t="s">
        <v>11187</v>
      </c>
      <c r="E101" s="8" t="str">
        <f>IFERROR(__xludf.DUMMYFUNCTION("""COMPUTED_VALUE"""),"5C:C2:13:05:DC:4A")</f>
        <v>5C:C2:13:05:DC:4A</v>
      </c>
      <c r="F101" s="552" t="s">
        <v>11188</v>
      </c>
      <c r="G101" s="8"/>
      <c r="H101" s="8"/>
      <c r="I101" s="8"/>
      <c r="J101" s="546" t="str">
        <f t="array" ref="J101">IF(LEN($E101),INDEX('4-All Devices'!AE:AE, MATCH($E101, '4-All Devices'!AF:AF, 0)),"")</f>
        <v>Corphosted</v>
      </c>
      <c r="K101" s="8"/>
      <c r="L101" s="8"/>
      <c r="M101" s="8"/>
    </row>
    <row r="102">
      <c r="A102" s="542"/>
      <c r="B102" s="551" t="str">
        <f t="array" ref="B102">IF(LEN(E102),INDEX('4-All Devices'!AG:AG, MATCH(E102, '4-All Devices'!AF:AF, 0)),"")</f>
        <v>in-blr-ananta-ddc-300</v>
      </c>
      <c r="C102" s="549" t="s">
        <v>11186</v>
      </c>
      <c r="D102" s="549" t="s">
        <v>11187</v>
      </c>
      <c r="E102" s="8" t="str">
        <f>IFERROR(__xludf.DUMMYFUNCTION("""COMPUTED_VALUE"""),"5C:C2:13:05:DD:BE")</f>
        <v>5C:C2:13:05:DD:BE</v>
      </c>
      <c r="F102" s="552" t="s">
        <v>11188</v>
      </c>
      <c r="G102" s="8"/>
      <c r="H102" s="8"/>
      <c r="I102" s="8"/>
      <c r="J102" s="546" t="str">
        <f t="array" ref="J102">IF(LEN($E102),INDEX('4-All Devices'!AE:AE, MATCH($E102, '4-All Devices'!AF:AF, 0)),"")</f>
        <v>Corphosted</v>
      </c>
      <c r="K102" s="8"/>
      <c r="L102" s="8"/>
      <c r="M102" s="8"/>
    </row>
    <row r="103">
      <c r="A103" s="542"/>
      <c r="B103" s="551" t="str">
        <f t="array" ref="B103">IF(LEN(E103),INDEX('4-All Devices'!AG:AG, MATCH(E103, '4-All Devices'!AF:AF, 0)),"")</f>
        <v>in-blr-ananta-ddc-301</v>
      </c>
      <c r="C103" s="549" t="s">
        <v>11186</v>
      </c>
      <c r="D103" s="549" t="s">
        <v>11187</v>
      </c>
      <c r="E103" s="8" t="str">
        <f>IFERROR(__xludf.DUMMYFUNCTION("""COMPUTED_VALUE"""),"5C:C2:13:05:DC:1F")</f>
        <v>5C:C2:13:05:DC:1F</v>
      </c>
      <c r="F103" s="552" t="s">
        <v>11188</v>
      </c>
      <c r="G103" s="8"/>
      <c r="H103" s="8"/>
      <c r="I103" s="8"/>
      <c r="J103" s="546" t="str">
        <f t="array" ref="J103">IF(LEN($E103),INDEX('4-All Devices'!AE:AE, MATCH($E103, '4-All Devices'!AF:AF, 0)),"")</f>
        <v>Corphosted</v>
      </c>
      <c r="K103" s="8"/>
      <c r="L103" s="8"/>
      <c r="M103" s="8"/>
    </row>
    <row r="104">
      <c r="A104" s="542"/>
      <c r="B104" s="551" t="str">
        <f t="array" ref="B104">IF(LEN(E104),INDEX('4-All Devices'!AG:AG, MATCH(E104, '4-All Devices'!AF:AF, 0)),"")</f>
        <v>in-blr-ananta-ddc-302</v>
      </c>
      <c r="C104" s="549" t="s">
        <v>11186</v>
      </c>
      <c r="D104" s="549" t="s">
        <v>11187</v>
      </c>
      <c r="E104" s="8" t="str">
        <f>IFERROR(__xludf.DUMMYFUNCTION("""COMPUTED_VALUE"""),"5C:C2:13:05:DC:FA")</f>
        <v>5C:C2:13:05:DC:FA</v>
      </c>
      <c r="F104" s="552" t="s">
        <v>11188</v>
      </c>
      <c r="G104" s="8"/>
      <c r="H104" s="8"/>
      <c r="I104" s="8"/>
      <c r="J104" s="546" t="str">
        <f t="array" ref="J104">IF(LEN($E104),INDEX('4-All Devices'!AE:AE, MATCH($E104, '4-All Devices'!AF:AF, 0)),"")</f>
        <v>Corphosted</v>
      </c>
      <c r="K104" s="8"/>
      <c r="L104" s="8"/>
      <c r="M104" s="8"/>
    </row>
    <row r="105">
      <c r="A105" s="542"/>
      <c r="B105" s="551" t="str">
        <f t="array" ref="B105">IF(LEN(E105),INDEX('4-All Devices'!AG:AG, MATCH(E105, '4-All Devices'!AF:AF, 0)),"")</f>
        <v>in-blr-ananta-ddc-303</v>
      </c>
      <c r="C105" s="549" t="s">
        <v>11186</v>
      </c>
      <c r="D105" s="549" t="s">
        <v>11187</v>
      </c>
      <c r="E105" s="8" t="str">
        <f>IFERROR(__xludf.DUMMYFUNCTION("""COMPUTED_VALUE"""),"5C:C2:13:05:DB:DC")</f>
        <v>5C:C2:13:05:DB:DC</v>
      </c>
      <c r="F105" s="552" t="s">
        <v>11188</v>
      </c>
      <c r="G105" s="8"/>
      <c r="H105" s="8"/>
      <c r="I105" s="8"/>
      <c r="J105" s="546" t="str">
        <f t="array" ref="J105">IF(LEN($E105),INDEX('4-All Devices'!AE:AE, MATCH($E105, '4-All Devices'!AF:AF, 0)),"")</f>
        <v>Corphosted</v>
      </c>
      <c r="K105" s="8"/>
      <c r="L105" s="8"/>
      <c r="M105" s="8"/>
    </row>
    <row r="106">
      <c r="A106" s="542"/>
      <c r="B106" s="551" t="str">
        <f t="array" ref="B106">IF(LEN(E106),INDEX('4-All Devices'!AG:AG, MATCH(E106, '4-All Devices'!AF:AF, 0)),"")</f>
        <v>in-blr-ananta-ddc-304</v>
      </c>
      <c r="C106" s="549" t="s">
        <v>11186</v>
      </c>
      <c r="D106" s="549" t="s">
        <v>11187</v>
      </c>
      <c r="E106" s="8" t="str">
        <f>IFERROR(__xludf.DUMMYFUNCTION("""COMPUTED_VALUE"""),"5C:C2:13:05:DD:56")</f>
        <v>5C:C2:13:05:DD:56</v>
      </c>
      <c r="F106" s="552" t="s">
        <v>11188</v>
      </c>
      <c r="G106" s="8"/>
      <c r="H106" s="8"/>
      <c r="I106" s="8"/>
      <c r="J106" s="546" t="str">
        <f t="array" ref="J106">IF(LEN($E106),INDEX('4-All Devices'!AE:AE, MATCH($E106, '4-All Devices'!AF:AF, 0)),"")</f>
        <v>Corphosted</v>
      </c>
      <c r="K106" s="8"/>
      <c r="L106" s="8"/>
      <c r="M106" s="8"/>
    </row>
    <row r="107">
      <c r="A107" s="542"/>
      <c r="B107" s="551" t="str">
        <f t="array" ref="B107">IF(LEN(E107),INDEX('4-All Devices'!AG:AG, MATCH(E107, '4-All Devices'!AF:AF, 0)),"")</f>
        <v>in-blr-ananta-ddc-305</v>
      </c>
      <c r="C107" s="549" t="s">
        <v>11186</v>
      </c>
      <c r="D107" s="549" t="s">
        <v>11187</v>
      </c>
      <c r="E107" s="8" t="str">
        <f>IFERROR(__xludf.DUMMYFUNCTION("""COMPUTED_VALUE"""),"5C:C2:13:05:DA:59")</f>
        <v>5C:C2:13:05:DA:59</v>
      </c>
      <c r="F107" s="552" t="s">
        <v>11188</v>
      </c>
      <c r="G107" s="8"/>
      <c r="H107" s="8"/>
      <c r="I107" s="8"/>
      <c r="J107" s="546" t="str">
        <f t="array" ref="J107">IF(LEN($E107),INDEX('4-All Devices'!AE:AE, MATCH($E107, '4-All Devices'!AF:AF, 0)),"")</f>
        <v>Corphosted</v>
      </c>
      <c r="K107" s="8"/>
      <c r="L107" s="8"/>
      <c r="M107" s="8"/>
    </row>
    <row r="108">
      <c r="A108" s="542"/>
      <c r="B108" s="551" t="str">
        <f t="array" ref="B108">IF(LEN(E108),INDEX('4-All Devices'!AG:AG, MATCH(E108, '4-All Devices'!AF:AF, 0)),"")</f>
        <v>in-blr-ananta-ddc-306</v>
      </c>
      <c r="C108" s="549" t="s">
        <v>11186</v>
      </c>
      <c r="D108" s="549" t="s">
        <v>11187</v>
      </c>
      <c r="E108" s="8" t="str">
        <f>IFERROR(__xludf.DUMMYFUNCTION("""COMPUTED_VALUE"""),"5C:C2:13:05:DB:88")</f>
        <v>5C:C2:13:05:DB:88</v>
      </c>
      <c r="F108" s="552" t="s">
        <v>11188</v>
      </c>
      <c r="G108" s="8"/>
      <c r="H108" s="8"/>
      <c r="I108" s="8"/>
      <c r="J108" s="546" t="str">
        <f t="array" ref="J108">IF(LEN($E108),INDEX('4-All Devices'!AE:AE, MATCH($E108, '4-All Devices'!AF:AF, 0)),"")</f>
        <v>Corphosted</v>
      </c>
      <c r="K108" s="8"/>
      <c r="L108" s="8"/>
      <c r="M108" s="8"/>
    </row>
    <row r="109">
      <c r="A109" s="542"/>
      <c r="B109" s="551" t="str">
        <f t="array" ref="B109">IF(LEN(E109),INDEX('4-All Devices'!AG:AG, MATCH(E109, '4-All Devices'!AF:AF, 0)),"")</f>
        <v>in-blr-ananta-ddc-307</v>
      </c>
      <c r="C109" s="549" t="s">
        <v>11186</v>
      </c>
      <c r="D109" s="549" t="s">
        <v>11187</v>
      </c>
      <c r="E109" s="8" t="str">
        <f>IFERROR(__xludf.DUMMYFUNCTION("""COMPUTED_VALUE"""),"5C:C2:13:05:DB:E1")</f>
        <v>5C:C2:13:05:DB:E1</v>
      </c>
      <c r="F109" s="552" t="s">
        <v>11188</v>
      </c>
      <c r="G109" s="8"/>
      <c r="H109" s="8"/>
      <c r="I109" s="8"/>
      <c r="J109" s="546" t="str">
        <f t="array" ref="J109">IF(LEN($E109),INDEX('4-All Devices'!AE:AE, MATCH($E109, '4-All Devices'!AF:AF, 0)),"")</f>
        <v>Corphosted</v>
      </c>
      <c r="K109" s="8"/>
      <c r="L109" s="8"/>
      <c r="M109" s="8"/>
    </row>
    <row r="110">
      <c r="A110" s="542"/>
      <c r="B110" s="551" t="str">
        <f t="array" ref="B110">IF(LEN(E110),INDEX('4-All Devices'!AG:AG, MATCH(E110, '4-All Devices'!AF:AF, 0)),"")</f>
        <v>in-blr-ananta-ddc-308</v>
      </c>
      <c r="C110" s="549" t="s">
        <v>11186</v>
      </c>
      <c r="D110" s="549" t="s">
        <v>11187</v>
      </c>
      <c r="E110" s="8" t="str">
        <f>IFERROR(__xludf.DUMMYFUNCTION("""COMPUTED_VALUE"""),"5C:C2:13:05:DC:10")</f>
        <v>5C:C2:13:05:DC:10</v>
      </c>
      <c r="F110" s="552" t="s">
        <v>11188</v>
      </c>
      <c r="G110" s="8"/>
      <c r="H110" s="8"/>
      <c r="I110" s="8"/>
      <c r="J110" s="546" t="str">
        <f t="array" ref="J110">IF(LEN($E110),INDEX('4-All Devices'!AE:AE, MATCH($E110, '4-All Devices'!AF:AF, 0)),"")</f>
        <v>Corphosted</v>
      </c>
      <c r="K110" s="8"/>
      <c r="L110" s="8"/>
      <c r="M110" s="8"/>
    </row>
    <row r="111">
      <c r="A111" s="542"/>
      <c r="B111" s="551" t="str">
        <f t="array" ref="B111">IF(LEN(E111),INDEX('4-All Devices'!AG:AG, MATCH(E111, '4-All Devices'!AF:AF, 0)),"")</f>
        <v>in-blr-ananta-ddc-309</v>
      </c>
      <c r="C111" s="549" t="s">
        <v>11186</v>
      </c>
      <c r="D111" s="549" t="s">
        <v>11187</v>
      </c>
      <c r="E111" s="8" t="str">
        <f>IFERROR(__xludf.DUMMYFUNCTION("""COMPUTED_VALUE"""),"5C:C2:13:05:DD:45")</f>
        <v>5C:C2:13:05:DD:45</v>
      </c>
      <c r="F111" s="552" t="s">
        <v>11188</v>
      </c>
      <c r="G111" s="8"/>
      <c r="H111" s="8"/>
      <c r="I111" s="8"/>
      <c r="J111" s="546" t="str">
        <f t="array" ref="J111">IF(LEN($E111),INDEX('4-All Devices'!AE:AE, MATCH($E111, '4-All Devices'!AF:AF, 0)),"")</f>
        <v>Corphosted</v>
      </c>
      <c r="K111" s="8"/>
      <c r="L111" s="8"/>
      <c r="M111" s="8"/>
    </row>
    <row r="112">
      <c r="A112" s="542"/>
      <c r="B112" s="551" t="str">
        <f t="array" ref="B112">IF(LEN(E112),INDEX('4-All Devices'!AG:AG, MATCH(E112, '4-All Devices'!AF:AF, 0)),"")</f>
        <v>in-blr-ananta-ddc-310</v>
      </c>
      <c r="C112" s="549" t="s">
        <v>11186</v>
      </c>
      <c r="D112" s="549" t="s">
        <v>11187</v>
      </c>
      <c r="E112" s="8" t="str">
        <f>IFERROR(__xludf.DUMMYFUNCTION("""COMPUTED_VALUE"""),"5C:C2:13:05:DD:97")</f>
        <v>5C:C2:13:05:DD:97</v>
      </c>
      <c r="F112" s="552" t="s">
        <v>11188</v>
      </c>
      <c r="G112" s="8"/>
      <c r="H112" s="8"/>
      <c r="I112" s="8"/>
      <c r="J112" s="546" t="str">
        <f t="array" ref="J112">IF(LEN($E112),INDEX('4-All Devices'!AE:AE, MATCH($E112, '4-All Devices'!AF:AF, 0)),"")</f>
        <v>Corphosted</v>
      </c>
      <c r="K112" s="8"/>
      <c r="L112" s="8"/>
      <c r="M112" s="8"/>
    </row>
    <row r="113">
      <c r="A113" s="542"/>
      <c r="B113" s="551" t="str">
        <f t="array" ref="B113">IF(LEN(E113),INDEX('4-All Devices'!AG:AG, MATCH(E113, '4-All Devices'!AF:AF, 0)),"")</f>
        <v>in-blr-ananta-ddc-311</v>
      </c>
      <c r="C113" s="549" t="s">
        <v>11186</v>
      </c>
      <c r="D113" s="549" t="s">
        <v>11187</v>
      </c>
      <c r="E113" s="8" t="str">
        <f>IFERROR(__xludf.DUMMYFUNCTION("""COMPUTED_VALUE"""),"5C:C2:13:05:DC:16")</f>
        <v>5C:C2:13:05:DC:16</v>
      </c>
      <c r="F113" s="552" t="s">
        <v>11188</v>
      </c>
      <c r="G113" s="8"/>
      <c r="H113" s="8"/>
      <c r="I113" s="8"/>
      <c r="J113" s="546" t="str">
        <f t="array" ref="J113">IF(LEN($E113),INDEX('4-All Devices'!AE:AE, MATCH($E113, '4-All Devices'!AF:AF, 0)),"")</f>
        <v>Corphosted</v>
      </c>
      <c r="K113" s="8"/>
      <c r="L113" s="8"/>
      <c r="M113" s="8"/>
    </row>
    <row r="114">
      <c r="A114" s="542"/>
      <c r="B114" s="551" t="str">
        <f t="array" ref="B114">IF(LEN(E114),INDEX('4-All Devices'!AG:AG, MATCH(E114, '4-All Devices'!AF:AF, 0)),"")</f>
        <v>in-blr-ananta-ddc-312</v>
      </c>
      <c r="C114" s="549" t="s">
        <v>11186</v>
      </c>
      <c r="D114" s="549" t="s">
        <v>11187</v>
      </c>
      <c r="E114" s="8" t="str">
        <f>IFERROR(__xludf.DUMMYFUNCTION("""COMPUTED_VALUE"""),"5C:C2:13:05:DA:57")</f>
        <v>5C:C2:13:05:DA:57</v>
      </c>
      <c r="F114" s="552" t="s">
        <v>11188</v>
      </c>
      <c r="G114" s="8"/>
      <c r="H114" s="8"/>
      <c r="I114" s="8"/>
      <c r="J114" s="546" t="str">
        <f t="array" ref="J114">IF(LEN($E114),INDEX('4-All Devices'!AE:AE, MATCH($E114, '4-All Devices'!AF:AF, 0)),"")</f>
        <v>Corphosted</v>
      </c>
      <c r="K114" s="8"/>
      <c r="L114" s="8"/>
      <c r="M114" s="8"/>
    </row>
    <row r="115">
      <c r="A115" s="542"/>
      <c r="B115" s="551" t="str">
        <f t="array" ref="B115">IF(LEN(E115),INDEX('4-All Devices'!AG:AG, MATCH(E115, '4-All Devices'!AF:AF, 0)),"")</f>
        <v>in-blr-ananta-ddc-313</v>
      </c>
      <c r="C115" s="549" t="s">
        <v>11186</v>
      </c>
      <c r="D115" s="549" t="s">
        <v>11187</v>
      </c>
      <c r="E115" s="8" t="str">
        <f>IFERROR(__xludf.DUMMYFUNCTION("""COMPUTED_VALUE"""),"5C:C2:13:05:DC:13")</f>
        <v>5C:C2:13:05:DC:13</v>
      </c>
      <c r="F115" s="552" t="s">
        <v>11188</v>
      </c>
      <c r="G115" s="8"/>
      <c r="H115" s="8"/>
      <c r="I115" s="8"/>
      <c r="J115" s="546" t="str">
        <f t="array" ref="J115">IF(LEN($E115),INDEX('4-All Devices'!AE:AE, MATCH($E115, '4-All Devices'!AF:AF, 0)),"")</f>
        <v>Corphosted</v>
      </c>
      <c r="K115" s="8"/>
      <c r="L115" s="8"/>
      <c r="M115" s="8"/>
    </row>
    <row r="116">
      <c r="A116" s="542"/>
      <c r="B116" s="551" t="str">
        <f t="array" ref="B116">IF(LEN(E116),INDEX('4-All Devices'!AG:AG, MATCH(E116, '4-All Devices'!AF:AF, 0)),"")</f>
        <v>in-blr-ananta-ddc-314</v>
      </c>
      <c r="C116" s="549" t="s">
        <v>11186</v>
      </c>
      <c r="D116" s="549" t="s">
        <v>11187</v>
      </c>
      <c r="E116" s="8" t="str">
        <f>IFERROR(__xludf.DUMMYFUNCTION("""COMPUTED_VALUE"""),"5C:C2:13:05:DB:E6")</f>
        <v>5C:C2:13:05:DB:E6</v>
      </c>
      <c r="F116" s="552" t="s">
        <v>11188</v>
      </c>
      <c r="G116" s="8"/>
      <c r="H116" s="8"/>
      <c r="I116" s="8"/>
      <c r="J116" s="546" t="str">
        <f t="array" ref="J116">IF(LEN($E116),INDEX('4-All Devices'!AE:AE, MATCH($E116, '4-All Devices'!AF:AF, 0)),"")</f>
        <v>Corphosted</v>
      </c>
      <c r="K116" s="8"/>
      <c r="L116" s="8"/>
      <c r="M116" s="8"/>
    </row>
    <row r="117">
      <c r="A117" s="542"/>
      <c r="B117" s="551" t="str">
        <f t="array" ref="B117">IF(LEN(E117),INDEX('4-All Devices'!AG:AG, MATCH(E117, '4-All Devices'!AF:AF, 0)),"")</f>
        <v>in-blr-ananta-ddc-315</v>
      </c>
      <c r="C117" s="549" t="s">
        <v>11186</v>
      </c>
      <c r="D117" s="549" t="s">
        <v>11187</v>
      </c>
      <c r="E117" s="8" t="str">
        <f>IFERROR(__xludf.DUMMYFUNCTION("""COMPUTED_VALUE"""),"5C:C2:13:05:DB:81")</f>
        <v>5C:C2:13:05:DB:81</v>
      </c>
      <c r="F117" s="552" t="s">
        <v>11188</v>
      </c>
      <c r="G117" s="8"/>
      <c r="H117" s="8"/>
      <c r="I117" s="8"/>
      <c r="J117" s="546" t="str">
        <f t="array" ref="J117">IF(LEN($E117),INDEX('4-All Devices'!AE:AE, MATCH($E117, '4-All Devices'!AF:AF, 0)),"")</f>
        <v>Corphosted</v>
      </c>
      <c r="K117" s="8"/>
      <c r="L117" s="8"/>
      <c r="M117" s="8"/>
    </row>
    <row r="118">
      <c r="A118" s="542"/>
      <c r="B118" s="551" t="str">
        <f t="array" ref="B118">IF(LEN(E118),INDEX('4-All Devices'!AG:AG, MATCH(E118, '4-All Devices'!AF:AF, 0)),"")</f>
        <v>in-blr-ananta-ddc-316</v>
      </c>
      <c r="C118" s="549" t="s">
        <v>11186</v>
      </c>
      <c r="D118" s="549" t="s">
        <v>11187</v>
      </c>
      <c r="E118" s="8" t="str">
        <f>IFERROR(__xludf.DUMMYFUNCTION("""COMPUTED_VALUE"""),"5C:C2:13:05:DB:C7")</f>
        <v>5C:C2:13:05:DB:C7</v>
      </c>
      <c r="F118" s="552" t="s">
        <v>11188</v>
      </c>
      <c r="G118" s="8"/>
      <c r="H118" s="8"/>
      <c r="I118" s="8"/>
      <c r="J118" s="546" t="str">
        <f t="array" ref="J118">IF(LEN($E118),INDEX('4-All Devices'!AE:AE, MATCH($E118, '4-All Devices'!AF:AF, 0)),"")</f>
        <v>Corphosted</v>
      </c>
      <c r="K118" s="8"/>
      <c r="L118" s="8"/>
      <c r="M118" s="8"/>
    </row>
    <row r="119">
      <c r="A119" s="542"/>
      <c r="B119" s="551" t="str">
        <f t="array" ref="B119">IF(LEN(E119),INDEX('4-All Devices'!AG:AG, MATCH(E119, '4-All Devices'!AF:AF, 0)),"")</f>
        <v>in-blr-ananta-ddc-317</v>
      </c>
      <c r="C119" s="549" t="s">
        <v>11186</v>
      </c>
      <c r="D119" s="549" t="s">
        <v>11187</v>
      </c>
      <c r="E119" s="8" t="str">
        <f>IFERROR(__xludf.DUMMYFUNCTION("""COMPUTED_VALUE"""),"5C:C2:13:05:DB:F6")</f>
        <v>5C:C2:13:05:DB:F6</v>
      </c>
      <c r="F119" s="552" t="s">
        <v>11188</v>
      </c>
      <c r="G119" s="8"/>
      <c r="H119" s="8"/>
      <c r="I119" s="8"/>
      <c r="J119" s="546" t="str">
        <f t="array" ref="J119">IF(LEN($E119),INDEX('4-All Devices'!AE:AE, MATCH($E119, '4-All Devices'!AF:AF, 0)),"")</f>
        <v>Corphosted</v>
      </c>
      <c r="K119" s="8"/>
      <c r="L119" s="8"/>
      <c r="M119" s="8"/>
    </row>
    <row r="120">
      <c r="A120" s="542"/>
      <c r="B120" s="551" t="str">
        <f t="array" ref="B120">IF(LEN(E120),INDEX('4-All Devices'!AG:AG, MATCH(E120, '4-All Devices'!AF:AF, 0)),"")</f>
        <v>in-blr-ananta-ddc-318</v>
      </c>
      <c r="C120" s="549" t="s">
        <v>11186</v>
      </c>
      <c r="D120" s="549" t="s">
        <v>11187</v>
      </c>
      <c r="E120" s="8" t="str">
        <f>IFERROR(__xludf.DUMMYFUNCTION("""COMPUTED_VALUE"""),"5C:C2:13:05:DD:BD")</f>
        <v>5C:C2:13:05:DD:BD</v>
      </c>
      <c r="F120" s="552" t="s">
        <v>11188</v>
      </c>
      <c r="G120" s="8"/>
      <c r="H120" s="8"/>
      <c r="I120" s="8"/>
      <c r="J120" s="546" t="str">
        <f t="array" ref="J120">IF(LEN($E120),INDEX('4-All Devices'!AE:AE, MATCH($E120, '4-All Devices'!AF:AF, 0)),"")</f>
        <v>Corphosted</v>
      </c>
      <c r="K120" s="8"/>
      <c r="L120" s="8"/>
      <c r="M120" s="8"/>
    </row>
    <row r="121">
      <c r="A121" s="542"/>
      <c r="B121" s="551" t="str">
        <f t="array" ref="B121">IF(LEN(E121),INDEX('4-All Devices'!AG:AG, MATCH(E121, '4-All Devices'!AF:AF, 0)),"")</f>
        <v>in-blr-ananta-ddc-319</v>
      </c>
      <c r="C121" s="549" t="s">
        <v>11186</v>
      </c>
      <c r="D121" s="549" t="s">
        <v>11187</v>
      </c>
      <c r="E121" s="8" t="str">
        <f>IFERROR(__xludf.DUMMYFUNCTION("""COMPUTED_VALUE"""),"5C:C2:13:05:DC:18")</f>
        <v>5C:C2:13:05:DC:18</v>
      </c>
      <c r="F121" s="552" t="s">
        <v>11188</v>
      </c>
      <c r="G121" s="8"/>
      <c r="H121" s="8"/>
      <c r="I121" s="8"/>
      <c r="J121" s="546" t="str">
        <f t="array" ref="J121">IF(LEN($E121),INDEX('4-All Devices'!AE:AE, MATCH($E121, '4-All Devices'!AF:AF, 0)),"")</f>
        <v>Corphosted</v>
      </c>
      <c r="K121" s="8"/>
      <c r="L121" s="8"/>
      <c r="M121" s="8"/>
    </row>
    <row r="122">
      <c r="A122" s="542"/>
      <c r="B122" s="551" t="str">
        <f t="array" ref="B122">IF(LEN(E122),INDEX('4-All Devices'!AG:AG, MATCH(E122, '4-All Devices'!AF:AF, 0)),"")</f>
        <v>in-blr-ananta-ddc-320</v>
      </c>
      <c r="C122" s="549" t="s">
        <v>11186</v>
      </c>
      <c r="D122" s="549" t="s">
        <v>11187</v>
      </c>
      <c r="E122" s="8" t="str">
        <f>IFERROR(__xludf.DUMMYFUNCTION("""COMPUTED_VALUE"""),"5C:C2:13:06:DD:B9")</f>
        <v>5C:C2:13:06:DD:B9</v>
      </c>
      <c r="F122" s="552" t="s">
        <v>11188</v>
      </c>
      <c r="G122" s="8"/>
      <c r="H122" s="8"/>
      <c r="I122" s="8"/>
      <c r="J122" s="546" t="str">
        <f t="array" ref="J122">IF(LEN($E122),INDEX('4-All Devices'!AE:AE, MATCH($E122, '4-All Devices'!AF:AF, 0)),"")</f>
        <v>Corphosted</v>
      </c>
      <c r="K122" s="8"/>
      <c r="L122" s="8"/>
      <c r="M122" s="8"/>
    </row>
    <row r="123">
      <c r="A123" s="542"/>
      <c r="B123" s="551" t="str">
        <f t="array" ref="B123">IF(LEN(E123),INDEX('4-All Devices'!AG:AG, MATCH(E123, '4-All Devices'!AF:AF, 0)),"")</f>
        <v>in-blr-ananta-ddc-321</v>
      </c>
      <c r="C123" s="549" t="s">
        <v>11186</v>
      </c>
      <c r="D123" s="549" t="s">
        <v>11187</v>
      </c>
      <c r="E123" s="8" t="str">
        <f>IFERROR(__xludf.DUMMYFUNCTION("""COMPUTED_VALUE"""),"5C:C2:13:05:DB:94")</f>
        <v>5C:C2:13:05:DB:94</v>
      </c>
      <c r="F123" s="552" t="s">
        <v>11188</v>
      </c>
      <c r="G123" s="8"/>
      <c r="H123" s="8"/>
      <c r="I123" s="8"/>
      <c r="J123" s="546" t="str">
        <f t="array" ref="J123">IF(LEN($E123),INDEX('4-All Devices'!AE:AE, MATCH($E123, '4-All Devices'!AF:AF, 0)),"")</f>
        <v>Corphosted</v>
      </c>
      <c r="K123" s="8"/>
      <c r="L123" s="8"/>
      <c r="M123" s="8"/>
    </row>
    <row r="124">
      <c r="A124" s="542"/>
      <c r="B124" s="551" t="str">
        <f t="array" ref="B124">IF(LEN(E124),INDEX('4-All Devices'!AG:AG, MATCH(E124, '4-All Devices'!AF:AF, 0)),"")</f>
        <v>in-blr-ananta-ddc-322</v>
      </c>
      <c r="C124" s="549" t="s">
        <v>11186</v>
      </c>
      <c r="D124" s="549" t="s">
        <v>11187</v>
      </c>
      <c r="E124" s="8" t="str">
        <f>IFERROR(__xludf.DUMMYFUNCTION("""COMPUTED_VALUE"""),"5C:C2:13:05:DA:60")</f>
        <v>5C:C2:13:05:DA:60</v>
      </c>
      <c r="F124" s="552" t="s">
        <v>11188</v>
      </c>
      <c r="G124" s="8"/>
      <c r="H124" s="8"/>
      <c r="I124" s="8"/>
      <c r="J124" s="546" t="str">
        <f t="array" ref="J124">IF(LEN($E124),INDEX('4-All Devices'!AE:AE, MATCH($E124, '4-All Devices'!AF:AF, 0)),"")</f>
        <v>Corphosted</v>
      </c>
      <c r="K124" s="8"/>
      <c r="L124" s="8"/>
      <c r="M124" s="8"/>
    </row>
    <row r="125">
      <c r="A125" s="542"/>
      <c r="B125" s="551" t="str">
        <f t="array" ref="B125">IF(LEN(E125),INDEX('4-All Devices'!AG:AG, MATCH(E125, '4-All Devices'!AF:AF, 0)),"")</f>
        <v>in-blr-ananta-ddc-323</v>
      </c>
      <c r="C125" s="549" t="s">
        <v>11186</v>
      </c>
      <c r="D125" s="549" t="s">
        <v>11187</v>
      </c>
      <c r="E125" s="8" t="str">
        <f>IFERROR(__xludf.DUMMYFUNCTION("""COMPUTED_VALUE"""),"5C:C2:13:05:DA:4B")</f>
        <v>5C:C2:13:05:DA:4B</v>
      </c>
      <c r="F125" s="552" t="s">
        <v>11188</v>
      </c>
      <c r="G125" s="8"/>
      <c r="H125" s="8"/>
      <c r="I125" s="8"/>
      <c r="J125" s="546" t="str">
        <f t="array" ref="J125">IF(LEN($E125),INDEX('4-All Devices'!AE:AE, MATCH($E125, '4-All Devices'!AF:AF, 0)),"")</f>
        <v>Corphosted</v>
      </c>
      <c r="K125" s="8"/>
      <c r="L125" s="8"/>
      <c r="M125" s="8"/>
    </row>
    <row r="126">
      <c r="A126" s="542"/>
      <c r="B126" s="551" t="str">
        <f t="array" ref="B126">IF(LEN(E126),INDEX('4-All Devices'!AG:AG, MATCH(E126, '4-All Devices'!AF:AF, 0)),"")</f>
        <v>in-blr-ananta-ddc-324</v>
      </c>
      <c r="C126" s="549" t="s">
        <v>11186</v>
      </c>
      <c r="D126" s="549" t="s">
        <v>11187</v>
      </c>
      <c r="E126" s="8" t="str">
        <f>IFERROR(__xludf.DUMMYFUNCTION("""COMPUTED_VALUE"""),"5C:C2:13:06:87:77")</f>
        <v>5C:C2:13:06:87:77</v>
      </c>
      <c r="F126" s="552" t="s">
        <v>11188</v>
      </c>
      <c r="G126" s="8"/>
      <c r="H126" s="8"/>
      <c r="I126" s="8"/>
      <c r="J126" s="546" t="str">
        <f t="array" ref="J126">IF(LEN($E126),INDEX('4-All Devices'!AE:AE, MATCH($E126, '4-All Devices'!AF:AF, 0)),"")</f>
        <v>Corphosted</v>
      </c>
      <c r="K126" s="8"/>
      <c r="L126" s="8"/>
      <c r="M126" s="8"/>
    </row>
    <row r="127">
      <c r="A127" s="542"/>
      <c r="B127" s="551" t="str">
        <f t="array" ref="B127">IF(LEN(E127),INDEX('4-All Devices'!AG:AG, MATCH(E127, '4-All Devices'!AF:AF, 0)),"")</f>
        <v>in-blr-ananta-ddc-325</v>
      </c>
      <c r="C127" s="549" t="s">
        <v>11186</v>
      </c>
      <c r="D127" s="549" t="s">
        <v>11187</v>
      </c>
      <c r="E127" s="8" t="str">
        <f>IFERROR(__xludf.DUMMYFUNCTION("""COMPUTED_VALUE"""),"5C:C2:13:06:8D:AA")</f>
        <v>5C:C2:13:06:8D:AA</v>
      </c>
      <c r="F127" s="552" t="s">
        <v>11188</v>
      </c>
      <c r="G127" s="8"/>
      <c r="H127" s="8"/>
      <c r="I127" s="8"/>
      <c r="J127" s="546" t="str">
        <f t="array" ref="J127">IF(LEN($E127),INDEX('4-All Devices'!AE:AE, MATCH($E127, '4-All Devices'!AF:AF, 0)),"")</f>
        <v>Corphosted</v>
      </c>
      <c r="K127" s="8"/>
      <c r="L127" s="8"/>
      <c r="M127" s="8"/>
    </row>
    <row r="128">
      <c r="A128" s="542"/>
      <c r="B128" s="551" t="str">
        <f t="array" ref="B128">IF(LEN(E128),INDEX('4-All Devices'!AG:AG, MATCH(E128, '4-All Devices'!AF:AF, 0)),"")</f>
        <v>in-blr-ananta-ddc-326</v>
      </c>
      <c r="C128" s="549" t="s">
        <v>11186</v>
      </c>
      <c r="D128" s="549" t="s">
        <v>11187</v>
      </c>
      <c r="E128" s="8" t="str">
        <f>IFERROR(__xludf.DUMMYFUNCTION("""COMPUTED_VALUE"""),"5C:C2:13:05:DC:09")</f>
        <v>5C:C2:13:05:DC:09</v>
      </c>
      <c r="F128" s="552" t="s">
        <v>11188</v>
      </c>
      <c r="G128" s="8"/>
      <c r="H128" s="8"/>
      <c r="I128" s="8"/>
      <c r="J128" s="546" t="str">
        <f t="array" ref="J128">IF(LEN($E128),INDEX('4-All Devices'!AE:AE, MATCH($E128, '4-All Devices'!AF:AF, 0)),"")</f>
        <v>Corphosted</v>
      </c>
      <c r="K128" s="8"/>
      <c r="L128" s="8"/>
      <c r="M128" s="8"/>
    </row>
    <row r="129">
      <c r="A129" s="542"/>
      <c r="B129" s="551" t="str">
        <f t="array" ref="B129">IF(LEN(E129),INDEX('4-All Devices'!AG:AG, MATCH(E129, '4-All Devices'!AF:AF, 0)),"")</f>
        <v>in-blr-ananta-ddc-327</v>
      </c>
      <c r="C129" s="549" t="s">
        <v>11186</v>
      </c>
      <c r="D129" s="549" t="s">
        <v>11187</v>
      </c>
      <c r="E129" s="8" t="str">
        <f>IFERROR(__xludf.DUMMYFUNCTION("""COMPUTED_VALUE"""),"5C:C2:13:06:8D:9F")</f>
        <v>5C:C2:13:06:8D:9F</v>
      </c>
      <c r="F129" s="552" t="s">
        <v>11188</v>
      </c>
      <c r="G129" s="8"/>
      <c r="H129" s="8"/>
      <c r="I129" s="8"/>
      <c r="J129" s="546" t="str">
        <f t="array" ref="J129">IF(LEN($E129),INDEX('4-All Devices'!AE:AE, MATCH($E129, '4-All Devices'!AF:AF, 0)),"")</f>
        <v>Corphosted</v>
      </c>
      <c r="K129" s="8"/>
      <c r="L129" s="8"/>
      <c r="M129" s="8"/>
    </row>
    <row r="130">
      <c r="A130" s="542"/>
      <c r="B130" s="551" t="str">
        <f t="array" ref="B130">IF(LEN(E130),INDEX('4-All Devices'!AG:AG, MATCH(E130, '4-All Devices'!AF:AF, 0)),"")</f>
        <v>in-blr-ananta-ddc-328</v>
      </c>
      <c r="C130" s="549" t="s">
        <v>11186</v>
      </c>
      <c r="D130" s="549" t="s">
        <v>11187</v>
      </c>
      <c r="E130" s="8" t="str">
        <f>IFERROR(__xludf.DUMMYFUNCTION("""COMPUTED_VALUE"""),"5C:C2:13:06:87:74")</f>
        <v>5C:C2:13:06:87:74</v>
      </c>
      <c r="F130" s="552" t="s">
        <v>11188</v>
      </c>
      <c r="G130" s="8"/>
      <c r="H130" s="8"/>
      <c r="I130" s="8"/>
      <c r="J130" s="546" t="str">
        <f t="array" ref="J130">IF(LEN($E130),INDEX('4-All Devices'!AE:AE, MATCH($E130, '4-All Devices'!AF:AF, 0)),"")</f>
        <v>Corphosted</v>
      </c>
      <c r="K130" s="8"/>
      <c r="L130" s="8"/>
      <c r="M130" s="8"/>
    </row>
    <row r="131">
      <c r="A131" s="542"/>
      <c r="B131" s="551" t="str">
        <f t="array" ref="B131">IF(LEN(E131),INDEX('4-All Devices'!AG:AG, MATCH(E131, '4-All Devices'!AF:AF, 0)),"")</f>
        <v>in-blr-ananta-ddc-329</v>
      </c>
      <c r="C131" s="549" t="s">
        <v>11186</v>
      </c>
      <c r="D131" s="549" t="s">
        <v>11187</v>
      </c>
      <c r="E131" s="8" t="str">
        <f>IFERROR(__xludf.DUMMYFUNCTION("""COMPUTED_VALUE"""),"5C:C2:13:06:87:88")</f>
        <v>5C:C2:13:06:87:88</v>
      </c>
      <c r="F131" s="552" t="s">
        <v>11188</v>
      </c>
      <c r="G131" s="8"/>
      <c r="H131" s="8"/>
      <c r="I131" s="8"/>
      <c r="J131" s="546" t="str">
        <f t="array" ref="J131">IF(LEN($E131),INDEX('4-All Devices'!AE:AE, MATCH($E131, '4-All Devices'!AF:AF, 0)),"")</f>
        <v>Corphosted</v>
      </c>
      <c r="K131" s="8"/>
      <c r="L131" s="8"/>
      <c r="M131" s="8"/>
    </row>
    <row r="132">
      <c r="A132" s="542"/>
      <c r="B132" s="551" t="str">
        <f t="array" ref="B132">IF(LEN(E132),INDEX('4-All Devices'!AG:AG, MATCH(E132, '4-All Devices'!AF:AF, 0)),"")</f>
        <v>in-blr-ananta-ddc-330</v>
      </c>
      <c r="C132" s="549" t="s">
        <v>11186</v>
      </c>
      <c r="D132" s="549" t="s">
        <v>11187</v>
      </c>
      <c r="E132" s="8" t="str">
        <f>IFERROR(__xludf.DUMMYFUNCTION("""COMPUTED_VALUE"""),"5C:C2:13:06:8D:A2")</f>
        <v>5C:C2:13:06:8D:A2</v>
      </c>
      <c r="F132" s="552" t="s">
        <v>11188</v>
      </c>
      <c r="G132" s="8"/>
      <c r="H132" s="8"/>
      <c r="I132" s="8"/>
      <c r="J132" s="546" t="str">
        <f t="array" ref="J132">IF(LEN($E132),INDEX('4-All Devices'!AE:AE, MATCH($E132, '4-All Devices'!AF:AF, 0)),"")</f>
        <v>Corphosted</v>
      </c>
      <c r="K132" s="8"/>
      <c r="L132" s="8"/>
      <c r="M132" s="8"/>
    </row>
    <row r="133">
      <c r="A133" s="542"/>
      <c r="B133" s="551" t="str">
        <f t="array" ref="B133">IF(LEN(E133),INDEX('4-All Devices'!AG:AG, MATCH(E133, '4-All Devices'!AF:AF, 0)),"")</f>
        <v>in-blr-ananta-ddc-331</v>
      </c>
      <c r="C133" s="549" t="s">
        <v>11186</v>
      </c>
      <c r="D133" s="549" t="s">
        <v>11187</v>
      </c>
      <c r="E133" s="8" t="str">
        <f>IFERROR(__xludf.DUMMYFUNCTION("""COMPUTED_VALUE"""),"5C:C2:13:06:8D:7E")</f>
        <v>5C:C2:13:06:8D:7E</v>
      </c>
      <c r="F133" s="552" t="s">
        <v>11188</v>
      </c>
      <c r="G133" s="8"/>
      <c r="H133" s="8"/>
      <c r="I133" s="8"/>
      <c r="J133" s="546" t="str">
        <f t="array" ref="J133">IF(LEN($E133),INDEX('4-All Devices'!AE:AE, MATCH($E133, '4-All Devices'!AF:AF, 0)),"")</f>
        <v>Corphosted</v>
      </c>
      <c r="K133" s="8"/>
      <c r="L133" s="8"/>
      <c r="M133" s="8"/>
    </row>
    <row r="134">
      <c r="A134" s="542"/>
      <c r="B134" s="551" t="str">
        <f t="array" ref="B134">IF(LEN(E134),INDEX('4-All Devices'!AG:AG, MATCH(E134, '4-All Devices'!AF:AF, 0)),"")</f>
        <v>in-blr-ananta-ddc-332</v>
      </c>
      <c r="C134" s="549" t="s">
        <v>11186</v>
      </c>
      <c r="D134" s="549" t="s">
        <v>11187</v>
      </c>
      <c r="E134" s="8" t="str">
        <f>IFERROR(__xludf.DUMMYFUNCTION("""COMPUTED_VALUE"""),"5C:C2:13:06:8D:A8")</f>
        <v>5C:C2:13:06:8D:A8</v>
      </c>
      <c r="F134" s="552" t="s">
        <v>11188</v>
      </c>
      <c r="G134" s="8"/>
      <c r="H134" s="8"/>
      <c r="I134" s="8"/>
      <c r="J134" s="546" t="str">
        <f t="array" ref="J134">IF(LEN($E134),INDEX('4-All Devices'!AE:AE, MATCH($E134, '4-All Devices'!AF:AF, 0)),"")</f>
        <v>Corphosted</v>
      </c>
      <c r="K134" s="8"/>
      <c r="L134" s="8"/>
      <c r="M134" s="8"/>
    </row>
    <row r="135">
      <c r="A135" s="542"/>
      <c r="B135" s="551" t="str">
        <f t="array" ref="B135">IF(LEN(E135),INDEX('4-All Devices'!AG:AG, MATCH(E135, '4-All Devices'!AF:AF, 0)),"")</f>
        <v>in-blr-ananta-ddc-333</v>
      </c>
      <c r="C135" s="549" t="s">
        <v>11186</v>
      </c>
      <c r="D135" s="549" t="s">
        <v>11187</v>
      </c>
      <c r="E135" s="8" t="str">
        <f>IFERROR(__xludf.DUMMYFUNCTION("""COMPUTED_VALUE"""),"5C:C2:13:05:DB:F8")</f>
        <v>5C:C2:13:05:DB:F8</v>
      </c>
      <c r="F135" s="552" t="s">
        <v>11188</v>
      </c>
      <c r="G135" s="8"/>
      <c r="H135" s="8"/>
      <c r="I135" s="8"/>
      <c r="J135" s="546" t="str">
        <f t="array" ref="J135">IF(LEN($E135),INDEX('4-All Devices'!AE:AE, MATCH($E135, '4-All Devices'!AF:AF, 0)),"")</f>
        <v>Corphosted</v>
      </c>
      <c r="K135" s="8"/>
      <c r="L135" s="8"/>
      <c r="M135" s="8"/>
    </row>
    <row r="136">
      <c r="A136" s="542"/>
      <c r="B136" s="551" t="str">
        <f t="array" ref="B136">IF(LEN(E136),INDEX('4-All Devices'!AG:AG, MATCH(E136, '4-All Devices'!AF:AF, 0)),"")</f>
        <v>in-blr-ananta-ddc-334</v>
      </c>
      <c r="C136" s="549" t="s">
        <v>11186</v>
      </c>
      <c r="D136" s="549" t="s">
        <v>11187</v>
      </c>
      <c r="E136" s="8" t="str">
        <f>IFERROR(__xludf.DUMMYFUNCTION("""COMPUTED_VALUE"""),"5C:C2:13:06:8D:83")</f>
        <v>5C:C2:13:06:8D:83</v>
      </c>
      <c r="F136" s="552" t="s">
        <v>11188</v>
      </c>
      <c r="G136" s="8"/>
      <c r="H136" s="8"/>
      <c r="I136" s="8"/>
      <c r="J136" s="546" t="str">
        <f t="array" ref="J136">IF(LEN($E136),INDEX('4-All Devices'!AE:AE, MATCH($E136, '4-All Devices'!AF:AF, 0)),"")</f>
        <v>Corphosted</v>
      </c>
      <c r="K136" s="8"/>
      <c r="L136" s="8"/>
      <c r="M136" s="8"/>
    </row>
    <row r="137">
      <c r="A137" s="542"/>
      <c r="B137" s="551" t="str">
        <f t="array" ref="B137">IF(LEN(E137),INDEX('4-All Devices'!AG:AG, MATCH(E137, '4-All Devices'!AF:AF, 0)),"")</f>
        <v>in-blr-ananta-ddc-335</v>
      </c>
      <c r="C137" s="549" t="s">
        <v>11186</v>
      </c>
      <c r="D137" s="549" t="s">
        <v>11187</v>
      </c>
      <c r="E137" s="8" t="str">
        <f>IFERROR(__xludf.DUMMYFUNCTION("""COMPUTED_VALUE"""),"5C:C2:13:06:8D:96")</f>
        <v>5C:C2:13:06:8D:96</v>
      </c>
      <c r="F137" s="552" t="s">
        <v>11188</v>
      </c>
      <c r="G137" s="8"/>
      <c r="H137" s="8"/>
      <c r="I137" s="8"/>
      <c r="J137" s="546" t="str">
        <f t="array" ref="J137">IF(LEN($E137),INDEX('4-All Devices'!AE:AE, MATCH($E137, '4-All Devices'!AF:AF, 0)),"")</f>
        <v>Corphosted</v>
      </c>
      <c r="K137" s="8"/>
      <c r="L137" s="8"/>
      <c r="M137" s="8"/>
    </row>
    <row r="138">
      <c r="A138" s="542"/>
      <c r="B138" s="551" t="str">
        <f t="array" ref="B138">IF(LEN(E138),INDEX('4-All Devices'!AG:AG, MATCH(E138, '4-All Devices'!AF:AF, 0)),"")</f>
        <v>in-blr-ananta-ddc-336</v>
      </c>
      <c r="C138" s="549" t="s">
        <v>11186</v>
      </c>
      <c r="D138" s="549" t="s">
        <v>11187</v>
      </c>
      <c r="E138" s="8" t="str">
        <f>IFERROR(__xludf.DUMMYFUNCTION("""COMPUTED_VALUE"""),"5C:C2:13:06:8D:6D")</f>
        <v>5C:C2:13:06:8D:6D</v>
      </c>
      <c r="F138" s="552" t="s">
        <v>11188</v>
      </c>
      <c r="G138" s="8"/>
      <c r="H138" s="8"/>
      <c r="I138" s="8"/>
      <c r="J138" s="546" t="str">
        <f t="array" ref="J138">IF(LEN($E138),INDEX('4-All Devices'!AE:AE, MATCH($E138, '4-All Devices'!AF:AF, 0)),"")</f>
        <v>Corphosted</v>
      </c>
      <c r="K138" s="8"/>
      <c r="L138" s="8"/>
      <c r="M138" s="8"/>
    </row>
    <row r="139">
      <c r="A139" s="542"/>
      <c r="B139" s="551" t="str">
        <f t="array" ref="B139">IF(LEN(E139),INDEX('4-All Devices'!AG:AG, MATCH(E139, '4-All Devices'!AF:AF, 0)),"")</f>
        <v>in-blr-ananta-ddc-337</v>
      </c>
      <c r="C139" s="549" t="s">
        <v>11186</v>
      </c>
      <c r="D139" s="549" t="s">
        <v>11187</v>
      </c>
      <c r="E139" s="8" t="str">
        <f>IFERROR(__xludf.DUMMYFUNCTION("""COMPUTED_VALUE"""),"5C:C2:13:06:8D:71")</f>
        <v>5C:C2:13:06:8D:71</v>
      </c>
      <c r="F139" s="552" t="s">
        <v>11188</v>
      </c>
      <c r="G139" s="8"/>
      <c r="H139" s="8"/>
      <c r="I139" s="8"/>
      <c r="J139" s="546" t="str">
        <f t="array" ref="J139">IF(LEN($E139),INDEX('4-All Devices'!AE:AE, MATCH($E139, '4-All Devices'!AF:AF, 0)),"")</f>
        <v>Corphosted</v>
      </c>
      <c r="K139" s="8"/>
      <c r="L139" s="8"/>
      <c r="M139" s="8"/>
    </row>
    <row r="140">
      <c r="A140" s="542"/>
      <c r="B140" s="551" t="str">
        <f t="array" ref="B140">IF(LEN(E140),INDEX('4-All Devices'!AG:AG, MATCH(E140, '4-All Devices'!AF:AF, 0)),"")</f>
        <v>in-blr-ananta-ddc-338</v>
      </c>
      <c r="C140" s="549" t="s">
        <v>11186</v>
      </c>
      <c r="D140" s="549" t="s">
        <v>11187</v>
      </c>
      <c r="E140" s="8" t="str">
        <f>IFERROR(__xludf.DUMMYFUNCTION("""COMPUTED_VALUE"""),"5C:C2:13:06:8D:8C")</f>
        <v>5C:C2:13:06:8D:8C</v>
      </c>
      <c r="F140" s="552" t="s">
        <v>11188</v>
      </c>
      <c r="G140" s="8"/>
      <c r="H140" s="8"/>
      <c r="I140" s="8"/>
      <c r="J140" s="546" t="str">
        <f t="array" ref="J140">IF(LEN($E140),INDEX('4-All Devices'!AE:AE, MATCH($E140, '4-All Devices'!AF:AF, 0)),"")</f>
        <v>Corphosted</v>
      </c>
      <c r="K140" s="8"/>
      <c r="L140" s="8"/>
      <c r="M140" s="8"/>
    </row>
    <row r="141">
      <c r="A141" s="542"/>
      <c r="B141" s="551" t="str">
        <f t="array" ref="B141">IF(LEN(E141),INDEX('4-All Devices'!AG:AG, MATCH(E141, '4-All Devices'!AF:AF, 0)),"")</f>
        <v>in-blr-ananta-ddc-339</v>
      </c>
      <c r="C141" s="549" t="s">
        <v>11186</v>
      </c>
      <c r="D141" s="549" t="s">
        <v>11187</v>
      </c>
      <c r="E141" s="8" t="str">
        <f>IFERROR(__xludf.DUMMYFUNCTION("""COMPUTED_VALUE"""),"5C:C2:13:06:8D:99")</f>
        <v>5C:C2:13:06:8D:99</v>
      </c>
      <c r="F141" s="552" t="s">
        <v>11188</v>
      </c>
      <c r="G141" s="8"/>
      <c r="H141" s="8"/>
      <c r="I141" s="8"/>
      <c r="J141" s="546" t="str">
        <f t="array" ref="J141">IF(LEN($E141),INDEX('4-All Devices'!AE:AE, MATCH($E141, '4-All Devices'!AF:AF, 0)),"")</f>
        <v>Corphosted</v>
      </c>
      <c r="K141" s="8"/>
      <c r="L141" s="8"/>
      <c r="M141" s="8"/>
    </row>
    <row r="142">
      <c r="A142" s="542"/>
      <c r="B142" s="551" t="str">
        <f t="array" ref="B142">IF(LEN(E142),INDEX('4-All Devices'!AG:AG, MATCH(E142, '4-All Devices'!AF:AF, 0)),"")</f>
        <v>in-blr-ananta-ddc-340</v>
      </c>
      <c r="C142" s="549" t="s">
        <v>11186</v>
      </c>
      <c r="D142" s="549" t="s">
        <v>11187</v>
      </c>
      <c r="E142" s="8" t="str">
        <f>IFERROR(__xludf.DUMMYFUNCTION("""COMPUTED_VALUE"""),"5C:C2:13:05:DC:3C")</f>
        <v>5C:C2:13:05:DC:3C</v>
      </c>
      <c r="F142" s="552" t="s">
        <v>11188</v>
      </c>
      <c r="G142" s="8"/>
      <c r="H142" s="8"/>
      <c r="I142" s="8"/>
      <c r="J142" s="546" t="str">
        <f t="array" ref="J142">IF(LEN($E142),INDEX('4-All Devices'!AE:AE, MATCH($E142, '4-All Devices'!AF:AF, 0)),"")</f>
        <v>Corphosted</v>
      </c>
      <c r="K142" s="8"/>
      <c r="L142" s="8"/>
      <c r="M142" s="8"/>
    </row>
    <row r="143">
      <c r="A143" s="542"/>
      <c r="B143" s="551" t="str">
        <f t="array" ref="B143">IF(LEN(E143),INDEX('4-All Devices'!AG:AG, MATCH(E143, '4-All Devices'!AF:AF, 0)),"")</f>
        <v>in-blr-ananta-ddc-341</v>
      </c>
      <c r="C143" s="549" t="s">
        <v>11186</v>
      </c>
      <c r="D143" s="549" t="s">
        <v>11187</v>
      </c>
      <c r="E143" s="8" t="str">
        <f>IFERROR(__xludf.DUMMYFUNCTION("""COMPUTED_VALUE"""),"5C:C2:13:05:C2:3D")</f>
        <v>5C:C2:13:05:C2:3D</v>
      </c>
      <c r="F143" s="552" t="s">
        <v>11188</v>
      </c>
      <c r="G143" s="8"/>
      <c r="H143" s="8"/>
      <c r="I143" s="8"/>
      <c r="J143" s="546" t="str">
        <f t="array" ref="J143">IF(LEN($E143),INDEX('4-All Devices'!AE:AE, MATCH($E143, '4-All Devices'!AF:AF, 0)),"")</f>
        <v>Corphosted</v>
      </c>
      <c r="K143" s="8"/>
      <c r="L143" s="8"/>
      <c r="M143" s="8"/>
    </row>
    <row r="144">
      <c r="A144" s="542"/>
      <c r="B144" s="551" t="str">
        <f t="array" ref="B144">IF(LEN(E144),INDEX('4-All Devices'!AG:AG, MATCH(E144, '4-All Devices'!AF:AF, 0)),"")</f>
        <v>in-blr-ananta-ddc-342</v>
      </c>
      <c r="C144" s="549" t="s">
        <v>11186</v>
      </c>
      <c r="D144" s="549" t="s">
        <v>11187</v>
      </c>
      <c r="E144" s="8" t="str">
        <f>IFERROR(__xludf.DUMMYFUNCTION("""COMPUTED_VALUE"""),"5C:C2:13:06:87:81")</f>
        <v>5C:C2:13:06:87:81</v>
      </c>
      <c r="F144" s="552" t="s">
        <v>11188</v>
      </c>
      <c r="G144" s="8"/>
      <c r="H144" s="8"/>
      <c r="I144" s="8"/>
      <c r="J144" s="546" t="str">
        <f t="array" ref="J144">IF(LEN($E144),INDEX('4-All Devices'!AE:AE, MATCH($E144, '4-All Devices'!AF:AF, 0)),"")</f>
        <v>Corphosted</v>
      </c>
      <c r="K144" s="8"/>
      <c r="L144" s="8"/>
      <c r="M144" s="8"/>
    </row>
    <row r="145">
      <c r="A145" s="542"/>
      <c r="B145" s="551" t="str">
        <f t="array" ref="B145">IF(LEN(E145),INDEX('4-All Devices'!AG:AG, MATCH(E145, '4-All Devices'!AF:AF, 0)),"")</f>
        <v>in-blr-ananta-ddc-343</v>
      </c>
      <c r="C145" s="549" t="s">
        <v>11186</v>
      </c>
      <c r="D145" s="549" t="s">
        <v>11187</v>
      </c>
      <c r="E145" s="8" t="str">
        <f>IFERROR(__xludf.DUMMYFUNCTION("""COMPUTED_VALUE"""),"5C:C2:13:06:8D:A1")</f>
        <v>5C:C2:13:06:8D:A1</v>
      </c>
      <c r="F145" s="552" t="s">
        <v>11188</v>
      </c>
      <c r="G145" s="8"/>
      <c r="H145" s="8"/>
      <c r="I145" s="8"/>
      <c r="J145" s="546" t="str">
        <f t="array" ref="J145">IF(LEN($E145),INDEX('4-All Devices'!AE:AE, MATCH($E145, '4-All Devices'!AF:AF, 0)),"")</f>
        <v>Corphosted</v>
      </c>
      <c r="K145" s="8"/>
      <c r="L145" s="8"/>
      <c r="M145" s="8"/>
    </row>
    <row r="146">
      <c r="A146" s="542"/>
      <c r="B146" s="551" t="str">
        <f t="array" ref="B146">IF(LEN(E146),INDEX('4-All Devices'!AG:AG, MATCH(E146, '4-All Devices'!AF:AF, 0)),"")</f>
        <v>in-blr-ananta-ddc-344</v>
      </c>
      <c r="C146" s="549" t="s">
        <v>11186</v>
      </c>
      <c r="D146" s="549" t="s">
        <v>11187</v>
      </c>
      <c r="E146" s="8" t="str">
        <f>IFERROR(__xludf.DUMMYFUNCTION("""COMPUTED_VALUE"""),"5C:C2:13:06:87:9A")</f>
        <v>5C:C2:13:06:87:9A</v>
      </c>
      <c r="F146" s="552" t="s">
        <v>11188</v>
      </c>
      <c r="G146" s="8"/>
      <c r="H146" s="8"/>
      <c r="I146" s="8"/>
      <c r="J146" s="546" t="str">
        <f t="array" ref="J146">IF(LEN($E146),INDEX('4-All Devices'!AE:AE, MATCH($E146, '4-All Devices'!AF:AF, 0)),"")</f>
        <v>Corphosted</v>
      </c>
      <c r="K146" s="8"/>
      <c r="L146" s="8"/>
      <c r="M146" s="8"/>
    </row>
    <row r="147">
      <c r="A147" s="542"/>
      <c r="B147" s="551" t="str">
        <f t="array" ref="B147">IF(LEN(E147),INDEX('4-All Devices'!AG:AG, MATCH(E147, '4-All Devices'!AF:AF, 0)),"")</f>
        <v>in-blr-ananta-ddc-345</v>
      </c>
      <c r="C147" s="549" t="s">
        <v>11186</v>
      </c>
      <c r="D147" s="549" t="s">
        <v>11187</v>
      </c>
      <c r="E147" s="8" t="str">
        <f>IFERROR(__xludf.DUMMYFUNCTION("""COMPUTED_VALUE"""),"5C:C2:13:06:8D:A3")</f>
        <v>5C:C2:13:06:8D:A3</v>
      </c>
      <c r="F147" s="552" t="s">
        <v>11188</v>
      </c>
      <c r="G147" s="8"/>
      <c r="H147" s="8"/>
      <c r="I147" s="8"/>
      <c r="J147" s="546" t="str">
        <f t="array" ref="J147">IF(LEN($E147),INDEX('4-All Devices'!AE:AE, MATCH($E147, '4-All Devices'!AF:AF, 0)),"")</f>
        <v>Corphosted</v>
      </c>
      <c r="K147" s="8"/>
      <c r="L147" s="8"/>
      <c r="M147" s="8"/>
    </row>
    <row r="148">
      <c r="A148" s="542"/>
      <c r="B148" s="551" t="str">
        <f t="array" ref="B148">IF(LEN(E148),INDEX('4-All Devices'!AG:AG, MATCH(E148, '4-All Devices'!AF:AF, 0)),"")</f>
        <v>in-blr-ananta-ddc-346</v>
      </c>
      <c r="C148" s="549" t="s">
        <v>11186</v>
      </c>
      <c r="D148" s="549" t="s">
        <v>11187</v>
      </c>
      <c r="E148" s="8" t="str">
        <f>IFERROR(__xludf.DUMMYFUNCTION("""COMPUTED_VALUE"""),"5C:C2:13:06:8D:85")</f>
        <v>5C:C2:13:06:8D:85</v>
      </c>
      <c r="F148" s="552" t="s">
        <v>11188</v>
      </c>
      <c r="G148" s="8"/>
      <c r="H148" s="8"/>
      <c r="I148" s="8"/>
      <c r="J148" s="546" t="str">
        <f t="array" ref="J148">IF(LEN($E148),INDEX('4-All Devices'!AE:AE, MATCH($E148, '4-All Devices'!AF:AF, 0)),"")</f>
        <v>Corphosted</v>
      </c>
      <c r="K148" s="8"/>
      <c r="L148" s="8"/>
      <c r="M148" s="8"/>
    </row>
    <row r="149">
      <c r="A149" s="542"/>
      <c r="B149" s="551" t="str">
        <f t="array" ref="B149">IF(LEN(E149),INDEX('4-All Devices'!AG:AG, MATCH(E149, '4-All Devices'!AF:AF, 0)),"")</f>
        <v>in-blr-ananta-ddc-347</v>
      </c>
      <c r="C149" s="549" t="s">
        <v>11186</v>
      </c>
      <c r="D149" s="549" t="s">
        <v>11187</v>
      </c>
      <c r="E149" s="8" t="str">
        <f>IFERROR(__xludf.DUMMYFUNCTION("""COMPUTED_VALUE"""),"5C:C2:13:06:8D:93")</f>
        <v>5C:C2:13:06:8D:93</v>
      </c>
      <c r="F149" s="552" t="s">
        <v>11188</v>
      </c>
      <c r="G149" s="8"/>
      <c r="H149" s="8"/>
      <c r="I149" s="8"/>
      <c r="J149" s="546" t="str">
        <f t="array" ref="J149">IF(LEN($E149),INDEX('4-All Devices'!AE:AE, MATCH($E149, '4-All Devices'!AF:AF, 0)),"")</f>
        <v>Corphosted</v>
      </c>
      <c r="K149" s="8"/>
      <c r="L149" s="8"/>
      <c r="M149" s="8"/>
    </row>
    <row r="150">
      <c r="A150" s="542"/>
      <c r="B150" s="551" t="str">
        <f t="array" ref="B150">IF(LEN(E150),INDEX('4-All Devices'!AG:AG, MATCH(E150, '4-All Devices'!AF:AF, 0)),"")</f>
        <v>in-blr-ananta-ddc-348</v>
      </c>
      <c r="C150" s="549" t="s">
        <v>11186</v>
      </c>
      <c r="D150" s="549" t="s">
        <v>11187</v>
      </c>
      <c r="E150" s="8" t="str">
        <f>IFERROR(__xludf.DUMMYFUNCTION("""COMPUTED_VALUE"""),"5C:C2:13:06:8D:9C")</f>
        <v>5C:C2:13:06:8D:9C</v>
      </c>
      <c r="F150" s="552" t="s">
        <v>11188</v>
      </c>
      <c r="G150" s="8"/>
      <c r="H150" s="8"/>
      <c r="I150" s="8"/>
      <c r="J150" s="546" t="str">
        <f t="array" ref="J150">IF(LEN($E150),INDEX('4-All Devices'!AE:AE, MATCH($E150, '4-All Devices'!AF:AF, 0)),"")</f>
        <v>Corphosted</v>
      </c>
      <c r="K150" s="8"/>
      <c r="L150" s="8"/>
      <c r="M150" s="8"/>
    </row>
    <row r="151">
      <c r="A151" s="542"/>
      <c r="B151" s="551" t="str">
        <f t="array" ref="B151">IF(LEN(E151),INDEX('4-All Devices'!AG:AG, MATCH(E151, '4-All Devices'!AF:AF, 0)),"")</f>
        <v>in-blr-ananta-ddc-349</v>
      </c>
      <c r="C151" s="549" t="s">
        <v>11186</v>
      </c>
      <c r="D151" s="549" t="s">
        <v>11187</v>
      </c>
      <c r="E151" s="8" t="str">
        <f>IFERROR(__xludf.DUMMYFUNCTION("""COMPUTED_VALUE"""),"5C:C2:13:06:89:49")</f>
        <v>5C:C2:13:06:89:49</v>
      </c>
      <c r="F151" s="552" t="s">
        <v>11188</v>
      </c>
      <c r="G151" s="8"/>
      <c r="H151" s="8"/>
      <c r="I151" s="8"/>
      <c r="J151" s="546" t="str">
        <f t="array" ref="J151">IF(LEN($E151),INDEX('4-All Devices'!AE:AE, MATCH($E151, '4-All Devices'!AF:AF, 0)),"")</f>
        <v>Corphosted</v>
      </c>
      <c r="K151" s="8"/>
      <c r="L151" s="8"/>
      <c r="M151" s="8"/>
    </row>
    <row r="152">
      <c r="A152" s="542"/>
      <c r="B152" s="551" t="str">
        <f t="array" ref="B152">IF(LEN(E152),INDEX('4-All Devices'!AG:AG, MATCH(E152, '4-All Devices'!AF:AF, 0)),"")</f>
        <v>in-blr-ananta-ddc-350</v>
      </c>
      <c r="C152" s="549" t="s">
        <v>11186</v>
      </c>
      <c r="D152" s="549" t="s">
        <v>11187</v>
      </c>
      <c r="E152" s="8" t="str">
        <f>IFERROR(__xludf.DUMMYFUNCTION("""COMPUTED_VALUE"""),"5C:C2:13:06:89:5F")</f>
        <v>5C:C2:13:06:89:5F</v>
      </c>
      <c r="F152" s="552" t="s">
        <v>11188</v>
      </c>
      <c r="G152" s="8"/>
      <c r="H152" s="8"/>
      <c r="I152" s="8"/>
      <c r="J152" s="546" t="str">
        <f t="array" ref="J152">IF(LEN($E152),INDEX('4-All Devices'!AE:AE, MATCH($E152, '4-All Devices'!AF:AF, 0)),"")</f>
        <v>Corphosted</v>
      </c>
      <c r="K152" s="8"/>
      <c r="L152" s="8"/>
      <c r="M152" s="8"/>
    </row>
    <row r="153">
      <c r="A153" s="542"/>
      <c r="B153" s="551" t="str">
        <f t="array" ref="B153">IF(LEN(E153),INDEX('4-All Devices'!AG:AG, MATCH(E153, '4-All Devices'!AF:AF, 0)),"")</f>
        <v>in-blr-ananta-ddc-351</v>
      </c>
      <c r="C153" s="549" t="s">
        <v>11186</v>
      </c>
      <c r="D153" s="549" t="s">
        <v>11187</v>
      </c>
      <c r="E153" s="8" t="str">
        <f>IFERROR(__xludf.DUMMYFUNCTION("""COMPUTED_VALUE"""),"5C:C2:13:06:D9:5F")</f>
        <v>5C:C2:13:06:D9:5F</v>
      </c>
      <c r="F153" s="552" t="s">
        <v>11188</v>
      </c>
      <c r="G153" s="8"/>
      <c r="H153" s="8"/>
      <c r="I153" s="8"/>
      <c r="J153" s="546" t="str">
        <f t="array" ref="J153">IF(LEN($E153),INDEX('4-All Devices'!AE:AE, MATCH($E153, '4-All Devices'!AF:AF, 0)),"")</f>
        <v>Corphosted</v>
      </c>
      <c r="K153" s="8"/>
      <c r="L153" s="8"/>
      <c r="M153" s="8"/>
    </row>
    <row r="154">
      <c r="A154" s="542"/>
      <c r="B154" s="551" t="str">
        <f t="array" ref="B154">IF(LEN(E154),INDEX('4-All Devices'!AG:AG, MATCH(E154, '4-All Devices'!AF:AF, 0)),"")</f>
        <v>in-blr-ananta-ddc-352</v>
      </c>
      <c r="C154" s="549" t="s">
        <v>11186</v>
      </c>
      <c r="D154" s="549" t="s">
        <v>11187</v>
      </c>
      <c r="E154" s="8" t="str">
        <f>IFERROR(__xludf.DUMMYFUNCTION("""COMPUTED_VALUE"""),"5C:C2:13:06:8D:91")</f>
        <v>5C:C2:13:06:8D:91</v>
      </c>
      <c r="F154" s="552" t="s">
        <v>11188</v>
      </c>
      <c r="G154" s="8"/>
      <c r="H154" s="8"/>
      <c r="I154" s="8"/>
      <c r="J154" s="546" t="str">
        <f t="array" ref="J154">IF(LEN($E154),INDEX('4-All Devices'!AE:AE, MATCH($E154, '4-All Devices'!AF:AF, 0)),"")</f>
        <v>Corphosted</v>
      </c>
      <c r="K154" s="8"/>
      <c r="L154" s="8"/>
      <c r="M154" s="8"/>
    </row>
    <row r="155">
      <c r="A155" s="542"/>
      <c r="B155" s="551" t="str">
        <f t="array" ref="B155">IF(LEN(E155),INDEX('4-All Devices'!AG:AG, MATCH(E155, '4-All Devices'!AF:AF, 0)),"")</f>
        <v>in-blr-ananta-ddc-353</v>
      </c>
      <c r="C155" s="549" t="s">
        <v>11186</v>
      </c>
      <c r="D155" s="549" t="s">
        <v>11187</v>
      </c>
      <c r="E155" s="8" t="str">
        <f>IFERROR(__xludf.DUMMYFUNCTION("""COMPUTED_VALUE"""),"5C:C2:13:06:87:6F")</f>
        <v>5C:C2:13:06:87:6F</v>
      </c>
      <c r="F155" s="552" t="s">
        <v>11188</v>
      </c>
      <c r="G155" s="8"/>
      <c r="H155" s="8"/>
      <c r="I155" s="8"/>
      <c r="J155" s="546" t="str">
        <f t="array" ref="J155">IF(LEN($E155),INDEX('4-All Devices'!AE:AE, MATCH($E155, '4-All Devices'!AF:AF, 0)),"")</f>
        <v>Corphosted</v>
      </c>
      <c r="K155" s="8"/>
      <c r="L155" s="8"/>
      <c r="M155" s="8"/>
    </row>
    <row r="156">
      <c r="A156" s="542"/>
      <c r="B156" s="551" t="str">
        <f t="array" ref="B156">IF(LEN(E156),INDEX('4-All Devices'!AG:AG, MATCH(E156, '4-All Devices'!AF:AF, 0)),"")</f>
        <v>in-blr-ananta-ddc-354</v>
      </c>
      <c r="C156" s="549" t="s">
        <v>11186</v>
      </c>
      <c r="D156" s="549" t="s">
        <v>11187</v>
      </c>
      <c r="E156" s="8" t="str">
        <f>IFERROR(__xludf.DUMMYFUNCTION("""COMPUTED_VALUE"""),"5C:C2:13:06:85:E4")</f>
        <v>5C:C2:13:06:85:E4</v>
      </c>
      <c r="F156" s="552" t="s">
        <v>11188</v>
      </c>
      <c r="G156" s="8"/>
      <c r="H156" s="8"/>
      <c r="I156" s="8"/>
      <c r="J156" s="546" t="str">
        <f t="array" ref="J156">IF(LEN($E156),INDEX('4-All Devices'!AE:AE, MATCH($E156, '4-All Devices'!AF:AF, 0)),"")</f>
        <v>Corphosted</v>
      </c>
      <c r="K156" s="8"/>
      <c r="L156" s="8"/>
      <c r="M156" s="8"/>
    </row>
    <row r="157">
      <c r="A157" s="542"/>
      <c r="B157" s="551" t="str">
        <f t="array" ref="B157">IF(LEN(E157),INDEX('4-All Devices'!AG:AG, MATCH(E157, '4-All Devices'!AF:AF, 0)),"")</f>
        <v>in-blr-ananta-ddc-355</v>
      </c>
      <c r="C157" s="549" t="s">
        <v>11186</v>
      </c>
      <c r="D157" s="549" t="s">
        <v>11187</v>
      </c>
      <c r="E157" s="8" t="str">
        <f>IFERROR(__xludf.DUMMYFUNCTION("""COMPUTED_VALUE"""),"5C:C2:13:06:8D:A6")</f>
        <v>5C:C2:13:06:8D:A6</v>
      </c>
      <c r="F157" s="552" t="s">
        <v>11188</v>
      </c>
      <c r="G157" s="8"/>
      <c r="H157" s="8"/>
      <c r="I157" s="8"/>
      <c r="J157" s="546" t="str">
        <f t="array" ref="J157">IF(LEN($E157),INDEX('4-All Devices'!AE:AE, MATCH($E157, '4-All Devices'!AF:AF, 0)),"")</f>
        <v>Corphosted</v>
      </c>
      <c r="K157" s="8"/>
      <c r="L157" s="8"/>
      <c r="M157" s="8"/>
    </row>
    <row r="158">
      <c r="A158" s="542"/>
      <c r="B158" s="551" t="str">
        <f t="array" ref="B158">IF(LEN(E158),INDEX('4-All Devices'!AG:AG, MATCH(E158, '4-All Devices'!AF:AF, 0)),"")</f>
        <v>in-blr-ananta-ddc-356</v>
      </c>
      <c r="C158" s="549" t="s">
        <v>11186</v>
      </c>
      <c r="D158" s="549" t="s">
        <v>11187</v>
      </c>
      <c r="E158" s="8" t="str">
        <f>IFERROR(__xludf.DUMMYFUNCTION("""COMPUTED_VALUE"""),"5C:C2:13:06:87:96")</f>
        <v>5C:C2:13:06:87:96</v>
      </c>
      <c r="F158" s="552" t="s">
        <v>11188</v>
      </c>
      <c r="G158" s="8"/>
      <c r="H158" s="8"/>
      <c r="I158" s="8"/>
      <c r="J158" s="546" t="str">
        <f t="array" ref="J158">IF(LEN($E158),INDEX('4-All Devices'!AE:AE, MATCH($E158, '4-All Devices'!AF:AF, 0)),"")</f>
        <v>Corphosted</v>
      </c>
      <c r="K158" s="8"/>
      <c r="L158" s="8"/>
      <c r="M158" s="8"/>
    </row>
    <row r="159">
      <c r="A159" s="542"/>
      <c r="B159" s="551" t="str">
        <f t="array" ref="B159">IF(LEN(E159),INDEX('4-All Devices'!AG:AG, MATCH(E159, '4-All Devices'!AF:AF, 0)),"")</f>
        <v>in-blr-ananta-ddc-357</v>
      </c>
      <c r="C159" s="549" t="s">
        <v>11186</v>
      </c>
      <c r="D159" s="549" t="s">
        <v>11187</v>
      </c>
      <c r="E159" s="8" t="str">
        <f>IFERROR(__xludf.DUMMYFUNCTION("""COMPUTED_VALUE"""),"5C:C2:13:05:DB:8C")</f>
        <v>5C:C2:13:05:DB:8C</v>
      </c>
      <c r="F159" s="552" t="s">
        <v>11188</v>
      </c>
      <c r="G159" s="8"/>
      <c r="H159" s="8"/>
      <c r="I159" s="8"/>
      <c r="J159" s="546" t="str">
        <f t="array" ref="J159">IF(LEN($E159),INDEX('4-All Devices'!AE:AE, MATCH($E159, '4-All Devices'!AF:AF, 0)),"")</f>
        <v>Corphosted</v>
      </c>
      <c r="K159" s="8"/>
      <c r="L159" s="8"/>
      <c r="M159" s="8"/>
    </row>
    <row r="160">
      <c r="A160" s="542"/>
      <c r="B160" s="551" t="str">
        <f t="array" ref="B160">IF(LEN(E160),INDEX('4-All Devices'!AG:AG, MATCH(E160, '4-All Devices'!AF:AF, 0)),"")</f>
        <v>in-blr-ananta-ddc-358</v>
      </c>
      <c r="C160" s="549" t="s">
        <v>11186</v>
      </c>
      <c r="D160" s="549" t="s">
        <v>11187</v>
      </c>
      <c r="E160" s="8" t="str">
        <f>IFERROR(__xludf.DUMMYFUNCTION("""COMPUTED_VALUE"""),"5C:C2:13:06:89:36")</f>
        <v>5C:C2:13:06:89:36</v>
      </c>
      <c r="F160" s="552" t="s">
        <v>11188</v>
      </c>
      <c r="G160" s="8"/>
      <c r="H160" s="8"/>
      <c r="I160" s="8"/>
      <c r="J160" s="546" t="str">
        <f t="array" ref="J160">IF(LEN($E160),INDEX('4-All Devices'!AE:AE, MATCH($E160, '4-All Devices'!AF:AF, 0)),"")</f>
        <v>Corphosted</v>
      </c>
      <c r="K160" s="8"/>
      <c r="L160" s="8"/>
      <c r="M160" s="8"/>
    </row>
    <row r="161">
      <c r="A161" s="542"/>
      <c r="B161" s="551" t="str">
        <f t="array" ref="B161">IF(LEN(E161),INDEX('4-All Devices'!AG:AG, MATCH(E161, '4-All Devices'!AF:AF, 0)),"")</f>
        <v>in-blr-ananta-ddc-359</v>
      </c>
      <c r="C161" s="549" t="s">
        <v>11186</v>
      </c>
      <c r="D161" s="549" t="s">
        <v>11187</v>
      </c>
      <c r="E161" s="8" t="str">
        <f>IFERROR(__xludf.DUMMYFUNCTION("""COMPUTED_VALUE"""),"5C:C2:13:06:8D:EC")</f>
        <v>5C:C2:13:06:8D:EC</v>
      </c>
      <c r="F161" s="552" t="s">
        <v>11188</v>
      </c>
      <c r="G161" s="8"/>
      <c r="H161" s="8"/>
      <c r="I161" s="8"/>
      <c r="J161" s="546" t="str">
        <f t="array" ref="J161">IF(LEN($E161),INDEX('4-All Devices'!AE:AE, MATCH($E161, '4-All Devices'!AF:AF, 0)),"")</f>
        <v>Corphosted</v>
      </c>
      <c r="K161" s="8"/>
      <c r="L161" s="8"/>
      <c r="M161" s="8"/>
    </row>
    <row r="162">
      <c r="A162" s="542"/>
      <c r="B162" s="551" t="str">
        <f t="array" ref="B162">IF(LEN(E162),INDEX('4-All Devices'!AG:AG, MATCH(E162, '4-All Devices'!AF:AF, 0)),"")</f>
        <v>in-blr-ananta-ddc-360</v>
      </c>
      <c r="C162" s="549" t="s">
        <v>11186</v>
      </c>
      <c r="D162" s="549" t="s">
        <v>11187</v>
      </c>
      <c r="E162" s="8" t="str">
        <f>IFERROR(__xludf.DUMMYFUNCTION("""COMPUTED_VALUE"""),"5C:C2:13:06:87:8E")</f>
        <v>5C:C2:13:06:87:8E</v>
      </c>
      <c r="F162" s="552" t="s">
        <v>11188</v>
      </c>
      <c r="G162" s="8"/>
      <c r="H162" s="8"/>
      <c r="I162" s="8"/>
      <c r="J162" s="546" t="str">
        <f t="array" ref="J162">IF(LEN($E162),INDEX('4-All Devices'!AE:AE, MATCH($E162, '4-All Devices'!AF:AF, 0)),"")</f>
        <v>Corphosted</v>
      </c>
      <c r="K162" s="8"/>
      <c r="L162" s="8"/>
      <c r="M162" s="8"/>
    </row>
    <row r="163">
      <c r="A163" s="542"/>
      <c r="B163" s="551" t="str">
        <f t="array" ref="B163">IF(LEN(E163),INDEX('4-All Devices'!AG:AG, MATCH(E163, '4-All Devices'!AF:AF, 0)),"")</f>
        <v>in-blr-ananta-ddc-361</v>
      </c>
      <c r="C163" s="549" t="s">
        <v>11186</v>
      </c>
      <c r="D163" s="549" t="s">
        <v>11187</v>
      </c>
      <c r="E163" s="8" t="str">
        <f>IFERROR(__xludf.DUMMYFUNCTION("""COMPUTED_VALUE"""),"5C:C2:13:06:8D:9B")</f>
        <v>5C:C2:13:06:8D:9B</v>
      </c>
      <c r="F163" s="552" t="s">
        <v>11188</v>
      </c>
      <c r="G163" s="8"/>
      <c r="H163" s="8"/>
      <c r="I163" s="8"/>
      <c r="J163" s="546" t="str">
        <f t="array" ref="J163">IF(LEN($E163),INDEX('4-All Devices'!AE:AE, MATCH($E163, '4-All Devices'!AF:AF, 0)),"")</f>
        <v>Corphosted</v>
      </c>
      <c r="K163" s="8"/>
      <c r="L163" s="8"/>
      <c r="M163" s="8"/>
    </row>
    <row r="164">
      <c r="A164" s="542"/>
      <c r="B164" s="551" t="str">
        <f t="array" ref="B164">IF(LEN(E164),INDEX('4-All Devices'!AG:AG, MATCH(E164, '4-All Devices'!AF:AF, 0)),"")</f>
        <v>in-blr-ananta-ddc-362</v>
      </c>
      <c r="C164" s="549" t="s">
        <v>11186</v>
      </c>
      <c r="D164" s="549" t="s">
        <v>11187</v>
      </c>
      <c r="E164" s="8" t="str">
        <f>IFERROR(__xludf.DUMMYFUNCTION("""COMPUTED_VALUE"""),"5C:C2:13:05:DC:05")</f>
        <v>5C:C2:13:05:DC:05</v>
      </c>
      <c r="F164" s="552" t="s">
        <v>11188</v>
      </c>
      <c r="G164" s="8"/>
      <c r="H164" s="8"/>
      <c r="I164" s="8"/>
      <c r="J164" s="546" t="str">
        <f t="array" ref="J164">IF(LEN($E164),INDEX('4-All Devices'!AE:AE, MATCH($E164, '4-All Devices'!AF:AF, 0)),"")</f>
        <v>Corphosted</v>
      </c>
      <c r="K164" s="8"/>
      <c r="L164" s="8"/>
      <c r="M164" s="8"/>
    </row>
    <row r="165">
      <c r="A165" s="542"/>
      <c r="B165" s="551" t="str">
        <f t="array" ref="B165">IF(LEN(E165),INDEX('4-All Devices'!AG:AG, MATCH(E165, '4-All Devices'!AF:AF, 0)),"")</f>
        <v>in-blr-ananta-ddc-363</v>
      </c>
      <c r="C165" s="549" t="s">
        <v>11186</v>
      </c>
      <c r="D165" s="549" t="s">
        <v>11187</v>
      </c>
      <c r="E165" s="8" t="str">
        <f>IFERROR(__xludf.DUMMYFUNCTION("""COMPUTED_VALUE"""),"5C:C2:13:06:8D:72")</f>
        <v>5C:C2:13:06:8D:72</v>
      </c>
      <c r="F165" s="552" t="s">
        <v>11188</v>
      </c>
      <c r="G165" s="8"/>
      <c r="H165" s="8"/>
      <c r="I165" s="8"/>
      <c r="J165" s="546" t="str">
        <f t="array" ref="J165">IF(LEN($E165),INDEX('4-All Devices'!AE:AE, MATCH($E165, '4-All Devices'!AF:AF, 0)),"")</f>
        <v>Corphosted</v>
      </c>
      <c r="K165" s="8"/>
      <c r="L165" s="8"/>
      <c r="M165" s="8"/>
    </row>
    <row r="166">
      <c r="A166" s="542"/>
      <c r="B166" s="551" t="str">
        <f t="array" ref="B166">IF(LEN(E166),INDEX('4-All Devices'!AG:AG, MATCH(E166, '4-All Devices'!AF:AF, 0)),"")</f>
        <v>in-blr-ananta-ddc-364</v>
      </c>
      <c r="C166" s="549" t="s">
        <v>11186</v>
      </c>
      <c r="D166" s="549" t="s">
        <v>11187</v>
      </c>
      <c r="E166" s="8" t="str">
        <f>IFERROR(__xludf.DUMMYFUNCTION("""COMPUTED_VALUE"""),"5C:C2:13:06:8D:98")</f>
        <v>5C:C2:13:06:8D:98</v>
      </c>
      <c r="F166" s="552" t="s">
        <v>11188</v>
      </c>
      <c r="G166" s="8"/>
      <c r="H166" s="8"/>
      <c r="I166" s="8"/>
      <c r="J166" s="546" t="str">
        <f t="array" ref="J166">IF(LEN($E166),INDEX('4-All Devices'!AE:AE, MATCH($E166, '4-All Devices'!AF:AF, 0)),"")</f>
        <v>Corphosted</v>
      </c>
      <c r="K166" s="8"/>
      <c r="L166" s="8"/>
      <c r="M166" s="8"/>
    </row>
    <row r="167">
      <c r="A167" s="542"/>
      <c r="B167" s="551" t="str">
        <f t="array" ref="B167">IF(LEN(E167),INDEX('4-All Devices'!AG:AG, MATCH(E167, '4-All Devices'!AF:AF, 0)),"")</f>
        <v>in-blr-ananta-ddc-365</v>
      </c>
      <c r="C167" s="549" t="s">
        <v>11186</v>
      </c>
      <c r="D167" s="549" t="s">
        <v>11187</v>
      </c>
      <c r="E167" s="8" t="str">
        <f>IFERROR(__xludf.DUMMYFUNCTION("""COMPUTED_VALUE"""),"5C:C2:13:05:DB:EB")</f>
        <v>5C:C2:13:05:DB:EB</v>
      </c>
      <c r="F167" s="552" t="s">
        <v>11188</v>
      </c>
      <c r="G167" s="8"/>
      <c r="H167" s="8"/>
      <c r="I167" s="8"/>
      <c r="J167" s="546" t="str">
        <f t="array" ref="J167">IF(LEN($E167),INDEX('4-All Devices'!AE:AE, MATCH($E167, '4-All Devices'!AF:AF, 0)),"")</f>
        <v>Corphosted</v>
      </c>
      <c r="K167" s="8"/>
      <c r="L167" s="8"/>
      <c r="M167" s="8"/>
    </row>
    <row r="168">
      <c r="A168" s="542"/>
      <c r="B168" s="551" t="str">
        <f t="array" ref="B168">IF(LEN(E168),INDEX('4-All Devices'!AG:AG, MATCH(E168, '4-All Devices'!AF:AF, 0)),"")</f>
        <v>in-blr-ananta-ddc-366</v>
      </c>
      <c r="C168" s="549" t="s">
        <v>11186</v>
      </c>
      <c r="D168" s="549" t="s">
        <v>11187</v>
      </c>
      <c r="E168" s="8" t="str">
        <f>IFERROR(__xludf.DUMMYFUNCTION("""COMPUTED_VALUE"""),"5C:C2:13:05:DB:D9")</f>
        <v>5C:C2:13:05:DB:D9</v>
      </c>
      <c r="F168" s="552" t="s">
        <v>11188</v>
      </c>
      <c r="G168" s="8"/>
      <c r="H168" s="8"/>
      <c r="I168" s="8"/>
      <c r="J168" s="546" t="str">
        <f t="array" ref="J168">IF(LEN($E168),INDEX('4-All Devices'!AE:AE, MATCH($E168, '4-All Devices'!AF:AF, 0)),"")</f>
        <v>Corphosted</v>
      </c>
      <c r="K168" s="8"/>
      <c r="L168" s="8"/>
      <c r="M168" s="8"/>
    </row>
    <row r="169">
      <c r="A169" s="542"/>
      <c r="B169" s="551" t="str">
        <f t="array" ref="B169">IF(LEN(E169),INDEX('4-All Devices'!AG:AG, MATCH(E169, '4-All Devices'!AF:AF, 0)),"")</f>
        <v>in-blr-ananta-ddc-367</v>
      </c>
      <c r="C169" s="549" t="s">
        <v>11186</v>
      </c>
      <c r="D169" s="549" t="s">
        <v>11187</v>
      </c>
      <c r="E169" s="8" t="str">
        <f>IFERROR(__xludf.DUMMYFUNCTION("""COMPUTED_VALUE"""),"5C:C2:13:06:89:4C")</f>
        <v>5C:C2:13:06:89:4C</v>
      </c>
      <c r="F169" s="552" t="s">
        <v>11188</v>
      </c>
      <c r="G169" s="8"/>
      <c r="H169" s="8"/>
      <c r="I169" s="8"/>
      <c r="J169" s="546" t="str">
        <f t="array" ref="J169">IF(LEN($E169),INDEX('4-All Devices'!AE:AE, MATCH($E169, '4-All Devices'!AF:AF, 0)),"")</f>
        <v>Corphosted</v>
      </c>
      <c r="K169" s="8"/>
      <c r="L169" s="8"/>
      <c r="M169" s="8"/>
    </row>
    <row r="170">
      <c r="A170" s="542"/>
      <c r="B170" s="551" t="str">
        <f t="array" ref="B170">IF(LEN(E170),INDEX('4-All Devices'!AG:AG, MATCH(E170, '4-All Devices'!AF:AF, 0)),"")</f>
        <v>in-blr-ananta-ddc-368</v>
      </c>
      <c r="C170" s="549" t="s">
        <v>11186</v>
      </c>
      <c r="D170" s="549" t="s">
        <v>11187</v>
      </c>
      <c r="E170" s="8" t="str">
        <f>IFERROR(__xludf.DUMMYFUNCTION("""COMPUTED_VALUE"""),"5C:C2:13:06:87:69")</f>
        <v>5C:C2:13:06:87:69</v>
      </c>
      <c r="F170" s="552" t="s">
        <v>11188</v>
      </c>
      <c r="G170" s="8"/>
      <c r="H170" s="8"/>
      <c r="I170" s="8"/>
      <c r="J170" s="546" t="str">
        <f t="array" ref="J170">IF(LEN($E170),INDEX('4-All Devices'!AE:AE, MATCH($E170, '4-All Devices'!AF:AF, 0)),"")</f>
        <v>Corphosted</v>
      </c>
      <c r="K170" s="8"/>
      <c r="L170" s="8"/>
      <c r="M170" s="8"/>
    </row>
    <row r="171">
      <c r="A171" s="542"/>
      <c r="B171" s="551" t="str">
        <f t="array" ref="B171">IF(LEN(E171),INDEX('4-All Devices'!AG:AG, MATCH(E171, '4-All Devices'!AF:AF, 0)),"")</f>
        <v>in-blr-ananta-ddc-369</v>
      </c>
      <c r="C171" s="549" t="s">
        <v>11186</v>
      </c>
      <c r="D171" s="549" t="s">
        <v>11187</v>
      </c>
      <c r="E171" s="8" t="str">
        <f>IFERROR(__xludf.DUMMYFUNCTION("""COMPUTED_VALUE"""),"5C:C2:13:06:87:95")</f>
        <v>5C:C2:13:06:87:95</v>
      </c>
      <c r="F171" s="552" t="s">
        <v>11188</v>
      </c>
      <c r="G171" s="8"/>
      <c r="H171" s="8"/>
      <c r="I171" s="8"/>
      <c r="J171" s="546" t="str">
        <f t="array" ref="J171">IF(LEN($E171),INDEX('4-All Devices'!AE:AE, MATCH($E171, '4-All Devices'!AF:AF, 0)),"")</f>
        <v>Corphosted</v>
      </c>
      <c r="K171" s="8"/>
      <c r="L171" s="8"/>
      <c r="M171" s="8"/>
    </row>
    <row r="172">
      <c r="A172" s="542"/>
      <c r="B172" s="551" t="str">
        <f t="array" ref="B172">IF(LEN(E172),INDEX('4-All Devices'!AG:AG, MATCH(E172, '4-All Devices'!AF:AF, 0)),"")</f>
        <v>in-blr-ananta-ddc-370</v>
      </c>
      <c r="C172" s="549" t="s">
        <v>11186</v>
      </c>
      <c r="D172" s="549" t="s">
        <v>11187</v>
      </c>
      <c r="E172" s="8" t="str">
        <f>IFERROR(__xludf.DUMMYFUNCTION("""COMPUTED_VALUE"""),"5C:C2:13:06:87:80")</f>
        <v>5C:C2:13:06:87:80</v>
      </c>
      <c r="F172" s="552" t="s">
        <v>11188</v>
      </c>
      <c r="G172" s="8"/>
      <c r="H172" s="8"/>
      <c r="I172" s="8"/>
      <c r="J172" s="546" t="str">
        <f t="array" ref="J172">IF(LEN($E172),INDEX('4-All Devices'!AE:AE, MATCH($E172, '4-All Devices'!AF:AF, 0)),"")</f>
        <v>Corphosted</v>
      </c>
      <c r="K172" s="8"/>
      <c r="L172" s="8"/>
      <c r="M172" s="8"/>
    </row>
    <row r="173">
      <c r="A173" s="542"/>
      <c r="B173" s="551" t="str">
        <f t="array" ref="B173">IF(LEN(E173),INDEX('4-All Devices'!AG:AG, MATCH(E173, '4-All Devices'!AF:AF, 0)),"")</f>
        <v>in-blr-ananta-ddc-371</v>
      </c>
      <c r="C173" s="549" t="s">
        <v>11186</v>
      </c>
      <c r="D173" s="549" t="s">
        <v>11187</v>
      </c>
      <c r="E173" s="8" t="str">
        <f>IFERROR(__xludf.DUMMYFUNCTION("""COMPUTED_VALUE"""),"5C:C2:13:06:87:6A")</f>
        <v>5C:C2:13:06:87:6A</v>
      </c>
      <c r="F173" s="552" t="s">
        <v>11188</v>
      </c>
      <c r="G173" s="8"/>
      <c r="H173" s="8"/>
      <c r="I173" s="8"/>
      <c r="J173" s="546" t="str">
        <f t="array" ref="J173">IF(LEN($E173),INDEX('4-All Devices'!AE:AE, MATCH($E173, '4-All Devices'!AF:AF, 0)),"")</f>
        <v>Corphosted</v>
      </c>
      <c r="K173" s="8"/>
      <c r="L173" s="8"/>
      <c r="M173" s="8"/>
    </row>
    <row r="174">
      <c r="A174" s="542"/>
      <c r="B174" s="551" t="str">
        <f t="array" ref="B174">IF(LEN(E174),INDEX('4-All Devices'!AG:AG, MATCH(E174, '4-All Devices'!AF:AF, 0)),"")</f>
        <v>in-blr-ananta-ddc-372</v>
      </c>
      <c r="C174" s="549" t="s">
        <v>11186</v>
      </c>
      <c r="D174" s="549" t="s">
        <v>11187</v>
      </c>
      <c r="E174" s="8" t="str">
        <f>IFERROR(__xludf.DUMMYFUNCTION("""COMPUTED_VALUE"""),"5C:C2:13:05:DB:97")</f>
        <v>5C:C2:13:05:DB:97</v>
      </c>
      <c r="F174" s="552" t="s">
        <v>11188</v>
      </c>
      <c r="G174" s="8"/>
      <c r="H174" s="8"/>
      <c r="I174" s="8"/>
      <c r="J174" s="546" t="str">
        <f t="array" ref="J174">IF(LEN($E174),INDEX('4-All Devices'!AE:AE, MATCH($E174, '4-All Devices'!AF:AF, 0)),"")</f>
        <v>Corphosted</v>
      </c>
      <c r="K174" s="8"/>
      <c r="L174" s="8"/>
      <c r="M174" s="8"/>
    </row>
    <row r="175">
      <c r="A175" s="542"/>
      <c r="B175" s="551" t="str">
        <f t="array" ref="B175">IF(LEN(E175),INDEX('4-All Devices'!AG:AG, MATCH(E175, '4-All Devices'!AF:AF, 0)),"")</f>
        <v>in-blr-ananta-ddc-373</v>
      </c>
      <c r="C175" s="549" t="s">
        <v>11186</v>
      </c>
      <c r="D175" s="549" t="s">
        <v>11187</v>
      </c>
      <c r="E175" s="8" t="str">
        <f>IFERROR(__xludf.DUMMYFUNCTION("""COMPUTED_VALUE"""),"5C:C2:13:05:DD:41")</f>
        <v>5C:C2:13:05:DD:41</v>
      </c>
      <c r="F175" s="552" t="s">
        <v>11188</v>
      </c>
      <c r="G175" s="8"/>
      <c r="H175" s="8"/>
      <c r="I175" s="8"/>
      <c r="J175" s="546" t="str">
        <f t="array" ref="J175">IF(LEN($E175),INDEX('4-All Devices'!AE:AE, MATCH($E175, '4-All Devices'!AF:AF, 0)),"")</f>
        <v>Corphosted</v>
      </c>
      <c r="K175" s="8"/>
      <c r="L175" s="8"/>
      <c r="M175" s="8"/>
    </row>
    <row r="176">
      <c r="A176" s="542"/>
      <c r="B176" s="551" t="str">
        <f t="array" ref="B176">IF(LEN(E176),INDEX('4-All Devices'!AG:AG, MATCH(E176, '4-All Devices'!AF:AF, 0)),"")</f>
        <v>in-blr-ananta-ddc-374</v>
      </c>
      <c r="C176" s="549" t="s">
        <v>11186</v>
      </c>
      <c r="D176" s="549" t="s">
        <v>11187</v>
      </c>
      <c r="E176" s="8" t="str">
        <f>IFERROR(__xludf.DUMMYFUNCTION("""COMPUTED_VALUE"""),"5C:C2:13:05:DB:DD")</f>
        <v>5C:C2:13:05:DB:DD</v>
      </c>
      <c r="F176" s="552" t="s">
        <v>11188</v>
      </c>
      <c r="G176" s="8"/>
      <c r="H176" s="8"/>
      <c r="I176" s="8"/>
      <c r="J176" s="546" t="str">
        <f t="array" ref="J176">IF(LEN($E176),INDEX('4-All Devices'!AE:AE, MATCH($E176, '4-All Devices'!AF:AF, 0)),"")</f>
        <v>Corphosted</v>
      </c>
      <c r="K176" s="8"/>
      <c r="L176" s="8"/>
      <c r="M176" s="8"/>
    </row>
    <row r="177">
      <c r="A177" s="542"/>
      <c r="B177" s="551" t="str">
        <f t="array" ref="B177">IF(LEN(E177),INDEX('4-All Devices'!AG:AG, MATCH(E177, '4-All Devices'!AF:AF, 0)),"")</f>
        <v>in-blr-ananta-ddc-375</v>
      </c>
      <c r="C177" s="549" t="s">
        <v>11186</v>
      </c>
      <c r="D177" s="549" t="s">
        <v>11187</v>
      </c>
      <c r="E177" s="8" t="str">
        <f>IFERROR(__xludf.DUMMYFUNCTION("""COMPUTED_VALUE"""),"5C:C2:13:05:DB:DE")</f>
        <v>5C:C2:13:05:DB:DE</v>
      </c>
      <c r="F177" s="552" t="s">
        <v>11188</v>
      </c>
      <c r="G177" s="8"/>
      <c r="H177" s="8"/>
      <c r="I177" s="8"/>
      <c r="J177" s="546" t="str">
        <f t="array" ref="J177">IF(LEN($E177),INDEX('4-All Devices'!AE:AE, MATCH($E177, '4-All Devices'!AF:AF, 0)),"")</f>
        <v>Corphosted</v>
      </c>
      <c r="K177" s="8"/>
      <c r="L177" s="8"/>
      <c r="M177" s="8"/>
    </row>
    <row r="178">
      <c r="A178" s="542"/>
      <c r="B178" s="551" t="str">
        <f t="array" ref="B178">IF(LEN(E178),INDEX('4-All Devices'!AG:AG, MATCH(E178, '4-All Devices'!AF:AF, 0)),"")</f>
        <v>in-blr-ananta-ddc-376</v>
      </c>
      <c r="C178" s="549" t="s">
        <v>11186</v>
      </c>
      <c r="D178" s="549" t="s">
        <v>11187</v>
      </c>
      <c r="E178" s="8" t="str">
        <f>IFERROR(__xludf.DUMMYFUNCTION("""COMPUTED_VALUE"""),"5C:C2:13:05:8F:84")</f>
        <v>5C:C2:13:05:8F:84</v>
      </c>
      <c r="F178" s="552" t="s">
        <v>11188</v>
      </c>
      <c r="G178" s="8"/>
      <c r="H178" s="8"/>
      <c r="I178" s="8"/>
      <c r="J178" s="546" t="str">
        <f t="array" ref="J178">IF(LEN($E178),INDEX('4-All Devices'!AE:AE, MATCH($E178, '4-All Devices'!AF:AF, 0)),"")</f>
        <v>Corphosted</v>
      </c>
      <c r="K178" s="8"/>
      <c r="L178" s="8"/>
      <c r="M178" s="8"/>
    </row>
    <row r="179">
      <c r="A179" s="542"/>
      <c r="B179" s="551" t="str">
        <f t="array" ref="B179">IF(LEN(E179),INDEX('4-All Devices'!AG:AG, MATCH(E179, '4-All Devices'!AF:AF, 0)),"")</f>
        <v>in-blr-ananta-ddc-377</v>
      </c>
      <c r="C179" s="549" t="s">
        <v>11186</v>
      </c>
      <c r="D179" s="549" t="s">
        <v>11187</v>
      </c>
      <c r="E179" s="8" t="str">
        <f>IFERROR(__xludf.DUMMYFUNCTION("""COMPUTED_VALUE"""),"5C:C2:13:07:7A:03")</f>
        <v>5C:C2:13:07:7A:03</v>
      </c>
      <c r="F179" s="552" t="s">
        <v>11188</v>
      </c>
      <c r="G179" s="8"/>
      <c r="H179" s="8"/>
      <c r="I179" s="8"/>
      <c r="J179" s="546" t="str">
        <f t="array" ref="J179">IF(LEN($E179),INDEX('4-All Devices'!AE:AE, MATCH($E179, '4-All Devices'!AF:AF, 0)),"")</f>
        <v>Corphosted</v>
      </c>
      <c r="K179" s="8"/>
      <c r="L179" s="8"/>
      <c r="M179" s="8"/>
    </row>
    <row r="180">
      <c r="A180" s="542"/>
      <c r="B180" s="551" t="str">
        <f t="array" ref="B180">IF(LEN(E180),INDEX('4-All Devices'!AG:AG, MATCH(E180, '4-All Devices'!AF:AF, 0)),"")</f>
        <v>in-blr-ananta-ddc-378</v>
      </c>
      <c r="C180" s="549" t="s">
        <v>11186</v>
      </c>
      <c r="D180" s="549" t="s">
        <v>11187</v>
      </c>
      <c r="E180" s="8" t="str">
        <f>IFERROR(__xludf.DUMMYFUNCTION("""COMPUTED_VALUE"""),"5C:C2:13:07:7A:4C")</f>
        <v>5C:C2:13:07:7A:4C</v>
      </c>
      <c r="F180" s="552" t="s">
        <v>11188</v>
      </c>
      <c r="G180" s="8"/>
      <c r="H180" s="8"/>
      <c r="I180" s="8"/>
      <c r="J180" s="546" t="str">
        <f t="array" ref="J180">IF(LEN($E180),INDEX('4-All Devices'!AE:AE, MATCH($E180, '4-All Devices'!AF:AF, 0)),"")</f>
        <v>Corphosted</v>
      </c>
      <c r="K180" s="8"/>
      <c r="L180" s="8"/>
      <c r="M180" s="8"/>
    </row>
    <row r="181">
      <c r="A181" s="542"/>
      <c r="B181" s="551" t="str">
        <f t="array" ref="B181">IF(LEN(E181),INDEX('4-All Devices'!AG:AG, MATCH(E181, '4-All Devices'!AF:AF, 0)),"")</f>
        <v>in-blr-ananta-hli-201</v>
      </c>
      <c r="C181" s="549" t="s">
        <v>11186</v>
      </c>
      <c r="D181" s="549" t="s">
        <v>11187</v>
      </c>
      <c r="E181" s="8" t="str">
        <f>IFERROR(__xludf.DUMMYFUNCTION("""COMPUTED_VALUE"""),"B8:27:EB:7E:CA:FE")</f>
        <v>B8:27:EB:7E:CA:FE</v>
      </c>
      <c r="F181" s="552" t="s">
        <v>11188</v>
      </c>
      <c r="G181" s="8"/>
      <c r="H181" s="8"/>
      <c r="I181" s="8"/>
      <c r="J181" s="546" t="str">
        <f t="array" ref="J181">IF(LEN($E181),INDEX('4-All Devices'!AE:AE, MATCH($E181, '4-All Devices'!AF:AF, 0)),"")</f>
        <v>Corphosted</v>
      </c>
      <c r="K181" s="8"/>
      <c r="L181" s="8"/>
      <c r="M181" s="8"/>
    </row>
    <row r="182">
      <c r="A182" s="542"/>
      <c r="B182" s="551" t="str">
        <f t="array" ref="B182">IF(LEN(E182),INDEX('4-All Devices'!AG:AG, MATCH(E182, '4-All Devices'!AF:AF, 0)),"")</f>
        <v>in-blr-ananta-hli-202</v>
      </c>
      <c r="C182" s="549" t="s">
        <v>11186</v>
      </c>
      <c r="D182" s="549" t="s">
        <v>11187</v>
      </c>
      <c r="E182" s="8" t="str">
        <f>IFERROR(__xludf.DUMMYFUNCTION("""COMPUTED_VALUE"""),"B8:27:EB:31:28:A9")</f>
        <v>B8:27:EB:31:28:A9</v>
      </c>
      <c r="F182" s="552" t="s">
        <v>11188</v>
      </c>
      <c r="G182" s="8"/>
      <c r="H182" s="8"/>
      <c r="I182" s="8"/>
      <c r="J182" s="546" t="str">
        <f t="array" ref="J182">IF(LEN($E182),INDEX('4-All Devices'!AE:AE, MATCH($E182, '4-All Devices'!AF:AF, 0)),"")</f>
        <v>Corphosted</v>
      </c>
      <c r="K182" s="8"/>
      <c r="L182" s="8"/>
      <c r="M182" s="8"/>
    </row>
    <row r="183">
      <c r="A183" s="542"/>
      <c r="B183" s="551" t="str">
        <f t="array" ref="B183">IF(LEN(E183),INDEX('4-All Devices'!AG:AG, MATCH(E183, '4-All Devices'!AF:AF, 0)),"")</f>
        <v>in-blr-ananta-hli-203</v>
      </c>
      <c r="C183" s="549" t="s">
        <v>11186</v>
      </c>
      <c r="D183" s="549" t="s">
        <v>11187</v>
      </c>
      <c r="E183" s="8" t="str">
        <f>IFERROR(__xludf.DUMMYFUNCTION("""COMPUTED_VALUE"""),"B8:27:EB:D2:50:12")</f>
        <v>B8:27:EB:D2:50:12</v>
      </c>
      <c r="F183" s="552" t="s">
        <v>11188</v>
      </c>
      <c r="G183" s="8"/>
      <c r="H183" s="8"/>
      <c r="I183" s="8"/>
      <c r="J183" s="546" t="str">
        <f t="array" ref="J183">IF(LEN($E183),INDEX('4-All Devices'!AE:AE, MATCH($E183, '4-All Devices'!AF:AF, 0)),"")</f>
        <v>Corphosted</v>
      </c>
      <c r="K183" s="8"/>
      <c r="L183" s="8"/>
      <c r="M183" s="8"/>
    </row>
    <row r="184">
      <c r="A184" s="542"/>
      <c r="B184" s="551" t="str">
        <f t="array" ref="B184">IF(LEN(E184),INDEX('4-All Devices'!AG:AG, MATCH(E184, '4-All Devices'!AF:AF, 0)),"")</f>
        <v>in-blr-ananta-hli-204</v>
      </c>
      <c r="C184" s="549" t="s">
        <v>11186</v>
      </c>
      <c r="D184" s="549" t="s">
        <v>11187</v>
      </c>
      <c r="E184" s="8" t="str">
        <f>IFERROR(__xludf.DUMMYFUNCTION("""COMPUTED_VALUE"""),"B8:27:EB:E8:B4:3F")</f>
        <v>B8:27:EB:E8:B4:3F</v>
      </c>
      <c r="F184" s="552" t="s">
        <v>11188</v>
      </c>
      <c r="G184" s="8"/>
      <c r="H184" s="8"/>
      <c r="I184" s="8"/>
      <c r="J184" s="546" t="str">
        <f t="array" ref="J184">IF(LEN($E184),INDEX('4-All Devices'!AE:AE, MATCH($E184, '4-All Devices'!AF:AF, 0)),"")</f>
        <v>Corphosted</v>
      </c>
      <c r="K184" s="8"/>
      <c r="L184" s="8"/>
      <c r="M184" s="8"/>
    </row>
    <row r="185">
      <c r="A185" s="542"/>
      <c r="B185" s="551" t="str">
        <f t="array" ref="B185">IF(LEN(E185),INDEX('4-All Devices'!AG:AG, MATCH(E185, '4-All Devices'!AF:AF, 0)),"")</f>
        <v>in-blr-ananta-hli-205</v>
      </c>
      <c r="C185" s="549" t="s">
        <v>11186</v>
      </c>
      <c r="D185" s="549" t="s">
        <v>11187</v>
      </c>
      <c r="E185" s="8" t="str">
        <f>IFERROR(__xludf.DUMMYFUNCTION("""COMPUTED_VALUE"""),"B8:27:EB:1F:CF:FE")</f>
        <v>B8:27:EB:1F:CF:FE</v>
      </c>
      <c r="F185" s="552" t="s">
        <v>11188</v>
      </c>
      <c r="G185" s="8"/>
      <c r="H185" s="8"/>
      <c r="I185" s="8"/>
      <c r="J185" s="546" t="str">
        <f t="array" ref="J185">IF(LEN($E185),INDEX('4-All Devices'!AE:AE, MATCH($E185, '4-All Devices'!AF:AF, 0)),"")</f>
        <v>Corphosted</v>
      </c>
      <c r="K185" s="8"/>
      <c r="L185" s="8"/>
      <c r="M185" s="8"/>
    </row>
    <row r="186">
      <c r="A186" s="542"/>
      <c r="B186" s="551" t="str">
        <f t="array" ref="B186">IF(LEN(E186),INDEX('4-All Devices'!AG:AG, MATCH(E186, '4-All Devices'!AF:AF, 0)),"")</f>
        <v>in-blr-ananta-hli-206</v>
      </c>
      <c r="C186" s="549" t="s">
        <v>11186</v>
      </c>
      <c r="D186" s="549" t="s">
        <v>11187</v>
      </c>
      <c r="E186" s="8" t="str">
        <f>IFERROR(__xludf.DUMMYFUNCTION("""COMPUTED_VALUE"""),"B8:27:EB:68:DF:B6")</f>
        <v>B8:27:EB:68:DF:B6</v>
      </c>
      <c r="F186" s="552" t="s">
        <v>11188</v>
      </c>
      <c r="G186" s="8"/>
      <c r="H186" s="8"/>
      <c r="I186" s="8"/>
      <c r="J186" s="546" t="str">
        <f t="array" ref="J186">IF(LEN($E186),INDEX('4-All Devices'!AE:AE, MATCH($E186, '4-All Devices'!AF:AF, 0)),"")</f>
        <v>Corphosted</v>
      </c>
      <c r="K186" s="8"/>
      <c r="L186" s="8"/>
      <c r="M186" s="8"/>
    </row>
    <row r="187">
      <c r="A187" s="542"/>
      <c r="B187" s="551" t="str">
        <f t="array" ref="B187">IF(LEN(E187),INDEX('4-All Devices'!AG:AG, MATCH(E187, '4-All Devices'!AF:AF, 0)),"")</f>
        <v>in-blr-ananta-hli-207</v>
      </c>
      <c r="C187" s="549" t="s">
        <v>11186</v>
      </c>
      <c r="D187" s="549" t="s">
        <v>11187</v>
      </c>
      <c r="E187" s="8" t="str">
        <f>IFERROR(__xludf.DUMMYFUNCTION("""COMPUTED_VALUE"""),"B8:27:EB:73:58:EF")</f>
        <v>B8:27:EB:73:58:EF</v>
      </c>
      <c r="F187" s="552" t="s">
        <v>11188</v>
      </c>
      <c r="G187" s="8"/>
      <c r="H187" s="8"/>
      <c r="I187" s="8"/>
      <c r="J187" s="546" t="str">
        <f t="array" ref="J187">IF(LEN($E187),INDEX('4-All Devices'!AE:AE, MATCH($E187, '4-All Devices'!AF:AF, 0)),"")</f>
        <v>Corphosted</v>
      </c>
      <c r="K187" s="8"/>
      <c r="L187" s="8"/>
      <c r="M187" s="8"/>
    </row>
    <row r="188">
      <c r="A188" s="542"/>
      <c r="B188" s="551" t="str">
        <f t="array" ref="B188">IF(LEN(E188),INDEX('4-All Devices'!AG:AG, MATCH(E188, '4-All Devices'!AF:AF, 0)),"")</f>
        <v>in-blr-ananta-hli-208</v>
      </c>
      <c r="C188" s="549" t="s">
        <v>11186</v>
      </c>
      <c r="D188" s="549" t="s">
        <v>11187</v>
      </c>
      <c r="E188" s="8" t="str">
        <f>IFERROR(__xludf.DUMMYFUNCTION("""COMPUTED_VALUE"""),"B8:27:EB:B1:CB:B1")</f>
        <v>B8:27:EB:B1:CB:B1</v>
      </c>
      <c r="F188" s="552" t="s">
        <v>11188</v>
      </c>
      <c r="G188" s="8"/>
      <c r="H188" s="8"/>
      <c r="I188" s="8"/>
      <c r="J188" s="546" t="str">
        <f t="array" ref="J188">IF(LEN($E188),INDEX('4-All Devices'!AE:AE, MATCH($E188, '4-All Devices'!AF:AF, 0)),"")</f>
        <v>Corphosted</v>
      </c>
      <c r="K188" s="8"/>
      <c r="L188" s="8"/>
      <c r="M188" s="8"/>
    </row>
    <row r="189">
      <c r="A189" s="542"/>
      <c r="B189" s="551" t="str">
        <f t="array" ref="B189">IF(LEN(E189),INDEX('4-All Devices'!AG:AG, MATCH(E189, '4-All Devices'!AF:AF, 0)),"")</f>
        <v>in-blr-ananta-hli-209</v>
      </c>
      <c r="C189" s="549" t="s">
        <v>11186</v>
      </c>
      <c r="D189" s="549" t="s">
        <v>11187</v>
      </c>
      <c r="E189" s="8" t="str">
        <f>IFERROR(__xludf.DUMMYFUNCTION("""COMPUTED_VALUE"""),"B8:27:EB:C2:6D:B4")</f>
        <v>B8:27:EB:C2:6D:B4</v>
      </c>
      <c r="F189" s="552" t="s">
        <v>11188</v>
      </c>
      <c r="G189" s="8"/>
      <c r="H189" s="8"/>
      <c r="I189" s="8"/>
      <c r="J189" s="546" t="str">
        <f t="array" ref="J189">IF(LEN($E189),INDEX('4-All Devices'!AE:AE, MATCH($E189, '4-All Devices'!AF:AF, 0)),"")</f>
        <v>Corphosted</v>
      </c>
      <c r="K189" s="8"/>
      <c r="L189" s="8"/>
      <c r="M189" s="8"/>
    </row>
    <row r="190">
      <c r="A190" s="542"/>
      <c r="B190" s="551" t="str">
        <f t="array" ref="B190">IF(LEN(E190),INDEX('4-All Devices'!AG:AG, MATCH(E190, '4-All Devices'!AF:AF, 0)),"")</f>
        <v>in-blr-ananta-hli-210</v>
      </c>
      <c r="C190" s="549" t="s">
        <v>11186</v>
      </c>
      <c r="D190" s="549" t="s">
        <v>11187</v>
      </c>
      <c r="E190" s="8" t="str">
        <f>IFERROR(__xludf.DUMMYFUNCTION("""COMPUTED_VALUE"""),"B8:27:EB:A9:2D:7A")</f>
        <v>B8:27:EB:A9:2D:7A</v>
      </c>
      <c r="F190" s="552" t="s">
        <v>11188</v>
      </c>
      <c r="G190" s="8"/>
      <c r="H190" s="8"/>
      <c r="I190" s="8"/>
      <c r="J190" s="546" t="str">
        <f t="array" ref="J190">IF(LEN($E190),INDEX('4-All Devices'!AE:AE, MATCH($E190, '4-All Devices'!AF:AF, 0)),"")</f>
        <v>Corphosted</v>
      </c>
      <c r="K190" s="8"/>
      <c r="L190" s="8"/>
      <c r="M190" s="8"/>
    </row>
    <row r="191">
      <c r="A191" s="542"/>
      <c r="B191" s="551" t="str">
        <f t="array" ref="B191">IF(LEN(E191),INDEX('4-All Devices'!AG:AG, MATCH(E191, '4-All Devices'!AF:AF, 0)),"")</f>
        <v>in-blr-ananta-hli-211</v>
      </c>
      <c r="C191" s="549" t="s">
        <v>11186</v>
      </c>
      <c r="D191" s="549" t="s">
        <v>11187</v>
      </c>
      <c r="E191" s="8" t="str">
        <f>IFERROR(__xludf.DUMMYFUNCTION("""COMPUTED_VALUE"""),"B8:27:EB:85:FE:65")</f>
        <v>B8:27:EB:85:FE:65</v>
      </c>
      <c r="F191" s="552" t="s">
        <v>11188</v>
      </c>
      <c r="G191" s="8"/>
      <c r="H191" s="8"/>
      <c r="I191" s="8"/>
      <c r="J191" s="546" t="str">
        <f t="array" ref="J191">IF(LEN($E191),INDEX('4-All Devices'!AE:AE, MATCH($E191, '4-All Devices'!AF:AF, 0)),"")</f>
        <v>Corphosted</v>
      </c>
      <c r="K191" s="8"/>
      <c r="L191" s="8"/>
      <c r="M191" s="8"/>
    </row>
    <row r="192">
      <c r="A192" s="542"/>
      <c r="B192" s="551" t="str">
        <f t="array" ref="B192">IF(LEN(E192),INDEX('4-All Devices'!AG:AG, MATCH(E192, '4-All Devices'!AF:AF, 0)),"")</f>
        <v>in-blr-ananta-hli-212</v>
      </c>
      <c r="C192" s="549" t="s">
        <v>11186</v>
      </c>
      <c r="D192" s="549" t="s">
        <v>11187</v>
      </c>
      <c r="E192" s="8" t="str">
        <f>IFERROR(__xludf.DUMMYFUNCTION("""COMPUTED_VALUE"""),"B8:27:EB:6A:5A:81")</f>
        <v>B8:27:EB:6A:5A:81</v>
      </c>
      <c r="F192" s="552" t="s">
        <v>11188</v>
      </c>
      <c r="G192" s="8"/>
      <c r="H192" s="8"/>
      <c r="I192" s="8"/>
      <c r="J192" s="546" t="str">
        <f t="array" ref="J192">IF(LEN($E192),INDEX('4-All Devices'!AE:AE, MATCH($E192, '4-All Devices'!AF:AF, 0)),"")</f>
        <v>Corphosted</v>
      </c>
      <c r="K192" s="8"/>
      <c r="L192" s="8"/>
      <c r="M192" s="8"/>
    </row>
    <row r="193">
      <c r="A193" s="542"/>
      <c r="B193" s="551" t="str">
        <f t="array" ref="B193">IF(LEN(E193),INDEX('4-All Devices'!AG:AG, MATCH(E193, '4-All Devices'!AF:AF, 0)),"")</f>
        <v>in-blr-ananta-hli-213</v>
      </c>
      <c r="C193" s="549" t="s">
        <v>11186</v>
      </c>
      <c r="D193" s="549" t="s">
        <v>11187</v>
      </c>
      <c r="E193" s="8" t="str">
        <f>IFERROR(__xludf.DUMMYFUNCTION("""COMPUTED_VALUE"""),"B8:27:EB:EB:9F:A6")</f>
        <v>B8:27:EB:EB:9F:A6</v>
      </c>
      <c r="F193" s="552" t="s">
        <v>11188</v>
      </c>
      <c r="G193" s="8"/>
      <c r="H193" s="8"/>
      <c r="I193" s="8"/>
      <c r="J193" s="546" t="str">
        <f t="array" ref="J193">IF(LEN($E193),INDEX('4-All Devices'!AE:AE, MATCH($E193, '4-All Devices'!AF:AF, 0)),"")</f>
        <v>Corphosted</v>
      </c>
      <c r="K193" s="8"/>
      <c r="L193" s="8"/>
      <c r="M193" s="8"/>
    </row>
    <row r="194">
      <c r="A194" s="542"/>
      <c r="B194" s="551" t="str">
        <f t="array" ref="B194">IF(LEN(E194),INDEX('4-All Devices'!AG:AG, MATCH(E194, '4-All Devices'!AF:AF, 0)),"")</f>
        <v>in-blr-ananta-hli-214</v>
      </c>
      <c r="C194" s="549" t="s">
        <v>11186</v>
      </c>
      <c r="D194" s="549" t="s">
        <v>11187</v>
      </c>
      <c r="E194" s="8" t="str">
        <f>IFERROR(__xludf.DUMMYFUNCTION("""COMPUTED_VALUE"""),"B8:27:EB:91:A0:1B")</f>
        <v>B8:27:EB:91:A0:1B</v>
      </c>
      <c r="F194" s="552" t="s">
        <v>11188</v>
      </c>
      <c r="G194" s="8"/>
      <c r="H194" s="8"/>
      <c r="I194" s="8"/>
      <c r="J194" s="546" t="str">
        <f t="array" ref="J194">IF(LEN($E194),INDEX('4-All Devices'!AE:AE, MATCH($E194, '4-All Devices'!AF:AF, 0)),"")</f>
        <v>Corphosted</v>
      </c>
      <c r="K194" s="8"/>
      <c r="L194" s="8"/>
      <c r="M194" s="8"/>
    </row>
    <row r="195">
      <c r="A195" s="542"/>
      <c r="B195" s="551" t="str">
        <f t="array" ref="B195">IF(LEN(E195),INDEX('4-All Devices'!AG:AG, MATCH(E195, '4-All Devices'!AF:AF, 0)),"")</f>
        <v>in-blr-ananta-hli-215</v>
      </c>
      <c r="C195" s="549" t="s">
        <v>11186</v>
      </c>
      <c r="D195" s="549" t="s">
        <v>11187</v>
      </c>
      <c r="E195" s="8" t="str">
        <f>IFERROR(__xludf.DUMMYFUNCTION("""COMPUTED_VALUE"""),"B8:27:EB:E3:3A:6B")</f>
        <v>B8:27:EB:E3:3A:6B</v>
      </c>
      <c r="F195" s="552" t="s">
        <v>11188</v>
      </c>
      <c r="G195" s="8"/>
      <c r="H195" s="8"/>
      <c r="I195" s="8"/>
      <c r="J195" s="546" t="str">
        <f t="array" ref="J195">IF(LEN($E195),INDEX('4-All Devices'!AE:AE, MATCH($E195, '4-All Devices'!AF:AF, 0)),"")</f>
        <v>Corphosted</v>
      </c>
      <c r="K195" s="8"/>
      <c r="L195" s="8"/>
      <c r="M195" s="8"/>
    </row>
    <row r="196">
      <c r="A196" s="542"/>
      <c r="B196" s="551" t="str">
        <f t="array" ref="B196">IF(LEN(E196),INDEX('4-All Devices'!AG:AG, MATCH(E196, '4-All Devices'!AF:AF, 0)),"")</f>
        <v>in-blr-ananta-hli-216</v>
      </c>
      <c r="C196" s="549" t="s">
        <v>11186</v>
      </c>
      <c r="D196" s="549" t="s">
        <v>11187</v>
      </c>
      <c r="E196" s="8" t="str">
        <f>IFERROR(__xludf.DUMMYFUNCTION("""COMPUTED_VALUE"""),"B8:27:EB:5C:50:E6")</f>
        <v>B8:27:EB:5C:50:E6</v>
      </c>
      <c r="F196" s="552" t="s">
        <v>11188</v>
      </c>
      <c r="G196" s="8"/>
      <c r="H196" s="8"/>
      <c r="I196" s="8"/>
      <c r="J196" s="546" t="str">
        <f t="array" ref="J196">IF(LEN($E196),INDEX('4-All Devices'!AE:AE, MATCH($E196, '4-All Devices'!AF:AF, 0)),"")</f>
        <v>Corphosted</v>
      </c>
      <c r="K196" s="8"/>
      <c r="L196" s="8"/>
      <c r="M196" s="8"/>
    </row>
    <row r="197">
      <c r="A197" s="542"/>
      <c r="B197" s="551" t="str">
        <f t="array" ref="B197">IF(LEN(E197),INDEX('4-All Devices'!AG:AG, MATCH(E197, '4-All Devices'!AF:AF, 0)),"")</f>
        <v>in-blr-ananta-hli-217</v>
      </c>
      <c r="C197" s="549" t="s">
        <v>11186</v>
      </c>
      <c r="D197" s="549" t="s">
        <v>11187</v>
      </c>
      <c r="E197" s="8" t="str">
        <f>IFERROR(__xludf.DUMMYFUNCTION("""COMPUTED_VALUE"""),"B8:27:EB:E5:F0:39")</f>
        <v>B8:27:EB:E5:F0:39</v>
      </c>
      <c r="F197" s="552" t="s">
        <v>11188</v>
      </c>
      <c r="G197" s="8"/>
      <c r="H197" s="8"/>
      <c r="I197" s="8"/>
      <c r="J197" s="546" t="str">
        <f t="array" ref="J197">IF(LEN($E197),INDEX('4-All Devices'!AE:AE, MATCH($E197, '4-All Devices'!AF:AF, 0)),"")</f>
        <v>Corphosted</v>
      </c>
      <c r="K197" s="8"/>
      <c r="L197" s="8"/>
      <c r="M197" s="8"/>
    </row>
    <row r="198">
      <c r="A198" s="542"/>
      <c r="B198" s="551" t="str">
        <f t="array" ref="B198">IF(LEN(E198),INDEX('4-All Devices'!AG:AG, MATCH(E198, '4-All Devices'!AF:AF, 0)),"")</f>
        <v>in-blr-ananta-hli-218</v>
      </c>
      <c r="C198" s="549" t="s">
        <v>11186</v>
      </c>
      <c r="D198" s="549" t="s">
        <v>11187</v>
      </c>
      <c r="E198" s="8" t="str">
        <f>IFERROR(__xludf.DUMMYFUNCTION("""COMPUTED_VALUE"""),"B8:27:EB:70:3A:EE")</f>
        <v>B8:27:EB:70:3A:EE</v>
      </c>
      <c r="F198" s="552" t="s">
        <v>11188</v>
      </c>
      <c r="G198" s="8"/>
      <c r="H198" s="8"/>
      <c r="I198" s="8"/>
      <c r="J198" s="546" t="str">
        <f t="array" ref="J198">IF(LEN($E198),INDEX('4-All Devices'!AE:AE, MATCH($E198, '4-All Devices'!AF:AF, 0)),"")</f>
        <v>Corphosted</v>
      </c>
      <c r="K198" s="8"/>
      <c r="L198" s="8"/>
      <c r="M198" s="8"/>
    </row>
    <row r="199">
      <c r="A199" s="542"/>
      <c r="B199" s="551" t="str">
        <f t="array" ref="B199">IF(LEN(E199),INDEX('4-All Devices'!AG:AG, MATCH(E199, '4-All Devices'!AF:AF, 0)),"")</f>
        <v>in-blr-ananta-hli-219</v>
      </c>
      <c r="C199" s="549" t="s">
        <v>11186</v>
      </c>
      <c r="D199" s="549" t="s">
        <v>11187</v>
      </c>
      <c r="E199" s="8" t="str">
        <f>IFERROR(__xludf.DUMMYFUNCTION("""COMPUTED_VALUE"""),"B8:27:EB:95:96:A1")</f>
        <v>B8:27:EB:95:96:A1</v>
      </c>
      <c r="F199" s="552" t="s">
        <v>11188</v>
      </c>
      <c r="G199" s="8"/>
      <c r="H199" s="8"/>
      <c r="I199" s="8"/>
      <c r="J199" s="546" t="str">
        <f t="array" ref="J199">IF(LEN($E199),INDEX('4-All Devices'!AE:AE, MATCH($E199, '4-All Devices'!AF:AF, 0)),"")</f>
        <v>Corphosted</v>
      </c>
      <c r="K199" s="8"/>
      <c r="L199" s="8"/>
      <c r="M199" s="8"/>
    </row>
    <row r="200">
      <c r="A200" s="542"/>
      <c r="B200" s="551" t="str">
        <f t="array" ref="B200">IF(LEN(E200),INDEX('4-All Devices'!AG:AG, MATCH(E200, '4-All Devices'!AF:AF, 0)),"")</f>
        <v>in-blr-ananta-hli-220</v>
      </c>
      <c r="C200" s="549" t="s">
        <v>11186</v>
      </c>
      <c r="D200" s="549" t="s">
        <v>11187</v>
      </c>
      <c r="E200" s="8" t="str">
        <f>IFERROR(__xludf.DUMMYFUNCTION("""COMPUTED_VALUE"""),"B8:27:EB:BD:3F:ED")</f>
        <v>B8:27:EB:BD:3F:ED</v>
      </c>
      <c r="F200" s="552" t="s">
        <v>11188</v>
      </c>
      <c r="G200" s="8"/>
      <c r="H200" s="8"/>
      <c r="I200" s="8"/>
      <c r="J200" s="546" t="str">
        <f t="array" ref="J200">IF(LEN($E200),INDEX('4-All Devices'!AE:AE, MATCH($E200, '4-All Devices'!AF:AF, 0)),"")</f>
        <v>Corphosted</v>
      </c>
      <c r="K200" s="8"/>
      <c r="L200" s="8"/>
      <c r="M200" s="8"/>
    </row>
    <row r="201">
      <c r="A201" s="542"/>
      <c r="B201" s="551" t="str">
        <f t="array" ref="B201">IF(LEN(E201),INDEX('4-All Devices'!AG:AG, MATCH(E201, '4-All Devices'!AF:AF, 0)),"")</f>
        <v>in-blr-ananta-hli-221</v>
      </c>
      <c r="C201" s="549" t="s">
        <v>11186</v>
      </c>
      <c r="D201" s="549" t="s">
        <v>11187</v>
      </c>
      <c r="E201" s="8" t="str">
        <f>IFERROR(__xludf.DUMMYFUNCTION("""COMPUTED_VALUE"""),"B8:27:EB:6C:12:56")</f>
        <v>B8:27:EB:6C:12:56</v>
      </c>
      <c r="F201" s="552" t="s">
        <v>11188</v>
      </c>
      <c r="G201" s="8"/>
      <c r="H201" s="8"/>
      <c r="I201" s="8"/>
      <c r="J201" s="546" t="str">
        <f t="array" ref="J201">IF(LEN($E201),INDEX('4-All Devices'!AE:AE, MATCH($E201, '4-All Devices'!AF:AF, 0)),"")</f>
        <v>Corphosted</v>
      </c>
      <c r="K201" s="8"/>
      <c r="L201" s="8"/>
      <c r="M201" s="8"/>
    </row>
    <row r="202">
      <c r="A202" s="542"/>
      <c r="B202" s="551" t="str">
        <f t="array" ref="B202">IF(LEN(E202),INDEX('4-All Devices'!AG:AG, MATCH(E202, '4-All Devices'!AF:AF, 0)),"")</f>
        <v>in-blr-ananta-hli-222</v>
      </c>
      <c r="C202" s="549" t="s">
        <v>11186</v>
      </c>
      <c r="D202" s="549" t="s">
        <v>11187</v>
      </c>
      <c r="E202" s="8" t="str">
        <f>IFERROR(__xludf.DUMMYFUNCTION("""COMPUTED_VALUE"""),"B8:27:EB:D3:AE:FB")</f>
        <v>B8:27:EB:D3:AE:FB</v>
      </c>
      <c r="F202" s="552" t="s">
        <v>11188</v>
      </c>
      <c r="G202" s="8"/>
      <c r="H202" s="8"/>
      <c r="I202" s="8"/>
      <c r="J202" s="546" t="str">
        <f t="array" ref="J202">IF(LEN($E202),INDEX('4-All Devices'!AE:AE, MATCH($E202, '4-All Devices'!AF:AF, 0)),"")</f>
        <v>Corphosted</v>
      </c>
      <c r="K202" s="8"/>
      <c r="L202" s="8"/>
      <c r="M202" s="8"/>
    </row>
    <row r="203">
      <c r="A203" s="542"/>
      <c r="B203" s="551" t="str">
        <f t="array" ref="B203">IF(LEN(E203),INDEX('4-All Devices'!AG:AG, MATCH(E203, '4-All Devices'!AF:AF, 0)),"")</f>
        <v>in-blr-ananta-hli-223</v>
      </c>
      <c r="C203" s="549" t="s">
        <v>11186</v>
      </c>
      <c r="D203" s="549" t="s">
        <v>11187</v>
      </c>
      <c r="E203" s="8" t="str">
        <f>IFERROR(__xludf.DUMMYFUNCTION("""COMPUTED_VALUE"""),"B8:27:EB:51:B3:97")</f>
        <v>B8:27:EB:51:B3:97</v>
      </c>
      <c r="F203" s="552" t="s">
        <v>11188</v>
      </c>
      <c r="G203" s="8"/>
      <c r="H203" s="8"/>
      <c r="I203" s="8"/>
      <c r="J203" s="546" t="str">
        <f t="array" ref="J203">IF(LEN($E203),INDEX('4-All Devices'!AE:AE, MATCH($E203, '4-All Devices'!AF:AF, 0)),"")</f>
        <v>Corphosted</v>
      </c>
      <c r="K203" s="8"/>
      <c r="L203" s="8"/>
      <c r="M203" s="8"/>
    </row>
    <row r="204">
      <c r="A204" s="542"/>
      <c r="B204" s="551" t="str">
        <f t="array" ref="B204">IF(LEN(E204),INDEX('4-All Devices'!AG:AG, MATCH(E204, '4-All Devices'!AF:AF, 0)),"")</f>
        <v>in-blr-ananta-hli-224</v>
      </c>
      <c r="C204" s="549" t="s">
        <v>11186</v>
      </c>
      <c r="D204" s="549" t="s">
        <v>11187</v>
      </c>
      <c r="E204" s="8" t="str">
        <f>IFERROR(__xludf.DUMMYFUNCTION("""COMPUTED_VALUE"""),"B8:27:EB:62:9A:15")</f>
        <v>B8:27:EB:62:9A:15</v>
      </c>
      <c r="F204" s="552" t="s">
        <v>11188</v>
      </c>
      <c r="G204" s="8"/>
      <c r="H204" s="8"/>
      <c r="I204" s="8"/>
      <c r="J204" s="546" t="str">
        <f t="array" ref="J204">IF(LEN($E204),INDEX('4-All Devices'!AE:AE, MATCH($E204, '4-All Devices'!AF:AF, 0)),"")</f>
        <v>Corphosted</v>
      </c>
      <c r="K204" s="8"/>
      <c r="L204" s="8"/>
      <c r="M204" s="8"/>
    </row>
    <row r="205">
      <c r="A205" s="542"/>
      <c r="B205" s="551" t="str">
        <f t="array" ref="B205">IF(LEN(E205),INDEX('4-All Devices'!AG:AG, MATCH(E205, '4-All Devices'!AF:AF, 0)),"")</f>
        <v>in-blr-ananta-hli-225</v>
      </c>
      <c r="C205" s="549" t="s">
        <v>11186</v>
      </c>
      <c r="D205" s="549" t="s">
        <v>11187</v>
      </c>
      <c r="E205" s="8" t="str">
        <f>IFERROR(__xludf.DUMMYFUNCTION("""COMPUTED_VALUE"""),"B8:27:EB:EA:DA:83")</f>
        <v>B8:27:EB:EA:DA:83</v>
      </c>
      <c r="F205" s="552" t="s">
        <v>11188</v>
      </c>
      <c r="G205" s="8"/>
      <c r="H205" s="8"/>
      <c r="I205" s="8"/>
      <c r="J205" s="546" t="str">
        <f t="array" ref="J205">IF(LEN($E205),INDEX('4-All Devices'!AE:AE, MATCH($E205, '4-All Devices'!AF:AF, 0)),"")</f>
        <v>Corphosted</v>
      </c>
      <c r="K205" s="8"/>
      <c r="L205" s="8"/>
      <c r="M205" s="8"/>
    </row>
    <row r="206">
      <c r="A206" s="542"/>
      <c r="B206" s="551" t="str">
        <f t="array" ref="B206">IF(LEN(E206),INDEX('4-All Devices'!AG:AG, MATCH(E206, '4-All Devices'!AF:AF, 0)),"")</f>
        <v>in-blr-ananta-hli-226</v>
      </c>
      <c r="C206" s="549" t="s">
        <v>11186</v>
      </c>
      <c r="D206" s="549" t="s">
        <v>11187</v>
      </c>
      <c r="E206" s="8" t="str">
        <f>IFERROR(__xludf.DUMMYFUNCTION("""COMPUTED_VALUE"""),"B8:27:EB:18:AE:60")</f>
        <v>B8:27:EB:18:AE:60</v>
      </c>
      <c r="F206" s="552" t="s">
        <v>11188</v>
      </c>
      <c r="G206" s="8"/>
      <c r="H206" s="8"/>
      <c r="I206" s="8"/>
      <c r="J206" s="546" t="str">
        <f t="array" ref="J206">IF(LEN($E206),INDEX('4-All Devices'!AE:AE, MATCH($E206, '4-All Devices'!AF:AF, 0)),"")</f>
        <v>Corphosted</v>
      </c>
      <c r="K206" s="8"/>
      <c r="L206" s="8"/>
      <c r="M206" s="8"/>
    </row>
    <row r="207">
      <c r="A207" s="542"/>
      <c r="B207" s="551" t="str">
        <f t="array" ref="B207">IF(LEN(E207),INDEX('4-All Devices'!AG:AG, MATCH(E207, '4-All Devices'!AF:AF, 0)),"")</f>
        <v>in-blr-ananta-hli-227</v>
      </c>
      <c r="C207" s="549" t="s">
        <v>11186</v>
      </c>
      <c r="D207" s="549" t="s">
        <v>11187</v>
      </c>
      <c r="E207" s="8" t="str">
        <f>IFERROR(__xludf.DUMMYFUNCTION("""COMPUTED_VALUE"""),"B8:27:EB:74:05:E7")</f>
        <v>B8:27:EB:74:05:E7</v>
      </c>
      <c r="F207" s="552" t="s">
        <v>11188</v>
      </c>
      <c r="G207" s="8"/>
      <c r="H207" s="8"/>
      <c r="I207" s="8"/>
      <c r="J207" s="546" t="str">
        <f t="array" ref="J207">IF(LEN($E207),INDEX('4-All Devices'!AE:AE, MATCH($E207, '4-All Devices'!AF:AF, 0)),"")</f>
        <v>Corphosted</v>
      </c>
      <c r="K207" s="8"/>
      <c r="L207" s="8"/>
      <c r="M207" s="8"/>
    </row>
    <row r="208">
      <c r="A208" s="542"/>
      <c r="B208" s="551" t="str">
        <f t="array" ref="B208">IF(LEN(E208),INDEX('4-All Devices'!AG:AG, MATCH(E208, '4-All Devices'!AF:AF, 0)),"")</f>
        <v>in-blr-ananta-hli-228</v>
      </c>
      <c r="C208" s="549" t="s">
        <v>11186</v>
      </c>
      <c r="D208" s="549" t="s">
        <v>11187</v>
      </c>
      <c r="E208" s="8" t="str">
        <f>IFERROR(__xludf.DUMMYFUNCTION("""COMPUTED_VALUE"""),"B8:27:EB:73:CC:ED")</f>
        <v>B8:27:EB:73:CC:ED</v>
      </c>
      <c r="F208" s="552" t="s">
        <v>11188</v>
      </c>
      <c r="G208" s="8"/>
      <c r="H208" s="8"/>
      <c r="I208" s="8"/>
      <c r="J208" s="546" t="str">
        <f t="array" ref="J208">IF(LEN($E208),INDEX('4-All Devices'!AE:AE, MATCH($E208, '4-All Devices'!AF:AF, 0)),"")</f>
        <v>Corphosted</v>
      </c>
      <c r="K208" s="8"/>
      <c r="L208" s="8"/>
      <c r="M208" s="8"/>
    </row>
    <row r="209">
      <c r="A209" s="542"/>
      <c r="B209" s="551" t="str">
        <f t="array" ref="B209">IF(LEN(E209),INDEX('4-All Devices'!AG:AG, MATCH(E209, '4-All Devices'!AF:AF, 0)),"")</f>
        <v>in-blr-ananta-hli-229</v>
      </c>
      <c r="C209" s="549" t="s">
        <v>11186</v>
      </c>
      <c r="D209" s="549" t="s">
        <v>11187</v>
      </c>
      <c r="E209" s="8" t="str">
        <f>IFERROR(__xludf.DUMMYFUNCTION("""COMPUTED_VALUE"""),"B8:27:EB:12:82:C2")</f>
        <v>B8:27:EB:12:82:C2</v>
      </c>
      <c r="F209" s="552" t="s">
        <v>11188</v>
      </c>
      <c r="G209" s="8"/>
      <c r="H209" s="8"/>
      <c r="I209" s="8"/>
      <c r="J209" s="546" t="str">
        <f t="array" ref="J209">IF(LEN($E209),INDEX('4-All Devices'!AE:AE, MATCH($E209, '4-All Devices'!AF:AF, 0)),"")</f>
        <v>Corphosted</v>
      </c>
      <c r="K209" s="8"/>
      <c r="L209" s="8"/>
      <c r="M209" s="8"/>
    </row>
    <row r="210">
      <c r="A210" s="542"/>
      <c r="B210" s="551" t="str">
        <f t="array" ref="B210">IF(LEN(E210),INDEX('4-All Devices'!AG:AG, MATCH(E210, '4-All Devices'!AF:AF, 0)),"")</f>
        <v>in-blr-ananta-hli-230</v>
      </c>
      <c r="C210" s="549" t="s">
        <v>11186</v>
      </c>
      <c r="D210" s="549" t="s">
        <v>11187</v>
      </c>
      <c r="E210" s="8" t="str">
        <f>IFERROR(__xludf.DUMMYFUNCTION("""COMPUTED_VALUE"""),"B8:27:EB:E3:3A:D7")</f>
        <v>B8:27:EB:E3:3A:D7</v>
      </c>
      <c r="F210" s="552" t="s">
        <v>11188</v>
      </c>
      <c r="G210" s="8"/>
      <c r="H210" s="8"/>
      <c r="I210" s="8"/>
      <c r="J210" s="546" t="str">
        <f t="array" ref="J210">IF(LEN($E210),INDEX('4-All Devices'!AE:AE, MATCH($E210, '4-All Devices'!AF:AF, 0)),"")</f>
        <v>Corphosted</v>
      </c>
      <c r="K210" s="8"/>
      <c r="L210" s="8"/>
      <c r="M210" s="8"/>
    </row>
    <row r="211">
      <c r="A211" s="542"/>
      <c r="B211" s="551" t="str">
        <f t="array" ref="B211">IF(LEN(E211),INDEX('4-All Devices'!AG:AG, MATCH(E211, '4-All Devices'!AF:AF, 0)),"")</f>
        <v>in-blr-ananta-hli-231</v>
      </c>
      <c r="C211" s="549" t="s">
        <v>11186</v>
      </c>
      <c r="D211" s="549" t="s">
        <v>11187</v>
      </c>
      <c r="E211" s="8" t="str">
        <f>IFERROR(__xludf.DUMMYFUNCTION("""COMPUTED_VALUE"""),"B8:27:EB:AA:F1:1A")</f>
        <v>B8:27:EB:AA:F1:1A</v>
      </c>
      <c r="F211" s="552" t="s">
        <v>11188</v>
      </c>
      <c r="G211" s="8"/>
      <c r="H211" s="8"/>
      <c r="I211" s="8"/>
      <c r="J211" s="546" t="str">
        <f t="array" ref="J211">IF(LEN($E211),INDEX('4-All Devices'!AE:AE, MATCH($E211, '4-All Devices'!AF:AF, 0)),"")</f>
        <v>Corphosted</v>
      </c>
      <c r="K211" s="8"/>
      <c r="L211" s="8"/>
      <c r="M211" s="8"/>
    </row>
    <row r="212">
      <c r="A212" s="542"/>
      <c r="B212" s="551" t="str">
        <f t="array" ref="B212">IF(LEN(E212),INDEX('4-All Devices'!AG:AG, MATCH(E212, '4-All Devices'!AF:AF, 0)),"")</f>
        <v>in-blr-ananta-hli-232</v>
      </c>
      <c r="C212" s="549" t="s">
        <v>11186</v>
      </c>
      <c r="D212" s="549" t="s">
        <v>11187</v>
      </c>
      <c r="E212" s="8" t="str">
        <f>IFERROR(__xludf.DUMMYFUNCTION("""COMPUTED_VALUE"""),"B8:27:EB:0A:CC:68")</f>
        <v>B8:27:EB:0A:CC:68</v>
      </c>
      <c r="F212" s="552" t="s">
        <v>11188</v>
      </c>
      <c r="G212" s="8"/>
      <c r="H212" s="8"/>
      <c r="I212" s="8"/>
      <c r="J212" s="546" t="str">
        <f t="array" ref="J212">IF(LEN($E212),INDEX('4-All Devices'!AE:AE, MATCH($E212, '4-All Devices'!AF:AF, 0)),"")</f>
        <v>Corphosted</v>
      </c>
      <c r="K212" s="8"/>
      <c r="L212" s="8"/>
      <c r="M212" s="8"/>
    </row>
    <row r="213">
      <c r="A213" s="542"/>
      <c r="B213" s="551" t="str">
        <f t="array" ref="B213">IF(LEN(E213),INDEX('4-All Devices'!AG:AG, MATCH(E213, '4-All Devices'!AF:AF, 0)),"")</f>
        <v>in-blr-ananta-hli-233</v>
      </c>
      <c r="C213" s="549" t="s">
        <v>11186</v>
      </c>
      <c r="D213" s="549" t="s">
        <v>11187</v>
      </c>
      <c r="E213" s="8" t="str">
        <f>IFERROR(__xludf.DUMMYFUNCTION("""COMPUTED_VALUE"""),"B8:27:EB:AC:D0:00")</f>
        <v>B8:27:EB:AC:D0:00</v>
      </c>
      <c r="F213" s="552" t="s">
        <v>11188</v>
      </c>
      <c r="G213" s="8"/>
      <c r="H213" s="8"/>
      <c r="I213" s="8"/>
      <c r="J213" s="546" t="str">
        <f t="array" ref="J213">IF(LEN($E213),INDEX('4-All Devices'!AE:AE, MATCH($E213, '4-All Devices'!AF:AF, 0)),"")</f>
        <v>Corphosted</v>
      </c>
      <c r="K213" s="8"/>
      <c r="L213" s="8"/>
      <c r="M213" s="8"/>
    </row>
    <row r="214">
      <c r="A214" s="542"/>
      <c r="B214" s="551" t="str">
        <f t="array" ref="B214">IF(LEN(E214),INDEX('4-All Devices'!AG:AG, MATCH(E214, '4-All Devices'!AF:AF, 0)),"")</f>
        <v>in-blr-ananta-hli-234</v>
      </c>
      <c r="C214" s="549" t="s">
        <v>11186</v>
      </c>
      <c r="D214" s="549" t="s">
        <v>11187</v>
      </c>
      <c r="E214" s="8" t="str">
        <f>IFERROR(__xludf.DUMMYFUNCTION("""COMPUTED_VALUE"""),"B8:27:EB:7A:07:0E")</f>
        <v>B8:27:EB:7A:07:0E</v>
      </c>
      <c r="F214" s="552" t="s">
        <v>11188</v>
      </c>
      <c r="G214" s="8"/>
      <c r="H214" s="8"/>
      <c r="I214" s="8"/>
      <c r="J214" s="546" t="str">
        <f t="array" ref="J214">IF(LEN($E214),INDEX('4-All Devices'!AE:AE, MATCH($E214, '4-All Devices'!AF:AF, 0)),"")</f>
        <v>Corphosted</v>
      </c>
      <c r="K214" s="8"/>
      <c r="L214" s="8"/>
      <c r="M214" s="8"/>
    </row>
    <row r="215">
      <c r="A215" s="542"/>
      <c r="B215" s="551" t="str">
        <f t="array" ref="B215">IF(LEN(E215),INDEX('4-All Devices'!AG:AG, MATCH(E215, '4-All Devices'!AF:AF, 0)),"")</f>
        <v>in-blr-ananta-hli-235</v>
      </c>
      <c r="C215" s="549" t="s">
        <v>11186</v>
      </c>
      <c r="D215" s="549" t="s">
        <v>11187</v>
      </c>
      <c r="E215" s="8" t="str">
        <f>IFERROR(__xludf.DUMMYFUNCTION("""COMPUTED_VALUE"""),"B8:27:EB:F1:86:78")</f>
        <v>B8:27:EB:F1:86:78</v>
      </c>
      <c r="F215" s="552" t="s">
        <v>11188</v>
      </c>
      <c r="G215" s="8"/>
      <c r="H215" s="8"/>
      <c r="I215" s="8"/>
      <c r="J215" s="546" t="str">
        <f t="array" ref="J215">IF(LEN($E215),INDEX('4-All Devices'!AE:AE, MATCH($E215, '4-All Devices'!AF:AF, 0)),"")</f>
        <v>Corphosted</v>
      </c>
      <c r="K215" s="8"/>
      <c r="L215" s="8"/>
      <c r="M215" s="8"/>
    </row>
    <row r="216">
      <c r="A216" s="542"/>
      <c r="B216" s="551" t="str">
        <f t="array" ref="B216">IF(LEN(E216),INDEX('4-All Devices'!AG:AG, MATCH(E216, '4-All Devices'!AF:AF, 0)),"")</f>
        <v>in-blr-ananta-hli-236</v>
      </c>
      <c r="C216" s="549" t="s">
        <v>11186</v>
      </c>
      <c r="D216" s="549" t="s">
        <v>11187</v>
      </c>
      <c r="E216" s="8" t="str">
        <f>IFERROR(__xludf.DUMMYFUNCTION("""COMPUTED_VALUE"""),"B8:27:EB:9F:B3:AB")</f>
        <v>B8:27:EB:9F:B3:AB</v>
      </c>
      <c r="F216" s="552" t="s">
        <v>11188</v>
      </c>
      <c r="G216" s="8"/>
      <c r="H216" s="8"/>
      <c r="I216" s="8"/>
      <c r="J216" s="546" t="str">
        <f t="array" ref="J216">IF(LEN($E216),INDEX('4-All Devices'!AE:AE, MATCH($E216, '4-All Devices'!AF:AF, 0)),"")</f>
        <v>Corphosted</v>
      </c>
      <c r="K216" s="8"/>
      <c r="L216" s="8"/>
      <c r="M216" s="8"/>
    </row>
    <row r="217">
      <c r="A217" s="542"/>
      <c r="B217" s="551" t="str">
        <f t="array" ref="B217">IF(LEN(E217),INDEX('4-All Devices'!AG:AG, MATCH(E217, '4-All Devices'!AF:AF, 0)),"")</f>
        <v>in-blr-ananta-hli-237</v>
      </c>
      <c r="C217" s="549" t="s">
        <v>11186</v>
      </c>
      <c r="D217" s="549" t="s">
        <v>11187</v>
      </c>
      <c r="E217" s="8" t="str">
        <f>IFERROR(__xludf.DUMMYFUNCTION("""COMPUTED_VALUE"""),"B8:27:EB:BC:EE:11")</f>
        <v>B8:27:EB:BC:EE:11</v>
      </c>
      <c r="F217" s="552" t="s">
        <v>11188</v>
      </c>
      <c r="G217" s="8"/>
      <c r="H217" s="8"/>
      <c r="I217" s="8"/>
      <c r="J217" s="546" t="str">
        <f t="array" ref="J217">IF(LEN($E217),INDEX('4-All Devices'!AE:AE, MATCH($E217, '4-All Devices'!AF:AF, 0)),"")</f>
        <v>Corphosted</v>
      </c>
      <c r="K217" s="8"/>
      <c r="L217" s="8"/>
      <c r="M217" s="8"/>
    </row>
    <row r="218">
      <c r="A218" s="542"/>
      <c r="B218" s="551" t="str">
        <f t="array" ref="B218">IF(LEN(E218),INDEX('4-All Devices'!AG:AG, MATCH(E218, '4-All Devices'!AF:AF, 0)),"")</f>
        <v>in-blr-ananta-hli-238</v>
      </c>
      <c r="C218" s="549" t="s">
        <v>11186</v>
      </c>
      <c r="D218" s="549" t="s">
        <v>11187</v>
      </c>
      <c r="E218" s="8" t="str">
        <f>IFERROR(__xludf.DUMMYFUNCTION("""COMPUTED_VALUE"""),"B8:27:EB:90:96:09")</f>
        <v>B8:27:EB:90:96:09</v>
      </c>
      <c r="F218" s="552" t="s">
        <v>11188</v>
      </c>
      <c r="G218" s="8"/>
      <c r="H218" s="8"/>
      <c r="I218" s="8"/>
      <c r="J218" s="546" t="str">
        <f t="array" ref="J218">IF(LEN($E218),INDEX('4-All Devices'!AE:AE, MATCH($E218, '4-All Devices'!AF:AF, 0)),"")</f>
        <v>Corphosted</v>
      </c>
      <c r="K218" s="8"/>
      <c r="L218" s="8"/>
      <c r="M218" s="8"/>
    </row>
    <row r="219">
      <c r="A219" s="542"/>
      <c r="B219" s="551" t="str">
        <f t="array" ref="B219">IF(LEN(E219),INDEX('4-All Devices'!AG:AG, MATCH(E219, '4-All Devices'!AF:AF, 0)),"")</f>
        <v>in-blr-ananta-hli-239</v>
      </c>
      <c r="C219" s="549" t="s">
        <v>11186</v>
      </c>
      <c r="D219" s="549" t="s">
        <v>11187</v>
      </c>
      <c r="E219" s="8" t="str">
        <f>IFERROR(__xludf.DUMMYFUNCTION("""COMPUTED_VALUE"""),"B8:27:EB:0B:E0:5F")</f>
        <v>B8:27:EB:0B:E0:5F</v>
      </c>
      <c r="F219" s="552" t="s">
        <v>11188</v>
      </c>
      <c r="G219" s="8"/>
      <c r="H219" s="8"/>
      <c r="I219" s="8"/>
      <c r="J219" s="546" t="str">
        <f t="array" ref="J219">IF(LEN($E219),INDEX('4-All Devices'!AE:AE, MATCH($E219, '4-All Devices'!AF:AF, 0)),"")</f>
        <v>Corphosted</v>
      </c>
      <c r="K219" s="8"/>
      <c r="L219" s="8"/>
      <c r="M219" s="8"/>
    </row>
    <row r="220">
      <c r="A220" s="542"/>
      <c r="B220" s="551" t="str">
        <f t="array" ref="B220">IF(LEN(E220),INDEX('4-All Devices'!AG:AG, MATCH(E220, '4-All Devices'!AF:AF, 0)),"")</f>
        <v>in-blr-ananta-hli-240</v>
      </c>
      <c r="C220" s="549" t="s">
        <v>11186</v>
      </c>
      <c r="D220" s="549" t="s">
        <v>11187</v>
      </c>
      <c r="E220" s="8" t="str">
        <f>IFERROR(__xludf.DUMMYFUNCTION("""COMPUTED_VALUE"""),"B8:27:EB:F6:21:AD")</f>
        <v>B8:27:EB:F6:21:AD</v>
      </c>
      <c r="F220" s="552" t="s">
        <v>11188</v>
      </c>
      <c r="G220" s="8"/>
      <c r="H220" s="8"/>
      <c r="I220" s="8"/>
      <c r="J220" s="546" t="str">
        <f t="array" ref="J220">IF(LEN($E220),INDEX('4-All Devices'!AE:AE, MATCH($E220, '4-All Devices'!AF:AF, 0)),"")</f>
        <v>Corphosted</v>
      </c>
      <c r="K220" s="8"/>
      <c r="L220" s="8"/>
      <c r="M220" s="8"/>
    </row>
    <row r="221">
      <c r="A221" s="542"/>
      <c r="B221" s="551" t="str">
        <f t="array" ref="B221">IF(LEN(E221),INDEX('4-All Devices'!AG:AG, MATCH(E221, '4-All Devices'!AF:AF, 0)),"")</f>
        <v>in-blr-ananta-hli-241</v>
      </c>
      <c r="C221" s="549" t="s">
        <v>11186</v>
      </c>
      <c r="D221" s="549" t="s">
        <v>11187</v>
      </c>
      <c r="E221" s="8" t="str">
        <f>IFERROR(__xludf.DUMMYFUNCTION("""COMPUTED_VALUE"""),"B8:27:EB:BC:3F:9F")</f>
        <v>B8:27:EB:BC:3F:9F</v>
      </c>
      <c r="F221" s="552" t="s">
        <v>11188</v>
      </c>
      <c r="G221" s="8"/>
      <c r="H221" s="8"/>
      <c r="I221" s="8"/>
      <c r="J221" s="546" t="str">
        <f t="array" ref="J221">IF(LEN($E221),INDEX('4-All Devices'!AE:AE, MATCH($E221, '4-All Devices'!AF:AF, 0)),"")</f>
        <v>Corphosted</v>
      </c>
      <c r="K221" s="8"/>
      <c r="L221" s="8"/>
      <c r="M221" s="8"/>
    </row>
    <row r="222">
      <c r="A222" s="542"/>
      <c r="B222" s="551" t="str">
        <f t="array" ref="B222">IF(LEN(E222),INDEX('4-All Devices'!AG:AG, MATCH(E222, '4-All Devices'!AF:AF, 0)),"")</f>
        <v>in-blr-ananta-hli-242</v>
      </c>
      <c r="C222" s="549" t="s">
        <v>11186</v>
      </c>
      <c r="D222" s="549" t="s">
        <v>11187</v>
      </c>
      <c r="E222" s="8" t="str">
        <f>IFERROR(__xludf.DUMMYFUNCTION("""COMPUTED_VALUE"""),"B8:27:EB:DC:F2:E9")</f>
        <v>B8:27:EB:DC:F2:E9</v>
      </c>
      <c r="F222" s="552" t="s">
        <v>11188</v>
      </c>
      <c r="G222" s="8"/>
      <c r="H222" s="8"/>
      <c r="I222" s="8"/>
      <c r="J222" s="546" t="str">
        <f t="array" ref="J222">IF(LEN($E222),INDEX('4-All Devices'!AE:AE, MATCH($E222, '4-All Devices'!AF:AF, 0)),"")</f>
        <v>Corphosted</v>
      </c>
      <c r="K222" s="8"/>
      <c r="L222" s="8"/>
      <c r="M222" s="8"/>
    </row>
    <row r="223">
      <c r="A223" s="542"/>
      <c r="B223" s="551" t="str">
        <f t="array" ref="B223">IF(LEN(E223),INDEX('4-All Devices'!AG:AG, MATCH(E223, '4-All Devices'!AF:AF, 0)),"")</f>
        <v>in-blr-ananta-hli-243</v>
      </c>
      <c r="C223" s="549" t="s">
        <v>11186</v>
      </c>
      <c r="D223" s="549" t="s">
        <v>11187</v>
      </c>
      <c r="E223" s="8" t="str">
        <f>IFERROR(__xludf.DUMMYFUNCTION("""COMPUTED_VALUE"""),"B8:27:EB:76:5C:3A")</f>
        <v>B8:27:EB:76:5C:3A</v>
      </c>
      <c r="F223" s="552" t="s">
        <v>11188</v>
      </c>
      <c r="G223" s="8"/>
      <c r="H223" s="8"/>
      <c r="I223" s="8"/>
      <c r="J223" s="546" t="str">
        <f t="array" ref="J223">IF(LEN($E223),INDEX('4-All Devices'!AE:AE, MATCH($E223, '4-All Devices'!AF:AF, 0)),"")</f>
        <v>Corphosted</v>
      </c>
      <c r="K223" s="8"/>
      <c r="L223" s="8"/>
      <c r="M223" s="8"/>
    </row>
    <row r="224">
      <c r="A224" s="542"/>
      <c r="B224" s="551" t="str">
        <f t="array" ref="B224">IF(LEN(E224),INDEX('4-All Devices'!AG:AG, MATCH(E224, '4-All Devices'!AF:AF, 0)),"")</f>
        <v>in-blr-ananta-hli-244</v>
      </c>
      <c r="C224" s="549" t="s">
        <v>11186</v>
      </c>
      <c r="D224" s="549" t="s">
        <v>11187</v>
      </c>
      <c r="E224" s="8" t="str">
        <f>IFERROR(__xludf.DUMMYFUNCTION("""COMPUTED_VALUE"""),"B8:27:EB:B0:A8:95")</f>
        <v>B8:27:EB:B0:A8:95</v>
      </c>
      <c r="F224" s="552" t="s">
        <v>11188</v>
      </c>
      <c r="G224" s="8"/>
      <c r="H224" s="8"/>
      <c r="I224" s="8"/>
      <c r="J224" s="546" t="str">
        <f t="array" ref="J224">IF(LEN($E224),INDEX('4-All Devices'!AE:AE, MATCH($E224, '4-All Devices'!AF:AF, 0)),"")</f>
        <v>Corphosted</v>
      </c>
      <c r="K224" s="8"/>
      <c r="L224" s="8"/>
      <c r="M224" s="8"/>
    </row>
    <row r="225">
      <c r="A225" s="542"/>
      <c r="B225" s="551" t="str">
        <f t="array" ref="B225">IF(LEN(E225),INDEX('4-All Devices'!AG:AG, MATCH(E225, '4-All Devices'!AF:AF, 0)),"")</f>
        <v>in-blr-ananta-hli-245</v>
      </c>
      <c r="C225" s="549" t="s">
        <v>11186</v>
      </c>
      <c r="D225" s="549" t="s">
        <v>11187</v>
      </c>
      <c r="E225" s="8" t="str">
        <f>IFERROR(__xludf.DUMMYFUNCTION("""COMPUTED_VALUE"""),"B8:27:EB:81:DD:C8")</f>
        <v>B8:27:EB:81:DD:C8</v>
      </c>
      <c r="F225" s="552" t="s">
        <v>11188</v>
      </c>
      <c r="G225" s="8"/>
      <c r="H225" s="8"/>
      <c r="I225" s="8"/>
      <c r="J225" s="546" t="str">
        <f t="array" ref="J225">IF(LEN($E225),INDEX('4-All Devices'!AE:AE, MATCH($E225, '4-All Devices'!AF:AF, 0)),"")</f>
        <v>Corphosted</v>
      </c>
      <c r="K225" s="8"/>
      <c r="L225" s="8"/>
      <c r="M225" s="8"/>
    </row>
    <row r="226">
      <c r="A226" s="542"/>
      <c r="B226" s="551" t="str">
        <f t="array" ref="B226">IF(LEN(E226),INDEX('4-All Devices'!AG:AG, MATCH(E226, '4-All Devices'!AF:AF, 0)),"")</f>
        <v>in-blr-ananta-hli-246</v>
      </c>
      <c r="C226" s="549" t="s">
        <v>11186</v>
      </c>
      <c r="D226" s="549" t="s">
        <v>11187</v>
      </c>
      <c r="E226" s="8" t="str">
        <f>IFERROR(__xludf.DUMMYFUNCTION("""COMPUTED_VALUE"""),"B8:27:EB:CE:18:87")</f>
        <v>B8:27:EB:CE:18:87</v>
      </c>
      <c r="F226" s="552" t="s">
        <v>11188</v>
      </c>
      <c r="G226" s="8"/>
      <c r="H226" s="8"/>
      <c r="I226" s="8"/>
      <c r="J226" s="546" t="str">
        <f t="array" ref="J226">IF(LEN($E226),INDEX('4-All Devices'!AE:AE, MATCH($E226, '4-All Devices'!AF:AF, 0)),"")</f>
        <v>Corphosted</v>
      </c>
      <c r="K226" s="8"/>
      <c r="L226" s="8"/>
      <c r="M226" s="8"/>
    </row>
    <row r="227">
      <c r="A227" s="542"/>
      <c r="B227" s="551" t="str">
        <f t="array" ref="B227">IF(LEN(E227),INDEX('4-All Devices'!AG:AG, MATCH(E227, '4-All Devices'!AF:AF, 0)),"")</f>
        <v>in-blr-ananta-ddc-1</v>
      </c>
      <c r="C227" s="549" t="s">
        <v>11186</v>
      </c>
      <c r="D227" s="549" t="s">
        <v>11187</v>
      </c>
      <c r="E227" s="8" t="str">
        <f>IFERROR(__xludf.DUMMYFUNCTION("""COMPUTED_VALUE"""),"00:E0:C9:28:D1:75")</f>
        <v>00:E0:C9:28:D1:75</v>
      </c>
      <c r="F227" s="552" t="s">
        <v>11188</v>
      </c>
      <c r="G227" s="8"/>
      <c r="H227" s="8"/>
      <c r="I227" s="8"/>
      <c r="J227" s="546" t="str">
        <f t="array" ref="J227">IF(LEN($E227),INDEX('4-All Devices'!AE:AE, MATCH($E227, '4-All Devices'!AF:AF, 0)),"")</f>
        <v>Corphosted</v>
      </c>
      <c r="K227" s="8"/>
      <c r="L227" s="8"/>
      <c r="M227" s="8"/>
    </row>
    <row r="228">
      <c r="A228" s="542"/>
      <c r="B228" s="551" t="str">
        <f t="array" ref="B228">IF(LEN(E228),INDEX('4-All Devices'!AG:AG, MATCH(E228, '4-All Devices'!AF:AF, 0)),"")</f>
        <v>in-blr-ananta-hli-1</v>
      </c>
      <c r="C228" s="549" t="s">
        <v>11186</v>
      </c>
      <c r="D228" s="549" t="s">
        <v>11187</v>
      </c>
      <c r="E228" s="8" t="str">
        <f>IFERROR(__xludf.DUMMYFUNCTION("""COMPUTED_VALUE"""),"00:E0:C9:28:E3:AB")</f>
        <v>00:E0:C9:28:E3:AB</v>
      </c>
      <c r="F228" s="552" t="s">
        <v>11188</v>
      </c>
      <c r="G228" s="8"/>
      <c r="H228" s="8"/>
      <c r="I228" s="8"/>
      <c r="J228" s="546" t="str">
        <f t="array" ref="J228">IF(LEN($E228),INDEX('4-All Devices'!AE:AE, MATCH($E228, '4-All Devices'!AF:AF, 0)),"")</f>
        <v>Corphosted</v>
      </c>
      <c r="K228" s="8"/>
      <c r="L228" s="8"/>
      <c r="M228" s="8"/>
    </row>
    <row r="229">
      <c r="A229" s="542"/>
      <c r="B229" s="551" t="str">
        <f t="array" ref="B229">IF(LEN(E229),INDEX('4-All Devices'!AG:AG, MATCH(E229, '4-All Devices'!AF:AF, 0)),"")</f>
        <v>in-blr-ananta-ddc-2</v>
      </c>
      <c r="C229" s="549" t="s">
        <v>11186</v>
      </c>
      <c r="D229" s="549" t="s">
        <v>11187</v>
      </c>
      <c r="E229" s="8" t="str">
        <f>IFERROR(__xludf.DUMMYFUNCTION("""COMPUTED_VALUE"""),"00:E0:C9:28:D1:9B")</f>
        <v>00:E0:C9:28:D1:9B</v>
      </c>
      <c r="F229" s="552" t="s">
        <v>11188</v>
      </c>
      <c r="G229" s="8"/>
      <c r="H229" s="8"/>
      <c r="I229" s="8"/>
      <c r="J229" s="546" t="str">
        <f t="array" ref="J229">IF(LEN($E229),INDEX('4-All Devices'!AE:AE, MATCH($E229, '4-All Devices'!AF:AF, 0)),"")</f>
        <v>Corphosted</v>
      </c>
      <c r="K229" s="8"/>
      <c r="L229" s="8"/>
      <c r="M229" s="8"/>
    </row>
    <row r="230">
      <c r="A230" s="542"/>
      <c r="B230" s="551" t="str">
        <f t="array" ref="B230">IF(LEN(E230),INDEX('4-All Devices'!AG:AG, MATCH(E230, '4-All Devices'!AF:AF, 0)),"")</f>
        <v>in-blr-ananta-ddc-3</v>
      </c>
      <c r="C230" s="549" t="s">
        <v>11186</v>
      </c>
      <c r="D230" s="549" t="s">
        <v>11187</v>
      </c>
      <c r="E230" s="8" t="str">
        <f>IFERROR(__xludf.DUMMYFUNCTION("""COMPUTED_VALUE"""),"00:E0:C9:28:D1:4B")</f>
        <v>00:E0:C9:28:D1:4B</v>
      </c>
      <c r="F230" s="552" t="s">
        <v>11188</v>
      </c>
      <c r="G230" s="8"/>
      <c r="H230" s="8"/>
      <c r="I230" s="8"/>
      <c r="J230" s="546" t="str">
        <f t="array" ref="J230">IF(LEN($E230),INDEX('4-All Devices'!AE:AE, MATCH($E230, '4-All Devices'!AF:AF, 0)),"")</f>
        <v>Corphosted</v>
      </c>
      <c r="K230" s="8"/>
      <c r="L230" s="8"/>
      <c r="M230" s="8"/>
    </row>
    <row r="231">
      <c r="A231" s="542"/>
      <c r="B231" s="551" t="str">
        <f t="array" ref="B231">IF(LEN(E231),INDEX('4-All Devices'!AG:AG, MATCH(E231, '4-All Devices'!AF:AF, 0)),"")</f>
        <v>in-blr-ananta-ddc-4</v>
      </c>
      <c r="C231" s="549" t="s">
        <v>11186</v>
      </c>
      <c r="D231" s="549" t="s">
        <v>11187</v>
      </c>
      <c r="E231" s="8" t="str">
        <f>IFERROR(__xludf.DUMMYFUNCTION("""COMPUTED_VALUE"""),"00:E0:C9:28:C9:B2")</f>
        <v>00:E0:C9:28:C9:B2</v>
      </c>
      <c r="F231" s="552" t="s">
        <v>11188</v>
      </c>
      <c r="G231" s="8"/>
      <c r="H231" s="8"/>
      <c r="I231" s="8"/>
      <c r="J231" s="546" t="str">
        <f t="array" ref="J231">IF(LEN($E231),INDEX('4-All Devices'!AE:AE, MATCH($E231, '4-All Devices'!AF:AF, 0)),"")</f>
        <v>Corphosted</v>
      </c>
      <c r="K231" s="8"/>
      <c r="L231" s="8"/>
      <c r="M231" s="8"/>
    </row>
    <row r="232">
      <c r="A232" s="542"/>
      <c r="B232" s="551" t="str">
        <f t="array" ref="B232">IF(LEN(E232),INDEX('4-All Devices'!AG:AG, MATCH(E232, '4-All Devices'!AF:AF, 0)),"")</f>
        <v>in-blr-ananta-hli-2</v>
      </c>
      <c r="C232" s="549" t="s">
        <v>11186</v>
      </c>
      <c r="D232" s="549" t="s">
        <v>11187</v>
      </c>
      <c r="E232" s="8" t="str">
        <f>IFERROR(__xludf.DUMMYFUNCTION("""COMPUTED_VALUE"""),"00:E0:C9:28:E3:E9")</f>
        <v>00:E0:C9:28:E3:E9</v>
      </c>
      <c r="F232" s="552" t="s">
        <v>11188</v>
      </c>
      <c r="G232" s="8"/>
      <c r="H232" s="8"/>
      <c r="I232" s="8"/>
      <c r="J232" s="546" t="str">
        <f t="array" ref="J232">IF(LEN($E232),INDEX('4-All Devices'!AE:AE, MATCH($E232, '4-All Devices'!AF:AF, 0)),"")</f>
        <v>Corphosted</v>
      </c>
      <c r="K232" s="8"/>
      <c r="L232" s="8"/>
      <c r="M232" s="8"/>
    </row>
    <row r="233">
      <c r="A233" s="542"/>
      <c r="B233" s="551" t="str">
        <f t="array" ref="B233">IF(LEN(E233),INDEX('4-All Devices'!AG:AG, MATCH(E233, '4-All Devices'!AF:AF, 0)),"")</f>
        <v>in-blr-ananta-ddc-5</v>
      </c>
      <c r="C233" s="549" t="s">
        <v>11186</v>
      </c>
      <c r="D233" s="549" t="s">
        <v>11187</v>
      </c>
      <c r="E233" s="8" t="str">
        <f>IFERROR(__xludf.DUMMYFUNCTION("""COMPUTED_VALUE"""),"00:E0:C9:28:BE:84")</f>
        <v>00:E0:C9:28:BE:84</v>
      </c>
      <c r="F233" s="552" t="s">
        <v>11188</v>
      </c>
      <c r="G233" s="8"/>
      <c r="H233" s="8"/>
      <c r="I233" s="8"/>
      <c r="J233" s="546" t="str">
        <f t="array" ref="J233">IF(LEN($E233),INDEX('4-All Devices'!AE:AE, MATCH($E233, '4-All Devices'!AF:AF, 0)),"")</f>
        <v>Corphosted</v>
      </c>
      <c r="K233" s="8"/>
      <c r="L233" s="8"/>
      <c r="M233" s="8"/>
    </row>
    <row r="234">
      <c r="A234" s="542"/>
      <c r="B234" s="551" t="str">
        <f t="array" ref="B234">IF(LEN(E234),INDEX('4-All Devices'!AG:AG, MATCH(E234, '4-All Devices'!AF:AF, 0)),"")</f>
        <v>in-blr-ananta-ddc-6</v>
      </c>
      <c r="C234" s="549" t="s">
        <v>11186</v>
      </c>
      <c r="D234" s="549" t="s">
        <v>11187</v>
      </c>
      <c r="E234" s="8" t="str">
        <f>IFERROR(__xludf.DUMMYFUNCTION("""COMPUTED_VALUE"""),"00:E0:C9:28:BE:2A")</f>
        <v>00:E0:C9:28:BE:2A</v>
      </c>
      <c r="F234" s="552" t="s">
        <v>11188</v>
      </c>
      <c r="G234" s="8"/>
      <c r="H234" s="8"/>
      <c r="I234" s="8"/>
      <c r="J234" s="546" t="str">
        <f t="array" ref="J234">IF(LEN($E234),INDEX('4-All Devices'!AE:AE, MATCH($E234, '4-All Devices'!AF:AF, 0)),"")</f>
        <v>Corphosted</v>
      </c>
      <c r="K234" s="8"/>
      <c r="L234" s="8"/>
      <c r="M234" s="8"/>
    </row>
    <row r="235">
      <c r="A235" s="542"/>
      <c r="B235" s="551" t="str">
        <f t="array" ref="B235">IF(LEN(E235),INDEX('4-All Devices'!AG:AG, MATCH(E235, '4-All Devices'!AF:AF, 0)),"")</f>
        <v>in-blr-ananta-hli-3</v>
      </c>
      <c r="C235" s="549" t="s">
        <v>11186</v>
      </c>
      <c r="D235" s="549" t="s">
        <v>11187</v>
      </c>
      <c r="E235" s="8" t="str">
        <f>IFERROR(__xludf.DUMMYFUNCTION("""COMPUTED_VALUE"""),"00:E0:C9:28:DA:D1")</f>
        <v>00:E0:C9:28:DA:D1</v>
      </c>
      <c r="F235" s="552" t="s">
        <v>11188</v>
      </c>
      <c r="G235" s="8"/>
      <c r="H235" s="8"/>
      <c r="I235" s="8"/>
      <c r="J235" s="546" t="str">
        <f t="array" ref="J235">IF(LEN($E235),INDEX('4-All Devices'!AE:AE, MATCH($E235, '4-All Devices'!AF:AF, 0)),"")</f>
        <v>Corphosted</v>
      </c>
      <c r="K235" s="8"/>
      <c r="L235" s="8"/>
      <c r="M235" s="8"/>
    </row>
    <row r="236">
      <c r="A236" s="542"/>
      <c r="B236" s="551" t="str">
        <f t="array" ref="B236">IF(LEN(E236),INDEX('4-All Devices'!AG:AG, MATCH(E236, '4-All Devices'!AF:AF, 0)),"")</f>
        <v>in-blr-ananta-hli-4</v>
      </c>
      <c r="C236" s="549" t="s">
        <v>11186</v>
      </c>
      <c r="D236" s="549" t="s">
        <v>11187</v>
      </c>
      <c r="E236" s="8" t="str">
        <f>IFERROR(__xludf.DUMMYFUNCTION("""COMPUTED_VALUE"""),"00:E0:C9:28:E3:B1")</f>
        <v>00:E0:C9:28:E3:B1</v>
      </c>
      <c r="F236" s="552" t="s">
        <v>11188</v>
      </c>
      <c r="G236" s="8"/>
      <c r="H236" s="8"/>
      <c r="I236" s="8"/>
      <c r="J236" s="546" t="str">
        <f t="array" ref="J236">IF(LEN($E236),INDEX('4-All Devices'!AE:AE, MATCH($E236, '4-All Devices'!AF:AF, 0)),"")</f>
        <v>Corphosted</v>
      </c>
      <c r="K236" s="8"/>
      <c r="L236" s="8"/>
      <c r="M236" s="8"/>
    </row>
    <row r="237">
      <c r="A237" s="542"/>
      <c r="B237" s="551" t="str">
        <f t="array" ref="B237">IF(LEN(E237),INDEX('4-All Devices'!AG:AG, MATCH(E237, '4-All Devices'!AF:AF, 0)),"")</f>
        <v>in-blr-ananta-ddc-7</v>
      </c>
      <c r="C237" s="549" t="s">
        <v>11186</v>
      </c>
      <c r="D237" s="549" t="s">
        <v>11187</v>
      </c>
      <c r="E237" s="8" t="str">
        <f>IFERROR(__xludf.DUMMYFUNCTION("""COMPUTED_VALUE"""),"00:E0:C9:28:DB:3D")</f>
        <v>00:E0:C9:28:DB:3D</v>
      </c>
      <c r="F237" s="552" t="s">
        <v>11188</v>
      </c>
      <c r="G237" s="8"/>
      <c r="H237" s="8"/>
      <c r="I237" s="8"/>
      <c r="J237" s="546" t="str">
        <f t="array" ref="J237">IF(LEN($E237),INDEX('4-All Devices'!AE:AE, MATCH($E237, '4-All Devices'!AF:AF, 0)),"")</f>
        <v>Corphosted</v>
      </c>
      <c r="K237" s="8"/>
      <c r="L237" s="8"/>
      <c r="M237" s="8"/>
    </row>
    <row r="238">
      <c r="A238" s="542"/>
      <c r="B238" s="551" t="str">
        <f t="array" ref="B238">IF(LEN(E238),INDEX('4-All Devices'!AG:AG, MATCH(E238, '4-All Devices'!AF:AF, 0)),"")</f>
        <v>in-blr-ananta-hli-5</v>
      </c>
      <c r="C238" s="549" t="s">
        <v>11186</v>
      </c>
      <c r="D238" s="549" t="s">
        <v>11187</v>
      </c>
      <c r="E238" s="8" t="str">
        <f>IFERROR(__xludf.DUMMYFUNCTION("""COMPUTED_VALUE"""),"00:E0:C9:28:DA:FB")</f>
        <v>00:E0:C9:28:DA:FB</v>
      </c>
      <c r="F238" s="552" t="s">
        <v>11188</v>
      </c>
      <c r="G238" s="8"/>
      <c r="H238" s="8"/>
      <c r="I238" s="8"/>
      <c r="J238" s="546" t="str">
        <f t="array" ref="J238">IF(LEN($E238),INDEX('4-All Devices'!AE:AE, MATCH($E238, '4-All Devices'!AF:AF, 0)),"")</f>
        <v>Corphosted</v>
      </c>
      <c r="K238" s="8"/>
      <c r="L238" s="8"/>
      <c r="M238" s="8"/>
    </row>
    <row r="239">
      <c r="A239" s="542"/>
      <c r="B239" s="551" t="str">
        <f t="array" ref="B239">IF(LEN(E239),INDEX('4-All Devices'!AG:AG, MATCH(E239, '4-All Devices'!AF:AF, 0)),"")</f>
        <v>in-blr-ananta-ddc-8</v>
      </c>
      <c r="C239" s="549" t="s">
        <v>11186</v>
      </c>
      <c r="D239" s="549" t="s">
        <v>11187</v>
      </c>
      <c r="E239" s="8" t="str">
        <f>IFERROR(__xludf.DUMMYFUNCTION("""COMPUTED_VALUE"""),"00:E0:C9:28:E3:2F")</f>
        <v>00:E0:C9:28:E3:2F</v>
      </c>
      <c r="F239" s="552" t="s">
        <v>11188</v>
      </c>
      <c r="G239" s="8"/>
      <c r="H239" s="8"/>
      <c r="I239" s="8"/>
      <c r="J239" s="546" t="str">
        <f t="array" ref="J239">IF(LEN($E239),INDEX('4-All Devices'!AE:AE, MATCH($E239, '4-All Devices'!AF:AF, 0)),"")</f>
        <v>Corphosted</v>
      </c>
      <c r="K239" s="8"/>
      <c r="L239" s="8"/>
      <c r="M239" s="8"/>
    </row>
    <row r="240">
      <c r="A240" s="542"/>
      <c r="B240" s="551" t="str">
        <f t="array" ref="B240">IF(LEN(E240),INDEX('4-All Devices'!AG:AG, MATCH(E240, '4-All Devices'!AF:AF, 0)),"")</f>
        <v>in-blr-ananta-hli-6</v>
      </c>
      <c r="C240" s="549" t="s">
        <v>11186</v>
      </c>
      <c r="D240" s="549" t="s">
        <v>11187</v>
      </c>
      <c r="E240" s="8" t="str">
        <f>IFERROR(__xludf.DUMMYFUNCTION("""COMPUTED_VALUE"""),"00:E0:C9:28:DA:2D")</f>
        <v>00:E0:C9:28:DA:2D</v>
      </c>
      <c r="F240" s="552" t="s">
        <v>11188</v>
      </c>
      <c r="G240" s="8"/>
      <c r="H240" s="8"/>
      <c r="I240" s="8"/>
      <c r="J240" s="546" t="str">
        <f t="array" ref="J240">IF(LEN($E240),INDEX('4-All Devices'!AE:AE, MATCH($E240, '4-All Devices'!AF:AF, 0)),"")</f>
        <v>Corphosted</v>
      </c>
      <c r="K240" s="8"/>
      <c r="L240" s="8"/>
      <c r="M240" s="8"/>
    </row>
    <row r="241">
      <c r="A241" s="542"/>
      <c r="B241" s="551" t="str">
        <f t="array" ref="B241">IF(LEN(E241),INDEX('4-All Devices'!AG:AG, MATCH(E241, '4-All Devices'!AF:AF, 0)),"")</f>
        <v>in-blr-ananta-ddc-9</v>
      </c>
      <c r="C241" s="549" t="s">
        <v>11186</v>
      </c>
      <c r="D241" s="549" t="s">
        <v>11187</v>
      </c>
      <c r="E241" s="8" t="str">
        <f>IFERROR(__xludf.DUMMYFUNCTION("""COMPUTED_VALUE"""),"00:E0:C9:28:D2:21")</f>
        <v>00:E0:C9:28:D2:21</v>
      </c>
      <c r="F241" s="552" t="s">
        <v>11188</v>
      </c>
      <c r="G241" s="8"/>
      <c r="H241" s="8"/>
      <c r="I241" s="8"/>
      <c r="J241" s="546" t="str">
        <f t="array" ref="J241">IF(LEN($E241),INDEX('4-All Devices'!AE:AE, MATCH($E241, '4-All Devices'!AF:AF, 0)),"")</f>
        <v>Corphosted</v>
      </c>
      <c r="K241" s="8"/>
      <c r="L241" s="8"/>
      <c r="M241" s="8"/>
    </row>
    <row r="242">
      <c r="A242" s="542"/>
      <c r="B242" s="551" t="str">
        <f t="array" ref="B242">IF(LEN(E242),INDEX('4-All Devices'!AG:AG, MATCH(E242, '4-All Devices'!AF:AF, 0)),"")</f>
        <v>in-blr-ananta-hli-7</v>
      </c>
      <c r="C242" s="549" t="s">
        <v>11186</v>
      </c>
      <c r="D242" s="549" t="s">
        <v>11187</v>
      </c>
      <c r="E242" s="8" t="str">
        <f>IFERROR(__xludf.DUMMYFUNCTION("""COMPUTED_VALUE"""),"00:E0:C9:28:DA:A7")</f>
        <v>00:E0:C9:28:DA:A7</v>
      </c>
      <c r="F242" s="552" t="s">
        <v>11188</v>
      </c>
      <c r="G242" s="8"/>
      <c r="H242" s="8"/>
      <c r="I242" s="8"/>
      <c r="J242" s="546" t="str">
        <f t="array" ref="J242">IF(LEN($E242),INDEX('4-All Devices'!AE:AE, MATCH($E242, '4-All Devices'!AF:AF, 0)),"")</f>
        <v>Corphosted</v>
      </c>
      <c r="K242" s="8"/>
      <c r="L242" s="8"/>
      <c r="M242" s="8"/>
    </row>
    <row r="243">
      <c r="A243" s="542"/>
      <c r="B243" s="551" t="str">
        <f t="array" ref="B243">IF(LEN(E243),INDEX('4-All Devices'!AG:AG, MATCH(E243, '4-All Devices'!AF:AF, 0)),"")</f>
        <v>in-blr-ananta-ddc-10</v>
      </c>
      <c r="C243" s="549" t="s">
        <v>11186</v>
      </c>
      <c r="D243" s="549" t="s">
        <v>11187</v>
      </c>
      <c r="E243" s="8" t="str">
        <f>IFERROR(__xludf.DUMMYFUNCTION("""COMPUTED_VALUE"""),"00:E0:C9:28:E3:33")</f>
        <v>00:E0:C9:28:E3:33</v>
      </c>
      <c r="F243" s="552" t="s">
        <v>11188</v>
      </c>
      <c r="G243" s="8"/>
      <c r="H243" s="8"/>
      <c r="I243" s="8"/>
      <c r="J243" s="546" t="str">
        <f t="array" ref="J243">IF(LEN($E243),INDEX('4-All Devices'!AE:AE, MATCH($E243, '4-All Devices'!AF:AF, 0)),"")</f>
        <v>Corphosted</v>
      </c>
      <c r="K243" s="8"/>
      <c r="L243" s="8"/>
      <c r="M243" s="8"/>
    </row>
    <row r="244">
      <c r="A244" s="542"/>
      <c r="B244" s="551" t="str">
        <f t="array" ref="B244">IF(LEN(E244),INDEX('4-All Devices'!AG:AG, MATCH(E244, '4-All Devices'!AF:AF, 0)),"")</f>
        <v>in-blr-ananta-hli-8</v>
      </c>
      <c r="C244" s="549" t="s">
        <v>11186</v>
      </c>
      <c r="D244" s="549" t="s">
        <v>11187</v>
      </c>
      <c r="E244" s="8" t="str">
        <f>IFERROR(__xludf.DUMMYFUNCTION("""COMPUTED_VALUE"""),"00:E0:C9:28:DA:F9")</f>
        <v>00:E0:C9:28:DA:F9</v>
      </c>
      <c r="F244" s="552" t="s">
        <v>11188</v>
      </c>
      <c r="G244" s="8"/>
      <c r="H244" s="8"/>
      <c r="I244" s="8"/>
      <c r="J244" s="546" t="str">
        <f t="array" ref="J244">IF(LEN($E244),INDEX('4-All Devices'!AE:AE, MATCH($E244, '4-All Devices'!AF:AF, 0)),"")</f>
        <v>Corphosted</v>
      </c>
      <c r="K244" s="8"/>
      <c r="L244" s="8"/>
      <c r="M244" s="8"/>
    </row>
    <row r="245">
      <c r="A245" s="542"/>
      <c r="B245" s="551" t="str">
        <f t="array" ref="B245">IF(LEN(E245),INDEX('4-All Devices'!AG:AG, MATCH(E245, '4-All Devices'!AF:AF, 0)),"")</f>
        <v>in-blr-ananta-hli-9</v>
      </c>
      <c r="C245" s="549" t="s">
        <v>11186</v>
      </c>
      <c r="D245" s="549" t="s">
        <v>11187</v>
      </c>
      <c r="E245" s="8" t="str">
        <f>IFERROR(__xludf.DUMMYFUNCTION("""COMPUTED_VALUE"""),"00:E0:C9:28:DB:71")</f>
        <v>00:E0:C9:28:DB:71</v>
      </c>
      <c r="F245" s="552" t="s">
        <v>11188</v>
      </c>
      <c r="G245" s="8"/>
      <c r="H245" s="8"/>
      <c r="I245" s="8"/>
      <c r="J245" s="546" t="str">
        <f t="array" ref="J245">IF(LEN($E245),INDEX('4-All Devices'!AE:AE, MATCH($E245, '4-All Devices'!AF:AF, 0)),"")</f>
        <v>Corphosted</v>
      </c>
      <c r="K245" s="8"/>
      <c r="L245" s="8"/>
      <c r="M245" s="8"/>
    </row>
    <row r="246">
      <c r="A246" s="542"/>
      <c r="B246" s="551" t="str">
        <f t="array" ref="B246">IF(LEN(E246),INDEX('4-All Devices'!AG:AG, MATCH(E246, '4-All Devices'!AF:AF, 0)),"")</f>
        <v>in-blr-ananta-hli-10</v>
      </c>
      <c r="C246" s="549" t="s">
        <v>11186</v>
      </c>
      <c r="D246" s="549" t="s">
        <v>11187</v>
      </c>
      <c r="E246" s="8" t="str">
        <f>IFERROR(__xludf.DUMMYFUNCTION("""COMPUTED_VALUE"""),"00:E0:C9:28:DA:87")</f>
        <v>00:E0:C9:28:DA:87</v>
      </c>
      <c r="F246" s="552" t="s">
        <v>11188</v>
      </c>
      <c r="G246" s="8"/>
      <c r="H246" s="8"/>
      <c r="I246" s="8"/>
      <c r="J246" s="546" t="str">
        <f t="array" ref="J246">IF(LEN($E246),INDEX('4-All Devices'!AE:AE, MATCH($E246, '4-All Devices'!AF:AF, 0)),"")</f>
        <v>Corphosted</v>
      </c>
      <c r="K246" s="8"/>
      <c r="L246" s="8"/>
      <c r="M246" s="8"/>
    </row>
    <row r="247">
      <c r="A247" s="542"/>
      <c r="B247" s="551" t="str">
        <f t="array" ref="B247">IF(LEN(E247),INDEX('4-All Devices'!AG:AG, MATCH(E247, '4-All Devices'!AF:AF, 0)),"")</f>
        <v>in-blr-ananta-ddc-11</v>
      </c>
      <c r="C247" s="549" t="s">
        <v>11186</v>
      </c>
      <c r="D247" s="549" t="s">
        <v>11187</v>
      </c>
      <c r="E247" s="8" t="str">
        <f>IFERROR(__xludf.DUMMYFUNCTION("""COMPUTED_VALUE"""),"00:E0:C9:28:C8:26")</f>
        <v>00:E0:C9:28:C8:26</v>
      </c>
      <c r="F247" s="552" t="s">
        <v>11188</v>
      </c>
      <c r="G247" s="8"/>
      <c r="H247" s="8"/>
      <c r="I247" s="8"/>
      <c r="J247" s="546" t="str">
        <f t="array" ref="J247">IF(LEN($E247),INDEX('4-All Devices'!AE:AE, MATCH($E247, '4-All Devices'!AF:AF, 0)),"")</f>
        <v>Corphosted</v>
      </c>
      <c r="K247" s="8"/>
      <c r="L247" s="8"/>
      <c r="M247" s="8"/>
    </row>
    <row r="248">
      <c r="A248" s="542"/>
      <c r="B248" s="551" t="str">
        <f t="array" ref="B248">IF(LEN(E248),INDEX('4-All Devices'!AG:AG, MATCH(E248, '4-All Devices'!AF:AF, 0)),"")</f>
        <v>in-blr-ananta-hli-11</v>
      </c>
      <c r="C248" s="549" t="s">
        <v>11186</v>
      </c>
      <c r="D248" s="549" t="s">
        <v>11187</v>
      </c>
      <c r="E248" s="8" t="str">
        <f>IFERROR(__xludf.DUMMYFUNCTION("""COMPUTED_VALUE"""),"00:E0:C9:28:DB:59")</f>
        <v>00:E0:C9:28:DB:59</v>
      </c>
      <c r="F248" s="552" t="s">
        <v>11188</v>
      </c>
      <c r="G248" s="8"/>
      <c r="H248" s="8"/>
      <c r="I248" s="8"/>
      <c r="J248" s="546" t="str">
        <f t="array" ref="J248">IF(LEN($E248),INDEX('4-All Devices'!AE:AE, MATCH($E248, '4-All Devices'!AF:AF, 0)),"")</f>
        <v>Corphosted</v>
      </c>
      <c r="K248" s="8"/>
      <c r="L248" s="8"/>
      <c r="M248" s="8"/>
    </row>
    <row r="249">
      <c r="A249" s="542"/>
      <c r="B249" s="551" t="str">
        <f t="array" ref="B249">IF(LEN(E249),INDEX('4-All Devices'!AG:AG, MATCH(E249, '4-All Devices'!AF:AF, 0)),"")</f>
        <v>in-blr-ananta-ddc-12</v>
      </c>
      <c r="C249" s="549" t="s">
        <v>11186</v>
      </c>
      <c r="D249" s="549" t="s">
        <v>11187</v>
      </c>
      <c r="E249" s="8" t="str">
        <f>IFERROR(__xludf.DUMMYFUNCTION("""COMPUTED_VALUE"""),"00:E0:C9:28:D1:E3")</f>
        <v>00:E0:C9:28:D1:E3</v>
      </c>
      <c r="F249" s="552" t="s">
        <v>11188</v>
      </c>
      <c r="G249" s="8"/>
      <c r="H249" s="8"/>
      <c r="I249" s="8"/>
      <c r="J249" s="546" t="str">
        <f t="array" ref="J249">IF(LEN($E249),INDEX('4-All Devices'!AE:AE, MATCH($E249, '4-All Devices'!AF:AF, 0)),"")</f>
        <v>Corphosted</v>
      </c>
      <c r="K249" s="8"/>
      <c r="L249" s="8"/>
      <c r="M249" s="8"/>
    </row>
    <row r="250">
      <c r="A250" s="542"/>
      <c r="B250" s="551" t="str">
        <f t="array" ref="B250">IF(LEN(E250),INDEX('4-All Devices'!AG:AG, MATCH(E250, '4-All Devices'!AF:AF, 0)),"")</f>
        <v>in-blr-ananta-hli-12</v>
      </c>
      <c r="C250" s="549" t="s">
        <v>11186</v>
      </c>
      <c r="D250" s="549" t="s">
        <v>11187</v>
      </c>
      <c r="E250" s="8" t="str">
        <f>IFERROR(__xludf.DUMMYFUNCTION("""COMPUTED_VALUE"""),"00:E0:C9:28:D1:0B")</f>
        <v>00:E0:C9:28:D1:0B</v>
      </c>
      <c r="F250" s="552" t="s">
        <v>11188</v>
      </c>
      <c r="G250" s="8"/>
      <c r="H250" s="8"/>
      <c r="I250" s="8"/>
      <c r="J250" s="546" t="str">
        <f t="array" ref="J250">IF(LEN($E250),INDEX('4-All Devices'!AE:AE, MATCH($E250, '4-All Devices'!AF:AF, 0)),"")</f>
        <v>Corphosted</v>
      </c>
      <c r="K250" s="8"/>
      <c r="L250" s="8"/>
      <c r="M250" s="8"/>
    </row>
    <row r="251">
      <c r="A251" s="542"/>
      <c r="B251" s="551" t="str">
        <f t="array" ref="B251">IF(LEN(E251),INDEX('4-All Devices'!AG:AG, MATCH(E251, '4-All Devices'!AF:AF, 0)),"")</f>
        <v>in-blr-ananta-ddc-13</v>
      </c>
      <c r="C251" s="549" t="s">
        <v>11186</v>
      </c>
      <c r="D251" s="549" t="s">
        <v>11187</v>
      </c>
      <c r="E251" s="8" t="str">
        <f>IFERROR(__xludf.DUMMYFUNCTION("""COMPUTED_VALUE"""),"00:E0:C9:28:D1:6F")</f>
        <v>00:E0:C9:28:D1:6F</v>
      </c>
      <c r="F251" s="552" t="s">
        <v>11188</v>
      </c>
      <c r="G251" s="8"/>
      <c r="H251" s="8"/>
      <c r="I251" s="8"/>
      <c r="J251" s="546" t="str">
        <f t="array" ref="J251">IF(LEN($E251),INDEX('4-All Devices'!AE:AE, MATCH($E251, '4-All Devices'!AF:AF, 0)),"")</f>
        <v>Corphosted</v>
      </c>
      <c r="K251" s="8"/>
      <c r="L251" s="8"/>
      <c r="M251" s="8"/>
    </row>
    <row r="252">
      <c r="A252" s="542"/>
      <c r="B252" s="551" t="str">
        <f t="array" ref="B252">IF(LEN(E252),INDEX('4-All Devices'!AG:AG, MATCH(E252, '4-All Devices'!AF:AF, 0)),"")</f>
        <v>in-blr-ananta-hli-13</v>
      </c>
      <c r="C252" s="549" t="s">
        <v>11186</v>
      </c>
      <c r="D252" s="549" t="s">
        <v>11187</v>
      </c>
      <c r="E252" s="8" t="str">
        <f>IFERROR(__xludf.DUMMYFUNCTION("""COMPUTED_VALUE"""),"00:E0:C9:28:DA:D9")</f>
        <v>00:E0:C9:28:DA:D9</v>
      </c>
      <c r="F252" s="552" t="s">
        <v>11188</v>
      </c>
      <c r="G252" s="8"/>
      <c r="H252" s="8"/>
      <c r="I252" s="8"/>
      <c r="J252" s="546" t="str">
        <f t="array" ref="J252">IF(LEN($E252),INDEX('4-All Devices'!AE:AE, MATCH($E252, '4-All Devices'!AF:AF, 0)),"")</f>
        <v>Corphosted</v>
      </c>
      <c r="K252" s="8"/>
      <c r="L252" s="8"/>
      <c r="M252" s="8"/>
    </row>
    <row r="253">
      <c r="A253" s="542"/>
      <c r="B253" s="551" t="str">
        <f t="array" ref="B253">IF(LEN(E253),INDEX('4-All Devices'!AG:AG, MATCH(E253, '4-All Devices'!AF:AF, 0)),"")</f>
        <v>in-blr-ananta-ddc-14</v>
      </c>
      <c r="C253" s="549" t="s">
        <v>11186</v>
      </c>
      <c r="D253" s="549" t="s">
        <v>11187</v>
      </c>
      <c r="E253" s="8" t="str">
        <f>IFERROR(__xludf.DUMMYFUNCTION("""COMPUTED_VALUE"""),"00:E0:C9:28:D1:AF")</f>
        <v>00:E0:C9:28:D1:AF</v>
      </c>
      <c r="F253" s="552" t="s">
        <v>11188</v>
      </c>
      <c r="G253" s="8"/>
      <c r="H253" s="8"/>
      <c r="I253" s="8"/>
      <c r="J253" s="546" t="str">
        <f t="array" ref="J253">IF(LEN($E253),INDEX('4-All Devices'!AE:AE, MATCH($E253, '4-All Devices'!AF:AF, 0)),"")</f>
        <v>Corphosted</v>
      </c>
      <c r="K253" s="8"/>
      <c r="L253" s="8"/>
      <c r="M253" s="8"/>
    </row>
    <row r="254">
      <c r="A254" s="542"/>
      <c r="B254" s="551" t="str">
        <f t="array" ref="B254">IF(LEN(E254),INDEX('4-All Devices'!AG:AG, MATCH(E254, '4-All Devices'!AF:AF, 0)),"")</f>
        <v>in-blr-ananta-hli-14</v>
      </c>
      <c r="C254" s="549" t="s">
        <v>11186</v>
      </c>
      <c r="D254" s="549" t="s">
        <v>11187</v>
      </c>
      <c r="E254" s="8" t="str">
        <f>IFERROR(__xludf.DUMMYFUNCTION("""COMPUTED_VALUE"""),"00:E0:C9:28:C8:AC")</f>
        <v>00:E0:C9:28:C8:AC</v>
      </c>
      <c r="F254" s="552" t="s">
        <v>11188</v>
      </c>
      <c r="G254" s="8"/>
      <c r="H254" s="8"/>
      <c r="I254" s="8"/>
      <c r="J254" s="546" t="str">
        <f t="array" ref="J254">IF(LEN($E254),INDEX('4-All Devices'!AE:AE, MATCH($E254, '4-All Devices'!AF:AF, 0)),"")</f>
        <v>Corphosted</v>
      </c>
      <c r="K254" s="8"/>
      <c r="L254" s="8"/>
      <c r="M254" s="8"/>
    </row>
    <row r="255">
      <c r="A255" s="542"/>
      <c r="B255" s="551" t="str">
        <f t="array" ref="B255">IF(LEN(E255),INDEX('4-All Devices'!AG:AG, MATCH(E255, '4-All Devices'!AF:AF, 0)),"")</f>
        <v>in-blr-ananta-ddc-15</v>
      </c>
      <c r="C255" s="549" t="s">
        <v>11186</v>
      </c>
      <c r="D255" s="549" t="s">
        <v>11187</v>
      </c>
      <c r="E255" s="8" t="str">
        <f>IFERROR(__xludf.DUMMYFUNCTION("""COMPUTED_VALUE"""),"00:E0:C9:28:D2:4D")</f>
        <v>00:E0:C9:28:D2:4D</v>
      </c>
      <c r="F255" s="552" t="s">
        <v>11188</v>
      </c>
      <c r="G255" s="8"/>
      <c r="H255" s="8"/>
      <c r="I255" s="8"/>
      <c r="J255" s="546" t="str">
        <f t="array" ref="J255">IF(LEN($E255),INDEX('4-All Devices'!AE:AE, MATCH($E255, '4-All Devices'!AF:AF, 0)),"")</f>
        <v>Corphosted</v>
      </c>
      <c r="K255" s="8"/>
      <c r="L255" s="8"/>
      <c r="M255" s="8"/>
    </row>
    <row r="256">
      <c r="A256" s="542"/>
      <c r="B256" s="551" t="str">
        <f t="array" ref="B256">IF(LEN(E256),INDEX('4-All Devices'!AG:AG, MATCH(E256, '4-All Devices'!AF:AF, 0)),"")</f>
        <v>in-blr-ananta-hli-15</v>
      </c>
      <c r="C256" s="549" t="s">
        <v>11186</v>
      </c>
      <c r="D256" s="549" t="s">
        <v>11187</v>
      </c>
      <c r="E256" s="8" t="str">
        <f>IFERROR(__xludf.DUMMYFUNCTION("""COMPUTED_VALUE"""),"00:E0:C9:28:D1:5B")</f>
        <v>00:E0:C9:28:D1:5B</v>
      </c>
      <c r="F256" s="552" t="s">
        <v>11188</v>
      </c>
      <c r="G256" s="8"/>
      <c r="H256" s="8"/>
      <c r="I256" s="8"/>
      <c r="J256" s="546" t="str">
        <f t="array" ref="J256">IF(LEN($E256),INDEX('4-All Devices'!AE:AE, MATCH($E256, '4-All Devices'!AF:AF, 0)),"")</f>
        <v>Corphosted</v>
      </c>
      <c r="K256" s="8"/>
      <c r="L256" s="8"/>
      <c r="M256" s="8"/>
    </row>
    <row r="257">
      <c r="A257" s="542"/>
      <c r="B257" s="551" t="str">
        <f t="array" ref="B257">IF(LEN(E257),INDEX('4-All Devices'!AG:AG, MATCH(E257, '4-All Devices'!AF:AF, 0)),"")</f>
        <v>in-blr-ananta-ddc-16</v>
      </c>
      <c r="C257" s="549" t="s">
        <v>11186</v>
      </c>
      <c r="D257" s="549" t="s">
        <v>11187</v>
      </c>
      <c r="E257" s="8" t="str">
        <f>IFERROR(__xludf.DUMMYFUNCTION("""COMPUTED_VALUE"""),"00:E0:C9:28:E4:0F")</f>
        <v>00:E0:C9:28:E4:0F</v>
      </c>
      <c r="F257" s="552" t="s">
        <v>11188</v>
      </c>
      <c r="G257" s="8"/>
      <c r="H257" s="8"/>
      <c r="I257" s="8"/>
      <c r="J257" s="546" t="str">
        <f t="array" ref="J257">IF(LEN($E257),INDEX('4-All Devices'!AE:AE, MATCH($E257, '4-All Devices'!AF:AF, 0)),"")</f>
        <v>Corphosted</v>
      </c>
      <c r="K257" s="8"/>
      <c r="L257" s="8"/>
      <c r="M257" s="8"/>
    </row>
    <row r="258">
      <c r="A258" s="542"/>
      <c r="B258" s="551" t="str">
        <f t="array" ref="B258">IF(LEN(E258),INDEX('4-All Devices'!AG:AG, MATCH(E258, '4-All Devices'!AF:AF, 0)),"")</f>
        <v>in-blr-ananta-hli-16</v>
      </c>
      <c r="C258" s="549" t="s">
        <v>11186</v>
      </c>
      <c r="D258" s="549" t="s">
        <v>11187</v>
      </c>
      <c r="E258" s="8" t="str">
        <f>IFERROR(__xludf.DUMMYFUNCTION("""COMPUTED_VALUE"""),"00:E0:C9:28:DA:67")</f>
        <v>00:E0:C9:28:DA:67</v>
      </c>
      <c r="F258" s="552" t="s">
        <v>11188</v>
      </c>
      <c r="G258" s="8"/>
      <c r="H258" s="8"/>
      <c r="I258" s="8"/>
      <c r="J258" s="546" t="str">
        <f t="array" ref="J258">IF(LEN($E258),INDEX('4-All Devices'!AE:AE, MATCH($E258, '4-All Devices'!AF:AF, 0)),"")</f>
        <v>Corphosted</v>
      </c>
      <c r="K258" s="8"/>
      <c r="L258" s="8"/>
      <c r="M258" s="8"/>
    </row>
    <row r="259">
      <c r="A259" s="542"/>
      <c r="B259" s="551" t="str">
        <f t="array" ref="B259">IF(LEN(E259),INDEX('4-All Devices'!AG:AG, MATCH(E259, '4-All Devices'!AF:AF, 0)),"")</f>
        <v>in-blr-ananta-ddc-17</v>
      </c>
      <c r="C259" s="549" t="s">
        <v>11186</v>
      </c>
      <c r="D259" s="549" t="s">
        <v>11187</v>
      </c>
      <c r="E259" s="8" t="str">
        <f>IFERROR(__xludf.DUMMYFUNCTION("""COMPUTED_VALUE"""),"00:E0:C9:28:E3:C5")</f>
        <v>00:E0:C9:28:E3:C5</v>
      </c>
      <c r="F259" s="552" t="s">
        <v>11188</v>
      </c>
      <c r="G259" s="8"/>
      <c r="H259" s="8"/>
      <c r="I259" s="8"/>
      <c r="J259" s="546" t="str">
        <f t="array" ref="J259">IF(LEN($E259),INDEX('4-All Devices'!AE:AE, MATCH($E259, '4-All Devices'!AF:AF, 0)),"")</f>
        <v>Corphosted</v>
      </c>
      <c r="K259" s="8"/>
      <c r="L259" s="8"/>
      <c r="M259" s="8"/>
    </row>
    <row r="260">
      <c r="A260" s="542"/>
      <c r="B260" s="551" t="str">
        <f t="array" ref="B260">IF(LEN(E260),INDEX('4-All Devices'!AG:AG, MATCH(E260, '4-All Devices'!AF:AF, 0)),"")</f>
        <v>in-blr-ananta-hli-17</v>
      </c>
      <c r="C260" s="549" t="s">
        <v>11186</v>
      </c>
      <c r="D260" s="549" t="s">
        <v>11187</v>
      </c>
      <c r="E260" s="8" t="str">
        <f>IFERROR(__xludf.DUMMYFUNCTION("""COMPUTED_VALUE"""),"00:E0:C9:28:E3:FD")</f>
        <v>00:E0:C9:28:E3:FD</v>
      </c>
      <c r="F260" s="552" t="s">
        <v>11188</v>
      </c>
      <c r="G260" s="8"/>
      <c r="H260" s="8"/>
      <c r="I260" s="8"/>
      <c r="J260" s="546" t="str">
        <f t="array" ref="J260">IF(LEN($E260),INDEX('4-All Devices'!AE:AE, MATCH($E260, '4-All Devices'!AF:AF, 0)),"")</f>
        <v>Corphosted</v>
      </c>
      <c r="K260" s="8"/>
      <c r="L260" s="8"/>
      <c r="M260" s="8"/>
    </row>
    <row r="261">
      <c r="A261" s="542"/>
      <c r="B261" s="551" t="str">
        <f t="array" ref="B261">IF(LEN(E261),INDEX('4-All Devices'!AG:AG, MATCH(E261, '4-All Devices'!AF:AF, 0)),"")</f>
        <v>in-blr-ananta-ddc-18</v>
      </c>
      <c r="C261" s="549" t="s">
        <v>11186</v>
      </c>
      <c r="D261" s="549" t="s">
        <v>11187</v>
      </c>
      <c r="E261" s="8" t="str">
        <f>IFERROR(__xludf.DUMMYFUNCTION("""COMPUTED_VALUE"""),"00:E0:C9:28:DB:53")</f>
        <v>00:E0:C9:28:DB:53</v>
      </c>
      <c r="F261" s="552" t="s">
        <v>11188</v>
      </c>
      <c r="G261" s="8"/>
      <c r="H261" s="8"/>
      <c r="I261" s="8"/>
      <c r="J261" s="546" t="str">
        <f t="array" ref="J261">IF(LEN($E261),INDEX('4-All Devices'!AE:AE, MATCH($E261, '4-All Devices'!AF:AF, 0)),"")</f>
        <v>Corphosted</v>
      </c>
      <c r="K261" s="8"/>
      <c r="L261" s="8"/>
      <c r="M261" s="8"/>
    </row>
    <row r="262">
      <c r="A262" s="542"/>
      <c r="B262" s="551" t="str">
        <f t="array" ref="B262">IF(LEN(E262),INDEX('4-All Devices'!AG:AG, MATCH(E262, '4-All Devices'!AF:AF, 0)),"")</f>
        <v>in-blr-ananta-hli-18</v>
      </c>
      <c r="C262" s="549" t="s">
        <v>11186</v>
      </c>
      <c r="D262" s="549" t="s">
        <v>11187</v>
      </c>
      <c r="E262" s="8" t="str">
        <f>IFERROR(__xludf.DUMMYFUNCTION("""COMPUTED_VALUE"""),"00:E0:C9:28:BE:86")</f>
        <v>00:E0:C9:28:BE:86</v>
      </c>
      <c r="F262" s="552" t="s">
        <v>11188</v>
      </c>
      <c r="G262" s="8"/>
      <c r="H262" s="8"/>
      <c r="I262" s="8"/>
      <c r="J262" s="546" t="str">
        <f t="array" ref="J262">IF(LEN($E262),INDEX('4-All Devices'!AE:AE, MATCH($E262, '4-All Devices'!AF:AF, 0)),"")</f>
        <v>Corphosted</v>
      </c>
      <c r="K262" s="8"/>
      <c r="L262" s="8"/>
      <c r="M262" s="8"/>
    </row>
    <row r="263">
      <c r="A263" s="542"/>
      <c r="B263" s="551" t="str">
        <f t="array" ref="B263">IF(LEN(E263),INDEX('4-All Devices'!AG:AG, MATCH(E263, '4-All Devices'!AF:AF, 0)),"")</f>
        <v>in-blr-ananta-ddc-19</v>
      </c>
      <c r="C263" s="549" t="s">
        <v>11186</v>
      </c>
      <c r="D263" s="549" t="s">
        <v>11187</v>
      </c>
      <c r="E263" s="8" t="str">
        <f>IFERROR(__xludf.DUMMYFUNCTION("""COMPUTED_VALUE"""),"00:E0:C9:28:C9:44")</f>
        <v>00:E0:C9:28:C9:44</v>
      </c>
      <c r="F263" s="552" t="s">
        <v>11188</v>
      </c>
      <c r="G263" s="8"/>
      <c r="H263" s="8"/>
      <c r="I263" s="8"/>
      <c r="J263" s="546" t="str">
        <f t="array" ref="J263">IF(LEN($E263),INDEX('4-All Devices'!AE:AE, MATCH($E263, '4-All Devices'!AF:AF, 0)),"")</f>
        <v>Corphosted</v>
      </c>
      <c r="K263" s="8"/>
      <c r="L263" s="8"/>
      <c r="M263" s="8"/>
    </row>
    <row r="264">
      <c r="A264" s="542"/>
      <c r="B264" s="551" t="str">
        <f t="array" ref="B264">IF(LEN(E264),INDEX('4-All Devices'!AG:AG, MATCH(E264, '4-All Devices'!AF:AF, 0)),"")</f>
        <v>in-blr-ananta-hli-19</v>
      </c>
      <c r="C264" s="549" t="s">
        <v>11186</v>
      </c>
      <c r="D264" s="549" t="s">
        <v>11187</v>
      </c>
      <c r="E264" s="8" t="str">
        <f>IFERROR(__xludf.DUMMYFUNCTION("""COMPUTED_VALUE"""),"00:E0:C9:28:BF:60")</f>
        <v>00:E0:C9:28:BF:60</v>
      </c>
      <c r="F264" s="552" t="s">
        <v>11188</v>
      </c>
      <c r="G264" s="8"/>
      <c r="H264" s="8"/>
      <c r="I264" s="8"/>
      <c r="J264" s="546" t="str">
        <f t="array" ref="J264">IF(LEN($E264),INDEX('4-All Devices'!AE:AE, MATCH($E264, '4-All Devices'!AF:AF, 0)),"")</f>
        <v>Corphosted</v>
      </c>
      <c r="K264" s="8"/>
      <c r="L264" s="8"/>
      <c r="M264" s="8"/>
    </row>
    <row r="265">
      <c r="A265" s="542"/>
      <c r="B265" s="551" t="str">
        <f t="array" ref="B265">IF(LEN(E265),INDEX('4-All Devices'!AG:AG, MATCH(E265, '4-All Devices'!AF:AF, 0)),"")</f>
        <v>in-blr-ananta-ddc-20</v>
      </c>
      <c r="C265" s="549" t="s">
        <v>11186</v>
      </c>
      <c r="D265" s="549" t="s">
        <v>11187</v>
      </c>
      <c r="E265" s="8" t="str">
        <f>IFERROR(__xludf.DUMMYFUNCTION("""COMPUTED_VALUE"""),"00:E0:C9:28:BE:88")</f>
        <v>00:E0:C9:28:BE:88</v>
      </c>
      <c r="F265" s="552" t="s">
        <v>11188</v>
      </c>
      <c r="G265" s="8"/>
      <c r="H265" s="8"/>
      <c r="I265" s="8"/>
      <c r="J265" s="546" t="str">
        <f t="array" ref="J265">IF(LEN($E265),INDEX('4-All Devices'!AE:AE, MATCH($E265, '4-All Devices'!AF:AF, 0)),"")</f>
        <v>Corphosted</v>
      </c>
      <c r="K265" s="8"/>
      <c r="L265" s="8"/>
      <c r="M265" s="8"/>
    </row>
    <row r="266">
      <c r="A266" s="542"/>
      <c r="B266" s="551" t="str">
        <f t="array" ref="B266">IF(LEN(E266),INDEX('4-All Devices'!AG:AG, MATCH(E266, '4-All Devices'!AF:AF, 0)),"")</f>
        <v>in-blr-ananta-hli-20</v>
      </c>
      <c r="C266" s="549" t="s">
        <v>11186</v>
      </c>
      <c r="D266" s="549" t="s">
        <v>11187</v>
      </c>
      <c r="E266" s="8" t="str">
        <f>IFERROR(__xludf.DUMMYFUNCTION("""COMPUTED_VALUE"""),"00:E0:C9:28:C9:4A")</f>
        <v>00:E0:C9:28:C9:4A</v>
      </c>
      <c r="F266" s="552" t="s">
        <v>11188</v>
      </c>
      <c r="G266" s="8"/>
      <c r="H266" s="8"/>
      <c r="I266" s="8"/>
      <c r="J266" s="546" t="str">
        <f t="array" ref="J266">IF(LEN($E266),INDEX('4-All Devices'!AE:AE, MATCH($E266, '4-All Devices'!AF:AF, 0)),"")</f>
        <v>Corphosted</v>
      </c>
      <c r="K266" s="8"/>
      <c r="L266" s="8"/>
      <c r="M266" s="8"/>
    </row>
    <row r="267">
      <c r="A267" s="542"/>
      <c r="B267" s="551" t="str">
        <f t="array" ref="B267">IF(LEN(E267),INDEX('4-All Devices'!AG:AG, MATCH(E267, '4-All Devices'!AF:AF, 0)),"")</f>
        <v>in-blr-ananta-ddc-21</v>
      </c>
      <c r="C267" s="549" t="s">
        <v>11186</v>
      </c>
      <c r="D267" s="549" t="s">
        <v>11187</v>
      </c>
      <c r="E267" s="8" t="str">
        <f>IFERROR(__xludf.DUMMYFUNCTION("""COMPUTED_VALUE"""),"00:E0:C9:28:D1:2B")</f>
        <v>00:E0:C9:28:D1:2B</v>
      </c>
      <c r="F267" s="552" t="s">
        <v>11188</v>
      </c>
      <c r="G267" s="8"/>
      <c r="H267" s="8"/>
      <c r="I267" s="8"/>
      <c r="J267" s="546" t="str">
        <f t="array" ref="J267">IF(LEN($E267),INDEX('4-All Devices'!AE:AE, MATCH($E267, '4-All Devices'!AF:AF, 0)),"")</f>
        <v>Corphosted</v>
      </c>
      <c r="K267" s="8"/>
      <c r="L267" s="8"/>
      <c r="M267" s="8"/>
    </row>
    <row r="268">
      <c r="A268" s="542"/>
      <c r="B268" s="551" t="str">
        <f t="array" ref="B268">IF(LEN(E268),INDEX('4-All Devices'!AG:AG, MATCH(E268, '4-All Devices'!AF:AF, 0)),"")</f>
        <v>in-blr-ananta-hli-21</v>
      </c>
      <c r="C268" s="549" t="s">
        <v>11186</v>
      </c>
      <c r="D268" s="549" t="s">
        <v>11187</v>
      </c>
      <c r="E268" s="8" t="str">
        <f>IFERROR(__xludf.DUMMYFUNCTION("""COMPUTED_VALUE"""),"00:E0:C9:28:C8:F8")</f>
        <v>00:E0:C9:28:C8:F8</v>
      </c>
      <c r="F268" s="552" t="s">
        <v>11188</v>
      </c>
      <c r="G268" s="8"/>
      <c r="H268" s="8"/>
      <c r="I268" s="8"/>
      <c r="J268" s="546" t="str">
        <f t="array" ref="J268">IF(LEN($E268),INDEX('4-All Devices'!AE:AE, MATCH($E268, '4-All Devices'!AF:AF, 0)),"")</f>
        <v>Corphosted</v>
      </c>
      <c r="K268" s="8"/>
      <c r="L268" s="8"/>
      <c r="M268" s="8"/>
    </row>
    <row r="269">
      <c r="A269" s="542"/>
      <c r="B269" s="551" t="str">
        <f t="array" ref="B269">IF(LEN(E269),INDEX('4-All Devices'!AG:AG, MATCH(E269, '4-All Devices'!AF:AF, 0)),"")</f>
        <v>in-blr-ananta-ddc-22</v>
      </c>
      <c r="C269" s="549" t="s">
        <v>11186</v>
      </c>
      <c r="D269" s="549" t="s">
        <v>11187</v>
      </c>
      <c r="E269" s="8" t="str">
        <f>IFERROR(__xludf.DUMMYFUNCTION("""COMPUTED_VALUE"""),"00:E0:C9:28:D1:23")</f>
        <v>00:E0:C9:28:D1:23</v>
      </c>
      <c r="F269" s="552" t="s">
        <v>11188</v>
      </c>
      <c r="G269" s="8"/>
      <c r="H269" s="8"/>
      <c r="I269" s="8"/>
      <c r="J269" s="546" t="str">
        <f t="array" ref="J269">IF(LEN($E269),INDEX('4-All Devices'!AE:AE, MATCH($E269, '4-All Devices'!AF:AF, 0)),"")</f>
        <v>Corphosted</v>
      </c>
      <c r="K269" s="8"/>
      <c r="L269" s="8"/>
      <c r="M269" s="8"/>
    </row>
    <row r="270">
      <c r="A270" s="542"/>
      <c r="B270" s="551" t="str">
        <f t="array" ref="B270">IF(LEN(E270),INDEX('4-All Devices'!AG:AG, MATCH(E270, '4-All Devices'!AF:AF, 0)),"")</f>
        <v>in-blr-ananta-hli-22</v>
      </c>
      <c r="C270" s="549" t="s">
        <v>11186</v>
      </c>
      <c r="D270" s="549" t="s">
        <v>11187</v>
      </c>
      <c r="E270" s="8" t="str">
        <f>IFERROR(__xludf.DUMMYFUNCTION("""COMPUTED_VALUE"""),"00:E0:C9:28:DA:E1")</f>
        <v>00:E0:C9:28:DA:E1</v>
      </c>
      <c r="F270" s="552" t="s">
        <v>11188</v>
      </c>
      <c r="G270" s="8"/>
      <c r="H270" s="8"/>
      <c r="I270" s="8"/>
      <c r="J270" s="546" t="str">
        <f t="array" ref="J270">IF(LEN($E270),INDEX('4-All Devices'!AE:AE, MATCH($E270, '4-All Devices'!AF:AF, 0)),"")</f>
        <v>Corphosted</v>
      </c>
      <c r="K270" s="8"/>
      <c r="L270" s="8"/>
      <c r="M270" s="8"/>
    </row>
    <row r="271">
      <c r="A271" s="542"/>
      <c r="B271" s="551" t="str">
        <f t="array" ref="B271">IF(LEN(E271),INDEX('4-All Devices'!AG:AG, MATCH(E271, '4-All Devices'!AF:AF, 0)),"")</f>
        <v>in-blr-ananta-ddc-23</v>
      </c>
      <c r="C271" s="549" t="s">
        <v>11186</v>
      </c>
      <c r="D271" s="549" t="s">
        <v>11187</v>
      </c>
      <c r="E271" s="8" t="str">
        <f>IFERROR(__xludf.DUMMYFUNCTION("""COMPUTED_VALUE"""),"00:E0:C9:28:D1:C7")</f>
        <v>00:E0:C9:28:D1:C7</v>
      </c>
      <c r="F271" s="552" t="s">
        <v>11188</v>
      </c>
      <c r="G271" s="8"/>
      <c r="H271" s="8"/>
      <c r="I271" s="8"/>
      <c r="J271" s="546" t="str">
        <f t="array" ref="J271">IF(LEN($E271),INDEX('4-All Devices'!AE:AE, MATCH($E271, '4-All Devices'!AF:AF, 0)),"")</f>
        <v>Corphosted</v>
      </c>
      <c r="K271" s="8"/>
      <c r="L271" s="8"/>
      <c r="M271" s="8"/>
    </row>
    <row r="272">
      <c r="A272" s="542"/>
      <c r="B272" s="551" t="str">
        <f t="array" ref="B272">IF(LEN(E272),INDEX('4-All Devices'!AG:AG, MATCH(E272, '4-All Devices'!AF:AF, 0)),"")</f>
        <v>in-blr-ananta-hli-23</v>
      </c>
      <c r="C272" s="549" t="s">
        <v>11186</v>
      </c>
      <c r="D272" s="549" t="s">
        <v>11187</v>
      </c>
      <c r="E272" s="8" t="str">
        <f>IFERROR(__xludf.DUMMYFUNCTION("""COMPUTED_VALUE"""),"00:E0:C9:28:C9:B8")</f>
        <v>00:E0:C9:28:C9:B8</v>
      </c>
      <c r="F272" s="552" t="s">
        <v>11188</v>
      </c>
      <c r="G272" s="8"/>
      <c r="H272" s="8"/>
      <c r="I272" s="8"/>
      <c r="J272" s="546" t="str">
        <f t="array" ref="J272">IF(LEN($E272),INDEX('4-All Devices'!AE:AE, MATCH($E272, '4-All Devices'!AF:AF, 0)),"")</f>
        <v>Corphosted</v>
      </c>
      <c r="K272" s="8"/>
      <c r="L272" s="8"/>
      <c r="M272" s="8"/>
    </row>
    <row r="273">
      <c r="A273" s="542"/>
      <c r="B273" s="551" t="str">
        <f t="array" ref="B273">IF(LEN(E273),INDEX('4-All Devices'!AG:AG, MATCH(E273, '4-All Devices'!AF:AF, 0)),"")</f>
        <v>in-blr-ananta-hli-24</v>
      </c>
      <c r="C273" s="549" t="s">
        <v>11186</v>
      </c>
      <c r="D273" s="549" t="s">
        <v>11187</v>
      </c>
      <c r="E273" s="8" t="str">
        <f>IFERROR(__xludf.DUMMYFUNCTION("""COMPUTED_VALUE"""),"00:E0:C9:28:C9:AA")</f>
        <v>00:E0:C9:28:C9:AA</v>
      </c>
      <c r="F273" s="552" t="s">
        <v>11188</v>
      </c>
      <c r="G273" s="8"/>
      <c r="H273" s="8"/>
      <c r="I273" s="8"/>
      <c r="J273" s="546" t="str">
        <f t="array" ref="J273">IF(LEN($E273),INDEX('4-All Devices'!AE:AE, MATCH($E273, '4-All Devices'!AF:AF, 0)),"")</f>
        <v>Corphosted</v>
      </c>
      <c r="K273" s="8"/>
      <c r="L273" s="8"/>
      <c r="M273" s="8"/>
    </row>
    <row r="274">
      <c r="A274" s="542"/>
      <c r="B274" s="551" t="str">
        <f t="array" ref="B274">IF(LEN(E274),INDEX('4-All Devices'!AG:AG, MATCH(E274, '4-All Devices'!AF:AF, 0)),"")</f>
        <v>in-blr-ananta-hli-25</v>
      </c>
      <c r="C274" s="549" t="s">
        <v>11186</v>
      </c>
      <c r="D274" s="549" t="s">
        <v>11187</v>
      </c>
      <c r="E274" s="8" t="str">
        <f>IFERROR(__xludf.DUMMYFUNCTION("""COMPUTED_VALUE"""),"00:E0:C9:28:E3:7F")</f>
        <v>00:E0:C9:28:E3:7F</v>
      </c>
      <c r="F274" s="552" t="s">
        <v>11188</v>
      </c>
      <c r="G274" s="8"/>
      <c r="H274" s="8"/>
      <c r="I274" s="8"/>
      <c r="J274" s="546" t="str">
        <f t="array" ref="J274">IF(LEN($E274),INDEX('4-All Devices'!AE:AE, MATCH($E274, '4-All Devices'!AF:AF, 0)),"")</f>
        <v>Corphosted</v>
      </c>
      <c r="K274" s="8"/>
      <c r="L274" s="8"/>
      <c r="M274" s="8"/>
    </row>
    <row r="275">
      <c r="A275" s="542"/>
      <c r="B275" s="551" t="str">
        <f t="array" ref="B275">IF(LEN(E275),INDEX('4-All Devices'!AG:AG, MATCH(E275, '4-All Devices'!AF:AF, 0)),"")</f>
        <v>in-blr-ananta-hli-26</v>
      </c>
      <c r="C275" s="549" t="s">
        <v>11186</v>
      </c>
      <c r="D275" s="549" t="s">
        <v>11187</v>
      </c>
      <c r="E275" s="8" t="str">
        <f>IFERROR(__xludf.DUMMYFUNCTION("""COMPUTED_VALUE"""),"00:E0:C9:28:E3:7D")</f>
        <v>00:E0:C9:28:E3:7D</v>
      </c>
      <c r="F275" s="552" t="s">
        <v>11188</v>
      </c>
      <c r="G275" s="8"/>
      <c r="H275" s="8"/>
      <c r="I275" s="8"/>
      <c r="J275" s="546" t="str">
        <f t="array" ref="J275">IF(LEN($E275),INDEX('4-All Devices'!AE:AE, MATCH($E275, '4-All Devices'!AF:AF, 0)),"")</f>
        <v>Corphosted</v>
      </c>
      <c r="K275" s="8"/>
      <c r="L275" s="8"/>
      <c r="M275" s="8"/>
    </row>
    <row r="276">
      <c r="A276" s="542"/>
      <c r="B276" s="551" t="str">
        <f t="array" ref="B276">IF(LEN(E276),INDEX('4-All Devices'!AG:AG, MATCH(E276, '4-All Devices'!AF:AF, 0)),"")</f>
        <v>in-blr-ananta-ddc-24</v>
      </c>
      <c r="C276" s="549" t="s">
        <v>11186</v>
      </c>
      <c r="D276" s="549" t="s">
        <v>11187</v>
      </c>
      <c r="E276" s="8" t="str">
        <f>IFERROR(__xludf.DUMMYFUNCTION("""COMPUTED_VALUE"""),"00:E0:C9:28:D1:C3")</f>
        <v>00:E0:C9:28:D1:C3</v>
      </c>
      <c r="F276" s="552" t="s">
        <v>11188</v>
      </c>
      <c r="G276" s="8"/>
      <c r="H276" s="8"/>
      <c r="I276" s="8"/>
      <c r="J276" s="546" t="str">
        <f t="array" ref="J276">IF(LEN($E276),INDEX('4-All Devices'!AE:AE, MATCH($E276, '4-All Devices'!AF:AF, 0)),"")</f>
        <v>Corphosted</v>
      </c>
      <c r="K276" s="8"/>
      <c r="L276" s="8"/>
      <c r="M276" s="8"/>
    </row>
    <row r="277">
      <c r="A277" s="542"/>
      <c r="B277" s="551" t="str">
        <f t="array" ref="B277">IF(LEN(E277),INDEX('4-All Devices'!AG:AG, MATCH(E277, '4-All Devices'!AF:AF, 0)),"")</f>
        <v>in-blr-ananta-ddc-25</v>
      </c>
      <c r="C277" s="549" t="s">
        <v>11186</v>
      </c>
      <c r="D277" s="549" t="s">
        <v>11187</v>
      </c>
      <c r="E277" s="8" t="str">
        <f>IFERROR(__xludf.DUMMYFUNCTION("""COMPUTED_VALUE"""),"00:E0:C9:28:DA:ED")</f>
        <v>00:E0:C9:28:DA:ED</v>
      </c>
      <c r="F277" s="552" t="s">
        <v>11188</v>
      </c>
      <c r="G277" s="8"/>
      <c r="H277" s="8"/>
      <c r="I277" s="8"/>
      <c r="J277" s="546" t="str">
        <f t="array" ref="J277">IF(LEN($E277),INDEX('4-All Devices'!AE:AE, MATCH($E277, '4-All Devices'!AF:AF, 0)),"")</f>
        <v>Corphosted</v>
      </c>
      <c r="K277" s="8"/>
      <c r="L277" s="8"/>
      <c r="M277" s="8"/>
    </row>
    <row r="278">
      <c r="A278" s="542"/>
      <c r="B278" s="551" t="str">
        <f t="array" ref="B278">IF(LEN(E278),INDEX('4-All Devices'!AG:AG, MATCH(E278, '4-All Devices'!AF:AF, 0)),"")</f>
        <v>in-blr-ananta-hli-27</v>
      </c>
      <c r="C278" s="549" t="s">
        <v>11186</v>
      </c>
      <c r="D278" s="549" t="s">
        <v>11187</v>
      </c>
      <c r="E278" s="8" t="str">
        <f>IFERROR(__xludf.DUMMYFUNCTION("""COMPUTED_VALUE"""),"00:E0:C9:28:DA:61")</f>
        <v>00:E0:C9:28:DA:61</v>
      </c>
      <c r="F278" s="552" t="s">
        <v>11188</v>
      </c>
      <c r="G278" s="8"/>
      <c r="H278" s="8"/>
      <c r="I278" s="8"/>
      <c r="J278" s="546" t="str">
        <f t="array" ref="J278">IF(LEN($E278),INDEX('4-All Devices'!AE:AE, MATCH($E278, '4-All Devices'!AF:AF, 0)),"")</f>
        <v>Corphosted</v>
      </c>
      <c r="K278" s="8"/>
      <c r="L278" s="8"/>
      <c r="M278" s="8"/>
    </row>
    <row r="279">
      <c r="A279" s="542"/>
      <c r="B279" s="551" t="str">
        <f t="array" ref="B279">IF(LEN(E279),INDEX('4-All Devices'!AG:AG, MATCH(E279, '4-All Devices'!AF:AF, 0)),"")</f>
        <v>in-blr-ananta-ddc-26</v>
      </c>
      <c r="C279" s="549" t="s">
        <v>11186</v>
      </c>
      <c r="D279" s="549" t="s">
        <v>11187</v>
      </c>
      <c r="E279" s="8" t="str">
        <f>IFERROR(__xludf.DUMMYFUNCTION("""COMPUTED_VALUE"""),"00:E0:C9:28:D1:97")</f>
        <v>00:E0:C9:28:D1:97</v>
      </c>
      <c r="F279" s="552" t="s">
        <v>11188</v>
      </c>
      <c r="G279" s="8"/>
      <c r="H279" s="8"/>
      <c r="I279" s="8"/>
      <c r="J279" s="546" t="str">
        <f t="array" ref="J279">IF(LEN($E279),INDEX('4-All Devices'!AE:AE, MATCH($E279, '4-All Devices'!AF:AF, 0)),"")</f>
        <v>Corphosted</v>
      </c>
      <c r="K279" s="8"/>
      <c r="L279" s="8"/>
      <c r="M279" s="8"/>
    </row>
    <row r="280">
      <c r="A280" s="542"/>
      <c r="B280" s="551" t="str">
        <f t="array" ref="B280">IF(LEN(E280),INDEX('4-All Devices'!AG:AG, MATCH(E280, '4-All Devices'!AF:AF, 0)),"")</f>
        <v>in-blr-ananta-hli-28</v>
      </c>
      <c r="C280" s="549" t="s">
        <v>11186</v>
      </c>
      <c r="D280" s="549" t="s">
        <v>11187</v>
      </c>
      <c r="E280" s="8" t="str">
        <f>IFERROR(__xludf.DUMMYFUNCTION("""COMPUTED_VALUE"""),"00:E0:C9:28:DB:3F")</f>
        <v>00:E0:C9:28:DB:3F</v>
      </c>
      <c r="F280" s="552" t="s">
        <v>11188</v>
      </c>
      <c r="G280" s="8"/>
      <c r="H280" s="8"/>
      <c r="I280" s="8"/>
      <c r="J280" s="546" t="str">
        <f t="array" ref="J280">IF(LEN($E280),INDEX('4-All Devices'!AE:AE, MATCH($E280, '4-All Devices'!AF:AF, 0)),"")</f>
        <v>Corphosted</v>
      </c>
      <c r="K280" s="8"/>
      <c r="L280" s="8"/>
      <c r="M280" s="8"/>
    </row>
    <row r="281">
      <c r="A281" s="542"/>
      <c r="B281" s="551" t="str">
        <f t="array" ref="B281">IF(LEN(E281),INDEX('4-All Devices'!AG:AG, MATCH(E281, '4-All Devices'!AF:AF, 0)),"")</f>
        <v>in-blr-ananta-ddc-27</v>
      </c>
      <c r="C281" s="549" t="s">
        <v>11186</v>
      </c>
      <c r="D281" s="549" t="s">
        <v>11187</v>
      </c>
      <c r="E281" s="8" t="str">
        <f>IFERROR(__xludf.DUMMYFUNCTION("""COMPUTED_VALUE"""),"00:E0:C9:28:D1:1B")</f>
        <v>00:E0:C9:28:D1:1B</v>
      </c>
      <c r="F281" s="552" t="s">
        <v>11188</v>
      </c>
      <c r="G281" s="8"/>
      <c r="H281" s="8"/>
      <c r="I281" s="8"/>
      <c r="J281" s="546" t="str">
        <f t="array" ref="J281">IF(LEN($E281),INDEX('4-All Devices'!AE:AE, MATCH($E281, '4-All Devices'!AF:AF, 0)),"")</f>
        <v>Corphosted</v>
      </c>
      <c r="K281" s="8"/>
      <c r="L281" s="8"/>
      <c r="M281" s="8"/>
    </row>
    <row r="282">
      <c r="A282" s="542"/>
      <c r="B282" s="551" t="str">
        <f t="array" ref="B282">IF(LEN(E282),INDEX('4-All Devices'!AG:AG, MATCH(E282, '4-All Devices'!AF:AF, 0)),"")</f>
        <v>in-blr-ananta-hli-29</v>
      </c>
      <c r="C282" s="549" t="s">
        <v>11186</v>
      </c>
      <c r="D282" s="549" t="s">
        <v>11187</v>
      </c>
      <c r="E282" s="8" t="str">
        <f>IFERROR(__xludf.DUMMYFUNCTION("""COMPUTED_VALUE"""),"00:E0:C9:28:D1:8F")</f>
        <v>00:E0:C9:28:D1:8F</v>
      </c>
      <c r="F282" s="552" t="s">
        <v>11188</v>
      </c>
      <c r="G282" s="8"/>
      <c r="H282" s="8"/>
      <c r="I282" s="8"/>
      <c r="J282" s="546" t="str">
        <f t="array" ref="J282">IF(LEN($E282),INDEX('4-All Devices'!AE:AE, MATCH($E282, '4-All Devices'!AF:AF, 0)),"")</f>
        <v>Corphosted</v>
      </c>
      <c r="K282" s="8"/>
      <c r="L282" s="8"/>
      <c r="M282" s="8"/>
    </row>
    <row r="283">
      <c r="A283" s="542"/>
      <c r="B283" s="551" t="str">
        <f t="array" ref="B283">IF(LEN(E283),INDEX('4-All Devices'!AG:AG, MATCH(E283, '4-All Devices'!AF:AF, 0)),"")</f>
        <v>in-blr-ananta-ddc-28</v>
      </c>
      <c r="C283" s="549" t="s">
        <v>11186</v>
      </c>
      <c r="D283" s="549" t="s">
        <v>11187</v>
      </c>
      <c r="E283" s="8" t="str">
        <f>IFERROR(__xludf.DUMMYFUNCTION("""COMPUTED_VALUE"""),"00:E0:C9:28:D1:7D")</f>
        <v>00:E0:C9:28:D1:7D</v>
      </c>
      <c r="F283" s="552" t="s">
        <v>11188</v>
      </c>
      <c r="G283" s="8"/>
      <c r="H283" s="8"/>
      <c r="I283" s="8"/>
      <c r="J283" s="546" t="str">
        <f t="array" ref="J283">IF(LEN($E283),INDEX('4-All Devices'!AE:AE, MATCH($E283, '4-All Devices'!AF:AF, 0)),"")</f>
        <v>Corphosted</v>
      </c>
      <c r="K283" s="8"/>
      <c r="L283" s="8"/>
      <c r="M283" s="8"/>
    </row>
    <row r="284">
      <c r="A284" s="542"/>
      <c r="B284" s="551" t="str">
        <f t="array" ref="B284">IF(LEN(E284),INDEX('4-All Devices'!AG:AG, MATCH(E284, '4-All Devices'!AF:AF, 0)),"")</f>
        <v>in-blr-ananta-hli-30</v>
      </c>
      <c r="C284" s="549" t="s">
        <v>11186</v>
      </c>
      <c r="D284" s="549" t="s">
        <v>11187</v>
      </c>
      <c r="E284" s="8" t="str">
        <f>IFERROR(__xludf.DUMMYFUNCTION("""COMPUTED_VALUE"""),"00:E0:C9:28:C9:B6")</f>
        <v>00:E0:C9:28:C9:B6</v>
      </c>
      <c r="F284" s="552" t="s">
        <v>11188</v>
      </c>
      <c r="G284" s="8"/>
      <c r="H284" s="8"/>
      <c r="I284" s="8"/>
      <c r="J284" s="546" t="str">
        <f t="array" ref="J284">IF(LEN($E284),INDEX('4-All Devices'!AE:AE, MATCH($E284, '4-All Devices'!AF:AF, 0)),"")</f>
        <v>Corphosted</v>
      </c>
      <c r="K284" s="8"/>
      <c r="L284" s="8"/>
      <c r="M284" s="8"/>
    </row>
    <row r="285">
      <c r="A285" s="542"/>
      <c r="B285" s="551" t="str">
        <f t="array" ref="B285">IF(LEN(E285),INDEX('4-All Devices'!AG:AG, MATCH(E285, '4-All Devices'!AF:AF, 0)),"")</f>
        <v>in-blr-ananta-ddc-29</v>
      </c>
      <c r="C285" s="549" t="s">
        <v>11186</v>
      </c>
      <c r="D285" s="549" t="s">
        <v>11187</v>
      </c>
      <c r="E285" s="8" t="str">
        <f>IFERROR(__xludf.DUMMYFUNCTION("""COMPUTED_VALUE"""),"00:E0:C9:28:DB:05")</f>
        <v>00:E0:C9:28:DB:05</v>
      </c>
      <c r="F285" s="552" t="s">
        <v>11188</v>
      </c>
      <c r="G285" s="8"/>
      <c r="H285" s="8"/>
      <c r="I285" s="8"/>
      <c r="J285" s="546" t="str">
        <f t="array" ref="J285">IF(LEN($E285),INDEX('4-All Devices'!AE:AE, MATCH($E285, '4-All Devices'!AF:AF, 0)),"")</f>
        <v>Corphosted</v>
      </c>
      <c r="K285" s="8"/>
      <c r="L285" s="8"/>
      <c r="M285" s="8"/>
    </row>
    <row r="286">
      <c r="A286" s="542"/>
      <c r="B286" s="551" t="str">
        <f t="array" ref="B286">IF(LEN(E286),INDEX('4-All Devices'!AG:AG, MATCH(E286, '4-All Devices'!AF:AF, 0)),"")</f>
        <v>in-blr-ananta-hli-31</v>
      </c>
      <c r="C286" s="549" t="s">
        <v>11186</v>
      </c>
      <c r="D286" s="549" t="s">
        <v>11187</v>
      </c>
      <c r="E286" s="8" t="str">
        <f>IFERROR(__xludf.DUMMYFUNCTION("""COMPUTED_VALUE"""),"00:E0:C9:28:E3:73")</f>
        <v>00:E0:C9:28:E3:73</v>
      </c>
      <c r="F286" s="552" t="s">
        <v>11188</v>
      </c>
      <c r="G286" s="8"/>
      <c r="H286" s="8"/>
      <c r="I286" s="8"/>
      <c r="J286" s="546" t="str">
        <f t="array" ref="J286">IF(LEN($E286),INDEX('4-All Devices'!AE:AE, MATCH($E286, '4-All Devices'!AF:AF, 0)),"")</f>
        <v>Corphosted</v>
      </c>
      <c r="K286" s="8"/>
      <c r="L286" s="8"/>
      <c r="M286" s="8"/>
    </row>
    <row r="287">
      <c r="A287" s="542"/>
      <c r="B287" s="551" t="str">
        <f t="array" ref="B287">IF(LEN(E287),INDEX('4-All Devices'!AG:AG, MATCH(E287, '4-All Devices'!AF:AF, 0)),"")</f>
        <v>in-blr-ananta-ddc-30</v>
      </c>
      <c r="C287" s="549" t="s">
        <v>11186</v>
      </c>
      <c r="D287" s="549" t="s">
        <v>11187</v>
      </c>
      <c r="E287" s="8" t="str">
        <f>IFERROR(__xludf.DUMMYFUNCTION("""COMPUTED_VALUE"""),"00:E0:C9:28:D2:07")</f>
        <v>00:E0:C9:28:D2:07</v>
      </c>
      <c r="F287" s="552" t="s">
        <v>11188</v>
      </c>
      <c r="G287" s="8"/>
      <c r="H287" s="8"/>
      <c r="I287" s="8"/>
      <c r="J287" s="546" t="str">
        <f t="array" ref="J287">IF(LEN($E287),INDEX('4-All Devices'!AE:AE, MATCH($E287, '4-All Devices'!AF:AF, 0)),"")</f>
        <v>Corphosted</v>
      </c>
      <c r="K287" s="8"/>
      <c r="L287" s="8"/>
      <c r="M287" s="8"/>
    </row>
    <row r="288">
      <c r="A288" s="542"/>
      <c r="B288" s="551" t="str">
        <f t="array" ref="B288">IF(LEN(E288),INDEX('4-All Devices'!AG:AG, MATCH(E288, '4-All Devices'!AF:AF, 0)),"")</f>
        <v>in-blr-ananta-hli-32</v>
      </c>
      <c r="C288" s="549" t="s">
        <v>11186</v>
      </c>
      <c r="D288" s="549" t="s">
        <v>11187</v>
      </c>
      <c r="E288" s="8" t="str">
        <f>IFERROR(__xludf.DUMMYFUNCTION("""COMPUTED_VALUE"""),"00:E0:C9:28:C9:AC")</f>
        <v>00:E0:C9:28:C9:AC</v>
      </c>
      <c r="F288" s="552" t="s">
        <v>11188</v>
      </c>
      <c r="G288" s="8"/>
      <c r="H288" s="8"/>
      <c r="I288" s="8"/>
      <c r="J288" s="546" t="str">
        <f t="array" ref="J288">IF(LEN($E288),INDEX('4-All Devices'!AE:AE, MATCH($E288, '4-All Devices'!AF:AF, 0)),"")</f>
        <v>Corphosted</v>
      </c>
      <c r="K288" s="8"/>
      <c r="L288" s="8"/>
      <c r="M288" s="8"/>
    </row>
    <row r="289">
      <c r="A289" s="542"/>
      <c r="B289" s="551" t="str">
        <f t="array" ref="B289">IF(LEN(E289),INDEX('4-All Devices'!AG:AG, MATCH(E289, '4-All Devices'!AF:AF, 0)),"")</f>
        <v>in-blr-ananta-hli-33</v>
      </c>
      <c r="C289" s="549" t="s">
        <v>11186</v>
      </c>
      <c r="D289" s="549" t="s">
        <v>11187</v>
      </c>
      <c r="E289" s="8" t="str">
        <f>IFERROR(__xludf.DUMMYFUNCTION("""COMPUTED_VALUE"""),"00:E0:C9:28:E3:CD")</f>
        <v>00:E0:C9:28:E3:CD</v>
      </c>
      <c r="F289" s="552" t="s">
        <v>11188</v>
      </c>
      <c r="G289" s="8"/>
      <c r="H289" s="8"/>
      <c r="I289" s="8"/>
      <c r="J289" s="546" t="str">
        <f t="array" ref="J289">IF(LEN($E289),INDEX('4-All Devices'!AE:AE, MATCH($E289, '4-All Devices'!AF:AF, 0)),"")</f>
        <v>Corphosted</v>
      </c>
      <c r="K289" s="8"/>
      <c r="L289" s="8"/>
      <c r="M289" s="8"/>
    </row>
    <row r="290">
      <c r="A290" s="542"/>
      <c r="B290" s="551" t="str">
        <f t="array" ref="B290">IF(LEN(E290),INDEX('4-All Devices'!AG:AG, MATCH(E290, '4-All Devices'!AF:AF, 0)),"")</f>
        <v>in-blr-ananta-ddc-31</v>
      </c>
      <c r="C290" s="549" t="s">
        <v>11186</v>
      </c>
      <c r="D290" s="549" t="s">
        <v>11187</v>
      </c>
      <c r="E290" s="8" t="str">
        <f>IFERROR(__xludf.DUMMYFUNCTION("""COMPUTED_VALUE"""),"00:E0:C9:28:DA:53")</f>
        <v>00:E0:C9:28:DA:53</v>
      </c>
      <c r="F290" s="552" t="s">
        <v>11188</v>
      </c>
      <c r="G290" s="8"/>
      <c r="H290" s="8"/>
      <c r="I290" s="8"/>
      <c r="J290" s="546" t="str">
        <f t="array" ref="J290">IF(LEN($E290),INDEX('4-All Devices'!AE:AE, MATCH($E290, '4-All Devices'!AF:AF, 0)),"")</f>
        <v>Corphosted</v>
      </c>
      <c r="K290" s="8"/>
      <c r="L290" s="8"/>
      <c r="M290" s="8"/>
    </row>
    <row r="291">
      <c r="A291" s="542"/>
      <c r="B291" s="551" t="str">
        <f t="array" ref="B291">IF(LEN(E291),INDEX('4-All Devices'!AG:AG, MATCH(E291, '4-All Devices'!AF:AF, 0)),"")</f>
        <v>in-blr-ananta-hli-34</v>
      </c>
      <c r="C291" s="549" t="s">
        <v>11186</v>
      </c>
      <c r="D291" s="549" t="s">
        <v>11187</v>
      </c>
      <c r="E291" s="8" t="str">
        <f>IFERROR(__xludf.DUMMYFUNCTION("""COMPUTED_VALUE"""),"00:E0:C9:28:D1:2F")</f>
        <v>00:E0:C9:28:D1:2F</v>
      </c>
      <c r="F291" s="552" t="s">
        <v>11188</v>
      </c>
      <c r="G291" s="8"/>
      <c r="H291" s="8"/>
      <c r="I291" s="8"/>
      <c r="J291" s="546" t="str">
        <f t="array" ref="J291">IF(LEN($E291),INDEX('4-All Devices'!AE:AE, MATCH($E291, '4-All Devices'!AF:AF, 0)),"")</f>
        <v>Corphosted</v>
      </c>
      <c r="K291" s="8"/>
      <c r="L291" s="8"/>
      <c r="M291" s="8"/>
    </row>
    <row r="292">
      <c r="A292" s="542"/>
      <c r="B292" s="551" t="str">
        <f t="array" ref="B292">IF(LEN(E292),INDEX('4-All Devices'!AG:AG, MATCH(E292, '4-All Devices'!AF:AF, 0)),"")</f>
        <v>in-blr-ananta-ddc-32</v>
      </c>
      <c r="C292" s="549" t="s">
        <v>11186</v>
      </c>
      <c r="D292" s="549" t="s">
        <v>11187</v>
      </c>
      <c r="E292" s="8" t="str">
        <f>IFERROR(__xludf.DUMMYFUNCTION("""COMPUTED_VALUE"""),"00:E0:C9:28:D1:69")</f>
        <v>00:E0:C9:28:D1:69</v>
      </c>
      <c r="F292" s="552" t="s">
        <v>11188</v>
      </c>
      <c r="G292" s="8"/>
      <c r="H292" s="8"/>
      <c r="I292" s="8"/>
      <c r="J292" s="546" t="str">
        <f t="array" ref="J292">IF(LEN($E292),INDEX('4-All Devices'!AE:AE, MATCH($E292, '4-All Devices'!AF:AF, 0)),"")</f>
        <v>Corphosted</v>
      </c>
      <c r="K292" s="8"/>
      <c r="L292" s="8"/>
      <c r="M292" s="8"/>
    </row>
    <row r="293">
      <c r="A293" s="542"/>
      <c r="B293" s="551" t="str">
        <f t="array" ref="B293">IF(LEN(E293),INDEX('4-All Devices'!AG:AG, MATCH(E293, '4-All Devices'!AF:AF, 0)),"")</f>
        <v>in-blr-ananta-hli-35</v>
      </c>
      <c r="C293" s="549" t="s">
        <v>11186</v>
      </c>
      <c r="D293" s="549" t="s">
        <v>11187</v>
      </c>
      <c r="E293" s="8" t="str">
        <f>IFERROR(__xludf.DUMMYFUNCTION("""COMPUTED_VALUE"""),"00:E0:C9:28:BE:32")</f>
        <v>00:E0:C9:28:BE:32</v>
      </c>
      <c r="F293" s="552" t="s">
        <v>11188</v>
      </c>
      <c r="G293" s="8"/>
      <c r="H293" s="8"/>
      <c r="I293" s="8"/>
      <c r="J293" s="546" t="str">
        <f t="array" ref="J293">IF(LEN($E293),INDEX('4-All Devices'!AE:AE, MATCH($E293, '4-All Devices'!AF:AF, 0)),"")</f>
        <v>Corphosted</v>
      </c>
      <c r="K293" s="8"/>
      <c r="L293" s="8"/>
      <c r="M293" s="8"/>
    </row>
    <row r="294">
      <c r="A294" s="542"/>
      <c r="B294" s="551" t="str">
        <f t="array" ref="B294">IF(LEN(E294),INDEX('4-All Devices'!AG:AG, MATCH(E294, '4-All Devices'!AF:AF, 0)),"")</f>
        <v>in-blr-ananta-ddc-33</v>
      </c>
      <c r="C294" s="549" t="s">
        <v>11186</v>
      </c>
      <c r="D294" s="549" t="s">
        <v>11187</v>
      </c>
      <c r="E294" s="8" t="str">
        <f>IFERROR(__xludf.DUMMYFUNCTION("""COMPUTED_VALUE"""),"00:E0:C9:28:D2:37")</f>
        <v>00:E0:C9:28:D2:37</v>
      </c>
      <c r="F294" s="552" t="s">
        <v>11188</v>
      </c>
      <c r="G294" s="8"/>
      <c r="H294" s="8"/>
      <c r="I294" s="8"/>
      <c r="J294" s="546" t="str">
        <f t="array" ref="J294">IF(LEN($E294),INDEX('4-All Devices'!AE:AE, MATCH($E294, '4-All Devices'!AF:AF, 0)),"")</f>
        <v>Corphosted</v>
      </c>
      <c r="K294" s="8"/>
      <c r="L294" s="8"/>
      <c r="M294" s="8"/>
    </row>
    <row r="295">
      <c r="A295" s="542"/>
      <c r="B295" s="551" t="str">
        <f t="array" ref="B295">IF(LEN(E295),INDEX('4-All Devices'!AG:AG, MATCH(E295, '4-All Devices'!AF:AF, 0)),"")</f>
        <v>in-blr-ananta-hli-36</v>
      </c>
      <c r="C295" s="549" t="s">
        <v>11186</v>
      </c>
      <c r="D295" s="549" t="s">
        <v>11187</v>
      </c>
      <c r="E295" s="8" t="str">
        <f>IFERROR(__xludf.DUMMYFUNCTION("""COMPUTED_VALUE"""),"00:E0:C9:28:D1:3F")</f>
        <v>00:E0:C9:28:D1:3F</v>
      </c>
      <c r="F295" s="552" t="s">
        <v>11188</v>
      </c>
      <c r="G295" s="8"/>
      <c r="H295" s="8"/>
      <c r="I295" s="8"/>
      <c r="J295" s="546" t="str">
        <f t="array" ref="J295">IF(LEN($E295),INDEX('4-All Devices'!AE:AE, MATCH($E295, '4-All Devices'!AF:AF, 0)),"")</f>
        <v>Corphosted</v>
      </c>
      <c r="K295" s="8"/>
      <c r="L295" s="8"/>
      <c r="M295" s="8"/>
    </row>
    <row r="296">
      <c r="A296" s="542"/>
      <c r="B296" s="551" t="str">
        <f t="array" ref="B296">IF(LEN(E296),INDEX('4-All Devices'!AG:AG, MATCH(E296, '4-All Devices'!AF:AF, 0)),"")</f>
        <v>in-blr-ananta-ddc-34</v>
      </c>
      <c r="C296" s="549" t="s">
        <v>11186</v>
      </c>
      <c r="D296" s="549" t="s">
        <v>11187</v>
      </c>
      <c r="E296" s="8" t="str">
        <f>IFERROR(__xludf.DUMMYFUNCTION("""COMPUTED_VALUE"""),"00:E0:C9:28:D1:1F")</f>
        <v>00:E0:C9:28:D1:1F</v>
      </c>
      <c r="F296" s="552" t="s">
        <v>11188</v>
      </c>
      <c r="G296" s="8"/>
      <c r="H296" s="8"/>
      <c r="I296" s="8"/>
      <c r="J296" s="546" t="str">
        <f t="array" ref="J296">IF(LEN($E296),INDEX('4-All Devices'!AE:AE, MATCH($E296, '4-All Devices'!AF:AF, 0)),"")</f>
        <v>Corphosted</v>
      </c>
      <c r="K296" s="8"/>
      <c r="L296" s="8"/>
      <c r="M296" s="8"/>
    </row>
    <row r="297">
      <c r="A297" s="542"/>
      <c r="B297" s="551" t="str">
        <f t="array" ref="B297">IF(LEN(E297),INDEX('4-All Devices'!AG:AG, MATCH(E297, '4-All Devices'!AF:AF, 0)),"")</f>
        <v>in-blr-ananta-hli-37</v>
      </c>
      <c r="C297" s="549" t="s">
        <v>11186</v>
      </c>
      <c r="D297" s="549" t="s">
        <v>11187</v>
      </c>
      <c r="E297" s="8" t="str">
        <f>IFERROR(__xludf.DUMMYFUNCTION("""COMPUTED_VALUE"""),"00:E0:C9:28:D1:0D")</f>
        <v>00:E0:C9:28:D1:0D</v>
      </c>
      <c r="F297" s="552" t="s">
        <v>11188</v>
      </c>
      <c r="G297" s="8"/>
      <c r="H297" s="8"/>
      <c r="I297" s="8"/>
      <c r="J297" s="546" t="str">
        <f t="array" ref="J297">IF(LEN($E297),INDEX('4-All Devices'!AE:AE, MATCH($E297, '4-All Devices'!AF:AF, 0)),"")</f>
        <v>Corphosted</v>
      </c>
      <c r="K297" s="8"/>
      <c r="L297" s="8"/>
      <c r="M297" s="8"/>
    </row>
    <row r="298">
      <c r="A298" s="542"/>
      <c r="B298" s="551" t="str">
        <f t="array" ref="B298">IF(LEN(E298),INDEX('4-All Devices'!AG:AG, MATCH(E298, '4-All Devices'!AF:AF, 0)),"")</f>
        <v>in-blr-ananta-ddc-35</v>
      </c>
      <c r="C298" s="549" t="s">
        <v>11186</v>
      </c>
      <c r="D298" s="549" t="s">
        <v>11187</v>
      </c>
      <c r="E298" s="8" t="str">
        <f>IFERROR(__xludf.DUMMYFUNCTION("""COMPUTED_VALUE"""),"00:E0:C9:28:D2:15")</f>
        <v>00:E0:C9:28:D2:15</v>
      </c>
      <c r="F298" s="552" t="s">
        <v>11188</v>
      </c>
      <c r="G298" s="8"/>
      <c r="H298" s="8"/>
      <c r="I298" s="8"/>
      <c r="J298" s="546" t="str">
        <f t="array" ref="J298">IF(LEN($E298),INDEX('4-All Devices'!AE:AE, MATCH($E298, '4-All Devices'!AF:AF, 0)),"")</f>
        <v>Corphosted</v>
      </c>
      <c r="K298" s="8"/>
      <c r="L298" s="8"/>
      <c r="M298" s="8"/>
    </row>
    <row r="299">
      <c r="A299" s="542"/>
      <c r="B299" s="551" t="str">
        <f t="array" ref="B299">IF(LEN(E299),INDEX('4-All Devices'!AG:AG, MATCH(E299, '4-All Devices'!AF:AF, 0)),"")</f>
        <v>in-blr-ananta-hli-38</v>
      </c>
      <c r="C299" s="549" t="s">
        <v>11186</v>
      </c>
      <c r="D299" s="549" t="s">
        <v>11187</v>
      </c>
      <c r="E299" s="8" t="str">
        <f>IFERROR(__xludf.DUMMYFUNCTION("""COMPUTED_VALUE"""),"00:E0:C9:28:DA:F3")</f>
        <v>00:E0:C9:28:DA:F3</v>
      </c>
      <c r="F299" s="552" t="s">
        <v>11188</v>
      </c>
      <c r="G299" s="8"/>
      <c r="H299" s="8"/>
      <c r="I299" s="8"/>
      <c r="J299" s="546" t="str">
        <f t="array" ref="J299">IF(LEN($E299),INDEX('4-All Devices'!AE:AE, MATCH($E299, '4-All Devices'!AF:AF, 0)),"")</f>
        <v>Corphosted</v>
      </c>
      <c r="K299" s="8"/>
      <c r="L299" s="8"/>
      <c r="M299" s="8"/>
    </row>
    <row r="300">
      <c r="A300" s="542"/>
      <c r="B300" s="551" t="str">
        <f t="array" ref="B300">IF(LEN(E300),INDEX('4-All Devices'!AG:AG, MATCH(E300, '4-All Devices'!AF:AF, 0)),"")</f>
        <v>in-blr-ananta-ddc-36</v>
      </c>
      <c r="C300" s="549" t="s">
        <v>11186</v>
      </c>
      <c r="D300" s="549" t="s">
        <v>11187</v>
      </c>
      <c r="E300" s="8" t="str">
        <f>IFERROR(__xludf.DUMMYFUNCTION("""COMPUTED_VALUE"""),"00:E0:C9:28:DA:51")</f>
        <v>00:E0:C9:28:DA:51</v>
      </c>
      <c r="F300" s="552" t="s">
        <v>11188</v>
      </c>
      <c r="G300" s="8"/>
      <c r="H300" s="8"/>
      <c r="I300" s="8"/>
      <c r="J300" s="546" t="str">
        <f t="array" ref="J300">IF(LEN($E300),INDEX('4-All Devices'!AE:AE, MATCH($E300, '4-All Devices'!AF:AF, 0)),"")</f>
        <v>Corphosted</v>
      </c>
      <c r="K300" s="8"/>
      <c r="L300" s="8"/>
      <c r="M300" s="8"/>
    </row>
    <row r="301">
      <c r="A301" s="542"/>
      <c r="B301" s="551" t="str">
        <f t="array" ref="B301">IF(LEN(E301),INDEX('4-All Devices'!AG:AG, MATCH(E301, '4-All Devices'!AF:AF, 0)),"")</f>
        <v>in-blr-ananta-hli-39</v>
      </c>
      <c r="C301" s="549" t="s">
        <v>11186</v>
      </c>
      <c r="D301" s="549" t="s">
        <v>11187</v>
      </c>
      <c r="E301" s="8" t="str">
        <f>IFERROR(__xludf.DUMMYFUNCTION("""COMPUTED_VALUE"""),"00:E0:C9:28:DA:41")</f>
        <v>00:E0:C9:28:DA:41</v>
      </c>
      <c r="F301" s="552" t="s">
        <v>11188</v>
      </c>
      <c r="G301" s="8"/>
      <c r="H301" s="8"/>
      <c r="I301" s="8"/>
      <c r="J301" s="546" t="str">
        <f t="array" ref="J301">IF(LEN($E301),INDEX('4-All Devices'!AE:AE, MATCH($E301, '4-All Devices'!AF:AF, 0)),"")</f>
        <v>Corphosted</v>
      </c>
      <c r="K301" s="8"/>
      <c r="L301" s="8"/>
      <c r="M301" s="8"/>
    </row>
    <row r="302">
      <c r="A302" s="542"/>
      <c r="B302" s="551" t="str">
        <f t="array" ref="B302">IF(LEN(E302),INDEX('4-All Devices'!AG:AG, MATCH(E302, '4-All Devices'!AF:AF, 0)),"")</f>
        <v>in-blr-ananta-hli-40</v>
      </c>
      <c r="C302" s="549" t="s">
        <v>11186</v>
      </c>
      <c r="D302" s="549" t="s">
        <v>11187</v>
      </c>
      <c r="E302" s="8" t="str">
        <f>IFERROR(__xludf.DUMMYFUNCTION("""COMPUTED_VALUE"""),"00:E0:C9:28:E2:D9")</f>
        <v>00:E0:C9:28:E2:D9</v>
      </c>
      <c r="F302" s="552" t="s">
        <v>11188</v>
      </c>
      <c r="G302" s="8"/>
      <c r="H302" s="8"/>
      <c r="I302" s="8"/>
      <c r="J302" s="546" t="str">
        <f t="array" ref="J302">IF(LEN($E302),INDEX('4-All Devices'!AE:AE, MATCH($E302, '4-All Devices'!AF:AF, 0)),"")</f>
        <v>Corphosted</v>
      </c>
      <c r="K302" s="8"/>
      <c r="L302" s="8"/>
      <c r="M302" s="8"/>
    </row>
    <row r="303">
      <c r="A303" s="542"/>
      <c r="B303" s="551" t="str">
        <f t="array" ref="B303">IF(LEN(E303),INDEX('4-All Devices'!AG:AG, MATCH(E303, '4-All Devices'!AF:AF, 0)),"")</f>
        <v>in-blr-ananta-hli-41</v>
      </c>
      <c r="C303" s="549" t="s">
        <v>11186</v>
      </c>
      <c r="D303" s="549" t="s">
        <v>11187</v>
      </c>
      <c r="E303" s="8" t="str">
        <f>IFERROR(__xludf.DUMMYFUNCTION("""COMPUTED_VALUE"""),"00:E0:C9:28:DB:73")</f>
        <v>00:E0:C9:28:DB:73</v>
      </c>
      <c r="F303" s="552" t="s">
        <v>11188</v>
      </c>
      <c r="G303" s="8"/>
      <c r="H303" s="8"/>
      <c r="I303" s="8"/>
      <c r="J303" s="546" t="str">
        <f t="array" ref="J303">IF(LEN($E303),INDEX('4-All Devices'!AE:AE, MATCH($E303, '4-All Devices'!AF:AF, 0)),"")</f>
        <v>Corphosted</v>
      </c>
      <c r="K303" s="8"/>
      <c r="L303" s="8"/>
      <c r="M303" s="8"/>
    </row>
    <row r="304">
      <c r="A304" s="542"/>
      <c r="B304" s="551" t="str">
        <f t="array" ref="B304">IF(LEN(E304),INDEX('4-All Devices'!AG:AG, MATCH(E304, '4-All Devices'!AF:AF, 0)),"")</f>
        <v>in-blr-ananta-ddc-37</v>
      </c>
      <c r="C304" s="549" t="s">
        <v>11186</v>
      </c>
      <c r="D304" s="549" t="s">
        <v>11187</v>
      </c>
      <c r="E304" s="8" t="str">
        <f>IFERROR(__xludf.DUMMYFUNCTION("""COMPUTED_VALUE"""),"00:E0:C9:28:C8:12")</f>
        <v>00:E0:C9:28:C8:12</v>
      </c>
      <c r="F304" s="552" t="s">
        <v>11188</v>
      </c>
      <c r="G304" s="8"/>
      <c r="H304" s="8"/>
      <c r="I304" s="8"/>
      <c r="J304" s="546" t="str">
        <f t="array" ref="J304">IF(LEN($E304),INDEX('4-All Devices'!AE:AE, MATCH($E304, '4-All Devices'!AF:AF, 0)),"")</f>
        <v>Corphosted</v>
      </c>
      <c r="K304" s="8"/>
      <c r="L304" s="8"/>
      <c r="M304" s="8"/>
    </row>
    <row r="305">
      <c r="A305" s="542"/>
      <c r="B305" s="551" t="str">
        <f t="array" ref="B305">IF(LEN(E305),INDEX('4-All Devices'!AG:AG, MATCH(E305, '4-All Devices'!AF:AF, 0)),"")</f>
        <v>in-blr-ananta-hli-42</v>
      </c>
      <c r="C305" s="549" t="s">
        <v>11186</v>
      </c>
      <c r="D305" s="549" t="s">
        <v>11187</v>
      </c>
      <c r="E305" s="8" t="str">
        <f>IFERROR(__xludf.DUMMYFUNCTION("""COMPUTED_VALUE"""),"00:E0:C9:28:C8:B2")</f>
        <v>00:E0:C9:28:C8:B2</v>
      </c>
      <c r="F305" s="552" t="s">
        <v>11188</v>
      </c>
      <c r="G305" s="8"/>
      <c r="H305" s="8"/>
      <c r="I305" s="8"/>
      <c r="J305" s="546" t="str">
        <f t="array" ref="J305">IF(LEN($E305),INDEX('4-All Devices'!AE:AE, MATCH($E305, '4-All Devices'!AF:AF, 0)),"")</f>
        <v>Corphosted</v>
      </c>
      <c r="K305" s="8"/>
      <c r="L305" s="8"/>
      <c r="M305" s="8"/>
    </row>
    <row r="306">
      <c r="A306" s="542"/>
      <c r="B306" s="551" t="str">
        <f t="array" ref="B306">IF(LEN(E306),INDEX('4-All Devices'!AG:AG, MATCH(E306, '4-All Devices'!AF:AF, 0)),"")</f>
        <v>in-blr-ananta-ddc-38</v>
      </c>
      <c r="C306" s="549" t="s">
        <v>11186</v>
      </c>
      <c r="D306" s="549" t="s">
        <v>11187</v>
      </c>
      <c r="E306" s="8" t="str">
        <f>IFERROR(__xludf.DUMMYFUNCTION("""COMPUTED_VALUE"""),"00:E0:C9:28:D1:83")</f>
        <v>00:E0:C9:28:D1:83</v>
      </c>
      <c r="F306" s="552" t="s">
        <v>11188</v>
      </c>
      <c r="G306" s="8"/>
      <c r="H306" s="8"/>
      <c r="I306" s="8"/>
      <c r="J306" s="546" t="str">
        <f t="array" ref="J306">IF(LEN($E306),INDEX('4-All Devices'!AE:AE, MATCH($E306, '4-All Devices'!AF:AF, 0)),"")</f>
        <v>Corphosted</v>
      </c>
      <c r="K306" s="8"/>
      <c r="L306" s="8"/>
      <c r="M306" s="8"/>
    </row>
    <row r="307">
      <c r="A307" s="542"/>
      <c r="B307" s="551" t="str">
        <f t="array" ref="B307">IF(LEN(E307),INDEX('4-All Devices'!AG:AG, MATCH(E307, '4-All Devices'!AF:AF, 0)),"")</f>
        <v>in-blr-ananta-hli-43</v>
      </c>
      <c r="C307" s="549" t="s">
        <v>11186</v>
      </c>
      <c r="D307" s="549" t="s">
        <v>11187</v>
      </c>
      <c r="E307" s="8" t="str">
        <f>IFERROR(__xludf.DUMMYFUNCTION("""COMPUTED_VALUE"""),"00:E0:C9:28:D1:47")</f>
        <v>00:E0:C9:28:D1:47</v>
      </c>
      <c r="F307" s="552" t="s">
        <v>11188</v>
      </c>
      <c r="G307" s="8"/>
      <c r="H307" s="8"/>
      <c r="I307" s="8"/>
      <c r="J307" s="546" t="str">
        <f t="array" ref="J307">IF(LEN($E307),INDEX('4-All Devices'!AE:AE, MATCH($E307, '4-All Devices'!AF:AF, 0)),"")</f>
        <v>Corphosted</v>
      </c>
      <c r="K307" s="8"/>
      <c r="L307" s="8"/>
      <c r="M307" s="8"/>
    </row>
    <row r="308">
      <c r="A308" s="542"/>
      <c r="B308" s="551" t="str">
        <f t="array" ref="B308">IF(LEN(E308),INDEX('4-All Devices'!AG:AG, MATCH(E308, '4-All Devices'!AF:AF, 0)),"")</f>
        <v>in-blr-ananta-ddc-39</v>
      </c>
      <c r="C308" s="549" t="s">
        <v>11186</v>
      </c>
      <c r="D308" s="549" t="s">
        <v>11187</v>
      </c>
      <c r="E308" s="8" t="str">
        <f>IFERROR(__xludf.DUMMYFUNCTION("""COMPUTED_VALUE"""),"00:E0:C9:28:D2:1F")</f>
        <v>00:E0:C9:28:D2:1F</v>
      </c>
      <c r="F308" s="552" t="s">
        <v>11188</v>
      </c>
      <c r="G308" s="8"/>
      <c r="H308" s="8"/>
      <c r="I308" s="8"/>
      <c r="J308" s="546" t="str">
        <f t="array" ref="J308">IF(LEN($E308),INDEX('4-All Devices'!AE:AE, MATCH($E308, '4-All Devices'!AF:AF, 0)),"")</f>
        <v>Corphosted</v>
      </c>
      <c r="K308" s="8"/>
      <c r="L308" s="8"/>
      <c r="M308" s="8"/>
    </row>
    <row r="309">
      <c r="A309" s="542"/>
      <c r="B309" s="551" t="str">
        <f t="array" ref="B309">IF(LEN(E309),INDEX('4-All Devices'!AG:AG, MATCH(E309, '4-All Devices'!AF:AF, 0)),"")</f>
        <v>in-blr-ananta-hli-44</v>
      </c>
      <c r="C309" s="549" t="s">
        <v>11186</v>
      </c>
      <c r="D309" s="549" t="s">
        <v>11187</v>
      </c>
      <c r="E309" s="8" t="str">
        <f>IFERROR(__xludf.DUMMYFUNCTION("""COMPUTED_VALUE"""),"00:E0:C9:28:DB:31")</f>
        <v>00:E0:C9:28:DB:31</v>
      </c>
      <c r="F309" s="552" t="s">
        <v>11188</v>
      </c>
      <c r="G309" s="8"/>
      <c r="H309" s="8"/>
      <c r="I309" s="8"/>
      <c r="J309" s="546" t="str">
        <f t="array" ref="J309">IF(LEN($E309),INDEX('4-All Devices'!AE:AE, MATCH($E309, '4-All Devices'!AF:AF, 0)),"")</f>
        <v>Corphosted</v>
      </c>
      <c r="K309" s="8"/>
      <c r="L309" s="8"/>
      <c r="M309" s="8"/>
    </row>
    <row r="310">
      <c r="A310" s="542"/>
      <c r="B310" s="551" t="str">
        <f t="array" ref="B310">IF(LEN(E310),INDEX('4-All Devices'!AG:AG, MATCH(E310, '4-All Devices'!AF:AF, 0)),"")</f>
        <v>in-blr-ananta-ddc-40</v>
      </c>
      <c r="C310" s="549" t="s">
        <v>11186</v>
      </c>
      <c r="D310" s="549" t="s">
        <v>11187</v>
      </c>
      <c r="E310" s="8" t="str">
        <f>IFERROR(__xludf.DUMMYFUNCTION("""COMPUTED_VALUE"""),"00:E0:C9:28:DA:7F")</f>
        <v>00:E0:C9:28:DA:7F</v>
      </c>
      <c r="F310" s="552" t="s">
        <v>11188</v>
      </c>
      <c r="G310" s="8"/>
      <c r="H310" s="8"/>
      <c r="I310" s="8"/>
      <c r="J310" s="546" t="str">
        <f t="array" ref="J310">IF(LEN($E310),INDEX('4-All Devices'!AE:AE, MATCH($E310, '4-All Devices'!AF:AF, 0)),"")</f>
        <v>Corphosted</v>
      </c>
      <c r="K310" s="8"/>
      <c r="L310" s="8"/>
      <c r="M310" s="8"/>
    </row>
    <row r="311">
      <c r="A311" s="542"/>
      <c r="B311" s="551" t="str">
        <f t="array" ref="B311">IF(LEN(E311),INDEX('4-All Devices'!AG:AG, MATCH(E311, '4-All Devices'!AF:AF, 0)),"")</f>
        <v>in-blr-ananta-hli-45</v>
      </c>
      <c r="C311" s="549" t="s">
        <v>11186</v>
      </c>
      <c r="D311" s="549" t="s">
        <v>11187</v>
      </c>
      <c r="E311" s="8" t="str">
        <f>IFERROR(__xludf.DUMMYFUNCTION("""COMPUTED_VALUE"""),"00:E0:C9:28:D1:D5")</f>
        <v>00:E0:C9:28:D1:D5</v>
      </c>
      <c r="F311" s="552" t="s">
        <v>11188</v>
      </c>
      <c r="G311" s="8"/>
      <c r="H311" s="8"/>
      <c r="I311" s="8"/>
      <c r="J311" s="546" t="str">
        <f t="array" ref="J311">IF(LEN($E311),INDEX('4-All Devices'!AE:AE, MATCH($E311, '4-All Devices'!AF:AF, 0)),"")</f>
        <v>Corphosted</v>
      </c>
      <c r="K311" s="8"/>
      <c r="L311" s="8"/>
      <c r="M311" s="8"/>
    </row>
    <row r="312">
      <c r="A312" s="542"/>
      <c r="B312" s="551" t="str">
        <f t="array" ref="B312">IF(LEN(E312),INDEX('4-All Devices'!AG:AG, MATCH(E312, '4-All Devices'!AF:AF, 0)),"")</f>
        <v>in-blr-ananta-ddc-41</v>
      </c>
      <c r="C312" s="549" t="s">
        <v>11186</v>
      </c>
      <c r="D312" s="549" t="s">
        <v>11187</v>
      </c>
      <c r="E312" s="8" t="str">
        <f>IFERROR(__xludf.DUMMYFUNCTION("""COMPUTED_VALUE"""),"00:E0:C9:28:D1:39")</f>
        <v>00:E0:C9:28:D1:39</v>
      </c>
      <c r="F312" s="552" t="s">
        <v>11188</v>
      </c>
      <c r="G312" s="8"/>
      <c r="H312" s="8"/>
      <c r="I312" s="8"/>
      <c r="J312" s="546" t="str">
        <f t="array" ref="J312">IF(LEN($E312),INDEX('4-All Devices'!AE:AE, MATCH($E312, '4-All Devices'!AF:AF, 0)),"")</f>
        <v>Corphosted</v>
      </c>
      <c r="K312" s="8"/>
      <c r="L312" s="8"/>
      <c r="M312" s="8"/>
    </row>
    <row r="313">
      <c r="A313" s="542"/>
      <c r="B313" s="551" t="str">
        <f t="array" ref="B313">IF(LEN(E313),INDEX('4-All Devices'!AG:AG, MATCH(E313, '4-All Devices'!AF:AF, 0)),"")</f>
        <v>in-blr-ananta-hli-46</v>
      </c>
      <c r="C313" s="549" t="s">
        <v>11186</v>
      </c>
      <c r="D313" s="549" t="s">
        <v>11187</v>
      </c>
      <c r="E313" s="8" t="str">
        <f>IFERROR(__xludf.DUMMYFUNCTION("""COMPUTED_VALUE"""),"00:E0:C9:28:D1:13")</f>
        <v>00:E0:C9:28:D1:13</v>
      </c>
      <c r="F313" s="552" t="s">
        <v>11188</v>
      </c>
      <c r="G313" s="8"/>
      <c r="H313" s="8"/>
      <c r="I313" s="8"/>
      <c r="J313" s="546" t="str">
        <f t="array" ref="J313">IF(LEN($E313),INDEX('4-All Devices'!AE:AE, MATCH($E313, '4-All Devices'!AF:AF, 0)),"")</f>
        <v>Corphosted</v>
      </c>
      <c r="K313" s="8"/>
      <c r="L313" s="8"/>
      <c r="M313" s="8"/>
    </row>
    <row r="314">
      <c r="A314" s="542"/>
      <c r="B314" s="551" t="str">
        <f t="array" ref="B314">IF(LEN(E314),INDEX('4-All Devices'!AG:AG, MATCH(E314, '4-All Devices'!AF:AF, 0)),"")</f>
        <v>in-blr-ananta-ddc-42</v>
      </c>
      <c r="C314" s="549" t="s">
        <v>11186</v>
      </c>
      <c r="D314" s="549" t="s">
        <v>11187</v>
      </c>
      <c r="E314" s="8" t="str">
        <f>IFERROR(__xludf.DUMMYFUNCTION("""COMPUTED_VALUE"""),"00:E0:C9:28:D1:DD")</f>
        <v>00:E0:C9:28:D1:DD</v>
      </c>
      <c r="F314" s="552" t="s">
        <v>11188</v>
      </c>
      <c r="G314" s="8"/>
      <c r="H314" s="8"/>
      <c r="I314" s="8"/>
      <c r="J314" s="546" t="str">
        <f t="array" ref="J314">IF(LEN($E314),INDEX('4-All Devices'!AE:AE, MATCH($E314, '4-All Devices'!AF:AF, 0)),"")</f>
        <v>Corphosted</v>
      </c>
      <c r="K314" s="8"/>
      <c r="L314" s="8"/>
      <c r="M314" s="8"/>
    </row>
    <row r="315">
      <c r="A315" s="542"/>
      <c r="B315" s="551" t="str">
        <f t="array" ref="B315">IF(LEN(E315),INDEX('4-All Devices'!AG:AG, MATCH(E315, '4-All Devices'!AF:AF, 0)),"")</f>
        <v>in-blr-ananta-hli-47</v>
      </c>
      <c r="C315" s="549" t="s">
        <v>11186</v>
      </c>
      <c r="D315" s="549" t="s">
        <v>11187</v>
      </c>
      <c r="E315" s="8" t="str">
        <f>IFERROR(__xludf.DUMMYFUNCTION("""COMPUTED_VALUE"""),"00:E0:C9:28:E2:F9")</f>
        <v>00:E0:C9:28:E2:F9</v>
      </c>
      <c r="F315" s="552" t="s">
        <v>11188</v>
      </c>
      <c r="G315" s="8"/>
      <c r="H315" s="8"/>
      <c r="I315" s="8"/>
      <c r="J315" s="546" t="str">
        <f t="array" ref="J315">IF(LEN($E315),INDEX('4-All Devices'!AE:AE, MATCH($E315, '4-All Devices'!AF:AF, 0)),"")</f>
        <v>Corphosted</v>
      </c>
      <c r="K315" s="8"/>
      <c r="L315" s="8"/>
      <c r="M315" s="8"/>
    </row>
    <row r="316">
      <c r="A316" s="542"/>
      <c r="B316" s="551" t="str">
        <f t="array" ref="B316">IF(LEN(E316),INDEX('4-All Devices'!AG:AG, MATCH(E316, '4-All Devices'!AF:AF, 0)),"")</f>
        <v>in-blr-ananta-hli-48</v>
      </c>
      <c r="C316" s="549" t="s">
        <v>11186</v>
      </c>
      <c r="D316" s="549" t="s">
        <v>11187</v>
      </c>
      <c r="E316" s="8" t="str">
        <f>IFERROR(__xludf.DUMMYFUNCTION("""COMPUTED_VALUE"""),"00:E0:C9:28:D1:41")</f>
        <v>00:E0:C9:28:D1:41</v>
      </c>
      <c r="F316" s="552" t="s">
        <v>11188</v>
      </c>
      <c r="G316" s="8"/>
      <c r="H316" s="8"/>
      <c r="I316" s="8"/>
      <c r="J316" s="546" t="str">
        <f t="array" ref="J316">IF(LEN($E316),INDEX('4-All Devices'!AE:AE, MATCH($E316, '4-All Devices'!AF:AF, 0)),"")</f>
        <v>Corphosted</v>
      </c>
      <c r="K316" s="8"/>
      <c r="L316" s="8"/>
      <c r="M316" s="8"/>
    </row>
    <row r="317">
      <c r="A317" s="542"/>
      <c r="B317" s="551" t="str">
        <f t="array" ref="B317">IF(LEN(E317),INDEX('4-All Devices'!AG:AG, MATCH(E317, '4-All Devices'!AF:AF, 0)),"")</f>
        <v>in-blr-ananta-hli-49</v>
      </c>
      <c r="C317" s="549" t="s">
        <v>11186</v>
      </c>
      <c r="D317" s="549" t="s">
        <v>11187</v>
      </c>
      <c r="E317" s="8" t="str">
        <f>IFERROR(__xludf.DUMMYFUNCTION("""COMPUTED_VALUE"""),"00:E0:C9:28:E3:63")</f>
        <v>00:E0:C9:28:E3:63</v>
      </c>
      <c r="F317" s="552" t="s">
        <v>11188</v>
      </c>
      <c r="G317" s="8"/>
      <c r="H317" s="8"/>
      <c r="I317" s="8"/>
      <c r="J317" s="546" t="str">
        <f t="array" ref="J317">IF(LEN($E317),INDEX('4-All Devices'!AE:AE, MATCH($E317, '4-All Devices'!AF:AF, 0)),"")</f>
        <v>Corphosted</v>
      </c>
      <c r="K317" s="8"/>
      <c r="L317" s="8"/>
      <c r="M317" s="8"/>
    </row>
    <row r="318">
      <c r="A318" s="542"/>
      <c r="B318" s="551" t="str">
        <f t="array" ref="B318">IF(LEN(E318),INDEX('4-All Devices'!AG:AG, MATCH(E318, '4-All Devices'!AF:AF, 0)),"")</f>
        <v>in-blr-ananta-ddc-43</v>
      </c>
      <c r="C318" s="549" t="s">
        <v>11186</v>
      </c>
      <c r="D318" s="549" t="s">
        <v>11187</v>
      </c>
      <c r="E318" s="8" t="str">
        <f>IFERROR(__xludf.DUMMYFUNCTION("""COMPUTED_VALUE"""),"00:E0:C9:28:DB:01")</f>
        <v>00:E0:C9:28:DB:01</v>
      </c>
      <c r="F318" s="552" t="s">
        <v>11188</v>
      </c>
      <c r="G318" s="8"/>
      <c r="H318" s="8"/>
      <c r="I318" s="8"/>
      <c r="J318" s="546" t="str">
        <f t="array" ref="J318">IF(LEN($E318),INDEX('4-All Devices'!AE:AE, MATCH($E318, '4-All Devices'!AF:AF, 0)),"")</f>
        <v>Corphosted</v>
      </c>
      <c r="K318" s="8"/>
      <c r="L318" s="8"/>
      <c r="M318" s="8"/>
    </row>
    <row r="319">
      <c r="A319" s="542"/>
      <c r="B319" s="551" t="str">
        <f t="array" ref="B319">IF(LEN(E319),INDEX('4-All Devices'!AG:AG, MATCH(E319, '4-All Devices'!AF:AF, 0)),"")</f>
        <v>in-blr-ananta-hli-50</v>
      </c>
      <c r="C319" s="549" t="s">
        <v>11186</v>
      </c>
      <c r="D319" s="549" t="s">
        <v>11187</v>
      </c>
      <c r="E319" s="8" t="str">
        <f>IFERROR(__xludf.DUMMYFUNCTION("""COMPUTED_VALUE"""),"00:E0:C9:28:E2:D7")</f>
        <v>00:E0:C9:28:E2:D7</v>
      </c>
      <c r="F319" s="552" t="s">
        <v>11188</v>
      </c>
      <c r="G319" s="8"/>
      <c r="H319" s="8"/>
      <c r="I319" s="8"/>
      <c r="J319" s="546" t="str">
        <f t="array" ref="J319">IF(LEN($E319),INDEX('4-All Devices'!AE:AE, MATCH($E319, '4-All Devices'!AF:AF, 0)),"")</f>
        <v>Corphosted</v>
      </c>
      <c r="K319" s="8"/>
      <c r="L319" s="8"/>
      <c r="M319" s="8"/>
    </row>
    <row r="320">
      <c r="A320" s="542"/>
      <c r="B320" s="551" t="str">
        <f t="array" ref="B320">IF(LEN(E320),INDEX('4-All Devices'!AG:AG, MATCH(E320, '4-All Devices'!AF:AF, 0)),"")</f>
        <v>in-blr-ananta-hli-51</v>
      </c>
      <c r="C320" s="549" t="s">
        <v>11186</v>
      </c>
      <c r="D320" s="549" t="s">
        <v>11187</v>
      </c>
      <c r="E320" s="8" t="str">
        <f>IFERROR(__xludf.DUMMYFUNCTION("""COMPUTED_VALUE"""),"00:E0:C9:28:E3:A1")</f>
        <v>00:E0:C9:28:E3:A1</v>
      </c>
      <c r="F320" s="552" t="s">
        <v>11188</v>
      </c>
      <c r="G320" s="8"/>
      <c r="H320" s="8"/>
      <c r="I320" s="8"/>
      <c r="J320" s="546" t="str">
        <f t="array" ref="J320">IF(LEN($E320),INDEX('4-All Devices'!AE:AE, MATCH($E320, '4-All Devices'!AF:AF, 0)),"")</f>
        <v>Corphosted</v>
      </c>
      <c r="K320" s="8"/>
      <c r="L320" s="8"/>
      <c r="M320" s="8"/>
    </row>
    <row r="321">
      <c r="A321" s="542"/>
      <c r="B321" s="551" t="str">
        <f t="array" ref="B321">IF(LEN(E321),INDEX('4-All Devices'!AG:AG, MATCH(E321, '4-All Devices'!AF:AF, 0)),"")</f>
        <v>in-blr-ananta-hli-52</v>
      </c>
      <c r="C321" s="549" t="s">
        <v>11186</v>
      </c>
      <c r="D321" s="549" t="s">
        <v>11187</v>
      </c>
      <c r="E321" s="8" t="str">
        <f>IFERROR(__xludf.DUMMYFUNCTION("""COMPUTED_VALUE"""),"00:E0:C9:28:DA:35")</f>
        <v>00:E0:C9:28:DA:35</v>
      </c>
      <c r="F321" s="552" t="s">
        <v>11188</v>
      </c>
      <c r="G321" s="8"/>
      <c r="H321" s="8"/>
      <c r="I321" s="8"/>
      <c r="J321" s="546" t="str">
        <f t="array" ref="J321">IF(LEN($E321),INDEX('4-All Devices'!AE:AE, MATCH($E321, '4-All Devices'!AF:AF, 0)),"")</f>
        <v>Corphosted</v>
      </c>
      <c r="K321" s="8"/>
      <c r="L321" s="8"/>
      <c r="M321" s="8"/>
    </row>
    <row r="322">
      <c r="A322" s="542"/>
      <c r="B322" s="551" t="str">
        <f t="array" ref="B322">IF(LEN(E322),INDEX('4-All Devices'!AG:AG, MATCH(E322, '4-All Devices'!AF:AF, 0)),"")</f>
        <v>in-blr-ananta-hli-53</v>
      </c>
      <c r="C322" s="549" t="s">
        <v>11186</v>
      </c>
      <c r="D322" s="549" t="s">
        <v>11187</v>
      </c>
      <c r="E322" s="8" t="str">
        <f>IFERROR(__xludf.DUMMYFUNCTION("""COMPUTED_VALUE"""),"00:E0:C9:28:DA:00")</f>
        <v>00:E0:C9:28:DA:00</v>
      </c>
      <c r="F322" s="552" t="s">
        <v>11188</v>
      </c>
      <c r="G322" s="8"/>
      <c r="H322" s="8"/>
      <c r="I322" s="8"/>
      <c r="J322" s="546" t="str">
        <f t="array" ref="J322">IF(LEN($E322),INDEX('4-All Devices'!AE:AE, MATCH($E322, '4-All Devices'!AF:AF, 0)),"")</f>
        <v>Corphosted</v>
      </c>
      <c r="K322" s="8"/>
      <c r="L322" s="8"/>
      <c r="M322" s="8"/>
    </row>
    <row r="323">
      <c r="A323" s="542"/>
      <c r="B323" s="551" t="str">
        <f t="array" ref="B323">IF(LEN(E323),INDEX('4-All Devices'!AG:AG, MATCH(E323, '4-All Devices'!AF:AF, 0)),"")</f>
        <v>in-blr-ananta-ddc-44</v>
      </c>
      <c r="C323" s="549" t="s">
        <v>11186</v>
      </c>
      <c r="D323" s="549" t="s">
        <v>11187</v>
      </c>
      <c r="E323" s="8" t="str">
        <f>IFERROR(__xludf.DUMMYFUNCTION("""COMPUTED_VALUE"""),"00:E0:C9:28:D1:1D")</f>
        <v>00:E0:C9:28:D1:1D</v>
      </c>
      <c r="F323" s="552" t="s">
        <v>11188</v>
      </c>
      <c r="G323" s="8"/>
      <c r="H323" s="8"/>
      <c r="I323" s="8"/>
      <c r="J323" s="546" t="str">
        <f t="array" ref="J323">IF(LEN($E323),INDEX('4-All Devices'!AE:AE, MATCH($E323, '4-All Devices'!AF:AF, 0)),"")</f>
        <v>Corphosted</v>
      </c>
      <c r="K323" s="8"/>
      <c r="L323" s="8"/>
      <c r="M323" s="8"/>
    </row>
    <row r="324">
      <c r="A324" s="542"/>
      <c r="B324" s="551" t="str">
        <f t="array" ref="B324">IF(LEN(E324),INDEX('4-All Devices'!AG:AG, MATCH(E324, '4-All Devices'!AF:AF, 0)),"")</f>
        <v>in-blr-ananta-hli-54</v>
      </c>
      <c r="C324" s="549" t="s">
        <v>11186</v>
      </c>
      <c r="D324" s="549" t="s">
        <v>11187</v>
      </c>
      <c r="E324" s="8" t="str">
        <f>IFERROR(__xludf.DUMMYFUNCTION("""COMPUTED_VALUE"""),"00:E0:C9:28:C9:E2")</f>
        <v>00:E0:C9:28:C9:E2</v>
      </c>
      <c r="F324" s="552" t="s">
        <v>11188</v>
      </c>
      <c r="G324" s="8"/>
      <c r="H324" s="8"/>
      <c r="I324" s="8"/>
      <c r="J324" s="546" t="str">
        <f t="array" ref="J324">IF(LEN($E324),INDEX('4-All Devices'!AE:AE, MATCH($E324, '4-All Devices'!AF:AF, 0)),"")</f>
        <v>Corphosted</v>
      </c>
      <c r="K324" s="8"/>
      <c r="L324" s="8"/>
      <c r="M324" s="8"/>
    </row>
    <row r="325">
      <c r="A325" s="542"/>
      <c r="B325" s="551" t="str">
        <f t="array" ref="B325">IF(LEN(E325),INDEX('4-All Devices'!AG:AG, MATCH(E325, '4-All Devices'!AF:AF, 0)),"")</f>
        <v>in-blr-ananta-ddc-45</v>
      </c>
      <c r="C325" s="549" t="s">
        <v>11186</v>
      </c>
      <c r="D325" s="549" t="s">
        <v>11187</v>
      </c>
      <c r="E325" s="8" t="str">
        <f>IFERROR(__xludf.DUMMYFUNCTION("""COMPUTED_VALUE"""),"00:E0:C9:28:D1:35")</f>
        <v>00:E0:C9:28:D1:35</v>
      </c>
      <c r="F325" s="552" t="s">
        <v>11188</v>
      </c>
      <c r="G325" s="8"/>
      <c r="H325" s="8"/>
      <c r="I325" s="8"/>
      <c r="J325" s="546" t="str">
        <f t="array" ref="J325">IF(LEN($E325),INDEX('4-All Devices'!AE:AE, MATCH($E325, '4-All Devices'!AF:AF, 0)),"")</f>
        <v>Corphosted</v>
      </c>
      <c r="K325" s="8"/>
      <c r="L325" s="8"/>
      <c r="M325" s="8"/>
    </row>
    <row r="326">
      <c r="A326" s="542"/>
      <c r="B326" s="551" t="str">
        <f t="array" ref="B326">IF(LEN(E326),INDEX('4-All Devices'!AG:AG, MATCH(E326, '4-All Devices'!AF:AF, 0)),"")</f>
        <v>in-blr-ananta-hli-55</v>
      </c>
      <c r="C326" s="549" t="s">
        <v>11186</v>
      </c>
      <c r="D326" s="549" t="s">
        <v>11187</v>
      </c>
      <c r="E326" s="8" t="str">
        <f>IFERROR(__xludf.DUMMYFUNCTION("""COMPUTED_VALUE"""),"00:E0:C9:28:D1:33")</f>
        <v>00:E0:C9:28:D1:33</v>
      </c>
      <c r="F326" s="552" t="s">
        <v>11188</v>
      </c>
      <c r="G326" s="8"/>
      <c r="H326" s="8"/>
      <c r="I326" s="8"/>
      <c r="J326" s="546" t="str">
        <f t="array" ref="J326">IF(LEN($E326),INDEX('4-All Devices'!AE:AE, MATCH($E326, '4-All Devices'!AF:AF, 0)),"")</f>
        <v>Corphosted</v>
      </c>
      <c r="K326" s="8"/>
      <c r="L326" s="8"/>
      <c r="M326" s="8"/>
    </row>
    <row r="327">
      <c r="A327" s="542"/>
      <c r="B327" s="551" t="str">
        <f t="array" ref="B327">IF(LEN(E327),INDEX('4-All Devices'!AG:AG, MATCH(E327, '4-All Devices'!AF:AF, 0)),"")</f>
        <v>in-blr-ananta-ddc-46</v>
      </c>
      <c r="C327" s="549" t="s">
        <v>11186</v>
      </c>
      <c r="D327" s="549" t="s">
        <v>11187</v>
      </c>
      <c r="E327" s="8" t="str">
        <f>IFERROR(__xludf.DUMMYFUNCTION("""COMPUTED_VALUE"""),"00:E0:C9:28:E3:29")</f>
        <v>00:E0:C9:28:E3:29</v>
      </c>
      <c r="F327" s="552" t="s">
        <v>11188</v>
      </c>
      <c r="G327" s="8"/>
      <c r="H327" s="8"/>
      <c r="I327" s="8"/>
      <c r="J327" s="546" t="str">
        <f t="array" ref="J327">IF(LEN($E327),INDEX('4-All Devices'!AE:AE, MATCH($E327, '4-All Devices'!AF:AF, 0)),"")</f>
        <v>Corphosted</v>
      </c>
      <c r="K327" s="8"/>
      <c r="L327" s="8"/>
      <c r="M327" s="8"/>
    </row>
    <row r="328">
      <c r="A328" s="542"/>
      <c r="B328" s="551" t="str">
        <f t="array" ref="B328">IF(LEN(E328),INDEX('4-All Devices'!AG:AG, MATCH(E328, '4-All Devices'!AF:AF, 0)),"")</f>
        <v>in-blr-ananta-hli-56</v>
      </c>
      <c r="C328" s="549" t="s">
        <v>11186</v>
      </c>
      <c r="D328" s="549" t="s">
        <v>11187</v>
      </c>
      <c r="E328" s="8" t="str">
        <f>IFERROR(__xludf.DUMMYFUNCTION("""COMPUTED_VALUE"""),"00:E0:C9:28:E2:E1")</f>
        <v>00:E0:C9:28:E2:E1</v>
      </c>
      <c r="F328" s="552" t="s">
        <v>11188</v>
      </c>
      <c r="G328" s="8"/>
      <c r="H328" s="8"/>
      <c r="I328" s="8"/>
      <c r="J328" s="546" t="str">
        <f t="array" ref="J328">IF(LEN($E328),INDEX('4-All Devices'!AE:AE, MATCH($E328, '4-All Devices'!AF:AF, 0)),"")</f>
        <v>Corphosted</v>
      </c>
      <c r="K328" s="8"/>
      <c r="L328" s="8"/>
      <c r="M328" s="8"/>
    </row>
    <row r="329">
      <c r="A329" s="542"/>
      <c r="B329" s="551" t="str">
        <f t="array" ref="B329">IF(LEN(E329),INDEX('4-All Devices'!AG:AG, MATCH(E329, '4-All Devices'!AF:AF, 0)),"")</f>
        <v>in-blr-ananta-ddc-47</v>
      </c>
      <c r="C329" s="549" t="s">
        <v>11186</v>
      </c>
      <c r="D329" s="549" t="s">
        <v>11187</v>
      </c>
      <c r="E329" s="8" t="str">
        <f>IFERROR(__xludf.DUMMYFUNCTION("""COMPUTED_VALUE"""),"00:E0:C9:28:D8:6D")</f>
        <v>00:E0:C9:28:D8:6D</v>
      </c>
      <c r="F329" s="552" t="s">
        <v>11188</v>
      </c>
      <c r="G329" s="8"/>
      <c r="H329" s="8"/>
      <c r="I329" s="8"/>
      <c r="J329" s="546" t="str">
        <f t="array" ref="J329">IF(LEN($E329),INDEX('4-All Devices'!AE:AE, MATCH($E329, '4-All Devices'!AF:AF, 0)),"")</f>
        <v>Corphosted</v>
      </c>
      <c r="K329" s="8"/>
      <c r="L329" s="8"/>
      <c r="M329" s="8"/>
    </row>
    <row r="330">
      <c r="A330" s="542"/>
      <c r="B330" s="551" t="str">
        <f t="array" ref="B330">IF(LEN(E330),INDEX('4-All Devices'!AG:AG, MATCH(E330, '4-All Devices'!AF:AF, 0)),"")</f>
        <v>in-blr-ananta-hli-57</v>
      </c>
      <c r="C330" s="549" t="s">
        <v>11186</v>
      </c>
      <c r="D330" s="549" t="s">
        <v>11187</v>
      </c>
      <c r="E330" s="8" t="str">
        <f>IFERROR(__xludf.DUMMYFUNCTION("""COMPUTED_VALUE"""),"00:E0:C9:28:E3:F9")</f>
        <v>00:E0:C9:28:E3:F9</v>
      </c>
      <c r="F330" s="552" t="s">
        <v>11188</v>
      </c>
      <c r="G330" s="8"/>
      <c r="H330" s="8"/>
      <c r="I330" s="8"/>
      <c r="J330" s="546" t="str">
        <f t="array" ref="J330">IF(LEN($E330),INDEX('4-All Devices'!AE:AE, MATCH($E330, '4-All Devices'!AF:AF, 0)),"")</f>
        <v>Corphosted</v>
      </c>
      <c r="K330" s="8"/>
      <c r="L330" s="8"/>
      <c r="M330" s="8"/>
    </row>
    <row r="331">
      <c r="A331" s="542"/>
      <c r="B331" s="551" t="str">
        <f t="array" ref="B331">IF(LEN(E331),INDEX('4-All Devices'!AG:AG, MATCH(E331, '4-All Devices'!AF:AF, 0)),"")</f>
        <v>in-blr-ananta-ddc-48</v>
      </c>
      <c r="C331" s="549" t="s">
        <v>11186</v>
      </c>
      <c r="D331" s="549" t="s">
        <v>11187</v>
      </c>
      <c r="E331" s="8" t="str">
        <f>IFERROR(__xludf.DUMMYFUNCTION("""COMPUTED_VALUE"""),"00:E0:C9:28:D2:45")</f>
        <v>00:E0:C9:28:D2:45</v>
      </c>
      <c r="F331" s="552" t="s">
        <v>11188</v>
      </c>
      <c r="G331" s="8"/>
      <c r="H331" s="8"/>
      <c r="I331" s="8"/>
      <c r="J331" s="546" t="str">
        <f t="array" ref="J331">IF(LEN($E331),INDEX('4-All Devices'!AE:AE, MATCH($E331, '4-All Devices'!AF:AF, 0)),"")</f>
        <v>Corphosted</v>
      </c>
      <c r="K331" s="8"/>
      <c r="L331" s="8"/>
      <c r="M331" s="8"/>
    </row>
    <row r="332">
      <c r="A332" s="542"/>
      <c r="B332" s="551" t="str">
        <f t="array" ref="B332">IF(LEN(E332),INDEX('4-All Devices'!AG:AG, MATCH(E332, '4-All Devices'!AF:AF, 0)),"")</f>
        <v>in-blr-ananta-hli-58</v>
      </c>
      <c r="C332" s="549" t="s">
        <v>11186</v>
      </c>
      <c r="D332" s="549" t="s">
        <v>11187</v>
      </c>
      <c r="E332" s="8" t="str">
        <f>IFERROR(__xludf.DUMMYFUNCTION("""COMPUTED_VALUE"""),"00:E0:C9:28:D1:89")</f>
        <v>00:E0:C9:28:D1:89</v>
      </c>
      <c r="F332" s="552" t="s">
        <v>11188</v>
      </c>
      <c r="G332" s="8"/>
      <c r="H332" s="8"/>
      <c r="I332" s="8"/>
      <c r="J332" s="546" t="str">
        <f t="array" ref="J332">IF(LEN($E332),INDEX('4-All Devices'!AE:AE, MATCH($E332, '4-All Devices'!AF:AF, 0)),"")</f>
        <v>Corphosted</v>
      </c>
      <c r="K332" s="8"/>
      <c r="L332" s="8"/>
      <c r="M332" s="8"/>
    </row>
    <row r="333">
      <c r="A333" s="542"/>
      <c r="B333" s="551" t="str">
        <f t="array" ref="B333">IF(LEN(E333),INDEX('4-All Devices'!AG:AG, MATCH(E333, '4-All Devices'!AF:AF, 0)),"")</f>
        <v>in-blr-ananta-ddc-49</v>
      </c>
      <c r="C333" s="549" t="s">
        <v>11186</v>
      </c>
      <c r="D333" s="549" t="s">
        <v>11187</v>
      </c>
      <c r="E333" s="8" t="str">
        <f>IFERROR(__xludf.DUMMYFUNCTION("""COMPUTED_VALUE"""),"00:E0:C9:28:E2:D3")</f>
        <v>00:E0:C9:28:E2:D3</v>
      </c>
      <c r="F333" s="552" t="s">
        <v>11188</v>
      </c>
      <c r="G333" s="8"/>
      <c r="H333" s="8"/>
      <c r="I333" s="8"/>
      <c r="J333" s="546" t="str">
        <f t="array" ref="J333">IF(LEN($E333),INDEX('4-All Devices'!AE:AE, MATCH($E333, '4-All Devices'!AF:AF, 0)),"")</f>
        <v>Corphosted</v>
      </c>
      <c r="K333" s="8"/>
      <c r="L333" s="8"/>
      <c r="M333" s="8"/>
    </row>
    <row r="334">
      <c r="A334" s="542"/>
      <c r="B334" s="551" t="str">
        <f t="array" ref="B334">IF(LEN(E334),INDEX('4-All Devices'!AG:AG, MATCH(E334, '4-All Devices'!AF:AF, 0)),"")</f>
        <v>in-blr-ananta-hli-59</v>
      </c>
      <c r="C334" s="549" t="s">
        <v>11186</v>
      </c>
      <c r="D334" s="549" t="s">
        <v>11187</v>
      </c>
      <c r="E334" s="8" t="str">
        <f>IFERROR(__xludf.DUMMYFUNCTION("""COMPUTED_VALUE"""),"00:E0:C9:28:D2:25")</f>
        <v>00:E0:C9:28:D2:25</v>
      </c>
      <c r="F334" s="552" t="s">
        <v>11188</v>
      </c>
      <c r="G334" s="8"/>
      <c r="H334" s="8"/>
      <c r="I334" s="8"/>
      <c r="J334" s="546" t="str">
        <f t="array" ref="J334">IF(LEN($E334),INDEX('4-All Devices'!AE:AE, MATCH($E334, '4-All Devices'!AF:AF, 0)),"")</f>
        <v>Corphosted</v>
      </c>
      <c r="K334" s="8"/>
      <c r="L334" s="8"/>
      <c r="M334" s="8"/>
    </row>
    <row r="335">
      <c r="A335" s="542"/>
      <c r="B335" s="551" t="str">
        <f t="array" ref="B335">IF(LEN(E335),INDEX('4-All Devices'!AG:AG, MATCH(E335, '4-All Devices'!AF:AF, 0)),"")</f>
        <v>in-blr-ananta-hli-60</v>
      </c>
      <c r="C335" s="549" t="s">
        <v>11186</v>
      </c>
      <c r="D335" s="549" t="s">
        <v>11187</v>
      </c>
      <c r="E335" s="8" t="str">
        <f>IFERROR(__xludf.DUMMYFUNCTION("""COMPUTED_VALUE"""),"00:E0:C9:28:E3:CF")</f>
        <v>00:E0:C9:28:E3:CF</v>
      </c>
      <c r="F335" s="552" t="s">
        <v>11188</v>
      </c>
      <c r="G335" s="8"/>
      <c r="H335" s="8"/>
      <c r="I335" s="8"/>
      <c r="J335" s="546" t="str">
        <f t="array" ref="J335">IF(LEN($E335),INDEX('4-All Devices'!AE:AE, MATCH($E335, '4-All Devices'!AF:AF, 0)),"")</f>
        <v>Corphosted</v>
      </c>
      <c r="K335" s="8"/>
      <c r="L335" s="8"/>
      <c r="M335" s="8"/>
    </row>
    <row r="336">
      <c r="A336" s="542"/>
      <c r="B336" s="551" t="str">
        <f t="array" ref="B336">IF(LEN(E336),INDEX('4-All Devices'!AG:AG, MATCH(E336, '4-All Devices'!AF:AF, 0)),"")</f>
        <v>in-blr-ananta-ddc-50</v>
      </c>
      <c r="C336" s="549" t="s">
        <v>11186</v>
      </c>
      <c r="D336" s="549" t="s">
        <v>11187</v>
      </c>
      <c r="E336" s="8" t="str">
        <f>IFERROR(__xludf.DUMMYFUNCTION("""COMPUTED_VALUE"""),"00:E0:C9:28:D1:21")</f>
        <v>00:E0:C9:28:D1:21</v>
      </c>
      <c r="F336" s="552" t="s">
        <v>11188</v>
      </c>
      <c r="G336" s="8"/>
      <c r="H336" s="8"/>
      <c r="I336" s="8"/>
      <c r="J336" s="546" t="str">
        <f t="array" ref="J336">IF(LEN($E336),INDEX('4-All Devices'!AE:AE, MATCH($E336, '4-All Devices'!AF:AF, 0)),"")</f>
        <v>Corphosted</v>
      </c>
      <c r="K336" s="8"/>
      <c r="L336" s="8"/>
      <c r="M336" s="8"/>
    </row>
    <row r="337">
      <c r="A337" s="542"/>
      <c r="B337" s="551" t="str">
        <f t="array" ref="B337">IF(LEN(E337),INDEX('4-All Devices'!AG:AG, MATCH(E337, '4-All Devices'!AF:AF, 0)),"")</f>
        <v>in-blr-ananta-hli-61</v>
      </c>
      <c r="C337" s="549" t="s">
        <v>11186</v>
      </c>
      <c r="D337" s="549" t="s">
        <v>11187</v>
      </c>
      <c r="E337" s="8" t="str">
        <f>IFERROR(__xludf.DUMMYFUNCTION("""COMPUTED_VALUE"""),"00:E0:C9:28:D1:AD")</f>
        <v>00:E0:C9:28:D1:AD</v>
      </c>
      <c r="F337" s="552" t="s">
        <v>11188</v>
      </c>
      <c r="G337" s="8"/>
      <c r="H337" s="8"/>
      <c r="I337" s="8"/>
      <c r="J337" s="546" t="str">
        <f t="array" ref="J337">IF(LEN($E337),INDEX('4-All Devices'!AE:AE, MATCH($E337, '4-All Devices'!AF:AF, 0)),"")</f>
        <v>Corphosted</v>
      </c>
      <c r="K337" s="8"/>
      <c r="L337" s="8"/>
      <c r="M337" s="8"/>
    </row>
    <row r="338">
      <c r="A338" s="542"/>
      <c r="B338" s="551" t="str">
        <f t="array" ref="B338">IF(LEN(E338),INDEX('4-All Devices'!AG:AG, MATCH(E338, '4-All Devices'!AF:AF, 0)),"")</f>
        <v>in-blr-ananta-ddc-51</v>
      </c>
      <c r="C338" s="549" t="s">
        <v>11186</v>
      </c>
      <c r="D338" s="549" t="s">
        <v>11187</v>
      </c>
      <c r="E338" s="8" t="str">
        <f>IFERROR(__xludf.DUMMYFUNCTION("""COMPUTED_VALUE"""),"00:E0:C9:28:DB:1D")</f>
        <v>00:E0:C9:28:DB:1D</v>
      </c>
      <c r="F338" s="552" t="s">
        <v>11188</v>
      </c>
      <c r="G338" s="8"/>
      <c r="H338" s="8"/>
      <c r="I338" s="8"/>
      <c r="J338" s="546" t="str">
        <f t="array" ref="J338">IF(LEN($E338),INDEX('4-All Devices'!AE:AE, MATCH($E338, '4-All Devices'!AF:AF, 0)),"")</f>
        <v>Corphosted</v>
      </c>
      <c r="K338" s="8"/>
      <c r="L338" s="8"/>
      <c r="M338" s="8"/>
    </row>
    <row r="339">
      <c r="A339" s="542"/>
      <c r="B339" s="551" t="str">
        <f t="array" ref="B339">IF(LEN(E339),INDEX('4-All Devices'!AG:AG, MATCH(E339, '4-All Devices'!AF:AF, 0)),"")</f>
        <v>in-blr-ananta-hli-62</v>
      </c>
      <c r="C339" s="549" t="s">
        <v>11186</v>
      </c>
      <c r="D339" s="549" t="s">
        <v>11187</v>
      </c>
      <c r="E339" s="8" t="str">
        <f>IFERROR(__xludf.DUMMYFUNCTION("""COMPUTED_VALUE"""),"00:E0:C9:28:C9:00")</f>
        <v>00:E0:C9:28:C9:00</v>
      </c>
      <c r="F339" s="552" t="s">
        <v>11188</v>
      </c>
      <c r="G339" s="8"/>
      <c r="H339" s="8"/>
      <c r="I339" s="8"/>
      <c r="J339" s="546" t="str">
        <f t="array" ref="J339">IF(LEN($E339),INDEX('4-All Devices'!AE:AE, MATCH($E339, '4-All Devices'!AF:AF, 0)),"")</f>
        <v>Corphosted</v>
      </c>
      <c r="K339" s="8"/>
      <c r="L339" s="8"/>
      <c r="M339" s="8"/>
    </row>
    <row r="340">
      <c r="A340" s="542"/>
      <c r="B340" s="551" t="str">
        <f t="array" ref="B340">IF(LEN(E340),INDEX('4-All Devices'!AG:AG, MATCH(E340, '4-All Devices'!AF:AF, 0)),"")</f>
        <v>in-blr-ananta-ddc-52</v>
      </c>
      <c r="C340" s="549" t="s">
        <v>11186</v>
      </c>
      <c r="D340" s="549" t="s">
        <v>11187</v>
      </c>
      <c r="E340" s="8" t="str">
        <f>IFERROR(__xludf.DUMMYFUNCTION("""COMPUTED_VALUE"""),"00:E0:C9:28:DA:93")</f>
        <v>00:E0:C9:28:DA:93</v>
      </c>
      <c r="F340" s="552" t="s">
        <v>11188</v>
      </c>
      <c r="G340" s="8"/>
      <c r="H340" s="8"/>
      <c r="I340" s="8"/>
      <c r="J340" s="546" t="str">
        <f t="array" ref="J340">IF(LEN($E340),INDEX('4-All Devices'!AE:AE, MATCH($E340, '4-All Devices'!AF:AF, 0)),"")</f>
        <v>Corphosted</v>
      </c>
      <c r="K340" s="8"/>
      <c r="L340" s="8"/>
      <c r="M340" s="8"/>
    </row>
    <row r="341">
      <c r="A341" s="542"/>
      <c r="B341" s="551" t="str">
        <f t="array" ref="B341">IF(LEN(E341),INDEX('4-All Devices'!AG:AG, MATCH(E341, '4-All Devices'!AF:AF, 0)),"")</f>
        <v>in-blr-ananta-hli-63</v>
      </c>
      <c r="C341" s="549" t="s">
        <v>11186</v>
      </c>
      <c r="D341" s="549" t="s">
        <v>11187</v>
      </c>
      <c r="E341" s="8" t="str">
        <f>IFERROR(__xludf.DUMMYFUNCTION("""COMPUTED_VALUE"""),"00:E0:C9:28:D2:1D")</f>
        <v>00:E0:C9:28:D2:1D</v>
      </c>
      <c r="F341" s="552" t="s">
        <v>11188</v>
      </c>
      <c r="G341" s="8"/>
      <c r="H341" s="8"/>
      <c r="I341" s="8"/>
      <c r="J341" s="546" t="str">
        <f t="array" ref="J341">IF(LEN($E341),INDEX('4-All Devices'!AE:AE, MATCH($E341, '4-All Devices'!AF:AF, 0)),"")</f>
        <v>Corphosted</v>
      </c>
      <c r="K341" s="8"/>
      <c r="L341" s="8"/>
      <c r="M341" s="8"/>
    </row>
    <row r="342">
      <c r="A342" s="542"/>
      <c r="B342" s="551" t="str">
        <f t="array" ref="B342">IF(LEN(E342),INDEX('4-All Devices'!AG:AG, MATCH(E342, '4-All Devices'!AF:AF, 0)),"")</f>
        <v>in-blr-ananta-ddc-53</v>
      </c>
      <c r="C342" s="549" t="s">
        <v>11186</v>
      </c>
      <c r="D342" s="549" t="s">
        <v>11187</v>
      </c>
      <c r="E342" s="8" t="str">
        <f>IFERROR(__xludf.DUMMYFUNCTION("""COMPUTED_VALUE"""),"00:E0:C9:28:DA:6B")</f>
        <v>00:E0:C9:28:DA:6B</v>
      </c>
      <c r="F342" s="552" t="s">
        <v>11188</v>
      </c>
      <c r="G342" s="8"/>
      <c r="H342" s="8"/>
      <c r="I342" s="8"/>
      <c r="J342" s="546" t="str">
        <f t="array" ref="J342">IF(LEN($E342),INDEX('4-All Devices'!AE:AE, MATCH($E342, '4-All Devices'!AF:AF, 0)),"")</f>
        <v>Corphosted</v>
      </c>
      <c r="K342" s="8"/>
      <c r="L342" s="8"/>
      <c r="M342" s="8"/>
    </row>
    <row r="343">
      <c r="A343" s="542"/>
      <c r="B343" s="551" t="str">
        <f t="array" ref="B343">IF(LEN(E343),INDEX('4-All Devices'!AG:AG, MATCH(E343, '4-All Devices'!AF:AF, 0)),"")</f>
        <v>in-blr-ananta-hli-64</v>
      </c>
      <c r="C343" s="549" t="s">
        <v>11186</v>
      </c>
      <c r="D343" s="549" t="s">
        <v>11187</v>
      </c>
      <c r="E343" s="8" t="str">
        <f>IFERROR(__xludf.DUMMYFUNCTION("""COMPUTED_VALUE"""),"00:E0:C9:28:D1:37")</f>
        <v>00:E0:C9:28:D1:37</v>
      </c>
      <c r="F343" s="552" t="s">
        <v>11188</v>
      </c>
      <c r="G343" s="8"/>
      <c r="H343" s="8"/>
      <c r="I343" s="8"/>
      <c r="J343" s="546" t="str">
        <f t="array" ref="J343">IF(LEN($E343),INDEX('4-All Devices'!AE:AE, MATCH($E343, '4-All Devices'!AF:AF, 0)),"")</f>
        <v>Corphosted</v>
      </c>
      <c r="K343" s="8"/>
      <c r="L343" s="8"/>
      <c r="M343" s="8"/>
    </row>
    <row r="344">
      <c r="A344" s="542"/>
      <c r="B344" s="551" t="str">
        <f t="array" ref="B344">IF(LEN(E344),INDEX('4-All Devices'!AG:AG, MATCH(E344, '4-All Devices'!AF:AF, 0)),"")</f>
        <v>in-blr-ananta-ddc-54</v>
      </c>
      <c r="C344" s="549" t="s">
        <v>11186</v>
      </c>
      <c r="D344" s="549" t="s">
        <v>11187</v>
      </c>
      <c r="E344" s="8" t="str">
        <f>IFERROR(__xludf.DUMMYFUNCTION("""COMPUTED_VALUE"""),"00:E0:C9:28:DA:91")</f>
        <v>00:E0:C9:28:DA:91</v>
      </c>
      <c r="F344" s="552" t="s">
        <v>11188</v>
      </c>
      <c r="G344" s="8"/>
      <c r="H344" s="8"/>
      <c r="I344" s="8"/>
      <c r="J344" s="546" t="str">
        <f t="array" ref="J344">IF(LEN($E344),INDEX('4-All Devices'!AE:AE, MATCH($E344, '4-All Devices'!AF:AF, 0)),"")</f>
        <v>Corphosted</v>
      </c>
      <c r="K344" s="8"/>
      <c r="L344" s="8"/>
      <c r="M344" s="8"/>
    </row>
    <row r="345">
      <c r="A345" s="542"/>
      <c r="B345" s="551" t="str">
        <f t="array" ref="B345">IF(LEN(E345),INDEX('4-All Devices'!AG:AG, MATCH(E345, '4-All Devices'!AF:AF, 0)),"")</f>
        <v>in-blr-ananta-hli-65</v>
      </c>
      <c r="C345" s="549" t="s">
        <v>11186</v>
      </c>
      <c r="D345" s="549" t="s">
        <v>11187</v>
      </c>
      <c r="E345" s="8" t="str">
        <f>IFERROR(__xludf.DUMMYFUNCTION("""COMPUTED_VALUE"""),"00:E0:C9:28:D2:31")</f>
        <v>00:E0:C9:28:D2:31</v>
      </c>
      <c r="F345" s="552" t="s">
        <v>11188</v>
      </c>
      <c r="G345" s="8"/>
      <c r="H345" s="8"/>
      <c r="I345" s="8"/>
      <c r="J345" s="546" t="str">
        <f t="array" ref="J345">IF(LEN($E345),INDEX('4-All Devices'!AE:AE, MATCH($E345, '4-All Devices'!AF:AF, 0)),"")</f>
        <v>Corphosted</v>
      </c>
      <c r="K345" s="8"/>
      <c r="L345" s="8"/>
      <c r="M345" s="8"/>
    </row>
    <row r="346">
      <c r="A346" s="542"/>
      <c r="B346" s="551" t="str">
        <f t="array" ref="B346">IF(LEN(E346),INDEX('4-All Devices'!AG:AG, MATCH(E346, '4-All Devices'!AF:AF, 0)),"")</f>
        <v>in-blr-ananta-hli-66</v>
      </c>
      <c r="C346" s="549" t="s">
        <v>11186</v>
      </c>
      <c r="D346" s="549" t="s">
        <v>11187</v>
      </c>
      <c r="E346" s="8" t="str">
        <f>IFERROR(__xludf.DUMMYFUNCTION("""COMPUTED_VALUE"""),"00:E0:C9:28:C8:A0")</f>
        <v>00:E0:C9:28:C8:A0</v>
      </c>
      <c r="F346" s="552" t="s">
        <v>11188</v>
      </c>
      <c r="G346" s="8"/>
      <c r="H346" s="8"/>
      <c r="I346" s="8"/>
      <c r="J346" s="546" t="str">
        <f t="array" ref="J346">IF(LEN($E346),INDEX('4-All Devices'!AE:AE, MATCH($E346, '4-All Devices'!AF:AF, 0)),"")</f>
        <v>Corphosted</v>
      </c>
      <c r="K346" s="8"/>
      <c r="L346" s="8"/>
      <c r="M346" s="8"/>
    </row>
    <row r="347">
      <c r="A347" s="542"/>
      <c r="B347" s="551" t="str">
        <f t="array" ref="B347">IF(LEN(E347),INDEX('4-All Devices'!AG:AG, MATCH(E347, '4-All Devices'!AF:AF, 0)),"")</f>
        <v>in-blr-ananta-hli-67</v>
      </c>
      <c r="C347" s="549" t="s">
        <v>11186</v>
      </c>
      <c r="D347" s="549" t="s">
        <v>11187</v>
      </c>
      <c r="E347" s="8" t="str">
        <f>IFERROR(__xludf.DUMMYFUNCTION("""COMPUTED_VALUE"""),"00:E0:C9:28:00:00")</f>
        <v>00:E0:C9:28:00:00</v>
      </c>
      <c r="F347" s="552" t="s">
        <v>11188</v>
      </c>
      <c r="G347" s="8"/>
      <c r="H347" s="8"/>
      <c r="I347" s="8"/>
      <c r="J347" s="546" t="str">
        <f t="array" ref="J347">IF(LEN($E347),INDEX('4-All Devices'!AE:AE, MATCH($E347, '4-All Devices'!AF:AF, 0)),"")</f>
        <v>Corphosted</v>
      </c>
      <c r="K347" s="8"/>
      <c r="L347" s="8"/>
      <c r="M347" s="8"/>
    </row>
    <row r="348">
      <c r="A348" s="542"/>
      <c r="B348" s="551" t="str">
        <f t="array" ref="B348">IF(LEN(E348),INDEX('4-All Devices'!AG:AG, MATCH(E348, '4-All Devices'!AF:AF, 0)),"")</f>
        <v>in-blr-ananta-hli-68</v>
      </c>
      <c r="C348" s="549" t="s">
        <v>11186</v>
      </c>
      <c r="D348" s="549" t="s">
        <v>11187</v>
      </c>
      <c r="E348" s="8" t="str">
        <f>IFERROR(__xludf.DUMMYFUNCTION("""COMPUTED_VALUE"""),"00:E0:C9:28:DB:29")</f>
        <v>00:E0:C9:28:DB:29</v>
      </c>
      <c r="F348" s="552" t="s">
        <v>11188</v>
      </c>
      <c r="G348" s="8"/>
      <c r="H348" s="8"/>
      <c r="I348" s="8"/>
      <c r="J348" s="546" t="str">
        <f t="array" ref="J348">IF(LEN($E348),INDEX('4-All Devices'!AE:AE, MATCH($E348, '4-All Devices'!AF:AF, 0)),"")</f>
        <v>Corphosted</v>
      </c>
      <c r="K348" s="8"/>
      <c r="L348" s="8"/>
      <c r="M348" s="8"/>
    </row>
    <row r="349">
      <c r="A349" s="542"/>
      <c r="B349" s="551" t="str">
        <f t="array" ref="B349">IF(LEN(E349),INDEX('4-All Devices'!AG:AG, MATCH(E349, '4-All Devices'!AF:AF, 0)),"")</f>
        <v>in-blr-ananta-ddc-55</v>
      </c>
      <c r="C349" s="549" t="s">
        <v>11186</v>
      </c>
      <c r="D349" s="549" t="s">
        <v>11187</v>
      </c>
      <c r="E349" s="8" t="str">
        <f>IFERROR(__xludf.DUMMYFUNCTION("""COMPUTED_VALUE"""),"00:E0:C9:28:D1:EF")</f>
        <v>00:E0:C9:28:D1:EF</v>
      </c>
      <c r="F349" s="552" t="s">
        <v>11188</v>
      </c>
      <c r="G349" s="8"/>
      <c r="H349" s="8"/>
      <c r="I349" s="8"/>
      <c r="J349" s="546" t="str">
        <f t="array" ref="J349">IF(LEN($E349),INDEX('4-All Devices'!AE:AE, MATCH($E349, '4-All Devices'!AF:AF, 0)),"")</f>
        <v>Corphosted</v>
      </c>
      <c r="K349" s="8"/>
      <c r="L349" s="8"/>
      <c r="M349" s="8"/>
    </row>
    <row r="350">
      <c r="A350" s="542"/>
      <c r="B350" s="551" t="str">
        <f t="array" ref="B350">IF(LEN(E350),INDEX('4-All Devices'!AG:AG, MATCH(E350, '4-All Devices'!AF:AF, 0)),"")</f>
        <v>in-blr-ananta-hli-69</v>
      </c>
      <c r="C350" s="549" t="s">
        <v>11186</v>
      </c>
      <c r="D350" s="549" t="s">
        <v>11187</v>
      </c>
      <c r="E350" s="8" t="str">
        <f>IFERROR(__xludf.DUMMYFUNCTION("""COMPUTED_VALUE"""),"00:E0:C9:28:DA:95")</f>
        <v>00:E0:C9:28:DA:95</v>
      </c>
      <c r="F350" s="552" t="s">
        <v>11188</v>
      </c>
      <c r="G350" s="8"/>
      <c r="H350" s="8"/>
      <c r="I350" s="8"/>
      <c r="J350" s="546" t="str">
        <f t="array" ref="J350">IF(LEN($E350),INDEX('4-All Devices'!AE:AE, MATCH($E350, '4-All Devices'!AF:AF, 0)),"")</f>
        <v>Corphosted</v>
      </c>
      <c r="K350" s="8"/>
      <c r="L350" s="8"/>
      <c r="M350" s="8"/>
    </row>
    <row r="351">
      <c r="A351" s="542"/>
      <c r="B351" s="551" t="str">
        <f t="array" ref="B351">IF(LEN(E351),INDEX('4-All Devices'!AG:AG, MATCH(E351, '4-All Devices'!AF:AF, 0)),"")</f>
        <v>in-blr-ananta-ddc-56</v>
      </c>
      <c r="C351" s="549" t="s">
        <v>11186</v>
      </c>
      <c r="D351" s="549" t="s">
        <v>11187</v>
      </c>
      <c r="E351" s="8" t="str">
        <f>IFERROR(__xludf.DUMMYFUNCTION("""COMPUTED_VALUE"""),"00:E0:C9:28:D1:81")</f>
        <v>00:E0:C9:28:D1:81</v>
      </c>
      <c r="F351" s="552" t="s">
        <v>11188</v>
      </c>
      <c r="G351" s="8"/>
      <c r="H351" s="8"/>
      <c r="I351" s="8"/>
      <c r="J351" s="546" t="str">
        <f t="array" ref="J351">IF(LEN($E351),INDEX('4-All Devices'!AE:AE, MATCH($E351, '4-All Devices'!AF:AF, 0)),"")</f>
        <v>Corphosted</v>
      </c>
      <c r="K351" s="8"/>
      <c r="L351" s="8"/>
      <c r="M351" s="8"/>
    </row>
    <row r="352">
      <c r="A352" s="542"/>
      <c r="B352" s="551" t="str">
        <f t="array" ref="B352">IF(LEN(E352),INDEX('4-All Devices'!AG:AG, MATCH(E352, '4-All Devices'!AF:AF, 0)),"")</f>
        <v>in-blr-ananta-hli-70</v>
      </c>
      <c r="C352" s="549" t="s">
        <v>11186</v>
      </c>
      <c r="D352" s="549" t="s">
        <v>11187</v>
      </c>
      <c r="E352" s="8" t="str">
        <f>IFERROR(__xludf.DUMMYFUNCTION("""COMPUTED_VALUE"""),"00:E0:C9:28:DA:F1")</f>
        <v>00:E0:C9:28:DA:F1</v>
      </c>
      <c r="F352" s="552" t="s">
        <v>11188</v>
      </c>
      <c r="G352" s="8"/>
      <c r="H352" s="8"/>
      <c r="I352" s="8"/>
      <c r="J352" s="546" t="str">
        <f t="array" ref="J352">IF(LEN($E352),INDEX('4-All Devices'!AE:AE, MATCH($E352, '4-All Devices'!AF:AF, 0)),"")</f>
        <v>Corphosted</v>
      </c>
      <c r="K352" s="8"/>
      <c r="L352" s="8"/>
      <c r="M352" s="8"/>
    </row>
    <row r="353">
      <c r="A353" s="542"/>
      <c r="B353" s="551" t="str">
        <f t="array" ref="B353">IF(LEN(E353),INDEX('4-All Devices'!AG:AG, MATCH(E353, '4-All Devices'!AF:AF, 0)),"")</f>
        <v>in-blr-ananta-ddc-57</v>
      </c>
      <c r="C353" s="549" t="s">
        <v>11186</v>
      </c>
      <c r="D353" s="549" t="s">
        <v>11187</v>
      </c>
      <c r="E353" s="8" t="str">
        <f>IFERROR(__xludf.DUMMYFUNCTION("""COMPUTED_VALUE"""),"00:E0:C9:28:DA:3D")</f>
        <v>00:E0:C9:28:DA:3D</v>
      </c>
      <c r="F353" s="552" t="s">
        <v>11188</v>
      </c>
      <c r="G353" s="8"/>
      <c r="H353" s="8"/>
      <c r="I353" s="8"/>
      <c r="J353" s="546" t="str">
        <f t="array" ref="J353">IF(LEN($E353),INDEX('4-All Devices'!AE:AE, MATCH($E353, '4-All Devices'!AF:AF, 0)),"")</f>
        <v>Corphosted</v>
      </c>
      <c r="K353" s="8"/>
      <c r="L353" s="8"/>
      <c r="M353" s="8"/>
    </row>
    <row r="354">
      <c r="A354" s="542"/>
      <c r="B354" s="551" t="str">
        <f t="array" ref="B354">IF(LEN(E354),INDEX('4-All Devices'!AG:AG, MATCH(E354, '4-All Devices'!AF:AF, 0)),"")</f>
        <v>in-blr-ananta-hli-71</v>
      </c>
      <c r="C354" s="549" t="s">
        <v>11186</v>
      </c>
      <c r="D354" s="549" t="s">
        <v>11187</v>
      </c>
      <c r="E354" s="8" t="str">
        <f>IFERROR(__xludf.DUMMYFUNCTION("""COMPUTED_VALUE"""),"00:E0:C9:28:D2:39")</f>
        <v>00:E0:C9:28:D2:39</v>
      </c>
      <c r="F354" s="552" t="s">
        <v>11188</v>
      </c>
      <c r="G354" s="8"/>
      <c r="H354" s="8"/>
      <c r="I354" s="8"/>
      <c r="J354" s="546" t="str">
        <f t="array" ref="J354">IF(LEN($E354),INDEX('4-All Devices'!AE:AE, MATCH($E354, '4-All Devices'!AF:AF, 0)),"")</f>
        <v>Corphosted</v>
      </c>
      <c r="K354" s="8"/>
      <c r="L354" s="8"/>
      <c r="M354" s="8"/>
    </row>
    <row r="355">
      <c r="A355" s="542"/>
      <c r="B355" s="551" t="str">
        <f t="array" ref="B355">IF(LEN(E355),INDEX('4-All Devices'!AG:AG, MATCH(E355, '4-All Devices'!AF:AF, 0)),"")</f>
        <v>in-blr-ananta-ddc-58</v>
      </c>
      <c r="C355" s="549" t="s">
        <v>11186</v>
      </c>
      <c r="D355" s="549" t="s">
        <v>11187</v>
      </c>
      <c r="E355" s="8" t="str">
        <f>IFERROR(__xludf.DUMMYFUNCTION("""COMPUTED_VALUE"""),"00:E0:C9:28:D1:19")</f>
        <v>00:E0:C9:28:D1:19</v>
      </c>
      <c r="F355" s="552" t="s">
        <v>11188</v>
      </c>
      <c r="G355" s="8"/>
      <c r="H355" s="8"/>
      <c r="I355" s="8"/>
      <c r="J355" s="546" t="str">
        <f t="array" ref="J355">IF(LEN($E355),INDEX('4-All Devices'!AE:AE, MATCH($E355, '4-All Devices'!AF:AF, 0)),"")</f>
        <v>Corphosted</v>
      </c>
      <c r="K355" s="8"/>
      <c r="L355" s="8"/>
      <c r="M355" s="8"/>
    </row>
    <row r="356">
      <c r="A356" s="542"/>
      <c r="B356" s="551" t="str">
        <f t="array" ref="B356">IF(LEN(E356),INDEX('4-All Devices'!AG:AG, MATCH(E356, '4-All Devices'!AF:AF, 0)),"")</f>
        <v>in-blr-ananta-hli-72</v>
      </c>
      <c r="C356" s="549" t="s">
        <v>11186</v>
      </c>
      <c r="D356" s="549" t="s">
        <v>11187</v>
      </c>
      <c r="E356" s="8" t="str">
        <f>IFERROR(__xludf.DUMMYFUNCTION("""COMPUTED_VALUE"""),"00:E0:C9:28:D2:2F")</f>
        <v>00:E0:C9:28:D2:2F</v>
      </c>
      <c r="F356" s="552" t="s">
        <v>11188</v>
      </c>
      <c r="G356" s="8"/>
      <c r="H356" s="8"/>
      <c r="I356" s="8"/>
      <c r="J356" s="546" t="str">
        <f t="array" ref="J356">IF(LEN($E356),INDEX('4-All Devices'!AE:AE, MATCH($E356, '4-All Devices'!AF:AF, 0)),"")</f>
        <v>Corphosted</v>
      </c>
      <c r="K356" s="8"/>
      <c r="L356" s="8"/>
      <c r="M356" s="8"/>
    </row>
    <row r="357">
      <c r="A357" s="542"/>
      <c r="B357" s="551" t="str">
        <f t="array" ref="B357">IF(LEN(E357),INDEX('4-All Devices'!AG:AG, MATCH(E357, '4-All Devices'!AF:AF, 0)),"")</f>
        <v>in-blr-ananta-hli-73</v>
      </c>
      <c r="C357" s="549" t="s">
        <v>11186</v>
      </c>
      <c r="D357" s="549" t="s">
        <v>11187</v>
      </c>
      <c r="E357" s="8" t="str">
        <f>IFERROR(__xludf.DUMMYFUNCTION("""COMPUTED_VALUE"""),"00:E0:C9:28:E2:E9")</f>
        <v>00:E0:C9:28:E2:E9</v>
      </c>
      <c r="F357" s="552" t="s">
        <v>11188</v>
      </c>
      <c r="G357" s="8"/>
      <c r="H357" s="8"/>
      <c r="I357" s="8"/>
      <c r="J357" s="546" t="str">
        <f t="array" ref="J357">IF(LEN($E357),INDEX('4-All Devices'!AE:AE, MATCH($E357, '4-All Devices'!AF:AF, 0)),"")</f>
        <v>Corphosted</v>
      </c>
      <c r="K357" s="8"/>
      <c r="L357" s="8"/>
      <c r="M357" s="8"/>
    </row>
    <row r="358">
      <c r="A358" s="542"/>
      <c r="B358" s="551" t="str">
        <f t="array" ref="B358">IF(LEN(E358),INDEX('4-All Devices'!AG:AG, MATCH(E358, '4-All Devices'!AF:AF, 0)),"")</f>
        <v>in-blr-ananta-hli-74</v>
      </c>
      <c r="C358" s="549" t="s">
        <v>11186</v>
      </c>
      <c r="D358" s="549" t="s">
        <v>11187</v>
      </c>
      <c r="E358" s="8" t="str">
        <f>IFERROR(__xludf.DUMMYFUNCTION("""COMPUTED_VALUE"""),"00:E0:C9:28:D2:27")</f>
        <v>00:E0:C9:28:D2:27</v>
      </c>
      <c r="F358" s="552" t="s">
        <v>11188</v>
      </c>
      <c r="G358" s="8"/>
      <c r="H358" s="8"/>
      <c r="I358" s="8"/>
      <c r="J358" s="546" t="str">
        <f t="array" ref="J358">IF(LEN($E358),INDEX('4-All Devices'!AE:AE, MATCH($E358, '4-All Devices'!AF:AF, 0)),"")</f>
        <v>Corphosted</v>
      </c>
      <c r="K358" s="8"/>
      <c r="L358" s="8"/>
      <c r="M358" s="8"/>
    </row>
    <row r="359">
      <c r="A359" s="542"/>
      <c r="B359" s="551" t="str">
        <f t="array" ref="B359">IF(LEN(E359),INDEX('4-All Devices'!AG:AG, MATCH(E359, '4-All Devices'!AF:AF, 0)),"")</f>
        <v>in-blr-ananta-hli-75</v>
      </c>
      <c r="C359" s="549" t="s">
        <v>11186</v>
      </c>
      <c r="D359" s="549" t="s">
        <v>11187</v>
      </c>
      <c r="E359" s="8" t="str">
        <f>IFERROR(__xludf.DUMMYFUNCTION("""COMPUTED_VALUE"""),"00:E0:C9:28:D1:45")</f>
        <v>00:E0:C9:28:D1:45</v>
      </c>
      <c r="F359" s="552" t="s">
        <v>11188</v>
      </c>
      <c r="G359" s="8"/>
      <c r="H359" s="8"/>
      <c r="I359" s="8"/>
      <c r="J359" s="546" t="str">
        <f t="array" ref="J359">IF(LEN($E359),INDEX('4-All Devices'!AE:AE, MATCH($E359, '4-All Devices'!AF:AF, 0)),"")</f>
        <v>Corphosted</v>
      </c>
      <c r="K359" s="8"/>
      <c r="L359" s="8"/>
      <c r="M359" s="8"/>
    </row>
    <row r="360">
      <c r="A360" s="542"/>
      <c r="B360" s="551" t="str">
        <f t="array" ref="B360">IF(LEN(E360),INDEX('4-All Devices'!AG:AG, MATCH(E360, '4-All Devices'!AF:AF, 0)),"")</f>
        <v>in-blr-ananta-hli-76</v>
      </c>
      <c r="C360" s="549" t="s">
        <v>11186</v>
      </c>
      <c r="D360" s="549" t="s">
        <v>11187</v>
      </c>
      <c r="E360" s="8" t="str">
        <f>IFERROR(__xludf.DUMMYFUNCTION("""COMPUTED_VALUE"""),"00:E0:C9:28:DB:27")</f>
        <v>00:E0:C9:28:DB:27</v>
      </c>
      <c r="F360" s="552" t="s">
        <v>11188</v>
      </c>
      <c r="G360" s="8"/>
      <c r="H360" s="8"/>
      <c r="I360" s="8"/>
      <c r="J360" s="546" t="str">
        <f t="array" ref="J360">IF(LEN($E360),INDEX('4-All Devices'!AE:AE, MATCH($E360, '4-All Devices'!AF:AF, 0)),"")</f>
        <v>Corphosted</v>
      </c>
      <c r="K360" s="8"/>
      <c r="L360" s="8"/>
      <c r="M360" s="8"/>
    </row>
    <row r="361">
      <c r="A361" s="542"/>
      <c r="B361" s="551" t="str">
        <f t="array" ref="B361">IF(LEN(E361),INDEX('4-All Devices'!AG:AG, MATCH(E361, '4-All Devices'!AF:AF, 0)),"")</f>
        <v>in-blr-ananta-ddc-59</v>
      </c>
      <c r="C361" s="549" t="s">
        <v>11186</v>
      </c>
      <c r="D361" s="549" t="s">
        <v>11187</v>
      </c>
      <c r="E361" s="8" t="str">
        <f>IFERROR(__xludf.DUMMYFUNCTION("""COMPUTED_VALUE"""),"00:E0:C9:28:DA:37")</f>
        <v>00:E0:C9:28:DA:37</v>
      </c>
      <c r="F361" s="552" t="s">
        <v>11188</v>
      </c>
      <c r="G361" s="8"/>
      <c r="H361" s="8"/>
      <c r="I361" s="8"/>
      <c r="J361" s="546" t="str">
        <f t="array" ref="J361">IF(LEN($E361),INDEX('4-All Devices'!AE:AE, MATCH($E361, '4-All Devices'!AF:AF, 0)),"")</f>
        <v>Corphosted</v>
      </c>
      <c r="K361" s="8"/>
      <c r="L361" s="8"/>
      <c r="M361" s="8"/>
    </row>
    <row r="362">
      <c r="A362" s="542"/>
      <c r="B362" s="551" t="str">
        <f t="array" ref="B362">IF(LEN(E362),INDEX('4-All Devices'!AG:AG, MATCH(E362, '4-All Devices'!AF:AF, 0)),"")</f>
        <v>in-blr-ananta-hli-77</v>
      </c>
      <c r="C362" s="549" t="s">
        <v>11186</v>
      </c>
      <c r="D362" s="549" t="s">
        <v>11187</v>
      </c>
      <c r="E362" s="8" t="str">
        <f>IFERROR(__xludf.DUMMYFUNCTION("""COMPUTED_VALUE"""),"00:E0:C9:28:DB:13")</f>
        <v>00:E0:C9:28:DB:13</v>
      </c>
      <c r="F362" s="552" t="s">
        <v>11188</v>
      </c>
      <c r="G362" s="8"/>
      <c r="H362" s="8"/>
      <c r="I362" s="8"/>
      <c r="J362" s="546" t="str">
        <f t="array" ref="J362">IF(LEN($E362),INDEX('4-All Devices'!AE:AE, MATCH($E362, '4-All Devices'!AF:AF, 0)),"")</f>
        <v>Corphosted</v>
      </c>
      <c r="K362" s="8"/>
      <c r="L362" s="8"/>
      <c r="M362" s="8"/>
    </row>
    <row r="363">
      <c r="A363" s="542"/>
      <c r="B363" s="551" t="str">
        <f t="array" ref="B363">IF(LEN(E363),INDEX('4-All Devices'!AG:AG, MATCH(E363, '4-All Devices'!AF:AF, 0)),"")</f>
        <v>in-blr-ananta-ddc-60</v>
      </c>
      <c r="C363" s="549" t="s">
        <v>11186</v>
      </c>
      <c r="D363" s="549" t="s">
        <v>11187</v>
      </c>
      <c r="E363" s="8" t="str">
        <f>IFERROR(__xludf.DUMMYFUNCTION("""COMPUTED_VALUE"""),"00:E0:C9:28:D1:DF")</f>
        <v>00:E0:C9:28:D1:DF</v>
      </c>
      <c r="F363" s="552" t="s">
        <v>11188</v>
      </c>
      <c r="G363" s="8"/>
      <c r="H363" s="8"/>
      <c r="I363" s="8"/>
      <c r="J363" s="546" t="str">
        <f t="array" ref="J363">IF(LEN($E363),INDEX('4-All Devices'!AE:AE, MATCH($E363, '4-All Devices'!AF:AF, 0)),"")</f>
        <v>Corphosted</v>
      </c>
      <c r="K363" s="8"/>
      <c r="L363" s="8"/>
      <c r="M363" s="8"/>
    </row>
    <row r="364">
      <c r="A364" s="542"/>
      <c r="B364" s="551" t="str">
        <f t="array" ref="B364">IF(LEN(E364),INDEX('4-All Devices'!AG:AG, MATCH(E364, '4-All Devices'!AF:AF, 0)),"")</f>
        <v>in-blr-ananta-hli-78</v>
      </c>
      <c r="C364" s="549" t="s">
        <v>11186</v>
      </c>
      <c r="D364" s="549" t="s">
        <v>11187</v>
      </c>
      <c r="E364" s="8" t="str">
        <f>IFERROR(__xludf.DUMMYFUNCTION("""COMPUTED_VALUE"""),"00:E0:C9:28:D1:11")</f>
        <v>00:E0:C9:28:D1:11</v>
      </c>
      <c r="F364" s="552" t="s">
        <v>11188</v>
      </c>
      <c r="G364" s="8"/>
      <c r="H364" s="8"/>
      <c r="I364" s="8"/>
      <c r="J364" s="546" t="str">
        <f t="array" ref="J364">IF(LEN($E364),INDEX('4-All Devices'!AE:AE, MATCH($E364, '4-All Devices'!AF:AF, 0)),"")</f>
        <v>Corphosted</v>
      </c>
      <c r="K364" s="8"/>
      <c r="L364" s="8"/>
      <c r="M364" s="8"/>
    </row>
    <row r="365">
      <c r="A365" s="542"/>
      <c r="B365" s="551" t="str">
        <f t="array" ref="B365">IF(LEN(E365),INDEX('4-All Devices'!AG:AG, MATCH(E365, '4-All Devices'!AF:AF, 0)),"")</f>
        <v>in-blr-ananta-hli-79</v>
      </c>
      <c r="C365" s="549" t="s">
        <v>11186</v>
      </c>
      <c r="D365" s="549" t="s">
        <v>11187</v>
      </c>
      <c r="E365" s="8" t="str">
        <f>IFERROR(__xludf.DUMMYFUNCTION("""COMPUTED_VALUE"""),"00:E0:C9:28:D2:09")</f>
        <v>00:E0:C9:28:D2:09</v>
      </c>
      <c r="F365" s="552" t="s">
        <v>11188</v>
      </c>
      <c r="G365" s="8"/>
      <c r="H365" s="8"/>
      <c r="I365" s="8"/>
      <c r="J365" s="546" t="str">
        <f t="array" ref="J365">IF(LEN($E365),INDEX('4-All Devices'!AE:AE, MATCH($E365, '4-All Devices'!AF:AF, 0)),"")</f>
        <v>Corphosted</v>
      </c>
      <c r="K365" s="8"/>
      <c r="L365" s="8"/>
      <c r="M365" s="8"/>
    </row>
    <row r="366">
      <c r="A366" s="542"/>
      <c r="B366" s="551" t="str">
        <f t="array" ref="B366">IF(LEN(E366),INDEX('4-All Devices'!AG:AG, MATCH(E366, '4-All Devices'!AF:AF, 0)),"")</f>
        <v>in-blr-ananta-ddc-61</v>
      </c>
      <c r="C366" s="549" t="s">
        <v>11186</v>
      </c>
      <c r="D366" s="549" t="s">
        <v>11187</v>
      </c>
      <c r="E366" s="8" t="str">
        <f>IFERROR(__xludf.DUMMYFUNCTION("""COMPUTED_VALUE"""),"00:E0:C9:28:C8:22")</f>
        <v>00:E0:C9:28:C8:22</v>
      </c>
      <c r="F366" s="552" t="s">
        <v>11188</v>
      </c>
      <c r="G366" s="8"/>
      <c r="H366" s="8"/>
      <c r="I366" s="8"/>
      <c r="J366" s="546" t="str">
        <f t="array" ref="J366">IF(LEN($E366),INDEX('4-All Devices'!AE:AE, MATCH($E366, '4-All Devices'!AF:AF, 0)),"")</f>
        <v>Corphosted</v>
      </c>
      <c r="K366" s="8"/>
      <c r="L366" s="8"/>
      <c r="M366" s="8"/>
    </row>
    <row r="367">
      <c r="A367" s="542"/>
      <c r="B367" s="551" t="str">
        <f t="array" ref="B367">IF(LEN(E367),INDEX('4-All Devices'!AG:AG, MATCH(E367, '4-All Devices'!AF:AF, 0)),"")</f>
        <v>in-blr-ananta-hli-80</v>
      </c>
      <c r="C367" s="549" t="s">
        <v>11186</v>
      </c>
      <c r="D367" s="549" t="s">
        <v>11187</v>
      </c>
      <c r="E367" s="8" t="str">
        <f>IFERROR(__xludf.DUMMYFUNCTION("""COMPUTED_VALUE"""),"00:E0:C9:28:DA:A9")</f>
        <v>00:E0:C9:28:DA:A9</v>
      </c>
      <c r="F367" s="552" t="s">
        <v>11188</v>
      </c>
      <c r="G367" s="8"/>
      <c r="H367" s="8"/>
      <c r="I367" s="8"/>
      <c r="J367" s="546" t="str">
        <f t="array" ref="J367">IF(LEN($E367),INDEX('4-All Devices'!AE:AE, MATCH($E367, '4-All Devices'!AF:AF, 0)),"")</f>
        <v>Corphosted</v>
      </c>
      <c r="K367" s="8"/>
      <c r="L367" s="8"/>
      <c r="M367" s="8"/>
    </row>
    <row r="368">
      <c r="A368" s="542"/>
      <c r="B368" s="551" t="str">
        <f t="array" ref="B368">IF(LEN(E368),INDEX('4-All Devices'!AG:AG, MATCH(E368, '4-All Devices'!AF:AF, 0)),"")</f>
        <v>in-blr-ananta-ddc-62</v>
      </c>
      <c r="C368" s="549" t="s">
        <v>11186</v>
      </c>
      <c r="D368" s="549" t="s">
        <v>11187</v>
      </c>
      <c r="E368" s="8" t="str">
        <f>IFERROR(__xludf.DUMMYFUNCTION("""COMPUTED_VALUE"""),"00:E0:C9:28:D2:3B")</f>
        <v>00:E0:C9:28:D2:3B</v>
      </c>
      <c r="F368" s="552" t="s">
        <v>11188</v>
      </c>
      <c r="G368" s="8"/>
      <c r="H368" s="8"/>
      <c r="I368" s="8"/>
      <c r="J368" s="546" t="str">
        <f t="array" ref="J368">IF(LEN($E368),INDEX('4-All Devices'!AE:AE, MATCH($E368, '4-All Devices'!AF:AF, 0)),"")</f>
        <v>Corphosted</v>
      </c>
      <c r="K368" s="8"/>
      <c r="L368" s="8"/>
      <c r="M368" s="8"/>
    </row>
    <row r="369">
      <c r="A369" s="542"/>
      <c r="B369" s="551" t="str">
        <f t="array" ref="B369">IF(LEN(E369),INDEX('4-All Devices'!AG:AG, MATCH(E369, '4-All Devices'!AF:AF, 0)),"")</f>
        <v>in-blr-ananta-hli-81</v>
      </c>
      <c r="C369" s="549" t="s">
        <v>11186</v>
      </c>
      <c r="D369" s="549" t="s">
        <v>11187</v>
      </c>
      <c r="E369" s="8" t="str">
        <f>IFERROR(__xludf.DUMMYFUNCTION("""COMPUTED_VALUE"""),"00:E0:C9:28:E2:D5")</f>
        <v>00:E0:C9:28:E2:D5</v>
      </c>
      <c r="F369" s="552" t="s">
        <v>11188</v>
      </c>
      <c r="G369" s="8"/>
      <c r="H369" s="8"/>
      <c r="I369" s="8"/>
      <c r="J369" s="546" t="str">
        <f t="array" ref="J369">IF(LEN($E369),INDEX('4-All Devices'!AE:AE, MATCH($E369, '4-All Devices'!AF:AF, 0)),"")</f>
        <v>Corphosted</v>
      </c>
      <c r="K369" s="8"/>
      <c r="L369" s="8"/>
      <c r="M369" s="8"/>
    </row>
    <row r="370">
      <c r="A370" s="542"/>
      <c r="B370" s="551" t="str">
        <f t="array" ref="B370">IF(LEN(E370),INDEX('4-All Devices'!AG:AG, MATCH(E370, '4-All Devices'!AF:AF, 0)),"")</f>
        <v>in-blr-ananta-ddc-63</v>
      </c>
      <c r="C370" s="549" t="s">
        <v>11186</v>
      </c>
      <c r="D370" s="549" t="s">
        <v>11187</v>
      </c>
      <c r="E370" s="8" t="str">
        <f>IFERROR(__xludf.DUMMYFUNCTION("""COMPUTED_VALUE"""),"00:E0:C9:28:C8:36")</f>
        <v>00:E0:C9:28:C8:36</v>
      </c>
      <c r="F370" s="552" t="s">
        <v>11188</v>
      </c>
      <c r="G370" s="8"/>
      <c r="H370" s="8"/>
      <c r="I370" s="8"/>
      <c r="J370" s="546" t="str">
        <f t="array" ref="J370">IF(LEN($E370),INDEX('4-All Devices'!AE:AE, MATCH($E370, '4-All Devices'!AF:AF, 0)),"")</f>
        <v>Corphosted</v>
      </c>
      <c r="K370" s="8"/>
      <c r="L370" s="8"/>
      <c r="M370" s="8"/>
    </row>
    <row r="371">
      <c r="A371" s="542"/>
      <c r="B371" s="551" t="str">
        <f t="array" ref="B371">IF(LEN(E371),INDEX('4-All Devices'!AG:AG, MATCH(E371, '4-All Devices'!AF:AF, 0)),"")</f>
        <v>in-blr-ananta-hli-82</v>
      </c>
      <c r="C371" s="549" t="s">
        <v>11186</v>
      </c>
      <c r="D371" s="549" t="s">
        <v>11187</v>
      </c>
      <c r="E371" s="8" t="str">
        <f>IFERROR(__xludf.DUMMYFUNCTION("""COMPUTED_VALUE"""),"00:E0:C9:28:D1:27")</f>
        <v>00:E0:C9:28:D1:27</v>
      </c>
      <c r="F371" s="552" t="s">
        <v>11188</v>
      </c>
      <c r="G371" s="8"/>
      <c r="H371" s="8"/>
      <c r="I371" s="8"/>
      <c r="J371" s="546" t="str">
        <f t="array" ref="J371">IF(LEN($E371),INDEX('4-All Devices'!AE:AE, MATCH($E371, '4-All Devices'!AF:AF, 0)),"")</f>
        <v>Corphosted</v>
      </c>
      <c r="K371" s="8"/>
      <c r="L371" s="8"/>
      <c r="M371" s="8"/>
    </row>
    <row r="372">
      <c r="A372" s="542"/>
      <c r="B372" s="551" t="str">
        <f t="array" ref="B372">IF(LEN(E372),INDEX('4-All Devices'!AG:AG, MATCH(E372, '4-All Devices'!AF:AF, 0)),"")</f>
        <v>in-blr-ananta-hli-83</v>
      </c>
      <c r="C372" s="549" t="s">
        <v>11186</v>
      </c>
      <c r="D372" s="549" t="s">
        <v>11187</v>
      </c>
      <c r="E372" s="8" t="str">
        <f>IFERROR(__xludf.DUMMYFUNCTION("""COMPUTED_VALUE"""),"00:E0:C9:28:D1:A7")</f>
        <v>00:E0:C9:28:D1:A7</v>
      </c>
      <c r="F372" s="552" t="s">
        <v>11188</v>
      </c>
      <c r="G372" s="8"/>
      <c r="H372" s="8"/>
      <c r="I372" s="8"/>
      <c r="J372" s="546" t="str">
        <f t="array" ref="J372">IF(LEN($E372),INDEX('4-All Devices'!AE:AE, MATCH($E372, '4-All Devices'!AF:AF, 0)),"")</f>
        <v>Corphosted</v>
      </c>
      <c r="K372" s="8"/>
      <c r="L372" s="8"/>
      <c r="M372" s="8"/>
    </row>
    <row r="373">
      <c r="A373" s="542"/>
      <c r="B373" s="551" t="str">
        <f t="array" ref="B373">IF(LEN(E373),INDEX('4-All Devices'!AG:AG, MATCH(E373, '4-All Devices'!AF:AF, 0)),"")</f>
        <v>in-blr-ananta-hli-84</v>
      </c>
      <c r="C373" s="549" t="s">
        <v>11186</v>
      </c>
      <c r="D373" s="549" t="s">
        <v>11187</v>
      </c>
      <c r="E373" s="8" t="str">
        <f>IFERROR(__xludf.DUMMYFUNCTION("""COMPUTED_VALUE"""),"00:E0:C9:28:DB:23")</f>
        <v>00:E0:C9:28:DB:23</v>
      </c>
      <c r="F373" s="552" t="s">
        <v>11188</v>
      </c>
      <c r="G373" s="8"/>
      <c r="H373" s="8"/>
      <c r="I373" s="8"/>
      <c r="J373" s="546" t="str">
        <f t="array" ref="J373">IF(LEN($E373),INDEX('4-All Devices'!AE:AE, MATCH($E373, '4-All Devices'!AF:AF, 0)),"")</f>
        <v>Corphosted</v>
      </c>
      <c r="K373" s="8"/>
      <c r="L373" s="8"/>
      <c r="M373" s="8"/>
    </row>
    <row r="374">
      <c r="A374" s="542"/>
      <c r="B374" s="551" t="str">
        <f t="array" ref="B374">IF(LEN(E374),INDEX('4-All Devices'!AG:AG, MATCH(E374, '4-All Devices'!AF:AF, 0)),"")</f>
        <v>in-blr-ananta-ddc-64</v>
      </c>
      <c r="C374" s="549" t="s">
        <v>11186</v>
      </c>
      <c r="D374" s="549" t="s">
        <v>11187</v>
      </c>
      <c r="E374" s="8" t="str">
        <f>IFERROR(__xludf.DUMMYFUNCTION("""COMPUTED_VALUE"""),"00:E0:C9:28:D1:99")</f>
        <v>00:E0:C9:28:D1:99</v>
      </c>
      <c r="F374" s="552" t="s">
        <v>11188</v>
      </c>
      <c r="G374" s="8"/>
      <c r="H374" s="8"/>
      <c r="I374" s="8"/>
      <c r="J374" s="546" t="str">
        <f t="array" ref="J374">IF(LEN($E374),INDEX('4-All Devices'!AE:AE, MATCH($E374, '4-All Devices'!AF:AF, 0)),"")</f>
        <v>Corphosted</v>
      </c>
      <c r="K374" s="8"/>
      <c r="L374" s="8"/>
      <c r="M374" s="8"/>
    </row>
    <row r="375">
      <c r="A375" s="542"/>
      <c r="B375" s="551" t="str">
        <f t="array" ref="B375">IF(LEN(E375),INDEX('4-All Devices'!AG:AG, MATCH(E375, '4-All Devices'!AF:AF, 0)),"")</f>
        <v>in-blr-ananta-hli-85</v>
      </c>
      <c r="C375" s="549" t="s">
        <v>11186</v>
      </c>
      <c r="D375" s="549" t="s">
        <v>11187</v>
      </c>
      <c r="E375" s="8" t="str">
        <f>IFERROR(__xludf.DUMMYFUNCTION("""COMPUTED_VALUE"""),"00:E0:C9:28:C9:46")</f>
        <v>00:E0:C9:28:C9:46</v>
      </c>
      <c r="F375" s="552" t="s">
        <v>11188</v>
      </c>
      <c r="G375" s="8"/>
      <c r="H375" s="8"/>
      <c r="I375" s="8"/>
      <c r="J375" s="546" t="str">
        <f t="array" ref="J375">IF(LEN($E375),INDEX('4-All Devices'!AE:AE, MATCH($E375, '4-All Devices'!AF:AF, 0)),"")</f>
        <v>Corphosted</v>
      </c>
      <c r="K375" s="8"/>
      <c r="L375" s="8"/>
      <c r="M375" s="8"/>
    </row>
    <row r="376">
      <c r="A376" s="542"/>
      <c r="B376" s="551" t="str">
        <f t="array" ref="B376">IF(LEN(E376),INDEX('4-All Devices'!AG:AG, MATCH(E376, '4-All Devices'!AF:AF, 0)),"")</f>
        <v>in-blr-ananta-ddc-65</v>
      </c>
      <c r="C376" s="549" t="s">
        <v>11186</v>
      </c>
      <c r="D376" s="549" t="s">
        <v>11187</v>
      </c>
      <c r="E376" s="8" t="str">
        <f>IFERROR(__xludf.DUMMYFUNCTION("""COMPUTED_VALUE"""),"00:E0:C9:28:D2:0B")</f>
        <v>00:E0:C9:28:D2:0B</v>
      </c>
      <c r="F376" s="552" t="s">
        <v>11188</v>
      </c>
      <c r="G376" s="8"/>
      <c r="H376" s="8"/>
      <c r="I376" s="8"/>
      <c r="J376" s="546" t="str">
        <f t="array" ref="J376">IF(LEN($E376),INDEX('4-All Devices'!AE:AE, MATCH($E376, '4-All Devices'!AF:AF, 0)),"")</f>
        <v>Corphosted</v>
      </c>
      <c r="K376" s="8"/>
      <c r="L376" s="8"/>
      <c r="M376" s="8"/>
    </row>
    <row r="377">
      <c r="A377" s="542"/>
      <c r="B377" s="551" t="str">
        <f t="array" ref="B377">IF(LEN(E377),INDEX('4-All Devices'!AG:AG, MATCH(E377, '4-All Devices'!AF:AF, 0)),"")</f>
        <v>in-blr-ananta-hli-86</v>
      </c>
      <c r="C377" s="549" t="s">
        <v>11186</v>
      </c>
      <c r="D377" s="549" t="s">
        <v>11187</v>
      </c>
      <c r="E377" s="8" t="str">
        <f>IFERROR(__xludf.DUMMYFUNCTION("""COMPUTED_VALUE"""),"00:E0:C9:28:D1:93")</f>
        <v>00:E0:C9:28:D1:93</v>
      </c>
      <c r="F377" s="552" t="s">
        <v>11188</v>
      </c>
      <c r="G377" s="8"/>
      <c r="H377" s="8"/>
      <c r="I377" s="8"/>
      <c r="J377" s="546" t="str">
        <f t="array" ref="J377">IF(LEN($E377),INDEX('4-All Devices'!AE:AE, MATCH($E377, '4-All Devices'!AF:AF, 0)),"")</f>
        <v>Corphosted</v>
      </c>
      <c r="K377" s="8"/>
      <c r="L377" s="8"/>
      <c r="M377" s="8"/>
    </row>
    <row r="378">
      <c r="A378" s="542"/>
      <c r="B378" s="551" t="str">
        <f t="array" ref="B378">IF(LEN(E378),INDEX('4-All Devices'!AG:AG, MATCH(E378, '4-All Devices'!AF:AF, 0)),"")</f>
        <v>in-blr-ananta-ddc-66</v>
      </c>
      <c r="C378" s="549" t="s">
        <v>11186</v>
      </c>
      <c r="D378" s="549" t="s">
        <v>11187</v>
      </c>
      <c r="E378" s="8" t="str">
        <f>IFERROR(__xludf.DUMMYFUNCTION("""COMPUTED_VALUE"""),"00:E0:C9:28:D1:8B")</f>
        <v>00:E0:C9:28:D1:8B</v>
      </c>
      <c r="F378" s="552" t="s">
        <v>11188</v>
      </c>
      <c r="G378" s="8"/>
      <c r="H378" s="8"/>
      <c r="I378" s="8"/>
      <c r="J378" s="546" t="str">
        <f t="array" ref="J378">IF(LEN($E378),INDEX('4-All Devices'!AE:AE, MATCH($E378, '4-All Devices'!AF:AF, 0)),"")</f>
        <v>Corphosted</v>
      </c>
      <c r="K378" s="8"/>
      <c r="L378" s="8"/>
      <c r="M378" s="8"/>
    </row>
    <row r="379">
      <c r="A379" s="542"/>
      <c r="B379" s="551" t="str">
        <f t="array" ref="B379">IF(LEN(E379),INDEX('4-All Devices'!AG:AG, MATCH(E379, '4-All Devices'!AF:AF, 0)),"")</f>
        <v>in-blr-ananta-hli-87</v>
      </c>
      <c r="C379" s="549" t="s">
        <v>11186</v>
      </c>
      <c r="D379" s="549" t="s">
        <v>11187</v>
      </c>
      <c r="E379" s="8" t="str">
        <f>IFERROR(__xludf.DUMMYFUNCTION("""COMPUTED_VALUE"""),"00:E0:C9:28:C9:48")</f>
        <v>00:E0:C9:28:C9:48</v>
      </c>
      <c r="F379" s="552" t="s">
        <v>11188</v>
      </c>
      <c r="G379" s="8"/>
      <c r="H379" s="8"/>
      <c r="I379" s="8"/>
      <c r="J379" s="546" t="str">
        <f t="array" ref="J379">IF(LEN($E379),INDEX('4-All Devices'!AE:AE, MATCH($E379, '4-All Devices'!AF:AF, 0)),"")</f>
        <v>Corphosted</v>
      </c>
      <c r="K379" s="8"/>
      <c r="L379" s="8"/>
      <c r="M379" s="8"/>
    </row>
    <row r="380">
      <c r="A380" s="542"/>
      <c r="B380" s="551" t="str">
        <f t="array" ref="B380">IF(LEN(E380),INDEX('4-All Devices'!AG:AG, MATCH(E380, '4-All Devices'!AF:AF, 0)),"")</f>
        <v>in-blr-ananta-ddc-67</v>
      </c>
      <c r="C380" s="549" t="s">
        <v>11186</v>
      </c>
      <c r="D380" s="549" t="s">
        <v>11187</v>
      </c>
      <c r="E380" s="8" t="str">
        <f>IFERROR(__xludf.DUMMYFUNCTION("""COMPUTED_VALUE"""),"00:E0:C9:28:D1:EB")</f>
        <v>00:E0:C9:28:D1:EB</v>
      </c>
      <c r="F380" s="552" t="s">
        <v>11188</v>
      </c>
      <c r="G380" s="8"/>
      <c r="H380" s="8"/>
      <c r="I380" s="8"/>
      <c r="J380" s="546" t="str">
        <f t="array" ref="J380">IF(LEN($E380),INDEX('4-All Devices'!AE:AE, MATCH($E380, '4-All Devices'!AF:AF, 0)),"")</f>
        <v>Corphosted</v>
      </c>
      <c r="K380" s="8"/>
      <c r="L380" s="8"/>
      <c r="M380" s="8"/>
    </row>
    <row r="381">
      <c r="A381" s="542"/>
      <c r="B381" s="551" t="str">
        <f t="array" ref="B381">IF(LEN(E381),INDEX('4-All Devices'!AG:AG, MATCH(E381, '4-All Devices'!AF:AF, 0)),"")</f>
        <v>in-blr-ananta-hli-88</v>
      </c>
      <c r="C381" s="549" t="s">
        <v>11186</v>
      </c>
      <c r="D381" s="549" t="s">
        <v>11187</v>
      </c>
      <c r="E381" s="8" t="str">
        <f>IFERROR(__xludf.DUMMYFUNCTION("""COMPUTED_VALUE"""),"00:E0:C9:28:DB:39")</f>
        <v>00:E0:C9:28:DB:39</v>
      </c>
      <c r="F381" s="552" t="s">
        <v>11188</v>
      </c>
      <c r="G381" s="8"/>
      <c r="H381" s="8"/>
      <c r="I381" s="8"/>
      <c r="J381" s="546" t="str">
        <f t="array" ref="J381">IF(LEN($E381),INDEX('4-All Devices'!AE:AE, MATCH($E381, '4-All Devices'!AF:AF, 0)),"")</f>
        <v>Corphosted</v>
      </c>
      <c r="K381" s="8"/>
      <c r="L381" s="8"/>
      <c r="M381" s="8"/>
    </row>
    <row r="382">
      <c r="A382" s="542"/>
      <c r="B382" s="551" t="str">
        <f t="array" ref="B382">IF(LEN(E382),INDEX('4-All Devices'!AG:AG, MATCH(E382, '4-All Devices'!AF:AF, 0)),"")</f>
        <v>in-blr-ananta-ddc-68</v>
      </c>
      <c r="C382" s="549" t="s">
        <v>11186</v>
      </c>
      <c r="D382" s="549" t="s">
        <v>11187</v>
      </c>
      <c r="E382" s="8" t="str">
        <f>IFERROR(__xludf.DUMMYFUNCTION("""COMPUTED_VALUE"""),"00:E0:C9:28:D2:11")</f>
        <v>00:E0:C9:28:D2:11</v>
      </c>
      <c r="F382" s="552" t="s">
        <v>11188</v>
      </c>
      <c r="G382" s="8"/>
      <c r="H382" s="8"/>
      <c r="I382" s="8"/>
      <c r="J382" s="546" t="str">
        <f t="array" ref="J382">IF(LEN($E382),INDEX('4-All Devices'!AE:AE, MATCH($E382, '4-All Devices'!AF:AF, 0)),"")</f>
        <v>Corphosted</v>
      </c>
      <c r="K382" s="8"/>
      <c r="L382" s="8"/>
      <c r="M382" s="8"/>
    </row>
    <row r="383">
      <c r="A383" s="542"/>
      <c r="B383" s="551" t="str">
        <f t="array" ref="B383">IF(LEN(E383),INDEX('4-All Devices'!AG:AG, MATCH(E383, '4-All Devices'!AF:AF, 0)),"")</f>
        <v>in-blr-ananta-hli-89</v>
      </c>
      <c r="C383" s="549" t="s">
        <v>11186</v>
      </c>
      <c r="D383" s="549" t="s">
        <v>11187</v>
      </c>
      <c r="E383" s="8" t="str">
        <f>IFERROR(__xludf.DUMMYFUNCTION("""COMPUTED_VALUE"""),"00:E0:C9:28:D1:61")</f>
        <v>00:E0:C9:28:D1:61</v>
      </c>
      <c r="F383" s="552" t="s">
        <v>11188</v>
      </c>
      <c r="G383" s="8"/>
      <c r="H383" s="8"/>
      <c r="I383" s="8"/>
      <c r="J383" s="546" t="str">
        <f t="array" ref="J383">IF(LEN($E383),INDEX('4-All Devices'!AE:AE, MATCH($E383, '4-All Devices'!AF:AF, 0)),"")</f>
        <v>Corphosted</v>
      </c>
      <c r="K383" s="8"/>
      <c r="L383" s="8"/>
      <c r="M383" s="8"/>
    </row>
    <row r="384">
      <c r="A384" s="542"/>
      <c r="B384" s="551" t="str">
        <f t="array" ref="B384">IF(LEN(E384),INDEX('4-All Devices'!AG:AG, MATCH(E384, '4-All Devices'!AF:AF, 0)),"")</f>
        <v>in-blr-ananta-ddc-69</v>
      </c>
      <c r="C384" s="549" t="s">
        <v>11186</v>
      </c>
      <c r="D384" s="549" t="s">
        <v>11187</v>
      </c>
      <c r="E384" s="8" t="str">
        <f>IFERROR(__xludf.DUMMYFUNCTION("""COMPUTED_VALUE"""),"00:E0:C9:28:DA:8F")</f>
        <v>00:E0:C9:28:DA:8F</v>
      </c>
      <c r="F384" s="552" t="s">
        <v>11188</v>
      </c>
      <c r="G384" s="8"/>
      <c r="H384" s="8"/>
      <c r="I384" s="8"/>
      <c r="J384" s="546" t="str">
        <f t="array" ref="J384">IF(LEN($E384),INDEX('4-All Devices'!AE:AE, MATCH($E384, '4-All Devices'!AF:AF, 0)),"")</f>
        <v>Corphosted</v>
      </c>
      <c r="K384" s="8"/>
      <c r="L384" s="8"/>
      <c r="M384" s="8"/>
    </row>
    <row r="385">
      <c r="A385" s="542"/>
      <c r="B385" s="551" t="str">
        <f t="array" ref="B385">IF(LEN(E385),INDEX('4-All Devices'!AG:AG, MATCH(E385, '4-All Devices'!AF:AF, 0)),"")</f>
        <v>in-blr-ananta-hli-90</v>
      </c>
      <c r="C385" s="549" t="s">
        <v>11186</v>
      </c>
      <c r="D385" s="549" t="s">
        <v>11187</v>
      </c>
      <c r="E385" s="8" t="str">
        <f>IFERROR(__xludf.DUMMYFUNCTION("""COMPUTED_VALUE"""),"00:E0:C9:28:DA:EF")</f>
        <v>00:E0:C9:28:DA:EF</v>
      </c>
      <c r="F385" s="552" t="s">
        <v>11188</v>
      </c>
      <c r="G385" s="8"/>
      <c r="H385" s="8"/>
      <c r="I385" s="8"/>
      <c r="J385" s="546" t="str">
        <f t="array" ref="J385">IF(LEN($E385),INDEX('4-All Devices'!AE:AE, MATCH($E385, '4-All Devices'!AF:AF, 0)),"")</f>
        <v>Corphosted</v>
      </c>
      <c r="K385" s="8"/>
      <c r="L385" s="8"/>
      <c r="M385" s="8"/>
    </row>
    <row r="386">
      <c r="A386" s="542"/>
      <c r="B386" s="551" t="str">
        <f t="array" ref="B386">IF(LEN(E386),INDEX('4-All Devices'!AG:AG, MATCH(E386, '4-All Devices'!AF:AF, 0)),"")</f>
        <v>in-blr-ananta-hli-91</v>
      </c>
      <c r="C386" s="549" t="s">
        <v>11186</v>
      </c>
      <c r="D386" s="549" t="s">
        <v>11187</v>
      </c>
      <c r="E386" s="8" t="str">
        <f>IFERROR(__xludf.DUMMYFUNCTION("""COMPUTED_VALUE"""),"00:E0:C9:28:E2:FB")</f>
        <v>00:E0:C9:28:E2:FB</v>
      </c>
      <c r="F386" s="552" t="s">
        <v>11188</v>
      </c>
      <c r="G386" s="8"/>
      <c r="H386" s="8"/>
      <c r="I386" s="8"/>
      <c r="J386" s="546" t="str">
        <f t="array" ref="J386">IF(LEN($E386),INDEX('4-All Devices'!AE:AE, MATCH($E386, '4-All Devices'!AF:AF, 0)),"")</f>
        <v>Corphosted</v>
      </c>
      <c r="K386" s="8"/>
      <c r="L386" s="8"/>
      <c r="M386" s="8"/>
    </row>
    <row r="387">
      <c r="A387" s="542"/>
      <c r="B387" s="551" t="str">
        <f t="array" ref="B387">IF(LEN(E387),INDEX('4-All Devices'!AG:AG, MATCH(E387, '4-All Devices'!AF:AF, 0)),"")</f>
        <v>in-blr-ananta-ddc-70</v>
      </c>
      <c r="C387" s="549" t="s">
        <v>11186</v>
      </c>
      <c r="D387" s="549" t="s">
        <v>11187</v>
      </c>
      <c r="E387" s="8" t="str">
        <f>IFERROR(__xludf.DUMMYFUNCTION("""COMPUTED_VALUE"""),"00:E0:C9:28:D1:D1")</f>
        <v>00:E0:C9:28:D1:D1</v>
      </c>
      <c r="F387" s="552" t="s">
        <v>11188</v>
      </c>
      <c r="G387" s="8"/>
      <c r="H387" s="8"/>
      <c r="I387" s="8"/>
      <c r="J387" s="546" t="str">
        <f t="array" ref="J387">IF(LEN($E387),INDEX('4-All Devices'!AE:AE, MATCH($E387, '4-All Devices'!AF:AF, 0)),"")</f>
        <v>Corphosted</v>
      </c>
      <c r="K387" s="8"/>
      <c r="L387" s="8"/>
      <c r="M387" s="8"/>
    </row>
    <row r="388">
      <c r="A388" s="542"/>
      <c r="B388" s="551" t="str">
        <f t="array" ref="B388">IF(LEN(E388),INDEX('4-All Devices'!AG:AG, MATCH(E388, '4-All Devices'!AF:AF, 0)),"")</f>
        <v>in-blr-ananta-hli-92</v>
      </c>
      <c r="C388" s="549" t="s">
        <v>11186</v>
      </c>
      <c r="D388" s="549" t="s">
        <v>11187</v>
      </c>
      <c r="E388" s="8" t="str">
        <f>IFERROR(__xludf.DUMMYFUNCTION("""COMPUTED_VALUE"""),"00:E0:C9:28:D1:FD")</f>
        <v>00:E0:C9:28:D1:FD</v>
      </c>
      <c r="F388" s="552" t="s">
        <v>11188</v>
      </c>
      <c r="G388" s="8"/>
      <c r="H388" s="8"/>
      <c r="I388" s="8"/>
      <c r="J388" s="546" t="str">
        <f t="array" ref="J388">IF(LEN($E388),INDEX('4-All Devices'!AE:AE, MATCH($E388, '4-All Devices'!AF:AF, 0)),"")</f>
        <v>Corphosted</v>
      </c>
      <c r="K388" s="8"/>
      <c r="L388" s="8"/>
      <c r="M388" s="8"/>
    </row>
    <row r="389">
      <c r="A389" s="542"/>
      <c r="B389" s="551" t="str">
        <f t="array" ref="B389">IF(LEN(E389),INDEX('4-All Devices'!AG:AG, MATCH(E389, '4-All Devices'!AF:AF, 0)),"")</f>
        <v>in-blr-ananta-ddc-71</v>
      </c>
      <c r="C389" s="549" t="s">
        <v>11186</v>
      </c>
      <c r="D389" s="549" t="s">
        <v>11187</v>
      </c>
      <c r="E389" s="8" t="str">
        <f>IFERROR(__xludf.DUMMYFUNCTION("""COMPUTED_VALUE"""),"00:E0:C9:28:D1:F3")</f>
        <v>00:E0:C9:28:D1:F3</v>
      </c>
      <c r="F389" s="552" t="s">
        <v>11188</v>
      </c>
      <c r="G389" s="8"/>
      <c r="H389" s="8"/>
      <c r="I389" s="8"/>
      <c r="J389" s="546" t="str">
        <f t="array" ref="J389">IF(LEN($E389),INDEX('4-All Devices'!AE:AE, MATCH($E389, '4-All Devices'!AF:AF, 0)),"")</f>
        <v>Corphosted</v>
      </c>
      <c r="K389" s="8"/>
      <c r="L389" s="8"/>
      <c r="M389" s="8"/>
    </row>
    <row r="390">
      <c r="A390" s="542"/>
      <c r="B390" s="551" t="str">
        <f t="array" ref="B390">IF(LEN(E390),INDEX('4-All Devices'!AG:AG, MATCH(E390, '4-All Devices'!AF:AF, 0)),"")</f>
        <v>in-blr-ananta-hli-93</v>
      </c>
      <c r="C390" s="549" t="s">
        <v>11186</v>
      </c>
      <c r="D390" s="549" t="s">
        <v>11187</v>
      </c>
      <c r="E390" s="8" t="str">
        <f>IFERROR(__xludf.DUMMYFUNCTION("""COMPUTED_VALUE"""),"00:E0:C9:28:D1:49")</f>
        <v>00:E0:C9:28:D1:49</v>
      </c>
      <c r="F390" s="552" t="s">
        <v>11188</v>
      </c>
      <c r="G390" s="8"/>
      <c r="H390" s="8"/>
      <c r="I390" s="8"/>
      <c r="J390" s="546" t="str">
        <f t="array" ref="J390">IF(LEN($E390),INDEX('4-All Devices'!AE:AE, MATCH($E390, '4-All Devices'!AF:AF, 0)),"")</f>
        <v>Corphosted</v>
      </c>
      <c r="K390" s="8"/>
      <c r="L390" s="8"/>
      <c r="M390" s="8"/>
    </row>
    <row r="391">
      <c r="A391" s="542"/>
      <c r="B391" s="551" t="str">
        <f t="array" ref="B391">IF(LEN(E391),INDEX('4-All Devices'!AG:AG, MATCH(E391, '4-All Devices'!AF:AF, 0)),"")</f>
        <v>in-blr-ananta-ddc-72</v>
      </c>
      <c r="C391" s="549" t="s">
        <v>11186</v>
      </c>
      <c r="D391" s="549" t="s">
        <v>11187</v>
      </c>
      <c r="E391" s="8" t="str">
        <f>IFERROR(__xludf.DUMMYFUNCTION("""COMPUTED_VALUE"""),"00:E0:C9:28:C8:24")</f>
        <v>00:E0:C9:28:C8:24</v>
      </c>
      <c r="F391" s="552" t="s">
        <v>11188</v>
      </c>
      <c r="G391" s="8"/>
      <c r="H391" s="8"/>
      <c r="I391" s="8"/>
      <c r="J391" s="546" t="str">
        <f t="array" ref="J391">IF(LEN($E391),INDEX('4-All Devices'!AE:AE, MATCH($E391, '4-All Devices'!AF:AF, 0)),"")</f>
        <v>Corphosted</v>
      </c>
      <c r="K391" s="8"/>
      <c r="L391" s="8"/>
      <c r="M391" s="8"/>
    </row>
    <row r="392">
      <c r="A392" s="542"/>
      <c r="B392" s="551" t="str">
        <f t="array" ref="B392">IF(LEN(E392),INDEX('4-All Devices'!AG:AG, MATCH(E392, '4-All Devices'!AF:AF, 0)),"")</f>
        <v>in-blr-ananta-hli-94</v>
      </c>
      <c r="C392" s="549" t="s">
        <v>11186</v>
      </c>
      <c r="D392" s="549" t="s">
        <v>11187</v>
      </c>
      <c r="E392" s="8" t="str">
        <f>IFERROR(__xludf.DUMMYFUNCTION("""COMPUTED_VALUE"""),"00:E0:C9:28:D2:0F")</f>
        <v>00:E0:C9:28:D2:0F</v>
      </c>
      <c r="F392" s="552" t="s">
        <v>11188</v>
      </c>
      <c r="G392" s="8"/>
      <c r="H392" s="8"/>
      <c r="I392" s="8"/>
      <c r="J392" s="546" t="str">
        <f t="array" ref="J392">IF(LEN($E392),INDEX('4-All Devices'!AE:AE, MATCH($E392, '4-All Devices'!AF:AF, 0)),"")</f>
        <v>Corphosted</v>
      </c>
      <c r="K392" s="8"/>
      <c r="L392" s="8"/>
      <c r="M392" s="8"/>
    </row>
    <row r="393">
      <c r="A393" s="542"/>
      <c r="B393" s="551" t="str">
        <f t="array" ref="B393">IF(LEN(E393),INDEX('4-All Devices'!AG:AG, MATCH(E393, '4-All Devices'!AF:AF, 0)),"")</f>
        <v>in-blr-ananta-ddc-73</v>
      </c>
      <c r="C393" s="549" t="s">
        <v>11186</v>
      </c>
      <c r="D393" s="549" t="s">
        <v>11187</v>
      </c>
      <c r="E393" s="8" t="str">
        <f>IFERROR(__xludf.DUMMYFUNCTION("""COMPUTED_VALUE"""),"00:E0:C9:28:D1:CF")</f>
        <v>00:E0:C9:28:D1:CF</v>
      </c>
      <c r="F393" s="552" t="s">
        <v>11188</v>
      </c>
      <c r="G393" s="8"/>
      <c r="H393" s="8"/>
      <c r="I393" s="8"/>
      <c r="J393" s="546" t="str">
        <f t="array" ref="J393">IF(LEN($E393),INDEX('4-All Devices'!AE:AE, MATCH($E393, '4-All Devices'!AF:AF, 0)),"")</f>
        <v>Corphosted</v>
      </c>
      <c r="K393" s="8"/>
      <c r="L393" s="8"/>
      <c r="M393" s="8"/>
    </row>
    <row r="394">
      <c r="A394" s="542"/>
      <c r="B394" s="551" t="str">
        <f t="array" ref="B394">IF(LEN(E394),INDEX('4-All Devices'!AG:AG, MATCH(E394, '4-All Devices'!AF:AF, 0)),"")</f>
        <v>in-blr-ananta-hli-95</v>
      </c>
      <c r="C394" s="549" t="s">
        <v>11186</v>
      </c>
      <c r="D394" s="549" t="s">
        <v>11187</v>
      </c>
      <c r="E394" s="8" t="str">
        <f>IFERROR(__xludf.DUMMYFUNCTION("""COMPUTED_VALUE"""),"00:E0:C9:28:DA:3F")</f>
        <v>00:E0:C9:28:DA:3F</v>
      </c>
      <c r="F394" s="552" t="s">
        <v>11188</v>
      </c>
      <c r="G394" s="8"/>
      <c r="H394" s="8"/>
      <c r="I394" s="8"/>
      <c r="J394" s="546" t="str">
        <f t="array" ref="J394">IF(LEN($E394),INDEX('4-All Devices'!AE:AE, MATCH($E394, '4-All Devices'!AF:AF, 0)),"")</f>
        <v>Corphosted</v>
      </c>
      <c r="K394" s="8"/>
      <c r="L394" s="8"/>
      <c r="M394" s="8"/>
    </row>
    <row r="395">
      <c r="A395" s="542"/>
      <c r="B395" s="551" t="str">
        <f t="array" ref="B395">IF(LEN(E395),INDEX('4-All Devices'!AG:AG, MATCH(E395, '4-All Devices'!AF:AF, 0)),"")</f>
        <v>in-blr-ananta-hli-96</v>
      </c>
      <c r="C395" s="549" t="s">
        <v>11186</v>
      </c>
      <c r="D395" s="549" t="s">
        <v>11187</v>
      </c>
      <c r="E395" s="8" t="str">
        <f>IFERROR(__xludf.DUMMYFUNCTION("""COMPUTED_VALUE"""),"00:E0:C9:28:DA:49")</f>
        <v>00:E0:C9:28:DA:49</v>
      </c>
      <c r="F395" s="552" t="s">
        <v>11188</v>
      </c>
      <c r="G395" s="8"/>
      <c r="H395" s="8"/>
      <c r="I395" s="8"/>
      <c r="J395" s="546" t="str">
        <f t="array" ref="J395">IF(LEN($E395),INDEX('4-All Devices'!AE:AE, MATCH($E395, '4-All Devices'!AF:AF, 0)),"")</f>
        <v>Corphosted</v>
      </c>
      <c r="K395" s="8"/>
      <c r="L395" s="8"/>
      <c r="M395" s="8"/>
    </row>
    <row r="396">
      <c r="A396" s="542"/>
      <c r="B396" s="551" t="str">
        <f t="array" ref="B396">IF(LEN(E396),INDEX('4-All Devices'!AG:AG, MATCH(E396, '4-All Devices'!AF:AF, 0)),"")</f>
        <v>in-blr-ananta-hli-97</v>
      </c>
      <c r="C396" s="549" t="s">
        <v>11186</v>
      </c>
      <c r="D396" s="549" t="s">
        <v>11187</v>
      </c>
      <c r="E396" s="8" t="str">
        <f>IFERROR(__xludf.DUMMYFUNCTION("""COMPUTED_VALUE"""),"00:E0:C9:28:E3:01")</f>
        <v>00:E0:C9:28:E3:01</v>
      </c>
      <c r="F396" s="552" t="s">
        <v>11188</v>
      </c>
      <c r="G396" s="8"/>
      <c r="H396" s="8"/>
      <c r="I396" s="8"/>
      <c r="J396" s="546" t="str">
        <f t="array" ref="J396">IF(LEN($E396),INDEX('4-All Devices'!AE:AE, MATCH($E396, '4-All Devices'!AF:AF, 0)),"")</f>
        <v>Corphosted</v>
      </c>
      <c r="K396" s="8"/>
      <c r="L396" s="8"/>
      <c r="M396" s="8"/>
    </row>
    <row r="397">
      <c r="A397" s="542"/>
      <c r="B397" s="551" t="str">
        <f t="array" ref="B397">IF(LEN(E397),INDEX('4-All Devices'!AG:AG, MATCH(E397, '4-All Devices'!AF:AF, 0)),"")</f>
        <v>in-blr-ananta-ddc-74</v>
      </c>
      <c r="C397" s="549" t="s">
        <v>11186</v>
      </c>
      <c r="D397" s="549" t="s">
        <v>11187</v>
      </c>
      <c r="E397" s="8" t="str">
        <f>IFERROR(__xludf.DUMMYFUNCTION("""COMPUTED_VALUE"""),"00:E0:C9:28:DB:15")</f>
        <v>00:E0:C9:28:DB:15</v>
      </c>
      <c r="F397" s="552" t="s">
        <v>11188</v>
      </c>
      <c r="G397" s="8"/>
      <c r="H397" s="8"/>
      <c r="I397" s="8"/>
      <c r="J397" s="546" t="str">
        <f t="array" ref="J397">IF(LEN($E397),INDEX('4-All Devices'!AE:AE, MATCH($E397, '4-All Devices'!AF:AF, 0)),"")</f>
        <v>Corphosted</v>
      </c>
      <c r="K397" s="8"/>
      <c r="L397" s="8"/>
      <c r="M397" s="8"/>
    </row>
    <row r="398">
      <c r="A398" s="542"/>
      <c r="B398" s="551" t="str">
        <f t="array" ref="B398">IF(LEN(E398),INDEX('4-All Devices'!AG:AG, MATCH(E398, '4-All Devices'!AF:AF, 0)),"")</f>
        <v>in-blr-ananta-hli-98</v>
      </c>
      <c r="C398" s="549" t="s">
        <v>11186</v>
      </c>
      <c r="D398" s="549" t="s">
        <v>11187</v>
      </c>
      <c r="E398" s="8" t="str">
        <f>IFERROR(__xludf.DUMMYFUNCTION("""COMPUTED_VALUE"""),"00:E0:C9:28:E3:0B")</f>
        <v>00:E0:C9:28:E3:0B</v>
      </c>
      <c r="F398" s="552" t="s">
        <v>11188</v>
      </c>
      <c r="G398" s="8"/>
      <c r="H398" s="8"/>
      <c r="I398" s="8"/>
      <c r="J398" s="546" t="str">
        <f t="array" ref="J398">IF(LEN($E398),INDEX('4-All Devices'!AE:AE, MATCH($E398, '4-All Devices'!AF:AF, 0)),"")</f>
        <v>Corphosted</v>
      </c>
      <c r="K398" s="8"/>
      <c r="L398" s="8"/>
      <c r="M398" s="8"/>
    </row>
    <row r="399">
      <c r="A399" s="542"/>
      <c r="B399" s="551" t="str">
        <f t="array" ref="B399">IF(LEN(E399),INDEX('4-All Devices'!AG:AG, MATCH(E399, '4-All Devices'!AF:AF, 0)),"")</f>
        <v>in-blr-ananta-ddc-75</v>
      </c>
      <c r="C399" s="549" t="s">
        <v>11186</v>
      </c>
      <c r="D399" s="549" t="s">
        <v>11187</v>
      </c>
      <c r="E399" s="8" t="str">
        <f>IFERROR(__xludf.DUMMYFUNCTION("""COMPUTED_VALUE"""),"00:E0:C9:28:E3:81")</f>
        <v>00:E0:C9:28:E3:81</v>
      </c>
      <c r="F399" s="552" t="s">
        <v>11188</v>
      </c>
      <c r="G399" s="8"/>
      <c r="H399" s="8"/>
      <c r="I399" s="8"/>
      <c r="J399" s="546" t="str">
        <f t="array" ref="J399">IF(LEN($E399),INDEX('4-All Devices'!AE:AE, MATCH($E399, '4-All Devices'!AF:AF, 0)),"")</f>
        <v>Corphosted</v>
      </c>
      <c r="K399" s="8"/>
      <c r="L399" s="8"/>
      <c r="M399" s="8"/>
    </row>
    <row r="400">
      <c r="A400" s="542"/>
      <c r="B400" s="551" t="str">
        <f t="array" ref="B400">IF(LEN(E400),INDEX('4-All Devices'!AG:AG, MATCH(E400, '4-All Devices'!AF:AF, 0)),"")</f>
        <v>in-blr-ananta-hli-99</v>
      </c>
      <c r="C400" s="549" t="s">
        <v>11186</v>
      </c>
      <c r="D400" s="549" t="s">
        <v>11187</v>
      </c>
      <c r="E400" s="8" t="str">
        <f>IFERROR(__xludf.DUMMYFUNCTION("""COMPUTED_VALUE"""),"00:E0:C9:28:E3:03")</f>
        <v>00:E0:C9:28:E3:03</v>
      </c>
      <c r="F400" s="552" t="s">
        <v>11188</v>
      </c>
      <c r="G400" s="8"/>
      <c r="H400" s="8"/>
      <c r="I400" s="8"/>
      <c r="J400" s="546" t="str">
        <f t="array" ref="J400">IF(LEN($E400),INDEX('4-All Devices'!AE:AE, MATCH($E400, '4-All Devices'!AF:AF, 0)),"")</f>
        <v>Corphosted</v>
      </c>
      <c r="K400" s="8"/>
      <c r="L400" s="8"/>
      <c r="M400" s="8"/>
    </row>
    <row r="401">
      <c r="A401" s="542"/>
      <c r="B401" s="551" t="str">
        <f t="array" ref="B401">IF(LEN(E401),INDEX('4-All Devices'!AG:AG, MATCH(E401, '4-All Devices'!AF:AF, 0)),"")</f>
        <v>in-blr-ananta-ddc-76</v>
      </c>
      <c r="C401" s="549" t="s">
        <v>11186</v>
      </c>
      <c r="D401" s="549" t="s">
        <v>11187</v>
      </c>
      <c r="E401" s="8" t="str">
        <f>IFERROR(__xludf.DUMMYFUNCTION("""COMPUTED_VALUE"""),"00:E0:C9:28:E3:83")</f>
        <v>00:E0:C9:28:E3:83</v>
      </c>
      <c r="F401" s="552" t="s">
        <v>11188</v>
      </c>
      <c r="G401" s="8"/>
      <c r="H401" s="8"/>
      <c r="I401" s="8"/>
      <c r="J401" s="546" t="str">
        <f t="array" ref="J401">IF(LEN($E401),INDEX('4-All Devices'!AE:AE, MATCH($E401, '4-All Devices'!AF:AF, 0)),"")</f>
        <v>Corphosted</v>
      </c>
      <c r="K401" s="8"/>
      <c r="L401" s="8"/>
      <c r="M401" s="8"/>
    </row>
    <row r="402">
      <c r="A402" s="542"/>
      <c r="B402" s="551" t="str">
        <f t="array" ref="B402">IF(LEN(E402),INDEX('4-All Devices'!AG:AG, MATCH(E402, '4-All Devices'!AF:AF, 0)),"")</f>
        <v>in-blr-ananta-hli-100</v>
      </c>
      <c r="C402" s="549" t="s">
        <v>11186</v>
      </c>
      <c r="D402" s="549" t="s">
        <v>11187</v>
      </c>
      <c r="E402" s="8" t="str">
        <f>IFERROR(__xludf.DUMMYFUNCTION("""COMPUTED_VALUE"""),"00:E0:C9:28:32:FD")</f>
        <v>00:E0:C9:28:32:FD</v>
      </c>
      <c r="F402" s="552" t="s">
        <v>11188</v>
      </c>
      <c r="G402" s="8"/>
      <c r="H402" s="8"/>
      <c r="I402" s="8"/>
      <c r="J402" s="546" t="str">
        <f t="array" ref="J402">IF(LEN($E402),INDEX('4-All Devices'!AE:AE, MATCH($E402, '4-All Devices'!AF:AF, 0)),"")</f>
        <v>Corphosted</v>
      </c>
      <c r="K402" s="8"/>
      <c r="L402" s="8"/>
      <c r="M402" s="8"/>
    </row>
    <row r="403">
      <c r="A403" s="542"/>
      <c r="B403" s="551" t="str">
        <f t="array" ref="B403">IF(LEN(E403),INDEX('4-All Devices'!AG:AG, MATCH(E403, '4-All Devices'!AF:AF, 0)),"")</f>
        <v>in-blr-ananta-hli-101</v>
      </c>
      <c r="C403" s="549" t="s">
        <v>11186</v>
      </c>
      <c r="D403" s="549" t="s">
        <v>11187</v>
      </c>
      <c r="E403" s="8" t="str">
        <f>IFERROR(__xludf.DUMMYFUNCTION("""COMPUTED_VALUE"""),"00:E0:C9:28:E3:2D")</f>
        <v>00:E0:C9:28:E3:2D</v>
      </c>
      <c r="F403" s="552" t="s">
        <v>11188</v>
      </c>
      <c r="G403" s="8"/>
      <c r="H403" s="8"/>
      <c r="I403" s="8"/>
      <c r="J403" s="546" t="str">
        <f t="array" ref="J403">IF(LEN($E403),INDEX('4-All Devices'!AE:AE, MATCH($E403, '4-All Devices'!AF:AF, 0)),"")</f>
        <v>Corphosted</v>
      </c>
      <c r="K403" s="8"/>
      <c r="L403" s="8"/>
      <c r="M403" s="8"/>
    </row>
    <row r="404">
      <c r="A404" s="542"/>
      <c r="B404" s="551" t="str">
        <f t="array" ref="B404">IF(LEN(E404),INDEX('4-All Devices'!AG:AG, MATCH(E404, '4-All Devices'!AF:AF, 0)),"")</f>
        <v>in-blr-ananta-hli-102</v>
      </c>
      <c r="C404" s="549" t="s">
        <v>11186</v>
      </c>
      <c r="D404" s="549" t="s">
        <v>11187</v>
      </c>
      <c r="E404" s="8" t="str">
        <f>IFERROR(__xludf.DUMMYFUNCTION("""COMPUTED_VALUE"""),"00:E0:C9:28:E3:AF")</f>
        <v>00:E0:C9:28:E3:AF</v>
      </c>
      <c r="F404" s="552" t="s">
        <v>11188</v>
      </c>
      <c r="G404" s="8"/>
      <c r="H404" s="8"/>
      <c r="I404" s="8"/>
      <c r="J404" s="546" t="str">
        <f t="array" ref="J404">IF(LEN($E404),INDEX('4-All Devices'!AE:AE, MATCH($E404, '4-All Devices'!AF:AF, 0)),"")</f>
        <v>Corphosted</v>
      </c>
      <c r="K404" s="8"/>
      <c r="L404" s="8"/>
      <c r="M404" s="8"/>
    </row>
    <row r="405">
      <c r="A405" s="542"/>
      <c r="B405" s="551" t="str">
        <f t="array" ref="B405">IF(LEN(E405),INDEX('4-All Devices'!AG:AG, MATCH(E405, '4-All Devices'!AF:AF, 0)),"")</f>
        <v>in-blr-ananta-hli-103</v>
      </c>
      <c r="C405" s="549" t="s">
        <v>11186</v>
      </c>
      <c r="D405" s="549" t="s">
        <v>11187</v>
      </c>
      <c r="E405" s="8" t="str">
        <f>IFERROR(__xludf.DUMMYFUNCTION("""COMPUTED_VALUE"""),"00:E0:C9:28:E3:79")</f>
        <v>00:E0:C9:28:E3:79</v>
      </c>
      <c r="F405" s="552" t="s">
        <v>11188</v>
      </c>
      <c r="G405" s="8"/>
      <c r="H405" s="8"/>
      <c r="I405" s="8"/>
      <c r="J405" s="546" t="str">
        <f t="array" ref="J405">IF(LEN($E405),INDEX('4-All Devices'!AE:AE, MATCH($E405, '4-All Devices'!AF:AF, 0)),"")</f>
        <v>Corphosted</v>
      </c>
      <c r="K405" s="8"/>
      <c r="L405" s="8"/>
      <c r="M405" s="8"/>
    </row>
    <row r="406">
      <c r="A406" s="542"/>
      <c r="B406" s="551" t="str">
        <f t="array" ref="B406">IF(LEN(E406),INDEX('4-All Devices'!AG:AG, MATCH(E406, '4-All Devices'!AF:AF, 0)),"")</f>
        <v>in-blr-ananta-hli-104</v>
      </c>
      <c r="C406" s="549" t="s">
        <v>11186</v>
      </c>
      <c r="D406" s="549" t="s">
        <v>11187</v>
      </c>
      <c r="E406" s="8" t="str">
        <f>IFERROR(__xludf.DUMMYFUNCTION("""COMPUTED_VALUE"""),"00:e0:c9:29:59:93")</f>
        <v>00:e0:c9:29:59:93</v>
      </c>
      <c r="F406" s="552" t="s">
        <v>11188</v>
      </c>
      <c r="G406" s="8"/>
      <c r="H406" s="8"/>
      <c r="I406" s="8"/>
      <c r="J406" s="546" t="str">
        <f t="array" ref="J406">IF(LEN($E406),INDEX('4-All Devices'!AE:AE, MATCH($E406, '4-All Devices'!AF:AF, 0)),"")</f>
        <v>Corphosted</v>
      </c>
      <c r="K406" s="8"/>
      <c r="L406" s="8"/>
      <c r="M406" s="8"/>
    </row>
    <row r="407">
      <c r="A407" s="542"/>
      <c r="B407" s="551" t="str">
        <f t="array" ref="B407">IF(LEN(E407),INDEX('4-All Devices'!AG:AG, MATCH(E407, '4-All Devices'!AF:AF, 0)),"")</f>
        <v>in-blr-ananta-hli-105</v>
      </c>
      <c r="C407" s="549" t="s">
        <v>11186</v>
      </c>
      <c r="D407" s="549" t="s">
        <v>11187</v>
      </c>
      <c r="E407" s="8" t="str">
        <f>IFERROR(__xludf.DUMMYFUNCTION("""COMPUTED_VALUE"""),"00:e0:c9:29:59:71")</f>
        <v>00:e0:c9:29:59:71</v>
      </c>
      <c r="F407" s="552" t="s">
        <v>11188</v>
      </c>
      <c r="G407" s="8"/>
      <c r="H407" s="8"/>
      <c r="I407" s="8"/>
      <c r="J407" s="546" t="str">
        <f t="array" ref="J407">IF(LEN($E407),INDEX('4-All Devices'!AE:AE, MATCH($E407, '4-All Devices'!AF:AF, 0)),"")</f>
        <v>Corphosted</v>
      </c>
      <c r="K407" s="8"/>
      <c r="L407" s="8"/>
      <c r="M407" s="8"/>
    </row>
    <row r="408">
      <c r="A408" s="542"/>
      <c r="B408" s="551" t="str">
        <f t="array" ref="B408">IF(LEN(E408),INDEX('4-All Devices'!AG:AG, MATCH(E408, '4-All Devices'!AF:AF, 0)),"")</f>
        <v>in-blr-ananta-hli-106</v>
      </c>
      <c r="C408" s="549" t="s">
        <v>11186</v>
      </c>
      <c r="D408" s="549" t="s">
        <v>11187</v>
      </c>
      <c r="E408" s="8" t="str">
        <f>IFERROR(__xludf.DUMMYFUNCTION("""COMPUTED_VALUE"""),"00:e0:c9:29:58:ed")</f>
        <v>00:e0:c9:29:58:ed</v>
      </c>
      <c r="F408" s="552" t="s">
        <v>11188</v>
      </c>
      <c r="G408" s="8"/>
      <c r="H408" s="8"/>
      <c r="I408" s="8"/>
      <c r="J408" s="546" t="str">
        <f t="array" ref="J408">IF(LEN($E408),INDEX('4-All Devices'!AE:AE, MATCH($E408, '4-All Devices'!AF:AF, 0)),"")</f>
        <v>Corphosted</v>
      </c>
      <c r="K408" s="8"/>
      <c r="L408" s="8"/>
      <c r="M408" s="8"/>
    </row>
    <row r="409">
      <c r="A409" s="542"/>
      <c r="B409" s="551" t="str">
        <f t="array" ref="B409">IF(LEN(E409),INDEX('4-All Devices'!AG:AG, MATCH(E409, '4-All Devices'!AF:AF, 0)),"")</f>
        <v>in-blr-ananta-hli-107</v>
      </c>
      <c r="C409" s="549" t="s">
        <v>11186</v>
      </c>
      <c r="D409" s="549" t="s">
        <v>11187</v>
      </c>
      <c r="E409" s="8" t="str">
        <f>IFERROR(__xludf.DUMMYFUNCTION("""COMPUTED_VALUE"""),"00:e0:c9:29:59:51")</f>
        <v>00:e0:c9:29:59:51</v>
      </c>
      <c r="F409" s="552" t="s">
        <v>11188</v>
      </c>
      <c r="G409" s="8"/>
      <c r="H409" s="8"/>
      <c r="I409" s="8"/>
      <c r="J409" s="546" t="str">
        <f t="array" ref="J409">IF(LEN($E409),INDEX('4-All Devices'!AE:AE, MATCH($E409, '4-All Devices'!AF:AF, 0)),"")</f>
        <v>Corphosted</v>
      </c>
      <c r="K409" s="8"/>
      <c r="L409" s="8"/>
      <c r="M409" s="8"/>
    </row>
    <row r="410">
      <c r="A410" s="542"/>
      <c r="B410" s="551" t="str">
        <f t="array" ref="B410">IF(LEN(E410),INDEX('4-All Devices'!AG:AG, MATCH(E410, '4-All Devices'!AF:AF, 0)),"")</f>
        <v>in-blr-ananta-hli-108</v>
      </c>
      <c r="C410" s="549" t="s">
        <v>11186</v>
      </c>
      <c r="D410" s="549" t="s">
        <v>11187</v>
      </c>
      <c r="E410" s="8" t="str">
        <f>IFERROR(__xludf.DUMMYFUNCTION("""COMPUTED_VALUE"""),"00:e0:c9:28:c8:9a")</f>
        <v>00:e0:c9:28:c8:9a</v>
      </c>
      <c r="F410" s="552" t="s">
        <v>11188</v>
      </c>
      <c r="G410" s="8"/>
      <c r="H410" s="8"/>
      <c r="I410" s="8"/>
      <c r="J410" s="546" t="str">
        <f t="array" ref="J410">IF(LEN($E410),INDEX('4-All Devices'!AE:AE, MATCH($E410, '4-All Devices'!AF:AF, 0)),"")</f>
        <v>Corphosted</v>
      </c>
      <c r="K410" s="8"/>
      <c r="L410" s="8"/>
      <c r="M410" s="8"/>
    </row>
    <row r="411">
      <c r="A411" s="542"/>
      <c r="B411" s="551" t="str">
        <f t="array" ref="B411">IF(LEN(E411),INDEX('4-All Devices'!AG:AG, MATCH(E411, '4-All Devices'!AF:AF, 0)),"")</f>
        <v>in-blr-ananta-hli-109</v>
      </c>
      <c r="C411" s="549" t="s">
        <v>11186</v>
      </c>
      <c r="D411" s="549" t="s">
        <v>11187</v>
      </c>
      <c r="E411" s="8" t="str">
        <f>IFERROR(__xludf.DUMMYFUNCTION("""COMPUTED_VALUE"""),"00:e0:c9:29:59:9d")</f>
        <v>00:e0:c9:29:59:9d</v>
      </c>
      <c r="F411" s="552" t="s">
        <v>11188</v>
      </c>
      <c r="G411" s="8"/>
      <c r="H411" s="8"/>
      <c r="I411" s="8"/>
      <c r="J411" s="546" t="str">
        <f t="array" ref="J411">IF(LEN($E411),INDEX('4-All Devices'!AE:AE, MATCH($E411, '4-All Devices'!AF:AF, 0)),"")</f>
        <v>Corphosted</v>
      </c>
      <c r="K411" s="8"/>
      <c r="L411" s="8"/>
      <c r="M411" s="8"/>
    </row>
    <row r="412">
      <c r="A412" s="542"/>
      <c r="B412" s="551" t="str">
        <f t="array" ref="B412">IF(LEN(E412),INDEX('4-All Devices'!AG:AG, MATCH(E412, '4-All Devices'!AF:AF, 0)),"")</f>
        <v>in-blr-ananta-hli-110</v>
      </c>
      <c r="C412" s="549" t="s">
        <v>11186</v>
      </c>
      <c r="D412" s="549" t="s">
        <v>11187</v>
      </c>
      <c r="E412" s="8" t="str">
        <f>IFERROR(__xludf.DUMMYFUNCTION("""COMPUTED_VALUE"""),"00:e0:c9:29:59:9b")</f>
        <v>00:e0:c9:29:59:9b</v>
      </c>
      <c r="F412" s="552" t="s">
        <v>11188</v>
      </c>
      <c r="G412" s="8"/>
      <c r="H412" s="8"/>
      <c r="I412" s="8"/>
      <c r="J412" s="546" t="str">
        <f t="array" ref="J412">IF(LEN($E412),INDEX('4-All Devices'!AE:AE, MATCH($E412, '4-All Devices'!AF:AF, 0)),"")</f>
        <v>Corphosted</v>
      </c>
      <c r="K412" s="8"/>
      <c r="L412" s="8"/>
      <c r="M412" s="8"/>
    </row>
    <row r="413">
      <c r="A413" s="542"/>
      <c r="B413" s="551" t="str">
        <f t="array" ref="B413">IF(LEN(E413),INDEX('4-All Devices'!AG:AG, MATCH(E413, '4-All Devices'!AF:AF, 0)),"")</f>
        <v>in-blr-ananta-hli-111</v>
      </c>
      <c r="C413" s="549" t="s">
        <v>11186</v>
      </c>
      <c r="D413" s="549" t="s">
        <v>11187</v>
      </c>
      <c r="E413" s="8" t="str">
        <f>IFERROR(__xludf.DUMMYFUNCTION("""COMPUTED_VALUE"""),"00:e0:c9:28:d1:b1")</f>
        <v>00:e0:c9:28:d1:b1</v>
      </c>
      <c r="F413" s="552" t="s">
        <v>11188</v>
      </c>
      <c r="G413" s="8"/>
      <c r="H413" s="8"/>
      <c r="I413" s="8"/>
      <c r="J413" s="546" t="str">
        <f t="array" ref="J413">IF(LEN($E413),INDEX('4-All Devices'!AE:AE, MATCH($E413, '4-All Devices'!AF:AF, 0)),"")</f>
        <v>Corphosted</v>
      </c>
      <c r="K413" s="8"/>
      <c r="L413" s="8"/>
      <c r="M413" s="8"/>
    </row>
    <row r="414">
      <c r="A414" s="542"/>
      <c r="B414" s="551" t="str">
        <f t="array" ref="B414">IF(LEN(E414),INDEX('4-All Devices'!AG:AG, MATCH(E414, '4-All Devices'!AF:AF, 0)),"")</f>
        <v>in-blr-ananta-hli-112</v>
      </c>
      <c r="C414" s="549" t="s">
        <v>11186</v>
      </c>
      <c r="D414" s="549" t="s">
        <v>11187</v>
      </c>
      <c r="E414" s="8" t="str">
        <f>IFERROR(__xludf.DUMMYFUNCTION("""COMPUTED_VALUE"""),"00:e0:c9:28:d1:95")</f>
        <v>00:e0:c9:28:d1:95</v>
      </c>
      <c r="F414" s="552" t="s">
        <v>11188</v>
      </c>
      <c r="G414" s="8"/>
      <c r="H414" s="8"/>
      <c r="I414" s="8"/>
      <c r="J414" s="546" t="str">
        <f t="array" ref="J414">IF(LEN($E414),INDEX('4-All Devices'!AE:AE, MATCH($E414, '4-All Devices'!AF:AF, 0)),"")</f>
        <v>Corphosted</v>
      </c>
      <c r="K414" s="8"/>
      <c r="L414" s="8"/>
      <c r="M414" s="8"/>
    </row>
    <row r="415">
      <c r="A415" s="542"/>
      <c r="B415" s="551" t="str">
        <f t="array" ref="B415">IF(LEN(E415),INDEX('4-All Devices'!AG:AG, MATCH(E415, '4-All Devices'!AF:AF, 0)),"")</f>
        <v>in-blr-ananta-hli-113</v>
      </c>
      <c r="C415" s="549" t="s">
        <v>11186</v>
      </c>
      <c r="D415" s="549" t="s">
        <v>11187</v>
      </c>
      <c r="E415" s="8" t="str">
        <f>IFERROR(__xludf.DUMMYFUNCTION("""COMPUTED_VALUE"""),"00:e0:c9:28:e3:71")</f>
        <v>00:e0:c9:28:e3:71</v>
      </c>
      <c r="F415" s="552" t="s">
        <v>11188</v>
      </c>
      <c r="G415" s="8"/>
      <c r="H415" s="8"/>
      <c r="I415" s="8"/>
      <c r="J415" s="546" t="str">
        <f t="array" ref="J415">IF(LEN($E415),INDEX('4-All Devices'!AE:AE, MATCH($E415, '4-All Devices'!AF:AF, 0)),"")</f>
        <v>Corphosted</v>
      </c>
      <c r="K415" s="8"/>
      <c r="L415" s="8"/>
      <c r="M415" s="8"/>
    </row>
    <row r="416">
      <c r="A416" s="542"/>
      <c r="B416" s="551" t="str">
        <f t="array" ref="B416">IF(LEN(E416),INDEX('4-All Devices'!AG:AG, MATCH(E416, '4-All Devices'!AF:AF, 0)),"")</f>
        <v>in-blr-ananta-hli-114</v>
      </c>
      <c r="C416" s="549" t="s">
        <v>11186</v>
      </c>
      <c r="D416" s="549" t="s">
        <v>11187</v>
      </c>
      <c r="E416" s="8" t="str">
        <f>IFERROR(__xludf.DUMMYFUNCTION("""COMPUTED_VALUE"""),"00:e0:c9:28:e3:6f")</f>
        <v>00:e0:c9:28:e3:6f</v>
      </c>
      <c r="F416" s="552" t="s">
        <v>11188</v>
      </c>
      <c r="G416" s="8"/>
      <c r="H416" s="8"/>
      <c r="I416" s="8"/>
      <c r="J416" s="546" t="str">
        <f t="array" ref="J416">IF(LEN($E416),INDEX('4-All Devices'!AE:AE, MATCH($E416, '4-All Devices'!AF:AF, 0)),"")</f>
        <v>Corphosted</v>
      </c>
      <c r="K416" s="8"/>
      <c r="L416" s="8"/>
      <c r="M416" s="8"/>
    </row>
    <row r="417">
      <c r="A417" s="542"/>
      <c r="B417" s="551" t="str">
        <f t="array" ref="B417">IF(LEN(E417),INDEX('4-All Devices'!AG:AG, MATCH(E417, '4-All Devices'!AF:AF, 0)),"")</f>
        <v>in-blr-ananta-hli-115</v>
      </c>
      <c r="C417" s="549" t="s">
        <v>11186</v>
      </c>
      <c r="D417" s="549" t="s">
        <v>11187</v>
      </c>
      <c r="E417" s="8" t="str">
        <f>IFERROR(__xludf.DUMMYFUNCTION("""COMPUTED_VALUE"""),"00:e0:c9:28:e4:01")</f>
        <v>00:e0:c9:28:e4:01</v>
      </c>
      <c r="F417" s="552" t="s">
        <v>11188</v>
      </c>
      <c r="G417" s="8"/>
      <c r="H417" s="8"/>
      <c r="I417" s="8"/>
      <c r="J417" s="546" t="str">
        <f t="array" ref="J417">IF(LEN($E417),INDEX('4-All Devices'!AE:AE, MATCH($E417, '4-All Devices'!AF:AF, 0)),"")</f>
        <v>Corphosted</v>
      </c>
      <c r="K417" s="8"/>
      <c r="L417" s="8"/>
      <c r="M417" s="8"/>
    </row>
    <row r="418">
      <c r="A418" s="542"/>
      <c r="B418" s="551" t="str">
        <f t="array" ref="B418">IF(LEN(E418),INDEX('4-All Devices'!AG:AG, MATCH(E418, '4-All Devices'!AF:AF, 0)),"")</f>
        <v>in-blr-ananta-hli-116</v>
      </c>
      <c r="C418" s="549" t="s">
        <v>11186</v>
      </c>
      <c r="D418" s="549" t="s">
        <v>11187</v>
      </c>
      <c r="E418" s="8" t="str">
        <f>IFERROR(__xludf.DUMMYFUNCTION("""COMPUTED_VALUE"""),"00:e0:c9:28:db:25")</f>
        <v>00:e0:c9:28:db:25</v>
      </c>
      <c r="F418" s="552" t="s">
        <v>11188</v>
      </c>
      <c r="G418" s="8"/>
      <c r="H418" s="8"/>
      <c r="I418" s="8"/>
      <c r="J418" s="546" t="str">
        <f t="array" ref="J418">IF(LEN($E418),INDEX('4-All Devices'!AE:AE, MATCH($E418, '4-All Devices'!AF:AF, 0)),"")</f>
        <v>Corphosted</v>
      </c>
      <c r="K418" s="8"/>
      <c r="L418" s="8"/>
      <c r="M418" s="8"/>
    </row>
    <row r="419">
      <c r="A419" s="542"/>
      <c r="B419" s="551" t="str">
        <f t="array" ref="B419">IF(LEN(E419),INDEX('4-All Devices'!AG:AG, MATCH(E419, '4-All Devices'!AF:AF, 0)),"")</f>
        <v>in-blr-ananta-hli-117</v>
      </c>
      <c r="C419" s="549" t="s">
        <v>11186</v>
      </c>
      <c r="D419" s="549" t="s">
        <v>11187</v>
      </c>
      <c r="E419" s="8" t="str">
        <f>IFERROR(__xludf.DUMMYFUNCTION("""COMPUTED_VALUE"""),"00:e0:c9:28:da:43")</f>
        <v>00:e0:c9:28:da:43</v>
      </c>
      <c r="F419" s="552" t="s">
        <v>11188</v>
      </c>
      <c r="G419" s="8"/>
      <c r="H419" s="8"/>
      <c r="I419" s="8"/>
      <c r="J419" s="546" t="str">
        <f t="array" ref="J419">IF(LEN($E419),INDEX('4-All Devices'!AE:AE, MATCH($E419, '4-All Devices'!AF:AF, 0)),"")</f>
        <v>Corphosted</v>
      </c>
      <c r="K419" s="8"/>
      <c r="L419" s="8"/>
      <c r="M419" s="8"/>
    </row>
    <row r="420">
      <c r="A420" s="542"/>
      <c r="B420" s="551" t="str">
        <f t="array" ref="B420">IF(LEN(E420),INDEX('4-All Devices'!AG:AG, MATCH(E420, '4-All Devices'!AF:AF, 0)),"")</f>
        <v>in-blr-ananta-hli-118</v>
      </c>
      <c r="C420" s="549" t="s">
        <v>11186</v>
      </c>
      <c r="D420" s="549" t="s">
        <v>11187</v>
      </c>
      <c r="E420" s="8" t="str">
        <f>IFERROR(__xludf.DUMMYFUNCTION("""COMPUTED_VALUE"""),"00:e0:c9:28:d1:b9")</f>
        <v>00:e0:c9:28:d1:b9</v>
      </c>
      <c r="F420" s="552" t="s">
        <v>11188</v>
      </c>
      <c r="G420" s="8"/>
      <c r="H420" s="8"/>
      <c r="I420" s="8"/>
      <c r="J420" s="546" t="str">
        <f t="array" ref="J420">IF(LEN($E420),INDEX('4-All Devices'!AE:AE, MATCH($E420, '4-All Devices'!AF:AF, 0)),"")</f>
        <v>Corphosted</v>
      </c>
      <c r="K420" s="8"/>
      <c r="L420" s="8"/>
      <c r="M420" s="8"/>
    </row>
    <row r="421">
      <c r="A421" s="542"/>
      <c r="B421" s="551" t="str">
        <f t="array" ref="B421">IF(LEN(E421),INDEX('4-All Devices'!AG:AG, MATCH(E421, '4-All Devices'!AF:AF, 0)),"")</f>
        <v>in-blr-ananta-hli-119</v>
      </c>
      <c r="C421" s="549" t="s">
        <v>11186</v>
      </c>
      <c r="D421" s="549" t="s">
        <v>11187</v>
      </c>
      <c r="E421" s="8" t="str">
        <f>IFERROR(__xludf.DUMMYFUNCTION("""COMPUTED_VALUE"""),"00:e0:c9:29:29:2a")</f>
        <v>00:e0:c9:29:29:2a</v>
      </c>
      <c r="F421" s="552" t="s">
        <v>11188</v>
      </c>
      <c r="G421" s="8"/>
      <c r="H421" s="8"/>
      <c r="I421" s="8"/>
      <c r="J421" s="546" t="str">
        <f t="array" ref="J421">IF(LEN($E421),INDEX('4-All Devices'!AE:AE, MATCH($E421, '4-All Devices'!AF:AF, 0)),"")</f>
        <v>Corphosted</v>
      </c>
      <c r="K421" s="8"/>
      <c r="L421" s="8"/>
      <c r="M421" s="8"/>
    </row>
    <row r="422">
      <c r="A422" s="542"/>
      <c r="B422" s="551" t="str">
        <f t="array" ref="B422">IF(LEN(E422),INDEX('4-All Devices'!AG:AG, MATCH(E422, '4-All Devices'!AF:AF, 0)),"")</f>
        <v>in-blr-ananta-hli-120</v>
      </c>
      <c r="C422" s="549" t="s">
        <v>11186</v>
      </c>
      <c r="D422" s="549" t="s">
        <v>11187</v>
      </c>
      <c r="E422" s="8" t="str">
        <f>IFERROR(__xludf.DUMMYFUNCTION("""COMPUTED_VALUE"""),"00:e0:c9:2a:3b:ae")</f>
        <v>00:e0:c9:2a:3b:ae</v>
      </c>
      <c r="F422" s="552" t="s">
        <v>11188</v>
      </c>
      <c r="G422" s="8"/>
      <c r="H422" s="8"/>
      <c r="I422" s="8"/>
      <c r="J422" s="546" t="str">
        <f t="array" ref="J422">IF(LEN($E422),INDEX('4-All Devices'!AE:AE, MATCH($E422, '4-All Devices'!AF:AF, 0)),"")</f>
        <v>Corphosted</v>
      </c>
      <c r="K422" s="8"/>
      <c r="L422" s="8"/>
      <c r="M422" s="8"/>
    </row>
    <row r="423">
      <c r="A423" s="542"/>
      <c r="B423" s="551" t="str">
        <f t="array" ref="B423">IF(LEN(E423),INDEX('4-All Devices'!AG:AG, MATCH(E423, '4-All Devices'!AF:AF, 0)),"")</f>
        <v>in-blr-ananta-hli-301</v>
      </c>
      <c r="C423" s="549" t="s">
        <v>11186</v>
      </c>
      <c r="D423" s="549" t="s">
        <v>11187</v>
      </c>
      <c r="E423" s="8" t="str">
        <f>IFERROR(__xludf.DUMMYFUNCTION("""COMPUTED_VALUE"""),"CC:33:31:8F:73:70")</f>
        <v>CC:33:31:8F:73:70</v>
      </c>
      <c r="F423" s="552" t="s">
        <v>11188</v>
      </c>
      <c r="G423" s="8"/>
      <c r="H423" s="8"/>
      <c r="I423" s="8"/>
      <c r="J423" s="546" t="str">
        <f t="array" ref="J423">IF(LEN($E423),INDEX('4-All Devices'!AE:AE, MATCH($E423, '4-All Devices'!AF:AF, 0)),"")</f>
        <v>Corphosted</v>
      </c>
      <c r="K423" s="8"/>
      <c r="L423" s="8"/>
      <c r="M423" s="8"/>
    </row>
    <row r="424">
      <c r="A424" s="542"/>
      <c r="B424" s="551" t="str">
        <f t="array" ref="B424">IF(LEN(E424),INDEX('4-All Devices'!AG:AG, MATCH(E424, '4-All Devices'!AF:AF, 0)),"")</f>
        <v>in-blr-ananta-hli-302</v>
      </c>
      <c r="C424" s="549" t="s">
        <v>11186</v>
      </c>
      <c r="D424" s="549" t="s">
        <v>11187</v>
      </c>
      <c r="E424" s="8" t="str">
        <f>IFERROR(__xludf.DUMMYFUNCTION("""COMPUTED_VALUE"""),"AC:1F:0F:E1:B8:7B")</f>
        <v>AC:1F:0F:E1:B8:7B</v>
      </c>
      <c r="F424" s="552" t="s">
        <v>11188</v>
      </c>
      <c r="G424" s="8"/>
      <c r="H424" s="8"/>
      <c r="I424" s="8"/>
      <c r="J424" s="546" t="str">
        <f t="array" ref="J424">IF(LEN($E424),INDEX('4-All Devices'!AE:AE, MATCH($E424, '4-All Devices'!AF:AF, 0)),"")</f>
        <v>Corphosted</v>
      </c>
      <c r="K424" s="8"/>
      <c r="L424" s="8"/>
      <c r="M424" s="8"/>
    </row>
    <row r="425">
      <c r="A425" s="542"/>
      <c r="B425" s="551" t="str">
        <f t="array" ref="B425">IF(LEN(E425),INDEX('4-All Devices'!AG:AG, MATCH(E425, '4-All Devices'!AF:AF, 0)),"")</f>
        <v>in-blr-ananta-hli-303</v>
      </c>
      <c r="C425" s="549" t="s">
        <v>11186</v>
      </c>
      <c r="D425" s="549" t="s">
        <v>11187</v>
      </c>
      <c r="E425" s="8" t="str">
        <f>IFERROR(__xludf.DUMMYFUNCTION("""COMPUTED_VALUE"""),"00:12:EA:15:57:B8")</f>
        <v>00:12:EA:15:57:B8</v>
      </c>
      <c r="F425" s="552" t="s">
        <v>11188</v>
      </c>
      <c r="G425" s="8"/>
      <c r="H425" s="8"/>
      <c r="I425" s="8"/>
      <c r="J425" s="546" t="str">
        <f t="array" ref="J425">IF(LEN($E425),INDEX('4-All Devices'!AE:AE, MATCH($E425, '4-All Devices'!AF:AF, 0)),"")</f>
        <v>Corphosted</v>
      </c>
      <c r="K425" s="8"/>
      <c r="L425" s="8"/>
      <c r="M425" s="8"/>
    </row>
    <row r="426">
      <c r="A426" s="542"/>
      <c r="B426" s="551" t="str">
        <f t="array" ref="B426">IF(LEN(E426),INDEX('4-All Devices'!AG:AG, MATCH(E426, '4-All Devices'!AF:AF, 0)),"")</f>
        <v>in-blr-ananta-hli-304</v>
      </c>
      <c r="C426" s="549" t="s">
        <v>11186</v>
      </c>
      <c r="D426" s="549" t="s">
        <v>11187</v>
      </c>
      <c r="E426" s="8" t="str">
        <f>IFERROR(__xludf.DUMMYFUNCTION("""COMPUTED_VALUE"""),"00:12:EA:15:84:6D")</f>
        <v>00:12:EA:15:84:6D</v>
      </c>
      <c r="F426" s="552" t="s">
        <v>11188</v>
      </c>
      <c r="G426" s="8"/>
      <c r="H426" s="8"/>
      <c r="I426" s="8"/>
      <c r="J426" s="546" t="str">
        <f t="array" ref="J426">IF(LEN($E426),INDEX('4-All Devices'!AE:AE, MATCH($E426, '4-All Devices'!AF:AF, 0)),"")</f>
        <v>Corphosted</v>
      </c>
      <c r="K426" s="8"/>
      <c r="L426" s="8"/>
      <c r="M426" s="8"/>
    </row>
    <row r="427">
      <c r="A427" s="542"/>
      <c r="B427" s="551" t="str">
        <f t="array" ref="B427">IF(LEN(E427),INDEX('4-All Devices'!AG:AG, MATCH(E427, '4-All Devices'!AF:AF, 0)),"")</f>
        <v/>
      </c>
      <c r="C427" s="549" t="s">
        <v>11186</v>
      </c>
      <c r="D427" s="549" t="s">
        <v>11187</v>
      </c>
      <c r="E427" s="8"/>
      <c r="F427" s="552" t="s">
        <v>11188</v>
      </c>
      <c r="G427" s="8"/>
      <c r="H427" s="8"/>
      <c r="I427" s="8"/>
      <c r="J427" s="546" t="str">
        <f t="array" ref="J427">IF(LEN($E427),INDEX('4-All Devices'!AE:AE, MATCH($E427, '4-All Devices'!AF:AF, 0)),"")</f>
        <v/>
      </c>
      <c r="K427" s="8"/>
      <c r="L427" s="8"/>
      <c r="M427" s="8"/>
    </row>
    <row r="428">
      <c r="A428" s="542"/>
      <c r="B428" s="551" t="str">
        <f t="array" ref="B428">IF(LEN(E428),INDEX('4-All Devices'!AG:AG, MATCH(E428, '4-All Devices'!AF:AF, 0)),"")</f>
        <v/>
      </c>
      <c r="C428" s="549" t="s">
        <v>11186</v>
      </c>
      <c r="D428" s="549" t="s">
        <v>11187</v>
      </c>
      <c r="E428" s="8"/>
      <c r="F428" s="552" t="s">
        <v>11188</v>
      </c>
      <c r="G428" s="8"/>
      <c r="H428" s="8"/>
      <c r="I428" s="8"/>
      <c r="J428" s="546" t="str">
        <f t="array" ref="J428">IF(LEN($E428),INDEX('4-All Devices'!AE:AE, MATCH($E428, '4-All Devices'!AF:AF, 0)),"")</f>
        <v/>
      </c>
      <c r="K428" s="8"/>
      <c r="L428" s="8"/>
      <c r="M428" s="8"/>
    </row>
    <row r="429">
      <c r="A429" s="542"/>
      <c r="B429" s="551" t="str">
        <f t="array" ref="B429">IF(LEN(E429),INDEX('4-All Devices'!AG:AG, MATCH(E429, '4-All Devices'!AF:AF, 0)),"")</f>
        <v/>
      </c>
      <c r="C429" s="549" t="s">
        <v>11186</v>
      </c>
      <c r="D429" s="549" t="s">
        <v>11187</v>
      </c>
      <c r="E429" s="8"/>
      <c r="F429" s="552" t="s">
        <v>11188</v>
      </c>
      <c r="G429" s="8"/>
      <c r="H429" s="8"/>
      <c r="I429" s="8"/>
      <c r="J429" s="546" t="str">
        <f t="array" ref="J429">IF(LEN($E429),INDEX('4-All Devices'!AE:AE, MATCH($E429, '4-All Devices'!AF:AF, 0)),"")</f>
        <v/>
      </c>
      <c r="K429" s="8"/>
      <c r="L429" s="8"/>
      <c r="M429" s="8"/>
    </row>
    <row r="430">
      <c r="A430" s="542"/>
      <c r="B430" s="551" t="str">
        <f t="array" ref="B430">IF(LEN(E430),INDEX('4-All Devices'!AG:AG, MATCH(E430, '4-All Devices'!AF:AF, 0)),"")</f>
        <v/>
      </c>
      <c r="C430" s="549" t="s">
        <v>11186</v>
      </c>
      <c r="D430" s="549" t="s">
        <v>11187</v>
      </c>
      <c r="E430" s="8"/>
      <c r="F430" s="552" t="s">
        <v>11188</v>
      </c>
      <c r="G430" s="8"/>
      <c r="H430" s="8"/>
      <c r="I430" s="8"/>
      <c r="J430" s="546" t="str">
        <f t="array" ref="J430">IF(LEN($E430),INDEX('4-All Devices'!AE:AE, MATCH($E430, '4-All Devices'!AF:AF, 0)),"")</f>
        <v/>
      </c>
      <c r="K430" s="8"/>
      <c r="L430" s="8"/>
      <c r="M430" s="8"/>
    </row>
    <row r="431">
      <c r="A431" s="542"/>
      <c r="B431" s="551" t="str">
        <f t="array" ref="B431">IF(LEN(E431),INDEX('4-All Devices'!AG:AG, MATCH(E431, '4-All Devices'!AF:AF, 0)),"")</f>
        <v/>
      </c>
      <c r="C431" s="549" t="s">
        <v>11186</v>
      </c>
      <c r="D431" s="549" t="s">
        <v>11187</v>
      </c>
      <c r="E431" s="8"/>
      <c r="F431" s="552" t="s">
        <v>11188</v>
      </c>
      <c r="G431" s="8"/>
      <c r="H431" s="8"/>
      <c r="I431" s="8"/>
      <c r="J431" s="546" t="str">
        <f t="array" ref="J431">IF(LEN($E431),INDEX('4-All Devices'!AE:AE, MATCH($E431, '4-All Devices'!AF:AF, 0)),"")</f>
        <v/>
      </c>
      <c r="K431" s="8"/>
      <c r="L431" s="8"/>
      <c r="M431" s="8"/>
    </row>
    <row r="432">
      <c r="A432" s="542"/>
      <c r="B432" s="551" t="str">
        <f t="array" ref="B432">IF(LEN(E432),INDEX('4-All Devices'!AG:AG, MATCH(E432, '4-All Devices'!AF:AF, 0)),"")</f>
        <v/>
      </c>
      <c r="C432" s="549" t="s">
        <v>11186</v>
      </c>
      <c r="D432" s="549" t="s">
        <v>11187</v>
      </c>
      <c r="E432" s="8"/>
      <c r="F432" s="552" t="s">
        <v>11188</v>
      </c>
      <c r="G432" s="8"/>
      <c r="H432" s="8"/>
      <c r="I432" s="8"/>
      <c r="J432" s="546" t="str">
        <f t="array" ref="J432">IF(LEN($E432),INDEX('4-All Devices'!AE:AE, MATCH($E432, '4-All Devices'!AF:AF, 0)),"")</f>
        <v/>
      </c>
      <c r="K432" s="8"/>
      <c r="L432" s="8"/>
      <c r="M432" s="8"/>
    </row>
    <row r="433">
      <c r="A433" s="542"/>
      <c r="B433" s="551" t="str">
        <f t="array" ref="B433">IF(LEN(E433),INDEX('4-All Devices'!AG:AG, MATCH(E433, '4-All Devices'!AF:AF, 0)),"")</f>
        <v/>
      </c>
      <c r="C433" s="549" t="s">
        <v>11186</v>
      </c>
      <c r="D433" s="549" t="s">
        <v>11187</v>
      </c>
      <c r="E433" s="8"/>
      <c r="F433" s="552" t="s">
        <v>11188</v>
      </c>
      <c r="G433" s="8"/>
      <c r="H433" s="8"/>
      <c r="I433" s="8"/>
      <c r="J433" s="546" t="str">
        <f t="array" ref="J433">IF(LEN($E433),INDEX('4-All Devices'!AE:AE, MATCH($E433, '4-All Devices'!AF:AF, 0)),"")</f>
        <v/>
      </c>
      <c r="K433" s="8"/>
      <c r="L433" s="8"/>
      <c r="M433" s="8"/>
    </row>
    <row r="434">
      <c r="A434" s="542"/>
      <c r="B434" s="551" t="str">
        <f t="array" ref="B434">IF(LEN(E434),INDEX('4-All Devices'!AG:AG, MATCH(E434, '4-All Devices'!AF:AF, 0)),"")</f>
        <v/>
      </c>
      <c r="C434" s="549" t="s">
        <v>11186</v>
      </c>
      <c r="D434" s="549" t="s">
        <v>11187</v>
      </c>
      <c r="E434" s="8"/>
      <c r="F434" s="552" t="s">
        <v>11188</v>
      </c>
      <c r="G434" s="8"/>
      <c r="H434" s="8"/>
      <c r="I434" s="8"/>
      <c r="J434" s="546" t="str">
        <f t="array" ref="J434">IF(LEN($E434),INDEX('4-All Devices'!AE:AE, MATCH($E434, '4-All Devices'!AF:AF, 0)),"")</f>
        <v/>
      </c>
      <c r="K434" s="8"/>
      <c r="L434" s="8"/>
      <c r="M434" s="8"/>
    </row>
    <row r="435">
      <c r="A435" s="542"/>
      <c r="B435" s="551" t="str">
        <f t="array" ref="B435">IF(LEN(E435),INDEX('4-All Devices'!AG:AG, MATCH(E435, '4-All Devices'!AF:AF, 0)),"")</f>
        <v/>
      </c>
      <c r="C435" s="549" t="s">
        <v>11186</v>
      </c>
      <c r="D435" s="549" t="s">
        <v>11187</v>
      </c>
      <c r="E435" s="8"/>
      <c r="F435" s="552" t="s">
        <v>11188</v>
      </c>
      <c r="G435" s="8"/>
      <c r="H435" s="8"/>
      <c r="I435" s="8"/>
      <c r="J435" s="546" t="str">
        <f t="array" ref="J435">IF(LEN($E435),INDEX('4-All Devices'!AE:AE, MATCH($E435, '4-All Devices'!AF:AF, 0)),"")</f>
        <v/>
      </c>
      <c r="K435" s="8"/>
      <c r="L435" s="8"/>
      <c r="M435" s="8"/>
    </row>
    <row r="436">
      <c r="A436" s="542"/>
      <c r="B436" s="551" t="str">
        <f t="array" ref="B436">IF(LEN(E436),INDEX('4-All Devices'!AG:AG, MATCH(E436, '4-All Devices'!AF:AF, 0)),"")</f>
        <v/>
      </c>
      <c r="C436" s="549" t="s">
        <v>11186</v>
      </c>
      <c r="D436" s="549" t="s">
        <v>11187</v>
      </c>
      <c r="E436" s="8"/>
      <c r="F436" s="552" t="s">
        <v>11188</v>
      </c>
      <c r="G436" s="8"/>
      <c r="H436" s="8"/>
      <c r="I436" s="8"/>
      <c r="J436" s="546" t="str">
        <f t="array" ref="J436">IF(LEN($E436),INDEX('4-All Devices'!AE:AE, MATCH($E436, '4-All Devices'!AF:AF, 0)),"")</f>
        <v/>
      </c>
      <c r="K436" s="8"/>
      <c r="L436" s="8"/>
      <c r="M436" s="8"/>
    </row>
    <row r="437">
      <c r="A437" s="542"/>
      <c r="B437" s="551" t="str">
        <f t="array" ref="B437">IF(LEN(E437),INDEX('4-All Devices'!AG:AG, MATCH(E437, '4-All Devices'!AF:AF, 0)),"")</f>
        <v/>
      </c>
      <c r="C437" s="549" t="s">
        <v>11186</v>
      </c>
      <c r="D437" s="549" t="s">
        <v>11187</v>
      </c>
      <c r="E437" s="8"/>
      <c r="F437" s="552" t="s">
        <v>11188</v>
      </c>
      <c r="G437" s="8"/>
      <c r="H437" s="8"/>
      <c r="I437" s="8"/>
      <c r="J437" s="546" t="str">
        <f t="array" ref="J437">IF(LEN($E437),INDEX('4-All Devices'!AE:AE, MATCH($E437, '4-All Devices'!AF:AF, 0)),"")</f>
        <v/>
      </c>
      <c r="K437" s="8"/>
      <c r="L437" s="8"/>
      <c r="M437" s="8"/>
    </row>
    <row r="438">
      <c r="A438" s="542"/>
      <c r="B438" s="551" t="str">
        <f t="array" ref="B438">IF(LEN(E438),INDEX('4-All Devices'!AG:AG, MATCH(E438, '4-All Devices'!AF:AF, 0)),"")</f>
        <v/>
      </c>
      <c r="C438" s="549" t="s">
        <v>11186</v>
      </c>
      <c r="D438" s="549" t="s">
        <v>11187</v>
      </c>
      <c r="E438" s="8"/>
      <c r="F438" s="552" t="s">
        <v>11188</v>
      </c>
      <c r="G438" s="8"/>
      <c r="H438" s="8"/>
      <c r="I438" s="8"/>
      <c r="J438" s="546" t="str">
        <f t="array" ref="J438">IF(LEN($E438),INDEX('4-All Devices'!AE:AE, MATCH($E438, '4-All Devices'!AF:AF, 0)),"")</f>
        <v/>
      </c>
      <c r="K438" s="8"/>
      <c r="L438" s="8"/>
      <c r="M438" s="8"/>
    </row>
    <row r="439">
      <c r="A439" s="542"/>
      <c r="B439" s="551" t="str">
        <f t="array" ref="B439">IF(LEN(E439),INDEX('4-All Devices'!AG:AG, MATCH(E439, '4-All Devices'!AF:AF, 0)),"")</f>
        <v/>
      </c>
      <c r="C439" s="549" t="s">
        <v>11186</v>
      </c>
      <c r="D439" s="549" t="s">
        <v>11187</v>
      </c>
      <c r="E439" s="8"/>
      <c r="F439" s="552" t="s">
        <v>11188</v>
      </c>
      <c r="G439" s="8"/>
      <c r="H439" s="8"/>
      <c r="I439" s="8"/>
      <c r="J439" s="546" t="str">
        <f t="array" ref="J439">IF(LEN($E439),INDEX('4-All Devices'!AE:AE, MATCH($E439, '4-All Devices'!AF:AF, 0)),"")</f>
        <v/>
      </c>
      <c r="K439" s="8"/>
      <c r="L439" s="8"/>
      <c r="M439" s="8"/>
    </row>
    <row r="440">
      <c r="A440" s="542"/>
      <c r="B440" s="551" t="str">
        <f t="array" ref="B440">IF(LEN(E440),INDEX('4-All Devices'!AG:AG, MATCH(E440, '4-All Devices'!AF:AF, 0)),"")</f>
        <v/>
      </c>
      <c r="C440" s="549" t="s">
        <v>11186</v>
      </c>
      <c r="D440" s="549" t="s">
        <v>11187</v>
      </c>
      <c r="E440" s="8"/>
      <c r="F440" s="552" t="s">
        <v>11188</v>
      </c>
      <c r="G440" s="8"/>
      <c r="H440" s="8"/>
      <c r="I440" s="8"/>
      <c r="J440" s="546" t="str">
        <f t="array" ref="J440">IF(LEN($E440),INDEX('4-All Devices'!AE:AE, MATCH($E440, '4-All Devices'!AF:AF, 0)),"")</f>
        <v/>
      </c>
      <c r="K440" s="8"/>
      <c r="L440" s="8"/>
      <c r="M440" s="8"/>
    </row>
    <row r="441">
      <c r="A441" s="542"/>
      <c r="B441" s="551" t="str">
        <f t="array" ref="B441">IF(LEN(E441),INDEX('4-All Devices'!AG:AG, MATCH(E441, '4-All Devices'!AF:AF, 0)),"")</f>
        <v/>
      </c>
      <c r="C441" s="549" t="s">
        <v>11186</v>
      </c>
      <c r="D441" s="549" t="s">
        <v>11187</v>
      </c>
      <c r="E441" s="8"/>
      <c r="F441" s="552" t="s">
        <v>11188</v>
      </c>
      <c r="G441" s="8"/>
      <c r="H441" s="8"/>
      <c r="I441" s="8"/>
      <c r="J441" s="546" t="str">
        <f t="array" ref="J441">IF(LEN($E441),INDEX('4-All Devices'!AE:AE, MATCH($E441, '4-All Devices'!AF:AF, 0)),"")</f>
        <v/>
      </c>
      <c r="K441" s="8"/>
      <c r="L441" s="8"/>
      <c r="M441" s="8"/>
    </row>
    <row r="442">
      <c r="A442" s="542"/>
      <c r="B442" s="551" t="str">
        <f t="array" ref="B442">IF(LEN(E442),INDEX('4-All Devices'!AG:AG, MATCH(E442, '4-All Devices'!AF:AF, 0)),"")</f>
        <v/>
      </c>
      <c r="C442" s="549" t="s">
        <v>11186</v>
      </c>
      <c r="D442" s="549" t="s">
        <v>11187</v>
      </c>
      <c r="E442" s="8"/>
      <c r="F442" s="552" t="s">
        <v>11188</v>
      </c>
      <c r="G442" s="8"/>
      <c r="H442" s="8"/>
      <c r="I442" s="8"/>
      <c r="J442" s="546" t="str">
        <f t="array" ref="J442">IF(LEN($E442),INDEX('4-All Devices'!AE:AE, MATCH($E442, '4-All Devices'!AF:AF, 0)),"")</f>
        <v/>
      </c>
      <c r="K442" s="8"/>
      <c r="L442" s="8"/>
      <c r="M442" s="8"/>
    </row>
    <row r="443">
      <c r="A443" s="542"/>
      <c r="B443" s="551" t="str">
        <f t="array" ref="B443">IF(LEN(E443),INDEX('4-All Devices'!AG:AG, MATCH(E443, '4-All Devices'!AF:AF, 0)),"")</f>
        <v/>
      </c>
      <c r="C443" s="549" t="s">
        <v>11186</v>
      </c>
      <c r="D443" s="549" t="s">
        <v>11187</v>
      </c>
      <c r="E443" s="8"/>
      <c r="F443" s="552" t="s">
        <v>11188</v>
      </c>
      <c r="G443" s="8"/>
      <c r="H443" s="8"/>
      <c r="I443" s="8"/>
      <c r="J443" s="546" t="str">
        <f t="array" ref="J443">IF(LEN($E443),INDEX('4-All Devices'!AE:AE, MATCH($E443, '4-All Devices'!AF:AF, 0)),"")</f>
        <v/>
      </c>
      <c r="K443" s="8"/>
      <c r="L443" s="8"/>
      <c r="M443" s="8"/>
    </row>
    <row r="444">
      <c r="A444" s="542"/>
      <c r="B444" s="551" t="str">
        <f t="array" ref="B444">IF(LEN(E444),INDEX('4-All Devices'!AG:AG, MATCH(E444, '4-All Devices'!AF:AF, 0)),"")</f>
        <v/>
      </c>
      <c r="C444" s="549" t="s">
        <v>11186</v>
      </c>
      <c r="D444" s="549" t="s">
        <v>11187</v>
      </c>
      <c r="E444" s="8"/>
      <c r="F444" s="552" t="s">
        <v>11188</v>
      </c>
      <c r="G444" s="8"/>
      <c r="H444" s="8"/>
      <c r="I444" s="8"/>
      <c r="J444" s="546" t="str">
        <f t="array" ref="J444">IF(LEN($E444),INDEX('4-All Devices'!AE:AE, MATCH($E444, '4-All Devices'!AF:AF, 0)),"")</f>
        <v/>
      </c>
      <c r="K444" s="8"/>
      <c r="L444" s="8"/>
      <c r="M444" s="8"/>
    </row>
    <row r="445">
      <c r="A445" s="542"/>
      <c r="B445" s="551" t="str">
        <f t="array" ref="B445">IF(LEN(E445),INDEX('4-All Devices'!AG:AG, MATCH(E445, '4-All Devices'!AF:AF, 0)),"")</f>
        <v/>
      </c>
      <c r="C445" s="549" t="s">
        <v>11186</v>
      </c>
      <c r="D445" s="549" t="s">
        <v>11187</v>
      </c>
      <c r="E445" s="8"/>
      <c r="F445" s="552" t="s">
        <v>11188</v>
      </c>
      <c r="G445" s="8"/>
      <c r="H445" s="8"/>
      <c r="I445" s="8"/>
      <c r="J445" s="546" t="str">
        <f t="array" ref="J445">IF(LEN($E445),INDEX('4-All Devices'!AE:AE, MATCH($E445, '4-All Devices'!AF:AF, 0)),"")</f>
        <v/>
      </c>
      <c r="K445" s="8"/>
      <c r="L445" s="8"/>
      <c r="M445" s="8"/>
    </row>
    <row r="446">
      <c r="A446" s="542"/>
      <c r="B446" s="551" t="str">
        <f t="array" ref="B446">IF(LEN(E446),INDEX('4-All Devices'!AG:AG, MATCH(E446, '4-All Devices'!AF:AF, 0)),"")</f>
        <v/>
      </c>
      <c r="C446" s="549" t="s">
        <v>11186</v>
      </c>
      <c r="D446" s="549" t="s">
        <v>11187</v>
      </c>
      <c r="E446" s="8"/>
      <c r="F446" s="552" t="s">
        <v>11188</v>
      </c>
      <c r="G446" s="8"/>
      <c r="H446" s="8"/>
      <c r="I446" s="8"/>
      <c r="J446" s="546" t="str">
        <f t="array" ref="J446">IF(LEN($E446),INDEX('4-All Devices'!AE:AE, MATCH($E446, '4-All Devices'!AF:AF, 0)),"")</f>
        <v/>
      </c>
      <c r="K446" s="8"/>
      <c r="L446" s="8"/>
      <c r="M446" s="8"/>
    </row>
    <row r="447">
      <c r="A447" s="542"/>
      <c r="B447" s="551" t="str">
        <f t="array" ref="B447">IF(LEN(E447),INDEX('4-All Devices'!AG:AG, MATCH(E447, '4-All Devices'!AF:AF, 0)),"")</f>
        <v/>
      </c>
      <c r="C447" s="549" t="s">
        <v>11186</v>
      </c>
      <c r="D447" s="549" t="s">
        <v>11187</v>
      </c>
      <c r="E447" s="8"/>
      <c r="F447" s="552" t="s">
        <v>11188</v>
      </c>
      <c r="G447" s="8"/>
      <c r="H447" s="8"/>
      <c r="I447" s="8"/>
      <c r="J447" s="546" t="str">
        <f t="array" ref="J447">IF(LEN($E447),INDEX('4-All Devices'!AE:AE, MATCH($E447, '4-All Devices'!AF:AF, 0)),"")</f>
        <v/>
      </c>
      <c r="K447" s="8"/>
      <c r="L447" s="8"/>
      <c r="M447" s="8"/>
    </row>
    <row r="448">
      <c r="A448" s="542"/>
      <c r="B448" s="551" t="str">
        <f t="array" ref="B448">IF(LEN(E448),INDEX('4-All Devices'!AG:AG, MATCH(E448, '4-All Devices'!AF:AF, 0)),"")</f>
        <v/>
      </c>
      <c r="C448" s="549" t="s">
        <v>11186</v>
      </c>
      <c r="D448" s="549" t="s">
        <v>11187</v>
      </c>
      <c r="E448" s="8"/>
      <c r="F448" s="552" t="s">
        <v>11188</v>
      </c>
      <c r="G448" s="8"/>
      <c r="H448" s="8"/>
      <c r="I448" s="8"/>
      <c r="J448" s="546" t="str">
        <f t="array" ref="J448">IF(LEN($E448),INDEX('4-All Devices'!AE:AE, MATCH($E448, '4-All Devices'!AF:AF, 0)),"")</f>
        <v/>
      </c>
      <c r="K448" s="8"/>
      <c r="L448" s="8"/>
      <c r="M448" s="8"/>
    </row>
    <row r="449">
      <c r="A449" s="542"/>
      <c r="B449" s="551" t="str">
        <f t="array" ref="B449">IF(LEN(E449),INDEX('4-All Devices'!AG:AG, MATCH(E449, '4-All Devices'!AF:AF, 0)),"")</f>
        <v/>
      </c>
      <c r="C449" s="549" t="s">
        <v>11186</v>
      </c>
      <c r="D449" s="549" t="s">
        <v>11187</v>
      </c>
      <c r="E449" s="8"/>
      <c r="F449" s="552" t="s">
        <v>11188</v>
      </c>
      <c r="G449" s="8"/>
      <c r="H449" s="8"/>
      <c r="I449" s="8"/>
      <c r="J449" s="546" t="str">
        <f t="array" ref="J449">IF(LEN($E449),INDEX('4-All Devices'!AE:AE, MATCH($E449, '4-All Devices'!AF:AF, 0)),"")</f>
        <v/>
      </c>
      <c r="K449" s="8"/>
      <c r="L449" s="8"/>
      <c r="M449" s="8"/>
    </row>
    <row r="450">
      <c r="A450" s="542"/>
      <c r="B450" s="551" t="str">
        <f t="array" ref="B450">IF(LEN(E450),INDEX('4-All Devices'!AG:AG, MATCH(E450, '4-All Devices'!AF:AF, 0)),"")</f>
        <v/>
      </c>
      <c r="C450" s="549" t="s">
        <v>11186</v>
      </c>
      <c r="D450" s="549" t="s">
        <v>11187</v>
      </c>
      <c r="E450" s="8"/>
      <c r="F450" s="552" t="s">
        <v>11188</v>
      </c>
      <c r="G450" s="8"/>
      <c r="H450" s="8"/>
      <c r="I450" s="8"/>
      <c r="J450" s="546" t="str">
        <f t="array" ref="J450">IF(LEN($E450),INDEX('4-All Devices'!AE:AE, MATCH($E450, '4-All Devices'!AF:AF, 0)),"")</f>
        <v/>
      </c>
      <c r="K450" s="8"/>
      <c r="L450" s="8"/>
      <c r="M450" s="8"/>
    </row>
    <row r="451">
      <c r="A451" s="542"/>
      <c r="B451" s="551" t="str">
        <f t="array" ref="B451">IF(LEN(E451),INDEX('4-All Devices'!AG:AG, MATCH(E451, '4-All Devices'!AF:AF, 0)),"")</f>
        <v/>
      </c>
      <c r="C451" s="549" t="s">
        <v>11186</v>
      </c>
      <c r="D451" s="549" t="s">
        <v>11187</v>
      </c>
      <c r="E451" s="8"/>
      <c r="F451" s="552" t="s">
        <v>11188</v>
      </c>
      <c r="G451" s="8"/>
      <c r="H451" s="8"/>
      <c r="I451" s="8"/>
      <c r="J451" s="546" t="str">
        <f t="array" ref="J451">IF(LEN($E451),INDEX('4-All Devices'!AE:AE, MATCH($E451, '4-All Devices'!AF:AF, 0)),"")</f>
        <v/>
      </c>
      <c r="K451" s="8"/>
      <c r="L451" s="8"/>
      <c r="M451" s="8"/>
    </row>
    <row r="452">
      <c r="A452" s="542"/>
      <c r="B452" s="551" t="str">
        <f t="array" ref="B452">IF(LEN(E452),INDEX('4-All Devices'!AG:AG, MATCH(E452, '4-All Devices'!AF:AF, 0)),"")</f>
        <v/>
      </c>
      <c r="C452" s="549" t="s">
        <v>11186</v>
      </c>
      <c r="D452" s="549" t="s">
        <v>11187</v>
      </c>
      <c r="E452" s="8"/>
      <c r="F452" s="552" t="s">
        <v>11188</v>
      </c>
      <c r="G452" s="8"/>
      <c r="H452" s="8"/>
      <c r="I452" s="8"/>
      <c r="J452" s="546" t="str">
        <f t="array" ref="J452">IF(LEN($E452),INDEX('4-All Devices'!AE:AE, MATCH($E452, '4-All Devices'!AF:AF, 0)),"")</f>
        <v/>
      </c>
      <c r="K452" s="8"/>
      <c r="L452" s="8"/>
      <c r="M452" s="8"/>
    </row>
    <row r="453">
      <c r="A453" s="542"/>
      <c r="B453" s="551" t="str">
        <f t="array" ref="B453">IF(LEN(E453),INDEX('4-All Devices'!AG:AG, MATCH(E453, '4-All Devices'!AF:AF, 0)),"")</f>
        <v/>
      </c>
      <c r="C453" s="549" t="s">
        <v>11186</v>
      </c>
      <c r="D453" s="549" t="s">
        <v>11187</v>
      </c>
      <c r="E453" s="8"/>
      <c r="F453" s="552" t="s">
        <v>11188</v>
      </c>
      <c r="G453" s="8"/>
      <c r="H453" s="8"/>
      <c r="I453" s="8"/>
      <c r="J453" s="546" t="str">
        <f t="array" ref="J453">IF(LEN($E453),INDEX('4-All Devices'!AE:AE, MATCH($E453, '4-All Devices'!AF:AF, 0)),"")</f>
        <v/>
      </c>
      <c r="K453" s="8"/>
      <c r="L453" s="8"/>
      <c r="M453" s="8"/>
    </row>
    <row r="454">
      <c r="A454" s="542"/>
      <c r="B454" s="551" t="str">
        <f t="array" ref="B454">IF(LEN(E454),INDEX('4-All Devices'!AG:AG, MATCH(E454, '4-All Devices'!AF:AF, 0)),"")</f>
        <v/>
      </c>
      <c r="C454" s="549" t="s">
        <v>11186</v>
      </c>
      <c r="D454" s="549" t="s">
        <v>11187</v>
      </c>
      <c r="E454" s="8"/>
      <c r="F454" s="552" t="s">
        <v>11188</v>
      </c>
      <c r="G454" s="8"/>
      <c r="H454" s="8"/>
      <c r="I454" s="8"/>
      <c r="J454" s="546" t="str">
        <f t="array" ref="J454">IF(LEN($E454),INDEX('4-All Devices'!AE:AE, MATCH($E454, '4-All Devices'!AF:AF, 0)),"")</f>
        <v/>
      </c>
      <c r="K454" s="8"/>
      <c r="L454" s="8"/>
      <c r="M454" s="8"/>
    </row>
    <row r="455">
      <c r="A455" s="542"/>
      <c r="B455" s="551" t="str">
        <f t="array" ref="B455">IF(LEN(E455),INDEX('4-All Devices'!AG:AG, MATCH(E455, '4-All Devices'!AF:AF, 0)),"")</f>
        <v/>
      </c>
      <c r="C455" s="549" t="s">
        <v>11186</v>
      </c>
      <c r="D455" s="549" t="s">
        <v>11187</v>
      </c>
      <c r="E455" s="8"/>
      <c r="F455" s="552" t="s">
        <v>11188</v>
      </c>
      <c r="G455" s="8"/>
      <c r="H455" s="8"/>
      <c r="I455" s="8"/>
      <c r="J455" s="546" t="str">
        <f t="array" ref="J455">IF(LEN($E455),INDEX('4-All Devices'!AE:AE, MATCH($E455, '4-All Devices'!AF:AF, 0)),"")</f>
        <v/>
      </c>
      <c r="K455" s="8"/>
      <c r="L455" s="8"/>
      <c r="M455" s="8"/>
    </row>
    <row r="456">
      <c r="A456" s="542"/>
      <c r="B456" s="551" t="str">
        <f t="array" ref="B456">IF(LEN(E456),INDEX('4-All Devices'!AG:AG, MATCH(E456, '4-All Devices'!AF:AF, 0)),"")</f>
        <v/>
      </c>
      <c r="C456" s="549" t="s">
        <v>11186</v>
      </c>
      <c r="D456" s="549" t="s">
        <v>11187</v>
      </c>
      <c r="E456" s="8"/>
      <c r="F456" s="552" t="s">
        <v>11188</v>
      </c>
      <c r="G456" s="8"/>
      <c r="H456" s="8"/>
      <c r="I456" s="8"/>
      <c r="J456" s="546" t="str">
        <f t="array" ref="J456">IF(LEN($E456),INDEX('4-All Devices'!AE:AE, MATCH($E456, '4-All Devices'!AF:AF, 0)),"")</f>
        <v/>
      </c>
      <c r="K456" s="8"/>
      <c r="L456" s="8"/>
      <c r="M456" s="8"/>
    </row>
    <row r="457">
      <c r="A457" s="542"/>
      <c r="B457" s="551" t="str">
        <f t="array" ref="B457">IF(LEN(E457),INDEX('4-All Devices'!AG:AG, MATCH(E457, '4-All Devices'!AF:AF, 0)),"")</f>
        <v/>
      </c>
      <c r="C457" s="549" t="s">
        <v>11186</v>
      </c>
      <c r="D457" s="549" t="s">
        <v>11187</v>
      </c>
      <c r="E457" s="8"/>
      <c r="F457" s="552" t="s">
        <v>11188</v>
      </c>
      <c r="G457" s="8"/>
      <c r="H457" s="8"/>
      <c r="I457" s="8"/>
      <c r="J457" s="546" t="str">
        <f t="array" ref="J457">IF(LEN($E457),INDEX('4-All Devices'!AE:AE, MATCH($E457, '4-All Devices'!AF:AF, 0)),"")</f>
        <v/>
      </c>
      <c r="K457" s="8"/>
      <c r="L457" s="8"/>
      <c r="M457" s="8"/>
    </row>
    <row r="458">
      <c r="A458" s="542"/>
      <c r="B458" s="551" t="str">
        <f t="array" ref="B458">IF(LEN(E458),INDEX('4-All Devices'!AG:AG, MATCH(E458, '4-All Devices'!AF:AF, 0)),"")</f>
        <v/>
      </c>
      <c r="C458" s="549" t="s">
        <v>11186</v>
      </c>
      <c r="D458" s="549" t="s">
        <v>11187</v>
      </c>
      <c r="E458" s="8"/>
      <c r="F458" s="552" t="s">
        <v>11188</v>
      </c>
      <c r="G458" s="8"/>
      <c r="H458" s="8"/>
      <c r="I458" s="8"/>
      <c r="J458" s="546" t="str">
        <f t="array" ref="J458">IF(LEN($E458),INDEX('4-All Devices'!AE:AE, MATCH($E458, '4-All Devices'!AF:AF, 0)),"")</f>
        <v/>
      </c>
      <c r="K458" s="8"/>
      <c r="L458" s="8"/>
      <c r="M458" s="8"/>
    </row>
    <row r="459">
      <c r="A459" s="542"/>
      <c r="B459" s="551" t="str">
        <f t="array" ref="B459">IF(LEN(E459),INDEX('4-All Devices'!AG:AG, MATCH(E459, '4-All Devices'!AF:AF, 0)),"")</f>
        <v/>
      </c>
      <c r="C459" s="549" t="s">
        <v>11186</v>
      </c>
      <c r="D459" s="549" t="s">
        <v>11187</v>
      </c>
      <c r="E459" s="8"/>
      <c r="F459" s="552" t="s">
        <v>11188</v>
      </c>
      <c r="G459" s="8"/>
      <c r="H459" s="8"/>
      <c r="I459" s="8"/>
      <c r="J459" s="546" t="str">
        <f t="array" ref="J459">IF(LEN($E459),INDEX('4-All Devices'!AE:AE, MATCH($E459, '4-All Devices'!AF:AF, 0)),"")</f>
        <v/>
      </c>
      <c r="K459" s="8"/>
      <c r="L459" s="8"/>
      <c r="M459" s="8"/>
    </row>
    <row r="460">
      <c r="A460" s="542"/>
      <c r="B460" s="551" t="str">
        <f t="array" ref="B460">IF(LEN(E460),INDEX('4-All Devices'!AG:AG, MATCH(E460, '4-All Devices'!AF:AF, 0)),"")</f>
        <v/>
      </c>
      <c r="C460" s="549" t="s">
        <v>11186</v>
      </c>
      <c r="D460" s="549" t="s">
        <v>11187</v>
      </c>
      <c r="E460" s="8"/>
      <c r="F460" s="552" t="s">
        <v>11188</v>
      </c>
      <c r="G460" s="8"/>
      <c r="H460" s="8"/>
      <c r="I460" s="8"/>
      <c r="J460" s="546" t="str">
        <f t="array" ref="J460">IF(LEN($E460),INDEX('4-All Devices'!AE:AE, MATCH($E460, '4-All Devices'!AF:AF, 0)),"")</f>
        <v/>
      </c>
      <c r="K460" s="8"/>
      <c r="L460" s="8"/>
      <c r="M460" s="8"/>
    </row>
    <row r="461">
      <c r="A461" s="542"/>
      <c r="B461" s="551" t="str">
        <f t="array" ref="B461">IF(LEN(E461),INDEX('4-All Devices'!AG:AG, MATCH(E461, '4-All Devices'!AF:AF, 0)),"")</f>
        <v/>
      </c>
      <c r="C461" s="549" t="s">
        <v>11186</v>
      </c>
      <c r="D461" s="549" t="s">
        <v>11187</v>
      </c>
      <c r="E461" s="8"/>
      <c r="F461" s="552" t="s">
        <v>11188</v>
      </c>
      <c r="G461" s="8"/>
      <c r="H461" s="8"/>
      <c r="I461" s="8"/>
      <c r="J461" s="546" t="str">
        <f t="array" ref="J461">IF(LEN($E461),INDEX('4-All Devices'!AE:AE, MATCH($E461, '4-All Devices'!AF:AF, 0)),"")</f>
        <v/>
      </c>
      <c r="K461" s="8"/>
      <c r="L461" s="8"/>
      <c r="M461" s="8"/>
    </row>
    <row r="462">
      <c r="A462" s="542"/>
      <c r="B462" s="551" t="str">
        <f t="array" ref="B462">IF(LEN(E462),INDEX('4-All Devices'!AG:AG, MATCH(E462, '4-All Devices'!AF:AF, 0)),"")</f>
        <v/>
      </c>
      <c r="C462" s="549" t="s">
        <v>11186</v>
      </c>
      <c r="D462" s="549" t="s">
        <v>11187</v>
      </c>
      <c r="E462" s="8"/>
      <c r="F462" s="552" t="s">
        <v>11188</v>
      </c>
      <c r="G462" s="8"/>
      <c r="H462" s="8"/>
      <c r="I462" s="8"/>
      <c r="J462" s="546" t="str">
        <f t="array" ref="J462">IF(LEN($E462),INDEX('4-All Devices'!AE:AE, MATCH($E462, '4-All Devices'!AF:AF, 0)),"")</f>
        <v/>
      </c>
      <c r="K462" s="8"/>
      <c r="L462" s="8"/>
      <c r="M462" s="8"/>
    </row>
    <row r="463">
      <c r="A463" s="542"/>
      <c r="B463" s="551" t="str">
        <f t="array" ref="B463">IF(LEN(E463),INDEX('4-All Devices'!AG:AG, MATCH(E463, '4-All Devices'!AF:AF, 0)),"")</f>
        <v/>
      </c>
      <c r="C463" s="549" t="s">
        <v>11186</v>
      </c>
      <c r="D463" s="549" t="s">
        <v>11187</v>
      </c>
      <c r="E463" s="8"/>
      <c r="F463" s="552" t="s">
        <v>11188</v>
      </c>
      <c r="G463" s="8"/>
      <c r="H463" s="8"/>
      <c r="I463" s="8"/>
      <c r="J463" s="546" t="str">
        <f t="array" ref="J463">IF(LEN($E463),INDEX('4-All Devices'!AE:AE, MATCH($E463, '4-All Devices'!AF:AF, 0)),"")</f>
        <v/>
      </c>
      <c r="K463" s="8"/>
      <c r="L463" s="8"/>
      <c r="M463" s="8"/>
    </row>
    <row r="464">
      <c r="A464" s="542"/>
      <c r="B464" s="551" t="str">
        <f t="array" ref="B464">IF(LEN(E464),INDEX('4-All Devices'!AG:AG, MATCH(E464, '4-All Devices'!AF:AF, 0)),"")</f>
        <v/>
      </c>
      <c r="C464" s="549" t="s">
        <v>11186</v>
      </c>
      <c r="D464" s="549" t="s">
        <v>11187</v>
      </c>
      <c r="E464" s="8"/>
      <c r="F464" s="552" t="s">
        <v>11188</v>
      </c>
      <c r="G464" s="8"/>
      <c r="H464" s="8"/>
      <c r="I464" s="8"/>
      <c r="J464" s="546" t="str">
        <f t="array" ref="J464">IF(LEN($E464),INDEX('4-All Devices'!AE:AE, MATCH($E464, '4-All Devices'!AF:AF, 0)),"")</f>
        <v/>
      </c>
      <c r="K464" s="8"/>
      <c r="L464" s="8"/>
      <c r="M464" s="8"/>
    </row>
    <row r="465">
      <c r="A465" s="542"/>
      <c r="B465" s="551" t="str">
        <f t="array" ref="B465">IF(LEN(E465),INDEX('4-All Devices'!AG:AG, MATCH(E465, '4-All Devices'!AF:AF, 0)),"")</f>
        <v/>
      </c>
      <c r="C465" s="549" t="s">
        <v>11186</v>
      </c>
      <c r="D465" s="549" t="s">
        <v>11187</v>
      </c>
      <c r="E465" s="8"/>
      <c r="F465" s="552" t="s">
        <v>11188</v>
      </c>
      <c r="G465" s="8"/>
      <c r="H465" s="8"/>
      <c r="I465" s="8"/>
      <c r="J465" s="546" t="str">
        <f t="array" ref="J465">IF(LEN($E465),INDEX('4-All Devices'!AE:AE, MATCH($E465, '4-All Devices'!AF:AF, 0)),"")</f>
        <v/>
      </c>
      <c r="K465" s="8"/>
      <c r="L465" s="8"/>
      <c r="M465" s="8"/>
    </row>
    <row r="466">
      <c r="A466" s="542"/>
      <c r="B466" s="551" t="str">
        <f t="array" ref="B466">IF(LEN(E466),INDEX('4-All Devices'!AG:AG, MATCH(E466, '4-All Devices'!AF:AF, 0)),"")</f>
        <v/>
      </c>
      <c r="C466" s="549" t="s">
        <v>11186</v>
      </c>
      <c r="D466" s="549" t="s">
        <v>11187</v>
      </c>
      <c r="E466" s="8"/>
      <c r="F466" s="552" t="s">
        <v>11188</v>
      </c>
      <c r="G466" s="8"/>
      <c r="H466" s="8"/>
      <c r="I466" s="8"/>
      <c r="J466" s="546" t="str">
        <f t="array" ref="J466">IF(LEN($E466),INDEX('4-All Devices'!AE:AE, MATCH($E466, '4-All Devices'!AF:AF, 0)),"")</f>
        <v/>
      </c>
      <c r="K466" s="8"/>
      <c r="L466" s="8"/>
      <c r="M466" s="8"/>
    </row>
    <row r="467">
      <c r="A467" s="542"/>
      <c r="B467" s="551" t="str">
        <f t="array" ref="B467">IF(LEN(E467),INDEX('4-All Devices'!AG:AG, MATCH(E467, '4-All Devices'!AF:AF, 0)),"")</f>
        <v/>
      </c>
      <c r="C467" s="549" t="s">
        <v>11186</v>
      </c>
      <c r="D467" s="549" t="s">
        <v>11187</v>
      </c>
      <c r="E467" s="8"/>
      <c r="F467" s="552" t="s">
        <v>11188</v>
      </c>
      <c r="G467" s="8"/>
      <c r="H467" s="8"/>
      <c r="I467" s="8"/>
      <c r="J467" s="546" t="str">
        <f t="array" ref="J467">IF(LEN($E467),INDEX('4-All Devices'!AE:AE, MATCH($E467, '4-All Devices'!AF:AF, 0)),"")</f>
        <v/>
      </c>
      <c r="K467" s="8"/>
      <c r="L467" s="8"/>
      <c r="M467" s="8"/>
    </row>
    <row r="468">
      <c r="A468" s="542"/>
      <c r="B468" s="551" t="str">
        <f t="array" ref="B468">IF(LEN(E468),INDEX('4-All Devices'!AG:AG, MATCH(E468, '4-All Devices'!AF:AF, 0)),"")</f>
        <v/>
      </c>
      <c r="C468" s="549" t="s">
        <v>11186</v>
      </c>
      <c r="D468" s="549" t="s">
        <v>11187</v>
      </c>
      <c r="E468" s="8"/>
      <c r="F468" s="552" t="s">
        <v>11188</v>
      </c>
      <c r="G468" s="8"/>
      <c r="H468" s="8"/>
      <c r="I468" s="8"/>
      <c r="J468" s="546" t="str">
        <f t="array" ref="J468">IF(LEN($E468),INDEX('4-All Devices'!AE:AE, MATCH($E468, '4-All Devices'!AF:AF, 0)),"")</f>
        <v/>
      </c>
      <c r="K468" s="8"/>
      <c r="L468" s="8"/>
      <c r="M468" s="8"/>
    </row>
    <row r="469">
      <c r="A469" s="542"/>
      <c r="B469" s="551" t="str">
        <f t="array" ref="B469">IF(LEN(E469),INDEX('4-All Devices'!AG:AG, MATCH(E469, '4-All Devices'!AF:AF, 0)),"")</f>
        <v/>
      </c>
      <c r="C469" s="549" t="s">
        <v>11186</v>
      </c>
      <c r="D469" s="549" t="s">
        <v>11187</v>
      </c>
      <c r="E469" s="8"/>
      <c r="F469" s="552" t="s">
        <v>11188</v>
      </c>
      <c r="G469" s="8"/>
      <c r="H469" s="8"/>
      <c r="I469" s="8"/>
      <c r="J469" s="546" t="str">
        <f t="array" ref="J469">IF(LEN($E469),INDEX('4-All Devices'!AE:AE, MATCH($E469, '4-All Devices'!AF:AF, 0)),"")</f>
        <v/>
      </c>
      <c r="K469" s="8"/>
      <c r="L469" s="8"/>
      <c r="M469" s="8"/>
    </row>
    <row r="470">
      <c r="A470" s="542"/>
      <c r="B470" s="551" t="str">
        <f t="array" ref="B470">IF(LEN(E470),INDEX('4-All Devices'!AG:AG, MATCH(E470, '4-All Devices'!AF:AF, 0)),"")</f>
        <v/>
      </c>
      <c r="C470" s="549" t="s">
        <v>11186</v>
      </c>
      <c r="D470" s="549" t="s">
        <v>11187</v>
      </c>
      <c r="E470" s="8"/>
      <c r="F470" s="552" t="s">
        <v>11188</v>
      </c>
      <c r="G470" s="8"/>
      <c r="H470" s="8"/>
      <c r="I470" s="8"/>
      <c r="J470" s="546" t="str">
        <f t="array" ref="J470">IF(LEN($E470),INDEX('4-All Devices'!AE:AE, MATCH($E470, '4-All Devices'!AF:AF, 0)),"")</f>
        <v/>
      </c>
      <c r="K470" s="8"/>
      <c r="L470" s="8"/>
      <c r="M470" s="8"/>
    </row>
    <row r="471">
      <c r="A471" s="542"/>
      <c r="B471" s="551" t="str">
        <f t="array" ref="B471">IF(LEN(E471),INDEX('4-All Devices'!AG:AG, MATCH(E471, '4-All Devices'!AF:AF, 0)),"")</f>
        <v/>
      </c>
      <c r="C471" s="549" t="s">
        <v>11186</v>
      </c>
      <c r="D471" s="549" t="s">
        <v>11187</v>
      </c>
      <c r="E471" s="8"/>
      <c r="F471" s="552" t="s">
        <v>11188</v>
      </c>
      <c r="G471" s="8"/>
      <c r="H471" s="8"/>
      <c r="I471" s="8"/>
      <c r="J471" s="546" t="str">
        <f t="array" ref="J471">IF(LEN($E471),INDEX('4-All Devices'!AE:AE, MATCH($E471, '4-All Devices'!AF:AF, 0)),"")</f>
        <v/>
      </c>
      <c r="K471" s="8"/>
      <c r="L471" s="8"/>
      <c r="M471" s="8"/>
    </row>
    <row r="472">
      <c r="A472" s="542"/>
      <c r="B472" s="551" t="str">
        <f t="array" ref="B472">IF(LEN(E472),INDEX('4-All Devices'!AG:AG, MATCH(E472, '4-All Devices'!AF:AF, 0)),"")</f>
        <v/>
      </c>
      <c r="C472" s="549" t="s">
        <v>11186</v>
      </c>
      <c r="D472" s="549" t="s">
        <v>11187</v>
      </c>
      <c r="E472" s="8"/>
      <c r="F472" s="552" t="s">
        <v>11188</v>
      </c>
      <c r="G472" s="8"/>
      <c r="H472" s="8"/>
      <c r="I472" s="8"/>
      <c r="J472" s="546" t="str">
        <f t="array" ref="J472">IF(LEN($E472),INDEX('4-All Devices'!AE:AE, MATCH($E472, '4-All Devices'!AF:AF, 0)),"")</f>
        <v/>
      </c>
      <c r="K472" s="8"/>
      <c r="L472" s="8"/>
      <c r="M472" s="8"/>
    </row>
    <row r="473">
      <c r="A473" s="542"/>
      <c r="B473" s="551" t="str">
        <f t="array" ref="B473">IF(LEN(E473),INDEX('4-All Devices'!AG:AG, MATCH(E473, '4-All Devices'!AF:AF, 0)),"")</f>
        <v/>
      </c>
      <c r="C473" s="549" t="s">
        <v>11186</v>
      </c>
      <c r="D473" s="549" t="s">
        <v>11187</v>
      </c>
      <c r="E473" s="8"/>
      <c r="F473" s="552" t="s">
        <v>11188</v>
      </c>
      <c r="G473" s="8"/>
      <c r="H473" s="8"/>
      <c r="I473" s="8"/>
      <c r="J473" s="546" t="str">
        <f t="array" ref="J473">IF(LEN($E473),INDEX('4-All Devices'!AE:AE, MATCH($E473, '4-All Devices'!AF:AF, 0)),"")</f>
        <v/>
      </c>
      <c r="K473" s="8"/>
      <c r="L473" s="8"/>
      <c r="M473" s="8"/>
    </row>
    <row r="474">
      <c r="A474" s="542"/>
      <c r="B474" s="551" t="str">
        <f t="array" ref="B474">IF(LEN(E474),INDEX('4-All Devices'!AG:AG, MATCH(E474, '4-All Devices'!AF:AF, 0)),"")</f>
        <v/>
      </c>
      <c r="C474" s="549" t="s">
        <v>11186</v>
      </c>
      <c r="D474" s="549" t="s">
        <v>11187</v>
      </c>
      <c r="E474" s="8"/>
      <c r="F474" s="552" t="s">
        <v>11188</v>
      </c>
      <c r="G474" s="8"/>
      <c r="H474" s="8"/>
      <c r="I474" s="8"/>
      <c r="J474" s="546" t="str">
        <f t="array" ref="J474">IF(LEN($E474),INDEX('4-All Devices'!AE:AE, MATCH($E474, '4-All Devices'!AF:AF, 0)),"")</f>
        <v/>
      </c>
      <c r="K474" s="8"/>
      <c r="L474" s="8"/>
      <c r="M474" s="8"/>
    </row>
    <row r="475">
      <c r="A475" s="542"/>
      <c r="B475" s="551" t="str">
        <f t="array" ref="B475">IF(LEN(E475),INDEX('4-All Devices'!AG:AG, MATCH(E475, '4-All Devices'!AF:AF, 0)),"")</f>
        <v/>
      </c>
      <c r="C475" s="549" t="s">
        <v>11186</v>
      </c>
      <c r="D475" s="549" t="s">
        <v>11187</v>
      </c>
      <c r="E475" s="8"/>
      <c r="F475" s="552" t="s">
        <v>11188</v>
      </c>
      <c r="G475" s="8"/>
      <c r="H475" s="8"/>
      <c r="I475" s="8"/>
      <c r="J475" s="546" t="str">
        <f t="array" ref="J475">IF(LEN($E475),INDEX('4-All Devices'!AE:AE, MATCH($E475, '4-All Devices'!AF:AF, 0)),"")</f>
        <v/>
      </c>
      <c r="K475" s="8"/>
      <c r="L475" s="8"/>
      <c r="M475" s="8"/>
    </row>
    <row r="476">
      <c r="A476" s="542"/>
      <c r="B476" s="551" t="str">
        <f t="array" ref="B476">IF(LEN(E476),INDEX('4-All Devices'!AG:AG, MATCH(E476, '4-All Devices'!AF:AF, 0)),"")</f>
        <v/>
      </c>
      <c r="C476" s="549" t="s">
        <v>11186</v>
      </c>
      <c r="D476" s="549" t="s">
        <v>11187</v>
      </c>
      <c r="E476" s="8"/>
      <c r="F476" s="552" t="s">
        <v>11188</v>
      </c>
      <c r="G476" s="8"/>
      <c r="H476" s="8"/>
      <c r="I476" s="8"/>
      <c r="J476" s="546" t="str">
        <f t="array" ref="J476">IF(LEN($E476),INDEX('4-All Devices'!AE:AE, MATCH($E476, '4-All Devices'!AF:AF, 0)),"")</f>
        <v/>
      </c>
      <c r="K476" s="8"/>
      <c r="L476" s="8"/>
      <c r="M476" s="8"/>
    </row>
    <row r="477">
      <c r="A477" s="542"/>
      <c r="B477" s="551" t="str">
        <f t="array" ref="B477">IF(LEN(E477),INDEX('4-All Devices'!AG:AG, MATCH(E477, '4-All Devices'!AF:AF, 0)),"")</f>
        <v/>
      </c>
      <c r="C477" s="549" t="s">
        <v>11186</v>
      </c>
      <c r="D477" s="549" t="s">
        <v>11187</v>
      </c>
      <c r="E477" s="8"/>
      <c r="F477" s="552" t="s">
        <v>11188</v>
      </c>
      <c r="G477" s="8"/>
      <c r="H477" s="8"/>
      <c r="I477" s="8"/>
      <c r="J477" s="546" t="str">
        <f t="array" ref="J477">IF(LEN($E477),INDEX('4-All Devices'!AE:AE, MATCH($E477, '4-All Devices'!AF:AF, 0)),"")</f>
        <v/>
      </c>
      <c r="K477" s="8"/>
      <c r="L477" s="8"/>
      <c r="M477" s="8"/>
    </row>
    <row r="478">
      <c r="A478" s="542"/>
      <c r="B478" s="551" t="str">
        <f t="array" ref="B478">IF(LEN(E478),INDEX('4-All Devices'!AG:AG, MATCH(E478, '4-All Devices'!AF:AF, 0)),"")</f>
        <v/>
      </c>
      <c r="C478" s="549" t="s">
        <v>11186</v>
      </c>
      <c r="D478" s="549" t="s">
        <v>11187</v>
      </c>
      <c r="E478" s="8"/>
      <c r="F478" s="552" t="s">
        <v>11188</v>
      </c>
      <c r="G478" s="8"/>
      <c r="H478" s="8"/>
      <c r="I478" s="8"/>
      <c r="J478" s="546" t="str">
        <f t="array" ref="J478">IF(LEN($E478),INDEX('4-All Devices'!AE:AE, MATCH($E478, '4-All Devices'!AF:AF, 0)),"")</f>
        <v/>
      </c>
      <c r="K478" s="8"/>
      <c r="L478" s="8"/>
      <c r="M478" s="8"/>
    </row>
    <row r="479">
      <c r="A479" s="542"/>
      <c r="B479" s="551" t="str">
        <f t="array" ref="B479">IF(LEN(E479),INDEX('4-All Devices'!AG:AG, MATCH(E479, '4-All Devices'!AF:AF, 0)),"")</f>
        <v/>
      </c>
      <c r="C479" s="549" t="s">
        <v>11186</v>
      </c>
      <c r="D479" s="549" t="s">
        <v>11187</v>
      </c>
      <c r="E479" s="8"/>
      <c r="F479" s="552" t="s">
        <v>11188</v>
      </c>
      <c r="G479" s="8"/>
      <c r="H479" s="8"/>
      <c r="I479" s="8"/>
      <c r="J479" s="546" t="str">
        <f t="array" ref="J479">IF(LEN($E479),INDEX('4-All Devices'!AE:AE, MATCH($E479, '4-All Devices'!AF:AF, 0)),"")</f>
        <v/>
      </c>
      <c r="K479" s="8"/>
      <c r="L479" s="8"/>
      <c r="M479" s="8"/>
    </row>
    <row r="480">
      <c r="A480" s="542"/>
      <c r="B480" s="551" t="str">
        <f t="array" ref="B480">IF(LEN(E480),INDEX('4-All Devices'!AG:AG, MATCH(E480, '4-All Devices'!AF:AF, 0)),"")</f>
        <v/>
      </c>
      <c r="C480" s="549" t="s">
        <v>11186</v>
      </c>
      <c r="D480" s="549" t="s">
        <v>11187</v>
      </c>
      <c r="E480" s="8"/>
      <c r="F480" s="552" t="s">
        <v>11188</v>
      </c>
      <c r="G480" s="8"/>
      <c r="H480" s="8"/>
      <c r="I480" s="8"/>
      <c r="J480" s="546" t="str">
        <f t="array" ref="J480">IF(LEN($E480),INDEX('4-All Devices'!AE:AE, MATCH($E480, '4-All Devices'!AF:AF, 0)),"")</f>
        <v/>
      </c>
      <c r="K480" s="8"/>
      <c r="L480" s="8"/>
      <c r="M480" s="8"/>
    </row>
    <row r="481">
      <c r="A481" s="542"/>
      <c r="B481" s="551" t="str">
        <f t="array" ref="B481">IF(LEN(E481),INDEX('4-All Devices'!AG:AG, MATCH(E481, '4-All Devices'!AF:AF, 0)),"")</f>
        <v/>
      </c>
      <c r="C481" s="549" t="s">
        <v>11186</v>
      </c>
      <c r="D481" s="549" t="s">
        <v>11187</v>
      </c>
      <c r="E481" s="8"/>
      <c r="F481" s="552" t="s">
        <v>11188</v>
      </c>
      <c r="G481" s="8"/>
      <c r="H481" s="8"/>
      <c r="I481" s="8"/>
      <c r="J481" s="546" t="str">
        <f t="array" ref="J481">IF(LEN($E481),INDEX('4-All Devices'!AE:AE, MATCH($E481, '4-All Devices'!AF:AF, 0)),"")</f>
        <v/>
      </c>
      <c r="K481" s="8"/>
      <c r="L481" s="8"/>
      <c r="M481" s="8"/>
    </row>
    <row r="482">
      <c r="A482" s="542"/>
      <c r="B482" s="551" t="str">
        <f t="array" ref="B482">IF(LEN(E482),INDEX('4-All Devices'!AG:AG, MATCH(E482, '4-All Devices'!AF:AF, 0)),"")</f>
        <v/>
      </c>
      <c r="C482" s="549" t="s">
        <v>11186</v>
      </c>
      <c r="D482" s="549" t="s">
        <v>11187</v>
      </c>
      <c r="E482" s="8"/>
      <c r="F482" s="552" t="s">
        <v>11188</v>
      </c>
      <c r="G482" s="8"/>
      <c r="H482" s="8"/>
      <c r="I482" s="8"/>
      <c r="J482" s="546" t="str">
        <f t="array" ref="J482">IF(LEN($E482),INDEX('4-All Devices'!AE:AE, MATCH($E482, '4-All Devices'!AF:AF, 0)),"")</f>
        <v/>
      </c>
      <c r="K482" s="8"/>
      <c r="L482" s="8"/>
      <c r="M482" s="8"/>
    </row>
    <row r="483">
      <c r="A483" s="542"/>
      <c r="B483" s="551" t="str">
        <f t="array" ref="B483">IF(LEN(E483),INDEX('4-All Devices'!AG:AG, MATCH(E483, '4-All Devices'!AF:AF, 0)),"")</f>
        <v/>
      </c>
      <c r="C483" s="549" t="s">
        <v>11186</v>
      </c>
      <c r="D483" s="549" t="s">
        <v>11187</v>
      </c>
      <c r="E483" s="8"/>
      <c r="F483" s="552" t="s">
        <v>11188</v>
      </c>
      <c r="G483" s="8"/>
      <c r="H483" s="8"/>
      <c r="I483" s="8"/>
      <c r="J483" s="546" t="str">
        <f t="array" ref="J483">IF(LEN($E483),INDEX('4-All Devices'!AE:AE, MATCH($E483, '4-All Devices'!AF:AF, 0)),"")</f>
        <v/>
      </c>
      <c r="K483" s="8"/>
      <c r="L483" s="8"/>
      <c r="M483" s="8"/>
    </row>
    <row r="484">
      <c r="A484" s="542"/>
      <c r="B484" s="551" t="str">
        <f t="array" ref="B484">IF(LEN(E484),INDEX('4-All Devices'!AG:AG, MATCH(E484, '4-All Devices'!AF:AF, 0)),"")</f>
        <v/>
      </c>
      <c r="C484" s="549" t="s">
        <v>11186</v>
      </c>
      <c r="D484" s="549" t="s">
        <v>11187</v>
      </c>
      <c r="E484" s="8"/>
      <c r="F484" s="552" t="s">
        <v>11188</v>
      </c>
      <c r="G484" s="8"/>
      <c r="H484" s="8"/>
      <c r="I484" s="8"/>
      <c r="J484" s="546" t="str">
        <f t="array" ref="J484">IF(LEN($E484),INDEX('4-All Devices'!AE:AE, MATCH($E484, '4-All Devices'!AF:AF, 0)),"")</f>
        <v/>
      </c>
      <c r="K484" s="8"/>
      <c r="L484" s="8"/>
      <c r="M484" s="8"/>
    </row>
    <row r="485">
      <c r="A485" s="542"/>
      <c r="B485" s="551" t="str">
        <f t="array" ref="B485">IF(LEN(E485),INDEX('4-All Devices'!AG:AG, MATCH(E485, '4-All Devices'!AF:AF, 0)),"")</f>
        <v/>
      </c>
      <c r="C485" s="549" t="s">
        <v>11186</v>
      </c>
      <c r="D485" s="549" t="s">
        <v>11187</v>
      </c>
      <c r="E485" s="8"/>
      <c r="F485" s="552" t="s">
        <v>11188</v>
      </c>
      <c r="G485" s="8"/>
      <c r="H485" s="8"/>
      <c r="I485" s="8"/>
      <c r="J485" s="546" t="str">
        <f t="array" ref="J485">IF(LEN($E485),INDEX('4-All Devices'!AE:AE, MATCH($E485, '4-All Devices'!AF:AF, 0)),"")</f>
        <v/>
      </c>
      <c r="K485" s="8"/>
      <c r="L485" s="8"/>
      <c r="M485" s="8"/>
    </row>
    <row r="486">
      <c r="A486" s="542"/>
      <c r="B486" s="551" t="str">
        <f t="array" ref="B486">IF(LEN(E486),INDEX('4-All Devices'!AG:AG, MATCH(E486, '4-All Devices'!AF:AF, 0)),"")</f>
        <v/>
      </c>
      <c r="C486" s="549" t="s">
        <v>11186</v>
      </c>
      <c r="D486" s="549" t="s">
        <v>11187</v>
      </c>
      <c r="E486" s="8"/>
      <c r="F486" s="552" t="s">
        <v>11188</v>
      </c>
      <c r="G486" s="8"/>
      <c r="H486" s="8"/>
      <c r="I486" s="8"/>
      <c r="J486" s="546" t="str">
        <f t="array" ref="J486">IF(LEN($E486),INDEX('4-All Devices'!AE:AE, MATCH($E486, '4-All Devices'!AF:AF, 0)),"")</f>
        <v/>
      </c>
      <c r="K486" s="8"/>
      <c r="L486" s="8"/>
      <c r="M486" s="8"/>
    </row>
    <row r="487">
      <c r="A487" s="542"/>
      <c r="B487" s="551" t="str">
        <f t="array" ref="B487">IF(LEN(E487),INDEX('4-All Devices'!AG:AG, MATCH(E487, '4-All Devices'!AF:AF, 0)),"")</f>
        <v/>
      </c>
      <c r="C487" s="549" t="s">
        <v>11186</v>
      </c>
      <c r="D487" s="549" t="s">
        <v>11187</v>
      </c>
      <c r="E487" s="8"/>
      <c r="F487" s="552" t="s">
        <v>11188</v>
      </c>
      <c r="G487" s="8"/>
      <c r="H487" s="8"/>
      <c r="I487" s="8"/>
      <c r="J487" s="546" t="str">
        <f t="array" ref="J487">IF(LEN($E487),INDEX('4-All Devices'!AE:AE, MATCH($E487, '4-All Devices'!AF:AF, 0)),"")</f>
        <v/>
      </c>
      <c r="K487" s="8"/>
      <c r="L487" s="8"/>
      <c r="M487" s="8"/>
    </row>
    <row r="488">
      <c r="A488" s="542"/>
      <c r="B488" s="551" t="str">
        <f t="array" ref="B488">IF(LEN(E488),INDEX('4-All Devices'!AG:AG, MATCH(E488, '4-All Devices'!AF:AF, 0)),"")</f>
        <v/>
      </c>
      <c r="C488" s="549" t="s">
        <v>11186</v>
      </c>
      <c r="D488" s="549" t="s">
        <v>11187</v>
      </c>
      <c r="E488" s="8"/>
      <c r="F488" s="552" t="s">
        <v>11188</v>
      </c>
      <c r="G488" s="8"/>
      <c r="H488" s="8"/>
      <c r="I488" s="8"/>
      <c r="J488" s="546" t="str">
        <f t="array" ref="J488">IF(LEN($E488),INDEX('4-All Devices'!AE:AE, MATCH($E488, '4-All Devices'!AF:AF, 0)),"")</f>
        <v/>
      </c>
      <c r="K488" s="8"/>
      <c r="L488" s="8"/>
      <c r="M488" s="8"/>
    </row>
    <row r="489">
      <c r="A489" s="542"/>
      <c r="B489" s="551" t="str">
        <f t="array" ref="B489">IF(LEN(E489),INDEX('4-All Devices'!AG:AG, MATCH(E489, '4-All Devices'!AF:AF, 0)),"")</f>
        <v/>
      </c>
      <c r="C489" s="549" t="s">
        <v>11186</v>
      </c>
      <c r="D489" s="549" t="s">
        <v>11187</v>
      </c>
      <c r="E489" s="8"/>
      <c r="F489" s="552" t="s">
        <v>11188</v>
      </c>
      <c r="G489" s="8"/>
      <c r="H489" s="8"/>
      <c r="I489" s="8"/>
      <c r="J489" s="546" t="str">
        <f t="array" ref="J489">IF(LEN($E489),INDEX('4-All Devices'!AE:AE, MATCH($E489, '4-All Devices'!AF:AF, 0)),"")</f>
        <v/>
      </c>
      <c r="K489" s="8"/>
      <c r="L489" s="8"/>
      <c r="M489" s="8"/>
    </row>
    <row r="490">
      <c r="A490" s="542"/>
      <c r="B490" s="551" t="str">
        <f t="array" ref="B490">IF(LEN(E490),INDEX('4-All Devices'!AG:AG, MATCH(E490, '4-All Devices'!AF:AF, 0)),"")</f>
        <v/>
      </c>
      <c r="C490" s="549" t="s">
        <v>11186</v>
      </c>
      <c r="D490" s="549" t="s">
        <v>11187</v>
      </c>
      <c r="E490" s="8"/>
      <c r="F490" s="552" t="s">
        <v>11188</v>
      </c>
      <c r="G490" s="8"/>
      <c r="H490" s="8"/>
      <c r="I490" s="8"/>
      <c r="J490" s="546" t="str">
        <f t="array" ref="J490">IF(LEN($E490),INDEX('4-All Devices'!AE:AE, MATCH($E490, '4-All Devices'!AF:AF, 0)),"")</f>
        <v/>
      </c>
      <c r="K490" s="8"/>
      <c r="L490" s="8"/>
      <c r="M490" s="8"/>
    </row>
    <row r="491">
      <c r="A491" s="542"/>
      <c r="B491" s="551" t="str">
        <f t="array" ref="B491">IF(LEN(E491),INDEX('4-All Devices'!AG:AG, MATCH(E491, '4-All Devices'!AF:AF, 0)),"")</f>
        <v/>
      </c>
      <c r="C491" s="549" t="s">
        <v>11186</v>
      </c>
      <c r="D491" s="549" t="s">
        <v>11187</v>
      </c>
      <c r="E491" s="8"/>
      <c r="F491" s="552" t="s">
        <v>11188</v>
      </c>
      <c r="G491" s="8"/>
      <c r="H491" s="8"/>
      <c r="I491" s="8"/>
      <c r="J491" s="546" t="str">
        <f t="array" ref="J491">IF(LEN($E491),INDEX('4-All Devices'!AE:AE, MATCH($E491, '4-All Devices'!AF:AF, 0)),"")</f>
        <v/>
      </c>
      <c r="K491" s="8"/>
      <c r="L491" s="8"/>
      <c r="M491" s="8"/>
    </row>
    <row r="492">
      <c r="A492" s="542"/>
      <c r="B492" s="551" t="str">
        <f t="array" ref="B492">IF(LEN(E492),INDEX('4-All Devices'!AG:AG, MATCH(E492, '4-All Devices'!AF:AF, 0)),"")</f>
        <v/>
      </c>
      <c r="C492" s="549" t="s">
        <v>11186</v>
      </c>
      <c r="D492" s="549" t="s">
        <v>11187</v>
      </c>
      <c r="E492" s="8"/>
      <c r="F492" s="552" t="s">
        <v>11188</v>
      </c>
      <c r="G492" s="8"/>
      <c r="H492" s="8"/>
      <c r="I492" s="8"/>
      <c r="J492" s="546" t="str">
        <f t="array" ref="J492">IF(LEN($E492),INDEX('4-All Devices'!AE:AE, MATCH($E492, '4-All Devices'!AF:AF, 0)),"")</f>
        <v/>
      </c>
      <c r="K492" s="8"/>
      <c r="L492" s="8"/>
      <c r="M492" s="8"/>
    </row>
    <row r="493">
      <c r="A493" s="542"/>
      <c r="B493" s="551" t="str">
        <f t="array" ref="B493">IF(LEN(E493),INDEX('4-All Devices'!AG:AG, MATCH(E493, '4-All Devices'!AF:AF, 0)),"")</f>
        <v/>
      </c>
      <c r="C493" s="549" t="s">
        <v>11186</v>
      </c>
      <c r="D493" s="549" t="s">
        <v>11187</v>
      </c>
      <c r="E493" s="8"/>
      <c r="F493" s="552" t="s">
        <v>11188</v>
      </c>
      <c r="G493" s="8"/>
      <c r="H493" s="8"/>
      <c r="I493" s="8"/>
      <c r="J493" s="546" t="str">
        <f t="array" ref="J493">IF(LEN($E493),INDEX('4-All Devices'!AE:AE, MATCH($E493, '4-All Devices'!AF:AF, 0)),"")</f>
        <v/>
      </c>
      <c r="K493" s="8"/>
      <c r="L493" s="8"/>
      <c r="M493" s="8"/>
    </row>
    <row r="494">
      <c r="A494" s="542"/>
      <c r="B494" s="551" t="str">
        <f t="array" ref="B494">IF(LEN(E494),INDEX('4-All Devices'!AG:AG, MATCH(E494, '4-All Devices'!AF:AF, 0)),"")</f>
        <v/>
      </c>
      <c r="C494" s="549" t="s">
        <v>11186</v>
      </c>
      <c r="D494" s="549" t="s">
        <v>11187</v>
      </c>
      <c r="E494" s="8"/>
      <c r="F494" s="552" t="s">
        <v>11188</v>
      </c>
      <c r="G494" s="8"/>
      <c r="H494" s="8"/>
      <c r="I494" s="8"/>
      <c r="J494" s="546" t="str">
        <f t="array" ref="J494">IF(LEN($E494),INDEX('4-All Devices'!AE:AE, MATCH($E494, '4-All Devices'!AF:AF, 0)),"")</f>
        <v/>
      </c>
      <c r="K494" s="8"/>
      <c r="L494" s="8"/>
      <c r="M494" s="8"/>
    </row>
    <row r="495">
      <c r="A495" s="542"/>
      <c r="B495" s="551" t="str">
        <f t="array" ref="B495">IF(LEN(E495),INDEX('4-All Devices'!AG:AG, MATCH(E495, '4-All Devices'!AF:AF, 0)),"")</f>
        <v/>
      </c>
      <c r="C495" s="549" t="s">
        <v>11186</v>
      </c>
      <c r="D495" s="549" t="s">
        <v>11187</v>
      </c>
      <c r="E495" s="8"/>
      <c r="F495" s="552" t="s">
        <v>11188</v>
      </c>
      <c r="G495" s="8"/>
      <c r="H495" s="8"/>
      <c r="I495" s="8"/>
      <c r="J495" s="546" t="str">
        <f t="array" ref="J495">IF(LEN($E495),INDEX('4-All Devices'!AE:AE, MATCH($E495, '4-All Devices'!AF:AF, 0)),"")</f>
        <v/>
      </c>
      <c r="K495" s="8"/>
      <c r="L495" s="8"/>
      <c r="M495" s="8"/>
    </row>
    <row r="496">
      <c r="A496" s="542"/>
      <c r="B496" s="551" t="str">
        <f t="array" ref="B496">IF(LEN(E496),INDEX('4-All Devices'!AG:AG, MATCH(E496, '4-All Devices'!AF:AF, 0)),"")</f>
        <v/>
      </c>
      <c r="C496" s="549" t="s">
        <v>11186</v>
      </c>
      <c r="D496" s="549" t="s">
        <v>11187</v>
      </c>
      <c r="E496" s="8"/>
      <c r="F496" s="552" t="s">
        <v>11188</v>
      </c>
      <c r="G496" s="8"/>
      <c r="H496" s="8"/>
      <c r="I496" s="8"/>
      <c r="J496" s="546" t="str">
        <f t="array" ref="J496">IF(LEN($E496),INDEX('4-All Devices'!AE:AE, MATCH($E496, '4-All Devices'!AF:AF, 0)),"")</f>
        <v/>
      </c>
      <c r="K496" s="8"/>
      <c r="L496" s="8"/>
      <c r="M496" s="8"/>
    </row>
    <row r="497">
      <c r="A497" s="542"/>
      <c r="B497" s="551" t="str">
        <f t="array" ref="B497">IF(LEN(E497),INDEX('4-All Devices'!AG:AG, MATCH(E497, '4-All Devices'!AF:AF, 0)),"")</f>
        <v/>
      </c>
      <c r="C497" s="549" t="s">
        <v>11186</v>
      </c>
      <c r="D497" s="549" t="s">
        <v>11187</v>
      </c>
      <c r="E497" s="8"/>
      <c r="F497" s="552" t="s">
        <v>11188</v>
      </c>
      <c r="G497" s="8"/>
      <c r="H497" s="8"/>
      <c r="I497" s="8"/>
      <c r="J497" s="546" t="str">
        <f t="array" ref="J497">IF(LEN($E497),INDEX('4-All Devices'!AE:AE, MATCH($E497, '4-All Devices'!AF:AF, 0)),"")</f>
        <v/>
      </c>
      <c r="K497" s="8"/>
      <c r="L497" s="8"/>
      <c r="M497" s="8"/>
    </row>
    <row r="498">
      <c r="A498" s="542"/>
      <c r="B498" s="551" t="str">
        <f t="array" ref="B498">IF(LEN(E498),INDEX('4-All Devices'!AG:AG, MATCH(E498, '4-All Devices'!AF:AF, 0)),"")</f>
        <v/>
      </c>
      <c r="C498" s="549" t="s">
        <v>11186</v>
      </c>
      <c r="D498" s="549" t="s">
        <v>11187</v>
      </c>
      <c r="E498" s="8"/>
      <c r="F498" s="552" t="s">
        <v>11188</v>
      </c>
      <c r="G498" s="8"/>
      <c r="H498" s="8"/>
      <c r="I498" s="8"/>
      <c r="J498" s="546" t="str">
        <f t="array" ref="J498">IF(LEN($E498),INDEX('4-All Devices'!AE:AE, MATCH($E498, '4-All Devices'!AF:AF, 0)),"")</f>
        <v/>
      </c>
      <c r="K498" s="8"/>
      <c r="L498" s="8"/>
      <c r="M498" s="8"/>
    </row>
    <row r="499">
      <c r="A499" s="542"/>
      <c r="B499" s="551" t="str">
        <f t="array" ref="B499">IF(LEN(E499),INDEX('4-All Devices'!AG:AG, MATCH(E499, '4-All Devices'!AF:AF, 0)),"")</f>
        <v/>
      </c>
      <c r="C499" s="549" t="s">
        <v>11186</v>
      </c>
      <c r="D499" s="549" t="s">
        <v>11187</v>
      </c>
      <c r="E499" s="8"/>
      <c r="F499" s="552" t="s">
        <v>11188</v>
      </c>
      <c r="G499" s="8"/>
      <c r="H499" s="8"/>
      <c r="I499" s="8"/>
      <c r="J499" s="546" t="str">
        <f t="array" ref="J499">IF(LEN($E499),INDEX('4-All Devices'!AE:AE, MATCH($E499, '4-All Devices'!AF:AF, 0)),"")</f>
        <v/>
      </c>
      <c r="K499" s="8"/>
      <c r="L499" s="8"/>
      <c r="M499" s="8"/>
    </row>
    <row r="500">
      <c r="A500" s="542"/>
      <c r="B500" s="551" t="str">
        <f t="array" ref="B500">IF(LEN(E500),INDEX('4-All Devices'!AG:AG, MATCH(E500, '4-All Devices'!AF:AF, 0)),"")</f>
        <v/>
      </c>
      <c r="C500" s="549" t="s">
        <v>11186</v>
      </c>
      <c r="D500" s="549" t="s">
        <v>11187</v>
      </c>
      <c r="E500" s="8"/>
      <c r="F500" s="552" t="s">
        <v>11188</v>
      </c>
      <c r="G500" s="8"/>
      <c r="H500" s="8"/>
      <c r="I500" s="8"/>
      <c r="J500" s="546" t="str">
        <f t="array" ref="J500">IF(LEN($E500),INDEX('4-All Devices'!AE:AE, MATCH($E500, '4-All Devices'!AF:AF, 0)),"")</f>
        <v/>
      </c>
      <c r="K500" s="8"/>
      <c r="L500" s="8"/>
      <c r="M500" s="8"/>
    </row>
    <row r="501">
      <c r="A501" s="542"/>
      <c r="B501" s="551" t="str">
        <f t="array" ref="B501">IF(LEN(E501),INDEX('4-All Devices'!AG:AG, MATCH(E501, '4-All Devices'!AF:AF, 0)),"")</f>
        <v/>
      </c>
      <c r="C501" s="549" t="s">
        <v>11186</v>
      </c>
      <c r="D501" s="549" t="s">
        <v>11187</v>
      </c>
      <c r="E501" s="8"/>
      <c r="F501" s="552" t="s">
        <v>11188</v>
      </c>
      <c r="G501" s="8"/>
      <c r="H501" s="8"/>
      <c r="I501" s="8"/>
      <c r="J501" s="546" t="str">
        <f t="array" ref="J501">IF(LEN($E501),INDEX('4-All Devices'!AE:AE, MATCH($E501, '4-All Devices'!AF:AF, 0)),"")</f>
        <v/>
      </c>
      <c r="K501" s="8"/>
      <c r="L501" s="8"/>
      <c r="M501" s="8"/>
    </row>
    <row r="502">
      <c r="A502" s="542"/>
      <c r="B502" s="551" t="str">
        <f t="array" ref="B502">IF(LEN(E502),INDEX('4-All Devices'!AG:AG, MATCH(E502, '4-All Devices'!AF:AF, 0)),"")</f>
        <v/>
      </c>
      <c r="C502" s="549" t="s">
        <v>11186</v>
      </c>
      <c r="D502" s="549" t="s">
        <v>11187</v>
      </c>
      <c r="E502" s="8"/>
      <c r="F502" s="552" t="s">
        <v>11188</v>
      </c>
      <c r="G502" s="8"/>
      <c r="H502" s="8"/>
      <c r="I502" s="8"/>
      <c r="J502" s="546" t="str">
        <f t="array" ref="J502">IF(LEN($E502),INDEX('4-All Devices'!AE:AE, MATCH($E502, '4-All Devices'!AF:AF, 0)),"")</f>
        <v/>
      </c>
      <c r="K502" s="8"/>
      <c r="L502" s="8"/>
      <c r="M502" s="8"/>
    </row>
    <row r="503">
      <c r="A503" s="542"/>
      <c r="B503" s="551" t="str">
        <f t="array" ref="B503">IF(LEN(E503),INDEX('4-All Devices'!AG:AG, MATCH(E503, '4-All Devices'!AF:AF, 0)),"")</f>
        <v/>
      </c>
      <c r="C503" s="549" t="s">
        <v>11186</v>
      </c>
      <c r="D503" s="549" t="s">
        <v>11187</v>
      </c>
      <c r="E503" s="8"/>
      <c r="F503" s="552" t="s">
        <v>11188</v>
      </c>
      <c r="G503" s="8"/>
      <c r="H503" s="8"/>
      <c r="I503" s="8"/>
      <c r="J503" s="546" t="str">
        <f t="array" ref="J503">IF(LEN($E503),INDEX('4-All Devices'!AE:AE, MATCH($E503, '4-All Devices'!AF:AF, 0)),"")</f>
        <v/>
      </c>
      <c r="K503" s="8"/>
      <c r="L503" s="8"/>
      <c r="M503" s="8"/>
    </row>
    <row r="504">
      <c r="A504" s="542"/>
      <c r="B504" s="551" t="str">
        <f t="array" ref="B504">IF(LEN(E504),INDEX('4-All Devices'!AG:AG, MATCH(E504, '4-All Devices'!AF:AF, 0)),"")</f>
        <v/>
      </c>
      <c r="C504" s="549" t="s">
        <v>11186</v>
      </c>
      <c r="D504" s="549" t="s">
        <v>11187</v>
      </c>
      <c r="E504" s="8"/>
      <c r="F504" s="552" t="s">
        <v>11188</v>
      </c>
      <c r="G504" s="8"/>
      <c r="H504" s="8"/>
      <c r="I504" s="8"/>
      <c r="J504" s="546" t="str">
        <f t="array" ref="J504">IF(LEN($E504),INDEX('4-All Devices'!AE:AE, MATCH($E504, '4-All Devices'!AF:AF, 0)),"")</f>
        <v/>
      </c>
      <c r="K504" s="8"/>
      <c r="L504" s="8"/>
      <c r="M504" s="8"/>
    </row>
    <row r="505">
      <c r="A505" s="542"/>
      <c r="B505" s="551" t="str">
        <f t="array" ref="B505">IF(LEN(E505),INDEX('4-All Devices'!AG:AG, MATCH(E505, '4-All Devices'!AF:AF, 0)),"")</f>
        <v/>
      </c>
      <c r="C505" s="549" t="s">
        <v>11186</v>
      </c>
      <c r="D505" s="549" t="s">
        <v>11187</v>
      </c>
      <c r="E505" s="8"/>
      <c r="F505" s="552" t="s">
        <v>11188</v>
      </c>
      <c r="G505" s="8"/>
      <c r="H505" s="8"/>
      <c r="I505" s="8"/>
      <c r="J505" s="546" t="str">
        <f t="array" ref="J505">IF(LEN($E505),INDEX('4-All Devices'!AE:AE, MATCH($E505, '4-All Devices'!AF:AF, 0)),"")</f>
        <v/>
      </c>
      <c r="K505" s="8"/>
      <c r="L505" s="8"/>
      <c r="M505" s="8"/>
    </row>
    <row r="506">
      <c r="A506" s="542"/>
      <c r="B506" s="551" t="str">
        <f t="array" ref="B506">IF(LEN(E506),INDEX('4-All Devices'!AG:AG, MATCH(E506, '4-All Devices'!AF:AF, 0)),"")</f>
        <v/>
      </c>
      <c r="C506" s="549" t="s">
        <v>11186</v>
      </c>
      <c r="D506" s="549" t="s">
        <v>11187</v>
      </c>
      <c r="E506" s="8"/>
      <c r="F506" s="552" t="s">
        <v>11188</v>
      </c>
      <c r="G506" s="8"/>
      <c r="H506" s="8"/>
      <c r="I506" s="8"/>
      <c r="J506" s="546" t="str">
        <f t="array" ref="J506">IF(LEN($E506),INDEX('4-All Devices'!AE:AE, MATCH($E506, '4-All Devices'!AF:AF, 0)),"")</f>
        <v/>
      </c>
      <c r="K506" s="8"/>
      <c r="L506" s="8"/>
      <c r="M506" s="8"/>
    </row>
    <row r="507">
      <c r="A507" s="542"/>
      <c r="B507" s="551" t="str">
        <f t="array" ref="B507">IF(LEN(E507),INDEX('4-All Devices'!AG:AG, MATCH(E507, '4-All Devices'!AF:AF, 0)),"")</f>
        <v/>
      </c>
      <c r="C507" s="549" t="s">
        <v>11186</v>
      </c>
      <c r="D507" s="549" t="s">
        <v>11187</v>
      </c>
      <c r="E507" s="8"/>
      <c r="F507" s="552" t="s">
        <v>11188</v>
      </c>
      <c r="G507" s="8"/>
      <c r="H507" s="8"/>
      <c r="I507" s="8"/>
      <c r="J507" s="546" t="str">
        <f t="array" ref="J507">IF(LEN($E507),INDEX('4-All Devices'!AE:AE, MATCH($E507, '4-All Devices'!AF:AF, 0)),"")</f>
        <v/>
      </c>
      <c r="K507" s="8"/>
      <c r="L507" s="8"/>
      <c r="M507" s="8"/>
    </row>
    <row r="508">
      <c r="A508" s="542"/>
      <c r="B508" s="551" t="str">
        <f t="array" ref="B508">IF(LEN(E508),INDEX('4-All Devices'!AG:AG, MATCH(E508, '4-All Devices'!AF:AF, 0)),"")</f>
        <v/>
      </c>
      <c r="C508" s="549" t="s">
        <v>11186</v>
      </c>
      <c r="D508" s="549" t="s">
        <v>11187</v>
      </c>
      <c r="E508" s="8"/>
      <c r="F508" s="552" t="s">
        <v>11188</v>
      </c>
      <c r="G508" s="8"/>
      <c r="H508" s="8"/>
      <c r="I508" s="8"/>
      <c r="J508" s="546" t="str">
        <f t="array" ref="J508">IF(LEN($E508),INDEX('4-All Devices'!AE:AE, MATCH($E508, '4-All Devices'!AF:AF, 0)),"")</f>
        <v/>
      </c>
      <c r="K508" s="8"/>
      <c r="L508" s="8"/>
      <c r="M508" s="8"/>
    </row>
    <row r="509">
      <c r="A509" s="542"/>
      <c r="B509" s="551" t="str">
        <f t="array" ref="B509">IF(LEN(E509),INDEX('4-All Devices'!AG:AG, MATCH(E509, '4-All Devices'!AF:AF, 0)),"")</f>
        <v/>
      </c>
      <c r="C509" s="549" t="s">
        <v>11186</v>
      </c>
      <c r="D509" s="549" t="s">
        <v>11187</v>
      </c>
      <c r="E509" s="8"/>
      <c r="F509" s="552" t="s">
        <v>11188</v>
      </c>
      <c r="G509" s="8"/>
      <c r="H509" s="8"/>
      <c r="I509" s="8"/>
      <c r="J509" s="546" t="str">
        <f t="array" ref="J509">IF(LEN($E509),INDEX('4-All Devices'!AE:AE, MATCH($E509, '4-All Devices'!AF:AF, 0)),"")</f>
        <v/>
      </c>
      <c r="K509" s="8"/>
      <c r="L509" s="8"/>
      <c r="M509" s="8"/>
    </row>
    <row r="510">
      <c r="A510" s="542"/>
      <c r="B510" s="551" t="str">
        <f t="array" ref="B510">IF(LEN(E510),INDEX('4-All Devices'!AG:AG, MATCH(E510, '4-All Devices'!AF:AF, 0)),"")</f>
        <v/>
      </c>
      <c r="C510" s="549" t="s">
        <v>11186</v>
      </c>
      <c r="D510" s="549" t="s">
        <v>11187</v>
      </c>
      <c r="E510" s="8"/>
      <c r="F510" s="552" t="s">
        <v>11188</v>
      </c>
      <c r="G510" s="8"/>
      <c r="H510" s="8"/>
      <c r="I510" s="8"/>
      <c r="J510" s="546" t="str">
        <f t="array" ref="J510">IF(LEN($E510),INDEX('4-All Devices'!AE:AE, MATCH($E510, '4-All Devices'!AF:AF, 0)),"")</f>
        <v/>
      </c>
      <c r="K510" s="8"/>
      <c r="L510" s="8"/>
      <c r="M510" s="8"/>
    </row>
    <row r="511">
      <c r="A511" s="542"/>
      <c r="B511" s="551" t="str">
        <f t="array" ref="B511">IF(LEN(E511),INDEX('4-All Devices'!AG:AG, MATCH(E511, '4-All Devices'!AF:AF, 0)),"")</f>
        <v/>
      </c>
      <c r="C511" s="549" t="s">
        <v>11186</v>
      </c>
      <c r="D511" s="549" t="s">
        <v>11187</v>
      </c>
      <c r="E511" s="8"/>
      <c r="F511" s="552" t="s">
        <v>11188</v>
      </c>
      <c r="G511" s="8"/>
      <c r="H511" s="8"/>
      <c r="I511" s="8"/>
      <c r="J511" s="546" t="str">
        <f t="array" ref="J511">IF(LEN($E511),INDEX('4-All Devices'!AE:AE, MATCH($E511, '4-All Devices'!AF:AF, 0)),"")</f>
        <v/>
      </c>
      <c r="K511" s="8"/>
      <c r="L511" s="8"/>
      <c r="M511" s="8"/>
    </row>
    <row r="512">
      <c r="A512" s="542"/>
      <c r="B512" s="551" t="str">
        <f t="array" ref="B512">IF(LEN(E512),INDEX('4-All Devices'!AG:AG, MATCH(E512, '4-All Devices'!AF:AF, 0)),"")</f>
        <v/>
      </c>
      <c r="C512" s="549" t="s">
        <v>11186</v>
      </c>
      <c r="D512" s="549" t="s">
        <v>11187</v>
      </c>
      <c r="E512" s="8"/>
      <c r="F512" s="552" t="s">
        <v>11188</v>
      </c>
      <c r="G512" s="8"/>
      <c r="H512" s="8"/>
      <c r="I512" s="8"/>
      <c r="J512" s="546" t="str">
        <f t="array" ref="J512">IF(LEN($E512),INDEX('4-All Devices'!AE:AE, MATCH($E512, '4-All Devices'!AF:AF, 0)),"")</f>
        <v/>
      </c>
      <c r="K512" s="8"/>
      <c r="L512" s="8"/>
      <c r="M512" s="8"/>
    </row>
    <row r="513">
      <c r="A513" s="542"/>
      <c r="B513" s="551" t="str">
        <f t="array" ref="B513">IF(LEN(E513),INDEX('4-All Devices'!AG:AG, MATCH(E513, '4-All Devices'!AF:AF, 0)),"")</f>
        <v/>
      </c>
      <c r="C513" s="549" t="s">
        <v>11186</v>
      </c>
      <c r="D513" s="549" t="s">
        <v>11187</v>
      </c>
      <c r="E513" s="8"/>
      <c r="F513" s="552" t="s">
        <v>11188</v>
      </c>
      <c r="G513" s="8"/>
      <c r="H513" s="8"/>
      <c r="I513" s="8"/>
      <c r="J513" s="546" t="str">
        <f t="array" ref="J513">IF(LEN($E513),INDEX('4-All Devices'!AE:AE, MATCH($E513, '4-All Devices'!AF:AF, 0)),"")</f>
        <v/>
      </c>
      <c r="K513" s="8"/>
      <c r="L513" s="8"/>
      <c r="M513" s="8"/>
    </row>
    <row r="514">
      <c r="A514" s="542"/>
      <c r="B514" s="551" t="str">
        <f t="array" ref="B514">IF(LEN(E514),INDEX('4-All Devices'!AG:AG, MATCH(E514, '4-All Devices'!AF:AF, 0)),"")</f>
        <v/>
      </c>
      <c r="C514" s="549" t="s">
        <v>11186</v>
      </c>
      <c r="D514" s="549" t="s">
        <v>11187</v>
      </c>
      <c r="E514" s="8"/>
      <c r="F514" s="552" t="s">
        <v>11188</v>
      </c>
      <c r="G514" s="8"/>
      <c r="H514" s="8"/>
      <c r="I514" s="8"/>
      <c r="J514" s="546" t="str">
        <f t="array" ref="J514">IF(LEN($E514),INDEX('4-All Devices'!AE:AE, MATCH($E514, '4-All Devices'!AF:AF, 0)),"")</f>
        <v/>
      </c>
      <c r="K514" s="8"/>
      <c r="L514" s="8"/>
      <c r="M514" s="8"/>
    </row>
    <row r="515">
      <c r="A515" s="542"/>
      <c r="B515" s="551" t="str">
        <f t="array" ref="B515">IF(LEN(E515),INDEX('4-All Devices'!AG:AG, MATCH(E515, '4-All Devices'!AF:AF, 0)),"")</f>
        <v/>
      </c>
      <c r="C515" s="549" t="s">
        <v>11186</v>
      </c>
      <c r="D515" s="549" t="s">
        <v>11187</v>
      </c>
      <c r="E515" s="8"/>
      <c r="F515" s="552" t="s">
        <v>11188</v>
      </c>
      <c r="G515" s="8"/>
      <c r="H515" s="8"/>
      <c r="I515" s="8"/>
      <c r="J515" s="546" t="str">
        <f t="array" ref="J515">IF(LEN($E515),INDEX('4-All Devices'!AE:AE, MATCH($E515, '4-All Devices'!AF:AF, 0)),"")</f>
        <v/>
      </c>
      <c r="K515" s="8"/>
      <c r="L515" s="8"/>
      <c r="M515" s="8"/>
    </row>
    <row r="516">
      <c r="A516" s="542"/>
      <c r="B516" s="551" t="str">
        <f t="array" ref="B516">IF(LEN(E516),INDEX('4-All Devices'!AG:AG, MATCH(E516, '4-All Devices'!AF:AF, 0)),"")</f>
        <v/>
      </c>
      <c r="C516" s="549" t="s">
        <v>11186</v>
      </c>
      <c r="D516" s="549" t="s">
        <v>11187</v>
      </c>
      <c r="E516" s="8"/>
      <c r="F516" s="552" t="s">
        <v>11188</v>
      </c>
      <c r="G516" s="8"/>
      <c r="H516" s="8"/>
      <c r="I516" s="8"/>
      <c r="J516" s="546" t="str">
        <f t="array" ref="J516">IF(LEN($E516),INDEX('4-All Devices'!AE:AE, MATCH($E516, '4-All Devices'!AF:AF, 0)),"")</f>
        <v/>
      </c>
      <c r="K516" s="8"/>
      <c r="L516" s="8"/>
      <c r="M516" s="8"/>
    </row>
    <row r="517">
      <c r="A517" s="542"/>
      <c r="B517" s="551" t="str">
        <f t="array" ref="B517">IF(LEN(E517),INDEX('4-All Devices'!AG:AG, MATCH(E517, '4-All Devices'!AF:AF, 0)),"")</f>
        <v/>
      </c>
      <c r="C517" s="549" t="s">
        <v>11186</v>
      </c>
      <c r="D517" s="549" t="s">
        <v>11187</v>
      </c>
      <c r="E517" s="8"/>
      <c r="F517" s="552" t="s">
        <v>11188</v>
      </c>
      <c r="G517" s="8"/>
      <c r="H517" s="8"/>
      <c r="I517" s="8"/>
      <c r="J517" s="546" t="str">
        <f t="array" ref="J517">IF(LEN($E517),INDEX('4-All Devices'!AE:AE, MATCH($E517, '4-All Devices'!AF:AF, 0)),"")</f>
        <v/>
      </c>
      <c r="K517" s="8"/>
      <c r="L517" s="8"/>
      <c r="M517" s="8"/>
    </row>
    <row r="518">
      <c r="A518" s="542"/>
      <c r="B518" s="551" t="str">
        <f t="array" ref="B518">IF(LEN(E518),INDEX('4-All Devices'!AG:AG, MATCH(E518, '4-All Devices'!AF:AF, 0)),"")</f>
        <v/>
      </c>
      <c r="C518" s="549" t="s">
        <v>11186</v>
      </c>
      <c r="D518" s="549" t="s">
        <v>11187</v>
      </c>
      <c r="E518" s="8"/>
      <c r="F518" s="552" t="s">
        <v>11188</v>
      </c>
      <c r="G518" s="8"/>
      <c r="H518" s="8"/>
      <c r="I518" s="8"/>
      <c r="J518" s="546" t="str">
        <f t="array" ref="J518">IF(LEN($E518),INDEX('4-All Devices'!AE:AE, MATCH($E518, '4-All Devices'!AF:AF, 0)),"")</f>
        <v/>
      </c>
      <c r="K518" s="8"/>
      <c r="L518" s="8"/>
      <c r="M518" s="8"/>
    </row>
    <row r="519">
      <c r="A519" s="542"/>
      <c r="B519" s="551" t="str">
        <f t="array" ref="B519">IF(LEN(E519),INDEX('4-All Devices'!AG:AG, MATCH(E519, '4-All Devices'!AF:AF, 0)),"")</f>
        <v/>
      </c>
      <c r="C519" s="549" t="s">
        <v>11186</v>
      </c>
      <c r="D519" s="549" t="s">
        <v>11187</v>
      </c>
      <c r="E519" s="8"/>
      <c r="F519" s="552" t="s">
        <v>11188</v>
      </c>
      <c r="G519" s="8"/>
      <c r="H519" s="8"/>
      <c r="I519" s="8"/>
      <c r="J519" s="546" t="str">
        <f t="array" ref="J519">IF(LEN($E519),INDEX('4-All Devices'!AE:AE, MATCH($E519, '4-All Devices'!AF:AF, 0)),"")</f>
        <v/>
      </c>
      <c r="K519" s="8"/>
      <c r="L519" s="8"/>
      <c r="M519" s="8"/>
    </row>
    <row r="520">
      <c r="A520" s="542"/>
      <c r="B520" s="551" t="str">
        <f t="array" ref="B520">IF(LEN(E520),INDEX('4-All Devices'!AG:AG, MATCH(E520, '4-All Devices'!AF:AF, 0)),"")</f>
        <v/>
      </c>
      <c r="C520" s="549" t="s">
        <v>11186</v>
      </c>
      <c r="D520" s="549" t="s">
        <v>11187</v>
      </c>
      <c r="E520" s="8"/>
      <c r="F520" s="552" t="s">
        <v>11188</v>
      </c>
      <c r="G520" s="8"/>
      <c r="H520" s="8"/>
      <c r="I520" s="8"/>
      <c r="J520" s="546" t="str">
        <f t="array" ref="J520">IF(LEN($E520),INDEX('4-All Devices'!AE:AE, MATCH($E520, '4-All Devices'!AF:AF, 0)),"")</f>
        <v/>
      </c>
      <c r="K520" s="8"/>
      <c r="L520" s="8"/>
      <c r="M520" s="8"/>
    </row>
    <row r="521">
      <c r="A521" s="542"/>
      <c r="B521" s="551" t="str">
        <f t="array" ref="B521">IF(LEN(E521),INDEX('4-All Devices'!AG:AG, MATCH(E521, '4-All Devices'!AF:AF, 0)),"")</f>
        <v/>
      </c>
      <c r="C521" s="549" t="s">
        <v>11186</v>
      </c>
      <c r="D521" s="549" t="s">
        <v>11187</v>
      </c>
      <c r="E521" s="8"/>
      <c r="F521" s="552" t="s">
        <v>11188</v>
      </c>
      <c r="G521" s="8"/>
      <c r="H521" s="8"/>
      <c r="I521" s="8"/>
      <c r="J521" s="546" t="str">
        <f t="array" ref="J521">IF(LEN($E521),INDEX('4-All Devices'!AE:AE, MATCH($E521, '4-All Devices'!AF:AF, 0)),"")</f>
        <v/>
      </c>
      <c r="K521" s="8"/>
      <c r="L521" s="8"/>
      <c r="M521" s="8"/>
    </row>
    <row r="522">
      <c r="A522" s="542"/>
      <c r="B522" s="551" t="str">
        <f t="array" ref="B522">IF(LEN(E522),INDEX('4-All Devices'!AG:AG, MATCH(E522, '4-All Devices'!AF:AF, 0)),"")</f>
        <v/>
      </c>
      <c r="C522" s="549" t="s">
        <v>11186</v>
      </c>
      <c r="D522" s="549" t="s">
        <v>11187</v>
      </c>
      <c r="E522" s="8"/>
      <c r="F522" s="552" t="s">
        <v>11188</v>
      </c>
      <c r="G522" s="8"/>
      <c r="H522" s="8"/>
      <c r="I522" s="8"/>
      <c r="J522" s="546" t="str">
        <f t="array" ref="J522">IF(LEN($E522),INDEX('4-All Devices'!AE:AE, MATCH($E522, '4-All Devices'!AF:AF, 0)),"")</f>
        <v/>
      </c>
      <c r="K522" s="8"/>
      <c r="L522" s="8"/>
      <c r="M522" s="8"/>
    </row>
    <row r="523">
      <c r="A523" s="542"/>
      <c r="B523" s="551" t="str">
        <f t="array" ref="B523">IF(LEN(E523),INDEX('4-All Devices'!AG:AG, MATCH(E523, '4-All Devices'!AF:AF, 0)),"")</f>
        <v/>
      </c>
      <c r="C523" s="549" t="s">
        <v>11186</v>
      </c>
      <c r="D523" s="549" t="s">
        <v>11187</v>
      </c>
      <c r="E523" s="8"/>
      <c r="F523" s="552" t="s">
        <v>11188</v>
      </c>
      <c r="G523" s="8"/>
      <c r="H523" s="8"/>
      <c r="I523" s="8"/>
      <c r="J523" s="546" t="str">
        <f t="array" ref="J523">IF(LEN($E523),INDEX('4-All Devices'!AE:AE, MATCH($E523, '4-All Devices'!AF:AF, 0)),"")</f>
        <v/>
      </c>
      <c r="K523" s="8"/>
      <c r="L523" s="8"/>
      <c r="M523" s="8"/>
    </row>
    <row r="524">
      <c r="A524" s="542"/>
      <c r="B524" s="551" t="str">
        <f t="array" ref="B524">IF(LEN(E524),INDEX('4-All Devices'!AG:AG, MATCH(E524, '4-All Devices'!AF:AF, 0)),"")</f>
        <v/>
      </c>
      <c r="C524" s="549" t="s">
        <v>11186</v>
      </c>
      <c r="D524" s="549" t="s">
        <v>11187</v>
      </c>
      <c r="E524" s="8"/>
      <c r="F524" s="552" t="s">
        <v>11188</v>
      </c>
      <c r="G524" s="8"/>
      <c r="H524" s="8"/>
      <c r="I524" s="8"/>
      <c r="J524" s="546" t="str">
        <f t="array" ref="J524">IF(LEN($E524),INDEX('4-All Devices'!AE:AE, MATCH($E524, '4-All Devices'!AF:AF, 0)),"")</f>
        <v/>
      </c>
      <c r="K524" s="8"/>
      <c r="L524" s="8"/>
      <c r="M524" s="8"/>
    </row>
    <row r="525">
      <c r="A525" s="542"/>
      <c r="B525" s="551" t="str">
        <f t="array" ref="B525">IF(LEN(E525),INDEX('4-All Devices'!AG:AG, MATCH(E525, '4-All Devices'!AF:AF, 0)),"")</f>
        <v/>
      </c>
      <c r="C525" s="549" t="s">
        <v>11186</v>
      </c>
      <c r="D525" s="549" t="s">
        <v>11187</v>
      </c>
      <c r="E525" s="8"/>
      <c r="F525" s="552" t="s">
        <v>11188</v>
      </c>
      <c r="G525" s="8"/>
      <c r="H525" s="8"/>
      <c r="I525" s="8"/>
      <c r="J525" s="546" t="str">
        <f t="array" ref="J525">IF(LEN($E525),INDEX('4-All Devices'!AE:AE, MATCH($E525, '4-All Devices'!AF:AF, 0)),"")</f>
        <v/>
      </c>
      <c r="K525" s="8"/>
      <c r="L525" s="8"/>
      <c r="M525" s="8"/>
    </row>
    <row r="526">
      <c r="A526" s="542"/>
      <c r="B526" s="551" t="str">
        <f t="array" ref="B526">IF(LEN(E526),INDEX('4-All Devices'!AG:AG, MATCH(E526, '4-All Devices'!AF:AF, 0)),"")</f>
        <v/>
      </c>
      <c r="C526" s="549" t="s">
        <v>11186</v>
      </c>
      <c r="D526" s="549" t="s">
        <v>11187</v>
      </c>
      <c r="E526" s="8"/>
      <c r="F526" s="552" t="s">
        <v>11188</v>
      </c>
      <c r="G526" s="8"/>
      <c r="H526" s="8"/>
      <c r="I526" s="8"/>
      <c r="J526" s="546" t="str">
        <f t="array" ref="J526">IF(LEN($E526),INDEX('4-All Devices'!AE:AE, MATCH($E526, '4-All Devices'!AF:AF, 0)),"")</f>
        <v/>
      </c>
      <c r="K526" s="8"/>
      <c r="L526" s="8"/>
      <c r="M526" s="8"/>
    </row>
    <row r="527">
      <c r="A527" s="542"/>
      <c r="B527" s="551" t="str">
        <f t="array" ref="B527">IF(LEN(E527),INDEX('4-All Devices'!AG:AG, MATCH(E527, '4-All Devices'!AF:AF, 0)),"")</f>
        <v/>
      </c>
      <c r="C527" s="549" t="s">
        <v>11186</v>
      </c>
      <c r="D527" s="549" t="s">
        <v>11187</v>
      </c>
      <c r="E527" s="8"/>
      <c r="F527" s="552" t="s">
        <v>11188</v>
      </c>
      <c r="G527" s="8"/>
      <c r="H527" s="8"/>
      <c r="I527" s="8"/>
      <c r="J527" s="546" t="str">
        <f t="array" ref="J527">IF(LEN($E527),INDEX('4-All Devices'!AE:AE, MATCH($E527, '4-All Devices'!AF:AF, 0)),"")</f>
        <v/>
      </c>
      <c r="K527" s="8"/>
      <c r="L527" s="8"/>
      <c r="M527" s="8"/>
    </row>
    <row r="528">
      <c r="A528" s="542"/>
      <c r="B528" s="551" t="str">
        <f t="array" ref="B528">IF(LEN(E528),INDEX('4-All Devices'!AG:AG, MATCH(E528, '4-All Devices'!AF:AF, 0)),"")</f>
        <v/>
      </c>
      <c r="C528" s="549" t="s">
        <v>11186</v>
      </c>
      <c r="D528" s="549" t="s">
        <v>11187</v>
      </c>
      <c r="E528" s="8"/>
      <c r="F528" s="552" t="s">
        <v>11188</v>
      </c>
      <c r="G528" s="8"/>
      <c r="H528" s="8"/>
      <c r="I528" s="8"/>
      <c r="J528" s="546" t="str">
        <f t="array" ref="J528">IF(LEN($E528),INDEX('4-All Devices'!AE:AE, MATCH($E528, '4-All Devices'!AF:AF, 0)),"")</f>
        <v/>
      </c>
      <c r="K528" s="8"/>
      <c r="L528" s="8"/>
      <c r="M528" s="8"/>
    </row>
    <row r="529">
      <c r="A529" s="542"/>
      <c r="B529" s="551" t="str">
        <f t="array" ref="B529">IF(LEN(E529),INDEX('4-All Devices'!AG:AG, MATCH(E529, '4-All Devices'!AF:AF, 0)),"")</f>
        <v/>
      </c>
      <c r="C529" s="549" t="s">
        <v>11186</v>
      </c>
      <c r="D529" s="549" t="s">
        <v>11187</v>
      </c>
      <c r="E529" s="8"/>
      <c r="F529" s="552" t="s">
        <v>11188</v>
      </c>
      <c r="G529" s="8"/>
      <c r="H529" s="8"/>
      <c r="I529" s="8"/>
      <c r="J529" s="546" t="str">
        <f t="array" ref="J529">IF(LEN($E529),INDEX('4-All Devices'!AE:AE, MATCH($E529, '4-All Devices'!AF:AF, 0)),"")</f>
        <v/>
      </c>
      <c r="K529" s="8"/>
      <c r="L529" s="8"/>
      <c r="M529" s="8"/>
    </row>
    <row r="530">
      <c r="A530" s="542"/>
      <c r="B530" s="551" t="str">
        <f t="array" ref="B530">IF(LEN(E530),INDEX('4-All Devices'!AG:AG, MATCH(E530, '4-All Devices'!AF:AF, 0)),"")</f>
        <v/>
      </c>
      <c r="C530" s="549" t="s">
        <v>11186</v>
      </c>
      <c r="D530" s="549" t="s">
        <v>11187</v>
      </c>
      <c r="E530" s="8"/>
      <c r="F530" s="552" t="s">
        <v>11188</v>
      </c>
      <c r="G530" s="8"/>
      <c r="H530" s="8"/>
      <c r="I530" s="8"/>
      <c r="J530" s="546" t="str">
        <f t="array" ref="J530">IF(LEN($E530),INDEX('4-All Devices'!AE:AE, MATCH($E530, '4-All Devices'!AF:AF, 0)),"")</f>
        <v/>
      </c>
      <c r="K530" s="8"/>
      <c r="L530" s="8"/>
      <c r="M530" s="8"/>
    </row>
    <row r="531">
      <c r="A531" s="542"/>
      <c r="B531" s="551" t="str">
        <f t="array" ref="B531">IF(LEN(E531),INDEX('4-All Devices'!AG:AG, MATCH(E531, '4-All Devices'!AF:AF, 0)),"")</f>
        <v/>
      </c>
      <c r="C531" s="549" t="s">
        <v>11186</v>
      </c>
      <c r="D531" s="549" t="s">
        <v>11187</v>
      </c>
      <c r="E531" s="8"/>
      <c r="F531" s="552" t="s">
        <v>11188</v>
      </c>
      <c r="G531" s="8"/>
      <c r="H531" s="8"/>
      <c r="I531" s="8"/>
      <c r="J531" s="546" t="str">
        <f t="array" ref="J531">IF(LEN($E531),INDEX('4-All Devices'!AE:AE, MATCH($E531, '4-All Devices'!AF:AF, 0)),"")</f>
        <v/>
      </c>
      <c r="K531" s="8"/>
      <c r="L531" s="8"/>
      <c r="M531" s="8"/>
    </row>
    <row r="532">
      <c r="A532" s="542"/>
      <c r="B532" s="551" t="str">
        <f t="array" ref="B532">IF(LEN(E532),INDEX('4-All Devices'!AG:AG, MATCH(E532, '4-All Devices'!AF:AF, 0)),"")</f>
        <v/>
      </c>
      <c r="C532" s="549" t="s">
        <v>11186</v>
      </c>
      <c r="D532" s="549" t="s">
        <v>11187</v>
      </c>
      <c r="E532" s="8"/>
      <c r="F532" s="552" t="s">
        <v>11188</v>
      </c>
      <c r="G532" s="8"/>
      <c r="H532" s="8"/>
      <c r="I532" s="8"/>
      <c r="J532" s="546" t="str">
        <f t="array" ref="J532">IF(LEN($E532),INDEX('4-All Devices'!AE:AE, MATCH($E532, '4-All Devices'!AF:AF, 0)),"")</f>
        <v/>
      </c>
      <c r="K532" s="8"/>
      <c r="L532" s="8"/>
      <c r="M532" s="8"/>
    </row>
    <row r="533">
      <c r="A533" s="542"/>
      <c r="B533" s="551" t="str">
        <f t="array" ref="B533">IF(LEN(E533),INDEX('4-All Devices'!AG:AG, MATCH(E533, '4-All Devices'!AF:AF, 0)),"")</f>
        <v/>
      </c>
      <c r="C533" s="549" t="s">
        <v>11186</v>
      </c>
      <c r="D533" s="549" t="s">
        <v>11187</v>
      </c>
      <c r="E533" s="8"/>
      <c r="F533" s="552" t="s">
        <v>11188</v>
      </c>
      <c r="G533" s="8"/>
      <c r="H533" s="8"/>
      <c r="I533" s="8"/>
      <c r="J533" s="546" t="str">
        <f t="array" ref="J533">IF(LEN($E533),INDEX('4-All Devices'!AE:AE, MATCH($E533, '4-All Devices'!AF:AF, 0)),"")</f>
        <v/>
      </c>
      <c r="K533" s="8"/>
      <c r="L533" s="8"/>
      <c r="M533" s="8"/>
    </row>
    <row r="534">
      <c r="A534" s="542"/>
      <c r="B534" s="551" t="str">
        <f t="array" ref="B534">IF(LEN(E534),INDEX('4-All Devices'!AG:AG, MATCH(E534, '4-All Devices'!AF:AF, 0)),"")</f>
        <v/>
      </c>
      <c r="C534" s="549" t="s">
        <v>11186</v>
      </c>
      <c r="D534" s="549" t="s">
        <v>11187</v>
      </c>
      <c r="E534" s="8"/>
      <c r="F534" s="552" t="s">
        <v>11188</v>
      </c>
      <c r="G534" s="8"/>
      <c r="H534" s="8"/>
      <c r="I534" s="8"/>
      <c r="J534" s="546" t="str">
        <f t="array" ref="J534">IF(LEN($E534),INDEX('4-All Devices'!AE:AE, MATCH($E534, '4-All Devices'!AF:AF, 0)),"")</f>
        <v/>
      </c>
      <c r="K534" s="8"/>
      <c r="L534" s="8"/>
      <c r="M534" s="8"/>
    </row>
    <row r="535">
      <c r="A535" s="542"/>
      <c r="B535" s="551" t="str">
        <f t="array" ref="B535">IF(LEN(E535),INDEX('4-All Devices'!AG:AG, MATCH(E535, '4-All Devices'!AF:AF, 0)),"")</f>
        <v/>
      </c>
      <c r="C535" s="549" t="s">
        <v>11186</v>
      </c>
      <c r="D535" s="549" t="s">
        <v>11187</v>
      </c>
      <c r="E535" s="8"/>
      <c r="F535" s="552" t="s">
        <v>11188</v>
      </c>
      <c r="G535" s="8"/>
      <c r="H535" s="8"/>
      <c r="I535" s="8"/>
      <c r="J535" s="546" t="str">
        <f t="array" ref="J535">IF(LEN($E535),INDEX('4-All Devices'!AE:AE, MATCH($E535, '4-All Devices'!AF:AF, 0)),"")</f>
        <v/>
      </c>
      <c r="K535" s="8"/>
      <c r="L535" s="8"/>
      <c r="M535" s="8"/>
    </row>
    <row r="536">
      <c r="A536" s="542"/>
      <c r="B536" s="551" t="str">
        <f t="array" ref="B536">IF(LEN(E536),INDEX('4-All Devices'!AG:AG, MATCH(E536, '4-All Devices'!AF:AF, 0)),"")</f>
        <v/>
      </c>
      <c r="C536" s="549" t="s">
        <v>11186</v>
      </c>
      <c r="D536" s="549" t="s">
        <v>11187</v>
      </c>
      <c r="E536" s="8"/>
      <c r="F536" s="552" t="s">
        <v>11188</v>
      </c>
      <c r="G536" s="8"/>
      <c r="H536" s="8"/>
      <c r="I536" s="8"/>
      <c r="J536" s="546" t="str">
        <f t="array" ref="J536">IF(LEN($E536),INDEX('4-All Devices'!AE:AE, MATCH($E536, '4-All Devices'!AF:AF, 0)),"")</f>
        <v/>
      </c>
      <c r="K536" s="8"/>
      <c r="L536" s="8"/>
      <c r="M536" s="8"/>
    </row>
    <row r="537">
      <c r="A537" s="542"/>
      <c r="B537" s="551" t="str">
        <f t="array" ref="B537">IF(LEN(E537),INDEX('4-All Devices'!AG:AG, MATCH(E537, '4-All Devices'!AF:AF, 0)),"")</f>
        <v/>
      </c>
      <c r="C537" s="549" t="s">
        <v>11186</v>
      </c>
      <c r="D537" s="549" t="s">
        <v>11187</v>
      </c>
      <c r="E537" s="8"/>
      <c r="F537" s="552" t="s">
        <v>11188</v>
      </c>
      <c r="G537" s="8"/>
      <c r="H537" s="8"/>
      <c r="I537" s="8"/>
      <c r="J537" s="546" t="str">
        <f t="array" ref="J537">IF(LEN($E537),INDEX('4-All Devices'!AE:AE, MATCH($E537, '4-All Devices'!AF:AF, 0)),"")</f>
        <v/>
      </c>
      <c r="K537" s="8"/>
      <c r="L537" s="8"/>
      <c r="M537" s="8"/>
    </row>
    <row r="538">
      <c r="A538" s="542"/>
      <c r="B538" s="551" t="str">
        <f t="array" ref="B538">IF(LEN(E538),INDEX('4-All Devices'!AG:AG, MATCH(E538, '4-All Devices'!AF:AF, 0)),"")</f>
        <v/>
      </c>
      <c r="C538" s="549" t="s">
        <v>11186</v>
      </c>
      <c r="D538" s="549" t="s">
        <v>11187</v>
      </c>
      <c r="E538" s="8"/>
      <c r="F538" s="552" t="s">
        <v>11188</v>
      </c>
      <c r="G538" s="8"/>
      <c r="H538" s="8"/>
      <c r="I538" s="8"/>
      <c r="J538" s="546" t="str">
        <f t="array" ref="J538">IF(LEN($E538),INDEX('4-All Devices'!AE:AE, MATCH($E538, '4-All Devices'!AF:AF, 0)),"")</f>
        <v/>
      </c>
      <c r="K538" s="8"/>
      <c r="L538" s="8"/>
      <c r="M538" s="8"/>
    </row>
    <row r="539">
      <c r="A539" s="542"/>
      <c r="B539" s="551" t="str">
        <f t="array" ref="B539">IF(LEN(E539),INDEX('4-All Devices'!AG:AG, MATCH(E539, '4-All Devices'!AF:AF, 0)),"")</f>
        <v/>
      </c>
      <c r="C539" s="549" t="s">
        <v>11186</v>
      </c>
      <c r="D539" s="549" t="s">
        <v>11187</v>
      </c>
      <c r="E539" s="8"/>
      <c r="F539" s="552" t="s">
        <v>11188</v>
      </c>
      <c r="G539" s="8"/>
      <c r="H539" s="8"/>
      <c r="I539" s="8"/>
      <c r="J539" s="546" t="str">
        <f t="array" ref="J539">IF(LEN($E539),INDEX('4-All Devices'!AE:AE, MATCH($E539, '4-All Devices'!AF:AF, 0)),"")</f>
        <v/>
      </c>
      <c r="K539" s="8"/>
      <c r="L539" s="8"/>
      <c r="M539" s="8"/>
    </row>
    <row r="540">
      <c r="A540" s="542"/>
      <c r="B540" s="551" t="str">
        <f t="array" ref="B540">IF(LEN(E540),INDEX('4-All Devices'!AG:AG, MATCH(E540, '4-All Devices'!AF:AF, 0)),"")</f>
        <v/>
      </c>
      <c r="C540" s="549" t="s">
        <v>11186</v>
      </c>
      <c r="D540" s="549" t="s">
        <v>11187</v>
      </c>
      <c r="E540" s="8"/>
      <c r="F540" s="552" t="s">
        <v>11188</v>
      </c>
      <c r="G540" s="8"/>
      <c r="H540" s="8"/>
      <c r="I540" s="8"/>
      <c r="J540" s="546" t="str">
        <f t="array" ref="J540">IF(LEN($E540),INDEX('4-All Devices'!AE:AE, MATCH($E540, '4-All Devices'!AF:AF, 0)),"")</f>
        <v/>
      </c>
      <c r="K540" s="8"/>
      <c r="L540" s="8"/>
      <c r="M540" s="8"/>
    </row>
    <row r="541">
      <c r="A541" s="542"/>
      <c r="B541" s="551" t="str">
        <f t="array" ref="B541">IF(LEN(E541),INDEX('4-All Devices'!AG:AG, MATCH(E541, '4-All Devices'!AF:AF, 0)),"")</f>
        <v/>
      </c>
      <c r="C541" s="549" t="s">
        <v>11186</v>
      </c>
      <c r="D541" s="549" t="s">
        <v>11187</v>
      </c>
      <c r="E541" s="8"/>
      <c r="F541" s="552" t="s">
        <v>11188</v>
      </c>
      <c r="G541" s="8"/>
      <c r="H541" s="8"/>
      <c r="I541" s="8"/>
      <c r="J541" s="546" t="str">
        <f t="array" ref="J541">IF(LEN($E541),INDEX('4-All Devices'!AE:AE, MATCH($E541, '4-All Devices'!AF:AF, 0)),"")</f>
        <v/>
      </c>
      <c r="K541" s="8"/>
      <c r="L541" s="8"/>
      <c r="M541" s="8"/>
    </row>
    <row r="542">
      <c r="A542" s="542"/>
      <c r="B542" s="551" t="str">
        <f t="array" ref="B542">IF(LEN(E542),INDEX('4-All Devices'!AG:AG, MATCH(E542, '4-All Devices'!AF:AF, 0)),"")</f>
        <v/>
      </c>
      <c r="C542" s="549" t="s">
        <v>11186</v>
      </c>
      <c r="D542" s="549" t="s">
        <v>11187</v>
      </c>
      <c r="E542" s="8"/>
      <c r="F542" s="552" t="s">
        <v>11188</v>
      </c>
      <c r="G542" s="8"/>
      <c r="H542" s="8"/>
      <c r="I542" s="8"/>
      <c r="J542" s="546" t="str">
        <f t="array" ref="J542">IF(LEN($E542),INDEX('4-All Devices'!AE:AE, MATCH($E542, '4-All Devices'!AF:AF, 0)),"")</f>
        <v/>
      </c>
      <c r="K542" s="8"/>
      <c r="L542" s="8"/>
      <c r="M542" s="8"/>
    </row>
    <row r="543">
      <c r="A543" s="542"/>
      <c r="B543" s="551" t="str">
        <f t="array" ref="B543">IF(LEN(E543),INDEX('4-All Devices'!AG:AG, MATCH(E543, '4-All Devices'!AF:AF, 0)),"")</f>
        <v/>
      </c>
      <c r="C543" s="549" t="s">
        <v>11186</v>
      </c>
      <c r="D543" s="549" t="s">
        <v>11187</v>
      </c>
      <c r="E543" s="8"/>
      <c r="F543" s="552" t="s">
        <v>11188</v>
      </c>
      <c r="G543" s="8"/>
      <c r="H543" s="8"/>
      <c r="I543" s="8"/>
      <c r="J543" s="546" t="str">
        <f t="array" ref="J543">IF(LEN($E543),INDEX('4-All Devices'!AE:AE, MATCH($E543, '4-All Devices'!AF:AF, 0)),"")</f>
        <v/>
      </c>
      <c r="K543" s="8"/>
      <c r="L543" s="8"/>
      <c r="M543" s="8"/>
    </row>
    <row r="544">
      <c r="A544" s="542"/>
      <c r="B544" s="551" t="str">
        <f t="array" ref="B544">IF(LEN(E544),INDEX('4-All Devices'!AG:AG, MATCH(E544, '4-All Devices'!AF:AF, 0)),"")</f>
        <v/>
      </c>
      <c r="C544" s="549" t="s">
        <v>11186</v>
      </c>
      <c r="D544" s="549" t="s">
        <v>11187</v>
      </c>
      <c r="E544" s="8"/>
      <c r="F544" s="552" t="s">
        <v>11188</v>
      </c>
      <c r="G544" s="8"/>
      <c r="H544" s="8"/>
      <c r="I544" s="8"/>
      <c r="J544" s="546" t="str">
        <f t="array" ref="J544">IF(LEN($E544),INDEX('4-All Devices'!AE:AE, MATCH($E544, '4-All Devices'!AF:AF, 0)),"")</f>
        <v/>
      </c>
      <c r="K544" s="8"/>
      <c r="L544" s="8"/>
      <c r="M544" s="8"/>
    </row>
    <row r="545">
      <c r="A545" s="542"/>
      <c r="B545" s="551" t="str">
        <f t="array" ref="B545">IF(LEN(E545),INDEX('4-All Devices'!AG:AG, MATCH(E545, '4-All Devices'!AF:AF, 0)),"")</f>
        <v/>
      </c>
      <c r="C545" s="549" t="s">
        <v>11186</v>
      </c>
      <c r="D545" s="549" t="s">
        <v>11187</v>
      </c>
      <c r="E545" s="8"/>
      <c r="F545" s="552" t="s">
        <v>11188</v>
      </c>
      <c r="G545" s="8"/>
      <c r="H545" s="8"/>
      <c r="I545" s="8"/>
      <c r="J545" s="546" t="str">
        <f t="array" ref="J545">IF(LEN($E545),INDEX('4-All Devices'!AE:AE, MATCH($E545, '4-All Devices'!AF:AF, 0)),"")</f>
        <v/>
      </c>
      <c r="K545" s="8"/>
      <c r="L545" s="8"/>
      <c r="M545" s="8"/>
    </row>
    <row r="546">
      <c r="A546" s="542"/>
      <c r="B546" s="551" t="str">
        <f t="array" ref="B546">IF(LEN(E546),INDEX('4-All Devices'!AG:AG, MATCH(E546, '4-All Devices'!AF:AF, 0)),"")</f>
        <v/>
      </c>
      <c r="C546" s="549" t="s">
        <v>11186</v>
      </c>
      <c r="D546" s="549" t="s">
        <v>11187</v>
      </c>
      <c r="E546" s="8"/>
      <c r="F546" s="552" t="s">
        <v>11188</v>
      </c>
      <c r="G546" s="8"/>
      <c r="H546" s="8"/>
      <c r="I546" s="8"/>
      <c r="J546" s="546" t="str">
        <f t="array" ref="J546">IF(LEN($E546),INDEX('4-All Devices'!AE:AE, MATCH($E546, '4-All Devices'!AF:AF, 0)),"")</f>
        <v/>
      </c>
      <c r="K546" s="8"/>
      <c r="L546" s="8"/>
      <c r="M546" s="8"/>
    </row>
    <row r="547">
      <c r="A547" s="542"/>
      <c r="B547" s="551" t="str">
        <f t="array" ref="B547">IF(LEN(E547),INDEX('4-All Devices'!AG:AG, MATCH(E547, '4-All Devices'!AF:AF, 0)),"")</f>
        <v/>
      </c>
      <c r="C547" s="549" t="s">
        <v>11186</v>
      </c>
      <c r="D547" s="549" t="s">
        <v>11187</v>
      </c>
      <c r="E547" s="8"/>
      <c r="F547" s="552" t="s">
        <v>11188</v>
      </c>
      <c r="G547" s="8"/>
      <c r="H547" s="8"/>
      <c r="I547" s="8"/>
      <c r="J547" s="546" t="str">
        <f t="array" ref="J547">IF(LEN($E547),INDEX('4-All Devices'!AE:AE, MATCH($E547, '4-All Devices'!AF:AF, 0)),"")</f>
        <v/>
      </c>
      <c r="K547" s="8"/>
      <c r="L547" s="8"/>
      <c r="M547" s="8"/>
    </row>
    <row r="548">
      <c r="A548" s="542"/>
      <c r="B548" s="551" t="str">
        <f t="array" ref="B548">IF(LEN(E548),INDEX('4-All Devices'!AG:AG, MATCH(E548, '4-All Devices'!AF:AF, 0)),"")</f>
        <v/>
      </c>
      <c r="C548" s="549" t="s">
        <v>11186</v>
      </c>
      <c r="D548" s="549" t="s">
        <v>11187</v>
      </c>
      <c r="E548" s="8"/>
      <c r="F548" s="552" t="s">
        <v>11188</v>
      </c>
      <c r="G548" s="8"/>
      <c r="H548" s="8"/>
      <c r="I548" s="8"/>
      <c r="J548" s="546" t="str">
        <f t="array" ref="J548">IF(LEN($E548),INDEX('4-All Devices'!AE:AE, MATCH($E548, '4-All Devices'!AF:AF, 0)),"")</f>
        <v/>
      </c>
      <c r="K548" s="8"/>
      <c r="L548" s="8"/>
      <c r="M548" s="8"/>
    </row>
    <row r="549">
      <c r="A549" s="542"/>
      <c r="B549" s="551" t="str">
        <f t="array" ref="B549">IF(LEN(E549),INDEX('4-All Devices'!AG:AG, MATCH(E549, '4-All Devices'!AF:AF, 0)),"")</f>
        <v/>
      </c>
      <c r="C549" s="549" t="s">
        <v>11186</v>
      </c>
      <c r="D549" s="549" t="s">
        <v>11187</v>
      </c>
      <c r="E549" s="8"/>
      <c r="F549" s="552" t="s">
        <v>11188</v>
      </c>
      <c r="G549" s="8"/>
      <c r="H549" s="8"/>
      <c r="I549" s="8"/>
      <c r="J549" s="546" t="str">
        <f t="array" ref="J549">IF(LEN($E549),INDEX('4-All Devices'!AE:AE, MATCH($E549, '4-All Devices'!AF:AF, 0)),"")</f>
        <v/>
      </c>
      <c r="K549" s="8"/>
      <c r="L549" s="8"/>
      <c r="M549" s="8"/>
    </row>
    <row r="550">
      <c r="A550" s="542"/>
      <c r="B550" s="551" t="str">
        <f t="array" ref="B550">IF(LEN(E550),INDEX('4-All Devices'!AG:AG, MATCH(E550, '4-All Devices'!AF:AF, 0)),"")</f>
        <v/>
      </c>
      <c r="C550" s="549" t="s">
        <v>11186</v>
      </c>
      <c r="D550" s="549" t="s">
        <v>11187</v>
      </c>
      <c r="E550" s="8"/>
      <c r="F550" s="552" t="s">
        <v>11188</v>
      </c>
      <c r="G550" s="8"/>
      <c r="H550" s="8"/>
      <c r="I550" s="8"/>
      <c r="J550" s="546" t="str">
        <f t="array" ref="J550">IF(LEN($E550),INDEX('4-All Devices'!AE:AE, MATCH($E550, '4-All Devices'!AF:AF, 0)),"")</f>
        <v/>
      </c>
      <c r="K550" s="8"/>
      <c r="L550" s="8"/>
      <c r="M550" s="8"/>
    </row>
    <row r="551">
      <c r="A551" s="542"/>
      <c r="B551" s="551" t="str">
        <f t="array" ref="B551">IF(LEN(E551),INDEX('4-All Devices'!AG:AG, MATCH(E551, '4-All Devices'!AF:AF, 0)),"")</f>
        <v/>
      </c>
      <c r="C551" s="549" t="s">
        <v>11186</v>
      </c>
      <c r="D551" s="549" t="s">
        <v>11187</v>
      </c>
      <c r="E551" s="8"/>
      <c r="F551" s="552" t="s">
        <v>11188</v>
      </c>
      <c r="G551" s="8"/>
      <c r="H551" s="8"/>
      <c r="I551" s="8"/>
      <c r="J551" s="546" t="str">
        <f t="array" ref="J551">IF(LEN($E551),INDEX('4-All Devices'!AE:AE, MATCH($E551, '4-All Devices'!AF:AF, 0)),"")</f>
        <v/>
      </c>
      <c r="K551" s="8"/>
      <c r="L551" s="8"/>
      <c r="M551" s="8"/>
    </row>
    <row r="552">
      <c r="A552" s="542"/>
      <c r="B552" s="551" t="str">
        <f t="array" ref="B552">IF(LEN(E552),INDEX('4-All Devices'!AG:AG, MATCH(E552, '4-All Devices'!AF:AF, 0)),"")</f>
        <v/>
      </c>
      <c r="C552" s="549" t="s">
        <v>11186</v>
      </c>
      <c r="D552" s="549" t="s">
        <v>11187</v>
      </c>
      <c r="E552" s="8"/>
      <c r="F552" s="552" t="s">
        <v>11188</v>
      </c>
      <c r="G552" s="8"/>
      <c r="H552" s="8"/>
      <c r="I552" s="8"/>
      <c r="J552" s="546" t="str">
        <f t="array" ref="J552">IF(LEN($E552),INDEX('4-All Devices'!AE:AE, MATCH($E552, '4-All Devices'!AF:AF, 0)),"")</f>
        <v/>
      </c>
      <c r="K552" s="8"/>
      <c r="L552" s="8"/>
      <c r="M552" s="8"/>
    </row>
    <row r="553">
      <c r="A553" s="542"/>
      <c r="B553" s="551" t="str">
        <f t="array" ref="B553">IF(LEN(E553),INDEX('4-All Devices'!AG:AG, MATCH(E553, '4-All Devices'!AF:AF, 0)),"")</f>
        <v/>
      </c>
      <c r="C553" s="549" t="s">
        <v>11186</v>
      </c>
      <c r="D553" s="549" t="s">
        <v>11187</v>
      </c>
      <c r="E553" s="8"/>
      <c r="F553" s="552" t="s">
        <v>11188</v>
      </c>
      <c r="G553" s="8"/>
      <c r="H553" s="8"/>
      <c r="I553" s="8"/>
      <c r="J553" s="546" t="str">
        <f t="array" ref="J553">IF(LEN($E553),INDEX('4-All Devices'!AE:AE, MATCH($E553, '4-All Devices'!AF:AF, 0)),"")</f>
        <v/>
      </c>
      <c r="K553" s="8"/>
      <c r="L553" s="8"/>
      <c r="M553" s="8"/>
    </row>
    <row r="554">
      <c r="A554" s="542"/>
      <c r="B554" s="551" t="str">
        <f t="array" ref="B554">IF(LEN(E554),INDEX('4-All Devices'!AG:AG, MATCH(E554, '4-All Devices'!AF:AF, 0)),"")</f>
        <v/>
      </c>
      <c r="C554" s="549" t="s">
        <v>11186</v>
      </c>
      <c r="D554" s="549" t="s">
        <v>11187</v>
      </c>
      <c r="E554" s="8"/>
      <c r="F554" s="552" t="s">
        <v>11188</v>
      </c>
      <c r="G554" s="8"/>
      <c r="H554" s="8"/>
      <c r="I554" s="8"/>
      <c r="J554" s="546" t="str">
        <f t="array" ref="J554">IF(LEN($E554),INDEX('4-All Devices'!AE:AE, MATCH($E554, '4-All Devices'!AF:AF, 0)),"")</f>
        <v/>
      </c>
      <c r="K554" s="8"/>
      <c r="L554" s="8"/>
      <c r="M554" s="8"/>
    </row>
    <row r="555">
      <c r="A555" s="542"/>
      <c r="B555" s="551" t="str">
        <f t="array" ref="B555">IF(LEN(E555),INDEX('4-All Devices'!AG:AG, MATCH(E555, '4-All Devices'!AF:AF, 0)),"")</f>
        <v/>
      </c>
      <c r="C555" s="549" t="s">
        <v>11186</v>
      </c>
      <c r="D555" s="549" t="s">
        <v>11187</v>
      </c>
      <c r="E555" s="8"/>
      <c r="F555" s="552" t="s">
        <v>11188</v>
      </c>
      <c r="G555" s="8"/>
      <c r="H555" s="8"/>
      <c r="I555" s="8"/>
      <c r="J555" s="546" t="str">
        <f t="array" ref="J555">IF(LEN($E555),INDEX('4-All Devices'!AE:AE, MATCH($E555, '4-All Devices'!AF:AF, 0)),"")</f>
        <v/>
      </c>
      <c r="K555" s="8"/>
      <c r="L555" s="8"/>
      <c r="M555" s="8"/>
    </row>
    <row r="556">
      <c r="A556" s="542"/>
      <c r="B556" s="551" t="str">
        <f t="array" ref="B556">IF(LEN(E556),INDEX('4-All Devices'!AG:AG, MATCH(E556, '4-All Devices'!AF:AF, 0)),"")</f>
        <v/>
      </c>
      <c r="C556" s="549" t="s">
        <v>11186</v>
      </c>
      <c r="D556" s="549" t="s">
        <v>11187</v>
      </c>
      <c r="E556" s="8"/>
      <c r="F556" s="552" t="s">
        <v>11188</v>
      </c>
      <c r="G556" s="8"/>
      <c r="H556" s="8"/>
      <c r="I556" s="8"/>
      <c r="J556" s="546" t="str">
        <f t="array" ref="J556">IF(LEN($E556),INDEX('4-All Devices'!AE:AE, MATCH($E556, '4-All Devices'!AF:AF, 0)),"")</f>
        <v/>
      </c>
      <c r="K556" s="8"/>
      <c r="L556" s="8"/>
      <c r="M556" s="8"/>
    </row>
    <row r="557">
      <c r="A557" s="542"/>
      <c r="B557" s="551" t="str">
        <f t="array" ref="B557">IF(LEN(E557),INDEX('4-All Devices'!AG:AG, MATCH(E557, '4-All Devices'!AF:AF, 0)),"")</f>
        <v/>
      </c>
      <c r="C557" s="549" t="s">
        <v>11186</v>
      </c>
      <c r="D557" s="549" t="s">
        <v>11187</v>
      </c>
      <c r="E557" s="8"/>
      <c r="F557" s="552" t="s">
        <v>11188</v>
      </c>
      <c r="G557" s="8"/>
      <c r="H557" s="8"/>
      <c r="I557" s="8"/>
      <c r="J557" s="546" t="str">
        <f t="array" ref="J557">IF(LEN($E557),INDEX('4-All Devices'!AE:AE, MATCH($E557, '4-All Devices'!AF:AF, 0)),"")</f>
        <v/>
      </c>
      <c r="K557" s="8"/>
      <c r="L557" s="8"/>
      <c r="M557" s="8"/>
    </row>
    <row r="558">
      <c r="A558" s="542"/>
      <c r="B558" s="551" t="str">
        <f t="array" ref="B558">IF(LEN(E558),INDEX('4-All Devices'!AG:AG, MATCH(E558, '4-All Devices'!AF:AF, 0)),"")</f>
        <v/>
      </c>
      <c r="C558" s="549" t="s">
        <v>11186</v>
      </c>
      <c r="D558" s="549" t="s">
        <v>11187</v>
      </c>
      <c r="E558" s="8"/>
      <c r="F558" s="552" t="s">
        <v>11188</v>
      </c>
      <c r="G558" s="8"/>
      <c r="H558" s="8"/>
      <c r="I558" s="8"/>
      <c r="J558" s="546" t="str">
        <f t="array" ref="J558">IF(LEN($E558),INDEX('4-All Devices'!AE:AE, MATCH($E558, '4-All Devices'!AF:AF, 0)),"")</f>
        <v/>
      </c>
      <c r="K558" s="8"/>
      <c r="L558" s="8"/>
      <c r="M558" s="8"/>
    </row>
    <row r="559">
      <c r="A559" s="542"/>
      <c r="B559" s="551" t="str">
        <f t="array" ref="B559">IF(LEN(E559),INDEX('4-All Devices'!AG:AG, MATCH(E559, '4-All Devices'!AF:AF, 0)),"")</f>
        <v/>
      </c>
      <c r="C559" s="549" t="s">
        <v>11186</v>
      </c>
      <c r="D559" s="549" t="s">
        <v>11187</v>
      </c>
      <c r="E559" s="8"/>
      <c r="F559" s="552" t="s">
        <v>11188</v>
      </c>
      <c r="G559" s="8"/>
      <c r="H559" s="8"/>
      <c r="I559" s="8"/>
      <c r="J559" s="546" t="str">
        <f t="array" ref="J559">IF(LEN($E559),INDEX('4-All Devices'!AE:AE, MATCH($E559, '4-All Devices'!AF:AF, 0)),"")</f>
        <v/>
      </c>
      <c r="K559" s="8"/>
      <c r="L559" s="8"/>
      <c r="M559" s="8"/>
    </row>
    <row r="560">
      <c r="A560" s="542"/>
      <c r="B560" s="551" t="str">
        <f t="array" ref="B560">IF(LEN(E560),INDEX('4-All Devices'!AG:AG, MATCH(E560, '4-All Devices'!AF:AF, 0)),"")</f>
        <v/>
      </c>
      <c r="C560" s="549" t="s">
        <v>11186</v>
      </c>
      <c r="D560" s="549" t="s">
        <v>11187</v>
      </c>
      <c r="E560" s="8"/>
      <c r="F560" s="552" t="s">
        <v>11188</v>
      </c>
      <c r="G560" s="8"/>
      <c r="H560" s="8"/>
      <c r="I560" s="8"/>
      <c r="J560" s="546" t="str">
        <f t="array" ref="J560">IF(LEN($E560),INDEX('4-All Devices'!AE:AE, MATCH($E560, '4-All Devices'!AF:AF, 0)),"")</f>
        <v/>
      </c>
      <c r="K560" s="8"/>
      <c r="L560" s="8"/>
      <c r="M560" s="8"/>
    </row>
    <row r="561">
      <c r="A561" s="542"/>
      <c r="B561" s="551" t="str">
        <f t="array" ref="B561">IF(LEN(E561),INDEX('4-All Devices'!AG:AG, MATCH(E561, '4-All Devices'!AF:AF, 0)),"")</f>
        <v/>
      </c>
      <c r="C561" s="549" t="s">
        <v>11186</v>
      </c>
      <c r="D561" s="549" t="s">
        <v>11187</v>
      </c>
      <c r="E561" s="8"/>
      <c r="F561" s="552" t="s">
        <v>11188</v>
      </c>
      <c r="G561" s="8"/>
      <c r="H561" s="8"/>
      <c r="I561" s="8"/>
      <c r="J561" s="546" t="str">
        <f t="array" ref="J561">IF(LEN($E561),INDEX('4-All Devices'!AE:AE, MATCH($E561, '4-All Devices'!AF:AF, 0)),"")</f>
        <v/>
      </c>
      <c r="K561" s="8"/>
      <c r="L561" s="8"/>
      <c r="M561" s="8"/>
    </row>
    <row r="562">
      <c r="A562" s="542"/>
      <c r="B562" s="551" t="str">
        <f t="array" ref="B562">IF(LEN(E562),INDEX('4-All Devices'!AG:AG, MATCH(E562, '4-All Devices'!AF:AF, 0)),"")</f>
        <v/>
      </c>
      <c r="C562" s="549" t="s">
        <v>11186</v>
      </c>
      <c r="D562" s="549" t="s">
        <v>11187</v>
      </c>
      <c r="E562" s="8"/>
      <c r="F562" s="552" t="s">
        <v>11188</v>
      </c>
      <c r="G562" s="8"/>
      <c r="H562" s="8"/>
      <c r="I562" s="8"/>
      <c r="J562" s="546" t="str">
        <f t="array" ref="J562">IF(LEN($E562),INDEX('4-All Devices'!AE:AE, MATCH($E562, '4-All Devices'!AF:AF, 0)),"")</f>
        <v/>
      </c>
      <c r="K562" s="8"/>
      <c r="L562" s="8"/>
      <c r="M562" s="8"/>
    </row>
    <row r="563">
      <c r="A563" s="542"/>
      <c r="B563" s="551" t="str">
        <f t="array" ref="B563">IF(LEN(E563),INDEX('4-All Devices'!AG:AG, MATCH(E563, '4-All Devices'!AF:AF, 0)),"")</f>
        <v/>
      </c>
      <c r="C563" s="549" t="s">
        <v>11186</v>
      </c>
      <c r="D563" s="549" t="s">
        <v>11187</v>
      </c>
      <c r="E563" s="8"/>
      <c r="F563" s="552" t="s">
        <v>11188</v>
      </c>
      <c r="G563" s="8"/>
      <c r="H563" s="8"/>
      <c r="I563" s="8"/>
      <c r="J563" s="546" t="str">
        <f t="array" ref="J563">IF(LEN($E563),INDEX('4-All Devices'!AE:AE, MATCH($E563, '4-All Devices'!AF:AF, 0)),"")</f>
        <v/>
      </c>
      <c r="K563" s="8"/>
      <c r="L563" s="8"/>
      <c r="M563" s="8"/>
    </row>
    <row r="564">
      <c r="A564" s="542"/>
      <c r="B564" s="551" t="str">
        <f t="array" ref="B564">IF(LEN(E564),INDEX('4-All Devices'!AG:AG, MATCH(E564, '4-All Devices'!AF:AF, 0)),"")</f>
        <v/>
      </c>
      <c r="C564" s="549" t="s">
        <v>11186</v>
      </c>
      <c r="D564" s="549" t="s">
        <v>11187</v>
      </c>
      <c r="E564" s="8"/>
      <c r="F564" s="552" t="s">
        <v>11188</v>
      </c>
      <c r="G564" s="8"/>
      <c r="H564" s="8"/>
      <c r="I564" s="8"/>
      <c r="J564" s="546" t="str">
        <f t="array" ref="J564">IF(LEN($E564),INDEX('4-All Devices'!AE:AE, MATCH($E564, '4-All Devices'!AF:AF, 0)),"")</f>
        <v/>
      </c>
      <c r="K564" s="8"/>
      <c r="L564" s="8"/>
      <c r="M564" s="8"/>
    </row>
    <row r="565">
      <c r="A565" s="542"/>
      <c r="B565" s="551" t="str">
        <f t="array" ref="B565">IF(LEN(E565),INDEX('4-All Devices'!AG:AG, MATCH(E565, '4-All Devices'!AF:AF, 0)),"")</f>
        <v/>
      </c>
      <c r="C565" s="549" t="s">
        <v>11186</v>
      </c>
      <c r="D565" s="549" t="s">
        <v>11187</v>
      </c>
      <c r="E565" s="8"/>
      <c r="F565" s="552" t="s">
        <v>11188</v>
      </c>
      <c r="G565" s="8"/>
      <c r="H565" s="8"/>
      <c r="I565" s="8"/>
      <c r="J565" s="546" t="str">
        <f t="array" ref="J565">IF(LEN($E565),INDEX('4-All Devices'!AE:AE, MATCH($E565, '4-All Devices'!AF:AF, 0)),"")</f>
        <v/>
      </c>
      <c r="K565" s="8"/>
      <c r="L565" s="8"/>
      <c r="M565" s="8"/>
    </row>
    <row r="566">
      <c r="A566" s="542"/>
      <c r="B566" s="551" t="str">
        <f t="array" ref="B566">IF(LEN(E566),INDEX('4-All Devices'!AG:AG, MATCH(E566, '4-All Devices'!AF:AF, 0)),"")</f>
        <v/>
      </c>
      <c r="C566" s="549" t="s">
        <v>11186</v>
      </c>
      <c r="D566" s="549" t="s">
        <v>11187</v>
      </c>
      <c r="E566" s="8"/>
      <c r="F566" s="552" t="s">
        <v>11188</v>
      </c>
      <c r="G566" s="8"/>
      <c r="H566" s="8"/>
      <c r="I566" s="8"/>
      <c r="J566" s="546" t="str">
        <f t="array" ref="J566">IF(LEN($E566),INDEX('4-All Devices'!AE:AE, MATCH($E566, '4-All Devices'!AF:AF, 0)),"")</f>
        <v/>
      </c>
      <c r="K566" s="8"/>
      <c r="L566" s="8"/>
      <c r="M566" s="8"/>
    </row>
    <row r="567">
      <c r="A567" s="542"/>
      <c r="B567" s="551" t="str">
        <f t="array" ref="B567">IF(LEN(E567),INDEX('4-All Devices'!AG:AG, MATCH(E567, '4-All Devices'!AF:AF, 0)),"")</f>
        <v/>
      </c>
      <c r="C567" s="549" t="s">
        <v>11186</v>
      </c>
      <c r="D567" s="549" t="s">
        <v>11187</v>
      </c>
      <c r="E567" s="8"/>
      <c r="F567" s="552" t="s">
        <v>11188</v>
      </c>
      <c r="G567" s="8"/>
      <c r="H567" s="8"/>
      <c r="I567" s="8"/>
      <c r="J567" s="546" t="str">
        <f t="array" ref="J567">IF(LEN($E567),INDEX('4-All Devices'!AE:AE, MATCH($E567, '4-All Devices'!AF:AF, 0)),"")</f>
        <v/>
      </c>
      <c r="K567" s="8"/>
      <c r="L567" s="8"/>
      <c r="M567" s="8"/>
    </row>
    <row r="568">
      <c r="A568" s="542"/>
      <c r="B568" s="551" t="str">
        <f t="array" ref="B568">IF(LEN(E568),INDEX('4-All Devices'!AG:AG, MATCH(E568, '4-All Devices'!AF:AF, 0)),"")</f>
        <v/>
      </c>
      <c r="C568" s="549" t="s">
        <v>11186</v>
      </c>
      <c r="D568" s="549" t="s">
        <v>11187</v>
      </c>
      <c r="E568" s="8"/>
      <c r="F568" s="552" t="s">
        <v>11188</v>
      </c>
      <c r="G568" s="8"/>
      <c r="H568" s="8"/>
      <c r="I568" s="8"/>
      <c r="J568" s="546" t="str">
        <f t="array" ref="J568">IF(LEN($E568),INDEX('4-All Devices'!AE:AE, MATCH($E568, '4-All Devices'!AF:AF, 0)),"")</f>
        <v/>
      </c>
      <c r="K568" s="8"/>
      <c r="L568" s="8"/>
      <c r="M568" s="8"/>
    </row>
    <row r="569">
      <c r="A569" s="542"/>
      <c r="B569" s="551" t="str">
        <f t="array" ref="B569">IF(LEN(E569),INDEX('4-All Devices'!AG:AG, MATCH(E569, '4-All Devices'!AF:AF, 0)),"")</f>
        <v/>
      </c>
      <c r="C569" s="549" t="s">
        <v>11186</v>
      </c>
      <c r="D569" s="549" t="s">
        <v>11187</v>
      </c>
      <c r="E569" s="8"/>
      <c r="F569" s="552" t="s">
        <v>11188</v>
      </c>
      <c r="G569" s="8"/>
      <c r="H569" s="8"/>
      <c r="I569" s="8"/>
      <c r="J569" s="546" t="str">
        <f t="array" ref="J569">IF(LEN($E569),INDEX('4-All Devices'!AE:AE, MATCH($E569, '4-All Devices'!AF:AF, 0)),"")</f>
        <v/>
      </c>
      <c r="K569" s="8"/>
      <c r="L569" s="8"/>
      <c r="M569" s="8"/>
    </row>
    <row r="570">
      <c r="A570" s="542"/>
      <c r="B570" s="551" t="str">
        <f t="array" ref="B570">IF(LEN(E570),INDEX('4-All Devices'!AG:AG, MATCH(E570, '4-All Devices'!AF:AF, 0)),"")</f>
        <v/>
      </c>
      <c r="C570" s="549" t="s">
        <v>11186</v>
      </c>
      <c r="D570" s="549" t="s">
        <v>11187</v>
      </c>
      <c r="E570" s="8"/>
      <c r="F570" s="552" t="s">
        <v>11188</v>
      </c>
      <c r="G570" s="8"/>
      <c r="H570" s="8"/>
      <c r="I570" s="8"/>
      <c r="J570" s="546" t="str">
        <f t="array" ref="J570">IF(LEN($E570),INDEX('4-All Devices'!AE:AE, MATCH($E570, '4-All Devices'!AF:AF, 0)),"")</f>
        <v/>
      </c>
      <c r="K570" s="8"/>
      <c r="L570" s="8"/>
      <c r="M570" s="8"/>
    </row>
    <row r="571">
      <c r="A571" s="542"/>
      <c r="B571" s="551" t="str">
        <f t="array" ref="B571">IF(LEN(E571),INDEX('4-All Devices'!AG:AG, MATCH(E571, '4-All Devices'!AF:AF, 0)),"")</f>
        <v/>
      </c>
      <c r="C571" s="549" t="s">
        <v>11186</v>
      </c>
      <c r="D571" s="549" t="s">
        <v>11187</v>
      </c>
      <c r="E571" s="8"/>
      <c r="F571" s="552" t="s">
        <v>11188</v>
      </c>
      <c r="G571" s="8"/>
      <c r="H571" s="8"/>
      <c r="I571" s="8"/>
      <c r="J571" s="546" t="str">
        <f t="array" ref="J571">IF(LEN($E571),INDEX('4-All Devices'!AE:AE, MATCH($E571, '4-All Devices'!AF:AF, 0)),"")</f>
        <v/>
      </c>
      <c r="K571" s="8"/>
      <c r="L571" s="8"/>
      <c r="M571" s="8"/>
    </row>
    <row r="572">
      <c r="A572" s="542"/>
      <c r="B572" s="551" t="str">
        <f t="array" ref="B572">IF(LEN(E572),INDEX('4-All Devices'!AG:AG, MATCH(E572, '4-All Devices'!AF:AF, 0)),"")</f>
        <v/>
      </c>
      <c r="C572" s="549" t="s">
        <v>11186</v>
      </c>
      <c r="D572" s="549" t="s">
        <v>11187</v>
      </c>
      <c r="E572" s="8"/>
      <c r="F572" s="552" t="s">
        <v>11188</v>
      </c>
      <c r="G572" s="8"/>
      <c r="H572" s="8"/>
      <c r="I572" s="8"/>
      <c r="J572" s="546" t="str">
        <f t="array" ref="J572">IF(LEN($E572),INDEX('4-All Devices'!AE:AE, MATCH($E572, '4-All Devices'!AF:AF, 0)),"")</f>
        <v/>
      </c>
      <c r="K572" s="8"/>
      <c r="L572" s="8"/>
      <c r="M572" s="8"/>
    </row>
    <row r="573">
      <c r="A573" s="542"/>
      <c r="B573" s="551" t="str">
        <f t="array" ref="B573">IF(LEN(E573),INDEX('4-All Devices'!AG:AG, MATCH(E573, '4-All Devices'!AF:AF, 0)),"")</f>
        <v/>
      </c>
      <c r="C573" s="549" t="s">
        <v>11186</v>
      </c>
      <c r="D573" s="549" t="s">
        <v>11187</v>
      </c>
      <c r="E573" s="8"/>
      <c r="F573" s="552" t="s">
        <v>11188</v>
      </c>
      <c r="G573" s="8"/>
      <c r="H573" s="8"/>
      <c r="I573" s="8"/>
      <c r="J573" s="546" t="str">
        <f t="array" ref="J573">IF(LEN($E573),INDEX('4-All Devices'!AE:AE, MATCH($E573, '4-All Devices'!AF:AF, 0)),"")</f>
        <v/>
      </c>
      <c r="K573" s="8"/>
      <c r="L573" s="8"/>
      <c r="M573" s="8"/>
    </row>
    <row r="574">
      <c r="A574" s="542"/>
      <c r="B574" s="551" t="str">
        <f t="array" ref="B574">IF(LEN(E574),INDEX('4-All Devices'!AG:AG, MATCH(E574, '4-All Devices'!AF:AF, 0)),"")</f>
        <v/>
      </c>
      <c r="C574" s="549" t="s">
        <v>11186</v>
      </c>
      <c r="D574" s="549" t="s">
        <v>11187</v>
      </c>
      <c r="E574" s="8"/>
      <c r="F574" s="552" t="s">
        <v>11188</v>
      </c>
      <c r="G574" s="8"/>
      <c r="H574" s="8"/>
      <c r="I574" s="8"/>
      <c r="J574" s="546" t="str">
        <f t="array" ref="J574">IF(LEN($E574),INDEX('4-All Devices'!AE:AE, MATCH($E574, '4-All Devices'!AF:AF, 0)),"")</f>
        <v/>
      </c>
      <c r="K574" s="8"/>
      <c r="L574" s="8"/>
      <c r="M574" s="8"/>
    </row>
    <row r="575">
      <c r="A575" s="542"/>
      <c r="B575" s="551" t="str">
        <f t="array" ref="B575">IF(LEN(E575),INDEX('4-All Devices'!AG:AG, MATCH(E575, '4-All Devices'!AF:AF, 0)),"")</f>
        <v/>
      </c>
      <c r="C575" s="549" t="s">
        <v>11186</v>
      </c>
      <c r="D575" s="549" t="s">
        <v>11187</v>
      </c>
      <c r="E575" s="8"/>
      <c r="F575" s="552" t="s">
        <v>11188</v>
      </c>
      <c r="G575" s="8"/>
      <c r="H575" s="8"/>
      <c r="I575" s="8"/>
      <c r="J575" s="546" t="str">
        <f t="array" ref="J575">IF(LEN($E575),INDEX('4-All Devices'!AE:AE, MATCH($E575, '4-All Devices'!AF:AF, 0)),"")</f>
        <v/>
      </c>
      <c r="K575" s="8"/>
      <c r="L575" s="8"/>
      <c r="M575" s="8"/>
    </row>
    <row r="576">
      <c r="A576" s="542"/>
      <c r="B576" s="551" t="str">
        <f t="array" ref="B576">IF(LEN(E576),INDEX('4-All Devices'!AG:AG, MATCH(E576, '4-All Devices'!AF:AF, 0)),"")</f>
        <v/>
      </c>
      <c r="C576" s="549" t="s">
        <v>11186</v>
      </c>
      <c r="D576" s="549" t="s">
        <v>11187</v>
      </c>
      <c r="E576" s="8"/>
      <c r="F576" s="552" t="s">
        <v>11188</v>
      </c>
      <c r="G576" s="8"/>
      <c r="H576" s="8"/>
      <c r="I576" s="8"/>
      <c r="J576" s="546" t="str">
        <f t="array" ref="J576">IF(LEN($E576),INDEX('4-All Devices'!AE:AE, MATCH($E576, '4-All Devices'!AF:AF, 0)),"")</f>
        <v/>
      </c>
      <c r="K576" s="8"/>
      <c r="L576" s="8"/>
      <c r="M576" s="8"/>
    </row>
    <row r="577">
      <c r="A577" s="542"/>
      <c r="B577" s="551" t="str">
        <f t="array" ref="B577">IF(LEN(E577),INDEX('4-All Devices'!AG:AG, MATCH(E577, '4-All Devices'!AF:AF, 0)),"")</f>
        <v/>
      </c>
      <c r="C577" s="549" t="s">
        <v>11186</v>
      </c>
      <c r="D577" s="549" t="s">
        <v>11187</v>
      </c>
      <c r="E577" s="8"/>
      <c r="F577" s="552" t="s">
        <v>11188</v>
      </c>
      <c r="G577" s="8"/>
      <c r="H577" s="8"/>
      <c r="I577" s="8"/>
      <c r="J577" s="546" t="str">
        <f t="array" ref="J577">IF(LEN($E577),INDEX('4-All Devices'!AE:AE, MATCH($E577, '4-All Devices'!AF:AF, 0)),"")</f>
        <v/>
      </c>
      <c r="K577" s="8"/>
      <c r="L577" s="8"/>
      <c r="M577" s="8"/>
    </row>
    <row r="578">
      <c r="A578" s="542"/>
      <c r="B578" s="551" t="str">
        <f t="array" ref="B578">IF(LEN(E578),INDEX('4-All Devices'!AG:AG, MATCH(E578, '4-All Devices'!AF:AF, 0)),"")</f>
        <v/>
      </c>
      <c r="C578" s="549" t="s">
        <v>11186</v>
      </c>
      <c r="D578" s="549" t="s">
        <v>11187</v>
      </c>
      <c r="E578" s="8"/>
      <c r="F578" s="552" t="s">
        <v>11188</v>
      </c>
      <c r="G578" s="8"/>
      <c r="H578" s="8"/>
      <c r="I578" s="8"/>
      <c r="J578" s="546" t="str">
        <f t="array" ref="J578">IF(LEN($E578),INDEX('4-All Devices'!AE:AE, MATCH($E578, '4-All Devices'!AF:AF, 0)),"")</f>
        <v/>
      </c>
      <c r="K578" s="8"/>
      <c r="L578" s="8"/>
      <c r="M578" s="8"/>
    </row>
    <row r="579">
      <c r="A579" s="542"/>
      <c r="B579" s="551" t="str">
        <f t="array" ref="B579">IF(LEN(E579),INDEX('4-All Devices'!AG:AG, MATCH(E579, '4-All Devices'!AF:AF, 0)),"")</f>
        <v/>
      </c>
      <c r="C579" s="549" t="s">
        <v>11186</v>
      </c>
      <c r="D579" s="549" t="s">
        <v>11187</v>
      </c>
      <c r="E579" s="8"/>
      <c r="F579" s="552" t="s">
        <v>11188</v>
      </c>
      <c r="G579" s="8"/>
      <c r="H579" s="8"/>
      <c r="I579" s="8"/>
      <c r="J579" s="546" t="str">
        <f t="array" ref="J579">IF(LEN($E579),INDEX('4-All Devices'!AE:AE, MATCH($E579, '4-All Devices'!AF:AF, 0)),"")</f>
        <v/>
      </c>
      <c r="K579" s="8"/>
      <c r="L579" s="8"/>
      <c r="M579" s="8"/>
    </row>
    <row r="580">
      <c r="A580" s="542"/>
      <c r="B580" s="551" t="str">
        <f t="array" ref="B580">IF(LEN(E580),INDEX('4-All Devices'!AG:AG, MATCH(E580, '4-All Devices'!AF:AF, 0)),"")</f>
        <v/>
      </c>
      <c r="C580" s="549" t="s">
        <v>11186</v>
      </c>
      <c r="D580" s="549" t="s">
        <v>11187</v>
      </c>
      <c r="E580" s="8"/>
      <c r="F580" s="552" t="s">
        <v>11188</v>
      </c>
      <c r="G580" s="8"/>
      <c r="H580" s="8"/>
      <c r="I580" s="8"/>
      <c r="J580" s="546" t="str">
        <f t="array" ref="J580">IF(LEN($E580),INDEX('4-All Devices'!AE:AE, MATCH($E580, '4-All Devices'!AF:AF, 0)),"")</f>
        <v/>
      </c>
      <c r="K580" s="8"/>
      <c r="L580" s="8"/>
      <c r="M580" s="8"/>
    </row>
    <row r="581">
      <c r="A581" s="542"/>
      <c r="B581" s="551" t="str">
        <f t="array" ref="B581">IF(LEN(E581),INDEX('4-All Devices'!AG:AG, MATCH(E581, '4-All Devices'!AF:AF, 0)),"")</f>
        <v/>
      </c>
      <c r="C581" s="549" t="s">
        <v>11186</v>
      </c>
      <c r="D581" s="549" t="s">
        <v>11187</v>
      </c>
      <c r="E581" s="8"/>
      <c r="F581" s="552" t="s">
        <v>11188</v>
      </c>
      <c r="G581" s="8"/>
      <c r="H581" s="8"/>
      <c r="I581" s="8"/>
      <c r="J581" s="546" t="str">
        <f t="array" ref="J581">IF(LEN($E581),INDEX('4-All Devices'!AE:AE, MATCH($E581, '4-All Devices'!AF:AF, 0)),"")</f>
        <v/>
      </c>
      <c r="K581" s="8"/>
      <c r="L581" s="8"/>
      <c r="M581" s="8"/>
    </row>
    <row r="582">
      <c r="A582" s="542"/>
      <c r="B582" s="551" t="str">
        <f t="array" ref="B582">IF(LEN(E582),INDEX('4-All Devices'!AG:AG, MATCH(E582, '4-All Devices'!AF:AF, 0)),"")</f>
        <v/>
      </c>
      <c r="C582" s="549" t="s">
        <v>11186</v>
      </c>
      <c r="D582" s="549" t="s">
        <v>11187</v>
      </c>
      <c r="E582" s="8"/>
      <c r="F582" s="552" t="s">
        <v>11188</v>
      </c>
      <c r="G582" s="8"/>
      <c r="H582" s="8"/>
      <c r="I582" s="8"/>
      <c r="J582" s="546" t="str">
        <f t="array" ref="J582">IF(LEN($E582),INDEX('4-All Devices'!AE:AE, MATCH($E582, '4-All Devices'!AF:AF, 0)),"")</f>
        <v/>
      </c>
      <c r="K582" s="8"/>
      <c r="L582" s="8"/>
      <c r="M582" s="8"/>
    </row>
    <row r="583">
      <c r="A583" s="542"/>
      <c r="B583" s="551" t="str">
        <f t="array" ref="B583">IF(LEN(E583),INDEX('4-All Devices'!AG:AG, MATCH(E583, '4-All Devices'!AF:AF, 0)),"")</f>
        <v/>
      </c>
      <c r="C583" s="549" t="s">
        <v>11186</v>
      </c>
      <c r="D583" s="549" t="s">
        <v>11187</v>
      </c>
      <c r="E583" s="8"/>
      <c r="F583" s="552" t="s">
        <v>11188</v>
      </c>
      <c r="G583" s="8"/>
      <c r="H583" s="8"/>
      <c r="I583" s="8"/>
      <c r="J583" s="546" t="str">
        <f t="array" ref="J583">IF(LEN($E583),INDEX('4-All Devices'!AE:AE, MATCH($E583, '4-All Devices'!AF:AF, 0)),"")</f>
        <v/>
      </c>
      <c r="K583" s="8"/>
      <c r="L583" s="8"/>
      <c r="M583" s="8"/>
    </row>
    <row r="584">
      <c r="A584" s="542"/>
      <c r="B584" s="551" t="str">
        <f t="array" ref="B584">IF(LEN(E584),INDEX('4-All Devices'!AG:AG, MATCH(E584, '4-All Devices'!AF:AF, 0)),"")</f>
        <v/>
      </c>
      <c r="C584" s="549" t="s">
        <v>11186</v>
      </c>
      <c r="D584" s="549" t="s">
        <v>11187</v>
      </c>
      <c r="E584" s="8"/>
      <c r="F584" s="552" t="s">
        <v>11188</v>
      </c>
      <c r="G584" s="8"/>
      <c r="H584" s="8"/>
      <c r="I584" s="8"/>
      <c r="J584" s="546" t="str">
        <f t="array" ref="J584">IF(LEN($E584),INDEX('4-All Devices'!AE:AE, MATCH($E584, '4-All Devices'!AF:AF, 0)),"")</f>
        <v/>
      </c>
      <c r="K584" s="8"/>
      <c r="L584" s="8"/>
      <c r="M584" s="8"/>
    </row>
    <row r="585">
      <c r="A585" s="542"/>
      <c r="B585" s="551" t="str">
        <f t="array" ref="B585">IF(LEN(E585),INDEX('4-All Devices'!AG:AG, MATCH(E585, '4-All Devices'!AF:AF, 0)),"")</f>
        <v/>
      </c>
      <c r="C585" s="549" t="s">
        <v>11186</v>
      </c>
      <c r="D585" s="549" t="s">
        <v>11187</v>
      </c>
      <c r="E585" s="8"/>
      <c r="F585" s="552" t="s">
        <v>11188</v>
      </c>
      <c r="G585" s="8"/>
      <c r="H585" s="8"/>
      <c r="I585" s="8"/>
      <c r="J585" s="546" t="str">
        <f t="array" ref="J585">IF(LEN($E585),INDEX('4-All Devices'!AE:AE, MATCH($E585, '4-All Devices'!AF:AF, 0)),"")</f>
        <v/>
      </c>
      <c r="K585" s="8"/>
      <c r="L585" s="8"/>
      <c r="M585" s="8"/>
    </row>
    <row r="586">
      <c r="A586" s="542"/>
      <c r="B586" s="551" t="str">
        <f t="array" ref="B586">IF(LEN(E586),INDEX('4-All Devices'!AG:AG, MATCH(E586, '4-All Devices'!AF:AF, 0)),"")</f>
        <v/>
      </c>
      <c r="C586" s="549" t="s">
        <v>11186</v>
      </c>
      <c r="D586" s="549" t="s">
        <v>11187</v>
      </c>
      <c r="E586" s="8"/>
      <c r="F586" s="552" t="s">
        <v>11188</v>
      </c>
      <c r="G586" s="8"/>
      <c r="H586" s="8"/>
      <c r="I586" s="8"/>
      <c r="J586" s="546" t="str">
        <f t="array" ref="J586">IF(LEN($E586),INDEX('4-All Devices'!AE:AE, MATCH($E586, '4-All Devices'!AF:AF, 0)),"")</f>
        <v/>
      </c>
      <c r="K586" s="8"/>
      <c r="L586" s="8"/>
      <c r="M586" s="8"/>
    </row>
    <row r="587">
      <c r="A587" s="542"/>
      <c r="B587" s="551" t="str">
        <f t="array" ref="B587">IF(LEN(E587),INDEX('4-All Devices'!AG:AG, MATCH(E587, '4-All Devices'!AF:AF, 0)),"")</f>
        <v/>
      </c>
      <c r="C587" s="549" t="s">
        <v>11186</v>
      </c>
      <c r="D587" s="549" t="s">
        <v>11187</v>
      </c>
      <c r="E587" s="8"/>
      <c r="F587" s="552" t="s">
        <v>11188</v>
      </c>
      <c r="G587" s="8"/>
      <c r="H587" s="8"/>
      <c r="I587" s="8"/>
      <c r="J587" s="546" t="str">
        <f t="array" ref="J587">IF(LEN($E587),INDEX('4-All Devices'!AE:AE, MATCH($E587, '4-All Devices'!AF:AF, 0)),"")</f>
        <v/>
      </c>
      <c r="K587" s="8"/>
      <c r="L587" s="8"/>
      <c r="M587" s="8"/>
    </row>
    <row r="588">
      <c r="A588" s="542"/>
      <c r="B588" s="551" t="str">
        <f t="array" ref="B588">IF(LEN(E588),INDEX('4-All Devices'!AG:AG, MATCH(E588, '4-All Devices'!AF:AF, 0)),"")</f>
        <v/>
      </c>
      <c r="C588" s="549" t="s">
        <v>11186</v>
      </c>
      <c r="D588" s="549" t="s">
        <v>11187</v>
      </c>
      <c r="E588" s="8"/>
      <c r="F588" s="552" t="s">
        <v>11188</v>
      </c>
      <c r="G588" s="8"/>
      <c r="H588" s="8"/>
      <c r="I588" s="8"/>
      <c r="J588" s="546" t="str">
        <f t="array" ref="J588">IF(LEN($E588),INDEX('4-All Devices'!AE:AE, MATCH($E588, '4-All Devices'!AF:AF, 0)),"")</f>
        <v/>
      </c>
      <c r="K588" s="8"/>
      <c r="L588" s="8"/>
      <c r="M588" s="8"/>
    </row>
    <row r="589">
      <c r="A589" s="542"/>
      <c r="B589" s="551" t="str">
        <f t="array" ref="B589">IF(LEN(E589),INDEX('4-All Devices'!AG:AG, MATCH(E589, '4-All Devices'!AF:AF, 0)),"")</f>
        <v/>
      </c>
      <c r="C589" s="549" t="s">
        <v>11186</v>
      </c>
      <c r="D589" s="549" t="s">
        <v>11187</v>
      </c>
      <c r="E589" s="8"/>
      <c r="F589" s="552" t="s">
        <v>11188</v>
      </c>
      <c r="G589" s="8"/>
      <c r="H589" s="8"/>
      <c r="I589" s="8"/>
      <c r="J589" s="546" t="str">
        <f t="array" ref="J589">IF(LEN($E589),INDEX('4-All Devices'!AE:AE, MATCH($E589, '4-All Devices'!AF:AF, 0)),"")</f>
        <v/>
      </c>
      <c r="K589" s="8"/>
      <c r="L589" s="8"/>
      <c r="M589" s="8"/>
    </row>
    <row r="590">
      <c r="A590" s="542"/>
      <c r="B590" s="551" t="str">
        <f t="array" ref="B590">IF(LEN(E590),INDEX('4-All Devices'!AG:AG, MATCH(E590, '4-All Devices'!AF:AF, 0)),"")</f>
        <v/>
      </c>
      <c r="C590" s="549" t="s">
        <v>11186</v>
      </c>
      <c r="D590" s="549" t="s">
        <v>11187</v>
      </c>
      <c r="E590" s="8"/>
      <c r="F590" s="552" t="s">
        <v>11188</v>
      </c>
      <c r="G590" s="8"/>
      <c r="H590" s="8"/>
      <c r="I590" s="8"/>
      <c r="J590" s="546" t="str">
        <f t="array" ref="J590">IF(LEN($E590),INDEX('4-All Devices'!AE:AE, MATCH($E590, '4-All Devices'!AF:AF, 0)),"")</f>
        <v/>
      </c>
      <c r="K590" s="8"/>
      <c r="L590" s="8"/>
      <c r="M590" s="8"/>
    </row>
    <row r="591">
      <c r="A591" s="542"/>
      <c r="B591" s="551" t="str">
        <f t="array" ref="B591">IF(LEN(E591),INDEX('4-All Devices'!AG:AG, MATCH(E591, '4-All Devices'!AF:AF, 0)),"")</f>
        <v/>
      </c>
      <c r="C591" s="549" t="s">
        <v>11186</v>
      </c>
      <c r="D591" s="549" t="s">
        <v>11187</v>
      </c>
      <c r="E591" s="8"/>
      <c r="F591" s="552" t="s">
        <v>11188</v>
      </c>
      <c r="G591" s="8"/>
      <c r="H591" s="8"/>
      <c r="I591" s="8"/>
      <c r="J591" s="546" t="str">
        <f t="array" ref="J591">IF(LEN($E591),INDEX('4-All Devices'!AE:AE, MATCH($E591, '4-All Devices'!AF:AF, 0)),"")</f>
        <v/>
      </c>
      <c r="K591" s="8"/>
      <c r="L591" s="8"/>
      <c r="M591" s="8"/>
    </row>
    <row r="592">
      <c r="A592" s="542"/>
      <c r="B592" s="551" t="str">
        <f t="array" ref="B592">IF(LEN(E592),INDEX('4-All Devices'!AG:AG, MATCH(E592, '4-All Devices'!AF:AF, 0)),"")</f>
        <v/>
      </c>
      <c r="C592" s="549" t="s">
        <v>11186</v>
      </c>
      <c r="D592" s="549" t="s">
        <v>11187</v>
      </c>
      <c r="E592" s="8"/>
      <c r="F592" s="552" t="s">
        <v>11188</v>
      </c>
      <c r="G592" s="8"/>
      <c r="H592" s="8"/>
      <c r="I592" s="8"/>
      <c r="J592" s="546" t="str">
        <f t="array" ref="J592">IF(LEN($E592),INDEX('4-All Devices'!AE:AE, MATCH($E592, '4-All Devices'!AF:AF, 0)),"")</f>
        <v/>
      </c>
      <c r="K592" s="8"/>
      <c r="L592" s="8"/>
      <c r="M592" s="8"/>
    </row>
    <row r="593">
      <c r="A593" s="542"/>
      <c r="B593" s="551" t="str">
        <f t="array" ref="B593">IF(LEN(E593),INDEX('4-All Devices'!AG:AG, MATCH(E593, '4-All Devices'!AF:AF, 0)),"")</f>
        <v/>
      </c>
      <c r="C593" s="549" t="s">
        <v>11186</v>
      </c>
      <c r="D593" s="549" t="s">
        <v>11187</v>
      </c>
      <c r="E593" s="8"/>
      <c r="F593" s="552" t="s">
        <v>11188</v>
      </c>
      <c r="G593" s="8"/>
      <c r="H593" s="8"/>
      <c r="I593" s="8"/>
      <c r="J593" s="546" t="str">
        <f t="array" ref="J593">IF(LEN($E593),INDEX('4-All Devices'!AE:AE, MATCH($E593, '4-All Devices'!AF:AF, 0)),"")</f>
        <v/>
      </c>
      <c r="K593" s="8"/>
      <c r="L593" s="8"/>
      <c r="M593" s="8"/>
    </row>
    <row r="594">
      <c r="A594" s="542"/>
      <c r="B594" s="551" t="str">
        <f t="array" ref="B594">IF(LEN(E594),INDEX('4-All Devices'!AG:AG, MATCH(E594, '4-All Devices'!AF:AF, 0)),"")</f>
        <v/>
      </c>
      <c r="C594" s="549" t="s">
        <v>11186</v>
      </c>
      <c r="D594" s="549" t="s">
        <v>11187</v>
      </c>
      <c r="E594" s="8"/>
      <c r="F594" s="552" t="s">
        <v>11188</v>
      </c>
      <c r="G594" s="8"/>
      <c r="H594" s="8"/>
      <c r="I594" s="8"/>
      <c r="J594" s="546" t="str">
        <f t="array" ref="J594">IF(LEN($E594),INDEX('4-All Devices'!AE:AE, MATCH($E594, '4-All Devices'!AF:AF, 0)),"")</f>
        <v/>
      </c>
      <c r="K594" s="8"/>
      <c r="L594" s="8"/>
      <c r="M594" s="8"/>
    </row>
    <row r="595">
      <c r="A595" s="542"/>
      <c r="B595" s="551" t="str">
        <f t="array" ref="B595">IF(LEN(E595),INDEX('4-All Devices'!AG:AG, MATCH(E595, '4-All Devices'!AF:AF, 0)),"")</f>
        <v/>
      </c>
      <c r="C595" s="549" t="s">
        <v>11186</v>
      </c>
      <c r="D595" s="549" t="s">
        <v>11187</v>
      </c>
      <c r="E595" s="8"/>
      <c r="F595" s="552" t="s">
        <v>11188</v>
      </c>
      <c r="G595" s="8"/>
      <c r="H595" s="8"/>
      <c r="I595" s="8"/>
      <c r="J595" s="546" t="str">
        <f t="array" ref="J595">IF(LEN($E595),INDEX('4-All Devices'!AE:AE, MATCH($E595, '4-All Devices'!AF:AF, 0)),"")</f>
        <v/>
      </c>
      <c r="K595" s="8"/>
      <c r="L595" s="8"/>
      <c r="M595" s="8"/>
    </row>
    <row r="596">
      <c r="A596" s="542"/>
      <c r="B596" s="551" t="str">
        <f t="array" ref="B596">IF(LEN(E596),INDEX('4-All Devices'!AG:AG, MATCH(E596, '4-All Devices'!AF:AF, 0)),"")</f>
        <v/>
      </c>
      <c r="C596" s="549" t="s">
        <v>11186</v>
      </c>
      <c r="D596" s="549" t="s">
        <v>11187</v>
      </c>
      <c r="E596" s="8"/>
      <c r="F596" s="552" t="s">
        <v>11188</v>
      </c>
      <c r="G596" s="8"/>
      <c r="H596" s="8"/>
      <c r="I596" s="8"/>
      <c r="J596" s="546" t="str">
        <f t="array" ref="J596">IF(LEN($E596),INDEX('4-All Devices'!AE:AE, MATCH($E596, '4-All Devices'!AF:AF, 0)),"")</f>
        <v/>
      </c>
      <c r="K596" s="8"/>
      <c r="L596" s="8"/>
      <c r="M596" s="8"/>
    </row>
    <row r="597">
      <c r="A597" s="542"/>
      <c r="B597" s="551" t="str">
        <f t="array" ref="B597">IF(LEN(E597),INDEX('4-All Devices'!AG:AG, MATCH(E597, '4-All Devices'!AF:AF, 0)),"")</f>
        <v/>
      </c>
      <c r="C597" s="549" t="s">
        <v>11186</v>
      </c>
      <c r="D597" s="549" t="s">
        <v>11187</v>
      </c>
      <c r="E597" s="8"/>
      <c r="F597" s="552" t="s">
        <v>11188</v>
      </c>
      <c r="G597" s="8"/>
      <c r="H597" s="8"/>
      <c r="I597" s="8"/>
      <c r="J597" s="546" t="str">
        <f t="array" ref="J597">IF(LEN($E597),INDEX('4-All Devices'!AE:AE, MATCH($E597, '4-All Devices'!AF:AF, 0)),"")</f>
        <v/>
      </c>
      <c r="K597" s="8"/>
      <c r="L597" s="8"/>
      <c r="M597" s="8"/>
    </row>
    <row r="598">
      <c r="A598" s="542"/>
      <c r="B598" s="551" t="str">
        <f t="array" ref="B598">IF(LEN(E598),INDEX('4-All Devices'!AG:AG, MATCH(E598, '4-All Devices'!AF:AF, 0)),"")</f>
        <v/>
      </c>
      <c r="C598" s="549" t="s">
        <v>11186</v>
      </c>
      <c r="D598" s="549" t="s">
        <v>11187</v>
      </c>
      <c r="E598" s="8"/>
      <c r="F598" s="552" t="s">
        <v>11188</v>
      </c>
      <c r="G598" s="8"/>
      <c r="H598" s="8"/>
      <c r="I598" s="8"/>
      <c r="J598" s="546" t="str">
        <f t="array" ref="J598">IF(LEN($E598),INDEX('4-All Devices'!AE:AE, MATCH($E598, '4-All Devices'!AF:AF, 0)),"")</f>
        <v/>
      </c>
      <c r="K598" s="8"/>
      <c r="L598" s="8"/>
      <c r="M598" s="8"/>
    </row>
    <row r="599">
      <c r="A599" s="542"/>
      <c r="B599" s="551" t="str">
        <f t="array" ref="B599">IF(LEN(E599),INDEX('4-All Devices'!AG:AG, MATCH(E599, '4-All Devices'!AF:AF, 0)),"")</f>
        <v/>
      </c>
      <c r="C599" s="549" t="s">
        <v>11186</v>
      </c>
      <c r="D599" s="549" t="s">
        <v>11187</v>
      </c>
      <c r="E599" s="8"/>
      <c r="F599" s="552" t="s">
        <v>11188</v>
      </c>
      <c r="G599" s="8"/>
      <c r="H599" s="8"/>
      <c r="I599" s="8"/>
      <c r="J599" s="546" t="str">
        <f t="array" ref="J599">IF(LEN($E599),INDEX('4-All Devices'!AE:AE, MATCH($E599, '4-All Devices'!AF:AF, 0)),"")</f>
        <v/>
      </c>
      <c r="K599" s="8"/>
      <c r="L599" s="8"/>
      <c r="M599" s="8"/>
    </row>
    <row r="600">
      <c r="A600" s="542"/>
      <c r="B600" s="551" t="str">
        <f t="array" ref="B600">IF(LEN(E600),INDEX('4-All Devices'!AG:AG, MATCH(E600, '4-All Devices'!AF:AF, 0)),"")</f>
        <v/>
      </c>
      <c r="C600" s="549" t="s">
        <v>11186</v>
      </c>
      <c r="D600" s="549" t="s">
        <v>11187</v>
      </c>
      <c r="E600" s="8"/>
      <c r="F600" s="552" t="s">
        <v>11188</v>
      </c>
      <c r="G600" s="8"/>
      <c r="H600" s="8"/>
      <c r="I600" s="8"/>
      <c r="J600" s="546" t="str">
        <f t="array" ref="J600">IF(LEN($E600),INDEX('4-All Devices'!AE:AE, MATCH($E600, '4-All Devices'!AF:AF, 0)),"")</f>
        <v/>
      </c>
      <c r="K600" s="8"/>
      <c r="L600" s="8"/>
      <c r="M600" s="8"/>
    </row>
    <row r="601">
      <c r="A601" s="542"/>
      <c r="B601" s="551" t="str">
        <f t="array" ref="B601">IF(LEN(E601),INDEX('4-All Devices'!AG:AG, MATCH(E601, '4-All Devices'!AF:AF, 0)),"")</f>
        <v/>
      </c>
      <c r="C601" s="549" t="s">
        <v>11186</v>
      </c>
      <c r="D601" s="549" t="s">
        <v>11187</v>
      </c>
      <c r="E601" s="8"/>
      <c r="F601" s="552" t="s">
        <v>11188</v>
      </c>
      <c r="G601" s="8"/>
      <c r="H601" s="8"/>
      <c r="I601" s="8"/>
      <c r="J601" s="546" t="str">
        <f t="array" ref="J601">IF(LEN($E601),INDEX('4-All Devices'!AE:AE, MATCH($E601, '4-All Devices'!AF:AF, 0)),"")</f>
        <v/>
      </c>
      <c r="K601" s="8"/>
      <c r="L601" s="8"/>
      <c r="M601" s="8"/>
    </row>
    <row r="602">
      <c r="A602" s="542"/>
      <c r="B602" s="551" t="str">
        <f t="array" ref="B602">IF(LEN(E602),INDEX('4-All Devices'!AG:AG, MATCH(E602, '4-All Devices'!AF:AF, 0)),"")</f>
        <v/>
      </c>
      <c r="C602" s="549" t="s">
        <v>11186</v>
      </c>
      <c r="D602" s="549" t="s">
        <v>11187</v>
      </c>
      <c r="E602" s="8"/>
      <c r="F602" s="552" t="s">
        <v>11188</v>
      </c>
      <c r="G602" s="8"/>
      <c r="H602" s="8"/>
      <c r="I602" s="8"/>
      <c r="J602" s="546" t="str">
        <f t="array" ref="J602">IF(LEN($E602),INDEX('4-All Devices'!AE:AE, MATCH($E602, '4-All Devices'!AF:AF, 0)),"")</f>
        <v/>
      </c>
      <c r="K602" s="8"/>
      <c r="L602" s="8"/>
      <c r="M602" s="8"/>
    </row>
    <row r="603">
      <c r="A603" s="542"/>
      <c r="B603" s="551" t="str">
        <f t="array" ref="B603">IF(LEN(E603),INDEX('4-All Devices'!AG:AG, MATCH(E603, '4-All Devices'!AF:AF, 0)),"")</f>
        <v/>
      </c>
      <c r="C603" s="549" t="s">
        <v>11186</v>
      </c>
      <c r="D603" s="549" t="s">
        <v>11187</v>
      </c>
      <c r="E603" s="8"/>
      <c r="F603" s="552" t="s">
        <v>11188</v>
      </c>
      <c r="G603" s="8"/>
      <c r="H603" s="8"/>
      <c r="I603" s="8"/>
      <c r="J603" s="546" t="str">
        <f t="array" ref="J603">IF(LEN($E603),INDEX('4-All Devices'!AE:AE, MATCH($E603, '4-All Devices'!AF:AF, 0)),"")</f>
        <v/>
      </c>
      <c r="K603" s="8"/>
      <c r="L603" s="8"/>
      <c r="M603" s="8"/>
    </row>
    <row r="604">
      <c r="A604" s="542"/>
      <c r="B604" s="551" t="str">
        <f t="array" ref="B604">IF(LEN(E604),INDEX('4-All Devices'!AG:AG, MATCH(E604, '4-All Devices'!AF:AF, 0)),"")</f>
        <v/>
      </c>
      <c r="C604" s="549" t="s">
        <v>11186</v>
      </c>
      <c r="D604" s="549" t="s">
        <v>11187</v>
      </c>
      <c r="E604" s="8"/>
      <c r="F604" s="552" t="s">
        <v>11188</v>
      </c>
      <c r="G604" s="8"/>
      <c r="H604" s="8"/>
      <c r="I604" s="8"/>
      <c r="J604" s="546" t="str">
        <f t="array" ref="J604">IF(LEN($E604),INDEX('4-All Devices'!AE:AE, MATCH($E604, '4-All Devices'!AF:AF, 0)),"")</f>
        <v/>
      </c>
      <c r="K604" s="8"/>
      <c r="L604" s="8"/>
      <c r="M604" s="8"/>
    </row>
    <row r="605">
      <c r="A605" s="542"/>
      <c r="B605" s="551" t="str">
        <f t="array" ref="B605">IF(LEN(E605),INDEX('4-All Devices'!AG:AG, MATCH(E605, '4-All Devices'!AF:AF, 0)),"")</f>
        <v/>
      </c>
      <c r="C605" s="549" t="s">
        <v>11186</v>
      </c>
      <c r="D605" s="549" t="s">
        <v>11187</v>
      </c>
      <c r="E605" s="8"/>
      <c r="F605" s="552" t="s">
        <v>11188</v>
      </c>
      <c r="G605" s="8"/>
      <c r="H605" s="8"/>
      <c r="I605" s="8"/>
      <c r="J605" s="546" t="str">
        <f t="array" ref="J605">IF(LEN($E605),INDEX('4-All Devices'!AE:AE, MATCH($E605, '4-All Devices'!AF:AF, 0)),"")</f>
        <v/>
      </c>
      <c r="K605" s="8"/>
      <c r="L605" s="8"/>
      <c r="M605" s="8"/>
    </row>
    <row r="606">
      <c r="A606" s="542"/>
      <c r="B606" s="551" t="str">
        <f t="array" ref="B606">IF(LEN(E606),INDEX('4-All Devices'!AG:AG, MATCH(E606, '4-All Devices'!AF:AF, 0)),"")</f>
        <v/>
      </c>
      <c r="C606" s="549" t="s">
        <v>11186</v>
      </c>
      <c r="D606" s="549" t="s">
        <v>11187</v>
      </c>
      <c r="E606" s="8"/>
      <c r="F606" s="552" t="s">
        <v>11188</v>
      </c>
      <c r="G606" s="8"/>
      <c r="H606" s="8"/>
      <c r="I606" s="8"/>
      <c r="J606" s="546" t="str">
        <f t="array" ref="J606">IF(LEN($E606),INDEX('4-All Devices'!AE:AE, MATCH($E606, '4-All Devices'!AF:AF, 0)),"")</f>
        <v/>
      </c>
      <c r="K606" s="8"/>
      <c r="L606" s="8"/>
      <c r="M606" s="8"/>
    </row>
    <row r="607">
      <c r="A607" s="542"/>
      <c r="B607" s="551" t="str">
        <f t="array" ref="B607">IF(LEN(E607),INDEX('4-All Devices'!AG:AG, MATCH(E607, '4-All Devices'!AF:AF, 0)),"")</f>
        <v/>
      </c>
      <c r="C607" s="549" t="s">
        <v>11186</v>
      </c>
      <c r="D607" s="549" t="s">
        <v>11187</v>
      </c>
      <c r="E607" s="8"/>
      <c r="F607" s="552" t="s">
        <v>11188</v>
      </c>
      <c r="G607" s="8"/>
      <c r="H607" s="8"/>
      <c r="I607" s="8"/>
      <c r="J607" s="546" t="str">
        <f t="array" ref="J607">IF(LEN($E607),INDEX('4-All Devices'!AE:AE, MATCH($E607, '4-All Devices'!AF:AF, 0)),"")</f>
        <v/>
      </c>
      <c r="K607" s="8"/>
      <c r="L607" s="8"/>
      <c r="M607" s="8"/>
    </row>
    <row r="608">
      <c r="A608" s="542"/>
      <c r="B608" s="551" t="str">
        <f t="array" ref="B608">IF(LEN(E608),INDEX('4-All Devices'!AG:AG, MATCH(E608, '4-All Devices'!AF:AF, 0)),"")</f>
        <v/>
      </c>
      <c r="C608" s="549" t="s">
        <v>11186</v>
      </c>
      <c r="D608" s="549" t="s">
        <v>11187</v>
      </c>
      <c r="E608" s="8"/>
      <c r="F608" s="552" t="s">
        <v>11188</v>
      </c>
      <c r="G608" s="8"/>
      <c r="H608" s="8"/>
      <c r="I608" s="8"/>
      <c r="J608" s="546" t="str">
        <f t="array" ref="J608">IF(LEN($E608),INDEX('4-All Devices'!AE:AE, MATCH($E608, '4-All Devices'!AF:AF, 0)),"")</f>
        <v/>
      </c>
      <c r="K608" s="8"/>
      <c r="L608" s="8"/>
      <c r="M608" s="8"/>
    </row>
    <row r="609">
      <c r="A609" s="542"/>
      <c r="B609" s="551" t="str">
        <f t="array" ref="B609">IF(LEN(E609),INDEX('4-All Devices'!AG:AG, MATCH(E609, '4-All Devices'!AF:AF, 0)),"")</f>
        <v/>
      </c>
      <c r="C609" s="549" t="s">
        <v>11186</v>
      </c>
      <c r="D609" s="549" t="s">
        <v>11187</v>
      </c>
      <c r="E609" s="8"/>
      <c r="F609" s="552" t="s">
        <v>11188</v>
      </c>
      <c r="G609" s="8"/>
      <c r="H609" s="8"/>
      <c r="I609" s="8"/>
      <c r="J609" s="546" t="str">
        <f t="array" ref="J609">IF(LEN($E609),INDEX('4-All Devices'!AE:AE, MATCH($E609, '4-All Devices'!AF:AF, 0)),"")</f>
        <v/>
      </c>
      <c r="K609" s="8"/>
      <c r="L609" s="8"/>
      <c r="M609" s="8"/>
    </row>
    <row r="610">
      <c r="A610" s="542"/>
      <c r="B610" s="551" t="str">
        <f t="array" ref="B610">IF(LEN(E610),INDEX('4-All Devices'!AG:AG, MATCH(E610, '4-All Devices'!AF:AF, 0)),"")</f>
        <v/>
      </c>
      <c r="C610" s="549" t="s">
        <v>11186</v>
      </c>
      <c r="D610" s="549" t="s">
        <v>11187</v>
      </c>
      <c r="E610" s="8"/>
      <c r="F610" s="552" t="s">
        <v>11188</v>
      </c>
      <c r="G610" s="8"/>
      <c r="H610" s="8"/>
      <c r="I610" s="8"/>
      <c r="J610" s="546" t="str">
        <f t="array" ref="J610">IF(LEN($E610),INDEX('4-All Devices'!AE:AE, MATCH($E610, '4-All Devices'!AF:AF, 0)),"")</f>
        <v/>
      </c>
      <c r="K610" s="8"/>
      <c r="L610" s="8"/>
      <c r="M610" s="8"/>
    </row>
    <row r="611">
      <c r="A611" s="542"/>
      <c r="B611" s="551" t="str">
        <f t="array" ref="B611">IF(LEN(E611),INDEX('4-All Devices'!AG:AG, MATCH(E611, '4-All Devices'!AF:AF, 0)),"")</f>
        <v/>
      </c>
      <c r="C611" s="549" t="s">
        <v>11186</v>
      </c>
      <c r="D611" s="549" t="s">
        <v>11187</v>
      </c>
      <c r="E611" s="8"/>
      <c r="F611" s="552" t="s">
        <v>11188</v>
      </c>
      <c r="G611" s="8"/>
      <c r="H611" s="8"/>
      <c r="I611" s="8"/>
      <c r="J611" s="546" t="str">
        <f t="array" ref="J611">IF(LEN($E611),INDEX('4-All Devices'!AE:AE, MATCH($E611, '4-All Devices'!AF:AF, 0)),"")</f>
        <v/>
      </c>
      <c r="K611" s="8"/>
      <c r="L611" s="8"/>
      <c r="M611" s="8"/>
    </row>
    <row r="612">
      <c r="A612" s="542"/>
      <c r="B612" s="551" t="str">
        <f t="array" ref="B612">IF(LEN(E612),INDEX('4-All Devices'!AG:AG, MATCH(E612, '4-All Devices'!AF:AF, 0)),"")</f>
        <v/>
      </c>
      <c r="C612" s="549" t="s">
        <v>11186</v>
      </c>
      <c r="D612" s="549" t="s">
        <v>11187</v>
      </c>
      <c r="E612" s="8"/>
      <c r="F612" s="552" t="s">
        <v>11188</v>
      </c>
      <c r="G612" s="8"/>
      <c r="H612" s="8"/>
      <c r="I612" s="8"/>
      <c r="J612" s="546" t="str">
        <f t="array" ref="J612">IF(LEN($E612),INDEX('4-All Devices'!AE:AE, MATCH($E612, '4-All Devices'!AF:AF, 0)),"")</f>
        <v/>
      </c>
      <c r="K612" s="8"/>
      <c r="L612" s="8"/>
      <c r="M612" s="8"/>
    </row>
    <row r="613">
      <c r="A613" s="542"/>
      <c r="B613" s="551" t="str">
        <f t="array" ref="B613">IF(LEN(E613),INDEX('4-All Devices'!AG:AG, MATCH(E613, '4-All Devices'!AF:AF, 0)),"")</f>
        <v/>
      </c>
      <c r="C613" s="549" t="s">
        <v>11186</v>
      </c>
      <c r="D613" s="549" t="s">
        <v>11187</v>
      </c>
      <c r="E613" s="8"/>
      <c r="F613" s="552" t="s">
        <v>11188</v>
      </c>
      <c r="G613" s="8"/>
      <c r="H613" s="8"/>
      <c r="I613" s="8"/>
      <c r="J613" s="546" t="str">
        <f t="array" ref="J613">IF(LEN($E613),INDEX('4-All Devices'!AE:AE, MATCH($E613, '4-All Devices'!AF:AF, 0)),"")</f>
        <v/>
      </c>
      <c r="K613" s="8"/>
      <c r="L613" s="8"/>
      <c r="M613" s="8"/>
    </row>
    <row r="614">
      <c r="A614" s="542"/>
      <c r="B614" s="551" t="str">
        <f t="array" ref="B614">IF(LEN(E614),INDEX('4-All Devices'!AG:AG, MATCH(E614, '4-All Devices'!AF:AF, 0)),"")</f>
        <v/>
      </c>
      <c r="C614" s="549" t="s">
        <v>11186</v>
      </c>
      <c r="D614" s="549" t="s">
        <v>11187</v>
      </c>
      <c r="E614" s="8"/>
      <c r="F614" s="552" t="s">
        <v>11188</v>
      </c>
      <c r="G614" s="8"/>
      <c r="H614" s="8"/>
      <c r="I614" s="8"/>
      <c r="J614" s="546" t="str">
        <f t="array" ref="J614">IF(LEN($E614),INDEX('4-All Devices'!AE:AE, MATCH($E614, '4-All Devices'!AF:AF, 0)),"")</f>
        <v/>
      </c>
      <c r="K614" s="8"/>
      <c r="L614" s="8"/>
      <c r="M614" s="8"/>
    </row>
    <row r="615">
      <c r="A615" s="542"/>
      <c r="B615" s="551" t="str">
        <f t="array" ref="B615">IF(LEN(E615),INDEX('4-All Devices'!AG:AG, MATCH(E615, '4-All Devices'!AF:AF, 0)),"")</f>
        <v/>
      </c>
      <c r="C615" s="549" t="s">
        <v>11186</v>
      </c>
      <c r="D615" s="549" t="s">
        <v>11187</v>
      </c>
      <c r="E615" s="8"/>
      <c r="F615" s="552" t="s">
        <v>11188</v>
      </c>
      <c r="G615" s="8"/>
      <c r="H615" s="8"/>
      <c r="I615" s="8"/>
      <c r="J615" s="546" t="str">
        <f t="array" ref="J615">IF(LEN($E615),INDEX('4-All Devices'!AE:AE, MATCH($E615, '4-All Devices'!AF:AF, 0)),"")</f>
        <v/>
      </c>
      <c r="K615" s="8"/>
      <c r="L615" s="8"/>
      <c r="M615" s="8"/>
    </row>
    <row r="616">
      <c r="A616" s="542"/>
      <c r="B616" s="551" t="str">
        <f t="array" ref="B616">IF(LEN(E616),INDEX('4-All Devices'!AG:AG, MATCH(E616, '4-All Devices'!AF:AF, 0)),"")</f>
        <v/>
      </c>
      <c r="C616" s="549" t="s">
        <v>11186</v>
      </c>
      <c r="D616" s="549" t="s">
        <v>11187</v>
      </c>
      <c r="E616" s="8"/>
      <c r="F616" s="552" t="s">
        <v>11188</v>
      </c>
      <c r="G616" s="8"/>
      <c r="H616" s="8"/>
      <c r="I616" s="8"/>
      <c r="J616" s="546" t="str">
        <f t="array" ref="J616">IF(LEN($E616),INDEX('4-All Devices'!AE:AE, MATCH($E616, '4-All Devices'!AF:AF, 0)),"")</f>
        <v/>
      </c>
      <c r="K616" s="8"/>
      <c r="L616" s="8"/>
      <c r="M616" s="8"/>
    </row>
    <row r="617">
      <c r="A617" s="542"/>
      <c r="B617" s="551" t="str">
        <f t="array" ref="B617">IF(LEN(E617),INDEX('4-All Devices'!AG:AG, MATCH(E617, '4-All Devices'!AF:AF, 0)),"")</f>
        <v/>
      </c>
      <c r="C617" s="549" t="s">
        <v>11186</v>
      </c>
      <c r="D617" s="549" t="s">
        <v>11187</v>
      </c>
      <c r="E617" s="8"/>
      <c r="F617" s="552" t="s">
        <v>11188</v>
      </c>
      <c r="G617" s="8"/>
      <c r="H617" s="8"/>
      <c r="I617" s="8"/>
      <c r="J617" s="546" t="str">
        <f t="array" ref="J617">IF(LEN($E617),INDEX('4-All Devices'!AE:AE, MATCH($E617, '4-All Devices'!AF:AF, 0)),"")</f>
        <v/>
      </c>
      <c r="K617" s="8"/>
      <c r="L617" s="8"/>
      <c r="M617" s="8"/>
    </row>
    <row r="618">
      <c r="A618" s="542"/>
      <c r="B618" s="551" t="str">
        <f t="array" ref="B618">IF(LEN(E618),INDEX('4-All Devices'!AG:AG, MATCH(E618, '4-All Devices'!AF:AF, 0)),"")</f>
        <v/>
      </c>
      <c r="C618" s="549" t="s">
        <v>11186</v>
      </c>
      <c r="D618" s="549" t="s">
        <v>11187</v>
      </c>
      <c r="E618" s="8"/>
      <c r="F618" s="552" t="s">
        <v>11188</v>
      </c>
      <c r="G618" s="8"/>
      <c r="H618" s="8"/>
      <c r="I618" s="8"/>
      <c r="J618" s="546" t="str">
        <f t="array" ref="J618">IF(LEN($E618),INDEX('4-All Devices'!AE:AE, MATCH($E618, '4-All Devices'!AF:AF, 0)),"")</f>
        <v/>
      </c>
      <c r="K618" s="8"/>
      <c r="L618" s="8"/>
      <c r="M618" s="8"/>
    </row>
    <row r="619">
      <c r="A619" s="542"/>
      <c r="B619" s="551" t="str">
        <f t="array" ref="B619">IF(LEN(E619),INDEX('4-All Devices'!AG:AG, MATCH(E619, '4-All Devices'!AF:AF, 0)),"")</f>
        <v/>
      </c>
      <c r="C619" s="549" t="s">
        <v>11186</v>
      </c>
      <c r="D619" s="549" t="s">
        <v>11187</v>
      </c>
      <c r="E619" s="8"/>
      <c r="F619" s="552" t="s">
        <v>11188</v>
      </c>
      <c r="G619" s="8"/>
      <c r="H619" s="8"/>
      <c r="I619" s="8"/>
      <c r="J619" s="546" t="str">
        <f t="array" ref="J619">IF(LEN($E619),INDEX('4-All Devices'!AE:AE, MATCH($E619, '4-All Devices'!AF:AF, 0)),"")</f>
        <v/>
      </c>
      <c r="K619" s="8"/>
      <c r="L619" s="8"/>
      <c r="M619" s="8"/>
    </row>
    <row r="620">
      <c r="A620" s="542"/>
      <c r="B620" s="551" t="str">
        <f t="array" ref="B620">IF(LEN(E620),INDEX('4-All Devices'!AG:AG, MATCH(E620, '4-All Devices'!AF:AF, 0)),"")</f>
        <v/>
      </c>
      <c r="C620" s="549" t="s">
        <v>11186</v>
      </c>
      <c r="D620" s="549" t="s">
        <v>11187</v>
      </c>
      <c r="E620" s="8"/>
      <c r="F620" s="552" t="s">
        <v>11188</v>
      </c>
      <c r="G620" s="8"/>
      <c r="H620" s="8"/>
      <c r="I620" s="8"/>
      <c r="J620" s="546" t="str">
        <f t="array" ref="J620">IF(LEN($E620),INDEX('4-All Devices'!AE:AE, MATCH($E620, '4-All Devices'!AF:AF, 0)),"")</f>
        <v/>
      </c>
      <c r="K620" s="8"/>
      <c r="L620" s="8"/>
      <c r="M620" s="8"/>
    </row>
    <row r="621">
      <c r="A621" s="542"/>
      <c r="B621" s="551" t="str">
        <f t="array" ref="B621">IF(LEN(E621),INDEX('4-All Devices'!AG:AG, MATCH(E621, '4-All Devices'!AF:AF, 0)),"")</f>
        <v/>
      </c>
      <c r="C621" s="549" t="s">
        <v>11186</v>
      </c>
      <c r="D621" s="549" t="s">
        <v>11187</v>
      </c>
      <c r="E621" s="8"/>
      <c r="F621" s="552" t="s">
        <v>11188</v>
      </c>
      <c r="G621" s="8"/>
      <c r="H621" s="8"/>
      <c r="I621" s="8"/>
      <c r="J621" s="546" t="str">
        <f t="array" ref="J621">IF(LEN($E621),INDEX('4-All Devices'!AE:AE, MATCH($E621, '4-All Devices'!AF:AF, 0)),"")</f>
        <v/>
      </c>
      <c r="K621" s="8"/>
      <c r="L621" s="8"/>
      <c r="M621" s="8"/>
    </row>
    <row r="622">
      <c r="A622" s="542"/>
      <c r="B622" s="551" t="str">
        <f t="array" ref="B622">IF(LEN(E622),INDEX('4-All Devices'!AG:AG, MATCH(E622, '4-All Devices'!AF:AF, 0)),"")</f>
        <v/>
      </c>
      <c r="C622" s="549" t="s">
        <v>11186</v>
      </c>
      <c r="D622" s="549" t="s">
        <v>11187</v>
      </c>
      <c r="E622" s="8"/>
      <c r="F622" s="552" t="s">
        <v>11188</v>
      </c>
      <c r="G622" s="8"/>
      <c r="H622" s="8"/>
      <c r="I622" s="8"/>
      <c r="J622" s="546" t="str">
        <f t="array" ref="J622">IF(LEN($E622),INDEX('4-All Devices'!AE:AE, MATCH($E622, '4-All Devices'!AF:AF, 0)),"")</f>
        <v/>
      </c>
      <c r="K622" s="8"/>
      <c r="L622" s="8"/>
      <c r="M622" s="8"/>
    </row>
    <row r="623">
      <c r="A623" s="542"/>
      <c r="B623" s="551" t="str">
        <f t="array" ref="B623">IF(LEN(E623),INDEX('4-All Devices'!AG:AG, MATCH(E623, '4-All Devices'!AF:AF, 0)),"")</f>
        <v/>
      </c>
      <c r="C623" s="549" t="s">
        <v>11186</v>
      </c>
      <c r="D623" s="549" t="s">
        <v>11187</v>
      </c>
      <c r="E623" s="8"/>
      <c r="F623" s="552" t="s">
        <v>11188</v>
      </c>
      <c r="G623" s="8"/>
      <c r="H623" s="8"/>
      <c r="I623" s="8"/>
      <c r="J623" s="546" t="str">
        <f t="array" ref="J623">IF(LEN($E623),INDEX('4-All Devices'!AE:AE, MATCH($E623, '4-All Devices'!AF:AF, 0)),"")</f>
        <v/>
      </c>
      <c r="K623" s="8"/>
      <c r="L623" s="8"/>
      <c r="M623" s="8"/>
    </row>
    <row r="624">
      <c r="A624" s="542"/>
      <c r="B624" s="551" t="str">
        <f t="array" ref="B624">IF(LEN(E624),INDEX('4-All Devices'!AG:AG, MATCH(E624, '4-All Devices'!AF:AF, 0)),"")</f>
        <v/>
      </c>
      <c r="C624" s="549" t="s">
        <v>11186</v>
      </c>
      <c r="D624" s="549" t="s">
        <v>11187</v>
      </c>
      <c r="E624" s="8"/>
      <c r="F624" s="552" t="s">
        <v>11188</v>
      </c>
      <c r="G624" s="8"/>
      <c r="H624" s="8"/>
      <c r="I624" s="8"/>
      <c r="J624" s="546" t="str">
        <f t="array" ref="J624">IF(LEN($E624),INDEX('4-All Devices'!AE:AE, MATCH($E624, '4-All Devices'!AF:AF, 0)),"")</f>
        <v/>
      </c>
      <c r="K624" s="8"/>
      <c r="L624" s="8"/>
      <c r="M624" s="8"/>
    </row>
    <row r="625">
      <c r="A625" s="542"/>
      <c r="B625" s="551" t="str">
        <f t="array" ref="B625">IF(LEN(E625),INDEX('4-All Devices'!AG:AG, MATCH(E625, '4-All Devices'!AF:AF, 0)),"")</f>
        <v/>
      </c>
      <c r="C625" s="549" t="s">
        <v>11186</v>
      </c>
      <c r="D625" s="549" t="s">
        <v>11187</v>
      </c>
      <c r="E625" s="8"/>
      <c r="F625" s="552" t="s">
        <v>11188</v>
      </c>
      <c r="G625" s="8"/>
      <c r="H625" s="8"/>
      <c r="I625" s="8"/>
      <c r="J625" s="546" t="str">
        <f t="array" ref="J625">IF(LEN($E625),INDEX('4-All Devices'!AE:AE, MATCH($E625, '4-All Devices'!AF:AF, 0)),"")</f>
        <v/>
      </c>
      <c r="K625" s="8"/>
      <c r="L625" s="8"/>
      <c r="M625" s="8"/>
    </row>
    <row r="626">
      <c r="A626" s="542"/>
      <c r="B626" s="551" t="str">
        <f t="array" ref="B626">IF(LEN(E626),INDEX('4-All Devices'!AG:AG, MATCH(E626, '4-All Devices'!AF:AF, 0)),"")</f>
        <v/>
      </c>
      <c r="C626" s="549" t="s">
        <v>11186</v>
      </c>
      <c r="D626" s="549" t="s">
        <v>11187</v>
      </c>
      <c r="E626" s="8"/>
      <c r="F626" s="552" t="s">
        <v>11188</v>
      </c>
      <c r="G626" s="8"/>
      <c r="H626" s="8"/>
      <c r="I626" s="8"/>
      <c r="J626" s="546" t="str">
        <f t="array" ref="J626">IF(LEN($E626),INDEX('4-All Devices'!AE:AE, MATCH($E626, '4-All Devices'!AF:AF, 0)),"")</f>
        <v/>
      </c>
      <c r="K626" s="8"/>
      <c r="L626" s="8"/>
      <c r="M626" s="8"/>
    </row>
    <row r="627">
      <c r="A627" s="542"/>
      <c r="B627" s="551" t="str">
        <f t="array" ref="B627">IF(LEN(E627),INDEX('4-All Devices'!AG:AG, MATCH(E627, '4-All Devices'!AF:AF, 0)),"")</f>
        <v/>
      </c>
      <c r="C627" s="549" t="s">
        <v>11186</v>
      </c>
      <c r="D627" s="549" t="s">
        <v>11187</v>
      </c>
      <c r="E627" s="8"/>
      <c r="F627" s="552" t="s">
        <v>11188</v>
      </c>
      <c r="G627" s="8"/>
      <c r="H627" s="8"/>
      <c r="I627" s="8"/>
      <c r="J627" s="546" t="str">
        <f t="array" ref="J627">IF(LEN($E627),INDEX('4-All Devices'!AE:AE, MATCH($E627, '4-All Devices'!AF:AF, 0)),"")</f>
        <v/>
      </c>
      <c r="K627" s="8"/>
      <c r="L627" s="8"/>
      <c r="M627" s="8"/>
    </row>
    <row r="628">
      <c r="A628" s="542"/>
      <c r="B628" s="551" t="str">
        <f t="array" ref="B628">IF(LEN(E628),INDEX('4-All Devices'!AG:AG, MATCH(E628, '4-All Devices'!AF:AF, 0)),"")</f>
        <v/>
      </c>
      <c r="C628" s="549" t="s">
        <v>11186</v>
      </c>
      <c r="D628" s="549" t="s">
        <v>11187</v>
      </c>
      <c r="E628" s="8"/>
      <c r="F628" s="552" t="s">
        <v>11188</v>
      </c>
      <c r="G628" s="8"/>
      <c r="H628" s="8"/>
      <c r="I628" s="8"/>
      <c r="J628" s="546" t="str">
        <f t="array" ref="J628">IF(LEN($E628),INDEX('4-All Devices'!AE:AE, MATCH($E628, '4-All Devices'!AF:AF, 0)),"")</f>
        <v/>
      </c>
      <c r="K628" s="8"/>
      <c r="L628" s="8"/>
      <c r="M628" s="8"/>
    </row>
    <row r="629">
      <c r="A629" s="542"/>
      <c r="B629" s="551" t="str">
        <f t="array" ref="B629">IF(LEN(E629),INDEX('4-All Devices'!AG:AG, MATCH(E629, '4-All Devices'!AF:AF, 0)),"")</f>
        <v/>
      </c>
      <c r="C629" s="549" t="s">
        <v>11186</v>
      </c>
      <c r="D629" s="549" t="s">
        <v>11187</v>
      </c>
      <c r="E629" s="8"/>
      <c r="F629" s="552" t="s">
        <v>11188</v>
      </c>
      <c r="G629" s="8"/>
      <c r="H629" s="8"/>
      <c r="I629" s="8"/>
      <c r="J629" s="546" t="str">
        <f t="array" ref="J629">IF(LEN($E629),INDEX('4-All Devices'!AE:AE, MATCH($E629, '4-All Devices'!AF:AF, 0)),"")</f>
        <v/>
      </c>
      <c r="K629" s="8"/>
      <c r="L629" s="8"/>
      <c r="M629" s="8"/>
    </row>
    <row r="630">
      <c r="A630" s="542"/>
      <c r="B630" s="551" t="str">
        <f t="array" ref="B630">IF(LEN(E630),INDEX('4-All Devices'!AG:AG, MATCH(E630, '4-All Devices'!AF:AF, 0)),"")</f>
        <v/>
      </c>
      <c r="C630" s="549" t="s">
        <v>11186</v>
      </c>
      <c r="D630" s="549" t="s">
        <v>11187</v>
      </c>
      <c r="E630" s="8"/>
      <c r="F630" s="552" t="s">
        <v>11188</v>
      </c>
      <c r="G630" s="8"/>
      <c r="H630" s="8"/>
      <c r="I630" s="8"/>
      <c r="J630" s="546" t="str">
        <f t="array" ref="J630">IF(LEN($E630),INDEX('4-All Devices'!AE:AE, MATCH($E630, '4-All Devices'!AF:AF, 0)),"")</f>
        <v/>
      </c>
      <c r="K630" s="8"/>
      <c r="L630" s="8"/>
      <c r="M630" s="8"/>
    </row>
    <row r="631">
      <c r="A631" s="542"/>
      <c r="B631" s="551" t="str">
        <f t="array" ref="B631">IF(LEN(E631),INDEX('4-All Devices'!AG:AG, MATCH(E631, '4-All Devices'!AF:AF, 0)),"")</f>
        <v/>
      </c>
      <c r="C631" s="549" t="s">
        <v>11186</v>
      </c>
      <c r="D631" s="549" t="s">
        <v>11187</v>
      </c>
      <c r="E631" s="8"/>
      <c r="F631" s="552" t="s">
        <v>11188</v>
      </c>
      <c r="G631" s="8"/>
      <c r="H631" s="8"/>
      <c r="I631" s="8"/>
      <c r="J631" s="546" t="str">
        <f t="array" ref="J631">IF(LEN($E631),INDEX('4-All Devices'!AE:AE, MATCH($E631, '4-All Devices'!AF:AF, 0)),"")</f>
        <v/>
      </c>
      <c r="K631" s="8"/>
      <c r="L631" s="8"/>
      <c r="M631" s="8"/>
    </row>
    <row r="632">
      <c r="A632" s="542"/>
      <c r="B632" s="551" t="str">
        <f t="array" ref="B632">IF(LEN(E632),INDEX('4-All Devices'!AG:AG, MATCH(E632, '4-All Devices'!AF:AF, 0)),"")</f>
        <v/>
      </c>
      <c r="C632" s="549" t="s">
        <v>11186</v>
      </c>
      <c r="D632" s="549" t="s">
        <v>11187</v>
      </c>
      <c r="E632" s="8"/>
      <c r="F632" s="552" t="s">
        <v>11188</v>
      </c>
      <c r="G632" s="8"/>
      <c r="H632" s="8"/>
      <c r="I632" s="8"/>
      <c r="J632" s="546" t="str">
        <f t="array" ref="J632">IF(LEN($E632),INDEX('4-All Devices'!AE:AE, MATCH($E632, '4-All Devices'!AF:AF, 0)),"")</f>
        <v/>
      </c>
      <c r="K632" s="8"/>
      <c r="L632" s="8"/>
      <c r="M632" s="8"/>
    </row>
    <row r="633">
      <c r="A633" s="542"/>
      <c r="B633" s="551" t="str">
        <f t="array" ref="B633">IF(LEN(E633),INDEX('4-All Devices'!AG:AG, MATCH(E633, '4-All Devices'!AF:AF, 0)),"")</f>
        <v/>
      </c>
      <c r="C633" s="549" t="s">
        <v>11186</v>
      </c>
      <c r="D633" s="549" t="s">
        <v>11187</v>
      </c>
      <c r="E633" s="8"/>
      <c r="F633" s="552" t="s">
        <v>11188</v>
      </c>
      <c r="G633" s="8"/>
      <c r="H633" s="8"/>
      <c r="I633" s="8"/>
      <c r="J633" s="546" t="str">
        <f t="array" ref="J633">IF(LEN($E633),INDEX('4-All Devices'!AE:AE, MATCH($E633, '4-All Devices'!AF:AF, 0)),"")</f>
        <v/>
      </c>
      <c r="K633" s="8"/>
      <c r="L633" s="8"/>
      <c r="M633" s="8"/>
    </row>
    <row r="634">
      <c r="A634" s="542"/>
      <c r="B634" s="551" t="str">
        <f t="array" ref="B634">IF(LEN(E634),INDEX('4-All Devices'!AG:AG, MATCH(E634, '4-All Devices'!AF:AF, 0)),"")</f>
        <v/>
      </c>
      <c r="C634" s="549" t="s">
        <v>11186</v>
      </c>
      <c r="D634" s="549" t="s">
        <v>11187</v>
      </c>
      <c r="E634" s="8"/>
      <c r="F634" s="552" t="s">
        <v>11188</v>
      </c>
      <c r="G634" s="8"/>
      <c r="H634" s="8"/>
      <c r="I634" s="8"/>
      <c r="J634" s="546" t="str">
        <f t="array" ref="J634">IF(LEN($E634),INDEX('4-All Devices'!AE:AE, MATCH($E634, '4-All Devices'!AF:AF, 0)),"")</f>
        <v/>
      </c>
      <c r="K634" s="8"/>
      <c r="L634" s="8"/>
      <c r="M634" s="8"/>
    </row>
    <row r="635">
      <c r="A635" s="542"/>
      <c r="B635" s="551" t="str">
        <f t="array" ref="B635">IF(LEN(E635),INDEX('4-All Devices'!AG:AG, MATCH(E635, '4-All Devices'!AF:AF, 0)),"")</f>
        <v/>
      </c>
      <c r="C635" s="549" t="s">
        <v>11186</v>
      </c>
      <c r="D635" s="549" t="s">
        <v>11187</v>
      </c>
      <c r="E635" s="8"/>
      <c r="F635" s="552" t="s">
        <v>11188</v>
      </c>
      <c r="G635" s="8"/>
      <c r="H635" s="8"/>
      <c r="I635" s="8"/>
      <c r="J635" s="546" t="str">
        <f t="array" ref="J635">IF(LEN($E635),INDEX('4-All Devices'!AE:AE, MATCH($E635, '4-All Devices'!AF:AF, 0)),"")</f>
        <v/>
      </c>
      <c r="K635" s="8"/>
      <c r="L635" s="8"/>
      <c r="M635" s="8"/>
    </row>
    <row r="636">
      <c r="A636" s="542"/>
      <c r="B636" s="551" t="str">
        <f t="array" ref="B636">IF(LEN(E636),INDEX('4-All Devices'!AG:AG, MATCH(E636, '4-All Devices'!AF:AF, 0)),"")</f>
        <v/>
      </c>
      <c r="C636" s="549" t="s">
        <v>11186</v>
      </c>
      <c r="D636" s="549" t="s">
        <v>11187</v>
      </c>
      <c r="E636" s="8"/>
      <c r="F636" s="552" t="s">
        <v>11188</v>
      </c>
      <c r="G636" s="8"/>
      <c r="H636" s="8"/>
      <c r="I636" s="8"/>
      <c r="J636" s="546" t="str">
        <f t="array" ref="J636">IF(LEN($E636),INDEX('4-All Devices'!AE:AE, MATCH($E636, '4-All Devices'!AF:AF, 0)),"")</f>
        <v/>
      </c>
      <c r="K636" s="8"/>
      <c r="L636" s="8"/>
      <c r="M636" s="8"/>
    </row>
    <row r="637">
      <c r="A637" s="542"/>
      <c r="B637" s="551" t="str">
        <f t="array" ref="B637">IF(LEN(E637),INDEX('4-All Devices'!AG:AG, MATCH(E637, '4-All Devices'!AF:AF, 0)),"")</f>
        <v/>
      </c>
      <c r="C637" s="549" t="s">
        <v>11186</v>
      </c>
      <c r="D637" s="549" t="s">
        <v>11187</v>
      </c>
      <c r="E637" s="8"/>
      <c r="F637" s="552" t="s">
        <v>11188</v>
      </c>
      <c r="G637" s="8"/>
      <c r="H637" s="8"/>
      <c r="I637" s="8"/>
      <c r="J637" s="546" t="str">
        <f t="array" ref="J637">IF(LEN($E637),INDEX('4-All Devices'!AE:AE, MATCH($E637, '4-All Devices'!AF:AF, 0)),"")</f>
        <v/>
      </c>
      <c r="K637" s="8"/>
      <c r="L637" s="8"/>
      <c r="M637" s="8"/>
    </row>
    <row r="638">
      <c r="A638" s="542"/>
      <c r="B638" s="551" t="str">
        <f t="array" ref="B638">IF(LEN(E638),INDEX('4-All Devices'!AG:AG, MATCH(E638, '4-All Devices'!AF:AF, 0)),"")</f>
        <v/>
      </c>
      <c r="C638" s="549" t="s">
        <v>11186</v>
      </c>
      <c r="D638" s="549" t="s">
        <v>11187</v>
      </c>
      <c r="E638" s="8"/>
      <c r="F638" s="552" t="s">
        <v>11188</v>
      </c>
      <c r="G638" s="8"/>
      <c r="H638" s="8"/>
      <c r="I638" s="8"/>
      <c r="J638" s="546" t="str">
        <f t="array" ref="J638">IF(LEN($E638),INDEX('4-All Devices'!AE:AE, MATCH($E638, '4-All Devices'!AF:AF, 0)),"")</f>
        <v/>
      </c>
      <c r="K638" s="8"/>
      <c r="L638" s="8"/>
      <c r="M638" s="8"/>
    </row>
    <row r="639">
      <c r="A639" s="542"/>
      <c r="B639" s="551" t="str">
        <f t="array" ref="B639">IF(LEN(E639),INDEX('4-All Devices'!AG:AG, MATCH(E639, '4-All Devices'!AF:AF, 0)),"")</f>
        <v/>
      </c>
      <c r="C639" s="549" t="s">
        <v>11186</v>
      </c>
      <c r="D639" s="549" t="s">
        <v>11187</v>
      </c>
      <c r="E639" s="8"/>
      <c r="F639" s="552" t="s">
        <v>11188</v>
      </c>
      <c r="G639" s="8"/>
      <c r="H639" s="8"/>
      <c r="I639" s="8"/>
      <c r="J639" s="546" t="str">
        <f t="array" ref="J639">IF(LEN($E639),INDEX('4-All Devices'!AE:AE, MATCH($E639, '4-All Devices'!AF:AF, 0)),"")</f>
        <v/>
      </c>
      <c r="K639" s="8"/>
      <c r="L639" s="8"/>
      <c r="M639" s="8"/>
    </row>
    <row r="640">
      <c r="A640" s="542"/>
      <c r="B640" s="551" t="str">
        <f t="array" ref="B640">IF(LEN(E640),INDEX('4-All Devices'!AG:AG, MATCH(E640, '4-All Devices'!AF:AF, 0)),"")</f>
        <v/>
      </c>
      <c r="C640" s="549" t="s">
        <v>11186</v>
      </c>
      <c r="D640" s="549" t="s">
        <v>11187</v>
      </c>
      <c r="E640" s="8"/>
      <c r="F640" s="552" t="s">
        <v>11188</v>
      </c>
      <c r="G640" s="8"/>
      <c r="H640" s="8"/>
      <c r="I640" s="8"/>
      <c r="J640" s="546" t="str">
        <f t="array" ref="J640">IF(LEN($E640),INDEX('4-All Devices'!AE:AE, MATCH($E640, '4-All Devices'!AF:AF, 0)),"")</f>
        <v/>
      </c>
      <c r="K640" s="8"/>
      <c r="L640" s="8"/>
      <c r="M640" s="8"/>
    </row>
    <row r="641">
      <c r="A641" s="542"/>
      <c r="B641" s="551" t="str">
        <f t="array" ref="B641">IF(LEN(E641),INDEX('4-All Devices'!AG:AG, MATCH(E641, '4-All Devices'!AF:AF, 0)),"")</f>
        <v/>
      </c>
      <c r="C641" s="549" t="s">
        <v>11186</v>
      </c>
      <c r="D641" s="549" t="s">
        <v>11187</v>
      </c>
      <c r="E641" s="8"/>
      <c r="F641" s="552" t="s">
        <v>11188</v>
      </c>
      <c r="G641" s="8"/>
      <c r="H641" s="8"/>
      <c r="I641" s="8"/>
      <c r="J641" s="546" t="str">
        <f t="array" ref="J641">IF(LEN($E641),INDEX('4-All Devices'!AE:AE, MATCH($E641, '4-All Devices'!AF:AF, 0)),"")</f>
        <v/>
      </c>
      <c r="K641" s="8"/>
      <c r="L641" s="8"/>
      <c r="M641" s="8"/>
    </row>
    <row r="642">
      <c r="A642" s="542"/>
      <c r="B642" s="551" t="str">
        <f t="array" ref="B642">IF(LEN(E642),INDEX('4-All Devices'!AG:AG, MATCH(E642, '4-All Devices'!AF:AF, 0)),"")</f>
        <v/>
      </c>
      <c r="C642" s="549" t="s">
        <v>11186</v>
      </c>
      <c r="D642" s="549" t="s">
        <v>11187</v>
      </c>
      <c r="E642" s="8"/>
      <c r="F642" s="552" t="s">
        <v>11188</v>
      </c>
      <c r="G642" s="8"/>
      <c r="H642" s="8"/>
      <c r="I642" s="8"/>
      <c r="J642" s="546" t="str">
        <f t="array" ref="J642">IF(LEN($E642),INDEX('4-All Devices'!AE:AE, MATCH($E642, '4-All Devices'!AF:AF, 0)),"")</f>
        <v/>
      </c>
      <c r="K642" s="8"/>
      <c r="L642" s="8"/>
      <c r="M642" s="8"/>
    </row>
    <row r="643">
      <c r="A643" s="542"/>
      <c r="B643" s="551" t="str">
        <f t="array" ref="B643">IF(LEN(E643),INDEX('4-All Devices'!AG:AG, MATCH(E643, '4-All Devices'!AF:AF, 0)),"")</f>
        <v/>
      </c>
      <c r="C643" s="549" t="s">
        <v>11186</v>
      </c>
      <c r="D643" s="549" t="s">
        <v>11187</v>
      </c>
      <c r="E643" s="8"/>
      <c r="F643" s="552" t="s">
        <v>11188</v>
      </c>
      <c r="G643" s="8"/>
      <c r="H643" s="8"/>
      <c r="I643" s="8"/>
      <c r="J643" s="546" t="str">
        <f t="array" ref="J643">IF(LEN($E643),INDEX('4-All Devices'!AE:AE, MATCH($E643, '4-All Devices'!AF:AF, 0)),"")</f>
        <v/>
      </c>
      <c r="K643" s="8"/>
      <c r="L643" s="8"/>
      <c r="M643" s="8"/>
    </row>
    <row r="644">
      <c r="A644" s="542"/>
      <c r="B644" s="551" t="str">
        <f t="array" ref="B644">IF(LEN(E644),INDEX('4-All Devices'!AG:AG, MATCH(E644, '4-All Devices'!AF:AF, 0)),"")</f>
        <v/>
      </c>
      <c r="C644" s="549" t="s">
        <v>11186</v>
      </c>
      <c r="D644" s="549" t="s">
        <v>11187</v>
      </c>
      <c r="E644" s="8"/>
      <c r="F644" s="552" t="s">
        <v>11188</v>
      </c>
      <c r="G644" s="8"/>
      <c r="H644" s="8"/>
      <c r="I644" s="8"/>
      <c r="J644" s="546" t="str">
        <f t="array" ref="J644">IF(LEN($E644),INDEX('4-All Devices'!AE:AE, MATCH($E644, '4-All Devices'!AF:AF, 0)),"")</f>
        <v/>
      </c>
      <c r="K644" s="8"/>
      <c r="L644" s="8"/>
      <c r="M644" s="8"/>
    </row>
    <row r="645">
      <c r="A645" s="542"/>
      <c r="B645" s="551" t="str">
        <f t="array" ref="B645">IF(LEN(E645),INDEX('4-All Devices'!AG:AG, MATCH(E645, '4-All Devices'!AF:AF, 0)),"")</f>
        <v/>
      </c>
      <c r="C645" s="549" t="s">
        <v>11186</v>
      </c>
      <c r="D645" s="549" t="s">
        <v>11187</v>
      </c>
      <c r="E645" s="8"/>
      <c r="F645" s="552" t="s">
        <v>11188</v>
      </c>
      <c r="G645" s="8"/>
      <c r="H645" s="8"/>
      <c r="I645" s="8"/>
      <c r="J645" s="546" t="str">
        <f t="array" ref="J645">IF(LEN($E645),INDEX('4-All Devices'!AE:AE, MATCH($E645, '4-All Devices'!AF:AF, 0)),"")</f>
        <v/>
      </c>
      <c r="K645" s="8"/>
      <c r="L645" s="8"/>
      <c r="M645" s="8"/>
    </row>
    <row r="646">
      <c r="A646" s="542"/>
      <c r="B646" s="551" t="str">
        <f t="array" ref="B646">IF(LEN(E646),INDEX('4-All Devices'!AG:AG, MATCH(E646, '4-All Devices'!AF:AF, 0)),"")</f>
        <v/>
      </c>
      <c r="C646" s="549" t="s">
        <v>11186</v>
      </c>
      <c r="D646" s="549" t="s">
        <v>11187</v>
      </c>
      <c r="E646" s="8"/>
      <c r="F646" s="552" t="s">
        <v>11188</v>
      </c>
      <c r="G646" s="8"/>
      <c r="H646" s="8"/>
      <c r="I646" s="8"/>
      <c r="J646" s="546" t="str">
        <f t="array" ref="J646">IF(LEN($E646),INDEX('4-All Devices'!AE:AE, MATCH($E646, '4-All Devices'!AF:AF, 0)),"")</f>
        <v/>
      </c>
      <c r="K646" s="8"/>
      <c r="L646" s="8"/>
      <c r="M646" s="8"/>
    </row>
    <row r="647">
      <c r="A647" s="542"/>
      <c r="B647" s="551" t="str">
        <f t="array" ref="B647">IF(LEN(E647),INDEX('4-All Devices'!AG:AG, MATCH(E647, '4-All Devices'!AF:AF, 0)),"")</f>
        <v/>
      </c>
      <c r="C647" s="549" t="s">
        <v>11186</v>
      </c>
      <c r="D647" s="549" t="s">
        <v>11187</v>
      </c>
      <c r="E647" s="8"/>
      <c r="F647" s="552" t="s">
        <v>11188</v>
      </c>
      <c r="G647" s="8"/>
      <c r="H647" s="8"/>
      <c r="I647" s="8"/>
      <c r="J647" s="546" t="str">
        <f t="array" ref="J647">IF(LEN($E647),INDEX('4-All Devices'!AE:AE, MATCH($E647, '4-All Devices'!AF:AF, 0)),"")</f>
        <v/>
      </c>
      <c r="K647" s="8"/>
      <c r="L647" s="8"/>
      <c r="M647" s="8"/>
    </row>
    <row r="648">
      <c r="A648" s="542"/>
      <c r="B648" s="551" t="str">
        <f t="array" ref="B648">IF(LEN(E648),INDEX('4-All Devices'!AG:AG, MATCH(E648, '4-All Devices'!AF:AF, 0)),"")</f>
        <v/>
      </c>
      <c r="C648" s="549" t="s">
        <v>11186</v>
      </c>
      <c r="D648" s="549" t="s">
        <v>11187</v>
      </c>
      <c r="E648" s="8"/>
      <c r="F648" s="552" t="s">
        <v>11188</v>
      </c>
      <c r="G648" s="8"/>
      <c r="H648" s="8"/>
      <c r="I648" s="8"/>
      <c r="J648" s="546" t="str">
        <f t="array" ref="J648">IF(LEN($E648),INDEX('4-All Devices'!AE:AE, MATCH($E648, '4-All Devices'!AF:AF, 0)),"")</f>
        <v/>
      </c>
      <c r="K648" s="8"/>
      <c r="L648" s="8"/>
      <c r="M648" s="8"/>
    </row>
    <row r="649">
      <c r="A649" s="542"/>
      <c r="B649" s="551" t="str">
        <f t="array" ref="B649">IF(LEN(E649),INDEX('4-All Devices'!AG:AG, MATCH(E649, '4-All Devices'!AF:AF, 0)),"")</f>
        <v/>
      </c>
      <c r="C649" s="549" t="s">
        <v>11186</v>
      </c>
      <c r="D649" s="549" t="s">
        <v>11187</v>
      </c>
      <c r="E649" s="8"/>
      <c r="F649" s="552" t="s">
        <v>11188</v>
      </c>
      <c r="G649" s="8"/>
      <c r="H649" s="8"/>
      <c r="I649" s="8"/>
      <c r="J649" s="546" t="str">
        <f t="array" ref="J649">IF(LEN($E649),INDEX('4-All Devices'!AE:AE, MATCH($E649, '4-All Devices'!AF:AF, 0)),"")</f>
        <v/>
      </c>
      <c r="K649" s="8"/>
      <c r="L649" s="8"/>
      <c r="M649" s="8"/>
    </row>
    <row r="650">
      <c r="A650" s="542"/>
      <c r="B650" s="551" t="str">
        <f t="array" ref="B650">IF(LEN(E650),INDEX('4-All Devices'!AG:AG, MATCH(E650, '4-All Devices'!AF:AF, 0)),"")</f>
        <v/>
      </c>
      <c r="C650" s="549" t="s">
        <v>11186</v>
      </c>
      <c r="D650" s="549" t="s">
        <v>11187</v>
      </c>
      <c r="E650" s="8"/>
      <c r="F650" s="552" t="s">
        <v>11188</v>
      </c>
      <c r="G650" s="8"/>
      <c r="H650" s="8"/>
      <c r="I650" s="8"/>
      <c r="J650" s="546" t="str">
        <f t="array" ref="J650">IF(LEN($E650),INDEX('4-All Devices'!AE:AE, MATCH($E650, '4-All Devices'!AF:AF, 0)),"")</f>
        <v/>
      </c>
      <c r="K650" s="8"/>
      <c r="L650" s="8"/>
      <c r="M650" s="8"/>
    </row>
    <row r="651">
      <c r="A651" s="542"/>
      <c r="B651" s="551" t="str">
        <f t="array" ref="B651">IF(LEN(E651),INDEX('4-All Devices'!AG:AG, MATCH(E651, '4-All Devices'!AF:AF, 0)),"")</f>
        <v/>
      </c>
      <c r="C651" s="549" t="s">
        <v>11186</v>
      </c>
      <c r="D651" s="549" t="s">
        <v>11187</v>
      </c>
      <c r="E651" s="8"/>
      <c r="F651" s="552" t="s">
        <v>11188</v>
      </c>
      <c r="G651" s="8"/>
      <c r="H651" s="8"/>
      <c r="I651" s="8"/>
      <c r="J651" s="546" t="str">
        <f t="array" ref="J651">IF(LEN($E651),INDEX('4-All Devices'!AE:AE, MATCH($E651, '4-All Devices'!AF:AF, 0)),"")</f>
        <v/>
      </c>
      <c r="K651" s="8"/>
      <c r="L651" s="8"/>
      <c r="M651" s="8"/>
    </row>
    <row r="652">
      <c r="A652" s="542"/>
      <c r="B652" s="551" t="str">
        <f t="array" ref="B652">IF(LEN(E652),INDEX('4-All Devices'!AG:AG, MATCH(E652, '4-All Devices'!AF:AF, 0)),"")</f>
        <v/>
      </c>
      <c r="C652" s="549" t="s">
        <v>11186</v>
      </c>
      <c r="D652" s="549" t="s">
        <v>11187</v>
      </c>
      <c r="E652" s="8"/>
      <c r="F652" s="552" t="s">
        <v>11188</v>
      </c>
      <c r="G652" s="8"/>
      <c r="H652" s="8"/>
      <c r="I652" s="8"/>
      <c r="J652" s="546" t="str">
        <f t="array" ref="J652">IF(LEN($E652),INDEX('4-All Devices'!AE:AE, MATCH($E652, '4-All Devices'!AF:AF, 0)),"")</f>
        <v/>
      </c>
      <c r="K652" s="8"/>
      <c r="L652" s="8"/>
      <c r="M652" s="8"/>
    </row>
    <row r="653">
      <c r="A653" s="542"/>
      <c r="B653" s="551" t="str">
        <f t="array" ref="B653">IF(LEN(E653),INDEX('4-All Devices'!AG:AG, MATCH(E653, '4-All Devices'!AF:AF, 0)),"")</f>
        <v/>
      </c>
      <c r="C653" s="549" t="s">
        <v>11186</v>
      </c>
      <c r="D653" s="549" t="s">
        <v>11187</v>
      </c>
      <c r="E653" s="8"/>
      <c r="F653" s="552" t="s">
        <v>11188</v>
      </c>
      <c r="G653" s="8"/>
      <c r="H653" s="8"/>
      <c r="I653" s="8"/>
      <c r="J653" s="546" t="str">
        <f t="array" ref="J653">IF(LEN($E653),INDEX('4-All Devices'!AE:AE, MATCH($E653, '4-All Devices'!AF:AF, 0)),"")</f>
        <v/>
      </c>
      <c r="K653" s="8"/>
      <c r="L653" s="8"/>
      <c r="M653" s="8"/>
    </row>
    <row r="654">
      <c r="A654" s="542"/>
      <c r="B654" s="551" t="str">
        <f t="array" ref="B654">IF(LEN(E654),INDEX('4-All Devices'!AG:AG, MATCH(E654, '4-All Devices'!AF:AF, 0)),"")</f>
        <v/>
      </c>
      <c r="C654" s="549" t="s">
        <v>11186</v>
      </c>
      <c r="D654" s="549" t="s">
        <v>11187</v>
      </c>
      <c r="E654" s="8"/>
      <c r="F654" s="552" t="s">
        <v>11188</v>
      </c>
      <c r="G654" s="8"/>
      <c r="H654" s="8"/>
      <c r="I654" s="8"/>
      <c r="J654" s="546" t="str">
        <f t="array" ref="J654">IF(LEN($E654),INDEX('4-All Devices'!AE:AE, MATCH($E654, '4-All Devices'!AF:AF, 0)),"")</f>
        <v/>
      </c>
      <c r="K654" s="8"/>
      <c r="L654" s="8"/>
      <c r="M654" s="8"/>
    </row>
    <row r="655">
      <c r="A655" s="542"/>
      <c r="B655" s="551" t="str">
        <f t="array" ref="B655">IF(LEN(E655),INDEX('4-All Devices'!AG:AG, MATCH(E655, '4-All Devices'!AF:AF, 0)),"")</f>
        <v/>
      </c>
      <c r="C655" s="549" t="s">
        <v>11186</v>
      </c>
      <c r="D655" s="549" t="s">
        <v>11187</v>
      </c>
      <c r="E655" s="8"/>
      <c r="F655" s="552" t="s">
        <v>11188</v>
      </c>
      <c r="G655" s="8"/>
      <c r="H655" s="8"/>
      <c r="I655" s="8"/>
      <c r="J655" s="546" t="str">
        <f t="array" ref="J655">IF(LEN($E655),INDEX('4-All Devices'!AE:AE, MATCH($E655, '4-All Devices'!AF:AF, 0)),"")</f>
        <v/>
      </c>
      <c r="K655" s="8"/>
      <c r="L655" s="8"/>
      <c r="M655" s="8"/>
    </row>
    <row r="656">
      <c r="A656" s="542"/>
      <c r="B656" s="551" t="str">
        <f t="array" ref="B656">IF(LEN(E656),INDEX('4-All Devices'!AG:AG, MATCH(E656, '4-All Devices'!AF:AF, 0)),"")</f>
        <v/>
      </c>
      <c r="C656" s="549" t="s">
        <v>11186</v>
      </c>
      <c r="D656" s="549" t="s">
        <v>11187</v>
      </c>
      <c r="E656" s="8"/>
      <c r="F656" s="552" t="s">
        <v>11188</v>
      </c>
      <c r="G656" s="8"/>
      <c r="H656" s="8"/>
      <c r="I656" s="8"/>
      <c r="J656" s="546" t="str">
        <f t="array" ref="J656">IF(LEN($E656),INDEX('4-All Devices'!AE:AE, MATCH($E656, '4-All Devices'!AF:AF, 0)),"")</f>
        <v/>
      </c>
      <c r="K656" s="8"/>
      <c r="L656" s="8"/>
      <c r="M656" s="8"/>
    </row>
    <row r="657">
      <c r="A657" s="542"/>
      <c r="B657" s="551" t="str">
        <f t="array" ref="B657">IF(LEN(E657),INDEX('4-All Devices'!AG:AG, MATCH(E657, '4-All Devices'!AF:AF, 0)),"")</f>
        <v/>
      </c>
      <c r="C657" s="549" t="s">
        <v>11186</v>
      </c>
      <c r="D657" s="549" t="s">
        <v>11187</v>
      </c>
      <c r="E657" s="8"/>
      <c r="F657" s="552" t="s">
        <v>11188</v>
      </c>
      <c r="G657" s="8"/>
      <c r="H657" s="8"/>
      <c r="I657" s="8"/>
      <c r="J657" s="546" t="str">
        <f t="array" ref="J657">IF(LEN($E657),INDEX('4-All Devices'!AE:AE, MATCH($E657, '4-All Devices'!AF:AF, 0)),"")</f>
        <v/>
      </c>
      <c r="K657" s="8"/>
      <c r="L657" s="8"/>
      <c r="M657" s="8"/>
    </row>
    <row r="658">
      <c r="A658" s="542"/>
      <c r="B658" s="551" t="str">
        <f t="array" ref="B658">IF(LEN(E658),INDEX('4-All Devices'!AG:AG, MATCH(E658, '4-All Devices'!AF:AF, 0)),"")</f>
        <v/>
      </c>
      <c r="C658" s="549" t="s">
        <v>11186</v>
      </c>
      <c r="D658" s="549" t="s">
        <v>11187</v>
      </c>
      <c r="E658" s="8"/>
      <c r="F658" s="552" t="s">
        <v>11188</v>
      </c>
      <c r="G658" s="8"/>
      <c r="H658" s="8"/>
      <c r="I658" s="8"/>
      <c r="J658" s="546" t="str">
        <f t="array" ref="J658">IF(LEN($E658),INDEX('4-All Devices'!AE:AE, MATCH($E658, '4-All Devices'!AF:AF, 0)),"")</f>
        <v/>
      </c>
      <c r="K658" s="8"/>
      <c r="L658" s="8"/>
      <c r="M658" s="8"/>
    </row>
    <row r="659">
      <c r="A659" s="542"/>
      <c r="B659" s="551" t="str">
        <f t="array" ref="B659">IF(LEN(E659),INDEX('4-All Devices'!AG:AG, MATCH(E659, '4-All Devices'!AF:AF, 0)),"")</f>
        <v/>
      </c>
      <c r="C659" s="549" t="s">
        <v>11186</v>
      </c>
      <c r="D659" s="549" t="s">
        <v>11187</v>
      </c>
      <c r="E659" s="8"/>
      <c r="F659" s="552" t="s">
        <v>11188</v>
      </c>
      <c r="G659" s="8"/>
      <c r="H659" s="8"/>
      <c r="I659" s="8"/>
      <c r="J659" s="546" t="str">
        <f t="array" ref="J659">IF(LEN($E659),INDEX('4-All Devices'!AE:AE, MATCH($E659, '4-All Devices'!AF:AF, 0)),"")</f>
        <v/>
      </c>
      <c r="K659" s="8"/>
      <c r="L659" s="8"/>
      <c r="M659" s="8"/>
    </row>
    <row r="660">
      <c r="A660" s="542"/>
      <c r="B660" s="551" t="str">
        <f t="array" ref="B660">IF(LEN(E660),INDEX('4-All Devices'!AG:AG, MATCH(E660, '4-All Devices'!AF:AF, 0)),"")</f>
        <v/>
      </c>
      <c r="C660" s="549" t="s">
        <v>11186</v>
      </c>
      <c r="D660" s="549" t="s">
        <v>11187</v>
      </c>
      <c r="E660" s="8"/>
      <c r="F660" s="552" t="s">
        <v>11188</v>
      </c>
      <c r="G660" s="8"/>
      <c r="H660" s="8"/>
      <c r="I660" s="8"/>
      <c r="J660" s="546" t="str">
        <f t="array" ref="J660">IF(LEN($E660),INDEX('4-All Devices'!AE:AE, MATCH($E660, '4-All Devices'!AF:AF, 0)),"")</f>
        <v/>
      </c>
      <c r="K660" s="8"/>
      <c r="L660" s="8"/>
      <c r="M660" s="8"/>
    </row>
    <row r="661">
      <c r="A661" s="542"/>
      <c r="B661" s="551" t="str">
        <f t="array" ref="B661">IF(LEN(E661),INDEX('4-All Devices'!AG:AG, MATCH(E661, '4-All Devices'!AF:AF, 0)),"")</f>
        <v/>
      </c>
      <c r="C661" s="549" t="s">
        <v>11186</v>
      </c>
      <c r="D661" s="549" t="s">
        <v>11187</v>
      </c>
      <c r="E661" s="8"/>
      <c r="F661" s="552" t="s">
        <v>11188</v>
      </c>
      <c r="G661" s="8"/>
      <c r="H661" s="8"/>
      <c r="I661" s="8"/>
      <c r="J661" s="546" t="str">
        <f t="array" ref="J661">IF(LEN($E661),INDEX('4-All Devices'!AE:AE, MATCH($E661, '4-All Devices'!AF:AF, 0)),"")</f>
        <v/>
      </c>
      <c r="K661" s="8"/>
      <c r="L661" s="8"/>
      <c r="M661" s="8"/>
    </row>
    <row r="662">
      <c r="A662" s="542"/>
      <c r="B662" s="551" t="str">
        <f t="array" ref="B662">IF(LEN(E662),INDEX('4-All Devices'!AG:AG, MATCH(E662, '4-All Devices'!AF:AF, 0)),"")</f>
        <v/>
      </c>
      <c r="C662" s="549" t="s">
        <v>11186</v>
      </c>
      <c r="D662" s="549" t="s">
        <v>11187</v>
      </c>
      <c r="E662" s="8"/>
      <c r="F662" s="552" t="s">
        <v>11188</v>
      </c>
      <c r="G662" s="8"/>
      <c r="H662" s="8"/>
      <c r="I662" s="8"/>
      <c r="J662" s="546" t="str">
        <f t="array" ref="J662">IF(LEN($E662),INDEX('4-All Devices'!AE:AE, MATCH($E662, '4-All Devices'!AF:AF, 0)),"")</f>
        <v/>
      </c>
      <c r="K662" s="8"/>
      <c r="L662" s="8"/>
      <c r="M662" s="8"/>
    </row>
    <row r="663">
      <c r="A663" s="542"/>
      <c r="B663" s="551" t="str">
        <f t="array" ref="B663">IF(LEN(E663),INDEX('4-All Devices'!AG:AG, MATCH(E663, '4-All Devices'!AF:AF, 0)),"")</f>
        <v/>
      </c>
      <c r="C663" s="549" t="s">
        <v>11186</v>
      </c>
      <c r="D663" s="549" t="s">
        <v>11187</v>
      </c>
      <c r="E663" s="8"/>
      <c r="F663" s="552" t="s">
        <v>11188</v>
      </c>
      <c r="G663" s="8"/>
      <c r="H663" s="8"/>
      <c r="I663" s="8"/>
      <c r="J663" s="546" t="str">
        <f t="array" ref="J663">IF(LEN($E663),INDEX('4-All Devices'!AE:AE, MATCH($E663, '4-All Devices'!AF:AF, 0)),"")</f>
        <v/>
      </c>
      <c r="K663" s="8"/>
      <c r="L663" s="8"/>
      <c r="M663" s="8"/>
    </row>
    <row r="664">
      <c r="A664" s="542"/>
      <c r="B664" s="551" t="str">
        <f t="array" ref="B664">IF(LEN(E664),INDEX('4-All Devices'!AG:AG, MATCH(E664, '4-All Devices'!AF:AF, 0)),"")</f>
        <v/>
      </c>
      <c r="C664" s="549" t="s">
        <v>11186</v>
      </c>
      <c r="D664" s="549" t="s">
        <v>11187</v>
      </c>
      <c r="E664" s="8"/>
      <c r="F664" s="552" t="s">
        <v>11188</v>
      </c>
      <c r="G664" s="8"/>
      <c r="H664" s="8"/>
      <c r="I664" s="8"/>
      <c r="J664" s="546" t="str">
        <f t="array" ref="J664">IF(LEN($E664),INDEX('4-All Devices'!AE:AE, MATCH($E664, '4-All Devices'!AF:AF, 0)),"")</f>
        <v/>
      </c>
      <c r="K664" s="8"/>
      <c r="L664" s="8"/>
      <c r="M664" s="8"/>
    </row>
    <row r="665">
      <c r="A665" s="542"/>
      <c r="B665" s="551" t="str">
        <f t="array" ref="B665">IF(LEN(E665),INDEX('4-All Devices'!AG:AG, MATCH(E665, '4-All Devices'!AF:AF, 0)),"")</f>
        <v/>
      </c>
      <c r="C665" s="549" t="s">
        <v>11186</v>
      </c>
      <c r="D665" s="549" t="s">
        <v>11187</v>
      </c>
      <c r="E665" s="8"/>
      <c r="F665" s="552" t="s">
        <v>11188</v>
      </c>
      <c r="G665" s="8"/>
      <c r="H665" s="8"/>
      <c r="I665" s="8"/>
      <c r="J665" s="546" t="str">
        <f t="array" ref="J665">IF(LEN($E665),INDEX('4-All Devices'!AE:AE, MATCH($E665, '4-All Devices'!AF:AF, 0)),"")</f>
        <v/>
      </c>
      <c r="K665" s="8"/>
      <c r="L665" s="8"/>
      <c r="M665" s="8"/>
    </row>
    <row r="666">
      <c r="A666" s="542"/>
      <c r="B666" s="551" t="str">
        <f t="array" ref="B666">IF(LEN(E666),INDEX('4-All Devices'!AG:AG, MATCH(E666, '4-All Devices'!AF:AF, 0)),"")</f>
        <v/>
      </c>
      <c r="C666" s="549" t="s">
        <v>11186</v>
      </c>
      <c r="D666" s="549" t="s">
        <v>11187</v>
      </c>
      <c r="E666" s="8"/>
      <c r="F666" s="552" t="s">
        <v>11188</v>
      </c>
      <c r="G666" s="8"/>
      <c r="H666" s="8"/>
      <c r="I666" s="8"/>
      <c r="J666" s="546" t="str">
        <f t="array" ref="J666">IF(LEN($E666),INDEX('4-All Devices'!AE:AE, MATCH($E666, '4-All Devices'!AF:AF, 0)),"")</f>
        <v/>
      </c>
      <c r="K666" s="8"/>
      <c r="L666" s="8"/>
      <c r="M666" s="8"/>
    </row>
    <row r="667">
      <c r="A667" s="542"/>
      <c r="B667" s="551" t="str">
        <f t="array" ref="B667">IF(LEN(E667),INDEX('4-All Devices'!AG:AG, MATCH(E667, '4-All Devices'!AF:AF, 0)),"")</f>
        <v/>
      </c>
      <c r="C667" s="549" t="s">
        <v>11186</v>
      </c>
      <c r="D667" s="549" t="s">
        <v>11187</v>
      </c>
      <c r="E667" s="8"/>
      <c r="F667" s="552" t="s">
        <v>11188</v>
      </c>
      <c r="G667" s="8"/>
      <c r="H667" s="8"/>
      <c r="I667" s="8"/>
      <c r="J667" s="546" t="str">
        <f t="array" ref="J667">IF(LEN($E667),INDEX('4-All Devices'!AE:AE, MATCH($E667, '4-All Devices'!AF:AF, 0)),"")</f>
        <v/>
      </c>
      <c r="K667" s="8"/>
      <c r="L667" s="8"/>
      <c r="M667" s="8"/>
    </row>
    <row r="668">
      <c r="A668" s="542"/>
      <c r="B668" s="551" t="str">
        <f t="array" ref="B668">IF(LEN(E668),INDEX('4-All Devices'!AG:AG, MATCH(E668, '4-All Devices'!AF:AF, 0)),"")</f>
        <v/>
      </c>
      <c r="C668" s="549" t="s">
        <v>11186</v>
      </c>
      <c r="D668" s="549" t="s">
        <v>11187</v>
      </c>
      <c r="E668" s="8"/>
      <c r="F668" s="552" t="s">
        <v>11188</v>
      </c>
      <c r="G668" s="8"/>
      <c r="H668" s="8"/>
      <c r="I668" s="8"/>
      <c r="J668" s="546" t="str">
        <f t="array" ref="J668">IF(LEN($E668),INDEX('4-All Devices'!AE:AE, MATCH($E668, '4-All Devices'!AF:AF, 0)),"")</f>
        <v/>
      </c>
      <c r="K668" s="8"/>
      <c r="L668" s="8"/>
      <c r="M668" s="8"/>
    </row>
    <row r="669">
      <c r="A669" s="542"/>
      <c r="B669" s="551" t="str">
        <f t="array" ref="B669">IF(LEN(E669),INDEX('4-All Devices'!AG:AG, MATCH(E669, '4-All Devices'!AF:AF, 0)),"")</f>
        <v/>
      </c>
      <c r="C669" s="549" t="s">
        <v>11186</v>
      </c>
      <c r="D669" s="549" t="s">
        <v>11187</v>
      </c>
      <c r="E669" s="8"/>
      <c r="F669" s="552" t="s">
        <v>11188</v>
      </c>
      <c r="G669" s="8"/>
      <c r="H669" s="8"/>
      <c r="I669" s="8"/>
      <c r="J669" s="546" t="str">
        <f t="array" ref="J669">IF(LEN($E669),INDEX('4-All Devices'!AE:AE, MATCH($E669, '4-All Devices'!AF:AF, 0)),"")</f>
        <v/>
      </c>
      <c r="K669" s="8"/>
      <c r="L669" s="8"/>
      <c r="M669" s="8"/>
    </row>
    <row r="670">
      <c r="A670" s="542"/>
      <c r="B670" s="551" t="str">
        <f t="array" ref="B670">IF(LEN(E670),INDEX('4-All Devices'!AG:AG, MATCH(E670, '4-All Devices'!AF:AF, 0)),"")</f>
        <v/>
      </c>
      <c r="C670" s="549" t="s">
        <v>11186</v>
      </c>
      <c r="D670" s="549" t="s">
        <v>11187</v>
      </c>
      <c r="E670" s="8"/>
      <c r="F670" s="552" t="s">
        <v>11188</v>
      </c>
      <c r="G670" s="8"/>
      <c r="H670" s="8"/>
      <c r="I670" s="8"/>
      <c r="J670" s="546" t="str">
        <f t="array" ref="J670">IF(LEN($E670),INDEX('4-All Devices'!AE:AE, MATCH($E670, '4-All Devices'!AF:AF, 0)),"")</f>
        <v/>
      </c>
      <c r="K670" s="8"/>
      <c r="L670" s="8"/>
      <c r="M670" s="8"/>
    </row>
    <row r="671">
      <c r="A671" s="542"/>
      <c r="B671" s="551" t="str">
        <f t="array" ref="B671">IF(LEN(E671),INDEX('4-All Devices'!AG:AG, MATCH(E671, '4-All Devices'!AF:AF, 0)),"")</f>
        <v/>
      </c>
      <c r="C671" s="549" t="s">
        <v>11186</v>
      </c>
      <c r="D671" s="549" t="s">
        <v>11187</v>
      </c>
      <c r="E671" s="8"/>
      <c r="F671" s="552" t="s">
        <v>11188</v>
      </c>
      <c r="G671" s="8"/>
      <c r="H671" s="8"/>
      <c r="I671" s="8"/>
      <c r="J671" s="546" t="str">
        <f t="array" ref="J671">IF(LEN($E671),INDEX('4-All Devices'!AE:AE, MATCH($E671, '4-All Devices'!AF:AF, 0)),"")</f>
        <v/>
      </c>
      <c r="K671" s="8"/>
      <c r="L671" s="8"/>
      <c r="M671" s="8"/>
    </row>
    <row r="672">
      <c r="A672" s="542"/>
      <c r="B672" s="551" t="str">
        <f t="array" ref="B672">IF(LEN(E672),INDEX('4-All Devices'!AG:AG, MATCH(E672, '4-All Devices'!AF:AF, 0)),"")</f>
        <v/>
      </c>
      <c r="C672" s="549" t="s">
        <v>11186</v>
      </c>
      <c r="D672" s="549" t="s">
        <v>11187</v>
      </c>
      <c r="E672" s="8"/>
      <c r="F672" s="552" t="s">
        <v>11188</v>
      </c>
      <c r="G672" s="8"/>
      <c r="H672" s="8"/>
      <c r="I672" s="8"/>
      <c r="J672" s="546" t="str">
        <f t="array" ref="J672">IF(LEN($E672),INDEX('4-All Devices'!AE:AE, MATCH($E672, '4-All Devices'!AF:AF, 0)),"")</f>
        <v/>
      </c>
      <c r="K672" s="8"/>
      <c r="L672" s="8"/>
      <c r="M672" s="8"/>
    </row>
    <row r="673">
      <c r="A673" s="542"/>
      <c r="B673" s="551" t="str">
        <f t="array" ref="B673">IF(LEN(E673),INDEX('4-All Devices'!AG:AG, MATCH(E673, '4-All Devices'!AF:AF, 0)),"")</f>
        <v/>
      </c>
      <c r="C673" s="549" t="s">
        <v>11186</v>
      </c>
      <c r="D673" s="549" t="s">
        <v>11187</v>
      </c>
      <c r="E673" s="8"/>
      <c r="F673" s="552" t="s">
        <v>11188</v>
      </c>
      <c r="G673" s="8"/>
      <c r="H673" s="8"/>
      <c r="I673" s="8"/>
      <c r="J673" s="546" t="str">
        <f t="array" ref="J673">IF(LEN($E673),INDEX('4-All Devices'!AE:AE, MATCH($E673, '4-All Devices'!AF:AF, 0)),"")</f>
        <v/>
      </c>
      <c r="K673" s="8"/>
      <c r="L673" s="8"/>
      <c r="M673" s="8"/>
    </row>
    <row r="674">
      <c r="A674" s="542"/>
      <c r="B674" s="551" t="str">
        <f t="array" ref="B674">IF(LEN(E674),INDEX('4-All Devices'!AG:AG, MATCH(E674, '4-All Devices'!AF:AF, 0)),"")</f>
        <v/>
      </c>
      <c r="C674" s="549" t="s">
        <v>11186</v>
      </c>
      <c r="D674" s="549" t="s">
        <v>11187</v>
      </c>
      <c r="E674" s="8"/>
      <c r="F674" s="552" t="s">
        <v>11188</v>
      </c>
      <c r="G674" s="8"/>
      <c r="H674" s="8"/>
      <c r="I674" s="8"/>
      <c r="J674" s="546" t="str">
        <f t="array" ref="J674">IF(LEN($E674),INDEX('4-All Devices'!AE:AE, MATCH($E674, '4-All Devices'!AF:AF, 0)),"")</f>
        <v/>
      </c>
      <c r="K674" s="8"/>
      <c r="L674" s="8"/>
      <c r="M674" s="8"/>
    </row>
    <row r="675">
      <c r="A675" s="542"/>
      <c r="B675" s="551" t="str">
        <f t="array" ref="B675">IF(LEN(E675),INDEX('4-All Devices'!AG:AG, MATCH(E675, '4-All Devices'!AF:AF, 0)),"")</f>
        <v/>
      </c>
      <c r="C675" s="549" t="s">
        <v>11186</v>
      </c>
      <c r="D675" s="549" t="s">
        <v>11187</v>
      </c>
      <c r="E675" s="8"/>
      <c r="F675" s="552" t="s">
        <v>11188</v>
      </c>
      <c r="G675" s="8"/>
      <c r="H675" s="8"/>
      <c r="I675" s="8"/>
      <c r="J675" s="546" t="str">
        <f t="array" ref="J675">IF(LEN($E675),INDEX('4-All Devices'!AE:AE, MATCH($E675, '4-All Devices'!AF:AF, 0)),"")</f>
        <v/>
      </c>
      <c r="K675" s="8"/>
      <c r="L675" s="8"/>
      <c r="M675" s="8"/>
    </row>
    <row r="676">
      <c r="A676" s="542"/>
      <c r="B676" s="551" t="str">
        <f t="array" ref="B676">IF(LEN(E676),INDEX('4-All Devices'!AG:AG, MATCH(E676, '4-All Devices'!AF:AF, 0)),"")</f>
        <v/>
      </c>
      <c r="C676" s="549" t="s">
        <v>11186</v>
      </c>
      <c r="D676" s="549" t="s">
        <v>11187</v>
      </c>
      <c r="E676" s="8"/>
      <c r="F676" s="552" t="s">
        <v>11188</v>
      </c>
      <c r="G676" s="8"/>
      <c r="H676" s="8"/>
      <c r="I676" s="8"/>
      <c r="J676" s="546" t="str">
        <f t="array" ref="J676">IF(LEN($E676),INDEX('4-All Devices'!AE:AE, MATCH($E676, '4-All Devices'!AF:AF, 0)),"")</f>
        <v/>
      </c>
      <c r="K676" s="8"/>
      <c r="L676" s="8"/>
      <c r="M676" s="8"/>
    </row>
    <row r="677">
      <c r="A677" s="542"/>
      <c r="B677" s="551" t="str">
        <f t="array" ref="B677">IF(LEN(E677),INDEX('4-All Devices'!AG:AG, MATCH(E677, '4-All Devices'!AF:AF, 0)),"")</f>
        <v/>
      </c>
      <c r="C677" s="549" t="s">
        <v>11186</v>
      </c>
      <c r="D677" s="549" t="s">
        <v>11187</v>
      </c>
      <c r="E677" s="8"/>
      <c r="F677" s="552" t="s">
        <v>11188</v>
      </c>
      <c r="G677" s="8"/>
      <c r="H677" s="8"/>
      <c r="I677" s="8"/>
      <c r="J677" s="546" t="str">
        <f t="array" ref="J677">IF(LEN($E677),INDEX('4-All Devices'!AE:AE, MATCH($E677, '4-All Devices'!AF:AF, 0)),"")</f>
        <v/>
      </c>
      <c r="K677" s="8"/>
      <c r="L677" s="8"/>
      <c r="M677" s="8"/>
    </row>
    <row r="678">
      <c r="A678" s="542"/>
      <c r="B678" s="551" t="str">
        <f t="array" ref="B678">IF(LEN(E678),INDEX('4-All Devices'!AG:AG, MATCH(E678, '4-All Devices'!AF:AF, 0)),"")</f>
        <v/>
      </c>
      <c r="C678" s="549" t="s">
        <v>11186</v>
      </c>
      <c r="D678" s="549" t="s">
        <v>11187</v>
      </c>
      <c r="E678" s="8"/>
      <c r="F678" s="552" t="s">
        <v>11188</v>
      </c>
      <c r="G678" s="8"/>
      <c r="H678" s="8"/>
      <c r="I678" s="8"/>
      <c r="J678" s="546" t="str">
        <f t="array" ref="J678">IF(LEN($E678),INDEX('4-All Devices'!AE:AE, MATCH($E678, '4-All Devices'!AF:AF, 0)),"")</f>
        <v/>
      </c>
      <c r="K678" s="8"/>
      <c r="L678" s="8"/>
      <c r="M678" s="8"/>
    </row>
    <row r="679">
      <c r="A679" s="542"/>
      <c r="B679" s="551" t="str">
        <f t="array" ref="B679">IF(LEN(E679),INDEX('4-All Devices'!AG:AG, MATCH(E679, '4-All Devices'!AF:AF, 0)),"")</f>
        <v/>
      </c>
      <c r="C679" s="549" t="s">
        <v>11186</v>
      </c>
      <c r="D679" s="549" t="s">
        <v>11187</v>
      </c>
      <c r="E679" s="8"/>
      <c r="F679" s="552" t="s">
        <v>11188</v>
      </c>
      <c r="G679" s="8"/>
      <c r="H679" s="8"/>
      <c r="I679" s="8"/>
      <c r="J679" s="546" t="str">
        <f t="array" ref="J679">IF(LEN($E679),INDEX('4-All Devices'!AE:AE, MATCH($E679, '4-All Devices'!AF:AF, 0)),"")</f>
        <v/>
      </c>
      <c r="K679" s="8"/>
      <c r="L679" s="8"/>
      <c r="M679" s="8"/>
    </row>
    <row r="680">
      <c r="A680" s="542"/>
      <c r="B680" s="551" t="str">
        <f t="array" ref="B680">IF(LEN(E680),INDEX('4-All Devices'!AG:AG, MATCH(E680, '4-All Devices'!AF:AF, 0)),"")</f>
        <v/>
      </c>
      <c r="C680" s="549" t="s">
        <v>11186</v>
      </c>
      <c r="D680" s="549" t="s">
        <v>11187</v>
      </c>
      <c r="E680" s="8"/>
      <c r="F680" s="552" t="s">
        <v>11188</v>
      </c>
      <c r="G680" s="8"/>
      <c r="H680" s="8"/>
      <c r="I680" s="8"/>
      <c r="J680" s="546" t="str">
        <f t="array" ref="J680">IF(LEN($E680),INDEX('4-All Devices'!AE:AE, MATCH($E680, '4-All Devices'!AF:AF, 0)),"")</f>
        <v/>
      </c>
      <c r="K680" s="8"/>
      <c r="L680" s="8"/>
      <c r="M680" s="8"/>
    </row>
    <row r="681">
      <c r="A681" s="542"/>
      <c r="B681" s="551" t="str">
        <f t="array" ref="B681">IF(LEN(E681),INDEX('4-All Devices'!AG:AG, MATCH(E681, '4-All Devices'!AF:AF, 0)),"")</f>
        <v/>
      </c>
      <c r="C681" s="549" t="s">
        <v>11186</v>
      </c>
      <c r="D681" s="549" t="s">
        <v>11187</v>
      </c>
      <c r="E681" s="8"/>
      <c r="F681" s="552" t="s">
        <v>11188</v>
      </c>
      <c r="G681" s="8"/>
      <c r="H681" s="8"/>
      <c r="I681" s="8"/>
      <c r="J681" s="546" t="str">
        <f t="array" ref="J681">IF(LEN($E681),INDEX('4-All Devices'!AE:AE, MATCH($E681, '4-All Devices'!AF:AF, 0)),"")</f>
        <v/>
      </c>
      <c r="K681" s="8"/>
      <c r="L681" s="8"/>
      <c r="M681" s="8"/>
    </row>
    <row r="682">
      <c r="A682" s="542"/>
      <c r="B682" s="551" t="str">
        <f t="array" ref="B682">IF(LEN(E682),INDEX('4-All Devices'!AG:AG, MATCH(E682, '4-All Devices'!AF:AF, 0)),"")</f>
        <v/>
      </c>
      <c r="C682" s="549" t="s">
        <v>11186</v>
      </c>
      <c r="D682" s="549" t="s">
        <v>11187</v>
      </c>
      <c r="E682" s="8"/>
      <c r="F682" s="552" t="s">
        <v>11188</v>
      </c>
      <c r="G682" s="8"/>
      <c r="H682" s="8"/>
      <c r="I682" s="8"/>
      <c r="J682" s="546" t="str">
        <f t="array" ref="J682">IF(LEN($E682),INDEX('4-All Devices'!AE:AE, MATCH($E682, '4-All Devices'!AF:AF, 0)),"")</f>
        <v/>
      </c>
      <c r="K682" s="8"/>
      <c r="L682" s="8"/>
      <c r="M682" s="8"/>
    </row>
    <row r="683">
      <c r="A683" s="542"/>
      <c r="B683" s="551" t="str">
        <f t="array" ref="B683">IF(LEN(E683),INDEX('4-All Devices'!AG:AG, MATCH(E683, '4-All Devices'!AF:AF, 0)),"")</f>
        <v/>
      </c>
      <c r="C683" s="549" t="s">
        <v>11186</v>
      </c>
      <c r="D683" s="549" t="s">
        <v>11187</v>
      </c>
      <c r="E683" s="8"/>
      <c r="F683" s="552" t="s">
        <v>11188</v>
      </c>
      <c r="G683" s="8"/>
      <c r="H683" s="8"/>
      <c r="I683" s="8"/>
      <c r="J683" s="546" t="str">
        <f t="array" ref="J683">IF(LEN($E683),INDEX('4-All Devices'!AE:AE, MATCH($E683, '4-All Devices'!AF:AF, 0)),"")</f>
        <v/>
      </c>
      <c r="K683" s="8"/>
      <c r="L683" s="8"/>
      <c r="M683" s="8"/>
    </row>
    <row r="684">
      <c r="A684" s="542"/>
      <c r="B684" s="551" t="str">
        <f t="array" ref="B684">IF(LEN(E684),INDEX('4-All Devices'!AG:AG, MATCH(E684, '4-All Devices'!AF:AF, 0)),"")</f>
        <v/>
      </c>
      <c r="C684" s="549" t="s">
        <v>11186</v>
      </c>
      <c r="D684" s="549" t="s">
        <v>11187</v>
      </c>
      <c r="E684" s="8"/>
      <c r="F684" s="552" t="s">
        <v>11188</v>
      </c>
      <c r="G684" s="8"/>
      <c r="H684" s="8"/>
      <c r="I684" s="8"/>
      <c r="J684" s="546" t="str">
        <f t="array" ref="J684">IF(LEN($E684),INDEX('4-All Devices'!AE:AE, MATCH($E684, '4-All Devices'!AF:AF, 0)),"")</f>
        <v/>
      </c>
      <c r="K684" s="8"/>
      <c r="L684" s="8"/>
      <c r="M684" s="8"/>
    </row>
    <row r="685">
      <c r="A685" s="542"/>
      <c r="B685" s="551" t="str">
        <f t="array" ref="B685">IF(LEN(E685),INDEX('4-All Devices'!AG:AG, MATCH(E685, '4-All Devices'!AF:AF, 0)),"")</f>
        <v/>
      </c>
      <c r="C685" s="549" t="s">
        <v>11186</v>
      </c>
      <c r="D685" s="549" t="s">
        <v>11187</v>
      </c>
      <c r="E685" s="8"/>
      <c r="F685" s="552" t="s">
        <v>11188</v>
      </c>
      <c r="G685" s="8"/>
      <c r="H685" s="8"/>
      <c r="I685" s="8"/>
      <c r="J685" s="546" t="str">
        <f t="array" ref="J685">IF(LEN($E685),INDEX('4-All Devices'!AE:AE, MATCH($E685, '4-All Devices'!AF:AF, 0)),"")</f>
        <v/>
      </c>
      <c r="K685" s="8"/>
      <c r="L685" s="8"/>
      <c r="M685" s="8"/>
    </row>
    <row r="686">
      <c r="A686" s="542"/>
      <c r="B686" s="551" t="str">
        <f t="array" ref="B686">IF(LEN(E686),INDEX('4-All Devices'!AG:AG, MATCH(E686, '4-All Devices'!AF:AF, 0)),"")</f>
        <v/>
      </c>
      <c r="C686" s="549" t="s">
        <v>11186</v>
      </c>
      <c r="D686" s="549" t="s">
        <v>11187</v>
      </c>
      <c r="E686" s="8"/>
      <c r="F686" s="552" t="s">
        <v>11188</v>
      </c>
      <c r="G686" s="8"/>
      <c r="H686" s="8"/>
      <c r="I686" s="8"/>
      <c r="J686" s="546" t="str">
        <f t="array" ref="J686">IF(LEN($E686),INDEX('4-All Devices'!AE:AE, MATCH($E686, '4-All Devices'!AF:AF, 0)),"")</f>
        <v/>
      </c>
      <c r="K686" s="8"/>
      <c r="L686" s="8"/>
      <c r="M686" s="8"/>
    </row>
    <row r="687">
      <c r="A687" s="542"/>
      <c r="B687" s="551" t="str">
        <f t="array" ref="B687">IF(LEN(E687),INDEX('4-All Devices'!AG:AG, MATCH(E687, '4-All Devices'!AF:AF, 0)),"")</f>
        <v/>
      </c>
      <c r="C687" s="549" t="s">
        <v>11186</v>
      </c>
      <c r="D687" s="549" t="s">
        <v>11187</v>
      </c>
      <c r="E687" s="8"/>
      <c r="F687" s="552" t="s">
        <v>11188</v>
      </c>
      <c r="G687" s="8"/>
      <c r="H687" s="8"/>
      <c r="I687" s="8"/>
      <c r="J687" s="546" t="str">
        <f t="array" ref="J687">IF(LEN($E687),INDEX('4-All Devices'!AE:AE, MATCH($E687, '4-All Devices'!AF:AF, 0)),"")</f>
        <v/>
      </c>
      <c r="K687" s="8"/>
      <c r="L687" s="8"/>
      <c r="M687" s="8"/>
    </row>
    <row r="688">
      <c r="A688" s="542"/>
      <c r="B688" s="551" t="str">
        <f t="array" ref="B688">IF(LEN(E688),INDEX('4-All Devices'!AG:AG, MATCH(E688, '4-All Devices'!AF:AF, 0)),"")</f>
        <v/>
      </c>
      <c r="C688" s="549" t="s">
        <v>11186</v>
      </c>
      <c r="D688" s="549" t="s">
        <v>11187</v>
      </c>
      <c r="E688" s="8"/>
      <c r="F688" s="552" t="s">
        <v>11188</v>
      </c>
      <c r="G688" s="8"/>
      <c r="H688" s="8"/>
      <c r="I688" s="8"/>
      <c r="J688" s="546" t="str">
        <f t="array" ref="J688">IF(LEN($E688),INDEX('4-All Devices'!AE:AE, MATCH($E688, '4-All Devices'!AF:AF, 0)),"")</f>
        <v/>
      </c>
      <c r="K688" s="8"/>
      <c r="L688" s="8"/>
      <c r="M688" s="8"/>
    </row>
    <row r="689">
      <c r="A689" s="542"/>
      <c r="B689" s="551" t="str">
        <f t="array" ref="B689">IF(LEN(E689),INDEX('4-All Devices'!AG:AG, MATCH(E689, '4-All Devices'!AF:AF, 0)),"")</f>
        <v/>
      </c>
      <c r="C689" s="549" t="s">
        <v>11186</v>
      </c>
      <c r="D689" s="549" t="s">
        <v>11187</v>
      </c>
      <c r="E689" s="8"/>
      <c r="F689" s="552" t="s">
        <v>11188</v>
      </c>
      <c r="G689" s="8"/>
      <c r="H689" s="8"/>
      <c r="I689" s="8"/>
      <c r="J689" s="546" t="str">
        <f t="array" ref="J689">IF(LEN($E689),INDEX('4-All Devices'!AE:AE, MATCH($E689, '4-All Devices'!AF:AF, 0)),"")</f>
        <v/>
      </c>
      <c r="K689" s="8"/>
      <c r="L689" s="8"/>
      <c r="M689" s="8"/>
    </row>
    <row r="690">
      <c r="A690" s="542"/>
      <c r="B690" s="551" t="str">
        <f t="array" ref="B690">IF(LEN(E690),INDEX('4-All Devices'!AG:AG, MATCH(E690, '4-All Devices'!AF:AF, 0)),"")</f>
        <v/>
      </c>
      <c r="C690" s="549" t="s">
        <v>11186</v>
      </c>
      <c r="D690" s="549" t="s">
        <v>11187</v>
      </c>
      <c r="E690" s="8"/>
      <c r="F690" s="552" t="s">
        <v>11188</v>
      </c>
      <c r="G690" s="8"/>
      <c r="H690" s="8"/>
      <c r="I690" s="8"/>
      <c r="J690" s="546" t="str">
        <f t="array" ref="J690">IF(LEN($E690),INDEX('4-All Devices'!AE:AE, MATCH($E690, '4-All Devices'!AF:AF, 0)),"")</f>
        <v/>
      </c>
      <c r="K690" s="8"/>
      <c r="L690" s="8"/>
      <c r="M690" s="8"/>
    </row>
    <row r="691">
      <c r="A691" s="542"/>
      <c r="B691" s="551" t="str">
        <f t="array" ref="B691">IF(LEN(E691),INDEX('4-All Devices'!AG:AG, MATCH(E691, '4-All Devices'!AF:AF, 0)),"")</f>
        <v/>
      </c>
      <c r="C691" s="549" t="s">
        <v>11186</v>
      </c>
      <c r="D691" s="549" t="s">
        <v>11187</v>
      </c>
      <c r="E691" s="8"/>
      <c r="F691" s="552" t="s">
        <v>11188</v>
      </c>
      <c r="G691" s="8"/>
      <c r="H691" s="8"/>
      <c r="I691" s="8"/>
      <c r="J691" s="546" t="str">
        <f t="array" ref="J691">IF(LEN($E691),INDEX('4-All Devices'!AE:AE, MATCH($E691, '4-All Devices'!AF:AF, 0)),"")</f>
        <v/>
      </c>
      <c r="K691" s="8"/>
      <c r="L691" s="8"/>
      <c r="M691" s="8"/>
    </row>
    <row r="692">
      <c r="A692" s="542"/>
      <c r="B692" s="551" t="str">
        <f t="array" ref="B692">IF(LEN(E692),INDEX('4-All Devices'!AG:AG, MATCH(E692, '4-All Devices'!AF:AF, 0)),"")</f>
        <v/>
      </c>
      <c r="C692" s="549" t="s">
        <v>11186</v>
      </c>
      <c r="D692" s="549" t="s">
        <v>11187</v>
      </c>
      <c r="E692" s="8"/>
      <c r="F692" s="552" t="s">
        <v>11188</v>
      </c>
      <c r="G692" s="8"/>
      <c r="H692" s="8"/>
      <c r="I692" s="8"/>
      <c r="J692" s="546" t="str">
        <f t="array" ref="J692">IF(LEN($E692),INDEX('4-All Devices'!AE:AE, MATCH($E692, '4-All Devices'!AF:AF, 0)),"")</f>
        <v/>
      </c>
      <c r="K692" s="8"/>
      <c r="L692" s="8"/>
      <c r="M692" s="8"/>
    </row>
    <row r="693">
      <c r="A693" s="542"/>
      <c r="B693" s="551" t="str">
        <f t="array" ref="B693">IF(LEN(E693),INDEX('4-All Devices'!AG:AG, MATCH(E693, '4-All Devices'!AF:AF, 0)),"")</f>
        <v/>
      </c>
      <c r="C693" s="549" t="s">
        <v>11186</v>
      </c>
      <c r="D693" s="549" t="s">
        <v>11187</v>
      </c>
      <c r="E693" s="8"/>
      <c r="F693" s="552" t="s">
        <v>11188</v>
      </c>
      <c r="G693" s="8"/>
      <c r="H693" s="8"/>
      <c r="I693" s="8"/>
      <c r="J693" s="546" t="str">
        <f t="array" ref="J693">IF(LEN($E693),INDEX('4-All Devices'!AE:AE, MATCH($E693, '4-All Devices'!AF:AF, 0)),"")</f>
        <v/>
      </c>
      <c r="K693" s="8"/>
      <c r="L693" s="8"/>
      <c r="M693" s="8"/>
    </row>
    <row r="694">
      <c r="A694" s="542"/>
      <c r="B694" s="551" t="str">
        <f t="array" ref="B694">IF(LEN(E694),INDEX('4-All Devices'!AG:AG, MATCH(E694, '4-All Devices'!AF:AF, 0)),"")</f>
        <v/>
      </c>
      <c r="C694" s="549" t="s">
        <v>11186</v>
      </c>
      <c r="D694" s="549" t="s">
        <v>11187</v>
      </c>
      <c r="E694" s="8"/>
      <c r="F694" s="552" t="s">
        <v>11188</v>
      </c>
      <c r="G694" s="8"/>
      <c r="H694" s="8"/>
      <c r="I694" s="8"/>
      <c r="J694" s="546" t="str">
        <f t="array" ref="J694">IF(LEN($E694),INDEX('4-All Devices'!AE:AE, MATCH($E694, '4-All Devices'!AF:AF, 0)),"")</f>
        <v/>
      </c>
      <c r="K694" s="8"/>
      <c r="L694" s="8"/>
      <c r="M694" s="8"/>
    </row>
    <row r="695">
      <c r="A695" s="542"/>
      <c r="B695" s="551" t="str">
        <f t="array" ref="B695">IF(LEN(E695),INDEX('4-All Devices'!AG:AG, MATCH(E695, '4-All Devices'!AF:AF, 0)),"")</f>
        <v/>
      </c>
      <c r="C695" s="549" t="s">
        <v>11186</v>
      </c>
      <c r="D695" s="549" t="s">
        <v>11187</v>
      </c>
      <c r="E695" s="8"/>
      <c r="F695" s="552" t="s">
        <v>11188</v>
      </c>
      <c r="G695" s="8"/>
      <c r="H695" s="8"/>
      <c r="I695" s="8"/>
      <c r="J695" s="546" t="str">
        <f t="array" ref="J695">IF(LEN($E695),INDEX('4-All Devices'!AE:AE, MATCH($E695, '4-All Devices'!AF:AF, 0)),"")</f>
        <v/>
      </c>
      <c r="K695" s="8"/>
      <c r="L695" s="8"/>
      <c r="M695" s="8"/>
    </row>
    <row r="696">
      <c r="A696" s="542"/>
      <c r="B696" s="551" t="str">
        <f t="array" ref="B696">IF(LEN(E696),INDEX('4-All Devices'!AG:AG, MATCH(E696, '4-All Devices'!AF:AF, 0)),"")</f>
        <v/>
      </c>
      <c r="C696" s="549" t="s">
        <v>11186</v>
      </c>
      <c r="D696" s="549" t="s">
        <v>11187</v>
      </c>
      <c r="E696" s="8"/>
      <c r="F696" s="552" t="s">
        <v>11188</v>
      </c>
      <c r="G696" s="8"/>
      <c r="H696" s="8"/>
      <c r="I696" s="8"/>
      <c r="J696" s="546" t="str">
        <f t="array" ref="J696">IF(LEN($E696),INDEX('4-All Devices'!AE:AE, MATCH($E696, '4-All Devices'!AF:AF, 0)),"")</f>
        <v/>
      </c>
      <c r="K696" s="8"/>
      <c r="L696" s="8"/>
      <c r="M696" s="8"/>
    </row>
    <row r="697">
      <c r="A697" s="542"/>
      <c r="B697" s="551" t="str">
        <f t="array" ref="B697">IF(LEN(E697),INDEX('4-All Devices'!AG:AG, MATCH(E697, '4-All Devices'!AF:AF, 0)),"")</f>
        <v/>
      </c>
      <c r="C697" s="549" t="s">
        <v>11186</v>
      </c>
      <c r="D697" s="549" t="s">
        <v>11187</v>
      </c>
      <c r="E697" s="8"/>
      <c r="F697" s="552" t="s">
        <v>11188</v>
      </c>
      <c r="G697" s="8"/>
      <c r="H697" s="8"/>
      <c r="I697" s="8"/>
      <c r="J697" s="546" t="str">
        <f t="array" ref="J697">IF(LEN($E697),INDEX('4-All Devices'!AE:AE, MATCH($E697, '4-All Devices'!AF:AF, 0)),"")</f>
        <v/>
      </c>
      <c r="K697" s="8"/>
      <c r="L697" s="8"/>
      <c r="M697" s="8"/>
    </row>
    <row r="698">
      <c r="A698" s="542"/>
      <c r="B698" s="551" t="str">
        <f t="array" ref="B698">IF(LEN(E698),INDEX('4-All Devices'!AG:AG, MATCH(E698, '4-All Devices'!AF:AF, 0)),"")</f>
        <v/>
      </c>
      <c r="C698" s="549" t="s">
        <v>11186</v>
      </c>
      <c r="D698" s="549" t="s">
        <v>11187</v>
      </c>
      <c r="E698" s="8"/>
      <c r="F698" s="552" t="s">
        <v>11188</v>
      </c>
      <c r="G698" s="8"/>
      <c r="H698" s="8"/>
      <c r="I698" s="8"/>
      <c r="J698" s="546" t="str">
        <f t="array" ref="J698">IF(LEN($E698),INDEX('4-All Devices'!AE:AE, MATCH($E698, '4-All Devices'!AF:AF, 0)),"")</f>
        <v/>
      </c>
      <c r="K698" s="8"/>
      <c r="L698" s="8"/>
      <c r="M698" s="8"/>
    </row>
    <row r="699">
      <c r="A699" s="542"/>
      <c r="B699" s="551" t="str">
        <f t="array" ref="B699">IF(LEN(E699),INDEX('4-All Devices'!AG:AG, MATCH(E699, '4-All Devices'!AF:AF, 0)),"")</f>
        <v/>
      </c>
      <c r="C699" s="549" t="s">
        <v>11186</v>
      </c>
      <c r="D699" s="549" t="s">
        <v>11187</v>
      </c>
      <c r="E699" s="8"/>
      <c r="F699" s="552" t="s">
        <v>11188</v>
      </c>
      <c r="G699" s="8"/>
      <c r="H699" s="8"/>
      <c r="I699" s="8"/>
      <c r="J699" s="546" t="str">
        <f t="array" ref="J699">IF(LEN($E699),INDEX('4-All Devices'!AE:AE, MATCH($E699, '4-All Devices'!AF:AF, 0)),"")</f>
        <v/>
      </c>
      <c r="K699" s="8"/>
      <c r="L699" s="8"/>
      <c r="M699" s="8"/>
    </row>
    <row r="700">
      <c r="A700" s="542"/>
      <c r="B700" s="551" t="str">
        <f t="array" ref="B700">IF(LEN(E700),INDEX('4-All Devices'!AG:AG, MATCH(E700, '4-All Devices'!AF:AF, 0)),"")</f>
        <v/>
      </c>
      <c r="C700" s="549" t="s">
        <v>11186</v>
      </c>
      <c r="D700" s="549" t="s">
        <v>11187</v>
      </c>
      <c r="E700" s="8"/>
      <c r="F700" s="552" t="s">
        <v>11188</v>
      </c>
      <c r="G700" s="8"/>
      <c r="H700" s="8"/>
      <c r="I700" s="8"/>
      <c r="J700" s="546" t="str">
        <f t="array" ref="J700">IF(LEN($E700),INDEX('4-All Devices'!AE:AE, MATCH($E700, '4-All Devices'!AF:AF, 0)),"")</f>
        <v/>
      </c>
      <c r="K700" s="8"/>
      <c r="L700" s="8"/>
      <c r="M700" s="8"/>
    </row>
    <row r="701">
      <c r="A701" s="542"/>
      <c r="B701" s="551" t="str">
        <f t="array" ref="B701">IF(LEN(E701),INDEX('4-All Devices'!AG:AG, MATCH(E701, '4-All Devices'!AF:AF, 0)),"")</f>
        <v/>
      </c>
      <c r="C701" s="549" t="s">
        <v>11186</v>
      </c>
      <c r="D701" s="549" t="s">
        <v>11187</v>
      </c>
      <c r="E701" s="8"/>
      <c r="F701" s="552" t="s">
        <v>11188</v>
      </c>
      <c r="G701" s="8"/>
      <c r="H701" s="8"/>
      <c r="I701" s="8"/>
      <c r="J701" s="546" t="str">
        <f t="array" ref="J701">IF(LEN($E701),INDEX('4-All Devices'!AE:AE, MATCH($E701, '4-All Devices'!AF:AF, 0)),"")</f>
        <v/>
      </c>
      <c r="K701" s="8"/>
      <c r="L701" s="8"/>
      <c r="M701" s="8"/>
    </row>
    <row r="702">
      <c r="A702" s="542"/>
      <c r="B702" s="551" t="str">
        <f t="array" ref="B702">IF(LEN(E702),INDEX('4-All Devices'!AG:AG, MATCH(E702, '4-All Devices'!AF:AF, 0)),"")</f>
        <v/>
      </c>
      <c r="C702" s="549" t="s">
        <v>11186</v>
      </c>
      <c r="D702" s="549" t="s">
        <v>11187</v>
      </c>
      <c r="E702" s="8"/>
      <c r="F702" s="552" t="s">
        <v>11188</v>
      </c>
      <c r="G702" s="8"/>
      <c r="H702" s="8"/>
      <c r="I702" s="8"/>
      <c r="J702" s="546" t="str">
        <f t="array" ref="J702">IF(LEN($E702),INDEX('4-All Devices'!AE:AE, MATCH($E702, '4-All Devices'!AF:AF, 0)),"")</f>
        <v/>
      </c>
      <c r="K702" s="8"/>
      <c r="L702" s="8"/>
      <c r="M702" s="8"/>
    </row>
    <row r="703">
      <c r="A703" s="542"/>
      <c r="B703" s="551" t="str">
        <f t="array" ref="B703">IF(LEN(E703),INDEX('4-All Devices'!AG:AG, MATCH(E703, '4-All Devices'!AF:AF, 0)),"")</f>
        <v/>
      </c>
      <c r="C703" s="549" t="s">
        <v>11186</v>
      </c>
      <c r="D703" s="549" t="s">
        <v>11187</v>
      </c>
      <c r="E703" s="8"/>
      <c r="F703" s="552" t="s">
        <v>11188</v>
      </c>
      <c r="G703" s="8"/>
      <c r="H703" s="8"/>
      <c r="I703" s="8"/>
      <c r="J703" s="546" t="str">
        <f t="array" ref="J703">IF(LEN($E703),INDEX('4-All Devices'!AE:AE, MATCH($E703, '4-All Devices'!AF:AF, 0)),"")</f>
        <v/>
      </c>
      <c r="K703" s="8"/>
      <c r="L703" s="8"/>
      <c r="M703" s="8"/>
    </row>
    <row r="704">
      <c r="A704" s="542"/>
      <c r="B704" s="551" t="str">
        <f t="array" ref="B704">IF(LEN(E704),INDEX('4-All Devices'!AG:AG, MATCH(E704, '4-All Devices'!AF:AF, 0)),"")</f>
        <v/>
      </c>
      <c r="C704" s="549" t="s">
        <v>11186</v>
      </c>
      <c r="D704" s="549" t="s">
        <v>11187</v>
      </c>
      <c r="E704" s="8"/>
      <c r="F704" s="552" t="s">
        <v>11188</v>
      </c>
      <c r="G704" s="8"/>
      <c r="H704" s="8"/>
      <c r="I704" s="8"/>
      <c r="J704" s="546" t="str">
        <f t="array" ref="J704">IF(LEN($E704),INDEX('4-All Devices'!AE:AE, MATCH($E704, '4-All Devices'!AF:AF, 0)),"")</f>
        <v/>
      </c>
      <c r="K704" s="8"/>
      <c r="L704" s="8"/>
      <c r="M704" s="8"/>
    </row>
    <row r="705">
      <c r="A705" s="542"/>
      <c r="B705" s="551" t="str">
        <f t="array" ref="B705">IF(LEN(E705),INDEX('4-All Devices'!AG:AG, MATCH(E705, '4-All Devices'!AF:AF, 0)),"")</f>
        <v/>
      </c>
      <c r="C705" s="549" t="s">
        <v>11186</v>
      </c>
      <c r="D705" s="549" t="s">
        <v>11187</v>
      </c>
      <c r="E705" s="8"/>
      <c r="F705" s="552" t="s">
        <v>11188</v>
      </c>
      <c r="G705" s="8"/>
      <c r="H705" s="8"/>
      <c r="I705" s="8"/>
      <c r="J705" s="546" t="str">
        <f t="array" ref="J705">IF(LEN($E705),INDEX('4-All Devices'!AE:AE, MATCH($E705, '4-All Devices'!AF:AF, 0)),"")</f>
        <v/>
      </c>
      <c r="K705" s="8"/>
      <c r="L705" s="8"/>
      <c r="M705" s="8"/>
    </row>
    <row r="706">
      <c r="A706" s="542"/>
      <c r="B706" s="551" t="str">
        <f t="array" ref="B706">IF(LEN(E706),INDEX('4-All Devices'!AG:AG, MATCH(E706, '4-All Devices'!AF:AF, 0)),"")</f>
        <v/>
      </c>
      <c r="C706" s="549" t="s">
        <v>11186</v>
      </c>
      <c r="D706" s="549" t="s">
        <v>11187</v>
      </c>
      <c r="E706" s="8"/>
      <c r="F706" s="552" t="s">
        <v>11188</v>
      </c>
      <c r="G706" s="8"/>
      <c r="H706" s="8"/>
      <c r="I706" s="8"/>
      <c r="J706" s="546" t="str">
        <f t="array" ref="J706">IF(LEN($E706),INDEX('4-All Devices'!AE:AE, MATCH($E706, '4-All Devices'!AF:AF, 0)),"")</f>
        <v/>
      </c>
      <c r="K706" s="8"/>
      <c r="L706" s="8"/>
      <c r="M706" s="8"/>
    </row>
    <row r="707">
      <c r="A707" s="542"/>
      <c r="B707" s="551" t="str">
        <f t="array" ref="B707">IF(LEN(E707),INDEX('4-All Devices'!AG:AG, MATCH(E707, '4-All Devices'!AF:AF, 0)),"")</f>
        <v/>
      </c>
      <c r="C707" s="549" t="s">
        <v>11186</v>
      </c>
      <c r="D707" s="549" t="s">
        <v>11187</v>
      </c>
      <c r="E707" s="8"/>
      <c r="F707" s="552" t="s">
        <v>11188</v>
      </c>
      <c r="G707" s="8"/>
      <c r="H707" s="8"/>
      <c r="I707" s="8"/>
      <c r="J707" s="546" t="str">
        <f t="array" ref="J707">IF(LEN($E707),INDEX('4-All Devices'!AE:AE, MATCH($E707, '4-All Devices'!AF:AF, 0)),"")</f>
        <v/>
      </c>
      <c r="K707" s="8"/>
      <c r="L707" s="8"/>
      <c r="M707" s="8"/>
    </row>
    <row r="708">
      <c r="A708" s="542"/>
      <c r="B708" s="551" t="str">
        <f t="array" ref="B708">IF(LEN(E708),INDEX('4-All Devices'!AG:AG, MATCH(E708, '4-All Devices'!AF:AF, 0)),"")</f>
        <v/>
      </c>
      <c r="C708" s="549" t="s">
        <v>11186</v>
      </c>
      <c r="D708" s="549" t="s">
        <v>11187</v>
      </c>
      <c r="E708" s="8"/>
      <c r="F708" s="552" t="s">
        <v>11188</v>
      </c>
      <c r="G708" s="8"/>
      <c r="H708" s="8"/>
      <c r="I708" s="8"/>
      <c r="J708" s="546" t="str">
        <f t="array" ref="J708">IF(LEN($E708),INDEX('4-All Devices'!AE:AE, MATCH($E708, '4-All Devices'!AF:AF, 0)),"")</f>
        <v/>
      </c>
      <c r="K708" s="8"/>
      <c r="L708" s="8"/>
      <c r="M708" s="8"/>
    </row>
    <row r="709">
      <c r="A709" s="542"/>
      <c r="B709" s="551" t="str">
        <f t="array" ref="B709">IF(LEN(E709),INDEX('4-All Devices'!AG:AG, MATCH(E709, '4-All Devices'!AF:AF, 0)),"")</f>
        <v/>
      </c>
      <c r="C709" s="549" t="s">
        <v>11186</v>
      </c>
      <c r="D709" s="549" t="s">
        <v>11187</v>
      </c>
      <c r="E709" s="8"/>
      <c r="F709" s="552" t="s">
        <v>11188</v>
      </c>
      <c r="G709" s="8"/>
      <c r="H709" s="8"/>
      <c r="I709" s="8"/>
      <c r="J709" s="546" t="str">
        <f t="array" ref="J709">IF(LEN($E709),INDEX('4-All Devices'!AE:AE, MATCH($E709, '4-All Devices'!AF:AF, 0)),"")</f>
        <v/>
      </c>
      <c r="K709" s="8"/>
      <c r="L709" s="8"/>
      <c r="M709" s="8"/>
    </row>
    <row r="710">
      <c r="A710" s="542"/>
      <c r="B710" s="551" t="str">
        <f t="array" ref="B710">IF(LEN(E710),INDEX('4-All Devices'!AG:AG, MATCH(E710, '4-All Devices'!AF:AF, 0)),"")</f>
        <v/>
      </c>
      <c r="C710" s="549" t="s">
        <v>11186</v>
      </c>
      <c r="D710" s="549" t="s">
        <v>11187</v>
      </c>
      <c r="E710" s="8"/>
      <c r="F710" s="552" t="s">
        <v>11188</v>
      </c>
      <c r="G710" s="8"/>
      <c r="H710" s="8"/>
      <c r="I710" s="8"/>
      <c r="J710" s="546" t="str">
        <f t="array" ref="J710">IF(LEN($E710),INDEX('4-All Devices'!AE:AE, MATCH($E710, '4-All Devices'!AF:AF, 0)),"")</f>
        <v/>
      </c>
      <c r="K710" s="8"/>
      <c r="L710" s="8"/>
      <c r="M710" s="8"/>
    </row>
    <row r="711">
      <c r="A711" s="542"/>
      <c r="B711" s="551" t="str">
        <f t="array" ref="B711">IF(LEN(E711),INDEX('4-All Devices'!AG:AG, MATCH(E711, '4-All Devices'!AF:AF, 0)),"")</f>
        <v/>
      </c>
      <c r="C711" s="549" t="s">
        <v>11186</v>
      </c>
      <c r="D711" s="549" t="s">
        <v>11187</v>
      </c>
      <c r="E711" s="8"/>
      <c r="F711" s="552" t="s">
        <v>11188</v>
      </c>
      <c r="G711" s="8"/>
      <c r="H711" s="8"/>
      <c r="I711" s="8"/>
      <c r="J711" s="546" t="str">
        <f t="array" ref="J711">IF(LEN($E711),INDEX('4-All Devices'!AE:AE, MATCH($E711, '4-All Devices'!AF:AF, 0)),"")</f>
        <v/>
      </c>
      <c r="K711" s="8"/>
      <c r="L711" s="8"/>
      <c r="M711" s="8"/>
    </row>
    <row r="712">
      <c r="A712" s="542"/>
      <c r="B712" s="551" t="str">
        <f t="array" ref="B712">IF(LEN(E712),INDEX('4-All Devices'!AG:AG, MATCH(E712, '4-All Devices'!AF:AF, 0)),"")</f>
        <v/>
      </c>
      <c r="C712" s="549" t="s">
        <v>11186</v>
      </c>
      <c r="D712" s="549" t="s">
        <v>11187</v>
      </c>
      <c r="E712" s="8"/>
      <c r="F712" s="552" t="s">
        <v>11188</v>
      </c>
      <c r="G712" s="8"/>
      <c r="H712" s="8"/>
      <c r="I712" s="8"/>
      <c r="J712" s="546" t="str">
        <f t="array" ref="J712">IF(LEN($E712),INDEX('4-All Devices'!AE:AE, MATCH($E712, '4-All Devices'!AF:AF, 0)),"")</f>
        <v/>
      </c>
      <c r="K712" s="8"/>
      <c r="L712" s="8"/>
      <c r="M712" s="8"/>
    </row>
    <row r="713">
      <c r="A713" s="542"/>
      <c r="B713" s="551" t="str">
        <f t="array" ref="B713">IF(LEN(E713),INDEX('4-All Devices'!AG:AG, MATCH(E713, '4-All Devices'!AF:AF, 0)),"")</f>
        <v/>
      </c>
      <c r="C713" s="549" t="s">
        <v>11186</v>
      </c>
      <c r="D713" s="549" t="s">
        <v>11187</v>
      </c>
      <c r="E713" s="8"/>
      <c r="F713" s="552" t="s">
        <v>11188</v>
      </c>
      <c r="G713" s="8"/>
      <c r="H713" s="8"/>
      <c r="I713" s="8"/>
      <c r="J713" s="546" t="str">
        <f t="array" ref="J713">IF(LEN($E713),INDEX('4-All Devices'!AE:AE, MATCH($E713, '4-All Devices'!AF:AF, 0)),"")</f>
        <v/>
      </c>
      <c r="K713" s="8"/>
      <c r="L713" s="8"/>
      <c r="M713" s="8"/>
    </row>
    <row r="714">
      <c r="A714" s="542"/>
      <c r="B714" s="551" t="str">
        <f t="array" ref="B714">IF(LEN(E714),INDEX('4-All Devices'!AG:AG, MATCH(E714, '4-All Devices'!AF:AF, 0)),"")</f>
        <v/>
      </c>
      <c r="C714" s="549" t="s">
        <v>11186</v>
      </c>
      <c r="D714" s="549" t="s">
        <v>11187</v>
      </c>
      <c r="E714" s="8"/>
      <c r="F714" s="552" t="s">
        <v>11188</v>
      </c>
      <c r="G714" s="8"/>
      <c r="H714" s="8"/>
      <c r="I714" s="8"/>
      <c r="J714" s="546" t="str">
        <f t="array" ref="J714">IF(LEN($E714),INDEX('4-All Devices'!AE:AE, MATCH($E714, '4-All Devices'!AF:AF, 0)),"")</f>
        <v/>
      </c>
      <c r="K714" s="8"/>
      <c r="L714" s="8"/>
      <c r="M714" s="8"/>
    </row>
    <row r="715">
      <c r="A715" s="542"/>
      <c r="B715" s="551" t="str">
        <f t="array" ref="B715">IF(LEN(E715),INDEX('4-All Devices'!AG:AG, MATCH(E715, '4-All Devices'!AF:AF, 0)),"")</f>
        <v/>
      </c>
      <c r="C715" s="549" t="s">
        <v>11186</v>
      </c>
      <c r="D715" s="549" t="s">
        <v>11187</v>
      </c>
      <c r="E715" s="8"/>
      <c r="F715" s="552" t="s">
        <v>11188</v>
      </c>
      <c r="G715" s="8"/>
      <c r="H715" s="8"/>
      <c r="I715" s="8"/>
      <c r="J715" s="546" t="str">
        <f t="array" ref="J715">IF(LEN($E715),INDEX('4-All Devices'!AE:AE, MATCH($E715, '4-All Devices'!AF:AF, 0)),"")</f>
        <v/>
      </c>
      <c r="K715" s="8"/>
      <c r="L715" s="8"/>
      <c r="M715" s="8"/>
    </row>
    <row r="716">
      <c r="A716" s="542"/>
      <c r="B716" s="551" t="str">
        <f t="array" ref="B716">IF(LEN(E716),INDEX('4-All Devices'!AG:AG, MATCH(E716, '4-All Devices'!AF:AF, 0)),"")</f>
        <v/>
      </c>
      <c r="C716" s="549" t="s">
        <v>11186</v>
      </c>
      <c r="D716" s="549" t="s">
        <v>11187</v>
      </c>
      <c r="E716" s="8"/>
      <c r="F716" s="552" t="s">
        <v>11188</v>
      </c>
      <c r="G716" s="8"/>
      <c r="H716" s="8"/>
      <c r="I716" s="8"/>
      <c r="J716" s="546" t="str">
        <f t="array" ref="J716">IF(LEN($E716),INDEX('4-All Devices'!AE:AE, MATCH($E716, '4-All Devices'!AF:AF, 0)),"")</f>
        <v/>
      </c>
      <c r="K716" s="8"/>
      <c r="L716" s="8"/>
      <c r="M716" s="8"/>
    </row>
    <row r="717">
      <c r="A717" s="542"/>
      <c r="B717" s="551" t="str">
        <f t="array" ref="B717">IF(LEN(E717),INDEX('4-All Devices'!AG:AG, MATCH(E717, '4-All Devices'!AF:AF, 0)),"")</f>
        <v/>
      </c>
      <c r="C717" s="549" t="s">
        <v>11186</v>
      </c>
      <c r="D717" s="549" t="s">
        <v>11187</v>
      </c>
      <c r="E717" s="8"/>
      <c r="F717" s="552" t="s">
        <v>11188</v>
      </c>
      <c r="G717" s="8"/>
      <c r="H717" s="8"/>
      <c r="I717" s="8"/>
      <c r="J717" s="546" t="str">
        <f t="array" ref="J717">IF(LEN($E717),INDEX('4-All Devices'!AE:AE, MATCH($E717, '4-All Devices'!AF:AF, 0)),"")</f>
        <v/>
      </c>
      <c r="K717" s="8"/>
      <c r="L717" s="8"/>
      <c r="M717" s="8"/>
    </row>
    <row r="718">
      <c r="A718" s="542"/>
      <c r="B718" s="551" t="str">
        <f t="array" ref="B718">IF(LEN(E718),INDEX('4-All Devices'!AG:AG, MATCH(E718, '4-All Devices'!AF:AF, 0)),"")</f>
        <v/>
      </c>
      <c r="C718" s="549" t="s">
        <v>11186</v>
      </c>
      <c r="D718" s="549" t="s">
        <v>11187</v>
      </c>
      <c r="E718" s="8"/>
      <c r="F718" s="552" t="s">
        <v>11188</v>
      </c>
      <c r="G718" s="8"/>
      <c r="H718" s="8"/>
      <c r="I718" s="8"/>
      <c r="J718" s="546" t="str">
        <f t="array" ref="J718">IF(LEN($E718),INDEX('4-All Devices'!AE:AE, MATCH($E718, '4-All Devices'!AF:AF, 0)),"")</f>
        <v/>
      </c>
      <c r="K718" s="8"/>
      <c r="L718" s="8"/>
      <c r="M718" s="8"/>
    </row>
    <row r="719">
      <c r="A719" s="542"/>
      <c r="B719" s="551" t="str">
        <f t="array" ref="B719">IF(LEN(E719),INDEX('4-All Devices'!AG:AG, MATCH(E719, '4-All Devices'!AF:AF, 0)),"")</f>
        <v/>
      </c>
      <c r="C719" s="549" t="s">
        <v>11186</v>
      </c>
      <c r="D719" s="549" t="s">
        <v>11187</v>
      </c>
      <c r="E719" s="8"/>
      <c r="F719" s="552" t="s">
        <v>11188</v>
      </c>
      <c r="G719" s="8"/>
      <c r="H719" s="8"/>
      <c r="I719" s="8"/>
      <c r="J719" s="546" t="str">
        <f t="array" ref="J719">IF(LEN($E719),INDEX('4-All Devices'!AE:AE, MATCH($E719, '4-All Devices'!AF:AF, 0)),"")</f>
        <v/>
      </c>
      <c r="K719" s="8"/>
      <c r="L719" s="8"/>
      <c r="M719" s="8"/>
    </row>
    <row r="720">
      <c r="A720" s="542"/>
      <c r="B720" s="551" t="str">
        <f t="array" ref="B720">IF(LEN(E720),INDEX('4-All Devices'!AG:AG, MATCH(E720, '4-All Devices'!AF:AF, 0)),"")</f>
        <v/>
      </c>
      <c r="C720" s="549" t="s">
        <v>11186</v>
      </c>
      <c r="D720" s="549" t="s">
        <v>11187</v>
      </c>
      <c r="E720" s="8"/>
      <c r="F720" s="552" t="s">
        <v>11188</v>
      </c>
      <c r="G720" s="8"/>
      <c r="H720" s="8"/>
      <c r="I720" s="8"/>
      <c r="J720" s="546" t="str">
        <f t="array" ref="J720">IF(LEN($E720),INDEX('4-All Devices'!AE:AE, MATCH($E720, '4-All Devices'!AF:AF, 0)),"")</f>
        <v/>
      </c>
      <c r="K720" s="8"/>
      <c r="L720" s="8"/>
      <c r="M720" s="8"/>
    </row>
    <row r="721">
      <c r="A721" s="542"/>
      <c r="B721" s="551" t="str">
        <f t="array" ref="B721">IF(LEN(E721),INDEX('4-All Devices'!AG:AG, MATCH(E721, '4-All Devices'!AF:AF, 0)),"")</f>
        <v/>
      </c>
      <c r="C721" s="549" t="s">
        <v>11186</v>
      </c>
      <c r="D721" s="549" t="s">
        <v>11187</v>
      </c>
      <c r="E721" s="8"/>
      <c r="F721" s="552" t="s">
        <v>11188</v>
      </c>
      <c r="G721" s="8"/>
      <c r="H721" s="8"/>
      <c r="I721" s="8"/>
      <c r="J721" s="546" t="str">
        <f t="array" ref="J721">IF(LEN($E721),INDEX('4-All Devices'!AE:AE, MATCH($E721, '4-All Devices'!AF:AF, 0)),"")</f>
        <v/>
      </c>
      <c r="K721" s="8"/>
      <c r="L721" s="8"/>
      <c r="M721" s="8"/>
    </row>
    <row r="722">
      <c r="A722" s="542"/>
      <c r="B722" s="551" t="str">
        <f t="array" ref="B722">IF(LEN(E722),INDEX('4-All Devices'!AG:AG, MATCH(E722, '4-All Devices'!AF:AF, 0)),"")</f>
        <v/>
      </c>
      <c r="C722" s="549" t="s">
        <v>11186</v>
      </c>
      <c r="D722" s="549" t="s">
        <v>11187</v>
      </c>
      <c r="E722" s="8"/>
      <c r="F722" s="552" t="s">
        <v>11188</v>
      </c>
      <c r="G722" s="8"/>
      <c r="H722" s="8"/>
      <c r="I722" s="8"/>
      <c r="J722" s="546" t="str">
        <f t="array" ref="J722">IF(LEN($E722),INDEX('4-All Devices'!AE:AE, MATCH($E722, '4-All Devices'!AF:AF, 0)),"")</f>
        <v/>
      </c>
      <c r="K722" s="8"/>
      <c r="L722" s="8"/>
      <c r="M722" s="8"/>
    </row>
    <row r="723">
      <c r="A723" s="542"/>
      <c r="B723" s="551" t="str">
        <f t="array" ref="B723">IF(LEN(E723),INDEX('4-All Devices'!AG:AG, MATCH(E723, '4-All Devices'!AF:AF, 0)),"")</f>
        <v/>
      </c>
      <c r="C723" s="549" t="s">
        <v>11186</v>
      </c>
      <c r="D723" s="549" t="s">
        <v>11187</v>
      </c>
      <c r="E723" s="8"/>
      <c r="F723" s="552" t="s">
        <v>11188</v>
      </c>
      <c r="G723" s="8"/>
      <c r="H723" s="8"/>
      <c r="I723" s="8"/>
      <c r="J723" s="546" t="str">
        <f t="array" ref="J723">IF(LEN($E723),INDEX('4-All Devices'!AE:AE, MATCH($E723, '4-All Devices'!AF:AF, 0)),"")</f>
        <v/>
      </c>
      <c r="K723" s="8"/>
      <c r="L723" s="8"/>
      <c r="M723" s="8"/>
    </row>
    <row r="724">
      <c r="A724" s="542"/>
      <c r="B724" s="551" t="str">
        <f t="array" ref="B724">IF(LEN(E724),INDEX('4-All Devices'!AG:AG, MATCH(E724, '4-All Devices'!AF:AF, 0)),"")</f>
        <v/>
      </c>
      <c r="C724" s="549" t="s">
        <v>11186</v>
      </c>
      <c r="D724" s="549" t="s">
        <v>11187</v>
      </c>
      <c r="E724" s="8"/>
      <c r="F724" s="552" t="s">
        <v>11188</v>
      </c>
      <c r="G724" s="8"/>
      <c r="H724" s="8"/>
      <c r="I724" s="8"/>
      <c r="J724" s="546" t="str">
        <f t="array" ref="J724">IF(LEN($E724),INDEX('4-All Devices'!AE:AE, MATCH($E724, '4-All Devices'!AF:AF, 0)),"")</f>
        <v/>
      </c>
      <c r="K724" s="8"/>
      <c r="L724" s="8"/>
      <c r="M724" s="8"/>
    </row>
    <row r="725">
      <c r="A725" s="542"/>
      <c r="B725" s="551" t="str">
        <f t="array" ref="B725">IF(LEN(E725),INDEX('4-All Devices'!AG:AG, MATCH(E725, '4-All Devices'!AF:AF, 0)),"")</f>
        <v/>
      </c>
      <c r="C725" s="549" t="s">
        <v>11186</v>
      </c>
      <c r="D725" s="549" t="s">
        <v>11187</v>
      </c>
      <c r="E725" s="8"/>
      <c r="F725" s="552" t="s">
        <v>11188</v>
      </c>
      <c r="G725" s="8"/>
      <c r="H725" s="8"/>
      <c r="I725" s="8"/>
      <c r="J725" s="546" t="str">
        <f t="array" ref="J725">IF(LEN($E725),INDEX('4-All Devices'!AE:AE, MATCH($E725, '4-All Devices'!AF:AF, 0)),"")</f>
        <v/>
      </c>
      <c r="K725" s="8"/>
      <c r="L725" s="8"/>
      <c r="M725" s="8"/>
    </row>
    <row r="726">
      <c r="A726" s="542"/>
      <c r="B726" s="551" t="str">
        <f t="array" ref="B726">IF(LEN(E726),INDEX('4-All Devices'!AG:AG, MATCH(E726, '4-All Devices'!AF:AF, 0)),"")</f>
        <v/>
      </c>
      <c r="C726" s="549" t="s">
        <v>11186</v>
      </c>
      <c r="D726" s="549" t="s">
        <v>11187</v>
      </c>
      <c r="E726" s="8"/>
      <c r="F726" s="552" t="s">
        <v>11188</v>
      </c>
      <c r="G726" s="8"/>
      <c r="H726" s="8"/>
      <c r="I726" s="8"/>
      <c r="J726" s="546" t="str">
        <f t="array" ref="J726">IF(LEN($E726),INDEX('4-All Devices'!AE:AE, MATCH($E726, '4-All Devices'!AF:AF, 0)),"")</f>
        <v/>
      </c>
      <c r="K726" s="8"/>
      <c r="L726" s="8"/>
      <c r="M726" s="8"/>
    </row>
    <row r="727">
      <c r="A727" s="542"/>
      <c r="B727" s="551" t="str">
        <f t="array" ref="B727">IF(LEN(E727),INDEX('4-All Devices'!AG:AG, MATCH(E727, '4-All Devices'!AF:AF, 0)),"")</f>
        <v/>
      </c>
      <c r="C727" s="549" t="s">
        <v>11186</v>
      </c>
      <c r="D727" s="549" t="s">
        <v>11187</v>
      </c>
      <c r="E727" s="8"/>
      <c r="F727" s="552" t="s">
        <v>11188</v>
      </c>
      <c r="G727" s="8"/>
      <c r="H727" s="8"/>
      <c r="I727" s="8"/>
      <c r="J727" s="546" t="str">
        <f t="array" ref="J727">IF(LEN($E727),INDEX('4-All Devices'!AE:AE, MATCH($E727, '4-All Devices'!AF:AF, 0)),"")</f>
        <v/>
      </c>
      <c r="K727" s="8"/>
      <c r="L727" s="8"/>
      <c r="M727" s="8"/>
    </row>
    <row r="728">
      <c r="A728" s="542"/>
      <c r="B728" s="551" t="str">
        <f t="array" ref="B728">IF(LEN(E728),INDEX('4-All Devices'!AG:AG, MATCH(E728, '4-All Devices'!AF:AF, 0)),"")</f>
        <v/>
      </c>
      <c r="C728" s="549" t="s">
        <v>11186</v>
      </c>
      <c r="D728" s="549" t="s">
        <v>11187</v>
      </c>
      <c r="E728" s="8"/>
      <c r="F728" s="552" t="s">
        <v>11188</v>
      </c>
      <c r="G728" s="8"/>
      <c r="H728" s="8"/>
      <c r="I728" s="8"/>
      <c r="J728" s="546" t="str">
        <f t="array" ref="J728">IF(LEN($E728),INDEX('4-All Devices'!AE:AE, MATCH($E728, '4-All Devices'!AF:AF, 0)),"")</f>
        <v/>
      </c>
      <c r="K728" s="8"/>
      <c r="L728" s="8"/>
      <c r="M728" s="8"/>
    </row>
    <row r="729">
      <c r="A729" s="542"/>
      <c r="B729" s="551" t="str">
        <f t="array" ref="B729">IF(LEN(E729),INDEX('4-All Devices'!AG:AG, MATCH(E729, '4-All Devices'!AF:AF, 0)),"")</f>
        <v/>
      </c>
      <c r="C729" s="549" t="s">
        <v>11186</v>
      </c>
      <c r="D729" s="549" t="s">
        <v>11187</v>
      </c>
      <c r="E729" s="8"/>
      <c r="F729" s="552" t="s">
        <v>11188</v>
      </c>
      <c r="G729" s="8"/>
      <c r="H729" s="8"/>
      <c r="I729" s="8"/>
      <c r="J729" s="546" t="str">
        <f t="array" ref="J729">IF(LEN($E729),INDEX('4-All Devices'!AE:AE, MATCH($E729, '4-All Devices'!AF:AF, 0)),"")</f>
        <v/>
      </c>
      <c r="K729" s="8"/>
      <c r="L729" s="8"/>
      <c r="M729" s="8"/>
    </row>
    <row r="730">
      <c r="A730" s="542"/>
      <c r="B730" s="551" t="str">
        <f t="array" ref="B730">IF(LEN(E730),INDEX('4-All Devices'!AG:AG, MATCH(E730, '4-All Devices'!AF:AF, 0)),"")</f>
        <v/>
      </c>
      <c r="C730" s="549" t="s">
        <v>11186</v>
      </c>
      <c r="D730" s="549" t="s">
        <v>11187</v>
      </c>
      <c r="E730" s="8"/>
      <c r="F730" s="552" t="s">
        <v>11188</v>
      </c>
      <c r="G730" s="8"/>
      <c r="H730" s="8"/>
      <c r="I730" s="8"/>
      <c r="J730" s="546" t="str">
        <f t="array" ref="J730">IF(LEN($E730),INDEX('4-All Devices'!AE:AE, MATCH($E730, '4-All Devices'!AF:AF, 0)),"")</f>
        <v/>
      </c>
      <c r="K730" s="8"/>
      <c r="L730" s="8"/>
      <c r="M730" s="8"/>
    </row>
    <row r="731">
      <c r="A731" s="542"/>
      <c r="B731" s="551" t="str">
        <f t="array" ref="B731">IF(LEN(E731),INDEX('4-All Devices'!AG:AG, MATCH(E731, '4-All Devices'!AF:AF, 0)),"")</f>
        <v/>
      </c>
      <c r="C731" s="549" t="s">
        <v>11186</v>
      </c>
      <c r="D731" s="549" t="s">
        <v>11187</v>
      </c>
      <c r="E731" s="8"/>
      <c r="F731" s="552" t="s">
        <v>11188</v>
      </c>
      <c r="G731" s="8"/>
      <c r="H731" s="8"/>
      <c r="I731" s="8"/>
      <c r="J731" s="546" t="str">
        <f t="array" ref="J731">IF(LEN($E731),INDEX('4-All Devices'!AE:AE, MATCH($E731, '4-All Devices'!AF:AF, 0)),"")</f>
        <v/>
      </c>
      <c r="K731" s="8"/>
      <c r="L731" s="8"/>
      <c r="M731" s="8"/>
    </row>
    <row r="732">
      <c r="A732" s="542"/>
      <c r="B732" s="551" t="str">
        <f t="array" ref="B732">IF(LEN(E732),INDEX('4-All Devices'!AG:AG, MATCH(E732, '4-All Devices'!AF:AF, 0)),"")</f>
        <v/>
      </c>
      <c r="C732" s="549" t="s">
        <v>11186</v>
      </c>
      <c r="D732" s="549" t="s">
        <v>11187</v>
      </c>
      <c r="E732" s="8"/>
      <c r="F732" s="552" t="s">
        <v>11188</v>
      </c>
      <c r="G732" s="8"/>
      <c r="H732" s="8"/>
      <c r="I732" s="8"/>
      <c r="J732" s="546" t="str">
        <f t="array" ref="J732">IF(LEN($E732),INDEX('4-All Devices'!AE:AE, MATCH($E732, '4-All Devices'!AF:AF, 0)),"")</f>
        <v/>
      </c>
      <c r="K732" s="8"/>
      <c r="L732" s="8"/>
      <c r="M732" s="8"/>
    </row>
    <row r="733">
      <c r="A733" s="542"/>
      <c r="B733" s="551" t="str">
        <f t="array" ref="B733">IF(LEN(E733),INDEX('4-All Devices'!AG:AG, MATCH(E733, '4-All Devices'!AF:AF, 0)),"")</f>
        <v/>
      </c>
      <c r="C733" s="549" t="s">
        <v>11186</v>
      </c>
      <c r="D733" s="549" t="s">
        <v>11187</v>
      </c>
      <c r="E733" s="8"/>
      <c r="F733" s="552" t="s">
        <v>11188</v>
      </c>
      <c r="G733" s="8"/>
      <c r="H733" s="8"/>
      <c r="I733" s="8"/>
      <c r="J733" s="546" t="str">
        <f t="array" ref="J733">IF(LEN($E733),INDEX('4-All Devices'!AE:AE, MATCH($E733, '4-All Devices'!AF:AF, 0)),"")</f>
        <v/>
      </c>
      <c r="K733" s="8"/>
      <c r="L733" s="8"/>
      <c r="M733" s="8"/>
    </row>
    <row r="734">
      <c r="A734" s="542"/>
      <c r="B734" s="551" t="str">
        <f t="array" ref="B734">IF(LEN(E734),INDEX('4-All Devices'!AG:AG, MATCH(E734, '4-All Devices'!AF:AF, 0)),"")</f>
        <v/>
      </c>
      <c r="C734" s="549" t="s">
        <v>11186</v>
      </c>
      <c r="D734" s="549" t="s">
        <v>11187</v>
      </c>
      <c r="E734" s="8"/>
      <c r="F734" s="552" t="s">
        <v>11188</v>
      </c>
      <c r="G734" s="8"/>
      <c r="H734" s="8"/>
      <c r="I734" s="8"/>
      <c r="J734" s="546" t="str">
        <f t="array" ref="J734">IF(LEN($E734),INDEX('4-All Devices'!AE:AE, MATCH($E734, '4-All Devices'!AF:AF, 0)),"")</f>
        <v/>
      </c>
      <c r="K734" s="8"/>
      <c r="L734" s="8"/>
      <c r="M734" s="8"/>
    </row>
    <row r="735">
      <c r="A735" s="542"/>
      <c r="B735" s="551" t="str">
        <f t="array" ref="B735">IF(LEN(E735),INDEX('4-All Devices'!AG:AG, MATCH(E735, '4-All Devices'!AF:AF, 0)),"")</f>
        <v/>
      </c>
      <c r="C735" s="549" t="s">
        <v>11186</v>
      </c>
      <c r="D735" s="549" t="s">
        <v>11187</v>
      </c>
      <c r="E735" s="8"/>
      <c r="F735" s="552" t="s">
        <v>11188</v>
      </c>
      <c r="G735" s="8"/>
      <c r="H735" s="8"/>
      <c r="I735" s="8"/>
      <c r="J735" s="546" t="str">
        <f t="array" ref="J735">IF(LEN($E735),INDEX('4-All Devices'!AE:AE, MATCH($E735, '4-All Devices'!AF:AF, 0)),"")</f>
        <v/>
      </c>
      <c r="K735" s="8"/>
      <c r="L735" s="8"/>
      <c r="M735" s="8"/>
    </row>
    <row r="736">
      <c r="A736" s="542"/>
      <c r="B736" s="551" t="str">
        <f t="array" ref="B736">IF(LEN(E736),INDEX('4-All Devices'!AG:AG, MATCH(E736, '4-All Devices'!AF:AF, 0)),"")</f>
        <v/>
      </c>
      <c r="C736" s="549" t="s">
        <v>11186</v>
      </c>
      <c r="D736" s="549" t="s">
        <v>11187</v>
      </c>
      <c r="E736" s="8"/>
      <c r="F736" s="552" t="s">
        <v>11188</v>
      </c>
      <c r="G736" s="8"/>
      <c r="H736" s="8"/>
      <c r="I736" s="8"/>
      <c r="J736" s="546" t="str">
        <f t="array" ref="J736">IF(LEN($E736),INDEX('4-All Devices'!AE:AE, MATCH($E736, '4-All Devices'!AF:AF, 0)),"")</f>
        <v/>
      </c>
      <c r="K736" s="8"/>
      <c r="L736" s="8"/>
      <c r="M736" s="8"/>
    </row>
    <row r="737">
      <c r="A737" s="542"/>
      <c r="B737" s="551" t="str">
        <f t="array" ref="B737">IF(LEN(E737),INDEX('4-All Devices'!AG:AG, MATCH(E737, '4-All Devices'!AF:AF, 0)),"")</f>
        <v/>
      </c>
      <c r="C737" s="549" t="s">
        <v>11186</v>
      </c>
      <c r="D737" s="549" t="s">
        <v>11187</v>
      </c>
      <c r="E737" s="8"/>
      <c r="F737" s="552" t="s">
        <v>11188</v>
      </c>
      <c r="G737" s="8"/>
      <c r="H737" s="8"/>
      <c r="I737" s="8"/>
      <c r="J737" s="546" t="str">
        <f t="array" ref="J737">IF(LEN($E737),INDEX('4-All Devices'!AE:AE, MATCH($E737, '4-All Devices'!AF:AF, 0)),"")</f>
        <v/>
      </c>
      <c r="K737" s="8"/>
      <c r="L737" s="8"/>
      <c r="M737" s="8"/>
    </row>
    <row r="738">
      <c r="A738" s="542"/>
      <c r="B738" s="551" t="str">
        <f t="array" ref="B738">IF(LEN(E738),INDEX('4-All Devices'!AG:AG, MATCH(E738, '4-All Devices'!AF:AF, 0)),"")</f>
        <v/>
      </c>
      <c r="C738" s="549" t="s">
        <v>11186</v>
      </c>
      <c r="D738" s="549" t="s">
        <v>11187</v>
      </c>
      <c r="E738" s="8"/>
      <c r="F738" s="552" t="s">
        <v>11188</v>
      </c>
      <c r="G738" s="8"/>
      <c r="H738" s="8"/>
      <c r="I738" s="8"/>
      <c r="J738" s="546" t="str">
        <f t="array" ref="J738">IF(LEN($E738),INDEX('4-All Devices'!AE:AE, MATCH($E738, '4-All Devices'!AF:AF, 0)),"")</f>
        <v/>
      </c>
      <c r="K738" s="8"/>
      <c r="L738" s="8"/>
      <c r="M738" s="8"/>
    </row>
    <row r="739">
      <c r="A739" s="542"/>
      <c r="B739" s="551" t="str">
        <f t="array" ref="B739">IF(LEN(E739),INDEX('4-All Devices'!AG:AG, MATCH(E739, '4-All Devices'!AF:AF, 0)),"")</f>
        <v/>
      </c>
      <c r="C739" s="549" t="s">
        <v>11186</v>
      </c>
      <c r="D739" s="549" t="s">
        <v>11187</v>
      </c>
      <c r="E739" s="8"/>
      <c r="F739" s="552" t="s">
        <v>11188</v>
      </c>
      <c r="G739" s="8"/>
      <c r="H739" s="8"/>
      <c r="I739" s="8"/>
      <c r="J739" s="546" t="str">
        <f t="array" ref="J739">IF(LEN($E739),INDEX('4-All Devices'!AE:AE, MATCH($E739, '4-All Devices'!AF:AF, 0)),"")</f>
        <v/>
      </c>
      <c r="K739" s="8"/>
      <c r="L739" s="8"/>
      <c r="M739" s="8"/>
    </row>
    <row r="740">
      <c r="A740" s="542"/>
      <c r="B740" s="551" t="str">
        <f t="array" ref="B740">IF(LEN(E740),INDEX('4-All Devices'!AG:AG, MATCH(E740, '4-All Devices'!AF:AF, 0)),"")</f>
        <v/>
      </c>
      <c r="C740" s="549" t="s">
        <v>11186</v>
      </c>
      <c r="D740" s="549" t="s">
        <v>11187</v>
      </c>
      <c r="E740" s="8"/>
      <c r="F740" s="552" t="s">
        <v>11188</v>
      </c>
      <c r="G740" s="8"/>
      <c r="H740" s="8"/>
      <c r="I740" s="8"/>
      <c r="J740" s="546" t="str">
        <f t="array" ref="J740">IF(LEN($E740),INDEX('4-All Devices'!AE:AE, MATCH($E740, '4-All Devices'!AF:AF, 0)),"")</f>
        <v/>
      </c>
      <c r="K740" s="8"/>
      <c r="L740" s="8"/>
      <c r="M740" s="8"/>
    </row>
    <row r="741">
      <c r="A741" s="542"/>
      <c r="B741" s="551" t="str">
        <f t="array" ref="B741">IF(LEN(E741),INDEX('4-All Devices'!AG:AG, MATCH(E741, '4-All Devices'!AF:AF, 0)),"")</f>
        <v/>
      </c>
      <c r="C741" s="549" t="s">
        <v>11186</v>
      </c>
      <c r="D741" s="549" t="s">
        <v>11187</v>
      </c>
      <c r="E741" s="8"/>
      <c r="F741" s="552" t="s">
        <v>11188</v>
      </c>
      <c r="G741" s="8"/>
      <c r="H741" s="8"/>
      <c r="I741" s="8"/>
      <c r="J741" s="546" t="str">
        <f t="array" ref="J741">IF(LEN($E741),INDEX('4-All Devices'!AE:AE, MATCH($E741, '4-All Devices'!AF:AF, 0)),"")</f>
        <v/>
      </c>
      <c r="K741" s="8"/>
      <c r="L741" s="8"/>
      <c r="M741" s="8"/>
    </row>
    <row r="742">
      <c r="A742" s="542"/>
      <c r="B742" s="551" t="str">
        <f t="array" ref="B742">IF(LEN(E742),INDEX('4-All Devices'!AG:AG, MATCH(E742, '4-All Devices'!AF:AF, 0)),"")</f>
        <v/>
      </c>
      <c r="C742" s="549" t="s">
        <v>11186</v>
      </c>
      <c r="D742" s="549" t="s">
        <v>11187</v>
      </c>
      <c r="E742" s="8"/>
      <c r="F742" s="552" t="s">
        <v>11188</v>
      </c>
      <c r="G742" s="8"/>
      <c r="H742" s="8"/>
      <c r="I742" s="8"/>
      <c r="J742" s="546" t="str">
        <f t="array" ref="J742">IF(LEN($E742),INDEX('4-All Devices'!AE:AE, MATCH($E742, '4-All Devices'!AF:AF, 0)),"")</f>
        <v/>
      </c>
      <c r="K742" s="8"/>
      <c r="L742" s="8"/>
      <c r="M742" s="8"/>
    </row>
    <row r="743">
      <c r="A743" s="542"/>
      <c r="B743" s="551" t="str">
        <f t="array" ref="B743">IF(LEN(E743),INDEX('4-All Devices'!AG:AG, MATCH(E743, '4-All Devices'!AF:AF, 0)),"")</f>
        <v/>
      </c>
      <c r="C743" s="549" t="s">
        <v>11186</v>
      </c>
      <c r="D743" s="549" t="s">
        <v>11187</v>
      </c>
      <c r="E743" s="8"/>
      <c r="F743" s="552" t="s">
        <v>11188</v>
      </c>
      <c r="G743" s="8"/>
      <c r="H743" s="8"/>
      <c r="I743" s="8"/>
      <c r="J743" s="546" t="str">
        <f t="array" ref="J743">IF(LEN($E743),INDEX('4-All Devices'!AE:AE, MATCH($E743, '4-All Devices'!AF:AF, 0)),"")</f>
        <v/>
      </c>
      <c r="K743" s="8"/>
      <c r="L743" s="8"/>
      <c r="M743" s="8"/>
    </row>
    <row r="744">
      <c r="A744" s="542"/>
      <c r="B744" s="551" t="str">
        <f t="array" ref="B744">IF(LEN(E744),INDEX('4-All Devices'!AG:AG, MATCH(E744, '4-All Devices'!AF:AF, 0)),"")</f>
        <v/>
      </c>
      <c r="C744" s="549" t="s">
        <v>11186</v>
      </c>
      <c r="D744" s="549" t="s">
        <v>11187</v>
      </c>
      <c r="E744" s="8"/>
      <c r="F744" s="552" t="s">
        <v>11188</v>
      </c>
      <c r="G744" s="8"/>
      <c r="H744" s="8"/>
      <c r="I744" s="8"/>
      <c r="J744" s="546" t="str">
        <f t="array" ref="J744">IF(LEN($E744),INDEX('4-All Devices'!AE:AE, MATCH($E744, '4-All Devices'!AF:AF, 0)),"")</f>
        <v/>
      </c>
      <c r="K744" s="8"/>
      <c r="L744" s="8"/>
      <c r="M744" s="8"/>
    </row>
    <row r="745">
      <c r="A745" s="542"/>
      <c r="B745" s="551" t="str">
        <f t="array" ref="B745">IF(LEN(E745),INDEX('4-All Devices'!AG:AG, MATCH(E745, '4-All Devices'!AF:AF, 0)),"")</f>
        <v/>
      </c>
      <c r="C745" s="549" t="s">
        <v>11186</v>
      </c>
      <c r="D745" s="549" t="s">
        <v>11187</v>
      </c>
      <c r="E745" s="8"/>
      <c r="F745" s="552" t="s">
        <v>11188</v>
      </c>
      <c r="G745" s="8"/>
      <c r="H745" s="8"/>
      <c r="I745" s="8"/>
      <c r="J745" s="546" t="str">
        <f t="array" ref="J745">IF(LEN($E745),INDEX('4-All Devices'!AE:AE, MATCH($E745, '4-All Devices'!AF:AF, 0)),"")</f>
        <v/>
      </c>
      <c r="K745" s="8"/>
      <c r="L745" s="8"/>
      <c r="M745" s="8"/>
    </row>
    <row r="746">
      <c r="A746" s="542"/>
      <c r="B746" s="551" t="str">
        <f t="array" ref="B746">IF(LEN(E746),INDEX('4-All Devices'!AG:AG, MATCH(E746, '4-All Devices'!AF:AF, 0)),"")</f>
        <v/>
      </c>
      <c r="C746" s="549" t="s">
        <v>11186</v>
      </c>
      <c r="D746" s="549" t="s">
        <v>11187</v>
      </c>
      <c r="E746" s="8"/>
      <c r="F746" s="552" t="s">
        <v>11188</v>
      </c>
      <c r="G746" s="8"/>
      <c r="H746" s="8"/>
      <c r="I746" s="8"/>
      <c r="J746" s="546" t="str">
        <f t="array" ref="J746">IF(LEN($E746),INDEX('4-All Devices'!AE:AE, MATCH($E746, '4-All Devices'!AF:AF, 0)),"")</f>
        <v/>
      </c>
      <c r="K746" s="8"/>
      <c r="L746" s="8"/>
      <c r="M746" s="8"/>
    </row>
    <row r="747">
      <c r="A747" s="542"/>
      <c r="B747" s="551" t="str">
        <f t="array" ref="B747">IF(LEN(E747),INDEX('4-All Devices'!AG:AG, MATCH(E747, '4-All Devices'!AF:AF, 0)),"")</f>
        <v/>
      </c>
      <c r="C747" s="549" t="s">
        <v>11186</v>
      </c>
      <c r="D747" s="549" t="s">
        <v>11187</v>
      </c>
      <c r="E747" s="8"/>
      <c r="F747" s="552" t="s">
        <v>11188</v>
      </c>
      <c r="G747" s="8"/>
      <c r="H747" s="8"/>
      <c r="I747" s="8"/>
      <c r="J747" s="546" t="str">
        <f t="array" ref="J747">IF(LEN($E747),INDEX('4-All Devices'!AE:AE, MATCH($E747, '4-All Devices'!AF:AF, 0)),"")</f>
        <v/>
      </c>
      <c r="K747" s="8"/>
      <c r="L747" s="8"/>
      <c r="M747" s="8"/>
    </row>
    <row r="748">
      <c r="A748" s="542"/>
      <c r="B748" s="551" t="str">
        <f t="array" ref="B748">IF(LEN(E748),INDEX('4-All Devices'!AG:AG, MATCH(E748, '4-All Devices'!AF:AF, 0)),"")</f>
        <v/>
      </c>
      <c r="C748" s="549" t="s">
        <v>11186</v>
      </c>
      <c r="D748" s="549" t="s">
        <v>11187</v>
      </c>
      <c r="E748" s="8"/>
      <c r="F748" s="552" t="s">
        <v>11188</v>
      </c>
      <c r="G748" s="8"/>
      <c r="H748" s="8"/>
      <c r="I748" s="8"/>
      <c r="J748" s="546" t="str">
        <f t="array" ref="J748">IF(LEN($E748),INDEX('4-All Devices'!AE:AE, MATCH($E748, '4-All Devices'!AF:AF, 0)),"")</f>
        <v/>
      </c>
      <c r="K748" s="8"/>
      <c r="L748" s="8"/>
      <c r="M748" s="8"/>
    </row>
    <row r="749">
      <c r="A749" s="542"/>
      <c r="B749" s="551" t="str">
        <f t="array" ref="B749">IF(LEN(E749),INDEX('4-All Devices'!AG:AG, MATCH(E749, '4-All Devices'!AF:AF, 0)),"")</f>
        <v/>
      </c>
      <c r="C749" s="549" t="s">
        <v>11186</v>
      </c>
      <c r="D749" s="549" t="s">
        <v>11187</v>
      </c>
      <c r="E749" s="8"/>
      <c r="F749" s="552" t="s">
        <v>11188</v>
      </c>
      <c r="G749" s="8"/>
      <c r="H749" s="8"/>
      <c r="I749" s="8"/>
      <c r="J749" s="546" t="str">
        <f t="array" ref="J749">IF(LEN($E749),INDEX('4-All Devices'!AE:AE, MATCH($E749, '4-All Devices'!AF:AF, 0)),"")</f>
        <v/>
      </c>
      <c r="K749" s="8"/>
      <c r="L749" s="8"/>
      <c r="M749" s="8"/>
    </row>
    <row r="750">
      <c r="A750" s="542"/>
      <c r="B750" s="551" t="str">
        <f t="array" ref="B750">IF(LEN(E750),INDEX('4-All Devices'!AG:AG, MATCH(E750, '4-All Devices'!AF:AF, 0)),"")</f>
        <v/>
      </c>
      <c r="C750" s="549" t="s">
        <v>11186</v>
      </c>
      <c r="D750" s="549" t="s">
        <v>11187</v>
      </c>
      <c r="E750" s="8"/>
      <c r="F750" s="552" t="s">
        <v>11188</v>
      </c>
      <c r="G750" s="8"/>
      <c r="H750" s="8"/>
      <c r="I750" s="8"/>
      <c r="J750" s="546" t="str">
        <f t="array" ref="J750">IF(LEN($E750),INDEX('4-All Devices'!AE:AE, MATCH($E750, '4-All Devices'!AF:AF, 0)),"")</f>
        <v/>
      </c>
      <c r="K750" s="8"/>
      <c r="L750" s="8"/>
      <c r="M750" s="8"/>
    </row>
    <row r="751">
      <c r="A751" s="542"/>
      <c r="B751" s="551" t="str">
        <f t="array" ref="B751">IF(LEN(E751),INDEX('4-All Devices'!AG:AG, MATCH(E751, '4-All Devices'!AF:AF, 0)),"")</f>
        <v/>
      </c>
      <c r="C751" s="549" t="s">
        <v>11186</v>
      </c>
      <c r="D751" s="549" t="s">
        <v>11187</v>
      </c>
      <c r="E751" s="8"/>
      <c r="F751" s="552" t="s">
        <v>11188</v>
      </c>
      <c r="G751" s="8"/>
      <c r="H751" s="8"/>
      <c r="I751" s="8"/>
      <c r="J751" s="546" t="str">
        <f t="array" ref="J751">IF(LEN($E751),INDEX('4-All Devices'!AE:AE, MATCH($E751, '4-All Devices'!AF:AF, 0)),"")</f>
        <v/>
      </c>
      <c r="K751" s="8"/>
      <c r="L751" s="8"/>
      <c r="M751" s="8"/>
    </row>
    <row r="752">
      <c r="A752" s="542"/>
      <c r="B752" s="551" t="str">
        <f t="array" ref="B752">IF(LEN(E752),INDEX('4-All Devices'!AG:AG, MATCH(E752, '4-All Devices'!AF:AF, 0)),"")</f>
        <v/>
      </c>
      <c r="C752" s="549" t="s">
        <v>11186</v>
      </c>
      <c r="D752" s="549" t="s">
        <v>11187</v>
      </c>
      <c r="E752" s="8"/>
      <c r="F752" s="552" t="s">
        <v>11188</v>
      </c>
      <c r="G752" s="8"/>
      <c r="H752" s="8"/>
      <c r="I752" s="8"/>
      <c r="J752" s="546" t="str">
        <f t="array" ref="J752">IF(LEN($E752),INDEX('4-All Devices'!AE:AE, MATCH($E752, '4-All Devices'!AF:AF, 0)),"")</f>
        <v/>
      </c>
      <c r="K752" s="8"/>
      <c r="L752" s="8"/>
      <c r="M752" s="8"/>
    </row>
    <row r="753">
      <c r="A753" s="542"/>
      <c r="B753" s="551" t="str">
        <f t="array" ref="B753">IF(LEN(E753),INDEX('4-All Devices'!AG:AG, MATCH(E753, '4-All Devices'!AF:AF, 0)),"")</f>
        <v/>
      </c>
      <c r="C753" s="549" t="s">
        <v>11186</v>
      </c>
      <c r="D753" s="549" t="s">
        <v>11187</v>
      </c>
      <c r="E753" s="8"/>
      <c r="F753" s="552" t="s">
        <v>11188</v>
      </c>
      <c r="G753" s="8"/>
      <c r="H753" s="8"/>
      <c r="I753" s="8"/>
      <c r="J753" s="546" t="str">
        <f t="array" ref="J753">IF(LEN($E753),INDEX('4-All Devices'!AE:AE, MATCH($E753, '4-All Devices'!AF:AF, 0)),"")</f>
        <v/>
      </c>
      <c r="K753" s="8"/>
      <c r="L753" s="8"/>
      <c r="M753" s="8"/>
    </row>
    <row r="754">
      <c r="A754" s="542"/>
      <c r="B754" s="551" t="str">
        <f t="array" ref="B754">IF(LEN(E754),INDEX('4-All Devices'!AG:AG, MATCH(E754, '4-All Devices'!AF:AF, 0)),"")</f>
        <v/>
      </c>
      <c r="C754" s="549" t="s">
        <v>11186</v>
      </c>
      <c r="D754" s="549" t="s">
        <v>11187</v>
      </c>
      <c r="E754" s="8"/>
      <c r="F754" s="552" t="s">
        <v>11188</v>
      </c>
      <c r="G754" s="8"/>
      <c r="H754" s="8"/>
      <c r="I754" s="8"/>
      <c r="J754" s="546" t="str">
        <f t="array" ref="J754">IF(LEN($E754),INDEX('4-All Devices'!AE:AE, MATCH($E754, '4-All Devices'!AF:AF, 0)),"")</f>
        <v/>
      </c>
      <c r="K754" s="8"/>
      <c r="L754" s="8"/>
      <c r="M754" s="8"/>
    </row>
    <row r="755">
      <c r="A755" s="542"/>
      <c r="B755" s="551" t="str">
        <f t="array" ref="B755">IF(LEN(E755),INDEX('4-All Devices'!AG:AG, MATCH(E755, '4-All Devices'!AF:AF, 0)),"")</f>
        <v/>
      </c>
      <c r="C755" s="549" t="s">
        <v>11186</v>
      </c>
      <c r="D755" s="549" t="s">
        <v>11187</v>
      </c>
      <c r="E755" s="8"/>
      <c r="F755" s="552" t="s">
        <v>11188</v>
      </c>
      <c r="G755" s="8"/>
      <c r="H755" s="8"/>
      <c r="I755" s="8"/>
      <c r="J755" s="546" t="str">
        <f t="array" ref="J755">IF(LEN($E755),INDEX('4-All Devices'!AE:AE, MATCH($E755, '4-All Devices'!AF:AF, 0)),"")</f>
        <v/>
      </c>
      <c r="K755" s="8"/>
      <c r="L755" s="8"/>
      <c r="M755" s="8"/>
    </row>
    <row r="756">
      <c r="A756" s="542"/>
      <c r="B756" s="551" t="str">
        <f t="array" ref="B756">IF(LEN(E756),INDEX('4-All Devices'!AG:AG, MATCH(E756, '4-All Devices'!AF:AF, 0)),"")</f>
        <v/>
      </c>
      <c r="C756" s="549" t="s">
        <v>11186</v>
      </c>
      <c r="D756" s="549" t="s">
        <v>11187</v>
      </c>
      <c r="E756" s="8"/>
      <c r="F756" s="552" t="s">
        <v>11188</v>
      </c>
      <c r="G756" s="8"/>
      <c r="H756" s="8"/>
      <c r="I756" s="8"/>
      <c r="J756" s="546" t="str">
        <f t="array" ref="J756">IF(LEN($E756),INDEX('4-All Devices'!AE:AE, MATCH($E756, '4-All Devices'!AF:AF, 0)),"")</f>
        <v/>
      </c>
      <c r="K756" s="8"/>
      <c r="L756" s="8"/>
      <c r="M756" s="8"/>
    </row>
    <row r="757">
      <c r="A757" s="542"/>
      <c r="B757" s="551" t="str">
        <f t="array" ref="B757">IF(LEN(E757),INDEX('4-All Devices'!AG:AG, MATCH(E757, '4-All Devices'!AF:AF, 0)),"")</f>
        <v/>
      </c>
      <c r="C757" s="549" t="s">
        <v>11186</v>
      </c>
      <c r="D757" s="549" t="s">
        <v>11187</v>
      </c>
      <c r="E757" s="8"/>
      <c r="F757" s="552" t="s">
        <v>11188</v>
      </c>
      <c r="G757" s="8"/>
      <c r="H757" s="8"/>
      <c r="I757" s="8"/>
      <c r="J757" s="546" t="str">
        <f t="array" ref="J757">IF(LEN($E757),INDEX('4-All Devices'!AE:AE, MATCH($E757, '4-All Devices'!AF:AF, 0)),"")</f>
        <v/>
      </c>
      <c r="K757" s="8"/>
      <c r="L757" s="8"/>
      <c r="M757" s="8"/>
    </row>
    <row r="758">
      <c r="A758" s="542"/>
      <c r="B758" s="551" t="str">
        <f t="array" ref="B758">IF(LEN(E758),INDEX('4-All Devices'!AG:AG, MATCH(E758, '4-All Devices'!AF:AF, 0)),"")</f>
        <v/>
      </c>
      <c r="C758" s="549" t="s">
        <v>11186</v>
      </c>
      <c r="D758" s="549" t="s">
        <v>11187</v>
      </c>
      <c r="E758" s="8"/>
      <c r="F758" s="552" t="s">
        <v>11188</v>
      </c>
      <c r="G758" s="8"/>
      <c r="H758" s="8"/>
      <c r="I758" s="8"/>
      <c r="J758" s="546" t="str">
        <f t="array" ref="J758">IF(LEN($E758),INDEX('4-All Devices'!AE:AE, MATCH($E758, '4-All Devices'!AF:AF, 0)),"")</f>
        <v/>
      </c>
      <c r="K758" s="8"/>
      <c r="L758" s="8"/>
      <c r="M758" s="8"/>
    </row>
    <row r="759">
      <c r="A759" s="542"/>
      <c r="B759" s="551" t="str">
        <f t="array" ref="B759">IF(LEN(E759),INDEX('4-All Devices'!AG:AG, MATCH(E759, '4-All Devices'!AF:AF, 0)),"")</f>
        <v/>
      </c>
      <c r="C759" s="549" t="s">
        <v>11186</v>
      </c>
      <c r="D759" s="549" t="s">
        <v>11187</v>
      </c>
      <c r="E759" s="8"/>
      <c r="F759" s="552" t="s">
        <v>11188</v>
      </c>
      <c r="G759" s="8"/>
      <c r="H759" s="8"/>
      <c r="I759" s="8"/>
      <c r="J759" s="546" t="str">
        <f t="array" ref="J759">IF(LEN($E759),INDEX('4-All Devices'!AE:AE, MATCH($E759, '4-All Devices'!AF:AF, 0)),"")</f>
        <v/>
      </c>
      <c r="K759" s="8"/>
      <c r="L759" s="8"/>
      <c r="M759" s="8"/>
    </row>
    <row r="760">
      <c r="A760" s="542"/>
      <c r="B760" s="551" t="str">
        <f t="array" ref="B760">IF(LEN(E760),INDEX('4-All Devices'!AG:AG, MATCH(E760, '4-All Devices'!AF:AF, 0)),"")</f>
        <v/>
      </c>
      <c r="C760" s="549" t="s">
        <v>11186</v>
      </c>
      <c r="D760" s="549" t="s">
        <v>11187</v>
      </c>
      <c r="E760" s="8"/>
      <c r="F760" s="552" t="s">
        <v>11188</v>
      </c>
      <c r="G760" s="8"/>
      <c r="H760" s="8"/>
      <c r="I760" s="8"/>
      <c r="J760" s="546" t="str">
        <f t="array" ref="J760">IF(LEN($E760),INDEX('4-All Devices'!AE:AE, MATCH($E760, '4-All Devices'!AF:AF, 0)),"")</f>
        <v/>
      </c>
      <c r="K760" s="8"/>
      <c r="L760" s="8"/>
      <c r="M760" s="8"/>
    </row>
    <row r="761">
      <c r="A761" s="542"/>
      <c r="B761" s="551" t="str">
        <f t="array" ref="B761">IF(LEN(E761),INDEX('4-All Devices'!AG:AG, MATCH(E761, '4-All Devices'!AF:AF, 0)),"")</f>
        <v/>
      </c>
      <c r="C761" s="549" t="s">
        <v>11186</v>
      </c>
      <c r="D761" s="549" t="s">
        <v>11187</v>
      </c>
      <c r="E761" s="8"/>
      <c r="F761" s="552" t="s">
        <v>11188</v>
      </c>
      <c r="G761" s="8"/>
      <c r="H761" s="8"/>
      <c r="I761" s="8"/>
      <c r="J761" s="546" t="str">
        <f t="array" ref="J761">IF(LEN($E761),INDEX('4-All Devices'!AE:AE, MATCH($E761, '4-All Devices'!AF:AF, 0)),"")</f>
        <v/>
      </c>
      <c r="K761" s="8"/>
      <c r="L761" s="8"/>
      <c r="M761" s="8"/>
    </row>
    <row r="762">
      <c r="A762" s="542"/>
      <c r="B762" s="551" t="str">
        <f t="array" ref="B762">IF(LEN(E762),INDEX('4-All Devices'!AG:AG, MATCH(E762, '4-All Devices'!AF:AF, 0)),"")</f>
        <v/>
      </c>
      <c r="C762" s="549" t="s">
        <v>11186</v>
      </c>
      <c r="D762" s="549" t="s">
        <v>11187</v>
      </c>
      <c r="E762" s="8"/>
      <c r="F762" s="552" t="s">
        <v>11188</v>
      </c>
      <c r="G762" s="8"/>
      <c r="H762" s="8"/>
      <c r="I762" s="8"/>
      <c r="J762" s="546" t="str">
        <f t="array" ref="J762">IF(LEN($E762),INDEX('4-All Devices'!AE:AE, MATCH($E762, '4-All Devices'!AF:AF, 0)),"")</f>
        <v/>
      </c>
      <c r="K762" s="8"/>
      <c r="L762" s="8"/>
      <c r="M762" s="8"/>
    </row>
    <row r="763">
      <c r="A763" s="542"/>
      <c r="B763" s="551" t="str">
        <f t="array" ref="B763">IF(LEN(E763),INDEX('4-All Devices'!AG:AG, MATCH(E763, '4-All Devices'!AF:AF, 0)),"")</f>
        <v/>
      </c>
      <c r="C763" s="549" t="s">
        <v>11186</v>
      </c>
      <c r="D763" s="549" t="s">
        <v>11187</v>
      </c>
      <c r="E763" s="8"/>
      <c r="F763" s="552" t="s">
        <v>11188</v>
      </c>
      <c r="G763" s="8"/>
      <c r="H763" s="8"/>
      <c r="I763" s="8"/>
      <c r="J763" s="546" t="str">
        <f t="array" ref="J763">IF(LEN($E763),INDEX('4-All Devices'!AE:AE, MATCH($E763, '4-All Devices'!AF:AF, 0)),"")</f>
        <v/>
      </c>
      <c r="K763" s="8"/>
      <c r="L763" s="8"/>
      <c r="M763" s="8"/>
    </row>
    <row r="764">
      <c r="A764" s="542"/>
      <c r="B764" s="551" t="str">
        <f t="array" ref="B764">IF(LEN(E764),INDEX('4-All Devices'!AG:AG, MATCH(E764, '4-All Devices'!AF:AF, 0)),"")</f>
        <v/>
      </c>
      <c r="C764" s="549" t="s">
        <v>11186</v>
      </c>
      <c r="D764" s="549" t="s">
        <v>11187</v>
      </c>
      <c r="E764" s="8"/>
      <c r="F764" s="552" t="s">
        <v>11188</v>
      </c>
      <c r="G764" s="8"/>
      <c r="H764" s="8"/>
      <c r="I764" s="8"/>
      <c r="J764" s="546" t="str">
        <f t="array" ref="J764">IF(LEN($E764),INDEX('4-All Devices'!AE:AE, MATCH($E764, '4-All Devices'!AF:AF, 0)),"")</f>
        <v/>
      </c>
      <c r="K764" s="8"/>
      <c r="L764" s="8"/>
      <c r="M764" s="8"/>
    </row>
    <row r="765">
      <c r="A765" s="542"/>
      <c r="B765" s="551" t="str">
        <f t="array" ref="B765">IF(LEN(E765),INDEX('4-All Devices'!AG:AG, MATCH(E765, '4-All Devices'!AF:AF, 0)),"")</f>
        <v/>
      </c>
      <c r="C765" s="549" t="s">
        <v>11186</v>
      </c>
      <c r="D765" s="549" t="s">
        <v>11187</v>
      </c>
      <c r="E765" s="8"/>
      <c r="F765" s="552" t="s">
        <v>11188</v>
      </c>
      <c r="G765" s="8"/>
      <c r="H765" s="8"/>
      <c r="I765" s="8"/>
      <c r="J765" s="546" t="str">
        <f t="array" ref="J765">IF(LEN($E765),INDEX('4-All Devices'!AE:AE, MATCH($E765, '4-All Devices'!AF:AF, 0)),"")</f>
        <v/>
      </c>
      <c r="K765" s="8"/>
      <c r="L765" s="8"/>
      <c r="M765" s="8"/>
    </row>
    <row r="766">
      <c r="A766" s="542"/>
      <c r="B766" s="551" t="str">
        <f t="array" ref="B766">IF(LEN(E766),INDEX('4-All Devices'!AG:AG, MATCH(E766, '4-All Devices'!AF:AF, 0)),"")</f>
        <v/>
      </c>
      <c r="C766" s="549" t="s">
        <v>11186</v>
      </c>
      <c r="D766" s="549" t="s">
        <v>11187</v>
      </c>
      <c r="E766" s="8"/>
      <c r="F766" s="552" t="s">
        <v>11188</v>
      </c>
      <c r="G766" s="8"/>
      <c r="H766" s="8"/>
      <c r="I766" s="8"/>
      <c r="J766" s="546" t="str">
        <f t="array" ref="J766">IF(LEN($E766),INDEX('4-All Devices'!AE:AE, MATCH($E766, '4-All Devices'!AF:AF, 0)),"")</f>
        <v/>
      </c>
      <c r="K766" s="8"/>
      <c r="L766" s="8"/>
      <c r="M766" s="8"/>
    </row>
    <row r="767">
      <c r="A767" s="542"/>
      <c r="B767" s="551" t="str">
        <f t="array" ref="B767">IF(LEN(E767),INDEX('4-All Devices'!AG:AG, MATCH(E767, '4-All Devices'!AF:AF, 0)),"")</f>
        <v/>
      </c>
      <c r="C767" s="549" t="s">
        <v>11186</v>
      </c>
      <c r="D767" s="549" t="s">
        <v>11187</v>
      </c>
      <c r="E767" s="8"/>
      <c r="F767" s="552" t="s">
        <v>11188</v>
      </c>
      <c r="G767" s="8"/>
      <c r="H767" s="8"/>
      <c r="I767" s="8"/>
      <c r="J767" s="546" t="str">
        <f t="array" ref="J767">IF(LEN($E767),INDEX('4-All Devices'!AE:AE, MATCH($E767, '4-All Devices'!AF:AF, 0)),"")</f>
        <v/>
      </c>
      <c r="K767" s="8"/>
      <c r="L767" s="8"/>
      <c r="M767" s="8"/>
    </row>
    <row r="768">
      <c r="A768" s="542"/>
      <c r="B768" s="551" t="str">
        <f t="array" ref="B768">IF(LEN(E768),INDEX('4-All Devices'!AG:AG, MATCH(E768, '4-All Devices'!AF:AF, 0)),"")</f>
        <v/>
      </c>
      <c r="C768" s="549" t="s">
        <v>11186</v>
      </c>
      <c r="D768" s="549" t="s">
        <v>11187</v>
      </c>
      <c r="E768" s="8"/>
      <c r="F768" s="552" t="s">
        <v>11188</v>
      </c>
      <c r="G768" s="8"/>
      <c r="H768" s="8"/>
      <c r="I768" s="8"/>
      <c r="J768" s="546" t="str">
        <f t="array" ref="J768">IF(LEN($E768),INDEX('4-All Devices'!AE:AE, MATCH($E768, '4-All Devices'!AF:AF, 0)),"")</f>
        <v/>
      </c>
      <c r="K768" s="8"/>
      <c r="L768" s="8"/>
      <c r="M768" s="8"/>
    </row>
    <row r="769">
      <c r="A769" s="542"/>
      <c r="B769" s="551" t="str">
        <f t="array" ref="B769">IF(LEN(E769),INDEX('4-All Devices'!AG:AG, MATCH(E769, '4-All Devices'!AF:AF, 0)),"")</f>
        <v/>
      </c>
      <c r="C769" s="549" t="s">
        <v>11186</v>
      </c>
      <c r="D769" s="549" t="s">
        <v>11187</v>
      </c>
      <c r="E769" s="8"/>
      <c r="F769" s="552" t="s">
        <v>11188</v>
      </c>
      <c r="G769" s="8"/>
      <c r="H769" s="8"/>
      <c r="I769" s="8"/>
      <c r="J769" s="546" t="str">
        <f t="array" ref="J769">IF(LEN($E769),INDEX('4-All Devices'!AE:AE, MATCH($E769, '4-All Devices'!AF:AF, 0)),"")</f>
        <v/>
      </c>
      <c r="K769" s="8"/>
      <c r="L769" s="8"/>
      <c r="M769" s="8"/>
    </row>
    <row r="770">
      <c r="A770" s="542"/>
      <c r="B770" s="551" t="str">
        <f t="array" ref="B770">IF(LEN(E770),INDEX('4-All Devices'!AG:AG, MATCH(E770, '4-All Devices'!AF:AF, 0)),"")</f>
        <v/>
      </c>
      <c r="C770" s="549" t="s">
        <v>11186</v>
      </c>
      <c r="D770" s="549" t="s">
        <v>11187</v>
      </c>
      <c r="E770" s="8"/>
      <c r="F770" s="552" t="s">
        <v>11188</v>
      </c>
      <c r="G770" s="8"/>
      <c r="H770" s="8"/>
      <c r="I770" s="8"/>
      <c r="J770" s="546" t="str">
        <f t="array" ref="J770">IF(LEN($E770),INDEX('4-All Devices'!AE:AE, MATCH($E770, '4-All Devices'!AF:AF, 0)),"")</f>
        <v/>
      </c>
      <c r="K770" s="8"/>
      <c r="L770" s="8"/>
      <c r="M770" s="8"/>
    </row>
    <row r="771">
      <c r="A771" s="542"/>
      <c r="B771" s="551" t="str">
        <f t="array" ref="B771">IF(LEN(E771),INDEX('4-All Devices'!AG:AG, MATCH(E771, '4-All Devices'!AF:AF, 0)),"")</f>
        <v/>
      </c>
      <c r="C771" s="549" t="s">
        <v>11186</v>
      </c>
      <c r="D771" s="549" t="s">
        <v>11187</v>
      </c>
      <c r="E771" s="8"/>
      <c r="F771" s="552" t="s">
        <v>11188</v>
      </c>
      <c r="G771" s="8"/>
      <c r="H771" s="8"/>
      <c r="I771" s="8"/>
      <c r="J771" s="546" t="str">
        <f t="array" ref="J771">IF(LEN($E771),INDEX('4-All Devices'!AE:AE, MATCH($E771, '4-All Devices'!AF:AF, 0)),"")</f>
        <v/>
      </c>
      <c r="K771" s="8"/>
      <c r="L771" s="8"/>
      <c r="M771" s="8"/>
    </row>
    <row r="772">
      <c r="A772" s="542"/>
      <c r="B772" s="551" t="str">
        <f t="array" ref="B772">IF(LEN(E772),INDEX('4-All Devices'!AG:AG, MATCH(E772, '4-All Devices'!AF:AF, 0)),"")</f>
        <v/>
      </c>
      <c r="C772" s="549" t="s">
        <v>11186</v>
      </c>
      <c r="D772" s="549" t="s">
        <v>11187</v>
      </c>
      <c r="E772" s="8"/>
      <c r="F772" s="552" t="s">
        <v>11188</v>
      </c>
      <c r="G772" s="8"/>
      <c r="H772" s="8"/>
      <c r="I772" s="8"/>
      <c r="J772" s="546" t="str">
        <f t="array" ref="J772">IF(LEN($E772),INDEX('4-All Devices'!AE:AE, MATCH($E772, '4-All Devices'!AF:AF, 0)),"")</f>
        <v/>
      </c>
      <c r="K772" s="8"/>
      <c r="L772" s="8"/>
      <c r="M772" s="8"/>
    </row>
    <row r="773">
      <c r="A773" s="542"/>
      <c r="B773" s="551" t="str">
        <f t="array" ref="B773">IF(LEN(E773),INDEX('4-All Devices'!AG:AG, MATCH(E773, '4-All Devices'!AF:AF, 0)),"")</f>
        <v/>
      </c>
      <c r="C773" s="549" t="s">
        <v>11186</v>
      </c>
      <c r="D773" s="549" t="s">
        <v>11187</v>
      </c>
      <c r="E773" s="8"/>
      <c r="F773" s="552" t="s">
        <v>11188</v>
      </c>
      <c r="G773" s="8"/>
      <c r="H773" s="8"/>
      <c r="I773" s="8"/>
      <c r="J773" s="546" t="str">
        <f t="array" ref="J773">IF(LEN($E773),INDEX('4-All Devices'!AE:AE, MATCH($E773, '4-All Devices'!AF:AF, 0)),"")</f>
        <v/>
      </c>
      <c r="K773" s="8"/>
      <c r="L773" s="8"/>
      <c r="M773" s="8"/>
    </row>
    <row r="774">
      <c r="A774" s="542"/>
      <c r="B774" s="551" t="str">
        <f t="array" ref="B774">IF(LEN(E774),INDEX('4-All Devices'!AG:AG, MATCH(E774, '4-All Devices'!AF:AF, 0)),"")</f>
        <v/>
      </c>
      <c r="C774" s="549" t="s">
        <v>11186</v>
      </c>
      <c r="D774" s="549" t="s">
        <v>11187</v>
      </c>
      <c r="E774" s="8"/>
      <c r="F774" s="552" t="s">
        <v>11188</v>
      </c>
      <c r="G774" s="8"/>
      <c r="H774" s="8"/>
      <c r="I774" s="8"/>
      <c r="J774" s="546" t="str">
        <f t="array" ref="J774">IF(LEN($E774),INDEX('4-All Devices'!AE:AE, MATCH($E774, '4-All Devices'!AF:AF, 0)),"")</f>
        <v/>
      </c>
      <c r="K774" s="8"/>
      <c r="L774" s="8"/>
      <c r="M774" s="8"/>
    </row>
    <row r="775">
      <c r="A775" s="542"/>
      <c r="B775" s="551" t="str">
        <f t="array" ref="B775">IF(LEN(E775),INDEX('4-All Devices'!AG:AG, MATCH(E775, '4-All Devices'!AF:AF, 0)),"")</f>
        <v/>
      </c>
      <c r="C775" s="549" t="s">
        <v>11186</v>
      </c>
      <c r="D775" s="549" t="s">
        <v>11187</v>
      </c>
      <c r="E775" s="8"/>
      <c r="F775" s="552" t="s">
        <v>11188</v>
      </c>
      <c r="G775" s="8"/>
      <c r="H775" s="8"/>
      <c r="I775" s="8"/>
      <c r="J775" s="546" t="str">
        <f t="array" ref="J775">IF(LEN($E775),INDEX('4-All Devices'!AE:AE, MATCH($E775, '4-All Devices'!AF:AF, 0)),"")</f>
        <v/>
      </c>
      <c r="K775" s="8"/>
      <c r="L775" s="8"/>
      <c r="M775" s="8"/>
    </row>
    <row r="776">
      <c r="A776" s="542"/>
      <c r="B776" s="551" t="str">
        <f t="array" ref="B776">IF(LEN(E776),INDEX('4-All Devices'!AG:AG, MATCH(E776, '4-All Devices'!AF:AF, 0)),"")</f>
        <v/>
      </c>
      <c r="C776" s="549" t="s">
        <v>11186</v>
      </c>
      <c r="D776" s="549" t="s">
        <v>11187</v>
      </c>
      <c r="E776" s="8"/>
      <c r="F776" s="552" t="s">
        <v>11188</v>
      </c>
      <c r="G776" s="8"/>
      <c r="H776" s="8"/>
      <c r="I776" s="8"/>
      <c r="J776" s="546" t="str">
        <f t="array" ref="J776">IF(LEN($E776),INDEX('4-All Devices'!AE:AE, MATCH($E776, '4-All Devices'!AF:AF, 0)),"")</f>
        <v/>
      </c>
      <c r="K776" s="8"/>
      <c r="L776" s="8"/>
      <c r="M776" s="8"/>
    </row>
    <row r="777">
      <c r="A777" s="542"/>
      <c r="B777" s="551" t="str">
        <f t="array" ref="B777">IF(LEN(E777),INDEX('4-All Devices'!AG:AG, MATCH(E777, '4-All Devices'!AF:AF, 0)),"")</f>
        <v/>
      </c>
      <c r="C777" s="549" t="s">
        <v>11186</v>
      </c>
      <c r="D777" s="549" t="s">
        <v>11187</v>
      </c>
      <c r="E777" s="8"/>
      <c r="F777" s="552" t="s">
        <v>11188</v>
      </c>
      <c r="G777" s="8"/>
      <c r="H777" s="8"/>
      <c r="I777" s="8"/>
      <c r="J777" s="546" t="str">
        <f t="array" ref="J777">IF(LEN($E777),INDEX('4-All Devices'!AE:AE, MATCH($E777, '4-All Devices'!AF:AF, 0)),"")</f>
        <v/>
      </c>
      <c r="K777" s="8"/>
      <c r="L777" s="8"/>
      <c r="M777" s="8"/>
    </row>
    <row r="778">
      <c r="A778" s="542"/>
      <c r="B778" s="551" t="str">
        <f t="array" ref="B778">IF(LEN(E778),INDEX('4-All Devices'!AG:AG, MATCH(E778, '4-All Devices'!AF:AF, 0)),"")</f>
        <v/>
      </c>
      <c r="C778" s="549" t="s">
        <v>11186</v>
      </c>
      <c r="D778" s="549" t="s">
        <v>11187</v>
      </c>
      <c r="E778" s="8"/>
      <c r="F778" s="552" t="s">
        <v>11188</v>
      </c>
      <c r="G778" s="8"/>
      <c r="H778" s="8"/>
      <c r="I778" s="8"/>
      <c r="J778" s="546" t="str">
        <f t="array" ref="J778">IF(LEN($E778),INDEX('4-All Devices'!AE:AE, MATCH($E778, '4-All Devices'!AF:AF, 0)),"")</f>
        <v/>
      </c>
      <c r="K778" s="8"/>
      <c r="L778" s="8"/>
      <c r="M778" s="8"/>
    </row>
    <row r="779">
      <c r="A779" s="542"/>
      <c r="B779" s="551" t="str">
        <f t="array" ref="B779">IF(LEN(E779),INDEX('4-All Devices'!AG:AG, MATCH(E779, '4-All Devices'!AF:AF, 0)),"")</f>
        <v/>
      </c>
      <c r="C779" s="549" t="s">
        <v>11186</v>
      </c>
      <c r="D779" s="549" t="s">
        <v>11187</v>
      </c>
      <c r="E779" s="8"/>
      <c r="F779" s="552" t="s">
        <v>11188</v>
      </c>
      <c r="G779" s="8"/>
      <c r="H779" s="8"/>
      <c r="I779" s="8"/>
      <c r="J779" s="546" t="str">
        <f t="array" ref="J779">IF(LEN($E779),INDEX('4-All Devices'!AE:AE, MATCH($E779, '4-All Devices'!AF:AF, 0)),"")</f>
        <v/>
      </c>
      <c r="K779" s="8"/>
      <c r="L779" s="8"/>
      <c r="M779" s="8"/>
    </row>
    <row r="780">
      <c r="A780" s="542"/>
      <c r="B780" s="551" t="str">
        <f t="array" ref="B780">IF(LEN(E780),INDEX('4-All Devices'!AG:AG, MATCH(E780, '4-All Devices'!AF:AF, 0)),"")</f>
        <v/>
      </c>
      <c r="C780" s="549" t="s">
        <v>11186</v>
      </c>
      <c r="D780" s="549" t="s">
        <v>11187</v>
      </c>
      <c r="E780" s="8"/>
      <c r="F780" s="552" t="s">
        <v>11188</v>
      </c>
      <c r="G780" s="8"/>
      <c r="H780" s="8"/>
      <c r="I780" s="8"/>
      <c r="J780" s="546" t="str">
        <f t="array" ref="J780">IF(LEN($E780),INDEX('4-All Devices'!AE:AE, MATCH($E780, '4-All Devices'!AF:AF, 0)),"")</f>
        <v/>
      </c>
      <c r="K780" s="8"/>
      <c r="L780" s="8"/>
      <c r="M780" s="8"/>
    </row>
    <row r="781">
      <c r="A781" s="542"/>
      <c r="B781" s="551" t="str">
        <f t="array" ref="B781">IF(LEN(E781),INDEX('4-All Devices'!AG:AG, MATCH(E781, '4-All Devices'!AF:AF, 0)),"")</f>
        <v/>
      </c>
      <c r="C781" s="549" t="s">
        <v>11186</v>
      </c>
      <c r="D781" s="549" t="s">
        <v>11187</v>
      </c>
      <c r="E781" s="8"/>
      <c r="F781" s="552" t="s">
        <v>11188</v>
      </c>
      <c r="G781" s="8"/>
      <c r="H781" s="8"/>
      <c r="I781" s="8"/>
      <c r="J781" s="546" t="str">
        <f t="array" ref="J781">IF(LEN($E781),INDEX('4-All Devices'!AE:AE, MATCH($E781, '4-All Devices'!AF:AF, 0)),"")</f>
        <v/>
      </c>
      <c r="K781" s="8"/>
      <c r="L781" s="8"/>
      <c r="M781" s="8"/>
    </row>
    <row r="782">
      <c r="A782" s="542"/>
      <c r="B782" s="551" t="str">
        <f t="array" ref="B782">IF(LEN(E782),INDEX('4-All Devices'!AG:AG, MATCH(E782, '4-All Devices'!AF:AF, 0)),"")</f>
        <v/>
      </c>
      <c r="C782" s="549" t="s">
        <v>11186</v>
      </c>
      <c r="D782" s="549" t="s">
        <v>11187</v>
      </c>
      <c r="E782" s="8"/>
      <c r="F782" s="552" t="s">
        <v>11188</v>
      </c>
      <c r="G782" s="8"/>
      <c r="H782" s="8"/>
      <c r="I782" s="8"/>
      <c r="J782" s="546" t="str">
        <f t="array" ref="J782">IF(LEN($E782),INDEX('4-All Devices'!AE:AE, MATCH($E782, '4-All Devices'!AF:AF, 0)),"")</f>
        <v/>
      </c>
      <c r="K782" s="8"/>
      <c r="L782" s="8"/>
      <c r="M782" s="8"/>
    </row>
    <row r="783">
      <c r="A783" s="542"/>
      <c r="B783" s="551" t="str">
        <f t="array" ref="B783">IF(LEN(E783),INDEX('4-All Devices'!AG:AG, MATCH(E783, '4-All Devices'!AF:AF, 0)),"")</f>
        <v/>
      </c>
      <c r="C783" s="549" t="s">
        <v>11186</v>
      </c>
      <c r="D783" s="549" t="s">
        <v>11187</v>
      </c>
      <c r="E783" s="8"/>
      <c r="F783" s="552" t="s">
        <v>11188</v>
      </c>
      <c r="G783" s="8"/>
      <c r="H783" s="8"/>
      <c r="I783" s="8"/>
      <c r="J783" s="546" t="str">
        <f t="array" ref="J783">IF(LEN($E783),INDEX('4-All Devices'!AE:AE, MATCH($E783, '4-All Devices'!AF:AF, 0)),"")</f>
        <v/>
      </c>
      <c r="K783" s="8"/>
      <c r="L783" s="8"/>
      <c r="M783" s="8"/>
    </row>
    <row r="784">
      <c r="A784" s="542"/>
      <c r="B784" s="551" t="str">
        <f t="array" ref="B784">IF(LEN(E784),INDEX('4-All Devices'!AG:AG, MATCH(E784, '4-All Devices'!AF:AF, 0)),"")</f>
        <v/>
      </c>
      <c r="C784" s="549" t="s">
        <v>11186</v>
      </c>
      <c r="D784" s="549" t="s">
        <v>11187</v>
      </c>
      <c r="E784" s="8"/>
      <c r="F784" s="552" t="s">
        <v>11188</v>
      </c>
      <c r="G784" s="8"/>
      <c r="H784" s="8"/>
      <c r="I784" s="8"/>
      <c r="J784" s="546" t="str">
        <f t="array" ref="J784">IF(LEN($E784),INDEX('4-All Devices'!AE:AE, MATCH($E784, '4-All Devices'!AF:AF, 0)),"")</f>
        <v/>
      </c>
      <c r="K784" s="8"/>
      <c r="L784" s="8"/>
      <c r="M784" s="8"/>
    </row>
    <row r="785">
      <c r="A785" s="542"/>
      <c r="B785" s="551" t="str">
        <f t="array" ref="B785">IF(LEN(E785),INDEX('4-All Devices'!AG:AG, MATCH(E785, '4-All Devices'!AF:AF, 0)),"")</f>
        <v/>
      </c>
      <c r="C785" s="549" t="s">
        <v>11186</v>
      </c>
      <c r="D785" s="549" t="s">
        <v>11187</v>
      </c>
      <c r="E785" s="8"/>
      <c r="F785" s="552" t="s">
        <v>11188</v>
      </c>
      <c r="G785" s="8"/>
      <c r="H785" s="8"/>
      <c r="I785" s="8"/>
      <c r="J785" s="546" t="str">
        <f t="array" ref="J785">IF(LEN($E785),INDEX('4-All Devices'!AE:AE, MATCH($E785, '4-All Devices'!AF:AF, 0)),"")</f>
        <v/>
      </c>
      <c r="K785" s="8"/>
      <c r="L785" s="8"/>
      <c r="M785" s="8"/>
    </row>
    <row r="786">
      <c r="A786" s="542"/>
      <c r="B786" s="551" t="str">
        <f t="array" ref="B786">IF(LEN(E786),INDEX('4-All Devices'!AG:AG, MATCH(E786, '4-All Devices'!AF:AF, 0)),"")</f>
        <v/>
      </c>
      <c r="C786" s="549" t="s">
        <v>11186</v>
      </c>
      <c r="D786" s="549" t="s">
        <v>11187</v>
      </c>
      <c r="E786" s="8"/>
      <c r="F786" s="552" t="s">
        <v>11188</v>
      </c>
      <c r="G786" s="8"/>
      <c r="H786" s="8"/>
      <c r="I786" s="8"/>
      <c r="J786" s="546" t="str">
        <f t="array" ref="J786">IF(LEN($E786),INDEX('4-All Devices'!AE:AE, MATCH($E786, '4-All Devices'!AF:AF, 0)),"")</f>
        <v/>
      </c>
      <c r="K786" s="8"/>
      <c r="L786" s="8"/>
      <c r="M786" s="8"/>
    </row>
    <row r="787">
      <c r="A787" s="542"/>
      <c r="B787" s="551" t="str">
        <f t="array" ref="B787">IF(LEN(E787),INDEX('4-All Devices'!AG:AG, MATCH(E787, '4-All Devices'!AF:AF, 0)),"")</f>
        <v/>
      </c>
      <c r="C787" s="549" t="s">
        <v>11186</v>
      </c>
      <c r="D787" s="549" t="s">
        <v>11187</v>
      </c>
      <c r="E787" s="8"/>
      <c r="F787" s="552" t="s">
        <v>11188</v>
      </c>
      <c r="G787" s="8"/>
      <c r="H787" s="8"/>
      <c r="I787" s="8"/>
      <c r="J787" s="546" t="str">
        <f t="array" ref="J787">IF(LEN($E787),INDEX('4-All Devices'!AE:AE, MATCH($E787, '4-All Devices'!AF:AF, 0)),"")</f>
        <v/>
      </c>
      <c r="K787" s="8"/>
      <c r="L787" s="8"/>
      <c r="M787" s="8"/>
    </row>
    <row r="788">
      <c r="A788" s="542"/>
      <c r="B788" s="551" t="str">
        <f t="array" ref="B788">IF(LEN(E788),INDEX('4-All Devices'!AG:AG, MATCH(E788, '4-All Devices'!AF:AF, 0)),"")</f>
        <v/>
      </c>
      <c r="C788" s="549" t="s">
        <v>11186</v>
      </c>
      <c r="D788" s="549" t="s">
        <v>11187</v>
      </c>
      <c r="E788" s="8"/>
      <c r="F788" s="552" t="s">
        <v>11188</v>
      </c>
      <c r="G788" s="8"/>
      <c r="H788" s="8"/>
      <c r="I788" s="8"/>
      <c r="J788" s="546" t="str">
        <f t="array" ref="J788">IF(LEN($E788),INDEX('4-All Devices'!AE:AE, MATCH($E788, '4-All Devices'!AF:AF, 0)),"")</f>
        <v/>
      </c>
      <c r="K788" s="8"/>
      <c r="L788" s="8"/>
      <c r="M788" s="8"/>
    </row>
    <row r="789">
      <c r="A789" s="542"/>
      <c r="B789" s="551" t="str">
        <f t="array" ref="B789">IF(LEN(E789),INDEX('4-All Devices'!AG:AG, MATCH(E789, '4-All Devices'!AF:AF, 0)),"")</f>
        <v/>
      </c>
      <c r="C789" s="549" t="s">
        <v>11186</v>
      </c>
      <c r="D789" s="549" t="s">
        <v>11187</v>
      </c>
      <c r="E789" s="8"/>
      <c r="F789" s="552" t="s">
        <v>11188</v>
      </c>
      <c r="G789" s="8"/>
      <c r="H789" s="8"/>
      <c r="I789" s="8"/>
      <c r="J789" s="546" t="str">
        <f t="array" ref="J789">IF(LEN($E789),INDEX('4-All Devices'!AE:AE, MATCH($E789, '4-All Devices'!AF:AF, 0)),"")</f>
        <v/>
      </c>
      <c r="K789" s="8"/>
      <c r="L789" s="8"/>
      <c r="M789" s="8"/>
    </row>
    <row r="790">
      <c r="A790" s="542"/>
      <c r="B790" s="551" t="str">
        <f t="array" ref="B790">IF(LEN(E790),INDEX('4-All Devices'!AG:AG, MATCH(E790, '4-All Devices'!AF:AF, 0)),"")</f>
        <v/>
      </c>
      <c r="C790" s="549" t="s">
        <v>11186</v>
      </c>
      <c r="D790" s="549" t="s">
        <v>11187</v>
      </c>
      <c r="E790" s="8"/>
      <c r="F790" s="552" t="s">
        <v>11188</v>
      </c>
      <c r="G790" s="8"/>
      <c r="H790" s="8"/>
      <c r="I790" s="8"/>
      <c r="J790" s="546" t="str">
        <f t="array" ref="J790">IF(LEN($E790),INDEX('4-All Devices'!AE:AE, MATCH($E790, '4-All Devices'!AF:AF, 0)),"")</f>
        <v/>
      </c>
      <c r="K790" s="8"/>
      <c r="L790" s="8"/>
      <c r="M790" s="8"/>
    </row>
    <row r="791">
      <c r="A791" s="542"/>
      <c r="B791" s="551" t="str">
        <f t="array" ref="B791">IF(LEN(E791),INDEX('4-All Devices'!AG:AG, MATCH(E791, '4-All Devices'!AF:AF, 0)),"")</f>
        <v/>
      </c>
      <c r="C791" s="549" t="s">
        <v>11186</v>
      </c>
      <c r="D791" s="549" t="s">
        <v>11187</v>
      </c>
      <c r="E791" s="8"/>
      <c r="F791" s="552" t="s">
        <v>11188</v>
      </c>
      <c r="G791" s="8"/>
      <c r="H791" s="8"/>
      <c r="I791" s="8"/>
      <c r="J791" s="546" t="str">
        <f t="array" ref="J791">IF(LEN($E791),INDEX('4-All Devices'!AE:AE, MATCH($E791, '4-All Devices'!AF:AF, 0)),"")</f>
        <v/>
      </c>
      <c r="K791" s="8"/>
      <c r="L791" s="8"/>
      <c r="M791" s="8"/>
    </row>
    <row r="792">
      <c r="A792" s="542"/>
      <c r="B792" s="551" t="str">
        <f t="array" ref="B792">IF(LEN(E792),INDEX('4-All Devices'!AG:AG, MATCH(E792, '4-All Devices'!AF:AF, 0)),"")</f>
        <v/>
      </c>
      <c r="C792" s="549" t="s">
        <v>11186</v>
      </c>
      <c r="D792" s="549" t="s">
        <v>11187</v>
      </c>
      <c r="E792" s="8"/>
      <c r="F792" s="552" t="s">
        <v>11188</v>
      </c>
      <c r="G792" s="8"/>
      <c r="H792" s="8"/>
      <c r="I792" s="8"/>
      <c r="J792" s="546" t="str">
        <f t="array" ref="J792">IF(LEN($E792),INDEX('4-All Devices'!AE:AE, MATCH($E792, '4-All Devices'!AF:AF, 0)),"")</f>
        <v/>
      </c>
      <c r="K792" s="8"/>
      <c r="L792" s="8"/>
      <c r="M792" s="8"/>
    </row>
    <row r="793">
      <c r="A793" s="542"/>
      <c r="B793" s="551" t="str">
        <f t="array" ref="B793">IF(LEN(E793),INDEX('4-All Devices'!AG:AG, MATCH(E793, '4-All Devices'!AF:AF, 0)),"")</f>
        <v/>
      </c>
      <c r="C793" s="549" t="s">
        <v>11186</v>
      </c>
      <c r="D793" s="549" t="s">
        <v>11187</v>
      </c>
      <c r="E793" s="8"/>
      <c r="F793" s="552" t="s">
        <v>11188</v>
      </c>
      <c r="G793" s="8"/>
      <c r="H793" s="8"/>
      <c r="I793" s="8"/>
      <c r="J793" s="546" t="str">
        <f t="array" ref="J793">IF(LEN($E793),INDEX('4-All Devices'!AE:AE, MATCH($E793, '4-All Devices'!AF:AF, 0)),"")</f>
        <v/>
      </c>
      <c r="K793" s="8"/>
      <c r="L793" s="8"/>
      <c r="M793" s="8"/>
    </row>
    <row r="794">
      <c r="A794" s="542"/>
      <c r="B794" s="551" t="str">
        <f t="array" ref="B794">IF(LEN(E794),INDEX('4-All Devices'!AG:AG, MATCH(E794, '4-All Devices'!AF:AF, 0)),"")</f>
        <v/>
      </c>
      <c r="C794" s="549" t="s">
        <v>11186</v>
      </c>
      <c r="D794" s="549" t="s">
        <v>11187</v>
      </c>
      <c r="E794" s="8"/>
      <c r="F794" s="552" t="s">
        <v>11188</v>
      </c>
      <c r="G794" s="8"/>
      <c r="H794" s="8"/>
      <c r="I794" s="8"/>
      <c r="J794" s="546" t="str">
        <f t="array" ref="J794">IF(LEN($E794),INDEX('4-All Devices'!AE:AE, MATCH($E794, '4-All Devices'!AF:AF, 0)),"")</f>
        <v/>
      </c>
      <c r="K794" s="8"/>
      <c r="L794" s="8"/>
      <c r="M794" s="8"/>
    </row>
    <row r="795">
      <c r="A795" s="542"/>
      <c r="B795" s="551" t="str">
        <f t="array" ref="B795">IF(LEN(E795),INDEX('4-All Devices'!AG:AG, MATCH(E795, '4-All Devices'!AF:AF, 0)),"")</f>
        <v/>
      </c>
      <c r="C795" s="549" t="s">
        <v>11186</v>
      </c>
      <c r="D795" s="549" t="s">
        <v>11187</v>
      </c>
      <c r="E795" s="8"/>
      <c r="F795" s="552" t="s">
        <v>11188</v>
      </c>
      <c r="G795" s="8"/>
      <c r="H795" s="8"/>
      <c r="I795" s="8"/>
      <c r="J795" s="546" t="str">
        <f t="array" ref="J795">IF(LEN($E795),INDEX('4-All Devices'!AE:AE, MATCH($E795, '4-All Devices'!AF:AF, 0)),"")</f>
        <v/>
      </c>
      <c r="K795" s="8"/>
      <c r="L795" s="8"/>
      <c r="M795" s="8"/>
    </row>
    <row r="796">
      <c r="A796" s="542"/>
      <c r="B796" s="551" t="str">
        <f t="array" ref="B796">IF(LEN(E796),INDEX('4-All Devices'!AG:AG, MATCH(E796, '4-All Devices'!AF:AF, 0)),"")</f>
        <v/>
      </c>
      <c r="C796" s="549" t="s">
        <v>11186</v>
      </c>
      <c r="D796" s="549" t="s">
        <v>11187</v>
      </c>
      <c r="E796" s="8"/>
      <c r="F796" s="552" t="s">
        <v>11188</v>
      </c>
      <c r="G796" s="8"/>
      <c r="H796" s="8"/>
      <c r="I796" s="8"/>
      <c r="J796" s="546" t="str">
        <f t="array" ref="J796">IF(LEN($E796),INDEX('4-All Devices'!AE:AE, MATCH($E796, '4-All Devices'!AF:AF, 0)),"")</f>
        <v/>
      </c>
      <c r="K796" s="8"/>
      <c r="L796" s="8"/>
      <c r="M796" s="8"/>
    </row>
    <row r="797">
      <c r="A797" s="542"/>
      <c r="B797" s="551" t="str">
        <f t="array" ref="B797">IF(LEN(E797),INDEX('4-All Devices'!AG:AG, MATCH(E797, '4-All Devices'!AF:AF, 0)),"")</f>
        <v/>
      </c>
      <c r="C797" s="549" t="s">
        <v>11186</v>
      </c>
      <c r="D797" s="549" t="s">
        <v>11187</v>
      </c>
      <c r="E797" s="8"/>
      <c r="F797" s="552" t="s">
        <v>11188</v>
      </c>
      <c r="G797" s="8"/>
      <c r="H797" s="8"/>
      <c r="I797" s="8"/>
      <c r="J797" s="546" t="str">
        <f t="array" ref="J797">IF(LEN($E797),INDEX('4-All Devices'!AE:AE, MATCH($E797, '4-All Devices'!AF:AF, 0)),"")</f>
        <v/>
      </c>
      <c r="K797" s="8"/>
      <c r="L797" s="8"/>
      <c r="M797" s="8"/>
    </row>
    <row r="798">
      <c r="A798" s="542"/>
      <c r="B798" s="551" t="str">
        <f t="array" ref="B798">IF(LEN(E798),INDEX('4-All Devices'!AG:AG, MATCH(E798, '4-All Devices'!AF:AF, 0)),"")</f>
        <v/>
      </c>
      <c r="C798" s="549" t="s">
        <v>11186</v>
      </c>
      <c r="D798" s="549" t="s">
        <v>11187</v>
      </c>
      <c r="E798" s="8"/>
      <c r="F798" s="552" t="s">
        <v>11188</v>
      </c>
      <c r="G798" s="8"/>
      <c r="H798" s="8"/>
      <c r="I798" s="8"/>
      <c r="J798" s="546" t="str">
        <f t="array" ref="J798">IF(LEN($E798),INDEX('4-All Devices'!AE:AE, MATCH($E798, '4-All Devices'!AF:AF, 0)),"")</f>
        <v/>
      </c>
      <c r="K798" s="8"/>
      <c r="L798" s="8"/>
      <c r="M798" s="8"/>
    </row>
    <row r="799">
      <c r="A799" s="542"/>
      <c r="B799" s="551" t="str">
        <f t="array" ref="B799">IF(LEN(E799),INDEX('4-All Devices'!AG:AG, MATCH(E799, '4-All Devices'!AF:AF, 0)),"")</f>
        <v/>
      </c>
      <c r="C799" s="549" t="s">
        <v>11186</v>
      </c>
      <c r="D799" s="549" t="s">
        <v>11187</v>
      </c>
      <c r="E799" s="8"/>
      <c r="F799" s="552" t="s">
        <v>11188</v>
      </c>
      <c r="G799" s="8"/>
      <c r="H799" s="8"/>
      <c r="I799" s="8"/>
      <c r="J799" s="546" t="str">
        <f t="array" ref="J799">IF(LEN($E799),INDEX('4-All Devices'!AE:AE, MATCH($E799, '4-All Devices'!AF:AF, 0)),"")</f>
        <v/>
      </c>
      <c r="K799" s="8"/>
      <c r="L799" s="8"/>
      <c r="M799" s="8"/>
    </row>
    <row r="800">
      <c r="A800" s="542"/>
      <c r="B800" s="551" t="str">
        <f t="array" ref="B800">IF(LEN(E800),INDEX('4-All Devices'!AG:AG, MATCH(E800, '4-All Devices'!AF:AF, 0)),"")</f>
        <v/>
      </c>
      <c r="C800" s="549" t="s">
        <v>11186</v>
      </c>
      <c r="D800" s="549" t="s">
        <v>11187</v>
      </c>
      <c r="E800" s="8"/>
      <c r="F800" s="552" t="s">
        <v>11188</v>
      </c>
      <c r="G800" s="8"/>
      <c r="H800" s="8"/>
      <c r="I800" s="8"/>
      <c r="J800" s="546" t="str">
        <f t="array" ref="J800">IF(LEN($E800),INDEX('4-All Devices'!AE:AE, MATCH($E800, '4-All Devices'!AF:AF, 0)),"")</f>
        <v/>
      </c>
      <c r="K800" s="8"/>
      <c r="L800" s="8"/>
      <c r="M800" s="8"/>
    </row>
    <row r="801">
      <c r="A801" s="542"/>
      <c r="B801" s="551" t="str">
        <f t="array" ref="B801">IF(LEN(E801),INDEX('4-All Devices'!AG:AG, MATCH(E801, '4-All Devices'!AF:AF, 0)),"")</f>
        <v/>
      </c>
      <c r="C801" s="549" t="s">
        <v>11186</v>
      </c>
      <c r="D801" s="549" t="s">
        <v>11187</v>
      </c>
      <c r="E801" s="8"/>
      <c r="F801" s="552" t="s">
        <v>11188</v>
      </c>
      <c r="G801" s="8"/>
      <c r="H801" s="8"/>
      <c r="I801" s="8"/>
      <c r="J801" s="546" t="str">
        <f t="array" ref="J801">IF(LEN($E801),INDEX('4-All Devices'!AE:AE, MATCH($E801, '4-All Devices'!AF:AF, 0)),"")</f>
        <v/>
      </c>
      <c r="K801" s="8"/>
      <c r="L801" s="8"/>
      <c r="M801" s="8"/>
    </row>
    <row r="802">
      <c r="A802" s="542"/>
      <c r="B802" s="551" t="str">
        <f t="array" ref="B802">IF(LEN(E802),INDEX('4-All Devices'!AG:AG, MATCH(E802, '4-All Devices'!AF:AF, 0)),"")</f>
        <v/>
      </c>
      <c r="C802" s="549" t="s">
        <v>11186</v>
      </c>
      <c r="D802" s="549" t="s">
        <v>11187</v>
      </c>
      <c r="E802" s="8"/>
      <c r="F802" s="552" t="s">
        <v>11188</v>
      </c>
      <c r="G802" s="8"/>
      <c r="H802" s="8"/>
      <c r="I802" s="8"/>
      <c r="J802" s="546" t="str">
        <f t="array" ref="J802">IF(LEN($E802),INDEX('4-All Devices'!AE:AE, MATCH($E802, '4-All Devices'!AF:AF, 0)),"")</f>
        <v/>
      </c>
      <c r="K802" s="8"/>
      <c r="L802" s="8"/>
      <c r="M802" s="8"/>
    </row>
    <row r="803">
      <c r="A803" s="542"/>
      <c r="B803" s="551" t="str">
        <f t="array" ref="B803">IF(LEN(E803),INDEX('4-All Devices'!AG:AG, MATCH(E803, '4-All Devices'!AF:AF, 0)),"")</f>
        <v/>
      </c>
      <c r="C803" s="549" t="s">
        <v>11186</v>
      </c>
      <c r="D803" s="549" t="s">
        <v>11187</v>
      </c>
      <c r="E803" s="8"/>
      <c r="F803" s="552" t="s">
        <v>11188</v>
      </c>
      <c r="G803" s="8"/>
      <c r="H803" s="8"/>
      <c r="I803" s="8"/>
      <c r="J803" s="546" t="str">
        <f t="array" ref="J803">IF(LEN($E803),INDEX('4-All Devices'!AE:AE, MATCH($E803, '4-All Devices'!AF:AF, 0)),"")</f>
        <v/>
      </c>
      <c r="K803" s="8"/>
      <c r="L803" s="8"/>
      <c r="M803" s="8"/>
    </row>
    <row r="804">
      <c r="A804" s="542"/>
      <c r="B804" s="551" t="str">
        <f t="array" ref="B804">IF(LEN(E804),INDEX('4-All Devices'!AG:AG, MATCH(E804, '4-All Devices'!AF:AF, 0)),"")</f>
        <v/>
      </c>
      <c r="C804" s="549" t="s">
        <v>11186</v>
      </c>
      <c r="D804" s="549" t="s">
        <v>11187</v>
      </c>
      <c r="E804" s="8"/>
      <c r="F804" s="552" t="s">
        <v>11188</v>
      </c>
      <c r="G804" s="8"/>
      <c r="H804" s="8"/>
      <c r="I804" s="8"/>
      <c r="J804" s="546" t="str">
        <f t="array" ref="J804">IF(LEN($E804),INDEX('4-All Devices'!AE:AE, MATCH($E804, '4-All Devices'!AF:AF, 0)),"")</f>
        <v/>
      </c>
      <c r="K804" s="8"/>
      <c r="L804" s="8"/>
      <c r="M804" s="8"/>
    </row>
    <row r="805">
      <c r="A805" s="542"/>
      <c r="B805" s="551" t="str">
        <f t="array" ref="B805">IF(LEN(E805),INDEX('4-All Devices'!AG:AG, MATCH(E805, '4-All Devices'!AF:AF, 0)),"")</f>
        <v/>
      </c>
      <c r="C805" s="549" t="s">
        <v>11186</v>
      </c>
      <c r="D805" s="549" t="s">
        <v>11187</v>
      </c>
      <c r="E805" s="8"/>
      <c r="F805" s="552" t="s">
        <v>11188</v>
      </c>
      <c r="G805" s="8"/>
      <c r="H805" s="8"/>
      <c r="I805" s="8"/>
      <c r="J805" s="546" t="str">
        <f t="array" ref="J805">IF(LEN($E805),INDEX('4-All Devices'!AE:AE, MATCH($E805, '4-All Devices'!AF:AF, 0)),"")</f>
        <v/>
      </c>
      <c r="K805" s="8"/>
      <c r="L805" s="8"/>
      <c r="M805" s="8"/>
    </row>
    <row r="806">
      <c r="A806" s="542"/>
      <c r="B806" s="551" t="str">
        <f t="array" ref="B806">IF(LEN(E806),INDEX('4-All Devices'!AG:AG, MATCH(E806, '4-All Devices'!AF:AF, 0)),"")</f>
        <v/>
      </c>
      <c r="C806" s="549" t="s">
        <v>11186</v>
      </c>
      <c r="D806" s="549" t="s">
        <v>11187</v>
      </c>
      <c r="E806" s="8"/>
      <c r="F806" s="552" t="s">
        <v>11188</v>
      </c>
      <c r="G806" s="8"/>
      <c r="H806" s="8"/>
      <c r="I806" s="8"/>
      <c r="J806" s="546" t="str">
        <f t="array" ref="J806">IF(LEN($E806),INDEX('4-All Devices'!AE:AE, MATCH($E806, '4-All Devices'!AF:AF, 0)),"")</f>
        <v/>
      </c>
      <c r="K806" s="8"/>
      <c r="L806" s="8"/>
      <c r="M806" s="8"/>
    </row>
    <row r="807">
      <c r="A807" s="542"/>
      <c r="B807" s="551" t="str">
        <f t="array" ref="B807">IF(LEN(E807),INDEX('4-All Devices'!AG:AG, MATCH(E807, '4-All Devices'!AF:AF, 0)),"")</f>
        <v/>
      </c>
      <c r="C807" s="549" t="s">
        <v>11186</v>
      </c>
      <c r="D807" s="549" t="s">
        <v>11187</v>
      </c>
      <c r="E807" s="8"/>
      <c r="F807" s="552" t="s">
        <v>11188</v>
      </c>
      <c r="G807" s="8"/>
      <c r="H807" s="8"/>
      <c r="I807" s="8"/>
      <c r="J807" s="546" t="str">
        <f t="array" ref="J807">IF(LEN($E807),INDEX('4-All Devices'!AE:AE, MATCH($E807, '4-All Devices'!AF:AF, 0)),"")</f>
        <v/>
      </c>
      <c r="K807" s="8"/>
      <c r="L807" s="8"/>
      <c r="M807" s="8"/>
    </row>
    <row r="808">
      <c r="A808" s="542"/>
      <c r="B808" s="551" t="str">
        <f t="array" ref="B808">IF(LEN(E808),INDEX('4-All Devices'!AG:AG, MATCH(E808, '4-All Devices'!AF:AF, 0)),"")</f>
        <v/>
      </c>
      <c r="C808" s="549" t="s">
        <v>11186</v>
      </c>
      <c r="D808" s="549" t="s">
        <v>11187</v>
      </c>
      <c r="E808" s="8"/>
      <c r="F808" s="552" t="s">
        <v>11188</v>
      </c>
      <c r="G808" s="8"/>
      <c r="H808" s="8"/>
      <c r="I808" s="8"/>
      <c r="J808" s="546" t="str">
        <f t="array" ref="J808">IF(LEN($E808),INDEX('4-All Devices'!AE:AE, MATCH($E808, '4-All Devices'!AF:AF, 0)),"")</f>
        <v/>
      </c>
      <c r="K808" s="8"/>
      <c r="L808" s="8"/>
      <c r="M808" s="8"/>
    </row>
    <row r="809">
      <c r="A809" s="542"/>
      <c r="B809" s="551" t="str">
        <f t="array" ref="B809">IF(LEN(E809),INDEX('4-All Devices'!AG:AG, MATCH(E809, '4-All Devices'!AF:AF, 0)),"")</f>
        <v/>
      </c>
      <c r="C809" s="549" t="s">
        <v>11186</v>
      </c>
      <c r="D809" s="549" t="s">
        <v>11187</v>
      </c>
      <c r="E809" s="8"/>
      <c r="F809" s="552" t="s">
        <v>11188</v>
      </c>
      <c r="G809" s="8"/>
      <c r="H809" s="8"/>
      <c r="I809" s="8"/>
      <c r="J809" s="546" t="str">
        <f t="array" ref="J809">IF(LEN($E809),INDEX('4-All Devices'!AE:AE, MATCH($E809, '4-All Devices'!AF:AF, 0)),"")</f>
        <v/>
      </c>
      <c r="K809" s="8"/>
      <c r="L809" s="8"/>
      <c r="M809" s="8"/>
    </row>
    <row r="810">
      <c r="A810" s="542"/>
      <c r="B810" s="551" t="str">
        <f t="array" ref="B810">IF(LEN(E810),INDEX('4-All Devices'!AG:AG, MATCH(E810, '4-All Devices'!AF:AF, 0)),"")</f>
        <v/>
      </c>
      <c r="C810" s="549" t="s">
        <v>11186</v>
      </c>
      <c r="D810" s="549" t="s">
        <v>11187</v>
      </c>
      <c r="E810" s="8"/>
      <c r="F810" s="552" t="s">
        <v>11188</v>
      </c>
      <c r="G810" s="8"/>
      <c r="H810" s="8"/>
      <c r="I810" s="8"/>
      <c r="J810" s="546" t="str">
        <f t="array" ref="J810">IF(LEN($E810),INDEX('4-All Devices'!AE:AE, MATCH($E810, '4-All Devices'!AF:AF, 0)),"")</f>
        <v/>
      </c>
      <c r="K810" s="8"/>
      <c r="L810" s="8"/>
      <c r="M810" s="8"/>
    </row>
    <row r="811">
      <c r="A811" s="542"/>
      <c r="B811" s="551" t="str">
        <f t="array" ref="B811">IF(LEN(E811),INDEX('4-All Devices'!AG:AG, MATCH(E811, '4-All Devices'!AF:AF, 0)),"")</f>
        <v/>
      </c>
      <c r="C811" s="549" t="s">
        <v>11186</v>
      </c>
      <c r="D811" s="549" t="s">
        <v>11187</v>
      </c>
      <c r="E811" s="8"/>
      <c r="F811" s="552" t="s">
        <v>11188</v>
      </c>
      <c r="G811" s="8"/>
      <c r="H811" s="8"/>
      <c r="I811" s="8"/>
      <c r="J811" s="546" t="str">
        <f t="array" ref="J811">IF(LEN($E811),INDEX('4-All Devices'!AE:AE, MATCH($E811, '4-All Devices'!AF:AF, 0)),"")</f>
        <v/>
      </c>
      <c r="K811" s="8"/>
      <c r="L811" s="8"/>
      <c r="M811" s="8"/>
    </row>
    <row r="812">
      <c r="A812" s="542"/>
      <c r="B812" s="551" t="str">
        <f t="array" ref="B812">IF(LEN(E812),INDEX('4-All Devices'!AG:AG, MATCH(E812, '4-All Devices'!AF:AF, 0)),"")</f>
        <v/>
      </c>
      <c r="C812" s="549" t="s">
        <v>11186</v>
      </c>
      <c r="D812" s="549" t="s">
        <v>11187</v>
      </c>
      <c r="E812" s="8"/>
      <c r="F812" s="552" t="s">
        <v>11188</v>
      </c>
      <c r="G812" s="8"/>
      <c r="H812" s="8"/>
      <c r="I812" s="8"/>
      <c r="J812" s="546" t="str">
        <f t="array" ref="J812">IF(LEN($E812),INDEX('4-All Devices'!AE:AE, MATCH($E812, '4-All Devices'!AF:AF, 0)),"")</f>
        <v/>
      </c>
      <c r="K812" s="8"/>
      <c r="L812" s="8"/>
      <c r="M812" s="8"/>
    </row>
    <row r="813">
      <c r="A813" s="542"/>
      <c r="B813" s="551" t="str">
        <f t="array" ref="B813">IF(LEN(E813),INDEX('4-All Devices'!AG:AG, MATCH(E813, '4-All Devices'!AF:AF, 0)),"")</f>
        <v/>
      </c>
      <c r="C813" s="549" t="s">
        <v>11186</v>
      </c>
      <c r="D813" s="549" t="s">
        <v>11187</v>
      </c>
      <c r="E813" s="8"/>
      <c r="F813" s="552" t="s">
        <v>11188</v>
      </c>
      <c r="G813" s="8"/>
      <c r="H813" s="8"/>
      <c r="I813" s="8"/>
      <c r="J813" s="546" t="str">
        <f t="array" ref="J813">IF(LEN($E813),INDEX('4-All Devices'!AE:AE, MATCH($E813, '4-All Devices'!AF:AF, 0)),"")</f>
        <v/>
      </c>
      <c r="K813" s="8"/>
      <c r="L813" s="8"/>
      <c r="M813" s="8"/>
    </row>
    <row r="814">
      <c r="A814" s="542"/>
      <c r="B814" s="551" t="str">
        <f t="array" ref="B814">IF(LEN(E814),INDEX('4-All Devices'!AG:AG, MATCH(E814, '4-All Devices'!AF:AF, 0)),"")</f>
        <v/>
      </c>
      <c r="C814" s="549" t="s">
        <v>11186</v>
      </c>
      <c r="D814" s="549" t="s">
        <v>11187</v>
      </c>
      <c r="E814" s="8"/>
      <c r="F814" s="552" t="s">
        <v>11188</v>
      </c>
      <c r="G814" s="8"/>
      <c r="H814" s="8"/>
      <c r="I814" s="8"/>
      <c r="J814" s="546" t="str">
        <f t="array" ref="J814">IF(LEN($E814),INDEX('4-All Devices'!AE:AE, MATCH($E814, '4-All Devices'!AF:AF, 0)),"")</f>
        <v/>
      </c>
      <c r="K814" s="8"/>
      <c r="L814" s="8"/>
      <c r="M814" s="8"/>
    </row>
    <row r="815">
      <c r="A815" s="542"/>
      <c r="B815" s="551" t="str">
        <f t="array" ref="B815">IF(LEN(E815),INDEX('4-All Devices'!AG:AG, MATCH(E815, '4-All Devices'!AF:AF, 0)),"")</f>
        <v/>
      </c>
      <c r="C815" s="549" t="s">
        <v>11186</v>
      </c>
      <c r="D815" s="549" t="s">
        <v>11187</v>
      </c>
      <c r="E815" s="8"/>
      <c r="F815" s="552" t="s">
        <v>11188</v>
      </c>
      <c r="G815" s="8"/>
      <c r="H815" s="8"/>
      <c r="I815" s="8"/>
      <c r="J815" s="546" t="str">
        <f t="array" ref="J815">IF(LEN($E815),INDEX('4-All Devices'!AE:AE, MATCH($E815, '4-All Devices'!AF:AF, 0)),"")</f>
        <v/>
      </c>
      <c r="K815" s="8"/>
      <c r="L815" s="8"/>
      <c r="M815" s="8"/>
    </row>
    <row r="816">
      <c r="A816" s="542"/>
      <c r="B816" s="551" t="str">
        <f t="array" ref="B816">IF(LEN(E816),INDEX('4-All Devices'!AG:AG, MATCH(E816, '4-All Devices'!AF:AF, 0)),"")</f>
        <v/>
      </c>
      <c r="C816" s="549" t="s">
        <v>11186</v>
      </c>
      <c r="D816" s="549" t="s">
        <v>11187</v>
      </c>
      <c r="E816" s="8"/>
      <c r="F816" s="552" t="s">
        <v>11188</v>
      </c>
      <c r="G816" s="8"/>
      <c r="H816" s="8"/>
      <c r="I816" s="8"/>
      <c r="J816" s="546" t="str">
        <f t="array" ref="J816">IF(LEN($E816),INDEX('4-All Devices'!AE:AE, MATCH($E816, '4-All Devices'!AF:AF, 0)),"")</f>
        <v/>
      </c>
      <c r="K816" s="8"/>
      <c r="L816" s="8"/>
      <c r="M816" s="8"/>
    </row>
    <row r="817">
      <c r="A817" s="542"/>
      <c r="B817" s="551" t="str">
        <f t="array" ref="B817">IF(LEN(E817),INDEX('4-All Devices'!AG:AG, MATCH(E817, '4-All Devices'!AF:AF, 0)),"")</f>
        <v/>
      </c>
      <c r="C817" s="549" t="s">
        <v>11186</v>
      </c>
      <c r="D817" s="549" t="s">
        <v>11187</v>
      </c>
      <c r="E817" s="8"/>
      <c r="F817" s="552" t="s">
        <v>11188</v>
      </c>
      <c r="G817" s="8"/>
      <c r="H817" s="8"/>
      <c r="I817" s="8"/>
      <c r="J817" s="546" t="str">
        <f t="array" ref="J817">IF(LEN($E817),INDEX('4-All Devices'!AE:AE, MATCH($E817, '4-All Devices'!AF:AF, 0)),"")</f>
        <v/>
      </c>
      <c r="K817" s="8"/>
      <c r="L817" s="8"/>
      <c r="M817" s="8"/>
    </row>
    <row r="818">
      <c r="A818" s="542"/>
      <c r="B818" s="551" t="str">
        <f t="array" ref="B818">IF(LEN(E818),INDEX('4-All Devices'!AG:AG, MATCH(E818, '4-All Devices'!AF:AF, 0)),"")</f>
        <v/>
      </c>
      <c r="C818" s="549" t="s">
        <v>11186</v>
      </c>
      <c r="D818" s="549" t="s">
        <v>11187</v>
      </c>
      <c r="E818" s="8"/>
      <c r="F818" s="552" t="s">
        <v>11188</v>
      </c>
      <c r="G818" s="8"/>
      <c r="H818" s="8"/>
      <c r="I818" s="8"/>
      <c r="J818" s="546" t="str">
        <f t="array" ref="J818">IF(LEN($E818),INDEX('4-All Devices'!AE:AE, MATCH($E818, '4-All Devices'!AF:AF, 0)),"")</f>
        <v/>
      </c>
      <c r="K818" s="8"/>
      <c r="L818" s="8"/>
      <c r="M818" s="8"/>
    </row>
    <row r="819">
      <c r="A819" s="542"/>
      <c r="B819" s="551" t="str">
        <f t="array" ref="B819">IF(LEN(E819),INDEX('4-All Devices'!AG:AG, MATCH(E819, '4-All Devices'!AF:AF, 0)),"")</f>
        <v/>
      </c>
      <c r="C819" s="549" t="s">
        <v>11186</v>
      </c>
      <c r="D819" s="549" t="s">
        <v>11187</v>
      </c>
      <c r="E819" s="8"/>
      <c r="F819" s="552" t="s">
        <v>11188</v>
      </c>
      <c r="G819" s="8"/>
      <c r="H819" s="8"/>
      <c r="I819" s="8"/>
      <c r="J819" s="546" t="str">
        <f t="array" ref="J819">IF(LEN($E819),INDEX('4-All Devices'!AE:AE, MATCH($E819, '4-All Devices'!AF:AF, 0)),"")</f>
        <v/>
      </c>
      <c r="K819" s="8"/>
      <c r="L819" s="8"/>
      <c r="M819" s="8"/>
    </row>
    <row r="820">
      <c r="A820" s="542"/>
      <c r="B820" s="551" t="str">
        <f t="array" ref="B820">IF(LEN(E820),INDEX('4-All Devices'!AG:AG, MATCH(E820, '4-All Devices'!AF:AF, 0)),"")</f>
        <v/>
      </c>
      <c r="C820" s="549" t="s">
        <v>11186</v>
      </c>
      <c r="D820" s="549" t="s">
        <v>11187</v>
      </c>
      <c r="E820" s="8"/>
      <c r="F820" s="552" t="s">
        <v>11188</v>
      </c>
      <c r="G820" s="8"/>
      <c r="H820" s="8"/>
      <c r="I820" s="8"/>
      <c r="J820" s="546" t="str">
        <f t="array" ref="J820">IF(LEN($E820),INDEX('4-All Devices'!AE:AE, MATCH($E820, '4-All Devices'!AF:AF, 0)),"")</f>
        <v/>
      </c>
      <c r="K820" s="8"/>
      <c r="L820" s="8"/>
      <c r="M820" s="8"/>
    </row>
    <row r="821">
      <c r="A821" s="542"/>
      <c r="B821" s="551" t="str">
        <f t="array" ref="B821">IF(LEN(E821),INDEX('4-All Devices'!AG:AG, MATCH(E821, '4-All Devices'!AF:AF, 0)),"")</f>
        <v/>
      </c>
      <c r="C821" s="549" t="s">
        <v>11186</v>
      </c>
      <c r="D821" s="549" t="s">
        <v>11187</v>
      </c>
      <c r="E821" s="8"/>
      <c r="F821" s="552" t="s">
        <v>11188</v>
      </c>
      <c r="G821" s="8"/>
      <c r="H821" s="8"/>
      <c r="I821" s="8"/>
      <c r="J821" s="546" t="str">
        <f t="array" ref="J821">IF(LEN($E821),INDEX('4-All Devices'!AE:AE, MATCH($E821, '4-All Devices'!AF:AF, 0)),"")</f>
        <v/>
      </c>
      <c r="K821" s="8"/>
      <c r="L821" s="8"/>
      <c r="M821" s="8"/>
    </row>
    <row r="822">
      <c r="A822" s="542"/>
      <c r="B822" s="551" t="str">
        <f t="array" ref="B822">IF(LEN(E822),INDEX('4-All Devices'!AG:AG, MATCH(E822, '4-All Devices'!AF:AF, 0)),"")</f>
        <v/>
      </c>
      <c r="C822" s="549" t="s">
        <v>11186</v>
      </c>
      <c r="D822" s="549" t="s">
        <v>11187</v>
      </c>
      <c r="E822" s="8"/>
      <c r="F822" s="552" t="s">
        <v>11188</v>
      </c>
      <c r="G822" s="8"/>
      <c r="H822" s="8"/>
      <c r="I822" s="8"/>
      <c r="J822" s="546" t="str">
        <f t="array" ref="J822">IF(LEN($E822),INDEX('4-All Devices'!AE:AE, MATCH($E822, '4-All Devices'!AF:AF, 0)),"")</f>
        <v/>
      </c>
      <c r="K822" s="8"/>
      <c r="L822" s="8"/>
      <c r="M822" s="8"/>
    </row>
    <row r="823">
      <c r="A823" s="542"/>
      <c r="B823" s="551" t="str">
        <f t="array" ref="B823">IF(LEN(E823),INDEX('4-All Devices'!AG:AG, MATCH(E823, '4-All Devices'!AF:AF, 0)),"")</f>
        <v/>
      </c>
      <c r="C823" s="549" t="s">
        <v>11186</v>
      </c>
      <c r="D823" s="549" t="s">
        <v>11187</v>
      </c>
      <c r="E823" s="8"/>
      <c r="F823" s="552" t="s">
        <v>11188</v>
      </c>
      <c r="G823" s="8"/>
      <c r="H823" s="8"/>
      <c r="I823" s="8"/>
      <c r="J823" s="546" t="str">
        <f t="array" ref="J823">IF(LEN($E823),INDEX('4-All Devices'!AE:AE, MATCH($E823, '4-All Devices'!AF:AF, 0)),"")</f>
        <v/>
      </c>
      <c r="K823" s="8"/>
      <c r="L823" s="8"/>
      <c r="M823" s="8"/>
    </row>
    <row r="824">
      <c r="A824" s="542"/>
      <c r="B824" s="551" t="str">
        <f t="array" ref="B824">IF(LEN(E824),INDEX('4-All Devices'!AG:AG, MATCH(E824, '4-All Devices'!AF:AF, 0)),"")</f>
        <v/>
      </c>
      <c r="C824" s="549" t="s">
        <v>11186</v>
      </c>
      <c r="D824" s="549" t="s">
        <v>11187</v>
      </c>
      <c r="E824" s="8"/>
      <c r="F824" s="552" t="s">
        <v>11188</v>
      </c>
      <c r="G824" s="8"/>
      <c r="H824" s="8"/>
      <c r="I824" s="8"/>
      <c r="J824" s="546" t="str">
        <f t="array" ref="J824">IF(LEN($E824),INDEX('4-All Devices'!AE:AE, MATCH($E824, '4-All Devices'!AF:AF, 0)),"")</f>
        <v/>
      </c>
      <c r="K824" s="8"/>
      <c r="L824" s="8"/>
      <c r="M824" s="8"/>
    </row>
    <row r="825">
      <c r="A825" s="542"/>
      <c r="B825" s="551" t="str">
        <f t="array" ref="B825">IF(LEN(E825),INDEX('4-All Devices'!AG:AG, MATCH(E825, '4-All Devices'!AF:AF, 0)),"")</f>
        <v/>
      </c>
      <c r="C825" s="549" t="s">
        <v>11186</v>
      </c>
      <c r="D825" s="549" t="s">
        <v>11187</v>
      </c>
      <c r="E825" s="8"/>
      <c r="F825" s="552" t="s">
        <v>11188</v>
      </c>
      <c r="G825" s="8"/>
      <c r="H825" s="8"/>
      <c r="I825" s="8"/>
      <c r="J825" s="546" t="str">
        <f t="array" ref="J825">IF(LEN($E825),INDEX('4-All Devices'!AE:AE, MATCH($E825, '4-All Devices'!AF:AF, 0)),"")</f>
        <v/>
      </c>
      <c r="K825" s="8"/>
      <c r="L825" s="8"/>
      <c r="M825" s="8"/>
    </row>
    <row r="826">
      <c r="A826" s="542"/>
      <c r="B826" s="551" t="str">
        <f t="array" ref="B826">IF(LEN(E826),INDEX('4-All Devices'!AG:AG, MATCH(E826, '4-All Devices'!AF:AF, 0)),"")</f>
        <v/>
      </c>
      <c r="C826" s="549" t="s">
        <v>11186</v>
      </c>
      <c r="D826" s="549" t="s">
        <v>11187</v>
      </c>
      <c r="E826" s="8"/>
      <c r="F826" s="552" t="s">
        <v>11188</v>
      </c>
      <c r="G826" s="8"/>
      <c r="H826" s="8"/>
      <c r="I826" s="8"/>
      <c r="J826" s="546" t="str">
        <f t="array" ref="J826">IF(LEN($E826),INDEX('4-All Devices'!AE:AE, MATCH($E826, '4-All Devices'!AF:AF, 0)),"")</f>
        <v/>
      </c>
      <c r="K826" s="8"/>
      <c r="L826" s="8"/>
      <c r="M826" s="8"/>
    </row>
    <row r="827">
      <c r="A827" s="542"/>
      <c r="B827" s="551" t="str">
        <f t="array" ref="B827">IF(LEN(E827),INDEX('4-All Devices'!AG:AG, MATCH(E827, '4-All Devices'!AF:AF, 0)),"")</f>
        <v/>
      </c>
      <c r="C827" s="549" t="s">
        <v>11186</v>
      </c>
      <c r="D827" s="549" t="s">
        <v>11187</v>
      </c>
      <c r="E827" s="8"/>
      <c r="F827" s="552" t="s">
        <v>11188</v>
      </c>
      <c r="G827" s="8"/>
      <c r="H827" s="8"/>
      <c r="I827" s="8"/>
      <c r="J827" s="546" t="str">
        <f t="array" ref="J827">IF(LEN($E827),INDEX('4-All Devices'!AE:AE, MATCH($E827, '4-All Devices'!AF:AF, 0)),"")</f>
        <v/>
      </c>
      <c r="K827" s="8"/>
      <c r="L827" s="8"/>
      <c r="M827" s="8"/>
    </row>
    <row r="828">
      <c r="A828" s="542"/>
      <c r="B828" s="551" t="str">
        <f t="array" ref="B828">IF(LEN(E828),INDEX('4-All Devices'!AG:AG, MATCH(E828, '4-All Devices'!AF:AF, 0)),"")</f>
        <v/>
      </c>
      <c r="C828" s="549" t="s">
        <v>11186</v>
      </c>
      <c r="D828" s="549" t="s">
        <v>11187</v>
      </c>
      <c r="E828" s="8"/>
      <c r="F828" s="552" t="s">
        <v>11188</v>
      </c>
      <c r="G828" s="8"/>
      <c r="H828" s="8"/>
      <c r="I828" s="8"/>
      <c r="J828" s="546" t="str">
        <f t="array" ref="J828">IF(LEN($E828),INDEX('4-All Devices'!AE:AE, MATCH($E828, '4-All Devices'!AF:AF, 0)),"")</f>
        <v/>
      </c>
      <c r="K828" s="8"/>
      <c r="L828" s="8"/>
      <c r="M828" s="8"/>
    </row>
    <row r="829">
      <c r="A829" s="542"/>
      <c r="B829" s="551" t="str">
        <f t="array" ref="B829">IF(LEN(E829),INDEX('4-All Devices'!AG:AG, MATCH(E829, '4-All Devices'!AF:AF, 0)),"")</f>
        <v/>
      </c>
      <c r="C829" s="549" t="s">
        <v>11186</v>
      </c>
      <c r="D829" s="549" t="s">
        <v>11187</v>
      </c>
      <c r="E829" s="8"/>
      <c r="F829" s="552" t="s">
        <v>11188</v>
      </c>
      <c r="G829" s="8"/>
      <c r="H829" s="8"/>
      <c r="I829" s="8"/>
      <c r="J829" s="546" t="str">
        <f t="array" ref="J829">IF(LEN($E829),INDEX('4-All Devices'!AE:AE, MATCH($E829, '4-All Devices'!AF:AF, 0)),"")</f>
        <v/>
      </c>
      <c r="K829" s="8"/>
      <c r="L829" s="8"/>
      <c r="M829" s="8"/>
    </row>
    <row r="830">
      <c r="A830" s="542"/>
      <c r="B830" s="551" t="str">
        <f t="array" ref="B830">IF(LEN(E830),INDEX('4-All Devices'!AG:AG, MATCH(E830, '4-All Devices'!AF:AF, 0)),"")</f>
        <v/>
      </c>
      <c r="C830" s="549" t="s">
        <v>11186</v>
      </c>
      <c r="D830" s="549" t="s">
        <v>11187</v>
      </c>
      <c r="E830" s="8"/>
      <c r="F830" s="552" t="s">
        <v>11188</v>
      </c>
      <c r="G830" s="8"/>
      <c r="H830" s="8"/>
      <c r="I830" s="8"/>
      <c r="J830" s="546" t="str">
        <f t="array" ref="J830">IF(LEN($E830),INDEX('4-All Devices'!AE:AE, MATCH($E830, '4-All Devices'!AF:AF, 0)),"")</f>
        <v/>
      </c>
      <c r="K830" s="8"/>
      <c r="L830" s="8"/>
      <c r="M830" s="8"/>
    </row>
    <row r="831">
      <c r="A831" s="542"/>
      <c r="B831" s="551" t="str">
        <f t="array" ref="B831">IF(LEN(E831),INDEX('4-All Devices'!AG:AG, MATCH(E831, '4-All Devices'!AF:AF, 0)),"")</f>
        <v/>
      </c>
      <c r="C831" s="549" t="s">
        <v>11186</v>
      </c>
      <c r="D831" s="549" t="s">
        <v>11187</v>
      </c>
      <c r="E831" s="8"/>
      <c r="F831" s="552" t="s">
        <v>11188</v>
      </c>
      <c r="G831" s="8"/>
      <c r="H831" s="8"/>
      <c r="I831" s="8"/>
      <c r="J831" s="546" t="str">
        <f t="array" ref="J831">IF(LEN($E831),INDEX('4-All Devices'!AE:AE, MATCH($E831, '4-All Devices'!AF:AF, 0)),"")</f>
        <v/>
      </c>
      <c r="K831" s="8"/>
      <c r="L831" s="8"/>
      <c r="M831" s="8"/>
    </row>
    <row r="832">
      <c r="A832" s="542"/>
      <c r="B832" s="551" t="str">
        <f t="array" ref="B832">IF(LEN(E832),INDEX('4-All Devices'!AG:AG, MATCH(E832, '4-All Devices'!AF:AF, 0)),"")</f>
        <v/>
      </c>
      <c r="C832" s="549" t="s">
        <v>11186</v>
      </c>
      <c r="D832" s="549" t="s">
        <v>11187</v>
      </c>
      <c r="E832" s="8"/>
      <c r="F832" s="552" t="s">
        <v>11188</v>
      </c>
      <c r="G832" s="8"/>
      <c r="H832" s="8"/>
      <c r="I832" s="8"/>
      <c r="J832" s="546" t="str">
        <f t="array" ref="J832">IF(LEN($E832),INDEX('4-All Devices'!AE:AE, MATCH($E832, '4-All Devices'!AF:AF, 0)),"")</f>
        <v/>
      </c>
      <c r="K832" s="8"/>
      <c r="L832" s="8"/>
      <c r="M832" s="8"/>
    </row>
    <row r="833">
      <c r="A833" s="542"/>
      <c r="B833" s="551" t="str">
        <f t="array" ref="B833">IF(LEN(E833),INDEX('4-All Devices'!AG:AG, MATCH(E833, '4-All Devices'!AF:AF, 0)),"")</f>
        <v/>
      </c>
      <c r="C833" s="549" t="s">
        <v>11186</v>
      </c>
      <c r="D833" s="549" t="s">
        <v>11187</v>
      </c>
      <c r="E833" s="8"/>
      <c r="F833" s="552" t="s">
        <v>11188</v>
      </c>
      <c r="G833" s="8"/>
      <c r="H833" s="8"/>
      <c r="I833" s="8"/>
      <c r="J833" s="546" t="str">
        <f t="array" ref="J833">IF(LEN($E833),INDEX('4-All Devices'!AE:AE, MATCH($E833, '4-All Devices'!AF:AF, 0)),"")</f>
        <v/>
      </c>
      <c r="K833" s="8"/>
      <c r="L833" s="8"/>
      <c r="M833" s="8"/>
    </row>
    <row r="834">
      <c r="A834" s="542"/>
      <c r="B834" s="551" t="str">
        <f t="array" ref="B834">IF(LEN(E834),INDEX('4-All Devices'!AG:AG, MATCH(E834, '4-All Devices'!AF:AF, 0)),"")</f>
        <v/>
      </c>
      <c r="C834" s="549" t="s">
        <v>11186</v>
      </c>
      <c r="D834" s="549" t="s">
        <v>11187</v>
      </c>
      <c r="E834" s="8"/>
      <c r="F834" s="552" t="s">
        <v>11188</v>
      </c>
      <c r="G834" s="8"/>
      <c r="H834" s="8"/>
      <c r="I834" s="8"/>
      <c r="J834" s="546" t="str">
        <f t="array" ref="J834">IF(LEN($E834),INDEX('4-All Devices'!AE:AE, MATCH($E834, '4-All Devices'!AF:AF, 0)),"")</f>
        <v/>
      </c>
      <c r="K834" s="8"/>
      <c r="L834" s="8"/>
      <c r="M834" s="8"/>
    </row>
    <row r="835">
      <c r="A835" s="542"/>
      <c r="B835" s="551" t="str">
        <f t="array" ref="B835">IF(LEN(E835),INDEX('4-All Devices'!AG:AG, MATCH(E835, '4-All Devices'!AF:AF, 0)),"")</f>
        <v/>
      </c>
      <c r="C835" s="549" t="s">
        <v>11186</v>
      </c>
      <c r="D835" s="549" t="s">
        <v>11187</v>
      </c>
      <c r="E835" s="8"/>
      <c r="F835" s="552" t="s">
        <v>11188</v>
      </c>
      <c r="G835" s="8"/>
      <c r="H835" s="8"/>
      <c r="I835" s="8"/>
      <c r="J835" s="546" t="str">
        <f t="array" ref="J835">IF(LEN($E835),INDEX('4-All Devices'!AE:AE, MATCH($E835, '4-All Devices'!AF:AF, 0)),"")</f>
        <v/>
      </c>
      <c r="K835" s="8"/>
      <c r="L835" s="8"/>
      <c r="M835" s="8"/>
    </row>
    <row r="836">
      <c r="A836" s="542"/>
      <c r="B836" s="551" t="str">
        <f t="array" ref="B836">IF(LEN(E836),INDEX('4-All Devices'!AG:AG, MATCH(E836, '4-All Devices'!AF:AF, 0)),"")</f>
        <v/>
      </c>
      <c r="C836" s="549" t="s">
        <v>11186</v>
      </c>
      <c r="D836" s="549" t="s">
        <v>11187</v>
      </c>
      <c r="E836" s="8"/>
      <c r="F836" s="552" t="s">
        <v>11188</v>
      </c>
      <c r="G836" s="8"/>
      <c r="H836" s="8"/>
      <c r="I836" s="8"/>
      <c r="J836" s="546" t="str">
        <f t="array" ref="J836">IF(LEN($E836),INDEX('4-All Devices'!AE:AE, MATCH($E836, '4-All Devices'!AF:AF, 0)),"")</f>
        <v/>
      </c>
      <c r="K836" s="8"/>
      <c r="L836" s="8"/>
      <c r="M836" s="8"/>
    </row>
    <row r="837">
      <c r="A837" s="542"/>
      <c r="B837" s="551" t="str">
        <f t="array" ref="B837">IF(LEN(E837),INDEX('4-All Devices'!AG:AG, MATCH(E837, '4-All Devices'!AF:AF, 0)),"")</f>
        <v/>
      </c>
      <c r="C837" s="549" t="s">
        <v>11186</v>
      </c>
      <c r="D837" s="549" t="s">
        <v>11187</v>
      </c>
      <c r="E837" s="8"/>
      <c r="F837" s="552" t="s">
        <v>11188</v>
      </c>
      <c r="G837" s="8"/>
      <c r="H837" s="8"/>
      <c r="I837" s="8"/>
      <c r="J837" s="546" t="str">
        <f t="array" ref="J837">IF(LEN($E837),INDEX('4-All Devices'!AE:AE, MATCH($E837, '4-All Devices'!AF:AF, 0)),"")</f>
        <v/>
      </c>
      <c r="K837" s="8"/>
      <c r="L837" s="8"/>
      <c r="M837" s="8"/>
    </row>
    <row r="838">
      <c r="A838" s="542"/>
      <c r="B838" s="551" t="str">
        <f t="array" ref="B838">IF(LEN(E838),INDEX('4-All Devices'!AG:AG, MATCH(E838, '4-All Devices'!AF:AF, 0)),"")</f>
        <v/>
      </c>
      <c r="C838" s="549" t="s">
        <v>11186</v>
      </c>
      <c r="D838" s="549" t="s">
        <v>11187</v>
      </c>
      <c r="E838" s="8"/>
      <c r="F838" s="552" t="s">
        <v>11188</v>
      </c>
      <c r="G838" s="8"/>
      <c r="H838" s="8"/>
      <c r="I838" s="8"/>
      <c r="J838" s="546" t="str">
        <f t="array" ref="J838">IF(LEN($E838),INDEX('4-All Devices'!AE:AE, MATCH($E838, '4-All Devices'!AF:AF, 0)),"")</f>
        <v/>
      </c>
      <c r="K838" s="8"/>
      <c r="L838" s="8"/>
      <c r="M838" s="8"/>
    </row>
    <row r="839">
      <c r="A839" s="542"/>
      <c r="B839" s="551" t="str">
        <f t="array" ref="B839">IF(LEN(E839),INDEX('4-All Devices'!AG:AG, MATCH(E839, '4-All Devices'!AF:AF, 0)),"")</f>
        <v/>
      </c>
      <c r="C839" s="549" t="s">
        <v>11186</v>
      </c>
      <c r="D839" s="549" t="s">
        <v>11187</v>
      </c>
      <c r="E839" s="8"/>
      <c r="F839" s="552" t="s">
        <v>11188</v>
      </c>
      <c r="G839" s="8"/>
      <c r="H839" s="8"/>
      <c r="I839" s="8"/>
      <c r="J839" s="546" t="str">
        <f t="array" ref="J839">IF(LEN($E839),INDEX('4-All Devices'!AE:AE, MATCH($E839, '4-All Devices'!AF:AF, 0)),"")</f>
        <v/>
      </c>
      <c r="K839" s="8"/>
      <c r="L839" s="8"/>
      <c r="M839" s="8"/>
    </row>
    <row r="840">
      <c r="A840" s="542"/>
      <c r="B840" s="551" t="str">
        <f t="array" ref="B840">IF(LEN(E840),INDEX('4-All Devices'!AG:AG, MATCH(E840, '4-All Devices'!AF:AF, 0)),"")</f>
        <v/>
      </c>
      <c r="C840" s="549" t="s">
        <v>11186</v>
      </c>
      <c r="D840" s="549" t="s">
        <v>11187</v>
      </c>
      <c r="E840" s="8"/>
      <c r="F840" s="552" t="s">
        <v>11188</v>
      </c>
      <c r="G840" s="8"/>
      <c r="H840" s="8"/>
      <c r="I840" s="8"/>
      <c r="J840" s="546" t="str">
        <f t="array" ref="J840">IF(LEN($E840),INDEX('4-All Devices'!AE:AE, MATCH($E840, '4-All Devices'!AF:AF, 0)),"")</f>
        <v/>
      </c>
      <c r="K840" s="8"/>
      <c r="L840" s="8"/>
      <c r="M840" s="8"/>
    </row>
    <row r="841">
      <c r="A841" s="542"/>
      <c r="B841" s="551" t="str">
        <f t="array" ref="B841">IF(LEN(E841),INDEX('4-All Devices'!AG:AG, MATCH(E841, '4-All Devices'!AF:AF, 0)),"")</f>
        <v/>
      </c>
      <c r="C841" s="549" t="s">
        <v>11186</v>
      </c>
      <c r="D841" s="549" t="s">
        <v>11187</v>
      </c>
      <c r="E841" s="8"/>
      <c r="F841" s="552" t="s">
        <v>11188</v>
      </c>
      <c r="G841" s="8"/>
      <c r="H841" s="8"/>
      <c r="I841" s="8"/>
      <c r="J841" s="546" t="str">
        <f t="array" ref="J841">IF(LEN($E841),INDEX('4-All Devices'!AE:AE, MATCH($E841, '4-All Devices'!AF:AF, 0)),"")</f>
        <v/>
      </c>
      <c r="K841" s="8"/>
      <c r="L841" s="8"/>
      <c r="M841" s="8"/>
    </row>
    <row r="842">
      <c r="A842" s="542"/>
      <c r="B842" s="551" t="str">
        <f t="array" ref="B842">IF(LEN(E842),INDEX('4-All Devices'!AG:AG, MATCH(E842, '4-All Devices'!AF:AF, 0)),"")</f>
        <v/>
      </c>
      <c r="C842" s="549" t="s">
        <v>11186</v>
      </c>
      <c r="D842" s="549" t="s">
        <v>11187</v>
      </c>
      <c r="E842" s="8"/>
      <c r="F842" s="552" t="s">
        <v>11188</v>
      </c>
      <c r="G842" s="8"/>
      <c r="H842" s="8"/>
      <c r="I842" s="8"/>
      <c r="J842" s="546" t="str">
        <f t="array" ref="J842">IF(LEN($E842),INDEX('4-All Devices'!AE:AE, MATCH($E842, '4-All Devices'!AF:AF, 0)),"")</f>
        <v/>
      </c>
      <c r="K842" s="8"/>
      <c r="L842" s="8"/>
      <c r="M842" s="8"/>
    </row>
    <row r="843">
      <c r="A843" s="542"/>
      <c r="B843" s="551" t="str">
        <f t="array" ref="B843">IF(LEN(E843),INDEX('4-All Devices'!AG:AG, MATCH(E843, '4-All Devices'!AF:AF, 0)),"")</f>
        <v/>
      </c>
      <c r="C843" s="549" t="s">
        <v>11186</v>
      </c>
      <c r="D843" s="549" t="s">
        <v>11187</v>
      </c>
      <c r="E843" s="8"/>
      <c r="F843" s="552" t="s">
        <v>11188</v>
      </c>
      <c r="G843" s="8"/>
      <c r="H843" s="8"/>
      <c r="I843" s="8"/>
      <c r="J843" s="546" t="str">
        <f t="array" ref="J843">IF(LEN($E843),INDEX('4-All Devices'!AE:AE, MATCH($E843, '4-All Devices'!AF:AF, 0)),"")</f>
        <v/>
      </c>
      <c r="K843" s="8"/>
      <c r="L843" s="8"/>
      <c r="M843" s="8"/>
    </row>
    <row r="844">
      <c r="A844" s="542"/>
      <c r="B844" s="551" t="str">
        <f t="array" ref="B844">IF(LEN(E844),INDEX('4-All Devices'!AG:AG, MATCH(E844, '4-All Devices'!AF:AF, 0)),"")</f>
        <v/>
      </c>
      <c r="C844" s="549" t="s">
        <v>11186</v>
      </c>
      <c r="D844" s="549" t="s">
        <v>11187</v>
      </c>
      <c r="E844" s="8"/>
      <c r="F844" s="552" t="s">
        <v>11188</v>
      </c>
      <c r="G844" s="8"/>
      <c r="H844" s="8"/>
      <c r="I844" s="8"/>
      <c r="J844" s="546" t="str">
        <f t="array" ref="J844">IF(LEN($E844),INDEX('4-All Devices'!AE:AE, MATCH($E844, '4-All Devices'!AF:AF, 0)),"")</f>
        <v/>
      </c>
      <c r="K844" s="8"/>
      <c r="L844" s="8"/>
      <c r="M844" s="8"/>
    </row>
    <row r="845">
      <c r="A845" s="542"/>
      <c r="B845" s="551" t="str">
        <f t="array" ref="B845">IF(LEN(E845),INDEX('4-All Devices'!AG:AG, MATCH(E845, '4-All Devices'!AF:AF, 0)),"")</f>
        <v/>
      </c>
      <c r="C845" s="549" t="s">
        <v>11186</v>
      </c>
      <c r="D845" s="549" t="s">
        <v>11187</v>
      </c>
      <c r="E845" s="8"/>
      <c r="F845" s="552" t="s">
        <v>11188</v>
      </c>
      <c r="G845" s="8"/>
      <c r="H845" s="8"/>
      <c r="I845" s="8"/>
      <c r="J845" s="546" t="str">
        <f t="array" ref="J845">IF(LEN($E845),INDEX('4-All Devices'!AE:AE, MATCH($E845, '4-All Devices'!AF:AF, 0)),"")</f>
        <v/>
      </c>
      <c r="K845" s="8"/>
      <c r="L845" s="8"/>
      <c r="M845" s="8"/>
    </row>
    <row r="846">
      <c r="A846" s="542"/>
      <c r="B846" s="551" t="str">
        <f t="array" ref="B846">IF(LEN(E846),INDEX('4-All Devices'!AG:AG, MATCH(E846, '4-All Devices'!AF:AF, 0)),"")</f>
        <v/>
      </c>
      <c r="C846" s="549" t="s">
        <v>11186</v>
      </c>
      <c r="D846" s="549" t="s">
        <v>11187</v>
      </c>
      <c r="E846" s="8"/>
      <c r="F846" s="552" t="s">
        <v>11188</v>
      </c>
      <c r="G846" s="8"/>
      <c r="H846" s="8"/>
      <c r="I846" s="8"/>
      <c r="J846" s="546" t="str">
        <f t="array" ref="J846">IF(LEN($E846),INDEX('4-All Devices'!AE:AE, MATCH($E846, '4-All Devices'!AF:AF, 0)),"")</f>
        <v/>
      </c>
      <c r="K846" s="8"/>
      <c r="L846" s="8"/>
      <c r="M846" s="8"/>
    </row>
    <row r="847">
      <c r="A847" s="542"/>
      <c r="B847" s="551" t="str">
        <f t="array" ref="B847">IF(LEN(E847),INDEX('4-All Devices'!AG:AG, MATCH(E847, '4-All Devices'!AF:AF, 0)),"")</f>
        <v/>
      </c>
      <c r="C847" s="549" t="s">
        <v>11186</v>
      </c>
      <c r="D847" s="549" t="s">
        <v>11187</v>
      </c>
      <c r="E847" s="8"/>
      <c r="F847" s="552" t="s">
        <v>11188</v>
      </c>
      <c r="G847" s="8"/>
      <c r="H847" s="8"/>
      <c r="I847" s="8"/>
      <c r="J847" s="546" t="str">
        <f t="array" ref="J847">IF(LEN($E847),INDEX('4-All Devices'!AE:AE, MATCH($E847, '4-All Devices'!AF:AF, 0)),"")</f>
        <v/>
      </c>
      <c r="K847" s="8"/>
      <c r="L847" s="8"/>
      <c r="M847" s="8"/>
    </row>
    <row r="848">
      <c r="A848" s="542"/>
      <c r="B848" s="551" t="str">
        <f t="array" ref="B848">IF(LEN(E848),INDEX('4-All Devices'!AG:AG, MATCH(E848, '4-All Devices'!AF:AF, 0)),"")</f>
        <v/>
      </c>
      <c r="C848" s="549" t="s">
        <v>11186</v>
      </c>
      <c r="D848" s="549" t="s">
        <v>11187</v>
      </c>
      <c r="E848" s="8"/>
      <c r="F848" s="552" t="s">
        <v>11188</v>
      </c>
      <c r="G848" s="8"/>
      <c r="H848" s="8"/>
      <c r="I848" s="8"/>
      <c r="J848" s="546" t="str">
        <f t="array" ref="J848">IF(LEN($E848),INDEX('4-All Devices'!AE:AE, MATCH($E848, '4-All Devices'!AF:AF, 0)),"")</f>
        <v/>
      </c>
      <c r="K848" s="8"/>
      <c r="L848" s="8"/>
      <c r="M848" s="8"/>
    </row>
    <row r="849">
      <c r="A849" s="542"/>
      <c r="B849" s="551" t="str">
        <f t="array" ref="B849">IF(LEN(E849),INDEX('4-All Devices'!AG:AG, MATCH(E849, '4-All Devices'!AF:AF, 0)),"")</f>
        <v/>
      </c>
      <c r="C849" s="549" t="s">
        <v>11186</v>
      </c>
      <c r="D849" s="549" t="s">
        <v>11187</v>
      </c>
      <c r="E849" s="8"/>
      <c r="F849" s="552" t="s">
        <v>11188</v>
      </c>
      <c r="G849" s="8"/>
      <c r="H849" s="8"/>
      <c r="I849" s="8"/>
      <c r="J849" s="546" t="str">
        <f t="array" ref="J849">IF(LEN($E849),INDEX('4-All Devices'!AE:AE, MATCH($E849, '4-All Devices'!AF:AF, 0)),"")</f>
        <v/>
      </c>
      <c r="K849" s="8"/>
      <c r="L849" s="8"/>
      <c r="M849" s="8"/>
    </row>
    <row r="850">
      <c r="A850" s="542"/>
      <c r="B850" s="551" t="str">
        <f t="array" ref="B850">IF(LEN(E850),INDEX('4-All Devices'!AG:AG, MATCH(E850, '4-All Devices'!AF:AF, 0)),"")</f>
        <v/>
      </c>
      <c r="C850" s="549" t="s">
        <v>11186</v>
      </c>
      <c r="D850" s="549" t="s">
        <v>11187</v>
      </c>
      <c r="E850" s="8"/>
      <c r="F850" s="552" t="s">
        <v>11188</v>
      </c>
      <c r="G850" s="8"/>
      <c r="H850" s="8"/>
      <c r="I850" s="8"/>
      <c r="J850" s="546" t="str">
        <f t="array" ref="J850">IF(LEN($E850),INDEX('4-All Devices'!AE:AE, MATCH($E850, '4-All Devices'!AF:AF, 0)),"")</f>
        <v/>
      </c>
      <c r="K850" s="8"/>
      <c r="L850" s="8"/>
      <c r="M850" s="8"/>
    </row>
    <row r="851">
      <c r="A851" s="542"/>
      <c r="B851" s="551" t="str">
        <f t="array" ref="B851">IF(LEN(E851),INDEX('4-All Devices'!AG:AG, MATCH(E851, '4-All Devices'!AF:AF, 0)),"")</f>
        <v/>
      </c>
      <c r="C851" s="549" t="s">
        <v>11186</v>
      </c>
      <c r="D851" s="549" t="s">
        <v>11187</v>
      </c>
      <c r="E851" s="8"/>
      <c r="F851" s="552" t="s">
        <v>11188</v>
      </c>
      <c r="G851" s="8"/>
      <c r="H851" s="8"/>
      <c r="I851" s="8"/>
      <c r="J851" s="546" t="str">
        <f t="array" ref="J851">IF(LEN($E851),INDEX('4-All Devices'!AE:AE, MATCH($E851, '4-All Devices'!AF:AF, 0)),"")</f>
        <v/>
      </c>
      <c r="K851" s="8"/>
      <c r="L851" s="8"/>
      <c r="M851" s="8"/>
    </row>
    <row r="852">
      <c r="A852" s="542"/>
      <c r="B852" s="551" t="str">
        <f t="array" ref="B852">IF(LEN(E852),INDEX('4-All Devices'!AG:AG, MATCH(E852, '4-All Devices'!AF:AF, 0)),"")</f>
        <v/>
      </c>
      <c r="C852" s="549" t="s">
        <v>11186</v>
      </c>
      <c r="D852" s="549" t="s">
        <v>11187</v>
      </c>
      <c r="E852" s="8"/>
      <c r="F852" s="552" t="s">
        <v>11188</v>
      </c>
      <c r="G852" s="8"/>
      <c r="H852" s="8"/>
      <c r="I852" s="8"/>
      <c r="J852" s="546" t="str">
        <f t="array" ref="J852">IF(LEN($E852),INDEX('4-All Devices'!AE:AE, MATCH($E852, '4-All Devices'!AF:AF, 0)),"")</f>
        <v/>
      </c>
      <c r="K852" s="8"/>
      <c r="L852" s="8"/>
      <c r="M852" s="8"/>
    </row>
    <row r="853">
      <c r="A853" s="542"/>
      <c r="B853" s="551" t="str">
        <f t="array" ref="B853">IF(LEN(E853),INDEX('4-All Devices'!AG:AG, MATCH(E853, '4-All Devices'!AF:AF, 0)),"")</f>
        <v/>
      </c>
      <c r="C853" s="549" t="s">
        <v>11186</v>
      </c>
      <c r="D853" s="549" t="s">
        <v>11187</v>
      </c>
      <c r="E853" s="8"/>
      <c r="F853" s="552" t="s">
        <v>11188</v>
      </c>
      <c r="G853" s="8"/>
      <c r="H853" s="8"/>
      <c r="I853" s="8"/>
      <c r="J853" s="546" t="str">
        <f t="array" ref="J853">IF(LEN($E853),INDEX('4-All Devices'!AE:AE, MATCH($E853, '4-All Devices'!AF:AF, 0)),"")</f>
        <v/>
      </c>
      <c r="K853" s="8"/>
      <c r="L853" s="8"/>
      <c r="M853" s="8"/>
    </row>
    <row r="854">
      <c r="A854" s="542"/>
      <c r="B854" s="551" t="str">
        <f t="array" ref="B854">IF(LEN(E854),INDEX('4-All Devices'!AG:AG, MATCH(E854, '4-All Devices'!AF:AF, 0)),"")</f>
        <v/>
      </c>
      <c r="C854" s="549" t="s">
        <v>11186</v>
      </c>
      <c r="D854" s="549" t="s">
        <v>11187</v>
      </c>
      <c r="E854" s="8"/>
      <c r="F854" s="552" t="s">
        <v>11188</v>
      </c>
      <c r="G854" s="8"/>
      <c r="H854" s="8"/>
      <c r="I854" s="8"/>
      <c r="J854" s="546" t="str">
        <f t="array" ref="J854">IF(LEN($E854),INDEX('4-All Devices'!AE:AE, MATCH($E854, '4-All Devices'!AF:AF, 0)),"")</f>
        <v/>
      </c>
      <c r="K854" s="8"/>
      <c r="L854" s="8"/>
      <c r="M854" s="8"/>
    </row>
    <row r="855">
      <c r="A855" s="542"/>
      <c r="B855" s="551" t="str">
        <f t="array" ref="B855">IF(LEN(E855),INDEX('4-All Devices'!AG:AG, MATCH(E855, '4-All Devices'!AF:AF, 0)),"")</f>
        <v/>
      </c>
      <c r="C855" s="549" t="s">
        <v>11186</v>
      </c>
      <c r="D855" s="549" t="s">
        <v>11187</v>
      </c>
      <c r="E855" s="8"/>
      <c r="F855" s="552" t="s">
        <v>11188</v>
      </c>
      <c r="G855" s="8"/>
      <c r="H855" s="8"/>
      <c r="I855" s="8"/>
      <c r="J855" s="546" t="str">
        <f t="array" ref="J855">IF(LEN($E855),INDEX('4-All Devices'!AE:AE, MATCH($E855, '4-All Devices'!AF:AF, 0)),"")</f>
        <v/>
      </c>
      <c r="K855" s="8"/>
      <c r="L855" s="8"/>
      <c r="M855" s="8"/>
    </row>
    <row r="856">
      <c r="A856" s="542"/>
      <c r="B856" s="551" t="str">
        <f t="array" ref="B856">IF(LEN(E856),INDEX('4-All Devices'!AG:AG, MATCH(E856, '4-All Devices'!AF:AF, 0)),"")</f>
        <v/>
      </c>
      <c r="C856" s="549" t="s">
        <v>11186</v>
      </c>
      <c r="D856" s="549" t="s">
        <v>11187</v>
      </c>
      <c r="E856" s="8"/>
      <c r="F856" s="552" t="s">
        <v>11188</v>
      </c>
      <c r="G856" s="8"/>
      <c r="H856" s="8"/>
      <c r="I856" s="8"/>
      <c r="J856" s="546" t="str">
        <f t="array" ref="J856">IF(LEN($E856),INDEX('4-All Devices'!AE:AE, MATCH($E856, '4-All Devices'!AF:AF, 0)),"")</f>
        <v/>
      </c>
      <c r="K856" s="8"/>
      <c r="L856" s="8"/>
      <c r="M856" s="8"/>
    </row>
    <row r="857">
      <c r="A857" s="542"/>
      <c r="B857" s="551" t="str">
        <f t="array" ref="B857">IF(LEN(E857),INDEX('4-All Devices'!AG:AG, MATCH(E857, '4-All Devices'!AF:AF, 0)),"")</f>
        <v/>
      </c>
      <c r="C857" s="549" t="s">
        <v>11186</v>
      </c>
      <c r="D857" s="549" t="s">
        <v>11187</v>
      </c>
      <c r="E857" s="8"/>
      <c r="F857" s="552" t="s">
        <v>11188</v>
      </c>
      <c r="G857" s="8"/>
      <c r="H857" s="8"/>
      <c r="I857" s="8"/>
      <c r="J857" s="546" t="str">
        <f t="array" ref="J857">IF(LEN($E857),INDEX('4-All Devices'!AE:AE, MATCH($E857, '4-All Devices'!AF:AF, 0)),"")</f>
        <v/>
      </c>
      <c r="K857" s="8"/>
      <c r="L857" s="8"/>
      <c r="M857" s="8"/>
    </row>
    <row r="858">
      <c r="A858" s="542"/>
      <c r="B858" s="551" t="str">
        <f t="array" ref="B858">IF(LEN(E858),INDEX('4-All Devices'!AG:AG, MATCH(E858, '4-All Devices'!AF:AF, 0)),"")</f>
        <v/>
      </c>
      <c r="C858" s="549" t="s">
        <v>11186</v>
      </c>
      <c r="D858" s="549" t="s">
        <v>11187</v>
      </c>
      <c r="E858" s="8"/>
      <c r="F858" s="552" t="s">
        <v>11188</v>
      </c>
      <c r="G858" s="8"/>
      <c r="H858" s="8"/>
      <c r="I858" s="8"/>
      <c r="J858" s="546" t="str">
        <f t="array" ref="J858">IF(LEN($E858),INDEX('4-All Devices'!AE:AE, MATCH($E858, '4-All Devices'!AF:AF, 0)),"")</f>
        <v/>
      </c>
      <c r="K858" s="8"/>
      <c r="L858" s="8"/>
      <c r="M858" s="8"/>
    </row>
    <row r="859">
      <c r="A859" s="542"/>
      <c r="B859" s="551" t="str">
        <f t="array" ref="B859">IF(LEN(E859),INDEX('4-All Devices'!AG:AG, MATCH(E859, '4-All Devices'!AF:AF, 0)),"")</f>
        <v/>
      </c>
      <c r="C859" s="549" t="s">
        <v>11186</v>
      </c>
      <c r="D859" s="549" t="s">
        <v>11187</v>
      </c>
      <c r="E859" s="8"/>
      <c r="F859" s="552" t="s">
        <v>11188</v>
      </c>
      <c r="G859" s="8"/>
      <c r="H859" s="8"/>
      <c r="I859" s="8"/>
      <c r="J859" s="546" t="str">
        <f t="array" ref="J859">IF(LEN($E859),INDEX('4-All Devices'!AE:AE, MATCH($E859, '4-All Devices'!AF:AF, 0)),"")</f>
        <v/>
      </c>
      <c r="K859" s="8"/>
      <c r="L859" s="8"/>
      <c r="M859" s="8"/>
    </row>
    <row r="860">
      <c r="A860" s="542"/>
      <c r="B860" s="551" t="str">
        <f t="array" ref="B860">IF(LEN(E860),INDEX('4-All Devices'!AG:AG, MATCH(E860, '4-All Devices'!AF:AF, 0)),"")</f>
        <v/>
      </c>
      <c r="C860" s="549" t="s">
        <v>11186</v>
      </c>
      <c r="D860" s="549" t="s">
        <v>11187</v>
      </c>
      <c r="E860" s="8"/>
      <c r="F860" s="552" t="s">
        <v>11188</v>
      </c>
      <c r="G860" s="8"/>
      <c r="H860" s="8"/>
      <c r="I860" s="8"/>
      <c r="J860" s="546" t="str">
        <f t="array" ref="J860">IF(LEN($E860),INDEX('4-All Devices'!AE:AE, MATCH($E860, '4-All Devices'!AF:AF, 0)),"")</f>
        <v/>
      </c>
      <c r="K860" s="8"/>
      <c r="L860" s="8"/>
      <c r="M860" s="8"/>
    </row>
    <row r="861">
      <c r="A861" s="542"/>
      <c r="B861" s="551" t="str">
        <f t="array" ref="B861">IF(LEN(E861),INDEX('4-All Devices'!AG:AG, MATCH(E861, '4-All Devices'!AF:AF, 0)),"")</f>
        <v/>
      </c>
      <c r="C861" s="549" t="s">
        <v>11186</v>
      </c>
      <c r="D861" s="549" t="s">
        <v>11187</v>
      </c>
      <c r="E861" s="8"/>
      <c r="F861" s="552" t="s">
        <v>11188</v>
      </c>
      <c r="G861" s="8"/>
      <c r="H861" s="8"/>
      <c r="I861" s="8"/>
      <c r="J861" s="546" t="str">
        <f t="array" ref="J861">IF(LEN($E861),INDEX('4-All Devices'!AE:AE, MATCH($E861, '4-All Devices'!AF:AF, 0)),"")</f>
        <v/>
      </c>
      <c r="K861" s="8"/>
      <c r="L861" s="8"/>
      <c r="M861" s="8"/>
    </row>
    <row r="862">
      <c r="A862" s="542"/>
      <c r="B862" s="551" t="str">
        <f t="array" ref="B862">IF(LEN(E862),INDEX('4-All Devices'!AG:AG, MATCH(E862, '4-All Devices'!AF:AF, 0)),"")</f>
        <v/>
      </c>
      <c r="C862" s="549" t="s">
        <v>11186</v>
      </c>
      <c r="D862" s="549" t="s">
        <v>11187</v>
      </c>
      <c r="E862" s="8"/>
      <c r="F862" s="552" t="s">
        <v>11188</v>
      </c>
      <c r="G862" s="8"/>
      <c r="H862" s="8"/>
      <c r="I862" s="8"/>
      <c r="J862" s="546" t="str">
        <f t="array" ref="J862">IF(LEN($E862),INDEX('4-All Devices'!AE:AE, MATCH($E862, '4-All Devices'!AF:AF, 0)),"")</f>
        <v/>
      </c>
      <c r="K862" s="8"/>
      <c r="L862" s="8"/>
      <c r="M862" s="8"/>
    </row>
    <row r="863">
      <c r="A863" s="542"/>
      <c r="B863" s="551" t="str">
        <f t="array" ref="B863">IF(LEN(E863),INDEX('4-All Devices'!AG:AG, MATCH(E863, '4-All Devices'!AF:AF, 0)),"")</f>
        <v/>
      </c>
      <c r="C863" s="549" t="s">
        <v>11186</v>
      </c>
      <c r="D863" s="549" t="s">
        <v>11187</v>
      </c>
      <c r="E863" s="8"/>
      <c r="F863" s="552" t="s">
        <v>11188</v>
      </c>
      <c r="G863" s="8"/>
      <c r="H863" s="8"/>
      <c r="I863" s="8"/>
      <c r="J863" s="546" t="str">
        <f t="array" ref="J863">IF(LEN($E863),INDEX('4-All Devices'!AE:AE, MATCH($E863, '4-All Devices'!AF:AF, 0)),"")</f>
        <v/>
      </c>
      <c r="K863" s="8"/>
      <c r="L863" s="8"/>
      <c r="M863" s="8"/>
    </row>
    <row r="864">
      <c r="A864" s="542"/>
      <c r="B864" s="551" t="str">
        <f t="array" ref="B864">IF(LEN(E864),INDEX('4-All Devices'!AG:AG, MATCH(E864, '4-All Devices'!AF:AF, 0)),"")</f>
        <v/>
      </c>
      <c r="C864" s="549" t="s">
        <v>11186</v>
      </c>
      <c r="D864" s="549" t="s">
        <v>11187</v>
      </c>
      <c r="E864" s="8"/>
      <c r="F864" s="552" t="s">
        <v>11188</v>
      </c>
      <c r="G864" s="8"/>
      <c r="H864" s="8"/>
      <c r="I864" s="8"/>
      <c r="J864" s="546" t="str">
        <f t="array" ref="J864">IF(LEN($E864),INDEX('4-All Devices'!AE:AE, MATCH($E864, '4-All Devices'!AF:AF, 0)),"")</f>
        <v/>
      </c>
      <c r="K864" s="8"/>
      <c r="L864" s="8"/>
      <c r="M864" s="8"/>
    </row>
    <row r="865">
      <c r="A865" s="542"/>
      <c r="B865" s="551" t="str">
        <f t="array" ref="B865">IF(LEN(E865),INDEX('4-All Devices'!AG:AG, MATCH(E865, '4-All Devices'!AF:AF, 0)),"")</f>
        <v/>
      </c>
      <c r="C865" s="549" t="s">
        <v>11186</v>
      </c>
      <c r="D865" s="549" t="s">
        <v>11187</v>
      </c>
      <c r="E865" s="8"/>
      <c r="F865" s="552" t="s">
        <v>11188</v>
      </c>
      <c r="G865" s="8"/>
      <c r="H865" s="8"/>
      <c r="I865" s="8"/>
      <c r="J865" s="546" t="str">
        <f t="array" ref="J865">IF(LEN($E865),INDEX('4-All Devices'!AE:AE, MATCH($E865, '4-All Devices'!AF:AF, 0)),"")</f>
        <v/>
      </c>
      <c r="K865" s="8"/>
      <c r="L865" s="8"/>
      <c r="M865" s="8"/>
    </row>
    <row r="866">
      <c r="A866" s="542"/>
      <c r="B866" s="551" t="str">
        <f t="array" ref="B866">IF(LEN(E866),INDEX('4-All Devices'!AG:AG, MATCH(E866, '4-All Devices'!AF:AF, 0)),"")</f>
        <v/>
      </c>
      <c r="C866" s="549" t="s">
        <v>11186</v>
      </c>
      <c r="D866" s="549" t="s">
        <v>11187</v>
      </c>
      <c r="E866" s="8"/>
      <c r="F866" s="552" t="s">
        <v>11188</v>
      </c>
      <c r="G866" s="8"/>
      <c r="H866" s="8"/>
      <c r="I866" s="8"/>
      <c r="J866" s="546" t="str">
        <f t="array" ref="J866">IF(LEN($E866),INDEX('4-All Devices'!AE:AE, MATCH($E866, '4-All Devices'!AF:AF, 0)),"")</f>
        <v/>
      </c>
      <c r="K866" s="8"/>
      <c r="L866" s="8"/>
      <c r="M866" s="8"/>
    </row>
    <row r="867">
      <c r="A867" s="542"/>
      <c r="B867" s="551" t="str">
        <f t="array" ref="B867">IF(LEN(E867),INDEX('4-All Devices'!AG:AG, MATCH(E867, '4-All Devices'!AF:AF, 0)),"")</f>
        <v/>
      </c>
      <c r="C867" s="549" t="s">
        <v>11186</v>
      </c>
      <c r="D867" s="549" t="s">
        <v>11187</v>
      </c>
      <c r="E867" s="8"/>
      <c r="F867" s="552" t="s">
        <v>11188</v>
      </c>
      <c r="G867" s="8"/>
      <c r="H867" s="8"/>
      <c r="I867" s="8"/>
      <c r="J867" s="546" t="str">
        <f t="array" ref="J867">IF(LEN($E867),INDEX('4-All Devices'!AE:AE, MATCH($E867, '4-All Devices'!AF:AF, 0)),"")</f>
        <v/>
      </c>
      <c r="K867" s="8"/>
      <c r="L867" s="8"/>
      <c r="M867" s="8"/>
    </row>
    <row r="868">
      <c r="A868" s="542"/>
      <c r="B868" s="551" t="str">
        <f t="array" ref="B868">IF(LEN(E868),INDEX('4-All Devices'!AG:AG, MATCH(E868, '4-All Devices'!AF:AF, 0)),"")</f>
        <v/>
      </c>
      <c r="C868" s="549" t="s">
        <v>11186</v>
      </c>
      <c r="D868" s="549" t="s">
        <v>11187</v>
      </c>
      <c r="E868" s="8"/>
      <c r="F868" s="552" t="s">
        <v>11188</v>
      </c>
      <c r="G868" s="8"/>
      <c r="H868" s="8"/>
      <c r="I868" s="8"/>
      <c r="J868" s="546" t="str">
        <f t="array" ref="J868">IF(LEN($E868),INDEX('4-All Devices'!AE:AE, MATCH($E868, '4-All Devices'!AF:AF, 0)),"")</f>
        <v/>
      </c>
      <c r="K868" s="8"/>
      <c r="L868" s="8"/>
      <c r="M868" s="8"/>
    </row>
    <row r="869">
      <c r="A869" s="542"/>
      <c r="B869" s="551" t="str">
        <f t="array" ref="B869">IF(LEN(E869),INDEX('4-All Devices'!AG:AG, MATCH(E869, '4-All Devices'!AF:AF, 0)),"")</f>
        <v/>
      </c>
      <c r="C869" s="549" t="s">
        <v>11186</v>
      </c>
      <c r="D869" s="549" t="s">
        <v>11187</v>
      </c>
      <c r="E869" s="8"/>
      <c r="F869" s="552" t="s">
        <v>11188</v>
      </c>
      <c r="G869" s="8"/>
      <c r="H869" s="8"/>
      <c r="I869" s="8"/>
      <c r="J869" s="546" t="str">
        <f t="array" ref="J869">IF(LEN($E869),INDEX('4-All Devices'!AE:AE, MATCH($E869, '4-All Devices'!AF:AF, 0)),"")</f>
        <v/>
      </c>
      <c r="K869" s="8"/>
      <c r="L869" s="8"/>
      <c r="M869" s="8"/>
    </row>
    <row r="870">
      <c r="A870" s="542"/>
      <c r="B870" s="551" t="str">
        <f t="array" ref="B870">IF(LEN(E870),INDEX('4-All Devices'!AG:AG, MATCH(E870, '4-All Devices'!AF:AF, 0)),"")</f>
        <v/>
      </c>
      <c r="C870" s="549" t="s">
        <v>11186</v>
      </c>
      <c r="D870" s="549" t="s">
        <v>11187</v>
      </c>
      <c r="E870" s="8"/>
      <c r="F870" s="552" t="s">
        <v>11188</v>
      </c>
      <c r="G870" s="8"/>
      <c r="H870" s="8"/>
      <c r="I870" s="8"/>
      <c r="J870" s="546" t="str">
        <f t="array" ref="J870">IF(LEN($E870),INDEX('4-All Devices'!AE:AE, MATCH($E870, '4-All Devices'!AF:AF, 0)),"")</f>
        <v/>
      </c>
      <c r="K870" s="8"/>
      <c r="L870" s="8"/>
      <c r="M870" s="8"/>
    </row>
    <row r="871">
      <c r="A871" s="542"/>
      <c r="B871" s="551" t="str">
        <f t="array" ref="B871">IF(LEN(E871),INDEX('4-All Devices'!AG:AG, MATCH(E871, '4-All Devices'!AF:AF, 0)),"")</f>
        <v/>
      </c>
      <c r="C871" s="549" t="s">
        <v>11186</v>
      </c>
      <c r="D871" s="549" t="s">
        <v>11187</v>
      </c>
      <c r="E871" s="8"/>
      <c r="F871" s="552" t="s">
        <v>11188</v>
      </c>
      <c r="G871" s="8"/>
      <c r="H871" s="8"/>
      <c r="I871" s="8"/>
      <c r="J871" s="546" t="str">
        <f t="array" ref="J871">IF(LEN($E871),INDEX('4-All Devices'!AE:AE, MATCH($E871, '4-All Devices'!AF:AF, 0)),"")</f>
        <v/>
      </c>
      <c r="K871" s="8"/>
      <c r="L871" s="8"/>
      <c r="M871" s="8"/>
    </row>
    <row r="872">
      <c r="A872" s="542"/>
      <c r="B872" s="551" t="str">
        <f t="array" ref="B872">IF(LEN(E872),INDEX('4-All Devices'!AG:AG, MATCH(E872, '4-All Devices'!AF:AF, 0)),"")</f>
        <v/>
      </c>
      <c r="C872" s="549" t="s">
        <v>11186</v>
      </c>
      <c r="D872" s="549" t="s">
        <v>11187</v>
      </c>
      <c r="E872" s="8"/>
      <c r="F872" s="552" t="s">
        <v>11188</v>
      </c>
      <c r="G872" s="8"/>
      <c r="H872" s="8"/>
      <c r="I872" s="8"/>
      <c r="J872" s="546" t="str">
        <f t="array" ref="J872">IF(LEN($E872),INDEX('4-All Devices'!AE:AE, MATCH($E872, '4-All Devices'!AF:AF, 0)),"")</f>
        <v/>
      </c>
      <c r="K872" s="8"/>
      <c r="L872" s="8"/>
      <c r="M872" s="8"/>
    </row>
    <row r="873">
      <c r="A873" s="542"/>
      <c r="B873" s="551" t="str">
        <f t="array" ref="B873">IF(LEN(E873),INDEX('4-All Devices'!AG:AG, MATCH(E873, '4-All Devices'!AF:AF, 0)),"")</f>
        <v/>
      </c>
      <c r="C873" s="549" t="s">
        <v>11186</v>
      </c>
      <c r="D873" s="549" t="s">
        <v>11187</v>
      </c>
      <c r="E873" s="8"/>
      <c r="F873" s="552" t="s">
        <v>11188</v>
      </c>
      <c r="G873" s="8"/>
      <c r="H873" s="8"/>
      <c r="I873" s="8"/>
      <c r="J873" s="546" t="str">
        <f t="array" ref="J873">IF(LEN($E873),INDEX('4-All Devices'!AE:AE, MATCH($E873, '4-All Devices'!AF:AF, 0)),"")</f>
        <v/>
      </c>
      <c r="K873" s="8"/>
      <c r="L873" s="8"/>
      <c r="M873" s="8"/>
    </row>
    <row r="874">
      <c r="A874" s="542"/>
      <c r="B874" s="551" t="str">
        <f t="array" ref="B874">IF(LEN(E874),INDEX('4-All Devices'!AG:AG, MATCH(E874, '4-All Devices'!AF:AF, 0)),"")</f>
        <v/>
      </c>
      <c r="C874" s="549" t="s">
        <v>11186</v>
      </c>
      <c r="D874" s="549" t="s">
        <v>11187</v>
      </c>
      <c r="E874" s="8"/>
      <c r="F874" s="552" t="s">
        <v>11188</v>
      </c>
      <c r="G874" s="8"/>
      <c r="H874" s="8"/>
      <c r="I874" s="8"/>
      <c r="J874" s="546" t="str">
        <f t="array" ref="J874">IF(LEN($E874),INDEX('4-All Devices'!AE:AE, MATCH($E874, '4-All Devices'!AF:AF, 0)),"")</f>
        <v/>
      </c>
      <c r="K874" s="8"/>
      <c r="L874" s="8"/>
      <c r="M874" s="8"/>
    </row>
    <row r="875">
      <c r="A875" s="542"/>
      <c r="B875" s="551" t="str">
        <f t="array" ref="B875">IF(LEN(E875),INDEX('4-All Devices'!AG:AG, MATCH(E875, '4-All Devices'!AF:AF, 0)),"")</f>
        <v/>
      </c>
      <c r="C875" s="549" t="s">
        <v>11186</v>
      </c>
      <c r="D875" s="549" t="s">
        <v>11187</v>
      </c>
      <c r="E875" s="8"/>
      <c r="F875" s="552" t="s">
        <v>11188</v>
      </c>
      <c r="G875" s="8"/>
      <c r="H875" s="8"/>
      <c r="I875" s="8"/>
      <c r="J875" s="546" t="str">
        <f t="array" ref="J875">IF(LEN($E875),INDEX('4-All Devices'!AE:AE, MATCH($E875, '4-All Devices'!AF:AF, 0)),"")</f>
        <v/>
      </c>
      <c r="K875" s="8"/>
      <c r="L875" s="8"/>
      <c r="M875" s="8"/>
    </row>
    <row r="876">
      <c r="A876" s="542"/>
      <c r="B876" s="551" t="str">
        <f t="array" ref="B876">IF(LEN(E876),INDEX('4-All Devices'!AG:AG, MATCH(E876, '4-All Devices'!AF:AF, 0)),"")</f>
        <v/>
      </c>
      <c r="C876" s="549" t="s">
        <v>11186</v>
      </c>
      <c r="D876" s="549" t="s">
        <v>11187</v>
      </c>
      <c r="E876" s="8"/>
      <c r="F876" s="552" t="s">
        <v>11188</v>
      </c>
      <c r="G876" s="8"/>
      <c r="H876" s="8"/>
      <c r="I876" s="8"/>
      <c r="J876" s="546" t="str">
        <f t="array" ref="J876">IF(LEN($E876),INDEX('4-All Devices'!AE:AE, MATCH($E876, '4-All Devices'!AF:AF, 0)),"")</f>
        <v/>
      </c>
      <c r="K876" s="8"/>
      <c r="L876" s="8"/>
      <c r="M876" s="8"/>
    </row>
    <row r="877">
      <c r="A877" s="542"/>
      <c r="B877" s="551" t="str">
        <f t="array" ref="B877">IF(LEN(E877),INDEX('4-All Devices'!AG:AG, MATCH(E877, '4-All Devices'!AF:AF, 0)),"")</f>
        <v/>
      </c>
      <c r="C877" s="549" t="s">
        <v>11186</v>
      </c>
      <c r="D877" s="549" t="s">
        <v>11187</v>
      </c>
      <c r="E877" s="8"/>
      <c r="F877" s="552" t="s">
        <v>11188</v>
      </c>
      <c r="G877" s="8"/>
      <c r="H877" s="8"/>
      <c r="I877" s="8"/>
      <c r="J877" s="546" t="str">
        <f t="array" ref="J877">IF(LEN($E877),INDEX('4-All Devices'!AE:AE, MATCH($E877, '4-All Devices'!AF:AF, 0)),"")</f>
        <v/>
      </c>
      <c r="K877" s="8"/>
      <c r="L877" s="8"/>
      <c r="M877" s="8"/>
    </row>
    <row r="878">
      <c r="A878" s="542"/>
      <c r="B878" s="551" t="str">
        <f t="array" ref="B878">IF(LEN(E878),INDEX('4-All Devices'!AG:AG, MATCH(E878, '4-All Devices'!AF:AF, 0)),"")</f>
        <v/>
      </c>
      <c r="C878" s="549" t="s">
        <v>11186</v>
      </c>
      <c r="D878" s="549" t="s">
        <v>11187</v>
      </c>
      <c r="E878" s="8"/>
      <c r="F878" s="552" t="s">
        <v>11188</v>
      </c>
      <c r="G878" s="8"/>
      <c r="H878" s="8"/>
      <c r="I878" s="8"/>
      <c r="J878" s="546" t="str">
        <f t="array" ref="J878">IF(LEN($E878),INDEX('4-All Devices'!AE:AE, MATCH($E878, '4-All Devices'!AF:AF, 0)),"")</f>
        <v/>
      </c>
      <c r="K878" s="8"/>
      <c r="L878" s="8"/>
      <c r="M878" s="8"/>
    </row>
    <row r="879">
      <c r="A879" s="542"/>
      <c r="B879" s="551" t="str">
        <f t="array" ref="B879">IF(LEN(E879),INDEX('4-All Devices'!AG:AG, MATCH(E879, '4-All Devices'!AF:AF, 0)),"")</f>
        <v/>
      </c>
      <c r="C879" s="549" t="s">
        <v>11186</v>
      </c>
      <c r="D879" s="549" t="s">
        <v>11187</v>
      </c>
      <c r="E879" s="8"/>
      <c r="F879" s="552" t="s">
        <v>11188</v>
      </c>
      <c r="G879" s="8"/>
      <c r="H879" s="8"/>
      <c r="I879" s="8"/>
      <c r="J879" s="546" t="str">
        <f t="array" ref="J879">IF(LEN($E879),INDEX('4-All Devices'!AE:AE, MATCH($E879, '4-All Devices'!AF:AF, 0)),"")</f>
        <v/>
      </c>
      <c r="K879" s="8"/>
      <c r="L879" s="8"/>
      <c r="M879" s="8"/>
    </row>
    <row r="880">
      <c r="A880" s="542"/>
      <c r="B880" s="551" t="str">
        <f t="array" ref="B880">IF(LEN(E880),INDEX('4-All Devices'!AG:AG, MATCH(E880, '4-All Devices'!AF:AF, 0)),"")</f>
        <v/>
      </c>
      <c r="C880" s="549" t="s">
        <v>11186</v>
      </c>
      <c r="D880" s="549" t="s">
        <v>11187</v>
      </c>
      <c r="E880" s="8"/>
      <c r="F880" s="552" t="s">
        <v>11188</v>
      </c>
      <c r="G880" s="8"/>
      <c r="H880" s="8"/>
      <c r="I880" s="8"/>
      <c r="J880" s="546" t="str">
        <f t="array" ref="J880">IF(LEN($E880),INDEX('4-All Devices'!AE:AE, MATCH($E880, '4-All Devices'!AF:AF, 0)),"")</f>
        <v/>
      </c>
      <c r="K880" s="8"/>
      <c r="L880" s="8"/>
      <c r="M880" s="8"/>
    </row>
    <row r="881">
      <c r="A881" s="542"/>
      <c r="B881" s="551" t="str">
        <f t="array" ref="B881">IF(LEN(E881),INDEX('4-All Devices'!AG:AG, MATCH(E881, '4-All Devices'!AF:AF, 0)),"")</f>
        <v/>
      </c>
      <c r="C881" s="549" t="s">
        <v>11186</v>
      </c>
      <c r="D881" s="549" t="s">
        <v>11187</v>
      </c>
      <c r="E881" s="8"/>
      <c r="F881" s="552" t="s">
        <v>11188</v>
      </c>
      <c r="G881" s="8"/>
      <c r="H881" s="8"/>
      <c r="I881" s="8"/>
      <c r="J881" s="546" t="str">
        <f t="array" ref="J881">IF(LEN($E881),INDEX('4-All Devices'!AE:AE, MATCH($E881, '4-All Devices'!AF:AF, 0)),"")</f>
        <v/>
      </c>
      <c r="K881" s="8"/>
      <c r="L881" s="8"/>
      <c r="M881" s="8"/>
    </row>
    <row r="882">
      <c r="A882" s="542"/>
      <c r="B882" s="551" t="str">
        <f t="array" ref="B882">IF(LEN(E882),INDEX('4-All Devices'!AG:AG, MATCH(E882, '4-All Devices'!AF:AF, 0)),"")</f>
        <v/>
      </c>
      <c r="C882" s="549" t="s">
        <v>11186</v>
      </c>
      <c r="D882" s="549" t="s">
        <v>11187</v>
      </c>
      <c r="E882" s="8"/>
      <c r="F882" s="552" t="s">
        <v>11188</v>
      </c>
      <c r="G882" s="8"/>
      <c r="H882" s="8"/>
      <c r="I882" s="8"/>
      <c r="J882" s="546" t="str">
        <f t="array" ref="J882">IF(LEN($E882),INDEX('4-All Devices'!AE:AE, MATCH($E882, '4-All Devices'!AF:AF, 0)),"")</f>
        <v/>
      </c>
      <c r="K882" s="8"/>
      <c r="L882" s="8"/>
      <c r="M882" s="8"/>
    </row>
    <row r="883">
      <c r="A883" s="542"/>
      <c r="B883" s="551" t="str">
        <f t="array" ref="B883">IF(LEN(E883),INDEX('4-All Devices'!AG:AG, MATCH(E883, '4-All Devices'!AF:AF, 0)),"")</f>
        <v/>
      </c>
      <c r="C883" s="549" t="s">
        <v>11186</v>
      </c>
      <c r="D883" s="549" t="s">
        <v>11187</v>
      </c>
      <c r="E883" s="8"/>
      <c r="F883" s="552" t="s">
        <v>11188</v>
      </c>
      <c r="G883" s="8"/>
      <c r="H883" s="8"/>
      <c r="I883" s="8"/>
      <c r="J883" s="546" t="str">
        <f t="array" ref="J883">IF(LEN($E883),INDEX('4-All Devices'!AE:AE, MATCH($E883, '4-All Devices'!AF:AF, 0)),"")</f>
        <v/>
      </c>
      <c r="K883" s="8"/>
      <c r="L883" s="8"/>
      <c r="M883" s="8"/>
    </row>
    <row r="884">
      <c r="A884" s="542"/>
      <c r="B884" s="551" t="str">
        <f t="array" ref="B884">IF(LEN(E884),INDEX('4-All Devices'!AG:AG, MATCH(E884, '4-All Devices'!AF:AF, 0)),"")</f>
        <v/>
      </c>
      <c r="C884" s="549" t="s">
        <v>11186</v>
      </c>
      <c r="D884" s="549" t="s">
        <v>11187</v>
      </c>
      <c r="E884" s="8"/>
      <c r="F884" s="552" t="s">
        <v>11188</v>
      </c>
      <c r="G884" s="8"/>
      <c r="H884" s="8"/>
      <c r="I884" s="8"/>
      <c r="J884" s="546" t="str">
        <f t="array" ref="J884">IF(LEN($E884),INDEX('4-All Devices'!AE:AE, MATCH($E884, '4-All Devices'!AF:AF, 0)),"")</f>
        <v/>
      </c>
      <c r="K884" s="8"/>
      <c r="L884" s="8"/>
      <c r="M884" s="8"/>
    </row>
    <row r="885">
      <c r="A885" s="542"/>
      <c r="B885" s="551" t="str">
        <f t="array" ref="B885">IF(LEN(E885),INDEX('4-All Devices'!AG:AG, MATCH(E885, '4-All Devices'!AF:AF, 0)),"")</f>
        <v/>
      </c>
      <c r="C885" s="549" t="s">
        <v>11186</v>
      </c>
      <c r="D885" s="549" t="s">
        <v>11187</v>
      </c>
      <c r="E885" s="8"/>
      <c r="F885" s="552" t="s">
        <v>11188</v>
      </c>
      <c r="G885" s="8"/>
      <c r="H885" s="8"/>
      <c r="I885" s="8"/>
      <c r="J885" s="546" t="str">
        <f t="array" ref="J885">IF(LEN($E885),INDEX('4-All Devices'!AE:AE, MATCH($E885, '4-All Devices'!AF:AF, 0)),"")</f>
        <v/>
      </c>
      <c r="K885" s="8"/>
      <c r="L885" s="8"/>
      <c r="M885" s="8"/>
    </row>
    <row r="886">
      <c r="A886" s="542"/>
      <c r="B886" s="551" t="str">
        <f t="array" ref="B886">IF(LEN(E886),INDEX('4-All Devices'!AG:AG, MATCH(E886, '4-All Devices'!AF:AF, 0)),"")</f>
        <v/>
      </c>
      <c r="C886" s="549" t="s">
        <v>11186</v>
      </c>
      <c r="D886" s="549" t="s">
        <v>11187</v>
      </c>
      <c r="E886" s="8"/>
      <c r="F886" s="552" t="s">
        <v>11188</v>
      </c>
      <c r="G886" s="8"/>
      <c r="H886" s="8"/>
      <c r="I886" s="8"/>
      <c r="J886" s="546" t="str">
        <f t="array" ref="J886">IF(LEN($E886),INDEX('4-All Devices'!AE:AE, MATCH($E886, '4-All Devices'!AF:AF, 0)),"")</f>
        <v/>
      </c>
      <c r="K886" s="8"/>
      <c r="L886" s="8"/>
      <c r="M886" s="8"/>
    </row>
    <row r="887">
      <c r="A887" s="542"/>
      <c r="B887" s="551" t="str">
        <f t="array" ref="B887">IF(LEN(E887),INDEX('4-All Devices'!AG:AG, MATCH(E887, '4-All Devices'!AF:AF, 0)),"")</f>
        <v/>
      </c>
      <c r="C887" s="549" t="s">
        <v>11186</v>
      </c>
      <c r="D887" s="549" t="s">
        <v>11187</v>
      </c>
      <c r="E887" s="8"/>
      <c r="F887" s="552" t="s">
        <v>11188</v>
      </c>
      <c r="G887" s="8"/>
      <c r="H887" s="8"/>
      <c r="I887" s="8"/>
      <c r="J887" s="546" t="str">
        <f t="array" ref="J887">IF(LEN($E887),INDEX('4-All Devices'!AE:AE, MATCH($E887, '4-All Devices'!AF:AF, 0)),"")</f>
        <v/>
      </c>
      <c r="K887" s="8"/>
      <c r="L887" s="8"/>
      <c r="M887" s="8"/>
    </row>
    <row r="888">
      <c r="A888" s="542"/>
      <c r="B888" s="551" t="str">
        <f t="array" ref="B888">IF(LEN(E888),INDEX('4-All Devices'!AG:AG, MATCH(E888, '4-All Devices'!AF:AF, 0)),"")</f>
        <v/>
      </c>
      <c r="C888" s="549" t="s">
        <v>11186</v>
      </c>
      <c r="D888" s="549" t="s">
        <v>11187</v>
      </c>
      <c r="E888" s="8"/>
      <c r="F888" s="552" t="s">
        <v>11188</v>
      </c>
      <c r="G888" s="8"/>
      <c r="H888" s="8"/>
      <c r="I888" s="8"/>
      <c r="J888" s="546" t="str">
        <f t="array" ref="J888">IF(LEN($E888),INDEX('4-All Devices'!AE:AE, MATCH($E888, '4-All Devices'!AF:AF, 0)),"")</f>
        <v/>
      </c>
      <c r="K888" s="8"/>
      <c r="L888" s="8"/>
      <c r="M888" s="8"/>
    </row>
    <row r="889">
      <c r="A889" s="542"/>
      <c r="B889" s="551" t="str">
        <f t="array" ref="B889">IF(LEN(E889),INDEX('4-All Devices'!AG:AG, MATCH(E889, '4-All Devices'!AF:AF, 0)),"")</f>
        <v/>
      </c>
      <c r="C889" s="549" t="s">
        <v>11186</v>
      </c>
      <c r="D889" s="549" t="s">
        <v>11187</v>
      </c>
      <c r="E889" s="8"/>
      <c r="F889" s="552" t="s">
        <v>11188</v>
      </c>
      <c r="G889" s="8"/>
      <c r="H889" s="8"/>
      <c r="I889" s="8"/>
      <c r="J889" s="546" t="str">
        <f t="array" ref="J889">IF(LEN($E889),INDEX('4-All Devices'!AE:AE, MATCH($E889, '4-All Devices'!AF:AF, 0)),"")</f>
        <v/>
      </c>
      <c r="K889" s="8"/>
      <c r="L889" s="8"/>
      <c r="M889" s="8"/>
    </row>
    <row r="890">
      <c r="A890" s="542"/>
      <c r="B890" s="551" t="str">
        <f t="array" ref="B890">IF(LEN(E890),INDEX('4-All Devices'!AG:AG, MATCH(E890, '4-All Devices'!AF:AF, 0)),"")</f>
        <v/>
      </c>
      <c r="C890" s="549" t="s">
        <v>11186</v>
      </c>
      <c r="D890" s="549" t="s">
        <v>11187</v>
      </c>
      <c r="E890" s="8"/>
      <c r="F890" s="552" t="s">
        <v>11188</v>
      </c>
      <c r="G890" s="8"/>
      <c r="H890" s="8"/>
      <c r="I890" s="8"/>
      <c r="J890" s="546" t="str">
        <f t="array" ref="J890">IF(LEN($E890),INDEX('4-All Devices'!AE:AE, MATCH($E890, '4-All Devices'!AF:AF, 0)),"")</f>
        <v/>
      </c>
      <c r="K890" s="8"/>
      <c r="L890" s="8"/>
      <c r="M890" s="8"/>
    </row>
    <row r="891">
      <c r="A891" s="542"/>
      <c r="B891" s="551" t="str">
        <f t="array" ref="B891">IF(LEN(E891),INDEX('4-All Devices'!AG:AG, MATCH(E891, '4-All Devices'!AF:AF, 0)),"")</f>
        <v/>
      </c>
      <c r="C891" s="549" t="s">
        <v>11186</v>
      </c>
      <c r="D891" s="549" t="s">
        <v>11187</v>
      </c>
      <c r="E891" s="8"/>
      <c r="F891" s="552" t="s">
        <v>11188</v>
      </c>
      <c r="G891" s="8"/>
      <c r="H891" s="8"/>
      <c r="I891" s="8"/>
      <c r="J891" s="546" t="str">
        <f t="array" ref="J891">IF(LEN($E891),INDEX('4-All Devices'!AE:AE, MATCH($E891, '4-All Devices'!AF:AF, 0)),"")</f>
        <v/>
      </c>
      <c r="K891" s="8"/>
      <c r="L891" s="8"/>
      <c r="M891" s="8"/>
    </row>
    <row r="892">
      <c r="A892" s="542"/>
      <c r="B892" s="551" t="str">
        <f t="array" ref="B892">IF(LEN(E892),INDEX('4-All Devices'!AG:AG, MATCH(E892, '4-All Devices'!AF:AF, 0)),"")</f>
        <v/>
      </c>
      <c r="C892" s="549" t="s">
        <v>11186</v>
      </c>
      <c r="D892" s="549" t="s">
        <v>11187</v>
      </c>
      <c r="E892" s="8"/>
      <c r="F892" s="552" t="s">
        <v>11188</v>
      </c>
      <c r="G892" s="8"/>
      <c r="H892" s="8"/>
      <c r="I892" s="8"/>
      <c r="J892" s="546" t="str">
        <f t="array" ref="J892">IF(LEN($E892),INDEX('4-All Devices'!AE:AE, MATCH($E892, '4-All Devices'!AF:AF, 0)),"")</f>
        <v/>
      </c>
      <c r="K892" s="8"/>
      <c r="L892" s="8"/>
      <c r="M892" s="8"/>
    </row>
    <row r="893">
      <c r="A893" s="542"/>
      <c r="B893" s="551" t="str">
        <f t="array" ref="B893">IF(LEN(E893),INDEX('4-All Devices'!AG:AG, MATCH(E893, '4-All Devices'!AF:AF, 0)),"")</f>
        <v/>
      </c>
      <c r="C893" s="549" t="s">
        <v>11186</v>
      </c>
      <c r="D893" s="549" t="s">
        <v>11187</v>
      </c>
      <c r="E893" s="8"/>
      <c r="F893" s="552" t="s">
        <v>11188</v>
      </c>
      <c r="G893" s="8"/>
      <c r="H893" s="8"/>
      <c r="I893" s="8"/>
      <c r="J893" s="546" t="str">
        <f t="array" ref="J893">IF(LEN($E893),INDEX('4-All Devices'!AE:AE, MATCH($E893, '4-All Devices'!AF:AF, 0)),"")</f>
        <v/>
      </c>
      <c r="K893" s="8"/>
      <c r="L893" s="8"/>
      <c r="M893" s="8"/>
    </row>
    <row r="894">
      <c r="A894" s="542"/>
      <c r="B894" s="551" t="str">
        <f t="array" ref="B894">IF(LEN(E894),INDEX('4-All Devices'!AG:AG, MATCH(E894, '4-All Devices'!AF:AF, 0)),"")</f>
        <v/>
      </c>
      <c r="C894" s="549" t="s">
        <v>11186</v>
      </c>
      <c r="D894" s="549" t="s">
        <v>11187</v>
      </c>
      <c r="E894" s="8"/>
      <c r="F894" s="552" t="s">
        <v>11188</v>
      </c>
      <c r="G894" s="8"/>
      <c r="H894" s="8"/>
      <c r="I894" s="8"/>
      <c r="J894" s="546" t="str">
        <f t="array" ref="J894">IF(LEN($E894),INDEX('4-All Devices'!AE:AE, MATCH($E894, '4-All Devices'!AF:AF, 0)),"")</f>
        <v/>
      </c>
      <c r="K894" s="8"/>
      <c r="L894" s="8"/>
      <c r="M894" s="8"/>
    </row>
    <row r="895">
      <c r="A895" s="542"/>
      <c r="B895" s="551" t="str">
        <f t="array" ref="B895">IF(LEN(E895),INDEX('4-All Devices'!AG:AG, MATCH(E895, '4-All Devices'!AF:AF, 0)),"")</f>
        <v/>
      </c>
      <c r="C895" s="549" t="s">
        <v>11186</v>
      </c>
      <c r="D895" s="549" t="s">
        <v>11187</v>
      </c>
      <c r="E895" s="8"/>
      <c r="F895" s="552" t="s">
        <v>11188</v>
      </c>
      <c r="G895" s="8"/>
      <c r="H895" s="8"/>
      <c r="I895" s="8"/>
      <c r="J895" s="546" t="str">
        <f t="array" ref="J895">IF(LEN($E895),INDEX('4-All Devices'!AE:AE, MATCH($E895, '4-All Devices'!AF:AF, 0)),"")</f>
        <v/>
      </c>
      <c r="K895" s="8"/>
      <c r="L895" s="8"/>
      <c r="M895" s="8"/>
    </row>
    <row r="896">
      <c r="A896" s="542"/>
      <c r="B896" s="551" t="str">
        <f t="array" ref="B896">IF(LEN(E896),INDEX('4-All Devices'!AG:AG, MATCH(E896, '4-All Devices'!AF:AF, 0)),"")</f>
        <v/>
      </c>
      <c r="C896" s="549" t="s">
        <v>11186</v>
      </c>
      <c r="D896" s="549" t="s">
        <v>11187</v>
      </c>
      <c r="E896" s="8"/>
      <c r="F896" s="552" t="s">
        <v>11188</v>
      </c>
      <c r="G896" s="8"/>
      <c r="H896" s="8"/>
      <c r="I896" s="8"/>
      <c r="J896" s="546" t="str">
        <f t="array" ref="J896">IF(LEN($E896),INDEX('4-All Devices'!AE:AE, MATCH($E896, '4-All Devices'!AF:AF, 0)),"")</f>
        <v/>
      </c>
      <c r="K896" s="8"/>
      <c r="L896" s="8"/>
      <c r="M896" s="8"/>
    </row>
    <row r="897">
      <c r="A897" s="542"/>
      <c r="B897" s="551" t="str">
        <f t="array" ref="B897">IF(LEN(E897),INDEX('4-All Devices'!AG:AG, MATCH(E897, '4-All Devices'!AF:AF, 0)),"")</f>
        <v/>
      </c>
      <c r="C897" s="549" t="s">
        <v>11186</v>
      </c>
      <c r="D897" s="549" t="s">
        <v>11187</v>
      </c>
      <c r="E897" s="8"/>
      <c r="F897" s="552" t="s">
        <v>11188</v>
      </c>
      <c r="G897" s="8"/>
      <c r="H897" s="8"/>
      <c r="I897" s="8"/>
      <c r="J897" s="546" t="str">
        <f t="array" ref="J897">IF(LEN($E897),INDEX('4-All Devices'!AE:AE, MATCH($E897, '4-All Devices'!AF:AF, 0)),"")</f>
        <v/>
      </c>
      <c r="K897" s="8"/>
      <c r="L897" s="8"/>
      <c r="M897" s="8"/>
    </row>
    <row r="898">
      <c r="A898" s="542"/>
      <c r="B898" s="551" t="str">
        <f t="array" ref="B898">IF(LEN(E898),INDEX('4-All Devices'!AG:AG, MATCH(E898, '4-All Devices'!AF:AF, 0)),"")</f>
        <v/>
      </c>
      <c r="C898" s="549" t="s">
        <v>11186</v>
      </c>
      <c r="D898" s="549" t="s">
        <v>11187</v>
      </c>
      <c r="E898" s="8"/>
      <c r="F898" s="552" t="s">
        <v>11188</v>
      </c>
      <c r="G898" s="8"/>
      <c r="H898" s="8"/>
      <c r="I898" s="8"/>
      <c r="J898" s="546" t="str">
        <f t="array" ref="J898">IF(LEN($E898),INDEX('4-All Devices'!AE:AE, MATCH($E898, '4-All Devices'!AF:AF, 0)),"")</f>
        <v/>
      </c>
      <c r="K898" s="8"/>
      <c r="L898" s="8"/>
      <c r="M898" s="8"/>
    </row>
    <row r="899">
      <c r="A899" s="542"/>
      <c r="B899" s="551" t="str">
        <f t="array" ref="B899">IF(LEN(E899),INDEX('4-All Devices'!AG:AG, MATCH(E899, '4-All Devices'!AF:AF, 0)),"")</f>
        <v/>
      </c>
      <c r="C899" s="549" t="s">
        <v>11186</v>
      </c>
      <c r="D899" s="549" t="s">
        <v>11187</v>
      </c>
      <c r="E899" s="8"/>
      <c r="F899" s="552" t="s">
        <v>11188</v>
      </c>
      <c r="G899" s="8"/>
      <c r="H899" s="8"/>
      <c r="I899" s="8"/>
      <c r="J899" s="546" t="str">
        <f t="array" ref="J899">IF(LEN($E899),INDEX('4-All Devices'!AE:AE, MATCH($E899, '4-All Devices'!AF:AF, 0)),"")</f>
        <v/>
      </c>
      <c r="K899" s="8"/>
      <c r="L899" s="8"/>
      <c r="M899" s="8"/>
    </row>
    <row r="900">
      <c r="A900" s="542"/>
      <c r="B900" s="551" t="str">
        <f t="array" ref="B900">IF(LEN(E900),INDEX('4-All Devices'!AG:AG, MATCH(E900, '4-All Devices'!AF:AF, 0)),"")</f>
        <v/>
      </c>
      <c r="C900" s="549" t="s">
        <v>11186</v>
      </c>
      <c r="D900" s="549" t="s">
        <v>11187</v>
      </c>
      <c r="E900" s="8"/>
      <c r="F900" s="552" t="s">
        <v>11188</v>
      </c>
      <c r="G900" s="8"/>
      <c r="H900" s="8"/>
      <c r="I900" s="8"/>
      <c r="J900" s="546" t="str">
        <f t="array" ref="J900">IF(LEN($E900),INDEX('4-All Devices'!AE:AE, MATCH($E900, '4-All Devices'!AF:AF, 0)),"")</f>
        <v/>
      </c>
      <c r="K900" s="8"/>
      <c r="L900" s="8"/>
      <c r="M900" s="8"/>
    </row>
    <row r="901">
      <c r="A901" s="542"/>
      <c r="B901" s="551" t="str">
        <f t="array" ref="B901">IF(LEN(E901),INDEX('4-All Devices'!AG:AG, MATCH(E901, '4-All Devices'!AF:AF, 0)),"")</f>
        <v/>
      </c>
      <c r="C901" s="549" t="s">
        <v>11186</v>
      </c>
      <c r="D901" s="549" t="s">
        <v>11187</v>
      </c>
      <c r="E901" s="8"/>
      <c r="F901" s="552" t="s">
        <v>11188</v>
      </c>
      <c r="G901" s="8"/>
      <c r="H901" s="8"/>
      <c r="I901" s="8"/>
      <c r="J901" s="546" t="str">
        <f t="array" ref="J901">IF(LEN($E901),INDEX('4-All Devices'!AE:AE, MATCH($E901, '4-All Devices'!AF:AF, 0)),"")</f>
        <v/>
      </c>
      <c r="K901" s="8"/>
      <c r="L901" s="8"/>
      <c r="M901" s="8"/>
    </row>
    <row r="902">
      <c r="A902" s="542"/>
      <c r="B902" s="551" t="str">
        <f t="array" ref="B902">IF(LEN(E902),INDEX('4-All Devices'!AG:AG, MATCH(E902, '4-All Devices'!AF:AF, 0)),"")</f>
        <v/>
      </c>
      <c r="C902" s="549" t="s">
        <v>11186</v>
      </c>
      <c r="D902" s="549" t="s">
        <v>11187</v>
      </c>
      <c r="E902" s="8"/>
      <c r="F902" s="552" t="s">
        <v>11188</v>
      </c>
      <c r="G902" s="8"/>
      <c r="H902" s="8"/>
      <c r="I902" s="8"/>
      <c r="J902" s="546" t="str">
        <f t="array" ref="J902">IF(LEN($E902),INDEX('4-All Devices'!AE:AE, MATCH($E902, '4-All Devices'!AF:AF, 0)),"")</f>
        <v/>
      </c>
      <c r="K902" s="8"/>
      <c r="L902" s="8"/>
      <c r="M902" s="8"/>
    </row>
    <row r="903">
      <c r="A903" s="542"/>
      <c r="B903" s="551" t="str">
        <f t="array" ref="B903">IF(LEN(E903),INDEX('4-All Devices'!AG:AG, MATCH(E903, '4-All Devices'!AF:AF, 0)),"")</f>
        <v/>
      </c>
      <c r="C903" s="549" t="s">
        <v>11186</v>
      </c>
      <c r="D903" s="549" t="s">
        <v>11187</v>
      </c>
      <c r="E903" s="8"/>
      <c r="F903" s="552" t="s">
        <v>11188</v>
      </c>
      <c r="G903" s="8"/>
      <c r="H903" s="8"/>
      <c r="I903" s="8"/>
      <c r="J903" s="546" t="str">
        <f t="array" ref="J903">IF(LEN($E903),INDEX('4-All Devices'!AE:AE, MATCH($E903, '4-All Devices'!AF:AF, 0)),"")</f>
        <v/>
      </c>
      <c r="K903" s="8"/>
      <c r="L903" s="8"/>
      <c r="M903" s="8"/>
    </row>
    <row r="904">
      <c r="A904" s="542"/>
      <c r="B904" s="551" t="str">
        <f t="array" ref="B904">IF(LEN(E904),INDEX('4-All Devices'!AG:AG, MATCH(E904, '4-All Devices'!AF:AF, 0)),"")</f>
        <v/>
      </c>
      <c r="C904" s="549" t="s">
        <v>11186</v>
      </c>
      <c r="D904" s="549" t="s">
        <v>11187</v>
      </c>
      <c r="E904" s="8"/>
      <c r="F904" s="552" t="s">
        <v>11188</v>
      </c>
      <c r="G904" s="8"/>
      <c r="H904" s="8"/>
      <c r="I904" s="8"/>
      <c r="J904" s="546" t="str">
        <f t="array" ref="J904">IF(LEN($E904),INDEX('4-All Devices'!AE:AE, MATCH($E904, '4-All Devices'!AF:AF, 0)),"")</f>
        <v/>
      </c>
      <c r="K904" s="8"/>
      <c r="L904" s="8"/>
      <c r="M904" s="8"/>
    </row>
    <row r="905">
      <c r="A905" s="542"/>
      <c r="B905" s="551" t="str">
        <f t="array" ref="B905">IF(LEN(E905),INDEX('4-All Devices'!AG:AG, MATCH(E905, '4-All Devices'!AF:AF, 0)),"")</f>
        <v/>
      </c>
      <c r="C905" s="549" t="s">
        <v>11186</v>
      </c>
      <c r="D905" s="549" t="s">
        <v>11187</v>
      </c>
      <c r="E905" s="8"/>
      <c r="F905" s="552" t="s">
        <v>11188</v>
      </c>
      <c r="G905" s="8"/>
      <c r="H905" s="8"/>
      <c r="I905" s="8"/>
      <c r="J905" s="546" t="str">
        <f t="array" ref="J905">IF(LEN($E905),INDEX('4-All Devices'!AE:AE, MATCH($E905, '4-All Devices'!AF:AF, 0)),"")</f>
        <v/>
      </c>
      <c r="K905" s="8"/>
      <c r="L905" s="8"/>
      <c r="M905" s="8"/>
    </row>
    <row r="906">
      <c r="A906" s="542"/>
      <c r="B906" s="551" t="str">
        <f t="array" ref="B906">IF(LEN(E906),INDEX('4-All Devices'!AG:AG, MATCH(E906, '4-All Devices'!AF:AF, 0)),"")</f>
        <v/>
      </c>
      <c r="C906" s="549" t="s">
        <v>11186</v>
      </c>
      <c r="D906" s="549" t="s">
        <v>11187</v>
      </c>
      <c r="E906" s="8"/>
      <c r="F906" s="552" t="s">
        <v>11188</v>
      </c>
      <c r="G906" s="8"/>
      <c r="H906" s="8"/>
      <c r="I906" s="8"/>
      <c r="J906" s="546" t="str">
        <f t="array" ref="J906">IF(LEN($E906),INDEX('4-All Devices'!AE:AE, MATCH($E906, '4-All Devices'!AF:AF, 0)),"")</f>
        <v/>
      </c>
      <c r="K906" s="8"/>
      <c r="L906" s="8"/>
      <c r="M906" s="8"/>
    </row>
    <row r="907">
      <c r="A907" s="542"/>
      <c r="B907" s="551" t="str">
        <f t="array" ref="B907">IF(LEN(E907),INDEX('4-All Devices'!AG:AG, MATCH(E907, '4-All Devices'!AF:AF, 0)),"")</f>
        <v/>
      </c>
      <c r="C907" s="549" t="s">
        <v>11186</v>
      </c>
      <c r="D907" s="549" t="s">
        <v>11187</v>
      </c>
      <c r="E907" s="8"/>
      <c r="F907" s="552" t="s">
        <v>11188</v>
      </c>
      <c r="G907" s="8"/>
      <c r="H907" s="8"/>
      <c r="I907" s="8"/>
      <c r="J907" s="546" t="str">
        <f t="array" ref="J907">IF(LEN($E907),INDEX('4-All Devices'!AE:AE, MATCH($E907, '4-All Devices'!AF:AF, 0)),"")</f>
        <v/>
      </c>
      <c r="K907" s="8"/>
      <c r="L907" s="8"/>
      <c r="M907" s="8"/>
    </row>
    <row r="908">
      <c r="A908" s="542"/>
      <c r="B908" s="551" t="str">
        <f t="array" ref="B908">IF(LEN(E908),INDEX('4-All Devices'!AG:AG, MATCH(E908, '4-All Devices'!AF:AF, 0)),"")</f>
        <v/>
      </c>
      <c r="C908" s="549" t="s">
        <v>11186</v>
      </c>
      <c r="D908" s="549" t="s">
        <v>11187</v>
      </c>
      <c r="E908" s="8"/>
      <c r="F908" s="552" t="s">
        <v>11188</v>
      </c>
      <c r="G908" s="8"/>
      <c r="H908" s="8"/>
      <c r="I908" s="8"/>
      <c r="J908" s="546" t="str">
        <f t="array" ref="J908">IF(LEN($E908),INDEX('4-All Devices'!AE:AE, MATCH($E908, '4-All Devices'!AF:AF, 0)),"")</f>
        <v/>
      </c>
      <c r="K908" s="8"/>
      <c r="L908" s="8"/>
      <c r="M908" s="8"/>
    </row>
    <row r="909">
      <c r="A909" s="542"/>
      <c r="B909" s="551" t="str">
        <f t="array" ref="B909">IF(LEN(E909),INDEX('4-All Devices'!AG:AG, MATCH(E909, '4-All Devices'!AF:AF, 0)),"")</f>
        <v/>
      </c>
      <c r="C909" s="549" t="s">
        <v>11186</v>
      </c>
      <c r="D909" s="549" t="s">
        <v>11187</v>
      </c>
      <c r="E909" s="8"/>
      <c r="F909" s="552" t="s">
        <v>11188</v>
      </c>
      <c r="G909" s="8"/>
      <c r="H909" s="8"/>
      <c r="I909" s="8"/>
      <c r="J909" s="546" t="str">
        <f t="array" ref="J909">IF(LEN($E909),INDEX('4-All Devices'!AE:AE, MATCH($E909, '4-All Devices'!AF:AF, 0)),"")</f>
        <v/>
      </c>
      <c r="K909" s="8"/>
      <c r="L909" s="8"/>
      <c r="M909" s="8"/>
    </row>
    <row r="910">
      <c r="A910" s="542"/>
      <c r="B910" s="551" t="str">
        <f t="array" ref="B910">IF(LEN(E910),INDEX('4-All Devices'!AG:AG, MATCH(E910, '4-All Devices'!AF:AF, 0)),"")</f>
        <v/>
      </c>
      <c r="C910" s="549" t="s">
        <v>11186</v>
      </c>
      <c r="D910" s="549" t="s">
        <v>11187</v>
      </c>
      <c r="E910" s="8"/>
      <c r="F910" s="552" t="s">
        <v>11188</v>
      </c>
      <c r="G910" s="8"/>
      <c r="H910" s="8"/>
      <c r="I910" s="8"/>
      <c r="J910" s="546" t="str">
        <f t="array" ref="J910">IF(LEN($E910),INDEX('4-All Devices'!AE:AE, MATCH($E910, '4-All Devices'!AF:AF, 0)),"")</f>
        <v/>
      </c>
      <c r="K910" s="8"/>
      <c r="L910" s="8"/>
      <c r="M910" s="8"/>
    </row>
    <row r="911">
      <c r="A911" s="542"/>
      <c r="B911" s="551" t="str">
        <f t="array" ref="B911">IF(LEN(E911),INDEX('4-All Devices'!AG:AG, MATCH(E911, '4-All Devices'!AF:AF, 0)),"")</f>
        <v/>
      </c>
      <c r="C911" s="549" t="s">
        <v>11186</v>
      </c>
      <c r="D911" s="549" t="s">
        <v>11187</v>
      </c>
      <c r="E911" s="8"/>
      <c r="F911" s="552" t="s">
        <v>11188</v>
      </c>
      <c r="G911" s="8"/>
      <c r="H911" s="8"/>
      <c r="I911" s="8"/>
      <c r="J911" s="546" t="str">
        <f t="array" ref="J911">IF(LEN($E911),INDEX('4-All Devices'!AE:AE, MATCH($E911, '4-All Devices'!AF:AF, 0)),"")</f>
        <v/>
      </c>
      <c r="K911" s="8"/>
      <c r="L911" s="8"/>
      <c r="M911" s="8"/>
    </row>
    <row r="912">
      <c r="A912" s="542"/>
      <c r="B912" s="551" t="str">
        <f t="array" ref="B912">IF(LEN(E912),INDEX('4-All Devices'!AG:AG, MATCH(E912, '4-All Devices'!AF:AF, 0)),"")</f>
        <v/>
      </c>
      <c r="C912" s="549" t="s">
        <v>11186</v>
      </c>
      <c r="D912" s="549" t="s">
        <v>11187</v>
      </c>
      <c r="E912" s="8"/>
      <c r="F912" s="552" t="s">
        <v>11188</v>
      </c>
      <c r="G912" s="8"/>
      <c r="H912" s="8"/>
      <c r="I912" s="8"/>
      <c r="J912" s="546" t="str">
        <f t="array" ref="J912">IF(LEN($E912),INDEX('4-All Devices'!AE:AE, MATCH($E912, '4-All Devices'!AF:AF, 0)),"")</f>
        <v/>
      </c>
      <c r="K912" s="8"/>
      <c r="L912" s="8"/>
      <c r="M912" s="8"/>
    </row>
    <row r="913">
      <c r="A913" s="542"/>
      <c r="B913" s="551" t="str">
        <f t="array" ref="B913">IF(LEN(E913),INDEX('4-All Devices'!AG:AG, MATCH(E913, '4-All Devices'!AF:AF, 0)),"")</f>
        <v/>
      </c>
      <c r="C913" s="549" t="s">
        <v>11186</v>
      </c>
      <c r="D913" s="549" t="s">
        <v>11187</v>
      </c>
      <c r="E913" s="8"/>
      <c r="F913" s="552" t="s">
        <v>11188</v>
      </c>
      <c r="G913" s="8"/>
      <c r="H913" s="8"/>
      <c r="I913" s="8"/>
      <c r="J913" s="546" t="str">
        <f t="array" ref="J913">IF(LEN($E913),INDEX('4-All Devices'!AE:AE, MATCH($E913, '4-All Devices'!AF:AF, 0)),"")</f>
        <v/>
      </c>
      <c r="K913" s="8"/>
      <c r="L913" s="8"/>
      <c r="M913" s="8"/>
    </row>
    <row r="914">
      <c r="A914" s="542"/>
      <c r="B914" s="551" t="str">
        <f t="array" ref="B914">IF(LEN(E914),INDEX('4-All Devices'!AG:AG, MATCH(E914, '4-All Devices'!AF:AF, 0)),"")</f>
        <v/>
      </c>
      <c r="C914" s="549" t="s">
        <v>11186</v>
      </c>
      <c r="D914" s="549" t="s">
        <v>11187</v>
      </c>
      <c r="E914" s="8"/>
      <c r="F914" s="552" t="s">
        <v>11188</v>
      </c>
      <c r="G914" s="8"/>
      <c r="H914" s="8"/>
      <c r="I914" s="8"/>
      <c r="J914" s="546" t="str">
        <f t="array" ref="J914">IF(LEN($E914),INDEX('4-All Devices'!AE:AE, MATCH($E914, '4-All Devices'!AF:AF, 0)),"")</f>
        <v/>
      </c>
      <c r="K914" s="8"/>
      <c r="L914" s="8"/>
      <c r="M914" s="8"/>
    </row>
    <row r="915">
      <c r="A915" s="542"/>
      <c r="B915" s="551" t="str">
        <f t="array" ref="B915">IF(LEN(E915),INDEX('4-All Devices'!AG:AG, MATCH(E915, '4-All Devices'!AF:AF, 0)),"")</f>
        <v/>
      </c>
      <c r="C915" s="549" t="s">
        <v>11186</v>
      </c>
      <c r="D915" s="549" t="s">
        <v>11187</v>
      </c>
      <c r="E915" s="8"/>
      <c r="F915" s="552" t="s">
        <v>11188</v>
      </c>
      <c r="G915" s="8"/>
      <c r="H915" s="8"/>
      <c r="I915" s="8"/>
      <c r="J915" s="546" t="str">
        <f t="array" ref="J915">IF(LEN($E915),INDEX('4-All Devices'!AE:AE, MATCH($E915, '4-All Devices'!AF:AF, 0)),"")</f>
        <v/>
      </c>
      <c r="K915" s="8"/>
      <c r="L915" s="8"/>
      <c r="M915" s="8"/>
    </row>
    <row r="916">
      <c r="A916" s="542"/>
      <c r="B916" s="551" t="str">
        <f t="array" ref="B916">IF(LEN(E916),INDEX('4-All Devices'!AG:AG, MATCH(E916, '4-All Devices'!AF:AF, 0)),"")</f>
        <v/>
      </c>
      <c r="C916" s="549" t="s">
        <v>11186</v>
      </c>
      <c r="D916" s="549" t="s">
        <v>11187</v>
      </c>
      <c r="E916" s="8"/>
      <c r="F916" s="552" t="s">
        <v>11188</v>
      </c>
      <c r="G916" s="8"/>
      <c r="H916" s="8"/>
      <c r="I916" s="8"/>
      <c r="J916" s="546" t="str">
        <f t="array" ref="J916">IF(LEN($E916),INDEX('4-All Devices'!AE:AE, MATCH($E916, '4-All Devices'!AF:AF, 0)),"")</f>
        <v/>
      </c>
      <c r="K916" s="8"/>
      <c r="L916" s="8"/>
      <c r="M916" s="8"/>
    </row>
    <row r="917">
      <c r="A917" s="542"/>
      <c r="B917" s="551" t="str">
        <f t="array" ref="B917">IF(LEN(E917),INDEX('4-All Devices'!AG:AG, MATCH(E917, '4-All Devices'!AF:AF, 0)),"")</f>
        <v/>
      </c>
      <c r="C917" s="549" t="s">
        <v>11186</v>
      </c>
      <c r="D917" s="549" t="s">
        <v>11187</v>
      </c>
      <c r="E917" s="8"/>
      <c r="F917" s="552" t="s">
        <v>11188</v>
      </c>
      <c r="G917" s="8"/>
      <c r="H917" s="8"/>
      <c r="I917" s="8"/>
      <c r="J917" s="546" t="str">
        <f t="array" ref="J917">IF(LEN($E917),INDEX('4-All Devices'!AE:AE, MATCH($E917, '4-All Devices'!AF:AF, 0)),"")</f>
        <v/>
      </c>
      <c r="K917" s="8"/>
      <c r="L917" s="8"/>
      <c r="M917" s="8"/>
    </row>
    <row r="918">
      <c r="A918" s="542"/>
      <c r="B918" s="551" t="str">
        <f t="array" ref="B918">IF(LEN(E918),INDEX('4-All Devices'!AG:AG, MATCH(E918, '4-All Devices'!AF:AF, 0)),"")</f>
        <v/>
      </c>
      <c r="C918" s="549" t="s">
        <v>11186</v>
      </c>
      <c r="D918" s="549" t="s">
        <v>11187</v>
      </c>
      <c r="E918" s="8"/>
      <c r="F918" s="552" t="s">
        <v>11188</v>
      </c>
      <c r="G918" s="8"/>
      <c r="H918" s="8"/>
      <c r="I918" s="8"/>
      <c r="J918" s="546" t="str">
        <f t="array" ref="J918">IF(LEN($E918),INDEX('4-All Devices'!AE:AE, MATCH($E918, '4-All Devices'!AF:AF, 0)),"")</f>
        <v/>
      </c>
      <c r="K918" s="8"/>
      <c r="L918" s="8"/>
      <c r="M918" s="8"/>
    </row>
    <row r="919">
      <c r="A919" s="542"/>
      <c r="B919" s="551" t="str">
        <f t="array" ref="B919">IF(LEN(E919),INDEX('4-All Devices'!AG:AG, MATCH(E919, '4-All Devices'!AF:AF, 0)),"")</f>
        <v/>
      </c>
      <c r="C919" s="549" t="s">
        <v>11186</v>
      </c>
      <c r="D919" s="549" t="s">
        <v>11187</v>
      </c>
      <c r="E919" s="8"/>
      <c r="F919" s="552" t="s">
        <v>11188</v>
      </c>
      <c r="G919" s="8"/>
      <c r="H919" s="8"/>
      <c r="I919" s="8"/>
      <c r="J919" s="546" t="str">
        <f t="array" ref="J919">IF(LEN($E919),INDEX('4-All Devices'!AE:AE, MATCH($E919, '4-All Devices'!AF:AF, 0)),"")</f>
        <v/>
      </c>
      <c r="K919" s="8"/>
      <c r="L919" s="8"/>
      <c r="M919" s="8"/>
    </row>
    <row r="920">
      <c r="A920" s="542"/>
      <c r="B920" s="551" t="str">
        <f t="array" ref="B920">IF(LEN(E920),INDEX('4-All Devices'!AG:AG, MATCH(E920, '4-All Devices'!AF:AF, 0)),"")</f>
        <v/>
      </c>
      <c r="C920" s="549" t="s">
        <v>11186</v>
      </c>
      <c r="D920" s="549" t="s">
        <v>11187</v>
      </c>
      <c r="E920" s="8"/>
      <c r="F920" s="552" t="s">
        <v>11188</v>
      </c>
      <c r="G920" s="8"/>
      <c r="H920" s="8"/>
      <c r="I920" s="8"/>
      <c r="J920" s="546" t="str">
        <f t="array" ref="J920">IF(LEN($E920),INDEX('4-All Devices'!AE:AE, MATCH($E920, '4-All Devices'!AF:AF, 0)),"")</f>
        <v/>
      </c>
      <c r="K920" s="8"/>
      <c r="L920" s="8"/>
      <c r="M920" s="8"/>
    </row>
    <row r="921">
      <c r="A921" s="542"/>
      <c r="B921" s="551" t="str">
        <f t="array" ref="B921">IF(LEN(E921),INDEX('4-All Devices'!AG:AG, MATCH(E921, '4-All Devices'!AF:AF, 0)),"")</f>
        <v/>
      </c>
      <c r="C921" s="549" t="s">
        <v>11186</v>
      </c>
      <c r="D921" s="549" t="s">
        <v>11187</v>
      </c>
      <c r="E921" s="8"/>
      <c r="F921" s="552" t="s">
        <v>11188</v>
      </c>
      <c r="G921" s="8"/>
      <c r="H921" s="8"/>
      <c r="I921" s="8"/>
      <c r="J921" s="546" t="str">
        <f t="array" ref="J921">IF(LEN($E921),INDEX('4-All Devices'!AE:AE, MATCH($E921, '4-All Devices'!AF:AF, 0)),"")</f>
        <v/>
      </c>
      <c r="K921" s="8"/>
      <c r="L921" s="8"/>
      <c r="M921" s="8"/>
    </row>
    <row r="922">
      <c r="A922" s="542"/>
      <c r="B922" s="551" t="str">
        <f t="array" ref="B922">IF(LEN(E922),INDEX('4-All Devices'!AG:AG, MATCH(E922, '4-All Devices'!AF:AF, 0)),"")</f>
        <v/>
      </c>
      <c r="C922" s="549" t="s">
        <v>11186</v>
      </c>
      <c r="D922" s="549" t="s">
        <v>11187</v>
      </c>
      <c r="E922" s="8"/>
      <c r="F922" s="552" t="s">
        <v>11188</v>
      </c>
      <c r="G922" s="8"/>
      <c r="H922" s="8"/>
      <c r="I922" s="8"/>
      <c r="J922" s="546" t="str">
        <f t="array" ref="J922">IF(LEN($E922),INDEX('4-All Devices'!AE:AE, MATCH($E922, '4-All Devices'!AF:AF, 0)),"")</f>
        <v/>
      </c>
      <c r="K922" s="8"/>
      <c r="L922" s="8"/>
      <c r="M922" s="8"/>
    </row>
    <row r="923">
      <c r="A923" s="542"/>
      <c r="B923" s="551" t="str">
        <f t="array" ref="B923">IF(LEN(E923),INDEX('4-All Devices'!AG:AG, MATCH(E923, '4-All Devices'!AF:AF, 0)),"")</f>
        <v/>
      </c>
      <c r="C923" s="549" t="s">
        <v>11186</v>
      </c>
      <c r="D923" s="549" t="s">
        <v>11187</v>
      </c>
      <c r="E923" s="8"/>
      <c r="F923" s="552" t="s">
        <v>11188</v>
      </c>
      <c r="G923" s="8"/>
      <c r="H923" s="8"/>
      <c r="I923" s="8"/>
      <c r="J923" s="546" t="str">
        <f t="array" ref="J923">IF(LEN($E923),INDEX('4-All Devices'!AE:AE, MATCH($E923, '4-All Devices'!AF:AF, 0)),"")</f>
        <v/>
      </c>
      <c r="K923" s="8"/>
      <c r="L923" s="8"/>
      <c r="M923" s="8"/>
    </row>
    <row r="924">
      <c r="A924" s="542"/>
      <c r="B924" s="551" t="str">
        <f t="array" ref="B924">IF(LEN(E924),INDEX('4-All Devices'!AG:AG, MATCH(E924, '4-All Devices'!AF:AF, 0)),"")</f>
        <v/>
      </c>
      <c r="C924" s="549" t="s">
        <v>11186</v>
      </c>
      <c r="D924" s="549" t="s">
        <v>11187</v>
      </c>
      <c r="E924" s="8"/>
      <c r="F924" s="552" t="s">
        <v>11188</v>
      </c>
      <c r="G924" s="8"/>
      <c r="H924" s="8"/>
      <c r="I924" s="8"/>
      <c r="J924" s="546" t="str">
        <f t="array" ref="J924">IF(LEN($E924),INDEX('4-All Devices'!AE:AE, MATCH($E924, '4-All Devices'!AF:AF, 0)),"")</f>
        <v/>
      </c>
      <c r="K924" s="8"/>
      <c r="L924" s="8"/>
      <c r="M924" s="8"/>
    </row>
    <row r="925">
      <c r="A925" s="542"/>
      <c r="B925" s="551" t="str">
        <f t="array" ref="B925">IF(LEN(E925),INDEX('4-All Devices'!AG:AG, MATCH(E925, '4-All Devices'!AF:AF, 0)),"")</f>
        <v/>
      </c>
      <c r="C925" s="549" t="s">
        <v>11186</v>
      </c>
      <c r="D925" s="549" t="s">
        <v>11187</v>
      </c>
      <c r="E925" s="8"/>
      <c r="F925" s="552" t="s">
        <v>11188</v>
      </c>
      <c r="G925" s="8"/>
      <c r="H925" s="8"/>
      <c r="I925" s="8"/>
      <c r="J925" s="546" t="str">
        <f t="array" ref="J925">IF(LEN($E925),INDEX('4-All Devices'!AE:AE, MATCH($E925, '4-All Devices'!AF:AF, 0)),"")</f>
        <v/>
      </c>
      <c r="K925" s="8"/>
      <c r="L925" s="8"/>
      <c r="M925" s="8"/>
    </row>
    <row r="926">
      <c r="A926" s="542"/>
      <c r="B926" s="551" t="str">
        <f t="array" ref="B926">IF(LEN(E926),INDEX('4-All Devices'!AG:AG, MATCH(E926, '4-All Devices'!AF:AF, 0)),"")</f>
        <v/>
      </c>
      <c r="C926" s="549" t="s">
        <v>11186</v>
      </c>
      <c r="D926" s="549" t="s">
        <v>11187</v>
      </c>
      <c r="E926" s="8"/>
      <c r="F926" s="552" t="s">
        <v>11188</v>
      </c>
      <c r="G926" s="8"/>
      <c r="H926" s="8"/>
      <c r="I926" s="8"/>
      <c r="J926" s="546" t="str">
        <f t="array" ref="J926">IF(LEN($E926),INDEX('4-All Devices'!AE:AE, MATCH($E926, '4-All Devices'!AF:AF, 0)),"")</f>
        <v/>
      </c>
      <c r="K926" s="8"/>
      <c r="L926" s="8"/>
      <c r="M926" s="8"/>
    </row>
    <row r="927">
      <c r="A927" s="542"/>
      <c r="B927" s="551" t="str">
        <f t="array" ref="B927">IF(LEN(E927),INDEX('4-All Devices'!AG:AG, MATCH(E927, '4-All Devices'!AF:AF, 0)),"")</f>
        <v/>
      </c>
      <c r="C927" s="549" t="s">
        <v>11186</v>
      </c>
      <c r="D927" s="549" t="s">
        <v>11187</v>
      </c>
      <c r="E927" s="8"/>
      <c r="F927" s="552" t="s">
        <v>11188</v>
      </c>
      <c r="G927" s="8"/>
      <c r="H927" s="8"/>
      <c r="I927" s="8"/>
      <c r="J927" s="546" t="str">
        <f t="array" ref="J927">IF(LEN($E927),INDEX('4-All Devices'!AE:AE, MATCH($E927, '4-All Devices'!AF:AF, 0)),"")</f>
        <v/>
      </c>
      <c r="K927" s="8"/>
      <c r="L927" s="8"/>
      <c r="M927" s="8"/>
    </row>
    <row r="928">
      <c r="A928" s="542"/>
      <c r="B928" s="551" t="str">
        <f t="array" ref="B928">IF(LEN(E928),INDEX('4-All Devices'!AG:AG, MATCH(E928, '4-All Devices'!AF:AF, 0)),"")</f>
        <v/>
      </c>
      <c r="C928" s="549" t="s">
        <v>11186</v>
      </c>
      <c r="D928" s="549" t="s">
        <v>11187</v>
      </c>
      <c r="E928" s="8"/>
      <c r="F928" s="552" t="s">
        <v>11188</v>
      </c>
      <c r="G928" s="8"/>
      <c r="H928" s="8"/>
      <c r="I928" s="8"/>
      <c r="J928" s="546" t="str">
        <f t="array" ref="J928">IF(LEN($E928),INDEX('4-All Devices'!AE:AE, MATCH($E928, '4-All Devices'!AF:AF, 0)),"")</f>
        <v/>
      </c>
      <c r="K928" s="8"/>
      <c r="L928" s="8"/>
      <c r="M928" s="8"/>
    </row>
    <row r="929">
      <c r="A929" s="542"/>
      <c r="B929" s="551" t="str">
        <f t="array" ref="B929">IF(LEN(E929),INDEX('4-All Devices'!AG:AG, MATCH(E929, '4-All Devices'!AF:AF, 0)),"")</f>
        <v/>
      </c>
      <c r="C929" s="549" t="s">
        <v>11186</v>
      </c>
      <c r="D929" s="549" t="s">
        <v>11187</v>
      </c>
      <c r="E929" s="8"/>
      <c r="F929" s="552" t="s">
        <v>11188</v>
      </c>
      <c r="G929" s="8"/>
      <c r="H929" s="8"/>
      <c r="I929" s="8"/>
      <c r="J929" s="546" t="str">
        <f t="array" ref="J929">IF(LEN($E929),INDEX('4-All Devices'!AE:AE, MATCH($E929, '4-All Devices'!AF:AF, 0)),"")</f>
        <v/>
      </c>
      <c r="K929" s="8"/>
      <c r="L929" s="8"/>
      <c r="M929" s="8"/>
    </row>
    <row r="930">
      <c r="A930" s="542"/>
      <c r="B930" s="551" t="str">
        <f t="array" ref="B930">IF(LEN(E930),INDEX('4-All Devices'!AG:AG, MATCH(E930, '4-All Devices'!AF:AF, 0)),"")</f>
        <v/>
      </c>
      <c r="C930" s="549" t="s">
        <v>11186</v>
      </c>
      <c r="D930" s="549" t="s">
        <v>11187</v>
      </c>
      <c r="E930" s="8"/>
      <c r="F930" s="552" t="s">
        <v>11188</v>
      </c>
      <c r="G930" s="8"/>
      <c r="H930" s="8"/>
      <c r="I930" s="8"/>
      <c r="J930" s="546" t="str">
        <f t="array" ref="J930">IF(LEN($E930),INDEX('4-All Devices'!AE:AE, MATCH($E930, '4-All Devices'!AF:AF, 0)),"")</f>
        <v/>
      </c>
      <c r="K930" s="8"/>
      <c r="L930" s="8"/>
      <c r="M930" s="8"/>
    </row>
    <row r="931">
      <c r="A931" s="542"/>
      <c r="B931" s="551" t="str">
        <f t="array" ref="B931">IF(LEN(E931),INDEX('4-All Devices'!AG:AG, MATCH(E931, '4-All Devices'!AF:AF, 0)),"")</f>
        <v/>
      </c>
      <c r="C931" s="549" t="s">
        <v>11186</v>
      </c>
      <c r="D931" s="549" t="s">
        <v>11187</v>
      </c>
      <c r="E931" s="8"/>
      <c r="F931" s="552" t="s">
        <v>11188</v>
      </c>
      <c r="G931" s="8"/>
      <c r="H931" s="8"/>
      <c r="I931" s="8"/>
      <c r="J931" s="546" t="str">
        <f t="array" ref="J931">IF(LEN($E931),INDEX('4-All Devices'!AE:AE, MATCH($E931, '4-All Devices'!AF:AF, 0)),"")</f>
        <v/>
      </c>
      <c r="K931" s="8"/>
      <c r="L931" s="8"/>
      <c r="M931" s="8"/>
    </row>
    <row r="932">
      <c r="A932" s="542"/>
      <c r="B932" s="551" t="str">
        <f t="array" ref="B932">IF(LEN(E932),INDEX('4-All Devices'!AG:AG, MATCH(E932, '4-All Devices'!AF:AF, 0)),"")</f>
        <v/>
      </c>
      <c r="C932" s="549" t="s">
        <v>11186</v>
      </c>
      <c r="D932" s="549" t="s">
        <v>11187</v>
      </c>
      <c r="E932" s="8"/>
      <c r="F932" s="552" t="s">
        <v>11188</v>
      </c>
      <c r="G932" s="8"/>
      <c r="H932" s="8"/>
      <c r="I932" s="8"/>
      <c r="J932" s="546" t="str">
        <f t="array" ref="J932">IF(LEN($E932),INDEX('4-All Devices'!AE:AE, MATCH($E932, '4-All Devices'!AF:AF, 0)),"")</f>
        <v/>
      </c>
      <c r="K932" s="8"/>
      <c r="L932" s="8"/>
      <c r="M932" s="8"/>
    </row>
    <row r="933">
      <c r="A933" s="542"/>
      <c r="B933" s="551" t="str">
        <f t="array" ref="B933">IF(LEN(E933),INDEX('4-All Devices'!AG:AG, MATCH(E933, '4-All Devices'!AF:AF, 0)),"")</f>
        <v/>
      </c>
      <c r="C933" s="549" t="s">
        <v>11186</v>
      </c>
      <c r="D933" s="549" t="s">
        <v>11187</v>
      </c>
      <c r="E933" s="8"/>
      <c r="F933" s="552" t="s">
        <v>11188</v>
      </c>
      <c r="G933" s="8"/>
      <c r="H933" s="8"/>
      <c r="I933" s="8"/>
      <c r="J933" s="546" t="str">
        <f t="array" ref="J933">IF(LEN($E933),INDEX('4-All Devices'!AE:AE, MATCH($E933, '4-All Devices'!AF:AF, 0)),"")</f>
        <v/>
      </c>
      <c r="K933" s="8"/>
      <c r="L933" s="8"/>
      <c r="M933" s="8"/>
    </row>
    <row r="934">
      <c r="A934" s="542"/>
      <c r="B934" s="551" t="str">
        <f t="array" ref="B934">IF(LEN(E934),INDEX('4-All Devices'!AG:AG, MATCH(E934, '4-All Devices'!AF:AF, 0)),"")</f>
        <v/>
      </c>
      <c r="C934" s="549" t="s">
        <v>11186</v>
      </c>
      <c r="D934" s="549" t="s">
        <v>11187</v>
      </c>
      <c r="E934" s="8"/>
      <c r="F934" s="552" t="s">
        <v>11188</v>
      </c>
      <c r="G934" s="8"/>
      <c r="H934" s="8"/>
      <c r="I934" s="8"/>
      <c r="J934" s="546" t="str">
        <f t="array" ref="J934">IF(LEN($E934),INDEX('4-All Devices'!AE:AE, MATCH($E934, '4-All Devices'!AF:AF, 0)),"")</f>
        <v/>
      </c>
      <c r="K934" s="8"/>
      <c r="L934" s="8"/>
      <c r="M934" s="8"/>
    </row>
    <row r="935">
      <c r="A935" s="542"/>
      <c r="B935" s="551" t="str">
        <f t="array" ref="B935">IF(LEN(E935),INDEX('4-All Devices'!AG:AG, MATCH(E935, '4-All Devices'!AF:AF, 0)),"")</f>
        <v/>
      </c>
      <c r="C935" s="549" t="s">
        <v>11186</v>
      </c>
      <c r="D935" s="549" t="s">
        <v>11187</v>
      </c>
      <c r="E935" s="8"/>
      <c r="F935" s="552" t="s">
        <v>11188</v>
      </c>
      <c r="G935" s="8"/>
      <c r="H935" s="8"/>
      <c r="I935" s="8"/>
      <c r="J935" s="546" t="str">
        <f t="array" ref="J935">IF(LEN($E935),INDEX('4-All Devices'!AE:AE, MATCH($E935, '4-All Devices'!AF:AF, 0)),"")</f>
        <v/>
      </c>
      <c r="K935" s="8"/>
      <c r="L935" s="8"/>
      <c r="M935" s="8"/>
    </row>
    <row r="936">
      <c r="A936" s="542"/>
      <c r="B936" s="551" t="str">
        <f t="array" ref="B936">IF(LEN(E936),INDEX('4-All Devices'!AG:AG, MATCH(E936, '4-All Devices'!AF:AF, 0)),"")</f>
        <v/>
      </c>
      <c r="C936" s="549" t="s">
        <v>11186</v>
      </c>
      <c r="D936" s="549" t="s">
        <v>11187</v>
      </c>
      <c r="E936" s="8"/>
      <c r="F936" s="552" t="s">
        <v>11188</v>
      </c>
      <c r="G936" s="8"/>
      <c r="H936" s="8"/>
      <c r="I936" s="8"/>
      <c r="J936" s="546" t="str">
        <f t="array" ref="J936">IF(LEN($E936),INDEX('4-All Devices'!AE:AE, MATCH($E936, '4-All Devices'!AF:AF, 0)),"")</f>
        <v/>
      </c>
      <c r="K936" s="8"/>
      <c r="L936" s="8"/>
      <c r="M936" s="8"/>
    </row>
    <row r="937">
      <c r="A937" s="542"/>
      <c r="B937" s="551" t="str">
        <f t="array" ref="B937">IF(LEN(E937),INDEX('4-All Devices'!AG:AG, MATCH(E937, '4-All Devices'!AF:AF, 0)),"")</f>
        <v/>
      </c>
      <c r="C937" s="549" t="s">
        <v>11186</v>
      </c>
      <c r="D937" s="549" t="s">
        <v>11187</v>
      </c>
      <c r="E937" s="8"/>
      <c r="F937" s="552" t="s">
        <v>11188</v>
      </c>
      <c r="G937" s="8"/>
      <c r="H937" s="8"/>
      <c r="I937" s="8"/>
      <c r="J937" s="546" t="str">
        <f t="array" ref="J937">IF(LEN($E937),INDEX('4-All Devices'!AE:AE, MATCH($E937, '4-All Devices'!AF:AF, 0)),"")</f>
        <v/>
      </c>
      <c r="K937" s="8"/>
      <c r="L937" s="8"/>
      <c r="M937" s="8"/>
    </row>
    <row r="938">
      <c r="A938" s="542"/>
      <c r="B938" s="551" t="str">
        <f t="array" ref="B938">IF(LEN(E938),INDEX('4-All Devices'!AG:AG, MATCH(E938, '4-All Devices'!AF:AF, 0)),"")</f>
        <v/>
      </c>
      <c r="C938" s="549" t="s">
        <v>11186</v>
      </c>
      <c r="D938" s="549" t="s">
        <v>11187</v>
      </c>
      <c r="E938" s="8"/>
      <c r="F938" s="552" t="s">
        <v>11188</v>
      </c>
      <c r="G938" s="8"/>
      <c r="H938" s="8"/>
      <c r="I938" s="8"/>
      <c r="J938" s="546" t="str">
        <f t="array" ref="J938">IF(LEN($E938),INDEX('4-All Devices'!AE:AE, MATCH($E938, '4-All Devices'!AF:AF, 0)),"")</f>
        <v/>
      </c>
      <c r="K938" s="8"/>
      <c r="L938" s="8"/>
      <c r="M938" s="8"/>
    </row>
    <row r="939">
      <c r="A939" s="542"/>
      <c r="B939" s="551" t="str">
        <f t="array" ref="B939">IF(LEN(E939),INDEX('4-All Devices'!AG:AG, MATCH(E939, '4-All Devices'!AF:AF, 0)),"")</f>
        <v/>
      </c>
      <c r="C939" s="549" t="s">
        <v>11186</v>
      </c>
      <c r="D939" s="549" t="s">
        <v>11187</v>
      </c>
      <c r="E939" s="8"/>
      <c r="F939" s="552" t="s">
        <v>11188</v>
      </c>
      <c r="G939" s="8"/>
      <c r="H939" s="8"/>
      <c r="I939" s="8"/>
      <c r="J939" s="546" t="str">
        <f t="array" ref="J939">IF(LEN($E939),INDEX('4-All Devices'!AE:AE, MATCH($E939, '4-All Devices'!AF:AF, 0)),"")</f>
        <v/>
      </c>
      <c r="K939" s="8"/>
      <c r="L939" s="8"/>
      <c r="M939" s="8"/>
    </row>
    <row r="940">
      <c r="A940" s="542"/>
      <c r="B940" s="551" t="str">
        <f t="array" ref="B940">IF(LEN(E940),INDEX('4-All Devices'!AG:AG, MATCH(E940, '4-All Devices'!AF:AF, 0)),"")</f>
        <v/>
      </c>
      <c r="C940" s="549" t="s">
        <v>11186</v>
      </c>
      <c r="D940" s="549" t="s">
        <v>11187</v>
      </c>
      <c r="E940" s="8"/>
      <c r="F940" s="552" t="s">
        <v>11188</v>
      </c>
      <c r="G940" s="8"/>
      <c r="H940" s="8"/>
      <c r="I940" s="8"/>
      <c r="J940" s="546" t="str">
        <f t="array" ref="J940">IF(LEN($E940),INDEX('4-All Devices'!AE:AE, MATCH($E940, '4-All Devices'!AF:AF, 0)),"")</f>
        <v/>
      </c>
      <c r="K940" s="8"/>
      <c r="L940" s="8"/>
      <c r="M940" s="8"/>
    </row>
    <row r="941">
      <c r="A941" s="542"/>
      <c r="B941" s="551" t="str">
        <f t="array" ref="B941">IF(LEN(E941),INDEX('4-All Devices'!AG:AG, MATCH(E941, '4-All Devices'!AF:AF, 0)),"")</f>
        <v/>
      </c>
      <c r="C941" s="549" t="s">
        <v>11186</v>
      </c>
      <c r="D941" s="549" t="s">
        <v>11187</v>
      </c>
      <c r="E941" s="8"/>
      <c r="F941" s="552" t="s">
        <v>11188</v>
      </c>
      <c r="G941" s="8"/>
      <c r="H941" s="8"/>
      <c r="I941" s="8"/>
      <c r="J941" s="546" t="str">
        <f t="array" ref="J941">IF(LEN($E941),INDEX('4-All Devices'!AE:AE, MATCH($E941, '4-All Devices'!AF:AF, 0)),"")</f>
        <v/>
      </c>
      <c r="K941" s="8"/>
      <c r="L941" s="8"/>
      <c r="M941" s="8"/>
    </row>
    <row r="942">
      <c r="A942" s="542"/>
      <c r="B942" s="551" t="str">
        <f t="array" ref="B942">IF(LEN(E942),INDEX('4-All Devices'!AG:AG, MATCH(E942, '4-All Devices'!AF:AF, 0)),"")</f>
        <v/>
      </c>
      <c r="C942" s="549" t="s">
        <v>11186</v>
      </c>
      <c r="D942" s="549" t="s">
        <v>11187</v>
      </c>
      <c r="E942" s="8"/>
      <c r="F942" s="552" t="s">
        <v>11188</v>
      </c>
      <c r="G942" s="8"/>
      <c r="H942" s="8"/>
      <c r="I942" s="8"/>
      <c r="J942" s="546" t="str">
        <f t="array" ref="J942">IF(LEN($E942),INDEX('4-All Devices'!AE:AE, MATCH($E942, '4-All Devices'!AF:AF, 0)),"")</f>
        <v/>
      </c>
      <c r="K942" s="8"/>
      <c r="L942" s="8"/>
      <c r="M942" s="8"/>
    </row>
    <row r="943">
      <c r="A943" s="542"/>
      <c r="B943" s="551" t="str">
        <f t="array" ref="B943">IF(LEN(E943),INDEX('4-All Devices'!AG:AG, MATCH(E943, '4-All Devices'!AF:AF, 0)),"")</f>
        <v/>
      </c>
      <c r="C943" s="549" t="s">
        <v>11186</v>
      </c>
      <c r="D943" s="549" t="s">
        <v>11187</v>
      </c>
      <c r="E943" s="8"/>
      <c r="F943" s="552" t="s">
        <v>11188</v>
      </c>
      <c r="G943" s="8"/>
      <c r="H943" s="8"/>
      <c r="I943" s="8"/>
      <c r="J943" s="546" t="str">
        <f t="array" ref="J943">IF(LEN($E943),INDEX('4-All Devices'!AE:AE, MATCH($E943, '4-All Devices'!AF:AF, 0)),"")</f>
        <v/>
      </c>
      <c r="K943" s="8"/>
      <c r="L943" s="8"/>
      <c r="M943" s="8"/>
    </row>
    <row r="944">
      <c r="A944" s="542"/>
      <c r="B944" s="551" t="str">
        <f t="array" ref="B944">IF(LEN(E944),INDEX('4-All Devices'!AG:AG, MATCH(E944, '4-All Devices'!AF:AF, 0)),"")</f>
        <v/>
      </c>
      <c r="C944" s="549" t="s">
        <v>11186</v>
      </c>
      <c r="D944" s="549" t="s">
        <v>11187</v>
      </c>
      <c r="E944" s="8"/>
      <c r="F944" s="552" t="s">
        <v>11188</v>
      </c>
      <c r="G944" s="8"/>
      <c r="H944" s="8"/>
      <c r="I944" s="8"/>
      <c r="J944" s="546" t="str">
        <f t="array" ref="J944">IF(LEN($E944),INDEX('4-All Devices'!AE:AE, MATCH($E944, '4-All Devices'!AF:AF, 0)),"")</f>
        <v/>
      </c>
      <c r="K944" s="8"/>
      <c r="L944" s="8"/>
      <c r="M944" s="8"/>
    </row>
    <row r="945">
      <c r="A945" s="542"/>
      <c r="B945" s="551" t="str">
        <f t="array" ref="B945">IF(LEN(E945),INDEX('4-All Devices'!AG:AG, MATCH(E945, '4-All Devices'!AF:AF, 0)),"")</f>
        <v/>
      </c>
      <c r="C945" s="549" t="s">
        <v>11186</v>
      </c>
      <c r="D945" s="549" t="s">
        <v>11187</v>
      </c>
      <c r="E945" s="8"/>
      <c r="F945" s="552" t="s">
        <v>11188</v>
      </c>
      <c r="G945" s="8"/>
      <c r="H945" s="8"/>
      <c r="I945" s="8"/>
      <c r="J945" s="546" t="str">
        <f t="array" ref="J945">IF(LEN($E945),INDEX('4-All Devices'!AE:AE, MATCH($E945, '4-All Devices'!AF:AF, 0)),"")</f>
        <v/>
      </c>
      <c r="K945" s="8"/>
      <c r="L945" s="8"/>
      <c r="M945" s="8"/>
    </row>
    <row r="946">
      <c r="A946" s="542"/>
      <c r="B946" s="551" t="str">
        <f t="array" ref="B946">IF(LEN(E946),INDEX('4-All Devices'!AG:AG, MATCH(E946, '4-All Devices'!AF:AF, 0)),"")</f>
        <v/>
      </c>
      <c r="C946" s="549" t="s">
        <v>11186</v>
      </c>
      <c r="D946" s="549" t="s">
        <v>11187</v>
      </c>
      <c r="E946" s="8"/>
      <c r="F946" s="552" t="s">
        <v>11188</v>
      </c>
      <c r="G946" s="8"/>
      <c r="H946" s="8"/>
      <c r="I946" s="8"/>
      <c r="J946" s="546" t="str">
        <f t="array" ref="J946">IF(LEN($E946),INDEX('4-All Devices'!AE:AE, MATCH($E946, '4-All Devices'!AF:AF, 0)),"")</f>
        <v/>
      </c>
      <c r="K946" s="8"/>
      <c r="L946" s="8"/>
      <c r="M946" s="8"/>
    </row>
    <row r="947">
      <c r="A947" s="542"/>
      <c r="B947" s="551" t="str">
        <f t="array" ref="B947">IF(LEN(E947),INDEX('4-All Devices'!AG:AG, MATCH(E947, '4-All Devices'!AF:AF, 0)),"")</f>
        <v/>
      </c>
      <c r="C947" s="549" t="s">
        <v>11186</v>
      </c>
      <c r="D947" s="549" t="s">
        <v>11187</v>
      </c>
      <c r="E947" s="8"/>
      <c r="F947" s="552" t="s">
        <v>11188</v>
      </c>
      <c r="G947" s="8"/>
      <c r="H947" s="8"/>
      <c r="I947" s="8"/>
      <c r="J947" s="546" t="str">
        <f t="array" ref="J947">IF(LEN($E947),INDEX('4-All Devices'!AE:AE, MATCH($E947, '4-All Devices'!AF:AF, 0)),"")</f>
        <v/>
      </c>
      <c r="K947" s="8"/>
      <c r="L947" s="8"/>
      <c r="M947" s="8"/>
    </row>
    <row r="948">
      <c r="A948" s="542"/>
      <c r="B948" s="551" t="str">
        <f t="array" ref="B948">IF(LEN(E948),INDEX('4-All Devices'!AG:AG, MATCH(E948, '4-All Devices'!AF:AF, 0)),"")</f>
        <v/>
      </c>
      <c r="C948" s="549" t="s">
        <v>11186</v>
      </c>
      <c r="D948" s="549" t="s">
        <v>11187</v>
      </c>
      <c r="E948" s="8"/>
      <c r="F948" s="552" t="s">
        <v>11188</v>
      </c>
      <c r="G948" s="8"/>
      <c r="H948" s="8"/>
      <c r="I948" s="8"/>
      <c r="J948" s="546" t="str">
        <f t="array" ref="J948">IF(LEN($E948),INDEX('4-All Devices'!AE:AE, MATCH($E948, '4-All Devices'!AF:AF, 0)),"")</f>
        <v/>
      </c>
      <c r="K948" s="8"/>
      <c r="L948" s="8"/>
      <c r="M948" s="8"/>
    </row>
    <row r="949">
      <c r="A949" s="542"/>
      <c r="B949" s="551" t="str">
        <f t="array" ref="B949">IF(LEN(E949),INDEX('4-All Devices'!AG:AG, MATCH(E949, '4-All Devices'!AF:AF, 0)),"")</f>
        <v/>
      </c>
      <c r="C949" s="549" t="s">
        <v>11186</v>
      </c>
      <c r="D949" s="549" t="s">
        <v>11187</v>
      </c>
      <c r="E949" s="8"/>
      <c r="F949" s="552" t="s">
        <v>11188</v>
      </c>
      <c r="G949" s="8"/>
      <c r="H949" s="8"/>
      <c r="I949" s="8"/>
      <c r="J949" s="546" t="str">
        <f t="array" ref="J949">IF(LEN($E949),INDEX('4-All Devices'!AE:AE, MATCH($E949, '4-All Devices'!AF:AF, 0)),"")</f>
        <v/>
      </c>
      <c r="K949" s="8"/>
      <c r="L949" s="8"/>
      <c r="M949" s="8"/>
    </row>
    <row r="950">
      <c r="A950" s="542"/>
      <c r="B950" s="551" t="str">
        <f t="array" ref="B950">IF(LEN(E950),INDEX('4-All Devices'!AG:AG, MATCH(E950, '4-All Devices'!AF:AF, 0)),"")</f>
        <v/>
      </c>
      <c r="C950" s="549" t="s">
        <v>11186</v>
      </c>
      <c r="D950" s="549" t="s">
        <v>11187</v>
      </c>
      <c r="E950" s="8"/>
      <c r="F950" s="552" t="s">
        <v>11188</v>
      </c>
      <c r="G950" s="8"/>
      <c r="H950" s="8"/>
      <c r="I950" s="8"/>
      <c r="J950" s="546" t="str">
        <f t="array" ref="J950">IF(LEN($E950),INDEX('4-All Devices'!AE:AE, MATCH($E950, '4-All Devices'!AF:AF, 0)),"")</f>
        <v/>
      </c>
      <c r="K950" s="8"/>
      <c r="L950" s="8"/>
      <c r="M950" s="8"/>
    </row>
    <row r="951">
      <c r="A951" s="542"/>
      <c r="B951" s="551" t="str">
        <f t="array" ref="B951">IF(LEN(E951),INDEX('4-All Devices'!AG:AG, MATCH(E951, '4-All Devices'!AF:AF, 0)),"")</f>
        <v/>
      </c>
      <c r="C951" s="549" t="s">
        <v>11186</v>
      </c>
      <c r="D951" s="549" t="s">
        <v>11187</v>
      </c>
      <c r="E951" s="8"/>
      <c r="F951" s="552" t="s">
        <v>11188</v>
      </c>
      <c r="G951" s="8"/>
      <c r="H951" s="8"/>
      <c r="I951" s="8"/>
      <c r="J951" s="546" t="str">
        <f t="array" ref="J951">IF(LEN($E951),INDEX('4-All Devices'!AE:AE, MATCH($E951, '4-All Devices'!AF:AF, 0)),"")</f>
        <v/>
      </c>
      <c r="K951" s="8"/>
      <c r="L951" s="8"/>
      <c r="M951" s="8"/>
    </row>
    <row r="952">
      <c r="A952" s="542"/>
      <c r="B952" s="551" t="str">
        <f t="array" ref="B952">IF(LEN(E952),INDEX('4-All Devices'!AG:AG, MATCH(E952, '4-All Devices'!AF:AF, 0)),"")</f>
        <v/>
      </c>
      <c r="C952" s="549" t="s">
        <v>11186</v>
      </c>
      <c r="D952" s="549" t="s">
        <v>11187</v>
      </c>
      <c r="E952" s="8"/>
      <c r="F952" s="552" t="s">
        <v>11188</v>
      </c>
      <c r="G952" s="8"/>
      <c r="H952" s="8"/>
      <c r="I952" s="8"/>
      <c r="J952" s="546" t="str">
        <f t="array" ref="J952">IF(LEN($E952),INDEX('4-All Devices'!AE:AE, MATCH($E952, '4-All Devices'!AF:AF, 0)),"")</f>
        <v/>
      </c>
      <c r="K952" s="8"/>
      <c r="L952" s="8"/>
      <c r="M952" s="8"/>
    </row>
    <row r="953">
      <c r="A953" s="542"/>
      <c r="B953" s="551" t="str">
        <f t="array" ref="B953">IF(LEN(E953),INDEX('4-All Devices'!AG:AG, MATCH(E953, '4-All Devices'!AF:AF, 0)),"")</f>
        <v/>
      </c>
      <c r="C953" s="549" t="s">
        <v>11186</v>
      </c>
      <c r="D953" s="549" t="s">
        <v>11187</v>
      </c>
      <c r="E953" s="8"/>
      <c r="F953" s="552" t="s">
        <v>11188</v>
      </c>
      <c r="G953" s="8"/>
      <c r="H953" s="8"/>
      <c r="I953" s="8"/>
      <c r="J953" s="546" t="str">
        <f t="array" ref="J953">IF(LEN($E953),INDEX('4-All Devices'!AE:AE, MATCH($E953, '4-All Devices'!AF:AF, 0)),"")</f>
        <v/>
      </c>
      <c r="K953" s="8"/>
      <c r="L953" s="8"/>
      <c r="M953" s="8"/>
    </row>
    <row r="954">
      <c r="A954" s="542"/>
      <c r="B954" s="551" t="str">
        <f t="array" ref="B954">IF(LEN(E954),INDEX('4-All Devices'!AG:AG, MATCH(E954, '4-All Devices'!AF:AF, 0)),"")</f>
        <v/>
      </c>
      <c r="C954" s="549" t="s">
        <v>11186</v>
      </c>
      <c r="D954" s="549" t="s">
        <v>11187</v>
      </c>
      <c r="E954" s="8"/>
      <c r="F954" s="552" t="s">
        <v>11188</v>
      </c>
      <c r="G954" s="8"/>
      <c r="H954" s="8"/>
      <c r="I954" s="8"/>
      <c r="J954" s="546" t="str">
        <f t="array" ref="J954">IF(LEN($E954),INDEX('4-All Devices'!AE:AE, MATCH($E954, '4-All Devices'!AF:AF, 0)),"")</f>
        <v/>
      </c>
      <c r="K954" s="8"/>
      <c r="L954" s="8"/>
      <c r="M954" s="8"/>
    </row>
    <row r="955">
      <c r="A955" s="542"/>
      <c r="B955" s="551" t="str">
        <f t="array" ref="B955">IF(LEN(E955),INDEX('4-All Devices'!AG:AG, MATCH(E955, '4-All Devices'!AF:AF, 0)),"")</f>
        <v/>
      </c>
      <c r="C955" s="549" t="s">
        <v>11186</v>
      </c>
      <c r="D955" s="549" t="s">
        <v>11187</v>
      </c>
      <c r="E955" s="8"/>
      <c r="F955" s="552" t="s">
        <v>11188</v>
      </c>
      <c r="G955" s="8"/>
      <c r="H955" s="8"/>
      <c r="I955" s="8"/>
      <c r="J955" s="546" t="str">
        <f t="array" ref="J955">IF(LEN($E955),INDEX('4-All Devices'!AE:AE, MATCH($E955, '4-All Devices'!AF:AF, 0)),"")</f>
        <v/>
      </c>
      <c r="K955" s="8"/>
      <c r="L955" s="8"/>
      <c r="M955" s="8"/>
    </row>
    <row r="956">
      <c r="A956" s="542"/>
      <c r="B956" s="551" t="str">
        <f t="array" ref="B956">IF(LEN(E956),INDEX('4-All Devices'!AG:AG, MATCH(E956, '4-All Devices'!AF:AF, 0)),"")</f>
        <v/>
      </c>
      <c r="C956" s="549" t="s">
        <v>11186</v>
      </c>
      <c r="D956" s="549" t="s">
        <v>11187</v>
      </c>
      <c r="E956" s="8"/>
      <c r="F956" s="552" t="s">
        <v>11188</v>
      </c>
      <c r="G956" s="8"/>
      <c r="H956" s="8"/>
      <c r="I956" s="8"/>
      <c r="J956" s="546" t="str">
        <f t="array" ref="J956">IF(LEN($E956),INDEX('4-All Devices'!AE:AE, MATCH($E956, '4-All Devices'!AF:AF, 0)),"")</f>
        <v/>
      </c>
      <c r="K956" s="8"/>
      <c r="L956" s="8"/>
      <c r="M956" s="8"/>
    </row>
    <row r="957">
      <c r="A957" s="542"/>
      <c r="B957" s="551" t="str">
        <f t="array" ref="B957">IF(LEN(E957),INDEX('4-All Devices'!AG:AG, MATCH(E957, '4-All Devices'!AF:AF, 0)),"")</f>
        <v/>
      </c>
      <c r="C957" s="549" t="s">
        <v>11186</v>
      </c>
      <c r="D957" s="549" t="s">
        <v>11187</v>
      </c>
      <c r="E957" s="8"/>
      <c r="F957" s="552" t="s">
        <v>11188</v>
      </c>
      <c r="G957" s="8"/>
      <c r="H957" s="8"/>
      <c r="I957" s="8"/>
      <c r="J957" s="546" t="str">
        <f t="array" ref="J957">IF(LEN($E957),INDEX('4-All Devices'!AE:AE, MATCH($E957, '4-All Devices'!AF:AF, 0)),"")</f>
        <v/>
      </c>
      <c r="K957" s="8"/>
      <c r="L957" s="8"/>
      <c r="M957" s="8"/>
    </row>
    <row r="958">
      <c r="A958" s="542"/>
      <c r="B958" s="551" t="str">
        <f t="array" ref="B958">IF(LEN(E958),INDEX('4-All Devices'!AG:AG, MATCH(E958, '4-All Devices'!AF:AF, 0)),"")</f>
        <v/>
      </c>
      <c r="C958" s="549" t="s">
        <v>11186</v>
      </c>
      <c r="D958" s="549" t="s">
        <v>11187</v>
      </c>
      <c r="E958" s="8"/>
      <c r="F958" s="552" t="s">
        <v>11188</v>
      </c>
      <c r="G958" s="8"/>
      <c r="H958" s="8"/>
      <c r="I958" s="8"/>
      <c r="J958" s="546" t="str">
        <f t="array" ref="J958">IF(LEN($E958),INDEX('4-All Devices'!AE:AE, MATCH($E958, '4-All Devices'!AF:AF, 0)),"")</f>
        <v/>
      </c>
      <c r="K958" s="8"/>
      <c r="L958" s="8"/>
      <c r="M958" s="8"/>
    </row>
    <row r="959">
      <c r="A959" s="542"/>
      <c r="B959" s="551" t="str">
        <f t="array" ref="B959">IF(LEN(E959),INDEX('4-All Devices'!AG:AG, MATCH(E959, '4-All Devices'!AF:AF, 0)),"")</f>
        <v/>
      </c>
      <c r="C959" s="549" t="s">
        <v>11186</v>
      </c>
      <c r="D959" s="549" t="s">
        <v>11187</v>
      </c>
      <c r="E959" s="8"/>
      <c r="F959" s="552" t="s">
        <v>11188</v>
      </c>
      <c r="G959" s="8"/>
      <c r="H959" s="8"/>
      <c r="I959" s="8"/>
      <c r="J959" s="546" t="str">
        <f t="array" ref="J959">IF(LEN($E959),INDEX('4-All Devices'!AE:AE, MATCH($E959, '4-All Devices'!AF:AF, 0)),"")</f>
        <v/>
      </c>
      <c r="K959" s="8"/>
      <c r="L959" s="8"/>
      <c r="M959" s="8"/>
    </row>
    <row r="960">
      <c r="A960" s="542"/>
      <c r="B960" s="551" t="str">
        <f t="array" ref="B960">IF(LEN(E960),INDEX('4-All Devices'!AG:AG, MATCH(E960, '4-All Devices'!AF:AF, 0)),"")</f>
        <v/>
      </c>
      <c r="C960" s="549" t="s">
        <v>11186</v>
      </c>
      <c r="D960" s="549" t="s">
        <v>11187</v>
      </c>
      <c r="E960" s="8"/>
      <c r="F960" s="552" t="s">
        <v>11188</v>
      </c>
      <c r="G960" s="8"/>
      <c r="H960" s="8"/>
      <c r="I960" s="8"/>
      <c r="J960" s="546" t="str">
        <f t="array" ref="J960">IF(LEN($E960),INDEX('4-All Devices'!AE:AE, MATCH($E960, '4-All Devices'!AF:AF, 0)),"")</f>
        <v/>
      </c>
      <c r="K960" s="8"/>
      <c r="L960" s="8"/>
      <c r="M960" s="8"/>
    </row>
    <row r="961">
      <c r="A961" s="542"/>
      <c r="B961" s="551" t="str">
        <f t="array" ref="B961">IF(LEN(E961),INDEX('4-All Devices'!AG:AG, MATCH(E961, '4-All Devices'!AF:AF, 0)),"")</f>
        <v/>
      </c>
      <c r="C961" s="549" t="s">
        <v>11186</v>
      </c>
      <c r="D961" s="549" t="s">
        <v>11187</v>
      </c>
      <c r="E961" s="8"/>
      <c r="F961" s="552" t="s">
        <v>11188</v>
      </c>
      <c r="G961" s="8"/>
      <c r="H961" s="8"/>
      <c r="I961" s="8"/>
      <c r="J961" s="546" t="str">
        <f t="array" ref="J961">IF(LEN($E961),INDEX('4-All Devices'!AE:AE, MATCH($E961, '4-All Devices'!AF:AF, 0)),"")</f>
        <v/>
      </c>
      <c r="K961" s="8"/>
      <c r="L961" s="8"/>
      <c r="M961" s="8"/>
    </row>
    <row r="962">
      <c r="A962" s="542"/>
      <c r="B962" s="551" t="str">
        <f t="array" ref="B962">IF(LEN(E962),INDEX('4-All Devices'!AG:AG, MATCH(E962, '4-All Devices'!AF:AF, 0)),"")</f>
        <v/>
      </c>
      <c r="C962" s="549" t="s">
        <v>11186</v>
      </c>
      <c r="D962" s="549" t="s">
        <v>11187</v>
      </c>
      <c r="E962" s="8"/>
      <c r="F962" s="552" t="s">
        <v>11188</v>
      </c>
      <c r="G962" s="8"/>
      <c r="H962" s="8"/>
      <c r="I962" s="8"/>
      <c r="J962" s="546" t="str">
        <f t="array" ref="J962">IF(LEN($E962),INDEX('4-All Devices'!AE:AE, MATCH($E962, '4-All Devices'!AF:AF, 0)),"")</f>
        <v/>
      </c>
      <c r="K962" s="8"/>
      <c r="L962" s="8"/>
      <c r="M962" s="8"/>
    </row>
    <row r="963">
      <c r="A963" s="542"/>
      <c r="B963" s="551" t="str">
        <f t="array" ref="B963">IF(LEN(E963),INDEX('4-All Devices'!AG:AG, MATCH(E963, '4-All Devices'!AF:AF, 0)),"")</f>
        <v/>
      </c>
      <c r="C963" s="549" t="s">
        <v>11186</v>
      </c>
      <c r="D963" s="549" t="s">
        <v>11187</v>
      </c>
      <c r="E963" s="8"/>
      <c r="F963" s="552" t="s">
        <v>11188</v>
      </c>
      <c r="G963" s="8"/>
      <c r="H963" s="8"/>
      <c r="I963" s="8"/>
      <c r="J963" s="546" t="str">
        <f t="array" ref="J963">IF(LEN($E963),INDEX('4-All Devices'!AE:AE, MATCH($E963, '4-All Devices'!AF:AF, 0)),"")</f>
        <v/>
      </c>
      <c r="K963" s="8"/>
      <c r="L963" s="8"/>
      <c r="M963" s="8"/>
    </row>
    <row r="964">
      <c r="A964" s="542"/>
      <c r="B964" s="551" t="str">
        <f t="array" ref="B964">IF(LEN(E964),INDEX('4-All Devices'!AG:AG, MATCH(E964, '4-All Devices'!AF:AF, 0)),"")</f>
        <v/>
      </c>
      <c r="C964" s="549" t="s">
        <v>11186</v>
      </c>
      <c r="D964" s="549" t="s">
        <v>11187</v>
      </c>
      <c r="E964" s="8"/>
      <c r="F964" s="552" t="s">
        <v>11188</v>
      </c>
      <c r="G964" s="8"/>
      <c r="H964" s="8"/>
      <c r="I964" s="8"/>
      <c r="J964" s="546" t="str">
        <f t="array" ref="J964">IF(LEN($E964),INDEX('4-All Devices'!AE:AE, MATCH($E964, '4-All Devices'!AF:AF, 0)),"")</f>
        <v/>
      </c>
      <c r="K964" s="8"/>
      <c r="L964" s="8"/>
      <c r="M964" s="8"/>
    </row>
    <row r="965">
      <c r="A965" s="542"/>
      <c r="B965" s="551" t="str">
        <f t="array" ref="B965">IF(LEN(E965),INDEX('4-All Devices'!AG:AG, MATCH(E965, '4-All Devices'!AF:AF, 0)),"")</f>
        <v/>
      </c>
      <c r="C965" s="549" t="s">
        <v>11186</v>
      </c>
      <c r="D965" s="549" t="s">
        <v>11187</v>
      </c>
      <c r="E965" s="8"/>
      <c r="F965" s="552" t="s">
        <v>11188</v>
      </c>
      <c r="G965" s="8"/>
      <c r="H965" s="8"/>
      <c r="I965" s="8"/>
      <c r="J965" s="546" t="str">
        <f t="array" ref="J965">IF(LEN($E965),INDEX('4-All Devices'!AE:AE, MATCH($E965, '4-All Devices'!AF:AF, 0)),"")</f>
        <v/>
      </c>
      <c r="K965" s="8"/>
      <c r="L965" s="8"/>
      <c r="M965" s="8"/>
    </row>
    <row r="966">
      <c r="A966" s="542"/>
      <c r="B966" s="551" t="str">
        <f t="array" ref="B966">IF(LEN(E966),INDEX('4-All Devices'!AG:AG, MATCH(E966, '4-All Devices'!AF:AF, 0)),"")</f>
        <v/>
      </c>
      <c r="C966" s="549" t="s">
        <v>11186</v>
      </c>
      <c r="D966" s="549" t="s">
        <v>11187</v>
      </c>
      <c r="E966" s="8"/>
      <c r="F966" s="552" t="s">
        <v>11188</v>
      </c>
      <c r="G966" s="8"/>
      <c r="H966" s="8"/>
      <c r="I966" s="8"/>
      <c r="J966" s="546" t="str">
        <f t="array" ref="J966">IF(LEN($E966),INDEX('4-All Devices'!AE:AE, MATCH($E966, '4-All Devices'!AF:AF, 0)),"")</f>
        <v/>
      </c>
      <c r="K966" s="8"/>
      <c r="L966" s="8"/>
      <c r="M966" s="8"/>
    </row>
    <row r="967">
      <c r="A967" s="542"/>
      <c r="B967" s="551" t="str">
        <f t="array" ref="B967">IF(LEN(E967),INDEX('4-All Devices'!AG:AG, MATCH(E967, '4-All Devices'!AF:AF, 0)),"")</f>
        <v/>
      </c>
      <c r="C967" s="549" t="s">
        <v>11186</v>
      </c>
      <c r="D967" s="549" t="s">
        <v>11187</v>
      </c>
      <c r="E967" s="8"/>
      <c r="F967" s="552" t="s">
        <v>11188</v>
      </c>
      <c r="G967" s="8"/>
      <c r="H967" s="8"/>
      <c r="I967" s="8"/>
      <c r="J967" s="546" t="str">
        <f t="array" ref="J967">IF(LEN($E967),INDEX('4-All Devices'!AE:AE, MATCH($E967, '4-All Devices'!AF:AF, 0)),"")</f>
        <v/>
      </c>
      <c r="K967" s="8"/>
      <c r="L967" s="8"/>
      <c r="M967" s="8"/>
    </row>
    <row r="968">
      <c r="A968" s="542"/>
      <c r="B968" s="551" t="str">
        <f t="array" ref="B968">IF(LEN(E968),INDEX('4-All Devices'!AG:AG, MATCH(E968, '4-All Devices'!AF:AF, 0)),"")</f>
        <v/>
      </c>
      <c r="C968" s="549" t="s">
        <v>11186</v>
      </c>
      <c r="D968" s="549" t="s">
        <v>11187</v>
      </c>
      <c r="E968" s="8"/>
      <c r="F968" s="552" t="s">
        <v>11188</v>
      </c>
      <c r="G968" s="8"/>
      <c r="H968" s="8"/>
      <c r="I968" s="8"/>
      <c r="J968" s="546" t="str">
        <f t="array" ref="J968">IF(LEN($E968),INDEX('4-All Devices'!AE:AE, MATCH($E968, '4-All Devices'!AF:AF, 0)),"")</f>
        <v/>
      </c>
      <c r="K968" s="8"/>
      <c r="L968" s="8"/>
      <c r="M968" s="8"/>
    </row>
    <row r="969">
      <c r="A969" s="542"/>
      <c r="B969" s="551" t="str">
        <f t="array" ref="B969">IF(LEN(E969),INDEX('4-All Devices'!AG:AG, MATCH(E969, '4-All Devices'!AF:AF, 0)),"")</f>
        <v/>
      </c>
      <c r="C969" s="549" t="s">
        <v>11186</v>
      </c>
      <c r="D969" s="549" t="s">
        <v>11187</v>
      </c>
      <c r="E969" s="8"/>
      <c r="F969" s="552" t="s">
        <v>11188</v>
      </c>
      <c r="G969" s="8"/>
      <c r="H969" s="8"/>
      <c r="I969" s="8"/>
      <c r="J969" s="546" t="str">
        <f t="array" ref="J969">IF(LEN($E969),INDEX('4-All Devices'!AE:AE, MATCH($E969, '4-All Devices'!AF:AF, 0)),"")</f>
        <v/>
      </c>
      <c r="K969" s="8"/>
      <c r="L969" s="8"/>
      <c r="M969" s="8"/>
    </row>
    <row r="970">
      <c r="A970" s="542"/>
      <c r="B970" s="551" t="str">
        <f t="array" ref="B970">IF(LEN(E970),INDEX('4-All Devices'!AG:AG, MATCH(E970, '4-All Devices'!AF:AF, 0)),"")</f>
        <v/>
      </c>
      <c r="C970" s="549" t="s">
        <v>11186</v>
      </c>
      <c r="D970" s="549" t="s">
        <v>11187</v>
      </c>
      <c r="E970" s="8"/>
      <c r="F970" s="552" t="s">
        <v>11188</v>
      </c>
      <c r="G970" s="8"/>
      <c r="H970" s="8"/>
      <c r="I970" s="8"/>
      <c r="J970" s="546" t="str">
        <f t="array" ref="J970">IF(LEN($E970),INDEX('4-All Devices'!AE:AE, MATCH($E970, '4-All Devices'!AF:AF, 0)),"")</f>
        <v/>
      </c>
      <c r="K970" s="8"/>
      <c r="L970" s="8"/>
      <c r="M970" s="8"/>
    </row>
    <row r="971">
      <c r="A971" s="542"/>
      <c r="B971" s="551" t="str">
        <f t="array" ref="B971">IF(LEN(E971),INDEX('4-All Devices'!AG:AG, MATCH(E971, '4-All Devices'!AF:AF, 0)),"")</f>
        <v/>
      </c>
      <c r="C971" s="549" t="s">
        <v>11186</v>
      </c>
      <c r="D971" s="549" t="s">
        <v>11187</v>
      </c>
      <c r="E971" s="8"/>
      <c r="F971" s="552" t="s">
        <v>11188</v>
      </c>
      <c r="G971" s="8"/>
      <c r="H971" s="8"/>
      <c r="I971" s="8"/>
      <c r="J971" s="546" t="str">
        <f t="array" ref="J971">IF(LEN($E971),INDEX('4-All Devices'!AE:AE, MATCH($E971, '4-All Devices'!AF:AF, 0)),"")</f>
        <v/>
      </c>
      <c r="K971" s="8"/>
      <c r="L971" s="8"/>
      <c r="M971" s="8"/>
    </row>
    <row r="972">
      <c r="A972" s="542"/>
      <c r="B972" s="551" t="str">
        <f t="array" ref="B972">IF(LEN(E972),INDEX('4-All Devices'!AG:AG, MATCH(E972, '4-All Devices'!AF:AF, 0)),"")</f>
        <v/>
      </c>
      <c r="C972" s="549" t="s">
        <v>11186</v>
      </c>
      <c r="D972" s="549" t="s">
        <v>11187</v>
      </c>
      <c r="E972" s="8"/>
      <c r="F972" s="552" t="s">
        <v>11188</v>
      </c>
      <c r="G972" s="8"/>
      <c r="H972" s="8"/>
      <c r="I972" s="8"/>
      <c r="J972" s="546" t="str">
        <f t="array" ref="J972">IF(LEN($E972),INDEX('4-All Devices'!AE:AE, MATCH($E972, '4-All Devices'!AF:AF, 0)),"")</f>
        <v/>
      </c>
      <c r="K972" s="8"/>
      <c r="L972" s="8"/>
      <c r="M972" s="8"/>
    </row>
    <row r="973">
      <c r="A973" s="542"/>
      <c r="B973" s="551" t="str">
        <f t="array" ref="B973">IF(LEN(E973),INDEX('4-All Devices'!AG:AG, MATCH(E973, '4-All Devices'!AF:AF, 0)),"")</f>
        <v/>
      </c>
      <c r="C973" s="549" t="s">
        <v>11186</v>
      </c>
      <c r="D973" s="549" t="s">
        <v>11187</v>
      </c>
      <c r="E973" s="8"/>
      <c r="F973" s="552" t="s">
        <v>11188</v>
      </c>
      <c r="G973" s="8"/>
      <c r="H973" s="8"/>
      <c r="I973" s="8"/>
      <c r="J973" s="546" t="str">
        <f t="array" ref="J973">IF(LEN($E973),INDEX('4-All Devices'!AE:AE, MATCH($E973, '4-All Devices'!AF:AF, 0)),"")</f>
        <v/>
      </c>
      <c r="K973" s="8"/>
      <c r="L973" s="8"/>
      <c r="M973" s="8"/>
    </row>
    <row r="974">
      <c r="A974" s="542"/>
      <c r="B974" s="551" t="str">
        <f t="array" ref="B974">IF(LEN(E974),INDEX('4-All Devices'!AG:AG, MATCH(E974, '4-All Devices'!AF:AF, 0)),"")</f>
        <v/>
      </c>
      <c r="C974" s="549" t="s">
        <v>11186</v>
      </c>
      <c r="D974" s="549" t="s">
        <v>11187</v>
      </c>
      <c r="E974" s="8"/>
      <c r="F974" s="552" t="s">
        <v>11188</v>
      </c>
      <c r="G974" s="8"/>
      <c r="H974" s="8"/>
      <c r="I974" s="8"/>
      <c r="J974" s="546" t="str">
        <f t="array" ref="J974">IF(LEN($E974),INDEX('4-All Devices'!AE:AE, MATCH($E974, '4-All Devices'!AF:AF, 0)),"")</f>
        <v/>
      </c>
      <c r="K974" s="8"/>
      <c r="L974" s="8"/>
      <c r="M974" s="8"/>
    </row>
    <row r="975">
      <c r="A975" s="542"/>
      <c r="B975" s="551" t="str">
        <f t="array" ref="B975">IF(LEN(E975),INDEX('4-All Devices'!AG:AG, MATCH(E975, '4-All Devices'!AF:AF, 0)),"")</f>
        <v/>
      </c>
      <c r="C975" s="549" t="s">
        <v>11186</v>
      </c>
      <c r="D975" s="549" t="s">
        <v>11187</v>
      </c>
      <c r="E975" s="8"/>
      <c r="F975" s="552" t="s">
        <v>11188</v>
      </c>
      <c r="G975" s="8"/>
      <c r="H975" s="8"/>
      <c r="I975" s="8"/>
      <c r="J975" s="546" t="str">
        <f t="array" ref="J975">IF(LEN($E975),INDEX('4-All Devices'!AE:AE, MATCH($E975, '4-All Devices'!AF:AF, 0)),"")</f>
        <v/>
      </c>
      <c r="K975" s="8"/>
      <c r="L975" s="8"/>
      <c r="M975" s="8"/>
    </row>
    <row r="976">
      <c r="A976" s="542"/>
      <c r="B976" s="551" t="str">
        <f t="array" ref="B976">IF(LEN(E976),INDEX('4-All Devices'!AG:AG, MATCH(E976, '4-All Devices'!AF:AF, 0)),"")</f>
        <v/>
      </c>
      <c r="C976" s="549" t="s">
        <v>11186</v>
      </c>
      <c r="D976" s="549" t="s">
        <v>11187</v>
      </c>
      <c r="E976" s="8"/>
      <c r="F976" s="552" t="s">
        <v>11188</v>
      </c>
      <c r="G976" s="8"/>
      <c r="H976" s="8"/>
      <c r="I976" s="8"/>
      <c r="J976" s="546" t="str">
        <f t="array" ref="J976">IF(LEN($E976),INDEX('4-All Devices'!AE:AE, MATCH($E976, '4-All Devices'!AF:AF, 0)),"")</f>
        <v/>
      </c>
      <c r="K976" s="8"/>
      <c r="L976" s="8"/>
      <c r="M976" s="8"/>
    </row>
    <row r="977">
      <c r="A977" s="542"/>
      <c r="B977" s="551" t="str">
        <f t="array" ref="B977">IF(LEN(E977),INDEX('4-All Devices'!AG:AG, MATCH(E977, '4-All Devices'!AF:AF, 0)),"")</f>
        <v/>
      </c>
      <c r="C977" s="549" t="s">
        <v>11186</v>
      </c>
      <c r="D977" s="549" t="s">
        <v>11187</v>
      </c>
      <c r="E977" s="8"/>
      <c r="F977" s="552" t="s">
        <v>11188</v>
      </c>
      <c r="G977" s="8"/>
      <c r="H977" s="8"/>
      <c r="I977" s="8"/>
      <c r="J977" s="546" t="str">
        <f t="array" ref="J977">IF(LEN($E977),INDEX('4-All Devices'!AE:AE, MATCH($E977, '4-All Devices'!AF:AF, 0)),"")</f>
        <v/>
      </c>
      <c r="K977" s="8"/>
      <c r="L977" s="8"/>
      <c r="M977" s="8"/>
    </row>
    <row r="978">
      <c r="A978" s="542"/>
      <c r="B978" s="551" t="str">
        <f t="array" ref="B978">IF(LEN(E978),INDEX('4-All Devices'!AG:AG, MATCH(E978, '4-All Devices'!AF:AF, 0)),"")</f>
        <v/>
      </c>
      <c r="C978" s="549" t="s">
        <v>11186</v>
      </c>
      <c r="D978" s="549" t="s">
        <v>11187</v>
      </c>
      <c r="E978" s="8"/>
      <c r="F978" s="552" t="s">
        <v>11188</v>
      </c>
      <c r="G978" s="8"/>
      <c r="H978" s="8"/>
      <c r="I978" s="8"/>
      <c r="J978" s="546" t="str">
        <f t="array" ref="J978">IF(LEN($E978),INDEX('4-All Devices'!AE:AE, MATCH($E978, '4-All Devices'!AF:AF, 0)),"")</f>
        <v/>
      </c>
      <c r="K978" s="8"/>
      <c r="L978" s="8"/>
      <c r="M978" s="8"/>
    </row>
    <row r="979">
      <c r="A979" s="542"/>
      <c r="B979" s="551" t="str">
        <f t="array" ref="B979">IF(LEN(E979),INDEX('4-All Devices'!AG:AG, MATCH(E979, '4-All Devices'!AF:AF, 0)),"")</f>
        <v/>
      </c>
      <c r="C979" s="549" t="s">
        <v>11186</v>
      </c>
      <c r="D979" s="549" t="s">
        <v>11187</v>
      </c>
      <c r="E979" s="8"/>
      <c r="F979" s="552" t="s">
        <v>11188</v>
      </c>
      <c r="G979" s="8"/>
      <c r="H979" s="8"/>
      <c r="I979" s="8"/>
      <c r="J979" s="546" t="str">
        <f t="array" ref="J979">IF(LEN($E979),INDEX('4-All Devices'!AE:AE, MATCH($E979, '4-All Devices'!AF:AF, 0)),"")</f>
        <v/>
      </c>
      <c r="K979" s="8"/>
      <c r="L979" s="8"/>
      <c r="M979" s="8"/>
    </row>
    <row r="980">
      <c r="A980" s="542"/>
      <c r="B980" s="551" t="str">
        <f t="array" ref="B980">IF(LEN(E980),INDEX('4-All Devices'!AG:AG, MATCH(E980, '4-All Devices'!AF:AF, 0)),"")</f>
        <v/>
      </c>
      <c r="C980" s="549" t="s">
        <v>11186</v>
      </c>
      <c r="D980" s="549" t="s">
        <v>11187</v>
      </c>
      <c r="E980" s="8"/>
      <c r="F980" s="552" t="s">
        <v>11188</v>
      </c>
      <c r="G980" s="8"/>
      <c r="H980" s="8"/>
      <c r="I980" s="8"/>
      <c r="J980" s="546" t="str">
        <f t="array" ref="J980">IF(LEN($E980),INDEX('4-All Devices'!AE:AE, MATCH($E980, '4-All Devices'!AF:AF, 0)),"")</f>
        <v/>
      </c>
      <c r="K980" s="8"/>
      <c r="L980" s="8"/>
      <c r="M980" s="8"/>
    </row>
    <row r="981">
      <c r="A981" s="542"/>
      <c r="B981" s="551" t="str">
        <f t="array" ref="B981">IF(LEN(E981),INDEX('4-All Devices'!AG:AG, MATCH(E981, '4-All Devices'!AF:AF, 0)),"")</f>
        <v/>
      </c>
      <c r="C981" s="549" t="s">
        <v>11186</v>
      </c>
      <c r="D981" s="549" t="s">
        <v>11187</v>
      </c>
      <c r="E981" s="8"/>
      <c r="F981" s="552" t="s">
        <v>11188</v>
      </c>
      <c r="G981" s="8"/>
      <c r="H981" s="8"/>
      <c r="I981" s="8"/>
      <c r="J981" s="546" t="str">
        <f t="array" ref="J981">IF(LEN($E981),INDEX('4-All Devices'!AE:AE, MATCH($E981, '4-All Devices'!AF:AF, 0)),"")</f>
        <v/>
      </c>
      <c r="K981" s="8"/>
      <c r="L981" s="8"/>
      <c r="M981" s="8"/>
    </row>
    <row r="982">
      <c r="A982" s="542"/>
      <c r="B982" s="551" t="str">
        <f t="array" ref="B982">IF(LEN(E982),INDEX('4-All Devices'!AG:AG, MATCH(E982, '4-All Devices'!AF:AF, 0)),"")</f>
        <v/>
      </c>
      <c r="C982" s="549" t="s">
        <v>11186</v>
      </c>
      <c r="D982" s="549" t="s">
        <v>11187</v>
      </c>
      <c r="E982" s="8"/>
      <c r="F982" s="552" t="s">
        <v>11188</v>
      </c>
      <c r="G982" s="8"/>
      <c r="H982" s="8"/>
      <c r="I982" s="8"/>
      <c r="J982" s="546" t="str">
        <f t="array" ref="J982">IF(LEN($E982),INDEX('4-All Devices'!AE:AE, MATCH($E982, '4-All Devices'!AF:AF, 0)),"")</f>
        <v/>
      </c>
      <c r="K982" s="8"/>
      <c r="L982" s="8"/>
      <c r="M982" s="8"/>
    </row>
    <row r="983">
      <c r="A983" s="542"/>
      <c r="B983" s="551" t="str">
        <f t="array" ref="B983">IF(LEN(E983),INDEX('4-All Devices'!AG:AG, MATCH(E983, '4-All Devices'!AF:AF, 0)),"")</f>
        <v/>
      </c>
      <c r="C983" s="549" t="s">
        <v>11186</v>
      </c>
      <c r="D983" s="549" t="s">
        <v>11187</v>
      </c>
      <c r="E983" s="8"/>
      <c r="F983" s="552" t="s">
        <v>11188</v>
      </c>
      <c r="G983" s="8"/>
      <c r="H983" s="8"/>
      <c r="I983" s="8"/>
      <c r="J983" s="546" t="str">
        <f t="array" ref="J983">IF(LEN($E983),INDEX('4-All Devices'!AE:AE, MATCH($E983, '4-All Devices'!AF:AF, 0)),"")</f>
        <v/>
      </c>
      <c r="K983" s="8"/>
      <c r="L983" s="8"/>
      <c r="M983" s="8"/>
    </row>
    <row r="984">
      <c r="A984" s="542"/>
      <c r="B984" s="551" t="str">
        <f t="array" ref="B984">IF(LEN(E984),INDEX('4-All Devices'!AG:AG, MATCH(E984, '4-All Devices'!AF:AF, 0)),"")</f>
        <v/>
      </c>
      <c r="C984" s="549" t="s">
        <v>11186</v>
      </c>
      <c r="D984" s="549" t="s">
        <v>11187</v>
      </c>
      <c r="E984" s="8"/>
      <c r="F984" s="552" t="s">
        <v>11188</v>
      </c>
      <c r="G984" s="8"/>
      <c r="H984" s="8"/>
      <c r="I984" s="8"/>
      <c r="J984" s="546" t="str">
        <f t="array" ref="J984">IF(LEN($E984),INDEX('4-All Devices'!AE:AE, MATCH($E984, '4-All Devices'!AF:AF, 0)),"")</f>
        <v/>
      </c>
      <c r="K984" s="8"/>
      <c r="L984" s="8"/>
      <c r="M984" s="8"/>
    </row>
    <row r="985">
      <c r="A985" s="542"/>
      <c r="B985" s="551" t="str">
        <f t="array" ref="B985">IF(LEN(E985),INDEX('4-All Devices'!AG:AG, MATCH(E985, '4-All Devices'!AF:AF, 0)),"")</f>
        <v/>
      </c>
      <c r="C985" s="549" t="s">
        <v>11186</v>
      </c>
      <c r="D985" s="549" t="s">
        <v>11187</v>
      </c>
      <c r="E985" s="8"/>
      <c r="F985" s="552" t="s">
        <v>11188</v>
      </c>
      <c r="G985" s="8"/>
      <c r="H985" s="8"/>
      <c r="I985" s="8"/>
      <c r="J985" s="546" t="str">
        <f t="array" ref="J985">IF(LEN($E985),INDEX('4-All Devices'!AE:AE, MATCH($E985, '4-All Devices'!AF:AF, 0)),"")</f>
        <v/>
      </c>
      <c r="K985" s="8"/>
      <c r="L985" s="8"/>
      <c r="M985" s="8"/>
    </row>
    <row r="986">
      <c r="A986" s="542"/>
      <c r="B986" s="551" t="str">
        <f t="array" ref="B986">IF(LEN(E986),INDEX('4-All Devices'!AG:AG, MATCH(E986, '4-All Devices'!AF:AF, 0)),"")</f>
        <v/>
      </c>
      <c r="C986" s="549" t="s">
        <v>11186</v>
      </c>
      <c r="D986" s="549" t="s">
        <v>11187</v>
      </c>
      <c r="E986" s="8"/>
      <c r="F986" s="552" t="s">
        <v>11188</v>
      </c>
      <c r="G986" s="8"/>
      <c r="H986" s="8"/>
      <c r="I986" s="8"/>
      <c r="J986" s="546" t="str">
        <f t="array" ref="J986">IF(LEN($E986),INDEX('4-All Devices'!AE:AE, MATCH($E986, '4-All Devices'!AF:AF, 0)),"")</f>
        <v/>
      </c>
      <c r="K986" s="8"/>
      <c r="L986" s="8"/>
      <c r="M986" s="8"/>
    </row>
    <row r="987">
      <c r="A987" s="542"/>
      <c r="B987" s="551" t="str">
        <f t="array" ref="B987">IF(LEN(E987),INDEX('4-All Devices'!AG:AG, MATCH(E987, '4-All Devices'!AF:AF, 0)),"")</f>
        <v/>
      </c>
      <c r="C987" s="549" t="s">
        <v>11186</v>
      </c>
      <c r="D987" s="549" t="s">
        <v>11187</v>
      </c>
      <c r="E987" s="8"/>
      <c r="F987" s="552" t="s">
        <v>11188</v>
      </c>
      <c r="G987" s="8"/>
      <c r="H987" s="8"/>
      <c r="I987" s="8"/>
      <c r="J987" s="546" t="str">
        <f t="array" ref="J987">IF(LEN($E987),INDEX('4-All Devices'!AE:AE, MATCH($E987, '4-All Devices'!AF:AF, 0)),"")</f>
        <v/>
      </c>
      <c r="K987" s="8"/>
      <c r="L987" s="8"/>
      <c r="M987" s="8"/>
    </row>
    <row r="988">
      <c r="A988" s="542"/>
      <c r="B988" s="551" t="str">
        <f t="array" ref="B988">IF(LEN(E988),INDEX('4-All Devices'!AG:AG, MATCH(E988, '4-All Devices'!AF:AF, 0)),"")</f>
        <v/>
      </c>
      <c r="C988" s="549" t="s">
        <v>11186</v>
      </c>
      <c r="D988" s="549" t="s">
        <v>11187</v>
      </c>
      <c r="E988" s="8"/>
      <c r="F988" s="552" t="s">
        <v>11188</v>
      </c>
      <c r="G988" s="8"/>
      <c r="H988" s="8"/>
      <c r="I988" s="8"/>
      <c r="J988" s="546" t="str">
        <f t="array" ref="J988">IF(LEN($E988),INDEX('4-All Devices'!AE:AE, MATCH($E988, '4-All Devices'!AF:AF, 0)),"")</f>
        <v/>
      </c>
      <c r="K988" s="8"/>
      <c r="L988" s="8"/>
      <c r="M988" s="8"/>
    </row>
    <row r="989">
      <c r="A989" s="542"/>
      <c r="B989" s="551" t="str">
        <f t="array" ref="B989">IF(LEN(E989),INDEX('4-All Devices'!AG:AG, MATCH(E989, '4-All Devices'!AF:AF, 0)),"")</f>
        <v/>
      </c>
      <c r="C989" s="549" t="s">
        <v>11186</v>
      </c>
      <c r="D989" s="549" t="s">
        <v>11187</v>
      </c>
      <c r="E989" s="8"/>
      <c r="F989" s="552" t="s">
        <v>11188</v>
      </c>
      <c r="G989" s="8"/>
      <c r="H989" s="8"/>
      <c r="I989" s="8"/>
      <c r="J989" s="546" t="str">
        <f t="array" ref="J989">IF(LEN($E989),INDEX('4-All Devices'!AE:AE, MATCH($E989, '4-All Devices'!AF:AF, 0)),"")</f>
        <v/>
      </c>
      <c r="K989" s="8"/>
      <c r="L989" s="8"/>
      <c r="M989" s="8"/>
    </row>
    <row r="990">
      <c r="A990" s="542"/>
      <c r="B990" s="551" t="str">
        <f t="array" ref="B990">IF(LEN(E990),INDEX('4-All Devices'!AG:AG, MATCH(E990, '4-All Devices'!AF:AF, 0)),"")</f>
        <v/>
      </c>
      <c r="C990" s="549" t="s">
        <v>11186</v>
      </c>
      <c r="D990" s="549" t="s">
        <v>11187</v>
      </c>
      <c r="E990" s="8"/>
      <c r="F990" s="552" t="s">
        <v>11188</v>
      </c>
      <c r="G990" s="8"/>
      <c r="H990" s="8"/>
      <c r="I990" s="8"/>
      <c r="J990" s="546" t="str">
        <f t="array" ref="J990">IF(LEN($E990),INDEX('4-All Devices'!AE:AE, MATCH($E990, '4-All Devices'!AF:AF, 0)),"")</f>
        <v/>
      </c>
      <c r="K990" s="8"/>
      <c r="L990" s="8"/>
      <c r="M990" s="8"/>
    </row>
    <row r="991">
      <c r="A991" s="542"/>
      <c r="B991" s="551" t="str">
        <f t="array" ref="B991">IF(LEN(E991),INDEX('4-All Devices'!AG:AG, MATCH(E991, '4-All Devices'!AF:AF, 0)),"")</f>
        <v/>
      </c>
      <c r="C991" s="549" t="s">
        <v>11186</v>
      </c>
      <c r="D991" s="549" t="s">
        <v>11187</v>
      </c>
      <c r="E991" s="8"/>
      <c r="F991" s="552" t="s">
        <v>11188</v>
      </c>
      <c r="G991" s="8"/>
      <c r="H991" s="8"/>
      <c r="I991" s="8"/>
      <c r="J991" s="546" t="str">
        <f t="array" ref="J991">IF(LEN($E991),INDEX('4-All Devices'!AE:AE, MATCH($E991, '4-All Devices'!AF:AF, 0)),"")</f>
        <v/>
      </c>
      <c r="K991" s="8"/>
      <c r="L991" s="8"/>
      <c r="M991" s="8"/>
    </row>
    <row r="992">
      <c r="A992" s="542"/>
      <c r="B992" s="551" t="str">
        <f t="array" ref="B992">IF(LEN(E992),INDEX('4-All Devices'!AG:AG, MATCH(E992, '4-All Devices'!AF:AF, 0)),"")</f>
        <v/>
      </c>
      <c r="C992" s="549" t="s">
        <v>11186</v>
      </c>
      <c r="D992" s="549" t="s">
        <v>11187</v>
      </c>
      <c r="E992" s="8"/>
      <c r="F992" s="552" t="s">
        <v>11188</v>
      </c>
      <c r="G992" s="8"/>
      <c r="H992" s="8"/>
      <c r="I992" s="8"/>
      <c r="J992" s="546" t="str">
        <f t="array" ref="J992">IF(LEN($E992),INDEX('4-All Devices'!AE:AE, MATCH($E992, '4-All Devices'!AF:AF, 0)),"")</f>
        <v/>
      </c>
      <c r="K992" s="8"/>
      <c r="L992" s="8"/>
      <c r="M992" s="8"/>
    </row>
    <row r="993">
      <c r="A993" s="542"/>
      <c r="B993" s="551" t="str">
        <f t="array" ref="B993">IF(LEN(E993),INDEX('4-All Devices'!AG:AG, MATCH(E993, '4-All Devices'!AF:AF, 0)),"")</f>
        <v/>
      </c>
      <c r="C993" s="549" t="s">
        <v>11186</v>
      </c>
      <c r="D993" s="549" t="s">
        <v>11187</v>
      </c>
      <c r="E993" s="8"/>
      <c r="F993" s="552" t="s">
        <v>11188</v>
      </c>
      <c r="G993" s="8"/>
      <c r="H993" s="8"/>
      <c r="I993" s="8"/>
      <c r="J993" s="546" t="str">
        <f t="array" ref="J993">IF(LEN($E993),INDEX('4-All Devices'!AE:AE, MATCH($E993, '4-All Devices'!AF:AF, 0)),"")</f>
        <v/>
      </c>
      <c r="K993" s="8"/>
      <c r="L993" s="8"/>
      <c r="M993" s="8"/>
    </row>
    <row r="994">
      <c r="A994" s="542"/>
      <c r="B994" s="551" t="str">
        <f t="array" ref="B994">IF(LEN(E994),INDEX('4-All Devices'!AG:AG, MATCH(E994, '4-All Devices'!AF:AF, 0)),"")</f>
        <v/>
      </c>
      <c r="C994" s="549" t="s">
        <v>11186</v>
      </c>
      <c r="D994" s="549" t="s">
        <v>11187</v>
      </c>
      <c r="E994" s="8"/>
      <c r="F994" s="552" t="s">
        <v>11188</v>
      </c>
      <c r="G994" s="8"/>
      <c r="H994" s="8"/>
      <c r="I994" s="8"/>
      <c r="J994" s="546" t="str">
        <f t="array" ref="J994">IF(LEN($E994),INDEX('4-All Devices'!AE:AE, MATCH($E994, '4-All Devices'!AF:AF, 0)),"")</f>
        <v/>
      </c>
      <c r="K994" s="8"/>
      <c r="L994" s="8"/>
      <c r="M994" s="8"/>
    </row>
    <row r="995">
      <c r="A995" s="542"/>
      <c r="B995" s="551" t="str">
        <f t="array" ref="B995">IF(LEN(E995),INDEX('4-All Devices'!AG:AG, MATCH(E995, '4-All Devices'!AF:AF, 0)),"")</f>
        <v/>
      </c>
      <c r="C995" s="549" t="s">
        <v>11186</v>
      </c>
      <c r="D995" s="549" t="s">
        <v>11187</v>
      </c>
      <c r="E995" s="8"/>
      <c r="F995" s="552" t="s">
        <v>11188</v>
      </c>
      <c r="G995" s="8"/>
      <c r="H995" s="8"/>
      <c r="I995" s="8"/>
      <c r="J995" s="546" t="str">
        <f t="array" ref="J995">IF(LEN($E995),INDEX('4-All Devices'!AE:AE, MATCH($E995, '4-All Devices'!AF:AF, 0)),"")</f>
        <v/>
      </c>
      <c r="K995" s="8"/>
      <c r="L995" s="8"/>
      <c r="M995" s="8"/>
    </row>
    <row r="996">
      <c r="A996" s="542"/>
      <c r="B996" s="551" t="str">
        <f t="array" ref="B996">IF(LEN(E996),INDEX('4-All Devices'!AG:AG, MATCH(E996, '4-All Devices'!AF:AF, 0)),"")</f>
        <v/>
      </c>
      <c r="C996" s="549" t="s">
        <v>11186</v>
      </c>
      <c r="D996" s="549" t="s">
        <v>11187</v>
      </c>
      <c r="E996" s="8"/>
      <c r="F996" s="552" t="s">
        <v>11188</v>
      </c>
      <c r="G996" s="8"/>
      <c r="H996" s="8"/>
      <c r="I996" s="8"/>
      <c r="J996" s="546" t="str">
        <f t="array" ref="J996">IF(LEN($E996),INDEX('4-All Devices'!AE:AE, MATCH($E996, '4-All Devices'!AF:AF, 0)),"")</f>
        <v/>
      </c>
      <c r="K996" s="8"/>
      <c r="L996" s="8"/>
      <c r="M996" s="8"/>
    </row>
    <row r="997">
      <c r="A997" s="542"/>
      <c r="B997" s="551" t="str">
        <f t="array" ref="B997">IF(LEN(E997),INDEX('4-All Devices'!AG:AG, MATCH(E997, '4-All Devices'!AF:AF, 0)),"")</f>
        <v/>
      </c>
      <c r="C997" s="549" t="s">
        <v>11186</v>
      </c>
      <c r="D997" s="549" t="s">
        <v>11187</v>
      </c>
      <c r="E997" s="8"/>
      <c r="F997" s="552" t="s">
        <v>11188</v>
      </c>
      <c r="G997" s="8"/>
      <c r="H997" s="8"/>
      <c r="I997" s="8"/>
      <c r="J997" s="546" t="str">
        <f t="array" ref="J997">IF(LEN($E997),INDEX('4-All Devices'!AE:AE, MATCH($E997, '4-All Devices'!AF:AF, 0)),"")</f>
        <v/>
      </c>
      <c r="K997" s="8"/>
      <c r="L997" s="8"/>
      <c r="M997" s="8"/>
    </row>
    <row r="998">
      <c r="A998" s="542"/>
      <c r="B998" s="551" t="str">
        <f t="array" ref="B998">IF(LEN(E998),INDEX('4-All Devices'!AG:AG, MATCH(E998, '4-All Devices'!AF:AF, 0)),"")</f>
        <v/>
      </c>
      <c r="C998" s="549" t="s">
        <v>11186</v>
      </c>
      <c r="D998" s="549" t="s">
        <v>11187</v>
      </c>
      <c r="E998" s="8"/>
      <c r="F998" s="552" t="s">
        <v>11188</v>
      </c>
      <c r="G998" s="8"/>
      <c r="H998" s="8"/>
      <c r="I998" s="8"/>
      <c r="J998" s="546" t="str">
        <f t="array" ref="J998">IF(LEN($E998),INDEX('4-All Devices'!AE:AE, MATCH($E998, '4-All Devices'!AF:AF, 0)),"")</f>
        <v/>
      </c>
      <c r="K998" s="8"/>
      <c r="L998" s="8"/>
      <c r="M998" s="8"/>
    </row>
    <row r="999">
      <c r="A999" s="542"/>
      <c r="B999" s="551" t="str">
        <f t="array" ref="B999">IF(LEN(E999),INDEX('4-All Devices'!AG:AG, MATCH(E999, '4-All Devices'!AF:AF, 0)),"")</f>
        <v/>
      </c>
      <c r="C999" s="549" t="s">
        <v>11186</v>
      </c>
      <c r="D999" s="549" t="s">
        <v>11187</v>
      </c>
      <c r="E999" s="8"/>
      <c r="F999" s="552" t="s">
        <v>11188</v>
      </c>
      <c r="G999" s="8"/>
      <c r="H999" s="8"/>
      <c r="I999" s="8"/>
      <c r="J999" s="546" t="str">
        <f t="array" ref="J999">IF(LEN($E999),INDEX('4-All Devices'!AE:AE, MATCH($E999, '4-All Devices'!AF:AF, 0)),"")</f>
        <v/>
      </c>
      <c r="K999" s="8"/>
      <c r="L999" s="8"/>
      <c r="M999" s="8"/>
    </row>
    <row r="1000">
      <c r="A1000" s="542"/>
      <c r="B1000" s="551" t="str">
        <f t="array" ref="B1000">IF(LEN(E1000),INDEX('4-All Devices'!AG:AG, MATCH(E1000, '4-All Devices'!AF:AF, 0)),"")</f>
        <v/>
      </c>
      <c r="C1000" s="549" t="s">
        <v>11186</v>
      </c>
      <c r="D1000" s="549" t="s">
        <v>11187</v>
      </c>
      <c r="E1000" s="8"/>
      <c r="F1000" s="552" t="s">
        <v>11188</v>
      </c>
      <c r="G1000" s="8"/>
      <c r="H1000" s="8"/>
      <c r="I1000" s="8"/>
      <c r="J1000" s="546" t="str">
        <f t="array" ref="J1000">IF(LEN($E1000),INDEX('4-All Devices'!AE:AE, MATCH($E1000, '4-All Devices'!AF:AF, 0)),"")</f>
        <v/>
      </c>
      <c r="K1000" s="8"/>
      <c r="L1000" s="8"/>
      <c r="M1000" s="8"/>
    </row>
    <row r="1001">
      <c r="A1001" s="542"/>
      <c r="B1001" s="551" t="str">
        <f t="array" ref="B1001">IF(LEN(E1001),INDEX('4-All Devices'!AG:AG, MATCH(E1001, '4-All Devices'!AF:AF, 0)),"")</f>
        <v/>
      </c>
      <c r="C1001" s="549" t="s">
        <v>11186</v>
      </c>
      <c r="D1001" s="549" t="s">
        <v>11187</v>
      </c>
      <c r="E1001" s="8"/>
      <c r="F1001" s="552" t="s">
        <v>11188</v>
      </c>
      <c r="G1001" s="8"/>
      <c r="H1001" s="8"/>
      <c r="I1001" s="8"/>
      <c r="J1001" s="547"/>
      <c r="K1001" s="8"/>
      <c r="L1001" s="8"/>
      <c r="M1001" s="8"/>
    </row>
    <row r="1002">
      <c r="A1002" s="542"/>
      <c r="B1002" s="551" t="str">
        <f t="array" ref="B1002">IF(LEN(E1002),INDEX('4-All Devices'!AG:AG, MATCH(E1002, '4-All Devices'!AF:AF, 0)),"")</f>
        <v/>
      </c>
      <c r="C1002" s="549" t="s">
        <v>11186</v>
      </c>
      <c r="D1002" s="549" t="s">
        <v>11187</v>
      </c>
      <c r="E1002" s="8"/>
      <c r="F1002" s="552" t="s">
        <v>11188</v>
      </c>
      <c r="G1002" s="8"/>
      <c r="H1002" s="8"/>
      <c r="I1002" s="8"/>
      <c r="J1002" s="547"/>
      <c r="K1002" s="8"/>
      <c r="L1002" s="8"/>
      <c r="M1002" s="8"/>
    </row>
    <row r="1003">
      <c r="A1003" s="542"/>
      <c r="B1003" s="551" t="str">
        <f t="array" ref="B1003">IF(LEN(E1003),INDEX('4-All Devices'!AG:AG, MATCH(E1003, '4-All Devices'!AF:AF, 0)),"")</f>
        <v/>
      </c>
      <c r="C1003" s="549" t="s">
        <v>11186</v>
      </c>
      <c r="D1003" s="549" t="s">
        <v>11187</v>
      </c>
      <c r="E1003" s="8"/>
      <c r="F1003" s="552" t="s">
        <v>11188</v>
      </c>
      <c r="G1003" s="8"/>
      <c r="H1003" s="8"/>
      <c r="I1003" s="8"/>
      <c r="J1003" s="547"/>
      <c r="K1003" s="8"/>
      <c r="L1003" s="8"/>
      <c r="M1003" s="8"/>
    </row>
    <row r="1004">
      <c r="A1004" s="542"/>
      <c r="B1004" s="551" t="str">
        <f t="array" ref="B1004">IF(LEN(E1004),INDEX('4-All Devices'!AG:AG, MATCH(E1004, '4-All Devices'!AF:AF, 0)),"")</f>
        <v/>
      </c>
      <c r="C1004" s="549" t="s">
        <v>11186</v>
      </c>
      <c r="D1004" s="549" t="s">
        <v>11187</v>
      </c>
      <c r="E1004" s="8"/>
      <c r="F1004" s="552" t="s">
        <v>11188</v>
      </c>
      <c r="G1004" s="8"/>
      <c r="H1004" s="8"/>
      <c r="I1004" s="8"/>
      <c r="J1004" s="547"/>
      <c r="K1004" s="8"/>
      <c r="L1004" s="8"/>
      <c r="M1004" s="8"/>
    </row>
    <row r="1005">
      <c r="A1005" s="542"/>
      <c r="B1005" s="551" t="str">
        <f t="array" ref="B1005">IF(LEN(E1005),INDEX('4-All Devices'!AG:AG, MATCH(E1005, '4-All Devices'!AF:AF, 0)),"")</f>
        <v/>
      </c>
      <c r="C1005" s="549" t="s">
        <v>11186</v>
      </c>
      <c r="D1005" s="549" t="s">
        <v>11187</v>
      </c>
      <c r="E1005" s="8"/>
      <c r="F1005" s="552" t="s">
        <v>11188</v>
      </c>
      <c r="G1005" s="8"/>
      <c r="H1005" s="8"/>
      <c r="I1005" s="8"/>
      <c r="J1005" s="547"/>
      <c r="K1005" s="8"/>
      <c r="L1005" s="8"/>
      <c r="M1005" s="8"/>
    </row>
    <row r="1006">
      <c r="A1006" s="542"/>
      <c r="B1006" s="551" t="str">
        <f t="array" ref="B1006">IF(LEN(E1006),INDEX('4-All Devices'!AG:AG, MATCH(E1006, '4-All Devices'!AF:AF, 0)),"")</f>
        <v/>
      </c>
      <c r="C1006" s="549" t="s">
        <v>11186</v>
      </c>
      <c r="D1006" s="549" t="s">
        <v>11187</v>
      </c>
      <c r="E1006" s="8"/>
      <c r="F1006" s="552" t="s">
        <v>11188</v>
      </c>
      <c r="G1006" s="8"/>
      <c r="H1006" s="8"/>
      <c r="I1006" s="8"/>
      <c r="J1006" s="547"/>
      <c r="K1006" s="8"/>
      <c r="L1006" s="8"/>
      <c r="M1006" s="8"/>
    </row>
    <row r="1007">
      <c r="A1007" s="542"/>
      <c r="B1007" s="551" t="str">
        <f t="array" ref="B1007">IF(LEN(E1007),INDEX('4-All Devices'!AG:AG, MATCH(E1007, '4-All Devices'!AF:AF, 0)),"")</f>
        <v/>
      </c>
      <c r="C1007" s="549" t="s">
        <v>11186</v>
      </c>
      <c r="D1007" s="549" t="s">
        <v>11187</v>
      </c>
      <c r="E1007" s="8"/>
      <c r="F1007" s="552" t="s">
        <v>11188</v>
      </c>
      <c r="G1007" s="8"/>
      <c r="H1007" s="8"/>
      <c r="I1007" s="8"/>
      <c r="J1007" s="547"/>
      <c r="K1007" s="8"/>
      <c r="L1007" s="8"/>
      <c r="M1007" s="8"/>
    </row>
    <row r="1008">
      <c r="A1008" s="542"/>
      <c r="B1008" s="551" t="str">
        <f t="array" ref="B1008">IF(LEN(E1008),INDEX('4-All Devices'!AG:AG, MATCH(E1008, '4-All Devices'!AF:AF, 0)),"")</f>
        <v/>
      </c>
      <c r="C1008" s="549" t="s">
        <v>11186</v>
      </c>
      <c r="D1008" s="549" t="s">
        <v>11187</v>
      </c>
      <c r="E1008" s="8"/>
      <c r="F1008" s="552" t="s">
        <v>11188</v>
      </c>
      <c r="G1008" s="8"/>
      <c r="H1008" s="8"/>
      <c r="I1008" s="8"/>
      <c r="J1008" s="547"/>
      <c r="K1008" s="8"/>
      <c r="L1008" s="8"/>
      <c r="M1008" s="8"/>
    </row>
    <row r="1009">
      <c r="A1009" s="542"/>
      <c r="B1009" s="551" t="str">
        <f t="array" ref="B1009">IF(LEN(E1009),INDEX('4-All Devices'!AG:AG, MATCH(E1009, '4-All Devices'!AF:AF, 0)),"")</f>
        <v/>
      </c>
      <c r="C1009" s="549" t="s">
        <v>11186</v>
      </c>
      <c r="D1009" s="549" t="s">
        <v>11187</v>
      </c>
      <c r="E1009" s="8"/>
      <c r="F1009" s="552" t="s">
        <v>11188</v>
      </c>
      <c r="G1009" s="8"/>
      <c r="H1009" s="8"/>
      <c r="I1009" s="8"/>
      <c r="J1009" s="547"/>
      <c r="K1009" s="8"/>
      <c r="L1009" s="8"/>
      <c r="M1009" s="8"/>
    </row>
    <row r="1010">
      <c r="A1010" s="542"/>
      <c r="B1010" s="551" t="str">
        <f t="array" ref="B1010">IF(LEN(E1010),INDEX('4-All Devices'!AG:AG, MATCH(E1010, '4-All Devices'!AF:AF, 0)),"")</f>
        <v/>
      </c>
      <c r="C1010" s="549" t="s">
        <v>11186</v>
      </c>
      <c r="D1010" s="549" t="s">
        <v>11187</v>
      </c>
      <c r="E1010" s="8"/>
      <c r="F1010" s="552" t="s">
        <v>11188</v>
      </c>
      <c r="G1010" s="8"/>
      <c r="H1010" s="8"/>
      <c r="I1010" s="8"/>
      <c r="J1010" s="547"/>
      <c r="K1010" s="8"/>
      <c r="L1010" s="8"/>
      <c r="M1010" s="8"/>
    </row>
    <row r="1011">
      <c r="A1011" s="542"/>
      <c r="B1011" s="551" t="str">
        <f t="array" ref="B1011">IF(LEN(E1011),INDEX('4-All Devices'!AG:AG, MATCH(E1011, '4-All Devices'!AF:AF, 0)),"")</f>
        <v/>
      </c>
      <c r="C1011" s="549" t="s">
        <v>11186</v>
      </c>
      <c r="D1011" s="549" t="s">
        <v>11187</v>
      </c>
      <c r="E1011" s="8"/>
      <c r="F1011" s="552" t="s">
        <v>11188</v>
      </c>
      <c r="G1011" s="8"/>
      <c r="H1011" s="8"/>
      <c r="I1011" s="8"/>
      <c r="J1011" s="547"/>
      <c r="K1011" s="8"/>
      <c r="L1011" s="8"/>
      <c r="M1011" s="8"/>
    </row>
    <row r="1012">
      <c r="A1012" s="542"/>
      <c r="B1012" s="551" t="str">
        <f t="array" ref="B1012">IF(LEN(E1012),INDEX('4-All Devices'!AG:AG, MATCH(E1012, '4-All Devices'!AF:AF, 0)),"")</f>
        <v/>
      </c>
      <c r="C1012" s="549" t="s">
        <v>11186</v>
      </c>
      <c r="D1012" s="549" t="s">
        <v>11187</v>
      </c>
      <c r="E1012" s="8"/>
      <c r="F1012" s="552" t="s">
        <v>11188</v>
      </c>
      <c r="G1012" s="8"/>
      <c r="H1012" s="8"/>
      <c r="I1012" s="8"/>
      <c r="J1012" s="547"/>
      <c r="K1012" s="8"/>
      <c r="L1012" s="8"/>
      <c r="M1012" s="8"/>
    </row>
    <row r="1013">
      <c r="A1013" s="542"/>
      <c r="B1013" s="551" t="str">
        <f t="array" ref="B1013">IF(LEN(E1013),INDEX('4-All Devices'!AG:AG, MATCH(E1013, '4-All Devices'!AF:AF, 0)),"")</f>
        <v/>
      </c>
      <c r="C1013" s="549" t="s">
        <v>11186</v>
      </c>
      <c r="D1013" s="549" t="s">
        <v>11187</v>
      </c>
      <c r="E1013" s="8"/>
      <c r="F1013" s="552" t="s">
        <v>11188</v>
      </c>
      <c r="G1013" s="8"/>
      <c r="H1013" s="8"/>
      <c r="I1013" s="8"/>
      <c r="J1013" s="547"/>
      <c r="K1013" s="8"/>
      <c r="L1013" s="8"/>
      <c r="M1013" s="8"/>
    </row>
    <row r="1014">
      <c r="A1014" s="542"/>
      <c r="B1014" s="551" t="str">
        <f t="array" ref="B1014">IF(LEN(E1014),INDEX('4-All Devices'!AG:AG, MATCH(E1014, '4-All Devices'!AF:AF, 0)),"")</f>
        <v/>
      </c>
      <c r="C1014" s="549" t="s">
        <v>11186</v>
      </c>
      <c r="D1014" s="549" t="s">
        <v>11187</v>
      </c>
      <c r="E1014" s="8"/>
      <c r="F1014" s="552" t="s">
        <v>11188</v>
      </c>
      <c r="G1014" s="8"/>
      <c r="H1014" s="8"/>
      <c r="I1014" s="8"/>
      <c r="J1014" s="547"/>
      <c r="K1014" s="8"/>
      <c r="L1014" s="8"/>
      <c r="M1014" s="8"/>
    </row>
    <row r="1015">
      <c r="A1015" s="542"/>
      <c r="B1015" s="551" t="str">
        <f t="array" ref="B1015">IF(LEN(E1015),INDEX('4-All Devices'!AG:AG, MATCH(E1015, '4-All Devices'!AF:AF, 0)),"")</f>
        <v/>
      </c>
      <c r="C1015" s="549" t="s">
        <v>11186</v>
      </c>
      <c r="D1015" s="549" t="s">
        <v>11187</v>
      </c>
      <c r="E1015" s="8"/>
      <c r="F1015" s="552" t="s">
        <v>11188</v>
      </c>
      <c r="G1015" s="8"/>
      <c r="H1015" s="8"/>
      <c r="I1015" s="8"/>
      <c r="J1015" s="547"/>
      <c r="K1015" s="8"/>
      <c r="L1015" s="8"/>
      <c r="M1015" s="8"/>
    </row>
    <row r="1016">
      <c r="A1016" s="542"/>
      <c r="B1016" s="551" t="str">
        <f t="array" ref="B1016">IF(LEN(E1016),INDEX('4-All Devices'!AG:AG, MATCH(E1016, '4-All Devices'!AF:AF, 0)),"")</f>
        <v/>
      </c>
      <c r="C1016" s="549" t="s">
        <v>11186</v>
      </c>
      <c r="D1016" s="549" t="s">
        <v>11187</v>
      </c>
      <c r="E1016" s="8"/>
      <c r="F1016" s="552" t="s">
        <v>11188</v>
      </c>
      <c r="G1016" s="8"/>
      <c r="H1016" s="8"/>
      <c r="I1016" s="8"/>
      <c r="J1016" s="547"/>
      <c r="K1016" s="8"/>
      <c r="L1016" s="8"/>
      <c r="M1016" s="8"/>
    </row>
    <row r="1017">
      <c r="A1017" s="542"/>
      <c r="B1017" s="551" t="str">
        <f t="array" ref="B1017">IF(LEN(E1017),INDEX('4-All Devices'!AG:AG, MATCH(E1017, '4-All Devices'!AF:AF, 0)),"")</f>
        <v/>
      </c>
      <c r="C1017" s="549" t="s">
        <v>11186</v>
      </c>
      <c r="D1017" s="549" t="s">
        <v>11187</v>
      </c>
      <c r="E1017" s="8"/>
      <c r="F1017" s="552" t="s">
        <v>11188</v>
      </c>
      <c r="G1017" s="8"/>
      <c r="H1017" s="8"/>
      <c r="I1017" s="8"/>
      <c r="J1017" s="547"/>
      <c r="K1017" s="8"/>
      <c r="L1017" s="8"/>
      <c r="M1017" s="8"/>
    </row>
    <row r="1018">
      <c r="A1018" s="542"/>
      <c r="B1018" s="551" t="str">
        <f t="array" ref="B1018">IF(LEN(E1018),INDEX('4-All Devices'!AG:AG, MATCH(E1018, '4-All Devices'!AF:AF, 0)),"")</f>
        <v/>
      </c>
      <c r="C1018" s="549" t="s">
        <v>11186</v>
      </c>
      <c r="D1018" s="549" t="s">
        <v>11187</v>
      </c>
      <c r="E1018" s="8"/>
      <c r="F1018" s="552" t="s">
        <v>11188</v>
      </c>
      <c r="G1018" s="8"/>
      <c r="H1018" s="8"/>
      <c r="I1018" s="8"/>
      <c r="J1018" s="547"/>
      <c r="K1018" s="8"/>
      <c r="L1018" s="8"/>
      <c r="M1018" s="8"/>
    </row>
    <row r="1019">
      <c r="A1019" s="542"/>
      <c r="B1019" s="551" t="str">
        <f t="array" ref="B1019">IF(LEN(E1019),INDEX('4-All Devices'!AG:AG, MATCH(E1019, '4-All Devices'!AF:AF, 0)),"")</f>
        <v/>
      </c>
      <c r="C1019" s="549" t="s">
        <v>11186</v>
      </c>
      <c r="D1019" s="549" t="s">
        <v>11187</v>
      </c>
      <c r="E1019" s="8"/>
      <c r="F1019" s="552" t="s">
        <v>11188</v>
      </c>
      <c r="G1019" s="8"/>
      <c r="H1019" s="8"/>
      <c r="I1019" s="8"/>
      <c r="J1019" s="547"/>
      <c r="K1019" s="8"/>
      <c r="L1019" s="8"/>
      <c r="M1019" s="8"/>
    </row>
    <row r="1020">
      <c r="A1020" s="542"/>
      <c r="B1020" s="551" t="str">
        <f t="array" ref="B1020">IF(LEN(E1020),INDEX('4-All Devices'!AG:AG, MATCH(E1020, '4-All Devices'!AF:AF, 0)),"")</f>
        <v/>
      </c>
      <c r="C1020" s="549" t="s">
        <v>11186</v>
      </c>
      <c r="D1020" s="549" t="s">
        <v>11187</v>
      </c>
      <c r="E1020" s="8"/>
      <c r="F1020" s="552" t="s">
        <v>11188</v>
      </c>
      <c r="G1020" s="8"/>
      <c r="H1020" s="8"/>
      <c r="I1020" s="8"/>
      <c r="J1020" s="547"/>
      <c r="K1020" s="8"/>
      <c r="L1020" s="8"/>
      <c r="M1020" s="8"/>
    </row>
    <row r="1021">
      <c r="A1021" s="542"/>
      <c r="B1021" s="551" t="str">
        <f t="array" ref="B1021">IF(LEN(E1021),INDEX('4-All Devices'!AG:AG, MATCH(E1021, '4-All Devices'!AF:AF, 0)),"")</f>
        <v/>
      </c>
      <c r="C1021" s="549" t="s">
        <v>11186</v>
      </c>
      <c r="D1021" s="549" t="s">
        <v>11187</v>
      </c>
      <c r="E1021" s="8"/>
      <c r="F1021" s="552" t="s">
        <v>11188</v>
      </c>
      <c r="G1021" s="8"/>
      <c r="H1021" s="8"/>
      <c r="I1021" s="8"/>
      <c r="J1021" s="547"/>
      <c r="K1021" s="8"/>
      <c r="L1021" s="8"/>
      <c r="M1021" s="8"/>
    </row>
    <row r="1022">
      <c r="A1022" s="542"/>
      <c r="B1022" s="551" t="str">
        <f t="array" ref="B1022">IF(LEN(E1022),INDEX('4-All Devices'!AG:AG, MATCH(E1022, '4-All Devices'!AF:AF, 0)),"")</f>
        <v/>
      </c>
      <c r="C1022" s="549" t="s">
        <v>11186</v>
      </c>
      <c r="D1022" s="549" t="s">
        <v>11187</v>
      </c>
      <c r="E1022" s="8"/>
      <c r="F1022" s="552" t="s">
        <v>11188</v>
      </c>
      <c r="G1022" s="8"/>
      <c r="H1022" s="8"/>
      <c r="I1022" s="8"/>
      <c r="J1022" s="547"/>
      <c r="K1022" s="8"/>
      <c r="L1022" s="8"/>
      <c r="M1022" s="8"/>
    </row>
    <row r="1023">
      <c r="A1023" s="542"/>
      <c r="B1023" s="551" t="str">
        <f t="array" ref="B1023">IF(LEN(E1023),INDEX('4-All Devices'!AG:AG, MATCH(E1023, '4-All Devices'!AF:AF, 0)),"")</f>
        <v/>
      </c>
      <c r="C1023" s="549" t="s">
        <v>11186</v>
      </c>
      <c r="D1023" s="549" t="s">
        <v>11187</v>
      </c>
      <c r="E1023" s="8"/>
      <c r="F1023" s="552" t="s">
        <v>11188</v>
      </c>
      <c r="G1023" s="8"/>
      <c r="H1023" s="8"/>
      <c r="I1023" s="8"/>
      <c r="J1023" s="547"/>
      <c r="K1023" s="8"/>
      <c r="L1023" s="8"/>
      <c r="M1023" s="8"/>
    </row>
    <row r="1024">
      <c r="A1024" s="542"/>
      <c r="B1024" s="551" t="str">
        <f t="array" ref="B1024">IF(LEN(E1024),INDEX('4-All Devices'!AG:AG, MATCH(E1024, '4-All Devices'!AF:AF, 0)),"")</f>
        <v/>
      </c>
      <c r="C1024" s="549" t="s">
        <v>11186</v>
      </c>
      <c r="D1024" s="549" t="s">
        <v>11187</v>
      </c>
      <c r="E1024" s="8"/>
      <c r="F1024" s="552" t="s">
        <v>11188</v>
      </c>
      <c r="G1024" s="8"/>
      <c r="H1024" s="8"/>
      <c r="I1024" s="8"/>
      <c r="J1024" s="547"/>
      <c r="K1024" s="8"/>
      <c r="L1024" s="8"/>
      <c r="M1024" s="8"/>
    </row>
    <row r="1025">
      <c r="A1025" s="542"/>
      <c r="B1025" s="551" t="str">
        <f t="array" ref="B1025">IF(LEN(E1025),INDEX('4-All Devices'!AG:AG, MATCH(E1025, '4-All Devices'!AF:AF, 0)),"")</f>
        <v/>
      </c>
      <c r="C1025" s="549" t="s">
        <v>11186</v>
      </c>
      <c r="D1025" s="549" t="s">
        <v>11187</v>
      </c>
      <c r="E1025" s="8"/>
      <c r="F1025" s="552" t="s">
        <v>11188</v>
      </c>
      <c r="G1025" s="8"/>
      <c r="H1025" s="8"/>
      <c r="I1025" s="8"/>
      <c r="J1025" s="547"/>
      <c r="K1025" s="8"/>
      <c r="L1025" s="8"/>
      <c r="M1025" s="8"/>
    </row>
    <row r="1026">
      <c r="A1026" s="542"/>
      <c r="B1026" s="551" t="str">
        <f t="array" ref="B1026">IF(LEN(E1026),INDEX('4-All Devices'!AG:AG, MATCH(E1026, '4-All Devices'!AF:AF, 0)),"")</f>
        <v/>
      </c>
      <c r="C1026" s="549" t="s">
        <v>11186</v>
      </c>
      <c r="D1026" s="549" t="s">
        <v>11187</v>
      </c>
      <c r="E1026" s="8"/>
      <c r="F1026" s="552" t="s">
        <v>11188</v>
      </c>
      <c r="G1026" s="8"/>
      <c r="H1026" s="8"/>
      <c r="I1026" s="8"/>
      <c r="J1026" s="547"/>
      <c r="K1026" s="8"/>
      <c r="L1026" s="8"/>
      <c r="M1026" s="8"/>
    </row>
    <row r="1027">
      <c r="A1027" s="542"/>
      <c r="B1027" s="551" t="str">
        <f t="array" ref="B1027">IF(LEN(E1027),INDEX('4-All Devices'!AG:AG, MATCH(E1027, '4-All Devices'!AF:AF, 0)),"")</f>
        <v/>
      </c>
      <c r="C1027" s="549" t="s">
        <v>11186</v>
      </c>
      <c r="D1027" s="549" t="s">
        <v>11187</v>
      </c>
      <c r="E1027" s="8"/>
      <c r="F1027" s="552" t="s">
        <v>11188</v>
      </c>
      <c r="G1027" s="8"/>
      <c r="H1027" s="8"/>
      <c r="I1027" s="8"/>
      <c r="J1027" s="547"/>
      <c r="K1027" s="8"/>
      <c r="L1027" s="8"/>
      <c r="M1027" s="8"/>
    </row>
    <row r="1028">
      <c r="A1028" s="542"/>
      <c r="B1028" s="551" t="str">
        <f t="array" ref="B1028">IF(LEN(E1028),INDEX('4-All Devices'!AG:AG, MATCH(E1028, '4-All Devices'!AF:AF, 0)),"")</f>
        <v/>
      </c>
      <c r="C1028" s="549" t="s">
        <v>11186</v>
      </c>
      <c r="D1028" s="549" t="s">
        <v>11187</v>
      </c>
      <c r="E1028" s="8"/>
      <c r="F1028" s="552" t="s">
        <v>11188</v>
      </c>
      <c r="G1028" s="8"/>
      <c r="H1028" s="8"/>
      <c r="I1028" s="8"/>
      <c r="J1028" s="547"/>
      <c r="K1028" s="8"/>
      <c r="L1028" s="8"/>
      <c r="M1028" s="8"/>
    </row>
    <row r="1029">
      <c r="A1029" s="542"/>
      <c r="B1029" s="551" t="str">
        <f t="array" ref="B1029">IF(LEN(E1029),INDEX('4-All Devices'!AG:AG, MATCH(E1029, '4-All Devices'!AF:AF, 0)),"")</f>
        <v/>
      </c>
      <c r="C1029" s="549" t="s">
        <v>11186</v>
      </c>
      <c r="D1029" s="549" t="s">
        <v>11187</v>
      </c>
      <c r="E1029" s="8"/>
      <c r="F1029" s="552" t="s">
        <v>11188</v>
      </c>
      <c r="G1029" s="8"/>
      <c r="H1029" s="8"/>
      <c r="I1029" s="8"/>
      <c r="J1029" s="547"/>
      <c r="K1029" s="8"/>
      <c r="L1029" s="8"/>
      <c r="M1029" s="8"/>
    </row>
    <row r="1030">
      <c r="A1030" s="542"/>
      <c r="B1030" s="551" t="str">
        <f t="array" ref="B1030">IF(LEN(E1030),INDEX('4-All Devices'!AG:AG, MATCH(E1030, '4-All Devices'!AF:AF, 0)),"")</f>
        <v/>
      </c>
      <c r="C1030" s="549" t="s">
        <v>11186</v>
      </c>
      <c r="D1030" s="549" t="s">
        <v>11187</v>
      </c>
      <c r="E1030" s="8"/>
      <c r="F1030" s="552" t="s">
        <v>11188</v>
      </c>
      <c r="G1030" s="8"/>
      <c r="H1030" s="8"/>
      <c r="I1030" s="8"/>
      <c r="J1030" s="547"/>
      <c r="K1030" s="8"/>
      <c r="L1030" s="8"/>
      <c r="M1030" s="8"/>
    </row>
    <row r="1031">
      <c r="A1031" s="542"/>
      <c r="B1031" s="551" t="str">
        <f t="array" ref="B1031">IF(LEN(E1031),INDEX('4-All Devices'!AG:AG, MATCH(E1031, '4-All Devices'!AF:AF, 0)),"")</f>
        <v/>
      </c>
      <c r="C1031" s="549" t="s">
        <v>11186</v>
      </c>
      <c r="D1031" s="549" t="s">
        <v>11187</v>
      </c>
      <c r="E1031" s="8"/>
      <c r="F1031" s="552" t="s">
        <v>11188</v>
      </c>
      <c r="G1031" s="8"/>
      <c r="H1031" s="8"/>
      <c r="I1031" s="8"/>
      <c r="J1031" s="547"/>
      <c r="K1031" s="8"/>
      <c r="L1031" s="8"/>
      <c r="M1031" s="8"/>
    </row>
    <row r="1032">
      <c r="A1032" s="542"/>
      <c r="B1032" s="551" t="str">
        <f t="array" ref="B1032">IF(LEN(E1032),INDEX('4-All Devices'!AG:AG, MATCH(E1032, '4-All Devices'!AF:AF, 0)),"")</f>
        <v/>
      </c>
      <c r="C1032" s="549" t="s">
        <v>11186</v>
      </c>
      <c r="D1032" s="549" t="s">
        <v>11187</v>
      </c>
      <c r="E1032" s="8"/>
      <c r="F1032" s="552" t="s">
        <v>11188</v>
      </c>
      <c r="G1032" s="8"/>
      <c r="H1032" s="8"/>
      <c r="I1032" s="8"/>
      <c r="J1032" s="547"/>
      <c r="K1032" s="8"/>
      <c r="L1032" s="8"/>
      <c r="M1032" s="8"/>
    </row>
    <row r="1033">
      <c r="A1033" s="542"/>
      <c r="B1033" s="551" t="str">
        <f t="array" ref="B1033">IF(LEN(E1033),INDEX('4-All Devices'!AG:AG, MATCH(E1033, '4-All Devices'!AF:AF, 0)),"")</f>
        <v/>
      </c>
      <c r="C1033" s="549" t="s">
        <v>11186</v>
      </c>
      <c r="D1033" s="549" t="s">
        <v>11187</v>
      </c>
      <c r="E1033" s="8"/>
      <c r="F1033" s="552" t="s">
        <v>11188</v>
      </c>
      <c r="G1033" s="8"/>
      <c r="H1033" s="8"/>
      <c r="I1033" s="8"/>
      <c r="J1033" s="547"/>
      <c r="K1033" s="8"/>
      <c r="L1033" s="8"/>
      <c r="M1033" s="8"/>
    </row>
    <row r="1034">
      <c r="A1034" s="542"/>
      <c r="B1034" s="551" t="str">
        <f t="array" ref="B1034">IF(LEN(E1034),INDEX('4-All Devices'!AG:AG, MATCH(E1034, '4-All Devices'!AF:AF, 0)),"")</f>
        <v/>
      </c>
      <c r="C1034" s="549" t="s">
        <v>11186</v>
      </c>
      <c r="D1034" s="549" t="s">
        <v>11187</v>
      </c>
      <c r="E1034" s="8"/>
      <c r="F1034" s="552" t="s">
        <v>11188</v>
      </c>
      <c r="G1034" s="8"/>
      <c r="H1034" s="8"/>
      <c r="I1034" s="8"/>
      <c r="J1034" s="547"/>
      <c r="K1034" s="8"/>
      <c r="L1034" s="8"/>
      <c r="M1034" s="8"/>
    </row>
    <row r="1035">
      <c r="A1035" s="542"/>
      <c r="B1035" s="551" t="str">
        <f t="array" ref="B1035">IF(LEN(E1035),INDEX('4-All Devices'!AG:AG, MATCH(E1035, '4-All Devices'!AF:AF, 0)),"")</f>
        <v/>
      </c>
      <c r="C1035" s="549" t="s">
        <v>11186</v>
      </c>
      <c r="D1035" s="549" t="s">
        <v>11187</v>
      </c>
      <c r="E1035" s="8"/>
      <c r="F1035" s="552" t="s">
        <v>11188</v>
      </c>
      <c r="G1035" s="8"/>
      <c r="H1035" s="8"/>
      <c r="I1035" s="8"/>
      <c r="J1035" s="547"/>
      <c r="K1035" s="8"/>
      <c r="L1035" s="8"/>
      <c r="M1035" s="8"/>
    </row>
    <row r="1036">
      <c r="A1036" s="542"/>
      <c r="B1036" s="551" t="str">
        <f t="array" ref="B1036">IF(LEN(E1036),INDEX('4-All Devices'!AG:AG, MATCH(E1036, '4-All Devices'!AF:AF, 0)),"")</f>
        <v/>
      </c>
      <c r="C1036" s="549" t="s">
        <v>11186</v>
      </c>
      <c r="D1036" s="549" t="s">
        <v>11187</v>
      </c>
      <c r="E1036" s="8"/>
      <c r="F1036" s="552" t="s">
        <v>11188</v>
      </c>
      <c r="G1036" s="8"/>
      <c r="H1036" s="8"/>
      <c r="I1036" s="8"/>
      <c r="J1036" s="547"/>
      <c r="K1036" s="8"/>
      <c r="L1036" s="8"/>
      <c r="M1036" s="8"/>
    </row>
    <row r="1037">
      <c r="A1037" s="542"/>
      <c r="B1037" s="551" t="str">
        <f t="array" ref="B1037">IF(LEN(E1037),INDEX('4-All Devices'!AG:AG, MATCH(E1037, '4-All Devices'!AF:AF, 0)),"")</f>
        <v/>
      </c>
      <c r="C1037" s="549" t="s">
        <v>11186</v>
      </c>
      <c r="D1037" s="549" t="s">
        <v>11187</v>
      </c>
      <c r="E1037" s="8"/>
      <c r="F1037" s="552" t="s">
        <v>11188</v>
      </c>
      <c r="G1037" s="8"/>
      <c r="H1037" s="8"/>
      <c r="I1037" s="8"/>
      <c r="J1037" s="547"/>
      <c r="K1037" s="8"/>
      <c r="L1037" s="8"/>
      <c r="M1037" s="8"/>
    </row>
    <row r="1038">
      <c r="A1038" s="542"/>
      <c r="B1038" s="551" t="str">
        <f t="array" ref="B1038">IF(LEN(E1038),INDEX('4-All Devices'!AG:AG, MATCH(E1038, '4-All Devices'!AF:AF, 0)),"")</f>
        <v/>
      </c>
      <c r="C1038" s="549" t="s">
        <v>11186</v>
      </c>
      <c r="D1038" s="549" t="s">
        <v>11187</v>
      </c>
      <c r="E1038" s="8"/>
      <c r="F1038" s="552" t="s">
        <v>11188</v>
      </c>
      <c r="G1038" s="8"/>
      <c r="H1038" s="8"/>
      <c r="I1038" s="8"/>
      <c r="J1038" s="547"/>
      <c r="K1038" s="8"/>
      <c r="L1038" s="8"/>
      <c r="M1038" s="8"/>
    </row>
    <row r="1039">
      <c r="A1039" s="542"/>
      <c r="B1039" s="551" t="str">
        <f t="array" ref="B1039">IF(LEN(E1039),INDEX('4-All Devices'!AG:AG, MATCH(E1039, '4-All Devices'!AF:AF, 0)),"")</f>
        <v/>
      </c>
      <c r="C1039" s="549" t="s">
        <v>11186</v>
      </c>
      <c r="D1039" s="549" t="s">
        <v>11187</v>
      </c>
      <c r="E1039" s="8"/>
      <c r="F1039" s="552" t="s">
        <v>11188</v>
      </c>
      <c r="G1039" s="8"/>
      <c r="H1039" s="8"/>
      <c r="I1039" s="8"/>
      <c r="J1039" s="547"/>
      <c r="K1039" s="8"/>
      <c r="L1039" s="8"/>
      <c r="M1039" s="8"/>
    </row>
    <row r="1040">
      <c r="A1040" s="542"/>
      <c r="B1040" s="551" t="str">
        <f t="array" ref="B1040">IF(LEN(E1040),INDEX('4-All Devices'!AG:AG, MATCH(E1040, '4-All Devices'!AF:AF, 0)),"")</f>
        <v/>
      </c>
      <c r="C1040" s="549" t="s">
        <v>11186</v>
      </c>
      <c r="D1040" s="549" t="s">
        <v>11187</v>
      </c>
      <c r="E1040" s="8"/>
      <c r="F1040" s="552" t="s">
        <v>11188</v>
      </c>
      <c r="G1040" s="8"/>
      <c r="H1040" s="8"/>
      <c r="I1040" s="8"/>
      <c r="J1040" s="547"/>
      <c r="K1040" s="8"/>
      <c r="L1040" s="8"/>
      <c r="M1040" s="8"/>
    </row>
    <row r="1041">
      <c r="A1041" s="542"/>
      <c r="B1041" s="551" t="str">
        <f t="array" ref="B1041">IF(LEN(E1041),INDEX('4-All Devices'!AG:AG, MATCH(E1041, '4-All Devices'!AF:AF, 0)),"")</f>
        <v/>
      </c>
      <c r="C1041" s="549" t="s">
        <v>11186</v>
      </c>
      <c r="D1041" s="549" t="s">
        <v>11187</v>
      </c>
      <c r="E1041" s="8"/>
      <c r="F1041" s="552" t="s">
        <v>11188</v>
      </c>
      <c r="G1041" s="8"/>
      <c r="H1041" s="8"/>
      <c r="I1041" s="8"/>
      <c r="J1041" s="547"/>
      <c r="K1041" s="8"/>
      <c r="L1041" s="8"/>
      <c r="M1041" s="8"/>
    </row>
    <row r="1042">
      <c r="A1042" s="542"/>
      <c r="B1042" s="551" t="str">
        <f t="array" ref="B1042">IF(LEN(E1042),INDEX('4-All Devices'!AG:AG, MATCH(E1042, '4-All Devices'!AF:AF, 0)),"")</f>
        <v/>
      </c>
      <c r="C1042" s="549" t="s">
        <v>11186</v>
      </c>
      <c r="D1042" s="549" t="s">
        <v>11187</v>
      </c>
      <c r="E1042" s="8"/>
      <c r="F1042" s="552" t="s">
        <v>11188</v>
      </c>
      <c r="G1042" s="8"/>
      <c r="H1042" s="8"/>
      <c r="I1042" s="8"/>
      <c r="J1042" s="547"/>
      <c r="K1042" s="8"/>
      <c r="L1042" s="8"/>
      <c r="M1042" s="8"/>
    </row>
    <row r="1043">
      <c r="A1043" s="542"/>
      <c r="B1043" s="551" t="str">
        <f t="array" ref="B1043">IF(LEN(E1043),INDEX('4-All Devices'!AG:AG, MATCH(E1043, '4-All Devices'!AF:AF, 0)),"")</f>
        <v/>
      </c>
      <c r="C1043" s="549" t="s">
        <v>11186</v>
      </c>
      <c r="D1043" s="549" t="s">
        <v>11187</v>
      </c>
      <c r="E1043" s="8"/>
      <c r="F1043" s="552" t="s">
        <v>11188</v>
      </c>
      <c r="G1043" s="8"/>
      <c r="H1043" s="8"/>
      <c r="I1043" s="8"/>
      <c r="J1043" s="547"/>
      <c r="K1043" s="8"/>
      <c r="L1043" s="8"/>
      <c r="M1043" s="8"/>
    </row>
    <row r="1044">
      <c r="A1044" s="542"/>
      <c r="B1044" s="551" t="str">
        <f t="array" ref="B1044">IF(LEN(E1044),INDEX('4-All Devices'!AG:AG, MATCH(E1044, '4-All Devices'!AF:AF, 0)),"")</f>
        <v/>
      </c>
      <c r="C1044" s="549" t="s">
        <v>11186</v>
      </c>
      <c r="D1044" s="549" t="s">
        <v>11187</v>
      </c>
      <c r="E1044" s="8"/>
      <c r="F1044" s="552" t="s">
        <v>11188</v>
      </c>
      <c r="G1044" s="8"/>
      <c r="H1044" s="8"/>
      <c r="I1044" s="8"/>
      <c r="J1044" s="547"/>
      <c r="K1044" s="8"/>
      <c r="L1044" s="8"/>
      <c r="M1044" s="8"/>
    </row>
    <row r="1045">
      <c r="A1045" s="542"/>
      <c r="B1045" s="551" t="str">
        <f t="array" ref="B1045">IF(LEN(E1045),INDEX('4-All Devices'!AG:AG, MATCH(E1045, '4-All Devices'!AF:AF, 0)),"")</f>
        <v/>
      </c>
      <c r="C1045" s="549" t="s">
        <v>11186</v>
      </c>
      <c r="D1045" s="549" t="s">
        <v>11187</v>
      </c>
      <c r="E1045" s="8"/>
      <c r="F1045" s="552" t="s">
        <v>11188</v>
      </c>
      <c r="G1045" s="8"/>
      <c r="H1045" s="8"/>
      <c r="I1045" s="8"/>
      <c r="J1045" s="547"/>
      <c r="K1045" s="8"/>
      <c r="L1045" s="8"/>
      <c r="M1045" s="8"/>
    </row>
    <row r="1046">
      <c r="A1046" s="542"/>
      <c r="B1046" s="551" t="str">
        <f t="array" ref="B1046">IF(LEN(E1046),INDEX('4-All Devices'!AG:AG, MATCH(E1046, '4-All Devices'!AF:AF, 0)),"")</f>
        <v/>
      </c>
      <c r="C1046" s="549" t="s">
        <v>11186</v>
      </c>
      <c r="D1046" s="549" t="s">
        <v>11187</v>
      </c>
      <c r="E1046" s="8"/>
      <c r="F1046" s="552" t="s">
        <v>11188</v>
      </c>
      <c r="G1046" s="8"/>
      <c r="H1046" s="8"/>
      <c r="I1046" s="8"/>
      <c r="J1046" s="547"/>
      <c r="K1046" s="8"/>
      <c r="L1046" s="8"/>
      <c r="M1046" s="8"/>
    </row>
    <row r="1047">
      <c r="A1047" s="542"/>
      <c r="B1047" s="551" t="str">
        <f t="array" ref="B1047">IF(LEN(E1047),INDEX('4-All Devices'!AG:AG, MATCH(E1047, '4-All Devices'!AF:AF, 0)),"")</f>
        <v/>
      </c>
      <c r="C1047" s="549" t="s">
        <v>11186</v>
      </c>
      <c r="D1047" s="549" t="s">
        <v>11187</v>
      </c>
      <c r="E1047" s="8"/>
      <c r="F1047" s="552" t="s">
        <v>11188</v>
      </c>
      <c r="G1047" s="8"/>
      <c r="H1047" s="8"/>
      <c r="I1047" s="8"/>
      <c r="J1047" s="547"/>
      <c r="K1047" s="8"/>
      <c r="L1047" s="8"/>
      <c r="M1047" s="8"/>
    </row>
    <row r="1048">
      <c r="A1048" s="542"/>
      <c r="B1048" s="551" t="str">
        <f t="array" ref="B1048">IF(LEN(E1048),INDEX('4-All Devices'!AG:AG, MATCH(E1048, '4-All Devices'!AF:AF, 0)),"")</f>
        <v/>
      </c>
      <c r="C1048" s="549" t="s">
        <v>11186</v>
      </c>
      <c r="D1048" s="549" t="s">
        <v>11187</v>
      </c>
      <c r="E1048" s="8"/>
      <c r="F1048" s="552" t="s">
        <v>11188</v>
      </c>
      <c r="G1048" s="8"/>
      <c r="H1048" s="8"/>
      <c r="I1048" s="8"/>
      <c r="J1048" s="547"/>
      <c r="K1048" s="8"/>
      <c r="L1048" s="8"/>
      <c r="M1048" s="8"/>
    </row>
    <row r="1049">
      <c r="A1049" s="542"/>
      <c r="B1049" s="551" t="str">
        <f t="array" ref="B1049">IF(LEN(E1049),INDEX('4-All Devices'!AG:AG, MATCH(E1049, '4-All Devices'!AF:AF, 0)),"")</f>
        <v/>
      </c>
      <c r="C1049" s="549" t="s">
        <v>11186</v>
      </c>
      <c r="D1049" s="549" t="s">
        <v>11187</v>
      </c>
      <c r="E1049" s="8"/>
      <c r="F1049" s="552" t="s">
        <v>11188</v>
      </c>
      <c r="G1049" s="8"/>
      <c r="H1049" s="8"/>
      <c r="I1049" s="8"/>
      <c r="J1049" s="547"/>
      <c r="K1049" s="8"/>
      <c r="L1049" s="8"/>
      <c r="M1049" s="8"/>
    </row>
    <row r="1050">
      <c r="A1050" s="542"/>
      <c r="B1050" s="551" t="str">
        <f t="array" ref="B1050">IF(LEN(E1050),INDEX('4-All Devices'!AG:AG, MATCH(E1050, '4-All Devices'!AF:AF, 0)),"")</f>
        <v/>
      </c>
      <c r="C1050" s="549" t="s">
        <v>11186</v>
      </c>
      <c r="D1050" s="549" t="s">
        <v>11187</v>
      </c>
      <c r="E1050" s="8"/>
      <c r="F1050" s="552" t="s">
        <v>11188</v>
      </c>
      <c r="G1050" s="8"/>
      <c r="H1050" s="8"/>
      <c r="I1050" s="8"/>
      <c r="J1050" s="547"/>
      <c r="K1050" s="8"/>
      <c r="L1050" s="8"/>
      <c r="M1050" s="8"/>
    </row>
    <row r="1051">
      <c r="A1051" s="542"/>
      <c r="B1051" s="551" t="str">
        <f t="array" ref="B1051">IF(LEN(E1051),INDEX('4-All Devices'!AG:AG, MATCH(E1051, '4-All Devices'!AF:AF, 0)),"")</f>
        <v/>
      </c>
      <c r="C1051" s="549" t="s">
        <v>11186</v>
      </c>
      <c r="D1051" s="549" t="s">
        <v>11187</v>
      </c>
      <c r="E1051" s="8"/>
      <c r="F1051" s="552" t="s">
        <v>11188</v>
      </c>
      <c r="G1051" s="8"/>
      <c r="H1051" s="8"/>
      <c r="I1051" s="8"/>
      <c r="J1051" s="547"/>
      <c r="K1051" s="8"/>
      <c r="L1051" s="8"/>
      <c r="M1051" s="8"/>
    </row>
    <row r="1052">
      <c r="A1052" s="542"/>
      <c r="B1052" s="551" t="str">
        <f t="array" ref="B1052">IF(LEN(E1052),INDEX('4-All Devices'!AG:AG, MATCH(E1052, '4-All Devices'!AF:AF, 0)),"")</f>
        <v/>
      </c>
      <c r="C1052" s="549" t="s">
        <v>11186</v>
      </c>
      <c r="D1052" s="549" t="s">
        <v>11187</v>
      </c>
      <c r="E1052" s="8"/>
      <c r="F1052" s="552" t="s">
        <v>11188</v>
      </c>
      <c r="G1052" s="8"/>
      <c r="H1052" s="8"/>
      <c r="I1052" s="8"/>
      <c r="J1052" s="547"/>
      <c r="K1052" s="8"/>
      <c r="L1052" s="8"/>
      <c r="M1052" s="8"/>
    </row>
    <row r="1053">
      <c r="A1053" s="542"/>
      <c r="B1053" s="551" t="str">
        <f t="array" ref="B1053">IF(LEN(E1053),INDEX('4-All Devices'!AG:AG, MATCH(E1053, '4-All Devices'!AF:AF, 0)),"")</f>
        <v/>
      </c>
      <c r="C1053" s="549" t="s">
        <v>11186</v>
      </c>
      <c r="D1053" s="549" t="s">
        <v>11187</v>
      </c>
      <c r="E1053" s="8"/>
      <c r="F1053" s="552" t="s">
        <v>11188</v>
      </c>
      <c r="G1053" s="8"/>
      <c r="H1053" s="8"/>
      <c r="I1053" s="8"/>
      <c r="J1053" s="547"/>
      <c r="K1053" s="8"/>
      <c r="L1053" s="8"/>
      <c r="M1053" s="8"/>
    </row>
    <row r="1054">
      <c r="A1054" s="542"/>
      <c r="B1054" s="551" t="str">
        <f t="array" ref="B1054">IF(LEN(E1054),INDEX('4-All Devices'!AG:AG, MATCH(E1054, '4-All Devices'!AF:AF, 0)),"")</f>
        <v/>
      </c>
      <c r="C1054" s="549" t="s">
        <v>11186</v>
      </c>
      <c r="D1054" s="549" t="s">
        <v>11187</v>
      </c>
      <c r="E1054" s="8"/>
      <c r="F1054" s="552" t="s">
        <v>11188</v>
      </c>
      <c r="G1054" s="8"/>
      <c r="H1054" s="8"/>
      <c r="I1054" s="8"/>
      <c r="J1054" s="547"/>
      <c r="K1054" s="8"/>
      <c r="L1054" s="8"/>
      <c r="M1054" s="8"/>
    </row>
    <row r="1055">
      <c r="A1055" s="542"/>
      <c r="B1055" s="551" t="str">
        <f t="array" ref="B1055">IF(LEN(E1055),INDEX('4-All Devices'!AG:AG, MATCH(E1055, '4-All Devices'!AF:AF, 0)),"")</f>
        <v/>
      </c>
      <c r="C1055" s="549" t="s">
        <v>11186</v>
      </c>
      <c r="D1055" s="549" t="s">
        <v>11187</v>
      </c>
      <c r="E1055" s="8"/>
      <c r="F1055" s="552" t="s">
        <v>11188</v>
      </c>
      <c r="G1055" s="8"/>
      <c r="H1055" s="8"/>
      <c r="I1055" s="8"/>
      <c r="J1055" s="547"/>
      <c r="K1055" s="8"/>
      <c r="L1055" s="8"/>
      <c r="M1055" s="8"/>
    </row>
    <row r="1056">
      <c r="A1056" s="542"/>
      <c r="B1056" s="551" t="str">
        <f t="array" ref="B1056">IF(LEN(E1056),INDEX('4-All Devices'!AG:AG, MATCH(E1056, '4-All Devices'!AF:AF, 0)),"")</f>
        <v/>
      </c>
      <c r="C1056" s="549" t="s">
        <v>11186</v>
      </c>
      <c r="D1056" s="549" t="s">
        <v>11187</v>
      </c>
      <c r="E1056" s="8"/>
      <c r="F1056" s="552" t="s">
        <v>11188</v>
      </c>
      <c r="G1056" s="8"/>
      <c r="H1056" s="8"/>
      <c r="I1056" s="8"/>
      <c r="J1056" s="547"/>
      <c r="K1056" s="8"/>
      <c r="L1056" s="8"/>
      <c r="M1056" s="8"/>
    </row>
    <row r="1057">
      <c r="A1057" s="542"/>
      <c r="B1057" s="551" t="str">
        <f t="array" ref="B1057">IF(LEN(E1057),INDEX('4-All Devices'!AG:AG, MATCH(E1057, '4-All Devices'!AF:AF, 0)),"")</f>
        <v/>
      </c>
      <c r="C1057" s="549" t="s">
        <v>11186</v>
      </c>
      <c r="D1057" s="549" t="s">
        <v>11187</v>
      </c>
      <c r="E1057" s="8"/>
      <c r="F1057" s="552" t="s">
        <v>11188</v>
      </c>
      <c r="G1057" s="8"/>
      <c r="H1057" s="8"/>
      <c r="I1057" s="8"/>
      <c r="J1057" s="547"/>
      <c r="K1057" s="8"/>
      <c r="L1057" s="8"/>
      <c r="M1057" s="8"/>
    </row>
    <row r="1058">
      <c r="A1058" s="542"/>
      <c r="B1058" s="551" t="str">
        <f t="array" ref="B1058">IF(LEN(E1058),INDEX('4-All Devices'!AG:AG, MATCH(E1058, '4-All Devices'!AF:AF, 0)),"")</f>
        <v/>
      </c>
      <c r="C1058" s="549" t="s">
        <v>11186</v>
      </c>
      <c r="D1058" s="549" t="s">
        <v>11187</v>
      </c>
      <c r="E1058" s="8"/>
      <c r="F1058" s="552" t="s">
        <v>11188</v>
      </c>
      <c r="G1058" s="8"/>
      <c r="H1058" s="8"/>
      <c r="I1058" s="8"/>
      <c r="J1058" s="547"/>
      <c r="K1058" s="8"/>
      <c r="L1058" s="8"/>
      <c r="M1058" s="8"/>
    </row>
    <row r="1059">
      <c r="A1059" s="542"/>
      <c r="B1059" s="551" t="str">
        <f t="array" ref="B1059">IF(LEN(E1059),INDEX('4-All Devices'!AG:AG, MATCH(E1059, '4-All Devices'!AF:AF, 0)),"")</f>
        <v/>
      </c>
      <c r="C1059" s="549" t="s">
        <v>11186</v>
      </c>
      <c r="D1059" s="549" t="s">
        <v>11187</v>
      </c>
      <c r="E1059" s="8"/>
      <c r="F1059" s="552" t="s">
        <v>11188</v>
      </c>
      <c r="G1059" s="8"/>
      <c r="H1059" s="8"/>
      <c r="I1059" s="8"/>
      <c r="J1059" s="547"/>
      <c r="K1059" s="8"/>
      <c r="L1059" s="8"/>
      <c r="M1059" s="8"/>
    </row>
    <row r="1060">
      <c r="A1060" s="542"/>
      <c r="B1060" s="551" t="str">
        <f t="array" ref="B1060">IF(LEN(E1060),INDEX('4-All Devices'!AG:AG, MATCH(E1060, '4-All Devices'!AF:AF, 0)),"")</f>
        <v/>
      </c>
      <c r="C1060" s="549" t="s">
        <v>11186</v>
      </c>
      <c r="D1060" s="549" t="s">
        <v>11187</v>
      </c>
      <c r="E1060" s="8"/>
      <c r="F1060" s="552" t="s">
        <v>11188</v>
      </c>
      <c r="G1060" s="8"/>
      <c r="H1060" s="8"/>
      <c r="I1060" s="8"/>
      <c r="J1060" s="547"/>
      <c r="K1060" s="8"/>
      <c r="L1060" s="8"/>
      <c r="M1060" s="8"/>
    </row>
    <row r="1061">
      <c r="A1061" s="542"/>
      <c r="B1061" s="551" t="str">
        <f t="array" ref="B1061">IF(LEN(E1061),INDEX('4-All Devices'!AG:AG, MATCH(E1061, '4-All Devices'!AF:AF, 0)),"")</f>
        <v/>
      </c>
      <c r="C1061" s="549" t="s">
        <v>11186</v>
      </c>
      <c r="D1061" s="549" t="s">
        <v>11187</v>
      </c>
      <c r="E1061" s="8"/>
      <c r="F1061" s="552" t="s">
        <v>11188</v>
      </c>
      <c r="G1061" s="8"/>
      <c r="H1061" s="8"/>
      <c r="I1061" s="8"/>
      <c r="J1061" s="547"/>
      <c r="K1061" s="8"/>
      <c r="L1061" s="8"/>
      <c r="M1061" s="8"/>
    </row>
    <row r="1062">
      <c r="A1062" s="542"/>
      <c r="B1062" s="551" t="str">
        <f t="array" ref="B1062">IF(LEN(E1062),INDEX('4-All Devices'!AG:AG, MATCH(E1062, '4-All Devices'!AF:AF, 0)),"")</f>
        <v/>
      </c>
      <c r="C1062" s="549" t="s">
        <v>11186</v>
      </c>
      <c r="D1062" s="549" t="s">
        <v>11187</v>
      </c>
      <c r="E1062" s="8"/>
      <c r="F1062" s="552" t="s">
        <v>11188</v>
      </c>
      <c r="G1062" s="8"/>
      <c r="H1062" s="8"/>
      <c r="I1062" s="8"/>
      <c r="J1062" s="547"/>
      <c r="K1062" s="8"/>
      <c r="L1062" s="8"/>
      <c r="M1062" s="8"/>
    </row>
    <row r="1063">
      <c r="A1063" s="542"/>
      <c r="B1063" s="551" t="str">
        <f t="array" ref="B1063">IF(LEN(E1063),INDEX('4-All Devices'!AG:AG, MATCH(E1063, '4-All Devices'!AF:AF, 0)),"")</f>
        <v/>
      </c>
      <c r="C1063" s="549" t="s">
        <v>11186</v>
      </c>
      <c r="D1063" s="549" t="s">
        <v>11187</v>
      </c>
      <c r="E1063" s="8"/>
      <c r="F1063" s="552" t="s">
        <v>11188</v>
      </c>
      <c r="G1063" s="8"/>
      <c r="H1063" s="8"/>
      <c r="I1063" s="8"/>
      <c r="J1063" s="547"/>
      <c r="K1063" s="8"/>
      <c r="L1063" s="8"/>
      <c r="M1063" s="8"/>
    </row>
    <row r="1064">
      <c r="A1064" s="542"/>
      <c r="B1064" s="551" t="str">
        <f t="array" ref="B1064">IF(LEN(E1064),INDEX('4-All Devices'!AG:AG, MATCH(E1064, '4-All Devices'!AF:AF, 0)),"")</f>
        <v/>
      </c>
      <c r="C1064" s="549" t="s">
        <v>11186</v>
      </c>
      <c r="D1064" s="549" t="s">
        <v>11187</v>
      </c>
      <c r="E1064" s="8"/>
      <c r="F1064" s="552" t="s">
        <v>11188</v>
      </c>
      <c r="G1064" s="8"/>
      <c r="H1064" s="8"/>
      <c r="I1064" s="8"/>
      <c r="J1064" s="547"/>
      <c r="K1064" s="8"/>
      <c r="L1064" s="8"/>
      <c r="M1064" s="8"/>
    </row>
    <row r="1065">
      <c r="A1065" s="542"/>
      <c r="B1065" s="551" t="str">
        <f t="array" ref="B1065">IF(LEN(E1065),INDEX('4-All Devices'!AG:AG, MATCH(E1065, '4-All Devices'!AF:AF, 0)),"")</f>
        <v/>
      </c>
      <c r="C1065" s="549" t="s">
        <v>11186</v>
      </c>
      <c r="D1065" s="549" t="s">
        <v>11187</v>
      </c>
      <c r="E1065" s="8"/>
      <c r="F1065" s="552" t="s">
        <v>11188</v>
      </c>
      <c r="G1065" s="8"/>
      <c r="H1065" s="8"/>
      <c r="I1065" s="8"/>
      <c r="J1065" s="547"/>
      <c r="K1065" s="8"/>
      <c r="L1065" s="8"/>
      <c r="M1065" s="8"/>
    </row>
    <row r="1066">
      <c r="A1066" s="542"/>
      <c r="B1066" s="551" t="str">
        <f t="array" ref="B1066">IF(LEN(E1066),INDEX('4-All Devices'!AG:AG, MATCH(E1066, '4-All Devices'!AF:AF, 0)),"")</f>
        <v/>
      </c>
      <c r="C1066" s="549" t="s">
        <v>11186</v>
      </c>
      <c r="D1066" s="549" t="s">
        <v>11187</v>
      </c>
      <c r="E1066" s="8"/>
      <c r="F1066" s="552" t="s">
        <v>11188</v>
      </c>
      <c r="G1066" s="8"/>
      <c r="H1066" s="8"/>
      <c r="I1066" s="8"/>
      <c r="J1066" s="547"/>
      <c r="K1066" s="8"/>
      <c r="L1066" s="8"/>
      <c r="M1066" s="8"/>
    </row>
    <row r="1067">
      <c r="A1067" s="542"/>
      <c r="B1067" s="551" t="str">
        <f t="array" ref="B1067">IF(LEN(E1067),INDEX('4-All Devices'!AG:AG, MATCH(E1067, '4-All Devices'!AF:AF, 0)),"")</f>
        <v/>
      </c>
      <c r="C1067" s="549" t="s">
        <v>11186</v>
      </c>
      <c r="D1067" s="549" t="s">
        <v>11187</v>
      </c>
      <c r="E1067" s="8"/>
      <c r="F1067" s="552" t="s">
        <v>11188</v>
      </c>
      <c r="G1067" s="8"/>
      <c r="H1067" s="8"/>
      <c r="I1067" s="8"/>
      <c r="J1067" s="547"/>
      <c r="K1067" s="8"/>
      <c r="L1067" s="8"/>
      <c r="M1067" s="8"/>
    </row>
    <row r="1068">
      <c r="A1068" s="542"/>
      <c r="B1068" s="551" t="str">
        <f t="array" ref="B1068">IF(LEN(E1068),INDEX('4-All Devices'!AG:AG, MATCH(E1068, '4-All Devices'!AF:AF, 0)),"")</f>
        <v/>
      </c>
      <c r="C1068" s="549" t="s">
        <v>11186</v>
      </c>
      <c r="D1068" s="549" t="s">
        <v>11187</v>
      </c>
      <c r="E1068" s="8"/>
      <c r="F1068" s="552" t="s">
        <v>11188</v>
      </c>
      <c r="G1068" s="8"/>
      <c r="H1068" s="8"/>
      <c r="I1068" s="8"/>
      <c r="J1068" s="547"/>
      <c r="K1068" s="8"/>
      <c r="L1068" s="8"/>
      <c r="M1068" s="8"/>
    </row>
    <row r="1069">
      <c r="A1069" s="542"/>
      <c r="B1069" s="551" t="str">
        <f t="array" ref="B1069">IF(LEN(E1069),INDEX('4-All Devices'!AG:AG, MATCH(E1069, '4-All Devices'!AF:AF, 0)),"")</f>
        <v/>
      </c>
      <c r="C1069" s="549" t="s">
        <v>11186</v>
      </c>
      <c r="D1069" s="549" t="s">
        <v>11187</v>
      </c>
      <c r="E1069" s="8"/>
      <c r="F1069" s="552" t="s">
        <v>11188</v>
      </c>
      <c r="G1069" s="8"/>
      <c r="H1069" s="8"/>
      <c r="I1069" s="8"/>
      <c r="J1069" s="547"/>
      <c r="K1069" s="8"/>
      <c r="L1069" s="8"/>
      <c r="M1069" s="8"/>
    </row>
    <row r="1070">
      <c r="A1070" s="542"/>
      <c r="B1070" s="551" t="str">
        <f t="array" ref="B1070">IF(LEN(E1070),INDEX('4-All Devices'!AG:AG, MATCH(E1070, '4-All Devices'!AF:AF, 0)),"")</f>
        <v/>
      </c>
      <c r="C1070" s="549" t="s">
        <v>11186</v>
      </c>
      <c r="D1070" s="549" t="s">
        <v>11187</v>
      </c>
      <c r="E1070" s="8"/>
      <c r="F1070" s="552" t="s">
        <v>11188</v>
      </c>
      <c r="G1070" s="8"/>
      <c r="H1070" s="8"/>
      <c r="I1070" s="8"/>
      <c r="J1070" s="547"/>
      <c r="K1070" s="8"/>
      <c r="L1070" s="8"/>
      <c r="M1070" s="8"/>
    </row>
    <row r="1071">
      <c r="A1071" s="542"/>
      <c r="B1071" s="551" t="str">
        <f t="array" ref="B1071">IF(LEN(E1071),INDEX('4-All Devices'!AG:AG, MATCH(E1071, '4-All Devices'!AF:AF, 0)),"")</f>
        <v/>
      </c>
      <c r="C1071" s="549" t="s">
        <v>11186</v>
      </c>
      <c r="D1071" s="549" t="s">
        <v>11187</v>
      </c>
      <c r="E1071" s="8"/>
      <c r="F1071" s="552" t="s">
        <v>11188</v>
      </c>
      <c r="G1071" s="8"/>
      <c r="H1071" s="8"/>
      <c r="I1071" s="8"/>
      <c r="J1071" s="547"/>
      <c r="K1071" s="8"/>
      <c r="L1071" s="8"/>
      <c r="M1071" s="8"/>
    </row>
    <row r="1072">
      <c r="A1072" s="542"/>
      <c r="B1072" s="551" t="str">
        <f t="array" ref="B1072">IF(LEN(E1072),INDEX('4-All Devices'!AG:AG, MATCH(E1072, '4-All Devices'!AF:AF, 0)),"")</f>
        <v/>
      </c>
      <c r="C1072" s="549" t="s">
        <v>11186</v>
      </c>
      <c r="D1072" s="549" t="s">
        <v>11187</v>
      </c>
      <c r="E1072" s="8"/>
      <c r="F1072" s="552" t="s">
        <v>11188</v>
      </c>
      <c r="G1072" s="8"/>
      <c r="H1072" s="8"/>
      <c r="I1072" s="8"/>
      <c r="J1072" s="547"/>
      <c r="K1072" s="8"/>
      <c r="L1072" s="8"/>
      <c r="M1072" s="8"/>
    </row>
    <row r="1073">
      <c r="A1073" s="542"/>
      <c r="B1073" s="551" t="str">
        <f t="array" ref="B1073">IF(LEN(E1073),INDEX('4-All Devices'!AG:AG, MATCH(E1073, '4-All Devices'!AF:AF, 0)),"")</f>
        <v/>
      </c>
      <c r="C1073" s="549" t="s">
        <v>11186</v>
      </c>
      <c r="D1073" s="549" t="s">
        <v>11187</v>
      </c>
      <c r="E1073" s="8"/>
      <c r="F1073" s="552" t="s">
        <v>11188</v>
      </c>
      <c r="G1073" s="8"/>
      <c r="H1073" s="8"/>
      <c r="I1073" s="8"/>
      <c r="J1073" s="547"/>
      <c r="K1073" s="8"/>
      <c r="L1073" s="8"/>
      <c r="M1073" s="8"/>
    </row>
    <row r="1074">
      <c r="A1074" s="542"/>
      <c r="B1074" s="551" t="str">
        <f t="array" ref="B1074">IF(LEN(E1074),INDEX('4-All Devices'!AG:AG, MATCH(E1074, '4-All Devices'!AF:AF, 0)),"")</f>
        <v/>
      </c>
      <c r="C1074" s="549" t="s">
        <v>11186</v>
      </c>
      <c r="D1074" s="549" t="s">
        <v>11187</v>
      </c>
      <c r="E1074" s="8"/>
      <c r="F1074" s="552" t="s">
        <v>11188</v>
      </c>
      <c r="G1074" s="8"/>
      <c r="H1074" s="8"/>
      <c r="I1074" s="8"/>
      <c r="J1074" s="547"/>
      <c r="K1074" s="8"/>
      <c r="L1074" s="8"/>
      <c r="M1074" s="8"/>
    </row>
    <row r="1075">
      <c r="A1075" s="542"/>
      <c r="B1075" s="551" t="str">
        <f t="array" ref="B1075">IF(LEN(E1075),INDEX('4-All Devices'!AG:AG, MATCH(E1075, '4-All Devices'!AF:AF, 0)),"")</f>
        <v/>
      </c>
      <c r="C1075" s="549" t="s">
        <v>11186</v>
      </c>
      <c r="D1075" s="549" t="s">
        <v>11187</v>
      </c>
      <c r="E1075" s="8"/>
      <c r="F1075" s="552" t="s">
        <v>11188</v>
      </c>
      <c r="G1075" s="8"/>
      <c r="H1075" s="8"/>
      <c r="I1075" s="8"/>
      <c r="J1075" s="547"/>
      <c r="K1075" s="8"/>
      <c r="L1075" s="8"/>
      <c r="M1075" s="8"/>
    </row>
    <row r="1076">
      <c r="A1076" s="542"/>
      <c r="B1076" s="551" t="str">
        <f t="array" ref="B1076">IF(LEN(E1076),INDEX('4-All Devices'!AG:AG, MATCH(E1076, '4-All Devices'!AF:AF, 0)),"")</f>
        <v/>
      </c>
      <c r="C1076" s="549" t="s">
        <v>11186</v>
      </c>
      <c r="D1076" s="549" t="s">
        <v>11187</v>
      </c>
      <c r="E1076" s="8"/>
      <c r="F1076" s="552" t="s">
        <v>11188</v>
      </c>
      <c r="G1076" s="8"/>
      <c r="H1076" s="8"/>
      <c r="I1076" s="8"/>
      <c r="J1076" s="547"/>
      <c r="K1076" s="8"/>
      <c r="L1076" s="8"/>
      <c r="M1076" s="8"/>
    </row>
    <row r="1077">
      <c r="A1077" s="542"/>
      <c r="B1077" s="551" t="str">
        <f t="array" ref="B1077">IF(LEN(E1077),INDEX('4-All Devices'!AG:AG, MATCH(E1077, '4-All Devices'!AF:AF, 0)),"")</f>
        <v/>
      </c>
      <c r="C1077" s="549" t="s">
        <v>11186</v>
      </c>
      <c r="D1077" s="549" t="s">
        <v>11187</v>
      </c>
      <c r="E1077" s="8"/>
      <c r="F1077" s="552" t="s">
        <v>11188</v>
      </c>
      <c r="G1077" s="8"/>
      <c r="H1077" s="8"/>
      <c r="I1077" s="8"/>
      <c r="J1077" s="547"/>
      <c r="K1077" s="8"/>
      <c r="L1077" s="8"/>
      <c r="M1077" s="8"/>
    </row>
    <row r="1078">
      <c r="A1078" s="542"/>
      <c r="B1078" s="551" t="str">
        <f t="array" ref="B1078">IF(LEN(E1078),INDEX('4-All Devices'!AG:AG, MATCH(E1078, '4-All Devices'!AF:AF, 0)),"")</f>
        <v/>
      </c>
      <c r="C1078" s="549" t="s">
        <v>11186</v>
      </c>
      <c r="D1078" s="549" t="s">
        <v>11187</v>
      </c>
      <c r="E1078" s="8"/>
      <c r="F1078" s="552" t="s">
        <v>11188</v>
      </c>
      <c r="G1078" s="8"/>
      <c r="H1078" s="8"/>
      <c r="I1078" s="8"/>
      <c r="J1078" s="547"/>
      <c r="K1078" s="8"/>
      <c r="L1078" s="8"/>
      <c r="M1078" s="8"/>
    </row>
    <row r="1079">
      <c r="A1079" s="542"/>
      <c r="B1079" s="551" t="str">
        <f t="array" ref="B1079">IF(LEN(E1079),INDEX('4-All Devices'!AG:AG, MATCH(E1079, '4-All Devices'!AF:AF, 0)),"")</f>
        <v/>
      </c>
      <c r="C1079" s="549" t="s">
        <v>11186</v>
      </c>
      <c r="D1079" s="549" t="s">
        <v>11187</v>
      </c>
      <c r="E1079" s="8"/>
      <c r="F1079" s="552" t="s">
        <v>11188</v>
      </c>
      <c r="G1079" s="8"/>
      <c r="H1079" s="8"/>
      <c r="I1079" s="8"/>
      <c r="J1079" s="547"/>
      <c r="K1079" s="8"/>
      <c r="L1079" s="8"/>
      <c r="M1079" s="8"/>
    </row>
    <row r="1080">
      <c r="A1080" s="542"/>
      <c r="B1080" s="551" t="str">
        <f t="array" ref="B1080">IF(LEN(E1080),INDEX('4-All Devices'!AG:AG, MATCH(E1080, '4-All Devices'!AF:AF, 0)),"")</f>
        <v/>
      </c>
      <c r="C1080" s="549" t="s">
        <v>11186</v>
      </c>
      <c r="D1080" s="549" t="s">
        <v>11187</v>
      </c>
      <c r="E1080" s="8"/>
      <c r="F1080" s="552" t="s">
        <v>11188</v>
      </c>
      <c r="G1080" s="8"/>
      <c r="H1080" s="8"/>
      <c r="I1080" s="8"/>
      <c r="J1080" s="547"/>
      <c r="K1080" s="8"/>
      <c r="L1080" s="8"/>
      <c r="M1080" s="8"/>
    </row>
    <row r="1081">
      <c r="A1081" s="542"/>
      <c r="B1081" s="551" t="str">
        <f t="array" ref="B1081">IF(LEN(E1081),INDEX('4-All Devices'!AG:AG, MATCH(E1081, '4-All Devices'!AF:AF, 0)),"")</f>
        <v/>
      </c>
      <c r="C1081" s="549" t="s">
        <v>11186</v>
      </c>
      <c r="D1081" s="549" t="s">
        <v>11187</v>
      </c>
      <c r="E1081" s="8"/>
      <c r="F1081" s="552" t="s">
        <v>11188</v>
      </c>
      <c r="G1081" s="8"/>
      <c r="H1081" s="8"/>
      <c r="I1081" s="8"/>
      <c r="J1081" s="547"/>
      <c r="K1081" s="8"/>
      <c r="L1081" s="8"/>
      <c r="M1081" s="8"/>
    </row>
    <row r="1082">
      <c r="A1082" s="542"/>
      <c r="B1082" s="551" t="str">
        <f t="array" ref="B1082">IF(LEN(E1082),INDEX('4-All Devices'!AG:AG, MATCH(E1082, '4-All Devices'!AF:AF, 0)),"")</f>
        <v/>
      </c>
      <c r="C1082" s="549" t="s">
        <v>11186</v>
      </c>
      <c r="D1082" s="549" t="s">
        <v>11187</v>
      </c>
      <c r="E1082" s="8"/>
      <c r="F1082" s="552" t="s">
        <v>11188</v>
      </c>
      <c r="G1082" s="8"/>
      <c r="H1082" s="8"/>
      <c r="I1082" s="8"/>
      <c r="J1082" s="547"/>
      <c r="K1082" s="8"/>
      <c r="L1082" s="8"/>
      <c r="M1082" s="8"/>
    </row>
    <row r="1083">
      <c r="A1083" s="542"/>
      <c r="B1083" s="551" t="str">
        <f t="array" ref="B1083">IF(LEN(E1083),INDEX('4-All Devices'!AG:AG, MATCH(E1083, '4-All Devices'!AF:AF, 0)),"")</f>
        <v/>
      </c>
      <c r="C1083" s="549" t="s">
        <v>11186</v>
      </c>
      <c r="D1083" s="549" t="s">
        <v>11187</v>
      </c>
      <c r="E1083" s="8"/>
      <c r="F1083" s="552" t="s">
        <v>11188</v>
      </c>
      <c r="G1083" s="8"/>
      <c r="H1083" s="8"/>
      <c r="I1083" s="8"/>
      <c r="J1083" s="547"/>
      <c r="K1083" s="8"/>
      <c r="L1083" s="8"/>
      <c r="M1083" s="8"/>
    </row>
    <row r="1084">
      <c r="A1084" s="542"/>
      <c r="B1084" s="551" t="str">
        <f t="array" ref="B1084">IF(LEN(E1084),INDEX('4-All Devices'!AG:AG, MATCH(E1084, '4-All Devices'!AF:AF, 0)),"")</f>
        <v/>
      </c>
      <c r="C1084" s="549" t="s">
        <v>11186</v>
      </c>
      <c r="D1084" s="549" t="s">
        <v>11187</v>
      </c>
      <c r="E1084" s="8"/>
      <c r="F1084" s="552" t="s">
        <v>11188</v>
      </c>
      <c r="G1084" s="8"/>
      <c r="H1084" s="8"/>
      <c r="I1084" s="8"/>
      <c r="J1084" s="547"/>
      <c r="K1084" s="8"/>
      <c r="L1084" s="8"/>
      <c r="M1084" s="8"/>
    </row>
    <row r="1085">
      <c r="A1085" s="542"/>
      <c r="B1085" s="551" t="str">
        <f t="array" ref="B1085">IF(LEN(E1085),INDEX('4-All Devices'!AG:AG, MATCH(E1085, '4-All Devices'!AF:AF, 0)),"")</f>
        <v/>
      </c>
      <c r="C1085" s="549" t="s">
        <v>11186</v>
      </c>
      <c r="D1085" s="549" t="s">
        <v>11187</v>
      </c>
      <c r="E1085" s="8"/>
      <c r="F1085" s="552" t="s">
        <v>11188</v>
      </c>
      <c r="G1085" s="8"/>
      <c r="H1085" s="8"/>
      <c r="I1085" s="8"/>
      <c r="J1085" s="547"/>
      <c r="K1085" s="8"/>
      <c r="L1085" s="8"/>
      <c r="M1085" s="8"/>
    </row>
    <row r="1086">
      <c r="A1086" s="542"/>
      <c r="B1086" s="551" t="str">
        <f t="array" ref="B1086">IF(LEN(E1086),INDEX('4-All Devices'!AG:AG, MATCH(E1086, '4-All Devices'!AF:AF, 0)),"")</f>
        <v/>
      </c>
      <c r="C1086" s="549" t="s">
        <v>11186</v>
      </c>
      <c r="D1086" s="549" t="s">
        <v>11187</v>
      </c>
      <c r="E1086" s="8"/>
      <c r="F1086" s="552" t="s">
        <v>11188</v>
      </c>
      <c r="G1086" s="8"/>
      <c r="H1086" s="8"/>
      <c r="I1086" s="8"/>
      <c r="J1086" s="547"/>
      <c r="K1086" s="8"/>
      <c r="L1086" s="8"/>
      <c r="M1086" s="8"/>
    </row>
    <row r="1087">
      <c r="A1087" s="542"/>
      <c r="B1087" s="551" t="str">
        <f t="array" ref="B1087">IF(LEN(E1087),INDEX('4-All Devices'!AG:AG, MATCH(E1087, '4-All Devices'!AF:AF, 0)),"")</f>
        <v/>
      </c>
      <c r="C1087" s="549" t="s">
        <v>11186</v>
      </c>
      <c r="D1087" s="549" t="s">
        <v>11187</v>
      </c>
      <c r="E1087" s="8"/>
      <c r="F1087" s="552" t="s">
        <v>11188</v>
      </c>
      <c r="G1087" s="8"/>
      <c r="H1087" s="8"/>
      <c r="I1087" s="8"/>
      <c r="J1087" s="547"/>
      <c r="K1087" s="8"/>
      <c r="L1087" s="8"/>
      <c r="M1087" s="8"/>
    </row>
    <row r="1088">
      <c r="A1088" s="542"/>
      <c r="B1088" s="551" t="str">
        <f t="array" ref="B1088">IF(LEN(E1088),INDEX('4-All Devices'!AG:AG, MATCH(E1088, '4-All Devices'!AF:AF, 0)),"")</f>
        <v/>
      </c>
      <c r="C1088" s="549" t="s">
        <v>11186</v>
      </c>
      <c r="D1088" s="549" t="s">
        <v>11187</v>
      </c>
      <c r="E1088" s="8"/>
      <c r="F1088" s="552" t="s">
        <v>11188</v>
      </c>
      <c r="G1088" s="8"/>
      <c r="H1088" s="8"/>
      <c r="I1088" s="8"/>
      <c r="J1088" s="547"/>
      <c r="K1088" s="8"/>
      <c r="L1088" s="8"/>
      <c r="M1088" s="8"/>
    </row>
    <row r="1089">
      <c r="A1089" s="542"/>
      <c r="B1089" s="551" t="str">
        <f t="array" ref="B1089">IF(LEN(E1089),INDEX('4-All Devices'!AG:AG, MATCH(E1089, '4-All Devices'!AF:AF, 0)),"")</f>
        <v/>
      </c>
      <c r="C1089" s="549" t="s">
        <v>11186</v>
      </c>
      <c r="D1089" s="549" t="s">
        <v>11187</v>
      </c>
      <c r="E1089" s="8"/>
      <c r="F1089" s="552" t="s">
        <v>11188</v>
      </c>
      <c r="G1089" s="8"/>
      <c r="H1089" s="8"/>
      <c r="I1089" s="8"/>
      <c r="J1089" s="547"/>
      <c r="K1089" s="8"/>
      <c r="L1089" s="8"/>
      <c r="M1089" s="8"/>
    </row>
    <row r="1090">
      <c r="A1090" s="542"/>
      <c r="B1090" s="551" t="str">
        <f t="array" ref="B1090">IF(LEN(E1090),INDEX('4-All Devices'!AG:AG, MATCH(E1090, '4-All Devices'!AF:AF, 0)),"")</f>
        <v/>
      </c>
      <c r="C1090" s="549" t="s">
        <v>11186</v>
      </c>
      <c r="D1090" s="549" t="s">
        <v>11187</v>
      </c>
      <c r="E1090" s="8"/>
      <c r="F1090" s="552" t="s">
        <v>11188</v>
      </c>
      <c r="G1090" s="8"/>
      <c r="H1090" s="8"/>
      <c r="I1090" s="8"/>
      <c r="J1090" s="547"/>
      <c r="K1090" s="8"/>
      <c r="L1090" s="8"/>
      <c r="M1090" s="8"/>
    </row>
    <row r="1091">
      <c r="A1091" s="542"/>
      <c r="B1091" s="551" t="str">
        <f t="array" ref="B1091">IF(LEN(E1091),INDEX('4-All Devices'!AG:AG, MATCH(E1091, '4-All Devices'!AF:AF, 0)),"")</f>
        <v/>
      </c>
      <c r="C1091" s="549" t="s">
        <v>11186</v>
      </c>
      <c r="D1091" s="549" t="s">
        <v>11187</v>
      </c>
      <c r="E1091" s="8"/>
      <c r="F1091" s="552" t="s">
        <v>11188</v>
      </c>
      <c r="G1091" s="8"/>
      <c r="H1091" s="8"/>
      <c r="I1091" s="8"/>
      <c r="J1091" s="547"/>
      <c r="K1091" s="8"/>
      <c r="L1091" s="8"/>
      <c r="M1091" s="8"/>
    </row>
    <row r="1092">
      <c r="A1092" s="542"/>
      <c r="B1092" s="551" t="str">
        <f t="array" ref="B1092">IF(LEN(E1092),INDEX('4-All Devices'!AG:AG, MATCH(E1092, '4-All Devices'!AF:AF, 0)),"")</f>
        <v/>
      </c>
      <c r="C1092" s="549" t="s">
        <v>11186</v>
      </c>
      <c r="D1092" s="549" t="s">
        <v>11187</v>
      </c>
      <c r="E1092" s="8"/>
      <c r="F1092" s="552" t="s">
        <v>11188</v>
      </c>
      <c r="G1092" s="8"/>
      <c r="H1092" s="8"/>
      <c r="I1092" s="8"/>
      <c r="J1092" s="547"/>
      <c r="K1092" s="8"/>
      <c r="L1092" s="8"/>
      <c r="M1092" s="8"/>
    </row>
    <row r="1093">
      <c r="A1093" s="542"/>
      <c r="B1093" s="551" t="str">
        <f t="array" ref="B1093">IF(LEN(E1093),INDEX('4-All Devices'!AG:AG, MATCH(E1093, '4-All Devices'!AF:AF, 0)),"")</f>
        <v/>
      </c>
      <c r="C1093" s="549" t="s">
        <v>11186</v>
      </c>
      <c r="D1093" s="549" t="s">
        <v>11187</v>
      </c>
      <c r="E1093" s="8"/>
      <c r="F1093" s="552" t="s">
        <v>11188</v>
      </c>
      <c r="G1093" s="8"/>
      <c r="H1093" s="8"/>
      <c r="I1093" s="8"/>
      <c r="J1093" s="547"/>
      <c r="K1093" s="8"/>
      <c r="L1093" s="8"/>
      <c r="M1093" s="8"/>
    </row>
    <row r="1094">
      <c r="A1094" s="542"/>
      <c r="B1094" s="551" t="str">
        <f t="array" ref="B1094">IF(LEN(E1094),INDEX('4-All Devices'!AG:AG, MATCH(E1094, '4-All Devices'!AF:AF, 0)),"")</f>
        <v/>
      </c>
      <c r="C1094" s="549" t="s">
        <v>11186</v>
      </c>
      <c r="D1094" s="549" t="s">
        <v>11187</v>
      </c>
      <c r="E1094" s="8"/>
      <c r="F1094" s="552" t="s">
        <v>11188</v>
      </c>
      <c r="G1094" s="8"/>
      <c r="H1094" s="8"/>
      <c r="I1094" s="8"/>
      <c r="J1094" s="547"/>
      <c r="K1094" s="8"/>
      <c r="L1094" s="8"/>
      <c r="M1094" s="8"/>
    </row>
    <row r="1095">
      <c r="A1095" s="542"/>
      <c r="B1095" s="551" t="str">
        <f t="array" ref="B1095">IF(LEN(E1095),INDEX('4-All Devices'!AG:AG, MATCH(E1095, '4-All Devices'!AF:AF, 0)),"")</f>
        <v/>
      </c>
      <c r="C1095" s="549" t="s">
        <v>11186</v>
      </c>
      <c r="D1095" s="549" t="s">
        <v>11187</v>
      </c>
      <c r="E1095" s="8"/>
      <c r="F1095" s="552" t="s">
        <v>11188</v>
      </c>
      <c r="G1095" s="8"/>
      <c r="H1095" s="8"/>
      <c r="I1095" s="8"/>
      <c r="J1095" s="547"/>
      <c r="K1095" s="8"/>
      <c r="L1095" s="8"/>
      <c r="M1095" s="8"/>
    </row>
    <row r="1096">
      <c r="A1096" s="542"/>
      <c r="B1096" s="551" t="str">
        <f t="array" ref="B1096">IF(LEN(E1096),INDEX('4-All Devices'!AG:AG, MATCH(E1096, '4-All Devices'!AF:AF, 0)),"")</f>
        <v/>
      </c>
      <c r="C1096" s="549" t="s">
        <v>11186</v>
      </c>
      <c r="D1096" s="549" t="s">
        <v>11187</v>
      </c>
      <c r="E1096" s="8"/>
      <c r="F1096" s="552" t="s">
        <v>11188</v>
      </c>
      <c r="G1096" s="8"/>
      <c r="H1096" s="8"/>
      <c r="I1096" s="8"/>
      <c r="J1096" s="547"/>
      <c r="K1096" s="8"/>
      <c r="L1096" s="8"/>
      <c r="M1096" s="8"/>
    </row>
    <row r="1097">
      <c r="A1097" s="542"/>
      <c r="B1097" s="551" t="str">
        <f t="array" ref="B1097">IF(LEN(E1097),INDEX('4-All Devices'!AG:AG, MATCH(E1097, '4-All Devices'!AF:AF, 0)),"")</f>
        <v/>
      </c>
      <c r="C1097" s="549" t="s">
        <v>11186</v>
      </c>
      <c r="D1097" s="549" t="s">
        <v>11187</v>
      </c>
      <c r="E1097" s="8"/>
      <c r="F1097" s="552" t="s">
        <v>11188</v>
      </c>
      <c r="G1097" s="8"/>
      <c r="H1097" s="8"/>
      <c r="I1097" s="8"/>
      <c r="J1097" s="547"/>
      <c r="K1097" s="8"/>
      <c r="L1097" s="8"/>
      <c r="M1097" s="8"/>
    </row>
    <row r="1098">
      <c r="A1098" s="542"/>
      <c r="B1098" s="551" t="str">
        <f t="array" ref="B1098">IF(LEN(E1098),INDEX('4-All Devices'!AG:AG, MATCH(E1098, '4-All Devices'!AF:AF, 0)),"")</f>
        <v/>
      </c>
      <c r="C1098" s="549" t="s">
        <v>11186</v>
      </c>
      <c r="D1098" s="549" t="s">
        <v>11187</v>
      </c>
      <c r="E1098" s="8"/>
      <c r="F1098" s="552" t="s">
        <v>11188</v>
      </c>
      <c r="G1098" s="8"/>
      <c r="H1098" s="8"/>
      <c r="I1098" s="8"/>
      <c r="J1098" s="547"/>
      <c r="K1098" s="8"/>
      <c r="L1098" s="8"/>
      <c r="M1098" s="8"/>
    </row>
    <row r="1099">
      <c r="A1099" s="542"/>
      <c r="B1099" s="551" t="str">
        <f t="array" ref="B1099">IF(LEN(E1099),INDEX('4-All Devices'!AG:AG, MATCH(E1099, '4-All Devices'!AF:AF, 0)),"")</f>
        <v/>
      </c>
      <c r="C1099" s="549" t="s">
        <v>11186</v>
      </c>
      <c r="D1099" s="549" t="s">
        <v>11187</v>
      </c>
      <c r="E1099" s="8"/>
      <c r="F1099" s="552" t="s">
        <v>11188</v>
      </c>
      <c r="G1099" s="8"/>
      <c r="H1099" s="8"/>
      <c r="I1099" s="8"/>
      <c r="J1099" s="547"/>
      <c r="K1099" s="8"/>
      <c r="L1099" s="8"/>
      <c r="M1099" s="8"/>
    </row>
    <row r="1100">
      <c r="A1100" s="542"/>
      <c r="B1100" s="551" t="str">
        <f t="array" ref="B1100">IF(LEN(E1100),INDEX('4-All Devices'!AG:AG, MATCH(E1100, '4-All Devices'!AF:AF, 0)),"")</f>
        <v/>
      </c>
      <c r="C1100" s="549" t="s">
        <v>11186</v>
      </c>
      <c r="D1100" s="549" t="s">
        <v>11187</v>
      </c>
      <c r="E1100" s="8"/>
      <c r="F1100" s="552" t="s">
        <v>11188</v>
      </c>
      <c r="G1100" s="8"/>
      <c r="H1100" s="8"/>
      <c r="I1100" s="8"/>
      <c r="J1100" s="547"/>
      <c r="K1100" s="8"/>
      <c r="L1100" s="8"/>
      <c r="M1100" s="8"/>
    </row>
    <row r="1101">
      <c r="A1101" s="542"/>
      <c r="B1101" s="551" t="str">
        <f t="array" ref="B1101">IF(LEN(E1101),INDEX('4-All Devices'!AG:AG, MATCH(E1101, '4-All Devices'!AF:AF, 0)),"")</f>
        <v/>
      </c>
      <c r="C1101" s="549" t="s">
        <v>11186</v>
      </c>
      <c r="D1101" s="549" t="s">
        <v>11187</v>
      </c>
      <c r="E1101" s="8"/>
      <c r="F1101" s="552" t="s">
        <v>11188</v>
      </c>
      <c r="G1101" s="8"/>
      <c r="H1101" s="8"/>
      <c r="I1101" s="8"/>
      <c r="J1101" s="547"/>
      <c r="K1101" s="8"/>
      <c r="L1101" s="8"/>
      <c r="M1101" s="8"/>
    </row>
    <row r="1102">
      <c r="A1102" s="542"/>
      <c r="B1102" s="551" t="str">
        <f t="array" ref="B1102">IF(LEN(E1102),INDEX('4-All Devices'!AG:AG, MATCH(E1102, '4-All Devices'!AF:AF, 0)),"")</f>
        <v/>
      </c>
      <c r="C1102" s="549" t="s">
        <v>11186</v>
      </c>
      <c r="D1102" s="549" t="s">
        <v>11187</v>
      </c>
      <c r="E1102" s="8"/>
      <c r="F1102" s="552" t="s">
        <v>11188</v>
      </c>
      <c r="G1102" s="8"/>
      <c r="H1102" s="8"/>
      <c r="I1102" s="8"/>
      <c r="J1102" s="547"/>
      <c r="K1102" s="8"/>
      <c r="L1102" s="8"/>
      <c r="M1102" s="8"/>
    </row>
    <row r="1103">
      <c r="A1103" s="542"/>
      <c r="B1103" s="551" t="str">
        <f t="array" ref="B1103">IF(LEN(E1103),INDEX('4-All Devices'!AG:AG, MATCH(E1103, '4-All Devices'!AF:AF, 0)),"")</f>
        <v/>
      </c>
      <c r="C1103" s="549" t="s">
        <v>11186</v>
      </c>
      <c r="D1103" s="549" t="s">
        <v>11187</v>
      </c>
      <c r="E1103" s="8"/>
      <c r="F1103" s="552" t="s">
        <v>11188</v>
      </c>
      <c r="G1103" s="8"/>
      <c r="H1103" s="8"/>
      <c r="I1103" s="8"/>
      <c r="J1103" s="547"/>
      <c r="K1103" s="8"/>
      <c r="L1103" s="8"/>
      <c r="M1103" s="8"/>
    </row>
    <row r="1104">
      <c r="A1104" s="542"/>
      <c r="B1104" s="551" t="str">
        <f t="array" ref="B1104">IF(LEN(E1104),INDEX('4-All Devices'!AG:AG, MATCH(E1104, '4-All Devices'!AF:AF, 0)),"")</f>
        <v/>
      </c>
      <c r="C1104" s="549" t="s">
        <v>11186</v>
      </c>
      <c r="D1104" s="549" t="s">
        <v>11187</v>
      </c>
      <c r="E1104" s="8"/>
      <c r="F1104" s="552" t="s">
        <v>11188</v>
      </c>
      <c r="G1104" s="8"/>
      <c r="H1104" s="8"/>
      <c r="I1104" s="8"/>
      <c r="J1104" s="547"/>
      <c r="K1104" s="8"/>
      <c r="L1104" s="8"/>
      <c r="M1104" s="8"/>
    </row>
    <row r="1105">
      <c r="A1105" s="542"/>
      <c r="B1105" s="551" t="str">
        <f t="array" ref="B1105">IF(LEN(E1105),INDEX('4-All Devices'!AG:AG, MATCH(E1105, '4-All Devices'!AF:AF, 0)),"")</f>
        <v/>
      </c>
      <c r="C1105" s="549" t="s">
        <v>11186</v>
      </c>
      <c r="D1105" s="549" t="s">
        <v>11187</v>
      </c>
      <c r="E1105" s="8"/>
      <c r="F1105" s="552" t="s">
        <v>11188</v>
      </c>
      <c r="G1105" s="8"/>
      <c r="H1105" s="8"/>
      <c r="I1105" s="8"/>
      <c r="J1105" s="547"/>
      <c r="K1105" s="8"/>
      <c r="L1105" s="8"/>
      <c r="M1105" s="8"/>
    </row>
    <row r="1106">
      <c r="A1106" s="542"/>
      <c r="B1106" s="551" t="str">
        <f t="array" ref="B1106">IF(LEN(E1106),INDEX('4-All Devices'!AG:AG, MATCH(E1106, '4-All Devices'!AF:AF, 0)),"")</f>
        <v/>
      </c>
      <c r="C1106" s="549" t="s">
        <v>11186</v>
      </c>
      <c r="D1106" s="549" t="s">
        <v>11187</v>
      </c>
      <c r="E1106" s="8"/>
      <c r="F1106" s="552" t="s">
        <v>11188</v>
      </c>
      <c r="G1106" s="8"/>
      <c r="H1106" s="8"/>
      <c r="I1106" s="8"/>
      <c r="J1106" s="547"/>
      <c r="K1106" s="8"/>
      <c r="L1106" s="8"/>
      <c r="M1106" s="8"/>
    </row>
    <row r="1107">
      <c r="A1107" s="542"/>
      <c r="B1107" s="551" t="str">
        <f t="array" ref="B1107">IF(LEN(E1107),INDEX('4-All Devices'!AG:AG, MATCH(E1107, '4-All Devices'!AF:AF, 0)),"")</f>
        <v/>
      </c>
      <c r="C1107" s="549" t="s">
        <v>11186</v>
      </c>
      <c r="D1107" s="549" t="s">
        <v>11187</v>
      </c>
      <c r="E1107" s="8"/>
      <c r="F1107" s="552" t="s">
        <v>11188</v>
      </c>
      <c r="G1107" s="8"/>
      <c r="H1107" s="8"/>
      <c r="I1107" s="8"/>
      <c r="J1107" s="547"/>
      <c r="K1107" s="8"/>
      <c r="L1107" s="8"/>
      <c r="M1107" s="8"/>
    </row>
    <row r="1108">
      <c r="A1108" s="542"/>
      <c r="B1108" s="551" t="str">
        <f t="array" ref="B1108">IF(LEN(E1108),INDEX('4-All Devices'!AG:AG, MATCH(E1108, '4-All Devices'!AF:AF, 0)),"")</f>
        <v/>
      </c>
      <c r="C1108" s="549" t="s">
        <v>11186</v>
      </c>
      <c r="D1108" s="549" t="s">
        <v>11187</v>
      </c>
      <c r="E1108" s="8"/>
      <c r="F1108" s="552" t="s">
        <v>11188</v>
      </c>
      <c r="G1108" s="8"/>
      <c r="H1108" s="8"/>
      <c r="I1108" s="8"/>
      <c r="J1108" s="547"/>
      <c r="K1108" s="8"/>
      <c r="L1108" s="8"/>
      <c r="M1108" s="8"/>
    </row>
    <row r="1109">
      <c r="A1109" s="542"/>
      <c r="B1109" s="551" t="str">
        <f t="array" ref="B1109">IF(LEN(E1109),INDEX('4-All Devices'!AG:AG, MATCH(E1109, '4-All Devices'!AF:AF, 0)),"")</f>
        <v/>
      </c>
      <c r="C1109" s="549" t="s">
        <v>11186</v>
      </c>
      <c r="D1109" s="549" t="s">
        <v>11187</v>
      </c>
      <c r="E1109" s="8"/>
      <c r="F1109" s="552" t="s">
        <v>11188</v>
      </c>
      <c r="G1109" s="8"/>
      <c r="H1109" s="8"/>
      <c r="I1109" s="8"/>
      <c r="J1109" s="547"/>
      <c r="K1109" s="8"/>
      <c r="L1109" s="8"/>
      <c r="M1109" s="8"/>
    </row>
    <row r="1110">
      <c r="A1110" s="542"/>
      <c r="B1110" s="551" t="str">
        <f t="array" ref="B1110">IF(LEN(E1110),INDEX('4-All Devices'!AG:AG, MATCH(E1110, '4-All Devices'!AF:AF, 0)),"")</f>
        <v/>
      </c>
      <c r="C1110" s="549" t="s">
        <v>11186</v>
      </c>
      <c r="D1110" s="549" t="s">
        <v>11187</v>
      </c>
      <c r="E1110" s="8"/>
      <c r="F1110" s="552" t="s">
        <v>11188</v>
      </c>
      <c r="G1110" s="8"/>
      <c r="H1110" s="8"/>
      <c r="I1110" s="8"/>
      <c r="J1110" s="547"/>
      <c r="K1110" s="8"/>
      <c r="L1110" s="8"/>
      <c r="M1110" s="8"/>
    </row>
    <row r="1111">
      <c r="A1111" s="542"/>
      <c r="B1111" s="551" t="str">
        <f t="array" ref="B1111">IF(LEN(E1111),INDEX('4-All Devices'!AG:AG, MATCH(E1111, '4-All Devices'!AF:AF, 0)),"")</f>
        <v/>
      </c>
      <c r="C1111" s="549" t="s">
        <v>11186</v>
      </c>
      <c r="D1111" s="549" t="s">
        <v>11187</v>
      </c>
      <c r="E1111" s="8"/>
      <c r="F1111" s="552" t="s">
        <v>11188</v>
      </c>
      <c r="G1111" s="8"/>
      <c r="H1111" s="8"/>
      <c r="I1111" s="8"/>
      <c r="J1111" s="547"/>
      <c r="K1111" s="8"/>
      <c r="L1111" s="8"/>
      <c r="M1111" s="8"/>
    </row>
    <row r="1112">
      <c r="A1112" s="542"/>
      <c r="B1112" s="551" t="str">
        <f t="array" ref="B1112">IF(LEN(E1112),INDEX('4-All Devices'!AG:AG, MATCH(E1112, '4-All Devices'!AF:AF, 0)),"")</f>
        <v/>
      </c>
      <c r="C1112" s="549" t="s">
        <v>11186</v>
      </c>
      <c r="D1112" s="549" t="s">
        <v>11187</v>
      </c>
      <c r="E1112" s="8"/>
      <c r="F1112" s="552" t="s">
        <v>11188</v>
      </c>
      <c r="G1112" s="8"/>
      <c r="H1112" s="8"/>
      <c r="I1112" s="8"/>
      <c r="J1112" s="547"/>
      <c r="K1112" s="8"/>
      <c r="L1112" s="8"/>
      <c r="M1112" s="8"/>
    </row>
    <row r="1113">
      <c r="A1113" s="542"/>
      <c r="B1113" s="551" t="str">
        <f t="array" ref="B1113">IF(LEN(E1113),INDEX('4-All Devices'!AG:AG, MATCH(E1113, '4-All Devices'!AF:AF, 0)),"")</f>
        <v/>
      </c>
      <c r="C1113" s="549" t="s">
        <v>11186</v>
      </c>
      <c r="D1113" s="549" t="s">
        <v>11187</v>
      </c>
      <c r="E1113" s="8"/>
      <c r="F1113" s="552" t="s">
        <v>11188</v>
      </c>
      <c r="G1113" s="8"/>
      <c r="H1113" s="8"/>
      <c r="I1113" s="8"/>
      <c r="J1113" s="547"/>
      <c r="K1113" s="8"/>
      <c r="L1113" s="8"/>
      <c r="M1113" s="8"/>
    </row>
    <row r="1114">
      <c r="A1114" s="542"/>
      <c r="B1114" s="551" t="str">
        <f t="array" ref="B1114">IF(LEN(E1114),INDEX('4-All Devices'!AG:AG, MATCH(E1114, '4-All Devices'!AF:AF, 0)),"")</f>
        <v/>
      </c>
      <c r="C1114" s="549" t="s">
        <v>11186</v>
      </c>
      <c r="D1114" s="549" t="s">
        <v>11187</v>
      </c>
      <c r="E1114" s="8"/>
      <c r="F1114" s="552" t="s">
        <v>11188</v>
      </c>
      <c r="G1114" s="8"/>
      <c r="H1114" s="8"/>
      <c r="I1114" s="8"/>
      <c r="J1114" s="547"/>
      <c r="K1114" s="8"/>
      <c r="L1114" s="8"/>
      <c r="M1114" s="8"/>
    </row>
    <row r="1115">
      <c r="A1115" s="542"/>
      <c r="B1115" s="551" t="str">
        <f t="array" ref="B1115">IF(LEN(E1115),INDEX('4-All Devices'!AG:AG, MATCH(E1115, '4-All Devices'!AF:AF, 0)),"")</f>
        <v/>
      </c>
      <c r="C1115" s="549" t="s">
        <v>11186</v>
      </c>
      <c r="D1115" s="549" t="s">
        <v>11187</v>
      </c>
      <c r="E1115" s="8"/>
      <c r="F1115" s="552" t="s">
        <v>11188</v>
      </c>
      <c r="G1115" s="8"/>
      <c r="H1115" s="8"/>
      <c r="I1115" s="8"/>
      <c r="J1115" s="547"/>
      <c r="K1115" s="8"/>
      <c r="L1115" s="8"/>
      <c r="M1115" s="8"/>
    </row>
    <row r="1116">
      <c r="A1116" s="542"/>
      <c r="B1116" s="551" t="str">
        <f t="array" ref="B1116">IF(LEN(E1116),INDEX('4-All Devices'!AG:AG, MATCH(E1116, '4-All Devices'!AF:AF, 0)),"")</f>
        <v/>
      </c>
      <c r="C1116" s="549" t="s">
        <v>11186</v>
      </c>
      <c r="D1116" s="549" t="s">
        <v>11187</v>
      </c>
      <c r="E1116" s="8"/>
      <c r="F1116" s="552" t="s">
        <v>11188</v>
      </c>
      <c r="G1116" s="8"/>
      <c r="H1116" s="8"/>
      <c r="I1116" s="8"/>
      <c r="J1116" s="547"/>
      <c r="K1116" s="8"/>
      <c r="L1116" s="8"/>
      <c r="M1116" s="8"/>
    </row>
    <row r="1117">
      <c r="A1117" s="542"/>
      <c r="B1117" s="551" t="str">
        <f t="array" ref="B1117">IF(LEN(E1117),INDEX('4-All Devices'!AG:AG, MATCH(E1117, '4-All Devices'!AF:AF, 0)),"")</f>
        <v/>
      </c>
      <c r="C1117" s="549" t="s">
        <v>11186</v>
      </c>
      <c r="D1117" s="549" t="s">
        <v>11187</v>
      </c>
      <c r="E1117" s="8"/>
      <c r="F1117" s="552" t="s">
        <v>11188</v>
      </c>
      <c r="G1117" s="8"/>
      <c r="H1117" s="8"/>
      <c r="I1117" s="8"/>
      <c r="J1117" s="547"/>
      <c r="K1117" s="8"/>
      <c r="L1117" s="8"/>
      <c r="M1117" s="8"/>
    </row>
    <row r="1118">
      <c r="A1118" s="542"/>
      <c r="B1118" s="551" t="str">
        <f t="array" ref="B1118">IF(LEN(E1118),INDEX('4-All Devices'!AG:AG, MATCH(E1118, '4-All Devices'!AF:AF, 0)),"")</f>
        <v/>
      </c>
      <c r="C1118" s="549" t="s">
        <v>11186</v>
      </c>
      <c r="D1118" s="549" t="s">
        <v>11187</v>
      </c>
      <c r="E1118" s="8"/>
      <c r="F1118" s="552" t="s">
        <v>11188</v>
      </c>
      <c r="G1118" s="8"/>
      <c r="H1118" s="8"/>
      <c r="I1118" s="8"/>
      <c r="J1118" s="547"/>
      <c r="K1118" s="8"/>
      <c r="L1118" s="8"/>
      <c r="M1118" s="8"/>
    </row>
    <row r="1119">
      <c r="A1119" s="542"/>
      <c r="B1119" s="551" t="str">
        <f t="array" ref="B1119">IF(LEN(E1119),INDEX('4-All Devices'!AG:AG, MATCH(E1119, '4-All Devices'!AF:AF, 0)),"")</f>
        <v/>
      </c>
      <c r="C1119" s="549" t="s">
        <v>11186</v>
      </c>
      <c r="D1119" s="549" t="s">
        <v>11187</v>
      </c>
      <c r="E1119" s="8"/>
      <c r="F1119" s="552" t="s">
        <v>11188</v>
      </c>
      <c r="G1119" s="8"/>
      <c r="H1119" s="8"/>
      <c r="I1119" s="8"/>
      <c r="J1119" s="547"/>
      <c r="K1119" s="8"/>
      <c r="L1119" s="8"/>
      <c r="M1119" s="8"/>
    </row>
    <row r="1120">
      <c r="A1120" s="542"/>
      <c r="B1120" s="551" t="str">
        <f t="array" ref="B1120">IF(LEN(E1120),INDEX('4-All Devices'!AG:AG, MATCH(E1120, '4-All Devices'!AF:AF, 0)),"")</f>
        <v/>
      </c>
      <c r="C1120" s="549" t="s">
        <v>11186</v>
      </c>
      <c r="D1120" s="549" t="s">
        <v>11187</v>
      </c>
      <c r="E1120" s="8"/>
      <c r="F1120" s="552" t="s">
        <v>11188</v>
      </c>
      <c r="G1120" s="8"/>
      <c r="H1120" s="8"/>
      <c r="I1120" s="8"/>
      <c r="J1120" s="547"/>
      <c r="K1120" s="8"/>
      <c r="L1120" s="8"/>
      <c r="M1120" s="8"/>
    </row>
    <row r="1121">
      <c r="A1121" s="542"/>
      <c r="B1121" s="551" t="str">
        <f t="array" ref="B1121">IF(LEN(E1121),INDEX('4-All Devices'!AG:AG, MATCH(E1121, '4-All Devices'!AF:AF, 0)),"")</f>
        <v/>
      </c>
      <c r="C1121" s="549" t="s">
        <v>11186</v>
      </c>
      <c r="D1121" s="549" t="s">
        <v>11187</v>
      </c>
      <c r="E1121" s="8"/>
      <c r="F1121" s="552" t="s">
        <v>11188</v>
      </c>
      <c r="G1121" s="8"/>
      <c r="H1121" s="8"/>
      <c r="I1121" s="8"/>
      <c r="J1121" s="547"/>
      <c r="K1121" s="8"/>
      <c r="L1121" s="8"/>
      <c r="M1121" s="8"/>
    </row>
    <row r="1122">
      <c r="A1122" s="542"/>
      <c r="B1122" s="551" t="str">
        <f t="array" ref="B1122">IF(LEN(E1122),INDEX('4-All Devices'!AG:AG, MATCH(E1122, '4-All Devices'!AF:AF, 0)),"")</f>
        <v/>
      </c>
      <c r="C1122" s="549" t="s">
        <v>11186</v>
      </c>
      <c r="D1122" s="549" t="s">
        <v>11187</v>
      </c>
      <c r="E1122" s="8"/>
      <c r="F1122" s="552" t="s">
        <v>11188</v>
      </c>
      <c r="G1122" s="8"/>
      <c r="H1122" s="8"/>
      <c r="I1122" s="8"/>
      <c r="J1122" s="547"/>
      <c r="K1122" s="8"/>
      <c r="L1122" s="8"/>
      <c r="M1122" s="8"/>
    </row>
    <row r="1123">
      <c r="A1123" s="542"/>
      <c r="B1123" s="551" t="str">
        <f t="array" ref="B1123">IF(LEN(E1123),INDEX('4-All Devices'!AG:AG, MATCH(E1123, '4-All Devices'!AF:AF, 0)),"")</f>
        <v/>
      </c>
      <c r="C1123" s="549" t="s">
        <v>11186</v>
      </c>
      <c r="D1123" s="549" t="s">
        <v>11187</v>
      </c>
      <c r="E1123" s="8"/>
      <c r="F1123" s="552" t="s">
        <v>11188</v>
      </c>
      <c r="G1123" s="8"/>
      <c r="H1123" s="8"/>
      <c r="I1123" s="8"/>
      <c r="J1123" s="547"/>
      <c r="K1123" s="8"/>
      <c r="L1123" s="8"/>
      <c r="M1123" s="8"/>
    </row>
    <row r="1124">
      <c r="A1124" s="542"/>
      <c r="B1124" s="551" t="str">
        <f t="array" ref="B1124">IF(LEN(E1124),INDEX('4-All Devices'!AG:AG, MATCH(E1124, '4-All Devices'!AF:AF, 0)),"")</f>
        <v/>
      </c>
      <c r="C1124" s="549" t="s">
        <v>11186</v>
      </c>
      <c r="D1124" s="549" t="s">
        <v>11187</v>
      </c>
      <c r="E1124" s="8"/>
      <c r="F1124" s="552" t="s">
        <v>11188</v>
      </c>
      <c r="G1124" s="8"/>
      <c r="H1124" s="8"/>
      <c r="I1124" s="8"/>
      <c r="J1124" s="547"/>
      <c r="K1124" s="8"/>
      <c r="L1124" s="8"/>
      <c r="M1124" s="8"/>
    </row>
    <row r="1125">
      <c r="A1125" s="542"/>
      <c r="B1125" s="551" t="str">
        <f t="array" ref="B1125">IF(LEN(E1125),INDEX('4-All Devices'!AG:AG, MATCH(E1125, '4-All Devices'!AF:AF, 0)),"")</f>
        <v/>
      </c>
      <c r="C1125" s="549" t="s">
        <v>11186</v>
      </c>
      <c r="D1125" s="549" t="s">
        <v>11187</v>
      </c>
      <c r="E1125" s="8"/>
      <c r="F1125" s="552" t="s">
        <v>11188</v>
      </c>
      <c r="G1125" s="8"/>
      <c r="H1125" s="8"/>
      <c r="I1125" s="8"/>
      <c r="J1125" s="547"/>
      <c r="K1125" s="8"/>
      <c r="L1125" s="8"/>
      <c r="M1125" s="8"/>
    </row>
    <row r="1126">
      <c r="A1126" s="542"/>
      <c r="B1126" s="551" t="str">
        <f t="array" ref="B1126">IF(LEN(E1126),INDEX('4-All Devices'!AG:AG, MATCH(E1126, '4-All Devices'!AF:AF, 0)),"")</f>
        <v/>
      </c>
      <c r="C1126" s="549" t="s">
        <v>11186</v>
      </c>
      <c r="D1126" s="549" t="s">
        <v>11187</v>
      </c>
      <c r="E1126" s="8"/>
      <c r="F1126" s="552" t="s">
        <v>11188</v>
      </c>
      <c r="G1126" s="8"/>
      <c r="H1126" s="8"/>
      <c r="I1126" s="8"/>
      <c r="J1126" s="547"/>
      <c r="K1126" s="8"/>
      <c r="L1126" s="8"/>
      <c r="M1126" s="8"/>
    </row>
    <row r="1127">
      <c r="A1127" s="542"/>
      <c r="B1127" s="551" t="str">
        <f t="array" ref="B1127">IF(LEN(E1127),INDEX('4-All Devices'!AG:AG, MATCH(E1127, '4-All Devices'!AF:AF, 0)),"")</f>
        <v/>
      </c>
      <c r="C1127" s="549" t="s">
        <v>11186</v>
      </c>
      <c r="D1127" s="549" t="s">
        <v>11187</v>
      </c>
      <c r="E1127" s="8"/>
      <c r="F1127" s="552" t="s">
        <v>11188</v>
      </c>
      <c r="G1127" s="8"/>
      <c r="H1127" s="8"/>
      <c r="I1127" s="8"/>
      <c r="J1127" s="547"/>
      <c r="K1127" s="8"/>
      <c r="L1127" s="8"/>
      <c r="M1127" s="8"/>
    </row>
    <row r="1128">
      <c r="A1128" s="542"/>
      <c r="B1128" s="551" t="str">
        <f t="array" ref="B1128">IF(LEN(E1128),INDEX('4-All Devices'!AG:AG, MATCH(E1128, '4-All Devices'!AF:AF, 0)),"")</f>
        <v/>
      </c>
      <c r="C1128" s="549" t="s">
        <v>11186</v>
      </c>
      <c r="D1128" s="549" t="s">
        <v>11187</v>
      </c>
      <c r="E1128" s="8"/>
      <c r="F1128" s="552" t="s">
        <v>11188</v>
      </c>
      <c r="G1128" s="8"/>
      <c r="H1128" s="8"/>
      <c r="I1128" s="8"/>
      <c r="J1128" s="547"/>
      <c r="K1128" s="8"/>
      <c r="L1128" s="8"/>
      <c r="M1128" s="8"/>
    </row>
    <row r="1129">
      <c r="A1129" s="542"/>
      <c r="B1129" s="551" t="str">
        <f t="array" ref="B1129">IF(LEN(E1129),INDEX('4-All Devices'!AG:AG, MATCH(E1129, '4-All Devices'!AF:AF, 0)),"")</f>
        <v/>
      </c>
      <c r="C1129" s="549" t="s">
        <v>11186</v>
      </c>
      <c r="D1129" s="549" t="s">
        <v>11187</v>
      </c>
      <c r="E1129" s="8"/>
      <c r="F1129" s="552" t="s">
        <v>11188</v>
      </c>
      <c r="G1129" s="8"/>
      <c r="H1129" s="8"/>
      <c r="I1129" s="8"/>
      <c r="J1129" s="547"/>
      <c r="K1129" s="8"/>
      <c r="L1129" s="8"/>
      <c r="M1129" s="8"/>
    </row>
    <row r="1130">
      <c r="A1130" s="542"/>
      <c r="B1130" s="551" t="str">
        <f t="array" ref="B1130">IF(LEN(E1130),INDEX('4-All Devices'!AG:AG, MATCH(E1130, '4-All Devices'!AF:AF, 0)),"")</f>
        <v/>
      </c>
      <c r="C1130" s="549" t="s">
        <v>11186</v>
      </c>
      <c r="D1130" s="549" t="s">
        <v>11187</v>
      </c>
      <c r="E1130" s="8"/>
      <c r="F1130" s="552" t="s">
        <v>11188</v>
      </c>
      <c r="G1130" s="8"/>
      <c r="H1130" s="8"/>
      <c r="I1130" s="8"/>
      <c r="J1130" s="547"/>
      <c r="K1130" s="8"/>
      <c r="L1130" s="8"/>
      <c r="M1130" s="8"/>
    </row>
    <row r="1131">
      <c r="A1131" s="542"/>
      <c r="B1131" s="551" t="str">
        <f t="array" ref="B1131">IF(LEN(E1131),INDEX('4-All Devices'!AG:AG, MATCH(E1131, '4-All Devices'!AF:AF, 0)),"")</f>
        <v/>
      </c>
      <c r="C1131" s="549" t="s">
        <v>11186</v>
      </c>
      <c r="D1131" s="549" t="s">
        <v>11187</v>
      </c>
      <c r="E1131" s="8"/>
      <c r="F1131" s="552" t="s">
        <v>11188</v>
      </c>
      <c r="G1131" s="8"/>
      <c r="H1131" s="8"/>
      <c r="I1131" s="8"/>
      <c r="J1131" s="547"/>
      <c r="K1131" s="8"/>
      <c r="L1131" s="8"/>
      <c r="M1131" s="8"/>
    </row>
    <row r="1132">
      <c r="A1132" s="542"/>
      <c r="B1132" s="551" t="str">
        <f t="array" ref="B1132">IF(LEN(E1132),INDEX('4-All Devices'!AG:AG, MATCH(E1132, '4-All Devices'!AF:AF, 0)),"")</f>
        <v/>
      </c>
      <c r="C1132" s="549" t="s">
        <v>11186</v>
      </c>
      <c r="D1132" s="549" t="s">
        <v>11187</v>
      </c>
      <c r="E1132" s="8"/>
      <c r="F1132" s="552" t="s">
        <v>11188</v>
      </c>
      <c r="G1132" s="8"/>
      <c r="H1132" s="8"/>
      <c r="I1132" s="8"/>
      <c r="J1132" s="547"/>
      <c r="K1132" s="8"/>
      <c r="L1132" s="8"/>
      <c r="M1132" s="8"/>
    </row>
    <row r="1133">
      <c r="A1133" s="542"/>
      <c r="B1133" s="551" t="str">
        <f t="array" ref="B1133">IF(LEN(E1133),INDEX('4-All Devices'!AG:AG, MATCH(E1133, '4-All Devices'!AF:AF, 0)),"")</f>
        <v/>
      </c>
      <c r="C1133" s="549" t="s">
        <v>11186</v>
      </c>
      <c r="D1133" s="549" t="s">
        <v>11187</v>
      </c>
      <c r="E1133" s="8"/>
      <c r="F1133" s="552" t="s">
        <v>11188</v>
      </c>
      <c r="G1133" s="8"/>
      <c r="H1133" s="8"/>
      <c r="I1133" s="8"/>
      <c r="J1133" s="547"/>
      <c r="K1133" s="8"/>
      <c r="L1133" s="8"/>
      <c r="M1133" s="8"/>
    </row>
    <row r="1134">
      <c r="A1134" s="542"/>
      <c r="B1134" s="551" t="str">
        <f t="array" ref="B1134">IF(LEN(E1134),INDEX('4-All Devices'!AG:AG, MATCH(E1134, '4-All Devices'!AF:AF, 0)),"")</f>
        <v/>
      </c>
      <c r="C1134" s="549" t="s">
        <v>11186</v>
      </c>
      <c r="D1134" s="549" t="s">
        <v>11187</v>
      </c>
      <c r="E1134" s="8"/>
      <c r="F1134" s="552" t="s">
        <v>11188</v>
      </c>
      <c r="G1134" s="8"/>
      <c r="H1134" s="8"/>
      <c r="I1134" s="8"/>
      <c r="J1134" s="547"/>
      <c r="K1134" s="8"/>
      <c r="L1134" s="8"/>
      <c r="M1134" s="8"/>
    </row>
    <row r="1135">
      <c r="A1135" s="542"/>
      <c r="B1135" s="551" t="str">
        <f t="array" ref="B1135">IF(LEN(E1135),INDEX('4-All Devices'!AG:AG, MATCH(E1135, '4-All Devices'!AF:AF, 0)),"")</f>
        <v/>
      </c>
      <c r="C1135" s="549" t="s">
        <v>11186</v>
      </c>
      <c r="D1135" s="549" t="s">
        <v>11187</v>
      </c>
      <c r="E1135" s="8"/>
      <c r="F1135" s="552" t="s">
        <v>11188</v>
      </c>
      <c r="G1135" s="8"/>
      <c r="H1135" s="8"/>
      <c r="I1135" s="8"/>
      <c r="J1135" s="547"/>
      <c r="K1135" s="8"/>
      <c r="L1135" s="8"/>
      <c r="M1135" s="8"/>
    </row>
    <row r="1136">
      <c r="A1136" s="542"/>
      <c r="B1136" s="551" t="str">
        <f t="array" ref="B1136">IF(LEN(E1136),INDEX('4-All Devices'!AG:AG, MATCH(E1136, '4-All Devices'!AF:AF, 0)),"")</f>
        <v/>
      </c>
      <c r="C1136" s="549" t="s">
        <v>11186</v>
      </c>
      <c r="D1136" s="549" t="s">
        <v>11187</v>
      </c>
      <c r="E1136" s="8"/>
      <c r="F1136" s="552" t="s">
        <v>11188</v>
      </c>
      <c r="G1136" s="8"/>
      <c r="H1136" s="8"/>
      <c r="I1136" s="8"/>
      <c r="J1136" s="547"/>
      <c r="K1136" s="8"/>
      <c r="L1136" s="8"/>
      <c r="M1136" s="8"/>
    </row>
    <row r="1137">
      <c r="A1137" s="542"/>
      <c r="B1137" s="551" t="str">
        <f t="array" ref="B1137">IF(LEN(E1137),INDEX('4-All Devices'!AG:AG, MATCH(E1137, '4-All Devices'!AF:AF, 0)),"")</f>
        <v/>
      </c>
      <c r="C1137" s="549" t="s">
        <v>11186</v>
      </c>
      <c r="D1137" s="549" t="s">
        <v>11187</v>
      </c>
      <c r="E1137" s="8"/>
      <c r="F1137" s="552" t="s">
        <v>11188</v>
      </c>
      <c r="G1137" s="8"/>
      <c r="H1137" s="8"/>
      <c r="I1137" s="8"/>
      <c r="J1137" s="547"/>
      <c r="K1137" s="8"/>
      <c r="L1137" s="8"/>
      <c r="M1137" s="8"/>
    </row>
    <row r="1138">
      <c r="A1138" s="542"/>
      <c r="B1138" s="551" t="str">
        <f t="array" ref="B1138">IF(LEN(E1138),INDEX('4-All Devices'!AG:AG, MATCH(E1138, '4-All Devices'!AF:AF, 0)),"")</f>
        <v/>
      </c>
      <c r="C1138" s="549" t="s">
        <v>11186</v>
      </c>
      <c r="D1138" s="549" t="s">
        <v>11187</v>
      </c>
      <c r="E1138" s="8"/>
      <c r="F1138" s="552" t="s">
        <v>11188</v>
      </c>
      <c r="G1138" s="8"/>
      <c r="H1138" s="8"/>
      <c r="I1138" s="8"/>
      <c r="J1138" s="547"/>
      <c r="K1138" s="8"/>
      <c r="L1138" s="8"/>
      <c r="M1138" s="8"/>
    </row>
    <row r="1139">
      <c r="A1139" s="542"/>
      <c r="B1139" s="551" t="str">
        <f t="array" ref="B1139">IF(LEN(E1139),INDEX('4-All Devices'!AG:AG, MATCH(E1139, '4-All Devices'!AF:AF, 0)),"")</f>
        <v/>
      </c>
      <c r="C1139" s="549" t="s">
        <v>11186</v>
      </c>
      <c r="D1139" s="549" t="s">
        <v>11187</v>
      </c>
      <c r="E1139" s="8"/>
      <c r="F1139" s="552" t="s">
        <v>11188</v>
      </c>
      <c r="G1139" s="8"/>
      <c r="H1139" s="8"/>
      <c r="I1139" s="8"/>
      <c r="J1139" s="547"/>
      <c r="K1139" s="8"/>
      <c r="L1139" s="8"/>
      <c r="M1139" s="8"/>
    </row>
    <row r="1140">
      <c r="A1140" s="542"/>
      <c r="B1140" s="551" t="str">
        <f t="array" ref="B1140">IF(LEN(E1140),INDEX('4-All Devices'!AG:AG, MATCH(E1140, '4-All Devices'!AF:AF, 0)),"")</f>
        <v/>
      </c>
      <c r="C1140" s="549" t="s">
        <v>11186</v>
      </c>
      <c r="D1140" s="549" t="s">
        <v>11187</v>
      </c>
      <c r="E1140" s="8"/>
      <c r="F1140" s="552" t="s">
        <v>11188</v>
      </c>
      <c r="G1140" s="8"/>
      <c r="H1140" s="8"/>
      <c r="I1140" s="8"/>
      <c r="J1140" s="547"/>
      <c r="K1140" s="8"/>
      <c r="L1140" s="8"/>
      <c r="M1140" s="8"/>
    </row>
    <row r="1141">
      <c r="A1141" s="542"/>
      <c r="B1141" s="551" t="str">
        <f t="array" ref="B1141">IF(LEN(E1141),INDEX('4-All Devices'!AG:AG, MATCH(E1141, '4-All Devices'!AF:AF, 0)),"")</f>
        <v/>
      </c>
      <c r="C1141" s="549" t="s">
        <v>11186</v>
      </c>
      <c r="D1141" s="549" t="s">
        <v>11187</v>
      </c>
      <c r="E1141" s="8"/>
      <c r="F1141" s="552" t="s">
        <v>11188</v>
      </c>
      <c r="G1141" s="8"/>
      <c r="H1141" s="8"/>
      <c r="I1141" s="8"/>
      <c r="J1141" s="547"/>
      <c r="K1141" s="8"/>
      <c r="L1141" s="8"/>
      <c r="M1141" s="8"/>
    </row>
    <row r="1142">
      <c r="A1142" s="542"/>
      <c r="B1142" s="551" t="str">
        <f t="array" ref="B1142">IF(LEN(E1142),INDEX('4-All Devices'!AG:AG, MATCH(E1142, '4-All Devices'!AF:AF, 0)),"")</f>
        <v/>
      </c>
      <c r="C1142" s="549" t="s">
        <v>11186</v>
      </c>
      <c r="D1142" s="549" t="s">
        <v>11187</v>
      </c>
      <c r="E1142" s="8"/>
      <c r="F1142" s="552" t="s">
        <v>11188</v>
      </c>
      <c r="G1142" s="8"/>
      <c r="H1142" s="8"/>
      <c r="I1142" s="8"/>
      <c r="J1142" s="547"/>
      <c r="K1142" s="8"/>
      <c r="L1142" s="8"/>
      <c r="M1142" s="8"/>
    </row>
    <row r="1143">
      <c r="A1143" s="542"/>
      <c r="B1143" s="551" t="str">
        <f t="array" ref="B1143">IF(LEN(E1143),INDEX('4-All Devices'!AG:AG, MATCH(E1143, '4-All Devices'!AF:AF, 0)),"")</f>
        <v/>
      </c>
      <c r="C1143" s="549" t="s">
        <v>11186</v>
      </c>
      <c r="D1143" s="549" t="s">
        <v>11187</v>
      </c>
      <c r="E1143" s="8"/>
      <c r="F1143" s="552" t="s">
        <v>11188</v>
      </c>
      <c r="G1143" s="8"/>
      <c r="H1143" s="8"/>
      <c r="I1143" s="8"/>
      <c r="J1143" s="547"/>
      <c r="K1143" s="8"/>
      <c r="L1143" s="8"/>
      <c r="M1143" s="8"/>
    </row>
    <row r="1144">
      <c r="A1144" s="542"/>
      <c r="B1144" s="551" t="str">
        <f t="array" ref="B1144">IF(LEN(E1144),INDEX('4-All Devices'!AG:AG, MATCH(E1144, '4-All Devices'!AF:AF, 0)),"")</f>
        <v/>
      </c>
      <c r="C1144" s="549" t="s">
        <v>11186</v>
      </c>
      <c r="D1144" s="549" t="s">
        <v>11187</v>
      </c>
      <c r="E1144" s="8"/>
      <c r="F1144" s="552" t="s">
        <v>11188</v>
      </c>
      <c r="G1144" s="8"/>
      <c r="H1144" s="8"/>
      <c r="I1144" s="8"/>
      <c r="J1144" s="547"/>
      <c r="K1144" s="8"/>
      <c r="L1144" s="8"/>
      <c r="M1144" s="8"/>
    </row>
    <row r="1145">
      <c r="A1145" s="542"/>
      <c r="B1145" s="551" t="str">
        <f t="array" ref="B1145">IF(LEN(E1145),INDEX('4-All Devices'!AG:AG, MATCH(E1145, '4-All Devices'!AF:AF, 0)),"")</f>
        <v/>
      </c>
      <c r="C1145" s="549" t="s">
        <v>11186</v>
      </c>
      <c r="D1145" s="549" t="s">
        <v>11187</v>
      </c>
      <c r="E1145" s="8"/>
      <c r="F1145" s="552" t="s">
        <v>11188</v>
      </c>
      <c r="G1145" s="8"/>
      <c r="H1145" s="8"/>
      <c r="I1145" s="8"/>
      <c r="J1145" s="547"/>
      <c r="K1145" s="8"/>
      <c r="L1145" s="8"/>
      <c r="M1145" s="8"/>
    </row>
    <row r="1146">
      <c r="A1146" s="542"/>
      <c r="B1146" s="551" t="str">
        <f t="array" ref="B1146">IF(LEN(E1146),INDEX('4-All Devices'!AG:AG, MATCH(E1146, '4-All Devices'!AF:AF, 0)),"")</f>
        <v/>
      </c>
      <c r="C1146" s="549" t="s">
        <v>11186</v>
      </c>
      <c r="D1146" s="549" t="s">
        <v>11187</v>
      </c>
      <c r="E1146" s="8"/>
      <c r="F1146" s="552" t="s">
        <v>11188</v>
      </c>
      <c r="G1146" s="8"/>
      <c r="H1146" s="8"/>
      <c r="I1146" s="8"/>
      <c r="J1146" s="547"/>
      <c r="K1146" s="8"/>
      <c r="L1146" s="8"/>
      <c r="M1146" s="8"/>
    </row>
    <row r="1147">
      <c r="A1147" s="542"/>
      <c r="B1147" s="551" t="str">
        <f t="array" ref="B1147">IF(LEN(E1147),INDEX('4-All Devices'!AG:AG, MATCH(E1147, '4-All Devices'!AF:AF, 0)),"")</f>
        <v/>
      </c>
      <c r="C1147" s="549" t="s">
        <v>11186</v>
      </c>
      <c r="D1147" s="549" t="s">
        <v>11187</v>
      </c>
      <c r="E1147" s="8"/>
      <c r="F1147" s="552" t="s">
        <v>11188</v>
      </c>
      <c r="G1147" s="8"/>
      <c r="H1147" s="8"/>
      <c r="I1147" s="8"/>
      <c r="J1147" s="547"/>
      <c r="K1147" s="8"/>
      <c r="L1147" s="8"/>
      <c r="M1147" s="8"/>
    </row>
    <row r="1148">
      <c r="A1148" s="542"/>
      <c r="B1148" s="551" t="str">
        <f t="array" ref="B1148">IF(LEN(E1148),INDEX('4-All Devices'!AG:AG, MATCH(E1148, '4-All Devices'!AF:AF, 0)),"")</f>
        <v/>
      </c>
      <c r="C1148" s="549" t="s">
        <v>11186</v>
      </c>
      <c r="D1148" s="549" t="s">
        <v>11187</v>
      </c>
      <c r="E1148" s="8"/>
      <c r="F1148" s="552" t="s">
        <v>11188</v>
      </c>
      <c r="G1148" s="8"/>
      <c r="H1148" s="8"/>
      <c r="I1148" s="8"/>
      <c r="J1148" s="547"/>
      <c r="K1148" s="8"/>
      <c r="L1148" s="8"/>
      <c r="M1148" s="8"/>
    </row>
    <row r="1149">
      <c r="A1149" s="542"/>
      <c r="B1149" s="551" t="str">
        <f t="array" ref="B1149">IF(LEN(E1149),INDEX('4-All Devices'!AG:AG, MATCH(E1149, '4-All Devices'!AF:AF, 0)),"")</f>
        <v/>
      </c>
      <c r="C1149" s="549" t="s">
        <v>11186</v>
      </c>
      <c r="D1149" s="549" t="s">
        <v>11187</v>
      </c>
      <c r="E1149" s="8"/>
      <c r="F1149" s="552" t="s">
        <v>11188</v>
      </c>
      <c r="G1149" s="8"/>
      <c r="H1149" s="8"/>
      <c r="I1149" s="8"/>
      <c r="J1149" s="547"/>
      <c r="K1149" s="8"/>
      <c r="L1149" s="8"/>
      <c r="M1149" s="8"/>
    </row>
    <row r="1150">
      <c r="A1150" s="542"/>
      <c r="B1150" s="551" t="str">
        <f t="array" ref="B1150">IF(LEN(E1150),INDEX('4-All Devices'!AG:AG, MATCH(E1150, '4-All Devices'!AF:AF, 0)),"")</f>
        <v/>
      </c>
      <c r="C1150" s="549" t="s">
        <v>11186</v>
      </c>
      <c r="D1150" s="549" t="s">
        <v>11187</v>
      </c>
      <c r="E1150" s="8"/>
      <c r="F1150" s="552" t="s">
        <v>11188</v>
      </c>
      <c r="G1150" s="8"/>
      <c r="H1150" s="8"/>
      <c r="I1150" s="8"/>
      <c r="J1150" s="547"/>
      <c r="K1150" s="8"/>
      <c r="L1150" s="8"/>
      <c r="M1150" s="8"/>
    </row>
    <row r="1151">
      <c r="A1151" s="542"/>
      <c r="B1151" s="551" t="str">
        <f t="array" ref="B1151">IF(LEN(E1151),INDEX('4-All Devices'!AG:AG, MATCH(E1151, '4-All Devices'!AF:AF, 0)),"")</f>
        <v/>
      </c>
      <c r="C1151" s="549" t="s">
        <v>11186</v>
      </c>
      <c r="D1151" s="549" t="s">
        <v>11187</v>
      </c>
      <c r="E1151" s="8"/>
      <c r="F1151" s="552" t="s">
        <v>11188</v>
      </c>
      <c r="G1151" s="8"/>
      <c r="H1151" s="8"/>
      <c r="I1151" s="8"/>
      <c r="J1151" s="547"/>
      <c r="K1151" s="8"/>
      <c r="L1151" s="8"/>
      <c r="M1151" s="8"/>
    </row>
    <row r="1152">
      <c r="A1152" s="542"/>
      <c r="B1152" s="551" t="str">
        <f t="array" ref="B1152">IF(LEN(E1152),INDEX('4-All Devices'!AG:AG, MATCH(E1152, '4-All Devices'!AF:AF, 0)),"")</f>
        <v/>
      </c>
      <c r="C1152" s="549" t="s">
        <v>11186</v>
      </c>
      <c r="D1152" s="549" t="s">
        <v>11187</v>
      </c>
      <c r="E1152" s="8"/>
      <c r="F1152" s="552" t="s">
        <v>11188</v>
      </c>
      <c r="G1152" s="8"/>
      <c r="H1152" s="8"/>
      <c r="I1152" s="8"/>
      <c r="J1152" s="547"/>
      <c r="K1152" s="8"/>
      <c r="L1152" s="8"/>
      <c r="M1152" s="8"/>
    </row>
    <row r="1153">
      <c r="A1153" s="542"/>
      <c r="B1153" s="551" t="str">
        <f t="array" ref="B1153">IF(LEN(E1153),INDEX('4-All Devices'!AG:AG, MATCH(E1153, '4-All Devices'!AF:AF, 0)),"")</f>
        <v/>
      </c>
      <c r="C1153" s="549" t="s">
        <v>11186</v>
      </c>
      <c r="D1153" s="549" t="s">
        <v>11187</v>
      </c>
      <c r="E1153" s="8"/>
      <c r="F1153" s="552" t="s">
        <v>11188</v>
      </c>
      <c r="G1153" s="8"/>
      <c r="H1153" s="8"/>
      <c r="I1153" s="8"/>
      <c r="J1153" s="547"/>
      <c r="K1153" s="8"/>
      <c r="L1153" s="8"/>
      <c r="M1153" s="8"/>
    </row>
    <row r="1154">
      <c r="A1154" s="542"/>
      <c r="B1154" s="551" t="str">
        <f t="array" ref="B1154">IF(LEN(E1154),INDEX('4-All Devices'!AG:AG, MATCH(E1154, '4-All Devices'!AF:AF, 0)),"")</f>
        <v/>
      </c>
      <c r="C1154" s="549" t="s">
        <v>11186</v>
      </c>
      <c r="D1154" s="549" t="s">
        <v>11187</v>
      </c>
      <c r="E1154" s="8"/>
      <c r="F1154" s="552" t="s">
        <v>11188</v>
      </c>
      <c r="G1154" s="8"/>
      <c r="H1154" s="8"/>
      <c r="I1154" s="8"/>
      <c r="J1154" s="547"/>
      <c r="K1154" s="8"/>
      <c r="L1154" s="8"/>
      <c r="M1154" s="8"/>
    </row>
    <row r="1155">
      <c r="A1155" s="542"/>
      <c r="B1155" s="551" t="str">
        <f t="array" ref="B1155">IF(LEN(E1155),INDEX('4-All Devices'!AG:AG, MATCH(E1155, '4-All Devices'!AF:AF, 0)),"")</f>
        <v/>
      </c>
      <c r="C1155" s="549" t="s">
        <v>11186</v>
      </c>
      <c r="D1155" s="549" t="s">
        <v>11187</v>
      </c>
      <c r="E1155" s="8"/>
      <c r="F1155" s="552" t="s">
        <v>11188</v>
      </c>
      <c r="G1155" s="8"/>
      <c r="H1155" s="8"/>
      <c r="I1155" s="8"/>
      <c r="J1155" s="547"/>
      <c r="K1155" s="8"/>
      <c r="L1155" s="8"/>
      <c r="M1155" s="8"/>
    </row>
    <row r="1156">
      <c r="A1156" s="542"/>
      <c r="B1156" s="551" t="str">
        <f t="array" ref="B1156">IF(LEN(E1156),INDEX('4-All Devices'!AG:AG, MATCH(E1156, '4-All Devices'!AF:AF, 0)),"")</f>
        <v/>
      </c>
      <c r="C1156" s="549" t="s">
        <v>11186</v>
      </c>
      <c r="D1156" s="549" t="s">
        <v>11187</v>
      </c>
      <c r="E1156" s="8"/>
      <c r="F1156" s="552" t="s">
        <v>11188</v>
      </c>
      <c r="G1156" s="8"/>
      <c r="H1156" s="8"/>
      <c r="I1156" s="8"/>
      <c r="J1156" s="547"/>
      <c r="K1156" s="8"/>
      <c r="L1156" s="8"/>
      <c r="M1156" s="8"/>
    </row>
    <row r="1157">
      <c r="A1157" s="542"/>
      <c r="B1157" s="551" t="str">
        <f t="array" ref="B1157">IF(LEN(E1157),INDEX('4-All Devices'!AG:AG, MATCH(E1157, '4-All Devices'!AF:AF, 0)),"")</f>
        <v/>
      </c>
      <c r="C1157" s="549" t="s">
        <v>11186</v>
      </c>
      <c r="D1157" s="549" t="s">
        <v>11187</v>
      </c>
      <c r="E1157" s="8"/>
      <c r="F1157" s="552" t="s">
        <v>11188</v>
      </c>
      <c r="G1157" s="8"/>
      <c r="H1157" s="8"/>
      <c r="I1157" s="8"/>
      <c r="J1157" s="547"/>
      <c r="K1157" s="8"/>
      <c r="L1157" s="8"/>
      <c r="M1157" s="8"/>
    </row>
    <row r="1158">
      <c r="A1158" s="542"/>
      <c r="B1158" s="551" t="str">
        <f t="array" ref="B1158">IF(LEN(E1158),INDEX('4-All Devices'!AG:AG, MATCH(E1158, '4-All Devices'!AF:AF, 0)),"")</f>
        <v/>
      </c>
      <c r="C1158" s="549" t="s">
        <v>11186</v>
      </c>
      <c r="D1158" s="549" t="s">
        <v>11187</v>
      </c>
      <c r="E1158" s="8"/>
      <c r="F1158" s="552" t="s">
        <v>11188</v>
      </c>
      <c r="G1158" s="8"/>
      <c r="H1158" s="8"/>
      <c r="I1158" s="8"/>
      <c r="J1158" s="547"/>
      <c r="K1158" s="8"/>
      <c r="L1158" s="8"/>
      <c r="M1158" s="8"/>
    </row>
    <row r="1159">
      <c r="A1159" s="542"/>
      <c r="B1159" s="551" t="str">
        <f t="array" ref="B1159">IF(LEN(E1159),INDEX('4-All Devices'!AG:AG, MATCH(E1159, '4-All Devices'!AF:AF, 0)),"")</f>
        <v/>
      </c>
      <c r="C1159" s="549" t="s">
        <v>11186</v>
      </c>
      <c r="D1159" s="549" t="s">
        <v>11187</v>
      </c>
      <c r="E1159" s="8"/>
      <c r="F1159" s="552" t="s">
        <v>11188</v>
      </c>
      <c r="G1159" s="8"/>
      <c r="H1159" s="8"/>
      <c r="I1159" s="8"/>
      <c r="J1159" s="547"/>
      <c r="K1159" s="8"/>
      <c r="L1159" s="8"/>
      <c r="M1159" s="8"/>
    </row>
    <row r="1160">
      <c r="A1160" s="542"/>
      <c r="B1160" s="551" t="str">
        <f t="array" ref="B1160">IF(LEN(E1160),INDEX('4-All Devices'!AG:AG, MATCH(E1160, '4-All Devices'!AF:AF, 0)),"")</f>
        <v/>
      </c>
      <c r="C1160" s="549" t="s">
        <v>11186</v>
      </c>
      <c r="D1160" s="549" t="s">
        <v>11187</v>
      </c>
      <c r="E1160" s="8"/>
      <c r="F1160" s="552" t="s">
        <v>11188</v>
      </c>
      <c r="G1160" s="8"/>
      <c r="H1160" s="8"/>
      <c r="I1160" s="8"/>
      <c r="J1160" s="547"/>
      <c r="K1160" s="8"/>
      <c r="L1160" s="8"/>
      <c r="M1160" s="8"/>
    </row>
    <row r="1161">
      <c r="A1161" s="542"/>
      <c r="B1161" s="551" t="str">
        <f t="array" ref="B1161">IF(LEN(E1161),INDEX('4-All Devices'!AG:AG, MATCH(E1161, '4-All Devices'!AF:AF, 0)),"")</f>
        <v/>
      </c>
      <c r="C1161" s="549" t="s">
        <v>11186</v>
      </c>
      <c r="D1161" s="549" t="s">
        <v>11187</v>
      </c>
      <c r="E1161" s="8"/>
      <c r="F1161" s="552" t="s">
        <v>11188</v>
      </c>
      <c r="G1161" s="8"/>
      <c r="H1161" s="8"/>
      <c r="I1161" s="8"/>
      <c r="J1161" s="547"/>
      <c r="K1161" s="8"/>
      <c r="L1161" s="8"/>
      <c r="M1161" s="8"/>
    </row>
    <row r="1162">
      <c r="A1162" s="542"/>
      <c r="B1162" s="551" t="str">
        <f t="array" ref="B1162">IF(LEN(E1162),INDEX('4-All Devices'!AG:AG, MATCH(E1162, '4-All Devices'!AF:AF, 0)),"")</f>
        <v/>
      </c>
      <c r="C1162" s="549" t="s">
        <v>11186</v>
      </c>
      <c r="D1162" s="549" t="s">
        <v>11187</v>
      </c>
      <c r="E1162" s="8"/>
      <c r="F1162" s="552" t="s">
        <v>11188</v>
      </c>
      <c r="G1162" s="8"/>
      <c r="H1162" s="8"/>
      <c r="I1162" s="8"/>
      <c r="J1162" s="547"/>
      <c r="K1162" s="8"/>
      <c r="L1162" s="8"/>
      <c r="M1162" s="8"/>
    </row>
    <row r="1163">
      <c r="A1163" s="542"/>
      <c r="B1163" s="551" t="str">
        <f t="array" ref="B1163">IF(LEN(E1163),INDEX('4-All Devices'!AG:AG, MATCH(E1163, '4-All Devices'!AF:AF, 0)),"")</f>
        <v/>
      </c>
      <c r="C1163" s="549" t="s">
        <v>11186</v>
      </c>
      <c r="D1163" s="549" t="s">
        <v>11187</v>
      </c>
      <c r="E1163" s="8"/>
      <c r="F1163" s="552" t="s">
        <v>11188</v>
      </c>
      <c r="G1163" s="8"/>
      <c r="H1163" s="8"/>
      <c r="I1163" s="8"/>
      <c r="J1163" s="547"/>
      <c r="K1163" s="8"/>
      <c r="L1163" s="8"/>
      <c r="M1163" s="8"/>
    </row>
    <row r="1164">
      <c r="A1164" s="542"/>
      <c r="B1164" s="551" t="str">
        <f t="array" ref="B1164">IF(LEN(E1164),INDEX('4-All Devices'!AG:AG, MATCH(E1164, '4-All Devices'!AF:AF, 0)),"")</f>
        <v/>
      </c>
      <c r="C1164" s="549" t="s">
        <v>11186</v>
      </c>
      <c r="D1164" s="549" t="s">
        <v>11187</v>
      </c>
      <c r="E1164" s="8"/>
      <c r="F1164" s="552" t="s">
        <v>11188</v>
      </c>
      <c r="G1164" s="8"/>
      <c r="H1164" s="8"/>
      <c r="I1164" s="8"/>
      <c r="J1164" s="547"/>
      <c r="K1164" s="8"/>
      <c r="L1164" s="8"/>
      <c r="M1164" s="8"/>
    </row>
    <row r="1165">
      <c r="A1165" s="542"/>
      <c r="B1165" s="551" t="str">
        <f t="array" ref="B1165">IF(LEN(E1165),INDEX('4-All Devices'!AG:AG, MATCH(E1165, '4-All Devices'!AF:AF, 0)),"")</f>
        <v/>
      </c>
      <c r="C1165" s="549" t="s">
        <v>11186</v>
      </c>
      <c r="D1165" s="549" t="s">
        <v>11187</v>
      </c>
      <c r="E1165" s="8"/>
      <c r="F1165" s="552" t="s">
        <v>11188</v>
      </c>
      <c r="G1165" s="8"/>
      <c r="H1165" s="8"/>
      <c r="I1165" s="8"/>
      <c r="J1165" s="547"/>
      <c r="K1165" s="8"/>
      <c r="L1165" s="8"/>
      <c r="M1165" s="8"/>
    </row>
    <row r="1166">
      <c r="A1166" s="542"/>
      <c r="B1166" s="551" t="str">
        <f t="array" ref="B1166">IF(LEN(E1166),INDEX('4-All Devices'!AG:AG, MATCH(E1166, '4-All Devices'!AF:AF, 0)),"")</f>
        <v/>
      </c>
      <c r="C1166" s="549" t="s">
        <v>11186</v>
      </c>
      <c r="D1166" s="549" t="s">
        <v>11187</v>
      </c>
      <c r="E1166" s="8"/>
      <c r="F1166" s="552" t="s">
        <v>11188</v>
      </c>
      <c r="G1166" s="8"/>
      <c r="H1166" s="8"/>
      <c r="I1166" s="8"/>
      <c r="J1166" s="547"/>
      <c r="K1166" s="8"/>
      <c r="L1166" s="8"/>
      <c r="M1166" s="8"/>
    </row>
    <row r="1167">
      <c r="A1167" s="542"/>
      <c r="B1167" s="551" t="str">
        <f t="array" ref="B1167">IF(LEN(E1167),INDEX('4-All Devices'!AG:AG, MATCH(E1167, '4-All Devices'!AF:AF, 0)),"")</f>
        <v/>
      </c>
      <c r="C1167" s="549" t="s">
        <v>11186</v>
      </c>
      <c r="D1167" s="549" t="s">
        <v>11187</v>
      </c>
      <c r="E1167" s="8"/>
      <c r="F1167" s="552" t="s">
        <v>11188</v>
      </c>
      <c r="G1167" s="8"/>
      <c r="H1167" s="8"/>
      <c r="I1167" s="8"/>
      <c r="J1167" s="547"/>
      <c r="K1167" s="8"/>
      <c r="L1167" s="8"/>
      <c r="M1167" s="8"/>
    </row>
    <row r="1168">
      <c r="A1168" s="542"/>
      <c r="B1168" s="551" t="str">
        <f t="array" ref="B1168">IF(LEN(E1168),INDEX('4-All Devices'!AG:AG, MATCH(E1168, '4-All Devices'!AF:AF, 0)),"")</f>
        <v/>
      </c>
      <c r="C1168" s="549" t="s">
        <v>11186</v>
      </c>
      <c r="D1168" s="549" t="s">
        <v>11187</v>
      </c>
      <c r="E1168" s="8"/>
      <c r="F1168" s="552" t="s">
        <v>11188</v>
      </c>
      <c r="G1168" s="8"/>
      <c r="H1168" s="8"/>
      <c r="I1168" s="8"/>
      <c r="J1168" s="547"/>
      <c r="K1168" s="8"/>
      <c r="L1168" s="8"/>
      <c r="M1168" s="8"/>
    </row>
    <row r="1169">
      <c r="A1169" s="542"/>
      <c r="B1169" s="551" t="str">
        <f t="array" ref="B1169">IF(LEN(E1169),INDEX('4-All Devices'!AG:AG, MATCH(E1169, '4-All Devices'!AF:AF, 0)),"")</f>
        <v/>
      </c>
      <c r="C1169" s="549" t="s">
        <v>11186</v>
      </c>
      <c r="D1169" s="549" t="s">
        <v>11187</v>
      </c>
      <c r="E1169" s="8"/>
      <c r="F1169" s="552" t="s">
        <v>11188</v>
      </c>
      <c r="G1169" s="8"/>
      <c r="H1169" s="8"/>
      <c r="I1169" s="8"/>
      <c r="J1169" s="547"/>
      <c r="K1169" s="8"/>
      <c r="L1169" s="8"/>
      <c r="M1169" s="8"/>
    </row>
    <row r="1170">
      <c r="A1170" s="542"/>
      <c r="B1170" s="551" t="str">
        <f t="array" ref="B1170">IF(LEN(E1170),INDEX('4-All Devices'!AG:AG, MATCH(E1170, '4-All Devices'!AF:AF, 0)),"")</f>
        <v/>
      </c>
      <c r="C1170" s="549" t="s">
        <v>11186</v>
      </c>
      <c r="D1170" s="549" t="s">
        <v>11187</v>
      </c>
      <c r="E1170" s="8"/>
      <c r="F1170" s="552" t="s">
        <v>11188</v>
      </c>
      <c r="G1170" s="8"/>
      <c r="H1170" s="8"/>
      <c r="I1170" s="8"/>
      <c r="J1170" s="547"/>
      <c r="K1170" s="8"/>
      <c r="L1170" s="8"/>
      <c r="M1170" s="8"/>
    </row>
    <row r="1171">
      <c r="A1171" s="542"/>
      <c r="B1171" s="551" t="str">
        <f t="array" ref="B1171">IF(LEN(E1171),INDEX('4-All Devices'!AG:AG, MATCH(E1171, '4-All Devices'!AF:AF, 0)),"")</f>
        <v/>
      </c>
      <c r="C1171" s="549" t="s">
        <v>11186</v>
      </c>
      <c r="D1171" s="549" t="s">
        <v>11187</v>
      </c>
      <c r="E1171" s="8"/>
      <c r="F1171" s="552" t="s">
        <v>11188</v>
      </c>
      <c r="G1171" s="8"/>
      <c r="H1171" s="8"/>
      <c r="I1171" s="8"/>
      <c r="J1171" s="547"/>
      <c r="K1171" s="8"/>
      <c r="L1171" s="8"/>
      <c r="M1171" s="8"/>
    </row>
    <row r="1172">
      <c r="A1172" s="542"/>
      <c r="B1172" s="551" t="str">
        <f t="array" ref="B1172">IF(LEN(E1172),INDEX('4-All Devices'!AG:AG, MATCH(E1172, '4-All Devices'!AF:AF, 0)),"")</f>
        <v/>
      </c>
      <c r="C1172" s="549" t="s">
        <v>11186</v>
      </c>
      <c r="D1172" s="549" t="s">
        <v>11187</v>
      </c>
      <c r="E1172" s="8"/>
      <c r="F1172" s="552" t="s">
        <v>11188</v>
      </c>
      <c r="G1172" s="8"/>
      <c r="H1172" s="8"/>
      <c r="I1172" s="8"/>
      <c r="J1172" s="547"/>
      <c r="K1172" s="8"/>
      <c r="L1172" s="8"/>
      <c r="M1172" s="8"/>
    </row>
    <row r="1173">
      <c r="A1173" s="542"/>
      <c r="B1173" s="551" t="str">
        <f t="array" ref="B1173">IF(LEN(E1173),INDEX('4-All Devices'!AG:AG, MATCH(E1173, '4-All Devices'!AF:AF, 0)),"")</f>
        <v/>
      </c>
      <c r="C1173" s="549" t="s">
        <v>11186</v>
      </c>
      <c r="D1173" s="549" t="s">
        <v>11187</v>
      </c>
      <c r="E1173" s="8"/>
      <c r="F1173" s="552" t="s">
        <v>11188</v>
      </c>
      <c r="G1173" s="8"/>
      <c r="H1173" s="8"/>
      <c r="I1173" s="8"/>
      <c r="J1173" s="547"/>
      <c r="K1173" s="8"/>
      <c r="L1173" s="8"/>
      <c r="M1173" s="8"/>
    </row>
    <row r="1174">
      <c r="A1174" s="542"/>
      <c r="B1174" s="551" t="str">
        <f t="array" ref="B1174">IF(LEN(E1174),INDEX('4-All Devices'!AG:AG, MATCH(E1174, '4-All Devices'!AF:AF, 0)),"")</f>
        <v/>
      </c>
      <c r="C1174" s="549" t="s">
        <v>11186</v>
      </c>
      <c r="D1174" s="549" t="s">
        <v>11187</v>
      </c>
      <c r="E1174" s="8"/>
      <c r="F1174" s="552" t="s">
        <v>11188</v>
      </c>
      <c r="G1174" s="8"/>
      <c r="H1174" s="8"/>
      <c r="I1174" s="8"/>
      <c r="J1174" s="547"/>
      <c r="K1174" s="8"/>
      <c r="L1174" s="8"/>
      <c r="M1174" s="8"/>
    </row>
    <row r="1175">
      <c r="A1175" s="542"/>
      <c r="B1175" s="551" t="str">
        <f t="array" ref="B1175">IF(LEN(E1175),INDEX('4-All Devices'!AG:AG, MATCH(E1175, '4-All Devices'!AF:AF, 0)),"")</f>
        <v/>
      </c>
      <c r="C1175" s="549" t="s">
        <v>11186</v>
      </c>
      <c r="D1175" s="549" t="s">
        <v>11187</v>
      </c>
      <c r="E1175" s="8"/>
      <c r="F1175" s="552" t="s">
        <v>11188</v>
      </c>
      <c r="G1175" s="8"/>
      <c r="H1175" s="8"/>
      <c r="I1175" s="8"/>
      <c r="J1175" s="547"/>
      <c r="K1175" s="8"/>
      <c r="L1175" s="8"/>
      <c r="M1175" s="8"/>
    </row>
    <row r="1176">
      <c r="A1176" s="542"/>
      <c r="B1176" s="551" t="str">
        <f t="array" ref="B1176">IF(LEN(E1176),INDEX('4-All Devices'!AG:AG, MATCH(E1176, '4-All Devices'!AF:AF, 0)),"")</f>
        <v/>
      </c>
      <c r="C1176" s="549" t="s">
        <v>11186</v>
      </c>
      <c r="D1176" s="549" t="s">
        <v>11187</v>
      </c>
      <c r="E1176" s="8"/>
      <c r="F1176" s="552" t="s">
        <v>11188</v>
      </c>
      <c r="G1176" s="8"/>
      <c r="H1176" s="8"/>
      <c r="I1176" s="8"/>
      <c r="J1176" s="547"/>
      <c r="K1176" s="8"/>
      <c r="L1176" s="8"/>
      <c r="M1176" s="8"/>
    </row>
    <row r="1177">
      <c r="A1177" s="542"/>
      <c r="B1177" s="551" t="str">
        <f t="array" ref="B1177">IF(LEN(E1177),INDEX('4-All Devices'!AG:AG, MATCH(E1177, '4-All Devices'!AF:AF, 0)),"")</f>
        <v/>
      </c>
      <c r="C1177" s="549" t="s">
        <v>11186</v>
      </c>
      <c r="D1177" s="549" t="s">
        <v>11187</v>
      </c>
      <c r="E1177" s="8"/>
      <c r="F1177" s="552" t="s">
        <v>11188</v>
      </c>
      <c r="G1177" s="8"/>
      <c r="H1177" s="8"/>
      <c r="I1177" s="8"/>
      <c r="J1177" s="547"/>
      <c r="K1177" s="8"/>
      <c r="L1177" s="8"/>
      <c r="M1177" s="8"/>
    </row>
    <row r="1178">
      <c r="A1178" s="542"/>
      <c r="B1178" s="551" t="str">
        <f t="array" ref="B1178">IF(LEN(E1178),INDEX('4-All Devices'!AG:AG, MATCH(E1178, '4-All Devices'!AF:AF, 0)),"")</f>
        <v/>
      </c>
      <c r="C1178" s="549" t="s">
        <v>11186</v>
      </c>
      <c r="D1178" s="549" t="s">
        <v>11187</v>
      </c>
      <c r="E1178" s="8"/>
      <c r="F1178" s="552" t="s">
        <v>11188</v>
      </c>
      <c r="G1178" s="8"/>
      <c r="H1178" s="8"/>
      <c r="I1178" s="8"/>
      <c r="J1178" s="547"/>
      <c r="K1178" s="8"/>
      <c r="L1178" s="8"/>
      <c r="M1178" s="8"/>
    </row>
    <row r="1179">
      <c r="A1179" s="542"/>
      <c r="B1179" s="551" t="str">
        <f t="array" ref="B1179">IF(LEN(E1179),INDEX('4-All Devices'!AG:AG, MATCH(E1179, '4-All Devices'!AF:AF, 0)),"")</f>
        <v/>
      </c>
      <c r="C1179" s="549" t="s">
        <v>11186</v>
      </c>
      <c r="D1179" s="549" t="s">
        <v>11187</v>
      </c>
      <c r="E1179" s="8"/>
      <c r="F1179" s="552" t="s">
        <v>11188</v>
      </c>
      <c r="G1179" s="8"/>
      <c r="H1179" s="8"/>
      <c r="I1179" s="8"/>
      <c r="J1179" s="547"/>
      <c r="K1179" s="8"/>
      <c r="L1179" s="8"/>
      <c r="M1179" s="8"/>
    </row>
    <row r="1180">
      <c r="A1180" s="542"/>
      <c r="B1180" s="551" t="str">
        <f t="array" ref="B1180">IF(LEN(E1180),INDEX('4-All Devices'!AG:AG, MATCH(E1180, '4-All Devices'!AF:AF, 0)),"")</f>
        <v/>
      </c>
      <c r="C1180" s="549" t="s">
        <v>11186</v>
      </c>
      <c r="D1180" s="549" t="s">
        <v>11187</v>
      </c>
      <c r="E1180" s="8"/>
      <c r="F1180" s="552" t="s">
        <v>11188</v>
      </c>
      <c r="G1180" s="8"/>
      <c r="H1180" s="8"/>
      <c r="I1180" s="8"/>
      <c r="J1180" s="547"/>
      <c r="K1180" s="8"/>
      <c r="L1180" s="8"/>
      <c r="M1180" s="8"/>
    </row>
    <row r="1181">
      <c r="A1181" s="542"/>
      <c r="B1181" s="551" t="str">
        <f t="array" ref="B1181">IF(LEN(E1181),INDEX('4-All Devices'!AG:AG, MATCH(E1181, '4-All Devices'!AF:AF, 0)),"")</f>
        <v/>
      </c>
      <c r="C1181" s="549" t="s">
        <v>11186</v>
      </c>
      <c r="D1181" s="549" t="s">
        <v>11187</v>
      </c>
      <c r="E1181" s="8"/>
      <c r="F1181" s="552" t="s">
        <v>11188</v>
      </c>
      <c r="G1181" s="8"/>
      <c r="H1181" s="8"/>
      <c r="I1181" s="8"/>
      <c r="J1181" s="547"/>
      <c r="K1181" s="8"/>
      <c r="L1181" s="8"/>
      <c r="M1181" s="8"/>
    </row>
    <row r="1182">
      <c r="A1182" s="542"/>
      <c r="B1182" s="551" t="str">
        <f t="array" ref="B1182">IF(LEN(E1182),INDEX('4-All Devices'!AG:AG, MATCH(E1182, '4-All Devices'!AF:AF, 0)),"")</f>
        <v/>
      </c>
      <c r="C1182" s="549" t="s">
        <v>11186</v>
      </c>
      <c r="D1182" s="549" t="s">
        <v>11187</v>
      </c>
      <c r="E1182" s="8"/>
      <c r="F1182" s="552" t="s">
        <v>11188</v>
      </c>
      <c r="G1182" s="8"/>
      <c r="H1182" s="8"/>
      <c r="I1182" s="8"/>
      <c r="J1182" s="547"/>
      <c r="K1182" s="8"/>
      <c r="L1182" s="8"/>
      <c r="M1182" s="8"/>
    </row>
    <row r="1183">
      <c r="A1183" s="542"/>
      <c r="B1183" s="551" t="str">
        <f t="array" ref="B1183">IF(LEN(E1183),INDEX('4-All Devices'!AG:AG, MATCH(E1183, '4-All Devices'!AF:AF, 0)),"")</f>
        <v/>
      </c>
      <c r="C1183" s="549" t="s">
        <v>11186</v>
      </c>
      <c r="D1183" s="549" t="s">
        <v>11187</v>
      </c>
      <c r="E1183" s="8"/>
      <c r="F1183" s="552" t="s">
        <v>11188</v>
      </c>
      <c r="G1183" s="8"/>
      <c r="H1183" s="8"/>
      <c r="I1183" s="8"/>
      <c r="J1183" s="547"/>
      <c r="K1183" s="8"/>
      <c r="L1183" s="8"/>
      <c r="M1183" s="8"/>
    </row>
    <row r="1184">
      <c r="A1184" s="542"/>
      <c r="B1184" s="551" t="str">
        <f t="array" ref="B1184">IF(LEN(E1184),INDEX('4-All Devices'!AG:AG, MATCH(E1184, '4-All Devices'!AF:AF, 0)),"")</f>
        <v/>
      </c>
      <c r="C1184" s="549" t="s">
        <v>11186</v>
      </c>
      <c r="D1184" s="549" t="s">
        <v>11187</v>
      </c>
      <c r="E1184" s="8"/>
      <c r="F1184" s="552" t="s">
        <v>11188</v>
      </c>
      <c r="G1184" s="8"/>
      <c r="H1184" s="8"/>
      <c r="I1184" s="8"/>
      <c r="J1184" s="547"/>
      <c r="K1184" s="8"/>
      <c r="L1184" s="8"/>
      <c r="M1184" s="8"/>
    </row>
    <row r="1185">
      <c r="A1185" s="542"/>
      <c r="B1185" s="551" t="str">
        <f t="array" ref="B1185">IF(LEN(E1185),INDEX('4-All Devices'!AG:AG, MATCH(E1185, '4-All Devices'!AF:AF, 0)),"")</f>
        <v/>
      </c>
      <c r="C1185" s="549" t="s">
        <v>11186</v>
      </c>
      <c r="D1185" s="549" t="s">
        <v>11187</v>
      </c>
      <c r="E1185" s="8"/>
      <c r="F1185" s="552" t="s">
        <v>11188</v>
      </c>
      <c r="G1185" s="8"/>
      <c r="H1185" s="8"/>
      <c r="I1185" s="8"/>
      <c r="J1185" s="547"/>
      <c r="K1185" s="8"/>
      <c r="L1185" s="8"/>
      <c r="M1185" s="8"/>
    </row>
    <row r="1186">
      <c r="A1186" s="542"/>
      <c r="B1186" s="551" t="str">
        <f t="array" ref="B1186">IF(LEN(E1186),INDEX('4-All Devices'!AG:AG, MATCH(E1186, '4-All Devices'!AF:AF, 0)),"")</f>
        <v/>
      </c>
      <c r="C1186" s="549" t="s">
        <v>11186</v>
      </c>
      <c r="D1186" s="549" t="s">
        <v>11187</v>
      </c>
      <c r="E1186" s="8"/>
      <c r="F1186" s="552" t="s">
        <v>11188</v>
      </c>
      <c r="G1186" s="8"/>
      <c r="H1186" s="8"/>
      <c r="I1186" s="8"/>
      <c r="J1186" s="547"/>
      <c r="K1186" s="8"/>
      <c r="L1186" s="8"/>
      <c r="M1186" s="8"/>
    </row>
    <row r="1187">
      <c r="A1187" s="542"/>
      <c r="B1187" s="551" t="str">
        <f t="array" ref="B1187">IF(LEN(E1187),INDEX('4-All Devices'!AG:AG, MATCH(E1187, '4-All Devices'!AF:AF, 0)),"")</f>
        <v/>
      </c>
      <c r="C1187" s="549" t="s">
        <v>11186</v>
      </c>
      <c r="D1187" s="549" t="s">
        <v>11187</v>
      </c>
      <c r="E1187" s="8"/>
      <c r="F1187" s="552" t="s">
        <v>11188</v>
      </c>
      <c r="G1187" s="8"/>
      <c r="H1187" s="8"/>
      <c r="I1187" s="8"/>
      <c r="J1187" s="547"/>
      <c r="K1187" s="8"/>
      <c r="L1187" s="8"/>
      <c r="M1187" s="8"/>
    </row>
    <row r="1188">
      <c r="A1188" s="542"/>
      <c r="B1188" s="551" t="str">
        <f t="array" ref="B1188">IF(LEN(E1188),INDEX('4-All Devices'!AG:AG, MATCH(E1188, '4-All Devices'!AF:AF, 0)),"")</f>
        <v/>
      </c>
      <c r="C1188" s="549" t="s">
        <v>11186</v>
      </c>
      <c r="D1188" s="549" t="s">
        <v>11187</v>
      </c>
      <c r="E1188" s="8"/>
      <c r="F1188" s="552" t="s">
        <v>11188</v>
      </c>
      <c r="G1188" s="8"/>
      <c r="H1188" s="8"/>
      <c r="I1188" s="8"/>
      <c r="J1188" s="547"/>
      <c r="K1188" s="8"/>
      <c r="L1188" s="8"/>
      <c r="M1188" s="8"/>
    </row>
    <row r="1189">
      <c r="A1189" s="542"/>
      <c r="B1189" s="551" t="str">
        <f t="array" ref="B1189">IF(LEN(E1189),INDEX('4-All Devices'!AG:AG, MATCH(E1189, '4-All Devices'!AF:AF, 0)),"")</f>
        <v/>
      </c>
      <c r="C1189" s="549" t="s">
        <v>11186</v>
      </c>
      <c r="D1189" s="549" t="s">
        <v>11187</v>
      </c>
      <c r="E1189" s="8"/>
      <c r="F1189" s="552" t="s">
        <v>11188</v>
      </c>
      <c r="G1189" s="8"/>
      <c r="H1189" s="8"/>
      <c r="I1189" s="8"/>
      <c r="J1189" s="547"/>
      <c r="K1189" s="8"/>
      <c r="L1189" s="8"/>
      <c r="M1189" s="8"/>
    </row>
    <row r="1190">
      <c r="A1190" s="542"/>
      <c r="B1190" s="551" t="str">
        <f t="array" ref="B1190">IF(LEN(E1190),INDEX('4-All Devices'!AG:AG, MATCH(E1190, '4-All Devices'!AF:AF, 0)),"")</f>
        <v/>
      </c>
      <c r="C1190" s="549" t="s">
        <v>11186</v>
      </c>
      <c r="D1190" s="549" t="s">
        <v>11187</v>
      </c>
      <c r="E1190" s="8"/>
      <c r="F1190" s="552" t="s">
        <v>11188</v>
      </c>
      <c r="G1190" s="8"/>
      <c r="H1190" s="8"/>
      <c r="I1190" s="8"/>
      <c r="J1190" s="547"/>
      <c r="K1190" s="8"/>
      <c r="L1190" s="8"/>
      <c r="M1190" s="8"/>
    </row>
    <row r="1191">
      <c r="A1191" s="542"/>
      <c r="B1191" s="551" t="str">
        <f t="array" ref="B1191">IF(LEN(E1191),INDEX('4-All Devices'!AG:AG, MATCH(E1191, '4-All Devices'!AF:AF, 0)),"")</f>
        <v/>
      </c>
      <c r="C1191" s="549" t="s">
        <v>11186</v>
      </c>
      <c r="D1191" s="549" t="s">
        <v>11187</v>
      </c>
      <c r="E1191" s="8"/>
      <c r="F1191" s="552" t="s">
        <v>11188</v>
      </c>
      <c r="G1191" s="8"/>
      <c r="H1191" s="8"/>
      <c r="I1191" s="8"/>
      <c r="J1191" s="547"/>
      <c r="K1191" s="8"/>
      <c r="L1191" s="8"/>
      <c r="M1191" s="8"/>
    </row>
    <row r="1192">
      <c r="A1192" s="542"/>
      <c r="B1192" s="551" t="str">
        <f t="array" ref="B1192">IF(LEN(E1192),INDEX('4-All Devices'!AG:AG, MATCH(E1192, '4-All Devices'!AF:AF, 0)),"")</f>
        <v/>
      </c>
      <c r="C1192" s="549" t="s">
        <v>11186</v>
      </c>
      <c r="D1192" s="549" t="s">
        <v>11187</v>
      </c>
      <c r="E1192" s="8"/>
      <c r="F1192" s="552" t="s">
        <v>11188</v>
      </c>
      <c r="G1192" s="8"/>
      <c r="H1192" s="8"/>
      <c r="I1192" s="8"/>
      <c r="J1192" s="547"/>
      <c r="K1192" s="8"/>
      <c r="L1192" s="8"/>
      <c r="M1192" s="8"/>
    </row>
    <row r="1193">
      <c r="A1193" s="542"/>
      <c r="B1193" s="551" t="str">
        <f t="array" ref="B1193">IF(LEN(E1193),INDEX('4-All Devices'!AG:AG, MATCH(E1193, '4-All Devices'!AF:AF, 0)),"")</f>
        <v/>
      </c>
      <c r="C1193" s="549" t="s">
        <v>11186</v>
      </c>
      <c r="D1193" s="549" t="s">
        <v>11187</v>
      </c>
      <c r="E1193" s="8"/>
      <c r="F1193" s="552" t="s">
        <v>11188</v>
      </c>
      <c r="G1193" s="8"/>
      <c r="H1193" s="8"/>
      <c r="I1193" s="8"/>
      <c r="J1193" s="547"/>
      <c r="K1193" s="8"/>
      <c r="L1193" s="8"/>
      <c r="M1193" s="8"/>
    </row>
    <row r="1194">
      <c r="A1194" s="542"/>
      <c r="B1194" s="551" t="str">
        <f t="array" ref="B1194">IF(LEN(E1194),INDEX('4-All Devices'!AG:AG, MATCH(E1194, '4-All Devices'!AF:AF, 0)),"")</f>
        <v/>
      </c>
      <c r="C1194" s="549" t="s">
        <v>11186</v>
      </c>
      <c r="D1194" s="549" t="s">
        <v>11187</v>
      </c>
      <c r="E1194" s="8"/>
      <c r="F1194" s="552" t="s">
        <v>11188</v>
      </c>
      <c r="G1194" s="8"/>
      <c r="H1194" s="8"/>
      <c r="I1194" s="8"/>
      <c r="J1194" s="547"/>
      <c r="K1194" s="8"/>
      <c r="L1194" s="8"/>
      <c r="M1194" s="8"/>
    </row>
    <row r="1195">
      <c r="A1195" s="542"/>
      <c r="B1195" s="551" t="str">
        <f t="array" ref="B1195">IF(LEN(E1195),INDEX('4-All Devices'!AG:AG, MATCH(E1195, '4-All Devices'!AF:AF, 0)),"")</f>
        <v/>
      </c>
      <c r="C1195" s="549" t="s">
        <v>11186</v>
      </c>
      <c r="D1195" s="549" t="s">
        <v>11187</v>
      </c>
      <c r="E1195" s="8"/>
      <c r="F1195" s="552" t="s">
        <v>11188</v>
      </c>
      <c r="G1195" s="8"/>
      <c r="H1195" s="8"/>
      <c r="I1195" s="8"/>
      <c r="J1195" s="547"/>
      <c r="K1195" s="8"/>
      <c r="L1195" s="8"/>
      <c r="M1195" s="8"/>
    </row>
    <row r="1196">
      <c r="A1196" s="542"/>
      <c r="B1196" s="551" t="str">
        <f t="array" ref="B1196">IF(LEN(E1196),INDEX('4-All Devices'!AG:AG, MATCH(E1196, '4-All Devices'!AF:AF, 0)),"")</f>
        <v/>
      </c>
      <c r="C1196" s="549" t="s">
        <v>11186</v>
      </c>
      <c r="D1196" s="549" t="s">
        <v>11187</v>
      </c>
      <c r="E1196" s="8"/>
      <c r="F1196" s="552" t="s">
        <v>11188</v>
      </c>
      <c r="G1196" s="8"/>
      <c r="H1196" s="8"/>
      <c r="I1196" s="8"/>
      <c r="J1196" s="547"/>
      <c r="K1196" s="8"/>
      <c r="L1196" s="8"/>
      <c r="M1196" s="8"/>
    </row>
    <row r="1197">
      <c r="A1197" s="542"/>
      <c r="B1197" s="551" t="str">
        <f t="array" ref="B1197">IF(LEN(E1197),INDEX('4-All Devices'!AG:AG, MATCH(E1197, '4-All Devices'!AF:AF, 0)),"")</f>
        <v/>
      </c>
      <c r="C1197" s="549" t="s">
        <v>11186</v>
      </c>
      <c r="D1197" s="549" t="s">
        <v>11187</v>
      </c>
      <c r="E1197" s="8"/>
      <c r="F1197" s="552" t="s">
        <v>11188</v>
      </c>
      <c r="G1197" s="8"/>
      <c r="H1197" s="8"/>
      <c r="I1197" s="8"/>
      <c r="J1197" s="547"/>
      <c r="K1197" s="8"/>
      <c r="L1197" s="8"/>
      <c r="M1197" s="8"/>
    </row>
    <row r="1198">
      <c r="A1198" s="542"/>
      <c r="B1198" s="551" t="str">
        <f t="array" ref="B1198">IF(LEN(E1198),INDEX('4-All Devices'!AG:AG, MATCH(E1198, '4-All Devices'!AF:AF, 0)),"")</f>
        <v/>
      </c>
      <c r="C1198" s="549" t="s">
        <v>11186</v>
      </c>
      <c r="D1198" s="549" t="s">
        <v>11187</v>
      </c>
      <c r="E1198" s="8"/>
      <c r="F1198" s="552" t="s">
        <v>11188</v>
      </c>
      <c r="G1198" s="8"/>
      <c r="H1198" s="8"/>
      <c r="I1198" s="8"/>
      <c r="J1198" s="547"/>
      <c r="K1198" s="8"/>
      <c r="L1198" s="8"/>
      <c r="M1198" s="8"/>
    </row>
    <row r="1199">
      <c r="A1199" s="542"/>
      <c r="B1199" s="551" t="str">
        <f t="array" ref="B1199">IF(LEN(E1199),INDEX('4-All Devices'!AG:AG, MATCH(E1199, '4-All Devices'!AF:AF, 0)),"")</f>
        <v/>
      </c>
      <c r="C1199" s="549" t="s">
        <v>11186</v>
      </c>
      <c r="D1199" s="549" t="s">
        <v>11187</v>
      </c>
      <c r="E1199" s="8"/>
      <c r="F1199" s="552" t="s">
        <v>11188</v>
      </c>
      <c r="G1199" s="8"/>
      <c r="H1199" s="8"/>
      <c r="I1199" s="8"/>
      <c r="J1199" s="547"/>
      <c r="K1199" s="8"/>
      <c r="L1199" s="8"/>
      <c r="M1199" s="8"/>
    </row>
    <row r="1200">
      <c r="A1200" s="542"/>
      <c r="B1200" s="551" t="str">
        <f t="array" ref="B1200">IF(LEN(E1200),INDEX('4-All Devices'!AG:AG, MATCH(E1200, '4-All Devices'!AF:AF, 0)),"")</f>
        <v/>
      </c>
      <c r="C1200" s="549" t="s">
        <v>11186</v>
      </c>
      <c r="D1200" s="549" t="s">
        <v>11187</v>
      </c>
      <c r="E1200" s="8"/>
      <c r="F1200" s="552" t="s">
        <v>11188</v>
      </c>
      <c r="G1200" s="8"/>
      <c r="H1200" s="8"/>
      <c r="I1200" s="8"/>
      <c r="J1200" s="547"/>
      <c r="K1200" s="8"/>
      <c r="L1200" s="8"/>
      <c r="M1200" s="8"/>
    </row>
    <row r="1201">
      <c r="A1201" s="542"/>
      <c r="B1201" s="551" t="str">
        <f t="array" ref="B1201">IF(LEN(E1201),INDEX('4-All Devices'!AG:AG, MATCH(E1201, '4-All Devices'!AF:AF, 0)),"")</f>
        <v/>
      </c>
      <c r="C1201" s="549" t="s">
        <v>11186</v>
      </c>
      <c r="D1201" s="549" t="s">
        <v>11187</v>
      </c>
      <c r="E1201" s="8"/>
      <c r="F1201" s="552" t="s">
        <v>11188</v>
      </c>
      <c r="G1201" s="8"/>
      <c r="H1201" s="8"/>
      <c r="I1201" s="8"/>
      <c r="J1201" s="547"/>
      <c r="K1201" s="8"/>
      <c r="L1201" s="8"/>
      <c r="M1201" s="8"/>
    </row>
    <row r="1202">
      <c r="A1202" s="542"/>
      <c r="B1202" s="551" t="str">
        <f t="array" ref="B1202">IF(LEN(E1202),INDEX('4-All Devices'!AG:AG, MATCH(E1202, '4-All Devices'!AF:AF, 0)),"")</f>
        <v/>
      </c>
      <c r="C1202" s="549" t="s">
        <v>11186</v>
      </c>
      <c r="D1202" s="549" t="s">
        <v>11187</v>
      </c>
      <c r="E1202" s="8"/>
      <c r="F1202" s="552" t="s">
        <v>11188</v>
      </c>
      <c r="G1202" s="8"/>
      <c r="H1202" s="8"/>
      <c r="I1202" s="8"/>
      <c r="J1202" s="547"/>
      <c r="K1202" s="8"/>
      <c r="L1202" s="8"/>
      <c r="M1202" s="8"/>
    </row>
    <row r="1203">
      <c r="A1203" s="542"/>
      <c r="B1203" s="551" t="str">
        <f t="array" ref="B1203">IF(LEN(E1203),INDEX('4-All Devices'!AG:AG, MATCH(E1203, '4-All Devices'!AF:AF, 0)),"")</f>
        <v/>
      </c>
      <c r="C1203" s="549" t="s">
        <v>11186</v>
      </c>
      <c r="D1203" s="549" t="s">
        <v>11187</v>
      </c>
      <c r="E1203" s="8"/>
      <c r="F1203" s="552" t="s">
        <v>11188</v>
      </c>
      <c r="G1203" s="8"/>
      <c r="H1203" s="8"/>
      <c r="I1203" s="8"/>
      <c r="J1203" s="547"/>
      <c r="K1203" s="8"/>
      <c r="L1203" s="8"/>
      <c r="M1203" s="8"/>
    </row>
    <row r="1204">
      <c r="A1204" s="542"/>
      <c r="B1204" s="551" t="str">
        <f t="array" ref="B1204">IF(LEN(E1204),INDEX('4-All Devices'!AG:AG, MATCH(E1204, '4-All Devices'!AF:AF, 0)),"")</f>
        <v/>
      </c>
      <c r="C1204" s="549" t="s">
        <v>11186</v>
      </c>
      <c r="D1204" s="549" t="s">
        <v>11187</v>
      </c>
      <c r="E1204" s="8"/>
      <c r="F1204" s="552" t="s">
        <v>11188</v>
      </c>
      <c r="G1204" s="8"/>
      <c r="H1204" s="8"/>
      <c r="I1204" s="8"/>
      <c r="J1204" s="547"/>
      <c r="K1204" s="8"/>
      <c r="L1204" s="8"/>
      <c r="M1204" s="8"/>
    </row>
    <row r="1205">
      <c r="A1205" s="542"/>
      <c r="B1205" s="551" t="str">
        <f t="array" ref="B1205">IF(LEN(E1205),INDEX('4-All Devices'!AG:AG, MATCH(E1205, '4-All Devices'!AF:AF, 0)),"")</f>
        <v/>
      </c>
      <c r="C1205" s="549" t="s">
        <v>11186</v>
      </c>
      <c r="D1205" s="549" t="s">
        <v>11187</v>
      </c>
      <c r="E1205" s="8"/>
      <c r="F1205" s="552" t="s">
        <v>11188</v>
      </c>
      <c r="G1205" s="8"/>
      <c r="H1205" s="8"/>
      <c r="I1205" s="8"/>
      <c r="J1205" s="547"/>
      <c r="K1205" s="8"/>
      <c r="L1205" s="8"/>
      <c r="M1205" s="8"/>
    </row>
    <row r="1206">
      <c r="A1206" s="542"/>
      <c r="B1206" s="551" t="str">
        <f t="array" ref="B1206">IF(LEN(E1206),INDEX('4-All Devices'!AG:AG, MATCH(E1206, '4-All Devices'!AF:AF, 0)),"")</f>
        <v/>
      </c>
      <c r="C1206" s="549" t="s">
        <v>11186</v>
      </c>
      <c r="D1206" s="549" t="s">
        <v>11187</v>
      </c>
      <c r="E1206" s="8"/>
      <c r="F1206" s="552" t="s">
        <v>11188</v>
      </c>
      <c r="G1206" s="8"/>
      <c r="H1206" s="8"/>
      <c r="I1206" s="8"/>
      <c r="J1206" s="547"/>
      <c r="K1206" s="8"/>
      <c r="L1206" s="8"/>
      <c r="M1206" s="8"/>
    </row>
    <row r="1207">
      <c r="A1207" s="542"/>
      <c r="B1207" s="551" t="str">
        <f t="array" ref="B1207">IF(LEN(E1207),INDEX('4-All Devices'!AG:AG, MATCH(E1207, '4-All Devices'!AF:AF, 0)),"")</f>
        <v/>
      </c>
      <c r="C1207" s="549" t="s">
        <v>11186</v>
      </c>
      <c r="D1207" s="549" t="s">
        <v>11187</v>
      </c>
      <c r="E1207" s="8"/>
      <c r="F1207" s="552" t="s">
        <v>11188</v>
      </c>
      <c r="G1207" s="8"/>
      <c r="H1207" s="8"/>
      <c r="I1207" s="8"/>
      <c r="J1207" s="547"/>
      <c r="K1207" s="8"/>
      <c r="L1207" s="8"/>
      <c r="M1207" s="8"/>
    </row>
    <row r="1208">
      <c r="A1208" s="542"/>
      <c r="B1208" s="551" t="str">
        <f t="array" ref="B1208">IF(LEN(E1208),INDEX('4-All Devices'!AG:AG, MATCH(E1208, '4-All Devices'!AF:AF, 0)),"")</f>
        <v/>
      </c>
      <c r="C1208" s="549" t="s">
        <v>11186</v>
      </c>
      <c r="D1208" s="549" t="s">
        <v>11187</v>
      </c>
      <c r="E1208" s="8"/>
      <c r="F1208" s="552" t="s">
        <v>11188</v>
      </c>
      <c r="G1208" s="8"/>
      <c r="H1208" s="8"/>
      <c r="I1208" s="8"/>
      <c r="J1208" s="547"/>
      <c r="K1208" s="8"/>
      <c r="L1208" s="8"/>
      <c r="M1208" s="8"/>
    </row>
    <row r="1209">
      <c r="A1209" s="542"/>
      <c r="B1209" s="551" t="str">
        <f t="array" ref="B1209">IF(LEN(E1209),INDEX('4-All Devices'!AG:AG, MATCH(E1209, '4-All Devices'!AF:AF, 0)),"")</f>
        <v/>
      </c>
      <c r="C1209" s="549" t="s">
        <v>11186</v>
      </c>
      <c r="D1209" s="549" t="s">
        <v>11187</v>
      </c>
      <c r="E1209" s="8"/>
      <c r="F1209" s="552" t="s">
        <v>11188</v>
      </c>
      <c r="G1209" s="8"/>
      <c r="H1209" s="8"/>
      <c r="I1209" s="8"/>
      <c r="J1209" s="547"/>
      <c r="K1209" s="8"/>
      <c r="L1209" s="8"/>
      <c r="M1209" s="8"/>
    </row>
    <row r="1210">
      <c r="A1210" s="542"/>
      <c r="B1210" s="551" t="str">
        <f t="array" ref="B1210">IF(LEN(E1210),INDEX('4-All Devices'!AG:AG, MATCH(E1210, '4-All Devices'!AF:AF, 0)),"")</f>
        <v/>
      </c>
      <c r="C1210" s="549" t="s">
        <v>11186</v>
      </c>
      <c r="D1210" s="549" t="s">
        <v>11187</v>
      </c>
      <c r="E1210" s="8"/>
      <c r="F1210" s="552" t="s">
        <v>11188</v>
      </c>
      <c r="G1210" s="8"/>
      <c r="H1210" s="8"/>
      <c r="I1210" s="8"/>
      <c r="J1210" s="547"/>
      <c r="K1210" s="8"/>
      <c r="L1210" s="8"/>
      <c r="M1210" s="8"/>
    </row>
    <row r="1211">
      <c r="A1211" s="542"/>
      <c r="B1211" s="551" t="str">
        <f t="array" ref="B1211">IF(LEN(E1211),INDEX('4-All Devices'!AG:AG, MATCH(E1211, '4-All Devices'!AF:AF, 0)),"")</f>
        <v/>
      </c>
      <c r="C1211" s="549" t="s">
        <v>11186</v>
      </c>
      <c r="D1211" s="549" t="s">
        <v>11187</v>
      </c>
      <c r="E1211" s="8"/>
      <c r="F1211" s="552" t="s">
        <v>11188</v>
      </c>
      <c r="G1211" s="8"/>
      <c r="H1211" s="8"/>
      <c r="I1211" s="8"/>
      <c r="J1211" s="547"/>
      <c r="K1211" s="8"/>
      <c r="L1211" s="8"/>
      <c r="M1211" s="8"/>
    </row>
    <row r="1212">
      <c r="A1212" s="542"/>
      <c r="B1212" s="551" t="str">
        <f t="array" ref="B1212">IF(LEN(E1212),INDEX('4-All Devices'!AG:AG, MATCH(E1212, '4-All Devices'!AF:AF, 0)),"")</f>
        <v/>
      </c>
      <c r="C1212" s="549" t="s">
        <v>11186</v>
      </c>
      <c r="D1212" s="549" t="s">
        <v>11187</v>
      </c>
      <c r="E1212" s="8"/>
      <c r="F1212" s="552" t="s">
        <v>11188</v>
      </c>
      <c r="G1212" s="8"/>
      <c r="H1212" s="8"/>
      <c r="I1212" s="8"/>
      <c r="J1212" s="547"/>
      <c r="K1212" s="8"/>
      <c r="L1212" s="8"/>
      <c r="M1212" s="8"/>
    </row>
    <row r="1213">
      <c r="A1213" s="542"/>
      <c r="B1213" s="551" t="str">
        <f t="array" ref="B1213">IF(LEN(E1213),INDEX('4-All Devices'!AG:AG, MATCH(E1213, '4-All Devices'!AF:AF, 0)),"")</f>
        <v/>
      </c>
      <c r="C1213" s="549" t="s">
        <v>11186</v>
      </c>
      <c r="D1213" s="549" t="s">
        <v>11187</v>
      </c>
      <c r="E1213" s="8"/>
      <c r="F1213" s="552" t="s">
        <v>11188</v>
      </c>
      <c r="G1213" s="8"/>
      <c r="H1213" s="8"/>
      <c r="I1213" s="8"/>
      <c r="J1213" s="547"/>
      <c r="K1213" s="8"/>
      <c r="L1213" s="8"/>
      <c r="M1213" s="8"/>
    </row>
    <row r="1214">
      <c r="A1214" s="542"/>
      <c r="B1214" s="551" t="str">
        <f t="array" ref="B1214">IF(LEN(E1214),INDEX('4-All Devices'!AG:AG, MATCH(E1214, '4-All Devices'!AF:AF, 0)),"")</f>
        <v/>
      </c>
      <c r="C1214" s="549" t="s">
        <v>11186</v>
      </c>
      <c r="D1214" s="549" t="s">
        <v>11187</v>
      </c>
      <c r="E1214" s="8"/>
      <c r="F1214" s="552" t="s">
        <v>11188</v>
      </c>
      <c r="G1214" s="8"/>
      <c r="H1214" s="8"/>
      <c r="I1214" s="8"/>
      <c r="J1214" s="547"/>
      <c r="K1214" s="8"/>
      <c r="L1214" s="8"/>
      <c r="M1214" s="8"/>
    </row>
    <row r="1215">
      <c r="A1215" s="542"/>
      <c r="B1215" s="551" t="str">
        <f t="array" ref="B1215">IF(LEN(E1215),INDEX('4-All Devices'!AG:AG, MATCH(E1215, '4-All Devices'!AF:AF, 0)),"")</f>
        <v/>
      </c>
      <c r="C1215" s="549" t="s">
        <v>11186</v>
      </c>
      <c r="D1215" s="549" t="s">
        <v>11187</v>
      </c>
      <c r="E1215" s="8"/>
      <c r="F1215" s="552" t="s">
        <v>11188</v>
      </c>
      <c r="G1215" s="8"/>
      <c r="H1215" s="8"/>
      <c r="I1215" s="8"/>
      <c r="J1215" s="547"/>
      <c r="K1215" s="8"/>
      <c r="L1215" s="8"/>
      <c r="M1215" s="8"/>
    </row>
    <row r="1216">
      <c r="A1216" s="542"/>
      <c r="B1216" s="551" t="str">
        <f t="array" ref="B1216">IF(LEN(E1216),INDEX('4-All Devices'!AG:AG, MATCH(E1216, '4-All Devices'!AF:AF, 0)),"")</f>
        <v/>
      </c>
      <c r="C1216" s="549" t="s">
        <v>11186</v>
      </c>
      <c r="D1216" s="549" t="s">
        <v>11187</v>
      </c>
      <c r="E1216" s="8"/>
      <c r="F1216" s="552" t="s">
        <v>11188</v>
      </c>
      <c r="G1216" s="8"/>
      <c r="H1216" s="8"/>
      <c r="I1216" s="8"/>
      <c r="J1216" s="547"/>
      <c r="K1216" s="8"/>
      <c r="L1216" s="8"/>
      <c r="M1216" s="8"/>
    </row>
    <row r="1217">
      <c r="A1217" s="542"/>
      <c r="B1217" s="551" t="str">
        <f t="array" ref="B1217">IF(LEN(E1217),INDEX('4-All Devices'!AG:AG, MATCH(E1217, '4-All Devices'!AF:AF, 0)),"")</f>
        <v/>
      </c>
      <c r="C1217" s="549" t="s">
        <v>11186</v>
      </c>
      <c r="D1217" s="549" t="s">
        <v>11187</v>
      </c>
      <c r="E1217" s="8"/>
      <c r="F1217" s="552" t="s">
        <v>11188</v>
      </c>
      <c r="G1217" s="8"/>
      <c r="H1217" s="8"/>
      <c r="I1217" s="8"/>
      <c r="J1217" s="547"/>
      <c r="K1217" s="8"/>
      <c r="L1217" s="8"/>
      <c r="M1217" s="8"/>
    </row>
    <row r="1218">
      <c r="A1218" s="542"/>
      <c r="B1218" s="551" t="str">
        <f t="array" ref="B1218">IF(LEN(E1218),INDEX('4-All Devices'!AG:AG, MATCH(E1218, '4-All Devices'!AF:AF, 0)),"")</f>
        <v/>
      </c>
      <c r="C1218" s="549" t="s">
        <v>11186</v>
      </c>
      <c r="D1218" s="549" t="s">
        <v>11187</v>
      </c>
      <c r="E1218" s="8"/>
      <c r="F1218" s="552" t="s">
        <v>11188</v>
      </c>
      <c r="G1218" s="8"/>
      <c r="H1218" s="8"/>
      <c r="I1218" s="8"/>
      <c r="J1218" s="547"/>
      <c r="K1218" s="8"/>
      <c r="L1218" s="8"/>
      <c r="M1218" s="8"/>
    </row>
    <row r="1219">
      <c r="A1219" s="542"/>
      <c r="B1219" s="551" t="str">
        <f t="array" ref="B1219">IF(LEN(E1219),INDEX('4-All Devices'!AG:AG, MATCH(E1219, '4-All Devices'!AF:AF, 0)),"")</f>
        <v/>
      </c>
      <c r="C1219" s="549" t="s">
        <v>11186</v>
      </c>
      <c r="D1219" s="549" t="s">
        <v>11187</v>
      </c>
      <c r="E1219" s="8"/>
      <c r="F1219" s="552" t="s">
        <v>11188</v>
      </c>
      <c r="G1219" s="8"/>
      <c r="H1219" s="8"/>
      <c r="I1219" s="8"/>
      <c r="J1219" s="547"/>
      <c r="K1219" s="8"/>
      <c r="L1219" s="8"/>
      <c r="M1219" s="8"/>
    </row>
    <row r="1220">
      <c r="A1220" s="542"/>
      <c r="B1220" s="551" t="str">
        <f t="array" ref="B1220">IF(LEN(E1220),INDEX('4-All Devices'!AG:AG, MATCH(E1220, '4-All Devices'!AF:AF, 0)),"")</f>
        <v/>
      </c>
      <c r="C1220" s="549" t="s">
        <v>11186</v>
      </c>
      <c r="D1220" s="549" t="s">
        <v>11187</v>
      </c>
      <c r="E1220" s="8"/>
      <c r="F1220" s="552" t="s">
        <v>11188</v>
      </c>
      <c r="G1220" s="8"/>
      <c r="H1220" s="8"/>
      <c r="I1220" s="8"/>
      <c r="J1220" s="547"/>
      <c r="K1220" s="8"/>
      <c r="L1220" s="8"/>
      <c r="M1220" s="8"/>
    </row>
    <row r="1221">
      <c r="A1221" s="542"/>
      <c r="B1221" s="551" t="str">
        <f t="array" ref="B1221">IF(LEN(E1221),INDEX('4-All Devices'!AG:AG, MATCH(E1221, '4-All Devices'!AF:AF, 0)),"")</f>
        <v/>
      </c>
      <c r="C1221" s="549" t="s">
        <v>11186</v>
      </c>
      <c r="D1221" s="549" t="s">
        <v>11187</v>
      </c>
      <c r="E1221" s="8"/>
      <c r="F1221" s="552" t="s">
        <v>11188</v>
      </c>
      <c r="G1221" s="8"/>
      <c r="H1221" s="8"/>
      <c r="I1221" s="8"/>
      <c r="J1221" s="547"/>
      <c r="K1221" s="8"/>
      <c r="L1221" s="8"/>
      <c r="M1221" s="8"/>
    </row>
    <row r="1222">
      <c r="A1222" s="542"/>
      <c r="B1222" s="551" t="str">
        <f t="array" ref="B1222">IF(LEN(E1222),INDEX('4-All Devices'!AG:AG, MATCH(E1222, '4-All Devices'!AF:AF, 0)),"")</f>
        <v/>
      </c>
      <c r="C1222" s="549" t="s">
        <v>11186</v>
      </c>
      <c r="D1222" s="549" t="s">
        <v>11187</v>
      </c>
      <c r="E1222" s="8"/>
      <c r="F1222" s="552" t="s">
        <v>11188</v>
      </c>
      <c r="G1222" s="8"/>
      <c r="H1222" s="8"/>
      <c r="I1222" s="8"/>
      <c r="J1222" s="547"/>
      <c r="K1222" s="8"/>
      <c r="L1222" s="8"/>
      <c r="M1222" s="8"/>
    </row>
    <row r="1223">
      <c r="A1223" s="542"/>
      <c r="B1223" s="551" t="str">
        <f t="array" ref="B1223">IF(LEN(E1223),INDEX('4-All Devices'!AG:AG, MATCH(E1223, '4-All Devices'!AF:AF, 0)),"")</f>
        <v/>
      </c>
      <c r="C1223" s="549" t="s">
        <v>11186</v>
      </c>
      <c r="D1223" s="549" t="s">
        <v>11187</v>
      </c>
      <c r="E1223" s="8"/>
      <c r="F1223" s="552" t="s">
        <v>11188</v>
      </c>
      <c r="G1223" s="8"/>
      <c r="H1223" s="8"/>
      <c r="I1223" s="8"/>
      <c r="J1223" s="547"/>
      <c r="K1223" s="8"/>
      <c r="L1223" s="8"/>
      <c r="M1223" s="8"/>
    </row>
    <row r="1224">
      <c r="A1224" s="542"/>
      <c r="B1224" s="551" t="str">
        <f t="array" ref="B1224">IF(LEN(E1224),INDEX('4-All Devices'!AG:AG, MATCH(E1224, '4-All Devices'!AF:AF, 0)),"")</f>
        <v/>
      </c>
      <c r="C1224" s="549" t="s">
        <v>11186</v>
      </c>
      <c r="D1224" s="549" t="s">
        <v>11187</v>
      </c>
      <c r="E1224" s="8"/>
      <c r="F1224" s="552" t="s">
        <v>11188</v>
      </c>
      <c r="G1224" s="8"/>
      <c r="H1224" s="8"/>
      <c r="I1224" s="8"/>
      <c r="J1224" s="547"/>
      <c r="K1224" s="8"/>
      <c r="L1224" s="8"/>
      <c r="M1224" s="8"/>
    </row>
    <row r="1225">
      <c r="A1225" s="542"/>
      <c r="B1225" s="551" t="str">
        <f t="array" ref="B1225">IF(LEN(E1225),INDEX('4-All Devices'!AG:AG, MATCH(E1225, '4-All Devices'!AF:AF, 0)),"")</f>
        <v/>
      </c>
      <c r="C1225" s="549" t="s">
        <v>11186</v>
      </c>
      <c r="D1225" s="549" t="s">
        <v>11187</v>
      </c>
      <c r="E1225" s="8"/>
      <c r="F1225" s="552" t="s">
        <v>11188</v>
      </c>
      <c r="G1225" s="8"/>
      <c r="H1225" s="8"/>
      <c r="I1225" s="8"/>
      <c r="J1225" s="547"/>
      <c r="K1225" s="8"/>
      <c r="L1225" s="8"/>
      <c r="M1225" s="8"/>
    </row>
    <row r="1226">
      <c r="A1226" s="542"/>
      <c r="B1226" s="551" t="str">
        <f t="array" ref="B1226">IF(LEN(E1226),INDEX('4-All Devices'!AG:AG, MATCH(E1226, '4-All Devices'!AF:AF, 0)),"")</f>
        <v/>
      </c>
      <c r="C1226" s="549" t="s">
        <v>11186</v>
      </c>
      <c r="D1226" s="549" t="s">
        <v>11187</v>
      </c>
      <c r="E1226" s="8"/>
      <c r="F1226" s="552" t="s">
        <v>11188</v>
      </c>
      <c r="G1226" s="8"/>
      <c r="H1226" s="8"/>
      <c r="I1226" s="8"/>
      <c r="J1226" s="547"/>
      <c r="K1226" s="8"/>
      <c r="L1226" s="8"/>
      <c r="M1226" s="8"/>
    </row>
    <row r="1227">
      <c r="A1227" s="542"/>
      <c r="B1227" s="551" t="str">
        <f t="array" ref="B1227">IF(LEN(E1227),INDEX('4-All Devices'!AG:AG, MATCH(E1227, '4-All Devices'!AF:AF, 0)),"")</f>
        <v/>
      </c>
      <c r="C1227" s="549" t="s">
        <v>11186</v>
      </c>
      <c r="D1227" s="549" t="s">
        <v>11187</v>
      </c>
      <c r="E1227" s="8"/>
      <c r="F1227" s="552" t="s">
        <v>11188</v>
      </c>
      <c r="G1227" s="8"/>
      <c r="H1227" s="8"/>
      <c r="I1227" s="8"/>
      <c r="J1227" s="547"/>
      <c r="K1227" s="8"/>
      <c r="L1227" s="8"/>
      <c r="M1227" s="8"/>
    </row>
    <row r="1228">
      <c r="A1228" s="542"/>
      <c r="B1228" s="551" t="str">
        <f t="array" ref="B1228">IF(LEN(E1228),INDEX('4-All Devices'!AG:AG, MATCH(E1228, '4-All Devices'!AF:AF, 0)),"")</f>
        <v/>
      </c>
      <c r="C1228" s="549" t="s">
        <v>11186</v>
      </c>
      <c r="D1228" s="549" t="s">
        <v>11187</v>
      </c>
      <c r="E1228" s="8"/>
      <c r="F1228" s="552" t="s">
        <v>11188</v>
      </c>
      <c r="G1228" s="8"/>
      <c r="H1228" s="8"/>
      <c r="I1228" s="8"/>
      <c r="J1228" s="547"/>
      <c r="K1228" s="8"/>
      <c r="L1228" s="8"/>
      <c r="M1228" s="8"/>
    </row>
    <row r="1229">
      <c r="A1229" s="542"/>
      <c r="B1229" s="551" t="str">
        <f t="array" ref="B1229">IF(LEN(E1229),INDEX('4-All Devices'!AG:AG, MATCH(E1229, '4-All Devices'!AF:AF, 0)),"")</f>
        <v/>
      </c>
      <c r="C1229" s="549" t="s">
        <v>11186</v>
      </c>
      <c r="D1229" s="549" t="s">
        <v>11187</v>
      </c>
      <c r="E1229" s="8"/>
      <c r="F1229" s="552" t="s">
        <v>11188</v>
      </c>
      <c r="G1229" s="8"/>
      <c r="H1229" s="8"/>
      <c r="I1229" s="8"/>
      <c r="J1229" s="547"/>
      <c r="K1229" s="8"/>
      <c r="L1229" s="8"/>
      <c r="M1229" s="8"/>
    </row>
    <row r="1230">
      <c r="A1230" s="542"/>
      <c r="B1230" s="551" t="str">
        <f t="array" ref="B1230">IF(LEN(E1230),INDEX('4-All Devices'!AG:AG, MATCH(E1230, '4-All Devices'!AF:AF, 0)),"")</f>
        <v/>
      </c>
      <c r="C1230" s="549" t="s">
        <v>11186</v>
      </c>
      <c r="D1230" s="549" t="s">
        <v>11187</v>
      </c>
      <c r="E1230" s="8"/>
      <c r="F1230" s="552" t="s">
        <v>11188</v>
      </c>
      <c r="G1230" s="8"/>
      <c r="H1230" s="8"/>
      <c r="I1230" s="8"/>
      <c r="J1230" s="547"/>
      <c r="K1230" s="8"/>
      <c r="L1230" s="8"/>
      <c r="M1230" s="8"/>
    </row>
    <row r="1231">
      <c r="A1231" s="542"/>
      <c r="B1231" s="551" t="str">
        <f t="array" ref="B1231">IF(LEN(E1231),INDEX('4-All Devices'!AG:AG, MATCH(E1231, '4-All Devices'!AF:AF, 0)),"")</f>
        <v/>
      </c>
      <c r="C1231" s="549" t="s">
        <v>11186</v>
      </c>
      <c r="D1231" s="549" t="s">
        <v>11187</v>
      </c>
      <c r="E1231" s="8"/>
      <c r="F1231" s="552" t="s">
        <v>11188</v>
      </c>
      <c r="G1231" s="8"/>
      <c r="H1231" s="8"/>
      <c r="I1231" s="8"/>
      <c r="J1231" s="547"/>
      <c r="K1231" s="8"/>
      <c r="L1231" s="8"/>
      <c r="M1231" s="8"/>
    </row>
    <row r="1232">
      <c r="A1232" s="542"/>
      <c r="B1232" s="551" t="str">
        <f t="array" ref="B1232">IF(LEN(E1232),INDEX('4-All Devices'!AG:AG, MATCH(E1232, '4-All Devices'!AF:AF, 0)),"")</f>
        <v/>
      </c>
      <c r="C1232" s="549" t="s">
        <v>11186</v>
      </c>
      <c r="D1232" s="549" t="s">
        <v>11187</v>
      </c>
      <c r="E1232" s="8"/>
      <c r="F1232" s="552" t="s">
        <v>11188</v>
      </c>
      <c r="G1232" s="8"/>
      <c r="H1232" s="8"/>
      <c r="I1232" s="8"/>
      <c r="J1232" s="547"/>
      <c r="K1232" s="8"/>
      <c r="L1232" s="8"/>
      <c r="M1232" s="8"/>
    </row>
    <row r="1233">
      <c r="A1233" s="542"/>
      <c r="B1233" s="551" t="str">
        <f t="array" ref="B1233">IF(LEN(E1233),INDEX('4-All Devices'!AG:AG, MATCH(E1233, '4-All Devices'!AF:AF, 0)),"")</f>
        <v/>
      </c>
      <c r="C1233" s="549" t="s">
        <v>11186</v>
      </c>
      <c r="D1233" s="549" t="s">
        <v>11187</v>
      </c>
      <c r="E1233" s="8"/>
      <c r="F1233" s="552" t="s">
        <v>11188</v>
      </c>
      <c r="G1233" s="8"/>
      <c r="H1233" s="8"/>
      <c r="I1233" s="8"/>
      <c r="J1233" s="547"/>
      <c r="K1233" s="8"/>
      <c r="L1233" s="8"/>
      <c r="M1233" s="8"/>
    </row>
    <row r="1234">
      <c r="A1234" s="542"/>
      <c r="B1234" s="551" t="str">
        <f t="array" ref="B1234">IF(LEN(E1234),INDEX('4-All Devices'!AG:AG, MATCH(E1234, '4-All Devices'!AF:AF, 0)),"")</f>
        <v/>
      </c>
      <c r="C1234" s="549" t="s">
        <v>11186</v>
      </c>
      <c r="D1234" s="549" t="s">
        <v>11187</v>
      </c>
      <c r="E1234" s="8"/>
      <c r="F1234" s="552" t="s">
        <v>11188</v>
      </c>
      <c r="G1234" s="8"/>
      <c r="H1234" s="8"/>
      <c r="I1234" s="8"/>
      <c r="J1234" s="547"/>
      <c r="K1234" s="8"/>
      <c r="L1234" s="8"/>
      <c r="M1234" s="8"/>
    </row>
    <row r="1235">
      <c r="A1235" s="542"/>
      <c r="B1235" s="551" t="str">
        <f t="array" ref="B1235">IF(LEN(E1235),INDEX('4-All Devices'!AG:AG, MATCH(E1235, '4-All Devices'!AF:AF, 0)),"")</f>
        <v/>
      </c>
      <c r="C1235" s="549" t="s">
        <v>11186</v>
      </c>
      <c r="D1235" s="549" t="s">
        <v>11187</v>
      </c>
      <c r="E1235" s="8"/>
      <c r="F1235" s="552" t="s">
        <v>11188</v>
      </c>
      <c r="G1235" s="8"/>
      <c r="H1235" s="8"/>
      <c r="I1235" s="8"/>
      <c r="J1235" s="547"/>
      <c r="K1235" s="8"/>
      <c r="L1235" s="8"/>
      <c r="M1235" s="8"/>
    </row>
    <row r="1236">
      <c r="A1236" s="542"/>
      <c r="B1236" s="551" t="str">
        <f t="array" ref="B1236">IF(LEN(E1236),INDEX('4-All Devices'!AG:AG, MATCH(E1236, '4-All Devices'!AF:AF, 0)),"")</f>
        <v/>
      </c>
      <c r="C1236" s="549" t="s">
        <v>11186</v>
      </c>
      <c r="D1236" s="549" t="s">
        <v>11187</v>
      </c>
      <c r="E1236" s="8"/>
      <c r="F1236" s="552" t="s">
        <v>11188</v>
      </c>
      <c r="G1236" s="8"/>
      <c r="H1236" s="8"/>
      <c r="I1236" s="8"/>
      <c r="J1236" s="547"/>
      <c r="K1236" s="8"/>
      <c r="L1236" s="8"/>
      <c r="M1236" s="8"/>
    </row>
    <row r="1237">
      <c r="A1237" s="542"/>
      <c r="B1237" s="551" t="str">
        <f t="array" ref="B1237">IF(LEN(E1237),INDEX('4-All Devices'!AG:AG, MATCH(E1237, '4-All Devices'!AF:AF, 0)),"")</f>
        <v/>
      </c>
      <c r="C1237" s="549" t="s">
        <v>11186</v>
      </c>
      <c r="D1237" s="549" t="s">
        <v>11187</v>
      </c>
      <c r="E1237" s="8"/>
      <c r="F1237" s="552" t="s">
        <v>11188</v>
      </c>
      <c r="G1237" s="8"/>
      <c r="H1237" s="8"/>
      <c r="I1237" s="8"/>
      <c r="J1237" s="547"/>
      <c r="K1237" s="8"/>
      <c r="L1237" s="8"/>
      <c r="M1237" s="8"/>
    </row>
    <row r="1238">
      <c r="A1238" s="542"/>
      <c r="B1238" s="551" t="str">
        <f t="array" ref="B1238">IF(LEN(E1238),INDEX('4-All Devices'!AG:AG, MATCH(E1238, '4-All Devices'!AF:AF, 0)),"")</f>
        <v/>
      </c>
      <c r="C1238" s="549" t="s">
        <v>11186</v>
      </c>
      <c r="D1238" s="549" t="s">
        <v>11187</v>
      </c>
      <c r="E1238" s="8"/>
      <c r="F1238" s="552" t="s">
        <v>11188</v>
      </c>
      <c r="G1238" s="8"/>
      <c r="H1238" s="8"/>
      <c r="I1238" s="8"/>
      <c r="J1238" s="547"/>
      <c r="K1238" s="8"/>
      <c r="L1238" s="8"/>
      <c r="M1238" s="8"/>
    </row>
    <row r="1239">
      <c r="A1239" s="542"/>
      <c r="B1239" s="551" t="str">
        <f t="array" ref="B1239">IF(LEN(E1239),INDEX('4-All Devices'!AG:AG, MATCH(E1239, '4-All Devices'!AF:AF, 0)),"")</f>
        <v/>
      </c>
      <c r="C1239" s="549" t="s">
        <v>11186</v>
      </c>
      <c r="D1239" s="549" t="s">
        <v>11187</v>
      </c>
      <c r="E1239" s="8"/>
      <c r="F1239" s="552" t="s">
        <v>11188</v>
      </c>
      <c r="G1239" s="8"/>
      <c r="H1239" s="8"/>
      <c r="I1239" s="8"/>
      <c r="J1239" s="547"/>
      <c r="K1239" s="8"/>
      <c r="L1239" s="8"/>
      <c r="M1239" s="8"/>
    </row>
    <row r="1240">
      <c r="A1240" s="542"/>
      <c r="B1240" s="551" t="str">
        <f t="array" ref="B1240">IF(LEN(E1240),INDEX('4-All Devices'!AG:AG, MATCH(E1240, '4-All Devices'!AF:AF, 0)),"")</f>
        <v/>
      </c>
      <c r="C1240" s="549" t="s">
        <v>11186</v>
      </c>
      <c r="D1240" s="549" t="s">
        <v>11187</v>
      </c>
      <c r="E1240" s="8"/>
      <c r="F1240" s="552" t="s">
        <v>11188</v>
      </c>
      <c r="G1240" s="8"/>
      <c r="H1240" s="8"/>
      <c r="I1240" s="8"/>
      <c r="J1240" s="547"/>
      <c r="K1240" s="8"/>
      <c r="L1240" s="8"/>
      <c r="M1240" s="8"/>
    </row>
    <row r="1241">
      <c r="A1241" s="542"/>
      <c r="B1241" s="551" t="str">
        <f t="array" ref="B1241">IF(LEN(E1241),INDEX('4-All Devices'!AG:AG, MATCH(E1241, '4-All Devices'!AF:AF, 0)),"")</f>
        <v/>
      </c>
      <c r="C1241" s="549" t="s">
        <v>11186</v>
      </c>
      <c r="D1241" s="549" t="s">
        <v>11187</v>
      </c>
      <c r="E1241" s="8"/>
      <c r="F1241" s="552" t="s">
        <v>11188</v>
      </c>
      <c r="G1241" s="8"/>
      <c r="H1241" s="8"/>
      <c r="I1241" s="8"/>
      <c r="J1241" s="547"/>
      <c r="K1241" s="8"/>
      <c r="L1241" s="8"/>
      <c r="M1241" s="8"/>
    </row>
    <row r="1242">
      <c r="A1242" s="542"/>
      <c r="B1242" s="551" t="str">
        <f t="array" ref="B1242">IF(LEN(E1242),INDEX('4-All Devices'!AG:AG, MATCH(E1242, '4-All Devices'!AF:AF, 0)),"")</f>
        <v/>
      </c>
      <c r="C1242" s="549" t="s">
        <v>11186</v>
      </c>
      <c r="D1242" s="549" t="s">
        <v>11187</v>
      </c>
      <c r="E1242" s="8"/>
      <c r="F1242" s="552" t="s">
        <v>11188</v>
      </c>
      <c r="G1242" s="8"/>
      <c r="H1242" s="8"/>
      <c r="I1242" s="8"/>
      <c r="J1242" s="547"/>
      <c r="K1242" s="8"/>
      <c r="L1242" s="8"/>
      <c r="M1242" s="8"/>
    </row>
    <row r="1243">
      <c r="A1243" s="542"/>
      <c r="B1243" s="551" t="str">
        <f t="array" ref="B1243">IF(LEN(E1243),INDEX('4-All Devices'!AG:AG, MATCH(E1243, '4-All Devices'!AF:AF, 0)),"")</f>
        <v/>
      </c>
      <c r="C1243" s="549" t="s">
        <v>11186</v>
      </c>
      <c r="D1243" s="549" t="s">
        <v>11187</v>
      </c>
      <c r="E1243" s="8"/>
      <c r="F1243" s="552" t="s">
        <v>11188</v>
      </c>
      <c r="G1243" s="8"/>
      <c r="H1243" s="8"/>
      <c r="I1243" s="8"/>
      <c r="J1243" s="547"/>
      <c r="K1243" s="8"/>
      <c r="L1243" s="8"/>
      <c r="M1243" s="8"/>
    </row>
    <row r="1244">
      <c r="A1244" s="542"/>
      <c r="B1244" s="551" t="str">
        <f t="array" ref="B1244">IF(LEN(E1244),INDEX('4-All Devices'!AG:AG, MATCH(E1244, '4-All Devices'!AF:AF, 0)),"")</f>
        <v/>
      </c>
      <c r="C1244" s="549" t="s">
        <v>11186</v>
      </c>
      <c r="D1244" s="549" t="s">
        <v>11187</v>
      </c>
      <c r="E1244" s="8"/>
      <c r="F1244" s="552" t="s">
        <v>11188</v>
      </c>
      <c r="G1244" s="8"/>
      <c r="H1244" s="8"/>
      <c r="I1244" s="8"/>
      <c r="J1244" s="547"/>
      <c r="K1244" s="8"/>
      <c r="L1244" s="8"/>
      <c r="M1244" s="8"/>
    </row>
    <row r="1245">
      <c r="A1245" s="542"/>
      <c r="B1245" s="551" t="str">
        <f t="array" ref="B1245">IF(LEN(E1245),INDEX('4-All Devices'!AG:AG, MATCH(E1245, '4-All Devices'!AF:AF, 0)),"")</f>
        <v/>
      </c>
      <c r="C1245" s="549" t="s">
        <v>11186</v>
      </c>
      <c r="D1245" s="549" t="s">
        <v>11187</v>
      </c>
      <c r="E1245" s="8"/>
      <c r="F1245" s="552" t="s">
        <v>11188</v>
      </c>
      <c r="G1245" s="8"/>
      <c r="H1245" s="8"/>
      <c r="I1245" s="8"/>
      <c r="J1245" s="547"/>
      <c r="K1245" s="8"/>
      <c r="L1245" s="8"/>
      <c r="M1245" s="8"/>
    </row>
    <row r="1246">
      <c r="A1246" s="542"/>
      <c r="B1246" s="551" t="str">
        <f t="array" ref="B1246">IF(LEN(E1246),INDEX('4-All Devices'!AG:AG, MATCH(E1246, '4-All Devices'!AF:AF, 0)),"")</f>
        <v/>
      </c>
      <c r="C1246" s="549" t="s">
        <v>11186</v>
      </c>
      <c r="D1246" s="549" t="s">
        <v>11187</v>
      </c>
      <c r="E1246" s="8"/>
      <c r="F1246" s="552" t="s">
        <v>11188</v>
      </c>
      <c r="G1246" s="8"/>
      <c r="H1246" s="8"/>
      <c r="I1246" s="8"/>
      <c r="J1246" s="547"/>
      <c r="K1246" s="8"/>
      <c r="L1246" s="8"/>
      <c r="M1246" s="8"/>
    </row>
    <row r="1247">
      <c r="A1247" s="542"/>
      <c r="B1247" s="551" t="str">
        <f t="array" ref="B1247">IF(LEN(E1247),INDEX('4-All Devices'!AG:AG, MATCH(E1247, '4-All Devices'!AF:AF, 0)),"")</f>
        <v/>
      </c>
      <c r="C1247" s="549" t="s">
        <v>11186</v>
      </c>
      <c r="D1247" s="549" t="s">
        <v>11187</v>
      </c>
      <c r="E1247" s="8"/>
      <c r="F1247" s="552" t="s">
        <v>11188</v>
      </c>
      <c r="G1247" s="8"/>
      <c r="H1247" s="8"/>
      <c r="I1247" s="8"/>
      <c r="J1247" s="547"/>
      <c r="K1247" s="8"/>
      <c r="L1247" s="8"/>
      <c r="M1247" s="8"/>
    </row>
    <row r="1248">
      <c r="A1248" s="542"/>
      <c r="B1248" s="551" t="str">
        <f t="array" ref="B1248">IF(LEN(E1248),INDEX('4-All Devices'!AG:AG, MATCH(E1248, '4-All Devices'!AF:AF, 0)),"")</f>
        <v/>
      </c>
      <c r="C1248" s="549" t="s">
        <v>11186</v>
      </c>
      <c r="D1248" s="549" t="s">
        <v>11187</v>
      </c>
      <c r="E1248" s="8"/>
      <c r="F1248" s="552" t="s">
        <v>11188</v>
      </c>
      <c r="G1248" s="8"/>
      <c r="H1248" s="8"/>
      <c r="I1248" s="8"/>
      <c r="J1248" s="547"/>
      <c r="K1248" s="8"/>
      <c r="L1248" s="8"/>
      <c r="M1248" s="8"/>
    </row>
    <row r="1249">
      <c r="A1249" s="542"/>
      <c r="B1249" s="551" t="str">
        <f t="array" ref="B1249">IF(LEN(E1249),INDEX('4-All Devices'!AG:AG, MATCH(E1249, '4-All Devices'!AF:AF, 0)),"")</f>
        <v/>
      </c>
      <c r="C1249" s="549" t="s">
        <v>11186</v>
      </c>
      <c r="D1249" s="549" t="s">
        <v>11187</v>
      </c>
      <c r="E1249" s="8"/>
      <c r="F1249" s="552" t="s">
        <v>11188</v>
      </c>
      <c r="G1249" s="8"/>
      <c r="H1249" s="8"/>
      <c r="I1249" s="8"/>
      <c r="J1249" s="547"/>
      <c r="K1249" s="8"/>
      <c r="L1249" s="8"/>
      <c r="M1249" s="8"/>
    </row>
    <row r="1250">
      <c r="A1250" s="542"/>
      <c r="B1250" s="551" t="str">
        <f t="array" ref="B1250">IF(LEN(E1250),INDEX('4-All Devices'!AG:AG, MATCH(E1250, '4-All Devices'!AF:AF, 0)),"")</f>
        <v/>
      </c>
      <c r="C1250" s="549" t="s">
        <v>11186</v>
      </c>
      <c r="D1250" s="549" t="s">
        <v>11187</v>
      </c>
      <c r="E1250" s="8"/>
      <c r="F1250" s="552" t="s">
        <v>11188</v>
      </c>
      <c r="G1250" s="8"/>
      <c r="H1250" s="8"/>
      <c r="I1250" s="8"/>
      <c r="J1250" s="547"/>
      <c r="K1250" s="8"/>
      <c r="L1250" s="8"/>
      <c r="M1250" s="8"/>
    </row>
    <row r="1251">
      <c r="A1251" s="542"/>
      <c r="B1251" s="551" t="str">
        <f t="array" ref="B1251">IF(LEN(E1251),INDEX('4-All Devices'!AG:AG, MATCH(E1251, '4-All Devices'!AF:AF, 0)),"")</f>
        <v/>
      </c>
      <c r="C1251" s="549" t="s">
        <v>11186</v>
      </c>
      <c r="D1251" s="549" t="s">
        <v>11187</v>
      </c>
      <c r="E1251" s="8"/>
      <c r="F1251" s="552" t="s">
        <v>11188</v>
      </c>
      <c r="G1251" s="8"/>
      <c r="H1251" s="8"/>
      <c r="I1251" s="8"/>
      <c r="J1251" s="547"/>
      <c r="K1251" s="8"/>
      <c r="L1251" s="8"/>
      <c r="M1251" s="8"/>
    </row>
    <row r="1252">
      <c r="A1252" s="542"/>
      <c r="B1252" s="551" t="str">
        <f t="array" ref="B1252">IF(LEN(E1252),INDEX('4-All Devices'!AG:AG, MATCH(E1252, '4-All Devices'!AF:AF, 0)),"")</f>
        <v/>
      </c>
      <c r="C1252" s="549" t="s">
        <v>11186</v>
      </c>
      <c r="D1252" s="549" t="s">
        <v>11187</v>
      </c>
      <c r="E1252" s="8"/>
      <c r="F1252" s="552" t="s">
        <v>11188</v>
      </c>
      <c r="G1252" s="8"/>
      <c r="H1252" s="8"/>
      <c r="I1252" s="8"/>
      <c r="J1252" s="547"/>
      <c r="K1252" s="8"/>
      <c r="L1252" s="8"/>
      <c r="M1252" s="8"/>
    </row>
    <row r="1253">
      <c r="A1253" s="542"/>
      <c r="B1253" s="551" t="str">
        <f t="array" ref="B1253">IF(LEN(E1253),INDEX('4-All Devices'!AG:AG, MATCH(E1253, '4-All Devices'!AF:AF, 0)),"")</f>
        <v/>
      </c>
      <c r="C1253" s="549" t="s">
        <v>11186</v>
      </c>
      <c r="D1253" s="549" t="s">
        <v>11187</v>
      </c>
      <c r="E1253" s="8"/>
      <c r="F1253" s="552" t="s">
        <v>11188</v>
      </c>
      <c r="G1253" s="8"/>
      <c r="H1253" s="8"/>
      <c r="I1253" s="8"/>
      <c r="J1253" s="547"/>
      <c r="K1253" s="8"/>
      <c r="L1253" s="8"/>
      <c r="M1253" s="8"/>
    </row>
    <row r="1254">
      <c r="A1254" s="542"/>
      <c r="B1254" s="551" t="str">
        <f t="array" ref="B1254">IF(LEN(E1254),INDEX('4-All Devices'!AG:AG, MATCH(E1254, '4-All Devices'!AF:AF, 0)),"")</f>
        <v/>
      </c>
      <c r="C1254" s="549" t="s">
        <v>11186</v>
      </c>
      <c r="D1254" s="549" t="s">
        <v>11187</v>
      </c>
      <c r="E1254" s="8"/>
      <c r="F1254" s="552" t="s">
        <v>11188</v>
      </c>
      <c r="G1254" s="8"/>
      <c r="H1254" s="8"/>
      <c r="I1254" s="8"/>
      <c r="J1254" s="547"/>
      <c r="K1254" s="8"/>
      <c r="L1254" s="8"/>
      <c r="M1254" s="8"/>
    </row>
    <row r="1255">
      <c r="A1255" s="542"/>
      <c r="B1255" s="551" t="str">
        <f t="array" ref="B1255">IF(LEN(E1255),INDEX('4-All Devices'!AG:AG, MATCH(E1255, '4-All Devices'!AF:AF, 0)),"")</f>
        <v/>
      </c>
      <c r="C1255" s="549" t="s">
        <v>11186</v>
      </c>
      <c r="D1255" s="549" t="s">
        <v>11187</v>
      </c>
      <c r="E1255" s="8"/>
      <c r="F1255" s="552" t="s">
        <v>11188</v>
      </c>
      <c r="G1255" s="8"/>
      <c r="H1255" s="8"/>
      <c r="I1255" s="8"/>
      <c r="J1255" s="547"/>
      <c r="K1255" s="8"/>
      <c r="L1255" s="8"/>
      <c r="M1255" s="8"/>
    </row>
    <row r="1256">
      <c r="A1256" s="542"/>
      <c r="B1256" s="551" t="str">
        <f t="array" ref="B1256">IF(LEN(E1256),INDEX('4-All Devices'!AG:AG, MATCH(E1256, '4-All Devices'!AF:AF, 0)),"")</f>
        <v/>
      </c>
      <c r="C1256" s="549" t="s">
        <v>11186</v>
      </c>
      <c r="D1256" s="549" t="s">
        <v>11187</v>
      </c>
      <c r="E1256" s="8"/>
      <c r="F1256" s="552" t="s">
        <v>11188</v>
      </c>
      <c r="G1256" s="8"/>
      <c r="H1256" s="8"/>
      <c r="I1256" s="8"/>
      <c r="J1256" s="547"/>
      <c r="K1256" s="8"/>
      <c r="L1256" s="8"/>
      <c r="M1256" s="8"/>
    </row>
    <row r="1257">
      <c r="A1257" s="542"/>
      <c r="B1257" s="551" t="str">
        <f t="array" ref="B1257">IF(LEN(E1257),INDEX('4-All Devices'!AG:AG, MATCH(E1257, '4-All Devices'!AF:AF, 0)),"")</f>
        <v/>
      </c>
      <c r="C1257" s="549" t="s">
        <v>11186</v>
      </c>
      <c r="D1257" s="549" t="s">
        <v>11187</v>
      </c>
      <c r="E1257" s="8"/>
      <c r="F1257" s="552" t="s">
        <v>11188</v>
      </c>
      <c r="G1257" s="8"/>
      <c r="H1257" s="8"/>
      <c r="I1257" s="8"/>
      <c r="J1257" s="547"/>
      <c r="K1257" s="8"/>
      <c r="L1257" s="8"/>
      <c r="M1257" s="8"/>
    </row>
    <row r="1258">
      <c r="A1258" s="542"/>
      <c r="B1258" s="551" t="str">
        <f t="array" ref="B1258">IF(LEN(E1258),INDEX('4-All Devices'!AG:AG, MATCH(E1258, '4-All Devices'!AF:AF, 0)),"")</f>
        <v/>
      </c>
      <c r="C1258" s="549" t="s">
        <v>11186</v>
      </c>
      <c r="D1258" s="549" t="s">
        <v>11187</v>
      </c>
      <c r="E1258" s="8"/>
      <c r="F1258" s="552" t="s">
        <v>11188</v>
      </c>
      <c r="G1258" s="8"/>
      <c r="H1258" s="8"/>
      <c r="I1258" s="8"/>
      <c r="J1258" s="547"/>
      <c r="K1258" s="8"/>
      <c r="L1258" s="8"/>
      <c r="M1258" s="8"/>
    </row>
    <row r="1259">
      <c r="A1259" s="542"/>
      <c r="B1259" s="551" t="str">
        <f t="array" ref="B1259">IF(LEN(E1259),INDEX('4-All Devices'!AG:AG, MATCH(E1259, '4-All Devices'!AF:AF, 0)),"")</f>
        <v/>
      </c>
      <c r="C1259" s="549" t="s">
        <v>11186</v>
      </c>
      <c r="D1259" s="549" t="s">
        <v>11187</v>
      </c>
      <c r="E1259" s="8"/>
      <c r="F1259" s="552" t="s">
        <v>11188</v>
      </c>
      <c r="G1259" s="8"/>
      <c r="H1259" s="8"/>
      <c r="I1259" s="8"/>
      <c r="J1259" s="547"/>
      <c r="K1259" s="8"/>
      <c r="L1259" s="8"/>
      <c r="M1259" s="8"/>
    </row>
    <row r="1260">
      <c r="A1260" s="542"/>
      <c r="B1260" s="551" t="str">
        <f t="array" ref="B1260">IF(LEN(E1260),INDEX('4-All Devices'!AG:AG, MATCH(E1260, '4-All Devices'!AF:AF, 0)),"")</f>
        <v/>
      </c>
      <c r="C1260" s="549" t="s">
        <v>11186</v>
      </c>
      <c r="D1260" s="549" t="s">
        <v>11187</v>
      </c>
      <c r="E1260" s="8"/>
      <c r="F1260" s="552" t="s">
        <v>11188</v>
      </c>
      <c r="G1260" s="8"/>
      <c r="H1260" s="8"/>
      <c r="I1260" s="8"/>
      <c r="J1260" s="547"/>
      <c r="K1260" s="8"/>
      <c r="L1260" s="8"/>
      <c r="M1260" s="8"/>
    </row>
    <row r="1261">
      <c r="A1261" s="542"/>
      <c r="B1261" s="551" t="str">
        <f t="array" ref="B1261">IF(LEN(E1261),INDEX('4-All Devices'!AG:AG, MATCH(E1261, '4-All Devices'!AF:AF, 0)),"")</f>
        <v/>
      </c>
      <c r="C1261" s="549" t="s">
        <v>11186</v>
      </c>
      <c r="D1261" s="549" t="s">
        <v>11187</v>
      </c>
      <c r="E1261" s="8"/>
      <c r="F1261" s="552" t="s">
        <v>11188</v>
      </c>
      <c r="G1261" s="8"/>
      <c r="H1261" s="8"/>
      <c r="I1261" s="8"/>
      <c r="J1261" s="547"/>
      <c r="K1261" s="8"/>
      <c r="L1261" s="8"/>
      <c r="M1261" s="8"/>
    </row>
    <row r="1262">
      <c r="A1262" s="542"/>
      <c r="B1262" s="551" t="str">
        <f t="array" ref="B1262">IF(LEN(E1262),INDEX('4-All Devices'!AG:AG, MATCH(E1262, '4-All Devices'!AF:AF, 0)),"")</f>
        <v/>
      </c>
      <c r="C1262" s="549" t="s">
        <v>11186</v>
      </c>
      <c r="D1262" s="549" t="s">
        <v>11187</v>
      </c>
      <c r="E1262" s="8"/>
      <c r="F1262" s="552" t="s">
        <v>11188</v>
      </c>
      <c r="G1262" s="8"/>
      <c r="H1262" s="8"/>
      <c r="I1262" s="8"/>
      <c r="J1262" s="547"/>
      <c r="K1262" s="8"/>
      <c r="L1262" s="8"/>
      <c r="M1262" s="8"/>
    </row>
    <row r="1263">
      <c r="A1263" s="542"/>
      <c r="B1263" s="551" t="str">
        <f t="array" ref="B1263">IF(LEN(E1263),INDEX('4-All Devices'!AG:AG, MATCH(E1263, '4-All Devices'!AF:AF, 0)),"")</f>
        <v/>
      </c>
      <c r="C1263" s="549" t="s">
        <v>11186</v>
      </c>
      <c r="D1263" s="549" t="s">
        <v>11187</v>
      </c>
      <c r="E1263" s="8"/>
      <c r="F1263" s="552" t="s">
        <v>11188</v>
      </c>
      <c r="G1263" s="8"/>
      <c r="H1263" s="8"/>
      <c r="I1263" s="8"/>
      <c r="J1263" s="547"/>
      <c r="K1263" s="8"/>
      <c r="L1263" s="8"/>
      <c r="M1263" s="8"/>
    </row>
    <row r="1264">
      <c r="A1264" s="542"/>
      <c r="B1264" s="551" t="str">
        <f t="array" ref="B1264">IF(LEN(E1264),INDEX('4-All Devices'!AG:AG, MATCH(E1264, '4-All Devices'!AF:AF, 0)),"")</f>
        <v/>
      </c>
      <c r="C1264" s="549" t="s">
        <v>11186</v>
      </c>
      <c r="D1264" s="549" t="s">
        <v>11187</v>
      </c>
      <c r="E1264" s="8"/>
      <c r="F1264" s="552" t="s">
        <v>11188</v>
      </c>
      <c r="G1264" s="8"/>
      <c r="H1264" s="8"/>
      <c r="I1264" s="8"/>
      <c r="J1264" s="547"/>
      <c r="K1264" s="8"/>
      <c r="L1264" s="8"/>
      <c r="M1264" s="8"/>
    </row>
    <row r="1265">
      <c r="A1265" s="542"/>
      <c r="B1265" s="551" t="str">
        <f t="array" ref="B1265">IF(LEN(E1265),INDEX('4-All Devices'!AG:AG, MATCH(E1265, '4-All Devices'!AF:AF, 0)),"")</f>
        <v/>
      </c>
      <c r="C1265" s="549" t="s">
        <v>11186</v>
      </c>
      <c r="D1265" s="549" t="s">
        <v>11187</v>
      </c>
      <c r="E1265" s="8"/>
      <c r="F1265" s="552" t="s">
        <v>11188</v>
      </c>
      <c r="G1265" s="8"/>
      <c r="H1265" s="8"/>
      <c r="I1265" s="8"/>
      <c r="J1265" s="547"/>
      <c r="K1265" s="8"/>
      <c r="L1265" s="8"/>
      <c r="M1265" s="8"/>
    </row>
    <row r="1266">
      <c r="A1266" s="542"/>
      <c r="B1266" s="551" t="str">
        <f t="array" ref="B1266">IF(LEN(E1266),INDEX('4-All Devices'!AG:AG, MATCH(E1266, '4-All Devices'!AF:AF, 0)),"")</f>
        <v/>
      </c>
      <c r="C1266" s="549" t="s">
        <v>11186</v>
      </c>
      <c r="D1266" s="549" t="s">
        <v>11187</v>
      </c>
      <c r="E1266" s="8"/>
      <c r="F1266" s="552" t="s">
        <v>11188</v>
      </c>
      <c r="G1266" s="8"/>
      <c r="H1266" s="8"/>
      <c r="I1266" s="8"/>
      <c r="J1266" s="547"/>
      <c r="K1266" s="8"/>
      <c r="L1266" s="8"/>
      <c r="M1266" s="8"/>
    </row>
    <row r="1267">
      <c r="A1267" s="542"/>
      <c r="B1267" s="551" t="str">
        <f t="array" ref="B1267">IF(LEN(E1267),INDEX('4-All Devices'!AG:AG, MATCH(E1267, '4-All Devices'!AF:AF, 0)),"")</f>
        <v/>
      </c>
      <c r="C1267" s="549" t="s">
        <v>11186</v>
      </c>
      <c r="D1267" s="549" t="s">
        <v>11187</v>
      </c>
      <c r="E1267" s="8"/>
      <c r="F1267" s="552" t="s">
        <v>11188</v>
      </c>
      <c r="G1267" s="8"/>
      <c r="H1267" s="8"/>
      <c r="I1267" s="8"/>
      <c r="J1267" s="547"/>
      <c r="K1267" s="8"/>
      <c r="L1267" s="8"/>
      <c r="M1267" s="8"/>
    </row>
    <row r="1268">
      <c r="A1268" s="542"/>
      <c r="B1268" s="551" t="str">
        <f t="array" ref="B1268">IF(LEN(E1268),INDEX('4-All Devices'!AG:AG, MATCH(E1268, '4-All Devices'!AF:AF, 0)),"")</f>
        <v/>
      </c>
      <c r="C1268" s="549" t="s">
        <v>11186</v>
      </c>
      <c r="D1268" s="549" t="s">
        <v>11187</v>
      </c>
      <c r="E1268" s="8"/>
      <c r="F1268" s="552" t="s">
        <v>11188</v>
      </c>
      <c r="G1268" s="8"/>
      <c r="H1268" s="8"/>
      <c r="I1268" s="8"/>
      <c r="J1268" s="547"/>
      <c r="K1268" s="8"/>
      <c r="L1268" s="8"/>
      <c r="M1268" s="8"/>
    </row>
    <row r="1269">
      <c r="A1269" s="542"/>
      <c r="B1269" s="551" t="str">
        <f t="array" ref="B1269">IF(LEN(E1269),INDEX('4-All Devices'!AG:AG, MATCH(E1269, '4-All Devices'!AF:AF, 0)),"")</f>
        <v/>
      </c>
      <c r="C1269" s="549" t="s">
        <v>11186</v>
      </c>
      <c r="D1269" s="549" t="s">
        <v>11187</v>
      </c>
      <c r="E1269" s="8"/>
      <c r="F1269" s="552" t="s">
        <v>11188</v>
      </c>
      <c r="G1269" s="8"/>
      <c r="H1269" s="8"/>
      <c r="I1269" s="8"/>
      <c r="J1269" s="547"/>
      <c r="K1269" s="8"/>
      <c r="L1269" s="8"/>
      <c r="M1269" s="8"/>
    </row>
    <row r="1270">
      <c r="A1270" s="542"/>
      <c r="B1270" s="551" t="str">
        <f t="array" ref="B1270">IF(LEN(E1270),INDEX('4-All Devices'!AG:AG, MATCH(E1270, '4-All Devices'!AF:AF, 0)),"")</f>
        <v/>
      </c>
      <c r="C1270" s="549" t="s">
        <v>11186</v>
      </c>
      <c r="D1270" s="549" t="s">
        <v>11187</v>
      </c>
      <c r="E1270" s="8"/>
      <c r="F1270" s="552" t="s">
        <v>11188</v>
      </c>
      <c r="G1270" s="8"/>
      <c r="H1270" s="8"/>
      <c r="I1270" s="8"/>
      <c r="J1270" s="547"/>
      <c r="K1270" s="8"/>
      <c r="L1270" s="8"/>
      <c r="M1270" s="8"/>
    </row>
    <row r="1271">
      <c r="A1271" s="542"/>
      <c r="B1271" s="551" t="str">
        <f t="array" ref="B1271">IF(LEN(E1271),INDEX('4-All Devices'!AG:AG, MATCH(E1271, '4-All Devices'!AF:AF, 0)),"")</f>
        <v/>
      </c>
      <c r="C1271" s="549" t="s">
        <v>11186</v>
      </c>
      <c r="D1271" s="549" t="s">
        <v>11187</v>
      </c>
      <c r="E1271" s="8"/>
      <c r="F1271" s="552" t="s">
        <v>11188</v>
      </c>
      <c r="G1271" s="8"/>
      <c r="H1271" s="8"/>
      <c r="I1271" s="8"/>
      <c r="J1271" s="547"/>
      <c r="K1271" s="8"/>
      <c r="L1271" s="8"/>
      <c r="M1271" s="8"/>
    </row>
    <row r="1272">
      <c r="A1272" s="542"/>
      <c r="B1272" s="551" t="str">
        <f t="array" ref="B1272">IF(LEN(E1272),INDEX('4-All Devices'!AG:AG, MATCH(E1272, '4-All Devices'!AF:AF, 0)),"")</f>
        <v/>
      </c>
      <c r="C1272" s="549" t="s">
        <v>11186</v>
      </c>
      <c r="D1272" s="549" t="s">
        <v>11187</v>
      </c>
      <c r="E1272" s="8"/>
      <c r="F1272" s="552" t="s">
        <v>11188</v>
      </c>
      <c r="G1272" s="8"/>
      <c r="H1272" s="8"/>
      <c r="I1272" s="8"/>
      <c r="J1272" s="547"/>
      <c r="K1272" s="8"/>
      <c r="L1272" s="8"/>
      <c r="M1272" s="8"/>
    </row>
    <row r="1273">
      <c r="A1273" s="542"/>
      <c r="B1273" s="551" t="str">
        <f t="array" ref="B1273">IF(LEN(E1273),INDEX('4-All Devices'!AG:AG, MATCH(E1273, '4-All Devices'!AF:AF, 0)),"")</f>
        <v/>
      </c>
      <c r="C1273" s="549" t="s">
        <v>11186</v>
      </c>
      <c r="D1273" s="549" t="s">
        <v>11187</v>
      </c>
      <c r="E1273" s="8"/>
      <c r="F1273" s="552" t="s">
        <v>11188</v>
      </c>
      <c r="G1273" s="8"/>
      <c r="H1273" s="8"/>
      <c r="I1273" s="8"/>
      <c r="J1273" s="547"/>
      <c r="K1273" s="8"/>
      <c r="L1273" s="8"/>
      <c r="M1273" s="8"/>
    </row>
    <row r="1274">
      <c r="A1274" s="542"/>
      <c r="B1274" s="551" t="str">
        <f t="array" ref="B1274">IF(LEN(E1274),INDEX('4-All Devices'!AG:AG, MATCH(E1274, '4-All Devices'!AF:AF, 0)),"")</f>
        <v/>
      </c>
      <c r="C1274" s="549" t="s">
        <v>11186</v>
      </c>
      <c r="D1274" s="549" t="s">
        <v>11187</v>
      </c>
      <c r="E1274" s="8"/>
      <c r="F1274" s="552" t="s">
        <v>11188</v>
      </c>
      <c r="G1274" s="8"/>
      <c r="H1274" s="8"/>
      <c r="I1274" s="8"/>
      <c r="J1274" s="547"/>
      <c r="K1274" s="8"/>
      <c r="L1274" s="8"/>
      <c r="M1274" s="8"/>
    </row>
    <row r="1275">
      <c r="A1275" s="542"/>
      <c r="B1275" s="551" t="str">
        <f t="array" ref="B1275">IF(LEN(E1275),INDEX('4-All Devices'!AG:AG, MATCH(E1275, '4-All Devices'!AF:AF, 0)),"")</f>
        <v/>
      </c>
      <c r="C1275" s="549" t="s">
        <v>11186</v>
      </c>
      <c r="D1275" s="549" t="s">
        <v>11187</v>
      </c>
      <c r="E1275" s="8"/>
      <c r="F1275" s="552" t="s">
        <v>11188</v>
      </c>
      <c r="G1275" s="8"/>
      <c r="H1275" s="8"/>
      <c r="I1275" s="8"/>
      <c r="J1275" s="547"/>
      <c r="K1275" s="8"/>
      <c r="L1275" s="8"/>
      <c r="M1275" s="8"/>
    </row>
    <row r="1276">
      <c r="A1276" s="542"/>
      <c r="B1276" s="551" t="str">
        <f t="array" ref="B1276">IF(LEN(E1276),INDEX('4-All Devices'!AG:AG, MATCH(E1276, '4-All Devices'!AF:AF, 0)),"")</f>
        <v/>
      </c>
      <c r="C1276" s="549" t="s">
        <v>11186</v>
      </c>
      <c r="D1276" s="549" t="s">
        <v>11187</v>
      </c>
      <c r="E1276" s="8"/>
      <c r="F1276" s="552" t="s">
        <v>11188</v>
      </c>
      <c r="G1276" s="8"/>
      <c r="H1276" s="8"/>
      <c r="I1276" s="8"/>
      <c r="J1276" s="547"/>
      <c r="K1276" s="8"/>
      <c r="L1276" s="8"/>
      <c r="M1276" s="8"/>
    </row>
    <row r="1277">
      <c r="A1277" s="542"/>
      <c r="B1277" s="551" t="str">
        <f t="array" ref="B1277">IF(LEN(E1277),INDEX('4-All Devices'!AG:AG, MATCH(E1277, '4-All Devices'!AF:AF, 0)),"")</f>
        <v/>
      </c>
      <c r="C1277" s="549" t="s">
        <v>11186</v>
      </c>
      <c r="D1277" s="549" t="s">
        <v>11187</v>
      </c>
      <c r="E1277" s="8"/>
      <c r="F1277" s="552" t="s">
        <v>11188</v>
      </c>
      <c r="G1277" s="8"/>
      <c r="H1277" s="8"/>
      <c r="I1277" s="8"/>
      <c r="J1277" s="547"/>
      <c r="K1277" s="8"/>
      <c r="L1277" s="8"/>
      <c r="M1277" s="8"/>
    </row>
    <row r="1278">
      <c r="A1278" s="542"/>
      <c r="B1278" s="551" t="str">
        <f t="array" ref="B1278">IF(LEN(E1278),INDEX('4-All Devices'!AG:AG, MATCH(E1278, '4-All Devices'!AF:AF, 0)),"")</f>
        <v/>
      </c>
      <c r="C1278" s="549" t="s">
        <v>11186</v>
      </c>
      <c r="D1278" s="549" t="s">
        <v>11187</v>
      </c>
      <c r="E1278" s="8"/>
      <c r="F1278" s="552" t="s">
        <v>11188</v>
      </c>
      <c r="G1278" s="8"/>
      <c r="H1278" s="8"/>
      <c r="I1278" s="8"/>
      <c r="J1278" s="547"/>
      <c r="K1278" s="8"/>
      <c r="L1278" s="8"/>
      <c r="M1278" s="8"/>
    </row>
    <row r="1279">
      <c r="A1279" s="542"/>
      <c r="B1279" s="551" t="str">
        <f t="array" ref="B1279">IF(LEN(E1279),INDEX('4-All Devices'!AG:AG, MATCH(E1279, '4-All Devices'!AF:AF, 0)),"")</f>
        <v/>
      </c>
      <c r="C1279" s="549" t="s">
        <v>11186</v>
      </c>
      <c r="D1279" s="549" t="s">
        <v>11187</v>
      </c>
      <c r="E1279" s="8"/>
      <c r="F1279" s="552" t="s">
        <v>11188</v>
      </c>
      <c r="G1279" s="8"/>
      <c r="H1279" s="8"/>
      <c r="I1279" s="8"/>
      <c r="J1279" s="547"/>
      <c r="K1279" s="8"/>
      <c r="L1279" s="8"/>
      <c r="M1279" s="8"/>
    </row>
    <row r="1280">
      <c r="A1280" s="542"/>
      <c r="B1280" s="551" t="str">
        <f t="array" ref="B1280">IF(LEN(E1280),INDEX('4-All Devices'!AG:AG, MATCH(E1280, '4-All Devices'!AF:AF, 0)),"")</f>
        <v/>
      </c>
      <c r="C1280" s="549" t="s">
        <v>11186</v>
      </c>
      <c r="D1280" s="549" t="s">
        <v>11187</v>
      </c>
      <c r="E1280" s="8"/>
      <c r="F1280" s="552" t="s">
        <v>11188</v>
      </c>
      <c r="G1280" s="8"/>
      <c r="H1280" s="8"/>
      <c r="I1280" s="8"/>
      <c r="J1280" s="547"/>
      <c r="K1280" s="8"/>
      <c r="L1280" s="8"/>
      <c r="M1280" s="8"/>
    </row>
    <row r="1281">
      <c r="A1281" s="542"/>
      <c r="B1281" s="551" t="str">
        <f t="array" ref="B1281">IF(LEN(E1281),INDEX('4-All Devices'!AG:AG, MATCH(E1281, '4-All Devices'!AF:AF, 0)),"")</f>
        <v/>
      </c>
      <c r="C1281" s="549" t="s">
        <v>11186</v>
      </c>
      <c r="D1281" s="549" t="s">
        <v>11187</v>
      </c>
      <c r="E1281" s="8"/>
      <c r="F1281" s="552" t="s">
        <v>11188</v>
      </c>
      <c r="G1281" s="8"/>
      <c r="H1281" s="8"/>
      <c r="I1281" s="8"/>
      <c r="J1281" s="547"/>
      <c r="K1281" s="8"/>
      <c r="L1281" s="8"/>
      <c r="M1281" s="8"/>
    </row>
    <row r="1282">
      <c r="A1282" s="542"/>
      <c r="B1282" s="551" t="str">
        <f t="array" ref="B1282">IF(LEN(E1282),INDEX('4-All Devices'!AG:AG, MATCH(E1282, '4-All Devices'!AF:AF, 0)),"")</f>
        <v/>
      </c>
      <c r="C1282" s="549" t="s">
        <v>11186</v>
      </c>
      <c r="D1282" s="549" t="s">
        <v>11187</v>
      </c>
      <c r="E1282" s="8"/>
      <c r="F1282" s="552" t="s">
        <v>11188</v>
      </c>
      <c r="G1282" s="8"/>
      <c r="H1282" s="8"/>
      <c r="I1282" s="8"/>
      <c r="J1282" s="547"/>
      <c r="K1282" s="8"/>
      <c r="L1282" s="8"/>
      <c r="M1282" s="8"/>
    </row>
    <row r="1283">
      <c r="A1283" s="542"/>
      <c r="B1283" s="551" t="str">
        <f t="array" ref="B1283">IF(LEN(E1283),INDEX('4-All Devices'!AG:AG, MATCH(E1283, '4-All Devices'!AF:AF, 0)),"")</f>
        <v/>
      </c>
      <c r="C1283" s="549" t="s">
        <v>11186</v>
      </c>
      <c r="D1283" s="549" t="s">
        <v>11187</v>
      </c>
      <c r="E1283" s="8"/>
      <c r="F1283" s="552" t="s">
        <v>11188</v>
      </c>
      <c r="G1283" s="8"/>
      <c r="H1283" s="8"/>
      <c r="I1283" s="8"/>
      <c r="J1283" s="547"/>
      <c r="K1283" s="8"/>
      <c r="L1283" s="8"/>
      <c r="M1283" s="8"/>
    </row>
    <row r="1284">
      <c r="A1284" s="542"/>
      <c r="B1284" s="551" t="str">
        <f t="array" ref="B1284">IF(LEN(E1284),INDEX('4-All Devices'!AG:AG, MATCH(E1284, '4-All Devices'!AF:AF, 0)),"")</f>
        <v/>
      </c>
      <c r="C1284" s="549" t="s">
        <v>11186</v>
      </c>
      <c r="D1284" s="549" t="s">
        <v>11187</v>
      </c>
      <c r="E1284" s="8"/>
      <c r="F1284" s="552" t="s">
        <v>11188</v>
      </c>
      <c r="G1284" s="8"/>
      <c r="H1284" s="8"/>
      <c r="I1284" s="8"/>
      <c r="J1284" s="547"/>
      <c r="K1284" s="8"/>
      <c r="L1284" s="8"/>
      <c r="M1284" s="8"/>
    </row>
    <row r="1285">
      <c r="A1285" s="542"/>
      <c r="B1285" s="551" t="str">
        <f t="array" ref="B1285">IF(LEN(E1285),INDEX('4-All Devices'!AG:AG, MATCH(E1285, '4-All Devices'!AF:AF, 0)),"")</f>
        <v/>
      </c>
      <c r="C1285" s="549" t="s">
        <v>11186</v>
      </c>
      <c r="D1285" s="549" t="s">
        <v>11187</v>
      </c>
      <c r="E1285" s="8"/>
      <c r="F1285" s="552" t="s">
        <v>11188</v>
      </c>
      <c r="G1285" s="8"/>
      <c r="H1285" s="8"/>
      <c r="I1285" s="8"/>
      <c r="J1285" s="547"/>
      <c r="K1285" s="8"/>
      <c r="L1285" s="8"/>
      <c r="M1285" s="8"/>
    </row>
    <row r="1286">
      <c r="A1286" s="542"/>
      <c r="B1286" s="551" t="str">
        <f t="array" ref="B1286">IF(LEN(E1286),INDEX('4-All Devices'!AG:AG, MATCH(E1286, '4-All Devices'!AF:AF, 0)),"")</f>
        <v/>
      </c>
      <c r="C1286" s="549" t="s">
        <v>11186</v>
      </c>
      <c r="D1286" s="549" t="s">
        <v>11187</v>
      </c>
      <c r="E1286" s="8"/>
      <c r="F1286" s="552" t="s">
        <v>11188</v>
      </c>
      <c r="G1286" s="8"/>
      <c r="H1286" s="8"/>
      <c r="I1286" s="8"/>
      <c r="J1286" s="547"/>
      <c r="K1286" s="8"/>
      <c r="L1286" s="8"/>
      <c r="M1286" s="8"/>
    </row>
    <row r="1287">
      <c r="A1287" s="542"/>
      <c r="B1287" s="551" t="str">
        <f t="array" ref="B1287">IF(LEN(E1287),INDEX('4-All Devices'!AG:AG, MATCH(E1287, '4-All Devices'!AF:AF, 0)),"")</f>
        <v/>
      </c>
      <c r="C1287" s="549" t="s">
        <v>11186</v>
      </c>
      <c r="D1287" s="549" t="s">
        <v>11187</v>
      </c>
      <c r="E1287" s="8"/>
      <c r="F1287" s="552" t="s">
        <v>11188</v>
      </c>
      <c r="G1287" s="8"/>
      <c r="H1287" s="8"/>
      <c r="I1287" s="8"/>
      <c r="J1287" s="547"/>
      <c r="K1287" s="8"/>
      <c r="L1287" s="8"/>
      <c r="M1287" s="8"/>
    </row>
    <row r="1288">
      <c r="A1288" s="542"/>
      <c r="B1288" s="551" t="str">
        <f t="array" ref="B1288">IF(LEN(E1288),INDEX('4-All Devices'!AG:AG, MATCH(E1288, '4-All Devices'!AF:AF, 0)),"")</f>
        <v/>
      </c>
      <c r="C1288" s="549" t="s">
        <v>11186</v>
      </c>
      <c r="D1288" s="549" t="s">
        <v>11187</v>
      </c>
      <c r="E1288" s="8"/>
      <c r="F1288" s="552" t="s">
        <v>11188</v>
      </c>
      <c r="G1288" s="8"/>
      <c r="H1288" s="8"/>
      <c r="I1288" s="8"/>
      <c r="J1288" s="547"/>
      <c r="K1288" s="8"/>
      <c r="L1288" s="8"/>
      <c r="M1288" s="8"/>
    </row>
    <row r="1289">
      <c r="A1289" s="542"/>
      <c r="B1289" s="551" t="str">
        <f t="array" ref="B1289">IF(LEN(E1289),INDEX('4-All Devices'!AG:AG, MATCH(E1289, '4-All Devices'!AF:AF, 0)),"")</f>
        <v/>
      </c>
      <c r="C1289" s="549" t="s">
        <v>11186</v>
      </c>
      <c r="D1289" s="549" t="s">
        <v>11187</v>
      </c>
      <c r="E1289" s="8"/>
      <c r="F1289" s="552" t="s">
        <v>11188</v>
      </c>
      <c r="G1289" s="8"/>
      <c r="H1289" s="8"/>
      <c r="I1289" s="8"/>
      <c r="J1289" s="547"/>
      <c r="K1289" s="8"/>
      <c r="L1289" s="8"/>
      <c r="M1289" s="8"/>
    </row>
    <row r="1290">
      <c r="A1290" s="542"/>
      <c r="B1290" s="551" t="str">
        <f t="array" ref="B1290">IF(LEN(E1290),INDEX('4-All Devices'!AG:AG, MATCH(E1290, '4-All Devices'!AF:AF, 0)),"")</f>
        <v/>
      </c>
      <c r="C1290" s="549" t="s">
        <v>11186</v>
      </c>
      <c r="D1290" s="549" t="s">
        <v>11187</v>
      </c>
      <c r="E1290" s="8"/>
      <c r="F1290" s="552" t="s">
        <v>11188</v>
      </c>
      <c r="G1290" s="8"/>
      <c r="H1290" s="8"/>
      <c r="I1290" s="8"/>
      <c r="J1290" s="547"/>
      <c r="K1290" s="8"/>
      <c r="L1290" s="8"/>
      <c r="M1290" s="8"/>
    </row>
    <row r="1291">
      <c r="A1291" s="542"/>
      <c r="B1291" s="551" t="str">
        <f t="array" ref="B1291">IF(LEN(E1291),INDEX('4-All Devices'!AG:AG, MATCH(E1291, '4-All Devices'!AF:AF, 0)),"")</f>
        <v/>
      </c>
      <c r="C1291" s="549" t="s">
        <v>11186</v>
      </c>
      <c r="D1291" s="549" t="s">
        <v>11187</v>
      </c>
      <c r="E1291" s="8"/>
      <c r="F1291" s="552" t="s">
        <v>11188</v>
      </c>
      <c r="G1291" s="8"/>
      <c r="H1291" s="8"/>
      <c r="I1291" s="8"/>
      <c r="J1291" s="547"/>
      <c r="K1291" s="8"/>
      <c r="L1291" s="8"/>
      <c r="M1291" s="8"/>
    </row>
    <row r="1292">
      <c r="A1292" s="542"/>
      <c r="B1292" s="551" t="str">
        <f t="array" ref="B1292">IF(LEN(E1292),INDEX('4-All Devices'!AG:AG, MATCH(E1292, '4-All Devices'!AF:AF, 0)),"")</f>
        <v/>
      </c>
      <c r="C1292" s="549" t="s">
        <v>11186</v>
      </c>
      <c r="D1292" s="549" t="s">
        <v>11187</v>
      </c>
      <c r="E1292" s="8"/>
      <c r="F1292" s="552" t="s">
        <v>11188</v>
      </c>
      <c r="G1292" s="8"/>
      <c r="H1292" s="8"/>
      <c r="I1292" s="8"/>
      <c r="J1292" s="547"/>
      <c r="K1292" s="8"/>
      <c r="L1292" s="8"/>
      <c r="M1292" s="8"/>
    </row>
    <row r="1293">
      <c r="A1293" s="542"/>
      <c r="B1293" s="551" t="str">
        <f t="array" ref="B1293">IF(LEN(E1293),INDEX('4-All Devices'!AG:AG, MATCH(E1293, '4-All Devices'!AF:AF, 0)),"")</f>
        <v/>
      </c>
      <c r="C1293" s="549" t="s">
        <v>11186</v>
      </c>
      <c r="D1293" s="549" t="s">
        <v>11187</v>
      </c>
      <c r="E1293" s="8"/>
      <c r="F1293" s="552" t="s">
        <v>11188</v>
      </c>
      <c r="G1293" s="8"/>
      <c r="H1293" s="8"/>
      <c r="I1293" s="8"/>
      <c r="J1293" s="547"/>
      <c r="K1293" s="8"/>
      <c r="L1293" s="8"/>
      <c r="M1293" s="8"/>
    </row>
    <row r="1294">
      <c r="A1294" s="542"/>
      <c r="B1294" s="551" t="str">
        <f t="array" ref="B1294">IF(LEN(E1294),INDEX('4-All Devices'!AG:AG, MATCH(E1294, '4-All Devices'!AF:AF, 0)),"")</f>
        <v/>
      </c>
      <c r="C1294" s="549" t="s">
        <v>11186</v>
      </c>
      <c r="D1294" s="549" t="s">
        <v>11187</v>
      </c>
      <c r="E1294" s="8"/>
      <c r="F1294" s="552" t="s">
        <v>11188</v>
      </c>
      <c r="G1294" s="8"/>
      <c r="H1294" s="8"/>
      <c r="I1294" s="8"/>
      <c r="J1294" s="547"/>
      <c r="K1294" s="8"/>
      <c r="L1294" s="8"/>
      <c r="M1294" s="8"/>
    </row>
    <row r="1295">
      <c r="A1295" s="542"/>
      <c r="B1295" s="551" t="str">
        <f t="array" ref="B1295">IF(LEN(E1295),INDEX('4-All Devices'!AG:AG, MATCH(E1295, '4-All Devices'!AF:AF, 0)),"")</f>
        <v/>
      </c>
      <c r="C1295" s="549" t="s">
        <v>11186</v>
      </c>
      <c r="D1295" s="549" t="s">
        <v>11187</v>
      </c>
      <c r="E1295" s="8"/>
      <c r="F1295" s="552" t="s">
        <v>11188</v>
      </c>
      <c r="G1295" s="8"/>
      <c r="H1295" s="8"/>
      <c r="I1295" s="8"/>
      <c r="J1295" s="547"/>
      <c r="K1295" s="8"/>
      <c r="L1295" s="8"/>
      <c r="M1295" s="8"/>
    </row>
    <row r="1296">
      <c r="A1296" s="542"/>
      <c r="B1296" s="551" t="str">
        <f t="array" ref="B1296">IF(LEN(E1296),INDEX('4-All Devices'!AG:AG, MATCH(E1296, '4-All Devices'!AF:AF, 0)),"")</f>
        <v/>
      </c>
      <c r="C1296" s="549" t="s">
        <v>11186</v>
      </c>
      <c r="D1296" s="549" t="s">
        <v>11187</v>
      </c>
      <c r="E1296" s="8"/>
      <c r="F1296" s="552" t="s">
        <v>11188</v>
      </c>
      <c r="G1296" s="8"/>
      <c r="H1296" s="8"/>
      <c r="I1296" s="8"/>
      <c r="J1296" s="547"/>
      <c r="K1296" s="8"/>
      <c r="L1296" s="8"/>
      <c r="M1296" s="8"/>
    </row>
    <row r="1297">
      <c r="A1297" s="542"/>
      <c r="B1297" s="551" t="str">
        <f t="array" ref="B1297">IF(LEN(E1297),INDEX('4-All Devices'!AG:AG, MATCH(E1297, '4-All Devices'!AF:AF, 0)),"")</f>
        <v/>
      </c>
      <c r="C1297" s="549" t="s">
        <v>11186</v>
      </c>
      <c r="D1297" s="549" t="s">
        <v>11187</v>
      </c>
      <c r="E1297" s="8"/>
      <c r="F1297" s="552" t="s">
        <v>11188</v>
      </c>
      <c r="G1297" s="8"/>
      <c r="H1297" s="8"/>
      <c r="I1297" s="8"/>
      <c r="J1297" s="547"/>
      <c r="K1297" s="8"/>
      <c r="L1297" s="8"/>
      <c r="M1297" s="8"/>
    </row>
    <row r="1298">
      <c r="A1298" s="542"/>
      <c r="B1298" s="551" t="str">
        <f t="array" ref="B1298">IF(LEN(E1298),INDEX('4-All Devices'!AG:AG, MATCH(E1298, '4-All Devices'!AF:AF, 0)),"")</f>
        <v/>
      </c>
      <c r="C1298" s="549" t="s">
        <v>11186</v>
      </c>
      <c r="D1298" s="549" t="s">
        <v>11187</v>
      </c>
      <c r="E1298" s="8"/>
      <c r="F1298" s="552" t="s">
        <v>11188</v>
      </c>
      <c r="G1298" s="8"/>
      <c r="H1298" s="8"/>
      <c r="I1298" s="8"/>
      <c r="J1298" s="547"/>
      <c r="K1298" s="8"/>
      <c r="L1298" s="8"/>
      <c r="M1298" s="8"/>
    </row>
    <row r="1299">
      <c r="A1299" s="542"/>
      <c r="B1299" s="551" t="str">
        <f t="array" ref="B1299">IF(LEN(E1299),INDEX('4-All Devices'!AG:AG, MATCH(E1299, '4-All Devices'!AF:AF, 0)),"")</f>
        <v/>
      </c>
      <c r="C1299" s="549" t="s">
        <v>11186</v>
      </c>
      <c r="D1299" s="549" t="s">
        <v>11187</v>
      </c>
      <c r="E1299" s="8"/>
      <c r="F1299" s="552" t="s">
        <v>11188</v>
      </c>
      <c r="G1299" s="8"/>
      <c r="H1299" s="8"/>
      <c r="I1299" s="8"/>
      <c r="J1299" s="547"/>
      <c r="K1299" s="8"/>
      <c r="L1299" s="8"/>
      <c r="M1299" s="8"/>
    </row>
    <row r="1300">
      <c r="A1300" s="542"/>
      <c r="B1300" s="551" t="str">
        <f t="array" ref="B1300">IF(LEN(E1300),INDEX('4-All Devices'!AG:AG, MATCH(E1300, '4-All Devices'!AF:AF, 0)),"")</f>
        <v/>
      </c>
      <c r="C1300" s="549" t="s">
        <v>11186</v>
      </c>
      <c r="D1300" s="549" t="s">
        <v>11187</v>
      </c>
      <c r="E1300" s="8"/>
      <c r="F1300" s="552" t="s">
        <v>11188</v>
      </c>
      <c r="G1300" s="8"/>
      <c r="H1300" s="8"/>
      <c r="I1300" s="8"/>
      <c r="J1300" s="547"/>
      <c r="K1300" s="8"/>
      <c r="L1300" s="8"/>
      <c r="M1300" s="8"/>
    </row>
    <row r="1301">
      <c r="A1301" s="542"/>
      <c r="B1301" s="551" t="str">
        <f t="array" ref="B1301">IF(LEN(E1301),INDEX('4-All Devices'!AG:AG, MATCH(E1301, '4-All Devices'!AF:AF, 0)),"")</f>
        <v/>
      </c>
      <c r="C1301" s="549" t="s">
        <v>11186</v>
      </c>
      <c r="D1301" s="549" t="s">
        <v>11187</v>
      </c>
      <c r="E1301" s="8"/>
      <c r="F1301" s="552" t="s">
        <v>11188</v>
      </c>
      <c r="G1301" s="8"/>
      <c r="H1301" s="8"/>
      <c r="I1301" s="8"/>
      <c r="J1301" s="547"/>
      <c r="K1301" s="8"/>
      <c r="L1301" s="8"/>
      <c r="M1301" s="8"/>
    </row>
    <row r="1302">
      <c r="A1302" s="542"/>
      <c r="B1302" s="551" t="str">
        <f t="array" ref="B1302">IF(LEN(E1302),INDEX('4-All Devices'!AG:AG, MATCH(E1302, '4-All Devices'!AF:AF, 0)),"")</f>
        <v/>
      </c>
      <c r="C1302" s="549" t="s">
        <v>11186</v>
      </c>
      <c r="D1302" s="549" t="s">
        <v>11187</v>
      </c>
      <c r="E1302" s="8"/>
      <c r="F1302" s="552" t="s">
        <v>11188</v>
      </c>
      <c r="G1302" s="8"/>
      <c r="H1302" s="8"/>
      <c r="I1302" s="8"/>
      <c r="J1302" s="547"/>
      <c r="K1302" s="8"/>
      <c r="L1302" s="8"/>
      <c r="M1302" s="8"/>
    </row>
    <row r="1303">
      <c r="A1303" s="542"/>
      <c r="B1303" s="551" t="str">
        <f t="array" ref="B1303">IF(LEN(E1303),INDEX('4-All Devices'!AG:AG, MATCH(E1303, '4-All Devices'!AF:AF, 0)),"")</f>
        <v/>
      </c>
      <c r="C1303" s="549" t="s">
        <v>11186</v>
      </c>
      <c r="D1303" s="549" t="s">
        <v>11187</v>
      </c>
      <c r="E1303" s="8"/>
      <c r="F1303" s="552" t="s">
        <v>11188</v>
      </c>
      <c r="G1303" s="8"/>
      <c r="H1303" s="8"/>
      <c r="I1303" s="8"/>
      <c r="J1303" s="547"/>
      <c r="K1303" s="8"/>
      <c r="L1303" s="8"/>
      <c r="M1303" s="8"/>
    </row>
    <row r="1304">
      <c r="A1304" s="542"/>
      <c r="B1304" s="551" t="str">
        <f t="array" ref="B1304">IF(LEN(E1304),INDEX('4-All Devices'!AG:AG, MATCH(E1304, '4-All Devices'!AF:AF, 0)),"")</f>
        <v/>
      </c>
      <c r="C1304" s="549" t="s">
        <v>11186</v>
      </c>
      <c r="D1304" s="549" t="s">
        <v>11187</v>
      </c>
      <c r="E1304" s="8"/>
      <c r="F1304" s="552" t="s">
        <v>11188</v>
      </c>
      <c r="G1304" s="8"/>
      <c r="H1304" s="8"/>
      <c r="I1304" s="8"/>
      <c r="J1304" s="547"/>
      <c r="K1304" s="8"/>
      <c r="L1304" s="8"/>
      <c r="M1304" s="8"/>
    </row>
    <row r="1305">
      <c r="A1305" s="542"/>
      <c r="B1305" s="551" t="str">
        <f t="array" ref="B1305">IF(LEN(E1305),INDEX('4-All Devices'!AG:AG, MATCH(E1305, '4-All Devices'!AF:AF, 0)),"")</f>
        <v/>
      </c>
      <c r="C1305" s="549" t="s">
        <v>11186</v>
      </c>
      <c r="D1305" s="549" t="s">
        <v>11187</v>
      </c>
      <c r="E1305" s="8"/>
      <c r="F1305" s="552" t="s">
        <v>11188</v>
      </c>
      <c r="G1305" s="8"/>
      <c r="H1305" s="8"/>
      <c r="I1305" s="8"/>
      <c r="J1305" s="547"/>
      <c r="K1305" s="8"/>
      <c r="L1305" s="8"/>
      <c r="M1305" s="8"/>
    </row>
    <row r="1306">
      <c r="A1306" s="542"/>
      <c r="B1306" s="551" t="str">
        <f t="array" ref="B1306">IF(LEN(E1306),INDEX('4-All Devices'!AG:AG, MATCH(E1306, '4-All Devices'!AF:AF, 0)),"")</f>
        <v/>
      </c>
      <c r="C1306" s="549" t="s">
        <v>11186</v>
      </c>
      <c r="D1306" s="549" t="s">
        <v>11187</v>
      </c>
      <c r="E1306" s="8"/>
      <c r="F1306" s="552" t="s">
        <v>11188</v>
      </c>
      <c r="G1306" s="8"/>
      <c r="H1306" s="8"/>
      <c r="I1306" s="8"/>
      <c r="J1306" s="547"/>
      <c r="K1306" s="8"/>
      <c r="L1306" s="8"/>
      <c r="M1306" s="8"/>
    </row>
    <row r="1307">
      <c r="A1307" s="542"/>
      <c r="B1307" s="551" t="str">
        <f t="array" ref="B1307">IF(LEN(E1307),INDEX('4-All Devices'!AG:AG, MATCH(E1307, '4-All Devices'!AF:AF, 0)),"")</f>
        <v/>
      </c>
      <c r="C1307" s="549" t="s">
        <v>11186</v>
      </c>
      <c r="D1307" s="549" t="s">
        <v>11187</v>
      </c>
      <c r="E1307" s="8"/>
      <c r="F1307" s="552" t="s">
        <v>11188</v>
      </c>
      <c r="G1307" s="8"/>
      <c r="H1307" s="8"/>
      <c r="I1307" s="8"/>
      <c r="J1307" s="547"/>
      <c r="K1307" s="8"/>
      <c r="L1307" s="8"/>
      <c r="M1307" s="8"/>
    </row>
    <row r="1308">
      <c r="A1308" s="542"/>
      <c r="B1308" s="551" t="str">
        <f t="array" ref="B1308">IF(LEN(E1308),INDEX('4-All Devices'!AG:AG, MATCH(E1308, '4-All Devices'!AF:AF, 0)),"")</f>
        <v/>
      </c>
      <c r="C1308" s="549" t="s">
        <v>11186</v>
      </c>
      <c r="D1308" s="549" t="s">
        <v>11187</v>
      </c>
      <c r="E1308" s="8"/>
      <c r="F1308" s="552" t="s">
        <v>11188</v>
      </c>
      <c r="G1308" s="8"/>
      <c r="H1308" s="8"/>
      <c r="I1308" s="8"/>
      <c r="J1308" s="547"/>
      <c r="K1308" s="8"/>
      <c r="L1308" s="8"/>
      <c r="M1308" s="8"/>
    </row>
    <row r="1309">
      <c r="A1309" s="542"/>
      <c r="B1309" s="551" t="str">
        <f t="array" ref="B1309">IF(LEN(E1309),INDEX('4-All Devices'!AG:AG, MATCH(E1309, '4-All Devices'!AF:AF, 0)),"")</f>
        <v/>
      </c>
      <c r="C1309" s="549" t="s">
        <v>11186</v>
      </c>
      <c r="D1309" s="549" t="s">
        <v>11187</v>
      </c>
      <c r="E1309" s="8"/>
      <c r="F1309" s="552" t="s">
        <v>11188</v>
      </c>
      <c r="G1309" s="8"/>
      <c r="H1309" s="8"/>
      <c r="I1309" s="8"/>
      <c r="J1309" s="547"/>
      <c r="K1309" s="8"/>
      <c r="L1309" s="8"/>
      <c r="M1309" s="8"/>
    </row>
    <row r="1310">
      <c r="A1310" s="542"/>
      <c r="B1310" s="551" t="str">
        <f t="array" ref="B1310">IF(LEN(E1310),INDEX('4-All Devices'!AG:AG, MATCH(E1310, '4-All Devices'!AF:AF, 0)),"")</f>
        <v/>
      </c>
      <c r="C1310" s="549" t="s">
        <v>11186</v>
      </c>
      <c r="D1310" s="549" t="s">
        <v>11187</v>
      </c>
      <c r="E1310" s="8"/>
      <c r="F1310" s="552" t="s">
        <v>11188</v>
      </c>
      <c r="G1310" s="8"/>
      <c r="H1310" s="8"/>
      <c r="I1310" s="8"/>
      <c r="J1310" s="547"/>
      <c r="K1310" s="8"/>
      <c r="L1310" s="8"/>
      <c r="M1310" s="8"/>
    </row>
    <row r="1311">
      <c r="A1311" s="542"/>
      <c r="B1311" s="551" t="str">
        <f t="array" ref="B1311">IF(LEN(E1311),INDEX('4-All Devices'!AG:AG, MATCH(E1311, '4-All Devices'!AF:AF, 0)),"")</f>
        <v/>
      </c>
      <c r="C1311" s="549" t="s">
        <v>11186</v>
      </c>
      <c r="D1311" s="549" t="s">
        <v>11187</v>
      </c>
      <c r="E1311" s="8"/>
      <c r="F1311" s="552" t="s">
        <v>11188</v>
      </c>
      <c r="G1311" s="8"/>
      <c r="H1311" s="8"/>
      <c r="I1311" s="8"/>
      <c r="J1311" s="547"/>
      <c r="K1311" s="8"/>
      <c r="L1311" s="8"/>
      <c r="M1311" s="8"/>
    </row>
    <row r="1312">
      <c r="A1312" s="542"/>
      <c r="B1312" s="551" t="str">
        <f t="array" ref="B1312">IF(LEN(E1312),INDEX('4-All Devices'!AG:AG, MATCH(E1312, '4-All Devices'!AF:AF, 0)),"")</f>
        <v/>
      </c>
      <c r="C1312" s="549" t="s">
        <v>11186</v>
      </c>
      <c r="D1312" s="549" t="s">
        <v>11187</v>
      </c>
      <c r="E1312" s="8"/>
      <c r="F1312" s="552" t="s">
        <v>11188</v>
      </c>
      <c r="G1312" s="8"/>
      <c r="H1312" s="8"/>
      <c r="I1312" s="8"/>
      <c r="J1312" s="547"/>
      <c r="K1312" s="8"/>
      <c r="L1312" s="8"/>
      <c r="M1312" s="8"/>
    </row>
    <row r="1313">
      <c r="A1313" s="542"/>
      <c r="B1313" s="551" t="str">
        <f t="array" ref="B1313">IF(LEN(E1313),INDEX('4-All Devices'!AG:AG, MATCH(E1313, '4-All Devices'!AF:AF, 0)),"")</f>
        <v/>
      </c>
      <c r="C1313" s="549" t="s">
        <v>11186</v>
      </c>
      <c r="D1313" s="549" t="s">
        <v>11187</v>
      </c>
      <c r="E1313" s="8"/>
      <c r="F1313" s="552" t="s">
        <v>11188</v>
      </c>
      <c r="G1313" s="8"/>
      <c r="H1313" s="8"/>
      <c r="I1313" s="8"/>
      <c r="J1313" s="547"/>
      <c r="K1313" s="8"/>
      <c r="L1313" s="8"/>
      <c r="M1313" s="8"/>
    </row>
    <row r="1314">
      <c r="A1314" s="542"/>
      <c r="B1314" s="551" t="str">
        <f t="array" ref="B1314">IF(LEN(E1314),INDEX('4-All Devices'!AG:AG, MATCH(E1314, '4-All Devices'!AF:AF, 0)),"")</f>
        <v/>
      </c>
      <c r="C1314" s="549" t="s">
        <v>11186</v>
      </c>
      <c r="D1314" s="549" t="s">
        <v>11187</v>
      </c>
      <c r="E1314" s="8"/>
      <c r="F1314" s="552" t="s">
        <v>11188</v>
      </c>
      <c r="G1314" s="8"/>
      <c r="H1314" s="8"/>
      <c r="I1314" s="8"/>
      <c r="J1314" s="547"/>
      <c r="K1314" s="8"/>
      <c r="L1314" s="8"/>
      <c r="M1314" s="8"/>
    </row>
    <row r="1315">
      <c r="A1315" s="542"/>
      <c r="B1315" s="551" t="str">
        <f t="array" ref="B1315">IF(LEN(E1315),INDEX('4-All Devices'!AG:AG, MATCH(E1315, '4-All Devices'!AF:AF, 0)),"")</f>
        <v/>
      </c>
      <c r="C1315" s="549" t="s">
        <v>11186</v>
      </c>
      <c r="D1315" s="549" t="s">
        <v>11187</v>
      </c>
      <c r="E1315" s="8"/>
      <c r="F1315" s="552" t="s">
        <v>11188</v>
      </c>
      <c r="G1315" s="8"/>
      <c r="H1315" s="8"/>
      <c r="I1315" s="8"/>
      <c r="J1315" s="547"/>
      <c r="K1315" s="8"/>
      <c r="L1315" s="8"/>
      <c r="M1315" s="8"/>
    </row>
    <row r="1316">
      <c r="A1316" s="542"/>
      <c r="B1316" s="551" t="str">
        <f t="array" ref="B1316">IF(LEN(E1316),INDEX('4-All Devices'!AG:AG, MATCH(E1316, '4-All Devices'!AF:AF, 0)),"")</f>
        <v/>
      </c>
      <c r="C1316" s="549" t="s">
        <v>11186</v>
      </c>
      <c r="D1316" s="549" t="s">
        <v>11187</v>
      </c>
      <c r="E1316" s="8"/>
      <c r="F1316" s="552" t="s">
        <v>11188</v>
      </c>
      <c r="G1316" s="8"/>
      <c r="H1316" s="8"/>
      <c r="I1316" s="8"/>
      <c r="J1316" s="547"/>
      <c r="K1316" s="8"/>
      <c r="L1316" s="8"/>
      <c r="M1316" s="8"/>
    </row>
    <row r="1317">
      <c r="A1317" s="542"/>
      <c r="B1317" s="551" t="str">
        <f t="array" ref="B1317">IF(LEN(E1317),INDEX('4-All Devices'!AG:AG, MATCH(E1317, '4-All Devices'!AF:AF, 0)),"")</f>
        <v/>
      </c>
      <c r="C1317" s="549" t="s">
        <v>11186</v>
      </c>
      <c r="D1317" s="549" t="s">
        <v>11187</v>
      </c>
      <c r="E1317" s="8"/>
      <c r="F1317" s="552" t="s">
        <v>11188</v>
      </c>
      <c r="G1317" s="8"/>
      <c r="H1317" s="8"/>
      <c r="I1317" s="8"/>
      <c r="J1317" s="547"/>
      <c r="K1317" s="8"/>
      <c r="L1317" s="8"/>
      <c r="M1317" s="8"/>
    </row>
    <row r="1318">
      <c r="A1318" s="542"/>
      <c r="B1318" s="551" t="str">
        <f t="array" ref="B1318">IF(LEN(E1318),INDEX('4-All Devices'!AG:AG, MATCH(E1318, '4-All Devices'!AF:AF, 0)),"")</f>
        <v/>
      </c>
      <c r="C1318" s="549" t="s">
        <v>11186</v>
      </c>
      <c r="D1318" s="549" t="s">
        <v>11187</v>
      </c>
      <c r="E1318" s="8"/>
      <c r="F1318" s="552" t="s">
        <v>11188</v>
      </c>
      <c r="G1318" s="8"/>
      <c r="H1318" s="8"/>
      <c r="I1318" s="8"/>
      <c r="J1318" s="547"/>
      <c r="K1318" s="8"/>
      <c r="L1318" s="8"/>
      <c r="M1318" s="8"/>
    </row>
    <row r="1319">
      <c r="A1319" s="542"/>
      <c r="B1319" s="551" t="str">
        <f t="array" ref="B1319">IF(LEN(E1319),INDEX('4-All Devices'!AG:AG, MATCH(E1319, '4-All Devices'!AF:AF, 0)),"")</f>
        <v/>
      </c>
      <c r="C1319" s="549" t="s">
        <v>11186</v>
      </c>
      <c r="D1319" s="549" t="s">
        <v>11187</v>
      </c>
      <c r="E1319" s="8"/>
      <c r="F1319" s="552" t="s">
        <v>11188</v>
      </c>
      <c r="G1319" s="8"/>
      <c r="H1319" s="8"/>
      <c r="I1319" s="8"/>
      <c r="J1319" s="547"/>
      <c r="K1319" s="8"/>
      <c r="L1319" s="8"/>
      <c r="M1319" s="8"/>
    </row>
    <row r="1320">
      <c r="A1320" s="542"/>
      <c r="B1320" s="551" t="str">
        <f t="array" ref="B1320">IF(LEN(E1320),INDEX('4-All Devices'!AG:AG, MATCH(E1320, '4-All Devices'!AF:AF, 0)),"")</f>
        <v/>
      </c>
      <c r="C1320" s="549" t="s">
        <v>11186</v>
      </c>
      <c r="D1320" s="549" t="s">
        <v>11187</v>
      </c>
      <c r="E1320" s="8"/>
      <c r="F1320" s="552" t="s">
        <v>11188</v>
      </c>
      <c r="G1320" s="8"/>
      <c r="H1320" s="8"/>
      <c r="I1320" s="8"/>
      <c r="J1320" s="547"/>
      <c r="K1320" s="8"/>
      <c r="L1320" s="8"/>
      <c r="M1320" s="8"/>
    </row>
    <row r="1321">
      <c r="A1321" s="542"/>
      <c r="B1321" s="551" t="str">
        <f t="array" ref="B1321">IF(LEN(E1321),INDEX('4-All Devices'!AG:AG, MATCH(E1321, '4-All Devices'!AF:AF, 0)),"")</f>
        <v/>
      </c>
      <c r="C1321" s="549" t="s">
        <v>11186</v>
      </c>
      <c r="D1321" s="549" t="s">
        <v>11187</v>
      </c>
      <c r="E1321" s="8"/>
      <c r="F1321" s="552" t="s">
        <v>11188</v>
      </c>
      <c r="G1321" s="8"/>
      <c r="H1321" s="8"/>
      <c r="I1321" s="8"/>
      <c r="J1321" s="547"/>
      <c r="K1321" s="8"/>
      <c r="L1321" s="8"/>
      <c r="M1321" s="8"/>
    </row>
    <row r="1322">
      <c r="A1322" s="542"/>
      <c r="B1322" s="551" t="str">
        <f t="array" ref="B1322">IF(LEN(E1322),INDEX('4-All Devices'!AG:AG, MATCH(E1322, '4-All Devices'!AF:AF, 0)),"")</f>
        <v/>
      </c>
      <c r="C1322" s="549" t="s">
        <v>11186</v>
      </c>
      <c r="D1322" s="549" t="s">
        <v>11187</v>
      </c>
      <c r="E1322" s="8"/>
      <c r="F1322" s="552" t="s">
        <v>11188</v>
      </c>
      <c r="G1322" s="8"/>
      <c r="H1322" s="8"/>
      <c r="I1322" s="8"/>
      <c r="J1322" s="547"/>
      <c r="K1322" s="8"/>
      <c r="L1322" s="8"/>
      <c r="M1322" s="8"/>
    </row>
    <row r="1323">
      <c r="A1323" s="542"/>
      <c r="B1323" s="551" t="str">
        <f t="array" ref="B1323">IF(LEN(E1323),INDEX('4-All Devices'!AG:AG, MATCH(E1323, '4-All Devices'!AF:AF, 0)),"")</f>
        <v/>
      </c>
      <c r="C1323" s="549" t="s">
        <v>11186</v>
      </c>
      <c r="D1323" s="549" t="s">
        <v>11187</v>
      </c>
      <c r="E1323" s="8"/>
      <c r="F1323" s="552" t="s">
        <v>11188</v>
      </c>
      <c r="G1323" s="8"/>
      <c r="H1323" s="8"/>
      <c r="I1323" s="8"/>
      <c r="J1323" s="547"/>
      <c r="K1323" s="8"/>
      <c r="L1323" s="8"/>
      <c r="M1323" s="8"/>
    </row>
    <row r="1324">
      <c r="A1324" s="542"/>
      <c r="B1324" s="551" t="str">
        <f t="array" ref="B1324">IF(LEN(E1324),INDEX('4-All Devices'!AG:AG, MATCH(E1324, '4-All Devices'!AF:AF, 0)),"")</f>
        <v/>
      </c>
      <c r="C1324" s="549" t="s">
        <v>11186</v>
      </c>
      <c r="D1324" s="549" t="s">
        <v>11187</v>
      </c>
      <c r="E1324" s="8"/>
      <c r="F1324" s="552" t="s">
        <v>11188</v>
      </c>
      <c r="G1324" s="8"/>
      <c r="H1324" s="8"/>
      <c r="I1324" s="8"/>
      <c r="J1324" s="547"/>
      <c r="K1324" s="8"/>
      <c r="L1324" s="8"/>
      <c r="M1324" s="8"/>
    </row>
    <row r="1325">
      <c r="A1325" s="542"/>
      <c r="B1325" s="551" t="str">
        <f t="array" ref="B1325">IF(LEN(E1325),INDEX('4-All Devices'!AG:AG, MATCH(E1325, '4-All Devices'!AF:AF, 0)),"")</f>
        <v/>
      </c>
      <c r="C1325" s="549" t="s">
        <v>11186</v>
      </c>
      <c r="D1325" s="549" t="s">
        <v>11187</v>
      </c>
      <c r="E1325" s="8"/>
      <c r="F1325" s="552" t="s">
        <v>11188</v>
      </c>
      <c r="G1325" s="8"/>
      <c r="H1325" s="8"/>
      <c r="I1325" s="8"/>
      <c r="J1325" s="547"/>
      <c r="K1325" s="8"/>
      <c r="L1325" s="8"/>
      <c r="M1325" s="8"/>
    </row>
    <row r="1326">
      <c r="A1326" s="542"/>
      <c r="B1326" s="551" t="str">
        <f t="array" ref="B1326">IF(LEN(E1326),INDEX('4-All Devices'!AG:AG, MATCH(E1326, '4-All Devices'!AF:AF, 0)),"")</f>
        <v/>
      </c>
      <c r="C1326" s="549" t="s">
        <v>11186</v>
      </c>
      <c r="D1326" s="549" t="s">
        <v>11187</v>
      </c>
      <c r="E1326" s="8"/>
      <c r="F1326" s="552" t="s">
        <v>11188</v>
      </c>
      <c r="G1326" s="8"/>
      <c r="H1326" s="8"/>
      <c r="I1326" s="8"/>
      <c r="J1326" s="547"/>
      <c r="K1326" s="8"/>
      <c r="L1326" s="8"/>
      <c r="M1326" s="8"/>
    </row>
    <row r="1327">
      <c r="A1327" s="542"/>
      <c r="B1327" s="551" t="str">
        <f t="array" ref="B1327">IF(LEN(E1327),INDEX('4-All Devices'!AG:AG, MATCH(E1327, '4-All Devices'!AF:AF, 0)),"")</f>
        <v/>
      </c>
      <c r="C1327" s="549" t="s">
        <v>11186</v>
      </c>
      <c r="D1327" s="549" t="s">
        <v>11187</v>
      </c>
      <c r="E1327" s="8"/>
      <c r="F1327" s="552" t="s">
        <v>11188</v>
      </c>
      <c r="G1327" s="8"/>
      <c r="H1327" s="8"/>
      <c r="I1327" s="8"/>
      <c r="J1327" s="547"/>
      <c r="K1327" s="8"/>
      <c r="L1327" s="8"/>
      <c r="M1327" s="8"/>
    </row>
    <row r="1328">
      <c r="A1328" s="542"/>
      <c r="B1328" s="551" t="str">
        <f t="array" ref="B1328">IF(LEN(E1328),INDEX('4-All Devices'!AG:AG, MATCH(E1328, '4-All Devices'!AF:AF, 0)),"")</f>
        <v/>
      </c>
      <c r="C1328" s="549" t="s">
        <v>11186</v>
      </c>
      <c r="D1328" s="549" t="s">
        <v>11187</v>
      </c>
      <c r="E1328" s="8"/>
      <c r="F1328" s="552" t="s">
        <v>11188</v>
      </c>
      <c r="G1328" s="8"/>
      <c r="H1328" s="8"/>
      <c r="I1328" s="8"/>
      <c r="J1328" s="547"/>
      <c r="K1328" s="8"/>
      <c r="L1328" s="8"/>
      <c r="M1328" s="8"/>
    </row>
    <row r="1329">
      <c r="A1329" s="542"/>
      <c r="B1329" s="551" t="str">
        <f t="array" ref="B1329">IF(LEN(E1329),INDEX('4-All Devices'!AG:AG, MATCH(E1329, '4-All Devices'!AF:AF, 0)),"")</f>
        <v/>
      </c>
      <c r="C1329" s="549" t="s">
        <v>11186</v>
      </c>
      <c r="D1329" s="549" t="s">
        <v>11187</v>
      </c>
      <c r="E1329" s="8"/>
      <c r="F1329" s="552" t="s">
        <v>11188</v>
      </c>
      <c r="G1329" s="8"/>
      <c r="H1329" s="8"/>
      <c r="I1329" s="8"/>
      <c r="J1329" s="547"/>
      <c r="K1329" s="8"/>
      <c r="L1329" s="8"/>
      <c r="M1329" s="8"/>
    </row>
    <row r="1330">
      <c r="A1330" s="542"/>
      <c r="B1330" s="551" t="str">
        <f t="array" ref="B1330">IF(LEN(E1330),INDEX('4-All Devices'!AG:AG, MATCH(E1330, '4-All Devices'!AF:AF, 0)),"")</f>
        <v/>
      </c>
      <c r="C1330" s="549" t="s">
        <v>11186</v>
      </c>
      <c r="D1330" s="549" t="s">
        <v>11187</v>
      </c>
      <c r="E1330" s="8"/>
      <c r="F1330" s="552" t="s">
        <v>11188</v>
      </c>
      <c r="G1330" s="8"/>
      <c r="H1330" s="8"/>
      <c r="I1330" s="8"/>
      <c r="J1330" s="547"/>
      <c r="K1330" s="8"/>
      <c r="L1330" s="8"/>
      <c r="M1330" s="8"/>
    </row>
    <row r="1331">
      <c r="A1331" s="542"/>
      <c r="B1331" s="551" t="str">
        <f t="array" ref="B1331">IF(LEN(E1331),INDEX('4-All Devices'!AG:AG, MATCH(E1331, '4-All Devices'!AF:AF, 0)),"")</f>
        <v/>
      </c>
      <c r="C1331" s="549" t="s">
        <v>11186</v>
      </c>
      <c r="D1331" s="549" t="s">
        <v>11187</v>
      </c>
      <c r="E1331" s="8"/>
      <c r="F1331" s="552" t="s">
        <v>11188</v>
      </c>
      <c r="G1331" s="8"/>
      <c r="H1331" s="8"/>
      <c r="I1331" s="8"/>
      <c r="J1331" s="547"/>
      <c r="K1331" s="8"/>
      <c r="L1331" s="8"/>
      <c r="M1331" s="8"/>
    </row>
    <row r="1332">
      <c r="A1332" s="542"/>
      <c r="B1332" s="551" t="str">
        <f t="array" ref="B1332">IF(LEN(E1332),INDEX('4-All Devices'!AG:AG, MATCH(E1332, '4-All Devices'!AF:AF, 0)),"")</f>
        <v/>
      </c>
      <c r="C1332" s="549" t="s">
        <v>11186</v>
      </c>
      <c r="D1332" s="549" t="s">
        <v>11187</v>
      </c>
      <c r="E1332" s="8"/>
      <c r="F1332" s="552" t="s">
        <v>11188</v>
      </c>
      <c r="G1332" s="8"/>
      <c r="H1332" s="8"/>
      <c r="I1332" s="8"/>
      <c r="J1332" s="547"/>
      <c r="K1332" s="8"/>
      <c r="L1332" s="8"/>
      <c r="M1332" s="8"/>
    </row>
    <row r="1333">
      <c r="A1333" s="542"/>
      <c r="B1333" s="551" t="str">
        <f t="array" ref="B1333">IF(LEN(E1333),INDEX('4-All Devices'!AG:AG, MATCH(E1333, '4-All Devices'!AF:AF, 0)),"")</f>
        <v/>
      </c>
      <c r="C1333" s="549" t="s">
        <v>11186</v>
      </c>
      <c r="D1333" s="549" t="s">
        <v>11187</v>
      </c>
      <c r="E1333" s="8"/>
      <c r="F1333" s="552" t="s">
        <v>11188</v>
      </c>
      <c r="G1333" s="8"/>
      <c r="H1333" s="8"/>
      <c r="I1333" s="8"/>
      <c r="J1333" s="547"/>
      <c r="K1333" s="8"/>
      <c r="L1333" s="8"/>
      <c r="M1333" s="8"/>
    </row>
    <row r="1334">
      <c r="A1334" s="542"/>
      <c r="B1334" s="551" t="str">
        <f t="array" ref="B1334">IF(LEN(E1334),INDEX('4-All Devices'!AG:AG, MATCH(E1334, '4-All Devices'!AF:AF, 0)),"")</f>
        <v/>
      </c>
      <c r="C1334" s="549" t="s">
        <v>11186</v>
      </c>
      <c r="D1334" s="549" t="s">
        <v>11187</v>
      </c>
      <c r="E1334" s="8"/>
      <c r="F1334" s="552" t="s">
        <v>11188</v>
      </c>
      <c r="G1334" s="8"/>
      <c r="H1334" s="8"/>
      <c r="I1334" s="8"/>
      <c r="J1334" s="547"/>
      <c r="K1334" s="8"/>
      <c r="L1334" s="8"/>
      <c r="M1334" s="8"/>
    </row>
    <row r="1335">
      <c r="A1335" s="542"/>
      <c r="B1335" s="551" t="str">
        <f t="array" ref="B1335">IF(LEN(E1335),INDEX('4-All Devices'!AG:AG, MATCH(E1335, '4-All Devices'!AF:AF, 0)),"")</f>
        <v/>
      </c>
      <c r="C1335" s="549" t="s">
        <v>11186</v>
      </c>
      <c r="D1335" s="549" t="s">
        <v>11187</v>
      </c>
      <c r="E1335" s="8"/>
      <c r="F1335" s="552" t="s">
        <v>11188</v>
      </c>
      <c r="G1335" s="8"/>
      <c r="H1335" s="8"/>
      <c r="I1335" s="8"/>
      <c r="J1335" s="547"/>
      <c r="K1335" s="8"/>
      <c r="L1335" s="8"/>
      <c r="M1335" s="8"/>
    </row>
    <row r="1336">
      <c r="A1336" s="542"/>
      <c r="B1336" s="551" t="str">
        <f t="array" ref="B1336">IF(LEN(E1336),INDEX('4-All Devices'!AG:AG, MATCH(E1336, '4-All Devices'!AF:AF, 0)),"")</f>
        <v/>
      </c>
      <c r="C1336" s="549" t="s">
        <v>11186</v>
      </c>
      <c r="D1336" s="549" t="s">
        <v>11187</v>
      </c>
      <c r="E1336" s="8"/>
      <c r="F1336" s="552" t="s">
        <v>11188</v>
      </c>
      <c r="G1336" s="8"/>
      <c r="H1336" s="8"/>
      <c r="I1336" s="8"/>
      <c r="J1336" s="547"/>
      <c r="K1336" s="8"/>
      <c r="L1336" s="8"/>
      <c r="M1336" s="8"/>
    </row>
    <row r="1337">
      <c r="A1337" s="542"/>
      <c r="B1337" s="551" t="str">
        <f t="array" ref="B1337">IF(LEN(E1337),INDEX('4-All Devices'!AG:AG, MATCH(E1337, '4-All Devices'!AF:AF, 0)),"")</f>
        <v/>
      </c>
      <c r="C1337" s="549" t="s">
        <v>11186</v>
      </c>
      <c r="D1337" s="549" t="s">
        <v>11187</v>
      </c>
      <c r="E1337" s="8"/>
      <c r="F1337" s="552" t="s">
        <v>11188</v>
      </c>
      <c r="G1337" s="8"/>
      <c r="H1337" s="8"/>
      <c r="I1337" s="8"/>
      <c r="J1337" s="547"/>
      <c r="K1337" s="8"/>
      <c r="L1337" s="8"/>
      <c r="M1337" s="8"/>
    </row>
    <row r="1338">
      <c r="A1338" s="542"/>
      <c r="B1338" s="551" t="str">
        <f t="array" ref="B1338">IF(LEN(E1338),INDEX('4-All Devices'!AG:AG, MATCH(E1338, '4-All Devices'!AF:AF, 0)),"")</f>
        <v/>
      </c>
      <c r="C1338" s="549" t="s">
        <v>11186</v>
      </c>
      <c r="D1338" s="549" t="s">
        <v>11187</v>
      </c>
      <c r="E1338" s="8"/>
      <c r="F1338" s="552" t="s">
        <v>11188</v>
      </c>
      <c r="G1338" s="8"/>
      <c r="H1338" s="8"/>
      <c r="I1338" s="8"/>
      <c r="J1338" s="547"/>
      <c r="K1338" s="8"/>
      <c r="L1338" s="8"/>
      <c r="M1338" s="8"/>
    </row>
    <row r="1339">
      <c r="A1339" s="542"/>
      <c r="B1339" s="551" t="str">
        <f t="array" ref="B1339">IF(LEN(E1339),INDEX('4-All Devices'!AG:AG, MATCH(E1339, '4-All Devices'!AF:AF, 0)),"")</f>
        <v/>
      </c>
      <c r="C1339" s="549" t="s">
        <v>11186</v>
      </c>
      <c r="D1339" s="549" t="s">
        <v>11187</v>
      </c>
      <c r="E1339" s="8"/>
      <c r="F1339" s="552" t="s">
        <v>11188</v>
      </c>
      <c r="G1339" s="8"/>
      <c r="H1339" s="8"/>
      <c r="I1339" s="8"/>
      <c r="J1339" s="547"/>
      <c r="K1339" s="8"/>
      <c r="L1339" s="8"/>
      <c r="M1339" s="8"/>
    </row>
    <row r="1340">
      <c r="A1340" s="542"/>
      <c r="B1340" s="551" t="str">
        <f t="array" ref="B1340">IF(LEN(E1340),INDEX('4-All Devices'!AG:AG, MATCH(E1340, '4-All Devices'!AF:AF, 0)),"")</f>
        <v/>
      </c>
      <c r="C1340" s="549" t="s">
        <v>11186</v>
      </c>
      <c r="D1340" s="549" t="s">
        <v>11187</v>
      </c>
      <c r="E1340" s="8"/>
      <c r="F1340" s="552" t="s">
        <v>11188</v>
      </c>
      <c r="G1340" s="8"/>
      <c r="H1340" s="8"/>
      <c r="I1340" s="8"/>
      <c r="J1340" s="547"/>
      <c r="K1340" s="8"/>
      <c r="L1340" s="8"/>
      <c r="M1340" s="8"/>
    </row>
    <row r="1341">
      <c r="A1341" s="542"/>
      <c r="B1341" s="551" t="str">
        <f t="array" ref="B1341">IF(LEN(E1341),INDEX('4-All Devices'!AG:AG, MATCH(E1341, '4-All Devices'!AF:AF, 0)),"")</f>
        <v/>
      </c>
      <c r="C1341" s="549" t="s">
        <v>11186</v>
      </c>
      <c r="D1341" s="549" t="s">
        <v>11187</v>
      </c>
      <c r="E1341" s="8"/>
      <c r="F1341" s="552" t="s">
        <v>11188</v>
      </c>
      <c r="G1341" s="8"/>
      <c r="H1341" s="8"/>
      <c r="I1341" s="8"/>
      <c r="J1341" s="547"/>
      <c r="K1341" s="8"/>
      <c r="L1341" s="8"/>
      <c r="M1341" s="8"/>
    </row>
    <row r="1342">
      <c r="A1342" s="542"/>
      <c r="B1342" s="551" t="str">
        <f t="array" ref="B1342">IF(LEN(E1342),INDEX('4-All Devices'!AG:AG, MATCH(E1342, '4-All Devices'!AF:AF, 0)),"")</f>
        <v/>
      </c>
      <c r="C1342" s="549" t="s">
        <v>11186</v>
      </c>
      <c r="D1342" s="549" t="s">
        <v>11187</v>
      </c>
      <c r="E1342" s="8"/>
      <c r="F1342" s="552" t="s">
        <v>11188</v>
      </c>
      <c r="G1342" s="8"/>
      <c r="H1342" s="8"/>
      <c r="I1342" s="8"/>
      <c r="J1342" s="547"/>
      <c r="K1342" s="8"/>
      <c r="L1342" s="8"/>
      <c r="M1342" s="8"/>
    </row>
    <row r="1343">
      <c r="A1343" s="542"/>
      <c r="B1343" s="551" t="str">
        <f t="array" ref="B1343">IF(LEN(E1343),INDEX('4-All Devices'!AG:AG, MATCH(E1343, '4-All Devices'!AF:AF, 0)),"")</f>
        <v/>
      </c>
      <c r="C1343" s="549" t="s">
        <v>11186</v>
      </c>
      <c r="D1343" s="549" t="s">
        <v>11187</v>
      </c>
      <c r="E1343" s="8"/>
      <c r="F1343" s="552" t="s">
        <v>11188</v>
      </c>
      <c r="G1343" s="8"/>
      <c r="H1343" s="8"/>
      <c r="I1343" s="8"/>
      <c r="J1343" s="547"/>
      <c r="K1343" s="8"/>
      <c r="L1343" s="8"/>
      <c r="M1343" s="8"/>
    </row>
    <row r="1344">
      <c r="A1344" s="542"/>
      <c r="B1344" s="551" t="str">
        <f t="array" ref="B1344">IF(LEN(E1344),INDEX('4-All Devices'!AG:AG, MATCH(E1344, '4-All Devices'!AF:AF, 0)),"")</f>
        <v/>
      </c>
      <c r="C1344" s="549" t="s">
        <v>11186</v>
      </c>
      <c r="D1344" s="549" t="s">
        <v>11187</v>
      </c>
      <c r="E1344" s="8"/>
      <c r="F1344" s="552" t="s">
        <v>11188</v>
      </c>
      <c r="G1344" s="8"/>
      <c r="H1344" s="8"/>
      <c r="I1344" s="8"/>
      <c r="J1344" s="547"/>
      <c r="K1344" s="8"/>
      <c r="L1344" s="8"/>
      <c r="M1344" s="8"/>
    </row>
    <row r="1345">
      <c r="A1345" s="542"/>
      <c r="B1345" s="551" t="str">
        <f t="array" ref="B1345">IF(LEN(E1345),INDEX('4-All Devices'!AG:AG, MATCH(E1345, '4-All Devices'!AF:AF, 0)),"")</f>
        <v/>
      </c>
      <c r="C1345" s="549" t="s">
        <v>11186</v>
      </c>
      <c r="D1345" s="549" t="s">
        <v>11187</v>
      </c>
      <c r="E1345" s="8"/>
      <c r="F1345" s="552" t="s">
        <v>11188</v>
      </c>
      <c r="G1345" s="8"/>
      <c r="H1345" s="8"/>
      <c r="I1345" s="8"/>
      <c r="J1345" s="547"/>
      <c r="K1345" s="8"/>
      <c r="L1345" s="8"/>
      <c r="M1345" s="8"/>
    </row>
    <row r="1346">
      <c r="A1346" s="542"/>
      <c r="B1346" s="551" t="str">
        <f t="array" ref="B1346">IF(LEN(E1346),INDEX('4-All Devices'!AG:AG, MATCH(E1346, '4-All Devices'!AF:AF, 0)),"")</f>
        <v/>
      </c>
      <c r="C1346" s="549" t="s">
        <v>11186</v>
      </c>
      <c r="D1346" s="549" t="s">
        <v>11187</v>
      </c>
      <c r="E1346" s="8"/>
      <c r="F1346" s="552" t="s">
        <v>11188</v>
      </c>
      <c r="G1346" s="8"/>
      <c r="H1346" s="8"/>
      <c r="I1346" s="8"/>
      <c r="J1346" s="547"/>
      <c r="K1346" s="8"/>
      <c r="L1346" s="8"/>
      <c r="M1346" s="8"/>
    </row>
    <row r="1347">
      <c r="A1347" s="542"/>
      <c r="B1347" s="551" t="str">
        <f t="array" ref="B1347">IF(LEN(E1347),INDEX('4-All Devices'!AG:AG, MATCH(E1347, '4-All Devices'!AF:AF, 0)),"")</f>
        <v/>
      </c>
      <c r="C1347" s="549" t="s">
        <v>11186</v>
      </c>
      <c r="D1347" s="549" t="s">
        <v>11187</v>
      </c>
      <c r="E1347" s="8"/>
      <c r="F1347" s="552" t="s">
        <v>11188</v>
      </c>
      <c r="G1347" s="8"/>
      <c r="H1347" s="8"/>
      <c r="I1347" s="8"/>
      <c r="J1347" s="547"/>
      <c r="K1347" s="8"/>
      <c r="L1347" s="8"/>
      <c r="M1347" s="8"/>
    </row>
    <row r="1348">
      <c r="A1348" s="542"/>
      <c r="B1348" s="551" t="str">
        <f t="array" ref="B1348">IF(LEN(E1348),INDEX('4-All Devices'!AG:AG, MATCH(E1348, '4-All Devices'!AF:AF, 0)),"")</f>
        <v/>
      </c>
      <c r="C1348" s="549" t="s">
        <v>11186</v>
      </c>
      <c r="D1348" s="549" t="s">
        <v>11187</v>
      </c>
      <c r="E1348" s="8"/>
      <c r="F1348" s="552" t="s">
        <v>11188</v>
      </c>
      <c r="G1348" s="8"/>
      <c r="H1348" s="8"/>
      <c r="I1348" s="8"/>
      <c r="J1348" s="547"/>
      <c r="K1348" s="8"/>
      <c r="L1348" s="8"/>
      <c r="M1348" s="8"/>
    </row>
    <row r="1349">
      <c r="A1349" s="542"/>
      <c r="B1349" s="551" t="str">
        <f t="array" ref="B1349">IF(LEN(E1349),INDEX('4-All Devices'!AG:AG, MATCH(E1349, '4-All Devices'!AF:AF, 0)),"")</f>
        <v/>
      </c>
      <c r="C1349" s="549" t="s">
        <v>11186</v>
      </c>
      <c r="D1349" s="549" t="s">
        <v>11187</v>
      </c>
      <c r="E1349" s="8"/>
      <c r="F1349" s="552" t="s">
        <v>11188</v>
      </c>
      <c r="G1349" s="8"/>
      <c r="H1349" s="8"/>
      <c r="I1349" s="8"/>
      <c r="J1349" s="547"/>
      <c r="K1349" s="8"/>
      <c r="L1349" s="8"/>
      <c r="M1349" s="8"/>
    </row>
    <row r="1350">
      <c r="A1350" s="542"/>
      <c r="B1350" s="551" t="str">
        <f t="array" ref="B1350">IF(LEN(E1350),INDEX('4-All Devices'!AG:AG, MATCH(E1350, '4-All Devices'!AF:AF, 0)),"")</f>
        <v/>
      </c>
      <c r="C1350" s="549" t="s">
        <v>11186</v>
      </c>
      <c r="D1350" s="549" t="s">
        <v>11187</v>
      </c>
      <c r="E1350" s="8"/>
      <c r="F1350" s="552" t="s">
        <v>11188</v>
      </c>
      <c r="G1350" s="8"/>
      <c r="H1350" s="8"/>
      <c r="I1350" s="8"/>
      <c r="J1350" s="547"/>
      <c r="K1350" s="8"/>
      <c r="L1350" s="8"/>
      <c r="M1350" s="8"/>
    </row>
    <row r="1351">
      <c r="A1351" s="542"/>
      <c r="B1351" s="551" t="str">
        <f t="array" ref="B1351">IF(LEN(E1351),INDEX('4-All Devices'!AG:AG, MATCH(E1351, '4-All Devices'!AF:AF, 0)),"")</f>
        <v/>
      </c>
      <c r="C1351" s="549" t="s">
        <v>11186</v>
      </c>
      <c r="D1351" s="549" t="s">
        <v>11187</v>
      </c>
      <c r="E1351" s="8"/>
      <c r="F1351" s="552" t="s">
        <v>11188</v>
      </c>
      <c r="G1351" s="8"/>
      <c r="H1351" s="8"/>
      <c r="I1351" s="8"/>
      <c r="J1351" s="547"/>
      <c r="K1351" s="8"/>
      <c r="L1351" s="8"/>
      <c r="M1351" s="8"/>
    </row>
    <row r="1352">
      <c r="A1352" s="542"/>
      <c r="B1352" s="551" t="str">
        <f t="array" ref="B1352">IF(LEN(E1352),INDEX('4-All Devices'!AG:AG, MATCH(E1352, '4-All Devices'!AF:AF, 0)),"")</f>
        <v/>
      </c>
      <c r="C1352" s="549" t="s">
        <v>11186</v>
      </c>
      <c r="D1352" s="549" t="s">
        <v>11187</v>
      </c>
      <c r="E1352" s="8"/>
      <c r="F1352" s="552" t="s">
        <v>11188</v>
      </c>
      <c r="G1352" s="8"/>
      <c r="H1352" s="8"/>
      <c r="I1352" s="8"/>
      <c r="J1352" s="547"/>
      <c r="K1352" s="8"/>
      <c r="L1352" s="8"/>
      <c r="M1352" s="8"/>
    </row>
    <row r="1353">
      <c r="A1353" s="542"/>
      <c r="B1353" s="551" t="str">
        <f t="array" ref="B1353">IF(LEN(E1353),INDEX('4-All Devices'!AG:AG, MATCH(E1353, '4-All Devices'!AF:AF, 0)),"")</f>
        <v/>
      </c>
      <c r="C1353" s="549" t="s">
        <v>11186</v>
      </c>
      <c r="D1353" s="549" t="s">
        <v>11187</v>
      </c>
      <c r="E1353" s="8"/>
      <c r="F1353" s="552" t="s">
        <v>11188</v>
      </c>
      <c r="G1353" s="8"/>
      <c r="H1353" s="8"/>
      <c r="I1353" s="8"/>
      <c r="J1353" s="547"/>
      <c r="K1353" s="8"/>
      <c r="L1353" s="8"/>
      <c r="M1353" s="8"/>
    </row>
    <row r="1354">
      <c r="A1354" s="542"/>
      <c r="B1354" s="551" t="str">
        <f t="array" ref="B1354">IF(LEN(E1354),INDEX('4-All Devices'!AG:AG, MATCH(E1354, '4-All Devices'!AF:AF, 0)),"")</f>
        <v/>
      </c>
      <c r="C1354" s="549" t="s">
        <v>11186</v>
      </c>
      <c r="D1354" s="549" t="s">
        <v>11187</v>
      </c>
      <c r="E1354" s="8"/>
      <c r="F1354" s="552" t="s">
        <v>11188</v>
      </c>
      <c r="G1354" s="8"/>
      <c r="H1354" s="8"/>
      <c r="I1354" s="8"/>
      <c r="J1354" s="547"/>
      <c r="K1354" s="8"/>
      <c r="L1354" s="8"/>
      <c r="M1354" s="8"/>
    </row>
    <row r="1355">
      <c r="A1355" s="542"/>
      <c r="B1355" s="551" t="str">
        <f t="array" ref="B1355">IF(LEN(E1355),INDEX('4-All Devices'!AG:AG, MATCH(E1355, '4-All Devices'!AF:AF, 0)),"")</f>
        <v/>
      </c>
      <c r="C1355" s="549" t="s">
        <v>11186</v>
      </c>
      <c r="D1355" s="549" t="s">
        <v>11187</v>
      </c>
      <c r="E1355" s="8"/>
      <c r="F1355" s="552" t="s">
        <v>11188</v>
      </c>
      <c r="G1355" s="8"/>
      <c r="H1355" s="8"/>
      <c r="I1355" s="8"/>
      <c r="J1355" s="547"/>
      <c r="K1355" s="8"/>
      <c r="L1355" s="8"/>
      <c r="M1355" s="8"/>
    </row>
    <row r="1356">
      <c r="A1356" s="542"/>
      <c r="B1356" s="551" t="str">
        <f t="array" ref="B1356">IF(LEN(E1356),INDEX('4-All Devices'!AG:AG, MATCH(E1356, '4-All Devices'!AF:AF, 0)),"")</f>
        <v/>
      </c>
      <c r="C1356" s="549" t="s">
        <v>11186</v>
      </c>
      <c r="D1356" s="549" t="s">
        <v>11187</v>
      </c>
      <c r="E1356" s="8"/>
      <c r="F1356" s="552" t="s">
        <v>11188</v>
      </c>
      <c r="G1356" s="8"/>
      <c r="H1356" s="8"/>
      <c r="I1356" s="8"/>
      <c r="J1356" s="547"/>
      <c r="K1356" s="8"/>
      <c r="L1356" s="8"/>
      <c r="M1356" s="8"/>
    </row>
    <row r="1357">
      <c r="A1357" s="542"/>
      <c r="B1357" s="551" t="str">
        <f t="array" ref="B1357">IF(LEN(E1357),INDEX('4-All Devices'!AG:AG, MATCH(E1357, '4-All Devices'!AF:AF, 0)),"")</f>
        <v/>
      </c>
      <c r="C1357" s="549" t="s">
        <v>11186</v>
      </c>
      <c r="D1357" s="549" t="s">
        <v>11187</v>
      </c>
      <c r="E1357" s="8"/>
      <c r="F1357" s="552" t="s">
        <v>11188</v>
      </c>
      <c r="G1357" s="8"/>
      <c r="H1357" s="8"/>
      <c r="I1357" s="8"/>
      <c r="J1357" s="547"/>
      <c r="K1357" s="8"/>
      <c r="L1357" s="8"/>
      <c r="M1357" s="8"/>
    </row>
    <row r="1358">
      <c r="A1358" s="542"/>
      <c r="B1358" s="551" t="str">
        <f t="array" ref="B1358">IF(LEN(E1358),INDEX('4-All Devices'!AG:AG, MATCH(E1358, '4-All Devices'!AF:AF, 0)),"")</f>
        <v/>
      </c>
      <c r="C1358" s="549" t="s">
        <v>11186</v>
      </c>
      <c r="D1358" s="549" t="s">
        <v>11187</v>
      </c>
      <c r="E1358" s="8"/>
      <c r="F1358" s="552" t="s">
        <v>11188</v>
      </c>
      <c r="G1358" s="8"/>
      <c r="H1358" s="8"/>
      <c r="I1358" s="8"/>
      <c r="J1358" s="547"/>
      <c r="K1358" s="8"/>
      <c r="L1358" s="8"/>
      <c r="M1358" s="8"/>
    </row>
    <row r="1359">
      <c r="A1359" s="542"/>
      <c r="B1359" s="551" t="str">
        <f t="array" ref="B1359">IF(LEN(E1359),INDEX('4-All Devices'!AG:AG, MATCH(E1359, '4-All Devices'!AF:AF, 0)),"")</f>
        <v/>
      </c>
      <c r="C1359" s="549" t="s">
        <v>11186</v>
      </c>
      <c r="D1359" s="549" t="s">
        <v>11187</v>
      </c>
      <c r="E1359" s="8"/>
      <c r="F1359" s="552" t="s">
        <v>11188</v>
      </c>
      <c r="G1359" s="8"/>
      <c r="H1359" s="8"/>
      <c r="I1359" s="8"/>
      <c r="J1359" s="547"/>
      <c r="K1359" s="8"/>
      <c r="L1359" s="8"/>
      <c r="M1359" s="8"/>
    </row>
    <row r="1360">
      <c r="A1360" s="542"/>
      <c r="B1360" s="551" t="str">
        <f t="array" ref="B1360">IF(LEN(E1360),INDEX('4-All Devices'!AG:AG, MATCH(E1360, '4-All Devices'!AF:AF, 0)),"")</f>
        <v/>
      </c>
      <c r="C1360" s="549" t="s">
        <v>11186</v>
      </c>
      <c r="D1360" s="549" t="s">
        <v>11187</v>
      </c>
      <c r="E1360" s="8"/>
      <c r="F1360" s="552" t="s">
        <v>11188</v>
      </c>
      <c r="G1360" s="8"/>
      <c r="H1360" s="8"/>
      <c r="I1360" s="8"/>
      <c r="J1360" s="547"/>
      <c r="K1360" s="8"/>
      <c r="L1360" s="8"/>
      <c r="M1360" s="8"/>
    </row>
    <row r="1361">
      <c r="A1361" s="542"/>
      <c r="B1361" s="551" t="str">
        <f t="array" ref="B1361">IF(LEN(E1361),INDEX('4-All Devices'!AG:AG, MATCH(E1361, '4-All Devices'!AF:AF, 0)),"")</f>
        <v/>
      </c>
      <c r="C1361" s="549" t="s">
        <v>11186</v>
      </c>
      <c r="D1361" s="549" t="s">
        <v>11187</v>
      </c>
      <c r="E1361" s="8"/>
      <c r="F1361" s="552" t="s">
        <v>11188</v>
      </c>
      <c r="G1361" s="8"/>
      <c r="H1361" s="8"/>
      <c r="I1361" s="8"/>
      <c r="J1361" s="547"/>
      <c r="K1361" s="8"/>
      <c r="L1361" s="8"/>
      <c r="M1361" s="8"/>
    </row>
    <row r="1362">
      <c r="A1362" s="542"/>
      <c r="B1362" s="551" t="str">
        <f t="array" ref="B1362">IF(LEN(E1362),INDEX('4-All Devices'!AG:AG, MATCH(E1362, '4-All Devices'!AF:AF, 0)),"")</f>
        <v/>
      </c>
      <c r="C1362" s="549" t="s">
        <v>11186</v>
      </c>
      <c r="D1362" s="549" t="s">
        <v>11187</v>
      </c>
      <c r="E1362" s="8"/>
      <c r="F1362" s="552" t="s">
        <v>11188</v>
      </c>
      <c r="G1362" s="8"/>
      <c r="H1362" s="8"/>
      <c r="I1362" s="8"/>
      <c r="J1362" s="547"/>
      <c r="K1362" s="8"/>
      <c r="L1362" s="8"/>
      <c r="M1362" s="8"/>
    </row>
    <row r="1363">
      <c r="A1363" s="542"/>
      <c r="B1363" s="551" t="str">
        <f t="array" ref="B1363">IF(LEN(E1363),INDEX('4-All Devices'!AG:AG, MATCH(E1363, '4-All Devices'!AF:AF, 0)),"")</f>
        <v/>
      </c>
      <c r="C1363" s="549" t="s">
        <v>11186</v>
      </c>
      <c r="D1363" s="549" t="s">
        <v>11187</v>
      </c>
      <c r="E1363" s="8"/>
      <c r="F1363" s="552" t="s">
        <v>11188</v>
      </c>
      <c r="G1363" s="8"/>
      <c r="H1363" s="8"/>
      <c r="I1363" s="8"/>
      <c r="J1363" s="547"/>
      <c r="K1363" s="8"/>
      <c r="L1363" s="8"/>
      <c r="M1363" s="8"/>
    </row>
    <row r="1364">
      <c r="A1364" s="542"/>
      <c r="B1364" s="551" t="str">
        <f t="array" ref="B1364">IF(LEN(E1364),INDEX('4-All Devices'!AG:AG, MATCH(E1364, '4-All Devices'!AF:AF, 0)),"")</f>
        <v/>
      </c>
      <c r="C1364" s="549" t="s">
        <v>11186</v>
      </c>
      <c r="D1364" s="549" t="s">
        <v>11187</v>
      </c>
      <c r="E1364" s="8"/>
      <c r="F1364" s="552" t="s">
        <v>11188</v>
      </c>
      <c r="G1364" s="8"/>
      <c r="H1364" s="8"/>
      <c r="I1364" s="8"/>
      <c r="J1364" s="547"/>
      <c r="K1364" s="8"/>
      <c r="L1364" s="8"/>
      <c r="M1364" s="8"/>
    </row>
    <row r="1365">
      <c r="A1365" s="542"/>
      <c r="B1365" s="551" t="str">
        <f t="array" ref="B1365">IF(LEN(E1365),INDEX('4-All Devices'!AG:AG, MATCH(E1365, '4-All Devices'!AF:AF, 0)),"")</f>
        <v/>
      </c>
      <c r="C1365" s="549" t="s">
        <v>11186</v>
      </c>
      <c r="D1365" s="549" t="s">
        <v>11187</v>
      </c>
      <c r="E1365" s="8"/>
      <c r="F1365" s="552" t="s">
        <v>11188</v>
      </c>
      <c r="G1365" s="8"/>
      <c r="H1365" s="8"/>
      <c r="I1365" s="8"/>
      <c r="J1365" s="547"/>
      <c r="K1365" s="8"/>
      <c r="L1365" s="8"/>
      <c r="M1365" s="8"/>
    </row>
    <row r="1366">
      <c r="A1366" s="542"/>
      <c r="B1366" s="551" t="str">
        <f t="array" ref="B1366">IF(LEN(E1366),INDEX('4-All Devices'!AG:AG, MATCH(E1366, '4-All Devices'!AF:AF, 0)),"")</f>
        <v/>
      </c>
      <c r="C1366" s="549" t="s">
        <v>11186</v>
      </c>
      <c r="D1366" s="549" t="s">
        <v>11187</v>
      </c>
      <c r="E1366" s="8"/>
      <c r="F1366" s="552" t="s">
        <v>11188</v>
      </c>
      <c r="G1366" s="8"/>
      <c r="H1366" s="8"/>
      <c r="I1366" s="8"/>
      <c r="J1366" s="547"/>
      <c r="K1366" s="8"/>
      <c r="L1366" s="8"/>
      <c r="M1366" s="8"/>
    </row>
    <row r="1367">
      <c r="A1367" s="542"/>
      <c r="B1367" s="551" t="str">
        <f t="array" ref="B1367">IF(LEN(E1367),INDEX('4-All Devices'!AG:AG, MATCH(E1367, '4-All Devices'!AF:AF, 0)),"")</f>
        <v/>
      </c>
      <c r="C1367" s="549" t="s">
        <v>11186</v>
      </c>
      <c r="D1367" s="549" t="s">
        <v>11187</v>
      </c>
      <c r="E1367" s="8"/>
      <c r="F1367" s="552" t="s">
        <v>11188</v>
      </c>
      <c r="G1367" s="8"/>
      <c r="H1367" s="8"/>
      <c r="I1367" s="8"/>
      <c r="J1367" s="547"/>
      <c r="K1367" s="8"/>
      <c r="L1367" s="8"/>
      <c r="M1367" s="8"/>
    </row>
    <row r="1368">
      <c r="A1368" s="542"/>
      <c r="B1368" s="551" t="str">
        <f t="array" ref="B1368">IF(LEN(E1368),INDEX('4-All Devices'!AG:AG, MATCH(E1368, '4-All Devices'!AF:AF, 0)),"")</f>
        <v/>
      </c>
      <c r="C1368" s="549" t="s">
        <v>11186</v>
      </c>
      <c r="D1368" s="549" t="s">
        <v>11187</v>
      </c>
      <c r="E1368" s="8"/>
      <c r="F1368" s="552" t="s">
        <v>11188</v>
      </c>
      <c r="G1368" s="8"/>
      <c r="H1368" s="8"/>
      <c r="I1368" s="8"/>
      <c r="J1368" s="547"/>
      <c r="K1368" s="8"/>
      <c r="L1368" s="8"/>
      <c r="M1368" s="8"/>
    </row>
    <row r="1369">
      <c r="A1369" s="542"/>
      <c r="B1369" s="551" t="str">
        <f t="array" ref="B1369">IF(LEN(E1369),INDEX('4-All Devices'!AG:AG, MATCH(E1369, '4-All Devices'!AF:AF, 0)),"")</f>
        <v/>
      </c>
      <c r="C1369" s="549" t="s">
        <v>11186</v>
      </c>
      <c r="D1369" s="549" t="s">
        <v>11187</v>
      </c>
      <c r="E1369" s="8"/>
      <c r="F1369" s="552" t="s">
        <v>11188</v>
      </c>
      <c r="G1369" s="8"/>
      <c r="H1369" s="8"/>
      <c r="I1369" s="8"/>
      <c r="J1369" s="547"/>
      <c r="K1369" s="8"/>
      <c r="L1369" s="8"/>
      <c r="M1369" s="8"/>
    </row>
    <row r="1370">
      <c r="A1370" s="542"/>
      <c r="B1370" s="551" t="str">
        <f t="array" ref="B1370">IF(LEN(E1370),INDEX('4-All Devices'!AG:AG, MATCH(E1370, '4-All Devices'!AF:AF, 0)),"")</f>
        <v/>
      </c>
      <c r="C1370" s="549" t="s">
        <v>11186</v>
      </c>
      <c r="D1370" s="549" t="s">
        <v>11187</v>
      </c>
      <c r="E1370" s="8"/>
      <c r="F1370" s="552" t="s">
        <v>11188</v>
      </c>
      <c r="G1370" s="8"/>
      <c r="H1370" s="8"/>
      <c r="I1370" s="8"/>
      <c r="J1370" s="547"/>
      <c r="K1370" s="8"/>
      <c r="L1370" s="8"/>
      <c r="M1370" s="8"/>
    </row>
    <row r="1371">
      <c r="A1371" s="542"/>
      <c r="B1371" s="551" t="str">
        <f t="array" ref="B1371">IF(LEN(E1371),INDEX('4-All Devices'!AG:AG, MATCH(E1371, '4-All Devices'!AF:AF, 0)),"")</f>
        <v/>
      </c>
      <c r="C1371" s="549" t="s">
        <v>11186</v>
      </c>
      <c r="D1371" s="549" t="s">
        <v>11187</v>
      </c>
      <c r="E1371" s="8"/>
      <c r="F1371" s="552" t="s">
        <v>11188</v>
      </c>
      <c r="G1371" s="8"/>
      <c r="H1371" s="8"/>
      <c r="I1371" s="8"/>
      <c r="J1371" s="547"/>
      <c r="K1371" s="8"/>
      <c r="L1371" s="8"/>
      <c r="M1371" s="8"/>
    </row>
    <row r="1372">
      <c r="A1372" s="542"/>
      <c r="B1372" s="551" t="str">
        <f t="array" ref="B1372">IF(LEN(E1372),INDEX('4-All Devices'!AG:AG, MATCH(E1372, '4-All Devices'!AF:AF, 0)),"")</f>
        <v/>
      </c>
      <c r="C1372" s="549" t="s">
        <v>11186</v>
      </c>
      <c r="D1372" s="549" t="s">
        <v>11187</v>
      </c>
      <c r="E1372" s="8"/>
      <c r="F1372" s="552" t="s">
        <v>11188</v>
      </c>
      <c r="G1372" s="8"/>
      <c r="H1372" s="8"/>
      <c r="I1372" s="8"/>
      <c r="J1372" s="547"/>
      <c r="K1372" s="8"/>
      <c r="L1372" s="8"/>
      <c r="M1372" s="8"/>
    </row>
    <row r="1373">
      <c r="A1373" s="542"/>
      <c r="B1373" s="551" t="str">
        <f t="array" ref="B1373">IF(LEN(E1373),INDEX('4-All Devices'!AG:AG, MATCH(E1373, '4-All Devices'!AF:AF, 0)),"")</f>
        <v/>
      </c>
      <c r="C1373" s="549" t="s">
        <v>11186</v>
      </c>
      <c r="D1373" s="549" t="s">
        <v>11187</v>
      </c>
      <c r="E1373" s="8"/>
      <c r="F1373" s="552" t="s">
        <v>11188</v>
      </c>
      <c r="G1373" s="8"/>
      <c r="H1373" s="8"/>
      <c r="I1373" s="8"/>
      <c r="J1373" s="547"/>
      <c r="K1373" s="8"/>
      <c r="L1373" s="8"/>
      <c r="M1373" s="8"/>
    </row>
    <row r="1374">
      <c r="A1374" s="542"/>
      <c r="B1374" s="551" t="str">
        <f t="array" ref="B1374">IF(LEN(E1374),INDEX('4-All Devices'!AG:AG, MATCH(E1374, '4-All Devices'!AF:AF, 0)),"")</f>
        <v/>
      </c>
      <c r="C1374" s="549" t="s">
        <v>11186</v>
      </c>
      <c r="D1374" s="549" t="s">
        <v>11187</v>
      </c>
      <c r="E1374" s="8"/>
      <c r="F1374" s="552" t="s">
        <v>11188</v>
      </c>
      <c r="G1374" s="8"/>
      <c r="H1374" s="8"/>
      <c r="I1374" s="8"/>
      <c r="J1374" s="547"/>
      <c r="K1374" s="8"/>
      <c r="L1374" s="8"/>
      <c r="M1374" s="8"/>
    </row>
    <row r="1375">
      <c r="A1375" s="542"/>
      <c r="B1375" s="551" t="str">
        <f t="array" ref="B1375">IF(LEN(E1375),INDEX('4-All Devices'!AG:AG, MATCH(E1375, '4-All Devices'!AF:AF, 0)),"")</f>
        <v/>
      </c>
      <c r="C1375" s="549" t="s">
        <v>11186</v>
      </c>
      <c r="D1375" s="549" t="s">
        <v>11187</v>
      </c>
      <c r="E1375" s="8"/>
      <c r="F1375" s="552" t="s">
        <v>11188</v>
      </c>
      <c r="G1375" s="8"/>
      <c r="H1375" s="8"/>
      <c r="I1375" s="8"/>
      <c r="J1375" s="547"/>
      <c r="K1375" s="8"/>
      <c r="L1375" s="8"/>
      <c r="M1375" s="8"/>
    </row>
    <row r="1376">
      <c r="A1376" s="542"/>
      <c r="B1376" s="551" t="str">
        <f t="array" ref="B1376">IF(LEN(E1376),INDEX('4-All Devices'!AG:AG, MATCH(E1376, '4-All Devices'!AF:AF, 0)),"")</f>
        <v/>
      </c>
      <c r="C1376" s="549" t="s">
        <v>11186</v>
      </c>
      <c r="D1376" s="549" t="s">
        <v>11187</v>
      </c>
      <c r="E1376" s="8"/>
      <c r="F1376" s="552" t="s">
        <v>11188</v>
      </c>
      <c r="G1376" s="8"/>
      <c r="H1376" s="8"/>
      <c r="I1376" s="8"/>
      <c r="J1376" s="547"/>
      <c r="K1376" s="8"/>
      <c r="L1376" s="8"/>
      <c r="M1376" s="8"/>
    </row>
    <row r="1377">
      <c r="A1377" s="542"/>
      <c r="B1377" s="551" t="str">
        <f t="array" ref="B1377">IF(LEN(E1377),INDEX('4-All Devices'!AG:AG, MATCH(E1377, '4-All Devices'!AF:AF, 0)),"")</f>
        <v/>
      </c>
      <c r="C1377" s="549" t="s">
        <v>11186</v>
      </c>
      <c r="D1377" s="549" t="s">
        <v>11187</v>
      </c>
      <c r="E1377" s="8"/>
      <c r="F1377" s="552" t="s">
        <v>11188</v>
      </c>
      <c r="G1377" s="8"/>
      <c r="H1377" s="8"/>
      <c r="I1377" s="8"/>
      <c r="J1377" s="547"/>
      <c r="K1377" s="8"/>
      <c r="L1377" s="8"/>
      <c r="M1377" s="8"/>
    </row>
    <row r="1378">
      <c r="A1378" s="542"/>
      <c r="B1378" s="551" t="str">
        <f t="array" ref="B1378">IF(LEN(E1378),INDEX('4-All Devices'!AG:AG, MATCH(E1378, '4-All Devices'!AF:AF, 0)),"")</f>
        <v/>
      </c>
      <c r="C1378" s="549" t="s">
        <v>11186</v>
      </c>
      <c r="D1378" s="549" t="s">
        <v>11187</v>
      </c>
      <c r="E1378" s="8"/>
      <c r="F1378" s="552" t="s">
        <v>11188</v>
      </c>
      <c r="G1378" s="8"/>
      <c r="H1378" s="8"/>
      <c r="I1378" s="8"/>
      <c r="J1378" s="547"/>
      <c r="K1378" s="8"/>
      <c r="L1378" s="8"/>
      <c r="M1378" s="8"/>
    </row>
    <row r="1379">
      <c r="A1379" s="542"/>
      <c r="B1379" s="551" t="str">
        <f t="array" ref="B1379">IF(LEN(E1379),INDEX('4-All Devices'!AG:AG, MATCH(E1379, '4-All Devices'!AF:AF, 0)),"")</f>
        <v/>
      </c>
      <c r="C1379" s="549" t="s">
        <v>11186</v>
      </c>
      <c r="D1379" s="549" t="s">
        <v>11187</v>
      </c>
      <c r="E1379" s="8"/>
      <c r="F1379" s="552" t="s">
        <v>11188</v>
      </c>
      <c r="G1379" s="8"/>
      <c r="H1379" s="8"/>
      <c r="I1379" s="8"/>
      <c r="J1379" s="547"/>
      <c r="K1379" s="8"/>
      <c r="L1379" s="8"/>
      <c r="M1379" s="8"/>
    </row>
    <row r="1380">
      <c r="A1380" s="542"/>
      <c r="B1380" s="551" t="str">
        <f t="array" ref="B1380">IF(LEN(E1380),INDEX('4-All Devices'!AG:AG, MATCH(E1380, '4-All Devices'!AF:AF, 0)),"")</f>
        <v/>
      </c>
      <c r="C1380" s="549" t="s">
        <v>11186</v>
      </c>
      <c r="D1380" s="549" t="s">
        <v>11187</v>
      </c>
      <c r="E1380" s="8"/>
      <c r="F1380" s="552" t="s">
        <v>11188</v>
      </c>
      <c r="G1380" s="8"/>
      <c r="H1380" s="8"/>
      <c r="I1380" s="8"/>
      <c r="J1380" s="547"/>
      <c r="K1380" s="8"/>
      <c r="L1380" s="8"/>
      <c r="M1380" s="8"/>
    </row>
    <row r="1381">
      <c r="A1381" s="542"/>
      <c r="B1381" s="551" t="str">
        <f t="array" ref="B1381">IF(LEN(E1381),INDEX('4-All Devices'!AG:AG, MATCH(E1381, '4-All Devices'!AF:AF, 0)),"")</f>
        <v/>
      </c>
      <c r="C1381" s="549" t="s">
        <v>11186</v>
      </c>
      <c r="D1381" s="549" t="s">
        <v>11187</v>
      </c>
      <c r="E1381" s="8"/>
      <c r="F1381" s="552" t="s">
        <v>11188</v>
      </c>
      <c r="G1381" s="8"/>
      <c r="H1381" s="8"/>
      <c r="I1381" s="8"/>
      <c r="J1381" s="547"/>
      <c r="K1381" s="8"/>
      <c r="L1381" s="8"/>
      <c r="M1381" s="8"/>
    </row>
    <row r="1382">
      <c r="A1382" s="542"/>
      <c r="B1382" s="551" t="str">
        <f t="array" ref="B1382">IF(LEN(E1382),INDEX('4-All Devices'!AG:AG, MATCH(E1382, '4-All Devices'!AF:AF, 0)),"")</f>
        <v/>
      </c>
      <c r="C1382" s="549" t="s">
        <v>11186</v>
      </c>
      <c r="D1382" s="549" t="s">
        <v>11187</v>
      </c>
      <c r="E1382" s="8"/>
      <c r="F1382" s="552" t="s">
        <v>11188</v>
      </c>
      <c r="G1382" s="8"/>
      <c r="H1382" s="8"/>
      <c r="I1382" s="8"/>
      <c r="J1382" s="547"/>
      <c r="K1382" s="8"/>
      <c r="L1382" s="8"/>
      <c r="M1382" s="8"/>
    </row>
    <row r="1383">
      <c r="A1383" s="542"/>
      <c r="B1383" s="551" t="str">
        <f t="array" ref="B1383">IF(LEN(E1383),INDEX('4-All Devices'!AG:AG, MATCH(E1383, '4-All Devices'!AF:AF, 0)),"")</f>
        <v/>
      </c>
      <c r="C1383" s="549" t="s">
        <v>11186</v>
      </c>
      <c r="D1383" s="549" t="s">
        <v>11187</v>
      </c>
      <c r="E1383" s="8"/>
      <c r="F1383" s="552" t="s">
        <v>11188</v>
      </c>
      <c r="G1383" s="8"/>
      <c r="H1383" s="8"/>
      <c r="I1383" s="8"/>
      <c r="J1383" s="547"/>
      <c r="K1383" s="8"/>
      <c r="L1383" s="8"/>
      <c r="M1383" s="8"/>
    </row>
    <row r="1384">
      <c r="A1384" s="542"/>
      <c r="B1384" s="551" t="str">
        <f t="array" ref="B1384">IF(LEN(E1384),INDEX('4-All Devices'!AG:AG, MATCH(E1384, '4-All Devices'!AF:AF, 0)),"")</f>
        <v/>
      </c>
      <c r="C1384" s="549" t="s">
        <v>11186</v>
      </c>
      <c r="D1384" s="549" t="s">
        <v>11187</v>
      </c>
      <c r="E1384" s="8"/>
      <c r="F1384" s="552" t="s">
        <v>11188</v>
      </c>
      <c r="G1384" s="8"/>
      <c r="H1384" s="8"/>
      <c r="I1384" s="8"/>
      <c r="J1384" s="547"/>
      <c r="K1384" s="8"/>
      <c r="L1384" s="8"/>
      <c r="M1384" s="8"/>
    </row>
    <row r="1385">
      <c r="A1385" s="542"/>
      <c r="B1385" s="551" t="str">
        <f t="array" ref="B1385">IF(LEN(E1385),INDEX('4-All Devices'!AG:AG, MATCH(E1385, '4-All Devices'!AF:AF, 0)),"")</f>
        <v/>
      </c>
      <c r="C1385" s="549" t="s">
        <v>11186</v>
      </c>
      <c r="D1385" s="549" t="s">
        <v>11187</v>
      </c>
      <c r="E1385" s="8"/>
      <c r="F1385" s="552" t="s">
        <v>11188</v>
      </c>
      <c r="G1385" s="8"/>
      <c r="H1385" s="8"/>
      <c r="I1385" s="8"/>
      <c r="J1385" s="547"/>
      <c r="K1385" s="8"/>
      <c r="L1385" s="8"/>
      <c r="M1385" s="8"/>
    </row>
    <row r="1386">
      <c r="A1386" s="542"/>
      <c r="B1386" s="551" t="str">
        <f t="array" ref="B1386">IF(LEN(E1386),INDEX('4-All Devices'!AG:AG, MATCH(E1386, '4-All Devices'!AF:AF, 0)),"")</f>
        <v/>
      </c>
      <c r="C1386" s="549" t="s">
        <v>11186</v>
      </c>
      <c r="D1386" s="549" t="s">
        <v>11187</v>
      </c>
      <c r="E1386" s="8"/>
      <c r="F1386" s="552" t="s">
        <v>11188</v>
      </c>
      <c r="G1386" s="8"/>
      <c r="H1386" s="8"/>
      <c r="I1386" s="8"/>
      <c r="J1386" s="547"/>
      <c r="K1386" s="8"/>
      <c r="L1386" s="8"/>
      <c r="M1386" s="8"/>
    </row>
    <row r="1387">
      <c r="A1387" s="542"/>
      <c r="B1387" s="551" t="str">
        <f t="array" ref="B1387">IF(LEN(E1387),INDEX('4-All Devices'!AG:AG, MATCH(E1387, '4-All Devices'!AF:AF, 0)),"")</f>
        <v/>
      </c>
      <c r="C1387" s="549" t="s">
        <v>11186</v>
      </c>
      <c r="D1387" s="549" t="s">
        <v>11187</v>
      </c>
      <c r="E1387" s="8"/>
      <c r="F1387" s="552" t="s">
        <v>11188</v>
      </c>
      <c r="G1387" s="8"/>
      <c r="H1387" s="8"/>
      <c r="I1387" s="8"/>
      <c r="J1387" s="547"/>
      <c r="K1387" s="8"/>
      <c r="L1387" s="8"/>
      <c r="M1387" s="8"/>
    </row>
    <row r="1388">
      <c r="A1388" s="542"/>
      <c r="B1388" s="551" t="str">
        <f t="array" ref="B1388">IF(LEN(E1388),INDEX('4-All Devices'!AG:AG, MATCH(E1388, '4-All Devices'!AF:AF, 0)),"")</f>
        <v/>
      </c>
      <c r="C1388" s="549" t="s">
        <v>11186</v>
      </c>
      <c r="D1388" s="549" t="s">
        <v>11187</v>
      </c>
      <c r="E1388" s="8"/>
      <c r="F1388" s="552" t="s">
        <v>11188</v>
      </c>
      <c r="G1388" s="8"/>
      <c r="H1388" s="8"/>
      <c r="I1388" s="8"/>
      <c r="J1388" s="547"/>
      <c r="K1388" s="8"/>
      <c r="L1388" s="8"/>
      <c r="M1388" s="8"/>
    </row>
    <row r="1389">
      <c r="A1389" s="542"/>
      <c r="B1389" s="551" t="str">
        <f t="array" ref="B1389">IF(LEN(E1389),INDEX('4-All Devices'!AG:AG, MATCH(E1389, '4-All Devices'!AF:AF, 0)),"")</f>
        <v/>
      </c>
      <c r="C1389" s="549" t="s">
        <v>11186</v>
      </c>
      <c r="D1389" s="549" t="s">
        <v>11187</v>
      </c>
      <c r="E1389" s="8"/>
      <c r="F1389" s="552" t="s">
        <v>11188</v>
      </c>
      <c r="G1389" s="8"/>
      <c r="H1389" s="8"/>
      <c r="I1389" s="8"/>
      <c r="J1389" s="547"/>
      <c r="K1389" s="8"/>
      <c r="L1389" s="8"/>
      <c r="M1389" s="8"/>
    </row>
    <row r="1390">
      <c r="A1390" s="542"/>
      <c r="B1390" s="551" t="str">
        <f t="array" ref="B1390">IF(LEN(E1390),INDEX('4-All Devices'!AG:AG, MATCH(E1390, '4-All Devices'!AF:AF, 0)),"")</f>
        <v/>
      </c>
      <c r="C1390" s="549" t="s">
        <v>11186</v>
      </c>
      <c r="D1390" s="549" t="s">
        <v>11187</v>
      </c>
      <c r="E1390" s="8"/>
      <c r="F1390" s="552" t="s">
        <v>11188</v>
      </c>
      <c r="G1390" s="8"/>
      <c r="H1390" s="8"/>
      <c r="I1390" s="8"/>
      <c r="J1390" s="547"/>
      <c r="K1390" s="8"/>
      <c r="L1390" s="8"/>
      <c r="M1390" s="8"/>
    </row>
    <row r="1391">
      <c r="A1391" s="542"/>
      <c r="B1391" s="551" t="str">
        <f t="array" ref="B1391">IF(LEN(E1391),INDEX('4-All Devices'!AG:AG, MATCH(E1391, '4-All Devices'!AF:AF, 0)),"")</f>
        <v/>
      </c>
      <c r="C1391" s="549" t="s">
        <v>11186</v>
      </c>
      <c r="D1391" s="549" t="s">
        <v>11187</v>
      </c>
      <c r="E1391" s="8"/>
      <c r="F1391" s="552" t="s">
        <v>11188</v>
      </c>
      <c r="G1391" s="8"/>
      <c r="H1391" s="8"/>
      <c r="I1391" s="8"/>
      <c r="J1391" s="547"/>
      <c r="K1391" s="8"/>
      <c r="L1391" s="8"/>
      <c r="M1391" s="8"/>
    </row>
    <row r="1392">
      <c r="A1392" s="542"/>
      <c r="B1392" s="551" t="str">
        <f t="array" ref="B1392">IF(LEN(E1392),INDEX('4-All Devices'!AG:AG, MATCH(E1392, '4-All Devices'!AF:AF, 0)),"")</f>
        <v/>
      </c>
      <c r="C1392" s="549" t="s">
        <v>11186</v>
      </c>
      <c r="D1392" s="549" t="s">
        <v>11187</v>
      </c>
      <c r="E1392" s="8"/>
      <c r="F1392" s="552" t="s">
        <v>11188</v>
      </c>
      <c r="G1392" s="8"/>
      <c r="H1392" s="8"/>
      <c r="I1392" s="8"/>
      <c r="J1392" s="547"/>
      <c r="K1392" s="8"/>
      <c r="L1392" s="8"/>
      <c r="M1392" s="8"/>
    </row>
    <row r="1393">
      <c r="A1393" s="542"/>
      <c r="B1393" s="551" t="str">
        <f t="array" ref="B1393">IF(LEN(E1393),INDEX('4-All Devices'!AG:AG, MATCH(E1393, '4-All Devices'!AF:AF, 0)),"")</f>
        <v/>
      </c>
      <c r="C1393" s="549" t="s">
        <v>11186</v>
      </c>
      <c r="D1393" s="549" t="s">
        <v>11187</v>
      </c>
      <c r="E1393" s="8"/>
      <c r="F1393" s="552" t="s">
        <v>11188</v>
      </c>
      <c r="G1393" s="8"/>
      <c r="H1393" s="8"/>
      <c r="I1393" s="8"/>
      <c r="J1393" s="547"/>
      <c r="K1393" s="8"/>
      <c r="L1393" s="8"/>
      <c r="M1393" s="8"/>
    </row>
    <row r="1394">
      <c r="A1394" s="542"/>
      <c r="B1394" s="551" t="str">
        <f t="array" ref="B1394">IF(LEN(E1394),INDEX('4-All Devices'!AG:AG, MATCH(E1394, '4-All Devices'!AF:AF, 0)),"")</f>
        <v/>
      </c>
      <c r="C1394" s="549" t="s">
        <v>11186</v>
      </c>
      <c r="D1394" s="549" t="s">
        <v>11187</v>
      </c>
      <c r="E1394" s="8"/>
      <c r="F1394" s="552" t="s">
        <v>11188</v>
      </c>
      <c r="G1394" s="8"/>
      <c r="H1394" s="8"/>
      <c r="I1394" s="8"/>
      <c r="J1394" s="547"/>
      <c r="K1394" s="8"/>
      <c r="L1394" s="8"/>
      <c r="M1394" s="8"/>
    </row>
    <row r="1395">
      <c r="A1395" s="542"/>
      <c r="B1395" s="551" t="str">
        <f t="array" ref="B1395">IF(LEN(E1395),INDEX('4-All Devices'!AG:AG, MATCH(E1395, '4-All Devices'!AF:AF, 0)),"")</f>
        <v/>
      </c>
      <c r="C1395" s="549" t="s">
        <v>11186</v>
      </c>
      <c r="D1395" s="549" t="s">
        <v>11187</v>
      </c>
      <c r="E1395" s="8"/>
      <c r="F1395" s="552" t="s">
        <v>11188</v>
      </c>
      <c r="G1395" s="8"/>
      <c r="H1395" s="8"/>
      <c r="I1395" s="8"/>
      <c r="J1395" s="547"/>
      <c r="K1395" s="8"/>
      <c r="L1395" s="8"/>
      <c r="M1395" s="8"/>
    </row>
    <row r="1396">
      <c r="A1396" s="542"/>
      <c r="B1396" s="551" t="str">
        <f t="array" ref="B1396">IF(LEN(E1396),INDEX('4-All Devices'!AG:AG, MATCH(E1396, '4-All Devices'!AF:AF, 0)),"")</f>
        <v/>
      </c>
      <c r="C1396" s="549" t="s">
        <v>11186</v>
      </c>
      <c r="D1396" s="549" t="s">
        <v>11187</v>
      </c>
      <c r="E1396" s="8"/>
      <c r="F1396" s="552" t="s">
        <v>11188</v>
      </c>
      <c r="G1396" s="8"/>
      <c r="H1396" s="8"/>
      <c r="I1396" s="8"/>
      <c r="J1396" s="547"/>
      <c r="K1396" s="8"/>
      <c r="L1396" s="8"/>
      <c r="M1396" s="8"/>
    </row>
    <row r="1397">
      <c r="A1397" s="542"/>
      <c r="B1397" s="551" t="str">
        <f t="array" ref="B1397">IF(LEN(E1397),INDEX('4-All Devices'!AG:AG, MATCH(E1397, '4-All Devices'!AF:AF, 0)),"")</f>
        <v/>
      </c>
      <c r="C1397" s="549" t="s">
        <v>11186</v>
      </c>
      <c r="D1397" s="549" t="s">
        <v>11187</v>
      </c>
      <c r="E1397" s="8"/>
      <c r="F1397" s="552" t="s">
        <v>11188</v>
      </c>
      <c r="G1397" s="8"/>
      <c r="H1397" s="8"/>
      <c r="I1397" s="8"/>
      <c r="J1397" s="547"/>
      <c r="K1397" s="8"/>
      <c r="L1397" s="8"/>
      <c r="M1397" s="8"/>
    </row>
    <row r="1398">
      <c r="A1398" s="542"/>
      <c r="B1398" s="551" t="str">
        <f t="array" ref="B1398">IF(LEN(E1398),INDEX('4-All Devices'!AG:AG, MATCH(E1398, '4-All Devices'!AF:AF, 0)),"")</f>
        <v/>
      </c>
      <c r="C1398" s="549" t="s">
        <v>11186</v>
      </c>
      <c r="D1398" s="549" t="s">
        <v>11187</v>
      </c>
      <c r="E1398" s="8"/>
      <c r="F1398" s="552" t="s">
        <v>11188</v>
      </c>
      <c r="G1398" s="8"/>
      <c r="H1398" s="8"/>
      <c r="I1398" s="8"/>
      <c r="J1398" s="547"/>
      <c r="K1398" s="8"/>
      <c r="L1398" s="8"/>
      <c r="M1398" s="8"/>
    </row>
    <row r="1399">
      <c r="A1399" s="542"/>
      <c r="B1399" s="551" t="str">
        <f t="array" ref="B1399">IF(LEN(E1399),INDEX('4-All Devices'!AG:AG, MATCH(E1399, '4-All Devices'!AF:AF, 0)),"")</f>
        <v/>
      </c>
      <c r="C1399" s="549" t="s">
        <v>11186</v>
      </c>
      <c r="D1399" s="549" t="s">
        <v>11187</v>
      </c>
      <c r="E1399" s="8"/>
      <c r="F1399" s="552" t="s">
        <v>11188</v>
      </c>
      <c r="G1399" s="8"/>
      <c r="H1399" s="8"/>
      <c r="I1399" s="8"/>
      <c r="J1399" s="547"/>
      <c r="K1399" s="8"/>
      <c r="L1399" s="8"/>
      <c r="M1399" s="8"/>
    </row>
    <row r="1400">
      <c r="A1400" s="542"/>
      <c r="B1400" s="551" t="str">
        <f t="array" ref="B1400">IF(LEN(E1400),INDEX('4-All Devices'!AG:AG, MATCH(E1400, '4-All Devices'!AF:AF, 0)),"")</f>
        <v/>
      </c>
      <c r="C1400" s="549" t="s">
        <v>11186</v>
      </c>
      <c r="D1400" s="549" t="s">
        <v>11187</v>
      </c>
      <c r="E1400" s="8"/>
      <c r="F1400" s="552" t="s">
        <v>11188</v>
      </c>
      <c r="G1400" s="8"/>
      <c r="H1400" s="8"/>
      <c r="I1400" s="8"/>
      <c r="J1400" s="547"/>
      <c r="K1400" s="8"/>
      <c r="L1400" s="8"/>
      <c r="M1400" s="8"/>
    </row>
    <row r="1401">
      <c r="A1401" s="542"/>
      <c r="B1401" s="551" t="str">
        <f t="array" ref="B1401">IF(LEN(E1401),INDEX('4-All Devices'!AG:AG, MATCH(E1401, '4-All Devices'!AF:AF, 0)),"")</f>
        <v/>
      </c>
      <c r="C1401" s="549" t="s">
        <v>11186</v>
      </c>
      <c r="D1401" s="549" t="s">
        <v>11187</v>
      </c>
      <c r="E1401" s="8"/>
      <c r="F1401" s="552" t="s">
        <v>11188</v>
      </c>
      <c r="G1401" s="8"/>
      <c r="H1401" s="8"/>
      <c r="I1401" s="8"/>
      <c r="J1401" s="547"/>
      <c r="K1401" s="8"/>
      <c r="L1401" s="8"/>
      <c r="M1401" s="8"/>
    </row>
    <row r="1402">
      <c r="A1402" s="542"/>
      <c r="B1402" s="551" t="str">
        <f t="array" ref="B1402">IF(LEN(E1402),INDEX('4-All Devices'!AG:AG, MATCH(E1402, '4-All Devices'!AF:AF, 0)),"")</f>
        <v/>
      </c>
      <c r="C1402" s="549" t="s">
        <v>11186</v>
      </c>
      <c r="D1402" s="549" t="s">
        <v>11187</v>
      </c>
      <c r="E1402" s="8"/>
      <c r="F1402" s="552" t="s">
        <v>11188</v>
      </c>
      <c r="G1402" s="8"/>
      <c r="H1402" s="8"/>
      <c r="I1402" s="8"/>
      <c r="J1402" s="547"/>
      <c r="K1402" s="8"/>
      <c r="L1402" s="8"/>
      <c r="M1402" s="8"/>
    </row>
    <row r="1403">
      <c r="A1403" s="542"/>
      <c r="B1403" s="551" t="str">
        <f t="array" ref="B1403">IF(LEN(E1403),INDEX('4-All Devices'!AG:AG, MATCH(E1403, '4-All Devices'!AF:AF, 0)),"")</f>
        <v/>
      </c>
      <c r="C1403" s="549" t="s">
        <v>11186</v>
      </c>
      <c r="D1403" s="549" t="s">
        <v>11187</v>
      </c>
      <c r="E1403" s="8"/>
      <c r="F1403" s="552" t="s">
        <v>11188</v>
      </c>
      <c r="G1403" s="8"/>
      <c r="H1403" s="8"/>
      <c r="I1403" s="8"/>
      <c r="J1403" s="547"/>
      <c r="K1403" s="8"/>
      <c r="L1403" s="8"/>
      <c r="M1403" s="8"/>
    </row>
    <row r="1404">
      <c r="A1404" s="542"/>
      <c r="B1404" s="551" t="str">
        <f t="array" ref="B1404">IF(LEN(E1404),INDEX('4-All Devices'!AG:AG, MATCH(E1404, '4-All Devices'!AF:AF, 0)),"")</f>
        <v/>
      </c>
      <c r="C1404" s="549" t="s">
        <v>11186</v>
      </c>
      <c r="D1404" s="549" t="s">
        <v>11187</v>
      </c>
      <c r="E1404" s="8"/>
      <c r="F1404" s="552" t="s">
        <v>11188</v>
      </c>
      <c r="G1404" s="8"/>
      <c r="H1404" s="8"/>
      <c r="I1404" s="8"/>
      <c r="J1404" s="547"/>
      <c r="K1404" s="8"/>
      <c r="L1404" s="8"/>
      <c r="M1404" s="8"/>
    </row>
    <row r="1405">
      <c r="A1405" s="542"/>
      <c r="B1405" s="551" t="str">
        <f t="array" ref="B1405">IF(LEN(E1405),INDEX('4-All Devices'!AG:AG, MATCH(E1405, '4-All Devices'!AF:AF, 0)),"")</f>
        <v/>
      </c>
      <c r="C1405" s="549" t="s">
        <v>11186</v>
      </c>
      <c r="D1405" s="549" t="s">
        <v>11187</v>
      </c>
      <c r="E1405" s="8"/>
      <c r="F1405" s="552" t="s">
        <v>11188</v>
      </c>
      <c r="G1405" s="8"/>
      <c r="H1405" s="8"/>
      <c r="I1405" s="8"/>
      <c r="J1405" s="547"/>
      <c r="K1405" s="8"/>
      <c r="L1405" s="8"/>
      <c r="M1405" s="8"/>
    </row>
    <row r="1406">
      <c r="A1406" s="542"/>
      <c r="B1406" s="551" t="str">
        <f t="array" ref="B1406">IF(LEN(E1406),INDEX('4-All Devices'!AG:AG, MATCH(E1406, '4-All Devices'!AF:AF, 0)),"")</f>
        <v/>
      </c>
      <c r="C1406" s="549" t="s">
        <v>11186</v>
      </c>
      <c r="D1406" s="549" t="s">
        <v>11187</v>
      </c>
      <c r="E1406" s="8"/>
      <c r="F1406" s="552" t="s">
        <v>11188</v>
      </c>
      <c r="G1406" s="8"/>
      <c r="H1406" s="8"/>
      <c r="I1406" s="8"/>
      <c r="J1406" s="547"/>
      <c r="K1406" s="8"/>
      <c r="L1406" s="8"/>
      <c r="M1406" s="8"/>
    </row>
    <row r="1407">
      <c r="A1407" s="542"/>
      <c r="B1407" s="551" t="str">
        <f t="array" ref="B1407">IF(LEN(E1407),INDEX('4-All Devices'!AG:AG, MATCH(E1407, '4-All Devices'!AF:AF, 0)),"")</f>
        <v/>
      </c>
      <c r="C1407" s="549" t="s">
        <v>11186</v>
      </c>
      <c r="D1407" s="549" t="s">
        <v>11187</v>
      </c>
      <c r="E1407" s="8"/>
      <c r="F1407" s="552" t="s">
        <v>11188</v>
      </c>
      <c r="G1407" s="8"/>
      <c r="H1407" s="8"/>
      <c r="I1407" s="8"/>
      <c r="J1407" s="547"/>
      <c r="K1407" s="8"/>
      <c r="L1407" s="8"/>
      <c r="M1407" s="8"/>
    </row>
    <row r="1408">
      <c r="A1408" s="542"/>
      <c r="B1408" s="551" t="str">
        <f t="array" ref="B1408">IF(LEN(E1408),INDEX('4-All Devices'!AG:AG, MATCH(E1408, '4-All Devices'!AF:AF, 0)),"")</f>
        <v/>
      </c>
      <c r="C1408" s="549" t="s">
        <v>11186</v>
      </c>
      <c r="D1408" s="549" t="s">
        <v>11187</v>
      </c>
      <c r="E1408" s="8"/>
      <c r="F1408" s="552" t="s">
        <v>11188</v>
      </c>
      <c r="G1408" s="8"/>
      <c r="H1408" s="8"/>
      <c r="I1408" s="8"/>
      <c r="J1408" s="547"/>
      <c r="K1408" s="8"/>
      <c r="L1408" s="8"/>
      <c r="M1408" s="8"/>
    </row>
    <row r="1409">
      <c r="A1409" s="542"/>
      <c r="B1409" s="551" t="str">
        <f t="array" ref="B1409">IF(LEN(E1409),INDEX('4-All Devices'!AG:AG, MATCH(E1409, '4-All Devices'!AF:AF, 0)),"")</f>
        <v/>
      </c>
      <c r="C1409" s="549" t="s">
        <v>11186</v>
      </c>
      <c r="D1409" s="549" t="s">
        <v>11187</v>
      </c>
      <c r="E1409" s="8"/>
      <c r="F1409" s="552" t="s">
        <v>11188</v>
      </c>
      <c r="G1409" s="8"/>
      <c r="H1409" s="8"/>
      <c r="I1409" s="8"/>
      <c r="J1409" s="547"/>
      <c r="K1409" s="8"/>
      <c r="L1409" s="8"/>
      <c r="M1409" s="8"/>
    </row>
    <row r="1410">
      <c r="A1410" s="542"/>
      <c r="B1410" s="551" t="str">
        <f t="array" ref="B1410">IF(LEN(E1410),INDEX('4-All Devices'!AG:AG, MATCH(E1410, '4-All Devices'!AF:AF, 0)),"")</f>
        <v/>
      </c>
      <c r="C1410" s="549" t="s">
        <v>11186</v>
      </c>
      <c r="D1410" s="549" t="s">
        <v>11187</v>
      </c>
      <c r="E1410" s="8"/>
      <c r="F1410" s="552" t="s">
        <v>11188</v>
      </c>
      <c r="G1410" s="8"/>
      <c r="H1410" s="8"/>
      <c r="I1410" s="8"/>
      <c r="J1410" s="547"/>
      <c r="K1410" s="8"/>
      <c r="L1410" s="8"/>
      <c r="M1410" s="8"/>
    </row>
    <row r="1411">
      <c r="A1411" s="542"/>
      <c r="B1411" s="551" t="str">
        <f t="array" ref="B1411">IF(LEN(E1411),INDEX('4-All Devices'!AG:AG, MATCH(E1411, '4-All Devices'!AF:AF, 0)),"")</f>
        <v/>
      </c>
      <c r="C1411" s="549" t="s">
        <v>11186</v>
      </c>
      <c r="D1411" s="549" t="s">
        <v>11187</v>
      </c>
      <c r="E1411" s="8"/>
      <c r="F1411" s="552" t="s">
        <v>11188</v>
      </c>
      <c r="G1411" s="8"/>
      <c r="H1411" s="8"/>
      <c r="I1411" s="8"/>
      <c r="J1411" s="547"/>
      <c r="K1411" s="8"/>
      <c r="L1411" s="8"/>
      <c r="M1411" s="8"/>
    </row>
    <row r="1412">
      <c r="A1412" s="542"/>
      <c r="B1412" s="551" t="str">
        <f t="array" ref="B1412">IF(LEN(E1412),INDEX('4-All Devices'!AG:AG, MATCH(E1412, '4-All Devices'!AF:AF, 0)),"")</f>
        <v/>
      </c>
      <c r="C1412" s="549" t="s">
        <v>11186</v>
      </c>
      <c r="D1412" s="549" t="s">
        <v>11187</v>
      </c>
      <c r="E1412" s="8"/>
      <c r="F1412" s="552" t="s">
        <v>11188</v>
      </c>
      <c r="G1412" s="8"/>
      <c r="H1412" s="8"/>
      <c r="I1412" s="8"/>
      <c r="J1412" s="547"/>
      <c r="K1412" s="8"/>
      <c r="L1412" s="8"/>
      <c r="M1412" s="8"/>
    </row>
    <row r="1413">
      <c r="A1413" s="542"/>
      <c r="B1413" s="551" t="str">
        <f t="array" ref="B1413">IF(LEN(E1413),INDEX('4-All Devices'!AG:AG, MATCH(E1413, '4-All Devices'!AF:AF, 0)),"")</f>
        <v/>
      </c>
      <c r="C1413" s="549" t="s">
        <v>11186</v>
      </c>
      <c r="D1413" s="549" t="s">
        <v>11187</v>
      </c>
      <c r="E1413" s="8"/>
      <c r="F1413" s="552" t="s">
        <v>11188</v>
      </c>
      <c r="G1413" s="8"/>
      <c r="H1413" s="8"/>
      <c r="I1413" s="8"/>
      <c r="J1413" s="547"/>
      <c r="K1413" s="8"/>
      <c r="L1413" s="8"/>
      <c r="M1413" s="8"/>
    </row>
    <row r="1414">
      <c r="A1414" s="542"/>
      <c r="B1414" s="551" t="str">
        <f t="array" ref="B1414">IF(LEN(E1414),INDEX('4-All Devices'!AG:AG, MATCH(E1414, '4-All Devices'!AF:AF, 0)),"")</f>
        <v/>
      </c>
      <c r="C1414" s="549" t="s">
        <v>11186</v>
      </c>
      <c r="D1414" s="549" t="s">
        <v>11187</v>
      </c>
      <c r="E1414" s="8"/>
      <c r="F1414" s="552" t="s">
        <v>11188</v>
      </c>
      <c r="G1414" s="8"/>
      <c r="H1414" s="8"/>
      <c r="I1414" s="8"/>
      <c r="J1414" s="547"/>
      <c r="K1414" s="8"/>
      <c r="L1414" s="8"/>
      <c r="M1414" s="8"/>
    </row>
    <row r="1415">
      <c r="A1415" s="542"/>
      <c r="B1415" s="551" t="str">
        <f t="array" ref="B1415">IF(LEN(E1415),INDEX('4-All Devices'!AG:AG, MATCH(E1415, '4-All Devices'!AF:AF, 0)),"")</f>
        <v/>
      </c>
      <c r="C1415" s="549" t="s">
        <v>11186</v>
      </c>
      <c r="D1415" s="549" t="s">
        <v>11187</v>
      </c>
      <c r="E1415" s="8"/>
      <c r="F1415" s="552" t="s">
        <v>11188</v>
      </c>
      <c r="G1415" s="8"/>
      <c r="H1415" s="8"/>
      <c r="I1415" s="8"/>
      <c r="J1415" s="547"/>
      <c r="K1415" s="8"/>
      <c r="L1415" s="8"/>
      <c r="M1415" s="8"/>
    </row>
    <row r="1416">
      <c r="A1416" s="542"/>
      <c r="B1416" s="551" t="str">
        <f t="array" ref="B1416">IF(LEN(E1416),INDEX('4-All Devices'!AG:AG, MATCH(E1416, '4-All Devices'!AF:AF, 0)),"")</f>
        <v/>
      </c>
      <c r="C1416" s="549" t="s">
        <v>11186</v>
      </c>
      <c r="D1416" s="549" t="s">
        <v>11187</v>
      </c>
      <c r="E1416" s="8"/>
      <c r="F1416" s="552" t="s">
        <v>11188</v>
      </c>
      <c r="G1416" s="8"/>
      <c r="H1416" s="8"/>
      <c r="I1416" s="8"/>
      <c r="J1416" s="547"/>
      <c r="K1416" s="8"/>
      <c r="L1416" s="8"/>
      <c r="M1416" s="8"/>
    </row>
    <row r="1417">
      <c r="A1417" s="542"/>
      <c r="B1417" s="551" t="str">
        <f t="array" ref="B1417">IF(LEN(E1417),INDEX('4-All Devices'!AG:AG, MATCH(E1417, '4-All Devices'!AF:AF, 0)),"")</f>
        <v/>
      </c>
      <c r="C1417" s="549" t="s">
        <v>11186</v>
      </c>
      <c r="D1417" s="549" t="s">
        <v>11187</v>
      </c>
      <c r="E1417" s="8"/>
      <c r="F1417" s="552" t="s">
        <v>11188</v>
      </c>
      <c r="G1417" s="8"/>
      <c r="H1417" s="8"/>
      <c r="I1417" s="8"/>
      <c r="J1417" s="547"/>
      <c r="K1417" s="8"/>
      <c r="L1417" s="8"/>
      <c r="M1417" s="8"/>
    </row>
    <row r="1418">
      <c r="A1418" s="542"/>
      <c r="B1418" s="551" t="str">
        <f t="array" ref="B1418">IF(LEN(E1418),INDEX('4-All Devices'!AG:AG, MATCH(E1418, '4-All Devices'!AF:AF, 0)),"")</f>
        <v/>
      </c>
      <c r="C1418" s="549" t="s">
        <v>11186</v>
      </c>
      <c r="D1418" s="549" t="s">
        <v>11187</v>
      </c>
      <c r="E1418" s="8"/>
      <c r="F1418" s="552" t="s">
        <v>11188</v>
      </c>
      <c r="G1418" s="8"/>
      <c r="H1418" s="8"/>
      <c r="I1418" s="8"/>
      <c r="J1418" s="547"/>
      <c r="K1418" s="8"/>
      <c r="L1418" s="8"/>
      <c r="M1418" s="8"/>
    </row>
    <row r="1419">
      <c r="A1419" s="542"/>
      <c r="B1419" s="551" t="str">
        <f t="array" ref="B1419">IF(LEN(E1419),INDEX('4-All Devices'!AG:AG, MATCH(E1419, '4-All Devices'!AF:AF, 0)),"")</f>
        <v/>
      </c>
      <c r="C1419" s="549" t="s">
        <v>11186</v>
      </c>
      <c r="D1419" s="549" t="s">
        <v>11187</v>
      </c>
      <c r="E1419" s="8"/>
      <c r="F1419" s="552" t="s">
        <v>11188</v>
      </c>
      <c r="G1419" s="8"/>
      <c r="H1419" s="8"/>
      <c r="I1419" s="8"/>
      <c r="J1419" s="547"/>
      <c r="K1419" s="8"/>
      <c r="L1419" s="8"/>
      <c r="M1419" s="8"/>
    </row>
    <row r="1420">
      <c r="A1420" s="542"/>
      <c r="B1420" s="551" t="str">
        <f t="array" ref="B1420">IF(LEN(E1420),INDEX('4-All Devices'!AG:AG, MATCH(E1420, '4-All Devices'!AF:AF, 0)),"")</f>
        <v/>
      </c>
      <c r="C1420" s="549" t="s">
        <v>11186</v>
      </c>
      <c r="D1420" s="549" t="s">
        <v>11187</v>
      </c>
      <c r="E1420" s="8"/>
      <c r="F1420" s="552" t="s">
        <v>11188</v>
      </c>
      <c r="G1420" s="8"/>
      <c r="H1420" s="8"/>
      <c r="I1420" s="8"/>
      <c r="J1420" s="547"/>
      <c r="K1420" s="8"/>
      <c r="L1420" s="8"/>
      <c r="M1420" s="8"/>
    </row>
    <row r="1421">
      <c r="A1421" s="542"/>
      <c r="B1421" s="551" t="str">
        <f t="array" ref="B1421">IF(LEN(E1421),INDEX('4-All Devices'!AG:AG, MATCH(E1421, '4-All Devices'!AF:AF, 0)),"")</f>
        <v/>
      </c>
      <c r="C1421" s="549" t="s">
        <v>11186</v>
      </c>
      <c r="D1421" s="549" t="s">
        <v>11187</v>
      </c>
      <c r="E1421" s="8"/>
      <c r="F1421" s="552" t="s">
        <v>11188</v>
      </c>
      <c r="G1421" s="8"/>
      <c r="H1421" s="8"/>
      <c r="I1421" s="8"/>
      <c r="J1421" s="547"/>
      <c r="K1421" s="8"/>
      <c r="L1421" s="8"/>
      <c r="M1421" s="8"/>
    </row>
    <row r="1422">
      <c r="A1422" s="542"/>
      <c r="B1422" s="551" t="str">
        <f t="array" ref="B1422">IF(LEN(E1422),INDEX('4-All Devices'!AG:AG, MATCH(E1422, '4-All Devices'!AF:AF, 0)),"")</f>
        <v/>
      </c>
      <c r="C1422" s="549" t="s">
        <v>11186</v>
      </c>
      <c r="D1422" s="549" t="s">
        <v>11187</v>
      </c>
      <c r="E1422" s="8"/>
      <c r="F1422" s="552" t="s">
        <v>11188</v>
      </c>
      <c r="G1422" s="8"/>
      <c r="H1422" s="8"/>
      <c r="I1422" s="8"/>
      <c r="J1422" s="547"/>
      <c r="K1422" s="8"/>
      <c r="L1422" s="8"/>
      <c r="M1422" s="8"/>
    </row>
    <row r="1423">
      <c r="A1423" s="542"/>
      <c r="B1423" s="551" t="str">
        <f t="array" ref="B1423">IF(LEN(E1423),INDEX('4-All Devices'!AG:AG, MATCH(E1423, '4-All Devices'!AF:AF, 0)),"")</f>
        <v/>
      </c>
      <c r="C1423" s="549" t="s">
        <v>11186</v>
      </c>
      <c r="D1423" s="549" t="s">
        <v>11187</v>
      </c>
      <c r="E1423" s="8"/>
      <c r="F1423" s="552" t="s">
        <v>11188</v>
      </c>
      <c r="G1423" s="8"/>
      <c r="H1423" s="8"/>
      <c r="I1423" s="8"/>
      <c r="J1423" s="547"/>
      <c r="K1423" s="8"/>
      <c r="L1423" s="8"/>
      <c r="M1423" s="8"/>
    </row>
    <row r="1424">
      <c r="A1424" s="542"/>
      <c r="B1424" s="551" t="str">
        <f t="array" ref="B1424">IF(LEN(E1424),INDEX('4-All Devices'!AG:AG, MATCH(E1424, '4-All Devices'!AF:AF, 0)),"")</f>
        <v/>
      </c>
      <c r="C1424" s="549" t="s">
        <v>11186</v>
      </c>
      <c r="D1424" s="549" t="s">
        <v>11187</v>
      </c>
      <c r="E1424" s="8"/>
      <c r="F1424" s="552" t="s">
        <v>11188</v>
      </c>
      <c r="G1424" s="8"/>
      <c r="H1424" s="8"/>
      <c r="I1424" s="8"/>
      <c r="J1424" s="547"/>
      <c r="K1424" s="8"/>
      <c r="L1424" s="8"/>
      <c r="M1424" s="8"/>
    </row>
    <row r="1425">
      <c r="A1425" s="542"/>
      <c r="B1425" s="551" t="str">
        <f t="array" ref="B1425">IF(LEN(E1425),INDEX('4-All Devices'!AG:AG, MATCH(E1425, '4-All Devices'!AF:AF, 0)),"")</f>
        <v/>
      </c>
      <c r="C1425" s="549" t="s">
        <v>11186</v>
      </c>
      <c r="D1425" s="549" t="s">
        <v>11187</v>
      </c>
      <c r="E1425" s="8"/>
      <c r="F1425" s="552" t="s">
        <v>11188</v>
      </c>
      <c r="G1425" s="8"/>
      <c r="H1425" s="8"/>
      <c r="I1425" s="8"/>
      <c r="J1425" s="547"/>
      <c r="K1425" s="8"/>
      <c r="L1425" s="8"/>
      <c r="M1425" s="8"/>
    </row>
    <row r="1426">
      <c r="A1426" s="542"/>
      <c r="B1426" s="551" t="str">
        <f t="array" ref="B1426">IF(LEN(E1426),INDEX('4-All Devices'!AG:AG, MATCH(E1426, '4-All Devices'!AF:AF, 0)),"")</f>
        <v/>
      </c>
      <c r="C1426" s="549" t="s">
        <v>11186</v>
      </c>
      <c r="D1426" s="549" t="s">
        <v>11187</v>
      </c>
      <c r="E1426" s="8"/>
      <c r="F1426" s="552" t="s">
        <v>11188</v>
      </c>
      <c r="G1426" s="8"/>
      <c r="H1426" s="8"/>
      <c r="I1426" s="8"/>
      <c r="J1426" s="547"/>
      <c r="K1426" s="8"/>
      <c r="L1426" s="8"/>
      <c r="M1426" s="8"/>
    </row>
    <row r="1427">
      <c r="A1427" s="542"/>
      <c r="B1427" s="551" t="str">
        <f t="array" ref="B1427">IF(LEN(E1427),INDEX('4-All Devices'!AG:AG, MATCH(E1427, '4-All Devices'!AF:AF, 0)),"")</f>
        <v/>
      </c>
      <c r="C1427" s="549" t="s">
        <v>11186</v>
      </c>
      <c r="D1427" s="549" t="s">
        <v>11187</v>
      </c>
      <c r="E1427" s="8"/>
      <c r="F1427" s="552" t="s">
        <v>11188</v>
      </c>
      <c r="G1427" s="8"/>
      <c r="H1427" s="8"/>
      <c r="I1427" s="8"/>
      <c r="J1427" s="547"/>
      <c r="K1427" s="8"/>
      <c r="L1427" s="8"/>
      <c r="M1427" s="8"/>
    </row>
    <row r="1428">
      <c r="A1428" s="542"/>
      <c r="B1428" s="551" t="str">
        <f t="array" ref="B1428">IF(LEN(E1428),INDEX('4-All Devices'!AG:AG, MATCH(E1428, '4-All Devices'!AF:AF, 0)),"")</f>
        <v/>
      </c>
      <c r="C1428" s="549" t="s">
        <v>11186</v>
      </c>
      <c r="D1428" s="549" t="s">
        <v>11187</v>
      </c>
      <c r="E1428" s="8"/>
      <c r="F1428" s="552" t="s">
        <v>11188</v>
      </c>
      <c r="G1428" s="8"/>
      <c r="H1428" s="8"/>
      <c r="I1428" s="8"/>
      <c r="J1428" s="547"/>
      <c r="K1428" s="8"/>
      <c r="L1428" s="8"/>
      <c r="M1428" s="8"/>
    </row>
    <row r="1429">
      <c r="A1429" s="542"/>
      <c r="B1429" s="551" t="str">
        <f t="array" ref="B1429">IF(LEN(E1429),INDEX('4-All Devices'!AG:AG, MATCH(E1429, '4-All Devices'!AF:AF, 0)),"")</f>
        <v/>
      </c>
      <c r="C1429" s="549" t="s">
        <v>11186</v>
      </c>
      <c r="D1429" s="549" t="s">
        <v>11187</v>
      </c>
      <c r="E1429" s="8"/>
      <c r="F1429" s="552" t="s">
        <v>11188</v>
      </c>
      <c r="G1429" s="8"/>
      <c r="H1429" s="8"/>
      <c r="I1429" s="8"/>
      <c r="J1429" s="547"/>
      <c r="K1429" s="8"/>
      <c r="L1429" s="8"/>
      <c r="M1429" s="8"/>
    </row>
    <row r="1430">
      <c r="A1430" s="542"/>
      <c r="B1430" s="551" t="str">
        <f t="array" ref="B1430">IF(LEN(E1430),INDEX('4-All Devices'!AG:AG, MATCH(E1430, '4-All Devices'!AF:AF, 0)),"")</f>
        <v/>
      </c>
      <c r="C1430" s="549" t="s">
        <v>11186</v>
      </c>
      <c r="D1430" s="549" t="s">
        <v>11187</v>
      </c>
      <c r="E1430" s="8"/>
      <c r="F1430" s="552" t="s">
        <v>11188</v>
      </c>
      <c r="G1430" s="8"/>
      <c r="H1430" s="8"/>
      <c r="I1430" s="8"/>
      <c r="J1430" s="547"/>
      <c r="K1430" s="8"/>
      <c r="L1430" s="8"/>
      <c r="M1430" s="8"/>
    </row>
    <row r="1431">
      <c r="A1431" s="542"/>
      <c r="B1431" s="551" t="str">
        <f t="array" ref="B1431">IF(LEN(E1431),INDEX('4-All Devices'!AG:AG, MATCH(E1431, '4-All Devices'!AF:AF, 0)),"")</f>
        <v/>
      </c>
      <c r="C1431" s="549" t="s">
        <v>11186</v>
      </c>
      <c r="D1431" s="549" t="s">
        <v>11187</v>
      </c>
      <c r="E1431" s="8"/>
      <c r="F1431" s="552" t="s">
        <v>11188</v>
      </c>
      <c r="G1431" s="8"/>
      <c r="H1431" s="8"/>
      <c r="I1431" s="8"/>
      <c r="J1431" s="547"/>
      <c r="K1431" s="8"/>
      <c r="L1431" s="8"/>
      <c r="M1431" s="8"/>
    </row>
    <row r="1432">
      <c r="A1432" s="542"/>
      <c r="B1432" s="551" t="str">
        <f t="array" ref="B1432">IF(LEN(E1432),INDEX('4-All Devices'!AG:AG, MATCH(E1432, '4-All Devices'!AF:AF, 0)),"")</f>
        <v/>
      </c>
      <c r="C1432" s="549" t="s">
        <v>11186</v>
      </c>
      <c r="D1432" s="549" t="s">
        <v>11187</v>
      </c>
      <c r="E1432" s="8"/>
      <c r="F1432" s="552" t="s">
        <v>11188</v>
      </c>
      <c r="G1432" s="8"/>
      <c r="H1432" s="8"/>
      <c r="I1432" s="8"/>
      <c r="J1432" s="547"/>
      <c r="K1432" s="8"/>
      <c r="L1432" s="8"/>
      <c r="M1432" s="8"/>
    </row>
    <row r="1433">
      <c r="A1433" s="542"/>
      <c r="B1433" s="551" t="str">
        <f t="array" ref="B1433">IF(LEN(E1433),INDEX('4-All Devices'!AG:AG, MATCH(E1433, '4-All Devices'!AF:AF, 0)),"")</f>
        <v/>
      </c>
      <c r="C1433" s="549" t="s">
        <v>11186</v>
      </c>
      <c r="D1433" s="549" t="s">
        <v>11187</v>
      </c>
      <c r="E1433" s="8"/>
      <c r="F1433" s="552" t="s">
        <v>11188</v>
      </c>
      <c r="G1433" s="8"/>
      <c r="H1433" s="8"/>
      <c r="I1433" s="8"/>
      <c r="J1433" s="547"/>
      <c r="K1433" s="8"/>
      <c r="L1433" s="8"/>
      <c r="M1433" s="8"/>
    </row>
    <row r="1434">
      <c r="A1434" s="542"/>
      <c r="B1434" s="551" t="str">
        <f t="array" ref="B1434">IF(LEN(E1434),INDEX('4-All Devices'!AG:AG, MATCH(E1434, '4-All Devices'!AF:AF, 0)),"")</f>
        <v/>
      </c>
      <c r="C1434" s="549" t="s">
        <v>11186</v>
      </c>
      <c r="D1434" s="549" t="s">
        <v>11187</v>
      </c>
      <c r="E1434" s="8"/>
      <c r="F1434" s="552" t="s">
        <v>11188</v>
      </c>
      <c r="G1434" s="8"/>
      <c r="H1434" s="8"/>
      <c r="I1434" s="8"/>
      <c r="J1434" s="547"/>
      <c r="K1434" s="8"/>
      <c r="L1434" s="8"/>
      <c r="M1434" s="8"/>
    </row>
    <row r="1435">
      <c r="A1435" s="542"/>
      <c r="B1435" s="551" t="str">
        <f t="array" ref="B1435">IF(LEN(E1435),INDEX('4-All Devices'!AG:AG, MATCH(E1435, '4-All Devices'!AF:AF, 0)),"")</f>
        <v/>
      </c>
      <c r="C1435" s="549" t="s">
        <v>11186</v>
      </c>
      <c r="D1435" s="549" t="s">
        <v>11187</v>
      </c>
      <c r="E1435" s="8"/>
      <c r="F1435" s="552" t="s">
        <v>11188</v>
      </c>
      <c r="G1435" s="8"/>
      <c r="H1435" s="8"/>
      <c r="I1435" s="8"/>
      <c r="J1435" s="547"/>
      <c r="K1435" s="8"/>
      <c r="L1435" s="8"/>
      <c r="M1435" s="8"/>
    </row>
    <row r="1436">
      <c r="A1436" s="542"/>
      <c r="B1436" s="551" t="str">
        <f t="array" ref="B1436">IF(LEN(E1436),INDEX('4-All Devices'!AG:AG, MATCH(E1436, '4-All Devices'!AF:AF, 0)),"")</f>
        <v/>
      </c>
      <c r="C1436" s="549" t="s">
        <v>11186</v>
      </c>
      <c r="D1436" s="549" t="s">
        <v>11187</v>
      </c>
      <c r="E1436" s="8"/>
      <c r="F1436" s="552" t="s">
        <v>11188</v>
      </c>
      <c r="G1436" s="8"/>
      <c r="H1436" s="8"/>
      <c r="I1436" s="8"/>
      <c r="J1436" s="547"/>
      <c r="K1436" s="8"/>
      <c r="L1436" s="8"/>
      <c r="M1436" s="8"/>
    </row>
    <row r="1437">
      <c r="A1437" s="542"/>
      <c r="B1437" s="551" t="str">
        <f t="array" ref="B1437">IF(LEN(E1437),INDEX('4-All Devices'!AG:AG, MATCH(E1437, '4-All Devices'!AF:AF, 0)),"")</f>
        <v/>
      </c>
      <c r="C1437" s="549" t="s">
        <v>11186</v>
      </c>
      <c r="D1437" s="549" t="s">
        <v>11187</v>
      </c>
      <c r="E1437" s="8"/>
      <c r="F1437" s="552" t="s">
        <v>11188</v>
      </c>
      <c r="G1437" s="8"/>
      <c r="H1437" s="8"/>
      <c r="I1437" s="8"/>
      <c r="J1437" s="547"/>
      <c r="K1437" s="8"/>
      <c r="L1437" s="8"/>
      <c r="M1437" s="8"/>
    </row>
    <row r="1438">
      <c r="A1438" s="542"/>
      <c r="B1438" s="551" t="str">
        <f t="array" ref="B1438">IF(LEN(E1438),INDEX('4-All Devices'!AG:AG, MATCH(E1438, '4-All Devices'!AF:AF, 0)),"")</f>
        <v/>
      </c>
      <c r="C1438" s="549" t="s">
        <v>11186</v>
      </c>
      <c r="D1438" s="549" t="s">
        <v>11187</v>
      </c>
      <c r="E1438" s="8"/>
      <c r="F1438" s="552" t="s">
        <v>11188</v>
      </c>
      <c r="G1438" s="8"/>
      <c r="H1438" s="8"/>
      <c r="I1438" s="8"/>
      <c r="J1438" s="547"/>
      <c r="K1438" s="8"/>
      <c r="L1438" s="8"/>
      <c r="M1438" s="8"/>
    </row>
    <row r="1439">
      <c r="A1439" s="542"/>
      <c r="B1439" s="551" t="str">
        <f t="array" ref="B1439">IF(LEN(E1439),INDEX('4-All Devices'!AG:AG, MATCH(E1439, '4-All Devices'!AF:AF, 0)),"")</f>
        <v/>
      </c>
      <c r="C1439" s="549" t="s">
        <v>11186</v>
      </c>
      <c r="D1439" s="549" t="s">
        <v>11187</v>
      </c>
      <c r="E1439" s="8"/>
      <c r="F1439" s="552" t="s">
        <v>11188</v>
      </c>
      <c r="G1439" s="8"/>
      <c r="H1439" s="8"/>
      <c r="I1439" s="8"/>
      <c r="J1439" s="547"/>
      <c r="K1439" s="8"/>
      <c r="L1439" s="8"/>
      <c r="M1439" s="8"/>
    </row>
    <row r="1440">
      <c r="A1440" s="542"/>
      <c r="B1440" s="551" t="str">
        <f t="array" ref="B1440">IF(LEN(E1440),INDEX('4-All Devices'!AG:AG, MATCH(E1440, '4-All Devices'!AF:AF, 0)),"")</f>
        <v/>
      </c>
      <c r="C1440" s="549" t="s">
        <v>11186</v>
      </c>
      <c r="D1440" s="549" t="s">
        <v>11187</v>
      </c>
      <c r="E1440" s="8"/>
      <c r="F1440" s="552" t="s">
        <v>11188</v>
      </c>
      <c r="G1440" s="8"/>
      <c r="H1440" s="8"/>
      <c r="I1440" s="8"/>
      <c r="J1440" s="547"/>
      <c r="K1440" s="8"/>
      <c r="L1440" s="8"/>
      <c r="M1440" s="8"/>
    </row>
    <row r="1441">
      <c r="A1441" s="542"/>
      <c r="B1441" s="551" t="str">
        <f t="array" ref="B1441">IF(LEN(E1441),INDEX('4-All Devices'!AG:AG, MATCH(E1441, '4-All Devices'!AF:AF, 0)),"")</f>
        <v/>
      </c>
      <c r="C1441" s="549" t="s">
        <v>11186</v>
      </c>
      <c r="D1441" s="549" t="s">
        <v>11187</v>
      </c>
      <c r="E1441" s="8"/>
      <c r="F1441" s="552" t="s">
        <v>11188</v>
      </c>
      <c r="G1441" s="8"/>
      <c r="H1441" s="8"/>
      <c r="I1441" s="8"/>
      <c r="J1441" s="547"/>
      <c r="K1441" s="8"/>
      <c r="L1441" s="8"/>
      <c r="M1441" s="8"/>
    </row>
    <row r="1442">
      <c r="A1442" s="542"/>
      <c r="B1442" s="551" t="str">
        <f t="array" ref="B1442">IF(LEN(E1442),INDEX('4-All Devices'!AG:AG, MATCH(E1442, '4-All Devices'!AF:AF, 0)),"")</f>
        <v/>
      </c>
      <c r="C1442" s="549" t="s">
        <v>11186</v>
      </c>
      <c r="D1442" s="549" t="s">
        <v>11187</v>
      </c>
      <c r="E1442" s="8"/>
      <c r="F1442" s="552" t="s">
        <v>11188</v>
      </c>
      <c r="G1442" s="8"/>
      <c r="H1442" s="8"/>
      <c r="I1442" s="8"/>
      <c r="J1442" s="547"/>
      <c r="K1442" s="8"/>
      <c r="L1442" s="8"/>
      <c r="M1442" s="8"/>
    </row>
    <row r="1443">
      <c r="A1443" s="542"/>
      <c r="B1443" s="551" t="str">
        <f t="array" ref="B1443">IF(LEN(E1443),INDEX('4-All Devices'!AG:AG, MATCH(E1443, '4-All Devices'!AF:AF, 0)),"")</f>
        <v/>
      </c>
      <c r="C1443" s="549" t="s">
        <v>11186</v>
      </c>
      <c r="D1443" s="549" t="s">
        <v>11187</v>
      </c>
      <c r="E1443" s="8"/>
      <c r="F1443" s="552" t="s">
        <v>11188</v>
      </c>
      <c r="G1443" s="8"/>
      <c r="H1443" s="8"/>
      <c r="I1443" s="8"/>
      <c r="J1443" s="547"/>
      <c r="K1443" s="8"/>
      <c r="L1443" s="8"/>
      <c r="M1443" s="8"/>
    </row>
    <row r="1444">
      <c r="A1444" s="542"/>
      <c r="B1444" s="551" t="str">
        <f t="array" ref="B1444">IF(LEN(E1444),INDEX('4-All Devices'!AG:AG, MATCH(E1444, '4-All Devices'!AF:AF, 0)),"")</f>
        <v/>
      </c>
      <c r="C1444" s="549" t="s">
        <v>11186</v>
      </c>
      <c r="D1444" s="549" t="s">
        <v>11187</v>
      </c>
      <c r="E1444" s="8"/>
      <c r="F1444" s="552" t="s">
        <v>11188</v>
      </c>
      <c r="G1444" s="8"/>
      <c r="H1444" s="8"/>
      <c r="I1444" s="8"/>
      <c r="J1444" s="547"/>
      <c r="K1444" s="8"/>
      <c r="L1444" s="8"/>
      <c r="M1444" s="8"/>
    </row>
    <row r="1445">
      <c r="A1445" s="542"/>
      <c r="B1445" s="551" t="str">
        <f t="array" ref="B1445">IF(LEN(E1445),INDEX('4-All Devices'!AG:AG, MATCH(E1445, '4-All Devices'!AF:AF, 0)),"")</f>
        <v/>
      </c>
      <c r="C1445" s="549" t="s">
        <v>11186</v>
      </c>
      <c r="D1445" s="549" t="s">
        <v>11187</v>
      </c>
      <c r="E1445" s="8"/>
      <c r="F1445" s="552" t="s">
        <v>11188</v>
      </c>
      <c r="G1445" s="8"/>
      <c r="H1445" s="8"/>
      <c r="I1445" s="8"/>
      <c r="J1445" s="547"/>
      <c r="K1445" s="8"/>
      <c r="L1445" s="8"/>
      <c r="M1445" s="8"/>
    </row>
    <row r="1446">
      <c r="A1446" s="542"/>
      <c r="B1446" s="551" t="str">
        <f t="array" ref="B1446">IF(LEN(E1446),INDEX('4-All Devices'!AG:AG, MATCH(E1446, '4-All Devices'!AF:AF, 0)),"")</f>
        <v/>
      </c>
      <c r="C1446" s="549" t="s">
        <v>11186</v>
      </c>
      <c r="D1446" s="549" t="s">
        <v>11187</v>
      </c>
      <c r="E1446" s="8"/>
      <c r="F1446" s="552" t="s">
        <v>11188</v>
      </c>
      <c r="G1446" s="8"/>
      <c r="H1446" s="8"/>
      <c r="I1446" s="8"/>
      <c r="J1446" s="547"/>
      <c r="K1446" s="8"/>
      <c r="L1446" s="8"/>
      <c r="M1446" s="8"/>
    </row>
    <row r="1447">
      <c r="A1447" s="542"/>
      <c r="B1447" s="551" t="str">
        <f t="array" ref="B1447">IF(LEN(E1447),INDEX('4-All Devices'!AG:AG, MATCH(E1447, '4-All Devices'!AF:AF, 0)),"")</f>
        <v/>
      </c>
      <c r="C1447" s="549" t="s">
        <v>11186</v>
      </c>
      <c r="D1447" s="549" t="s">
        <v>11187</v>
      </c>
      <c r="E1447" s="8"/>
      <c r="F1447" s="552" t="s">
        <v>11188</v>
      </c>
      <c r="G1447" s="8"/>
      <c r="H1447" s="8"/>
      <c r="I1447" s="8"/>
      <c r="J1447" s="547"/>
      <c r="K1447" s="8"/>
      <c r="L1447" s="8"/>
      <c r="M1447" s="8"/>
    </row>
    <row r="1448">
      <c r="A1448" s="542"/>
      <c r="B1448" s="551" t="str">
        <f t="array" ref="B1448">IF(LEN(E1448),INDEX('4-All Devices'!AG:AG, MATCH(E1448, '4-All Devices'!AF:AF, 0)),"")</f>
        <v/>
      </c>
      <c r="C1448" s="549" t="s">
        <v>11186</v>
      </c>
      <c r="D1448" s="549" t="s">
        <v>11187</v>
      </c>
      <c r="E1448" s="8"/>
      <c r="F1448" s="552" t="s">
        <v>11188</v>
      </c>
      <c r="G1448" s="8"/>
      <c r="H1448" s="8"/>
      <c r="I1448" s="8"/>
      <c r="J1448" s="547"/>
      <c r="K1448" s="8"/>
      <c r="L1448" s="8"/>
      <c r="M1448" s="8"/>
    </row>
    <row r="1449">
      <c r="A1449" s="542"/>
      <c r="B1449" s="551" t="str">
        <f t="array" ref="B1449">IF(LEN(E1449),INDEX('4-All Devices'!AG:AG, MATCH(E1449, '4-All Devices'!AF:AF, 0)),"")</f>
        <v/>
      </c>
      <c r="C1449" s="549" t="s">
        <v>11186</v>
      </c>
      <c r="D1449" s="549" t="s">
        <v>11187</v>
      </c>
      <c r="E1449" s="8"/>
      <c r="F1449" s="552" t="s">
        <v>11188</v>
      </c>
      <c r="G1449" s="8"/>
      <c r="H1449" s="8"/>
      <c r="I1449" s="8"/>
      <c r="J1449" s="547"/>
      <c r="K1449" s="8"/>
      <c r="L1449" s="8"/>
      <c r="M1449" s="8"/>
    </row>
    <row r="1450">
      <c r="A1450" s="542"/>
      <c r="B1450" s="551" t="str">
        <f t="array" ref="B1450">IF(LEN(E1450),INDEX('4-All Devices'!AG:AG, MATCH(E1450, '4-All Devices'!AF:AF, 0)),"")</f>
        <v/>
      </c>
      <c r="C1450" s="549" t="s">
        <v>11186</v>
      </c>
      <c r="D1450" s="549" t="s">
        <v>11187</v>
      </c>
      <c r="E1450" s="8"/>
      <c r="F1450" s="552" t="s">
        <v>11188</v>
      </c>
      <c r="G1450" s="8"/>
      <c r="H1450" s="8"/>
      <c r="I1450" s="8"/>
      <c r="J1450" s="547"/>
      <c r="K1450" s="8"/>
      <c r="L1450" s="8"/>
      <c r="M1450" s="8"/>
    </row>
    <row r="1451">
      <c r="A1451" s="542"/>
      <c r="B1451" s="551" t="str">
        <f t="array" ref="B1451">IF(LEN(E1451),INDEX('4-All Devices'!AG:AG, MATCH(E1451, '4-All Devices'!AF:AF, 0)),"")</f>
        <v/>
      </c>
      <c r="C1451" s="549" t="s">
        <v>11186</v>
      </c>
      <c r="D1451" s="549" t="s">
        <v>11187</v>
      </c>
      <c r="E1451" s="8"/>
      <c r="F1451" s="552" t="s">
        <v>11188</v>
      </c>
      <c r="G1451" s="8"/>
      <c r="H1451" s="8"/>
      <c r="I1451" s="8"/>
      <c r="J1451" s="547"/>
      <c r="K1451" s="8"/>
      <c r="L1451" s="8"/>
      <c r="M1451" s="8"/>
    </row>
    <row r="1452">
      <c r="A1452" s="542"/>
      <c r="B1452" s="551" t="str">
        <f t="array" ref="B1452">IF(LEN(E1452),INDEX('4-All Devices'!AG:AG, MATCH(E1452, '4-All Devices'!AF:AF, 0)),"")</f>
        <v/>
      </c>
      <c r="C1452" s="549" t="s">
        <v>11186</v>
      </c>
      <c r="D1452" s="549" t="s">
        <v>11187</v>
      </c>
      <c r="E1452" s="8"/>
      <c r="F1452" s="552" t="s">
        <v>11188</v>
      </c>
      <c r="G1452" s="8"/>
      <c r="H1452" s="8"/>
      <c r="I1452" s="8"/>
      <c r="J1452" s="547"/>
      <c r="K1452" s="8"/>
      <c r="L1452" s="8"/>
      <c r="M1452" s="8"/>
    </row>
    <row r="1453">
      <c r="A1453" s="542"/>
      <c r="B1453" s="551" t="str">
        <f t="array" ref="B1453">IF(LEN(E1453),INDEX('4-All Devices'!AG:AG, MATCH(E1453, '4-All Devices'!AF:AF, 0)),"")</f>
        <v/>
      </c>
      <c r="C1453" s="549" t="s">
        <v>11186</v>
      </c>
      <c r="D1453" s="549" t="s">
        <v>11187</v>
      </c>
      <c r="E1453" s="8"/>
      <c r="F1453" s="552" t="s">
        <v>11188</v>
      </c>
      <c r="G1453" s="8"/>
      <c r="H1453" s="8"/>
      <c r="I1453" s="8"/>
      <c r="J1453" s="547"/>
      <c r="K1453" s="8"/>
      <c r="L1453" s="8"/>
      <c r="M1453" s="8"/>
    </row>
    <row r="1454">
      <c r="A1454" s="542"/>
      <c r="B1454" s="551" t="str">
        <f t="array" ref="B1454">IF(LEN(E1454),INDEX('4-All Devices'!AG:AG, MATCH(E1454, '4-All Devices'!AF:AF, 0)),"")</f>
        <v/>
      </c>
      <c r="C1454" s="549" t="s">
        <v>11186</v>
      </c>
      <c r="D1454" s="549" t="s">
        <v>11187</v>
      </c>
      <c r="E1454" s="8"/>
      <c r="F1454" s="552" t="s">
        <v>11188</v>
      </c>
      <c r="G1454" s="8"/>
      <c r="H1454" s="8"/>
      <c r="I1454" s="8"/>
      <c r="J1454" s="547"/>
      <c r="K1454" s="8"/>
      <c r="L1454" s="8"/>
      <c r="M1454" s="8"/>
    </row>
    <row r="1455">
      <c r="A1455" s="542"/>
      <c r="B1455" s="551" t="str">
        <f t="array" ref="B1455">IF(LEN(E1455),INDEX('4-All Devices'!AG:AG, MATCH(E1455, '4-All Devices'!AF:AF, 0)),"")</f>
        <v/>
      </c>
      <c r="C1455" s="549" t="s">
        <v>11186</v>
      </c>
      <c r="D1455" s="549" t="s">
        <v>11187</v>
      </c>
      <c r="E1455" s="8"/>
      <c r="F1455" s="552" t="s">
        <v>11188</v>
      </c>
      <c r="G1455" s="8"/>
      <c r="H1455" s="8"/>
      <c r="I1455" s="8"/>
      <c r="J1455" s="547"/>
      <c r="K1455" s="8"/>
      <c r="L1455" s="8"/>
      <c r="M1455" s="8"/>
    </row>
    <row r="1456">
      <c r="A1456" s="542"/>
      <c r="B1456" s="551" t="str">
        <f t="array" ref="B1456">IF(LEN(E1456),INDEX('4-All Devices'!AG:AG, MATCH(E1456, '4-All Devices'!AF:AF, 0)),"")</f>
        <v/>
      </c>
      <c r="C1456" s="549" t="s">
        <v>11186</v>
      </c>
      <c r="D1456" s="549" t="s">
        <v>11187</v>
      </c>
      <c r="E1456" s="8"/>
      <c r="F1456" s="552" t="s">
        <v>11188</v>
      </c>
      <c r="G1456" s="8"/>
      <c r="H1456" s="8"/>
      <c r="I1456" s="8"/>
      <c r="J1456" s="547"/>
      <c r="K1456" s="8"/>
      <c r="L1456" s="8"/>
      <c r="M1456" s="8"/>
    </row>
    <row r="1457">
      <c r="A1457" s="542"/>
      <c r="B1457" s="551" t="str">
        <f t="array" ref="B1457">IF(LEN(E1457),INDEX('4-All Devices'!AG:AG, MATCH(E1457, '4-All Devices'!AF:AF, 0)),"")</f>
        <v/>
      </c>
      <c r="C1457" s="549" t="s">
        <v>11186</v>
      </c>
      <c r="D1457" s="549" t="s">
        <v>11187</v>
      </c>
      <c r="E1457" s="8"/>
      <c r="F1457" s="552" t="s">
        <v>11188</v>
      </c>
      <c r="G1457" s="8"/>
      <c r="H1457" s="8"/>
      <c r="I1457" s="8"/>
      <c r="J1457" s="547"/>
      <c r="K1457" s="8"/>
      <c r="L1457" s="8"/>
      <c r="M1457" s="8"/>
    </row>
    <row r="1458">
      <c r="A1458" s="542"/>
      <c r="B1458" s="551" t="str">
        <f t="array" ref="B1458">IF(LEN(E1458),INDEX('4-All Devices'!AG:AG, MATCH(E1458, '4-All Devices'!AF:AF, 0)),"")</f>
        <v/>
      </c>
      <c r="C1458" s="549" t="s">
        <v>11186</v>
      </c>
      <c r="D1458" s="549" t="s">
        <v>11187</v>
      </c>
      <c r="E1458" s="8"/>
      <c r="F1458" s="552" t="s">
        <v>11188</v>
      </c>
      <c r="G1458" s="8"/>
      <c r="H1458" s="8"/>
      <c r="I1458" s="8"/>
      <c r="J1458" s="547"/>
      <c r="K1458" s="8"/>
      <c r="L1458" s="8"/>
      <c r="M1458" s="8"/>
    </row>
    <row r="1459">
      <c r="A1459" s="542"/>
      <c r="B1459" s="551" t="str">
        <f t="array" ref="B1459">IF(LEN(E1459),INDEX('4-All Devices'!AG:AG, MATCH(E1459, '4-All Devices'!AF:AF, 0)),"")</f>
        <v/>
      </c>
      <c r="C1459" s="549" t="s">
        <v>11186</v>
      </c>
      <c r="D1459" s="549" t="s">
        <v>11187</v>
      </c>
      <c r="E1459" s="8"/>
      <c r="F1459" s="552" t="s">
        <v>11188</v>
      </c>
      <c r="G1459" s="8"/>
      <c r="H1459" s="8"/>
      <c r="I1459" s="8"/>
      <c r="J1459" s="547"/>
      <c r="K1459" s="8"/>
      <c r="L1459" s="8"/>
      <c r="M1459" s="8"/>
    </row>
    <row r="1460">
      <c r="A1460" s="542"/>
      <c r="B1460" s="551" t="str">
        <f t="array" ref="B1460">IF(LEN(E1460),INDEX('4-All Devices'!AG:AG, MATCH(E1460, '4-All Devices'!AF:AF, 0)),"")</f>
        <v/>
      </c>
      <c r="C1460" s="549" t="s">
        <v>11186</v>
      </c>
      <c r="D1460" s="549" t="s">
        <v>11187</v>
      </c>
      <c r="E1460" s="8"/>
      <c r="F1460" s="552" t="s">
        <v>11188</v>
      </c>
      <c r="G1460" s="8"/>
      <c r="H1460" s="8"/>
      <c r="I1460" s="8"/>
      <c r="J1460" s="547"/>
      <c r="K1460" s="8"/>
      <c r="L1460" s="8"/>
      <c r="M1460" s="8"/>
    </row>
    <row r="1461">
      <c r="A1461" s="542"/>
      <c r="B1461" s="551" t="str">
        <f t="array" ref="B1461">IF(LEN(E1461),INDEX('4-All Devices'!AG:AG, MATCH(E1461, '4-All Devices'!AF:AF, 0)),"")</f>
        <v/>
      </c>
      <c r="C1461" s="549" t="s">
        <v>11186</v>
      </c>
      <c r="D1461" s="549" t="s">
        <v>11187</v>
      </c>
      <c r="E1461" s="8"/>
      <c r="F1461" s="552" t="s">
        <v>11188</v>
      </c>
      <c r="G1461" s="8"/>
      <c r="H1461" s="8"/>
      <c r="I1461" s="8"/>
      <c r="J1461" s="547"/>
      <c r="K1461" s="8"/>
      <c r="L1461" s="8"/>
      <c r="M1461" s="8"/>
    </row>
    <row r="1462">
      <c r="A1462" s="542"/>
      <c r="B1462" s="551" t="str">
        <f t="array" ref="B1462">IF(LEN(E1462),INDEX('4-All Devices'!AG:AG, MATCH(E1462, '4-All Devices'!AF:AF, 0)),"")</f>
        <v/>
      </c>
      <c r="C1462" s="549" t="s">
        <v>11186</v>
      </c>
      <c r="D1462" s="549" t="s">
        <v>11187</v>
      </c>
      <c r="E1462" s="8"/>
      <c r="F1462" s="552" t="s">
        <v>11188</v>
      </c>
      <c r="G1462" s="8"/>
      <c r="H1462" s="8"/>
      <c r="I1462" s="8"/>
      <c r="J1462" s="547"/>
      <c r="K1462" s="8"/>
      <c r="L1462" s="8"/>
      <c r="M1462" s="8"/>
    </row>
    <row r="1463">
      <c r="A1463" s="542"/>
      <c r="B1463" s="551" t="str">
        <f t="array" ref="B1463">IF(LEN(E1463),INDEX('4-All Devices'!AG:AG, MATCH(E1463, '4-All Devices'!AF:AF, 0)),"")</f>
        <v/>
      </c>
      <c r="C1463" s="549" t="s">
        <v>11186</v>
      </c>
      <c r="D1463" s="549" t="s">
        <v>11187</v>
      </c>
      <c r="E1463" s="8"/>
      <c r="F1463" s="552" t="s">
        <v>11188</v>
      </c>
      <c r="G1463" s="8"/>
      <c r="H1463" s="8"/>
      <c r="I1463" s="8"/>
      <c r="J1463" s="547"/>
      <c r="K1463" s="8"/>
      <c r="L1463" s="8"/>
      <c r="M1463" s="8"/>
    </row>
    <row r="1464">
      <c r="A1464" s="542"/>
      <c r="B1464" s="551" t="str">
        <f t="array" ref="B1464">IF(LEN(E1464),INDEX('4-All Devices'!AG:AG, MATCH(E1464, '4-All Devices'!AF:AF, 0)),"")</f>
        <v/>
      </c>
      <c r="C1464" s="549" t="s">
        <v>11186</v>
      </c>
      <c r="D1464" s="549" t="s">
        <v>11187</v>
      </c>
      <c r="E1464" s="8"/>
      <c r="F1464" s="552" t="s">
        <v>11188</v>
      </c>
      <c r="G1464" s="8"/>
      <c r="H1464" s="8"/>
      <c r="I1464" s="8"/>
      <c r="J1464" s="547"/>
      <c r="K1464" s="8"/>
      <c r="L1464" s="8"/>
      <c r="M1464" s="8"/>
    </row>
    <row r="1465">
      <c r="A1465" s="542"/>
      <c r="B1465" s="551" t="str">
        <f t="array" ref="B1465">IF(LEN(E1465),INDEX('4-All Devices'!AG:AG, MATCH(E1465, '4-All Devices'!AF:AF, 0)),"")</f>
        <v/>
      </c>
      <c r="C1465" s="549" t="s">
        <v>11186</v>
      </c>
      <c r="D1465" s="549" t="s">
        <v>11187</v>
      </c>
      <c r="E1465" s="8"/>
      <c r="F1465" s="552" t="s">
        <v>11188</v>
      </c>
      <c r="G1465" s="8"/>
      <c r="H1465" s="8"/>
      <c r="I1465" s="8"/>
      <c r="J1465" s="547"/>
      <c r="K1465" s="8"/>
      <c r="L1465" s="8"/>
      <c r="M1465" s="8"/>
    </row>
    <row r="1466">
      <c r="A1466" s="542"/>
      <c r="B1466" s="551" t="str">
        <f t="array" ref="B1466">IF(LEN(E1466),INDEX('4-All Devices'!AG:AG, MATCH(E1466, '4-All Devices'!AF:AF, 0)),"")</f>
        <v/>
      </c>
      <c r="C1466" s="549" t="s">
        <v>11186</v>
      </c>
      <c r="D1466" s="549" t="s">
        <v>11187</v>
      </c>
      <c r="E1466" s="8"/>
      <c r="F1466" s="552" t="s">
        <v>11188</v>
      </c>
      <c r="G1466" s="8"/>
      <c r="H1466" s="8"/>
      <c r="I1466" s="8"/>
      <c r="J1466" s="547"/>
      <c r="K1466" s="8"/>
      <c r="L1466" s="8"/>
      <c r="M1466" s="8"/>
    </row>
    <row r="1467">
      <c r="A1467" s="542"/>
      <c r="B1467" s="551" t="str">
        <f t="array" ref="B1467">IF(LEN(E1467),INDEX('4-All Devices'!AG:AG, MATCH(E1467, '4-All Devices'!AF:AF, 0)),"")</f>
        <v/>
      </c>
      <c r="C1467" s="549" t="s">
        <v>11186</v>
      </c>
      <c r="D1467" s="549" t="s">
        <v>11187</v>
      </c>
      <c r="E1467" s="8"/>
      <c r="F1467" s="552" t="s">
        <v>11188</v>
      </c>
      <c r="G1467" s="8"/>
      <c r="H1467" s="8"/>
      <c r="I1467" s="8"/>
      <c r="J1467" s="547"/>
      <c r="K1467" s="8"/>
      <c r="L1467" s="8"/>
      <c r="M1467" s="8"/>
    </row>
    <row r="1468">
      <c r="A1468" s="542"/>
      <c r="B1468" s="551" t="str">
        <f t="array" ref="B1468">IF(LEN(E1468),INDEX('4-All Devices'!AG:AG, MATCH(E1468, '4-All Devices'!AF:AF, 0)),"")</f>
        <v/>
      </c>
      <c r="C1468" s="549" t="s">
        <v>11186</v>
      </c>
      <c r="D1468" s="549" t="s">
        <v>11187</v>
      </c>
      <c r="E1468" s="8"/>
      <c r="F1468" s="552" t="s">
        <v>11188</v>
      </c>
      <c r="G1468" s="8"/>
      <c r="H1468" s="8"/>
      <c r="I1468" s="8"/>
      <c r="J1468" s="547"/>
      <c r="K1468" s="8"/>
      <c r="L1468" s="8"/>
      <c r="M1468" s="8"/>
    </row>
    <row r="1469">
      <c r="A1469" s="542"/>
      <c r="B1469" s="551" t="str">
        <f t="array" ref="B1469">IF(LEN(E1469),INDEX('4-All Devices'!AG:AG, MATCH(E1469, '4-All Devices'!AF:AF, 0)),"")</f>
        <v/>
      </c>
      <c r="C1469" s="549" t="s">
        <v>11186</v>
      </c>
      <c r="D1469" s="549" t="s">
        <v>11187</v>
      </c>
      <c r="E1469" s="8"/>
      <c r="F1469" s="552" t="s">
        <v>11188</v>
      </c>
      <c r="G1469" s="8"/>
      <c r="H1469" s="8"/>
      <c r="I1469" s="8"/>
      <c r="J1469" s="547"/>
      <c r="K1469" s="8"/>
      <c r="L1469" s="8"/>
      <c r="M1469" s="8"/>
    </row>
    <row r="1470">
      <c r="A1470" s="542"/>
      <c r="B1470" s="551" t="str">
        <f t="array" ref="B1470">IF(LEN(E1470),INDEX('4-All Devices'!AG:AG, MATCH(E1470, '4-All Devices'!AF:AF, 0)),"")</f>
        <v/>
      </c>
      <c r="C1470" s="549" t="s">
        <v>11186</v>
      </c>
      <c r="D1470" s="549" t="s">
        <v>11187</v>
      </c>
      <c r="E1470" s="8"/>
      <c r="F1470" s="552" t="s">
        <v>11188</v>
      </c>
      <c r="G1470" s="8"/>
      <c r="H1470" s="8"/>
      <c r="I1470" s="8"/>
      <c r="J1470" s="547"/>
      <c r="K1470" s="8"/>
      <c r="L1470" s="8"/>
      <c r="M1470" s="8"/>
    </row>
    <row r="1471">
      <c r="A1471" s="542"/>
      <c r="B1471" s="551" t="str">
        <f t="array" ref="B1471">IF(LEN(E1471),INDEX('4-All Devices'!AG:AG, MATCH(E1471, '4-All Devices'!AF:AF, 0)),"")</f>
        <v/>
      </c>
      <c r="C1471" s="549" t="s">
        <v>11186</v>
      </c>
      <c r="D1471" s="549" t="s">
        <v>11187</v>
      </c>
      <c r="E1471" s="8"/>
      <c r="F1471" s="552" t="s">
        <v>11188</v>
      </c>
      <c r="G1471" s="8"/>
      <c r="H1471" s="8"/>
      <c r="I1471" s="8"/>
      <c r="J1471" s="547"/>
      <c r="K1471" s="8"/>
      <c r="L1471" s="8"/>
      <c r="M1471" s="8"/>
    </row>
    <row r="1472">
      <c r="A1472" s="542"/>
      <c r="B1472" s="551" t="str">
        <f t="array" ref="B1472">IF(LEN(E1472),INDEX('4-All Devices'!AG:AG, MATCH(E1472, '4-All Devices'!AF:AF, 0)),"")</f>
        <v/>
      </c>
      <c r="C1472" s="549" t="s">
        <v>11186</v>
      </c>
      <c r="D1472" s="549" t="s">
        <v>11187</v>
      </c>
      <c r="E1472" s="8"/>
      <c r="F1472" s="552" t="s">
        <v>11188</v>
      </c>
      <c r="G1472" s="8"/>
      <c r="H1472" s="8"/>
      <c r="I1472" s="8"/>
      <c r="J1472" s="547"/>
      <c r="K1472" s="8"/>
      <c r="L1472" s="8"/>
      <c r="M1472" s="8"/>
    </row>
    <row r="1473">
      <c r="A1473" s="542"/>
      <c r="B1473" s="551" t="str">
        <f t="array" ref="B1473">IF(LEN(E1473),INDEX('4-All Devices'!AG:AG, MATCH(E1473, '4-All Devices'!AF:AF, 0)),"")</f>
        <v/>
      </c>
      <c r="C1473" s="549" t="s">
        <v>11186</v>
      </c>
      <c r="D1473" s="549" t="s">
        <v>11187</v>
      </c>
      <c r="E1473" s="8"/>
      <c r="F1473" s="552" t="s">
        <v>11188</v>
      </c>
      <c r="G1473" s="8"/>
      <c r="H1473" s="8"/>
      <c r="I1473" s="8"/>
      <c r="J1473" s="547"/>
      <c r="K1473" s="8"/>
      <c r="L1473" s="8"/>
      <c r="M1473" s="8"/>
    </row>
    <row r="1474">
      <c r="A1474" s="542"/>
      <c r="B1474" s="551" t="str">
        <f t="array" ref="B1474">IF(LEN(E1474),INDEX('4-All Devices'!AG:AG, MATCH(E1474, '4-All Devices'!AF:AF, 0)),"")</f>
        <v/>
      </c>
      <c r="C1474" s="549" t="s">
        <v>11186</v>
      </c>
      <c r="D1474" s="549" t="s">
        <v>11187</v>
      </c>
      <c r="E1474" s="8"/>
      <c r="F1474" s="552" t="s">
        <v>11188</v>
      </c>
      <c r="G1474" s="8"/>
      <c r="H1474" s="8"/>
      <c r="I1474" s="8"/>
      <c r="J1474" s="547"/>
      <c r="K1474" s="8"/>
      <c r="L1474" s="8"/>
      <c r="M1474" s="8"/>
    </row>
    <row r="1475">
      <c r="A1475" s="542"/>
      <c r="B1475" s="551" t="str">
        <f t="array" ref="B1475">IF(LEN(E1475),INDEX('4-All Devices'!AG:AG, MATCH(E1475, '4-All Devices'!AF:AF, 0)),"")</f>
        <v/>
      </c>
      <c r="C1475" s="549" t="s">
        <v>11186</v>
      </c>
      <c r="D1475" s="549" t="s">
        <v>11187</v>
      </c>
      <c r="E1475" s="8"/>
      <c r="F1475" s="552" t="s">
        <v>11188</v>
      </c>
      <c r="G1475" s="8"/>
      <c r="H1475" s="8"/>
      <c r="I1475" s="8"/>
      <c r="J1475" s="547"/>
      <c r="K1475" s="8"/>
      <c r="L1475" s="8"/>
      <c r="M1475" s="8"/>
    </row>
    <row r="1476">
      <c r="A1476" s="542"/>
      <c r="B1476" s="551" t="str">
        <f t="array" ref="B1476">IF(LEN(E1476),INDEX('4-All Devices'!AG:AG, MATCH(E1476, '4-All Devices'!AF:AF, 0)),"")</f>
        <v/>
      </c>
      <c r="C1476" s="549" t="s">
        <v>11186</v>
      </c>
      <c r="D1476" s="549" t="s">
        <v>11187</v>
      </c>
      <c r="E1476" s="8"/>
      <c r="F1476" s="552" t="s">
        <v>11188</v>
      </c>
      <c r="G1476" s="8"/>
      <c r="H1476" s="8"/>
      <c r="I1476" s="8"/>
      <c r="J1476" s="547"/>
      <c r="K1476" s="8"/>
      <c r="L1476" s="8"/>
      <c r="M1476" s="8"/>
    </row>
    <row r="1477">
      <c r="A1477" s="542"/>
      <c r="B1477" s="551" t="str">
        <f t="array" ref="B1477">IF(LEN(E1477),INDEX('4-All Devices'!AG:AG, MATCH(E1477, '4-All Devices'!AF:AF, 0)),"")</f>
        <v/>
      </c>
      <c r="C1477" s="549" t="s">
        <v>11186</v>
      </c>
      <c r="D1477" s="549" t="s">
        <v>11187</v>
      </c>
      <c r="E1477" s="8"/>
      <c r="F1477" s="552" t="s">
        <v>11188</v>
      </c>
      <c r="G1477" s="8"/>
      <c r="H1477" s="8"/>
      <c r="I1477" s="8"/>
      <c r="J1477" s="547"/>
      <c r="K1477" s="8"/>
      <c r="L1477" s="8"/>
      <c r="M1477" s="8"/>
    </row>
    <row r="1478">
      <c r="A1478" s="542"/>
      <c r="B1478" s="551" t="str">
        <f t="array" ref="B1478">IF(LEN(E1478),INDEX('4-All Devices'!AG:AG, MATCH(E1478, '4-All Devices'!AF:AF, 0)),"")</f>
        <v/>
      </c>
      <c r="C1478" s="549" t="s">
        <v>11186</v>
      </c>
      <c r="D1478" s="549" t="s">
        <v>11187</v>
      </c>
      <c r="E1478" s="8"/>
      <c r="F1478" s="552" t="s">
        <v>11188</v>
      </c>
      <c r="G1478" s="8"/>
      <c r="H1478" s="8"/>
      <c r="I1478" s="8"/>
      <c r="J1478" s="547"/>
      <c r="K1478" s="8"/>
      <c r="L1478" s="8"/>
      <c r="M1478" s="8"/>
    </row>
    <row r="1479">
      <c r="A1479" s="542"/>
      <c r="B1479" s="551" t="str">
        <f t="array" ref="B1479">IF(LEN(E1479),INDEX('4-All Devices'!AG:AG, MATCH(E1479, '4-All Devices'!AF:AF, 0)),"")</f>
        <v/>
      </c>
      <c r="C1479" s="549" t="s">
        <v>11186</v>
      </c>
      <c r="D1479" s="549" t="s">
        <v>11187</v>
      </c>
      <c r="E1479" s="8"/>
      <c r="F1479" s="552" t="s">
        <v>11188</v>
      </c>
      <c r="G1479" s="8"/>
      <c r="H1479" s="8"/>
      <c r="I1479" s="8"/>
      <c r="J1479" s="547"/>
      <c r="K1479" s="8"/>
      <c r="L1479" s="8"/>
      <c r="M1479" s="8"/>
    </row>
    <row r="1480">
      <c r="A1480" s="542"/>
      <c r="B1480" s="551" t="str">
        <f t="array" ref="B1480">IF(LEN(E1480),INDEX('4-All Devices'!AG:AG, MATCH(E1480, '4-All Devices'!AF:AF, 0)),"")</f>
        <v/>
      </c>
      <c r="C1480" s="549" t="s">
        <v>11186</v>
      </c>
      <c r="D1480" s="549" t="s">
        <v>11187</v>
      </c>
      <c r="E1480" s="8"/>
      <c r="F1480" s="552" t="s">
        <v>11188</v>
      </c>
      <c r="G1480" s="8"/>
      <c r="H1480" s="8"/>
      <c r="I1480" s="8"/>
      <c r="J1480" s="547"/>
      <c r="K1480" s="8"/>
      <c r="L1480" s="8"/>
      <c r="M1480" s="8"/>
    </row>
    <row r="1481">
      <c r="A1481" s="542"/>
      <c r="B1481" s="551" t="str">
        <f t="array" ref="B1481">IF(LEN(E1481),INDEX('4-All Devices'!AG:AG, MATCH(E1481, '4-All Devices'!AF:AF, 0)),"")</f>
        <v/>
      </c>
      <c r="C1481" s="549" t="s">
        <v>11186</v>
      </c>
      <c r="D1481" s="549" t="s">
        <v>11187</v>
      </c>
      <c r="E1481" s="8"/>
      <c r="F1481" s="552" t="s">
        <v>11188</v>
      </c>
      <c r="G1481" s="8"/>
      <c r="H1481" s="8"/>
      <c r="I1481" s="8"/>
      <c r="J1481" s="547"/>
      <c r="K1481" s="8"/>
      <c r="L1481" s="8"/>
      <c r="M1481" s="8"/>
    </row>
    <row r="1482">
      <c r="A1482" s="542"/>
      <c r="B1482" s="551" t="str">
        <f t="array" ref="B1482">IF(LEN(E1482),INDEX('4-All Devices'!AG:AG, MATCH(E1482, '4-All Devices'!AF:AF, 0)),"")</f>
        <v/>
      </c>
      <c r="C1482" s="549" t="s">
        <v>11186</v>
      </c>
      <c r="D1482" s="549" t="s">
        <v>11187</v>
      </c>
      <c r="E1482" s="8"/>
      <c r="F1482" s="552" t="s">
        <v>11188</v>
      </c>
      <c r="G1482" s="8"/>
      <c r="H1482" s="8"/>
      <c r="I1482" s="8"/>
      <c r="J1482" s="547"/>
      <c r="K1482" s="8"/>
      <c r="L1482" s="8"/>
      <c r="M1482" s="8"/>
    </row>
    <row r="1483">
      <c r="A1483" s="542"/>
      <c r="B1483" s="551" t="str">
        <f t="array" ref="B1483">IF(LEN(E1483),INDEX('4-All Devices'!AG:AG, MATCH(E1483, '4-All Devices'!AF:AF, 0)),"")</f>
        <v/>
      </c>
      <c r="C1483" s="549" t="s">
        <v>11186</v>
      </c>
      <c r="D1483" s="549" t="s">
        <v>11187</v>
      </c>
      <c r="E1483" s="8"/>
      <c r="F1483" s="552" t="s">
        <v>11188</v>
      </c>
      <c r="G1483" s="8"/>
      <c r="H1483" s="8"/>
      <c r="I1483" s="8"/>
      <c r="J1483" s="547"/>
      <c r="K1483" s="8"/>
      <c r="L1483" s="8"/>
      <c r="M1483" s="8"/>
    </row>
    <row r="1484">
      <c r="A1484" s="542"/>
      <c r="B1484" s="551" t="str">
        <f t="array" ref="B1484">IF(LEN(E1484),INDEX('4-All Devices'!AG:AG, MATCH(E1484, '4-All Devices'!AF:AF, 0)),"")</f>
        <v/>
      </c>
      <c r="C1484" s="549" t="s">
        <v>11186</v>
      </c>
      <c r="D1484" s="549" t="s">
        <v>11187</v>
      </c>
      <c r="E1484" s="8"/>
      <c r="F1484" s="552" t="s">
        <v>11188</v>
      </c>
      <c r="G1484" s="8"/>
      <c r="H1484" s="8"/>
      <c r="I1484" s="8"/>
      <c r="J1484" s="547"/>
      <c r="K1484" s="8"/>
      <c r="L1484" s="8"/>
      <c r="M1484" s="8"/>
    </row>
    <row r="1485">
      <c r="A1485" s="542"/>
      <c r="B1485" s="551" t="str">
        <f t="array" ref="B1485">IF(LEN(E1485),INDEX('4-All Devices'!AG:AG, MATCH(E1485, '4-All Devices'!AF:AF, 0)),"")</f>
        <v/>
      </c>
      <c r="C1485" s="549" t="s">
        <v>11186</v>
      </c>
      <c r="D1485" s="549" t="s">
        <v>11187</v>
      </c>
      <c r="E1485" s="8"/>
      <c r="F1485" s="552" t="s">
        <v>11188</v>
      </c>
      <c r="G1485" s="8"/>
      <c r="H1485" s="8"/>
      <c r="I1485" s="8"/>
      <c r="J1485" s="547"/>
      <c r="K1485" s="8"/>
      <c r="L1485" s="8"/>
      <c r="M1485" s="8"/>
    </row>
    <row r="1486">
      <c r="A1486" s="542"/>
      <c r="B1486" s="551" t="str">
        <f t="array" ref="B1486">IF(LEN(E1486),INDEX('4-All Devices'!AG:AG, MATCH(E1486, '4-All Devices'!AF:AF, 0)),"")</f>
        <v/>
      </c>
      <c r="C1486" s="549" t="s">
        <v>11186</v>
      </c>
      <c r="D1486" s="549" t="s">
        <v>11187</v>
      </c>
      <c r="E1486" s="8"/>
      <c r="F1486" s="552" t="s">
        <v>11188</v>
      </c>
      <c r="G1486" s="8"/>
      <c r="H1486" s="8"/>
      <c r="I1486" s="8"/>
      <c r="J1486" s="547"/>
      <c r="K1486" s="8"/>
      <c r="L1486" s="8"/>
      <c r="M1486" s="8"/>
    </row>
    <row r="1487">
      <c r="A1487" s="542"/>
      <c r="B1487" s="551" t="str">
        <f t="array" ref="B1487">IF(LEN(E1487),INDEX('4-All Devices'!AG:AG, MATCH(E1487, '4-All Devices'!AF:AF, 0)),"")</f>
        <v/>
      </c>
      <c r="C1487" s="549" t="s">
        <v>11186</v>
      </c>
      <c r="D1487" s="549" t="s">
        <v>11187</v>
      </c>
      <c r="E1487" s="8"/>
      <c r="F1487" s="552" t="s">
        <v>11188</v>
      </c>
      <c r="G1487" s="8"/>
      <c r="H1487" s="8"/>
      <c r="I1487" s="8"/>
      <c r="J1487" s="547"/>
      <c r="K1487" s="8"/>
      <c r="L1487" s="8"/>
      <c r="M1487" s="8"/>
    </row>
    <row r="1488">
      <c r="A1488" s="542"/>
      <c r="B1488" s="551" t="str">
        <f t="array" ref="B1488">IF(LEN(E1488),INDEX('4-All Devices'!AG:AG, MATCH(E1488, '4-All Devices'!AF:AF, 0)),"")</f>
        <v/>
      </c>
      <c r="C1488" s="549" t="s">
        <v>11186</v>
      </c>
      <c r="D1488" s="549" t="s">
        <v>11187</v>
      </c>
      <c r="E1488" s="8"/>
      <c r="F1488" s="552" t="s">
        <v>11188</v>
      </c>
      <c r="G1488" s="8"/>
      <c r="H1488" s="8"/>
      <c r="I1488" s="8"/>
      <c r="J1488" s="547"/>
      <c r="K1488" s="8"/>
      <c r="L1488" s="8"/>
      <c r="M1488" s="8"/>
    </row>
    <row r="1489">
      <c r="A1489" s="542"/>
      <c r="B1489" s="551" t="str">
        <f t="array" ref="B1489">IF(LEN(E1489),INDEX('4-All Devices'!AG:AG, MATCH(E1489, '4-All Devices'!AF:AF, 0)),"")</f>
        <v/>
      </c>
      <c r="C1489" s="549" t="s">
        <v>11186</v>
      </c>
      <c r="D1489" s="549" t="s">
        <v>11187</v>
      </c>
      <c r="E1489" s="8"/>
      <c r="F1489" s="552" t="s">
        <v>11188</v>
      </c>
      <c r="G1489" s="8"/>
      <c r="H1489" s="8"/>
      <c r="I1489" s="8"/>
      <c r="J1489" s="547"/>
      <c r="K1489" s="8"/>
      <c r="L1489" s="8"/>
      <c r="M1489" s="8"/>
    </row>
    <row r="1490">
      <c r="A1490" s="542"/>
      <c r="B1490" s="551" t="str">
        <f t="array" ref="B1490">IF(LEN(E1490),INDEX('4-All Devices'!AG:AG, MATCH(E1490, '4-All Devices'!AF:AF, 0)),"")</f>
        <v/>
      </c>
      <c r="C1490" s="549" t="s">
        <v>11186</v>
      </c>
      <c r="D1490" s="549" t="s">
        <v>11187</v>
      </c>
      <c r="E1490" s="8"/>
      <c r="F1490" s="552" t="s">
        <v>11188</v>
      </c>
      <c r="G1490" s="8"/>
      <c r="H1490" s="8"/>
      <c r="I1490" s="8"/>
      <c r="J1490" s="547"/>
      <c r="K1490" s="8"/>
      <c r="L1490" s="8"/>
      <c r="M1490" s="8"/>
    </row>
    <row r="1491">
      <c r="A1491" s="542"/>
      <c r="B1491" s="551" t="str">
        <f t="array" ref="B1491">IF(LEN(E1491),INDEX('4-All Devices'!AG:AG, MATCH(E1491, '4-All Devices'!AF:AF, 0)),"")</f>
        <v/>
      </c>
      <c r="C1491" s="549" t="s">
        <v>11186</v>
      </c>
      <c r="D1491" s="549" t="s">
        <v>11187</v>
      </c>
      <c r="E1491" s="8"/>
      <c r="F1491" s="552" t="s">
        <v>11188</v>
      </c>
      <c r="G1491" s="8"/>
      <c r="H1491" s="8"/>
      <c r="I1491" s="8"/>
      <c r="J1491" s="547"/>
      <c r="K1491" s="8"/>
      <c r="L1491" s="8"/>
      <c r="M1491" s="8"/>
    </row>
    <row r="1492">
      <c r="A1492" s="542"/>
      <c r="B1492" s="551" t="str">
        <f t="array" ref="B1492">IF(LEN(E1492),INDEX('4-All Devices'!AG:AG, MATCH(E1492, '4-All Devices'!AF:AF, 0)),"")</f>
        <v/>
      </c>
      <c r="C1492" s="549" t="s">
        <v>11186</v>
      </c>
      <c r="D1492" s="549" t="s">
        <v>11187</v>
      </c>
      <c r="E1492" s="8"/>
      <c r="F1492" s="552" t="s">
        <v>11188</v>
      </c>
      <c r="G1492" s="8"/>
      <c r="H1492" s="8"/>
      <c r="I1492" s="8"/>
      <c r="J1492" s="547"/>
      <c r="K1492" s="8"/>
      <c r="L1492" s="8"/>
      <c r="M1492" s="8"/>
    </row>
    <row r="1493">
      <c r="A1493" s="542"/>
      <c r="B1493" s="551" t="str">
        <f t="array" ref="B1493">IF(LEN(E1493),INDEX('4-All Devices'!AG:AG, MATCH(E1493, '4-All Devices'!AF:AF, 0)),"")</f>
        <v/>
      </c>
      <c r="C1493" s="549" t="s">
        <v>11186</v>
      </c>
      <c r="D1493" s="549" t="s">
        <v>11187</v>
      </c>
      <c r="E1493" s="8"/>
      <c r="F1493" s="552" t="s">
        <v>11188</v>
      </c>
      <c r="G1493" s="8"/>
      <c r="H1493" s="8"/>
      <c r="I1493" s="8"/>
      <c r="J1493" s="547"/>
      <c r="K1493" s="8"/>
      <c r="L1493" s="8"/>
      <c r="M1493" s="8"/>
    </row>
    <row r="1494">
      <c r="A1494" s="542"/>
      <c r="B1494" s="551" t="str">
        <f t="array" ref="B1494">IF(LEN(E1494),INDEX('4-All Devices'!AG:AG, MATCH(E1494, '4-All Devices'!AF:AF, 0)),"")</f>
        <v/>
      </c>
      <c r="C1494" s="549" t="s">
        <v>11186</v>
      </c>
      <c r="D1494" s="549" t="s">
        <v>11187</v>
      </c>
      <c r="E1494" s="8"/>
      <c r="F1494" s="552" t="s">
        <v>11188</v>
      </c>
      <c r="G1494" s="8"/>
      <c r="H1494" s="8"/>
      <c r="I1494" s="8"/>
      <c r="J1494" s="547"/>
      <c r="K1494" s="8"/>
      <c r="L1494" s="8"/>
      <c r="M1494" s="8"/>
    </row>
    <row r="1495">
      <c r="A1495" s="542"/>
      <c r="B1495" s="551" t="str">
        <f t="array" ref="B1495">IF(LEN(E1495),INDEX('4-All Devices'!AG:AG, MATCH(E1495, '4-All Devices'!AF:AF, 0)),"")</f>
        <v/>
      </c>
      <c r="C1495" s="549" t="s">
        <v>11186</v>
      </c>
      <c r="D1495" s="549" t="s">
        <v>11187</v>
      </c>
      <c r="E1495" s="8"/>
      <c r="F1495" s="552" t="s">
        <v>11188</v>
      </c>
      <c r="G1495" s="8"/>
      <c r="H1495" s="8"/>
      <c r="I1495" s="8"/>
      <c r="J1495" s="547"/>
      <c r="K1495" s="8"/>
      <c r="L1495" s="8"/>
      <c r="M1495" s="8"/>
    </row>
    <row r="1496">
      <c r="A1496" s="542"/>
      <c r="B1496" s="551" t="str">
        <f t="array" ref="B1496">IF(LEN(E1496),INDEX('4-All Devices'!AG:AG, MATCH(E1496, '4-All Devices'!AF:AF, 0)),"")</f>
        <v/>
      </c>
      <c r="C1496" s="549" t="s">
        <v>11186</v>
      </c>
      <c r="D1496" s="549" t="s">
        <v>11187</v>
      </c>
      <c r="E1496" s="8"/>
      <c r="F1496" s="552" t="s">
        <v>11188</v>
      </c>
      <c r="G1496" s="8"/>
      <c r="H1496" s="8"/>
      <c r="I1496" s="8"/>
      <c r="J1496" s="547"/>
      <c r="K1496" s="8"/>
      <c r="L1496" s="8"/>
      <c r="M1496" s="8"/>
    </row>
    <row r="1497">
      <c r="A1497" s="542"/>
      <c r="B1497" s="551" t="str">
        <f t="array" ref="B1497">IF(LEN(E1497),INDEX('4-All Devices'!AG:AG, MATCH(E1497, '4-All Devices'!AF:AF, 0)),"")</f>
        <v/>
      </c>
      <c r="C1497" s="549" t="s">
        <v>11186</v>
      </c>
      <c r="D1497" s="549" t="s">
        <v>11187</v>
      </c>
      <c r="E1497" s="8"/>
      <c r="F1497" s="552" t="s">
        <v>11188</v>
      </c>
      <c r="G1497" s="8"/>
      <c r="H1497" s="8"/>
      <c r="I1497" s="8"/>
      <c r="J1497" s="547"/>
      <c r="K1497" s="8"/>
      <c r="L1497" s="8"/>
      <c r="M1497" s="8"/>
    </row>
    <row r="1498">
      <c r="A1498" s="542"/>
      <c r="B1498" s="551" t="str">
        <f t="array" ref="B1498">IF(LEN(E1498),INDEX('4-All Devices'!AG:AG, MATCH(E1498, '4-All Devices'!AF:AF, 0)),"")</f>
        <v/>
      </c>
      <c r="C1498" s="549" t="s">
        <v>11186</v>
      </c>
      <c r="D1498" s="549" t="s">
        <v>11187</v>
      </c>
      <c r="E1498" s="8"/>
      <c r="F1498" s="552" t="s">
        <v>11188</v>
      </c>
      <c r="G1498" s="8"/>
      <c r="H1498" s="8"/>
      <c r="I1498" s="8"/>
      <c r="J1498" s="547"/>
      <c r="K1498" s="8"/>
      <c r="L1498" s="8"/>
      <c r="M1498" s="8"/>
    </row>
    <row r="1499">
      <c r="A1499" s="542"/>
      <c r="B1499" s="551" t="str">
        <f t="array" ref="B1499">IF(LEN(E1499),INDEX('4-All Devices'!AG:AG, MATCH(E1499, '4-All Devices'!AF:AF, 0)),"")</f>
        <v/>
      </c>
      <c r="C1499" s="549" t="s">
        <v>11186</v>
      </c>
      <c r="D1499" s="549" t="s">
        <v>11187</v>
      </c>
      <c r="E1499" s="8"/>
      <c r="F1499" s="552" t="s">
        <v>11188</v>
      </c>
      <c r="G1499" s="8"/>
      <c r="H1499" s="8"/>
      <c r="I1499" s="8"/>
      <c r="J1499" s="547"/>
      <c r="K1499" s="8"/>
      <c r="L1499" s="8"/>
      <c r="M1499" s="8"/>
    </row>
    <row r="1500">
      <c r="A1500" s="542"/>
      <c r="B1500" s="551" t="str">
        <f t="array" ref="B1500">IF(LEN(E1500),INDEX('4-All Devices'!AG:AG, MATCH(E1500, '4-All Devices'!AF:AF, 0)),"")</f>
        <v/>
      </c>
      <c r="C1500" s="549" t="s">
        <v>11186</v>
      </c>
      <c r="D1500" s="549" t="s">
        <v>11187</v>
      </c>
      <c r="E1500" s="8"/>
      <c r="F1500" s="552" t="s">
        <v>11188</v>
      </c>
      <c r="G1500" s="8"/>
      <c r="H1500" s="8"/>
      <c r="I1500" s="8"/>
      <c r="J1500" s="547"/>
      <c r="K1500" s="8"/>
      <c r="L1500" s="8"/>
      <c r="M1500" s="8"/>
    </row>
    <row r="1501">
      <c r="A1501" s="542"/>
      <c r="B1501" s="551" t="str">
        <f t="array" ref="B1501">IF(LEN(E1501),INDEX('4-All Devices'!AG:AG, MATCH(E1501, '4-All Devices'!AF:AF, 0)),"")</f>
        <v/>
      </c>
      <c r="C1501" s="549" t="s">
        <v>11186</v>
      </c>
      <c r="D1501" s="549" t="s">
        <v>11187</v>
      </c>
      <c r="E1501" s="8"/>
      <c r="F1501" s="552" t="s">
        <v>11188</v>
      </c>
      <c r="G1501" s="8"/>
      <c r="H1501" s="8"/>
      <c r="I1501" s="8"/>
      <c r="J1501" s="547"/>
      <c r="K1501" s="8"/>
      <c r="L1501" s="8"/>
      <c r="M1501" s="8"/>
    </row>
    <row r="1502">
      <c r="A1502" s="542"/>
      <c r="B1502" s="551" t="str">
        <f t="array" ref="B1502">IF(LEN(E1502),INDEX('4-All Devices'!AG:AG, MATCH(E1502, '4-All Devices'!AF:AF, 0)),"")</f>
        <v/>
      </c>
      <c r="C1502" s="549" t="s">
        <v>11186</v>
      </c>
      <c r="D1502" s="549" t="s">
        <v>11187</v>
      </c>
      <c r="E1502" s="8"/>
      <c r="F1502" s="552" t="s">
        <v>11188</v>
      </c>
      <c r="G1502" s="8"/>
      <c r="H1502" s="8"/>
      <c r="I1502" s="8"/>
      <c r="J1502" s="547"/>
      <c r="K1502" s="8"/>
      <c r="L1502" s="8"/>
      <c r="M1502" s="8"/>
    </row>
    <row r="1503">
      <c r="A1503" s="542"/>
      <c r="B1503" s="551" t="str">
        <f t="array" ref="B1503">IF(LEN(E1503),INDEX('4-All Devices'!AG:AG, MATCH(E1503, '4-All Devices'!AF:AF, 0)),"")</f>
        <v/>
      </c>
      <c r="C1503" s="549" t="s">
        <v>11186</v>
      </c>
      <c r="D1503" s="549" t="s">
        <v>11187</v>
      </c>
      <c r="E1503" s="8"/>
      <c r="F1503" s="552" t="s">
        <v>11188</v>
      </c>
      <c r="G1503" s="8"/>
      <c r="H1503" s="8"/>
      <c r="I1503" s="8"/>
      <c r="J1503" s="547"/>
      <c r="K1503" s="8"/>
      <c r="L1503" s="8"/>
      <c r="M1503" s="8"/>
    </row>
    <row r="1504">
      <c r="A1504" s="542"/>
      <c r="B1504" s="551" t="str">
        <f t="array" ref="B1504">IF(LEN(E1504),INDEX('4-All Devices'!AG:AG, MATCH(E1504, '4-All Devices'!AF:AF, 0)),"")</f>
        <v/>
      </c>
      <c r="C1504" s="549" t="s">
        <v>11186</v>
      </c>
      <c r="D1504" s="549" t="s">
        <v>11187</v>
      </c>
      <c r="E1504" s="8"/>
      <c r="F1504" s="552" t="s">
        <v>11188</v>
      </c>
      <c r="G1504" s="8"/>
      <c r="H1504" s="8"/>
      <c r="I1504" s="8"/>
      <c r="J1504" s="547"/>
      <c r="K1504" s="8"/>
      <c r="L1504" s="8"/>
      <c r="M1504" s="8"/>
    </row>
    <row r="1505">
      <c r="A1505" s="542"/>
      <c r="B1505" s="551" t="str">
        <f t="array" ref="B1505">IF(LEN(E1505),INDEX('4-All Devices'!AG:AG, MATCH(E1505, '4-All Devices'!AF:AF, 0)),"")</f>
        <v/>
      </c>
      <c r="C1505" s="549" t="s">
        <v>11186</v>
      </c>
      <c r="D1505" s="549" t="s">
        <v>11187</v>
      </c>
      <c r="E1505" s="8"/>
      <c r="F1505" s="552" t="s">
        <v>11188</v>
      </c>
      <c r="G1505" s="8"/>
      <c r="H1505" s="8"/>
      <c r="I1505" s="8"/>
      <c r="J1505" s="547"/>
      <c r="K1505" s="8"/>
      <c r="L1505" s="8"/>
      <c r="M1505" s="8"/>
    </row>
    <row r="1506">
      <c r="A1506" s="542"/>
      <c r="B1506" s="551" t="str">
        <f t="array" ref="B1506">IF(LEN(E1506),INDEX('4-All Devices'!AG:AG, MATCH(E1506, '4-All Devices'!AF:AF, 0)),"")</f>
        <v/>
      </c>
      <c r="C1506" s="549" t="s">
        <v>11186</v>
      </c>
      <c r="D1506" s="549" t="s">
        <v>11187</v>
      </c>
      <c r="E1506" s="8"/>
      <c r="F1506" s="552" t="s">
        <v>11188</v>
      </c>
      <c r="G1506" s="8"/>
      <c r="H1506" s="8"/>
      <c r="I1506" s="8"/>
      <c r="J1506" s="547"/>
      <c r="K1506" s="8"/>
      <c r="L1506" s="8"/>
      <c r="M1506" s="8"/>
    </row>
    <row r="1507">
      <c r="A1507" s="542"/>
      <c r="B1507" s="551" t="str">
        <f t="array" ref="B1507">IF(LEN(E1507),INDEX('4-All Devices'!AG:AG, MATCH(E1507, '4-All Devices'!AF:AF, 0)),"")</f>
        <v/>
      </c>
      <c r="C1507" s="549" t="s">
        <v>11186</v>
      </c>
      <c r="D1507" s="549" t="s">
        <v>11187</v>
      </c>
      <c r="E1507" s="8"/>
      <c r="F1507" s="552" t="s">
        <v>11188</v>
      </c>
      <c r="G1507" s="8"/>
      <c r="H1507" s="8"/>
      <c r="I1507" s="8"/>
      <c r="J1507" s="547"/>
      <c r="K1507" s="8"/>
      <c r="L1507" s="8"/>
      <c r="M1507" s="8"/>
    </row>
    <row r="1508">
      <c r="A1508" s="542"/>
      <c r="B1508" s="551" t="str">
        <f t="array" ref="B1508">IF(LEN(E1508),INDEX('4-All Devices'!AG:AG, MATCH(E1508, '4-All Devices'!AF:AF, 0)),"")</f>
        <v/>
      </c>
      <c r="C1508" s="549" t="s">
        <v>11186</v>
      </c>
      <c r="D1508" s="549" t="s">
        <v>11187</v>
      </c>
      <c r="E1508" s="8"/>
      <c r="F1508" s="552" t="s">
        <v>11188</v>
      </c>
      <c r="G1508" s="8"/>
      <c r="H1508" s="8"/>
      <c r="I1508" s="8"/>
      <c r="J1508" s="547"/>
      <c r="K1508" s="8"/>
      <c r="L1508" s="8"/>
      <c r="M1508" s="8"/>
    </row>
    <row r="1509">
      <c r="A1509" s="542"/>
      <c r="B1509" s="551" t="str">
        <f t="array" ref="B1509">IF(LEN(E1509),INDEX('4-All Devices'!AG:AG, MATCH(E1509, '4-All Devices'!AF:AF, 0)),"")</f>
        <v/>
      </c>
      <c r="C1509" s="549" t="s">
        <v>11186</v>
      </c>
      <c r="D1509" s="549" t="s">
        <v>11187</v>
      </c>
      <c r="E1509" s="8"/>
      <c r="F1509" s="552" t="s">
        <v>11188</v>
      </c>
      <c r="G1509" s="8"/>
      <c r="H1509" s="8"/>
      <c r="I1509" s="8"/>
      <c r="J1509" s="547"/>
      <c r="K1509" s="8"/>
      <c r="L1509" s="8"/>
      <c r="M1509" s="8"/>
    </row>
    <row r="1510">
      <c r="A1510" s="542"/>
      <c r="B1510" s="551" t="str">
        <f t="array" ref="B1510">IF(LEN(E1510),INDEX('4-All Devices'!AG:AG, MATCH(E1510, '4-All Devices'!AF:AF, 0)),"")</f>
        <v/>
      </c>
      <c r="C1510" s="549" t="s">
        <v>11186</v>
      </c>
      <c r="D1510" s="549" t="s">
        <v>11187</v>
      </c>
      <c r="E1510" s="8"/>
      <c r="F1510" s="552" t="s">
        <v>11188</v>
      </c>
      <c r="G1510" s="8"/>
      <c r="H1510" s="8"/>
      <c r="I1510" s="8"/>
      <c r="J1510" s="547"/>
      <c r="K1510" s="8"/>
      <c r="L1510" s="8"/>
      <c r="M1510" s="8"/>
    </row>
    <row r="1511">
      <c r="A1511" s="542"/>
      <c r="B1511" s="551" t="str">
        <f t="array" ref="B1511">IF(LEN(E1511),INDEX('4-All Devices'!AG:AG, MATCH(E1511, '4-All Devices'!AF:AF, 0)),"")</f>
        <v/>
      </c>
      <c r="C1511" s="549" t="s">
        <v>11186</v>
      </c>
      <c r="D1511" s="549" t="s">
        <v>11189</v>
      </c>
      <c r="E1511" s="8"/>
      <c r="F1511" s="552" t="s">
        <v>11188</v>
      </c>
      <c r="G1511" s="8"/>
      <c r="H1511" s="8"/>
      <c r="I1511" s="8"/>
      <c r="J1511" s="547"/>
      <c r="K1511" s="8"/>
      <c r="L1511" s="8"/>
      <c r="M1511" s="8"/>
    </row>
    <row r="1512">
      <c r="A1512" s="542"/>
      <c r="B1512" s="551" t="str">
        <f t="array" ref="B1512">IF(LEN(E1512),INDEX('4-All Devices'!AG:AG, MATCH(E1512, '4-All Devices'!AF:AF, 0)),"")</f>
        <v/>
      </c>
      <c r="C1512" s="549" t="s">
        <v>11186</v>
      </c>
      <c r="D1512" s="549" t="s">
        <v>11189</v>
      </c>
      <c r="E1512" s="8"/>
      <c r="F1512" s="552" t="s">
        <v>11188</v>
      </c>
      <c r="G1512" s="8"/>
      <c r="H1512" s="8"/>
      <c r="I1512" s="8"/>
      <c r="J1512" s="547"/>
      <c r="K1512" s="8"/>
      <c r="L1512" s="8"/>
      <c r="M1512" s="8"/>
    </row>
    <row r="1513">
      <c r="A1513" s="542"/>
      <c r="B1513" s="551" t="str">
        <f t="array" ref="B1513">IF(LEN(E1513),INDEX('4-All Devices'!AG:AG, MATCH(E1513, '4-All Devices'!AF:AF, 0)),"")</f>
        <v/>
      </c>
      <c r="C1513" s="549" t="s">
        <v>11186</v>
      </c>
      <c r="D1513" s="549" t="s">
        <v>11189</v>
      </c>
      <c r="E1513" s="8"/>
      <c r="F1513" s="552" t="s">
        <v>11188</v>
      </c>
      <c r="G1513" s="8"/>
      <c r="H1513" s="8"/>
      <c r="I1513" s="8"/>
      <c r="J1513" s="547"/>
      <c r="K1513" s="8"/>
      <c r="L1513" s="8"/>
      <c r="M1513" s="8"/>
    </row>
    <row r="1514">
      <c r="A1514" s="542"/>
      <c r="B1514" s="551" t="str">
        <f t="array" ref="B1514">IF(LEN(E1514),INDEX('4-All Devices'!AG:AG, MATCH(E1514, '4-All Devices'!AF:AF, 0)),"")</f>
        <v/>
      </c>
      <c r="C1514" s="549" t="s">
        <v>11186</v>
      </c>
      <c r="D1514" s="549" t="s">
        <v>11189</v>
      </c>
      <c r="E1514" s="8"/>
      <c r="F1514" s="552" t="s">
        <v>11188</v>
      </c>
      <c r="G1514" s="8"/>
      <c r="H1514" s="8"/>
      <c r="I1514" s="8"/>
      <c r="J1514" s="547"/>
      <c r="K1514" s="8"/>
      <c r="L1514" s="8"/>
      <c r="M1514" s="8"/>
    </row>
    <row r="1515">
      <c r="A1515" s="542"/>
      <c r="B1515" s="551" t="str">
        <f t="array" ref="B1515">IF(LEN(E1515),INDEX('4-All Devices'!AG:AG, MATCH(E1515, '4-All Devices'!AF:AF, 0)),"")</f>
        <v/>
      </c>
      <c r="C1515" s="549" t="s">
        <v>11186</v>
      </c>
      <c r="D1515" s="549" t="s">
        <v>11189</v>
      </c>
      <c r="E1515" s="8"/>
      <c r="F1515" s="552" t="s">
        <v>11188</v>
      </c>
      <c r="G1515" s="8"/>
      <c r="H1515" s="8"/>
      <c r="I1515" s="8"/>
      <c r="J1515" s="547"/>
      <c r="K1515" s="8"/>
      <c r="L1515" s="8"/>
      <c r="M1515" s="8"/>
    </row>
    <row r="1516">
      <c r="A1516" s="542"/>
      <c r="B1516" s="551" t="str">
        <f t="array" ref="B1516">IF(LEN(E1516),INDEX('4-All Devices'!AG:AG, MATCH(E1516, '4-All Devices'!AF:AF, 0)),"")</f>
        <v/>
      </c>
      <c r="C1516" s="549" t="s">
        <v>11186</v>
      </c>
      <c r="D1516" s="549" t="s">
        <v>11189</v>
      </c>
      <c r="E1516" s="8"/>
      <c r="F1516" s="552" t="s">
        <v>11188</v>
      </c>
      <c r="G1516" s="8"/>
      <c r="H1516" s="8"/>
      <c r="I1516" s="8"/>
      <c r="J1516" s="547"/>
      <c r="K1516" s="8"/>
      <c r="L1516" s="8"/>
      <c r="M1516" s="8"/>
    </row>
    <row r="1517">
      <c r="A1517" s="542"/>
      <c r="B1517" s="551" t="str">
        <f t="array" ref="B1517">IF(LEN(E1517),INDEX('4-All Devices'!AG:AG, MATCH(E1517, '4-All Devices'!AF:AF, 0)),"")</f>
        <v/>
      </c>
      <c r="C1517" s="549" t="s">
        <v>11186</v>
      </c>
      <c r="D1517" s="549" t="s">
        <v>11189</v>
      </c>
      <c r="E1517" s="8"/>
      <c r="F1517" s="552" t="s">
        <v>11188</v>
      </c>
      <c r="G1517" s="8"/>
      <c r="H1517" s="8"/>
      <c r="I1517" s="8"/>
      <c r="J1517" s="547"/>
      <c r="K1517" s="8"/>
      <c r="L1517" s="8"/>
      <c r="M1517" s="8"/>
    </row>
    <row r="1518">
      <c r="A1518" s="542"/>
      <c r="B1518" s="551" t="str">
        <f t="array" ref="B1518">IF(LEN(E1518),INDEX('4-All Devices'!AG:AG, MATCH(E1518, '4-All Devices'!AF:AF, 0)),"")</f>
        <v/>
      </c>
      <c r="C1518" s="549" t="s">
        <v>11186</v>
      </c>
      <c r="D1518" s="549" t="s">
        <v>11189</v>
      </c>
      <c r="E1518" s="8"/>
      <c r="F1518" s="552" t="s">
        <v>11188</v>
      </c>
      <c r="G1518" s="8"/>
      <c r="H1518" s="8"/>
      <c r="I1518" s="8"/>
      <c r="J1518" s="547"/>
      <c r="K1518" s="8"/>
      <c r="L1518" s="8"/>
      <c r="M1518" s="8"/>
    </row>
    <row r="1519">
      <c r="A1519" s="542"/>
      <c r="B1519" s="551" t="str">
        <f t="array" ref="B1519">IF(LEN(E1519),INDEX('4-All Devices'!AG:AG, MATCH(E1519, '4-All Devices'!AF:AF, 0)),"")</f>
        <v/>
      </c>
      <c r="C1519" s="549" t="s">
        <v>11186</v>
      </c>
      <c r="D1519" s="549" t="s">
        <v>11189</v>
      </c>
      <c r="E1519" s="8"/>
      <c r="F1519" s="552" t="s">
        <v>11188</v>
      </c>
      <c r="G1519" s="8"/>
      <c r="H1519" s="8"/>
      <c r="I1519" s="8"/>
      <c r="J1519" s="547"/>
      <c r="K1519" s="8"/>
      <c r="L1519" s="8"/>
      <c r="M1519" s="8"/>
    </row>
    <row r="1520">
      <c r="A1520" s="542"/>
      <c r="B1520" s="551" t="str">
        <f t="array" ref="B1520">IF(LEN(E1520),INDEX('4-All Devices'!AG:AG, MATCH(E1520, '4-All Devices'!AF:AF, 0)),"")</f>
        <v/>
      </c>
      <c r="C1520" s="549" t="s">
        <v>11186</v>
      </c>
      <c r="D1520" s="549" t="s">
        <v>11189</v>
      </c>
      <c r="E1520" s="8"/>
      <c r="F1520" s="552" t="s">
        <v>11188</v>
      </c>
      <c r="G1520" s="8"/>
      <c r="H1520" s="8"/>
      <c r="I1520" s="8"/>
      <c r="J1520" s="547"/>
      <c r="K1520" s="8"/>
      <c r="L1520" s="8"/>
      <c r="M1520" s="8"/>
    </row>
    <row r="1521">
      <c r="A1521" s="542"/>
      <c r="B1521" s="551" t="str">
        <f t="array" ref="B1521">IF(LEN(E1521),INDEX('4-All Devices'!AG:AG, MATCH(E1521, '4-All Devices'!AF:AF, 0)),"")</f>
        <v/>
      </c>
      <c r="C1521" s="549" t="s">
        <v>11186</v>
      </c>
      <c r="D1521" s="549" t="s">
        <v>11189</v>
      </c>
      <c r="E1521" s="8"/>
      <c r="F1521" s="552" t="s">
        <v>11188</v>
      </c>
      <c r="G1521" s="8"/>
      <c r="H1521" s="8"/>
      <c r="I1521" s="8"/>
      <c r="J1521" s="547"/>
      <c r="K1521" s="8"/>
      <c r="L1521" s="8"/>
      <c r="M1521" s="8"/>
    </row>
    <row r="1522">
      <c r="A1522" s="542"/>
      <c r="B1522" s="551" t="str">
        <f t="array" ref="B1522">IF(LEN(E1522),INDEX('4-All Devices'!AG:AG, MATCH(E1522, '4-All Devices'!AF:AF, 0)),"")</f>
        <v/>
      </c>
      <c r="C1522" s="549" t="s">
        <v>11186</v>
      </c>
      <c r="D1522" s="549" t="s">
        <v>11189</v>
      </c>
      <c r="E1522" s="8"/>
      <c r="F1522" s="552" t="s">
        <v>11188</v>
      </c>
      <c r="G1522" s="8"/>
      <c r="H1522" s="8"/>
      <c r="I1522" s="8"/>
      <c r="J1522" s="547"/>
      <c r="K1522" s="8"/>
      <c r="L1522" s="8"/>
      <c r="M1522" s="8"/>
    </row>
    <row r="1523">
      <c r="A1523" s="542"/>
      <c r="B1523" s="551" t="str">
        <f t="array" ref="B1523">IF(LEN(E1523),INDEX('4-All Devices'!AG:AG, MATCH(E1523, '4-All Devices'!AF:AF, 0)),"")</f>
        <v/>
      </c>
      <c r="C1523" s="549" t="s">
        <v>11186</v>
      </c>
      <c r="D1523" s="549" t="s">
        <v>11189</v>
      </c>
      <c r="E1523" s="8"/>
      <c r="F1523" s="552" t="s">
        <v>11188</v>
      </c>
      <c r="G1523" s="8"/>
      <c r="H1523" s="8"/>
      <c r="I1523" s="8"/>
      <c r="J1523" s="547"/>
      <c r="K1523" s="8"/>
      <c r="L1523" s="8"/>
      <c r="M1523" s="8"/>
    </row>
    <row r="1524">
      <c r="A1524" s="542"/>
      <c r="B1524" s="551" t="str">
        <f t="array" ref="B1524">IF(LEN(E1524),INDEX('4-All Devices'!AG:AG, MATCH(E1524, '4-All Devices'!AF:AF, 0)),"")</f>
        <v/>
      </c>
      <c r="C1524" s="549" t="s">
        <v>11186</v>
      </c>
      <c r="D1524" s="549" t="s">
        <v>11189</v>
      </c>
      <c r="E1524" s="8"/>
      <c r="F1524" s="552" t="s">
        <v>11188</v>
      </c>
      <c r="G1524" s="8"/>
      <c r="H1524" s="8"/>
      <c r="I1524" s="8"/>
      <c r="J1524" s="547"/>
      <c r="K1524" s="8"/>
      <c r="L1524" s="8"/>
      <c r="M1524" s="8"/>
    </row>
    <row r="1525">
      <c r="A1525" s="542"/>
      <c r="B1525" s="551" t="str">
        <f t="array" ref="B1525">IF(LEN(E1525),INDEX('4-All Devices'!AG:AG, MATCH(E1525, '4-All Devices'!AF:AF, 0)),"")</f>
        <v/>
      </c>
      <c r="C1525" s="549" t="s">
        <v>11186</v>
      </c>
      <c r="D1525" s="549" t="s">
        <v>11189</v>
      </c>
      <c r="E1525" s="8"/>
      <c r="F1525" s="552" t="s">
        <v>11188</v>
      </c>
      <c r="G1525" s="8"/>
      <c r="H1525" s="8"/>
      <c r="I1525" s="8"/>
      <c r="J1525" s="547"/>
      <c r="K1525" s="8"/>
      <c r="L1525" s="8"/>
      <c r="M1525" s="8"/>
    </row>
    <row r="1526">
      <c r="A1526" s="542"/>
      <c r="B1526" s="551" t="str">
        <f t="array" ref="B1526">IF(LEN(E1526),INDEX('4-All Devices'!AG:AG, MATCH(E1526, '4-All Devices'!AF:AF, 0)),"")</f>
        <v/>
      </c>
      <c r="C1526" s="549" t="s">
        <v>11186</v>
      </c>
      <c r="D1526" s="549" t="s">
        <v>11189</v>
      </c>
      <c r="E1526" s="8"/>
      <c r="F1526" s="552" t="s">
        <v>11188</v>
      </c>
      <c r="G1526" s="8"/>
      <c r="H1526" s="8"/>
      <c r="I1526" s="8"/>
      <c r="J1526" s="547"/>
      <c r="K1526" s="8"/>
      <c r="L1526" s="8"/>
      <c r="M1526" s="8"/>
    </row>
    <row r="1527">
      <c r="A1527" s="542"/>
      <c r="B1527" s="551" t="str">
        <f t="array" ref="B1527">IF(LEN(E1527),INDEX('4-All Devices'!AG:AG, MATCH(E1527, '4-All Devices'!AF:AF, 0)),"")</f>
        <v/>
      </c>
      <c r="C1527" s="549" t="s">
        <v>11186</v>
      </c>
      <c r="D1527" s="549" t="s">
        <v>11189</v>
      </c>
      <c r="E1527" s="8"/>
      <c r="F1527" s="552" t="s">
        <v>11188</v>
      </c>
      <c r="G1527" s="8"/>
      <c r="H1527" s="8"/>
      <c r="I1527" s="8"/>
      <c r="J1527" s="547"/>
      <c r="K1527" s="8"/>
      <c r="L1527" s="8"/>
      <c r="M1527" s="8"/>
    </row>
    <row r="1528">
      <c r="A1528" s="542"/>
      <c r="B1528" s="551" t="str">
        <f t="array" ref="B1528">IF(LEN(E1528),INDEX('4-All Devices'!AG:AG, MATCH(E1528, '4-All Devices'!AF:AF, 0)),"")</f>
        <v/>
      </c>
      <c r="C1528" s="549" t="s">
        <v>11186</v>
      </c>
      <c r="D1528" s="549" t="s">
        <v>11189</v>
      </c>
      <c r="E1528" s="8"/>
      <c r="F1528" s="552" t="s">
        <v>11188</v>
      </c>
      <c r="G1528" s="8"/>
      <c r="H1528" s="8"/>
      <c r="I1528" s="8"/>
      <c r="J1528" s="547"/>
      <c r="K1528" s="8"/>
      <c r="L1528" s="8"/>
      <c r="M1528" s="8"/>
    </row>
    <row r="1529">
      <c r="A1529" s="542"/>
      <c r="B1529" s="551" t="str">
        <f t="array" ref="B1529">IF(LEN(E1529),INDEX('4-All Devices'!AG:AG, MATCH(E1529, '4-All Devices'!AF:AF, 0)),"")</f>
        <v/>
      </c>
      <c r="C1529" s="549" t="s">
        <v>11186</v>
      </c>
      <c r="D1529" s="549" t="s">
        <v>11189</v>
      </c>
      <c r="E1529" s="8"/>
      <c r="F1529" s="552" t="s">
        <v>11188</v>
      </c>
      <c r="G1529" s="8"/>
      <c r="H1529" s="8"/>
      <c r="I1529" s="8"/>
      <c r="J1529" s="547"/>
      <c r="K1529" s="8"/>
      <c r="L1529" s="8"/>
      <c r="M1529" s="8"/>
    </row>
    <row r="1530">
      <c r="A1530" s="542"/>
      <c r="B1530" s="551" t="str">
        <f t="array" ref="B1530">IF(LEN(E1530),INDEX('4-All Devices'!AG:AG, MATCH(E1530, '4-All Devices'!AF:AF, 0)),"")</f>
        <v/>
      </c>
      <c r="C1530" s="549" t="s">
        <v>11186</v>
      </c>
      <c r="D1530" s="549" t="s">
        <v>11189</v>
      </c>
      <c r="E1530" s="8"/>
      <c r="F1530" s="552" t="s">
        <v>11188</v>
      </c>
      <c r="G1530" s="8"/>
      <c r="H1530" s="8"/>
      <c r="I1530" s="8"/>
      <c r="J1530" s="547"/>
      <c r="K1530" s="8"/>
      <c r="L1530" s="8"/>
      <c r="M1530" s="8"/>
    </row>
    <row r="1531">
      <c r="A1531" s="542"/>
      <c r="B1531" s="551" t="str">
        <f t="array" ref="B1531">IF(LEN(E1531),INDEX('4-All Devices'!AG:AG, MATCH(E1531, '4-All Devices'!AF:AF, 0)),"")</f>
        <v/>
      </c>
      <c r="C1531" s="549" t="s">
        <v>11186</v>
      </c>
      <c r="D1531" s="549" t="s">
        <v>11189</v>
      </c>
      <c r="E1531" s="8"/>
      <c r="F1531" s="552" t="s">
        <v>11188</v>
      </c>
      <c r="G1531" s="8"/>
      <c r="H1531" s="8"/>
      <c r="I1531" s="8"/>
      <c r="J1531" s="547"/>
      <c r="K1531" s="8"/>
      <c r="L1531" s="8"/>
      <c r="M1531" s="8"/>
    </row>
    <row r="1532">
      <c r="A1532" s="542"/>
      <c r="B1532" s="551" t="str">
        <f t="array" ref="B1532">IF(LEN(E1532),INDEX('4-All Devices'!AG:AG, MATCH(E1532, '4-All Devices'!AF:AF, 0)),"")</f>
        <v/>
      </c>
      <c r="C1532" s="549" t="s">
        <v>11186</v>
      </c>
      <c r="D1532" s="549" t="s">
        <v>11189</v>
      </c>
      <c r="E1532" s="8"/>
      <c r="F1532" s="552" t="s">
        <v>11188</v>
      </c>
      <c r="G1532" s="8"/>
      <c r="H1532" s="8"/>
      <c r="I1532" s="8"/>
      <c r="J1532" s="547"/>
      <c r="K1532" s="8"/>
      <c r="L1532" s="8"/>
      <c r="M1532" s="8"/>
    </row>
    <row r="1533">
      <c r="A1533" s="542"/>
      <c r="B1533" s="551" t="str">
        <f t="array" ref="B1533">IF(LEN(E1533),INDEX('4-All Devices'!AG:AG, MATCH(E1533, '4-All Devices'!AF:AF, 0)),"")</f>
        <v/>
      </c>
      <c r="C1533" s="549" t="s">
        <v>11186</v>
      </c>
      <c r="D1533" s="549" t="s">
        <v>11189</v>
      </c>
      <c r="E1533" s="8"/>
      <c r="F1533" s="552" t="s">
        <v>11188</v>
      </c>
      <c r="G1533" s="8"/>
      <c r="H1533" s="8"/>
      <c r="I1533" s="8"/>
      <c r="J1533" s="547"/>
      <c r="K1533" s="8"/>
      <c r="L1533" s="8"/>
      <c r="M1533" s="8"/>
    </row>
    <row r="1534">
      <c r="A1534" s="542"/>
      <c r="B1534" s="551" t="str">
        <f t="array" ref="B1534">IF(LEN(E1534),INDEX('4-All Devices'!AG:AG, MATCH(E1534, '4-All Devices'!AF:AF, 0)),"")</f>
        <v/>
      </c>
      <c r="C1534" s="549" t="s">
        <v>11186</v>
      </c>
      <c r="D1534" s="549" t="s">
        <v>11189</v>
      </c>
      <c r="E1534" s="8"/>
      <c r="F1534" s="552" t="s">
        <v>11188</v>
      </c>
      <c r="G1534" s="8"/>
      <c r="H1534" s="8"/>
      <c r="I1534" s="8"/>
      <c r="J1534" s="547"/>
      <c r="K1534" s="8"/>
      <c r="L1534" s="8"/>
      <c r="M1534" s="8"/>
    </row>
    <row r="1535">
      <c r="A1535" s="542"/>
      <c r="B1535" s="551" t="str">
        <f t="array" ref="B1535">IF(LEN(E1535),INDEX('4-All Devices'!AG:AG, MATCH(E1535, '4-All Devices'!AF:AF, 0)),"")</f>
        <v/>
      </c>
      <c r="C1535" s="549" t="s">
        <v>11186</v>
      </c>
      <c r="D1535" s="549" t="s">
        <v>11189</v>
      </c>
      <c r="E1535" s="8"/>
      <c r="F1535" s="552" t="s">
        <v>11188</v>
      </c>
      <c r="G1535" s="8"/>
      <c r="H1535" s="8"/>
      <c r="I1535" s="8"/>
      <c r="J1535" s="547"/>
      <c r="K1535" s="8"/>
      <c r="L1535" s="8"/>
      <c r="M1535" s="8"/>
    </row>
    <row r="1536">
      <c r="A1536" s="542"/>
      <c r="B1536" s="551" t="str">
        <f t="array" ref="B1536">IF(LEN(E1536),INDEX('4-All Devices'!AG:AG, MATCH(E1536, '4-All Devices'!AF:AF, 0)),"")</f>
        <v/>
      </c>
      <c r="C1536" s="549" t="s">
        <v>11186</v>
      </c>
      <c r="D1536" s="549" t="s">
        <v>11189</v>
      </c>
      <c r="E1536" s="8"/>
      <c r="F1536" s="552" t="s">
        <v>11188</v>
      </c>
      <c r="G1536" s="8"/>
      <c r="H1536" s="8"/>
      <c r="I1536" s="8"/>
      <c r="J1536" s="547"/>
      <c r="K1536" s="8"/>
      <c r="L1536" s="8"/>
      <c r="M1536" s="8"/>
    </row>
    <row r="1537">
      <c r="A1537" s="542"/>
      <c r="B1537" s="551" t="str">
        <f t="array" ref="B1537">IF(LEN(E1537),INDEX('4-All Devices'!AG:AG, MATCH(E1537, '4-All Devices'!AF:AF, 0)),"")</f>
        <v/>
      </c>
      <c r="C1537" s="549" t="s">
        <v>11186</v>
      </c>
      <c r="D1537" s="549" t="s">
        <v>11189</v>
      </c>
      <c r="E1537" s="8"/>
      <c r="F1537" s="552" t="s">
        <v>11188</v>
      </c>
      <c r="G1537" s="8"/>
      <c r="H1537" s="8"/>
      <c r="I1537" s="8"/>
      <c r="J1537" s="547"/>
      <c r="K1537" s="8"/>
      <c r="L1537" s="8"/>
      <c r="M1537" s="8"/>
    </row>
    <row r="1538">
      <c r="A1538" s="542"/>
      <c r="B1538" s="551" t="str">
        <f t="array" ref="B1538">IF(LEN(E1538),INDEX('4-All Devices'!AG:AG, MATCH(E1538, '4-All Devices'!AF:AF, 0)),"")</f>
        <v/>
      </c>
      <c r="C1538" s="549" t="s">
        <v>11186</v>
      </c>
      <c r="D1538" s="549" t="s">
        <v>11189</v>
      </c>
      <c r="E1538" s="8"/>
      <c r="F1538" s="552" t="s">
        <v>11188</v>
      </c>
      <c r="G1538" s="8"/>
      <c r="H1538" s="8"/>
      <c r="I1538" s="8"/>
      <c r="J1538" s="547"/>
      <c r="K1538" s="8"/>
      <c r="L1538" s="8"/>
      <c r="M1538" s="8"/>
    </row>
    <row r="1539">
      <c r="A1539" s="542"/>
      <c r="B1539" s="551" t="str">
        <f t="array" ref="B1539">IF(LEN(E1539),INDEX('4-All Devices'!AG:AG, MATCH(E1539, '4-All Devices'!AF:AF, 0)),"")</f>
        <v/>
      </c>
      <c r="C1539" s="549" t="s">
        <v>11186</v>
      </c>
      <c r="D1539" s="549" t="s">
        <v>11189</v>
      </c>
      <c r="E1539" s="8"/>
      <c r="F1539" s="552" t="s">
        <v>11188</v>
      </c>
      <c r="G1539" s="8"/>
      <c r="H1539" s="552"/>
      <c r="I1539" s="8"/>
      <c r="J1539" s="547"/>
      <c r="K1539" s="8"/>
      <c r="L1539" s="8"/>
      <c r="M1539" s="8"/>
    </row>
    <row r="1540">
      <c r="A1540" s="542"/>
      <c r="B1540" s="551" t="str">
        <f t="array" ref="B1540">IF(LEN(E1540),INDEX('4-All Devices'!AG:AG, MATCH(E1540, '4-All Devices'!AF:AF, 0)),"")</f>
        <v/>
      </c>
      <c r="C1540" s="549" t="s">
        <v>11186</v>
      </c>
      <c r="D1540" s="549" t="s">
        <v>11189</v>
      </c>
      <c r="E1540" s="8"/>
      <c r="F1540" s="552" t="s">
        <v>11188</v>
      </c>
      <c r="G1540" s="8"/>
      <c r="H1540" s="552"/>
      <c r="I1540" s="8"/>
      <c r="J1540" s="547"/>
      <c r="K1540" s="8"/>
      <c r="L1540" s="8"/>
      <c r="M1540" s="8"/>
    </row>
    <row r="1541">
      <c r="A1541" s="542"/>
      <c r="B1541" s="551" t="str">
        <f t="array" ref="B1541">IF(LEN(E1541),INDEX('4-All Devices'!AG:AG, MATCH(E1541, '4-All Devices'!AF:AF, 0)),"")</f>
        <v/>
      </c>
      <c r="C1541" s="549" t="s">
        <v>11186</v>
      </c>
      <c r="D1541" s="549" t="s">
        <v>11189</v>
      </c>
      <c r="E1541" s="8"/>
      <c r="F1541" s="552" t="s">
        <v>11188</v>
      </c>
      <c r="G1541" s="8"/>
      <c r="H1541" s="552"/>
      <c r="I1541" s="8"/>
      <c r="J1541" s="547"/>
      <c r="K1541" s="8"/>
      <c r="L1541" s="8"/>
      <c r="M1541" s="8"/>
    </row>
    <row r="1542">
      <c r="A1542" s="542"/>
      <c r="B1542" s="551" t="str">
        <f t="array" ref="B1542">IF(LEN(E1542),INDEX('4-All Devices'!AG:AG, MATCH(E1542, '4-All Devices'!AF:AF, 0)),"")</f>
        <v/>
      </c>
      <c r="C1542" s="549" t="s">
        <v>11186</v>
      </c>
      <c r="D1542" s="549" t="s">
        <v>11189</v>
      </c>
      <c r="E1542" s="8"/>
      <c r="F1542" s="552" t="s">
        <v>11188</v>
      </c>
      <c r="G1542" s="8"/>
      <c r="H1542" s="552"/>
      <c r="I1542" s="8"/>
      <c r="J1542" s="547"/>
      <c r="K1542" s="8"/>
      <c r="L1542" s="8"/>
      <c r="M1542" s="8"/>
    </row>
    <row r="1543">
      <c r="A1543" s="542"/>
      <c r="B1543" s="551" t="str">
        <f t="array" ref="B1543">IF(LEN(E1543),INDEX('4-All Devices'!AG:AG, MATCH(E1543, '4-All Devices'!AF:AF, 0)),"")</f>
        <v/>
      </c>
      <c r="C1543" s="549" t="s">
        <v>11186</v>
      </c>
      <c r="D1543" s="549" t="s">
        <v>11189</v>
      </c>
      <c r="E1543" s="8"/>
      <c r="F1543" s="552" t="s">
        <v>11188</v>
      </c>
      <c r="G1543" s="8"/>
      <c r="H1543" s="552"/>
      <c r="I1543" s="8"/>
      <c r="J1543" s="547"/>
      <c r="K1543" s="8"/>
      <c r="L1543" s="8"/>
      <c r="M1543" s="8"/>
    </row>
    <row r="1544">
      <c r="A1544" s="542"/>
      <c r="B1544" s="551" t="str">
        <f t="array" ref="B1544">IF(LEN(E1544),INDEX('4-All Devices'!AG:AG, MATCH(E1544, '4-All Devices'!AF:AF, 0)),"")</f>
        <v/>
      </c>
      <c r="C1544" s="549" t="s">
        <v>11186</v>
      </c>
      <c r="D1544" s="549" t="s">
        <v>11189</v>
      </c>
      <c r="E1544" s="8"/>
      <c r="F1544" s="552" t="s">
        <v>11188</v>
      </c>
      <c r="G1544" s="8"/>
      <c r="H1544" s="552"/>
      <c r="I1544" s="8"/>
      <c r="J1544" s="547"/>
      <c r="K1544" s="8"/>
      <c r="L1544" s="8"/>
      <c r="M1544" s="8"/>
    </row>
    <row r="1545">
      <c r="A1545" s="542"/>
      <c r="B1545" s="551" t="str">
        <f t="array" ref="B1545">IF(LEN(E1545),INDEX('4-All Devices'!AG:AG, MATCH(E1545, '4-All Devices'!AF:AF, 0)),"")</f>
        <v/>
      </c>
      <c r="C1545" s="549" t="s">
        <v>11186</v>
      </c>
      <c r="D1545" s="549" t="s">
        <v>11189</v>
      </c>
      <c r="E1545" s="8"/>
      <c r="F1545" s="552" t="s">
        <v>11188</v>
      </c>
      <c r="G1545" s="8"/>
      <c r="H1545" s="552"/>
      <c r="I1545" s="8"/>
      <c r="J1545" s="547"/>
      <c r="K1545" s="8"/>
      <c r="L1545" s="8"/>
      <c r="M1545" s="8"/>
    </row>
    <row r="1546">
      <c r="A1546" s="542"/>
      <c r="B1546" s="551" t="str">
        <f t="array" ref="B1546">IF(LEN(E1546),INDEX('4-All Devices'!AG:AG, MATCH(E1546, '4-All Devices'!AF:AF, 0)),"")</f>
        <v/>
      </c>
      <c r="C1546" s="549" t="s">
        <v>11186</v>
      </c>
      <c r="D1546" s="549" t="s">
        <v>11189</v>
      </c>
      <c r="E1546" s="8"/>
      <c r="F1546" s="552" t="s">
        <v>11188</v>
      </c>
      <c r="G1546" s="8"/>
      <c r="H1546" s="552"/>
      <c r="I1546" s="8"/>
      <c r="J1546" s="547"/>
      <c r="K1546" s="8"/>
      <c r="L1546" s="8"/>
      <c r="M1546" s="8"/>
    </row>
    <row r="1547">
      <c r="A1547" s="542"/>
      <c r="B1547" s="551" t="str">
        <f t="array" ref="B1547">IF(LEN(E1547),INDEX('4-All Devices'!AG:AG, MATCH(E1547, '4-All Devices'!AF:AF, 0)),"")</f>
        <v/>
      </c>
      <c r="C1547" s="549" t="s">
        <v>11186</v>
      </c>
      <c r="D1547" s="549" t="s">
        <v>11189</v>
      </c>
      <c r="E1547" s="8"/>
      <c r="F1547" s="552" t="s">
        <v>11188</v>
      </c>
      <c r="G1547" s="8"/>
      <c r="H1547" s="552"/>
      <c r="I1547" s="8"/>
      <c r="J1547" s="547"/>
      <c r="K1547" s="8"/>
      <c r="L1547" s="8"/>
      <c r="M1547" s="8"/>
    </row>
    <row r="1548">
      <c r="A1548" s="542"/>
      <c r="B1548" s="551" t="str">
        <f t="array" ref="B1548">IF(LEN(E1548),INDEX('4-All Devices'!AG:AG, MATCH(E1548, '4-All Devices'!AF:AF, 0)),"")</f>
        <v/>
      </c>
      <c r="C1548" s="549" t="s">
        <v>11186</v>
      </c>
      <c r="D1548" s="549" t="s">
        <v>11189</v>
      </c>
      <c r="E1548" s="8"/>
      <c r="F1548" s="552" t="s">
        <v>11188</v>
      </c>
      <c r="G1548" s="8"/>
      <c r="H1548" s="552"/>
      <c r="I1548" s="8"/>
      <c r="J1548" s="547"/>
      <c r="K1548" s="8"/>
      <c r="L1548" s="8"/>
      <c r="M1548" s="8"/>
    </row>
    <row r="1549">
      <c r="A1549" s="542"/>
      <c r="B1549" s="551" t="str">
        <f t="array" ref="B1549">IF(LEN(E1549),INDEX('4-All Devices'!AG:AG, MATCH(E1549, '4-All Devices'!AF:AF, 0)),"")</f>
        <v/>
      </c>
      <c r="C1549" s="549" t="s">
        <v>11186</v>
      </c>
      <c r="D1549" s="549" t="s">
        <v>11189</v>
      </c>
      <c r="E1549" s="8"/>
      <c r="F1549" s="552" t="s">
        <v>11188</v>
      </c>
      <c r="G1549" s="8"/>
      <c r="H1549" s="552"/>
      <c r="I1549" s="8"/>
      <c r="J1549" s="547"/>
      <c r="K1549" s="8"/>
      <c r="L1549" s="8"/>
      <c r="M1549" s="8"/>
    </row>
    <row r="1550">
      <c r="A1550" s="542"/>
      <c r="B1550" s="551" t="str">
        <f t="array" ref="B1550">IF(LEN(E1550),INDEX('4-All Devices'!AG:AG, MATCH(E1550, '4-All Devices'!AF:AF, 0)),"")</f>
        <v/>
      </c>
      <c r="C1550" s="549" t="s">
        <v>11186</v>
      </c>
      <c r="D1550" s="549" t="s">
        <v>11189</v>
      </c>
      <c r="E1550" s="8"/>
      <c r="F1550" s="552" t="s">
        <v>11188</v>
      </c>
      <c r="G1550" s="8"/>
      <c r="H1550" s="552"/>
      <c r="I1550" s="8"/>
      <c r="J1550" s="547"/>
      <c r="K1550" s="8"/>
      <c r="L1550" s="8"/>
      <c r="M1550" s="8"/>
    </row>
    <row r="1551">
      <c r="A1551" s="542"/>
      <c r="B1551" s="551" t="str">
        <f t="array" ref="B1551">IF(LEN(E1551),INDEX('4-All Devices'!AG:AG, MATCH(E1551, '4-All Devices'!AF:AF, 0)),"")</f>
        <v/>
      </c>
      <c r="C1551" s="549" t="s">
        <v>11186</v>
      </c>
      <c r="D1551" s="549" t="s">
        <v>11189</v>
      </c>
      <c r="E1551" s="8"/>
      <c r="F1551" s="552" t="s">
        <v>11188</v>
      </c>
      <c r="G1551" s="8"/>
      <c r="H1551" s="552"/>
      <c r="I1551" s="8"/>
      <c r="J1551" s="547"/>
      <c r="K1551" s="8"/>
      <c r="L1551" s="8"/>
      <c r="M1551" s="8"/>
    </row>
    <row r="1552">
      <c r="A1552" s="542"/>
      <c r="B1552" s="551" t="str">
        <f t="array" ref="B1552">IF(LEN(E1552),INDEX('4-All Devices'!AG:AG, MATCH(E1552, '4-All Devices'!AF:AF, 0)),"")</f>
        <v/>
      </c>
      <c r="C1552" s="549" t="s">
        <v>11186</v>
      </c>
      <c r="D1552" s="549" t="s">
        <v>11189</v>
      </c>
      <c r="E1552" s="8"/>
      <c r="F1552" s="552" t="s">
        <v>11188</v>
      </c>
      <c r="G1552" s="8"/>
      <c r="H1552" s="552"/>
      <c r="I1552" s="8"/>
      <c r="J1552" s="547"/>
      <c r="K1552" s="8"/>
      <c r="L1552" s="8"/>
      <c r="M1552" s="8"/>
    </row>
    <row r="1553">
      <c r="A1553" s="542"/>
      <c r="B1553" s="551" t="str">
        <f t="array" ref="B1553">IF(LEN(E1553),INDEX('4-All Devices'!AG:AG, MATCH(E1553, '4-All Devices'!AF:AF, 0)),"")</f>
        <v/>
      </c>
      <c r="C1553" s="549" t="s">
        <v>11186</v>
      </c>
      <c r="D1553" s="549" t="s">
        <v>11189</v>
      </c>
      <c r="E1553" s="8"/>
      <c r="F1553" s="552" t="s">
        <v>11188</v>
      </c>
      <c r="G1553" s="8"/>
      <c r="H1553" s="552"/>
      <c r="I1553" s="8"/>
      <c r="J1553" s="547"/>
      <c r="K1553" s="8"/>
      <c r="L1553" s="8"/>
      <c r="M1553" s="8"/>
    </row>
    <row r="1554">
      <c r="A1554" s="542"/>
      <c r="B1554" s="551" t="str">
        <f t="array" ref="B1554">IF(LEN(E1554),INDEX('4-All Devices'!AG:AG, MATCH(E1554, '4-All Devices'!AF:AF, 0)),"")</f>
        <v/>
      </c>
      <c r="C1554" s="549" t="s">
        <v>11186</v>
      </c>
      <c r="D1554" s="549" t="s">
        <v>11189</v>
      </c>
      <c r="E1554" s="8"/>
      <c r="F1554" s="552" t="s">
        <v>11188</v>
      </c>
      <c r="G1554" s="8"/>
      <c r="H1554" s="552"/>
      <c r="I1554" s="8"/>
      <c r="J1554" s="547"/>
      <c r="K1554" s="8"/>
      <c r="L1554" s="8"/>
      <c r="M1554" s="8"/>
    </row>
    <row r="1555">
      <c r="A1555" s="542"/>
      <c r="B1555" s="551" t="str">
        <f t="array" ref="B1555">IF(LEN(E1555),INDEX('4-All Devices'!AG:AG, MATCH(E1555, '4-All Devices'!AF:AF, 0)),"")</f>
        <v/>
      </c>
      <c r="C1555" s="549" t="s">
        <v>11186</v>
      </c>
      <c r="D1555" s="549" t="s">
        <v>11189</v>
      </c>
      <c r="E1555" s="8"/>
      <c r="F1555" s="552" t="s">
        <v>11188</v>
      </c>
      <c r="G1555" s="8"/>
      <c r="H1555" s="552"/>
      <c r="I1555" s="8"/>
      <c r="J1555" s="547"/>
      <c r="K1555" s="8"/>
      <c r="L1555" s="8"/>
      <c r="M1555" s="8"/>
    </row>
    <row r="1556">
      <c r="A1556" s="542"/>
      <c r="B1556" s="551" t="str">
        <f t="array" ref="B1556">IF(LEN(E1556),INDEX('4-All Devices'!AG:AG, MATCH(E1556, '4-All Devices'!AF:AF, 0)),"")</f>
        <v/>
      </c>
      <c r="C1556" s="549" t="s">
        <v>11186</v>
      </c>
      <c r="D1556" s="549" t="s">
        <v>11189</v>
      </c>
      <c r="E1556" s="8"/>
      <c r="F1556" s="552" t="s">
        <v>11188</v>
      </c>
      <c r="G1556" s="8"/>
      <c r="H1556" s="552"/>
      <c r="I1556" s="8"/>
      <c r="J1556" s="547"/>
      <c r="K1556" s="8"/>
      <c r="L1556" s="8"/>
      <c r="M1556" s="8"/>
    </row>
    <row r="1557">
      <c r="A1557" s="542"/>
      <c r="B1557" s="551" t="str">
        <f t="array" ref="B1557">IF(LEN(E1557),INDEX('4-All Devices'!AG:AG, MATCH(E1557, '4-All Devices'!AF:AF, 0)),"")</f>
        <v/>
      </c>
      <c r="C1557" s="549" t="s">
        <v>11186</v>
      </c>
      <c r="D1557" s="549" t="s">
        <v>11189</v>
      </c>
      <c r="E1557" s="8"/>
      <c r="F1557" s="552" t="s">
        <v>11188</v>
      </c>
      <c r="G1557" s="8"/>
      <c r="H1557" s="552"/>
      <c r="I1557" s="8"/>
      <c r="J1557" s="547"/>
      <c r="K1557" s="8"/>
      <c r="L1557" s="8"/>
      <c r="M1557" s="8"/>
    </row>
    <row r="1558">
      <c r="A1558" s="542"/>
      <c r="B1558" s="551" t="str">
        <f t="array" ref="B1558">IF(LEN(E1558),INDEX('4-All Devices'!AG:AG, MATCH(E1558, '4-All Devices'!AF:AF, 0)),"")</f>
        <v/>
      </c>
      <c r="C1558" s="549" t="s">
        <v>11186</v>
      </c>
      <c r="D1558" s="549" t="s">
        <v>11189</v>
      </c>
      <c r="E1558" s="8"/>
      <c r="F1558" s="552" t="s">
        <v>11188</v>
      </c>
      <c r="G1558" s="8"/>
      <c r="H1558" s="552"/>
      <c r="I1558" s="8"/>
      <c r="J1558" s="547"/>
      <c r="K1558" s="8"/>
      <c r="L1558" s="8"/>
      <c r="M1558" s="8"/>
    </row>
    <row r="1559">
      <c r="A1559" s="542"/>
      <c r="B1559" s="551" t="str">
        <f t="array" ref="B1559">IF(LEN(E1559),INDEX('4-All Devices'!AG:AG, MATCH(E1559, '4-All Devices'!AF:AF, 0)),"")</f>
        <v/>
      </c>
      <c r="C1559" s="549" t="s">
        <v>11186</v>
      </c>
      <c r="D1559" s="549" t="s">
        <v>11189</v>
      </c>
      <c r="E1559" s="8"/>
      <c r="F1559" s="552" t="s">
        <v>11188</v>
      </c>
      <c r="G1559" s="8"/>
      <c r="H1559" s="552"/>
      <c r="I1559" s="8"/>
      <c r="J1559" s="547"/>
      <c r="K1559" s="8"/>
      <c r="L1559" s="8"/>
      <c r="M1559" s="8"/>
    </row>
    <row r="1560">
      <c r="A1560" s="542"/>
      <c r="B1560" s="551" t="str">
        <f t="array" ref="B1560">IF(LEN(E1560),INDEX('4-All Devices'!AG:AG, MATCH(E1560, '4-All Devices'!AF:AF, 0)),"")</f>
        <v/>
      </c>
      <c r="C1560" s="549" t="s">
        <v>11186</v>
      </c>
      <c r="D1560" s="549" t="s">
        <v>11189</v>
      </c>
      <c r="E1560" s="8"/>
      <c r="F1560" s="552" t="s">
        <v>11188</v>
      </c>
      <c r="G1560" s="8"/>
      <c r="H1560" s="552"/>
      <c r="I1560" s="8"/>
      <c r="J1560" s="547"/>
      <c r="K1560" s="8"/>
      <c r="L1560" s="8"/>
      <c r="M1560" s="8"/>
    </row>
    <row r="1561">
      <c r="A1561" s="542"/>
      <c r="B1561" s="551" t="str">
        <f t="array" ref="B1561">IF(LEN(E1561),INDEX('4-All Devices'!AG:AG, MATCH(E1561, '4-All Devices'!AF:AF, 0)),"")</f>
        <v/>
      </c>
      <c r="C1561" s="549" t="s">
        <v>11186</v>
      </c>
      <c r="D1561" s="549" t="s">
        <v>11189</v>
      </c>
      <c r="E1561" s="8"/>
      <c r="F1561" s="552" t="s">
        <v>11188</v>
      </c>
      <c r="G1561" s="8"/>
      <c r="H1561" s="552"/>
      <c r="I1561" s="8"/>
      <c r="J1561" s="547"/>
      <c r="K1561" s="8"/>
      <c r="L1561" s="8"/>
      <c r="M1561" s="8"/>
    </row>
    <row r="1562">
      <c r="A1562" s="542"/>
      <c r="B1562" s="551" t="str">
        <f t="array" ref="B1562">IF(LEN(E1562),INDEX('4-All Devices'!AG:AG, MATCH(E1562, '4-All Devices'!AF:AF, 0)),"")</f>
        <v/>
      </c>
      <c r="C1562" s="549" t="s">
        <v>11186</v>
      </c>
      <c r="D1562" s="549" t="s">
        <v>11189</v>
      </c>
      <c r="E1562" s="8"/>
      <c r="F1562" s="552" t="s">
        <v>11188</v>
      </c>
      <c r="G1562" s="8"/>
      <c r="H1562" s="552"/>
      <c r="I1562" s="8"/>
      <c r="J1562" s="547"/>
      <c r="K1562" s="8"/>
      <c r="L1562" s="8"/>
      <c r="M1562" s="8"/>
    </row>
    <row r="1563">
      <c r="A1563" s="542"/>
      <c r="B1563" s="551" t="str">
        <f t="array" ref="B1563">IF(LEN(E1563),INDEX('4-All Devices'!AG:AG, MATCH(E1563, '4-All Devices'!AF:AF, 0)),"")</f>
        <v/>
      </c>
      <c r="C1563" s="549" t="s">
        <v>11186</v>
      </c>
      <c r="D1563" s="549" t="s">
        <v>11189</v>
      </c>
      <c r="E1563" s="8"/>
      <c r="F1563" s="552" t="s">
        <v>11188</v>
      </c>
      <c r="G1563" s="8"/>
      <c r="H1563" s="552"/>
      <c r="I1563" s="8"/>
      <c r="J1563" s="547"/>
      <c r="K1563" s="8"/>
      <c r="L1563" s="8"/>
      <c r="M1563" s="8"/>
    </row>
    <row r="1564">
      <c r="A1564" s="542"/>
      <c r="B1564" s="551" t="str">
        <f t="array" ref="B1564">IF(LEN(E1564),INDEX('4-All Devices'!AG:AG, MATCH(E1564, '4-All Devices'!AF:AF, 0)),"")</f>
        <v/>
      </c>
      <c r="C1564" s="549" t="s">
        <v>11186</v>
      </c>
      <c r="D1564" s="549" t="s">
        <v>11189</v>
      </c>
      <c r="E1564" s="8"/>
      <c r="F1564" s="552" t="s">
        <v>11188</v>
      </c>
      <c r="G1564" s="8"/>
      <c r="H1564" s="552"/>
      <c r="I1564" s="8"/>
      <c r="J1564" s="547"/>
      <c r="K1564" s="8"/>
      <c r="L1564" s="8"/>
      <c r="M1564" s="8"/>
    </row>
    <row r="1565">
      <c r="A1565" s="542"/>
      <c r="B1565" s="551" t="str">
        <f t="array" ref="B1565">IF(LEN(E1565),INDEX('4-All Devices'!AG:AG, MATCH(E1565, '4-All Devices'!AF:AF, 0)),"")</f>
        <v/>
      </c>
      <c r="C1565" s="549" t="s">
        <v>11186</v>
      </c>
      <c r="D1565" s="549" t="s">
        <v>11189</v>
      </c>
      <c r="E1565" s="8"/>
      <c r="F1565" s="552" t="s">
        <v>11188</v>
      </c>
      <c r="G1565" s="8"/>
      <c r="H1565" s="552"/>
      <c r="I1565" s="8"/>
      <c r="J1565" s="547"/>
      <c r="K1565" s="8"/>
      <c r="L1565" s="8"/>
      <c r="M1565" s="8"/>
    </row>
    <row r="1566">
      <c r="A1566" s="542"/>
      <c r="B1566" s="551" t="str">
        <f t="array" ref="B1566">IF(LEN(E1566),INDEX('4-All Devices'!AG:AG, MATCH(E1566, '4-All Devices'!AF:AF, 0)),"")</f>
        <v/>
      </c>
      <c r="C1566" s="549" t="s">
        <v>11186</v>
      </c>
      <c r="D1566" s="549" t="s">
        <v>11189</v>
      </c>
      <c r="E1566" s="8"/>
      <c r="F1566" s="552" t="s">
        <v>11188</v>
      </c>
      <c r="G1566" s="8"/>
      <c r="H1566" s="552"/>
      <c r="I1566" s="8"/>
      <c r="J1566" s="547"/>
      <c r="K1566" s="8"/>
      <c r="L1566" s="8"/>
      <c r="M1566" s="8"/>
    </row>
    <row r="1567">
      <c r="A1567" s="542"/>
      <c r="B1567" s="551" t="str">
        <f t="array" ref="B1567">IF(LEN(E1567),INDEX('4-All Devices'!AG:AG, MATCH(E1567, '4-All Devices'!AF:AF, 0)),"")</f>
        <v/>
      </c>
      <c r="C1567" s="549" t="s">
        <v>11186</v>
      </c>
      <c r="D1567" s="549" t="s">
        <v>11189</v>
      </c>
      <c r="E1567" s="8"/>
      <c r="F1567" s="552" t="s">
        <v>11188</v>
      </c>
      <c r="G1567" s="8"/>
      <c r="H1567" s="552"/>
      <c r="I1567" s="8"/>
      <c r="J1567" s="547"/>
      <c r="K1567" s="8"/>
      <c r="L1567" s="8"/>
      <c r="M1567" s="8"/>
    </row>
    <row r="1568">
      <c r="A1568" s="542"/>
      <c r="B1568" s="551" t="str">
        <f t="array" ref="B1568">IF(LEN(E1568),INDEX('4-All Devices'!AG:AG, MATCH(E1568, '4-All Devices'!AF:AF, 0)),"")</f>
        <v/>
      </c>
      <c r="C1568" s="549" t="s">
        <v>11186</v>
      </c>
      <c r="D1568" s="549" t="s">
        <v>11189</v>
      </c>
      <c r="E1568" s="8"/>
      <c r="F1568" s="552" t="s">
        <v>11188</v>
      </c>
      <c r="G1568" s="8"/>
      <c r="H1568" s="552"/>
      <c r="I1568" s="8"/>
      <c r="J1568" s="547"/>
      <c r="K1568" s="8"/>
      <c r="L1568" s="8"/>
      <c r="M1568" s="8"/>
    </row>
    <row r="1569">
      <c r="A1569" s="542"/>
      <c r="B1569" s="551" t="str">
        <f t="array" ref="B1569">IF(LEN(E1569),INDEX('4-All Devices'!AG:AG, MATCH(E1569, '4-All Devices'!AF:AF, 0)),"")</f>
        <v/>
      </c>
      <c r="C1569" s="549" t="s">
        <v>11186</v>
      </c>
      <c r="D1569" s="549" t="s">
        <v>11189</v>
      </c>
      <c r="E1569" s="8"/>
      <c r="F1569" s="552" t="s">
        <v>11188</v>
      </c>
      <c r="G1569" s="8"/>
      <c r="H1569" s="552"/>
      <c r="I1569" s="8"/>
      <c r="J1569" s="547"/>
      <c r="K1569" s="8"/>
      <c r="L1569" s="8"/>
      <c r="M1569" s="8"/>
    </row>
    <row r="1570">
      <c r="A1570" s="542"/>
      <c r="B1570" s="551" t="str">
        <f t="array" ref="B1570">IF(LEN(E1570),INDEX('4-All Devices'!AG:AG, MATCH(E1570, '4-All Devices'!AF:AF, 0)),"")</f>
        <v/>
      </c>
      <c r="C1570" s="549" t="s">
        <v>11186</v>
      </c>
      <c r="D1570" s="549" t="s">
        <v>11189</v>
      </c>
      <c r="E1570" s="8"/>
      <c r="F1570" s="552" t="s">
        <v>11188</v>
      </c>
      <c r="G1570" s="8"/>
      <c r="H1570" s="552"/>
      <c r="I1570" s="8"/>
      <c r="J1570" s="547"/>
      <c r="K1570" s="8"/>
      <c r="L1570" s="8"/>
      <c r="M1570" s="8"/>
    </row>
    <row r="1571">
      <c r="A1571" s="542"/>
      <c r="B1571" s="551" t="str">
        <f t="array" ref="B1571">IF(LEN(E1571),INDEX('4-All Devices'!AG:AG, MATCH(E1571, '4-All Devices'!AF:AF, 0)),"")</f>
        <v/>
      </c>
      <c r="C1571" s="549" t="s">
        <v>11186</v>
      </c>
      <c r="D1571" s="549" t="s">
        <v>11189</v>
      </c>
      <c r="E1571" s="8"/>
      <c r="F1571" s="552" t="s">
        <v>11188</v>
      </c>
      <c r="G1571" s="8"/>
      <c r="H1571" s="552"/>
      <c r="I1571" s="8"/>
      <c r="J1571" s="547"/>
      <c r="K1571" s="8"/>
      <c r="L1571" s="8"/>
      <c r="M1571" s="8"/>
    </row>
    <row r="1572">
      <c r="A1572" s="542"/>
      <c r="B1572" s="551" t="str">
        <f t="array" ref="B1572">IF(LEN(E1572),INDEX('4-All Devices'!AG:AG, MATCH(E1572, '4-All Devices'!AF:AF, 0)),"")</f>
        <v/>
      </c>
      <c r="C1572" s="549" t="s">
        <v>11186</v>
      </c>
      <c r="D1572" s="549" t="s">
        <v>11189</v>
      </c>
      <c r="E1572" s="8"/>
      <c r="F1572" s="552" t="s">
        <v>11188</v>
      </c>
      <c r="G1572" s="8"/>
      <c r="H1572" s="552"/>
      <c r="I1572" s="8"/>
      <c r="J1572" s="547"/>
      <c r="K1572" s="8"/>
      <c r="L1572" s="8"/>
      <c r="M1572" s="8"/>
    </row>
    <row r="1573">
      <c r="A1573" s="542"/>
      <c r="B1573" s="551" t="str">
        <f t="array" ref="B1573">IF(LEN(E1573),INDEX('4-All Devices'!AG:AG, MATCH(E1573, '4-All Devices'!AF:AF, 0)),"")</f>
        <v/>
      </c>
      <c r="C1573" s="549" t="s">
        <v>11186</v>
      </c>
      <c r="D1573" s="549" t="s">
        <v>11189</v>
      </c>
      <c r="E1573" s="8"/>
      <c r="F1573" s="552" t="s">
        <v>11188</v>
      </c>
      <c r="G1573" s="8"/>
      <c r="H1573" s="552"/>
      <c r="I1573" s="8"/>
      <c r="J1573" s="547"/>
      <c r="K1573" s="8"/>
      <c r="L1573" s="8"/>
      <c r="M1573" s="8"/>
    </row>
    <row r="1574">
      <c r="A1574" s="542"/>
      <c r="B1574" s="551" t="str">
        <f t="array" ref="B1574">IF(LEN(E1574),INDEX('4-All Devices'!AG:AG, MATCH(E1574, '4-All Devices'!AF:AF, 0)),"")</f>
        <v/>
      </c>
      <c r="C1574" s="549" t="s">
        <v>11186</v>
      </c>
      <c r="D1574" s="549" t="s">
        <v>11189</v>
      </c>
      <c r="E1574" s="8"/>
      <c r="F1574" s="552" t="s">
        <v>11188</v>
      </c>
      <c r="G1574" s="8"/>
      <c r="H1574" s="552"/>
      <c r="I1574" s="8"/>
      <c r="J1574" s="547"/>
      <c r="K1574" s="8"/>
      <c r="L1574" s="8"/>
      <c r="M1574" s="8"/>
    </row>
    <row r="1575">
      <c r="A1575" s="542"/>
      <c r="B1575" s="551" t="str">
        <f t="array" ref="B1575">IF(LEN(E1575),INDEX('4-All Devices'!AG:AG, MATCH(E1575, '4-All Devices'!AF:AF, 0)),"")</f>
        <v/>
      </c>
      <c r="C1575" s="549" t="s">
        <v>11186</v>
      </c>
      <c r="D1575" s="549" t="s">
        <v>11189</v>
      </c>
      <c r="E1575" s="8"/>
      <c r="F1575" s="552" t="s">
        <v>11188</v>
      </c>
      <c r="G1575" s="8"/>
      <c r="H1575" s="552"/>
      <c r="I1575" s="8"/>
      <c r="J1575" s="547"/>
      <c r="K1575" s="8"/>
      <c r="L1575" s="8"/>
      <c r="M1575" s="8"/>
    </row>
    <row r="1576">
      <c r="A1576" s="542"/>
      <c r="B1576" s="551" t="str">
        <f t="array" ref="B1576">IF(LEN(E1576),INDEX('4-All Devices'!AG:AG, MATCH(E1576, '4-All Devices'!AF:AF, 0)),"")</f>
        <v/>
      </c>
      <c r="C1576" s="549" t="s">
        <v>11186</v>
      </c>
      <c r="D1576" s="549" t="s">
        <v>11189</v>
      </c>
      <c r="E1576" s="8"/>
      <c r="F1576" s="552" t="s">
        <v>11188</v>
      </c>
      <c r="G1576" s="8"/>
      <c r="H1576" s="552"/>
      <c r="I1576" s="8"/>
      <c r="J1576" s="547"/>
      <c r="K1576" s="8"/>
      <c r="L1576" s="8"/>
      <c r="M1576" s="8"/>
    </row>
    <row r="1577">
      <c r="A1577" s="542"/>
      <c r="B1577" s="551" t="str">
        <f t="array" ref="B1577">IF(LEN(E1577),INDEX('4-All Devices'!AG:AG, MATCH(E1577, '4-All Devices'!AF:AF, 0)),"")</f>
        <v/>
      </c>
      <c r="C1577" s="549" t="s">
        <v>11186</v>
      </c>
      <c r="D1577" s="549" t="s">
        <v>11189</v>
      </c>
      <c r="E1577" s="8"/>
      <c r="F1577" s="552" t="s">
        <v>11188</v>
      </c>
      <c r="G1577" s="8"/>
      <c r="H1577" s="552"/>
      <c r="I1577" s="8"/>
      <c r="J1577" s="547"/>
      <c r="K1577" s="8"/>
      <c r="L1577" s="8"/>
      <c r="M1577" s="8"/>
    </row>
    <row r="1578">
      <c r="A1578" s="542"/>
      <c r="B1578" s="551" t="str">
        <f t="array" ref="B1578">IF(LEN(E1578),INDEX('4-All Devices'!AG:AG, MATCH(E1578, '4-All Devices'!AF:AF, 0)),"")</f>
        <v/>
      </c>
      <c r="C1578" s="549" t="s">
        <v>11186</v>
      </c>
      <c r="D1578" s="549" t="s">
        <v>11189</v>
      </c>
      <c r="E1578" s="8"/>
      <c r="F1578" s="552" t="s">
        <v>11188</v>
      </c>
      <c r="G1578" s="8"/>
      <c r="H1578" s="552"/>
      <c r="I1578" s="8"/>
      <c r="J1578" s="547"/>
      <c r="K1578" s="8"/>
      <c r="L1578" s="8"/>
      <c r="M1578" s="8"/>
    </row>
    <row r="1579">
      <c r="A1579" s="542"/>
      <c r="B1579" s="551" t="str">
        <f t="array" ref="B1579">IF(LEN(E1579),INDEX('4-All Devices'!AG:AG, MATCH(E1579, '4-All Devices'!AF:AF, 0)),"")</f>
        <v/>
      </c>
      <c r="C1579" s="549" t="s">
        <v>11186</v>
      </c>
      <c r="D1579" s="549" t="s">
        <v>11189</v>
      </c>
      <c r="E1579" s="8"/>
      <c r="F1579" s="552" t="s">
        <v>11188</v>
      </c>
      <c r="G1579" s="8"/>
      <c r="H1579" s="552"/>
      <c r="I1579" s="8"/>
      <c r="J1579" s="547"/>
      <c r="K1579" s="8"/>
      <c r="L1579" s="8"/>
      <c r="M1579" s="8"/>
    </row>
    <row r="1580">
      <c r="A1580" s="542"/>
      <c r="B1580" s="551" t="str">
        <f t="array" ref="B1580">IF(LEN(E1580),INDEX('4-All Devices'!AG:AG, MATCH(E1580, '4-All Devices'!AF:AF, 0)),"")</f>
        <v/>
      </c>
      <c r="C1580" s="549" t="s">
        <v>11186</v>
      </c>
      <c r="D1580" s="549" t="s">
        <v>11189</v>
      </c>
      <c r="E1580" s="8"/>
      <c r="F1580" s="552" t="s">
        <v>11188</v>
      </c>
      <c r="G1580" s="8"/>
      <c r="H1580" s="552"/>
      <c r="I1580" s="8"/>
      <c r="J1580" s="547"/>
      <c r="K1580" s="8"/>
      <c r="L1580" s="8"/>
      <c r="M1580" s="8"/>
    </row>
    <row r="1581">
      <c r="A1581" s="542"/>
      <c r="B1581" s="551" t="str">
        <f t="array" ref="B1581">IF(LEN(E1581),INDEX('4-All Devices'!AG:AG, MATCH(E1581, '4-All Devices'!AF:AF, 0)),"")</f>
        <v/>
      </c>
      <c r="C1581" s="549" t="s">
        <v>11186</v>
      </c>
      <c r="D1581" s="549" t="s">
        <v>11189</v>
      </c>
      <c r="E1581" s="8"/>
      <c r="F1581" s="552" t="s">
        <v>11188</v>
      </c>
      <c r="G1581" s="8"/>
      <c r="H1581" s="552"/>
      <c r="I1581" s="8"/>
      <c r="J1581" s="547"/>
      <c r="K1581" s="8"/>
      <c r="L1581" s="8"/>
      <c r="M1581" s="8"/>
    </row>
    <row r="1582">
      <c r="A1582" s="542"/>
      <c r="B1582" s="551" t="str">
        <f t="array" ref="B1582">IF(LEN(E1582),INDEX('4-All Devices'!AG:AG, MATCH(E1582, '4-All Devices'!AF:AF, 0)),"")</f>
        <v/>
      </c>
      <c r="C1582" s="549" t="s">
        <v>11186</v>
      </c>
      <c r="D1582" s="549" t="s">
        <v>11189</v>
      </c>
      <c r="E1582" s="8"/>
      <c r="F1582" s="552" t="s">
        <v>11188</v>
      </c>
      <c r="G1582" s="8"/>
      <c r="H1582" s="552"/>
      <c r="I1582" s="8"/>
      <c r="J1582" s="547"/>
      <c r="K1582" s="8"/>
      <c r="L1582" s="8"/>
      <c r="M1582" s="8"/>
    </row>
    <row r="1583">
      <c r="A1583" s="542"/>
      <c r="B1583" s="551" t="str">
        <f t="array" ref="B1583">IF(LEN(E1583),INDEX('4-All Devices'!AG:AG, MATCH(E1583, '4-All Devices'!AF:AF, 0)),"")</f>
        <v/>
      </c>
      <c r="C1583" s="549" t="s">
        <v>11186</v>
      </c>
      <c r="D1583" s="549" t="s">
        <v>11189</v>
      </c>
      <c r="E1583" s="8"/>
      <c r="F1583" s="552" t="s">
        <v>11188</v>
      </c>
      <c r="G1583" s="8"/>
      <c r="H1583" s="552"/>
      <c r="I1583" s="8"/>
      <c r="J1583" s="547"/>
      <c r="K1583" s="8"/>
      <c r="L1583" s="8"/>
      <c r="M1583" s="8"/>
    </row>
    <row r="1584">
      <c r="A1584" s="542"/>
      <c r="B1584" s="551" t="str">
        <f t="array" ref="B1584">IF(LEN(E1584),INDEX('4-All Devices'!AG:AG, MATCH(E1584, '4-All Devices'!AF:AF, 0)),"")</f>
        <v/>
      </c>
      <c r="C1584" s="549" t="s">
        <v>11186</v>
      </c>
      <c r="D1584" s="549" t="s">
        <v>11189</v>
      </c>
      <c r="E1584" s="8"/>
      <c r="F1584" s="552" t="s">
        <v>11188</v>
      </c>
      <c r="G1584" s="8"/>
      <c r="H1584" s="552"/>
      <c r="I1584" s="8"/>
      <c r="J1584" s="547"/>
      <c r="K1584" s="8"/>
      <c r="L1584" s="8"/>
      <c r="M1584" s="8"/>
    </row>
    <row r="1585">
      <c r="A1585" s="542"/>
      <c r="B1585" s="551" t="str">
        <f t="array" ref="B1585">IF(LEN(E1585),INDEX('4-All Devices'!AG:AG, MATCH(E1585, '4-All Devices'!AF:AF, 0)),"")</f>
        <v/>
      </c>
      <c r="C1585" s="549" t="s">
        <v>11186</v>
      </c>
      <c r="D1585" s="549" t="s">
        <v>11189</v>
      </c>
      <c r="E1585" s="8"/>
      <c r="F1585" s="552" t="s">
        <v>11188</v>
      </c>
      <c r="G1585" s="8"/>
      <c r="H1585" s="552"/>
      <c r="I1585" s="8"/>
      <c r="J1585" s="547"/>
      <c r="K1585" s="8"/>
      <c r="L1585" s="8"/>
      <c r="M1585" s="8"/>
    </row>
    <row r="1586">
      <c r="A1586" s="542"/>
      <c r="B1586" s="551" t="str">
        <f t="array" ref="B1586">IF(LEN(E1586),INDEX('4-All Devices'!AG:AG, MATCH(E1586, '4-All Devices'!AF:AF, 0)),"")</f>
        <v/>
      </c>
      <c r="C1586" s="549" t="s">
        <v>11186</v>
      </c>
      <c r="D1586" s="549" t="s">
        <v>11189</v>
      </c>
      <c r="E1586" s="8"/>
      <c r="F1586" s="552" t="s">
        <v>11188</v>
      </c>
      <c r="G1586" s="8"/>
      <c r="H1586" s="552"/>
      <c r="I1586" s="8"/>
      <c r="J1586" s="547"/>
      <c r="K1586" s="8"/>
      <c r="L1586" s="8"/>
      <c r="M1586" s="8"/>
    </row>
    <row r="1587">
      <c r="A1587" s="542"/>
      <c r="B1587" s="551" t="str">
        <f t="array" ref="B1587">IF(LEN(E1587),INDEX('4-All Devices'!AG:AG, MATCH(E1587, '4-All Devices'!AF:AF, 0)),"")</f>
        <v/>
      </c>
      <c r="C1587" s="549" t="s">
        <v>11186</v>
      </c>
      <c r="D1587" s="549" t="s">
        <v>11189</v>
      </c>
      <c r="E1587" s="8"/>
      <c r="F1587" s="552" t="s">
        <v>11188</v>
      </c>
      <c r="G1587" s="8"/>
      <c r="H1587" s="552"/>
      <c r="I1587" s="8"/>
      <c r="J1587" s="547"/>
      <c r="K1587" s="8"/>
      <c r="L1587" s="8"/>
      <c r="M1587" s="8"/>
    </row>
    <row r="1588">
      <c r="A1588" s="542"/>
      <c r="B1588" s="551" t="str">
        <f t="array" ref="B1588">IF(LEN(E1588),INDEX('4-All Devices'!AG:AG, MATCH(E1588, '4-All Devices'!AF:AF, 0)),"")</f>
        <v/>
      </c>
      <c r="C1588" s="549" t="s">
        <v>11186</v>
      </c>
      <c r="D1588" s="549" t="s">
        <v>11189</v>
      </c>
      <c r="E1588" s="8"/>
      <c r="F1588" s="552" t="s">
        <v>11188</v>
      </c>
      <c r="G1588" s="8"/>
      <c r="H1588" s="552"/>
      <c r="I1588" s="8"/>
      <c r="J1588" s="547"/>
      <c r="K1588" s="8"/>
      <c r="L1588" s="8"/>
      <c r="M1588" s="8"/>
    </row>
    <row r="1589">
      <c r="A1589" s="542"/>
      <c r="B1589" s="551" t="str">
        <f t="array" ref="B1589">IF(LEN(E1589),INDEX('4-All Devices'!AG:AG, MATCH(E1589, '4-All Devices'!AF:AF, 0)),"")</f>
        <v/>
      </c>
      <c r="C1589" s="549" t="s">
        <v>11186</v>
      </c>
      <c r="D1589" s="549" t="s">
        <v>11189</v>
      </c>
      <c r="E1589" s="8"/>
      <c r="F1589" s="552" t="s">
        <v>11188</v>
      </c>
      <c r="G1589" s="8"/>
      <c r="H1589" s="552"/>
      <c r="I1589" s="8"/>
      <c r="J1589" s="547"/>
      <c r="K1589" s="8"/>
      <c r="L1589" s="8"/>
      <c r="M1589" s="8"/>
    </row>
    <row r="1590">
      <c r="A1590" s="542"/>
      <c r="B1590" s="551" t="str">
        <f t="array" ref="B1590">IF(LEN(E1590),INDEX('4-All Devices'!AG:AG, MATCH(E1590, '4-All Devices'!AF:AF, 0)),"")</f>
        <v/>
      </c>
      <c r="C1590" s="549" t="s">
        <v>11186</v>
      </c>
      <c r="D1590" s="549" t="s">
        <v>11189</v>
      </c>
      <c r="E1590" s="8"/>
      <c r="F1590" s="552" t="s">
        <v>11188</v>
      </c>
      <c r="G1590" s="8"/>
      <c r="H1590" s="552"/>
      <c r="I1590" s="8"/>
      <c r="J1590" s="547"/>
      <c r="K1590" s="8"/>
      <c r="L1590" s="8"/>
      <c r="M1590" s="8"/>
    </row>
    <row r="1591">
      <c r="A1591" s="542"/>
      <c r="B1591" s="551" t="str">
        <f t="array" ref="B1591">IF(LEN(E1591),INDEX('4-All Devices'!AG:AG, MATCH(E1591, '4-All Devices'!AF:AF, 0)),"")</f>
        <v/>
      </c>
      <c r="C1591" s="549" t="s">
        <v>11186</v>
      </c>
      <c r="D1591" s="549" t="s">
        <v>11189</v>
      </c>
      <c r="E1591" s="8"/>
      <c r="F1591" s="552" t="s">
        <v>11188</v>
      </c>
      <c r="G1591" s="8"/>
      <c r="H1591" s="552"/>
      <c r="I1591" s="8"/>
      <c r="J1591" s="547"/>
      <c r="K1591" s="8"/>
      <c r="L1591" s="8"/>
      <c r="M1591" s="8"/>
    </row>
    <row r="1592">
      <c r="A1592" s="542"/>
      <c r="B1592" s="551" t="str">
        <f t="array" ref="B1592">IF(LEN(E1592),INDEX('4-All Devices'!AG:AG, MATCH(E1592, '4-All Devices'!AF:AF, 0)),"")</f>
        <v/>
      </c>
      <c r="C1592" s="549" t="s">
        <v>11186</v>
      </c>
      <c r="D1592" s="549" t="s">
        <v>11189</v>
      </c>
      <c r="E1592" s="8"/>
      <c r="F1592" s="552" t="s">
        <v>11188</v>
      </c>
      <c r="G1592" s="8"/>
      <c r="H1592" s="552"/>
      <c r="I1592" s="8"/>
      <c r="J1592" s="547"/>
      <c r="K1592" s="8"/>
      <c r="L1592" s="8"/>
      <c r="M1592" s="8"/>
    </row>
    <row r="1593">
      <c r="A1593" s="542"/>
      <c r="B1593" s="551" t="str">
        <f t="array" ref="B1593">IF(LEN(E1593),INDEX('4-All Devices'!AG:AG, MATCH(E1593, '4-All Devices'!AF:AF, 0)),"")</f>
        <v/>
      </c>
      <c r="C1593" s="549" t="s">
        <v>11186</v>
      </c>
      <c r="D1593" s="549" t="s">
        <v>11189</v>
      </c>
      <c r="E1593" s="8"/>
      <c r="F1593" s="552" t="s">
        <v>11188</v>
      </c>
      <c r="G1593" s="8"/>
      <c r="H1593" s="552"/>
      <c r="I1593" s="8"/>
      <c r="J1593" s="547"/>
      <c r="K1593" s="8"/>
      <c r="L1593" s="8"/>
      <c r="M1593" s="8"/>
    </row>
    <row r="1594">
      <c r="A1594" s="542"/>
      <c r="B1594" s="551" t="str">
        <f t="array" ref="B1594">IF(LEN(E1594),INDEX('4-All Devices'!AG:AG, MATCH(E1594, '4-All Devices'!AF:AF, 0)),"")</f>
        <v/>
      </c>
      <c r="C1594" s="549" t="s">
        <v>11186</v>
      </c>
      <c r="D1594" s="549" t="s">
        <v>11189</v>
      </c>
      <c r="E1594" s="8"/>
      <c r="F1594" s="552" t="s">
        <v>11188</v>
      </c>
      <c r="G1594" s="8"/>
      <c r="H1594" s="552"/>
      <c r="I1594" s="8"/>
      <c r="J1594" s="547"/>
      <c r="K1594" s="8"/>
      <c r="L1594" s="8"/>
      <c r="M1594" s="8"/>
    </row>
    <row r="1595">
      <c r="A1595" s="542"/>
      <c r="B1595" s="551" t="str">
        <f t="array" ref="B1595">IF(LEN(E1595),INDEX('4-All Devices'!AG:AG, MATCH(E1595, '4-All Devices'!AF:AF, 0)),"")</f>
        <v/>
      </c>
      <c r="C1595" s="549" t="s">
        <v>11186</v>
      </c>
      <c r="D1595" s="549" t="s">
        <v>11189</v>
      </c>
      <c r="E1595" s="8"/>
      <c r="F1595" s="552" t="s">
        <v>11188</v>
      </c>
      <c r="G1595" s="8"/>
      <c r="H1595" s="552"/>
      <c r="I1595" s="8"/>
      <c r="J1595" s="547"/>
      <c r="K1595" s="8"/>
      <c r="L1595" s="8"/>
      <c r="M1595" s="8"/>
    </row>
    <row r="1596">
      <c r="A1596" s="542"/>
      <c r="B1596" s="551" t="str">
        <f t="array" ref="B1596">IF(LEN(E1596),INDEX('4-All Devices'!AG:AG, MATCH(E1596, '4-All Devices'!AF:AF, 0)),"")</f>
        <v/>
      </c>
      <c r="C1596" s="549" t="s">
        <v>11186</v>
      </c>
      <c r="D1596" s="549" t="s">
        <v>11189</v>
      </c>
      <c r="E1596" s="8"/>
      <c r="F1596" s="552" t="s">
        <v>11188</v>
      </c>
      <c r="G1596" s="8"/>
      <c r="H1596" s="552"/>
      <c r="I1596" s="8"/>
      <c r="J1596" s="547"/>
      <c r="K1596" s="8"/>
      <c r="L1596" s="8"/>
      <c r="M1596" s="8"/>
    </row>
    <row r="1597">
      <c r="A1597" s="542"/>
      <c r="B1597" s="551" t="str">
        <f t="array" ref="B1597">IF(LEN(E1597),INDEX('4-All Devices'!AG:AG, MATCH(E1597, '4-All Devices'!AF:AF, 0)),"")</f>
        <v/>
      </c>
      <c r="C1597" s="549" t="s">
        <v>11186</v>
      </c>
      <c r="D1597" s="549" t="s">
        <v>11189</v>
      </c>
      <c r="E1597" s="8"/>
      <c r="F1597" s="552" t="s">
        <v>11188</v>
      </c>
      <c r="G1597" s="8"/>
      <c r="H1597" s="552"/>
      <c r="I1597" s="8"/>
      <c r="J1597" s="547"/>
      <c r="K1597" s="8"/>
      <c r="L1597" s="8"/>
      <c r="M1597" s="8"/>
    </row>
    <row r="1598">
      <c r="A1598" s="542"/>
      <c r="B1598" s="551" t="str">
        <f t="array" ref="B1598">IF(LEN(E1598),INDEX('4-All Devices'!AG:AG, MATCH(E1598, '4-All Devices'!AF:AF, 0)),"")</f>
        <v/>
      </c>
      <c r="C1598" s="549" t="s">
        <v>11186</v>
      </c>
      <c r="D1598" s="549" t="s">
        <v>11189</v>
      </c>
      <c r="E1598" s="8"/>
      <c r="F1598" s="552" t="s">
        <v>11188</v>
      </c>
      <c r="G1598" s="8"/>
      <c r="H1598" s="552"/>
      <c r="I1598" s="8"/>
      <c r="J1598" s="547"/>
      <c r="K1598" s="8"/>
      <c r="L1598" s="8"/>
      <c r="M1598" s="8"/>
    </row>
    <row r="1599">
      <c r="A1599" s="542"/>
      <c r="B1599" s="551" t="str">
        <f t="array" ref="B1599">IF(LEN(E1599),INDEX('4-All Devices'!AG:AG, MATCH(E1599, '4-All Devices'!AF:AF, 0)),"")</f>
        <v/>
      </c>
      <c r="C1599" s="549" t="s">
        <v>11186</v>
      </c>
      <c r="D1599" s="549" t="s">
        <v>11189</v>
      </c>
      <c r="E1599" s="8"/>
      <c r="F1599" s="552" t="s">
        <v>11188</v>
      </c>
      <c r="G1599" s="8"/>
      <c r="H1599" s="552"/>
      <c r="I1599" s="8"/>
      <c r="J1599" s="547"/>
      <c r="K1599" s="8"/>
      <c r="L1599" s="8"/>
      <c r="M1599" s="8"/>
    </row>
    <row r="1600">
      <c r="A1600" s="542"/>
      <c r="B1600" s="551" t="str">
        <f t="array" ref="B1600">IF(LEN(E1600),INDEX('4-All Devices'!AG:AG, MATCH(E1600, '4-All Devices'!AF:AF, 0)),"")</f>
        <v/>
      </c>
      <c r="C1600" s="549" t="s">
        <v>11186</v>
      </c>
      <c r="D1600" s="549" t="s">
        <v>11189</v>
      </c>
      <c r="E1600" s="8"/>
      <c r="F1600" s="552" t="s">
        <v>11188</v>
      </c>
      <c r="G1600" s="8"/>
      <c r="H1600" s="552"/>
      <c r="I1600" s="8"/>
      <c r="J1600" s="547"/>
      <c r="K1600" s="8"/>
      <c r="L1600" s="8"/>
      <c r="M1600" s="8"/>
    </row>
    <row r="1601">
      <c r="A1601" s="542"/>
      <c r="B1601" s="551" t="str">
        <f t="array" ref="B1601">IF(LEN(E1601),INDEX('4-All Devices'!AG:AG, MATCH(E1601, '4-All Devices'!AF:AF, 0)),"")</f>
        <v/>
      </c>
      <c r="C1601" s="549" t="s">
        <v>11186</v>
      </c>
      <c r="D1601" s="549" t="s">
        <v>11189</v>
      </c>
      <c r="E1601" s="8"/>
      <c r="F1601" s="552" t="s">
        <v>11188</v>
      </c>
      <c r="G1601" s="8"/>
      <c r="H1601" s="552"/>
      <c r="I1601" s="8"/>
      <c r="J1601" s="547"/>
      <c r="K1601" s="8"/>
      <c r="L1601" s="8"/>
      <c r="M1601" s="8"/>
    </row>
    <row r="1602">
      <c r="A1602" s="542"/>
      <c r="B1602" s="551" t="str">
        <f t="array" ref="B1602">IF(LEN(E1602),INDEX('4-All Devices'!AG:AG, MATCH(E1602, '4-All Devices'!AF:AF, 0)),"")</f>
        <v/>
      </c>
      <c r="C1602" s="549" t="s">
        <v>11186</v>
      </c>
      <c r="D1602" s="549" t="s">
        <v>11189</v>
      </c>
      <c r="E1602" s="8"/>
      <c r="F1602" s="552" t="s">
        <v>11188</v>
      </c>
      <c r="G1602" s="8"/>
      <c r="H1602" s="552"/>
      <c r="I1602" s="8"/>
      <c r="J1602" s="547"/>
      <c r="K1602" s="8"/>
      <c r="L1602" s="8"/>
      <c r="M1602" s="8"/>
    </row>
    <row r="1603">
      <c r="A1603" s="542"/>
      <c r="B1603" s="551" t="str">
        <f t="array" ref="B1603">IF(LEN(E1603),INDEX('4-All Devices'!AG:AG, MATCH(E1603, '4-All Devices'!AF:AF, 0)),"")</f>
        <v/>
      </c>
      <c r="C1603" s="549" t="s">
        <v>11186</v>
      </c>
      <c r="D1603" s="549" t="s">
        <v>11189</v>
      </c>
      <c r="E1603" s="8"/>
      <c r="F1603" s="552" t="s">
        <v>11188</v>
      </c>
      <c r="G1603" s="8"/>
      <c r="H1603" s="552"/>
      <c r="I1603" s="8"/>
      <c r="J1603" s="547"/>
      <c r="K1603" s="8"/>
      <c r="L1603" s="8"/>
      <c r="M1603" s="8"/>
    </row>
    <row r="1604">
      <c r="A1604" s="542"/>
      <c r="B1604" s="551" t="str">
        <f t="array" ref="B1604">IF(LEN(E1604),INDEX('4-All Devices'!AG:AG, MATCH(E1604, '4-All Devices'!AF:AF, 0)),"")</f>
        <v/>
      </c>
      <c r="C1604" s="549" t="s">
        <v>11186</v>
      </c>
      <c r="D1604" s="549" t="s">
        <v>11189</v>
      </c>
      <c r="E1604" s="8"/>
      <c r="F1604" s="552" t="s">
        <v>11188</v>
      </c>
      <c r="G1604" s="8"/>
      <c r="H1604" s="552"/>
      <c r="I1604" s="8"/>
      <c r="J1604" s="547"/>
      <c r="K1604" s="8"/>
      <c r="L1604" s="8"/>
      <c r="M1604" s="8"/>
    </row>
    <row r="1605">
      <c r="A1605" s="542"/>
      <c r="B1605" s="551" t="str">
        <f t="array" ref="B1605">IF(LEN(E1605),INDEX('4-All Devices'!AG:AG, MATCH(E1605, '4-All Devices'!AF:AF, 0)),"")</f>
        <v/>
      </c>
      <c r="C1605" s="549" t="s">
        <v>11186</v>
      </c>
      <c r="D1605" s="549" t="s">
        <v>11189</v>
      </c>
      <c r="E1605" s="8"/>
      <c r="F1605" s="552" t="s">
        <v>11188</v>
      </c>
      <c r="G1605" s="8"/>
      <c r="H1605" s="552"/>
      <c r="I1605" s="8"/>
      <c r="J1605" s="547"/>
      <c r="K1605" s="8"/>
      <c r="L1605" s="8"/>
      <c r="M1605" s="8"/>
    </row>
    <row r="1606">
      <c r="A1606" s="542"/>
      <c r="B1606" s="551" t="str">
        <f t="array" ref="B1606">IF(LEN(E1606),INDEX('4-All Devices'!AG:AG, MATCH(E1606, '4-All Devices'!AF:AF, 0)),"")</f>
        <v/>
      </c>
      <c r="C1606" s="549" t="s">
        <v>11186</v>
      </c>
      <c r="D1606" s="549" t="s">
        <v>11189</v>
      </c>
      <c r="E1606" s="8"/>
      <c r="F1606" s="552" t="s">
        <v>11188</v>
      </c>
      <c r="G1606" s="8"/>
      <c r="H1606" s="552"/>
      <c r="I1606" s="8"/>
      <c r="J1606" s="547"/>
      <c r="K1606" s="8"/>
      <c r="L1606" s="8"/>
      <c r="M1606" s="8"/>
    </row>
    <row r="1607">
      <c r="A1607" s="542"/>
      <c r="B1607" s="551" t="str">
        <f t="array" ref="B1607">IF(LEN(E1607),INDEX('4-All Devices'!AG:AG, MATCH(E1607, '4-All Devices'!AF:AF, 0)),"")</f>
        <v/>
      </c>
      <c r="C1607" s="549" t="s">
        <v>11186</v>
      </c>
      <c r="D1607" s="549" t="s">
        <v>11189</v>
      </c>
      <c r="E1607" s="8"/>
      <c r="F1607" s="552" t="s">
        <v>11188</v>
      </c>
      <c r="G1607" s="8"/>
      <c r="H1607" s="552"/>
      <c r="I1607" s="8"/>
      <c r="J1607" s="547"/>
      <c r="K1607" s="8"/>
      <c r="L1607" s="8"/>
      <c r="M1607" s="8"/>
    </row>
    <row r="1608">
      <c r="A1608" s="542"/>
      <c r="B1608" s="551" t="str">
        <f t="array" ref="B1608">IF(LEN(E1608),INDEX('4-All Devices'!AG:AG, MATCH(E1608, '4-All Devices'!AF:AF, 0)),"")</f>
        <v/>
      </c>
      <c r="C1608" s="549" t="s">
        <v>11186</v>
      </c>
      <c r="D1608" s="549" t="s">
        <v>11189</v>
      </c>
      <c r="E1608" s="8"/>
      <c r="F1608" s="552" t="s">
        <v>11188</v>
      </c>
      <c r="G1608" s="8"/>
      <c r="H1608" s="552"/>
      <c r="I1608" s="8"/>
      <c r="J1608" s="547"/>
      <c r="K1608" s="8"/>
      <c r="L1608" s="8"/>
      <c r="M1608" s="8"/>
    </row>
    <row r="1609">
      <c r="A1609" s="542"/>
      <c r="B1609" s="551" t="str">
        <f t="array" ref="B1609">IF(LEN(E1609),INDEX('4-All Devices'!AG:AG, MATCH(E1609, '4-All Devices'!AF:AF, 0)),"")</f>
        <v/>
      </c>
      <c r="C1609" s="549" t="s">
        <v>11186</v>
      </c>
      <c r="D1609" s="549" t="s">
        <v>11189</v>
      </c>
      <c r="E1609" s="8"/>
      <c r="F1609" s="552" t="s">
        <v>11188</v>
      </c>
      <c r="G1609" s="8"/>
      <c r="H1609" s="552"/>
      <c r="I1609" s="8"/>
      <c r="J1609" s="547"/>
      <c r="K1609" s="8"/>
      <c r="L1609" s="8"/>
      <c r="M1609" s="8"/>
    </row>
    <row r="1610">
      <c r="A1610" s="542"/>
      <c r="B1610" s="551" t="str">
        <f t="array" ref="B1610">IF(LEN(E1610),INDEX('4-All Devices'!AG:AG, MATCH(E1610, '4-All Devices'!AF:AF, 0)),"")</f>
        <v/>
      </c>
      <c r="C1610" s="549" t="s">
        <v>11186</v>
      </c>
      <c r="D1610" s="549" t="s">
        <v>11189</v>
      </c>
      <c r="E1610" s="8"/>
      <c r="F1610" s="552" t="s">
        <v>11188</v>
      </c>
      <c r="G1610" s="8"/>
      <c r="H1610" s="552"/>
      <c r="I1610" s="8"/>
      <c r="J1610" s="547"/>
      <c r="K1610" s="8"/>
      <c r="L1610" s="8"/>
      <c r="M1610" s="8"/>
    </row>
    <row r="1611">
      <c r="A1611" s="542"/>
      <c r="B1611" s="551" t="str">
        <f t="array" ref="B1611">IF(LEN(E1611),INDEX('4-All Devices'!AG:AG, MATCH(E1611, '4-All Devices'!AF:AF, 0)),"")</f>
        <v/>
      </c>
      <c r="C1611" s="549" t="s">
        <v>11186</v>
      </c>
      <c r="D1611" s="549" t="s">
        <v>11189</v>
      </c>
      <c r="E1611" s="8"/>
      <c r="F1611" s="552" t="s">
        <v>11188</v>
      </c>
      <c r="G1611" s="8"/>
      <c r="H1611" s="552"/>
      <c r="I1611" s="8"/>
      <c r="J1611" s="547"/>
      <c r="K1611" s="8"/>
      <c r="L1611" s="8"/>
      <c r="M1611" s="8"/>
    </row>
    <row r="1612">
      <c r="A1612" s="542"/>
      <c r="B1612" s="551" t="str">
        <f t="array" ref="B1612">IF(LEN(E1612),INDEX('4-All Devices'!AG:AG, MATCH(E1612, '4-All Devices'!AF:AF, 0)),"")</f>
        <v/>
      </c>
      <c r="C1612" s="549" t="s">
        <v>11186</v>
      </c>
      <c r="D1612" s="549" t="s">
        <v>11189</v>
      </c>
      <c r="E1612" s="8"/>
      <c r="F1612" s="552" t="s">
        <v>11188</v>
      </c>
      <c r="G1612" s="8"/>
      <c r="H1612" s="552"/>
      <c r="I1612" s="8"/>
      <c r="J1612" s="547"/>
      <c r="K1612" s="8"/>
      <c r="L1612" s="8"/>
      <c r="M1612" s="8"/>
    </row>
    <row r="1613">
      <c r="A1613" s="542"/>
      <c r="B1613" s="551" t="str">
        <f t="array" ref="B1613">IF(LEN(E1613),INDEX('4-All Devices'!AG:AG, MATCH(E1613, '4-All Devices'!AF:AF, 0)),"")</f>
        <v/>
      </c>
      <c r="C1613" s="549" t="s">
        <v>11186</v>
      </c>
      <c r="D1613" s="549" t="s">
        <v>11189</v>
      </c>
      <c r="E1613" s="8"/>
      <c r="F1613" s="552" t="s">
        <v>11188</v>
      </c>
      <c r="G1613" s="8"/>
      <c r="H1613" s="552"/>
      <c r="I1613" s="8"/>
      <c r="J1613" s="547"/>
      <c r="K1613" s="8"/>
      <c r="L1613" s="8"/>
      <c r="M1613" s="8"/>
    </row>
    <row r="1614">
      <c r="A1614" s="542"/>
      <c r="B1614" s="551" t="str">
        <f t="array" ref="B1614">IF(LEN(E1614),INDEX('4-All Devices'!AG:AG, MATCH(E1614, '4-All Devices'!AF:AF, 0)),"")</f>
        <v/>
      </c>
      <c r="C1614" s="549" t="s">
        <v>11186</v>
      </c>
      <c r="D1614" s="549" t="s">
        <v>11189</v>
      </c>
      <c r="E1614" s="8"/>
      <c r="F1614" s="552" t="s">
        <v>11188</v>
      </c>
      <c r="G1614" s="8"/>
      <c r="H1614" s="552"/>
      <c r="I1614" s="8"/>
      <c r="J1614" s="547"/>
      <c r="K1614" s="8"/>
      <c r="L1614" s="8"/>
      <c r="M1614" s="8"/>
    </row>
    <row r="1615">
      <c r="A1615" s="542"/>
      <c r="B1615" s="551" t="str">
        <f t="array" ref="B1615">IF(LEN(E1615),INDEX('4-All Devices'!AG:AG, MATCH(E1615, '4-All Devices'!AF:AF, 0)),"")</f>
        <v/>
      </c>
      <c r="C1615" s="549" t="s">
        <v>11186</v>
      </c>
      <c r="D1615" s="549" t="s">
        <v>11189</v>
      </c>
      <c r="E1615" s="8"/>
      <c r="F1615" s="552" t="s">
        <v>11188</v>
      </c>
      <c r="G1615" s="8"/>
      <c r="H1615" s="552"/>
      <c r="I1615" s="8"/>
      <c r="J1615" s="547"/>
      <c r="K1615" s="8"/>
      <c r="L1615" s="8"/>
      <c r="M1615" s="8"/>
    </row>
    <row r="1616">
      <c r="A1616" s="542"/>
      <c r="B1616" s="551" t="str">
        <f t="array" ref="B1616">IF(LEN(E1616),INDEX('4-All Devices'!AG:AG, MATCH(E1616, '4-All Devices'!AF:AF, 0)),"")</f>
        <v/>
      </c>
      <c r="C1616" s="549" t="s">
        <v>11186</v>
      </c>
      <c r="D1616" s="549" t="s">
        <v>11189</v>
      </c>
      <c r="E1616" s="8"/>
      <c r="F1616" s="552" t="s">
        <v>11188</v>
      </c>
      <c r="G1616" s="8"/>
      <c r="H1616" s="552"/>
      <c r="I1616" s="8"/>
      <c r="J1616" s="547"/>
      <c r="K1616" s="8"/>
      <c r="L1616" s="8"/>
      <c r="M1616" s="8"/>
    </row>
    <row r="1617">
      <c r="A1617" s="542"/>
      <c r="B1617" s="551" t="str">
        <f t="array" ref="B1617">IF(LEN(E1617),INDEX('4-All Devices'!AG:AG, MATCH(E1617, '4-All Devices'!AF:AF, 0)),"")</f>
        <v/>
      </c>
      <c r="C1617" s="549" t="s">
        <v>11186</v>
      </c>
      <c r="D1617" s="549" t="s">
        <v>11189</v>
      </c>
      <c r="E1617" s="8"/>
      <c r="F1617" s="552" t="s">
        <v>11188</v>
      </c>
      <c r="G1617" s="8"/>
      <c r="H1617" s="552"/>
      <c r="I1617" s="8"/>
      <c r="J1617" s="547"/>
      <c r="K1617" s="8"/>
      <c r="L1617" s="8"/>
      <c r="M1617" s="8"/>
    </row>
    <row r="1618">
      <c r="A1618" s="542"/>
      <c r="B1618" s="551" t="str">
        <f t="array" ref="B1618">IF(LEN(E1618),INDEX('4-All Devices'!AG:AG, MATCH(E1618, '4-All Devices'!AF:AF, 0)),"")</f>
        <v/>
      </c>
      <c r="C1618" s="549" t="s">
        <v>11186</v>
      </c>
      <c r="D1618" s="549" t="s">
        <v>11189</v>
      </c>
      <c r="E1618" s="8"/>
      <c r="F1618" s="552" t="s">
        <v>11188</v>
      </c>
      <c r="G1618" s="8"/>
      <c r="H1618" s="552"/>
      <c r="I1618" s="8"/>
      <c r="J1618" s="547"/>
      <c r="K1618" s="8"/>
      <c r="L1618" s="8"/>
      <c r="M1618" s="8"/>
    </row>
    <row r="1619">
      <c r="A1619" s="542"/>
      <c r="B1619" s="551" t="str">
        <f t="array" ref="B1619">IF(LEN(E1619),INDEX('4-All Devices'!AG:AG, MATCH(E1619, '4-All Devices'!AF:AF, 0)),"")</f>
        <v/>
      </c>
      <c r="C1619" s="549" t="s">
        <v>11186</v>
      </c>
      <c r="D1619" s="549" t="s">
        <v>11189</v>
      </c>
      <c r="E1619" s="8"/>
      <c r="F1619" s="552" t="s">
        <v>11188</v>
      </c>
      <c r="G1619" s="8"/>
      <c r="H1619" s="552"/>
      <c r="I1619" s="8"/>
      <c r="J1619" s="547"/>
      <c r="K1619" s="8"/>
      <c r="L1619" s="8"/>
      <c r="M1619" s="8"/>
    </row>
    <row r="1620">
      <c r="A1620" s="542"/>
      <c r="B1620" s="551" t="str">
        <f t="array" ref="B1620">IF(LEN(E1620),INDEX('4-All Devices'!AG:AG, MATCH(E1620, '4-All Devices'!AF:AF, 0)),"")</f>
        <v/>
      </c>
      <c r="C1620" s="549" t="s">
        <v>11186</v>
      </c>
      <c r="D1620" s="549" t="s">
        <v>11189</v>
      </c>
      <c r="E1620" s="8"/>
      <c r="F1620" s="552" t="s">
        <v>11188</v>
      </c>
      <c r="G1620" s="8"/>
      <c r="H1620" s="552"/>
      <c r="I1620" s="8"/>
      <c r="J1620" s="547"/>
      <c r="K1620" s="8"/>
      <c r="L1620" s="8"/>
      <c r="M1620" s="8"/>
    </row>
    <row r="1621">
      <c r="A1621" s="542"/>
      <c r="B1621" s="551" t="str">
        <f t="array" ref="B1621">IF(LEN(E1621),INDEX('4-All Devices'!AG:AG, MATCH(E1621, '4-All Devices'!AF:AF, 0)),"")</f>
        <v/>
      </c>
      <c r="C1621" s="549" t="s">
        <v>11186</v>
      </c>
      <c r="D1621" s="549" t="s">
        <v>11189</v>
      </c>
      <c r="E1621" s="8"/>
      <c r="F1621" s="552" t="s">
        <v>11188</v>
      </c>
      <c r="G1621" s="8"/>
      <c r="H1621" s="552"/>
      <c r="I1621" s="8"/>
      <c r="J1621" s="547"/>
      <c r="K1621" s="8"/>
      <c r="L1621" s="8"/>
      <c r="M1621" s="8"/>
    </row>
    <row r="1622">
      <c r="A1622" s="542"/>
      <c r="B1622" s="551" t="str">
        <f t="array" ref="B1622">IF(LEN(E1622),INDEX('4-All Devices'!AG:AG, MATCH(E1622, '4-All Devices'!AF:AF, 0)),"")</f>
        <v/>
      </c>
      <c r="C1622" s="549" t="s">
        <v>11186</v>
      </c>
      <c r="D1622" s="549" t="s">
        <v>11189</v>
      </c>
      <c r="E1622" s="8"/>
      <c r="F1622" s="552" t="s">
        <v>11188</v>
      </c>
      <c r="G1622" s="8"/>
      <c r="H1622" s="552"/>
      <c r="I1622" s="8"/>
      <c r="J1622" s="547"/>
      <c r="K1622" s="8"/>
      <c r="L1622" s="8"/>
      <c r="M1622" s="8"/>
    </row>
    <row r="1623">
      <c r="A1623" s="542"/>
      <c r="B1623" s="551" t="str">
        <f t="array" ref="B1623">IF(LEN(E1623),INDEX('4-All Devices'!AG:AG, MATCH(E1623, '4-All Devices'!AF:AF, 0)),"")</f>
        <v/>
      </c>
      <c r="C1623" s="549" t="s">
        <v>11186</v>
      </c>
      <c r="D1623" s="549" t="s">
        <v>11189</v>
      </c>
      <c r="E1623" s="8"/>
      <c r="F1623" s="552" t="s">
        <v>11188</v>
      </c>
      <c r="G1623" s="8"/>
      <c r="H1623" s="552"/>
      <c r="I1623" s="8"/>
      <c r="J1623" s="547"/>
      <c r="K1623" s="8"/>
      <c r="L1623" s="8"/>
      <c r="M1623" s="8"/>
    </row>
    <row r="1624">
      <c r="A1624" s="542"/>
      <c r="B1624" s="551" t="str">
        <f t="array" ref="B1624">IF(LEN(E1624),INDEX('4-All Devices'!AG:AG, MATCH(E1624, '4-All Devices'!AF:AF, 0)),"")</f>
        <v/>
      </c>
      <c r="C1624" s="549" t="s">
        <v>11186</v>
      </c>
      <c r="D1624" s="549" t="s">
        <v>11189</v>
      </c>
      <c r="E1624" s="8"/>
      <c r="F1624" s="552" t="s">
        <v>11188</v>
      </c>
      <c r="G1624" s="8"/>
      <c r="H1624" s="552"/>
      <c r="I1624" s="8"/>
      <c r="J1624" s="547"/>
      <c r="K1624" s="8"/>
      <c r="L1624" s="8"/>
      <c r="M1624" s="8"/>
    </row>
    <row r="1625">
      <c r="A1625" s="542"/>
      <c r="B1625" s="551" t="str">
        <f t="array" ref="B1625">IF(LEN(E1625),INDEX('4-All Devices'!AG:AG, MATCH(E1625, '4-All Devices'!AF:AF, 0)),"")</f>
        <v/>
      </c>
      <c r="C1625" s="549" t="s">
        <v>11186</v>
      </c>
      <c r="D1625" s="549" t="s">
        <v>11189</v>
      </c>
      <c r="E1625" s="8"/>
      <c r="F1625" s="552" t="s">
        <v>11188</v>
      </c>
      <c r="G1625" s="8"/>
      <c r="H1625" s="552"/>
      <c r="I1625" s="8"/>
      <c r="J1625" s="547"/>
      <c r="K1625" s="8"/>
      <c r="L1625" s="8"/>
      <c r="M1625" s="8"/>
    </row>
    <row r="1626">
      <c r="A1626" s="542"/>
      <c r="B1626" s="551" t="str">
        <f t="array" ref="B1626">IF(LEN(E1626),INDEX('4-All Devices'!AG:AG, MATCH(E1626, '4-All Devices'!AF:AF, 0)),"")</f>
        <v/>
      </c>
      <c r="C1626" s="549" t="s">
        <v>11186</v>
      </c>
      <c r="D1626" s="549" t="s">
        <v>11189</v>
      </c>
      <c r="E1626" s="8"/>
      <c r="F1626" s="552" t="s">
        <v>11188</v>
      </c>
      <c r="G1626" s="8"/>
      <c r="H1626" s="552"/>
      <c r="I1626" s="8"/>
      <c r="J1626" s="547"/>
      <c r="K1626" s="8"/>
      <c r="L1626" s="8"/>
      <c r="M1626" s="8"/>
    </row>
    <row r="1627">
      <c r="A1627" s="542"/>
      <c r="B1627" s="551" t="str">
        <f t="array" ref="B1627">IF(LEN(E1627),INDEX('4-All Devices'!AG:AG, MATCH(E1627, '4-All Devices'!AF:AF, 0)),"")</f>
        <v/>
      </c>
      <c r="C1627" s="549" t="s">
        <v>11186</v>
      </c>
      <c r="D1627" s="549" t="s">
        <v>11189</v>
      </c>
      <c r="E1627" s="8"/>
      <c r="F1627" s="552" t="s">
        <v>11188</v>
      </c>
      <c r="G1627" s="8"/>
      <c r="H1627" s="552"/>
      <c r="I1627" s="8"/>
      <c r="J1627" s="547"/>
      <c r="K1627" s="8"/>
      <c r="L1627" s="8"/>
      <c r="M1627" s="8"/>
    </row>
    <row r="1628">
      <c r="A1628" s="542"/>
      <c r="B1628" s="551" t="str">
        <f t="array" ref="B1628">IF(LEN(E1628),INDEX('4-All Devices'!AG:AG, MATCH(E1628, '4-All Devices'!AF:AF, 0)),"")</f>
        <v/>
      </c>
      <c r="C1628" s="549" t="s">
        <v>11186</v>
      </c>
      <c r="D1628" s="549" t="s">
        <v>11189</v>
      </c>
      <c r="E1628" s="8"/>
      <c r="F1628" s="552" t="s">
        <v>11188</v>
      </c>
      <c r="G1628" s="8"/>
      <c r="H1628" s="552"/>
      <c r="I1628" s="8"/>
      <c r="J1628" s="547"/>
      <c r="K1628" s="8"/>
      <c r="L1628" s="8"/>
      <c r="M1628" s="8"/>
    </row>
    <row r="1629">
      <c r="A1629" s="542"/>
      <c r="B1629" s="551" t="str">
        <f t="array" ref="B1629">IF(LEN(E1629),INDEX('4-All Devices'!AG:AG, MATCH(E1629, '4-All Devices'!AF:AF, 0)),"")</f>
        <v/>
      </c>
      <c r="C1629" s="549" t="s">
        <v>11186</v>
      </c>
      <c r="D1629" s="549" t="s">
        <v>11189</v>
      </c>
      <c r="E1629" s="8"/>
      <c r="F1629" s="552" t="s">
        <v>11188</v>
      </c>
      <c r="G1629" s="8"/>
      <c r="H1629" s="552"/>
      <c r="I1629" s="8"/>
      <c r="J1629" s="547"/>
      <c r="K1629" s="8"/>
      <c r="L1629" s="8"/>
      <c r="M1629" s="8"/>
    </row>
    <row r="1630">
      <c r="A1630" s="542"/>
      <c r="B1630" s="551" t="str">
        <f t="array" ref="B1630">IF(LEN(E1630),INDEX('4-All Devices'!AG:AG, MATCH(E1630, '4-All Devices'!AF:AF, 0)),"")</f>
        <v/>
      </c>
      <c r="C1630" s="549" t="s">
        <v>11186</v>
      </c>
      <c r="D1630" s="549" t="s">
        <v>11189</v>
      </c>
      <c r="E1630" s="8"/>
      <c r="F1630" s="552" t="s">
        <v>11188</v>
      </c>
      <c r="G1630" s="8"/>
      <c r="H1630" s="552"/>
      <c r="I1630" s="8"/>
      <c r="J1630" s="547"/>
      <c r="K1630" s="8"/>
      <c r="L1630" s="8"/>
      <c r="M1630" s="8"/>
    </row>
    <row r="1631">
      <c r="A1631" s="542"/>
      <c r="B1631" s="551" t="str">
        <f t="array" ref="B1631">IF(LEN(E1631),INDEX('4-All Devices'!AG:AG, MATCH(E1631, '4-All Devices'!AF:AF, 0)),"")</f>
        <v/>
      </c>
      <c r="C1631" s="549" t="s">
        <v>11186</v>
      </c>
      <c r="D1631" s="549" t="s">
        <v>11189</v>
      </c>
      <c r="E1631" s="8"/>
      <c r="F1631" s="552" t="s">
        <v>11188</v>
      </c>
      <c r="G1631" s="8"/>
      <c r="H1631" s="552"/>
      <c r="I1631" s="8"/>
      <c r="J1631" s="547"/>
      <c r="K1631" s="8"/>
      <c r="L1631" s="8"/>
      <c r="M1631" s="8"/>
    </row>
    <row r="1632">
      <c r="A1632" s="542"/>
      <c r="B1632" s="551" t="str">
        <f t="array" ref="B1632">IF(LEN(E1632),INDEX('4-All Devices'!AG:AG, MATCH(E1632, '4-All Devices'!AF:AF, 0)),"")</f>
        <v/>
      </c>
      <c r="C1632" s="549" t="s">
        <v>11186</v>
      </c>
      <c r="D1632" s="549" t="s">
        <v>11189</v>
      </c>
      <c r="E1632" s="8"/>
      <c r="F1632" s="552" t="s">
        <v>11188</v>
      </c>
      <c r="G1632" s="8"/>
      <c r="H1632" s="552"/>
      <c r="I1632" s="8"/>
      <c r="J1632" s="547"/>
      <c r="K1632" s="8"/>
      <c r="L1632" s="8"/>
      <c r="M1632" s="8"/>
    </row>
    <row r="1633">
      <c r="A1633" s="542"/>
      <c r="B1633" s="551" t="str">
        <f t="array" ref="B1633">IF(LEN(E1633),INDEX('4-All Devices'!AG:AG, MATCH(E1633, '4-All Devices'!AF:AF, 0)),"")</f>
        <v/>
      </c>
      <c r="C1633" s="549" t="s">
        <v>11186</v>
      </c>
      <c r="D1633" s="549" t="s">
        <v>11189</v>
      </c>
      <c r="E1633" s="8"/>
      <c r="F1633" s="552" t="s">
        <v>11188</v>
      </c>
      <c r="G1633" s="8"/>
      <c r="H1633" s="552"/>
      <c r="I1633" s="8"/>
      <c r="J1633" s="547"/>
      <c r="K1633" s="8"/>
      <c r="L1633" s="8"/>
      <c r="M1633" s="8"/>
    </row>
    <row r="1634">
      <c r="A1634" s="542"/>
      <c r="B1634" s="551" t="str">
        <f t="array" ref="B1634">IF(LEN(E1634),INDEX('4-All Devices'!AG:AG, MATCH(E1634, '4-All Devices'!AF:AF, 0)),"")</f>
        <v/>
      </c>
      <c r="C1634" s="549" t="s">
        <v>11186</v>
      </c>
      <c r="D1634" s="549" t="s">
        <v>11189</v>
      </c>
      <c r="E1634" s="8"/>
      <c r="F1634" s="552" t="s">
        <v>11188</v>
      </c>
      <c r="G1634" s="8"/>
      <c r="H1634" s="552"/>
      <c r="I1634" s="8"/>
      <c r="J1634" s="547"/>
      <c r="K1634" s="8"/>
      <c r="L1634" s="8"/>
      <c r="M1634" s="8"/>
    </row>
    <row r="1635">
      <c r="A1635" s="542"/>
      <c r="B1635" s="551" t="str">
        <f t="array" ref="B1635">IF(LEN(E1635),INDEX('4-All Devices'!AG:AG, MATCH(E1635, '4-All Devices'!AF:AF, 0)),"")</f>
        <v/>
      </c>
      <c r="C1635" s="549" t="s">
        <v>11186</v>
      </c>
      <c r="D1635" s="549" t="s">
        <v>11189</v>
      </c>
      <c r="E1635" s="8"/>
      <c r="F1635" s="552" t="s">
        <v>11188</v>
      </c>
      <c r="G1635" s="8"/>
      <c r="H1635" s="552"/>
      <c r="I1635" s="8"/>
      <c r="J1635" s="547"/>
      <c r="K1635" s="8"/>
      <c r="L1635" s="8"/>
      <c r="M1635" s="8"/>
    </row>
    <row r="1636">
      <c r="A1636" s="542"/>
      <c r="B1636" s="551" t="str">
        <f t="array" ref="B1636">IF(LEN(E1636),INDEX('4-All Devices'!AG:AG, MATCH(E1636, '4-All Devices'!AF:AF, 0)),"")</f>
        <v/>
      </c>
      <c r="C1636" s="549" t="s">
        <v>11186</v>
      </c>
      <c r="D1636" s="549" t="s">
        <v>11189</v>
      </c>
      <c r="E1636" s="8"/>
      <c r="F1636" s="552" t="s">
        <v>11188</v>
      </c>
      <c r="G1636" s="8"/>
      <c r="H1636" s="552"/>
      <c r="I1636" s="8"/>
      <c r="J1636" s="547"/>
      <c r="K1636" s="8"/>
      <c r="L1636" s="8"/>
      <c r="M1636" s="8"/>
    </row>
    <row r="1637">
      <c r="A1637" s="542"/>
      <c r="B1637" s="551" t="str">
        <f t="array" ref="B1637">IF(LEN(E1637),INDEX('4-All Devices'!AG:AG, MATCH(E1637, '4-All Devices'!AF:AF, 0)),"")</f>
        <v/>
      </c>
      <c r="C1637" s="549" t="s">
        <v>11186</v>
      </c>
      <c r="D1637" s="549" t="s">
        <v>11189</v>
      </c>
      <c r="E1637" s="8"/>
      <c r="F1637" s="552" t="s">
        <v>11188</v>
      </c>
      <c r="G1637" s="8"/>
      <c r="H1637" s="552"/>
      <c r="I1637" s="8"/>
      <c r="J1637" s="547"/>
      <c r="K1637" s="8"/>
      <c r="L1637" s="8"/>
      <c r="M1637" s="8"/>
    </row>
    <row r="1638">
      <c r="A1638" s="542"/>
      <c r="B1638" s="551" t="str">
        <f t="array" ref="B1638">IF(LEN(E1638),INDEX('4-All Devices'!AG:AG, MATCH(E1638, '4-All Devices'!AF:AF, 0)),"")</f>
        <v/>
      </c>
      <c r="C1638" s="549" t="s">
        <v>11186</v>
      </c>
      <c r="D1638" s="549" t="s">
        <v>11189</v>
      </c>
      <c r="E1638" s="8"/>
      <c r="F1638" s="552" t="s">
        <v>11188</v>
      </c>
      <c r="G1638" s="8"/>
      <c r="H1638" s="552"/>
      <c r="I1638" s="8"/>
      <c r="J1638" s="547"/>
      <c r="K1638" s="8"/>
      <c r="L1638" s="8"/>
      <c r="M1638" s="8"/>
    </row>
    <row r="1639">
      <c r="A1639" s="542"/>
      <c r="B1639" s="551" t="str">
        <f t="array" ref="B1639">IF(LEN(E1639),INDEX('4-All Devices'!AG:AG, MATCH(E1639, '4-All Devices'!AF:AF, 0)),"")</f>
        <v/>
      </c>
      <c r="C1639" s="549" t="s">
        <v>11186</v>
      </c>
      <c r="D1639" s="549" t="s">
        <v>11189</v>
      </c>
      <c r="E1639" s="8"/>
      <c r="F1639" s="552" t="s">
        <v>11188</v>
      </c>
      <c r="G1639" s="8"/>
      <c r="H1639" s="552"/>
      <c r="I1639" s="8"/>
      <c r="J1639" s="547"/>
      <c r="K1639" s="8"/>
      <c r="L1639" s="8"/>
      <c r="M1639" s="8"/>
    </row>
    <row r="1640">
      <c r="A1640" s="542"/>
      <c r="B1640" s="551" t="str">
        <f t="array" ref="B1640">IF(LEN(E1640),INDEX('4-All Devices'!AG:AG, MATCH(E1640, '4-All Devices'!AF:AF, 0)),"")</f>
        <v/>
      </c>
      <c r="C1640" s="549" t="s">
        <v>11186</v>
      </c>
      <c r="D1640" s="549" t="s">
        <v>11189</v>
      </c>
      <c r="E1640" s="8"/>
      <c r="F1640" s="552" t="s">
        <v>11188</v>
      </c>
      <c r="G1640" s="8"/>
      <c r="H1640" s="552"/>
      <c r="I1640" s="8"/>
      <c r="J1640" s="547"/>
      <c r="K1640" s="8"/>
      <c r="L1640" s="8"/>
      <c r="M1640" s="8"/>
    </row>
    <row r="1641">
      <c r="A1641" s="542"/>
      <c r="B1641" s="551" t="str">
        <f t="array" ref="B1641">IF(LEN(E1641),INDEX('4-All Devices'!AG:AG, MATCH(E1641, '4-All Devices'!AF:AF, 0)),"")</f>
        <v/>
      </c>
      <c r="C1641" s="549" t="s">
        <v>11186</v>
      </c>
      <c r="D1641" s="549" t="s">
        <v>11189</v>
      </c>
      <c r="E1641" s="8"/>
      <c r="F1641" s="552" t="s">
        <v>11188</v>
      </c>
      <c r="G1641" s="8"/>
      <c r="H1641" s="552"/>
      <c r="I1641" s="8"/>
      <c r="J1641" s="547"/>
      <c r="K1641" s="8"/>
      <c r="L1641" s="8"/>
      <c r="M1641" s="8"/>
    </row>
    <row r="1642">
      <c r="A1642" s="542"/>
      <c r="B1642" s="551" t="str">
        <f t="array" ref="B1642">IF(LEN(E1642),INDEX('4-All Devices'!AG:AG, MATCH(E1642, '4-All Devices'!AF:AF, 0)),"")</f>
        <v/>
      </c>
      <c r="C1642" s="549" t="s">
        <v>11186</v>
      </c>
      <c r="D1642" s="549" t="s">
        <v>11189</v>
      </c>
      <c r="E1642" s="8"/>
      <c r="F1642" s="552" t="s">
        <v>11188</v>
      </c>
      <c r="G1642" s="8"/>
      <c r="H1642" s="552"/>
      <c r="I1642" s="8"/>
      <c r="J1642" s="547"/>
      <c r="K1642" s="8"/>
      <c r="L1642" s="8"/>
      <c r="M1642" s="8"/>
    </row>
    <row r="1643">
      <c r="A1643" s="542"/>
      <c r="B1643" s="551" t="str">
        <f t="array" ref="B1643">IF(LEN(E1643),INDEX('4-All Devices'!AG:AG, MATCH(E1643, '4-All Devices'!AF:AF, 0)),"")</f>
        <v/>
      </c>
      <c r="C1643" s="549" t="s">
        <v>11186</v>
      </c>
      <c r="D1643" s="549" t="s">
        <v>11189</v>
      </c>
      <c r="E1643" s="8"/>
      <c r="F1643" s="552" t="s">
        <v>11188</v>
      </c>
      <c r="G1643" s="8"/>
      <c r="H1643" s="552"/>
      <c r="I1643" s="8"/>
      <c r="J1643" s="547"/>
      <c r="K1643" s="8"/>
      <c r="L1643" s="8"/>
      <c r="M1643" s="8"/>
    </row>
    <row r="1644">
      <c r="A1644" s="542"/>
      <c r="B1644" s="551" t="str">
        <f t="array" ref="B1644">IF(LEN(E1644),INDEX('4-All Devices'!AG:AG, MATCH(E1644, '4-All Devices'!AF:AF, 0)),"")</f>
        <v/>
      </c>
      <c r="C1644" s="549" t="s">
        <v>11186</v>
      </c>
      <c r="D1644" s="549" t="s">
        <v>11189</v>
      </c>
      <c r="E1644" s="8"/>
      <c r="F1644" s="552" t="s">
        <v>11188</v>
      </c>
      <c r="G1644" s="8"/>
      <c r="H1644" s="552"/>
      <c r="I1644" s="8"/>
      <c r="J1644" s="547"/>
      <c r="K1644" s="8"/>
      <c r="L1644" s="8"/>
      <c r="M1644" s="8"/>
    </row>
    <row r="1645">
      <c r="A1645" s="8"/>
      <c r="B1645" s="551" t="str">
        <f t="array" ref="B1645">IF(LEN(E1645),INDEX('4-All Devices'!AG:AG, MATCH(E1645, '4-All Devices'!AF:AF, 0)),"")</f>
        <v/>
      </c>
      <c r="C1645" s="549" t="s">
        <v>11186</v>
      </c>
      <c r="D1645" s="549" t="s">
        <v>11189</v>
      </c>
      <c r="E1645" s="8"/>
      <c r="F1645" s="552" t="s">
        <v>11188</v>
      </c>
      <c r="G1645" s="8"/>
      <c r="H1645" s="552"/>
      <c r="I1645" s="8"/>
      <c r="J1645" s="547"/>
      <c r="K1645" s="8"/>
      <c r="L1645" s="8"/>
      <c r="M1645" s="8"/>
    </row>
    <row r="1646">
      <c r="A1646" s="8"/>
      <c r="B1646" s="551" t="str">
        <f t="array" ref="B1646">IF(LEN(E1646),INDEX('4-All Devices'!AG:AG, MATCH(E1646, '4-All Devices'!AF:AF, 0)),"")</f>
        <v/>
      </c>
      <c r="C1646" s="549" t="s">
        <v>11186</v>
      </c>
      <c r="D1646" s="549" t="s">
        <v>11189</v>
      </c>
      <c r="E1646" s="8"/>
      <c r="F1646" s="552" t="s">
        <v>11188</v>
      </c>
      <c r="G1646" s="8"/>
      <c r="H1646" s="552"/>
      <c r="I1646" s="8"/>
      <c r="J1646" s="547"/>
      <c r="K1646" s="8"/>
      <c r="L1646" s="8"/>
      <c r="M1646" s="8"/>
    </row>
    <row r="1647">
      <c r="A1647" s="8"/>
      <c r="B1647" s="551" t="str">
        <f t="array" ref="B1647">IF(LEN(E1647),INDEX('4-All Devices'!AG:AG, MATCH(E1647, '4-All Devices'!AF:AF, 0)),"")</f>
        <v/>
      </c>
      <c r="C1647" s="549" t="s">
        <v>11186</v>
      </c>
      <c r="D1647" s="549" t="s">
        <v>11189</v>
      </c>
      <c r="E1647" s="8"/>
      <c r="F1647" s="552" t="s">
        <v>11188</v>
      </c>
      <c r="G1647" s="8"/>
      <c r="H1647" s="552"/>
      <c r="I1647" s="8"/>
      <c r="J1647" s="547"/>
      <c r="K1647" s="8"/>
      <c r="L1647" s="8"/>
      <c r="M1647" s="8"/>
    </row>
    <row r="1648">
      <c r="A1648" s="8"/>
      <c r="B1648" s="551" t="str">
        <f t="array" ref="B1648">IF(LEN(E1648),INDEX('4-All Devices'!AG:AG, MATCH(E1648, '4-All Devices'!AF:AF, 0)),"")</f>
        <v/>
      </c>
      <c r="C1648" s="549" t="s">
        <v>11186</v>
      </c>
      <c r="D1648" s="549" t="s">
        <v>11189</v>
      </c>
      <c r="E1648" s="8"/>
      <c r="F1648" s="552" t="s">
        <v>11188</v>
      </c>
      <c r="G1648" s="8"/>
      <c r="H1648" s="552"/>
      <c r="I1648" s="8"/>
      <c r="J1648" s="547"/>
      <c r="K1648" s="8"/>
      <c r="L1648" s="8"/>
      <c r="M1648" s="8"/>
    </row>
    <row r="1649">
      <c r="A1649" s="8"/>
      <c r="B1649" s="551" t="str">
        <f t="array" ref="B1649">IF(LEN(E1649),INDEX('4-All Devices'!AG:AG, MATCH(E1649, '4-All Devices'!AF:AF, 0)),"")</f>
        <v/>
      </c>
      <c r="C1649" s="549" t="s">
        <v>11186</v>
      </c>
      <c r="D1649" s="549" t="s">
        <v>11189</v>
      </c>
      <c r="E1649" s="8"/>
      <c r="F1649" s="552" t="s">
        <v>11188</v>
      </c>
      <c r="G1649" s="8"/>
      <c r="H1649" s="552"/>
      <c r="I1649" s="8"/>
      <c r="J1649" s="547"/>
      <c r="K1649" s="8"/>
      <c r="L1649" s="8"/>
      <c r="M1649" s="8"/>
    </row>
    <row r="1650">
      <c r="A1650" s="8"/>
      <c r="B1650" s="551" t="str">
        <f t="array" ref="B1650">IF(LEN(E1650),INDEX('4-All Devices'!AG:AG, MATCH(E1650, '4-All Devices'!AF:AF, 0)),"")</f>
        <v/>
      </c>
      <c r="C1650" s="549" t="s">
        <v>11186</v>
      </c>
      <c r="D1650" s="549" t="s">
        <v>11189</v>
      </c>
      <c r="E1650" s="8"/>
      <c r="F1650" s="552" t="s">
        <v>11188</v>
      </c>
      <c r="G1650" s="8"/>
      <c r="H1650" s="552"/>
      <c r="I1650" s="8"/>
      <c r="J1650" s="547"/>
      <c r="K1650" s="8"/>
      <c r="L1650" s="8"/>
      <c r="M1650" s="8"/>
    </row>
    <row r="1651">
      <c r="A1651" s="8"/>
      <c r="B1651" s="551" t="str">
        <f t="array" ref="B1651">IF(LEN(E1651),INDEX('4-All Devices'!AG:AG, MATCH(E1651, '4-All Devices'!AF:AF, 0)),"")</f>
        <v/>
      </c>
      <c r="C1651" s="549" t="s">
        <v>11186</v>
      </c>
      <c r="D1651" s="549" t="s">
        <v>11189</v>
      </c>
      <c r="E1651" s="8"/>
      <c r="F1651" s="552" t="s">
        <v>11188</v>
      </c>
      <c r="G1651" s="8"/>
      <c r="H1651" s="552"/>
      <c r="I1651" s="8"/>
      <c r="J1651" s="547"/>
      <c r="K1651" s="8"/>
      <c r="L1651" s="8"/>
      <c r="M1651" s="8"/>
    </row>
    <row r="1652">
      <c r="A1652" s="8"/>
      <c r="B1652" s="551" t="str">
        <f t="array" ref="B1652">IF(LEN(E1652),INDEX('4-All Devices'!AG:AG, MATCH(E1652, '4-All Devices'!AF:AF, 0)),"")</f>
        <v/>
      </c>
      <c r="C1652" s="549" t="s">
        <v>11186</v>
      </c>
      <c r="D1652" s="549" t="s">
        <v>11189</v>
      </c>
      <c r="E1652" s="8"/>
      <c r="F1652" s="552" t="s">
        <v>11188</v>
      </c>
      <c r="G1652" s="8"/>
      <c r="H1652" s="552"/>
      <c r="I1652" s="8"/>
      <c r="J1652" s="547"/>
      <c r="K1652" s="8"/>
      <c r="L1652" s="8"/>
      <c r="M1652" s="8"/>
    </row>
    <row r="1653">
      <c r="A1653" s="8"/>
      <c r="B1653" s="551" t="str">
        <f t="array" ref="B1653">IF(LEN(E1653),INDEX('4-All Devices'!AG:AG, MATCH(E1653, '4-All Devices'!AF:AF, 0)),"")</f>
        <v/>
      </c>
      <c r="C1653" s="549" t="s">
        <v>11186</v>
      </c>
      <c r="D1653" s="549" t="s">
        <v>11189</v>
      </c>
      <c r="E1653" s="8"/>
      <c r="F1653" s="552" t="s">
        <v>11188</v>
      </c>
      <c r="G1653" s="8"/>
      <c r="H1653" s="552"/>
      <c r="I1653" s="8"/>
      <c r="J1653" s="547"/>
      <c r="K1653" s="8"/>
      <c r="L1653" s="8"/>
      <c r="M1653" s="8"/>
    </row>
    <row r="1654">
      <c r="A1654" s="8"/>
      <c r="B1654" s="551" t="str">
        <f t="array" ref="B1654">IF(LEN(E1654),INDEX('4-All Devices'!AG:AG, MATCH(E1654, '4-All Devices'!AF:AF, 0)),"")</f>
        <v/>
      </c>
      <c r="C1654" s="549" t="s">
        <v>11186</v>
      </c>
      <c r="D1654" s="549" t="s">
        <v>11189</v>
      </c>
      <c r="E1654" s="8"/>
      <c r="F1654" s="552" t="s">
        <v>11188</v>
      </c>
      <c r="G1654" s="8"/>
      <c r="H1654" s="552"/>
      <c r="I1654" s="8"/>
      <c r="J1654" s="547"/>
      <c r="K1654" s="8"/>
      <c r="L1654" s="8"/>
      <c r="M1654" s="8"/>
    </row>
    <row r="1655">
      <c r="A1655" s="8"/>
      <c r="B1655" s="551" t="str">
        <f t="array" ref="B1655">IF(LEN(E1655),INDEX('4-All Devices'!AG:AG, MATCH(E1655, '4-All Devices'!AF:AF, 0)),"")</f>
        <v/>
      </c>
      <c r="C1655" s="549" t="s">
        <v>11186</v>
      </c>
      <c r="D1655" s="549" t="s">
        <v>11189</v>
      </c>
      <c r="E1655" s="8"/>
      <c r="F1655" s="552" t="s">
        <v>11188</v>
      </c>
      <c r="G1655" s="8"/>
      <c r="H1655" s="552"/>
      <c r="I1655" s="8"/>
      <c r="J1655" s="547"/>
      <c r="K1655" s="8"/>
      <c r="L1655" s="8"/>
      <c r="M1655" s="8"/>
    </row>
    <row r="1656">
      <c r="A1656" s="8"/>
      <c r="B1656" s="551" t="str">
        <f t="array" ref="B1656">IF(LEN(E1656),INDEX('4-All Devices'!AG:AG, MATCH(E1656, '4-All Devices'!AF:AF, 0)),"")</f>
        <v/>
      </c>
      <c r="C1656" s="549" t="s">
        <v>11186</v>
      </c>
      <c r="D1656" s="549" t="s">
        <v>11189</v>
      </c>
      <c r="E1656" s="8"/>
      <c r="F1656" s="552" t="s">
        <v>11188</v>
      </c>
      <c r="G1656" s="8"/>
      <c r="H1656" s="552"/>
      <c r="I1656" s="8"/>
      <c r="J1656" s="547"/>
      <c r="K1656" s="8"/>
      <c r="L1656" s="8"/>
      <c r="M1656" s="8"/>
    </row>
    <row r="1657">
      <c r="A1657" s="8"/>
      <c r="B1657" s="551" t="str">
        <f t="array" ref="B1657">IF(LEN(E1657),INDEX('4-All Devices'!AG:AG, MATCH(E1657, '4-All Devices'!AF:AF, 0)),"")</f>
        <v/>
      </c>
      <c r="C1657" s="549" t="s">
        <v>11186</v>
      </c>
      <c r="D1657" s="549" t="s">
        <v>11189</v>
      </c>
      <c r="E1657" s="8"/>
      <c r="F1657" s="552" t="s">
        <v>11188</v>
      </c>
      <c r="G1657" s="8"/>
      <c r="H1657" s="552"/>
      <c r="I1657" s="8"/>
      <c r="J1657" s="547"/>
      <c r="K1657" s="8"/>
      <c r="L1657" s="8"/>
      <c r="M1657" s="8"/>
    </row>
    <row r="1658">
      <c r="A1658" s="8"/>
      <c r="B1658" s="551" t="str">
        <f t="array" ref="B1658">IF(LEN(E1658),INDEX('4-All Devices'!AG:AG, MATCH(E1658, '4-All Devices'!AF:AF, 0)),"")</f>
        <v/>
      </c>
      <c r="C1658" s="549" t="s">
        <v>11186</v>
      </c>
      <c r="D1658" s="549" t="s">
        <v>11189</v>
      </c>
      <c r="E1658" s="8"/>
      <c r="F1658" s="552" t="s">
        <v>11188</v>
      </c>
      <c r="G1658" s="8"/>
      <c r="H1658" s="552"/>
      <c r="I1658" s="8"/>
      <c r="J1658" s="547"/>
      <c r="K1658" s="8"/>
      <c r="L1658" s="8"/>
      <c r="M1658" s="8"/>
    </row>
    <row r="1659">
      <c r="A1659" s="8"/>
      <c r="B1659" s="551" t="str">
        <f t="array" ref="B1659">IF(LEN(E1659),INDEX('4-All Devices'!AG:AG, MATCH(E1659, '4-All Devices'!AF:AF, 0)),"")</f>
        <v/>
      </c>
      <c r="C1659" s="549" t="s">
        <v>11186</v>
      </c>
      <c r="D1659" s="549" t="s">
        <v>11189</v>
      </c>
      <c r="E1659" s="8"/>
      <c r="F1659" s="552" t="s">
        <v>11188</v>
      </c>
      <c r="G1659" s="8"/>
      <c r="H1659" s="552"/>
      <c r="I1659" s="8"/>
      <c r="J1659" s="547"/>
      <c r="K1659" s="8"/>
      <c r="L1659" s="8"/>
      <c r="M1659" s="8"/>
    </row>
    <row r="1660">
      <c r="A1660" s="8"/>
      <c r="B1660" s="551" t="str">
        <f t="array" ref="B1660">IF(LEN(E1660),INDEX('4-All Devices'!AG:AG, MATCH(E1660, '4-All Devices'!AF:AF, 0)),"")</f>
        <v/>
      </c>
      <c r="C1660" s="549" t="s">
        <v>11186</v>
      </c>
      <c r="D1660" s="549" t="s">
        <v>11189</v>
      </c>
      <c r="E1660" s="8"/>
      <c r="F1660" s="552" t="s">
        <v>11188</v>
      </c>
      <c r="G1660" s="8"/>
      <c r="H1660" s="552"/>
      <c r="I1660" s="8"/>
      <c r="J1660" s="547"/>
      <c r="K1660" s="8"/>
      <c r="L1660" s="8"/>
      <c r="M1660" s="8"/>
    </row>
    <row r="1661">
      <c r="A1661" s="8"/>
      <c r="B1661" s="551" t="str">
        <f t="array" ref="B1661">IF(LEN(E1661),INDEX('4-All Devices'!AG:AG, MATCH(E1661, '4-All Devices'!AF:AF, 0)),"")</f>
        <v/>
      </c>
      <c r="C1661" s="549" t="s">
        <v>11186</v>
      </c>
      <c r="D1661" s="549" t="s">
        <v>11189</v>
      </c>
      <c r="E1661" s="8"/>
      <c r="F1661" s="552" t="s">
        <v>11188</v>
      </c>
      <c r="G1661" s="8"/>
      <c r="H1661" s="552"/>
      <c r="I1661" s="8"/>
      <c r="J1661" s="547"/>
      <c r="K1661" s="8"/>
      <c r="L1661" s="8"/>
      <c r="M1661" s="8"/>
    </row>
    <row r="1662">
      <c r="A1662" s="8"/>
      <c r="B1662" s="551" t="str">
        <f t="array" ref="B1662">IF(LEN(E1662),INDEX('4-All Devices'!AG:AG, MATCH(E1662, '4-All Devices'!AF:AF, 0)),"")</f>
        <v/>
      </c>
      <c r="C1662" s="549" t="s">
        <v>11186</v>
      </c>
      <c r="D1662" s="549" t="s">
        <v>11189</v>
      </c>
      <c r="E1662" s="8"/>
      <c r="F1662" s="552" t="s">
        <v>11188</v>
      </c>
      <c r="G1662" s="8"/>
      <c r="H1662" s="552"/>
      <c r="I1662" s="8"/>
      <c r="J1662" s="547"/>
      <c r="K1662" s="8"/>
      <c r="L1662" s="8"/>
      <c r="M1662" s="8"/>
    </row>
    <row r="1663">
      <c r="A1663" s="8"/>
      <c r="B1663" s="551" t="str">
        <f t="array" ref="B1663">IF(LEN(E1663),INDEX('4-All Devices'!AG:AG, MATCH(E1663, '4-All Devices'!AF:AF, 0)),"")</f>
        <v/>
      </c>
      <c r="C1663" s="549" t="s">
        <v>11186</v>
      </c>
      <c r="D1663" s="549" t="s">
        <v>11189</v>
      </c>
      <c r="E1663" s="8"/>
      <c r="F1663" s="552" t="s">
        <v>11188</v>
      </c>
      <c r="G1663" s="8"/>
      <c r="H1663" s="552"/>
      <c r="I1663" s="8"/>
      <c r="J1663" s="547"/>
      <c r="K1663" s="8"/>
      <c r="L1663" s="8"/>
      <c r="M1663" s="8"/>
    </row>
    <row r="1664">
      <c r="A1664" s="8"/>
      <c r="B1664" s="551" t="str">
        <f t="array" ref="B1664">IF(LEN(E1664),INDEX('4-All Devices'!AG:AG, MATCH(E1664, '4-All Devices'!AF:AF, 0)),"")</f>
        <v/>
      </c>
      <c r="C1664" s="549" t="s">
        <v>11186</v>
      </c>
      <c r="D1664" s="549" t="s">
        <v>11189</v>
      </c>
      <c r="E1664" s="8"/>
      <c r="F1664" s="552" t="s">
        <v>11188</v>
      </c>
      <c r="G1664" s="8"/>
      <c r="H1664" s="552"/>
      <c r="I1664" s="8"/>
      <c r="J1664" s="547"/>
      <c r="K1664" s="8"/>
      <c r="L1664" s="8"/>
      <c r="M1664" s="8"/>
    </row>
    <row r="1665">
      <c r="A1665" s="8"/>
      <c r="B1665" s="551" t="str">
        <f t="array" ref="B1665">IF(LEN(E1665),INDEX('4-All Devices'!AG:AG, MATCH(E1665, '4-All Devices'!AF:AF, 0)),"")</f>
        <v/>
      </c>
      <c r="C1665" s="549" t="s">
        <v>11186</v>
      </c>
      <c r="D1665" s="549" t="s">
        <v>11189</v>
      </c>
      <c r="E1665" s="8"/>
      <c r="F1665" s="552" t="s">
        <v>11188</v>
      </c>
      <c r="G1665" s="8"/>
      <c r="H1665" s="552"/>
      <c r="I1665" s="8"/>
      <c r="J1665" s="547"/>
      <c r="K1665" s="8"/>
      <c r="L1665" s="8"/>
      <c r="M1665" s="8"/>
    </row>
    <row r="1666">
      <c r="A1666" s="8"/>
      <c r="B1666" s="551" t="str">
        <f t="array" ref="B1666">IF(LEN(E1666),INDEX('4-All Devices'!AG:AG, MATCH(E1666, '4-All Devices'!AF:AF, 0)),"")</f>
        <v/>
      </c>
      <c r="C1666" s="549" t="s">
        <v>11186</v>
      </c>
      <c r="D1666" s="549" t="s">
        <v>11189</v>
      </c>
      <c r="E1666" s="8"/>
      <c r="F1666" s="552" t="s">
        <v>11188</v>
      </c>
      <c r="G1666" s="8"/>
      <c r="H1666" s="552"/>
      <c r="I1666" s="8"/>
      <c r="J1666" s="547"/>
      <c r="K1666" s="8"/>
      <c r="L1666" s="8"/>
      <c r="M1666" s="8"/>
    </row>
    <row r="1667">
      <c r="A1667" s="8"/>
      <c r="B1667" s="551" t="str">
        <f t="array" ref="B1667">IF(LEN(E1667),INDEX('4-All Devices'!AG:AG, MATCH(E1667, '4-All Devices'!AF:AF, 0)),"")</f>
        <v/>
      </c>
      <c r="C1667" s="549" t="s">
        <v>11186</v>
      </c>
      <c r="D1667" s="549" t="s">
        <v>11189</v>
      </c>
      <c r="E1667" s="8"/>
      <c r="F1667" s="552" t="s">
        <v>11188</v>
      </c>
      <c r="G1667" s="8"/>
      <c r="H1667" s="552"/>
      <c r="I1667" s="8"/>
      <c r="J1667" s="547"/>
      <c r="K1667" s="8"/>
      <c r="L1667" s="8"/>
      <c r="M1667" s="8"/>
    </row>
    <row r="1668">
      <c r="A1668" s="8"/>
      <c r="B1668" s="551" t="str">
        <f t="array" ref="B1668">IF(LEN(E1668),INDEX('4-All Devices'!AG:AG, MATCH(E1668, '4-All Devices'!AF:AF, 0)),"")</f>
        <v/>
      </c>
      <c r="C1668" s="549" t="s">
        <v>11186</v>
      </c>
      <c r="D1668" s="549" t="s">
        <v>11189</v>
      </c>
      <c r="E1668" s="8"/>
      <c r="F1668" s="552" t="s">
        <v>11188</v>
      </c>
      <c r="G1668" s="8"/>
      <c r="H1668" s="552"/>
      <c r="I1668" s="8"/>
      <c r="J1668" s="547"/>
      <c r="K1668" s="8"/>
      <c r="L1668" s="8"/>
      <c r="M1668" s="8"/>
    </row>
    <row r="1669">
      <c r="A1669" s="8"/>
      <c r="B1669" s="551" t="str">
        <f t="array" ref="B1669">IF(LEN(E1669),INDEX('4-All Devices'!AG:AG, MATCH(E1669, '4-All Devices'!AF:AF, 0)),"")</f>
        <v/>
      </c>
      <c r="C1669" s="549" t="s">
        <v>11186</v>
      </c>
      <c r="D1669" s="549" t="s">
        <v>11189</v>
      </c>
      <c r="E1669" s="8"/>
      <c r="F1669" s="552" t="s">
        <v>11188</v>
      </c>
      <c r="G1669" s="8"/>
      <c r="H1669" s="552"/>
      <c r="I1669" s="8"/>
      <c r="J1669" s="547"/>
      <c r="K1669" s="8"/>
      <c r="L1669" s="8"/>
      <c r="M1669" s="8"/>
    </row>
    <row r="1670">
      <c r="A1670" s="8"/>
      <c r="B1670" s="551" t="str">
        <f t="array" ref="B1670">IF(LEN(E1670),INDEX('4-All Devices'!AG:AG, MATCH(E1670, '4-All Devices'!AF:AF, 0)),"")</f>
        <v/>
      </c>
      <c r="C1670" s="549" t="s">
        <v>11186</v>
      </c>
      <c r="D1670" s="549" t="s">
        <v>11189</v>
      </c>
      <c r="E1670" s="8"/>
      <c r="F1670" s="552" t="s">
        <v>11188</v>
      </c>
      <c r="G1670" s="8"/>
      <c r="H1670" s="552"/>
      <c r="I1670" s="8"/>
      <c r="J1670" s="547"/>
      <c r="K1670" s="8"/>
      <c r="L1670" s="8"/>
      <c r="M1670" s="8"/>
    </row>
    <row r="1671">
      <c r="A1671" s="8"/>
      <c r="B1671" s="551" t="str">
        <f t="array" ref="B1671">IF(LEN(E1671),INDEX('4-All Devices'!AG:AG, MATCH(E1671, '4-All Devices'!AF:AF, 0)),"")</f>
        <v/>
      </c>
      <c r="C1671" s="549" t="s">
        <v>11186</v>
      </c>
      <c r="D1671" s="549" t="s">
        <v>11189</v>
      </c>
      <c r="E1671" s="8"/>
      <c r="F1671" s="552" t="s">
        <v>11188</v>
      </c>
      <c r="G1671" s="8"/>
      <c r="H1671" s="552"/>
      <c r="I1671" s="8"/>
      <c r="J1671" s="547"/>
      <c r="K1671" s="8"/>
      <c r="L1671" s="8"/>
      <c r="M1671" s="8"/>
    </row>
    <row r="1672">
      <c r="A1672" s="8"/>
      <c r="B1672" s="551" t="str">
        <f t="array" ref="B1672">IF(LEN(E1672),INDEX('4-All Devices'!AG:AG, MATCH(E1672, '4-All Devices'!AF:AF, 0)),"")</f>
        <v/>
      </c>
      <c r="C1672" s="549" t="s">
        <v>11186</v>
      </c>
      <c r="D1672" s="549" t="s">
        <v>11189</v>
      </c>
      <c r="E1672" s="8"/>
      <c r="F1672" s="552" t="s">
        <v>11188</v>
      </c>
      <c r="G1672" s="8"/>
      <c r="H1672" s="552"/>
      <c r="I1672" s="8"/>
      <c r="J1672" s="547"/>
      <c r="K1672" s="8"/>
      <c r="L1672" s="8"/>
      <c r="M1672" s="8"/>
    </row>
    <row r="1673">
      <c r="A1673" s="8"/>
      <c r="B1673" s="551" t="str">
        <f t="array" ref="B1673">IF(LEN(E1673),INDEX('4-All Devices'!AG:AG, MATCH(E1673, '4-All Devices'!AF:AF, 0)),"")</f>
        <v/>
      </c>
      <c r="C1673" s="549" t="s">
        <v>11186</v>
      </c>
      <c r="D1673" s="549" t="s">
        <v>11189</v>
      </c>
      <c r="E1673" s="8"/>
      <c r="F1673" s="552" t="s">
        <v>11188</v>
      </c>
      <c r="G1673" s="8"/>
      <c r="H1673" s="552"/>
      <c r="I1673" s="8"/>
      <c r="J1673" s="547"/>
      <c r="K1673" s="8"/>
      <c r="L1673" s="8"/>
      <c r="M1673" s="8"/>
    </row>
    <row r="1674">
      <c r="A1674" s="8"/>
      <c r="B1674" s="551" t="str">
        <f t="array" ref="B1674">IF(LEN(E1674),INDEX('4-All Devices'!AG:AG, MATCH(E1674, '4-All Devices'!AF:AF, 0)),"")</f>
        <v/>
      </c>
      <c r="C1674" s="549" t="s">
        <v>11186</v>
      </c>
      <c r="D1674" s="549" t="s">
        <v>11189</v>
      </c>
      <c r="E1674" s="8"/>
      <c r="F1674" s="552" t="s">
        <v>11188</v>
      </c>
      <c r="G1674" s="8"/>
      <c r="H1674" s="552"/>
      <c r="I1674" s="8"/>
      <c r="J1674" s="547"/>
      <c r="K1674" s="8"/>
      <c r="L1674" s="8"/>
      <c r="M1674" s="8"/>
    </row>
    <row r="1675">
      <c r="A1675" s="8"/>
      <c r="B1675" s="551" t="str">
        <f t="array" ref="B1675">IF(LEN(E1675),INDEX('4-All Devices'!AG:AG, MATCH(E1675, '4-All Devices'!AF:AF, 0)),"")</f>
        <v/>
      </c>
      <c r="C1675" s="549" t="s">
        <v>11186</v>
      </c>
      <c r="D1675" s="549" t="s">
        <v>11189</v>
      </c>
      <c r="E1675" s="8"/>
      <c r="F1675" s="552" t="s">
        <v>11188</v>
      </c>
      <c r="G1675" s="8"/>
      <c r="H1675" s="552"/>
      <c r="I1675" s="8"/>
      <c r="J1675" s="547"/>
      <c r="K1675" s="8"/>
      <c r="L1675" s="8"/>
      <c r="M1675" s="8"/>
    </row>
    <row r="1676">
      <c r="A1676" s="8"/>
      <c r="B1676" s="551" t="str">
        <f t="array" ref="B1676">IF(LEN(E1676),INDEX('4-All Devices'!AG:AG, MATCH(E1676, '4-All Devices'!AF:AF, 0)),"")</f>
        <v/>
      </c>
      <c r="C1676" s="549" t="s">
        <v>11186</v>
      </c>
      <c r="D1676" s="549" t="s">
        <v>11189</v>
      </c>
      <c r="E1676" s="8"/>
      <c r="F1676" s="552" t="s">
        <v>11188</v>
      </c>
      <c r="G1676" s="8"/>
      <c r="H1676" s="552"/>
      <c r="I1676" s="8"/>
      <c r="J1676" s="547"/>
      <c r="K1676" s="8"/>
      <c r="L1676" s="8"/>
      <c r="M1676" s="8"/>
    </row>
    <row r="1677">
      <c r="A1677" s="8"/>
      <c r="B1677" s="551" t="str">
        <f t="array" ref="B1677">IF(LEN(E1677),INDEX('4-All Devices'!AG:AG, MATCH(E1677, '4-All Devices'!AF:AF, 0)),"")</f>
        <v/>
      </c>
      <c r="C1677" s="549" t="s">
        <v>11186</v>
      </c>
      <c r="D1677" s="549" t="s">
        <v>11189</v>
      </c>
      <c r="E1677" s="8"/>
      <c r="F1677" s="552" t="s">
        <v>11188</v>
      </c>
      <c r="G1677" s="8"/>
      <c r="H1677" s="552"/>
      <c r="I1677" s="8"/>
      <c r="J1677" s="547"/>
      <c r="K1677" s="8"/>
      <c r="L1677" s="8"/>
      <c r="M1677" s="8"/>
    </row>
    <row r="1678">
      <c r="A1678" s="8"/>
      <c r="B1678" s="551" t="str">
        <f t="array" ref="B1678">IF(LEN(E1678),INDEX('4-All Devices'!AG:AG, MATCH(E1678, '4-All Devices'!AF:AF, 0)),"")</f>
        <v/>
      </c>
      <c r="C1678" s="549" t="s">
        <v>11186</v>
      </c>
      <c r="D1678" s="549" t="s">
        <v>11189</v>
      </c>
      <c r="E1678" s="8"/>
      <c r="F1678" s="552" t="s">
        <v>11188</v>
      </c>
      <c r="G1678" s="8"/>
      <c r="H1678" s="552"/>
      <c r="I1678" s="8"/>
      <c r="J1678" s="547"/>
      <c r="K1678" s="8"/>
      <c r="L1678" s="8"/>
      <c r="M1678" s="8"/>
    </row>
    <row r="1679">
      <c r="A1679" s="8"/>
      <c r="B1679" s="551" t="str">
        <f t="array" ref="B1679">IF(LEN(E1679),INDEX('4-All Devices'!AG:AG, MATCH(E1679, '4-All Devices'!AF:AF, 0)),"")</f>
        <v/>
      </c>
      <c r="C1679" s="549" t="s">
        <v>11186</v>
      </c>
      <c r="D1679" s="549" t="s">
        <v>11189</v>
      </c>
      <c r="E1679" s="8"/>
      <c r="F1679" s="552" t="s">
        <v>11188</v>
      </c>
      <c r="G1679" s="8"/>
      <c r="H1679" s="552"/>
      <c r="I1679" s="8"/>
      <c r="J1679" s="547"/>
      <c r="K1679" s="8"/>
      <c r="L1679" s="8"/>
      <c r="M1679" s="8"/>
    </row>
    <row r="1680">
      <c r="A1680" s="8"/>
      <c r="B1680" s="551" t="str">
        <f t="array" ref="B1680">IF(LEN(E1680),INDEX('4-All Devices'!AG:AG, MATCH(E1680, '4-All Devices'!AF:AF, 0)),"")</f>
        <v/>
      </c>
      <c r="C1680" s="549" t="s">
        <v>11186</v>
      </c>
      <c r="D1680" s="549" t="s">
        <v>11189</v>
      </c>
      <c r="E1680" s="8"/>
      <c r="F1680" s="552" t="s">
        <v>11188</v>
      </c>
      <c r="G1680" s="8"/>
      <c r="H1680" s="552"/>
      <c r="I1680" s="8"/>
      <c r="J1680" s="547"/>
      <c r="K1680" s="8"/>
      <c r="L1680" s="8"/>
      <c r="M1680" s="8"/>
    </row>
    <row r="1681">
      <c r="A1681" s="8"/>
      <c r="B1681" s="551" t="str">
        <f t="array" ref="B1681">IF(LEN(E1681),INDEX('4-All Devices'!AG:AG, MATCH(E1681, '4-All Devices'!AF:AF, 0)),"")</f>
        <v/>
      </c>
      <c r="C1681" s="549" t="s">
        <v>11186</v>
      </c>
      <c r="D1681" s="549" t="s">
        <v>11189</v>
      </c>
      <c r="E1681" s="8"/>
      <c r="F1681" s="552" t="s">
        <v>11188</v>
      </c>
      <c r="G1681" s="8"/>
      <c r="H1681" s="552"/>
      <c r="I1681" s="8"/>
      <c r="J1681" s="547"/>
      <c r="K1681" s="8"/>
      <c r="L1681" s="8"/>
      <c r="M1681" s="8"/>
    </row>
    <row r="1682">
      <c r="A1682" s="8"/>
      <c r="B1682" s="551" t="str">
        <f t="array" ref="B1682">IF(LEN(E1682),INDEX('4-All Devices'!AG:AG, MATCH(E1682, '4-All Devices'!AF:AF, 0)),"")</f>
        <v/>
      </c>
      <c r="C1682" s="549" t="s">
        <v>11186</v>
      </c>
      <c r="D1682" s="549" t="s">
        <v>11189</v>
      </c>
      <c r="E1682" s="8"/>
      <c r="F1682" s="552" t="s">
        <v>11188</v>
      </c>
      <c r="G1682" s="8"/>
      <c r="H1682" s="552"/>
      <c r="I1682" s="8"/>
      <c r="J1682" s="547"/>
      <c r="K1682" s="8"/>
      <c r="L1682" s="8"/>
      <c r="M1682" s="8"/>
    </row>
    <row r="1683">
      <c r="A1683" s="8"/>
      <c r="B1683" s="551" t="str">
        <f t="array" ref="B1683">IF(LEN(E1683),INDEX('4-All Devices'!AG:AG, MATCH(E1683, '4-All Devices'!AF:AF, 0)),"")</f>
        <v/>
      </c>
      <c r="C1683" s="549" t="s">
        <v>11186</v>
      </c>
      <c r="D1683" s="549" t="s">
        <v>11189</v>
      </c>
      <c r="E1683" s="8"/>
      <c r="F1683" s="552" t="s">
        <v>11188</v>
      </c>
      <c r="G1683" s="8"/>
      <c r="H1683" s="552"/>
      <c r="I1683" s="8"/>
      <c r="J1683" s="547"/>
      <c r="K1683" s="8"/>
      <c r="L1683" s="8"/>
      <c r="M1683" s="8"/>
    </row>
    <row r="1684">
      <c r="A1684" s="8"/>
      <c r="B1684" s="551" t="str">
        <f t="array" ref="B1684">IF(LEN(E1684),INDEX('4-All Devices'!AG:AG, MATCH(E1684, '4-All Devices'!AF:AF, 0)),"")</f>
        <v/>
      </c>
      <c r="C1684" s="549" t="s">
        <v>11186</v>
      </c>
      <c r="D1684" s="549" t="s">
        <v>11189</v>
      </c>
      <c r="E1684" s="8"/>
      <c r="F1684" s="552" t="s">
        <v>11188</v>
      </c>
      <c r="G1684" s="8"/>
      <c r="H1684" s="552"/>
      <c r="I1684" s="8"/>
      <c r="J1684" s="547"/>
      <c r="K1684" s="8"/>
      <c r="L1684" s="8"/>
      <c r="M1684" s="8"/>
    </row>
    <row r="1685">
      <c r="A1685" s="8"/>
      <c r="B1685" s="551" t="str">
        <f t="array" ref="B1685">IF(LEN(E1685),INDEX('4-All Devices'!AG:AG, MATCH(E1685, '4-All Devices'!AF:AF, 0)),"")</f>
        <v/>
      </c>
      <c r="C1685" s="549" t="s">
        <v>11186</v>
      </c>
      <c r="D1685" s="549" t="s">
        <v>11189</v>
      </c>
      <c r="E1685" s="8"/>
      <c r="F1685" s="552" t="s">
        <v>11188</v>
      </c>
      <c r="G1685" s="8"/>
      <c r="H1685" s="552"/>
      <c r="I1685" s="8"/>
      <c r="J1685" s="547"/>
      <c r="K1685" s="8"/>
      <c r="L1685" s="8"/>
      <c r="M1685" s="8"/>
    </row>
    <row r="1686">
      <c r="A1686" s="8"/>
      <c r="B1686" s="551" t="str">
        <f t="array" ref="B1686">IF(LEN(E1686),INDEX('4-All Devices'!AG:AG, MATCH(E1686, '4-All Devices'!AF:AF, 0)),"")</f>
        <v/>
      </c>
      <c r="C1686" s="549" t="s">
        <v>11186</v>
      </c>
      <c r="D1686" s="549" t="s">
        <v>11190</v>
      </c>
      <c r="E1686" s="8"/>
      <c r="F1686" s="552" t="s">
        <v>11188</v>
      </c>
      <c r="G1686" s="8"/>
      <c r="H1686" s="552"/>
      <c r="I1686" s="8"/>
      <c r="J1686" s="547"/>
      <c r="K1686" s="8"/>
      <c r="L1686" s="8"/>
      <c r="M1686" s="8"/>
    </row>
    <row r="1687">
      <c r="A1687" s="8"/>
      <c r="B1687" s="551" t="str">
        <f t="array" ref="B1687">IF(LEN(E1687),INDEX('4-All Devices'!AG:AG, MATCH(E1687, '4-All Devices'!AF:AF, 0)),"")</f>
        <v/>
      </c>
      <c r="C1687" s="549" t="s">
        <v>11186</v>
      </c>
      <c r="D1687" s="549" t="s">
        <v>11191</v>
      </c>
      <c r="E1687" s="8"/>
      <c r="F1687" s="552" t="s">
        <v>11188</v>
      </c>
      <c r="G1687" s="8"/>
      <c r="H1687" s="552"/>
      <c r="I1687" s="8"/>
      <c r="J1687" s="547"/>
      <c r="K1687" s="8"/>
      <c r="L1687" s="8"/>
      <c r="M1687" s="8"/>
    </row>
    <row r="1688">
      <c r="A1688" s="8"/>
      <c r="B1688" s="551" t="str">
        <f t="array" ref="B1688">IF(LEN(E1688),INDEX('4-All Devices'!AG:AG, MATCH(E1688, '4-All Devices'!AF:AF, 0)),"")</f>
        <v/>
      </c>
      <c r="C1688" s="549" t="s">
        <v>11186</v>
      </c>
      <c r="D1688" s="549" t="s">
        <v>11191</v>
      </c>
      <c r="E1688" s="8"/>
      <c r="F1688" s="552" t="s">
        <v>11188</v>
      </c>
      <c r="G1688" s="8"/>
      <c r="H1688" s="552"/>
      <c r="I1688" s="8"/>
      <c r="J1688" s="547"/>
      <c r="K1688" s="8"/>
      <c r="L1688" s="8"/>
      <c r="M1688" s="8"/>
    </row>
    <row r="1689">
      <c r="A1689" s="8"/>
      <c r="B1689" s="551" t="str">
        <f t="array" ref="B1689">IF(LEN(E1689),INDEX('4-All Devices'!AG:AG, MATCH(E1689, '4-All Devices'!AF:AF, 0)),"")</f>
        <v/>
      </c>
      <c r="C1689" s="549" t="s">
        <v>11186</v>
      </c>
      <c r="D1689" s="549" t="s">
        <v>11191</v>
      </c>
      <c r="E1689" s="8"/>
      <c r="F1689" s="552" t="s">
        <v>11188</v>
      </c>
      <c r="G1689" s="8"/>
      <c r="H1689" s="552"/>
      <c r="I1689" s="8"/>
      <c r="J1689" s="547"/>
      <c r="K1689" s="8"/>
      <c r="L1689" s="8"/>
      <c r="M1689" s="8"/>
    </row>
    <row r="1690">
      <c r="A1690" s="8"/>
      <c r="B1690" s="551" t="str">
        <f t="array" ref="B1690">IF(LEN(E1690),INDEX('4-All Devices'!AG:AG, MATCH(E1690, '4-All Devices'!AF:AF, 0)),"")</f>
        <v/>
      </c>
      <c r="C1690" s="549" t="s">
        <v>11186</v>
      </c>
      <c r="D1690" s="549" t="s">
        <v>11191</v>
      </c>
      <c r="E1690" s="8"/>
      <c r="F1690" s="552" t="s">
        <v>11188</v>
      </c>
      <c r="G1690" s="8"/>
      <c r="H1690" s="552"/>
      <c r="I1690" s="8"/>
      <c r="J1690" s="547"/>
      <c r="K1690" s="8"/>
      <c r="L1690" s="8"/>
      <c r="M1690" s="8"/>
    </row>
    <row r="1691">
      <c r="A1691" s="8"/>
      <c r="B1691" s="551" t="str">
        <f t="array" ref="B1691">IF(LEN(E1691),INDEX('4-All Devices'!AG:AG, MATCH(E1691, '4-All Devices'!AF:AF, 0)),"")</f>
        <v/>
      </c>
      <c r="C1691" s="549" t="s">
        <v>11186</v>
      </c>
      <c r="D1691" s="549" t="s">
        <v>11191</v>
      </c>
      <c r="E1691" s="8"/>
      <c r="F1691" s="552" t="s">
        <v>11188</v>
      </c>
      <c r="G1691" s="8"/>
      <c r="H1691" s="552"/>
      <c r="I1691" s="8"/>
      <c r="J1691" s="547"/>
      <c r="K1691" s="8"/>
      <c r="L1691" s="8"/>
      <c r="M1691" s="8"/>
    </row>
    <row r="1692">
      <c r="A1692" s="8"/>
      <c r="B1692" s="551" t="str">
        <f t="array" ref="B1692">IF(LEN(E1692),INDEX('4-All Devices'!AG:AG, MATCH(E1692, '4-All Devices'!AF:AF, 0)),"")</f>
        <v/>
      </c>
      <c r="C1692" s="549" t="s">
        <v>11186</v>
      </c>
      <c r="D1692" s="549" t="s">
        <v>11191</v>
      </c>
      <c r="E1692" s="8"/>
      <c r="F1692" s="552" t="s">
        <v>11188</v>
      </c>
      <c r="G1692" s="8"/>
      <c r="H1692" s="552"/>
      <c r="I1692" s="8"/>
      <c r="J1692" s="547"/>
      <c r="K1692" s="8"/>
      <c r="L1692" s="8"/>
      <c r="M1692" s="8"/>
    </row>
    <row r="1693">
      <c r="A1693" s="8"/>
      <c r="B1693" s="551" t="str">
        <f t="array" ref="B1693">IF(LEN(E1693),INDEX('4-All Devices'!AG:AG, MATCH(E1693, '4-All Devices'!AF:AF, 0)),"")</f>
        <v/>
      </c>
      <c r="C1693" s="549" t="s">
        <v>11186</v>
      </c>
      <c r="D1693" s="549" t="s">
        <v>11191</v>
      </c>
      <c r="E1693" s="8"/>
      <c r="F1693" s="552" t="s">
        <v>11188</v>
      </c>
      <c r="G1693" s="8"/>
      <c r="H1693" s="552"/>
      <c r="I1693" s="8"/>
      <c r="J1693" s="547"/>
      <c r="K1693" s="8"/>
      <c r="L1693" s="8"/>
      <c r="M1693" s="8"/>
    </row>
    <row r="1694">
      <c r="A1694" s="8"/>
      <c r="B1694" s="551" t="str">
        <f t="array" ref="B1694">IF(LEN(E1694),INDEX('4-All Devices'!AG:AG, MATCH(E1694, '4-All Devices'!AF:AF, 0)),"")</f>
        <v/>
      </c>
      <c r="C1694" s="549" t="s">
        <v>11186</v>
      </c>
      <c r="D1694" s="549" t="s">
        <v>11191</v>
      </c>
      <c r="E1694" s="8"/>
      <c r="F1694" s="552" t="s">
        <v>11188</v>
      </c>
      <c r="G1694" s="8"/>
      <c r="H1694" s="552"/>
      <c r="I1694" s="8"/>
      <c r="J1694" s="547"/>
      <c r="K1694" s="8"/>
      <c r="L1694" s="8"/>
      <c r="M1694" s="8"/>
    </row>
    <row r="1695">
      <c r="A1695" s="8"/>
      <c r="B1695" s="551" t="str">
        <f t="array" ref="B1695">IF(LEN(E1695),INDEX('4-All Devices'!AG:AG, MATCH(E1695, '4-All Devices'!AF:AF, 0)),"")</f>
        <v/>
      </c>
      <c r="C1695" s="549" t="s">
        <v>11186</v>
      </c>
      <c r="D1695" s="549" t="s">
        <v>11191</v>
      </c>
      <c r="E1695" s="8"/>
      <c r="F1695" s="552" t="s">
        <v>11188</v>
      </c>
      <c r="G1695" s="8"/>
      <c r="H1695" s="552"/>
      <c r="I1695" s="8"/>
      <c r="J1695" s="547"/>
      <c r="K1695" s="8"/>
      <c r="L1695" s="8"/>
      <c r="M1695" s="8"/>
    </row>
    <row r="1696">
      <c r="A1696" s="8"/>
      <c r="B1696" s="551" t="str">
        <f t="array" ref="B1696">IF(LEN(E1696),INDEX('4-All Devices'!AG:AG, MATCH(E1696, '4-All Devices'!AF:AF, 0)),"")</f>
        <v/>
      </c>
      <c r="C1696" s="549" t="s">
        <v>11186</v>
      </c>
      <c r="D1696" s="549" t="s">
        <v>11191</v>
      </c>
      <c r="E1696" s="8"/>
      <c r="F1696" s="552" t="s">
        <v>11188</v>
      </c>
      <c r="G1696" s="8"/>
      <c r="H1696" s="552"/>
      <c r="I1696" s="8"/>
      <c r="J1696" s="547"/>
      <c r="K1696" s="8"/>
      <c r="L1696" s="8"/>
      <c r="M1696" s="8"/>
    </row>
    <row r="1697">
      <c r="A1697" s="8"/>
      <c r="B1697" s="551" t="str">
        <f t="array" ref="B1697">IF(LEN(E1697),INDEX('4-All Devices'!AG:AG, MATCH(E1697, '4-All Devices'!AF:AF, 0)),"")</f>
        <v/>
      </c>
      <c r="C1697" s="549" t="s">
        <v>11186</v>
      </c>
      <c r="D1697" s="549" t="s">
        <v>11191</v>
      </c>
      <c r="E1697" s="8"/>
      <c r="F1697" s="552" t="s">
        <v>11188</v>
      </c>
      <c r="G1697" s="8"/>
      <c r="H1697" s="552"/>
      <c r="I1697" s="8"/>
      <c r="J1697" s="547"/>
      <c r="K1697" s="8"/>
      <c r="L1697" s="8"/>
      <c r="M1697" s="8"/>
    </row>
    <row r="1698">
      <c r="A1698" s="8"/>
      <c r="B1698" s="551" t="str">
        <f t="array" ref="B1698">IF(LEN(E1698),INDEX('4-All Devices'!AG:AG, MATCH(E1698, '4-All Devices'!AF:AF, 0)),"")</f>
        <v/>
      </c>
      <c r="C1698" s="549" t="s">
        <v>11186</v>
      </c>
      <c r="D1698" s="549" t="s">
        <v>11191</v>
      </c>
      <c r="E1698" s="8"/>
      <c r="F1698" s="552" t="s">
        <v>11188</v>
      </c>
      <c r="G1698" s="8"/>
      <c r="H1698" s="552"/>
      <c r="I1698" s="8"/>
      <c r="J1698" s="547"/>
      <c r="K1698" s="8"/>
      <c r="L1698" s="8"/>
      <c r="M1698" s="8"/>
    </row>
    <row r="1699">
      <c r="A1699" s="8"/>
      <c r="B1699" s="551" t="str">
        <f t="array" ref="B1699">IF(LEN(E1699),INDEX('4-All Devices'!AG:AG, MATCH(E1699, '4-All Devices'!AF:AF, 0)),"")</f>
        <v/>
      </c>
      <c r="C1699" s="549" t="s">
        <v>11186</v>
      </c>
      <c r="D1699" s="549" t="s">
        <v>11191</v>
      </c>
      <c r="E1699" s="8"/>
      <c r="F1699" s="552" t="s">
        <v>11188</v>
      </c>
      <c r="G1699" s="8"/>
      <c r="H1699" s="552"/>
      <c r="I1699" s="8"/>
      <c r="J1699" s="547"/>
      <c r="K1699" s="8"/>
      <c r="L1699" s="8"/>
      <c r="M1699" s="8"/>
    </row>
    <row r="1700">
      <c r="A1700" s="8"/>
      <c r="B1700" s="551" t="str">
        <f t="array" ref="B1700">IF(LEN(E1700),INDEX('4-All Devices'!AG:AG, MATCH(E1700, '4-All Devices'!AF:AF, 0)),"")</f>
        <v/>
      </c>
      <c r="C1700" s="549" t="s">
        <v>11186</v>
      </c>
      <c r="D1700" s="549" t="s">
        <v>11191</v>
      </c>
      <c r="E1700" s="8"/>
      <c r="F1700" s="552" t="s">
        <v>11188</v>
      </c>
      <c r="G1700" s="8"/>
      <c r="H1700" s="552"/>
      <c r="I1700" s="8"/>
      <c r="J1700" s="547"/>
      <c r="K1700" s="8"/>
      <c r="L1700" s="8"/>
      <c r="M1700" s="8"/>
    </row>
    <row r="1701">
      <c r="A1701" s="8"/>
      <c r="B1701" s="551" t="str">
        <f t="array" ref="B1701">IF(LEN(E1701),INDEX('4-All Devices'!AG:AG, MATCH(E1701, '4-All Devices'!AF:AF, 0)),"")</f>
        <v/>
      </c>
      <c r="C1701" s="549" t="s">
        <v>11186</v>
      </c>
      <c r="D1701" s="549" t="s">
        <v>11191</v>
      </c>
      <c r="E1701" s="8"/>
      <c r="F1701" s="552" t="s">
        <v>11188</v>
      </c>
      <c r="G1701" s="8"/>
      <c r="H1701" s="552"/>
      <c r="I1701" s="8"/>
      <c r="J1701" s="547"/>
      <c r="K1701" s="8"/>
      <c r="L1701" s="8"/>
      <c r="M1701" s="8"/>
    </row>
    <row r="1702">
      <c r="A1702" s="8"/>
      <c r="B1702" s="551" t="str">
        <f t="array" ref="B1702">IF(LEN(E1702),INDEX('4-All Devices'!AG:AG, MATCH(E1702, '4-All Devices'!AF:AF, 0)),"")</f>
        <v/>
      </c>
      <c r="C1702" s="549" t="s">
        <v>11186</v>
      </c>
      <c r="D1702" s="549" t="s">
        <v>11191</v>
      </c>
      <c r="E1702" s="8"/>
      <c r="F1702" s="552" t="s">
        <v>11188</v>
      </c>
      <c r="G1702" s="8"/>
      <c r="H1702" s="552"/>
      <c r="I1702" s="8"/>
      <c r="J1702" s="547"/>
      <c r="K1702" s="8"/>
      <c r="L1702" s="8"/>
      <c r="M1702" s="8"/>
    </row>
    <row r="1703">
      <c r="A1703" s="8"/>
      <c r="B1703" s="551" t="str">
        <f t="array" ref="B1703">IF(LEN(E1703),INDEX('4-All Devices'!AG:AG, MATCH(E1703, '4-All Devices'!AF:AF, 0)),"")</f>
        <v/>
      </c>
      <c r="C1703" s="549" t="s">
        <v>11186</v>
      </c>
      <c r="D1703" s="549" t="s">
        <v>11191</v>
      </c>
      <c r="E1703" s="8"/>
      <c r="F1703" s="552" t="s">
        <v>11188</v>
      </c>
      <c r="G1703" s="8"/>
      <c r="H1703" s="552"/>
      <c r="I1703" s="8"/>
      <c r="J1703" s="547"/>
      <c r="K1703" s="8"/>
      <c r="L1703" s="8"/>
      <c r="M1703" s="8"/>
    </row>
    <row r="1704">
      <c r="A1704" s="8"/>
      <c r="B1704" s="551" t="str">
        <f t="array" ref="B1704">IF(LEN(E1704),INDEX('4-All Devices'!AG:AG, MATCH(E1704, '4-All Devices'!AF:AF, 0)),"")</f>
        <v/>
      </c>
      <c r="C1704" s="549" t="s">
        <v>11186</v>
      </c>
      <c r="D1704" s="549" t="s">
        <v>11191</v>
      </c>
      <c r="E1704" s="8"/>
      <c r="F1704" s="552" t="s">
        <v>11188</v>
      </c>
      <c r="G1704" s="8"/>
      <c r="H1704" s="552"/>
      <c r="I1704" s="8"/>
      <c r="J1704" s="547"/>
      <c r="K1704" s="8"/>
      <c r="L1704" s="8"/>
      <c r="M1704" s="8"/>
    </row>
    <row r="1705">
      <c r="A1705" s="8"/>
      <c r="B1705" s="551" t="str">
        <f t="array" ref="B1705">IF(LEN(E1705),INDEX('4-All Devices'!AG:AG, MATCH(E1705, '4-All Devices'!AF:AF, 0)),"")</f>
        <v/>
      </c>
      <c r="C1705" s="549" t="s">
        <v>11186</v>
      </c>
      <c r="D1705" s="549" t="s">
        <v>11191</v>
      </c>
      <c r="E1705" s="8"/>
      <c r="F1705" s="552" t="s">
        <v>11188</v>
      </c>
      <c r="G1705" s="8"/>
      <c r="H1705" s="552"/>
      <c r="I1705" s="8"/>
      <c r="J1705" s="547"/>
      <c r="K1705" s="8"/>
      <c r="L1705" s="8"/>
      <c r="M1705" s="8"/>
    </row>
    <row r="1706">
      <c r="A1706" s="8"/>
      <c r="B1706" s="551" t="str">
        <f t="array" ref="B1706">IF(LEN(E1706),INDEX('4-All Devices'!AG:AG, MATCH(E1706, '4-All Devices'!AF:AF, 0)),"")</f>
        <v/>
      </c>
      <c r="C1706" s="549" t="s">
        <v>11186</v>
      </c>
      <c r="D1706" s="549" t="s">
        <v>11191</v>
      </c>
      <c r="E1706" s="8"/>
      <c r="F1706" s="552" t="s">
        <v>11188</v>
      </c>
      <c r="G1706" s="8"/>
      <c r="H1706" s="552"/>
      <c r="I1706" s="8"/>
      <c r="J1706" s="547"/>
      <c r="K1706" s="8"/>
      <c r="L1706" s="8"/>
      <c r="M1706" s="8"/>
    </row>
    <row r="1707">
      <c r="A1707" s="8"/>
      <c r="B1707" s="551" t="str">
        <f t="array" ref="B1707">IF(LEN(E1707),INDEX('4-All Devices'!AG:AG, MATCH(E1707, '4-All Devices'!AF:AF, 0)),"")</f>
        <v/>
      </c>
      <c r="C1707" s="549" t="s">
        <v>11186</v>
      </c>
      <c r="D1707" s="549" t="s">
        <v>11191</v>
      </c>
      <c r="E1707" s="8"/>
      <c r="F1707" s="552" t="s">
        <v>11188</v>
      </c>
      <c r="G1707" s="8"/>
      <c r="H1707" s="552"/>
      <c r="I1707" s="8"/>
      <c r="J1707" s="547"/>
      <c r="K1707" s="8"/>
      <c r="L1707" s="8"/>
      <c r="M1707" s="8"/>
    </row>
    <row r="1708">
      <c r="A1708" s="8"/>
      <c r="B1708" s="551" t="str">
        <f t="array" ref="B1708">IF(LEN(E1708),INDEX('4-All Devices'!AG:AG, MATCH(E1708, '4-All Devices'!AF:AF, 0)),"")</f>
        <v/>
      </c>
      <c r="C1708" s="549" t="s">
        <v>11186</v>
      </c>
      <c r="D1708" s="549" t="s">
        <v>11191</v>
      </c>
      <c r="E1708" s="8"/>
      <c r="F1708" s="552" t="s">
        <v>11188</v>
      </c>
      <c r="G1708" s="8"/>
      <c r="H1708" s="552"/>
      <c r="I1708" s="8"/>
      <c r="J1708" s="547"/>
      <c r="K1708" s="8"/>
      <c r="L1708" s="8"/>
      <c r="M1708" s="8"/>
    </row>
    <row r="1709">
      <c r="A1709" s="8"/>
      <c r="B1709" s="551" t="str">
        <f t="array" ref="B1709">IF(LEN(E1709),INDEX('4-All Devices'!AG:AG, MATCH(E1709, '4-All Devices'!AF:AF, 0)),"")</f>
        <v/>
      </c>
      <c r="C1709" s="549" t="s">
        <v>11186</v>
      </c>
      <c r="D1709" s="549" t="s">
        <v>11191</v>
      </c>
      <c r="E1709" s="8"/>
      <c r="F1709" s="552" t="s">
        <v>11188</v>
      </c>
      <c r="G1709" s="8"/>
      <c r="H1709" s="552"/>
      <c r="I1709" s="8"/>
      <c r="J1709" s="547"/>
      <c r="K1709" s="8"/>
      <c r="L1709" s="8"/>
      <c r="M1709" s="8"/>
    </row>
    <row r="1710">
      <c r="A1710" s="8"/>
      <c r="B1710" s="551" t="str">
        <f t="array" ref="B1710">IF(LEN(E1710),INDEX('4-All Devices'!AG:AG, MATCH(E1710, '4-All Devices'!AF:AF, 0)),"")</f>
        <v/>
      </c>
      <c r="C1710" s="549" t="s">
        <v>11186</v>
      </c>
      <c r="D1710" s="549" t="s">
        <v>11191</v>
      </c>
      <c r="E1710" s="8"/>
      <c r="F1710" s="552" t="s">
        <v>11188</v>
      </c>
      <c r="G1710" s="8"/>
      <c r="H1710" s="552"/>
      <c r="I1710" s="8"/>
      <c r="J1710" s="547"/>
      <c r="K1710" s="8"/>
      <c r="L1710" s="8"/>
      <c r="M1710" s="8"/>
    </row>
    <row r="1711">
      <c r="A1711" s="8"/>
      <c r="B1711" s="551" t="str">
        <f t="array" ref="B1711">IF(LEN(E1711),INDEX('4-All Devices'!AG:AG, MATCH(E1711, '4-All Devices'!AF:AF, 0)),"")</f>
        <v/>
      </c>
      <c r="C1711" s="549" t="s">
        <v>11186</v>
      </c>
      <c r="D1711" s="549" t="s">
        <v>11191</v>
      </c>
      <c r="E1711" s="8"/>
      <c r="F1711" s="552" t="s">
        <v>11188</v>
      </c>
      <c r="G1711" s="8"/>
      <c r="H1711" s="552"/>
      <c r="I1711" s="8"/>
      <c r="J1711" s="547"/>
      <c r="K1711" s="8"/>
      <c r="L1711" s="8"/>
      <c r="M1711" s="8"/>
    </row>
    <row r="1712">
      <c r="A1712" s="8"/>
      <c r="B1712" s="551" t="str">
        <f t="array" ref="B1712">IF(LEN(E1712),INDEX('4-All Devices'!AG:AG, MATCH(E1712, '4-All Devices'!AF:AF, 0)),"")</f>
        <v/>
      </c>
      <c r="C1712" s="549" t="s">
        <v>11186</v>
      </c>
      <c r="D1712" s="549" t="s">
        <v>11191</v>
      </c>
      <c r="E1712" s="8"/>
      <c r="F1712" s="552" t="s">
        <v>11188</v>
      </c>
      <c r="G1712" s="8"/>
      <c r="H1712" s="552"/>
      <c r="I1712" s="8"/>
      <c r="J1712" s="547"/>
      <c r="K1712" s="8"/>
      <c r="L1712" s="8"/>
      <c r="M1712" s="8"/>
    </row>
    <row r="1713">
      <c r="A1713" s="8"/>
      <c r="B1713" s="551" t="str">
        <f t="array" ref="B1713">IF(LEN(E1713),INDEX('4-All Devices'!AG:AG, MATCH(E1713, '4-All Devices'!AF:AF, 0)),"")</f>
        <v/>
      </c>
      <c r="C1713" s="549" t="s">
        <v>11186</v>
      </c>
      <c r="D1713" s="549" t="s">
        <v>11191</v>
      </c>
      <c r="E1713" s="8"/>
      <c r="F1713" s="552" t="s">
        <v>11188</v>
      </c>
      <c r="G1713" s="8"/>
      <c r="H1713" s="552"/>
      <c r="I1713" s="8"/>
      <c r="J1713" s="547"/>
      <c r="K1713" s="8"/>
      <c r="L1713" s="8"/>
      <c r="M1713" s="8"/>
    </row>
    <row r="1714">
      <c r="A1714" s="8"/>
      <c r="B1714" s="551" t="str">
        <f t="array" ref="B1714">IF(LEN(E1714),INDEX('4-All Devices'!AG:AG, MATCH(E1714, '4-All Devices'!AF:AF, 0)),"")</f>
        <v/>
      </c>
      <c r="C1714" s="549" t="s">
        <v>11186</v>
      </c>
      <c r="D1714" s="549" t="s">
        <v>11192</v>
      </c>
      <c r="E1714" s="8"/>
      <c r="F1714" s="552" t="s">
        <v>11188</v>
      </c>
      <c r="G1714" s="8"/>
      <c r="H1714" s="552"/>
      <c r="I1714" s="8"/>
      <c r="J1714" s="547"/>
      <c r="K1714" s="8"/>
      <c r="L1714" s="8"/>
      <c r="M1714" s="8"/>
    </row>
    <row r="1715">
      <c r="A1715" s="8"/>
      <c r="B1715" s="551" t="str">
        <f t="array" ref="B1715">IF(LEN(E1715),INDEX('4-All Devices'!AG:AG, MATCH(E1715, '4-All Devices'!AF:AF, 0)),"")</f>
        <v/>
      </c>
      <c r="C1715" s="549" t="s">
        <v>11186</v>
      </c>
      <c r="D1715" s="549" t="s">
        <v>11193</v>
      </c>
      <c r="E1715" s="8"/>
      <c r="F1715" s="552" t="s">
        <v>11188</v>
      </c>
      <c r="G1715" s="8"/>
      <c r="H1715" s="552"/>
      <c r="I1715" s="8"/>
      <c r="J1715" s="547"/>
      <c r="K1715" s="8"/>
      <c r="L1715" s="8"/>
      <c r="M1715" s="8"/>
    </row>
    <row r="1716">
      <c r="A1716" s="8"/>
      <c r="B1716" s="551" t="str">
        <f t="array" ref="B1716">IF(LEN(E1716),INDEX('4-All Devices'!AG:AG, MATCH(E1716, '4-All Devices'!AF:AF, 0)),"")</f>
        <v/>
      </c>
      <c r="C1716" s="549" t="s">
        <v>11186</v>
      </c>
      <c r="D1716" s="549" t="s">
        <v>11192</v>
      </c>
      <c r="E1716" s="8"/>
      <c r="F1716" s="552" t="s">
        <v>11188</v>
      </c>
      <c r="G1716" s="8"/>
      <c r="H1716" s="552"/>
      <c r="I1716" s="8"/>
      <c r="J1716" s="547"/>
      <c r="K1716" s="8"/>
      <c r="L1716" s="8"/>
      <c r="M1716" s="8"/>
    </row>
    <row r="1717">
      <c r="A1717" s="8"/>
      <c r="B1717" s="551" t="str">
        <f t="array" ref="B1717">IF(LEN(E1717),INDEX('4-All Devices'!AG:AG, MATCH(E1717, '4-All Devices'!AF:AF, 0)),"")</f>
        <v/>
      </c>
      <c r="C1717" s="549" t="s">
        <v>11186</v>
      </c>
      <c r="D1717" s="549" t="s">
        <v>11192</v>
      </c>
      <c r="E1717" s="8"/>
      <c r="F1717" s="552" t="s">
        <v>11188</v>
      </c>
      <c r="G1717" s="8"/>
      <c r="H1717" s="552"/>
      <c r="I1717" s="8"/>
      <c r="J1717" s="547"/>
      <c r="K1717" s="8"/>
      <c r="L1717" s="8"/>
      <c r="M1717" s="8"/>
    </row>
    <row r="1718">
      <c r="A1718" s="8"/>
      <c r="B1718" s="551" t="str">
        <f t="array" ref="B1718">IF(LEN(E1718),INDEX('4-All Devices'!AG:AG, MATCH(E1718, '4-All Devices'!AF:AF, 0)),"")</f>
        <v/>
      </c>
      <c r="C1718" s="549" t="s">
        <v>11186</v>
      </c>
      <c r="D1718" s="549" t="s">
        <v>11192</v>
      </c>
      <c r="E1718" s="8"/>
      <c r="F1718" s="552" t="s">
        <v>11188</v>
      </c>
      <c r="G1718" s="8"/>
      <c r="H1718" s="8"/>
      <c r="I1718" s="8"/>
      <c r="J1718" s="547"/>
      <c r="K1718" s="8"/>
      <c r="L1718" s="8"/>
      <c r="M1718" s="8"/>
    </row>
    <row r="1719">
      <c r="A1719" s="8"/>
      <c r="B1719" s="551" t="str">
        <f t="array" ref="B1719">IF(LEN(E1719),INDEX('4-All Devices'!AG:AG, MATCH(E1719, '4-All Devices'!AF:AF, 0)),"")</f>
        <v/>
      </c>
      <c r="C1719" s="549" t="s">
        <v>11186</v>
      </c>
      <c r="D1719" s="549" t="s">
        <v>11193</v>
      </c>
      <c r="E1719" s="8"/>
      <c r="F1719" s="552" t="s">
        <v>11188</v>
      </c>
      <c r="G1719" s="8"/>
      <c r="H1719" s="8"/>
      <c r="I1719" s="8"/>
      <c r="J1719" s="547"/>
      <c r="K1719" s="8"/>
      <c r="L1719" s="8"/>
      <c r="M1719" s="8"/>
    </row>
    <row r="1720">
      <c r="A1720" s="8"/>
      <c r="B1720" s="551" t="str">
        <f t="array" ref="B1720">IF(LEN(E1720),INDEX('4-All Devices'!AG:AG, MATCH(E1720, '4-All Devices'!AF:AF, 0)),"")</f>
        <v/>
      </c>
      <c r="C1720" s="549" t="s">
        <v>11186</v>
      </c>
      <c r="D1720" s="549" t="s">
        <v>11192</v>
      </c>
      <c r="E1720" s="8"/>
      <c r="F1720" s="552" t="s">
        <v>11188</v>
      </c>
      <c r="G1720" s="8"/>
      <c r="H1720" s="8"/>
      <c r="I1720" s="8"/>
      <c r="J1720" s="547"/>
      <c r="K1720" s="8"/>
      <c r="L1720" s="8"/>
      <c r="M1720" s="8"/>
    </row>
    <row r="1721">
      <c r="A1721" s="8"/>
      <c r="B1721" s="551" t="str">
        <f t="array" ref="B1721">IF(LEN(E1721),INDEX('4-All Devices'!AG:AG, MATCH(E1721, '4-All Devices'!AF:AF, 0)),"")</f>
        <v/>
      </c>
      <c r="C1721" s="549" t="s">
        <v>11186</v>
      </c>
      <c r="D1721" s="549" t="s">
        <v>11192</v>
      </c>
      <c r="E1721" s="8"/>
      <c r="F1721" s="552" t="s">
        <v>11188</v>
      </c>
      <c r="G1721" s="8"/>
      <c r="H1721" s="8"/>
      <c r="I1721" s="8"/>
      <c r="J1721" s="547"/>
      <c r="K1721" s="8"/>
      <c r="L1721" s="8"/>
      <c r="M1721" s="8"/>
    </row>
    <row r="1722">
      <c r="A1722" s="8"/>
      <c r="B1722" s="551" t="str">
        <f t="array" ref="B1722">IF(LEN(E1722),INDEX('4-All Devices'!AG:AG, MATCH(E1722, '4-All Devices'!AF:AF, 0)),"")</f>
        <v/>
      </c>
      <c r="C1722" s="549" t="s">
        <v>11186</v>
      </c>
      <c r="D1722" s="549" t="s">
        <v>11193</v>
      </c>
      <c r="E1722" s="8"/>
      <c r="F1722" s="552" t="s">
        <v>11188</v>
      </c>
      <c r="G1722" s="8"/>
      <c r="H1722" s="8"/>
      <c r="I1722" s="8"/>
      <c r="J1722" s="547"/>
      <c r="K1722" s="8"/>
      <c r="L1722" s="8"/>
      <c r="M1722" s="8"/>
    </row>
    <row r="1723">
      <c r="A1723" s="8"/>
      <c r="B1723" s="551" t="str">
        <f t="array" ref="B1723">IF(LEN(E1723),INDEX('4-All Devices'!AG:AG, MATCH(E1723, '4-All Devices'!AF:AF, 0)),"")</f>
        <v/>
      </c>
      <c r="C1723" s="549" t="s">
        <v>11186</v>
      </c>
      <c r="D1723" s="549" t="s">
        <v>11193</v>
      </c>
      <c r="E1723" s="8"/>
      <c r="F1723" s="552" t="s">
        <v>11188</v>
      </c>
      <c r="G1723" s="8"/>
      <c r="H1723" s="8"/>
      <c r="I1723" s="8"/>
      <c r="J1723" s="547"/>
      <c r="K1723" s="8"/>
      <c r="L1723" s="8"/>
      <c r="M1723" s="8"/>
    </row>
    <row r="1724">
      <c r="A1724" s="8"/>
      <c r="B1724" s="551" t="str">
        <f t="array" ref="B1724">IF(LEN(E1724),INDEX('4-All Devices'!AG:AG, MATCH(E1724, '4-All Devices'!AF:AF, 0)),"")</f>
        <v/>
      </c>
      <c r="C1724" s="549" t="s">
        <v>11186</v>
      </c>
      <c r="D1724" s="549" t="s">
        <v>11192</v>
      </c>
      <c r="E1724" s="8"/>
      <c r="F1724" s="552" t="s">
        <v>11188</v>
      </c>
      <c r="G1724" s="8"/>
      <c r="H1724" s="8"/>
      <c r="I1724" s="8"/>
      <c r="J1724" s="547"/>
      <c r="K1724" s="8"/>
      <c r="L1724" s="8"/>
      <c r="M1724" s="8"/>
    </row>
    <row r="1725">
      <c r="A1725" s="8"/>
      <c r="B1725" s="551" t="str">
        <f t="array" ref="B1725">IF(LEN(E1725),INDEX('4-All Devices'!AG:AG, MATCH(E1725, '4-All Devices'!AF:AF, 0)),"")</f>
        <v/>
      </c>
      <c r="C1725" s="549" t="s">
        <v>11186</v>
      </c>
      <c r="D1725" s="549" t="s">
        <v>11193</v>
      </c>
      <c r="E1725" s="8"/>
      <c r="F1725" s="552" t="s">
        <v>11188</v>
      </c>
      <c r="G1725" s="8"/>
      <c r="H1725" s="8"/>
      <c r="I1725" s="8"/>
      <c r="J1725" s="547"/>
      <c r="K1725" s="8"/>
      <c r="L1725" s="8"/>
      <c r="M1725" s="8"/>
    </row>
    <row r="1726">
      <c r="A1726" s="8"/>
      <c r="B1726" s="551" t="str">
        <f t="array" ref="B1726">IF(LEN(E1726),INDEX('4-All Devices'!AG:AG, MATCH(E1726, '4-All Devices'!AF:AF, 0)),"")</f>
        <v/>
      </c>
      <c r="C1726" s="549" t="s">
        <v>11186</v>
      </c>
      <c r="D1726" s="549" t="s">
        <v>11192</v>
      </c>
      <c r="E1726" s="8"/>
      <c r="F1726" s="552" t="s">
        <v>11188</v>
      </c>
      <c r="G1726" s="8"/>
      <c r="H1726" s="8"/>
      <c r="I1726" s="8"/>
      <c r="J1726" s="547"/>
      <c r="K1726" s="8"/>
      <c r="L1726" s="8"/>
      <c r="M1726" s="8"/>
    </row>
    <row r="1727">
      <c r="A1727" s="8"/>
      <c r="B1727" s="551" t="str">
        <f t="array" ref="B1727">IF(LEN(E1727),INDEX('4-All Devices'!AG:AG, MATCH(E1727, '4-All Devices'!AF:AF, 0)),"")</f>
        <v/>
      </c>
      <c r="C1727" s="549" t="s">
        <v>11186</v>
      </c>
      <c r="D1727" s="549" t="s">
        <v>11192</v>
      </c>
      <c r="E1727" s="8"/>
      <c r="F1727" s="552" t="s">
        <v>11188</v>
      </c>
      <c r="G1727" s="8"/>
      <c r="H1727" s="8"/>
      <c r="I1727" s="8"/>
      <c r="J1727" s="547"/>
      <c r="K1727" s="8"/>
      <c r="L1727" s="8"/>
      <c r="M1727" s="8"/>
    </row>
    <row r="1728">
      <c r="A1728" s="8"/>
      <c r="B1728" s="551" t="str">
        <f t="array" ref="B1728">IF(LEN(E1728),INDEX('4-All Devices'!AG:AG, MATCH(E1728, '4-All Devices'!AF:AF, 0)),"")</f>
        <v/>
      </c>
      <c r="C1728" s="549" t="s">
        <v>11186</v>
      </c>
      <c r="D1728" s="549" t="s">
        <v>11192</v>
      </c>
      <c r="E1728" s="8"/>
      <c r="F1728" s="552" t="s">
        <v>11188</v>
      </c>
      <c r="G1728" s="8"/>
      <c r="H1728" s="8"/>
      <c r="I1728" s="8"/>
      <c r="J1728" s="547"/>
      <c r="K1728" s="8"/>
      <c r="L1728" s="8"/>
      <c r="M1728" s="8"/>
    </row>
    <row r="1729">
      <c r="A1729" s="8"/>
      <c r="B1729" s="551" t="str">
        <f t="array" ref="B1729">IF(LEN(E1729),INDEX('4-All Devices'!AG:AG, MATCH(E1729, '4-All Devices'!AF:AF, 0)),"")</f>
        <v/>
      </c>
      <c r="C1729" s="549" t="s">
        <v>11186</v>
      </c>
      <c r="D1729" s="549" t="s">
        <v>11193</v>
      </c>
      <c r="E1729" s="8"/>
      <c r="F1729" s="552" t="s">
        <v>11188</v>
      </c>
      <c r="G1729" s="8"/>
      <c r="H1729" s="8"/>
      <c r="I1729" s="8"/>
      <c r="J1729" s="547"/>
      <c r="K1729" s="8"/>
      <c r="L1729" s="8"/>
      <c r="M1729" s="8"/>
    </row>
    <row r="1730">
      <c r="A1730" s="8"/>
      <c r="B1730" s="551" t="str">
        <f t="array" ref="B1730">IF(LEN(E1730),INDEX('4-All Devices'!AG:AG, MATCH(E1730, '4-All Devices'!AF:AF, 0)),"")</f>
        <v/>
      </c>
      <c r="C1730" s="549" t="s">
        <v>11186</v>
      </c>
      <c r="D1730" s="549" t="s">
        <v>11192</v>
      </c>
      <c r="E1730" s="8"/>
      <c r="F1730" s="552" t="s">
        <v>11188</v>
      </c>
      <c r="G1730" s="8"/>
      <c r="H1730" s="8"/>
      <c r="I1730" s="8"/>
      <c r="J1730" s="547"/>
      <c r="K1730" s="8"/>
      <c r="L1730" s="8"/>
      <c r="M1730" s="8"/>
    </row>
    <row r="1731">
      <c r="A1731" s="8"/>
      <c r="B1731" s="551" t="str">
        <f t="array" ref="B1731">IF(LEN(E1731),INDEX('4-All Devices'!AG:AG, MATCH(E1731, '4-All Devices'!AF:AF, 0)),"")</f>
        <v/>
      </c>
      <c r="C1731" s="549" t="s">
        <v>11186</v>
      </c>
      <c r="D1731" s="549" t="s">
        <v>11193</v>
      </c>
      <c r="E1731" s="8"/>
      <c r="F1731" s="552" t="s">
        <v>11188</v>
      </c>
      <c r="G1731" s="8"/>
      <c r="H1731" s="8"/>
      <c r="I1731" s="8"/>
      <c r="J1731" s="547"/>
      <c r="K1731" s="8"/>
      <c r="L1731" s="8"/>
      <c r="M1731" s="8"/>
    </row>
    <row r="1732">
      <c r="A1732" s="8"/>
      <c r="B1732" s="551" t="str">
        <f t="array" ref="B1732">IF(LEN(E1732),INDEX('4-All Devices'!AG:AG, MATCH(E1732, '4-All Devices'!AF:AF, 0)),"")</f>
        <v/>
      </c>
      <c r="C1732" s="549" t="s">
        <v>11186</v>
      </c>
      <c r="D1732" s="549" t="s">
        <v>11191</v>
      </c>
      <c r="E1732" s="8"/>
      <c r="F1732" s="552" t="s">
        <v>11188</v>
      </c>
      <c r="G1732" s="8"/>
      <c r="H1732" s="8"/>
      <c r="I1732" s="8"/>
      <c r="J1732" s="547"/>
      <c r="K1732" s="8"/>
      <c r="L1732" s="8"/>
      <c r="M1732" s="8"/>
    </row>
    <row r="1733">
      <c r="A1733" s="8"/>
      <c r="B1733" s="551" t="str">
        <f t="array" ref="B1733">IF(LEN(E1733),INDEX('4-All Devices'!AG:AG, MATCH(E1733, '4-All Devices'!AF:AF, 0)),"")</f>
        <v/>
      </c>
      <c r="C1733" s="549" t="s">
        <v>11186</v>
      </c>
      <c r="D1733" s="549" t="s">
        <v>11191</v>
      </c>
      <c r="E1733" s="8"/>
      <c r="F1733" s="552" t="s">
        <v>11188</v>
      </c>
      <c r="G1733" s="8"/>
      <c r="H1733" s="8"/>
      <c r="I1733" s="8"/>
      <c r="J1733" s="547"/>
      <c r="K1733" s="8"/>
      <c r="L1733" s="8"/>
      <c r="M1733" s="8"/>
    </row>
    <row r="1734">
      <c r="A1734" s="8"/>
      <c r="B1734" s="551" t="str">
        <f t="array" ref="B1734">IF(LEN(E1734),INDEX('4-All Devices'!AG:AG, MATCH(E1734, '4-All Devices'!AF:AF, 0)),"")</f>
        <v/>
      </c>
      <c r="C1734" s="549" t="s">
        <v>11186</v>
      </c>
      <c r="D1734" s="549" t="s">
        <v>11191</v>
      </c>
      <c r="E1734" s="8"/>
      <c r="F1734" s="552" t="s">
        <v>11188</v>
      </c>
      <c r="G1734" s="8"/>
      <c r="H1734" s="8"/>
      <c r="I1734" s="8"/>
      <c r="J1734" s="547"/>
      <c r="K1734" s="8"/>
      <c r="L1734" s="8"/>
      <c r="M1734" s="8"/>
    </row>
    <row r="1735">
      <c r="A1735" s="8"/>
      <c r="B1735" s="551" t="str">
        <f t="array" ref="B1735">IF(LEN(E1735),INDEX('4-All Devices'!AG:AG, MATCH(E1735, '4-All Devices'!AF:AF, 0)),"")</f>
        <v/>
      </c>
      <c r="C1735" s="549" t="s">
        <v>11186</v>
      </c>
      <c r="D1735" s="549" t="s">
        <v>11191</v>
      </c>
      <c r="E1735" s="8"/>
      <c r="F1735" s="552" t="s">
        <v>11188</v>
      </c>
      <c r="G1735" s="8"/>
      <c r="H1735" s="8"/>
      <c r="I1735" s="8"/>
      <c r="J1735" s="547"/>
      <c r="K1735" s="8"/>
      <c r="L1735" s="8"/>
      <c r="M1735" s="8"/>
    </row>
    <row r="1736">
      <c r="A1736" s="8"/>
      <c r="B1736" s="551" t="str">
        <f t="array" ref="B1736">IF(LEN(E1736),INDEX('4-All Devices'!AG:AG, MATCH(E1736, '4-All Devices'!AF:AF, 0)),"")</f>
        <v/>
      </c>
      <c r="C1736" s="549" t="s">
        <v>11186</v>
      </c>
      <c r="D1736" s="549" t="s">
        <v>11191</v>
      </c>
      <c r="E1736" s="8"/>
      <c r="F1736" s="552" t="s">
        <v>11188</v>
      </c>
      <c r="G1736" s="8"/>
      <c r="H1736" s="8"/>
      <c r="I1736" s="8"/>
      <c r="J1736" s="547"/>
      <c r="K1736" s="8"/>
      <c r="L1736" s="8"/>
      <c r="M1736" s="8"/>
    </row>
    <row r="1737">
      <c r="A1737" s="8"/>
      <c r="B1737" s="551" t="str">
        <f t="array" ref="B1737">IF(LEN(E1737),INDEX('4-All Devices'!AG:AG, MATCH(E1737, '4-All Devices'!AF:AF, 0)),"")</f>
        <v/>
      </c>
      <c r="C1737" s="549" t="s">
        <v>11186</v>
      </c>
      <c r="D1737" s="549" t="s">
        <v>11191</v>
      </c>
      <c r="E1737" s="8"/>
      <c r="F1737" s="552" t="s">
        <v>11188</v>
      </c>
      <c r="G1737" s="8"/>
      <c r="H1737" s="8"/>
      <c r="I1737" s="8"/>
      <c r="J1737" s="547"/>
      <c r="K1737" s="8"/>
      <c r="L1737" s="8"/>
      <c r="M1737" s="8"/>
    </row>
    <row r="1738">
      <c r="A1738" s="8"/>
      <c r="B1738" s="551" t="str">
        <f t="array" ref="B1738">IF(LEN(E1738),INDEX('4-All Devices'!AG:AG, MATCH(E1738, '4-All Devices'!AF:AF, 0)),"")</f>
        <v/>
      </c>
      <c r="C1738" s="549" t="s">
        <v>11186</v>
      </c>
      <c r="D1738" s="549" t="s">
        <v>11191</v>
      </c>
      <c r="E1738" s="8"/>
      <c r="F1738" s="552" t="s">
        <v>11188</v>
      </c>
      <c r="G1738" s="8"/>
      <c r="H1738" s="8"/>
      <c r="I1738" s="8"/>
      <c r="J1738" s="547"/>
      <c r="K1738" s="8"/>
      <c r="L1738" s="8"/>
      <c r="M1738" s="8"/>
    </row>
    <row r="1739">
      <c r="A1739" s="8"/>
      <c r="B1739" s="551" t="str">
        <f t="array" ref="B1739">IF(LEN(E1739),INDEX('4-All Devices'!AG:AG, MATCH(E1739, '4-All Devices'!AF:AF, 0)),"")</f>
        <v/>
      </c>
      <c r="C1739" s="549" t="s">
        <v>11186</v>
      </c>
      <c r="D1739" s="549" t="s">
        <v>11191</v>
      </c>
      <c r="E1739" s="8"/>
      <c r="F1739" s="552" t="s">
        <v>11188</v>
      </c>
      <c r="G1739" s="8"/>
      <c r="H1739" s="8"/>
      <c r="I1739" s="8"/>
      <c r="J1739" s="547"/>
      <c r="K1739" s="8"/>
      <c r="L1739" s="8"/>
      <c r="M1739" s="8"/>
    </row>
    <row r="1740">
      <c r="A1740" s="8"/>
      <c r="B1740" s="551" t="str">
        <f t="array" ref="B1740">IF(LEN(E1740),INDEX('4-All Devices'!AG:AG, MATCH(E1740, '4-All Devices'!AF:AF, 0)),"")</f>
        <v/>
      </c>
      <c r="C1740" s="549" t="s">
        <v>11186</v>
      </c>
      <c r="D1740" s="549" t="s">
        <v>11191</v>
      </c>
      <c r="E1740" s="8"/>
      <c r="F1740" s="552" t="s">
        <v>11188</v>
      </c>
      <c r="G1740" s="8"/>
      <c r="H1740" s="8"/>
      <c r="I1740" s="8"/>
      <c r="J1740" s="547"/>
      <c r="K1740" s="8"/>
      <c r="L1740" s="8"/>
      <c r="M1740" s="8"/>
    </row>
    <row r="1741">
      <c r="A1741" s="8"/>
      <c r="B1741" s="551" t="str">
        <f t="array" ref="B1741">IF(LEN(E1741),INDEX('4-All Devices'!AG:AG, MATCH(E1741, '4-All Devices'!AF:AF, 0)),"")</f>
        <v/>
      </c>
      <c r="C1741" s="549" t="s">
        <v>11186</v>
      </c>
      <c r="D1741" s="549" t="s">
        <v>11191</v>
      </c>
      <c r="E1741" s="8"/>
      <c r="F1741" s="552" t="s">
        <v>11188</v>
      </c>
      <c r="G1741" s="8"/>
      <c r="H1741" s="8"/>
      <c r="I1741" s="8"/>
      <c r="J1741" s="547"/>
      <c r="K1741" s="8"/>
      <c r="L1741" s="8"/>
      <c r="M1741" s="8"/>
    </row>
    <row r="1742">
      <c r="A1742" s="8"/>
      <c r="B1742" s="551" t="str">
        <f t="array" ref="B1742">IF(LEN(E1742),INDEX('4-All Devices'!AG:AG, MATCH(E1742, '4-All Devices'!AF:AF, 0)),"")</f>
        <v/>
      </c>
      <c r="C1742" s="549" t="s">
        <v>11186</v>
      </c>
      <c r="D1742" s="549" t="s">
        <v>11191</v>
      </c>
      <c r="E1742" s="8"/>
      <c r="F1742" s="552" t="s">
        <v>11188</v>
      </c>
      <c r="G1742" s="8"/>
      <c r="H1742" s="8"/>
      <c r="I1742" s="8"/>
      <c r="J1742" s="547"/>
      <c r="K1742" s="8"/>
      <c r="L1742" s="8"/>
      <c r="M1742" s="8"/>
    </row>
    <row r="1743">
      <c r="A1743" s="8"/>
      <c r="B1743" s="551" t="str">
        <f t="array" ref="B1743">IF(LEN(E1743),INDEX('4-All Devices'!AG:AG, MATCH(E1743, '4-All Devices'!AF:AF, 0)),"")</f>
        <v/>
      </c>
      <c r="C1743" s="549" t="s">
        <v>11186</v>
      </c>
      <c r="D1743" s="549" t="s">
        <v>11191</v>
      </c>
      <c r="E1743" s="8"/>
      <c r="F1743" s="552" t="s">
        <v>11188</v>
      </c>
      <c r="G1743" s="8"/>
      <c r="H1743" s="8"/>
      <c r="I1743" s="8"/>
      <c r="J1743" s="547"/>
      <c r="K1743" s="8"/>
      <c r="L1743" s="8"/>
      <c r="M1743" s="8"/>
    </row>
    <row r="1744">
      <c r="A1744" s="8"/>
      <c r="B1744" s="551" t="str">
        <f t="array" ref="B1744">IF(LEN(E1744),INDEX('4-All Devices'!AG:AG, MATCH(E1744, '4-All Devices'!AF:AF, 0)),"")</f>
        <v/>
      </c>
      <c r="C1744" s="549" t="s">
        <v>11186</v>
      </c>
      <c r="D1744" s="549" t="s">
        <v>11191</v>
      </c>
      <c r="E1744" s="8"/>
      <c r="F1744" s="552" t="s">
        <v>11188</v>
      </c>
      <c r="G1744" s="8"/>
      <c r="H1744" s="8"/>
      <c r="I1744" s="8"/>
      <c r="J1744" s="547"/>
      <c r="K1744" s="8"/>
      <c r="L1744" s="8"/>
      <c r="M1744" s="8"/>
    </row>
    <row r="1745">
      <c r="A1745" s="8"/>
      <c r="B1745" s="551" t="str">
        <f t="array" ref="B1745">IF(LEN(E1745),INDEX('4-All Devices'!AG:AG, MATCH(E1745, '4-All Devices'!AF:AF, 0)),"")</f>
        <v/>
      </c>
      <c r="C1745" s="549" t="s">
        <v>11186</v>
      </c>
      <c r="D1745" s="549" t="s">
        <v>11191</v>
      </c>
      <c r="E1745" s="8"/>
      <c r="F1745" s="552" t="s">
        <v>11188</v>
      </c>
      <c r="G1745" s="8"/>
      <c r="H1745" s="8"/>
      <c r="I1745" s="8"/>
      <c r="J1745" s="547"/>
      <c r="K1745" s="8"/>
      <c r="L1745" s="8"/>
      <c r="M1745" s="8"/>
    </row>
    <row r="1746">
      <c r="A1746" s="8"/>
      <c r="B1746" s="551" t="str">
        <f t="array" ref="B1746">IF(LEN(E1746),INDEX('4-All Devices'!AG:AG, MATCH(E1746, '4-All Devices'!AF:AF, 0)),"")</f>
        <v/>
      </c>
      <c r="C1746" s="549" t="s">
        <v>11186</v>
      </c>
      <c r="D1746" s="549" t="s">
        <v>11191</v>
      </c>
      <c r="E1746" s="8"/>
      <c r="F1746" s="552" t="s">
        <v>11188</v>
      </c>
      <c r="G1746" s="8"/>
      <c r="H1746" s="8"/>
      <c r="I1746" s="8"/>
      <c r="J1746" s="547"/>
      <c r="K1746" s="8"/>
      <c r="L1746" s="8"/>
      <c r="M1746" s="8"/>
    </row>
    <row r="1747">
      <c r="A1747" s="8"/>
      <c r="B1747" s="551" t="str">
        <f t="array" ref="B1747">IF(LEN(E1747),INDEX('4-All Devices'!AG:AG, MATCH(E1747, '4-All Devices'!AF:AF, 0)),"")</f>
        <v/>
      </c>
      <c r="C1747" s="549" t="s">
        <v>11186</v>
      </c>
      <c r="D1747" s="549" t="s">
        <v>11191</v>
      </c>
      <c r="E1747" s="8"/>
      <c r="F1747" s="552" t="s">
        <v>11188</v>
      </c>
      <c r="G1747" s="8"/>
      <c r="H1747" s="8"/>
      <c r="I1747" s="8"/>
      <c r="J1747" s="547"/>
      <c r="K1747" s="8"/>
      <c r="L1747" s="8"/>
      <c r="M1747" s="8"/>
    </row>
    <row r="1748">
      <c r="A1748" s="8"/>
      <c r="B1748" s="551" t="str">
        <f t="array" ref="B1748">IF(LEN(E1748),INDEX('4-All Devices'!AG:AG, MATCH(E1748, '4-All Devices'!AF:AF, 0)),"")</f>
        <v/>
      </c>
      <c r="C1748" s="549" t="s">
        <v>11186</v>
      </c>
      <c r="D1748" s="549" t="s">
        <v>11191</v>
      </c>
      <c r="E1748" s="8"/>
      <c r="F1748" s="552" t="s">
        <v>11188</v>
      </c>
      <c r="G1748" s="8"/>
      <c r="H1748" s="8"/>
      <c r="I1748" s="8"/>
      <c r="J1748" s="547"/>
      <c r="K1748" s="8"/>
      <c r="L1748" s="8"/>
      <c r="M1748" s="8"/>
    </row>
    <row r="1749">
      <c r="A1749" s="8"/>
      <c r="B1749" s="551" t="str">
        <f t="array" ref="B1749">IF(LEN(E1749),INDEX('4-All Devices'!AG:AG, MATCH(E1749, '4-All Devices'!AF:AF, 0)),"")</f>
        <v/>
      </c>
      <c r="C1749" s="549" t="s">
        <v>11186</v>
      </c>
      <c r="D1749" s="549" t="s">
        <v>11191</v>
      </c>
      <c r="E1749" s="8"/>
      <c r="F1749" s="552" t="s">
        <v>11188</v>
      </c>
      <c r="G1749" s="8"/>
      <c r="H1749" s="8"/>
      <c r="I1749" s="8"/>
      <c r="J1749" s="547"/>
      <c r="K1749" s="8"/>
      <c r="L1749" s="8"/>
      <c r="M1749" s="8"/>
    </row>
    <row r="1750">
      <c r="A1750" s="8"/>
      <c r="B1750" s="551" t="str">
        <f t="array" ref="B1750">IF(LEN(E1750),INDEX('4-All Devices'!AG:AG, MATCH(E1750, '4-All Devices'!AF:AF, 0)),"")</f>
        <v/>
      </c>
      <c r="C1750" s="549" t="s">
        <v>11186</v>
      </c>
      <c r="D1750" s="549" t="s">
        <v>11191</v>
      </c>
      <c r="E1750" s="8"/>
      <c r="F1750" s="552" t="s">
        <v>11188</v>
      </c>
      <c r="G1750" s="8"/>
      <c r="H1750" s="8"/>
      <c r="I1750" s="8"/>
      <c r="J1750" s="547"/>
      <c r="K1750" s="8"/>
      <c r="L1750" s="8"/>
      <c r="M1750" s="8"/>
    </row>
    <row r="1751">
      <c r="A1751" s="8"/>
      <c r="B1751" s="551" t="str">
        <f t="array" ref="B1751">IF(LEN(E1751),INDEX('4-All Devices'!AG:AG, MATCH(E1751, '4-All Devices'!AF:AF, 0)),"")</f>
        <v/>
      </c>
      <c r="C1751" s="549" t="s">
        <v>11186</v>
      </c>
      <c r="D1751" s="549" t="s">
        <v>11191</v>
      </c>
      <c r="E1751" s="8"/>
      <c r="F1751" s="552" t="s">
        <v>11188</v>
      </c>
      <c r="G1751" s="8"/>
      <c r="H1751" s="8"/>
      <c r="I1751" s="8"/>
      <c r="J1751" s="547"/>
      <c r="K1751" s="8"/>
      <c r="L1751" s="8"/>
      <c r="M1751" s="8"/>
    </row>
    <row r="1752">
      <c r="A1752" s="8"/>
      <c r="B1752" s="551" t="str">
        <f t="array" ref="B1752">IF(LEN(E1752),INDEX('4-All Devices'!AG:AG, MATCH(E1752, '4-All Devices'!AF:AF, 0)),"")</f>
        <v/>
      </c>
      <c r="C1752" s="549" t="s">
        <v>11186</v>
      </c>
      <c r="D1752" s="549" t="s">
        <v>11191</v>
      </c>
      <c r="E1752" s="8"/>
      <c r="F1752" s="552" t="s">
        <v>11188</v>
      </c>
      <c r="G1752" s="8"/>
      <c r="H1752" s="8"/>
      <c r="I1752" s="8"/>
      <c r="J1752" s="547"/>
      <c r="K1752" s="8"/>
      <c r="L1752" s="8"/>
      <c r="M1752" s="8"/>
    </row>
    <row r="1753">
      <c r="A1753" s="8"/>
      <c r="B1753" s="551" t="str">
        <f t="array" ref="B1753">IF(LEN(E1753),INDEX('4-All Devices'!AG:AG, MATCH(E1753, '4-All Devices'!AF:AF, 0)),"")</f>
        <v/>
      </c>
      <c r="C1753" s="549" t="s">
        <v>11186</v>
      </c>
      <c r="D1753" s="549" t="s">
        <v>11191</v>
      </c>
      <c r="E1753" s="8"/>
      <c r="F1753" s="552" t="s">
        <v>11188</v>
      </c>
      <c r="G1753" s="8"/>
      <c r="H1753" s="8"/>
      <c r="I1753" s="8"/>
      <c r="J1753" s="547"/>
      <c r="K1753" s="8"/>
      <c r="L1753" s="8"/>
      <c r="M1753" s="8"/>
    </row>
    <row r="1754">
      <c r="A1754" s="8"/>
      <c r="B1754" s="551" t="str">
        <f t="array" ref="B1754">IF(LEN(E1754),INDEX('4-All Devices'!AG:AG, MATCH(E1754, '4-All Devices'!AF:AF, 0)),"")</f>
        <v/>
      </c>
      <c r="C1754" s="549" t="s">
        <v>11186</v>
      </c>
      <c r="D1754" s="549" t="s">
        <v>11191</v>
      </c>
      <c r="E1754" s="8"/>
      <c r="F1754" s="552" t="s">
        <v>11188</v>
      </c>
      <c r="G1754" s="8"/>
      <c r="H1754" s="8"/>
      <c r="I1754" s="8"/>
      <c r="J1754" s="547"/>
      <c r="K1754" s="8"/>
      <c r="L1754" s="8"/>
      <c r="M1754" s="8"/>
    </row>
    <row r="1755">
      <c r="A1755" s="8"/>
      <c r="B1755" s="551" t="str">
        <f t="array" ref="B1755">IF(LEN(E1755),INDEX('4-All Devices'!AG:AG, MATCH(E1755, '4-All Devices'!AF:AF, 0)),"")</f>
        <v/>
      </c>
      <c r="C1755" s="549" t="s">
        <v>11186</v>
      </c>
      <c r="D1755" s="549" t="s">
        <v>11191</v>
      </c>
      <c r="E1755" s="8"/>
      <c r="F1755" s="552" t="s">
        <v>11188</v>
      </c>
      <c r="G1755" s="8"/>
      <c r="H1755" s="8"/>
      <c r="I1755" s="8"/>
      <c r="J1755" s="547"/>
      <c r="K1755" s="8"/>
      <c r="L1755" s="8"/>
      <c r="M1755" s="8"/>
    </row>
    <row r="1756">
      <c r="A1756" s="8"/>
      <c r="B1756" s="551" t="str">
        <f t="array" ref="B1756">IF(LEN(E1756),INDEX('4-All Devices'!AG:AG, MATCH(E1756, '4-All Devices'!AF:AF, 0)),"")</f>
        <v/>
      </c>
      <c r="C1756" s="549" t="s">
        <v>11186</v>
      </c>
      <c r="D1756" s="549" t="s">
        <v>11191</v>
      </c>
      <c r="E1756" s="8"/>
      <c r="F1756" s="552" t="s">
        <v>11188</v>
      </c>
      <c r="G1756" s="8"/>
      <c r="H1756" s="8"/>
      <c r="I1756" s="8"/>
      <c r="J1756" s="547"/>
      <c r="K1756" s="8"/>
      <c r="L1756" s="8"/>
      <c r="M1756" s="8"/>
    </row>
    <row r="1757">
      <c r="A1757" s="8"/>
      <c r="B1757" s="551" t="str">
        <f t="array" ref="B1757">IF(LEN(E1757),INDEX('4-All Devices'!AG:AG, MATCH(E1757, '4-All Devices'!AF:AF, 0)),"")</f>
        <v/>
      </c>
      <c r="C1757" s="549" t="s">
        <v>11186</v>
      </c>
      <c r="D1757" s="549" t="s">
        <v>11191</v>
      </c>
      <c r="E1757" s="8"/>
      <c r="F1757" s="552" t="s">
        <v>11188</v>
      </c>
      <c r="G1757" s="8"/>
      <c r="H1757" s="8"/>
      <c r="I1757" s="8"/>
      <c r="J1757" s="547"/>
      <c r="K1757" s="8"/>
      <c r="L1757" s="8"/>
      <c r="M1757" s="8"/>
    </row>
    <row r="1758">
      <c r="A1758" s="8"/>
      <c r="B1758" s="551" t="str">
        <f t="array" ref="B1758">IF(LEN(E1758),INDEX('4-All Devices'!AG:AG, MATCH(E1758, '4-All Devices'!AF:AF, 0)),"")</f>
        <v/>
      </c>
      <c r="C1758" s="549" t="s">
        <v>11186</v>
      </c>
      <c r="D1758" s="549" t="s">
        <v>11191</v>
      </c>
      <c r="E1758" s="8"/>
      <c r="F1758" s="552" t="s">
        <v>11188</v>
      </c>
      <c r="G1758" s="8"/>
      <c r="H1758" s="8"/>
      <c r="I1758" s="8"/>
      <c r="J1758" s="547"/>
      <c r="K1758" s="8"/>
      <c r="L1758" s="8"/>
      <c r="M1758" s="8"/>
    </row>
    <row r="1759">
      <c r="A1759" s="8"/>
      <c r="B1759" s="551" t="str">
        <f t="array" ref="B1759">IF(LEN(E1759),INDEX('4-All Devices'!AG:AG, MATCH(E1759, '4-All Devices'!AF:AF, 0)),"")</f>
        <v/>
      </c>
      <c r="C1759" s="549" t="s">
        <v>11186</v>
      </c>
      <c r="D1759" s="549" t="s">
        <v>11191</v>
      </c>
      <c r="E1759" s="8"/>
      <c r="F1759" s="552" t="s">
        <v>11188</v>
      </c>
      <c r="G1759" s="8"/>
      <c r="H1759" s="8"/>
      <c r="I1759" s="8"/>
      <c r="J1759" s="547"/>
      <c r="K1759" s="8"/>
      <c r="L1759" s="8"/>
      <c r="M1759" s="8"/>
    </row>
    <row r="1760">
      <c r="A1760" s="8"/>
      <c r="B1760" s="551" t="str">
        <f t="array" ref="B1760">IF(LEN(E1760),INDEX('4-All Devices'!AG:AG, MATCH(E1760, '4-All Devices'!AF:AF, 0)),"")</f>
        <v/>
      </c>
      <c r="C1760" s="549" t="s">
        <v>11186</v>
      </c>
      <c r="D1760" s="549" t="s">
        <v>11192</v>
      </c>
      <c r="E1760" s="8"/>
      <c r="F1760" s="552" t="s">
        <v>11188</v>
      </c>
      <c r="G1760" s="8"/>
      <c r="H1760" s="8"/>
      <c r="I1760" s="8"/>
      <c r="J1760" s="547"/>
      <c r="K1760" s="8"/>
      <c r="L1760" s="8"/>
      <c r="M1760" s="8"/>
    </row>
    <row r="1761">
      <c r="A1761" s="8"/>
      <c r="B1761" s="551" t="str">
        <f t="array" ref="B1761">IF(LEN(E1761),INDEX('4-All Devices'!AG:AG, MATCH(E1761, '4-All Devices'!AF:AF, 0)),"")</f>
        <v/>
      </c>
      <c r="C1761" s="549" t="s">
        <v>11186</v>
      </c>
      <c r="D1761" s="549" t="s">
        <v>11193</v>
      </c>
      <c r="E1761" s="8"/>
      <c r="F1761" s="552" t="s">
        <v>11188</v>
      </c>
      <c r="G1761" s="8"/>
      <c r="H1761" s="8"/>
      <c r="I1761" s="8"/>
      <c r="J1761" s="547"/>
      <c r="K1761" s="8"/>
      <c r="L1761" s="8"/>
      <c r="M1761" s="8"/>
    </row>
    <row r="1762">
      <c r="A1762" s="8"/>
      <c r="B1762" s="551" t="str">
        <f t="array" ref="B1762">IF(LEN(E1762),INDEX('4-All Devices'!AG:AG, MATCH(E1762, '4-All Devices'!AF:AF, 0)),"")</f>
        <v/>
      </c>
      <c r="C1762" s="549" t="s">
        <v>11186</v>
      </c>
      <c r="D1762" s="549" t="s">
        <v>11192</v>
      </c>
      <c r="E1762" s="8"/>
      <c r="F1762" s="552" t="s">
        <v>11188</v>
      </c>
      <c r="G1762" s="8"/>
      <c r="H1762" s="8"/>
      <c r="I1762" s="8"/>
      <c r="J1762" s="547"/>
      <c r="K1762" s="8"/>
      <c r="L1762" s="8"/>
      <c r="M1762" s="8"/>
    </row>
    <row r="1763">
      <c r="A1763" s="8"/>
      <c r="B1763" s="551" t="str">
        <f t="array" ref="B1763">IF(LEN(E1763),INDEX('4-All Devices'!AG:AG, MATCH(E1763, '4-All Devices'!AF:AF, 0)),"")</f>
        <v/>
      </c>
      <c r="C1763" s="549" t="s">
        <v>11186</v>
      </c>
      <c r="D1763" s="549" t="s">
        <v>11192</v>
      </c>
      <c r="E1763" s="8"/>
      <c r="F1763" s="552" t="s">
        <v>11188</v>
      </c>
      <c r="G1763" s="8"/>
      <c r="H1763" s="8"/>
      <c r="I1763" s="8"/>
      <c r="J1763" s="547"/>
      <c r="K1763" s="8"/>
      <c r="L1763" s="8"/>
      <c r="M1763" s="8"/>
    </row>
    <row r="1764">
      <c r="A1764" s="8"/>
      <c r="B1764" s="551" t="str">
        <f t="array" ref="B1764">IF(LEN(E1764),INDEX('4-All Devices'!AG:AG, MATCH(E1764, '4-All Devices'!AF:AF, 0)),"")</f>
        <v/>
      </c>
      <c r="C1764" s="549" t="s">
        <v>11186</v>
      </c>
      <c r="D1764" s="549" t="s">
        <v>11192</v>
      </c>
      <c r="E1764" s="8"/>
      <c r="F1764" s="552" t="s">
        <v>11188</v>
      </c>
      <c r="G1764" s="8"/>
      <c r="H1764" s="8"/>
      <c r="I1764" s="8"/>
      <c r="J1764" s="547"/>
      <c r="K1764" s="8"/>
      <c r="L1764" s="8"/>
      <c r="M1764" s="8"/>
    </row>
    <row r="1765">
      <c r="A1765" s="8"/>
      <c r="B1765" s="551" t="str">
        <f t="array" ref="B1765">IF(LEN(E1765),INDEX('4-All Devices'!AG:AG, MATCH(E1765, '4-All Devices'!AF:AF, 0)),"")</f>
        <v/>
      </c>
      <c r="C1765" s="549" t="s">
        <v>11186</v>
      </c>
      <c r="D1765" s="549" t="s">
        <v>11193</v>
      </c>
      <c r="E1765" s="8"/>
      <c r="F1765" s="552" t="s">
        <v>11188</v>
      </c>
      <c r="G1765" s="8"/>
      <c r="H1765" s="8"/>
      <c r="I1765" s="8"/>
      <c r="J1765" s="547"/>
      <c r="K1765" s="8"/>
      <c r="L1765" s="8"/>
      <c r="M1765" s="8"/>
    </row>
    <row r="1766">
      <c r="A1766" s="8"/>
      <c r="B1766" s="551" t="str">
        <f t="array" ref="B1766">IF(LEN(E1766),INDEX('4-All Devices'!AG:AG, MATCH(E1766, '4-All Devices'!AF:AF, 0)),"")</f>
        <v/>
      </c>
      <c r="C1766" s="549" t="s">
        <v>11186</v>
      </c>
      <c r="D1766" s="549" t="s">
        <v>11192</v>
      </c>
      <c r="E1766" s="8"/>
      <c r="F1766" s="552" t="s">
        <v>11188</v>
      </c>
      <c r="G1766" s="8"/>
      <c r="H1766" s="8"/>
      <c r="I1766" s="8"/>
      <c r="J1766" s="547"/>
      <c r="K1766" s="8"/>
      <c r="L1766" s="8"/>
      <c r="M1766" s="8"/>
    </row>
    <row r="1767">
      <c r="A1767" s="8"/>
      <c r="B1767" s="551" t="str">
        <f t="array" ref="B1767">IF(LEN(E1767),INDEX('4-All Devices'!AG:AG, MATCH(E1767, '4-All Devices'!AF:AF, 0)),"")</f>
        <v/>
      </c>
      <c r="C1767" s="549" t="s">
        <v>11186</v>
      </c>
      <c r="D1767" s="549" t="s">
        <v>11192</v>
      </c>
      <c r="E1767" s="8"/>
      <c r="F1767" s="552" t="s">
        <v>11188</v>
      </c>
      <c r="G1767" s="8"/>
      <c r="H1767" s="8"/>
      <c r="I1767" s="8"/>
      <c r="J1767" s="547"/>
      <c r="K1767" s="8"/>
      <c r="L1767" s="8"/>
      <c r="M1767" s="8"/>
    </row>
    <row r="1768">
      <c r="A1768" s="8"/>
      <c r="B1768" s="551" t="str">
        <f t="array" ref="B1768">IF(LEN(E1768),INDEX('4-All Devices'!AG:AG, MATCH(E1768, '4-All Devices'!AF:AF, 0)),"")</f>
        <v/>
      </c>
      <c r="C1768" s="549" t="s">
        <v>11186</v>
      </c>
      <c r="D1768" s="549" t="s">
        <v>11193</v>
      </c>
      <c r="E1768" s="8"/>
      <c r="F1768" s="552" t="s">
        <v>11188</v>
      </c>
      <c r="G1768" s="8"/>
      <c r="H1768" s="8"/>
      <c r="I1768" s="8"/>
      <c r="J1768" s="547"/>
      <c r="K1768" s="8"/>
      <c r="L1768" s="8"/>
      <c r="M1768" s="8"/>
    </row>
    <row r="1769">
      <c r="A1769" s="8"/>
      <c r="B1769" s="551" t="str">
        <f t="array" ref="B1769">IF(LEN(E1769),INDEX('4-All Devices'!AG:AG, MATCH(E1769, '4-All Devices'!AF:AF, 0)),"")</f>
        <v/>
      </c>
      <c r="C1769" s="549" t="s">
        <v>11186</v>
      </c>
      <c r="D1769" s="549" t="s">
        <v>11193</v>
      </c>
      <c r="E1769" s="8"/>
      <c r="F1769" s="552" t="s">
        <v>11188</v>
      </c>
      <c r="G1769" s="8"/>
      <c r="H1769" s="8"/>
      <c r="I1769" s="8"/>
      <c r="J1769" s="547"/>
      <c r="K1769" s="8"/>
      <c r="L1769" s="8"/>
      <c r="M1769" s="8"/>
    </row>
    <row r="1770">
      <c r="A1770" s="8"/>
      <c r="B1770" s="551" t="str">
        <f t="array" ref="B1770">IF(LEN(E1770),INDEX('4-All Devices'!AG:AG, MATCH(E1770, '4-All Devices'!AF:AF, 0)),"")</f>
        <v/>
      </c>
      <c r="C1770" s="549" t="s">
        <v>11186</v>
      </c>
      <c r="D1770" s="549" t="s">
        <v>11192</v>
      </c>
      <c r="E1770" s="8"/>
      <c r="F1770" s="552" t="s">
        <v>11188</v>
      </c>
      <c r="G1770" s="8"/>
      <c r="H1770" s="8"/>
      <c r="I1770" s="8"/>
      <c r="J1770" s="547"/>
      <c r="K1770" s="8"/>
      <c r="L1770" s="8"/>
      <c r="M1770" s="8"/>
    </row>
    <row r="1771">
      <c r="A1771" s="8"/>
      <c r="B1771" s="551" t="str">
        <f t="array" ref="B1771">IF(LEN(E1771),INDEX('4-All Devices'!AG:AG, MATCH(E1771, '4-All Devices'!AF:AF, 0)),"")</f>
        <v/>
      </c>
      <c r="C1771" s="549" t="s">
        <v>11186</v>
      </c>
      <c r="D1771" s="549" t="s">
        <v>11193</v>
      </c>
      <c r="E1771" s="8"/>
      <c r="F1771" s="552" t="s">
        <v>11188</v>
      </c>
      <c r="G1771" s="8"/>
      <c r="H1771" s="8"/>
      <c r="I1771" s="8"/>
      <c r="J1771" s="547"/>
      <c r="K1771" s="8"/>
      <c r="L1771" s="8"/>
      <c r="M1771" s="8"/>
    </row>
    <row r="1772">
      <c r="A1772" s="8"/>
      <c r="B1772" s="551" t="str">
        <f t="array" ref="B1772">IF(LEN(E1772),INDEX('4-All Devices'!AG:AG, MATCH(E1772, '4-All Devices'!AF:AF, 0)),"")</f>
        <v/>
      </c>
      <c r="C1772" s="549" t="s">
        <v>11186</v>
      </c>
      <c r="D1772" s="549" t="s">
        <v>11192</v>
      </c>
      <c r="E1772" s="8"/>
      <c r="F1772" s="552" t="s">
        <v>11188</v>
      </c>
      <c r="G1772" s="8"/>
      <c r="H1772" s="8"/>
      <c r="I1772" s="8"/>
      <c r="J1772" s="547"/>
      <c r="K1772" s="8"/>
      <c r="L1772" s="8"/>
      <c r="M1772" s="8"/>
    </row>
    <row r="1773">
      <c r="A1773" s="8"/>
      <c r="B1773" s="551" t="str">
        <f t="array" ref="B1773">IF(LEN(E1773),INDEX('4-All Devices'!AG:AG, MATCH(E1773, '4-All Devices'!AF:AF, 0)),"")</f>
        <v/>
      </c>
      <c r="C1773" s="549" t="s">
        <v>11186</v>
      </c>
      <c r="D1773" s="549" t="s">
        <v>11192</v>
      </c>
      <c r="E1773" s="8"/>
      <c r="F1773" s="552" t="s">
        <v>11188</v>
      </c>
      <c r="G1773" s="8"/>
      <c r="H1773" s="8"/>
      <c r="I1773" s="8"/>
      <c r="J1773" s="547"/>
      <c r="K1773" s="8"/>
      <c r="L1773" s="8"/>
      <c r="M1773" s="8"/>
    </row>
    <row r="1774">
      <c r="A1774" s="8"/>
      <c r="B1774" s="551" t="str">
        <f t="array" ref="B1774">IF(LEN(E1774),INDEX('4-All Devices'!AG:AG, MATCH(E1774, '4-All Devices'!AF:AF, 0)),"")</f>
        <v/>
      </c>
      <c r="C1774" s="549" t="s">
        <v>11186</v>
      </c>
      <c r="D1774" s="549" t="s">
        <v>11192</v>
      </c>
      <c r="E1774" s="8"/>
      <c r="F1774" s="552" t="s">
        <v>11188</v>
      </c>
      <c r="G1774" s="8"/>
      <c r="H1774" s="8"/>
      <c r="I1774" s="8"/>
      <c r="J1774" s="547"/>
      <c r="K1774" s="8"/>
      <c r="L1774" s="8"/>
      <c r="M1774" s="8"/>
    </row>
    <row r="1775">
      <c r="A1775" s="8"/>
      <c r="B1775" s="551" t="str">
        <f t="array" ref="B1775">IF(LEN(E1775),INDEX('4-All Devices'!AG:AG, MATCH(E1775, '4-All Devices'!AF:AF, 0)),"")</f>
        <v/>
      </c>
      <c r="C1775" s="549" t="s">
        <v>11186</v>
      </c>
      <c r="D1775" s="549" t="s">
        <v>11193</v>
      </c>
      <c r="E1775" s="8"/>
      <c r="F1775" s="552" t="s">
        <v>11188</v>
      </c>
      <c r="G1775" s="8"/>
      <c r="H1775" s="8"/>
      <c r="I1775" s="8"/>
      <c r="J1775" s="547"/>
      <c r="K1775" s="8"/>
      <c r="L1775" s="8"/>
      <c r="M1775" s="8"/>
    </row>
    <row r="1776">
      <c r="A1776" s="8"/>
      <c r="B1776" s="551" t="str">
        <f t="array" ref="B1776">IF(LEN(E1776),INDEX('4-All Devices'!AG:AG, MATCH(E1776, '4-All Devices'!AF:AF, 0)),"")</f>
        <v/>
      </c>
      <c r="C1776" s="549" t="s">
        <v>11186</v>
      </c>
      <c r="D1776" s="549" t="s">
        <v>11192</v>
      </c>
      <c r="E1776" s="8"/>
      <c r="F1776" s="552" t="s">
        <v>11188</v>
      </c>
      <c r="G1776" s="8"/>
      <c r="H1776" s="8"/>
      <c r="I1776" s="8"/>
      <c r="J1776" s="547"/>
      <c r="K1776" s="8"/>
      <c r="L1776" s="8"/>
      <c r="M1776" s="8"/>
    </row>
    <row r="1777">
      <c r="A1777" s="8"/>
      <c r="B1777" s="551" t="str">
        <f t="array" ref="B1777">IF(LEN(E1777),INDEX('4-All Devices'!AG:AG, MATCH(E1777, '4-All Devices'!AF:AF, 0)),"")</f>
        <v/>
      </c>
      <c r="C1777" s="549" t="s">
        <v>11186</v>
      </c>
      <c r="D1777" s="549" t="s">
        <v>11193</v>
      </c>
      <c r="E1777" s="8"/>
      <c r="F1777" s="552" t="s">
        <v>11188</v>
      </c>
      <c r="G1777" s="8"/>
      <c r="H1777" s="8"/>
      <c r="I1777" s="8"/>
      <c r="J1777" s="547"/>
      <c r="K1777" s="8"/>
      <c r="L1777" s="8"/>
      <c r="M1777" s="8"/>
    </row>
    <row r="1778">
      <c r="A1778" s="8"/>
      <c r="B1778" s="551" t="str">
        <f t="array" ref="B1778">IF(LEN(E1778),INDEX('4-All Devices'!AG:AG, MATCH(E1778, '4-All Devices'!AF:AF, 0)),"")</f>
        <v/>
      </c>
      <c r="C1778" s="549" t="s">
        <v>11186</v>
      </c>
      <c r="D1778" s="549" t="s">
        <v>11193</v>
      </c>
      <c r="E1778" s="8"/>
      <c r="F1778" s="552" t="s">
        <v>11188</v>
      </c>
      <c r="G1778" s="8"/>
      <c r="H1778" s="8"/>
      <c r="I1778" s="8"/>
      <c r="J1778" s="547"/>
      <c r="K1778" s="8"/>
      <c r="L1778" s="8"/>
      <c r="M1778" s="8"/>
    </row>
    <row r="1779">
      <c r="A1779" s="8"/>
      <c r="B1779" s="551" t="str">
        <f t="array" ref="B1779">IF(LEN(E1779),INDEX('4-All Devices'!AG:AG, MATCH(E1779, '4-All Devices'!AF:AF, 0)),"")</f>
        <v/>
      </c>
      <c r="C1779" s="549" t="s">
        <v>11186</v>
      </c>
      <c r="D1779" s="549" t="s">
        <v>11193</v>
      </c>
      <c r="E1779" s="8"/>
      <c r="F1779" s="552" t="s">
        <v>11188</v>
      </c>
      <c r="G1779" s="8"/>
      <c r="H1779" s="8"/>
      <c r="I1779" s="8"/>
      <c r="J1779" s="547"/>
      <c r="K1779" s="8"/>
      <c r="L1779" s="8"/>
      <c r="M1779" s="8"/>
    </row>
    <row r="1780">
      <c r="A1780" s="8"/>
      <c r="B1780" s="551" t="str">
        <f t="array" ref="B1780">IF(LEN(E1780),INDEX('4-All Devices'!AG:AG, MATCH(E1780, '4-All Devices'!AF:AF, 0)),"")</f>
        <v/>
      </c>
      <c r="C1780" s="549" t="s">
        <v>11186</v>
      </c>
      <c r="D1780" s="549" t="s">
        <v>11192</v>
      </c>
      <c r="E1780" s="8"/>
      <c r="F1780" s="552" t="s">
        <v>11188</v>
      </c>
      <c r="G1780" s="8"/>
      <c r="H1780" s="8"/>
      <c r="I1780" s="8"/>
      <c r="J1780" s="547"/>
      <c r="K1780" s="8"/>
      <c r="L1780" s="8"/>
      <c r="M1780" s="8"/>
    </row>
    <row r="1781">
      <c r="A1781" s="8"/>
      <c r="B1781" s="551" t="str">
        <f t="array" ref="B1781">IF(LEN(E1781),INDEX('4-All Devices'!AG:AG, MATCH(E1781, '4-All Devices'!AF:AF, 0)),"")</f>
        <v/>
      </c>
      <c r="C1781" s="549" t="s">
        <v>11186</v>
      </c>
      <c r="D1781" s="549" t="s">
        <v>11193</v>
      </c>
      <c r="E1781" s="8"/>
      <c r="F1781" s="552" t="s">
        <v>11188</v>
      </c>
      <c r="G1781" s="8"/>
      <c r="H1781" s="8"/>
      <c r="I1781" s="8"/>
      <c r="J1781" s="547"/>
      <c r="K1781" s="8"/>
      <c r="L1781" s="8"/>
      <c r="M1781" s="8"/>
    </row>
    <row r="1782">
      <c r="A1782" s="8"/>
      <c r="B1782" s="551" t="str">
        <f t="array" ref="B1782">IF(LEN(E1782),INDEX('4-All Devices'!AG:AG, MATCH(E1782, '4-All Devices'!AF:AF, 0)),"")</f>
        <v/>
      </c>
      <c r="C1782" s="549" t="s">
        <v>11186</v>
      </c>
      <c r="D1782" s="549" t="s">
        <v>11192</v>
      </c>
      <c r="E1782" s="8"/>
      <c r="F1782" s="552" t="s">
        <v>11188</v>
      </c>
      <c r="G1782" s="8"/>
      <c r="H1782" s="8"/>
      <c r="I1782" s="8"/>
      <c r="J1782" s="547"/>
      <c r="K1782" s="8"/>
      <c r="L1782" s="8"/>
      <c r="M1782" s="8"/>
    </row>
    <row r="1783">
      <c r="A1783" s="8"/>
      <c r="B1783" s="551" t="str">
        <f t="array" ref="B1783">IF(LEN(E1783),INDEX('4-All Devices'!AG:AG, MATCH(E1783, '4-All Devices'!AF:AF, 0)),"")</f>
        <v/>
      </c>
      <c r="C1783" s="549" t="s">
        <v>11186</v>
      </c>
      <c r="D1783" s="549" t="s">
        <v>11192</v>
      </c>
      <c r="E1783" s="8"/>
      <c r="F1783" s="552" t="s">
        <v>11188</v>
      </c>
      <c r="G1783" s="8"/>
      <c r="H1783" s="8"/>
      <c r="I1783" s="8"/>
      <c r="J1783" s="547"/>
      <c r="K1783" s="8"/>
      <c r="L1783" s="8"/>
      <c r="M1783" s="8"/>
    </row>
    <row r="1784">
      <c r="A1784" s="8"/>
      <c r="B1784" s="551" t="str">
        <f t="array" ref="B1784">IF(LEN(E1784),INDEX('4-All Devices'!AG:AG, MATCH(E1784, '4-All Devices'!AF:AF, 0)),"")</f>
        <v/>
      </c>
      <c r="C1784" s="549" t="s">
        <v>11186</v>
      </c>
      <c r="D1784" s="549" t="s">
        <v>11192</v>
      </c>
      <c r="E1784" s="8"/>
      <c r="F1784" s="552" t="s">
        <v>11188</v>
      </c>
      <c r="G1784" s="8"/>
      <c r="H1784" s="8"/>
      <c r="I1784" s="8"/>
      <c r="J1784" s="547"/>
      <c r="K1784" s="8"/>
      <c r="L1784" s="8"/>
      <c r="M1784" s="8"/>
    </row>
    <row r="1785">
      <c r="A1785" s="8"/>
      <c r="B1785" s="551" t="str">
        <f t="array" ref="B1785">IF(LEN(E1785),INDEX('4-All Devices'!AG:AG, MATCH(E1785, '4-All Devices'!AF:AF, 0)),"")</f>
        <v/>
      </c>
      <c r="C1785" s="549" t="s">
        <v>11186</v>
      </c>
      <c r="D1785" s="549" t="s">
        <v>11193</v>
      </c>
      <c r="E1785" s="8"/>
      <c r="F1785" s="552" t="s">
        <v>11188</v>
      </c>
      <c r="G1785" s="8"/>
      <c r="H1785" s="8"/>
      <c r="I1785" s="8"/>
      <c r="J1785" s="547"/>
      <c r="K1785" s="8"/>
      <c r="L1785" s="8"/>
      <c r="M1785" s="8"/>
    </row>
    <row r="1786">
      <c r="A1786" s="8"/>
      <c r="B1786" s="551" t="str">
        <f t="array" ref="B1786">IF(LEN(E1786),INDEX('4-All Devices'!AG:AG, MATCH(E1786, '4-All Devices'!AF:AF, 0)),"")</f>
        <v/>
      </c>
      <c r="C1786" s="549" t="s">
        <v>11186</v>
      </c>
      <c r="D1786" s="549" t="s">
        <v>11192</v>
      </c>
      <c r="E1786" s="8"/>
      <c r="F1786" s="552" t="s">
        <v>11188</v>
      </c>
      <c r="G1786" s="8"/>
      <c r="H1786" s="8"/>
      <c r="I1786" s="8"/>
      <c r="J1786" s="547"/>
      <c r="K1786" s="8"/>
      <c r="L1786" s="8"/>
      <c r="M1786" s="8"/>
    </row>
    <row r="1787">
      <c r="A1787" s="8"/>
      <c r="B1787" s="551" t="str">
        <f t="array" ref="B1787">IF(LEN(E1787),INDEX('4-All Devices'!AG:AG, MATCH(E1787, '4-All Devices'!AF:AF, 0)),"")</f>
        <v/>
      </c>
      <c r="C1787" s="549" t="s">
        <v>11186</v>
      </c>
      <c r="D1787" s="549" t="s">
        <v>11192</v>
      </c>
      <c r="E1787" s="8"/>
      <c r="F1787" s="552" t="s">
        <v>11188</v>
      </c>
      <c r="G1787" s="8"/>
      <c r="H1787" s="8"/>
      <c r="I1787" s="8"/>
      <c r="J1787" s="547"/>
      <c r="K1787" s="8"/>
      <c r="L1787" s="8"/>
      <c r="M1787" s="8"/>
    </row>
    <row r="1788">
      <c r="A1788" s="8"/>
      <c r="B1788" s="551" t="str">
        <f t="array" ref="B1788">IF(LEN(E1788),INDEX('4-All Devices'!AG:AG, MATCH(E1788, '4-All Devices'!AF:AF, 0)),"")</f>
        <v/>
      </c>
      <c r="C1788" s="549" t="s">
        <v>11186</v>
      </c>
      <c r="D1788" s="549" t="s">
        <v>11192</v>
      </c>
      <c r="E1788" s="8"/>
      <c r="F1788" s="552" t="s">
        <v>11188</v>
      </c>
      <c r="G1788" s="8"/>
      <c r="H1788" s="8"/>
      <c r="I1788" s="8"/>
      <c r="J1788" s="547"/>
      <c r="K1788" s="8"/>
      <c r="L1788" s="8"/>
      <c r="M1788" s="8"/>
    </row>
    <row r="1789">
      <c r="A1789" s="8"/>
      <c r="B1789" s="551" t="str">
        <f t="array" ref="B1789">IF(LEN(E1789),INDEX('4-All Devices'!AG:AG, MATCH(E1789, '4-All Devices'!AF:AF, 0)),"")</f>
        <v/>
      </c>
      <c r="C1789" s="549" t="s">
        <v>11186</v>
      </c>
      <c r="D1789" s="549" t="s">
        <v>11192</v>
      </c>
      <c r="E1789" s="8"/>
      <c r="F1789" s="552" t="s">
        <v>11188</v>
      </c>
      <c r="G1789" s="8"/>
      <c r="H1789" s="8"/>
      <c r="I1789" s="8"/>
      <c r="J1789" s="547"/>
      <c r="K1789" s="8"/>
      <c r="L1789" s="8"/>
      <c r="M1789" s="8"/>
    </row>
    <row r="1790">
      <c r="A1790" s="8"/>
      <c r="B1790" s="551" t="str">
        <f t="array" ref="B1790">IF(LEN(E1790),INDEX('4-All Devices'!AG:AG, MATCH(E1790, '4-All Devices'!AF:AF, 0)),"")</f>
        <v/>
      </c>
      <c r="C1790" s="549" t="s">
        <v>11186</v>
      </c>
      <c r="D1790" s="549" t="s">
        <v>11192</v>
      </c>
      <c r="E1790" s="8"/>
      <c r="F1790" s="552" t="s">
        <v>11188</v>
      </c>
      <c r="G1790" s="8"/>
      <c r="H1790" s="8"/>
      <c r="I1790" s="8"/>
      <c r="J1790" s="547"/>
      <c r="K1790" s="8"/>
      <c r="L1790" s="8"/>
      <c r="M1790" s="8"/>
    </row>
    <row r="1791">
      <c r="A1791" s="8"/>
      <c r="B1791" s="551" t="str">
        <f t="array" ref="B1791">IF(LEN(E1791),INDEX('4-All Devices'!AG:AG, MATCH(E1791, '4-All Devices'!AF:AF, 0)),"")</f>
        <v/>
      </c>
      <c r="C1791" s="549" t="s">
        <v>11186</v>
      </c>
      <c r="D1791" s="549" t="s">
        <v>11192</v>
      </c>
      <c r="E1791" s="8"/>
      <c r="F1791" s="552" t="s">
        <v>11188</v>
      </c>
      <c r="G1791" s="8"/>
      <c r="H1791" s="8"/>
      <c r="I1791" s="8"/>
      <c r="J1791" s="547"/>
      <c r="K1791" s="8"/>
      <c r="L1791" s="8"/>
      <c r="M1791" s="8"/>
    </row>
    <row r="1792">
      <c r="A1792" s="8"/>
      <c r="B1792" s="551" t="str">
        <f t="array" ref="B1792">IF(LEN(E1792),INDEX('4-All Devices'!AG:AG, MATCH(E1792, '4-All Devices'!AF:AF, 0)),"")</f>
        <v/>
      </c>
      <c r="C1792" s="549" t="s">
        <v>11186</v>
      </c>
      <c r="D1792" s="549" t="s">
        <v>11192</v>
      </c>
      <c r="E1792" s="8"/>
      <c r="F1792" s="552" t="s">
        <v>11188</v>
      </c>
      <c r="G1792" s="8"/>
      <c r="H1792" s="8"/>
      <c r="I1792" s="8"/>
      <c r="J1792" s="547"/>
      <c r="K1792" s="8"/>
      <c r="L1792" s="8"/>
      <c r="M1792" s="8"/>
    </row>
    <row r="1793">
      <c r="A1793" s="8"/>
      <c r="B1793" s="551" t="str">
        <f t="array" ref="B1793">IF(LEN(E1793),INDEX('4-All Devices'!AG:AG, MATCH(E1793, '4-All Devices'!AF:AF, 0)),"")</f>
        <v/>
      </c>
      <c r="C1793" s="549" t="s">
        <v>11186</v>
      </c>
      <c r="D1793" s="549" t="s">
        <v>11192</v>
      </c>
      <c r="E1793" s="8"/>
      <c r="F1793" s="552" t="s">
        <v>11188</v>
      </c>
      <c r="G1793" s="8"/>
      <c r="H1793" s="8"/>
      <c r="I1793" s="8"/>
      <c r="J1793" s="547"/>
      <c r="K1793" s="8"/>
      <c r="L1793" s="8"/>
      <c r="M1793" s="8"/>
    </row>
    <row r="1794">
      <c r="A1794" s="8"/>
      <c r="B1794" s="551" t="str">
        <f t="array" ref="B1794">IF(LEN(E1794),INDEX('4-All Devices'!AG:AG, MATCH(E1794, '4-All Devices'!AF:AF, 0)),"")</f>
        <v/>
      </c>
      <c r="C1794" s="549" t="s">
        <v>11186</v>
      </c>
      <c r="D1794" s="549" t="s">
        <v>11192</v>
      </c>
      <c r="E1794" s="8"/>
      <c r="F1794" s="552" t="s">
        <v>11188</v>
      </c>
      <c r="G1794" s="8"/>
      <c r="H1794" s="8"/>
      <c r="I1794" s="8"/>
      <c r="J1794" s="547"/>
      <c r="K1794" s="8"/>
      <c r="L1794" s="8"/>
      <c r="M1794" s="8"/>
    </row>
    <row r="1795">
      <c r="A1795" s="8"/>
      <c r="B1795" s="551" t="str">
        <f t="array" ref="B1795">IF(LEN(E1795),INDEX('4-All Devices'!AG:AG, MATCH(E1795, '4-All Devices'!AF:AF, 0)),"")</f>
        <v/>
      </c>
      <c r="C1795" s="549" t="s">
        <v>11186</v>
      </c>
      <c r="D1795" s="549" t="s">
        <v>11193</v>
      </c>
      <c r="E1795" s="8"/>
      <c r="F1795" s="552" t="s">
        <v>11188</v>
      </c>
      <c r="G1795" s="8"/>
      <c r="H1795" s="8"/>
      <c r="I1795" s="8"/>
      <c r="J1795" s="547"/>
      <c r="K1795" s="8"/>
      <c r="L1795" s="8"/>
      <c r="M1795" s="8"/>
    </row>
    <row r="1796">
      <c r="A1796" s="8"/>
      <c r="B1796" s="551" t="str">
        <f t="array" ref="B1796">IF(LEN(E1796),INDEX('4-All Devices'!AG:AG, MATCH(E1796, '4-All Devices'!AF:AF, 0)),"")</f>
        <v/>
      </c>
      <c r="C1796" s="549" t="s">
        <v>11186</v>
      </c>
      <c r="D1796" s="549" t="s">
        <v>11192</v>
      </c>
      <c r="E1796" s="8"/>
      <c r="F1796" s="552" t="s">
        <v>11188</v>
      </c>
      <c r="G1796" s="8"/>
      <c r="H1796" s="8"/>
      <c r="I1796" s="8"/>
      <c r="J1796" s="547"/>
      <c r="K1796" s="8"/>
      <c r="L1796" s="8"/>
      <c r="M1796" s="8"/>
    </row>
    <row r="1797">
      <c r="A1797" s="8"/>
      <c r="B1797" s="551" t="str">
        <f t="array" ref="B1797">IF(LEN(E1797),INDEX('4-All Devices'!AG:AG, MATCH(E1797, '4-All Devices'!AF:AF, 0)),"")</f>
        <v/>
      </c>
      <c r="C1797" s="549" t="s">
        <v>11186</v>
      </c>
      <c r="D1797" s="549" t="s">
        <v>11192</v>
      </c>
      <c r="E1797" s="8"/>
      <c r="F1797" s="552" t="s">
        <v>11188</v>
      </c>
      <c r="G1797" s="8"/>
      <c r="H1797" s="8"/>
      <c r="I1797" s="8"/>
      <c r="J1797" s="547"/>
      <c r="K1797" s="8"/>
      <c r="L1797" s="8"/>
      <c r="M1797" s="8"/>
    </row>
    <row r="1798">
      <c r="A1798" s="8"/>
      <c r="B1798" s="551" t="str">
        <f t="array" ref="B1798">IF(LEN(E1798),INDEX('4-All Devices'!AG:AG, MATCH(E1798, '4-All Devices'!AF:AF, 0)),"")</f>
        <v/>
      </c>
      <c r="C1798" s="549" t="s">
        <v>11186</v>
      </c>
      <c r="D1798" s="549" t="s">
        <v>11192</v>
      </c>
      <c r="E1798" s="8"/>
      <c r="F1798" s="552" t="s">
        <v>11188</v>
      </c>
      <c r="G1798" s="8"/>
      <c r="H1798" s="8"/>
      <c r="I1798" s="8"/>
      <c r="J1798" s="547"/>
      <c r="K1798" s="8"/>
      <c r="L1798" s="8"/>
      <c r="M1798" s="8"/>
    </row>
    <row r="1799">
      <c r="A1799" s="8"/>
      <c r="B1799" s="551" t="str">
        <f t="array" ref="B1799">IF(LEN(E1799),INDEX('4-All Devices'!AG:AG, MATCH(E1799, '4-All Devices'!AF:AF, 0)),"")</f>
        <v/>
      </c>
      <c r="C1799" s="549" t="s">
        <v>11186</v>
      </c>
      <c r="D1799" s="549" t="s">
        <v>11192</v>
      </c>
      <c r="E1799" s="8"/>
      <c r="F1799" s="552" t="s">
        <v>11188</v>
      </c>
      <c r="G1799" s="8"/>
      <c r="H1799" s="8"/>
      <c r="I1799" s="8"/>
      <c r="J1799" s="547"/>
      <c r="K1799" s="8"/>
      <c r="L1799" s="8"/>
      <c r="M1799" s="8"/>
    </row>
    <row r="1800">
      <c r="A1800" s="8"/>
      <c r="B1800" s="551" t="str">
        <f t="array" ref="B1800">IF(LEN(E1800),INDEX('4-All Devices'!AG:AG, MATCH(E1800, '4-All Devices'!AF:AF, 0)),"")</f>
        <v/>
      </c>
      <c r="C1800" s="549" t="s">
        <v>11186</v>
      </c>
      <c r="D1800" s="549" t="s">
        <v>11192</v>
      </c>
      <c r="E1800" s="8"/>
      <c r="F1800" s="552" t="s">
        <v>11188</v>
      </c>
      <c r="G1800" s="8"/>
      <c r="H1800" s="8"/>
      <c r="I1800" s="8"/>
      <c r="J1800" s="547"/>
      <c r="K1800" s="8"/>
      <c r="L1800" s="8"/>
      <c r="M1800" s="8"/>
    </row>
    <row r="1801">
      <c r="A1801" s="8"/>
      <c r="B1801" s="551" t="str">
        <f t="array" ref="B1801">IF(LEN(E1801),INDEX('4-All Devices'!AG:AG, MATCH(E1801, '4-All Devices'!AF:AF, 0)),"")</f>
        <v/>
      </c>
      <c r="C1801" s="549" t="s">
        <v>11186</v>
      </c>
      <c r="D1801" s="549" t="s">
        <v>11192</v>
      </c>
      <c r="E1801" s="8"/>
      <c r="F1801" s="552" t="s">
        <v>11188</v>
      </c>
      <c r="G1801" s="8"/>
      <c r="H1801" s="8"/>
      <c r="I1801" s="8"/>
      <c r="J1801" s="547"/>
      <c r="K1801" s="8"/>
      <c r="L1801" s="8"/>
      <c r="M1801" s="8"/>
    </row>
    <row r="1802">
      <c r="A1802" s="8"/>
      <c r="B1802" s="551" t="str">
        <f t="array" ref="B1802">IF(LEN(E1802),INDEX('4-All Devices'!AG:AG, MATCH(E1802, '4-All Devices'!AF:AF, 0)),"")</f>
        <v/>
      </c>
      <c r="C1802" s="549" t="s">
        <v>11186</v>
      </c>
      <c r="D1802" s="549" t="s">
        <v>11192</v>
      </c>
      <c r="E1802" s="8"/>
      <c r="F1802" s="552" t="s">
        <v>11188</v>
      </c>
      <c r="G1802" s="8"/>
      <c r="H1802" s="8"/>
      <c r="I1802" s="8"/>
      <c r="J1802" s="547"/>
      <c r="K1802" s="8"/>
      <c r="L1802" s="8"/>
      <c r="M1802" s="8"/>
    </row>
    <row r="1803">
      <c r="A1803" s="8"/>
      <c r="B1803" s="551" t="str">
        <f t="array" ref="B1803">IF(LEN(E1803),INDEX('4-All Devices'!AG:AG, MATCH(E1803, '4-All Devices'!AF:AF, 0)),"")</f>
        <v/>
      </c>
      <c r="C1803" s="549" t="s">
        <v>11186</v>
      </c>
      <c r="D1803" s="549" t="s">
        <v>11193</v>
      </c>
      <c r="E1803" s="8"/>
      <c r="F1803" s="552" t="s">
        <v>11188</v>
      </c>
      <c r="G1803" s="8"/>
      <c r="H1803" s="8"/>
      <c r="I1803" s="8"/>
      <c r="J1803" s="547"/>
      <c r="K1803" s="8"/>
      <c r="L1803" s="8"/>
      <c r="M1803" s="8"/>
    </row>
    <row r="1804">
      <c r="A1804" s="8"/>
      <c r="B1804" s="551" t="str">
        <f t="array" ref="B1804">IF(LEN(E1804),INDEX('4-All Devices'!AG:AG, MATCH(E1804, '4-All Devices'!AF:AF, 0)),"")</f>
        <v/>
      </c>
      <c r="C1804" s="549" t="s">
        <v>11186</v>
      </c>
      <c r="D1804" s="549" t="s">
        <v>11192</v>
      </c>
      <c r="E1804" s="8"/>
      <c r="F1804" s="552" t="s">
        <v>11188</v>
      </c>
      <c r="G1804" s="8"/>
      <c r="H1804" s="8"/>
      <c r="I1804" s="8"/>
      <c r="J1804" s="547"/>
      <c r="K1804" s="8"/>
      <c r="L1804" s="8"/>
      <c r="M1804" s="8"/>
    </row>
    <row r="1805">
      <c r="A1805" s="8"/>
      <c r="B1805" s="551" t="str">
        <f t="array" ref="B1805">IF(LEN(E1805),INDEX('4-All Devices'!AG:AG, MATCH(E1805, '4-All Devices'!AF:AF, 0)),"")</f>
        <v/>
      </c>
      <c r="C1805" s="549" t="s">
        <v>11186</v>
      </c>
      <c r="D1805" s="549" t="s">
        <v>11192</v>
      </c>
      <c r="E1805" s="8"/>
      <c r="F1805" s="552" t="s">
        <v>11188</v>
      </c>
      <c r="G1805" s="8"/>
      <c r="H1805" s="8"/>
      <c r="I1805" s="8"/>
      <c r="J1805" s="547"/>
      <c r="K1805" s="8"/>
      <c r="L1805" s="8"/>
      <c r="M1805" s="8"/>
    </row>
    <row r="1806">
      <c r="A1806" s="8"/>
      <c r="B1806" s="551" t="str">
        <f t="array" ref="B1806">IF(LEN(E1806),INDEX('4-All Devices'!AG:AG, MATCH(E1806, '4-All Devices'!AF:AF, 0)),"")</f>
        <v/>
      </c>
      <c r="C1806" s="549" t="s">
        <v>11186</v>
      </c>
      <c r="D1806" s="549" t="s">
        <v>11192</v>
      </c>
      <c r="E1806" s="8"/>
      <c r="F1806" s="552" t="s">
        <v>11188</v>
      </c>
      <c r="G1806" s="8"/>
      <c r="H1806" s="8"/>
      <c r="I1806" s="8"/>
      <c r="J1806" s="547"/>
      <c r="K1806" s="8"/>
      <c r="L1806" s="8"/>
      <c r="M1806" s="8"/>
    </row>
    <row r="1807">
      <c r="A1807" s="8"/>
      <c r="B1807" s="551" t="str">
        <f t="array" ref="B1807">IF(LEN(E1807),INDEX('4-All Devices'!AG:AG, MATCH(E1807, '4-All Devices'!AF:AF, 0)),"")</f>
        <v/>
      </c>
      <c r="C1807" s="549" t="s">
        <v>11186</v>
      </c>
      <c r="D1807" s="549" t="s">
        <v>11193</v>
      </c>
      <c r="E1807" s="8"/>
      <c r="F1807" s="552" t="s">
        <v>11188</v>
      </c>
      <c r="G1807" s="8"/>
      <c r="H1807" s="8"/>
      <c r="I1807" s="8"/>
      <c r="J1807" s="547"/>
      <c r="K1807" s="8"/>
      <c r="L1807" s="8"/>
      <c r="M1807" s="8"/>
    </row>
    <row r="1808">
      <c r="A1808" s="8"/>
      <c r="B1808" s="551" t="str">
        <f t="array" ref="B1808">IF(LEN(E1808),INDEX('4-All Devices'!AG:AG, MATCH(E1808, '4-All Devices'!AF:AF, 0)),"")</f>
        <v/>
      </c>
      <c r="C1808" s="549" t="s">
        <v>11186</v>
      </c>
      <c r="D1808" s="549" t="s">
        <v>11193</v>
      </c>
      <c r="E1808" s="8"/>
      <c r="F1808" s="552" t="s">
        <v>11188</v>
      </c>
      <c r="G1808" s="8"/>
      <c r="H1808" s="8"/>
      <c r="I1808" s="8"/>
      <c r="J1808" s="547"/>
      <c r="K1808" s="8"/>
      <c r="L1808" s="8"/>
      <c r="M1808" s="8"/>
    </row>
    <row r="1809">
      <c r="A1809" s="8"/>
      <c r="B1809" s="551" t="str">
        <f t="array" ref="B1809">IF(LEN(E1809),INDEX('4-All Devices'!AG:AG, MATCH(E1809, '4-All Devices'!AF:AF, 0)),"")</f>
        <v/>
      </c>
      <c r="C1809" s="549" t="s">
        <v>11186</v>
      </c>
      <c r="D1809" s="549" t="s">
        <v>11192</v>
      </c>
      <c r="E1809" s="8"/>
      <c r="F1809" s="552" t="s">
        <v>11188</v>
      </c>
      <c r="G1809" s="8"/>
      <c r="H1809" s="8"/>
      <c r="I1809" s="8"/>
      <c r="J1809" s="547"/>
      <c r="K1809" s="8"/>
      <c r="L1809" s="8"/>
      <c r="M1809" s="8"/>
    </row>
    <row r="1810">
      <c r="A1810" s="8"/>
      <c r="B1810" s="551" t="str">
        <f t="array" ref="B1810">IF(LEN(E1810),INDEX('4-All Devices'!AG:AG, MATCH(E1810, '4-All Devices'!AF:AF, 0)),"")</f>
        <v/>
      </c>
      <c r="C1810" s="549" t="s">
        <v>11186</v>
      </c>
      <c r="D1810" s="549" t="s">
        <v>11192</v>
      </c>
      <c r="E1810" s="8"/>
      <c r="F1810" s="552" t="s">
        <v>11188</v>
      </c>
      <c r="G1810" s="8"/>
      <c r="H1810" s="8"/>
      <c r="I1810" s="8"/>
      <c r="J1810" s="547"/>
      <c r="K1810" s="8"/>
      <c r="L1810" s="8"/>
      <c r="M1810" s="8"/>
    </row>
    <row r="1811">
      <c r="A1811" s="8"/>
      <c r="B1811" s="551" t="str">
        <f t="array" ref="B1811">IF(LEN(E1811),INDEX('4-All Devices'!AG:AG, MATCH(E1811, '4-All Devices'!AF:AF, 0)),"")</f>
        <v/>
      </c>
      <c r="C1811" s="549" t="s">
        <v>11186</v>
      </c>
      <c r="D1811" s="549" t="s">
        <v>11192</v>
      </c>
      <c r="E1811" s="8"/>
      <c r="F1811" s="552" t="s">
        <v>11188</v>
      </c>
      <c r="G1811" s="8"/>
      <c r="H1811" s="8"/>
      <c r="I1811" s="8"/>
      <c r="J1811" s="547"/>
      <c r="K1811" s="8"/>
      <c r="L1811" s="8"/>
      <c r="M1811" s="8"/>
    </row>
    <row r="1812">
      <c r="A1812" s="8"/>
      <c r="B1812" s="551" t="str">
        <f t="array" ref="B1812">IF(LEN(E1812),INDEX('4-All Devices'!AG:AG, MATCH(E1812, '4-All Devices'!AF:AF, 0)),"")</f>
        <v/>
      </c>
      <c r="C1812" s="549" t="s">
        <v>11186</v>
      </c>
      <c r="D1812" s="549" t="s">
        <v>11192</v>
      </c>
      <c r="E1812" s="8"/>
      <c r="F1812" s="552" t="s">
        <v>11188</v>
      </c>
      <c r="G1812" s="8"/>
      <c r="H1812" s="8"/>
      <c r="I1812" s="8"/>
      <c r="J1812" s="547"/>
      <c r="K1812" s="8"/>
      <c r="L1812" s="8"/>
      <c r="M1812" s="8"/>
    </row>
    <row r="1813">
      <c r="A1813" s="8"/>
      <c r="B1813" s="551" t="str">
        <f t="array" ref="B1813">IF(LEN(E1813),INDEX('4-All Devices'!AG:AG, MATCH(E1813, '4-All Devices'!AF:AF, 0)),"")</f>
        <v/>
      </c>
      <c r="C1813" s="549" t="s">
        <v>11186</v>
      </c>
      <c r="D1813" s="549" t="s">
        <v>11193</v>
      </c>
      <c r="E1813" s="8"/>
      <c r="F1813" s="552" t="s">
        <v>11188</v>
      </c>
      <c r="G1813" s="8"/>
      <c r="H1813" s="8"/>
      <c r="I1813" s="8"/>
      <c r="J1813" s="547"/>
      <c r="K1813" s="8"/>
      <c r="L1813" s="8"/>
      <c r="M1813" s="8"/>
    </row>
    <row r="1814">
      <c r="A1814" s="8"/>
      <c r="B1814" s="551" t="str">
        <f t="array" ref="B1814">IF(LEN(E1814),INDEX('4-All Devices'!AG:AG, MATCH(E1814, '4-All Devices'!AF:AF, 0)),"")</f>
        <v/>
      </c>
      <c r="C1814" s="549" t="s">
        <v>11186</v>
      </c>
      <c r="D1814" s="549" t="s">
        <v>11192</v>
      </c>
      <c r="E1814" s="8"/>
      <c r="F1814" s="552" t="s">
        <v>11188</v>
      </c>
      <c r="G1814" s="8"/>
      <c r="H1814" s="8"/>
      <c r="I1814" s="8"/>
      <c r="J1814" s="547"/>
      <c r="K1814" s="8"/>
      <c r="L1814" s="8"/>
      <c r="M1814" s="8"/>
    </row>
    <row r="1815">
      <c r="A1815" s="8"/>
      <c r="B1815" s="551" t="str">
        <f t="array" ref="B1815">IF(LEN(E1815),INDEX('4-All Devices'!AG:AG, MATCH(E1815, '4-All Devices'!AF:AF, 0)),"")</f>
        <v/>
      </c>
      <c r="C1815" s="549" t="s">
        <v>11186</v>
      </c>
      <c r="D1815" s="549" t="s">
        <v>11192</v>
      </c>
      <c r="E1815" s="8"/>
      <c r="F1815" s="552" t="s">
        <v>11188</v>
      </c>
      <c r="G1815" s="8"/>
      <c r="H1815" s="8"/>
      <c r="I1815" s="8"/>
      <c r="J1815" s="547"/>
      <c r="K1815" s="8"/>
      <c r="L1815" s="8"/>
      <c r="M1815" s="8"/>
    </row>
    <row r="1816">
      <c r="A1816" s="8"/>
      <c r="B1816" s="551" t="str">
        <f t="array" ref="B1816">IF(LEN(E1816),INDEX('4-All Devices'!AG:AG, MATCH(E1816, '4-All Devices'!AF:AF, 0)),"")</f>
        <v/>
      </c>
      <c r="C1816" s="549" t="s">
        <v>11186</v>
      </c>
      <c r="D1816" s="549" t="s">
        <v>11192</v>
      </c>
      <c r="E1816" s="8"/>
      <c r="F1816" s="552" t="s">
        <v>11188</v>
      </c>
      <c r="G1816" s="8"/>
      <c r="H1816" s="8"/>
      <c r="I1816" s="8"/>
      <c r="J1816" s="547"/>
      <c r="K1816" s="8"/>
      <c r="L1816" s="8"/>
      <c r="M1816" s="8"/>
    </row>
    <row r="1817">
      <c r="A1817" s="8"/>
      <c r="B1817" s="551" t="str">
        <f t="array" ref="B1817">IF(LEN(E1817),INDEX('4-All Devices'!AG:AG, MATCH(E1817, '4-All Devices'!AF:AF, 0)),"")</f>
        <v/>
      </c>
      <c r="C1817" s="549" t="s">
        <v>11186</v>
      </c>
      <c r="D1817" s="549" t="s">
        <v>11192</v>
      </c>
      <c r="E1817" s="8"/>
      <c r="F1817" s="552" t="s">
        <v>11188</v>
      </c>
      <c r="G1817" s="8"/>
      <c r="H1817" s="8"/>
      <c r="I1817" s="8"/>
      <c r="J1817" s="547"/>
      <c r="K1817" s="8"/>
      <c r="L1817" s="8"/>
      <c r="M1817" s="8"/>
    </row>
    <row r="1818">
      <c r="A1818" s="8"/>
      <c r="B1818" s="551" t="str">
        <f t="array" ref="B1818">IF(LEN(E1818),INDEX('4-All Devices'!AG:AG, MATCH(E1818, '4-All Devices'!AF:AF, 0)),"")</f>
        <v/>
      </c>
      <c r="C1818" s="549" t="s">
        <v>11186</v>
      </c>
      <c r="D1818" s="549" t="s">
        <v>11192</v>
      </c>
      <c r="E1818" s="8"/>
      <c r="F1818" s="552" t="s">
        <v>11188</v>
      </c>
      <c r="G1818" s="8"/>
      <c r="H1818" s="8"/>
      <c r="I1818" s="8"/>
      <c r="J1818" s="547"/>
      <c r="K1818" s="8"/>
      <c r="L1818" s="8"/>
      <c r="M1818" s="8"/>
    </row>
    <row r="1819">
      <c r="A1819" s="8"/>
      <c r="B1819" s="551" t="str">
        <f t="array" ref="B1819">IF(LEN(E1819),INDEX('4-All Devices'!AG:AG, MATCH(E1819, '4-All Devices'!AF:AF, 0)),"")</f>
        <v/>
      </c>
      <c r="C1819" s="549" t="s">
        <v>11186</v>
      </c>
      <c r="D1819" s="549" t="s">
        <v>11193</v>
      </c>
      <c r="E1819" s="8"/>
      <c r="F1819" s="552" t="s">
        <v>11188</v>
      </c>
      <c r="G1819" s="8"/>
      <c r="H1819" s="8"/>
      <c r="I1819" s="8"/>
      <c r="J1819" s="547"/>
      <c r="K1819" s="8"/>
      <c r="L1819" s="8"/>
      <c r="M1819" s="8"/>
    </row>
    <row r="1820">
      <c r="A1820" s="8"/>
      <c r="B1820" s="551" t="str">
        <f t="array" ref="B1820">IF(LEN(E1820),INDEX('4-All Devices'!AG:AG, MATCH(E1820, '4-All Devices'!AF:AF, 0)),"")</f>
        <v/>
      </c>
      <c r="C1820" s="549" t="s">
        <v>11186</v>
      </c>
      <c r="D1820" s="549" t="s">
        <v>11192</v>
      </c>
      <c r="E1820" s="8"/>
      <c r="F1820" s="552" t="s">
        <v>11188</v>
      </c>
      <c r="G1820" s="8"/>
      <c r="H1820" s="8"/>
      <c r="I1820" s="8"/>
      <c r="J1820" s="547"/>
      <c r="K1820" s="8"/>
      <c r="L1820" s="8"/>
      <c r="M1820" s="8"/>
    </row>
    <row r="1821">
      <c r="A1821" s="8"/>
      <c r="B1821" s="551" t="str">
        <f t="array" ref="B1821">IF(LEN(E1821),INDEX('4-All Devices'!AG:AG, MATCH(E1821, '4-All Devices'!AF:AF, 0)),"")</f>
        <v/>
      </c>
      <c r="C1821" s="549" t="s">
        <v>11186</v>
      </c>
      <c r="D1821" s="549" t="s">
        <v>11192</v>
      </c>
      <c r="E1821" s="8"/>
      <c r="F1821" s="552" t="s">
        <v>11188</v>
      </c>
      <c r="G1821" s="8"/>
      <c r="H1821" s="8"/>
      <c r="I1821" s="8"/>
      <c r="J1821" s="547"/>
      <c r="K1821" s="8"/>
      <c r="L1821" s="8"/>
      <c r="M1821" s="8"/>
    </row>
    <row r="1822">
      <c r="A1822" s="8"/>
      <c r="B1822" s="551" t="str">
        <f t="array" ref="B1822">IF(LEN(E1822),INDEX('4-All Devices'!AG:AG, MATCH(E1822, '4-All Devices'!AF:AF, 0)),"")</f>
        <v/>
      </c>
      <c r="C1822" s="549" t="s">
        <v>11186</v>
      </c>
      <c r="D1822" s="549" t="s">
        <v>11193</v>
      </c>
      <c r="E1822" s="8"/>
      <c r="F1822" s="552" t="s">
        <v>11188</v>
      </c>
      <c r="G1822" s="8"/>
      <c r="H1822" s="8"/>
      <c r="I1822" s="8"/>
      <c r="J1822" s="547"/>
      <c r="K1822" s="8"/>
      <c r="L1822" s="8"/>
      <c r="M1822" s="8"/>
    </row>
    <row r="1823">
      <c r="A1823" s="8"/>
      <c r="B1823" s="551" t="str">
        <f t="array" ref="B1823">IF(LEN(E1823),INDEX('4-All Devices'!AG:AG, MATCH(E1823, '4-All Devices'!AF:AF, 0)),"")</f>
        <v/>
      </c>
      <c r="C1823" s="549" t="s">
        <v>11186</v>
      </c>
      <c r="D1823" s="549" t="s">
        <v>11192</v>
      </c>
      <c r="E1823" s="8"/>
      <c r="F1823" s="552" t="s">
        <v>11188</v>
      </c>
      <c r="G1823" s="8"/>
      <c r="H1823" s="8"/>
      <c r="I1823" s="8"/>
      <c r="J1823" s="547"/>
      <c r="K1823" s="8"/>
      <c r="L1823" s="8"/>
      <c r="M1823" s="8"/>
    </row>
    <row r="1824">
      <c r="A1824" s="8"/>
      <c r="B1824" s="551" t="str">
        <f t="array" ref="B1824">IF(LEN(E1824),INDEX('4-All Devices'!AG:AG, MATCH(E1824, '4-All Devices'!AF:AF, 0)),"")</f>
        <v/>
      </c>
      <c r="C1824" s="549" t="s">
        <v>11186</v>
      </c>
      <c r="D1824" s="549" t="s">
        <v>11192</v>
      </c>
      <c r="E1824" s="8"/>
      <c r="F1824" s="552" t="s">
        <v>11188</v>
      </c>
      <c r="G1824" s="8"/>
      <c r="H1824" s="8"/>
      <c r="I1824" s="8"/>
      <c r="J1824" s="547"/>
      <c r="K1824" s="8"/>
      <c r="L1824" s="8"/>
      <c r="M1824" s="8"/>
    </row>
    <row r="1825">
      <c r="A1825" s="8"/>
      <c r="B1825" s="551" t="str">
        <f t="array" ref="B1825">IF(LEN(E1825),INDEX('4-All Devices'!AG:AG, MATCH(E1825, '4-All Devices'!AF:AF, 0)),"")</f>
        <v/>
      </c>
      <c r="C1825" s="549" t="s">
        <v>11186</v>
      </c>
      <c r="D1825" s="549" t="s">
        <v>11192</v>
      </c>
      <c r="E1825" s="8"/>
      <c r="F1825" s="552" t="s">
        <v>11188</v>
      </c>
      <c r="G1825" s="8"/>
      <c r="H1825" s="8"/>
      <c r="I1825" s="8"/>
      <c r="J1825" s="547"/>
      <c r="K1825" s="8"/>
      <c r="L1825" s="8"/>
      <c r="M1825" s="8"/>
    </row>
    <row r="1826">
      <c r="A1826" s="8"/>
      <c r="B1826" s="551" t="str">
        <f t="array" ref="B1826">IF(LEN(E1826),INDEX('4-All Devices'!AG:AG, MATCH(E1826, '4-All Devices'!AF:AF, 0)),"")</f>
        <v/>
      </c>
      <c r="C1826" s="549" t="s">
        <v>11186</v>
      </c>
      <c r="D1826" s="549" t="s">
        <v>11192</v>
      </c>
      <c r="E1826" s="8"/>
      <c r="F1826" s="552" t="s">
        <v>11188</v>
      </c>
      <c r="G1826" s="8"/>
      <c r="H1826" s="8"/>
      <c r="I1826" s="8"/>
      <c r="J1826" s="547"/>
      <c r="K1826" s="8"/>
      <c r="L1826" s="8"/>
      <c r="M1826" s="8"/>
    </row>
    <row r="1827">
      <c r="A1827" s="8"/>
      <c r="B1827" s="551" t="str">
        <f t="array" ref="B1827">IF(LEN(E1827),INDEX('4-All Devices'!AG:AG, MATCH(E1827, '4-All Devices'!AF:AF, 0)),"")</f>
        <v/>
      </c>
      <c r="C1827" s="549" t="s">
        <v>11186</v>
      </c>
      <c r="D1827" s="549" t="s">
        <v>11192</v>
      </c>
      <c r="E1827" s="8"/>
      <c r="F1827" s="552" t="s">
        <v>11188</v>
      </c>
      <c r="G1827" s="8"/>
      <c r="H1827" s="8"/>
      <c r="I1827" s="8"/>
      <c r="J1827" s="547"/>
      <c r="K1827" s="8"/>
      <c r="L1827" s="8"/>
      <c r="M1827" s="8"/>
    </row>
    <row r="1828">
      <c r="A1828" s="8"/>
      <c r="B1828" s="551" t="str">
        <f t="array" ref="B1828">IF(LEN(E1828),INDEX('4-All Devices'!AG:AG, MATCH(E1828, '4-All Devices'!AF:AF, 0)),"")</f>
        <v/>
      </c>
      <c r="C1828" s="549" t="s">
        <v>11186</v>
      </c>
      <c r="D1828" s="549" t="s">
        <v>11192</v>
      </c>
      <c r="E1828" s="8"/>
      <c r="F1828" s="552" t="s">
        <v>11188</v>
      </c>
      <c r="G1828" s="8"/>
      <c r="H1828" s="8"/>
      <c r="I1828" s="8"/>
      <c r="J1828" s="547"/>
      <c r="K1828" s="8"/>
      <c r="L1828" s="8"/>
      <c r="M1828" s="8"/>
    </row>
    <row r="1829">
      <c r="A1829" s="8"/>
      <c r="B1829" s="551" t="str">
        <f t="array" ref="B1829">IF(LEN(E1829),INDEX('4-All Devices'!AG:AG, MATCH(E1829, '4-All Devices'!AF:AF, 0)),"")</f>
        <v/>
      </c>
      <c r="C1829" s="549" t="s">
        <v>11186</v>
      </c>
      <c r="D1829" s="549" t="s">
        <v>11192</v>
      </c>
      <c r="E1829" s="8"/>
      <c r="F1829" s="552" t="s">
        <v>11188</v>
      </c>
      <c r="G1829" s="8"/>
      <c r="H1829" s="8"/>
      <c r="I1829" s="8"/>
      <c r="J1829" s="547"/>
      <c r="K1829" s="8"/>
      <c r="L1829" s="8"/>
      <c r="M1829" s="8"/>
    </row>
    <row r="1830">
      <c r="A1830" s="8"/>
      <c r="B1830" s="551" t="str">
        <f t="array" ref="B1830">IF(LEN(E1830),INDEX('4-All Devices'!AG:AG, MATCH(E1830, '4-All Devices'!AF:AF, 0)),"")</f>
        <v/>
      </c>
      <c r="C1830" s="549" t="s">
        <v>11186</v>
      </c>
      <c r="D1830" s="549" t="s">
        <v>11192</v>
      </c>
      <c r="E1830" s="8"/>
      <c r="F1830" s="552" t="s">
        <v>11188</v>
      </c>
      <c r="G1830" s="8"/>
      <c r="H1830" s="8"/>
      <c r="I1830" s="8"/>
      <c r="J1830" s="547"/>
      <c r="K1830" s="8"/>
      <c r="L1830" s="8"/>
      <c r="M1830" s="8"/>
    </row>
    <row r="1831">
      <c r="A1831" s="8"/>
      <c r="B1831" s="551" t="str">
        <f t="array" ref="B1831">IF(LEN(E1831),INDEX('4-All Devices'!AG:AG, MATCH(E1831, '4-All Devices'!AF:AF, 0)),"")</f>
        <v/>
      </c>
      <c r="C1831" s="549" t="s">
        <v>11186</v>
      </c>
      <c r="D1831" s="549" t="s">
        <v>11192</v>
      </c>
      <c r="E1831" s="8"/>
      <c r="F1831" s="552" t="s">
        <v>11188</v>
      </c>
      <c r="G1831" s="8"/>
      <c r="H1831" s="8"/>
      <c r="I1831" s="8"/>
      <c r="J1831" s="547"/>
      <c r="K1831" s="8"/>
      <c r="L1831" s="8"/>
      <c r="M1831" s="8"/>
    </row>
    <row r="1832">
      <c r="A1832" s="8"/>
      <c r="B1832" s="551" t="str">
        <f t="array" ref="B1832">IF(LEN(E1832),INDEX('4-All Devices'!AG:AG, MATCH(E1832, '4-All Devices'!AF:AF, 0)),"")</f>
        <v/>
      </c>
      <c r="C1832" s="549" t="s">
        <v>11186</v>
      </c>
      <c r="D1832" s="549" t="s">
        <v>11192</v>
      </c>
      <c r="E1832" s="8"/>
      <c r="F1832" s="552" t="s">
        <v>11188</v>
      </c>
      <c r="G1832" s="8"/>
      <c r="H1832" s="8"/>
      <c r="I1832" s="8"/>
      <c r="J1832" s="547"/>
      <c r="K1832" s="8"/>
      <c r="L1832" s="8"/>
      <c r="M1832" s="8"/>
    </row>
    <row r="1833">
      <c r="A1833" s="8"/>
      <c r="B1833" s="551" t="str">
        <f t="array" ref="B1833">IF(LEN(E1833),INDEX('4-All Devices'!AG:AG, MATCH(E1833, '4-All Devices'!AF:AF, 0)),"")</f>
        <v/>
      </c>
      <c r="C1833" s="549" t="s">
        <v>11186</v>
      </c>
      <c r="D1833" s="549" t="s">
        <v>11192</v>
      </c>
      <c r="E1833" s="8"/>
      <c r="F1833" s="552" t="s">
        <v>11188</v>
      </c>
      <c r="G1833" s="8"/>
      <c r="H1833" s="8"/>
      <c r="I1833" s="8"/>
      <c r="J1833" s="547"/>
      <c r="K1833" s="8"/>
      <c r="L1833" s="8"/>
      <c r="M1833" s="8"/>
    </row>
    <row r="1834">
      <c r="A1834" s="8"/>
      <c r="B1834" s="551" t="str">
        <f t="array" ref="B1834">IF(LEN(E1834),INDEX('4-All Devices'!AG:AG, MATCH(E1834, '4-All Devices'!AF:AF, 0)),"")</f>
        <v/>
      </c>
      <c r="C1834" s="549" t="s">
        <v>11186</v>
      </c>
      <c r="D1834" s="549" t="s">
        <v>11192</v>
      </c>
      <c r="E1834" s="8"/>
      <c r="F1834" s="552" t="s">
        <v>11188</v>
      </c>
      <c r="G1834" s="8"/>
      <c r="H1834" s="8"/>
      <c r="I1834" s="8"/>
      <c r="J1834" s="547"/>
      <c r="K1834" s="8"/>
      <c r="L1834" s="8"/>
      <c r="M1834" s="8"/>
    </row>
    <row r="1835">
      <c r="A1835" s="8"/>
      <c r="B1835" s="551" t="str">
        <f t="array" ref="B1835">IF(LEN(E1835),INDEX('4-All Devices'!AG:AG, MATCH(E1835, '4-All Devices'!AF:AF, 0)),"")</f>
        <v/>
      </c>
      <c r="C1835" s="549" t="s">
        <v>11186</v>
      </c>
      <c r="D1835" s="549" t="s">
        <v>11193</v>
      </c>
      <c r="E1835" s="8"/>
      <c r="F1835" s="552" t="s">
        <v>11188</v>
      </c>
      <c r="G1835" s="8"/>
      <c r="H1835" s="8"/>
      <c r="I1835" s="8"/>
      <c r="J1835" s="547"/>
      <c r="K1835" s="8"/>
      <c r="L1835" s="8"/>
      <c r="M1835" s="8"/>
    </row>
    <row r="1836">
      <c r="A1836" s="8"/>
      <c r="B1836" s="551" t="str">
        <f t="array" ref="B1836">IF(LEN(E1836),INDEX('4-All Devices'!AG:AG, MATCH(E1836, '4-All Devices'!AF:AF, 0)),"")</f>
        <v/>
      </c>
      <c r="C1836" s="549" t="s">
        <v>11186</v>
      </c>
      <c r="D1836" s="549" t="s">
        <v>11193</v>
      </c>
      <c r="E1836" s="8"/>
      <c r="F1836" s="552" t="s">
        <v>11188</v>
      </c>
      <c r="G1836" s="8"/>
      <c r="H1836" s="8"/>
      <c r="I1836" s="8"/>
      <c r="J1836" s="547"/>
      <c r="K1836" s="8"/>
      <c r="L1836" s="8"/>
      <c r="M1836" s="8"/>
    </row>
    <row r="1837">
      <c r="A1837" s="8"/>
      <c r="B1837" s="551" t="str">
        <f t="array" ref="B1837">IF(LEN(E1837),INDEX('4-All Devices'!AG:AG, MATCH(E1837, '4-All Devices'!AF:AF, 0)),"")</f>
        <v/>
      </c>
      <c r="C1837" s="549" t="s">
        <v>11186</v>
      </c>
      <c r="D1837" s="549" t="s">
        <v>11192</v>
      </c>
      <c r="E1837" s="8"/>
      <c r="F1837" s="552" t="s">
        <v>11188</v>
      </c>
      <c r="G1837" s="8"/>
      <c r="H1837" s="8"/>
      <c r="I1837" s="8"/>
      <c r="J1837" s="547"/>
      <c r="K1837" s="8"/>
      <c r="L1837" s="8"/>
      <c r="M1837" s="8"/>
    </row>
    <row r="1838">
      <c r="A1838" s="8"/>
      <c r="B1838" s="551" t="str">
        <f t="array" ref="B1838">IF(LEN(E1838),INDEX('4-All Devices'!AG:AG, MATCH(E1838, '4-All Devices'!AF:AF, 0)),"")</f>
        <v/>
      </c>
      <c r="C1838" s="549" t="s">
        <v>11186</v>
      </c>
      <c r="D1838" s="549" t="s">
        <v>11192</v>
      </c>
      <c r="E1838" s="8"/>
      <c r="F1838" s="552" t="s">
        <v>11188</v>
      </c>
      <c r="G1838" s="8"/>
      <c r="H1838" s="8"/>
      <c r="I1838" s="8"/>
      <c r="J1838" s="547"/>
      <c r="K1838" s="8"/>
      <c r="L1838" s="8"/>
      <c r="M1838" s="8"/>
    </row>
    <row r="1839">
      <c r="A1839" s="8"/>
      <c r="B1839" s="551" t="str">
        <f t="array" ref="B1839">IF(LEN(E1839),INDEX('4-All Devices'!AG:AG, MATCH(E1839, '4-All Devices'!AF:AF, 0)),"")</f>
        <v/>
      </c>
      <c r="C1839" s="549" t="s">
        <v>11186</v>
      </c>
      <c r="D1839" s="549" t="s">
        <v>11192</v>
      </c>
      <c r="E1839" s="8"/>
      <c r="F1839" s="552" t="s">
        <v>11188</v>
      </c>
      <c r="G1839" s="8"/>
      <c r="H1839" s="8"/>
      <c r="I1839" s="8"/>
      <c r="J1839" s="547"/>
      <c r="K1839" s="8"/>
      <c r="L1839" s="8"/>
      <c r="M1839" s="8"/>
    </row>
    <row r="1840">
      <c r="A1840" s="8"/>
      <c r="B1840" s="551" t="str">
        <f t="array" ref="B1840">IF(LEN(E1840),INDEX('4-All Devices'!AG:AG, MATCH(E1840, '4-All Devices'!AF:AF, 0)),"")</f>
        <v/>
      </c>
      <c r="C1840" s="549" t="s">
        <v>11186</v>
      </c>
      <c r="D1840" s="549" t="s">
        <v>11192</v>
      </c>
      <c r="E1840" s="8"/>
      <c r="F1840" s="552" t="s">
        <v>11188</v>
      </c>
      <c r="G1840" s="8"/>
      <c r="H1840" s="8"/>
      <c r="I1840" s="8"/>
      <c r="J1840" s="547"/>
      <c r="K1840" s="8"/>
      <c r="L1840" s="8"/>
      <c r="M1840" s="8"/>
    </row>
    <row r="1841">
      <c r="A1841" s="8"/>
      <c r="B1841" s="551" t="str">
        <f t="array" ref="B1841">IF(LEN(E1841),INDEX('4-All Devices'!AG:AG, MATCH(E1841, '4-All Devices'!AF:AF, 0)),"")</f>
        <v/>
      </c>
      <c r="C1841" s="549" t="s">
        <v>11186</v>
      </c>
      <c r="D1841" s="549" t="s">
        <v>11192</v>
      </c>
      <c r="E1841" s="8"/>
      <c r="F1841" s="552" t="s">
        <v>11188</v>
      </c>
      <c r="G1841" s="8"/>
      <c r="H1841" s="8"/>
      <c r="I1841" s="8"/>
      <c r="J1841" s="547"/>
      <c r="K1841" s="8"/>
      <c r="L1841" s="8"/>
      <c r="M1841" s="8"/>
    </row>
    <row r="1842">
      <c r="A1842" s="8"/>
      <c r="B1842" s="551" t="str">
        <f t="array" ref="B1842">IF(LEN(E1842),INDEX('4-All Devices'!AG:AG, MATCH(E1842, '4-All Devices'!AF:AF, 0)),"")</f>
        <v/>
      </c>
      <c r="C1842" s="549" t="s">
        <v>11186</v>
      </c>
      <c r="D1842" s="549" t="s">
        <v>11192</v>
      </c>
      <c r="E1842" s="8"/>
      <c r="F1842" s="552" t="s">
        <v>11188</v>
      </c>
      <c r="G1842" s="8"/>
      <c r="H1842" s="8"/>
      <c r="I1842" s="8"/>
      <c r="J1842" s="547"/>
      <c r="K1842" s="8"/>
      <c r="L1842" s="8"/>
      <c r="M1842" s="8"/>
    </row>
    <row r="1843">
      <c r="A1843" s="8"/>
      <c r="B1843" s="551" t="str">
        <f t="array" ref="B1843">IF(LEN(E1843),INDEX('4-All Devices'!AG:AG, MATCH(E1843, '4-All Devices'!AF:AF, 0)),"")</f>
        <v/>
      </c>
      <c r="C1843" s="549" t="s">
        <v>11186</v>
      </c>
      <c r="D1843" s="549" t="s">
        <v>11192</v>
      </c>
      <c r="E1843" s="8"/>
      <c r="F1843" s="552" t="s">
        <v>11188</v>
      </c>
      <c r="G1843" s="8"/>
      <c r="H1843" s="8"/>
      <c r="I1843" s="8"/>
      <c r="J1843" s="547"/>
      <c r="K1843" s="8"/>
      <c r="L1843" s="8"/>
      <c r="M1843" s="8"/>
    </row>
    <row r="1844">
      <c r="A1844" s="8"/>
      <c r="B1844" s="551" t="str">
        <f t="array" ref="B1844">IF(LEN(E1844),INDEX('4-All Devices'!AG:AG, MATCH(E1844, '4-All Devices'!AF:AF, 0)),"")</f>
        <v/>
      </c>
      <c r="C1844" s="549" t="s">
        <v>11186</v>
      </c>
      <c r="D1844" s="549" t="s">
        <v>11192</v>
      </c>
      <c r="E1844" s="8"/>
      <c r="F1844" s="552" t="s">
        <v>11188</v>
      </c>
      <c r="G1844" s="8"/>
      <c r="H1844" s="8"/>
      <c r="I1844" s="8"/>
      <c r="J1844" s="547"/>
      <c r="K1844" s="8"/>
      <c r="L1844" s="8"/>
      <c r="M1844" s="8"/>
    </row>
    <row r="1845">
      <c r="A1845" s="8"/>
      <c r="B1845" s="551" t="str">
        <f t="array" ref="B1845">IF(LEN(E1845),INDEX('4-All Devices'!AG:AG, MATCH(E1845, '4-All Devices'!AF:AF, 0)),"")</f>
        <v/>
      </c>
      <c r="C1845" s="549" t="s">
        <v>11186</v>
      </c>
      <c r="D1845" s="549" t="s">
        <v>11192</v>
      </c>
      <c r="E1845" s="8"/>
      <c r="F1845" s="552" t="s">
        <v>11188</v>
      </c>
      <c r="G1845" s="8"/>
      <c r="H1845" s="8"/>
      <c r="I1845" s="8"/>
      <c r="J1845" s="547"/>
      <c r="K1845" s="8"/>
      <c r="L1845" s="8"/>
      <c r="M1845" s="8"/>
    </row>
    <row r="1846">
      <c r="A1846" s="8"/>
      <c r="B1846" s="551" t="str">
        <f t="array" ref="B1846">IF(LEN(E1846),INDEX('4-All Devices'!AG:AG, MATCH(E1846, '4-All Devices'!AF:AF, 0)),"")</f>
        <v/>
      </c>
      <c r="C1846" s="549" t="s">
        <v>11186</v>
      </c>
      <c r="D1846" s="549" t="s">
        <v>11192</v>
      </c>
      <c r="E1846" s="8"/>
      <c r="F1846" s="552" t="s">
        <v>11188</v>
      </c>
      <c r="G1846" s="8"/>
      <c r="H1846" s="8"/>
      <c r="I1846" s="8"/>
      <c r="J1846" s="547"/>
      <c r="K1846" s="8"/>
      <c r="L1846" s="8"/>
      <c r="M1846" s="8"/>
    </row>
    <row r="1847">
      <c r="A1847" s="8"/>
      <c r="B1847" s="551" t="str">
        <f t="array" ref="B1847">IF(LEN(E1847),INDEX('4-All Devices'!AG:AG, MATCH(E1847, '4-All Devices'!AF:AF, 0)),"")</f>
        <v/>
      </c>
      <c r="C1847" s="549" t="s">
        <v>11186</v>
      </c>
      <c r="D1847" s="549" t="s">
        <v>11192</v>
      </c>
      <c r="E1847" s="8"/>
      <c r="F1847" s="552" t="s">
        <v>11188</v>
      </c>
      <c r="G1847" s="8"/>
      <c r="H1847" s="8"/>
      <c r="I1847" s="8"/>
      <c r="J1847" s="547"/>
      <c r="K1847" s="8"/>
      <c r="L1847" s="8"/>
      <c r="M1847" s="8"/>
    </row>
    <row r="1848">
      <c r="A1848" s="8"/>
      <c r="B1848" s="551" t="str">
        <f t="array" ref="B1848">IF(LEN(E1848),INDEX('4-All Devices'!AG:AG, MATCH(E1848, '4-All Devices'!AF:AF, 0)),"")</f>
        <v/>
      </c>
      <c r="C1848" s="549" t="s">
        <v>11186</v>
      </c>
      <c r="D1848" s="549" t="s">
        <v>11193</v>
      </c>
      <c r="E1848" s="8"/>
      <c r="F1848" s="552" t="s">
        <v>11188</v>
      </c>
      <c r="G1848" s="8"/>
      <c r="H1848" s="8"/>
      <c r="I1848" s="8"/>
      <c r="J1848" s="547"/>
      <c r="K1848" s="8"/>
      <c r="L1848" s="8"/>
      <c r="M1848" s="8"/>
    </row>
    <row r="1849">
      <c r="A1849" s="8"/>
      <c r="B1849" s="551" t="str">
        <f t="array" ref="B1849">IF(LEN(E1849),INDEX('4-All Devices'!AG:AG, MATCH(E1849, '4-All Devices'!AF:AF, 0)),"")</f>
        <v/>
      </c>
      <c r="C1849" s="549" t="s">
        <v>11186</v>
      </c>
      <c r="D1849" s="549" t="s">
        <v>11192</v>
      </c>
      <c r="E1849" s="8"/>
      <c r="F1849" s="552" t="s">
        <v>11188</v>
      </c>
      <c r="G1849" s="8"/>
      <c r="H1849" s="8"/>
      <c r="I1849" s="8"/>
      <c r="J1849" s="547"/>
      <c r="K1849" s="8"/>
      <c r="L1849" s="8"/>
      <c r="M1849" s="8"/>
    </row>
    <row r="1850">
      <c r="A1850" s="8"/>
      <c r="B1850" s="551" t="str">
        <f t="array" ref="B1850">IF(LEN(E1850),INDEX('4-All Devices'!AG:AG, MATCH(E1850, '4-All Devices'!AF:AF, 0)),"")</f>
        <v/>
      </c>
      <c r="C1850" s="549" t="s">
        <v>11186</v>
      </c>
      <c r="D1850" s="549" t="s">
        <v>11193</v>
      </c>
      <c r="E1850" s="8"/>
      <c r="F1850" s="552" t="s">
        <v>11188</v>
      </c>
      <c r="G1850" s="8"/>
      <c r="H1850" s="8"/>
      <c r="I1850" s="8"/>
      <c r="J1850" s="547"/>
      <c r="K1850" s="8"/>
      <c r="L1850" s="8"/>
      <c r="M1850" s="8"/>
    </row>
    <row r="1851">
      <c r="A1851" s="8"/>
      <c r="B1851" s="551" t="str">
        <f t="array" ref="B1851">IF(LEN(E1851),INDEX('4-All Devices'!AG:AG, MATCH(E1851, '4-All Devices'!AF:AF, 0)),"")</f>
        <v/>
      </c>
      <c r="C1851" s="549" t="s">
        <v>11186</v>
      </c>
      <c r="D1851" s="549" t="s">
        <v>11192</v>
      </c>
      <c r="E1851" s="8"/>
      <c r="F1851" s="552" t="s">
        <v>11188</v>
      </c>
      <c r="G1851" s="8"/>
      <c r="H1851" s="8"/>
      <c r="I1851" s="8"/>
      <c r="J1851" s="547"/>
      <c r="K1851" s="8"/>
      <c r="L1851" s="8"/>
      <c r="M1851" s="8"/>
    </row>
    <row r="1852">
      <c r="A1852" s="8"/>
      <c r="B1852" s="551" t="str">
        <f t="array" ref="B1852">IF(LEN(E1852),INDEX('4-All Devices'!AG:AG, MATCH(E1852, '4-All Devices'!AF:AF, 0)),"")</f>
        <v/>
      </c>
      <c r="C1852" s="549" t="s">
        <v>11186</v>
      </c>
      <c r="D1852" s="549" t="s">
        <v>11193</v>
      </c>
      <c r="E1852" s="8"/>
      <c r="F1852" s="552" t="s">
        <v>11188</v>
      </c>
      <c r="G1852" s="8"/>
      <c r="H1852" s="8"/>
      <c r="I1852" s="8"/>
      <c r="J1852" s="547"/>
      <c r="K1852" s="8"/>
      <c r="L1852" s="8"/>
      <c r="M1852" s="8"/>
    </row>
    <row r="1853">
      <c r="A1853" s="8"/>
      <c r="B1853" s="551" t="str">
        <f t="array" ref="B1853">IF(LEN(E1853),INDEX('4-All Devices'!AG:AG, MATCH(E1853, '4-All Devices'!AF:AF, 0)),"")</f>
        <v/>
      </c>
      <c r="C1853" s="549" t="s">
        <v>11186</v>
      </c>
      <c r="D1853" s="549" t="s">
        <v>11192</v>
      </c>
      <c r="E1853" s="8"/>
      <c r="F1853" s="552" t="s">
        <v>11188</v>
      </c>
      <c r="G1853" s="8"/>
      <c r="H1853" s="8"/>
      <c r="I1853" s="8"/>
      <c r="J1853" s="547"/>
      <c r="K1853" s="8"/>
      <c r="L1853" s="8"/>
      <c r="M1853" s="8"/>
    </row>
    <row r="1854">
      <c r="A1854" s="8"/>
      <c r="B1854" s="551" t="str">
        <f t="array" ref="B1854">IF(LEN(E1854),INDEX('4-All Devices'!AG:AG, MATCH(E1854, '4-All Devices'!AF:AF, 0)),"")</f>
        <v/>
      </c>
      <c r="C1854" s="549" t="s">
        <v>11186</v>
      </c>
      <c r="D1854" s="549" t="s">
        <v>11192</v>
      </c>
      <c r="E1854" s="8"/>
      <c r="F1854" s="552" t="s">
        <v>11188</v>
      </c>
      <c r="G1854" s="8"/>
      <c r="H1854" s="8"/>
      <c r="I1854" s="8"/>
      <c r="J1854" s="547"/>
      <c r="K1854" s="8"/>
      <c r="L1854" s="8"/>
      <c r="M1854" s="8"/>
    </row>
    <row r="1855">
      <c r="A1855" s="8"/>
      <c r="B1855" s="551" t="str">
        <f t="array" ref="B1855">IF(LEN(E1855),INDEX('4-All Devices'!AG:AG, MATCH(E1855, '4-All Devices'!AF:AF, 0)),"")</f>
        <v/>
      </c>
      <c r="C1855" s="549" t="s">
        <v>11186</v>
      </c>
      <c r="D1855" s="549" t="s">
        <v>11193</v>
      </c>
      <c r="E1855" s="8"/>
      <c r="F1855" s="552" t="s">
        <v>11188</v>
      </c>
      <c r="G1855" s="8"/>
      <c r="H1855" s="8"/>
      <c r="I1855" s="8"/>
      <c r="J1855" s="547"/>
      <c r="K1855" s="8"/>
      <c r="L1855" s="8"/>
      <c r="M1855" s="8"/>
    </row>
    <row r="1856">
      <c r="A1856" s="8"/>
      <c r="B1856" s="551" t="str">
        <f t="array" ref="B1856">IF(LEN(E1856),INDEX('4-All Devices'!AG:AG, MATCH(E1856, '4-All Devices'!AF:AF, 0)),"")</f>
        <v/>
      </c>
      <c r="C1856" s="549" t="s">
        <v>11186</v>
      </c>
      <c r="D1856" s="549" t="s">
        <v>11192</v>
      </c>
      <c r="E1856" s="8"/>
      <c r="F1856" s="552" t="s">
        <v>11188</v>
      </c>
      <c r="G1856" s="8"/>
      <c r="H1856" s="8"/>
      <c r="I1856" s="8"/>
      <c r="J1856" s="547"/>
      <c r="K1856" s="8"/>
      <c r="L1856" s="8"/>
      <c r="M1856" s="8"/>
    </row>
    <row r="1857">
      <c r="A1857" s="8"/>
      <c r="B1857" s="551" t="str">
        <f t="array" ref="B1857">IF(LEN(E1857),INDEX('4-All Devices'!AG:AG, MATCH(E1857, '4-All Devices'!AF:AF, 0)),"")</f>
        <v/>
      </c>
      <c r="C1857" s="549" t="s">
        <v>11186</v>
      </c>
      <c r="D1857" s="549" t="s">
        <v>11192</v>
      </c>
      <c r="E1857" s="8"/>
      <c r="F1857" s="552" t="s">
        <v>11188</v>
      </c>
      <c r="G1857" s="8"/>
      <c r="H1857" s="8"/>
      <c r="I1857" s="8"/>
      <c r="J1857" s="547"/>
      <c r="K1857" s="8"/>
      <c r="L1857" s="8"/>
      <c r="M1857" s="8"/>
    </row>
    <row r="1858">
      <c r="A1858" s="8"/>
      <c r="B1858" s="551" t="str">
        <f t="array" ref="B1858">IF(LEN(E1858),INDEX('4-All Devices'!AG:AG, MATCH(E1858, '4-All Devices'!AF:AF, 0)),"")</f>
        <v/>
      </c>
      <c r="C1858" s="549" t="s">
        <v>11186</v>
      </c>
      <c r="D1858" s="549" t="s">
        <v>11192</v>
      </c>
      <c r="E1858" s="8"/>
      <c r="F1858" s="552" t="s">
        <v>11188</v>
      </c>
      <c r="G1858" s="8"/>
      <c r="H1858" s="8"/>
      <c r="I1858" s="8"/>
      <c r="J1858" s="547"/>
      <c r="K1858" s="8"/>
      <c r="L1858" s="8"/>
      <c r="M1858" s="8"/>
    </row>
    <row r="1859">
      <c r="A1859" s="8"/>
      <c r="B1859" s="551" t="str">
        <f t="array" ref="B1859">IF(LEN(E1859),INDEX('4-All Devices'!AG:AG, MATCH(E1859, '4-All Devices'!AF:AF, 0)),"")</f>
        <v/>
      </c>
      <c r="C1859" s="549" t="s">
        <v>11186</v>
      </c>
      <c r="D1859" s="549" t="s">
        <v>11192</v>
      </c>
      <c r="E1859" s="8"/>
      <c r="F1859" s="552" t="s">
        <v>11188</v>
      </c>
      <c r="G1859" s="8"/>
      <c r="H1859" s="8"/>
      <c r="I1859" s="8"/>
      <c r="J1859" s="547"/>
      <c r="K1859" s="8"/>
      <c r="L1859" s="8"/>
      <c r="M1859" s="8"/>
    </row>
    <row r="1860">
      <c r="A1860" s="8"/>
      <c r="B1860" s="551" t="str">
        <f t="array" ref="B1860">IF(LEN(E1860),INDEX('4-All Devices'!AG:AG, MATCH(E1860, '4-All Devices'!AF:AF, 0)),"")</f>
        <v/>
      </c>
      <c r="C1860" s="549" t="s">
        <v>11186</v>
      </c>
      <c r="D1860" s="549" t="s">
        <v>11192</v>
      </c>
      <c r="E1860" s="8"/>
      <c r="F1860" s="552" t="s">
        <v>11188</v>
      </c>
      <c r="G1860" s="8"/>
      <c r="H1860" s="8"/>
      <c r="I1860" s="8"/>
      <c r="J1860" s="547"/>
      <c r="K1860" s="8"/>
      <c r="L1860" s="8"/>
      <c r="M1860" s="8"/>
    </row>
    <row r="1861">
      <c r="A1861" s="8"/>
      <c r="B1861" s="551" t="str">
        <f t="array" ref="B1861">IF(LEN(E1861),INDEX('4-All Devices'!AG:AG, MATCH(E1861, '4-All Devices'!AF:AF, 0)),"")</f>
        <v/>
      </c>
      <c r="C1861" s="549" t="s">
        <v>11186</v>
      </c>
      <c r="D1861" s="549" t="s">
        <v>11192</v>
      </c>
      <c r="E1861" s="8"/>
      <c r="F1861" s="552" t="s">
        <v>11188</v>
      </c>
      <c r="G1861" s="8"/>
      <c r="H1861" s="8"/>
      <c r="I1861" s="8"/>
      <c r="J1861" s="547"/>
      <c r="K1861" s="8"/>
      <c r="L1861" s="8"/>
      <c r="M1861" s="8"/>
    </row>
    <row r="1862">
      <c r="A1862" s="8"/>
      <c r="B1862" s="551" t="str">
        <f t="array" ref="B1862">IF(LEN(E1862),INDEX('4-All Devices'!AG:AG, MATCH(E1862, '4-All Devices'!AF:AF, 0)),"")</f>
        <v/>
      </c>
      <c r="C1862" s="549" t="s">
        <v>11186</v>
      </c>
      <c r="D1862" s="549" t="s">
        <v>11192</v>
      </c>
      <c r="E1862" s="8"/>
      <c r="F1862" s="552" t="s">
        <v>11188</v>
      </c>
      <c r="G1862" s="8"/>
      <c r="H1862" s="8"/>
      <c r="I1862" s="8"/>
      <c r="J1862" s="547"/>
      <c r="K1862" s="8"/>
      <c r="L1862" s="8"/>
      <c r="M1862" s="8"/>
    </row>
    <row r="1863">
      <c r="A1863" s="8"/>
      <c r="B1863" s="551" t="str">
        <f t="array" ref="B1863">IF(LEN(E1863),INDEX('4-All Devices'!AG:AG, MATCH(E1863, '4-All Devices'!AF:AF, 0)),"")</f>
        <v/>
      </c>
      <c r="C1863" s="549" t="s">
        <v>11186</v>
      </c>
      <c r="D1863" s="549" t="s">
        <v>11192</v>
      </c>
      <c r="E1863" s="8"/>
      <c r="F1863" s="552" t="s">
        <v>11188</v>
      </c>
      <c r="G1863" s="8"/>
      <c r="H1863" s="8"/>
      <c r="I1863" s="8"/>
      <c r="J1863" s="547"/>
      <c r="K1863" s="8"/>
      <c r="L1863" s="8"/>
      <c r="M1863" s="8"/>
    </row>
    <row r="1864">
      <c r="A1864" s="8"/>
      <c r="B1864" s="551" t="str">
        <f t="array" ref="B1864">IF(LEN(E1864),INDEX('4-All Devices'!AG:AG, MATCH(E1864, '4-All Devices'!AF:AF, 0)),"")</f>
        <v/>
      </c>
      <c r="C1864" s="549" t="s">
        <v>11186</v>
      </c>
      <c r="D1864" s="549" t="s">
        <v>11192</v>
      </c>
      <c r="E1864" s="8"/>
      <c r="F1864" s="552" t="s">
        <v>11188</v>
      </c>
      <c r="G1864" s="8"/>
      <c r="H1864" s="8"/>
      <c r="I1864" s="8"/>
      <c r="J1864" s="547"/>
      <c r="K1864" s="8"/>
      <c r="L1864" s="8"/>
      <c r="M1864" s="8"/>
    </row>
    <row r="1865">
      <c r="A1865" s="8"/>
      <c r="B1865" s="551" t="str">
        <f t="array" ref="B1865">IF(LEN(E1865),INDEX('4-All Devices'!AG:AG, MATCH(E1865, '4-All Devices'!AF:AF, 0)),"")</f>
        <v/>
      </c>
      <c r="C1865" s="549" t="s">
        <v>11186</v>
      </c>
      <c r="D1865" s="549" t="s">
        <v>11192</v>
      </c>
      <c r="E1865" s="8"/>
      <c r="F1865" s="552" t="s">
        <v>11188</v>
      </c>
      <c r="G1865" s="8"/>
      <c r="H1865" s="8"/>
      <c r="I1865" s="8"/>
      <c r="J1865" s="547"/>
      <c r="K1865" s="8"/>
      <c r="L1865" s="8"/>
      <c r="M1865" s="8"/>
    </row>
    <row r="1866">
      <c r="A1866" s="8"/>
      <c r="B1866" s="551" t="str">
        <f t="array" ref="B1866">IF(LEN(E1866),INDEX('4-All Devices'!AG:AG, MATCH(E1866, '4-All Devices'!AF:AF, 0)),"")</f>
        <v/>
      </c>
      <c r="C1866" s="549" t="s">
        <v>11186</v>
      </c>
      <c r="D1866" s="549" t="s">
        <v>11192</v>
      </c>
      <c r="E1866" s="8"/>
      <c r="F1866" s="552" t="s">
        <v>11188</v>
      </c>
      <c r="G1866" s="8"/>
      <c r="H1866" s="8"/>
      <c r="I1866" s="8"/>
      <c r="J1866" s="547"/>
      <c r="K1866" s="8"/>
      <c r="L1866" s="8"/>
      <c r="M1866" s="8"/>
    </row>
    <row r="1867">
      <c r="A1867" s="8"/>
      <c r="B1867" s="551" t="str">
        <f t="array" ref="B1867">IF(LEN(E1867),INDEX('4-All Devices'!AG:AG, MATCH(E1867, '4-All Devices'!AF:AF, 0)),"")</f>
        <v/>
      </c>
      <c r="C1867" s="549" t="s">
        <v>11186</v>
      </c>
      <c r="D1867" s="549" t="s">
        <v>11192</v>
      </c>
      <c r="E1867" s="8"/>
      <c r="F1867" s="552" t="s">
        <v>11188</v>
      </c>
      <c r="G1867" s="8"/>
      <c r="H1867" s="8"/>
      <c r="I1867" s="8"/>
      <c r="J1867" s="547"/>
      <c r="K1867" s="8"/>
      <c r="L1867" s="8"/>
      <c r="M1867" s="8"/>
    </row>
    <row r="1868">
      <c r="A1868" s="8"/>
      <c r="B1868" s="551" t="str">
        <f t="array" ref="B1868">IF(LEN(E1868),INDEX('4-All Devices'!AG:AG, MATCH(E1868, '4-All Devices'!AF:AF, 0)),"")</f>
        <v/>
      </c>
      <c r="C1868" s="549" t="s">
        <v>11186</v>
      </c>
      <c r="D1868" s="549" t="s">
        <v>11193</v>
      </c>
      <c r="E1868" s="8"/>
      <c r="F1868" s="552" t="s">
        <v>11188</v>
      </c>
      <c r="G1868" s="8"/>
      <c r="H1868" s="8"/>
      <c r="I1868" s="8"/>
      <c r="J1868" s="547"/>
      <c r="K1868" s="8"/>
      <c r="L1868" s="8"/>
      <c r="M1868" s="8"/>
    </row>
    <row r="1869">
      <c r="A1869" s="8"/>
      <c r="B1869" s="551" t="str">
        <f t="array" ref="B1869">IF(LEN(E1869),INDEX('4-All Devices'!AG:AG, MATCH(E1869, '4-All Devices'!AF:AF, 0)),"")</f>
        <v/>
      </c>
      <c r="C1869" s="549" t="s">
        <v>11186</v>
      </c>
      <c r="D1869" s="549" t="s">
        <v>11192</v>
      </c>
      <c r="E1869" s="8"/>
      <c r="F1869" s="552" t="s">
        <v>11188</v>
      </c>
      <c r="G1869" s="8"/>
      <c r="H1869" s="8"/>
      <c r="I1869" s="8"/>
      <c r="J1869" s="547"/>
      <c r="K1869" s="8"/>
      <c r="L1869" s="8"/>
      <c r="M1869" s="8"/>
    </row>
    <row r="1870">
      <c r="A1870" s="8"/>
      <c r="B1870" s="551" t="str">
        <f t="array" ref="B1870">IF(LEN(E1870),INDEX('4-All Devices'!AG:AG, MATCH(E1870, '4-All Devices'!AF:AF, 0)),"")</f>
        <v/>
      </c>
      <c r="C1870" s="549" t="s">
        <v>11186</v>
      </c>
      <c r="D1870" s="549" t="s">
        <v>11192</v>
      </c>
      <c r="E1870" s="8"/>
      <c r="F1870" s="552" t="s">
        <v>11188</v>
      </c>
      <c r="G1870" s="8"/>
      <c r="H1870" s="8"/>
      <c r="I1870" s="8"/>
      <c r="J1870" s="547"/>
      <c r="K1870" s="8"/>
      <c r="L1870" s="8"/>
      <c r="M1870" s="8"/>
    </row>
    <row r="1871">
      <c r="A1871" s="8"/>
      <c r="B1871" s="551" t="str">
        <f t="array" ref="B1871">IF(LEN(E1871),INDEX('4-All Devices'!AG:AG, MATCH(E1871, '4-All Devices'!AF:AF, 0)),"")</f>
        <v/>
      </c>
      <c r="C1871" s="549" t="s">
        <v>11186</v>
      </c>
      <c r="D1871" s="549" t="s">
        <v>11192</v>
      </c>
      <c r="E1871" s="8"/>
      <c r="F1871" s="552" t="s">
        <v>11188</v>
      </c>
      <c r="G1871" s="8"/>
      <c r="H1871" s="8"/>
      <c r="I1871" s="8"/>
      <c r="J1871" s="547"/>
      <c r="K1871" s="8"/>
      <c r="L1871" s="8"/>
      <c r="M1871" s="8"/>
    </row>
    <row r="1872">
      <c r="A1872" s="8"/>
      <c r="B1872" s="551" t="str">
        <f t="array" ref="B1872">IF(LEN(E1872),INDEX('4-All Devices'!AG:AG, MATCH(E1872, '4-All Devices'!AF:AF, 0)),"")</f>
        <v/>
      </c>
      <c r="C1872" s="549" t="s">
        <v>11186</v>
      </c>
      <c r="D1872" s="549" t="s">
        <v>11192</v>
      </c>
      <c r="E1872" s="8"/>
      <c r="F1872" s="552" t="s">
        <v>11188</v>
      </c>
      <c r="G1872" s="8"/>
      <c r="H1872" s="8"/>
      <c r="I1872" s="8"/>
      <c r="J1872" s="547"/>
      <c r="K1872" s="8"/>
      <c r="L1872" s="8"/>
      <c r="M1872" s="8"/>
    </row>
    <row r="1873">
      <c r="A1873" s="8"/>
      <c r="B1873" s="551" t="str">
        <f t="array" ref="B1873">IF(LEN(E1873),INDEX('4-All Devices'!AG:AG, MATCH(E1873, '4-All Devices'!AF:AF, 0)),"")</f>
        <v/>
      </c>
      <c r="C1873" s="549" t="s">
        <v>11186</v>
      </c>
      <c r="D1873" s="549" t="s">
        <v>11192</v>
      </c>
      <c r="E1873" s="8"/>
      <c r="F1873" s="552" t="s">
        <v>11188</v>
      </c>
      <c r="G1873" s="8"/>
      <c r="H1873" s="8"/>
      <c r="I1873" s="8"/>
      <c r="J1873" s="547"/>
      <c r="K1873" s="8"/>
      <c r="L1873" s="8"/>
      <c r="M1873" s="8"/>
    </row>
    <row r="1874">
      <c r="A1874" s="8"/>
      <c r="B1874" s="551" t="str">
        <f t="array" ref="B1874">IF(LEN(E1874),INDEX('4-All Devices'!AG:AG, MATCH(E1874, '4-All Devices'!AF:AF, 0)),"")</f>
        <v/>
      </c>
      <c r="C1874" s="549" t="s">
        <v>11186</v>
      </c>
      <c r="D1874" s="549" t="s">
        <v>11192</v>
      </c>
      <c r="E1874" s="8"/>
      <c r="F1874" s="552" t="s">
        <v>11188</v>
      </c>
      <c r="G1874" s="8"/>
      <c r="H1874" s="8"/>
      <c r="I1874" s="8"/>
      <c r="J1874" s="547"/>
      <c r="K1874" s="8"/>
      <c r="L1874" s="8"/>
      <c r="M1874" s="8"/>
    </row>
    <row r="1875">
      <c r="A1875" s="8"/>
      <c r="B1875" s="551" t="str">
        <f t="array" ref="B1875">IF(LEN(E1875),INDEX('4-All Devices'!AG:AG, MATCH(E1875, '4-All Devices'!AF:AF, 0)),"")</f>
        <v/>
      </c>
      <c r="C1875" s="549" t="s">
        <v>11186</v>
      </c>
      <c r="D1875" s="549" t="s">
        <v>11192</v>
      </c>
      <c r="E1875" s="8"/>
      <c r="F1875" s="552" t="s">
        <v>11188</v>
      </c>
      <c r="G1875" s="8"/>
      <c r="H1875" s="8"/>
      <c r="I1875" s="8"/>
      <c r="J1875" s="547"/>
      <c r="K1875" s="8"/>
      <c r="L1875" s="8"/>
      <c r="M1875" s="8"/>
    </row>
    <row r="1876">
      <c r="A1876" s="8"/>
      <c r="B1876" s="551" t="str">
        <f t="array" ref="B1876">IF(LEN(E1876),INDEX('4-All Devices'!AG:AG, MATCH(E1876, '4-All Devices'!AF:AF, 0)),"")</f>
        <v/>
      </c>
      <c r="C1876" s="549" t="s">
        <v>11186</v>
      </c>
      <c r="D1876" s="549" t="s">
        <v>11192</v>
      </c>
      <c r="E1876" s="8"/>
      <c r="F1876" s="552" t="s">
        <v>11188</v>
      </c>
      <c r="G1876" s="8"/>
      <c r="H1876" s="8"/>
      <c r="I1876" s="8"/>
      <c r="J1876" s="547"/>
      <c r="K1876" s="8"/>
      <c r="L1876" s="8"/>
      <c r="M1876" s="8"/>
    </row>
    <row r="1877">
      <c r="A1877" s="8"/>
      <c r="B1877" s="551" t="str">
        <f t="array" ref="B1877">IF(LEN(E1877),INDEX('4-All Devices'!AG:AG, MATCH(E1877, '4-All Devices'!AF:AF, 0)),"")</f>
        <v/>
      </c>
      <c r="C1877" s="549" t="s">
        <v>11186</v>
      </c>
      <c r="D1877" s="549" t="s">
        <v>11192</v>
      </c>
      <c r="E1877" s="8"/>
      <c r="F1877" s="552" t="s">
        <v>11188</v>
      </c>
      <c r="G1877" s="8"/>
      <c r="H1877" s="8"/>
      <c r="I1877" s="8"/>
      <c r="J1877" s="547"/>
      <c r="K1877" s="8"/>
      <c r="L1877" s="8"/>
      <c r="M1877" s="8"/>
    </row>
    <row r="1878">
      <c r="A1878" s="8"/>
      <c r="B1878" s="551" t="str">
        <f t="array" ref="B1878">IF(LEN(E1878),INDEX('4-All Devices'!AG:AG, MATCH(E1878, '4-All Devices'!AF:AF, 0)),"")</f>
        <v/>
      </c>
      <c r="C1878" s="549" t="s">
        <v>11186</v>
      </c>
      <c r="D1878" s="549" t="s">
        <v>11192</v>
      </c>
      <c r="E1878" s="8"/>
      <c r="F1878" s="552" t="s">
        <v>11188</v>
      </c>
      <c r="G1878" s="8"/>
      <c r="H1878" s="8"/>
      <c r="I1878" s="8"/>
      <c r="J1878" s="547"/>
      <c r="K1878" s="8"/>
      <c r="L1878" s="8"/>
      <c r="M1878" s="8"/>
    </row>
    <row r="1879">
      <c r="A1879" s="8"/>
      <c r="B1879" s="551" t="str">
        <f t="array" ref="B1879">IF(LEN(E1879),INDEX('4-All Devices'!AG:AG, MATCH(E1879, '4-All Devices'!AF:AF, 0)),"")</f>
        <v/>
      </c>
      <c r="C1879" s="549" t="s">
        <v>11186</v>
      </c>
      <c r="D1879" s="549" t="s">
        <v>11192</v>
      </c>
      <c r="E1879" s="8"/>
      <c r="F1879" s="552" t="s">
        <v>11188</v>
      </c>
      <c r="G1879" s="8"/>
      <c r="H1879" s="8"/>
      <c r="I1879" s="8"/>
      <c r="J1879" s="547"/>
      <c r="K1879" s="8"/>
      <c r="L1879" s="8"/>
      <c r="M1879" s="8"/>
    </row>
    <row r="1880">
      <c r="A1880" s="8"/>
      <c r="B1880" s="551" t="str">
        <f t="array" ref="B1880">IF(LEN(E1880),INDEX('4-All Devices'!AG:AG, MATCH(E1880, '4-All Devices'!AF:AF, 0)),"")</f>
        <v/>
      </c>
      <c r="C1880" s="549" t="s">
        <v>11186</v>
      </c>
      <c r="D1880" s="549" t="s">
        <v>11192</v>
      </c>
      <c r="E1880" s="8"/>
      <c r="F1880" s="552" t="s">
        <v>11188</v>
      </c>
      <c r="G1880" s="8"/>
      <c r="H1880" s="8"/>
      <c r="I1880" s="8"/>
      <c r="J1880" s="547"/>
      <c r="K1880" s="8"/>
      <c r="L1880" s="8"/>
      <c r="M1880" s="8"/>
    </row>
    <row r="1881">
      <c r="A1881" s="8"/>
      <c r="B1881" s="551" t="str">
        <f t="array" ref="B1881">IF(LEN(E1881),INDEX('4-All Devices'!AG:AG, MATCH(E1881, '4-All Devices'!AF:AF, 0)),"")</f>
        <v/>
      </c>
      <c r="C1881" s="549" t="s">
        <v>11186</v>
      </c>
      <c r="D1881" s="549" t="s">
        <v>11193</v>
      </c>
      <c r="E1881" s="8"/>
      <c r="F1881" s="552" t="s">
        <v>11188</v>
      </c>
      <c r="G1881" s="8"/>
      <c r="H1881" s="8"/>
      <c r="I1881" s="8"/>
      <c r="J1881" s="547"/>
      <c r="K1881" s="8"/>
      <c r="L1881" s="8"/>
      <c r="M1881" s="8"/>
    </row>
    <row r="1882">
      <c r="A1882" s="8"/>
      <c r="B1882" s="551" t="str">
        <f t="array" ref="B1882">IF(LEN(E1882),INDEX('4-All Devices'!AG:AG, MATCH(E1882, '4-All Devices'!AF:AF, 0)),"")</f>
        <v/>
      </c>
      <c r="C1882" s="549" t="s">
        <v>11186</v>
      </c>
      <c r="D1882" s="549" t="s">
        <v>11192</v>
      </c>
      <c r="E1882" s="8"/>
      <c r="F1882" s="552" t="s">
        <v>11188</v>
      </c>
      <c r="G1882" s="8"/>
      <c r="H1882" s="8"/>
      <c r="I1882" s="8"/>
      <c r="J1882" s="547"/>
      <c r="K1882" s="8"/>
      <c r="L1882" s="8"/>
      <c r="M1882" s="8"/>
    </row>
    <row r="1883">
      <c r="A1883" s="8"/>
      <c r="B1883" s="551" t="str">
        <f t="array" ref="B1883">IF(LEN(E1883),INDEX('4-All Devices'!AG:AG, MATCH(E1883, '4-All Devices'!AF:AF, 0)),"")</f>
        <v/>
      </c>
      <c r="C1883" s="549" t="s">
        <v>11186</v>
      </c>
      <c r="D1883" s="549" t="s">
        <v>11192</v>
      </c>
      <c r="E1883" s="8"/>
      <c r="F1883" s="552" t="s">
        <v>11188</v>
      </c>
      <c r="G1883" s="8"/>
      <c r="H1883" s="8"/>
      <c r="I1883" s="8"/>
      <c r="J1883" s="547"/>
      <c r="K1883" s="8"/>
      <c r="L1883" s="8"/>
      <c r="M1883" s="8"/>
    </row>
    <row r="1884">
      <c r="A1884" s="8"/>
      <c r="B1884" s="551" t="str">
        <f t="array" ref="B1884">IF(LEN(E1884),INDEX('4-All Devices'!AG:AG, MATCH(E1884, '4-All Devices'!AF:AF, 0)),"")</f>
        <v/>
      </c>
      <c r="C1884" s="549" t="s">
        <v>11186</v>
      </c>
      <c r="D1884" s="549" t="s">
        <v>11192</v>
      </c>
      <c r="E1884" s="8"/>
      <c r="F1884" s="552" t="s">
        <v>11188</v>
      </c>
      <c r="G1884" s="8"/>
      <c r="H1884" s="8"/>
      <c r="I1884" s="8"/>
      <c r="J1884" s="547"/>
      <c r="K1884" s="8"/>
      <c r="L1884" s="8"/>
      <c r="M1884" s="8"/>
    </row>
    <row r="1885">
      <c r="A1885" s="8"/>
      <c r="B1885" s="551" t="str">
        <f t="array" ref="B1885">IF(LEN(E1885),INDEX('4-All Devices'!AG:AG, MATCH(E1885, '4-All Devices'!AF:AF, 0)),"")</f>
        <v/>
      </c>
      <c r="C1885" s="549" t="s">
        <v>11186</v>
      </c>
      <c r="D1885" s="549" t="s">
        <v>11192</v>
      </c>
      <c r="E1885" s="8"/>
      <c r="F1885" s="552" t="s">
        <v>11188</v>
      </c>
      <c r="G1885" s="8"/>
      <c r="H1885" s="8"/>
      <c r="I1885" s="8"/>
      <c r="J1885" s="547"/>
      <c r="K1885" s="8"/>
      <c r="L1885" s="8"/>
      <c r="M1885" s="8"/>
    </row>
    <row r="1886">
      <c r="A1886" s="8"/>
      <c r="B1886" s="551" t="str">
        <f t="array" ref="B1886">IF(LEN(E1886),INDEX('4-All Devices'!AG:AG, MATCH(E1886, '4-All Devices'!AF:AF, 0)),"")</f>
        <v/>
      </c>
      <c r="C1886" s="549" t="s">
        <v>11186</v>
      </c>
      <c r="D1886" s="549" t="s">
        <v>11192</v>
      </c>
      <c r="E1886" s="8"/>
      <c r="F1886" s="552" t="s">
        <v>11188</v>
      </c>
      <c r="G1886" s="8"/>
      <c r="H1886" s="8"/>
      <c r="I1886" s="8"/>
      <c r="J1886" s="547"/>
      <c r="K1886" s="8"/>
      <c r="L1886" s="8"/>
      <c r="M1886" s="8"/>
    </row>
    <row r="1887">
      <c r="A1887" s="8"/>
      <c r="B1887" s="551" t="str">
        <f t="array" ref="B1887">IF(LEN(E1887),INDEX('4-All Devices'!AG:AG, MATCH(E1887, '4-All Devices'!AF:AF, 0)),"")</f>
        <v/>
      </c>
      <c r="C1887" s="549" t="s">
        <v>11186</v>
      </c>
      <c r="D1887" s="549" t="s">
        <v>11192</v>
      </c>
      <c r="E1887" s="8"/>
      <c r="F1887" s="552" t="s">
        <v>11188</v>
      </c>
      <c r="G1887" s="8"/>
      <c r="H1887" s="8"/>
      <c r="I1887" s="8"/>
      <c r="J1887" s="547"/>
      <c r="K1887" s="8"/>
      <c r="L1887" s="8"/>
      <c r="M1887" s="8"/>
    </row>
    <row r="1888">
      <c r="A1888" s="8"/>
      <c r="B1888" s="551" t="str">
        <f t="array" ref="B1888">IF(LEN(E1888),INDEX('4-All Devices'!AG:AG, MATCH(E1888, '4-All Devices'!AF:AF, 0)),"")</f>
        <v/>
      </c>
      <c r="C1888" s="549" t="s">
        <v>11186</v>
      </c>
      <c r="D1888" s="549" t="s">
        <v>11192</v>
      </c>
      <c r="E1888" s="8"/>
      <c r="F1888" s="552" t="s">
        <v>11188</v>
      </c>
      <c r="G1888" s="8"/>
      <c r="H1888" s="8"/>
      <c r="I1888" s="8"/>
      <c r="J1888" s="547"/>
      <c r="K1888" s="8"/>
      <c r="L1888" s="8"/>
      <c r="M1888" s="8"/>
    </row>
    <row r="1889">
      <c r="A1889" s="8"/>
      <c r="B1889" s="551" t="str">
        <f t="array" ref="B1889">IF(LEN(E1889),INDEX('4-All Devices'!AG:AG, MATCH(E1889, '4-All Devices'!AF:AF, 0)),"")</f>
        <v/>
      </c>
      <c r="C1889" s="549" t="s">
        <v>11186</v>
      </c>
      <c r="D1889" s="549" t="s">
        <v>11192</v>
      </c>
      <c r="E1889" s="8"/>
      <c r="F1889" s="552" t="s">
        <v>11188</v>
      </c>
      <c r="G1889" s="8"/>
      <c r="H1889" s="8"/>
      <c r="I1889" s="8"/>
      <c r="J1889" s="547"/>
      <c r="K1889" s="8"/>
      <c r="L1889" s="8"/>
      <c r="M1889" s="8"/>
    </row>
    <row r="1890">
      <c r="A1890" s="8"/>
      <c r="B1890" s="551" t="str">
        <f t="array" ref="B1890">IF(LEN(E1890),INDEX('4-All Devices'!AG:AG, MATCH(E1890, '4-All Devices'!AF:AF, 0)),"")</f>
        <v/>
      </c>
      <c r="C1890" s="549" t="s">
        <v>11186</v>
      </c>
      <c r="D1890" s="549" t="s">
        <v>11192</v>
      </c>
      <c r="E1890" s="8"/>
      <c r="F1890" s="552" t="s">
        <v>11188</v>
      </c>
      <c r="G1890" s="8"/>
      <c r="H1890" s="8"/>
      <c r="I1890" s="8"/>
      <c r="J1890" s="547"/>
      <c r="K1890" s="8"/>
      <c r="L1890" s="8"/>
      <c r="M1890" s="8"/>
    </row>
    <row r="1891">
      <c r="A1891" s="8"/>
      <c r="B1891" s="551" t="str">
        <f t="array" ref="B1891">IF(LEN(E1891),INDEX('4-All Devices'!AG:AG, MATCH(E1891, '4-All Devices'!AF:AF, 0)),"")</f>
        <v/>
      </c>
      <c r="C1891" s="549" t="s">
        <v>11186</v>
      </c>
      <c r="D1891" s="549" t="s">
        <v>11192</v>
      </c>
      <c r="E1891" s="8"/>
      <c r="F1891" s="552" t="s">
        <v>11188</v>
      </c>
      <c r="G1891" s="8"/>
      <c r="H1891" s="8"/>
      <c r="I1891" s="8"/>
      <c r="J1891" s="547"/>
      <c r="K1891" s="8"/>
      <c r="L1891" s="8"/>
      <c r="M1891" s="8"/>
    </row>
    <row r="1892">
      <c r="A1892" s="8"/>
      <c r="B1892" s="551" t="str">
        <f t="array" ref="B1892">IF(LEN(E1892),INDEX('4-All Devices'!AG:AG, MATCH(E1892, '4-All Devices'!AF:AF, 0)),"")</f>
        <v/>
      </c>
      <c r="C1892" s="549" t="s">
        <v>11186</v>
      </c>
      <c r="D1892" s="549" t="s">
        <v>11192</v>
      </c>
      <c r="E1892" s="8"/>
      <c r="F1892" s="552" t="s">
        <v>11188</v>
      </c>
      <c r="G1892" s="8"/>
      <c r="H1892" s="8"/>
      <c r="I1892" s="8"/>
      <c r="J1892" s="547"/>
      <c r="K1892" s="8"/>
      <c r="L1892" s="8"/>
      <c r="M1892" s="8"/>
    </row>
    <row r="1893">
      <c r="A1893" s="8"/>
      <c r="B1893" s="551" t="str">
        <f t="array" ref="B1893">IF(LEN(E1893),INDEX('4-All Devices'!AG:AG, MATCH(E1893, '4-All Devices'!AF:AF, 0)),"")</f>
        <v/>
      </c>
      <c r="C1893" s="552" t="s">
        <v>11186</v>
      </c>
      <c r="D1893" s="549" t="s">
        <v>11193</v>
      </c>
      <c r="E1893" s="8"/>
      <c r="F1893" s="552" t="s">
        <v>11188</v>
      </c>
      <c r="G1893" s="8"/>
      <c r="H1893" s="8"/>
      <c r="I1893" s="8"/>
      <c r="J1893" s="547"/>
      <c r="K1893" s="8"/>
      <c r="L1893" s="8"/>
      <c r="M1893" s="8"/>
    </row>
    <row r="1894">
      <c r="A1894" s="8"/>
      <c r="B1894" s="551" t="str">
        <f t="array" ref="B1894">IF(LEN(E1894),INDEX('4-All Devices'!AG:AG, MATCH(E1894, '4-All Devices'!AF:AF, 0)),"")</f>
        <v/>
      </c>
      <c r="C1894" s="552" t="s">
        <v>11186</v>
      </c>
      <c r="D1894" s="549" t="s">
        <v>11192</v>
      </c>
      <c r="E1894" s="8"/>
      <c r="F1894" s="552" t="s">
        <v>11188</v>
      </c>
      <c r="G1894" s="8"/>
      <c r="H1894" s="8"/>
      <c r="I1894" s="8"/>
      <c r="J1894" s="547"/>
      <c r="K1894" s="8"/>
      <c r="L1894" s="8"/>
      <c r="M1894" s="8"/>
    </row>
    <row r="1895">
      <c r="A1895" s="8"/>
      <c r="B1895" s="551" t="str">
        <f t="array" ref="B1895">IF(LEN(E1895),INDEX('4-All Devices'!AG:AG, MATCH(E1895, '4-All Devices'!AF:AF, 0)),"")</f>
        <v/>
      </c>
      <c r="C1895" s="552" t="s">
        <v>11186</v>
      </c>
      <c r="D1895" s="549" t="s">
        <v>11192</v>
      </c>
      <c r="E1895" s="8"/>
      <c r="F1895" s="552" t="s">
        <v>11188</v>
      </c>
      <c r="G1895" s="8"/>
      <c r="H1895" s="8"/>
      <c r="I1895" s="8"/>
      <c r="J1895" s="547"/>
      <c r="K1895" s="8"/>
      <c r="L1895" s="8"/>
      <c r="M1895" s="8"/>
    </row>
    <row r="1896">
      <c r="A1896" s="8"/>
      <c r="B1896" s="551" t="str">
        <f t="array" ref="B1896">IF(LEN(E1896),INDEX('4-All Devices'!AG:AG, MATCH(E1896, '4-All Devices'!AF:AF, 0)),"")</f>
        <v/>
      </c>
      <c r="C1896" s="552" t="s">
        <v>11186</v>
      </c>
      <c r="D1896" s="549" t="s">
        <v>11192</v>
      </c>
      <c r="E1896" s="8"/>
      <c r="F1896" s="552" t="s">
        <v>11188</v>
      </c>
      <c r="G1896" s="8"/>
      <c r="H1896" s="8"/>
      <c r="I1896" s="8"/>
      <c r="J1896" s="547"/>
      <c r="K1896" s="8"/>
      <c r="L1896" s="8"/>
      <c r="M1896" s="8"/>
    </row>
    <row r="1897">
      <c r="A1897" s="8"/>
      <c r="B1897" s="551" t="str">
        <f t="array" ref="B1897">IF(LEN(E1897),INDEX('4-All Devices'!AG:AG, MATCH(E1897, '4-All Devices'!AF:AF, 0)),"")</f>
        <v/>
      </c>
      <c r="C1897" s="552" t="s">
        <v>11186</v>
      </c>
      <c r="D1897" s="549" t="s">
        <v>11192</v>
      </c>
      <c r="E1897" s="8"/>
      <c r="F1897" s="552" t="s">
        <v>11188</v>
      </c>
      <c r="G1897" s="8"/>
      <c r="H1897" s="8"/>
      <c r="I1897" s="8"/>
      <c r="J1897" s="547"/>
      <c r="K1897" s="8"/>
      <c r="L1897" s="8"/>
      <c r="M1897" s="8"/>
    </row>
    <row r="1898">
      <c r="A1898" s="8"/>
      <c r="B1898" s="551" t="str">
        <f t="array" ref="B1898">IF(LEN(E1898),INDEX('4-All Devices'!AG:AG, MATCH(E1898, '4-All Devices'!AF:AF, 0)),"")</f>
        <v/>
      </c>
      <c r="C1898" s="552" t="s">
        <v>11186</v>
      </c>
      <c r="D1898" s="549" t="s">
        <v>11192</v>
      </c>
      <c r="E1898" s="8"/>
      <c r="F1898" s="552" t="s">
        <v>11188</v>
      </c>
      <c r="G1898" s="8"/>
      <c r="H1898" s="8"/>
      <c r="I1898" s="8"/>
      <c r="J1898" s="547"/>
      <c r="K1898" s="8"/>
      <c r="L1898" s="8"/>
      <c r="M1898" s="8"/>
    </row>
    <row r="1899">
      <c r="A1899" s="8"/>
      <c r="B1899" s="551" t="str">
        <f t="array" ref="B1899">IF(LEN(E1899),INDEX('4-All Devices'!AG:AG, MATCH(E1899, '4-All Devices'!AF:AF, 0)),"")</f>
        <v/>
      </c>
      <c r="C1899" s="552" t="s">
        <v>11186</v>
      </c>
      <c r="D1899" s="549" t="s">
        <v>11192</v>
      </c>
      <c r="E1899" s="8"/>
      <c r="F1899" s="552" t="s">
        <v>11188</v>
      </c>
      <c r="G1899" s="8"/>
      <c r="H1899" s="8"/>
      <c r="I1899" s="8"/>
      <c r="J1899" s="547"/>
      <c r="K1899" s="8"/>
      <c r="L1899" s="8"/>
      <c r="M1899" s="8"/>
    </row>
    <row r="1900">
      <c r="A1900" s="8"/>
      <c r="B1900" s="551" t="str">
        <f t="array" ref="B1900">IF(LEN(E1900),INDEX('4-All Devices'!AG:AG, MATCH(E1900, '4-All Devices'!AF:AF, 0)),"")</f>
        <v/>
      </c>
      <c r="C1900" s="552" t="s">
        <v>11186</v>
      </c>
      <c r="D1900" s="549" t="s">
        <v>11192</v>
      </c>
      <c r="E1900" s="8"/>
      <c r="F1900" s="552" t="s">
        <v>11188</v>
      </c>
      <c r="G1900" s="8"/>
      <c r="H1900" s="8"/>
      <c r="I1900" s="8"/>
      <c r="J1900" s="547"/>
      <c r="K1900" s="8"/>
      <c r="L1900" s="8"/>
      <c r="M1900" s="8"/>
    </row>
    <row r="1901">
      <c r="A1901" s="8"/>
      <c r="B1901" s="551" t="str">
        <f t="array" ref="B1901">IF(LEN(E1901),INDEX('4-All Devices'!AG:AG, MATCH(E1901, '4-All Devices'!AF:AF, 0)),"")</f>
        <v/>
      </c>
      <c r="C1901" s="552" t="s">
        <v>11186</v>
      </c>
      <c r="D1901" s="549" t="s">
        <v>11192</v>
      </c>
      <c r="E1901" s="8"/>
      <c r="F1901" s="552" t="s">
        <v>11188</v>
      </c>
      <c r="G1901" s="8"/>
      <c r="H1901" s="8"/>
      <c r="I1901" s="8"/>
      <c r="J1901" s="547"/>
      <c r="K1901" s="8"/>
      <c r="L1901" s="8"/>
      <c r="M1901" s="8"/>
    </row>
    <row r="1902">
      <c r="A1902" s="8"/>
      <c r="B1902" s="551" t="str">
        <f t="array" ref="B1902">IF(LEN(E1902),INDEX('4-All Devices'!AG:AG, MATCH(E1902, '4-All Devices'!AF:AF, 0)),"")</f>
        <v/>
      </c>
      <c r="C1902" s="552" t="s">
        <v>11186</v>
      </c>
      <c r="D1902" s="549" t="s">
        <v>11192</v>
      </c>
      <c r="E1902" s="8"/>
      <c r="F1902" s="552" t="s">
        <v>11188</v>
      </c>
      <c r="G1902" s="8"/>
      <c r="H1902" s="8"/>
      <c r="I1902" s="8"/>
      <c r="J1902" s="547"/>
      <c r="K1902" s="8"/>
      <c r="L1902" s="8"/>
      <c r="M1902" s="8"/>
    </row>
    <row r="1903">
      <c r="A1903" s="8"/>
      <c r="B1903" s="551" t="str">
        <f t="array" ref="B1903">IF(LEN(E1903),INDEX('4-All Devices'!AG:AG, MATCH(E1903, '4-All Devices'!AF:AF, 0)),"")</f>
        <v/>
      </c>
      <c r="C1903" s="552" t="s">
        <v>11186</v>
      </c>
      <c r="D1903" s="549" t="s">
        <v>11192</v>
      </c>
      <c r="E1903" s="8"/>
      <c r="F1903" s="552" t="s">
        <v>11188</v>
      </c>
      <c r="G1903" s="8"/>
      <c r="H1903" s="8"/>
      <c r="I1903" s="8"/>
      <c r="J1903" s="547"/>
      <c r="K1903" s="8"/>
      <c r="L1903" s="8"/>
      <c r="M1903" s="8"/>
    </row>
    <row r="1904">
      <c r="A1904" s="8"/>
      <c r="B1904" s="551" t="str">
        <f t="array" ref="B1904">IF(LEN(E1904),INDEX('4-All Devices'!AG:AG, MATCH(E1904, '4-All Devices'!AF:AF, 0)),"")</f>
        <v/>
      </c>
      <c r="C1904" s="552" t="s">
        <v>11186</v>
      </c>
      <c r="D1904" s="549" t="s">
        <v>11192</v>
      </c>
      <c r="E1904" s="8"/>
      <c r="F1904" s="552" t="s">
        <v>11188</v>
      </c>
      <c r="G1904" s="8"/>
      <c r="H1904" s="8"/>
      <c r="I1904" s="8"/>
      <c r="J1904" s="547"/>
      <c r="K1904" s="8"/>
      <c r="L1904" s="8"/>
      <c r="M1904" s="8"/>
    </row>
    <row r="1905">
      <c r="A1905" s="8"/>
      <c r="B1905" s="551" t="str">
        <f t="array" ref="B1905">IF(LEN(E1905),INDEX('4-All Devices'!AG:AG, MATCH(E1905, '4-All Devices'!AF:AF, 0)),"")</f>
        <v/>
      </c>
      <c r="C1905" s="552" t="s">
        <v>11186</v>
      </c>
      <c r="D1905" s="549" t="s">
        <v>11192</v>
      </c>
      <c r="E1905" s="8"/>
      <c r="F1905" s="552" t="s">
        <v>11188</v>
      </c>
      <c r="G1905" s="8"/>
      <c r="H1905" s="8"/>
      <c r="I1905" s="8"/>
      <c r="J1905" s="547"/>
      <c r="K1905" s="8"/>
      <c r="L1905" s="8"/>
      <c r="M1905" s="8"/>
    </row>
    <row r="1906">
      <c r="A1906" s="8"/>
      <c r="B1906" s="551" t="str">
        <f t="array" ref="B1906">IF(LEN(E1906),INDEX('4-All Devices'!AG:AG, MATCH(E1906, '4-All Devices'!AF:AF, 0)),"")</f>
        <v/>
      </c>
      <c r="C1906" s="552" t="s">
        <v>11186</v>
      </c>
      <c r="D1906" s="549" t="s">
        <v>11193</v>
      </c>
      <c r="E1906" s="8"/>
      <c r="F1906" s="552" t="s">
        <v>11188</v>
      </c>
      <c r="G1906" s="8"/>
      <c r="H1906" s="8"/>
      <c r="I1906" s="8"/>
      <c r="J1906" s="547"/>
      <c r="K1906" s="8"/>
      <c r="L1906" s="8"/>
      <c r="M1906" s="8"/>
    </row>
    <row r="1907">
      <c r="A1907" s="8"/>
      <c r="B1907" s="551" t="str">
        <f t="array" ref="B1907">IF(LEN(E1907),INDEX('4-All Devices'!AG:AG, MATCH(E1907, '4-All Devices'!AF:AF, 0)),"")</f>
        <v/>
      </c>
      <c r="C1907" s="552" t="s">
        <v>11186</v>
      </c>
      <c r="D1907" s="549" t="s">
        <v>11192</v>
      </c>
      <c r="E1907" s="8"/>
      <c r="F1907" s="552" t="s">
        <v>11188</v>
      </c>
      <c r="G1907" s="8"/>
      <c r="H1907" s="8"/>
      <c r="I1907" s="8"/>
      <c r="J1907" s="547"/>
      <c r="K1907" s="8"/>
      <c r="L1907" s="8"/>
      <c r="M1907" s="8"/>
    </row>
    <row r="1908">
      <c r="A1908" s="8"/>
      <c r="B1908" s="551" t="str">
        <f t="array" ref="B1908">IF(LEN(E1908),INDEX('4-All Devices'!AG:AG, MATCH(E1908, '4-All Devices'!AF:AF, 0)),"")</f>
        <v/>
      </c>
      <c r="C1908" s="552" t="s">
        <v>11186</v>
      </c>
      <c r="D1908" s="549" t="s">
        <v>11192</v>
      </c>
      <c r="E1908" s="8"/>
      <c r="F1908" s="552" t="s">
        <v>11188</v>
      </c>
      <c r="G1908" s="8"/>
      <c r="H1908" s="8"/>
      <c r="I1908" s="8"/>
      <c r="J1908" s="547"/>
      <c r="K1908" s="8"/>
      <c r="L1908" s="8"/>
      <c r="M1908" s="8"/>
    </row>
    <row r="1909">
      <c r="A1909" s="8"/>
      <c r="B1909" s="551" t="str">
        <f t="array" ref="B1909">IF(LEN(E1909),INDEX('4-All Devices'!AG:AG, MATCH(E1909, '4-All Devices'!AF:AF, 0)),"")</f>
        <v/>
      </c>
      <c r="C1909" s="552" t="s">
        <v>11186</v>
      </c>
      <c r="D1909" s="549" t="s">
        <v>11192</v>
      </c>
      <c r="E1909" s="8"/>
      <c r="F1909" s="552" t="s">
        <v>11188</v>
      </c>
      <c r="G1909" s="8"/>
      <c r="H1909" s="8"/>
      <c r="I1909" s="8"/>
      <c r="J1909" s="547"/>
      <c r="K1909" s="8"/>
      <c r="L1909" s="8"/>
      <c r="M1909" s="8"/>
    </row>
    <row r="1910">
      <c r="A1910" s="8"/>
      <c r="B1910" s="551" t="str">
        <f t="array" ref="B1910">IF(LEN(E1910),INDEX('4-All Devices'!AG:AG, MATCH(E1910, '4-All Devices'!AF:AF, 0)),"")</f>
        <v/>
      </c>
      <c r="C1910" s="552" t="s">
        <v>11186</v>
      </c>
      <c r="D1910" s="549" t="s">
        <v>11192</v>
      </c>
      <c r="E1910" s="8"/>
      <c r="F1910" s="552" t="s">
        <v>11188</v>
      </c>
      <c r="G1910" s="8"/>
      <c r="H1910" s="8"/>
      <c r="I1910" s="8"/>
      <c r="J1910" s="547"/>
      <c r="K1910" s="8"/>
      <c r="L1910" s="8"/>
      <c r="M1910" s="8"/>
    </row>
    <row r="1911">
      <c r="A1911" s="8"/>
      <c r="B1911" s="551" t="str">
        <f t="array" ref="B1911">IF(LEN(E1911),INDEX('4-All Devices'!AG:AG, MATCH(E1911, '4-All Devices'!AF:AF, 0)),"")</f>
        <v/>
      </c>
      <c r="C1911" s="552" t="s">
        <v>11186</v>
      </c>
      <c r="D1911" s="549" t="s">
        <v>11192</v>
      </c>
      <c r="E1911" s="8"/>
      <c r="F1911" s="552" t="s">
        <v>11188</v>
      </c>
      <c r="G1911" s="8"/>
      <c r="H1911" s="8"/>
      <c r="I1911" s="8"/>
      <c r="J1911" s="547"/>
      <c r="K1911" s="8"/>
      <c r="L1911" s="8"/>
      <c r="M1911" s="8"/>
    </row>
    <row r="1912">
      <c r="A1912" s="8"/>
      <c r="B1912" s="551" t="str">
        <f t="array" ref="B1912">IF(LEN(E1912),INDEX('4-All Devices'!AG:AG, MATCH(E1912, '4-All Devices'!AF:AF, 0)),"")</f>
        <v/>
      </c>
      <c r="C1912" s="552" t="s">
        <v>11186</v>
      </c>
      <c r="D1912" s="549" t="s">
        <v>11192</v>
      </c>
      <c r="E1912" s="8"/>
      <c r="F1912" s="552" t="s">
        <v>11188</v>
      </c>
      <c r="G1912" s="8"/>
      <c r="H1912" s="8"/>
      <c r="I1912" s="8"/>
      <c r="J1912" s="547"/>
      <c r="K1912" s="8"/>
      <c r="L1912" s="8"/>
      <c r="M1912" s="8"/>
    </row>
    <row r="1913">
      <c r="A1913" s="8"/>
      <c r="B1913" s="551" t="str">
        <f t="array" ref="B1913">IF(LEN(E1913),INDEX('4-All Devices'!AG:AG, MATCH(E1913, '4-All Devices'!AF:AF, 0)),"")</f>
        <v/>
      </c>
      <c r="C1913" s="552" t="s">
        <v>11186</v>
      </c>
      <c r="D1913" s="549" t="s">
        <v>11192</v>
      </c>
      <c r="E1913" s="8"/>
      <c r="F1913" s="552" t="s">
        <v>11188</v>
      </c>
      <c r="G1913" s="8"/>
      <c r="H1913" s="8"/>
      <c r="I1913" s="8"/>
      <c r="J1913" s="547"/>
      <c r="K1913" s="8"/>
      <c r="L1913" s="8"/>
      <c r="M1913" s="8"/>
    </row>
    <row r="1914">
      <c r="A1914" s="8"/>
      <c r="B1914" s="551" t="str">
        <f t="array" ref="B1914">IF(LEN(E1914),INDEX('4-All Devices'!AG:AG, MATCH(E1914, '4-All Devices'!AF:AF, 0)),"")</f>
        <v/>
      </c>
      <c r="C1914" s="552" t="s">
        <v>11186</v>
      </c>
      <c r="D1914" s="549" t="s">
        <v>11193</v>
      </c>
      <c r="E1914" s="8"/>
      <c r="F1914" s="552" t="s">
        <v>11188</v>
      </c>
      <c r="G1914" s="8"/>
      <c r="H1914" s="8"/>
      <c r="I1914" s="8"/>
      <c r="J1914" s="547"/>
      <c r="K1914" s="8"/>
      <c r="L1914" s="8"/>
      <c r="M1914" s="8"/>
    </row>
    <row r="1915">
      <c r="A1915" s="8"/>
      <c r="B1915" s="551" t="str">
        <f t="array" ref="B1915">IF(LEN(E1915),INDEX('4-All Devices'!AG:AG, MATCH(E1915, '4-All Devices'!AF:AF, 0)),"")</f>
        <v/>
      </c>
      <c r="C1915" s="552" t="s">
        <v>11186</v>
      </c>
      <c r="D1915" s="549" t="s">
        <v>11192</v>
      </c>
      <c r="E1915" s="8"/>
      <c r="F1915" s="552" t="s">
        <v>11188</v>
      </c>
      <c r="G1915" s="8"/>
      <c r="H1915" s="8"/>
      <c r="I1915" s="8"/>
      <c r="J1915" s="547"/>
      <c r="K1915" s="8"/>
      <c r="L1915" s="8"/>
      <c r="M1915" s="8"/>
    </row>
    <row r="1916">
      <c r="A1916" s="8"/>
      <c r="B1916" s="551" t="str">
        <f t="array" ref="B1916">IF(LEN(E1916),INDEX('4-All Devices'!AG:AG, MATCH(E1916, '4-All Devices'!AF:AF, 0)),"")</f>
        <v/>
      </c>
      <c r="C1916" s="552" t="s">
        <v>11186</v>
      </c>
      <c r="D1916" s="549" t="s">
        <v>11192</v>
      </c>
      <c r="E1916" s="8"/>
      <c r="F1916" s="552" t="s">
        <v>11188</v>
      </c>
      <c r="G1916" s="8"/>
      <c r="H1916" s="8"/>
      <c r="I1916" s="8"/>
      <c r="J1916" s="547"/>
      <c r="K1916" s="8"/>
      <c r="L1916" s="8"/>
      <c r="M1916" s="8"/>
    </row>
    <row r="1917">
      <c r="A1917" s="8"/>
      <c r="B1917" s="551" t="str">
        <f t="array" ref="B1917">IF(LEN(E1917),INDEX('4-All Devices'!AG:AG, MATCH(E1917, '4-All Devices'!AF:AF, 0)),"")</f>
        <v/>
      </c>
      <c r="C1917" s="552" t="s">
        <v>11186</v>
      </c>
      <c r="D1917" s="549" t="s">
        <v>11192</v>
      </c>
      <c r="E1917" s="8"/>
      <c r="F1917" s="552" t="s">
        <v>11188</v>
      </c>
      <c r="G1917" s="8"/>
      <c r="H1917" s="8"/>
      <c r="I1917" s="8"/>
      <c r="J1917" s="547"/>
      <c r="K1917" s="8"/>
      <c r="L1917" s="8"/>
      <c r="M1917" s="8"/>
    </row>
    <row r="1918">
      <c r="A1918" s="8"/>
      <c r="B1918" s="551" t="str">
        <f t="array" ref="B1918">IF(LEN(E1918),INDEX('4-All Devices'!AG:AG, MATCH(E1918, '4-All Devices'!AF:AF, 0)),"")</f>
        <v/>
      </c>
      <c r="C1918" s="552" t="s">
        <v>11186</v>
      </c>
      <c r="D1918" s="549" t="s">
        <v>11192</v>
      </c>
      <c r="E1918" s="8"/>
      <c r="F1918" s="552" t="s">
        <v>11188</v>
      </c>
      <c r="G1918" s="8"/>
      <c r="H1918" s="8"/>
      <c r="I1918" s="8"/>
      <c r="J1918" s="547"/>
      <c r="K1918" s="8"/>
      <c r="L1918" s="8"/>
      <c r="M1918" s="8"/>
    </row>
    <row r="1919">
      <c r="A1919" s="8"/>
      <c r="B1919" s="551" t="str">
        <f t="array" ref="B1919">IF(LEN(E1919),INDEX('4-All Devices'!AG:AG, MATCH(E1919, '4-All Devices'!AF:AF, 0)),"")</f>
        <v/>
      </c>
      <c r="C1919" s="552" t="s">
        <v>11186</v>
      </c>
      <c r="D1919" s="549" t="s">
        <v>11193</v>
      </c>
      <c r="E1919" s="8"/>
      <c r="F1919" s="552" t="s">
        <v>11188</v>
      </c>
      <c r="G1919" s="8"/>
      <c r="H1919" s="8"/>
      <c r="I1919" s="8"/>
      <c r="J1919" s="547"/>
      <c r="K1919" s="8"/>
      <c r="L1919" s="8"/>
      <c r="M1919" s="8"/>
    </row>
    <row r="1920">
      <c r="A1920" s="8"/>
      <c r="B1920" s="551" t="str">
        <f t="array" ref="B1920">IF(LEN(E1920),INDEX('4-All Devices'!AG:AG, MATCH(E1920, '4-All Devices'!AF:AF, 0)),"")</f>
        <v/>
      </c>
      <c r="C1920" s="552" t="s">
        <v>11186</v>
      </c>
      <c r="D1920" s="549" t="s">
        <v>11192</v>
      </c>
      <c r="E1920" s="8"/>
      <c r="F1920" s="552" t="s">
        <v>11188</v>
      </c>
      <c r="G1920" s="8"/>
      <c r="H1920" s="8"/>
      <c r="I1920" s="8"/>
      <c r="J1920" s="547"/>
      <c r="K1920" s="8"/>
      <c r="L1920" s="8"/>
      <c r="M1920" s="8"/>
    </row>
    <row r="1921">
      <c r="A1921" s="8"/>
      <c r="B1921" s="551" t="str">
        <f t="array" ref="B1921">IF(LEN(E1921),INDEX('4-All Devices'!AG:AG, MATCH(E1921, '4-All Devices'!AF:AF, 0)),"")</f>
        <v/>
      </c>
      <c r="C1921" s="552" t="s">
        <v>11186</v>
      </c>
      <c r="D1921" s="549" t="s">
        <v>11192</v>
      </c>
      <c r="E1921" s="8"/>
      <c r="F1921" s="552" t="s">
        <v>11188</v>
      </c>
      <c r="G1921" s="8"/>
      <c r="H1921" s="8"/>
      <c r="I1921" s="8"/>
      <c r="J1921" s="547"/>
      <c r="K1921" s="8"/>
      <c r="L1921" s="8"/>
      <c r="M1921" s="8"/>
    </row>
    <row r="1922">
      <c r="A1922" s="8"/>
      <c r="B1922" s="551" t="str">
        <f t="array" ref="B1922">IF(LEN(E1922),INDEX('4-All Devices'!AG:AG, MATCH(E1922, '4-All Devices'!AF:AF, 0)),"")</f>
        <v/>
      </c>
      <c r="C1922" s="552" t="s">
        <v>11186</v>
      </c>
      <c r="D1922" s="549" t="s">
        <v>11192</v>
      </c>
      <c r="E1922" s="8"/>
      <c r="F1922" s="552" t="s">
        <v>11188</v>
      </c>
      <c r="G1922" s="8"/>
      <c r="H1922" s="8"/>
      <c r="I1922" s="8"/>
      <c r="J1922" s="547"/>
      <c r="K1922" s="8"/>
      <c r="L1922" s="8"/>
      <c r="M1922" s="8"/>
    </row>
    <row r="1923">
      <c r="A1923" s="8"/>
      <c r="B1923" s="551" t="str">
        <f t="array" ref="B1923">IF(LEN(E1923),INDEX('4-All Devices'!AG:AG, MATCH(E1923, '4-All Devices'!AF:AF, 0)),"")</f>
        <v/>
      </c>
      <c r="C1923" s="552" t="s">
        <v>11186</v>
      </c>
      <c r="D1923" s="549" t="s">
        <v>11192</v>
      </c>
      <c r="E1923" s="8"/>
      <c r="F1923" s="552" t="s">
        <v>11188</v>
      </c>
      <c r="G1923" s="8"/>
      <c r="H1923" s="8"/>
      <c r="I1923" s="8"/>
      <c r="J1923" s="547"/>
      <c r="K1923" s="8"/>
      <c r="L1923" s="8"/>
      <c r="M1923" s="8"/>
    </row>
    <row r="1924">
      <c r="A1924" s="8"/>
      <c r="B1924" s="551" t="str">
        <f t="array" ref="B1924">IF(LEN(E1924),INDEX('4-All Devices'!AG:AG, MATCH(E1924, '4-All Devices'!AF:AF, 0)),"")</f>
        <v/>
      </c>
      <c r="C1924" s="552" t="s">
        <v>11186</v>
      </c>
      <c r="D1924" s="549" t="s">
        <v>11192</v>
      </c>
      <c r="E1924" s="8"/>
      <c r="F1924" s="552" t="s">
        <v>11188</v>
      </c>
      <c r="G1924" s="8"/>
      <c r="H1924" s="8"/>
      <c r="I1924" s="8"/>
      <c r="J1924" s="547"/>
      <c r="K1924" s="8"/>
      <c r="L1924" s="8"/>
      <c r="M1924" s="8"/>
    </row>
    <row r="1925">
      <c r="A1925" s="8"/>
      <c r="B1925" s="551" t="str">
        <f t="array" ref="B1925">IF(LEN(E1925),INDEX('4-All Devices'!AG:AG, MATCH(E1925, '4-All Devices'!AF:AF, 0)),"")</f>
        <v/>
      </c>
      <c r="C1925" s="552" t="s">
        <v>11186</v>
      </c>
      <c r="D1925" s="549" t="s">
        <v>11192</v>
      </c>
      <c r="E1925" s="8"/>
      <c r="F1925" s="552" t="s">
        <v>11188</v>
      </c>
      <c r="G1925" s="8"/>
      <c r="H1925" s="8"/>
      <c r="I1925" s="8"/>
      <c r="J1925" s="547"/>
      <c r="K1925" s="8"/>
      <c r="L1925" s="8"/>
      <c r="M1925" s="8"/>
    </row>
    <row r="1926">
      <c r="A1926" s="8"/>
      <c r="B1926" s="551" t="str">
        <f t="array" ref="B1926">IF(LEN(E1926),INDEX('4-All Devices'!AG:AG, MATCH(E1926, '4-All Devices'!AF:AF, 0)),"")</f>
        <v/>
      </c>
      <c r="C1926" s="552" t="s">
        <v>11186</v>
      </c>
      <c r="D1926" s="549" t="s">
        <v>11192</v>
      </c>
      <c r="E1926" s="8"/>
      <c r="F1926" s="552" t="s">
        <v>11188</v>
      </c>
      <c r="G1926" s="8"/>
      <c r="H1926" s="8"/>
      <c r="I1926" s="8"/>
      <c r="J1926" s="547"/>
      <c r="K1926" s="8"/>
      <c r="L1926" s="8"/>
      <c r="M1926" s="8"/>
    </row>
    <row r="1927">
      <c r="A1927" s="8"/>
      <c r="B1927" s="551" t="str">
        <f t="array" ref="B1927">IF(LEN(E1927),INDEX('4-All Devices'!AG:AG, MATCH(E1927, '4-All Devices'!AF:AF, 0)),"")</f>
        <v/>
      </c>
      <c r="C1927" s="552" t="s">
        <v>11186</v>
      </c>
      <c r="D1927" s="549" t="s">
        <v>11192</v>
      </c>
      <c r="E1927" s="8"/>
      <c r="F1927" s="552" t="s">
        <v>11188</v>
      </c>
      <c r="G1927" s="8"/>
      <c r="H1927" s="8"/>
      <c r="I1927" s="8"/>
      <c r="J1927" s="547"/>
      <c r="K1927" s="8"/>
      <c r="L1927" s="8"/>
      <c r="M1927" s="8"/>
    </row>
    <row r="1928">
      <c r="A1928" s="8"/>
      <c r="B1928" s="551" t="str">
        <f t="array" ref="B1928">IF(LEN(E1928),INDEX('4-All Devices'!AG:AG, MATCH(E1928, '4-All Devices'!AF:AF, 0)),"")</f>
        <v/>
      </c>
      <c r="C1928" s="552" t="s">
        <v>11186</v>
      </c>
      <c r="D1928" s="549" t="s">
        <v>11192</v>
      </c>
      <c r="E1928" s="8"/>
      <c r="F1928" s="552" t="s">
        <v>11188</v>
      </c>
      <c r="G1928" s="8"/>
      <c r="H1928" s="8"/>
      <c r="I1928" s="8"/>
      <c r="J1928" s="547"/>
      <c r="K1928" s="8"/>
      <c r="L1928" s="8"/>
      <c r="M1928" s="8"/>
    </row>
    <row r="1929">
      <c r="A1929" s="8"/>
      <c r="B1929" s="551" t="str">
        <f t="array" ref="B1929">IF(LEN(E1929),INDEX('4-All Devices'!AG:AG, MATCH(E1929, '4-All Devices'!AF:AF, 0)),"")</f>
        <v/>
      </c>
      <c r="C1929" s="552" t="s">
        <v>11186</v>
      </c>
      <c r="D1929" s="549" t="s">
        <v>11193</v>
      </c>
      <c r="E1929" s="8"/>
      <c r="F1929" s="552" t="s">
        <v>11188</v>
      </c>
      <c r="G1929" s="8"/>
      <c r="H1929" s="8"/>
      <c r="I1929" s="8"/>
      <c r="J1929" s="547"/>
      <c r="K1929" s="8"/>
      <c r="L1929" s="8"/>
      <c r="M1929" s="8"/>
    </row>
    <row r="1930">
      <c r="A1930" s="8"/>
      <c r="B1930" s="551" t="str">
        <f t="array" ref="B1930">IF(LEN(E1930),INDEX('4-All Devices'!AG:AG, MATCH(E1930, '4-All Devices'!AF:AF, 0)),"")</f>
        <v/>
      </c>
      <c r="C1930" s="552" t="s">
        <v>11186</v>
      </c>
      <c r="D1930" s="549" t="s">
        <v>11192</v>
      </c>
      <c r="E1930" s="8"/>
      <c r="F1930" s="552" t="s">
        <v>11188</v>
      </c>
      <c r="G1930" s="8"/>
      <c r="H1930" s="8"/>
      <c r="I1930" s="8"/>
      <c r="J1930" s="547"/>
      <c r="K1930" s="8"/>
      <c r="L1930" s="8"/>
      <c r="M1930" s="8"/>
    </row>
    <row r="1931">
      <c r="A1931" s="8"/>
      <c r="B1931" s="551" t="str">
        <f t="array" ref="B1931">IF(LEN(E1931),INDEX('4-All Devices'!AG:AG, MATCH(E1931, '4-All Devices'!AF:AF, 0)),"")</f>
        <v/>
      </c>
      <c r="C1931" s="552" t="s">
        <v>11186</v>
      </c>
      <c r="D1931" s="549" t="s">
        <v>11193</v>
      </c>
      <c r="E1931" s="8"/>
      <c r="F1931" s="552" t="s">
        <v>11188</v>
      </c>
      <c r="G1931" s="8"/>
      <c r="H1931" s="8"/>
      <c r="I1931" s="8"/>
      <c r="J1931" s="547"/>
      <c r="K1931" s="8"/>
      <c r="L1931" s="8"/>
      <c r="M1931" s="8"/>
    </row>
    <row r="1932">
      <c r="A1932" s="8"/>
      <c r="B1932" s="551" t="str">
        <f t="array" ref="B1932">IF(LEN(E1932),INDEX('4-All Devices'!AG:AG, MATCH(E1932, '4-All Devices'!AF:AF, 0)),"")</f>
        <v/>
      </c>
      <c r="C1932" s="552" t="s">
        <v>11186</v>
      </c>
      <c r="D1932" s="549" t="s">
        <v>11192</v>
      </c>
      <c r="E1932" s="8"/>
      <c r="F1932" s="552" t="s">
        <v>11188</v>
      </c>
      <c r="G1932" s="8"/>
      <c r="H1932" s="8"/>
      <c r="I1932" s="8"/>
      <c r="J1932" s="547"/>
      <c r="K1932" s="8"/>
      <c r="L1932" s="8"/>
      <c r="M1932" s="8"/>
    </row>
    <row r="1933">
      <c r="A1933" s="8"/>
      <c r="B1933" s="551" t="str">
        <f t="array" ref="B1933">IF(LEN(E1933),INDEX('4-All Devices'!AG:AG, MATCH(E1933, '4-All Devices'!AF:AF, 0)),"")</f>
        <v/>
      </c>
      <c r="C1933" s="552" t="s">
        <v>11186</v>
      </c>
      <c r="D1933" s="549" t="s">
        <v>11193</v>
      </c>
      <c r="E1933" s="8"/>
      <c r="F1933" s="552" t="s">
        <v>11188</v>
      </c>
      <c r="G1933" s="8"/>
      <c r="H1933" s="8"/>
      <c r="I1933" s="8"/>
      <c r="J1933" s="547"/>
      <c r="K1933" s="8"/>
      <c r="L1933" s="8"/>
      <c r="M1933" s="8"/>
    </row>
    <row r="1934">
      <c r="A1934" s="8"/>
      <c r="B1934" s="551" t="str">
        <f t="array" ref="B1934">IF(LEN(E1934),INDEX('4-All Devices'!AG:AG, MATCH(E1934, '4-All Devices'!AF:AF, 0)),"")</f>
        <v/>
      </c>
      <c r="C1934" s="552" t="s">
        <v>11186</v>
      </c>
      <c r="D1934" s="549" t="s">
        <v>11192</v>
      </c>
      <c r="E1934" s="8"/>
      <c r="F1934" s="552" t="s">
        <v>11188</v>
      </c>
      <c r="G1934" s="8"/>
      <c r="H1934" s="8"/>
      <c r="I1934" s="8"/>
      <c r="J1934" s="547"/>
      <c r="K1934" s="8"/>
      <c r="L1934" s="8"/>
      <c r="M1934" s="8"/>
    </row>
    <row r="1935">
      <c r="A1935" s="8"/>
      <c r="B1935" s="551" t="str">
        <f t="array" ref="B1935">IF(LEN(E1935),INDEX('4-All Devices'!AG:AG, MATCH(E1935, '4-All Devices'!AF:AF, 0)),"")</f>
        <v/>
      </c>
      <c r="C1935" s="552" t="s">
        <v>11186</v>
      </c>
      <c r="D1935" s="549" t="s">
        <v>11193</v>
      </c>
      <c r="E1935" s="8"/>
      <c r="F1935" s="552" t="s">
        <v>11188</v>
      </c>
      <c r="G1935" s="8"/>
      <c r="H1935" s="8"/>
      <c r="I1935" s="8"/>
      <c r="J1935" s="547"/>
      <c r="K1935" s="8"/>
      <c r="L1935" s="8"/>
      <c r="M1935" s="8"/>
    </row>
    <row r="1936">
      <c r="A1936" s="8"/>
      <c r="B1936" s="551" t="str">
        <f t="array" ref="B1936">IF(LEN(E1936),INDEX('4-All Devices'!AG:AG, MATCH(E1936, '4-All Devices'!AF:AF, 0)),"")</f>
        <v/>
      </c>
      <c r="C1936" s="552" t="s">
        <v>11186</v>
      </c>
      <c r="D1936" s="549" t="s">
        <v>11193</v>
      </c>
      <c r="E1936" s="8"/>
      <c r="F1936" s="552" t="s">
        <v>11188</v>
      </c>
      <c r="G1936" s="8"/>
      <c r="H1936" s="8"/>
      <c r="I1936" s="8"/>
      <c r="J1936" s="547"/>
      <c r="K1936" s="8"/>
      <c r="L1936" s="8"/>
      <c r="M1936" s="8"/>
    </row>
    <row r="1937">
      <c r="A1937" s="8"/>
      <c r="B1937" s="551" t="str">
        <f t="array" ref="B1937">IF(LEN(E1937),INDEX('4-All Devices'!AG:AG, MATCH(E1937, '4-All Devices'!AF:AF, 0)),"")</f>
        <v/>
      </c>
      <c r="C1937" s="552" t="s">
        <v>11186</v>
      </c>
      <c r="D1937" s="549" t="s">
        <v>11193</v>
      </c>
      <c r="E1937" s="8"/>
      <c r="F1937" s="552" t="s">
        <v>11188</v>
      </c>
      <c r="G1937" s="8"/>
      <c r="H1937" s="8"/>
      <c r="I1937" s="8"/>
      <c r="J1937" s="547"/>
      <c r="K1937" s="8"/>
      <c r="L1937" s="8"/>
      <c r="M1937" s="8"/>
    </row>
    <row r="1938">
      <c r="A1938" s="8"/>
      <c r="B1938" s="551" t="str">
        <f t="array" ref="B1938">IF(LEN(E1938),INDEX('4-All Devices'!AG:AG, MATCH(E1938, '4-All Devices'!AF:AF, 0)),"")</f>
        <v/>
      </c>
      <c r="C1938" s="552" t="s">
        <v>11186</v>
      </c>
      <c r="D1938" s="549" t="s">
        <v>11193</v>
      </c>
      <c r="E1938" s="8"/>
      <c r="F1938" s="552" t="s">
        <v>11188</v>
      </c>
      <c r="G1938" s="8"/>
      <c r="H1938" s="8"/>
      <c r="I1938" s="8"/>
      <c r="J1938" s="547"/>
      <c r="K1938" s="8"/>
      <c r="L1938" s="8"/>
      <c r="M1938" s="8"/>
    </row>
    <row r="1939">
      <c r="A1939" s="8"/>
      <c r="B1939" s="551" t="str">
        <f t="array" ref="B1939">IF(LEN(E1939),INDEX('4-All Devices'!AG:AG, MATCH(E1939, '4-All Devices'!AF:AF, 0)),"")</f>
        <v/>
      </c>
      <c r="C1939" s="552" t="s">
        <v>11186</v>
      </c>
      <c r="D1939" s="549" t="s">
        <v>11194</v>
      </c>
      <c r="E1939" s="8"/>
      <c r="F1939" s="552" t="s">
        <v>11188</v>
      </c>
      <c r="G1939" s="8"/>
      <c r="H1939" s="8"/>
      <c r="I1939" s="8"/>
      <c r="J1939" s="547"/>
      <c r="K1939" s="8"/>
      <c r="L1939" s="8"/>
      <c r="M1939" s="8"/>
    </row>
    <row r="1940">
      <c r="A1940" s="8"/>
      <c r="B1940" s="551" t="str">
        <f t="array" ref="B1940">IF(LEN(E1940),INDEX('4-All Devices'!AG:AG, MATCH(E1940, '4-All Devices'!AF:AF, 0)),"")</f>
        <v/>
      </c>
      <c r="C1940" s="552" t="s">
        <v>11186</v>
      </c>
      <c r="D1940" s="549" t="s">
        <v>11194</v>
      </c>
      <c r="E1940" s="8"/>
      <c r="F1940" s="552" t="s">
        <v>11188</v>
      </c>
      <c r="G1940" s="8"/>
      <c r="H1940" s="8"/>
      <c r="I1940" s="8"/>
      <c r="J1940" s="547"/>
      <c r="K1940" s="8"/>
      <c r="L1940" s="8"/>
      <c r="M1940" s="8"/>
    </row>
    <row r="1941">
      <c r="A1941" s="8"/>
      <c r="B1941" s="551" t="str">
        <f t="array" ref="B1941">IF(LEN(E1941),INDEX('4-All Devices'!AG:AG, MATCH(E1941, '4-All Devices'!AF:AF, 0)),"")</f>
        <v/>
      </c>
      <c r="C1941" s="552" t="s">
        <v>11186</v>
      </c>
      <c r="D1941" s="549" t="s">
        <v>11195</v>
      </c>
      <c r="E1941" s="8"/>
      <c r="F1941" s="552" t="s">
        <v>11188</v>
      </c>
      <c r="G1941" s="8"/>
      <c r="H1941" s="8"/>
      <c r="I1941" s="8"/>
      <c r="J1941" s="547"/>
      <c r="K1941" s="8"/>
      <c r="L1941" s="8"/>
      <c r="M1941" s="8"/>
    </row>
    <row r="1942">
      <c r="A1942" s="8"/>
      <c r="B1942" s="551" t="str">
        <f t="array" ref="B1942">IF(LEN(E1942),INDEX('4-All Devices'!AG:AG, MATCH(E1942, '4-All Devices'!AF:AF, 0)),"")</f>
        <v/>
      </c>
      <c r="C1942" s="552" t="s">
        <v>11186</v>
      </c>
      <c r="D1942" s="549" t="s">
        <v>11195</v>
      </c>
      <c r="E1942" s="8"/>
      <c r="F1942" s="552" t="s">
        <v>11188</v>
      </c>
      <c r="G1942" s="8"/>
      <c r="H1942" s="8"/>
      <c r="I1942" s="8"/>
      <c r="J1942" s="547"/>
      <c r="K1942" s="8"/>
      <c r="L1942" s="8"/>
      <c r="M1942" s="8"/>
    </row>
    <row r="1943">
      <c r="A1943" s="8"/>
      <c r="B1943" s="551" t="str">
        <f t="array" ref="B1943">IF(LEN(E1943),INDEX('4-All Devices'!AG:AG, MATCH(E1943, '4-All Devices'!AF:AF, 0)),"")</f>
        <v/>
      </c>
      <c r="C1943" s="8"/>
      <c r="D1943" s="549"/>
      <c r="E1943" s="8"/>
      <c r="F1943" s="8"/>
      <c r="G1943" s="8"/>
      <c r="H1943" s="8"/>
      <c r="I1943" s="8"/>
      <c r="J1943" s="547"/>
      <c r="K1943" s="8"/>
      <c r="L1943" s="8"/>
      <c r="M1943" s="8"/>
    </row>
    <row r="1944">
      <c r="A1944" s="8"/>
      <c r="B1944" s="551" t="str">
        <f t="array" ref="B1944">IF(LEN(E1944),INDEX('4-All Devices'!AG:AG, MATCH(E1944, '4-All Devices'!AF:AF, 0)),"")</f>
        <v/>
      </c>
      <c r="C1944" s="8"/>
      <c r="D1944" s="549"/>
      <c r="E1944" s="8"/>
      <c r="F1944" s="8"/>
      <c r="G1944" s="8"/>
      <c r="H1944" s="8"/>
      <c r="I1944" s="8"/>
      <c r="J1944" s="547"/>
      <c r="K1944" s="8"/>
      <c r="L1944" s="8"/>
      <c r="M1944" s="8"/>
    </row>
    <row r="1945">
      <c r="A1945" s="8"/>
      <c r="B1945" s="551" t="str">
        <f t="array" ref="B1945">IF(LEN(E1945),INDEX('4-All Devices'!AG:AG, MATCH(E1945, '4-All Devices'!AF:AF, 0)),"")</f>
        <v/>
      </c>
      <c r="C1945" s="8"/>
      <c r="D1945" s="549"/>
      <c r="E1945" s="8"/>
      <c r="F1945" s="8"/>
      <c r="G1945" s="8"/>
      <c r="H1945" s="8"/>
      <c r="I1945" s="8"/>
      <c r="J1945" s="547"/>
      <c r="K1945" s="8"/>
      <c r="L1945" s="8"/>
      <c r="M1945" s="8"/>
    </row>
    <row r="1946">
      <c r="A1946" s="8"/>
      <c r="B1946" s="551" t="str">
        <f t="array" ref="B1946">IF(LEN(E1946),INDEX('4-All Devices'!AG:AG, MATCH(E1946, '4-All Devices'!AF:AF, 0)),"")</f>
        <v/>
      </c>
      <c r="C1946" s="8"/>
      <c r="D1946" s="549"/>
      <c r="E1946" s="8"/>
      <c r="F1946" s="8"/>
      <c r="G1946" s="8"/>
      <c r="H1946" s="8"/>
      <c r="I1946" s="8"/>
      <c r="J1946" s="547"/>
      <c r="K1946" s="8"/>
      <c r="L1946" s="8"/>
      <c r="M1946" s="8"/>
    </row>
    <row r="1947">
      <c r="A1947" s="8"/>
      <c r="B1947" s="551" t="str">
        <f t="array" ref="B1947">IF(LEN(E1947),INDEX('4-All Devices'!AG:AG, MATCH(E1947, '4-All Devices'!AF:AF, 0)),"")</f>
        <v/>
      </c>
      <c r="C1947" s="8"/>
      <c r="D1947" s="549"/>
      <c r="E1947" s="8"/>
      <c r="F1947" s="8"/>
      <c r="G1947" s="8"/>
      <c r="H1947" s="8"/>
      <c r="I1947" s="8"/>
      <c r="J1947" s="547"/>
      <c r="K1947" s="8"/>
      <c r="L1947" s="8"/>
      <c r="M1947" s="8"/>
    </row>
    <row r="1948">
      <c r="A1948" s="8"/>
      <c r="B1948" s="8"/>
      <c r="C1948" s="8"/>
      <c r="D1948" s="549"/>
      <c r="E1948" s="8"/>
      <c r="F1948" s="8"/>
      <c r="G1948" s="8"/>
      <c r="H1948" s="8"/>
      <c r="I1948" s="8"/>
      <c r="J1948" s="547"/>
      <c r="K1948" s="8"/>
      <c r="L1948" s="8"/>
      <c r="M1948" s="8"/>
    </row>
    <row r="1949">
      <c r="A1949" s="8"/>
      <c r="B1949" s="8"/>
      <c r="C1949" s="8"/>
      <c r="D1949" s="549"/>
      <c r="E1949" s="8"/>
      <c r="F1949" s="8"/>
      <c r="G1949" s="8"/>
      <c r="H1949" s="8"/>
      <c r="I1949" s="8"/>
      <c r="J1949" s="547"/>
      <c r="K1949" s="8"/>
      <c r="L1949" s="8"/>
      <c r="M1949" s="8"/>
    </row>
    <row r="1950">
      <c r="A1950" s="8"/>
      <c r="B1950" s="8"/>
      <c r="C1950" s="8"/>
      <c r="D1950" s="549"/>
      <c r="E1950" s="8"/>
      <c r="F1950" s="8"/>
      <c r="G1950" s="8"/>
      <c r="H1950" s="8"/>
      <c r="I1950" s="8"/>
      <c r="J1950" s="547"/>
      <c r="K1950" s="8"/>
      <c r="L1950" s="8"/>
      <c r="M1950" s="8"/>
    </row>
    <row r="1951">
      <c r="A1951" s="8"/>
      <c r="B1951" s="8"/>
      <c r="C1951" s="8"/>
      <c r="D1951" s="549"/>
      <c r="E1951" s="8"/>
      <c r="F1951" s="8"/>
      <c r="G1951" s="8"/>
      <c r="H1951" s="8"/>
      <c r="I1951" s="8"/>
      <c r="J1951" s="547"/>
      <c r="K1951" s="8"/>
      <c r="L1951" s="8"/>
      <c r="M1951" s="8"/>
    </row>
    <row r="1952">
      <c r="A1952" s="8"/>
      <c r="B1952" s="8"/>
      <c r="C1952" s="8"/>
      <c r="D1952" s="549"/>
      <c r="E1952" s="8"/>
      <c r="F1952" s="8"/>
      <c r="G1952" s="8"/>
      <c r="H1952" s="8"/>
      <c r="I1952" s="8"/>
      <c r="J1952" s="547"/>
      <c r="K1952" s="8"/>
      <c r="L1952" s="8"/>
      <c r="M1952" s="8"/>
    </row>
    <row r="1953">
      <c r="A1953" s="8"/>
      <c r="B1953" s="8"/>
      <c r="C1953" s="8"/>
      <c r="D1953" s="549"/>
      <c r="E1953" s="8"/>
      <c r="F1953" s="8"/>
      <c r="G1953" s="8"/>
      <c r="H1953" s="8"/>
      <c r="I1953" s="8"/>
      <c r="J1953" s="547"/>
      <c r="K1953" s="8"/>
      <c r="L1953" s="8"/>
      <c r="M1953" s="8"/>
    </row>
    <row r="1954">
      <c r="A1954" s="8"/>
      <c r="B1954" s="8"/>
      <c r="C1954" s="8"/>
      <c r="D1954" s="549"/>
      <c r="E1954" s="8"/>
      <c r="F1954" s="8"/>
      <c r="G1954" s="8"/>
      <c r="H1954" s="8"/>
      <c r="I1954" s="8"/>
      <c r="J1954" s="547"/>
      <c r="K1954" s="8"/>
      <c r="L1954" s="8"/>
      <c r="M1954" s="8"/>
    </row>
    <row r="1955">
      <c r="A1955" s="8"/>
      <c r="B1955" s="8"/>
      <c r="C1955" s="8"/>
      <c r="D1955" s="549"/>
      <c r="E1955" s="8"/>
      <c r="F1955" s="8"/>
      <c r="G1955" s="8"/>
      <c r="H1955" s="8"/>
      <c r="I1955" s="8"/>
      <c r="J1955" s="547"/>
      <c r="K1955" s="8"/>
      <c r="L1955" s="8"/>
      <c r="M1955" s="8"/>
    </row>
    <row r="1956">
      <c r="A1956" s="8"/>
      <c r="B1956" s="8"/>
      <c r="C1956" s="8"/>
      <c r="D1956" s="549"/>
      <c r="E1956" s="8"/>
      <c r="F1956" s="8"/>
      <c r="G1956" s="8"/>
      <c r="H1956" s="8"/>
      <c r="I1956" s="8"/>
      <c r="J1956" s="547"/>
      <c r="K1956" s="8"/>
      <c r="L1956" s="8"/>
      <c r="M1956" s="8"/>
    </row>
    <row r="1957">
      <c r="A1957" s="8"/>
      <c r="B1957" s="8"/>
      <c r="C1957" s="8"/>
      <c r="D1957" s="549"/>
      <c r="E1957" s="8"/>
      <c r="F1957" s="8"/>
      <c r="G1957" s="8"/>
      <c r="H1957" s="8"/>
      <c r="I1957" s="8"/>
      <c r="J1957" s="547"/>
      <c r="K1957" s="8"/>
      <c r="L1957" s="8"/>
      <c r="M1957" s="8"/>
    </row>
    <row r="1958">
      <c r="A1958" s="8"/>
      <c r="B1958" s="8"/>
      <c r="C1958" s="8"/>
      <c r="D1958" s="549"/>
      <c r="E1958" s="8"/>
      <c r="F1958" s="8"/>
      <c r="G1958" s="8"/>
      <c r="H1958" s="8"/>
      <c r="I1958" s="8"/>
      <c r="J1958" s="547"/>
      <c r="K1958" s="8"/>
      <c r="L1958" s="8"/>
      <c r="M1958" s="8"/>
    </row>
    <row r="1959">
      <c r="A1959" s="8"/>
      <c r="B1959" s="8"/>
      <c r="C1959" s="8"/>
      <c r="D1959" s="549"/>
      <c r="E1959" s="8"/>
      <c r="F1959" s="8"/>
      <c r="G1959" s="8"/>
      <c r="H1959" s="8"/>
      <c r="I1959" s="8"/>
      <c r="J1959" s="547"/>
      <c r="K1959" s="8"/>
      <c r="L1959" s="8"/>
      <c r="M1959" s="8"/>
    </row>
    <row r="1960">
      <c r="A1960" s="8"/>
      <c r="B1960" s="8"/>
      <c r="C1960" s="8"/>
      <c r="D1960" s="549"/>
      <c r="E1960" s="8"/>
      <c r="F1960" s="8"/>
      <c r="G1960" s="8"/>
      <c r="H1960" s="8"/>
      <c r="I1960" s="8"/>
      <c r="J1960" s="547"/>
      <c r="K1960" s="8"/>
      <c r="L1960" s="8"/>
      <c r="M1960" s="8"/>
    </row>
    <row r="1961">
      <c r="A1961" s="8"/>
      <c r="B1961" s="8"/>
      <c r="C1961" s="8"/>
      <c r="D1961" s="549"/>
      <c r="E1961" s="8"/>
      <c r="F1961" s="8"/>
      <c r="G1961" s="8"/>
      <c r="H1961" s="8"/>
      <c r="I1961" s="8"/>
      <c r="J1961" s="547"/>
      <c r="K1961" s="8"/>
      <c r="L1961" s="8"/>
      <c r="M1961" s="8"/>
    </row>
    <row r="1962">
      <c r="A1962" s="8"/>
      <c r="B1962" s="8"/>
      <c r="C1962" s="8"/>
      <c r="D1962" s="549"/>
      <c r="E1962" s="8"/>
      <c r="F1962" s="8"/>
      <c r="G1962" s="8"/>
      <c r="H1962" s="8"/>
      <c r="I1962" s="8"/>
      <c r="J1962" s="547"/>
      <c r="K1962" s="8"/>
      <c r="L1962" s="8"/>
      <c r="M1962" s="8"/>
    </row>
    <row r="1963">
      <c r="A1963" s="8"/>
      <c r="B1963" s="8"/>
      <c r="C1963" s="8"/>
      <c r="D1963" s="549"/>
      <c r="E1963" s="8"/>
      <c r="F1963" s="8"/>
      <c r="G1963" s="8"/>
      <c r="H1963" s="8"/>
      <c r="I1963" s="8"/>
      <c r="J1963" s="547"/>
      <c r="K1963" s="8"/>
      <c r="L1963" s="8"/>
      <c r="M1963" s="8"/>
    </row>
    <row r="1964">
      <c r="A1964" s="8"/>
      <c r="B1964" s="8"/>
      <c r="C1964" s="8"/>
      <c r="D1964" s="549"/>
      <c r="E1964" s="8"/>
      <c r="F1964" s="8"/>
      <c r="G1964" s="8"/>
      <c r="H1964" s="8"/>
      <c r="I1964" s="8"/>
      <c r="J1964" s="547"/>
      <c r="K1964" s="8"/>
      <c r="L1964" s="8"/>
      <c r="M1964" s="8"/>
    </row>
    <row r="1965">
      <c r="A1965" s="8"/>
      <c r="B1965" s="8"/>
      <c r="C1965" s="8"/>
      <c r="D1965" s="549"/>
      <c r="E1965" s="8"/>
      <c r="F1965" s="8"/>
      <c r="G1965" s="8"/>
      <c r="H1965" s="8"/>
      <c r="I1965" s="8"/>
      <c r="J1965" s="547"/>
      <c r="K1965" s="8"/>
      <c r="L1965" s="8"/>
      <c r="M1965" s="8"/>
    </row>
    <row r="1966">
      <c r="A1966" s="8"/>
      <c r="B1966" s="8"/>
      <c r="C1966" s="8"/>
      <c r="D1966" s="549"/>
      <c r="E1966" s="8"/>
      <c r="F1966" s="8"/>
      <c r="G1966" s="8"/>
      <c r="H1966" s="8"/>
      <c r="I1966" s="8"/>
      <c r="J1966" s="547"/>
      <c r="K1966" s="8"/>
      <c r="L1966" s="8"/>
      <c r="M1966" s="8"/>
    </row>
    <row r="1967">
      <c r="A1967" s="8"/>
      <c r="B1967" s="8"/>
      <c r="C1967" s="8"/>
      <c r="D1967" s="549"/>
      <c r="E1967" s="8"/>
      <c r="F1967" s="8"/>
      <c r="G1967" s="8"/>
      <c r="H1967" s="8"/>
      <c r="I1967" s="8"/>
      <c r="J1967" s="547"/>
      <c r="K1967" s="8"/>
      <c r="L1967" s="8"/>
      <c r="M1967" s="8"/>
    </row>
    <row r="1968">
      <c r="A1968" s="8"/>
      <c r="B1968" s="8"/>
      <c r="C1968" s="8"/>
      <c r="D1968" s="549"/>
      <c r="E1968" s="8"/>
      <c r="F1968" s="8"/>
      <c r="G1968" s="8"/>
      <c r="H1968" s="8"/>
      <c r="I1968" s="8"/>
      <c r="J1968" s="547"/>
      <c r="K1968" s="8"/>
      <c r="L1968" s="8"/>
      <c r="M1968" s="8"/>
    </row>
    <row r="1969">
      <c r="A1969" s="8"/>
      <c r="B1969" s="8"/>
      <c r="C1969" s="8"/>
      <c r="D1969" s="549"/>
      <c r="E1969" s="8"/>
      <c r="F1969" s="8"/>
      <c r="G1969" s="8"/>
      <c r="H1969" s="8"/>
      <c r="I1969" s="8"/>
      <c r="J1969" s="547"/>
      <c r="K1969" s="8"/>
      <c r="L1969" s="8"/>
      <c r="M1969" s="8"/>
    </row>
    <row r="1970">
      <c r="A1970" s="8"/>
      <c r="B1970" s="8"/>
      <c r="C1970" s="8"/>
      <c r="D1970" s="549"/>
      <c r="E1970" s="8"/>
      <c r="F1970" s="8"/>
      <c r="G1970" s="8"/>
      <c r="H1970" s="8"/>
      <c r="I1970" s="8"/>
      <c r="J1970" s="547"/>
      <c r="K1970" s="8"/>
      <c r="L1970" s="8"/>
      <c r="M1970" s="8"/>
    </row>
    <row r="1971">
      <c r="A1971" s="8"/>
      <c r="B1971" s="8"/>
      <c r="C1971" s="8"/>
      <c r="D1971" s="549"/>
      <c r="E1971" s="8"/>
      <c r="F1971" s="8"/>
      <c r="G1971" s="8"/>
      <c r="H1971" s="8"/>
      <c r="I1971" s="8"/>
      <c r="J1971" s="547"/>
      <c r="K1971" s="8"/>
      <c r="L1971" s="8"/>
      <c r="M1971" s="8"/>
    </row>
    <row r="1972">
      <c r="A1972" s="8"/>
      <c r="B1972" s="8"/>
      <c r="C1972" s="8"/>
      <c r="D1972" s="549"/>
      <c r="E1972" s="8"/>
      <c r="F1972" s="8"/>
      <c r="G1972" s="8"/>
      <c r="H1972" s="8"/>
      <c r="I1972" s="8"/>
      <c r="J1972" s="547"/>
      <c r="K1972" s="8"/>
      <c r="L1972" s="8"/>
      <c r="M1972" s="8"/>
    </row>
    <row r="1973">
      <c r="A1973" s="8"/>
      <c r="B1973" s="8"/>
      <c r="C1973" s="8"/>
      <c r="D1973" s="549"/>
      <c r="E1973" s="8"/>
      <c r="F1973" s="8"/>
      <c r="G1973" s="8"/>
      <c r="H1973" s="8"/>
      <c r="I1973" s="8"/>
      <c r="J1973" s="547"/>
      <c r="K1973" s="8"/>
      <c r="L1973" s="8"/>
      <c r="M1973" s="8"/>
    </row>
    <row r="1974">
      <c r="A1974" s="8"/>
      <c r="B1974" s="8"/>
      <c r="C1974" s="8"/>
      <c r="D1974" s="549"/>
      <c r="E1974" s="8"/>
      <c r="F1974" s="8"/>
      <c r="G1974" s="8"/>
      <c r="H1974" s="8"/>
      <c r="I1974" s="8"/>
      <c r="J1974" s="547"/>
      <c r="K1974" s="8"/>
      <c r="L1974" s="8"/>
      <c r="M1974" s="8"/>
    </row>
    <row r="1975">
      <c r="A1975" s="8"/>
      <c r="B1975" s="8"/>
      <c r="C1975" s="8"/>
      <c r="D1975" s="549"/>
      <c r="E1975" s="8"/>
      <c r="F1975" s="8"/>
      <c r="G1975" s="8"/>
      <c r="H1975" s="8"/>
      <c r="I1975" s="8"/>
      <c r="J1975" s="547"/>
      <c r="K1975" s="8"/>
      <c r="L1975" s="8"/>
      <c r="M1975" s="8"/>
    </row>
    <row r="1976">
      <c r="A1976" s="8"/>
      <c r="B1976" s="8"/>
      <c r="C1976" s="8"/>
      <c r="D1976" s="549"/>
      <c r="E1976" s="8"/>
      <c r="F1976" s="8"/>
      <c r="G1976" s="8"/>
      <c r="H1976" s="8"/>
      <c r="I1976" s="8"/>
      <c r="J1976" s="547"/>
      <c r="K1976" s="8"/>
      <c r="L1976" s="8"/>
      <c r="M1976" s="8"/>
    </row>
    <row r="1977">
      <c r="A1977" s="8"/>
      <c r="B1977" s="8"/>
      <c r="C1977" s="8"/>
      <c r="D1977" s="549"/>
      <c r="E1977" s="8"/>
      <c r="F1977" s="8"/>
      <c r="G1977" s="8"/>
      <c r="H1977" s="8"/>
      <c r="I1977" s="8"/>
      <c r="J1977" s="547"/>
      <c r="K1977" s="8"/>
      <c r="L1977" s="8"/>
      <c r="M1977" s="8"/>
    </row>
    <row r="1978">
      <c r="A1978" s="8"/>
      <c r="B1978" s="8"/>
      <c r="C1978" s="8"/>
      <c r="D1978" s="549"/>
      <c r="E1978" s="8"/>
      <c r="F1978" s="8"/>
      <c r="G1978" s="8"/>
      <c r="H1978" s="8"/>
      <c r="I1978" s="8"/>
      <c r="J1978" s="547"/>
      <c r="K1978" s="8"/>
      <c r="L1978" s="8"/>
      <c r="M1978" s="8"/>
    </row>
    <row r="1979">
      <c r="A1979" s="8"/>
      <c r="B1979" s="8"/>
      <c r="C1979" s="8"/>
      <c r="D1979" s="549"/>
      <c r="E1979" s="8"/>
      <c r="F1979" s="8"/>
      <c r="G1979" s="8"/>
      <c r="H1979" s="8"/>
      <c r="I1979" s="8"/>
      <c r="J1979" s="547"/>
      <c r="K1979" s="8"/>
      <c r="L1979" s="8"/>
      <c r="M1979" s="8"/>
    </row>
    <row r="1980">
      <c r="A1980" s="8"/>
      <c r="B1980" s="8"/>
      <c r="C1980" s="8"/>
      <c r="D1980" s="549"/>
      <c r="E1980" s="8"/>
      <c r="F1980" s="8"/>
      <c r="G1980" s="8"/>
      <c r="H1980" s="8"/>
      <c r="I1980" s="8"/>
      <c r="J1980" s="547"/>
      <c r="K1980" s="8"/>
      <c r="L1980" s="8"/>
      <c r="M1980" s="8"/>
    </row>
    <row r="1981">
      <c r="A1981" s="8"/>
      <c r="B1981" s="8"/>
      <c r="C1981" s="8"/>
      <c r="D1981" s="549"/>
      <c r="E1981" s="8"/>
      <c r="F1981" s="8"/>
      <c r="G1981" s="8"/>
      <c r="H1981" s="8"/>
      <c r="I1981" s="8"/>
      <c r="J1981" s="547"/>
      <c r="K1981" s="8"/>
      <c r="L1981" s="8"/>
      <c r="M1981" s="8"/>
    </row>
    <row r="1982">
      <c r="A1982" s="8"/>
      <c r="B1982" s="8"/>
      <c r="C1982" s="8"/>
      <c r="D1982" s="549"/>
      <c r="E1982" s="8"/>
      <c r="F1982" s="8"/>
      <c r="G1982" s="8"/>
      <c r="H1982" s="8"/>
      <c r="I1982" s="8"/>
      <c r="J1982" s="547"/>
      <c r="K1982" s="8"/>
      <c r="L1982" s="8"/>
      <c r="M1982" s="8"/>
    </row>
    <row r="1983">
      <c r="A1983" s="8"/>
      <c r="B1983" s="8"/>
      <c r="C1983" s="8"/>
      <c r="D1983" s="549"/>
      <c r="E1983" s="8"/>
      <c r="F1983" s="8"/>
      <c r="G1983" s="8"/>
      <c r="H1983" s="8"/>
      <c r="I1983" s="8"/>
      <c r="J1983" s="547"/>
      <c r="K1983" s="8"/>
      <c r="L1983" s="8"/>
      <c r="M1983" s="8"/>
    </row>
    <row r="1984">
      <c r="A1984" s="8"/>
      <c r="B1984" s="8"/>
      <c r="C1984" s="8"/>
      <c r="D1984" s="549"/>
      <c r="E1984" s="8"/>
      <c r="F1984" s="8"/>
      <c r="G1984" s="8"/>
      <c r="H1984" s="8"/>
      <c r="I1984" s="8"/>
      <c r="J1984" s="547"/>
      <c r="K1984" s="8"/>
      <c r="L1984" s="8"/>
      <c r="M1984" s="8"/>
    </row>
    <row r="1985">
      <c r="A1985" s="8"/>
      <c r="B1985" s="8"/>
      <c r="C1985" s="8"/>
      <c r="D1985" s="549"/>
      <c r="E1985" s="8"/>
      <c r="F1985" s="8"/>
      <c r="G1985" s="8"/>
      <c r="H1985" s="8"/>
      <c r="I1985" s="8"/>
      <c r="J1985" s="547"/>
      <c r="K1985" s="8"/>
      <c r="L1985" s="8"/>
      <c r="M1985" s="8"/>
    </row>
    <row r="1986">
      <c r="A1986" s="8"/>
      <c r="B1986" s="8"/>
      <c r="C1986" s="8"/>
      <c r="D1986" s="549"/>
      <c r="E1986" s="8"/>
      <c r="F1986" s="8"/>
      <c r="G1986" s="8"/>
      <c r="H1986" s="8"/>
      <c r="I1986" s="8"/>
      <c r="J1986" s="547"/>
      <c r="K1986" s="8"/>
      <c r="L1986" s="8"/>
      <c r="M1986" s="8"/>
    </row>
    <row r="1987">
      <c r="A1987" s="8"/>
      <c r="B1987" s="8"/>
      <c r="C1987" s="8"/>
      <c r="D1987" s="549"/>
      <c r="E1987" s="8"/>
      <c r="F1987" s="8"/>
      <c r="G1987" s="8"/>
      <c r="H1987" s="8"/>
      <c r="I1987" s="8"/>
      <c r="J1987" s="547"/>
      <c r="K1987" s="8"/>
      <c r="L1987" s="8"/>
      <c r="M1987" s="8"/>
    </row>
    <row r="1988">
      <c r="A1988" s="8"/>
      <c r="B1988" s="8"/>
      <c r="C1988" s="8"/>
      <c r="D1988" s="549"/>
      <c r="E1988" s="8"/>
      <c r="F1988" s="8"/>
      <c r="G1988" s="8"/>
      <c r="H1988" s="8"/>
      <c r="I1988" s="8"/>
      <c r="J1988" s="547"/>
      <c r="K1988" s="8"/>
      <c r="L1988" s="8"/>
      <c r="M1988" s="8"/>
    </row>
    <row r="1989">
      <c r="A1989" s="8"/>
      <c r="B1989" s="8"/>
      <c r="C1989" s="8"/>
      <c r="D1989" s="549"/>
      <c r="E1989" s="8"/>
      <c r="F1989" s="8"/>
      <c r="G1989" s="8"/>
      <c r="H1989" s="8"/>
      <c r="I1989" s="8"/>
      <c r="J1989" s="547"/>
      <c r="K1989" s="8"/>
      <c r="L1989" s="8"/>
      <c r="M1989" s="8"/>
    </row>
    <row r="1990">
      <c r="A1990" s="8"/>
      <c r="B1990" s="8"/>
      <c r="C1990" s="8"/>
      <c r="D1990" s="549"/>
      <c r="E1990" s="8"/>
      <c r="F1990" s="8"/>
      <c r="G1990" s="8"/>
      <c r="H1990" s="8"/>
      <c r="I1990" s="8"/>
      <c r="J1990" s="547"/>
      <c r="K1990" s="8"/>
      <c r="L1990" s="8"/>
      <c r="M1990" s="8"/>
    </row>
    <row r="1991">
      <c r="A1991" s="8"/>
      <c r="B1991" s="8"/>
      <c r="C1991" s="8"/>
      <c r="D1991" s="549"/>
      <c r="E1991" s="8"/>
      <c r="F1991" s="8"/>
      <c r="G1991" s="8"/>
      <c r="H1991" s="8"/>
      <c r="I1991" s="8"/>
      <c r="J1991" s="547"/>
      <c r="K1991" s="8"/>
      <c r="L1991" s="8"/>
      <c r="M1991" s="8"/>
    </row>
    <row r="1992">
      <c r="A1992" s="8"/>
      <c r="B1992" s="8"/>
      <c r="C1992" s="8"/>
      <c r="D1992" s="549"/>
      <c r="E1992" s="8"/>
      <c r="F1992" s="8"/>
      <c r="G1992" s="8"/>
      <c r="H1992" s="8"/>
      <c r="I1992" s="8"/>
      <c r="J1992" s="547"/>
      <c r="K1992" s="8"/>
      <c r="L1992" s="8"/>
      <c r="M1992" s="8"/>
    </row>
    <row r="1993">
      <c r="A1993" s="8"/>
      <c r="B1993" s="8"/>
      <c r="C1993" s="8"/>
      <c r="D1993" s="549"/>
      <c r="E1993" s="8"/>
      <c r="F1993" s="8"/>
      <c r="G1993" s="8"/>
      <c r="H1993" s="8"/>
      <c r="I1993" s="8"/>
      <c r="J1993" s="547"/>
      <c r="K1993" s="8"/>
      <c r="L1993" s="8"/>
      <c r="M1993" s="8"/>
    </row>
    <row r="1994">
      <c r="A1994" s="8"/>
      <c r="B1994" s="8"/>
      <c r="C1994" s="8"/>
      <c r="D1994" s="549"/>
      <c r="E1994" s="8"/>
      <c r="F1994" s="8"/>
      <c r="G1994" s="8"/>
      <c r="H1994" s="8"/>
      <c r="I1994" s="8"/>
      <c r="J1994" s="547"/>
      <c r="K1994" s="8"/>
      <c r="L1994" s="8"/>
      <c r="M1994" s="8"/>
    </row>
    <row r="1995">
      <c r="A1995" s="8"/>
      <c r="B1995" s="8"/>
      <c r="C1995" s="8"/>
      <c r="D1995" s="549"/>
      <c r="E1995" s="8"/>
      <c r="F1995" s="8"/>
      <c r="G1995" s="8"/>
      <c r="H1995" s="8"/>
      <c r="I1995" s="8"/>
      <c r="J1995" s="547"/>
      <c r="K1995" s="8"/>
      <c r="L1995" s="8"/>
      <c r="M1995" s="8"/>
    </row>
    <row r="1996">
      <c r="A1996" s="8"/>
      <c r="B1996" s="8"/>
      <c r="C1996" s="8"/>
      <c r="D1996" s="549"/>
      <c r="E1996" s="8"/>
      <c r="F1996" s="8"/>
      <c r="G1996" s="8"/>
      <c r="H1996" s="8"/>
      <c r="I1996" s="8"/>
      <c r="J1996" s="547"/>
      <c r="K1996" s="8"/>
      <c r="L1996" s="8"/>
      <c r="M1996" s="8"/>
    </row>
    <row r="1997">
      <c r="A1997" s="8"/>
      <c r="B1997" s="8"/>
      <c r="C1997" s="8"/>
      <c r="D1997" s="549"/>
      <c r="E1997" s="8"/>
      <c r="F1997" s="8"/>
      <c r="G1997" s="8"/>
      <c r="H1997" s="8"/>
      <c r="I1997" s="8"/>
      <c r="J1997" s="547"/>
      <c r="K1997" s="8"/>
      <c r="L1997" s="8"/>
      <c r="M1997" s="8"/>
    </row>
    <row r="1998">
      <c r="A1998" s="8"/>
      <c r="B1998" s="8"/>
      <c r="C1998" s="8"/>
      <c r="D1998" s="549"/>
      <c r="E1998" s="8"/>
      <c r="F1998" s="8"/>
      <c r="G1998" s="8"/>
      <c r="H1998" s="8"/>
      <c r="I1998" s="8"/>
      <c r="J1998" s="547"/>
      <c r="K1998" s="8"/>
      <c r="L1998" s="8"/>
      <c r="M1998" s="8"/>
    </row>
    <row r="1999">
      <c r="A1999" s="8"/>
      <c r="B1999" s="8"/>
      <c r="C1999" s="8"/>
      <c r="D1999" s="549"/>
      <c r="E1999" s="8"/>
      <c r="F1999" s="8"/>
      <c r="G1999" s="8"/>
      <c r="H1999" s="8"/>
      <c r="I1999" s="8"/>
      <c r="J1999" s="547"/>
      <c r="K1999" s="8"/>
      <c r="L1999" s="8"/>
      <c r="M1999" s="8"/>
    </row>
    <row r="2000">
      <c r="A2000" s="8"/>
      <c r="B2000" s="8"/>
      <c r="C2000" s="8"/>
      <c r="D2000" s="549"/>
      <c r="E2000" s="8"/>
      <c r="F2000" s="8"/>
      <c r="G2000" s="8"/>
      <c r="H2000" s="8"/>
      <c r="I2000" s="8"/>
      <c r="J2000" s="547"/>
      <c r="K2000" s="8"/>
      <c r="L2000" s="8"/>
      <c r="M2000" s="8"/>
    </row>
    <row r="2001">
      <c r="A2001" s="8"/>
      <c r="B2001" s="8"/>
      <c r="C2001" s="8"/>
      <c r="D2001" s="549"/>
      <c r="E2001" s="8"/>
      <c r="F2001" s="8"/>
      <c r="G2001" s="8"/>
      <c r="H2001" s="8"/>
      <c r="I2001" s="8"/>
      <c r="J2001" s="547"/>
      <c r="K2001" s="8"/>
      <c r="L2001" s="8"/>
      <c r="M2001" s="8"/>
    </row>
    <row r="2002">
      <c r="A2002" s="8"/>
      <c r="B2002" s="8"/>
      <c r="C2002" s="8"/>
      <c r="D2002" s="549"/>
      <c r="E2002" s="8"/>
      <c r="F2002" s="8"/>
      <c r="G2002" s="8"/>
      <c r="H2002" s="8"/>
      <c r="I2002" s="8"/>
      <c r="J2002" s="547"/>
      <c r="K2002" s="8"/>
      <c r="L2002" s="8"/>
      <c r="M2002" s="8"/>
    </row>
    <row r="2003">
      <c r="A2003" s="8"/>
      <c r="B2003" s="8"/>
      <c r="C2003" s="8"/>
      <c r="D2003" s="549"/>
      <c r="E2003" s="8"/>
      <c r="F2003" s="8"/>
      <c r="G2003" s="8"/>
      <c r="H2003" s="8"/>
      <c r="I2003" s="8"/>
      <c r="J2003" s="547"/>
      <c r="K2003" s="8"/>
      <c r="L2003" s="8"/>
      <c r="M2003" s="8"/>
    </row>
    <row r="2004">
      <c r="A2004" s="8"/>
      <c r="B2004" s="8"/>
      <c r="C2004" s="8"/>
      <c r="D2004" s="549"/>
      <c r="E2004" s="8"/>
      <c r="F2004" s="8"/>
      <c r="G2004" s="8"/>
      <c r="H2004" s="8"/>
      <c r="I2004" s="8"/>
      <c r="J2004" s="547"/>
      <c r="K2004" s="8"/>
      <c r="L2004" s="8"/>
      <c r="M2004" s="8"/>
    </row>
    <row r="2005">
      <c r="A2005" s="8"/>
      <c r="B2005" s="8"/>
      <c r="C2005" s="8"/>
      <c r="D2005" s="549"/>
      <c r="E2005" s="8"/>
      <c r="F2005" s="8"/>
      <c r="G2005" s="8"/>
      <c r="H2005" s="8"/>
      <c r="I2005" s="8"/>
      <c r="J2005" s="547"/>
      <c r="K2005" s="8"/>
      <c r="L2005" s="8"/>
      <c r="M2005" s="8"/>
    </row>
    <row r="2006">
      <c r="A2006" s="8"/>
      <c r="B2006" s="8"/>
      <c r="C2006" s="8"/>
      <c r="D2006" s="549"/>
      <c r="E2006" s="8"/>
      <c r="F2006" s="8"/>
      <c r="G2006" s="8"/>
      <c r="H2006" s="8"/>
      <c r="I2006" s="8"/>
      <c r="J2006" s="547"/>
      <c r="K2006" s="8"/>
      <c r="L2006" s="8"/>
      <c r="M2006" s="8"/>
    </row>
    <row r="2007">
      <c r="A2007" s="8"/>
      <c r="B2007" s="8"/>
      <c r="C2007" s="8"/>
      <c r="D2007" s="549"/>
      <c r="E2007" s="8"/>
      <c r="F2007" s="8"/>
      <c r="G2007" s="8"/>
      <c r="H2007" s="8"/>
      <c r="I2007" s="8"/>
      <c r="J2007" s="547"/>
      <c r="K2007" s="8"/>
      <c r="L2007" s="8"/>
      <c r="M2007" s="8"/>
    </row>
    <row r="2008">
      <c r="A2008" s="8"/>
      <c r="B2008" s="8"/>
      <c r="C2008" s="8"/>
      <c r="D2008" s="549"/>
      <c r="E2008" s="8"/>
      <c r="F2008" s="8"/>
      <c r="G2008" s="8"/>
      <c r="H2008" s="8"/>
      <c r="I2008" s="8"/>
      <c r="J2008" s="547"/>
      <c r="K2008" s="8"/>
      <c r="L2008" s="8"/>
      <c r="M2008" s="8"/>
    </row>
    <row r="2009">
      <c r="A2009" s="8"/>
      <c r="B2009" s="8"/>
      <c r="C2009" s="8"/>
      <c r="D2009" s="549"/>
      <c r="E2009" s="8"/>
      <c r="F2009" s="8"/>
      <c r="G2009" s="8"/>
      <c r="H2009" s="8"/>
      <c r="I2009" s="8"/>
      <c r="J2009" s="547"/>
      <c r="K2009" s="8"/>
      <c r="L2009" s="8"/>
      <c r="M2009" s="8"/>
    </row>
    <row r="2010">
      <c r="A2010" s="8"/>
      <c r="B2010" s="8"/>
      <c r="C2010" s="8"/>
      <c r="D2010" s="549"/>
      <c r="E2010" s="8"/>
      <c r="F2010" s="8"/>
      <c r="G2010" s="8"/>
      <c r="H2010" s="8"/>
      <c r="I2010" s="8"/>
      <c r="J2010" s="547"/>
      <c r="K2010" s="8"/>
      <c r="L2010" s="8"/>
      <c r="M2010" s="8"/>
    </row>
  </sheetData>
  <conditionalFormatting sqref="J3:J2010">
    <cfRule type="cellIs" dxfId="1" priority="1" operator="equal">
      <formula>"Corphosted"</formula>
    </cfRule>
  </conditionalFormatting>
  <conditionalFormatting sqref="J3:J2010">
    <cfRule type="cellIs" dxfId="9" priority="2" operator="equal">
      <formula>"Add"</formula>
    </cfRule>
  </conditionalFormatting>
  <conditionalFormatting sqref="J3:J2010">
    <cfRule type="cellIs" dxfId="10" priority="3" operator="equal">
      <formula>"Modify"</formula>
    </cfRule>
  </conditionalFormatting>
  <conditionalFormatting sqref="J3:J2010">
    <cfRule type="cellIs" dxfId="2" priority="4" operator="equal">
      <formula>"Delete"</formula>
    </cfRule>
  </conditionalFormatting>
  <conditionalFormatting sqref="E3:E2010">
    <cfRule type="expression" dxfId="16" priority="5">
      <formula>AND(NOT(ISBLANK($E3)), NOT(REGEXMATCH($E3, "^([0-9a-fA-F][0-9a-fA-F]:){5}([0-9a-fA-F][0-9a-fA-F])$")))</formula>
    </cfRule>
  </conditionalFormatting>
  <dataValidations>
    <dataValidation type="list" allowBlank="1" sqref="D3:D2010">
      <formula1>'12-VLook'!$N$2:$N$508</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9D58"/>
    <outlinePr summaryBelow="0" summaryRight="0"/>
    <pageSetUpPr fitToPage="1"/>
  </sheetPr>
  <sheetViews>
    <sheetView workbookViewId="0">
      <pane xSplit="1.0" topLeftCell="B1" activePane="topRight" state="frozen"/>
      <selection activeCell="C2" sqref="C2" pane="topRight"/>
    </sheetView>
  </sheetViews>
  <sheetFormatPr customHeight="1" defaultColWidth="14.43" defaultRowHeight="15.0" outlineLevelRow="1"/>
  <cols>
    <col customWidth="1" min="1" max="1" width="9.71"/>
    <col customWidth="1" min="2" max="2" width="33.86"/>
    <col customWidth="1" min="3" max="4" width="32.86"/>
    <col customWidth="1" min="5" max="5" width="27.57"/>
    <col customWidth="1" min="6" max="6" width="22.57"/>
    <col customWidth="1" min="7" max="7" width="22.0"/>
    <col customWidth="1" min="8" max="9" width="25.29"/>
    <col customWidth="1" min="10" max="16" width="35.86"/>
    <col customWidth="1" min="17" max="23" width="28.57"/>
    <col customWidth="1" min="24" max="24" width="107.29"/>
    <col customWidth="1" min="25" max="25" width="13.57"/>
    <col customWidth="1" min="26" max="26" width="50.43"/>
    <col customWidth="1" min="27" max="30" width="24.57"/>
  </cols>
  <sheetData>
    <row r="1" ht="28.5" customHeight="1">
      <c r="A1" s="181"/>
      <c r="B1" s="182" t="s">
        <v>532</v>
      </c>
      <c r="C1" s="48"/>
      <c r="D1" s="48"/>
      <c r="E1" s="48"/>
      <c r="F1" s="48"/>
      <c r="G1" s="48"/>
      <c r="H1" s="48"/>
      <c r="I1" s="553"/>
      <c r="J1" s="185" t="s">
        <v>541</v>
      </c>
      <c r="K1" s="48"/>
      <c r="L1" s="554" t="s">
        <v>542</v>
      </c>
      <c r="M1" s="48"/>
      <c r="N1" s="48"/>
      <c r="O1" s="48"/>
      <c r="P1" s="49"/>
      <c r="Q1" s="553" t="s">
        <v>11196</v>
      </c>
      <c r="R1" s="48"/>
      <c r="S1" s="48"/>
      <c r="T1" s="48"/>
      <c r="U1" s="48"/>
      <c r="V1" s="48"/>
      <c r="W1" s="555"/>
      <c r="X1" s="556" t="s">
        <v>27</v>
      </c>
      <c r="Y1" s="8"/>
      <c r="Z1" s="8"/>
      <c r="AA1" s="8"/>
      <c r="AB1" s="8"/>
      <c r="AC1" s="8"/>
      <c r="AD1" s="8"/>
    </row>
    <row r="2" collapsed="1">
      <c r="A2" s="161" t="s">
        <v>468</v>
      </c>
      <c r="B2" s="202" t="s">
        <v>469</v>
      </c>
      <c r="C2" s="48"/>
      <c r="D2" s="48"/>
      <c r="E2" s="48"/>
      <c r="F2" s="48"/>
      <c r="G2" s="48"/>
      <c r="H2" s="48"/>
      <c r="I2" s="557"/>
      <c r="J2" s="205" t="s">
        <v>469</v>
      </c>
      <c r="K2" s="558" t="s">
        <v>555</v>
      </c>
      <c r="L2" s="559" t="s">
        <v>469</v>
      </c>
      <c r="M2" s="48"/>
      <c r="N2" s="49"/>
      <c r="O2" s="210" t="s">
        <v>555</v>
      </c>
      <c r="P2" s="49"/>
      <c r="Q2" s="557" t="s">
        <v>471</v>
      </c>
      <c r="R2" s="48"/>
      <c r="S2" s="48"/>
      <c r="T2" s="48"/>
      <c r="U2" s="48"/>
      <c r="V2" s="48"/>
      <c r="W2" s="555"/>
      <c r="X2" s="560" t="s">
        <v>27</v>
      </c>
      <c r="Y2" s="8"/>
      <c r="Z2" s="8"/>
      <c r="AA2" s="8"/>
      <c r="AB2" s="8"/>
      <c r="AC2" s="8"/>
      <c r="AD2" s="8"/>
    </row>
    <row r="3" hidden="1" outlineLevel="1">
      <c r="A3" s="221" t="s">
        <v>472</v>
      </c>
      <c r="B3" s="222" t="s">
        <v>11197</v>
      </c>
      <c r="C3" s="222" t="s">
        <v>11198</v>
      </c>
      <c r="D3" s="222" t="s">
        <v>11199</v>
      </c>
      <c r="E3" s="222" t="s">
        <v>11200</v>
      </c>
      <c r="F3" s="222" t="s">
        <v>11201</v>
      </c>
      <c r="G3" s="222" t="s">
        <v>11202</v>
      </c>
      <c r="H3" s="222" t="s">
        <v>11203</v>
      </c>
      <c r="I3" s="222" t="s">
        <v>11204</v>
      </c>
      <c r="J3" s="234" t="s">
        <v>11205</v>
      </c>
      <c r="K3" s="561" t="s">
        <v>11206</v>
      </c>
      <c r="L3" s="229" t="s">
        <v>11207</v>
      </c>
      <c r="M3" s="222" t="s">
        <v>11208</v>
      </c>
      <c r="N3" s="222" t="s">
        <v>11209</v>
      </c>
      <c r="O3" s="222" t="s">
        <v>11210</v>
      </c>
      <c r="P3" s="222" t="s">
        <v>11211</v>
      </c>
      <c r="Q3" s="222" t="s">
        <v>11212</v>
      </c>
      <c r="R3" s="562" t="s">
        <v>11213</v>
      </c>
      <c r="S3" s="562" t="s">
        <v>11214</v>
      </c>
      <c r="T3" s="562" t="s">
        <v>11215</v>
      </c>
      <c r="U3" s="562" t="s">
        <v>11216</v>
      </c>
      <c r="V3" s="562" t="s">
        <v>11217</v>
      </c>
      <c r="W3" s="563" t="s">
        <v>11218</v>
      </c>
      <c r="X3" s="563" t="s">
        <v>489</v>
      </c>
      <c r="Y3" s="538" t="s">
        <v>11179</v>
      </c>
      <c r="Z3" s="539" t="s">
        <v>11219</v>
      </c>
      <c r="AA3" s="540" t="s">
        <v>11181</v>
      </c>
      <c r="AB3" s="540" t="s">
        <v>11182</v>
      </c>
      <c r="AC3" s="540" t="s">
        <v>11183</v>
      </c>
      <c r="AD3" s="540" t="s">
        <v>11184</v>
      </c>
    </row>
    <row r="4" ht="30.75" customHeight="1">
      <c r="A4" s="235" t="s">
        <v>61</v>
      </c>
      <c r="B4" s="236" t="s">
        <v>182</v>
      </c>
      <c r="C4" s="172" t="s">
        <v>11220</v>
      </c>
      <c r="D4" s="172" t="s">
        <v>11221</v>
      </c>
      <c r="E4" s="172" t="s">
        <v>11222</v>
      </c>
      <c r="F4" s="236" t="s">
        <v>622</v>
      </c>
      <c r="G4" s="172" t="s">
        <v>623</v>
      </c>
      <c r="H4" s="236" t="s">
        <v>624</v>
      </c>
      <c r="I4" s="249" t="s">
        <v>11223</v>
      </c>
      <c r="J4" s="254" t="s">
        <v>644</v>
      </c>
      <c r="K4" s="564" t="s">
        <v>11224</v>
      </c>
      <c r="L4" s="246" t="s">
        <v>646</v>
      </c>
      <c r="M4" s="172" t="s">
        <v>647</v>
      </c>
      <c r="N4" s="172" t="s">
        <v>648</v>
      </c>
      <c r="O4" s="172" t="s">
        <v>649</v>
      </c>
      <c r="P4" s="172" t="s">
        <v>650</v>
      </c>
      <c r="Q4" s="235" t="s">
        <v>11225</v>
      </c>
      <c r="R4" s="161" t="s">
        <v>11226</v>
      </c>
      <c r="S4" s="161" t="s">
        <v>11227</v>
      </c>
      <c r="T4" s="161" t="s">
        <v>11228</v>
      </c>
      <c r="U4" s="161" t="s">
        <v>11229</v>
      </c>
      <c r="V4" s="161" t="s">
        <v>11230</v>
      </c>
      <c r="W4" s="565" t="s">
        <v>11231</v>
      </c>
      <c r="X4" s="566" t="s">
        <v>27</v>
      </c>
      <c r="Y4" s="536" t="s">
        <v>11169</v>
      </c>
      <c r="Z4" s="536" t="s">
        <v>11170</v>
      </c>
      <c r="AA4" s="536" t="s">
        <v>11171</v>
      </c>
      <c r="AB4" s="536" t="s">
        <v>11172</v>
      </c>
      <c r="AC4" s="536" t="s">
        <v>11173</v>
      </c>
      <c r="AD4" s="536" t="s">
        <v>11174</v>
      </c>
    </row>
    <row r="5" ht="30.0" customHeight="1">
      <c r="A5" s="258">
        <v>1.0</v>
      </c>
      <c r="B5" s="256"/>
      <c r="C5" s="256"/>
      <c r="D5" s="174"/>
      <c r="E5" s="173"/>
      <c r="F5" s="258"/>
      <c r="G5" s="567"/>
      <c r="H5" s="258"/>
      <c r="I5" s="273"/>
      <c r="J5" s="568"/>
      <c r="K5" s="569" t="str">
        <f t="shared" ref="K5:K1000" si="1">IF(LEN(J5),INDEX(Z:Z, MATCH(J5, AC:AC, 0)),"")</f>
        <v/>
      </c>
      <c r="L5" s="33"/>
      <c r="M5" s="258"/>
      <c r="N5" s="258"/>
      <c r="O5" s="258"/>
      <c r="P5" s="265"/>
      <c r="Q5" s="265"/>
      <c r="R5" s="173"/>
      <c r="S5" s="173"/>
      <c r="T5" s="173"/>
      <c r="U5" s="173"/>
      <c r="V5" s="173"/>
      <c r="W5" s="570"/>
      <c r="X5" s="570"/>
      <c r="Y5" s="542"/>
      <c r="Z5" s="543" t="str">
        <f t="array" ref="Z5">IF(LEN(AC5),lower(concatenate("bosvendor-",'2-Building'!B$4,"-",INDEX(D:D, MATCH(AC5, J:J, 0)),INDEX(E:E, MATCH(AC5, J:J, 0)))),"")</f>
        <v>#N/A</v>
      </c>
      <c r="AA5" s="544" t="str">
        <f>IF(LEN(AC5),MID('2-Building'!$B$4,4,3),"")</f>
        <v>#N/A</v>
      </c>
      <c r="AB5" s="544" t="s">
        <v>11232</v>
      </c>
      <c r="AC5" s="543" t="str">
        <f>IFERROR(__xludf.DUMMYFUNCTION("filter(J5:J1000, len(J5:J1000)=17)"),"#N/A")</f>
        <v>#N/A</v>
      </c>
      <c r="AD5" s="545"/>
    </row>
    <row r="6" ht="30.0" customHeight="1">
      <c r="A6" s="173">
        <v>2.0</v>
      </c>
      <c r="B6" s="174"/>
      <c r="C6" s="256"/>
      <c r="D6" s="174"/>
      <c r="E6" s="173"/>
      <c r="F6" s="258"/>
      <c r="G6" s="571"/>
      <c r="H6" s="173"/>
      <c r="I6" s="273"/>
      <c r="J6" s="568"/>
      <c r="K6" s="569" t="str">
        <f t="shared" si="1"/>
        <v/>
      </c>
      <c r="L6" s="572"/>
      <c r="M6" s="173"/>
      <c r="N6" s="173"/>
      <c r="O6" s="173"/>
      <c r="P6" s="573"/>
      <c r="Q6" s="573"/>
      <c r="R6" s="173"/>
      <c r="S6" s="173"/>
      <c r="T6" s="173"/>
      <c r="U6" s="173"/>
      <c r="V6" s="173"/>
      <c r="W6" s="574"/>
      <c r="X6" s="575"/>
      <c r="Y6" s="542"/>
      <c r="Z6" s="543" t="str">
        <f t="array" ref="Z6">IF(LEN(AC6),lower(concatenate("bosvendor-",'2-Building'!B$4,"-",INDEX(D:D, MATCH(AC6, J:J, 0)),INDEX(E:E, MATCH(AC6, J:J, 0)))),"")</f>
        <v/>
      </c>
      <c r="AA6" s="544" t="str">
        <f>IF(LEN(AC6),MID('2-Building'!$B$4,4,3),"")</f>
        <v/>
      </c>
      <c r="AB6" s="544"/>
      <c r="AC6" s="543"/>
      <c r="AD6" s="551"/>
    </row>
    <row r="7" ht="30.0" customHeight="1">
      <c r="A7" s="173">
        <v>3.0</v>
      </c>
      <c r="B7" s="174"/>
      <c r="C7" s="256"/>
      <c r="D7" s="174"/>
      <c r="E7" s="173"/>
      <c r="F7" s="258"/>
      <c r="G7" s="571"/>
      <c r="H7" s="173"/>
      <c r="I7" s="273"/>
      <c r="J7" s="568"/>
      <c r="K7" s="569" t="str">
        <f t="shared" si="1"/>
        <v/>
      </c>
      <c r="L7" s="572"/>
      <c r="M7" s="173"/>
      <c r="N7" s="173"/>
      <c r="O7" s="173"/>
      <c r="P7" s="573"/>
      <c r="Q7" s="573"/>
      <c r="R7" s="173"/>
      <c r="S7" s="173"/>
      <c r="T7" s="173"/>
      <c r="U7" s="173"/>
      <c r="V7" s="173"/>
      <c r="W7" s="574"/>
      <c r="X7" s="575"/>
      <c r="Y7" s="542"/>
      <c r="Z7" s="543" t="str">
        <f t="array" ref="Z7">IF(LEN(AC7),lower(concatenate("bosvendor-",'2-Building'!B$4,"-",INDEX(D:D, MATCH(AC7, J:J, 0)),INDEX(E:E, MATCH(AC7, J:J, 0)))),"")</f>
        <v/>
      </c>
      <c r="AA7" s="544" t="str">
        <f>IF(LEN(AC7),MID('2-Building'!$B$4,4,3),"")</f>
        <v/>
      </c>
      <c r="AB7" s="544"/>
      <c r="AC7" s="543"/>
      <c r="AD7" s="1"/>
    </row>
    <row r="8" ht="30.0" customHeight="1">
      <c r="A8" s="258">
        <v>4.0</v>
      </c>
      <c r="B8" s="174"/>
      <c r="C8" s="256"/>
      <c r="D8" s="174"/>
      <c r="E8" s="173"/>
      <c r="F8" s="258"/>
      <c r="G8" s="571"/>
      <c r="H8" s="173"/>
      <c r="I8" s="576"/>
      <c r="J8" s="577"/>
      <c r="K8" s="569" t="str">
        <f t="shared" si="1"/>
        <v/>
      </c>
      <c r="L8" s="578"/>
      <c r="M8" s="314"/>
      <c r="N8" s="314"/>
      <c r="O8" s="314"/>
      <c r="P8" s="579"/>
      <c r="Q8" s="573"/>
      <c r="R8" s="173"/>
      <c r="S8" s="173"/>
      <c r="T8" s="173"/>
      <c r="U8" s="173"/>
      <c r="V8" s="173"/>
      <c r="W8" s="574"/>
      <c r="X8" s="575"/>
      <c r="Y8" s="542"/>
      <c r="Z8" s="543" t="str">
        <f t="array" ref="Z8">IF(LEN(AC8),lower(concatenate("bosvendor-",'2-Building'!B$4,"-",INDEX(D:D, MATCH(AC8, J:J, 0)),INDEX(E:E, MATCH(AC8, J:J, 0)))),"")</f>
        <v/>
      </c>
      <c r="AA8" s="544" t="str">
        <f>IF(LEN(AC8),MID('2-Building'!$B$4,4,3),"")</f>
        <v/>
      </c>
      <c r="AB8" s="544"/>
      <c r="AC8" s="543"/>
      <c r="AD8" s="1"/>
    </row>
    <row r="9" ht="30.0" customHeight="1">
      <c r="A9" s="173">
        <v>5.0</v>
      </c>
      <c r="B9" s="174"/>
      <c r="C9" s="256"/>
      <c r="D9" s="174"/>
      <c r="E9" s="173"/>
      <c r="F9" s="258"/>
      <c r="G9" s="567"/>
      <c r="H9" s="258"/>
      <c r="I9" s="273"/>
      <c r="J9" s="577"/>
      <c r="K9" s="569" t="str">
        <f t="shared" si="1"/>
        <v/>
      </c>
      <c r="L9" s="572"/>
      <c r="M9" s="173"/>
      <c r="N9" s="173"/>
      <c r="O9" s="173"/>
      <c r="P9" s="573"/>
      <c r="Q9" s="573"/>
      <c r="R9" s="173"/>
      <c r="S9" s="173"/>
      <c r="T9" s="173"/>
      <c r="U9" s="173"/>
      <c r="V9" s="173"/>
      <c r="W9" s="574"/>
      <c r="X9" s="575"/>
      <c r="Y9" s="542"/>
      <c r="Z9" s="543" t="str">
        <f t="array" ref="Z9">IF(LEN(AC9),lower(concatenate("bosvendor-",'2-Building'!B$4,"-",INDEX(D:D, MATCH(AC9, J:J, 0)),INDEX(E:E, MATCH(AC9, J:J, 0)))),"")</f>
        <v/>
      </c>
      <c r="AA9" s="544" t="str">
        <f>IF(LEN(AC9),MID('2-Building'!$B$4,4,3),"")</f>
        <v/>
      </c>
      <c r="AB9" s="544"/>
      <c r="AC9" s="543"/>
      <c r="AD9" s="1"/>
    </row>
    <row r="10" ht="30.0" customHeight="1">
      <c r="A10" s="173">
        <v>6.0</v>
      </c>
      <c r="B10" s="174"/>
      <c r="C10" s="256"/>
      <c r="D10" s="174"/>
      <c r="E10" s="173"/>
      <c r="F10" s="258"/>
      <c r="G10" s="173"/>
      <c r="H10" s="173"/>
      <c r="I10" s="576"/>
      <c r="J10" s="580"/>
      <c r="K10" s="569" t="str">
        <f t="shared" si="1"/>
        <v/>
      </c>
      <c r="L10" s="572"/>
      <c r="M10" s="173"/>
      <c r="N10" s="173"/>
      <c r="O10" s="173"/>
      <c r="P10" s="573"/>
      <c r="Q10" s="573"/>
      <c r="R10" s="173"/>
      <c r="S10" s="173"/>
      <c r="T10" s="173"/>
      <c r="U10" s="173"/>
      <c r="V10" s="173"/>
      <c r="W10" s="574"/>
      <c r="X10" s="575"/>
      <c r="Y10" s="542"/>
      <c r="Z10" s="543" t="str">
        <f t="array" ref="Z10">IF(LEN(AC10),lower(concatenate("bosvendor-",'2-Building'!B$4,"-",INDEX(D:D, MATCH(AC10, J:J, 0)),INDEX(E:E, MATCH(AC10, J:J, 0)))),"")</f>
        <v/>
      </c>
      <c r="AA10" s="544" t="str">
        <f>IF(LEN(AC10),MID('2-Building'!$B$4,4,3),"")</f>
        <v/>
      </c>
      <c r="AB10" s="544"/>
      <c r="AC10" s="543"/>
      <c r="AD10" s="1"/>
    </row>
    <row r="11" ht="30.0" customHeight="1">
      <c r="A11" s="258">
        <v>7.0</v>
      </c>
      <c r="B11" s="174"/>
      <c r="C11" s="256"/>
      <c r="D11" s="174"/>
      <c r="E11" s="173"/>
      <c r="F11" s="258"/>
      <c r="G11" s="173"/>
      <c r="H11" s="173"/>
      <c r="I11" s="576"/>
      <c r="J11" s="577"/>
      <c r="K11" s="569" t="str">
        <f t="shared" si="1"/>
        <v/>
      </c>
      <c r="L11" s="572"/>
      <c r="M11" s="173"/>
      <c r="N11" s="173"/>
      <c r="O11" s="173"/>
      <c r="P11" s="573"/>
      <c r="Q11" s="573"/>
      <c r="R11" s="173"/>
      <c r="S11" s="173"/>
      <c r="T11" s="173"/>
      <c r="U11" s="173"/>
      <c r="V11" s="173"/>
      <c r="W11" s="574"/>
      <c r="X11" s="575"/>
      <c r="Y11" s="542"/>
      <c r="Z11" s="543" t="str">
        <f t="array" ref="Z11">IF(LEN(AC11),lower(concatenate("bosvendor-",'2-Building'!B$4,"-",INDEX(D:D, MATCH(AC11, J:J, 0)),INDEX(E:E, MATCH(AC11, J:J, 0)))),"")</f>
        <v/>
      </c>
      <c r="AA11" s="544" t="str">
        <f>IF(LEN(AC11),MID('2-Building'!$B$4,4,3),"")</f>
        <v/>
      </c>
      <c r="AB11" s="544"/>
      <c r="AC11" s="543"/>
      <c r="AD11" s="1"/>
    </row>
    <row r="12" ht="30.0" customHeight="1">
      <c r="A12" s="173">
        <v>8.0</v>
      </c>
      <c r="B12" s="174"/>
      <c r="C12" s="256"/>
      <c r="D12" s="174"/>
      <c r="E12" s="173"/>
      <c r="F12" s="258"/>
      <c r="G12" s="173"/>
      <c r="H12" s="173"/>
      <c r="I12" s="576"/>
      <c r="J12" s="580"/>
      <c r="K12" s="569" t="str">
        <f t="shared" si="1"/>
        <v/>
      </c>
      <c r="L12" s="572"/>
      <c r="M12" s="173"/>
      <c r="N12" s="173"/>
      <c r="O12" s="173"/>
      <c r="P12" s="573"/>
      <c r="Q12" s="573"/>
      <c r="R12" s="173"/>
      <c r="S12" s="173"/>
      <c r="T12" s="173"/>
      <c r="U12" s="173"/>
      <c r="V12" s="173"/>
      <c r="W12" s="574"/>
      <c r="X12" s="575"/>
      <c r="Y12" s="542"/>
      <c r="Z12" s="543" t="str">
        <f t="array" ref="Z12">IF(LEN(AC12),lower(concatenate("bosvendor-",'2-Building'!B$4,"-",INDEX(D:D, MATCH(AC12, J:J, 0)),INDEX(E:E, MATCH(AC12, J:J, 0)))),"")</f>
        <v/>
      </c>
      <c r="AA12" s="544" t="str">
        <f>IF(LEN(AC12),MID('2-Building'!$B$4,4,3),"")</f>
        <v/>
      </c>
      <c r="AB12" s="544"/>
      <c r="AC12" s="543"/>
      <c r="AD12" s="1"/>
    </row>
    <row r="13" ht="30.0" customHeight="1">
      <c r="A13" s="173">
        <v>9.0</v>
      </c>
      <c r="B13" s="174"/>
      <c r="C13" s="256"/>
      <c r="D13" s="174"/>
      <c r="E13" s="173"/>
      <c r="F13" s="258"/>
      <c r="G13" s="173"/>
      <c r="H13" s="173"/>
      <c r="I13" s="576"/>
      <c r="J13" s="580"/>
      <c r="K13" s="569" t="str">
        <f t="shared" si="1"/>
        <v/>
      </c>
      <c r="L13" s="572"/>
      <c r="M13" s="173"/>
      <c r="N13" s="173"/>
      <c r="O13" s="173"/>
      <c r="P13" s="573"/>
      <c r="Q13" s="573"/>
      <c r="R13" s="173"/>
      <c r="S13" s="173"/>
      <c r="T13" s="173"/>
      <c r="U13" s="173"/>
      <c r="V13" s="173"/>
      <c r="W13" s="574"/>
      <c r="X13" s="575"/>
      <c r="Y13" s="542"/>
      <c r="Z13" s="543" t="str">
        <f t="array" ref="Z13">IF(LEN(AC13),lower(concatenate("bosvendor-",'2-Building'!B$4,"-",INDEX(D:D, MATCH(AC13, J:J, 0)),INDEX(E:E, MATCH(AC13, J:J, 0)))),"")</f>
        <v/>
      </c>
      <c r="AA13" s="544" t="str">
        <f>IF(LEN(AC13),MID('2-Building'!$B$4,4,3),"")</f>
        <v/>
      </c>
      <c r="AB13" s="544"/>
      <c r="AC13" s="543"/>
      <c r="AD13" s="1"/>
    </row>
    <row r="14" ht="30.0" customHeight="1">
      <c r="A14" s="258">
        <v>10.0</v>
      </c>
      <c r="B14" s="174"/>
      <c r="C14" s="256"/>
      <c r="D14" s="174"/>
      <c r="E14" s="173"/>
      <c r="F14" s="258"/>
      <c r="G14" s="173"/>
      <c r="H14" s="173"/>
      <c r="I14" s="576"/>
      <c r="J14" s="580"/>
      <c r="K14" s="569" t="str">
        <f t="shared" si="1"/>
        <v/>
      </c>
      <c r="L14" s="572"/>
      <c r="M14" s="173"/>
      <c r="N14" s="173"/>
      <c r="O14" s="173"/>
      <c r="P14" s="573"/>
      <c r="Q14" s="573"/>
      <c r="R14" s="173"/>
      <c r="S14" s="173"/>
      <c r="T14" s="173"/>
      <c r="U14" s="173"/>
      <c r="V14" s="173"/>
      <c r="W14" s="574"/>
      <c r="X14" s="575"/>
      <c r="Y14" s="542"/>
      <c r="Z14" s="543" t="str">
        <f t="array" ref="Z14">IF(LEN(AC14),lower(concatenate("bosvendor-",'2-Building'!B$4,"-",INDEX(D:D, MATCH(AC14, J:J, 0)),INDEX(E:E, MATCH(AC14, J:J, 0)))),"")</f>
        <v/>
      </c>
      <c r="AA14" s="544" t="str">
        <f>IF(LEN(AC14),MID('2-Building'!$B$4,4,3),"")</f>
        <v/>
      </c>
      <c r="AB14" s="544"/>
      <c r="AC14" s="543"/>
      <c r="AD14" s="1"/>
    </row>
    <row r="15" ht="30.0" customHeight="1">
      <c r="A15" s="173">
        <v>11.0</v>
      </c>
      <c r="B15" s="174"/>
      <c r="C15" s="256"/>
      <c r="D15" s="174"/>
      <c r="E15" s="173"/>
      <c r="F15" s="258"/>
      <c r="G15" s="173"/>
      <c r="H15" s="173"/>
      <c r="I15" s="488"/>
      <c r="J15" s="581"/>
      <c r="K15" s="569" t="str">
        <f t="shared" si="1"/>
        <v/>
      </c>
      <c r="L15" s="572"/>
      <c r="M15" s="173"/>
      <c r="N15" s="173"/>
      <c r="O15" s="173"/>
      <c r="P15" s="573"/>
      <c r="Q15" s="573"/>
      <c r="R15" s="173"/>
      <c r="S15" s="173"/>
      <c r="T15" s="173"/>
      <c r="U15" s="173"/>
      <c r="V15" s="173"/>
      <c r="W15" s="574"/>
      <c r="X15" s="575"/>
      <c r="Y15" s="542"/>
      <c r="Z15" s="543" t="str">
        <f t="array" ref="Z15">IF(LEN(AC15),lower(concatenate("bosvendor-",'2-Building'!B$4,"-",INDEX(D:D, MATCH(AC15, J:J, 0)),INDEX(E:E, MATCH(AC15, J:J, 0)))),"")</f>
        <v/>
      </c>
      <c r="AA15" s="544" t="str">
        <f>IF(LEN(AC15),MID('2-Building'!$B$4,4,3),"")</f>
        <v/>
      </c>
      <c r="AB15" s="544"/>
      <c r="AC15" s="543"/>
      <c r="AD15" s="1"/>
    </row>
    <row r="16" ht="30.0" customHeight="1">
      <c r="A16" s="173">
        <v>12.0</v>
      </c>
      <c r="B16" s="174"/>
      <c r="C16" s="256"/>
      <c r="D16" s="174"/>
      <c r="E16" s="173"/>
      <c r="F16" s="258"/>
      <c r="G16" s="173"/>
      <c r="H16" s="173"/>
      <c r="I16" s="576"/>
      <c r="J16" s="580"/>
      <c r="K16" s="569" t="str">
        <f t="shared" si="1"/>
        <v/>
      </c>
      <c r="L16" s="572"/>
      <c r="M16" s="173"/>
      <c r="N16" s="173"/>
      <c r="O16" s="173"/>
      <c r="P16" s="573"/>
      <c r="Q16" s="573"/>
      <c r="R16" s="173"/>
      <c r="S16" s="173"/>
      <c r="T16" s="173"/>
      <c r="U16" s="173"/>
      <c r="V16" s="173"/>
      <c r="W16" s="574"/>
      <c r="X16" s="575"/>
      <c r="Y16" s="542"/>
      <c r="Z16" s="543" t="str">
        <f t="array" ref="Z16">IF(LEN(AC16),lower(concatenate("bosvendor-",'2-Building'!B$4,"-",INDEX(D:D, MATCH(AC16, J:J, 0)),INDEX(E:E, MATCH(AC16, J:J, 0)))),"")</f>
        <v/>
      </c>
      <c r="AA16" s="544" t="str">
        <f>IF(LEN(AC16),MID('2-Building'!$B$4,4,3),"")</f>
        <v/>
      </c>
      <c r="AB16" s="544"/>
      <c r="AC16" s="543"/>
      <c r="AD16" s="1"/>
    </row>
    <row r="17" ht="30.0" customHeight="1">
      <c r="A17" s="258">
        <v>13.0</v>
      </c>
      <c r="B17" s="174"/>
      <c r="C17" s="256"/>
      <c r="D17" s="174"/>
      <c r="E17" s="173"/>
      <c r="F17" s="258"/>
      <c r="G17" s="173"/>
      <c r="H17" s="173"/>
      <c r="I17" s="576"/>
      <c r="J17" s="580"/>
      <c r="K17" s="569" t="str">
        <f t="shared" si="1"/>
        <v/>
      </c>
      <c r="L17" s="572"/>
      <c r="M17" s="173"/>
      <c r="N17" s="173"/>
      <c r="O17" s="173"/>
      <c r="P17" s="573"/>
      <c r="Q17" s="573"/>
      <c r="R17" s="173"/>
      <c r="S17" s="173"/>
      <c r="T17" s="173"/>
      <c r="U17" s="173"/>
      <c r="V17" s="173"/>
      <c r="W17" s="574"/>
      <c r="X17" s="575"/>
      <c r="Y17" s="542"/>
      <c r="Z17" s="543" t="str">
        <f t="array" ref="Z17">IF(LEN(AC17),lower(concatenate("bosvendor-",'2-Building'!B$4,"-",INDEX(D:D, MATCH(AC17, J:J, 0)),INDEX(E:E, MATCH(AC17, J:J, 0)))),"")</f>
        <v/>
      </c>
      <c r="AA17" s="544" t="str">
        <f>IF(LEN(AC17),MID('2-Building'!$B$4,4,3),"")</f>
        <v/>
      </c>
      <c r="AB17" s="544"/>
      <c r="AC17" s="543"/>
      <c r="AD17" s="1"/>
    </row>
    <row r="18" ht="30.0" customHeight="1">
      <c r="A18" s="173">
        <v>14.0</v>
      </c>
      <c r="B18" s="174"/>
      <c r="C18" s="256"/>
      <c r="D18" s="174"/>
      <c r="E18" s="173"/>
      <c r="F18" s="258"/>
      <c r="G18" s="173"/>
      <c r="H18" s="173"/>
      <c r="I18" s="488"/>
      <c r="J18" s="581"/>
      <c r="K18" s="569" t="str">
        <f t="shared" si="1"/>
        <v/>
      </c>
      <c r="L18" s="572"/>
      <c r="M18" s="173"/>
      <c r="N18" s="173"/>
      <c r="O18" s="173"/>
      <c r="P18" s="573"/>
      <c r="Q18" s="573"/>
      <c r="R18" s="173"/>
      <c r="S18" s="173"/>
      <c r="T18" s="173"/>
      <c r="U18" s="173"/>
      <c r="V18" s="173"/>
      <c r="W18" s="574"/>
      <c r="X18" s="575"/>
      <c r="Y18" s="542"/>
      <c r="Z18" s="543" t="str">
        <f t="array" ref="Z18">IF(LEN(AC18),lower(concatenate("bosvendor-",'2-Building'!B$4,"-",INDEX(D:D, MATCH(AC18, J:J, 0)),INDEX(E:E, MATCH(AC18, J:J, 0)))),"")</f>
        <v/>
      </c>
      <c r="AA18" s="544" t="str">
        <f>IF(LEN(AC18),MID('2-Building'!$B$4,4,3),"")</f>
        <v/>
      </c>
      <c r="AB18" s="544"/>
      <c r="AC18" s="543"/>
      <c r="AD18" s="1"/>
    </row>
    <row r="19" ht="30.0" customHeight="1">
      <c r="A19" s="173">
        <v>15.0</v>
      </c>
      <c r="B19" s="174"/>
      <c r="C19" s="256"/>
      <c r="D19" s="174"/>
      <c r="E19" s="173"/>
      <c r="F19" s="258"/>
      <c r="G19" s="173"/>
      <c r="H19" s="173"/>
      <c r="I19" s="576"/>
      <c r="J19" s="580"/>
      <c r="K19" s="569" t="str">
        <f t="shared" si="1"/>
        <v/>
      </c>
      <c r="L19" s="572"/>
      <c r="M19" s="173"/>
      <c r="N19" s="173"/>
      <c r="O19" s="173"/>
      <c r="P19" s="573"/>
      <c r="Q19" s="573"/>
      <c r="R19" s="173"/>
      <c r="S19" s="173"/>
      <c r="T19" s="173"/>
      <c r="U19" s="173"/>
      <c r="V19" s="173"/>
      <c r="W19" s="574"/>
      <c r="X19" s="575"/>
      <c r="Y19" s="542"/>
      <c r="Z19" s="543" t="str">
        <f t="array" ref="Z19">IF(LEN(AC19),lower(concatenate("bosvendor-",'2-Building'!B$4,"-",INDEX(D:D, MATCH(AC19, J:J, 0)),INDEX(E:E, MATCH(AC19, J:J, 0)))),"")</f>
        <v/>
      </c>
      <c r="AA19" s="544" t="str">
        <f>IF(LEN(AC19),MID('2-Building'!$B$4,4,3),"")</f>
        <v/>
      </c>
      <c r="AB19" s="544"/>
      <c r="AC19" s="543"/>
      <c r="AD19" s="1"/>
    </row>
    <row r="20" ht="30.0" customHeight="1">
      <c r="A20" s="258">
        <v>16.0</v>
      </c>
      <c r="B20" s="174"/>
      <c r="C20" s="256"/>
      <c r="D20" s="174"/>
      <c r="E20" s="173"/>
      <c r="F20" s="258"/>
      <c r="G20" s="173"/>
      <c r="H20" s="173"/>
      <c r="I20" s="576"/>
      <c r="J20" s="580"/>
      <c r="K20" s="569" t="str">
        <f t="shared" si="1"/>
        <v/>
      </c>
      <c r="L20" s="572"/>
      <c r="M20" s="173"/>
      <c r="N20" s="173"/>
      <c r="O20" s="173"/>
      <c r="P20" s="573"/>
      <c r="Q20" s="573"/>
      <c r="R20" s="173"/>
      <c r="S20" s="173"/>
      <c r="T20" s="173"/>
      <c r="U20" s="173"/>
      <c r="V20" s="173"/>
      <c r="W20" s="574"/>
      <c r="X20" s="575"/>
      <c r="Y20" s="28"/>
      <c r="Z20" s="543" t="str">
        <f t="array" ref="Z20">IF(LEN(AC20),lower(concatenate("bosvendor-",'2-Building'!B$4,"-",INDEX(D:D, MATCH(AC20, J:J, 0)),INDEX(E:E, MATCH(AC20, J:J, 0)))),"")</f>
        <v/>
      </c>
      <c r="AA20" s="28"/>
      <c r="AB20" s="28"/>
      <c r="AC20" s="28"/>
      <c r="AD20" s="28"/>
    </row>
    <row r="21" ht="30.0" customHeight="1">
      <c r="A21" s="173">
        <v>17.0</v>
      </c>
      <c r="B21" s="174"/>
      <c r="C21" s="256"/>
      <c r="D21" s="174"/>
      <c r="E21" s="173"/>
      <c r="F21" s="258"/>
      <c r="G21" s="173"/>
      <c r="H21" s="173"/>
      <c r="I21" s="576"/>
      <c r="J21" s="577"/>
      <c r="K21" s="569" t="str">
        <f t="shared" si="1"/>
        <v/>
      </c>
      <c r="L21" s="572"/>
      <c r="M21" s="173"/>
      <c r="N21" s="173"/>
      <c r="O21" s="173"/>
      <c r="P21" s="573"/>
      <c r="Q21" s="573"/>
      <c r="R21" s="173"/>
      <c r="S21" s="173"/>
      <c r="T21" s="173"/>
      <c r="U21" s="173"/>
      <c r="V21" s="173"/>
      <c r="W21" s="574"/>
      <c r="X21" s="575"/>
      <c r="Y21" s="28"/>
      <c r="Z21" s="543" t="str">
        <f t="array" ref="Z21">IF(LEN(AC21),lower(concatenate("bosvendor-",'2-Building'!B$4,"-",INDEX(D:D, MATCH(AC21, J:J, 0)),INDEX(E:E, MATCH(AC21, J:J, 0)))),"")</f>
        <v/>
      </c>
      <c r="AA21" s="28"/>
      <c r="AB21" s="28"/>
      <c r="AC21" s="28"/>
      <c r="AD21" s="28"/>
    </row>
    <row r="22" ht="30.0" customHeight="1">
      <c r="A22" s="173">
        <v>18.0</v>
      </c>
      <c r="B22" s="174"/>
      <c r="C22" s="256"/>
      <c r="D22" s="174"/>
      <c r="E22" s="173"/>
      <c r="F22" s="258"/>
      <c r="G22" s="173"/>
      <c r="H22" s="173"/>
      <c r="I22" s="576"/>
      <c r="J22" s="580"/>
      <c r="K22" s="569" t="str">
        <f t="shared" si="1"/>
        <v/>
      </c>
      <c r="L22" s="572"/>
      <c r="M22" s="173"/>
      <c r="N22" s="173"/>
      <c r="O22" s="173"/>
      <c r="P22" s="573"/>
      <c r="Q22" s="573"/>
      <c r="R22" s="173"/>
      <c r="S22" s="173"/>
      <c r="T22" s="173"/>
      <c r="U22" s="173"/>
      <c r="V22" s="173"/>
      <c r="W22" s="574"/>
      <c r="X22" s="575"/>
      <c r="Y22" s="28"/>
      <c r="Z22" s="543" t="str">
        <f t="array" ref="Z22">IF(LEN(AC22),lower(concatenate("bosvendor-",'2-Building'!B$4,"-",INDEX(D:D, MATCH(AC22, J:J, 0)),INDEX(E:E, MATCH(AC22, J:J, 0)))),"")</f>
        <v/>
      </c>
      <c r="AA22" s="28"/>
      <c r="AB22" s="28"/>
      <c r="AC22" s="28"/>
      <c r="AD22" s="28"/>
    </row>
    <row r="23" ht="30.0" customHeight="1">
      <c r="A23" s="258">
        <v>19.0</v>
      </c>
      <c r="B23" s="174"/>
      <c r="C23" s="256"/>
      <c r="D23" s="174"/>
      <c r="E23" s="173"/>
      <c r="F23" s="258"/>
      <c r="G23" s="173"/>
      <c r="H23" s="173"/>
      <c r="I23" s="576"/>
      <c r="J23" s="580"/>
      <c r="K23" s="569" t="str">
        <f t="shared" si="1"/>
        <v/>
      </c>
      <c r="L23" s="572"/>
      <c r="M23" s="173"/>
      <c r="N23" s="173"/>
      <c r="O23" s="173"/>
      <c r="P23" s="573"/>
      <c r="Q23" s="573"/>
      <c r="R23" s="173"/>
      <c r="S23" s="173"/>
      <c r="T23" s="173"/>
      <c r="U23" s="173"/>
      <c r="V23" s="173"/>
      <c r="W23" s="574"/>
      <c r="X23" s="575"/>
      <c r="Y23" s="28"/>
      <c r="Z23" s="543" t="str">
        <f t="array" ref="Z23">IF(LEN(AC23),lower(concatenate("bosvendor-",'2-Building'!B$4,"-",INDEX(D:D, MATCH(AC23, J:J, 0)),INDEX(E:E, MATCH(AC23, J:J, 0)))),"")</f>
        <v/>
      </c>
      <c r="AA23" s="28"/>
      <c r="AB23" s="28"/>
      <c r="AC23" s="28"/>
      <c r="AD23" s="28"/>
    </row>
    <row r="24" ht="30.0" customHeight="1">
      <c r="A24" s="173">
        <v>20.0</v>
      </c>
      <c r="B24" s="174"/>
      <c r="C24" s="256"/>
      <c r="D24" s="174"/>
      <c r="E24" s="173"/>
      <c r="F24" s="258"/>
      <c r="G24" s="173"/>
      <c r="H24" s="173"/>
      <c r="I24" s="576"/>
      <c r="J24" s="580"/>
      <c r="K24" s="569" t="str">
        <f t="shared" si="1"/>
        <v/>
      </c>
      <c r="L24" s="572"/>
      <c r="M24" s="173"/>
      <c r="N24" s="173"/>
      <c r="O24" s="173"/>
      <c r="P24" s="573"/>
      <c r="Q24" s="573"/>
      <c r="R24" s="173"/>
      <c r="S24" s="173"/>
      <c r="T24" s="173"/>
      <c r="U24" s="173"/>
      <c r="V24" s="173"/>
      <c r="W24" s="574"/>
      <c r="X24" s="575"/>
      <c r="Y24" s="28"/>
      <c r="Z24" s="543" t="str">
        <f t="array" ref="Z24">IF(LEN(AC24),lower(concatenate("bosvendor-",'2-Building'!B$4,"-",INDEX(D:D, MATCH(AC24, J:J, 0)),INDEX(E:E, MATCH(AC24, J:J, 0)))),"")</f>
        <v/>
      </c>
      <c r="AA24" s="28"/>
      <c r="AB24" s="28"/>
      <c r="AC24" s="28"/>
      <c r="AD24" s="28"/>
    </row>
    <row r="25" ht="30.0" customHeight="1">
      <c r="A25" s="173">
        <v>21.0</v>
      </c>
      <c r="B25" s="174"/>
      <c r="C25" s="256"/>
      <c r="D25" s="174"/>
      <c r="E25" s="173"/>
      <c r="F25" s="258"/>
      <c r="G25" s="173"/>
      <c r="H25" s="173"/>
      <c r="I25" s="576"/>
      <c r="J25" s="580"/>
      <c r="K25" s="569" t="str">
        <f t="shared" si="1"/>
        <v/>
      </c>
      <c r="L25" s="572"/>
      <c r="M25" s="173"/>
      <c r="N25" s="173"/>
      <c r="O25" s="173"/>
      <c r="P25" s="573"/>
      <c r="Q25" s="573"/>
      <c r="R25" s="173"/>
      <c r="S25" s="173"/>
      <c r="T25" s="173"/>
      <c r="U25" s="173"/>
      <c r="V25" s="173"/>
      <c r="W25" s="574"/>
      <c r="X25" s="575"/>
      <c r="Y25" s="28"/>
      <c r="Z25" s="543" t="str">
        <f t="array" ref="Z25">IF(LEN(AC25),lower(concatenate("bosvendor-",'2-Building'!B$4,"-",INDEX(D:D, MATCH(AC25, J:J, 0)),INDEX(E:E, MATCH(AC25, J:J, 0)))),"")</f>
        <v/>
      </c>
      <c r="AA25" s="28"/>
      <c r="AB25" s="28"/>
      <c r="AC25" s="28"/>
      <c r="AD25" s="28"/>
    </row>
    <row r="26" ht="30.0" customHeight="1">
      <c r="A26" s="258">
        <v>22.0</v>
      </c>
      <c r="B26" s="174"/>
      <c r="C26" s="256"/>
      <c r="D26" s="174"/>
      <c r="E26" s="173"/>
      <c r="F26" s="258"/>
      <c r="G26" s="173"/>
      <c r="H26" s="173"/>
      <c r="I26" s="576"/>
      <c r="J26" s="580"/>
      <c r="K26" s="569" t="str">
        <f t="shared" si="1"/>
        <v/>
      </c>
      <c r="L26" s="572"/>
      <c r="M26" s="173"/>
      <c r="N26" s="173"/>
      <c r="O26" s="173"/>
      <c r="P26" s="573"/>
      <c r="Q26" s="573"/>
      <c r="R26" s="173"/>
      <c r="S26" s="173"/>
      <c r="T26" s="173"/>
      <c r="U26" s="173"/>
      <c r="V26" s="173"/>
      <c r="W26" s="574"/>
      <c r="X26" s="575"/>
      <c r="Y26" s="28"/>
      <c r="Z26" s="543" t="str">
        <f t="array" ref="Z26">IF(LEN(AC26),lower(concatenate("bosvendor-",'2-Building'!B$4,"-",INDEX(D:D, MATCH(AC26, J:J, 0)),INDEX(E:E, MATCH(AC26, J:J, 0)))),"")</f>
        <v/>
      </c>
      <c r="AA26" s="28"/>
      <c r="AB26" s="28"/>
      <c r="AC26" s="28"/>
      <c r="AD26" s="28"/>
    </row>
    <row r="27" ht="30.0" customHeight="1">
      <c r="A27" s="173">
        <v>23.0</v>
      </c>
      <c r="B27" s="174"/>
      <c r="C27" s="256"/>
      <c r="D27" s="174"/>
      <c r="E27" s="173"/>
      <c r="F27" s="258"/>
      <c r="G27" s="173"/>
      <c r="H27" s="173"/>
      <c r="I27" s="576"/>
      <c r="J27" s="580"/>
      <c r="K27" s="569" t="str">
        <f t="shared" si="1"/>
        <v/>
      </c>
      <c r="L27" s="572"/>
      <c r="M27" s="173"/>
      <c r="N27" s="173"/>
      <c r="O27" s="173"/>
      <c r="P27" s="573"/>
      <c r="Q27" s="573"/>
      <c r="R27" s="173"/>
      <c r="S27" s="173"/>
      <c r="T27" s="173"/>
      <c r="U27" s="173"/>
      <c r="V27" s="173"/>
      <c r="W27" s="574"/>
      <c r="X27" s="575"/>
      <c r="Y27" s="28"/>
      <c r="Z27" s="543" t="str">
        <f t="array" ref="Z27">IF(LEN(AC27),lower(concatenate("bosvendor-",'2-Building'!B$4,"-",INDEX(D:D, MATCH(AC27, J:J, 0)),INDEX(E:E, MATCH(AC27, J:J, 0)))),"")</f>
        <v/>
      </c>
      <c r="AA27" s="28"/>
      <c r="AB27" s="28"/>
      <c r="AC27" s="28"/>
      <c r="AD27" s="28"/>
    </row>
    <row r="28" ht="30.0" customHeight="1">
      <c r="A28" s="173">
        <v>24.0</v>
      </c>
      <c r="B28" s="174"/>
      <c r="C28" s="256"/>
      <c r="D28" s="174"/>
      <c r="E28" s="173"/>
      <c r="F28" s="258"/>
      <c r="G28" s="173"/>
      <c r="H28" s="173"/>
      <c r="I28" s="576"/>
      <c r="J28" s="580"/>
      <c r="K28" s="569" t="str">
        <f t="shared" si="1"/>
        <v/>
      </c>
      <c r="L28" s="572"/>
      <c r="M28" s="173"/>
      <c r="N28" s="173"/>
      <c r="O28" s="173"/>
      <c r="P28" s="573"/>
      <c r="Q28" s="573"/>
      <c r="R28" s="173"/>
      <c r="S28" s="173"/>
      <c r="T28" s="173"/>
      <c r="U28" s="173"/>
      <c r="V28" s="173"/>
      <c r="W28" s="574"/>
      <c r="X28" s="575"/>
      <c r="Y28" s="28"/>
      <c r="Z28" s="543" t="str">
        <f t="array" ref="Z28">IF(LEN(AC28),lower(concatenate("bosvendor-",'2-Building'!B$4,"-",INDEX(D:D, MATCH(AC28, J:J, 0)),INDEX(E:E, MATCH(AC28, J:J, 0)))),"")</f>
        <v/>
      </c>
      <c r="AA28" s="28"/>
      <c r="AB28" s="28"/>
      <c r="AC28" s="28"/>
      <c r="AD28" s="28"/>
    </row>
    <row r="29" ht="30.0" customHeight="1">
      <c r="A29" s="258">
        <v>25.0</v>
      </c>
      <c r="B29" s="174"/>
      <c r="C29" s="256"/>
      <c r="D29" s="174"/>
      <c r="E29" s="173"/>
      <c r="F29" s="258"/>
      <c r="G29" s="173"/>
      <c r="H29" s="173"/>
      <c r="I29" s="576"/>
      <c r="J29" s="580"/>
      <c r="K29" s="569" t="str">
        <f t="shared" si="1"/>
        <v/>
      </c>
      <c r="L29" s="572"/>
      <c r="M29" s="173"/>
      <c r="N29" s="173"/>
      <c r="O29" s="173"/>
      <c r="P29" s="573"/>
      <c r="Q29" s="573"/>
      <c r="R29" s="173"/>
      <c r="S29" s="173"/>
      <c r="T29" s="173"/>
      <c r="U29" s="173"/>
      <c r="V29" s="173"/>
      <c r="W29" s="574"/>
      <c r="X29" s="575"/>
      <c r="Y29" s="28"/>
      <c r="Z29" s="543" t="str">
        <f t="array" ref="Z29">IF(LEN(AC29),lower(concatenate("bosvendor-",'2-Building'!B$4,"-",INDEX(D:D, MATCH(AC29, J:J, 0)),INDEX(E:E, MATCH(AC29, J:J, 0)))),"")</f>
        <v/>
      </c>
      <c r="AA29" s="28"/>
      <c r="AB29" s="28"/>
      <c r="AC29" s="28"/>
      <c r="AD29" s="28"/>
    </row>
    <row r="30" ht="30.0" customHeight="1">
      <c r="A30" s="173">
        <v>26.0</v>
      </c>
      <c r="B30" s="174"/>
      <c r="C30" s="256"/>
      <c r="D30" s="174"/>
      <c r="E30" s="173"/>
      <c r="F30" s="258"/>
      <c r="G30" s="173"/>
      <c r="H30" s="173"/>
      <c r="I30" s="576"/>
      <c r="J30" s="580"/>
      <c r="K30" s="569" t="str">
        <f t="shared" si="1"/>
        <v/>
      </c>
      <c r="L30" s="572"/>
      <c r="M30" s="173"/>
      <c r="N30" s="173"/>
      <c r="O30" s="173"/>
      <c r="P30" s="573"/>
      <c r="Q30" s="573"/>
      <c r="R30" s="173"/>
      <c r="S30" s="173"/>
      <c r="T30" s="173"/>
      <c r="U30" s="173"/>
      <c r="V30" s="173"/>
      <c r="W30" s="574"/>
      <c r="X30" s="575"/>
      <c r="Y30" s="28"/>
      <c r="Z30" s="543" t="str">
        <f t="array" ref="Z30">IF(LEN(AC30),lower(concatenate("bosvendor-",'2-Building'!B$4,"-",INDEX(D:D, MATCH(AC30, J:J, 0)),INDEX(E:E, MATCH(AC30, J:J, 0)))),"")</f>
        <v/>
      </c>
      <c r="AA30" s="28"/>
      <c r="AB30" s="28"/>
      <c r="AC30" s="28"/>
      <c r="AD30" s="28"/>
    </row>
    <row r="31" ht="30.0" customHeight="1">
      <c r="A31" s="173">
        <v>27.0</v>
      </c>
      <c r="B31" s="174"/>
      <c r="C31" s="256"/>
      <c r="D31" s="174"/>
      <c r="E31" s="173"/>
      <c r="F31" s="258"/>
      <c r="G31" s="173"/>
      <c r="H31" s="173"/>
      <c r="I31" s="576"/>
      <c r="J31" s="580"/>
      <c r="K31" s="569" t="str">
        <f t="shared" si="1"/>
        <v/>
      </c>
      <c r="L31" s="572"/>
      <c r="M31" s="173"/>
      <c r="N31" s="173"/>
      <c r="O31" s="173"/>
      <c r="P31" s="573"/>
      <c r="Q31" s="573"/>
      <c r="R31" s="173"/>
      <c r="S31" s="173"/>
      <c r="T31" s="173"/>
      <c r="U31" s="173"/>
      <c r="V31" s="173"/>
      <c r="W31" s="574"/>
      <c r="X31" s="575"/>
      <c r="Y31" s="28"/>
      <c r="Z31" s="543" t="str">
        <f t="array" ref="Z31">IF(LEN(AC31),lower(concatenate("bosvendor-",'2-Building'!B$4,"-",INDEX(D:D, MATCH(AC31, J:J, 0)),INDEX(E:E, MATCH(AC31, J:J, 0)))),"")</f>
        <v/>
      </c>
      <c r="AA31" s="28"/>
      <c r="AB31" s="28"/>
      <c r="AC31" s="28"/>
      <c r="AD31" s="28"/>
    </row>
    <row r="32" ht="30.0" customHeight="1">
      <c r="A32" s="258">
        <v>28.0</v>
      </c>
      <c r="B32" s="174"/>
      <c r="C32" s="256"/>
      <c r="D32" s="174"/>
      <c r="E32" s="173"/>
      <c r="F32" s="258"/>
      <c r="G32" s="173"/>
      <c r="H32" s="173"/>
      <c r="I32" s="576"/>
      <c r="J32" s="580"/>
      <c r="K32" s="569" t="str">
        <f t="shared" si="1"/>
        <v/>
      </c>
      <c r="L32" s="572"/>
      <c r="M32" s="173"/>
      <c r="N32" s="173"/>
      <c r="O32" s="173"/>
      <c r="P32" s="573"/>
      <c r="Q32" s="573"/>
      <c r="R32" s="173"/>
      <c r="S32" s="173"/>
      <c r="T32" s="173"/>
      <c r="U32" s="173"/>
      <c r="V32" s="173"/>
      <c r="W32" s="574"/>
      <c r="X32" s="575"/>
      <c r="Y32" s="28"/>
      <c r="Z32" s="543" t="str">
        <f t="array" ref="Z32">IF(LEN(AC32),lower(concatenate("bosvendor-",'2-Building'!B$4,"-",INDEX(D:D, MATCH(AC32, J:J, 0)),INDEX(E:E, MATCH(AC32, J:J, 0)))),"")</f>
        <v/>
      </c>
      <c r="AA32" s="28"/>
      <c r="AB32" s="28"/>
      <c r="AC32" s="28"/>
      <c r="AD32" s="28"/>
    </row>
    <row r="33" ht="30.0" customHeight="1">
      <c r="A33" s="173">
        <v>29.0</v>
      </c>
      <c r="B33" s="174"/>
      <c r="C33" s="256"/>
      <c r="D33" s="174"/>
      <c r="E33" s="173"/>
      <c r="F33" s="258"/>
      <c r="G33" s="173"/>
      <c r="H33" s="173"/>
      <c r="I33" s="576"/>
      <c r="J33" s="580"/>
      <c r="K33" s="569" t="str">
        <f t="shared" si="1"/>
        <v/>
      </c>
      <c r="L33" s="572"/>
      <c r="M33" s="173"/>
      <c r="N33" s="173"/>
      <c r="O33" s="173"/>
      <c r="P33" s="573"/>
      <c r="Q33" s="573"/>
      <c r="R33" s="173"/>
      <c r="S33" s="173"/>
      <c r="T33" s="173"/>
      <c r="U33" s="173"/>
      <c r="V33" s="173"/>
      <c r="W33" s="574"/>
      <c r="X33" s="575"/>
      <c r="Y33" s="28"/>
      <c r="Z33" s="543" t="str">
        <f t="array" ref="Z33">IF(LEN(AC33),lower(concatenate("bosvendor-",'2-Building'!B$4,"-",INDEX(D:D, MATCH(AC33, J:J, 0)),INDEX(E:E, MATCH(AC33, J:J, 0)))),"")</f>
        <v/>
      </c>
      <c r="AA33" s="28"/>
      <c r="AB33" s="28"/>
      <c r="AC33" s="28"/>
      <c r="AD33" s="28"/>
    </row>
    <row r="34" ht="30.0" customHeight="1">
      <c r="A34" s="173">
        <v>30.0</v>
      </c>
      <c r="B34" s="174"/>
      <c r="C34" s="256"/>
      <c r="D34" s="174"/>
      <c r="E34" s="173"/>
      <c r="F34" s="258"/>
      <c r="G34" s="173"/>
      <c r="H34" s="173"/>
      <c r="I34" s="576"/>
      <c r="J34" s="580"/>
      <c r="K34" s="569" t="str">
        <f t="shared" si="1"/>
        <v/>
      </c>
      <c r="L34" s="572"/>
      <c r="M34" s="173"/>
      <c r="N34" s="173"/>
      <c r="O34" s="173"/>
      <c r="P34" s="573"/>
      <c r="Q34" s="573"/>
      <c r="R34" s="173"/>
      <c r="S34" s="173"/>
      <c r="T34" s="173"/>
      <c r="U34" s="173"/>
      <c r="V34" s="173"/>
      <c r="W34" s="574"/>
      <c r="X34" s="575"/>
      <c r="Y34" s="28"/>
      <c r="Z34" s="543" t="str">
        <f t="array" ref="Z34">IF(LEN(AC34),lower(concatenate("bosvendor-",'2-Building'!B$4,"-",INDEX(D:D, MATCH(AC34, J:J, 0)),INDEX(E:E, MATCH(AC34, J:J, 0)))),"")</f>
        <v/>
      </c>
      <c r="AA34" s="28"/>
      <c r="AB34" s="28"/>
      <c r="AC34" s="28"/>
      <c r="AD34" s="28"/>
    </row>
    <row r="35" ht="30.0" customHeight="1">
      <c r="A35" s="258">
        <v>31.0</v>
      </c>
      <c r="B35" s="174"/>
      <c r="C35" s="256"/>
      <c r="D35" s="174"/>
      <c r="E35" s="173"/>
      <c r="F35" s="258"/>
      <c r="G35" s="173"/>
      <c r="H35" s="173"/>
      <c r="I35" s="576"/>
      <c r="J35" s="580"/>
      <c r="K35" s="569" t="str">
        <f t="shared" si="1"/>
        <v/>
      </c>
      <c r="L35" s="572"/>
      <c r="M35" s="173"/>
      <c r="N35" s="173"/>
      <c r="O35" s="173"/>
      <c r="P35" s="573"/>
      <c r="Q35" s="573"/>
      <c r="R35" s="173"/>
      <c r="S35" s="173"/>
      <c r="T35" s="173"/>
      <c r="U35" s="173"/>
      <c r="V35" s="173"/>
      <c r="W35" s="574"/>
      <c r="X35" s="575"/>
      <c r="Y35" s="28"/>
      <c r="Z35" s="543" t="str">
        <f t="array" ref="Z35">IF(LEN(AC35),lower(concatenate("bosvendor-",'2-Building'!B$4,"-",INDEX(D:D, MATCH(AC35, J:J, 0)),INDEX(E:E, MATCH(AC35, J:J, 0)))),"")</f>
        <v/>
      </c>
      <c r="AA35" s="28"/>
      <c r="AB35" s="28"/>
      <c r="AC35" s="28"/>
      <c r="AD35" s="28"/>
    </row>
    <row r="36" ht="30.0" customHeight="1">
      <c r="A36" s="173">
        <v>32.0</v>
      </c>
      <c r="B36" s="174"/>
      <c r="C36" s="256"/>
      <c r="D36" s="174"/>
      <c r="E36" s="173"/>
      <c r="F36" s="258"/>
      <c r="G36" s="173"/>
      <c r="H36" s="173"/>
      <c r="I36" s="576"/>
      <c r="J36" s="580"/>
      <c r="K36" s="569" t="str">
        <f t="shared" si="1"/>
        <v/>
      </c>
      <c r="L36" s="572"/>
      <c r="M36" s="173"/>
      <c r="N36" s="173"/>
      <c r="O36" s="173"/>
      <c r="P36" s="573"/>
      <c r="Q36" s="573"/>
      <c r="R36" s="173"/>
      <c r="S36" s="173"/>
      <c r="T36" s="173"/>
      <c r="U36" s="173"/>
      <c r="V36" s="173"/>
      <c r="W36" s="574"/>
      <c r="X36" s="575"/>
      <c r="Y36" s="28"/>
      <c r="Z36" s="543" t="str">
        <f t="array" ref="Z36">IF(LEN(AC36),lower(concatenate("bosvendor-",'2-Building'!B$4,"-",INDEX(D:D, MATCH(AC36, J:J, 0)),INDEX(E:E, MATCH(AC36, J:J, 0)))),"")</f>
        <v/>
      </c>
      <c r="AA36" s="28"/>
      <c r="AB36" s="28"/>
      <c r="AC36" s="28"/>
      <c r="AD36" s="28"/>
    </row>
    <row r="37" ht="30.0" customHeight="1">
      <c r="A37" s="173">
        <v>33.0</v>
      </c>
      <c r="B37" s="174"/>
      <c r="C37" s="256"/>
      <c r="D37" s="174"/>
      <c r="E37" s="173"/>
      <c r="F37" s="258"/>
      <c r="G37" s="173"/>
      <c r="H37" s="173"/>
      <c r="I37" s="576"/>
      <c r="J37" s="580"/>
      <c r="K37" s="569" t="str">
        <f t="shared" si="1"/>
        <v/>
      </c>
      <c r="L37" s="572"/>
      <c r="M37" s="173"/>
      <c r="N37" s="173"/>
      <c r="O37" s="173"/>
      <c r="P37" s="573"/>
      <c r="Q37" s="573"/>
      <c r="R37" s="173"/>
      <c r="S37" s="173"/>
      <c r="T37" s="173"/>
      <c r="U37" s="173"/>
      <c r="V37" s="173"/>
      <c r="W37" s="574"/>
      <c r="X37" s="575"/>
      <c r="Y37" s="28"/>
      <c r="Z37" s="543" t="str">
        <f t="array" ref="Z37">IF(LEN(AC37),lower(concatenate("bosvendor-",'2-Building'!B$4,"-",INDEX(D:D, MATCH(AC37, J:J, 0)),INDEX(E:E, MATCH(AC37, J:J, 0)))),"")</f>
        <v/>
      </c>
      <c r="AA37" s="28"/>
      <c r="AB37" s="28"/>
      <c r="AC37" s="28"/>
      <c r="AD37" s="28"/>
    </row>
    <row r="38" ht="30.0" customHeight="1">
      <c r="A38" s="258">
        <v>34.0</v>
      </c>
      <c r="B38" s="174"/>
      <c r="C38" s="256"/>
      <c r="D38" s="174"/>
      <c r="E38" s="173"/>
      <c r="F38" s="258"/>
      <c r="G38" s="173"/>
      <c r="H38" s="173"/>
      <c r="I38" s="576"/>
      <c r="J38" s="580"/>
      <c r="K38" s="569" t="str">
        <f t="shared" si="1"/>
        <v/>
      </c>
      <c r="L38" s="572"/>
      <c r="M38" s="173"/>
      <c r="N38" s="173"/>
      <c r="O38" s="173"/>
      <c r="P38" s="573"/>
      <c r="Q38" s="573"/>
      <c r="R38" s="173"/>
      <c r="S38" s="173"/>
      <c r="T38" s="173"/>
      <c r="U38" s="173"/>
      <c r="V38" s="173"/>
      <c r="W38" s="574"/>
      <c r="X38" s="575"/>
      <c r="Y38" s="28"/>
      <c r="Z38" s="543" t="str">
        <f t="array" ref="Z38">IF(LEN(AC38),lower(concatenate("bosvendor-",'2-Building'!B$4,"-",INDEX(D:D, MATCH(AC38, J:J, 0)),INDEX(E:E, MATCH(AC38, J:J, 0)))),"")</f>
        <v/>
      </c>
      <c r="AA38" s="28"/>
      <c r="AB38" s="28"/>
      <c r="AC38" s="28"/>
      <c r="AD38" s="28"/>
    </row>
    <row r="39" ht="30.0" customHeight="1">
      <c r="A39" s="173">
        <v>35.0</v>
      </c>
      <c r="B39" s="174"/>
      <c r="C39" s="256"/>
      <c r="D39" s="174"/>
      <c r="E39" s="173"/>
      <c r="F39" s="258"/>
      <c r="G39" s="173"/>
      <c r="H39" s="173"/>
      <c r="I39" s="576"/>
      <c r="J39" s="580"/>
      <c r="K39" s="569" t="str">
        <f t="shared" si="1"/>
        <v/>
      </c>
      <c r="L39" s="572"/>
      <c r="M39" s="173"/>
      <c r="N39" s="173"/>
      <c r="O39" s="173"/>
      <c r="P39" s="573"/>
      <c r="Q39" s="573"/>
      <c r="R39" s="173"/>
      <c r="S39" s="173"/>
      <c r="T39" s="173"/>
      <c r="U39" s="173"/>
      <c r="V39" s="173"/>
      <c r="W39" s="574"/>
      <c r="X39" s="575"/>
      <c r="Y39" s="28"/>
      <c r="Z39" s="543" t="str">
        <f t="array" ref="Z39">IF(LEN(AC39),lower(concatenate("bosvendor-",'2-Building'!B$4,"-",INDEX(D:D, MATCH(AC39, J:J, 0)),INDEX(E:E, MATCH(AC39, J:J, 0)))),"")</f>
        <v/>
      </c>
      <c r="AA39" s="28"/>
      <c r="AB39" s="28"/>
      <c r="AC39" s="28"/>
      <c r="AD39" s="28"/>
    </row>
    <row r="40" ht="30.0" customHeight="1">
      <c r="A40" s="173">
        <v>36.0</v>
      </c>
      <c r="B40" s="174"/>
      <c r="C40" s="256"/>
      <c r="D40" s="174"/>
      <c r="E40" s="173"/>
      <c r="F40" s="258"/>
      <c r="G40" s="173"/>
      <c r="H40" s="173"/>
      <c r="I40" s="576"/>
      <c r="J40" s="580"/>
      <c r="K40" s="569" t="str">
        <f t="shared" si="1"/>
        <v/>
      </c>
      <c r="L40" s="572"/>
      <c r="M40" s="173"/>
      <c r="N40" s="173"/>
      <c r="O40" s="173"/>
      <c r="P40" s="573"/>
      <c r="Q40" s="573"/>
      <c r="R40" s="173"/>
      <c r="S40" s="173"/>
      <c r="T40" s="173"/>
      <c r="U40" s="173"/>
      <c r="V40" s="173"/>
      <c r="W40" s="574"/>
      <c r="X40" s="575"/>
      <c r="Y40" s="28"/>
      <c r="Z40" s="543" t="str">
        <f t="array" ref="Z40">IF(LEN(AC40),lower(concatenate("bosvendor-",'2-Building'!B$4,"-",INDEX(D:D, MATCH(AC40, J:J, 0)),INDEX(E:E, MATCH(AC40, J:J, 0)))),"")</f>
        <v/>
      </c>
      <c r="AA40" s="28"/>
      <c r="AB40" s="28"/>
      <c r="AC40" s="28"/>
      <c r="AD40" s="28"/>
    </row>
    <row r="41" ht="30.0" customHeight="1">
      <c r="A41" s="258">
        <v>37.0</v>
      </c>
      <c r="B41" s="174"/>
      <c r="C41" s="256"/>
      <c r="D41" s="174"/>
      <c r="E41" s="173"/>
      <c r="F41" s="258"/>
      <c r="G41" s="173"/>
      <c r="H41" s="173"/>
      <c r="I41" s="576"/>
      <c r="J41" s="580"/>
      <c r="K41" s="569" t="str">
        <f t="shared" si="1"/>
        <v/>
      </c>
      <c r="L41" s="572"/>
      <c r="M41" s="173"/>
      <c r="N41" s="173"/>
      <c r="O41" s="173"/>
      <c r="P41" s="573"/>
      <c r="Q41" s="573"/>
      <c r="R41" s="173"/>
      <c r="S41" s="173"/>
      <c r="T41" s="173"/>
      <c r="U41" s="173"/>
      <c r="V41" s="173"/>
      <c r="W41" s="574"/>
      <c r="X41" s="575"/>
      <c r="Y41" s="28"/>
      <c r="Z41" s="543" t="str">
        <f t="array" ref="Z41">IF(LEN(AC41),lower(concatenate("bosvendor-",'2-Building'!B$4,"-",INDEX(D:D, MATCH(AC41, J:J, 0)),INDEX(E:E, MATCH(AC41, J:J, 0)))),"")</f>
        <v/>
      </c>
      <c r="AA41" s="28"/>
      <c r="AB41" s="28"/>
      <c r="AC41" s="28"/>
      <c r="AD41" s="28"/>
    </row>
    <row r="42" ht="30.0" customHeight="1">
      <c r="A42" s="173">
        <v>38.0</v>
      </c>
      <c r="B42" s="174"/>
      <c r="C42" s="256"/>
      <c r="D42" s="174"/>
      <c r="E42" s="173"/>
      <c r="F42" s="258"/>
      <c r="G42" s="173"/>
      <c r="H42" s="173"/>
      <c r="I42" s="576"/>
      <c r="J42" s="580"/>
      <c r="K42" s="569" t="str">
        <f t="shared" si="1"/>
        <v/>
      </c>
      <c r="L42" s="572"/>
      <c r="M42" s="173"/>
      <c r="N42" s="173"/>
      <c r="O42" s="173"/>
      <c r="P42" s="573"/>
      <c r="Q42" s="573"/>
      <c r="R42" s="173"/>
      <c r="S42" s="173"/>
      <c r="T42" s="173"/>
      <c r="U42" s="173"/>
      <c r="V42" s="173"/>
      <c r="W42" s="574"/>
      <c r="X42" s="575"/>
      <c r="Y42" s="28"/>
      <c r="Z42" s="543" t="str">
        <f t="array" ref="Z42">IF(LEN(AC42),lower(concatenate("bosvendor-",'2-Building'!B$4,"-",INDEX(D:D, MATCH(AC42, J:J, 0)),INDEX(E:E, MATCH(AC42, J:J, 0)))),"")</f>
        <v/>
      </c>
      <c r="AA42" s="28"/>
      <c r="AB42" s="28"/>
      <c r="AC42" s="28"/>
      <c r="AD42" s="28"/>
    </row>
    <row r="43" ht="30.0" customHeight="1">
      <c r="A43" s="173">
        <v>39.0</v>
      </c>
      <c r="B43" s="174"/>
      <c r="C43" s="256"/>
      <c r="D43" s="174"/>
      <c r="E43" s="173"/>
      <c r="F43" s="258"/>
      <c r="G43" s="173"/>
      <c r="H43" s="173"/>
      <c r="I43" s="576"/>
      <c r="J43" s="580"/>
      <c r="K43" s="569" t="str">
        <f t="shared" si="1"/>
        <v/>
      </c>
      <c r="L43" s="572"/>
      <c r="M43" s="173"/>
      <c r="N43" s="173"/>
      <c r="O43" s="173"/>
      <c r="P43" s="573"/>
      <c r="Q43" s="573"/>
      <c r="R43" s="173"/>
      <c r="S43" s="173"/>
      <c r="T43" s="173"/>
      <c r="U43" s="173"/>
      <c r="V43" s="173"/>
      <c r="W43" s="574"/>
      <c r="X43" s="575"/>
      <c r="Y43" s="28"/>
      <c r="Z43" s="543" t="str">
        <f t="array" ref="Z43">IF(LEN(AC43),lower(concatenate("bosvendor-",'2-Building'!B$4,"-",INDEX(D:D, MATCH(AC43, J:J, 0)),INDEX(E:E, MATCH(AC43, J:J, 0)))),"")</f>
        <v/>
      </c>
      <c r="AA43" s="28"/>
      <c r="AB43" s="28"/>
      <c r="AC43" s="28"/>
      <c r="AD43" s="28"/>
    </row>
    <row r="44" ht="30.0" customHeight="1">
      <c r="A44" s="258">
        <v>40.0</v>
      </c>
      <c r="B44" s="174"/>
      <c r="C44" s="256"/>
      <c r="D44" s="174"/>
      <c r="E44" s="173"/>
      <c r="F44" s="258"/>
      <c r="G44" s="173"/>
      <c r="H44" s="173"/>
      <c r="I44" s="576"/>
      <c r="J44" s="580"/>
      <c r="K44" s="569" t="str">
        <f t="shared" si="1"/>
        <v/>
      </c>
      <c r="L44" s="572"/>
      <c r="M44" s="173"/>
      <c r="N44" s="173"/>
      <c r="O44" s="173"/>
      <c r="P44" s="573"/>
      <c r="Q44" s="573"/>
      <c r="R44" s="173"/>
      <c r="S44" s="173"/>
      <c r="T44" s="173"/>
      <c r="U44" s="173"/>
      <c r="V44" s="173"/>
      <c r="W44" s="574"/>
      <c r="X44" s="575"/>
      <c r="Y44" s="28"/>
      <c r="Z44" s="543" t="str">
        <f t="array" ref="Z44">IF(LEN(AC44),lower(concatenate("bosvendor-",'2-Building'!B$4,"-",INDEX(D:D, MATCH(AC44, J:J, 0)),INDEX(E:E, MATCH(AC44, J:J, 0)))),"")</f>
        <v/>
      </c>
      <c r="AA44" s="28"/>
      <c r="AB44" s="28"/>
      <c r="AC44" s="28"/>
      <c r="AD44" s="28"/>
    </row>
    <row r="45" ht="30.0" customHeight="1">
      <c r="A45" s="173">
        <v>41.0</v>
      </c>
      <c r="B45" s="174"/>
      <c r="C45" s="256"/>
      <c r="D45" s="174"/>
      <c r="E45" s="173"/>
      <c r="F45" s="258"/>
      <c r="G45" s="173"/>
      <c r="H45" s="173"/>
      <c r="I45" s="576"/>
      <c r="J45" s="580"/>
      <c r="K45" s="569" t="str">
        <f t="shared" si="1"/>
        <v/>
      </c>
      <c r="L45" s="572"/>
      <c r="M45" s="173"/>
      <c r="N45" s="173"/>
      <c r="O45" s="173"/>
      <c r="P45" s="573"/>
      <c r="Q45" s="573"/>
      <c r="R45" s="173"/>
      <c r="S45" s="173"/>
      <c r="T45" s="173"/>
      <c r="U45" s="173"/>
      <c r="V45" s="173"/>
      <c r="W45" s="574"/>
      <c r="X45" s="575"/>
      <c r="Y45" s="28"/>
      <c r="Z45" s="543" t="str">
        <f t="array" ref="Z45">IF(LEN(AC45),lower(concatenate("bosvendor-",'2-Building'!B$4,"-",INDEX(D:D, MATCH(AC45, J:J, 0)),INDEX(E:E, MATCH(AC45, J:J, 0)))),"")</f>
        <v/>
      </c>
      <c r="AA45" s="28"/>
      <c r="AB45" s="28"/>
      <c r="AC45" s="28"/>
      <c r="AD45" s="28"/>
    </row>
    <row r="46" ht="30.0" customHeight="1">
      <c r="A46" s="173">
        <v>42.0</v>
      </c>
      <c r="B46" s="174"/>
      <c r="C46" s="256"/>
      <c r="D46" s="174"/>
      <c r="E46" s="173"/>
      <c r="F46" s="258"/>
      <c r="G46" s="173"/>
      <c r="H46" s="173"/>
      <c r="I46" s="576"/>
      <c r="J46" s="580"/>
      <c r="K46" s="569" t="str">
        <f t="shared" si="1"/>
        <v/>
      </c>
      <c r="L46" s="572"/>
      <c r="M46" s="173"/>
      <c r="N46" s="173"/>
      <c r="O46" s="173"/>
      <c r="P46" s="573"/>
      <c r="Q46" s="573"/>
      <c r="R46" s="173"/>
      <c r="S46" s="173"/>
      <c r="T46" s="173"/>
      <c r="U46" s="173"/>
      <c r="V46" s="173"/>
      <c r="W46" s="574"/>
      <c r="X46" s="575"/>
      <c r="Y46" s="28"/>
      <c r="Z46" s="543" t="str">
        <f t="array" ref="Z46">IF(LEN(AC46),lower(concatenate("bosvendor-",'2-Building'!B$4,"-",INDEX(D:D, MATCH(AC46, J:J, 0)),INDEX(E:E, MATCH(AC46, J:J, 0)))),"")</f>
        <v/>
      </c>
      <c r="AA46" s="28"/>
      <c r="AB46" s="28"/>
      <c r="AC46" s="28"/>
      <c r="AD46" s="28"/>
    </row>
    <row r="47" ht="30.0" customHeight="1">
      <c r="A47" s="258">
        <v>43.0</v>
      </c>
      <c r="B47" s="174"/>
      <c r="C47" s="256"/>
      <c r="D47" s="174"/>
      <c r="E47" s="173"/>
      <c r="F47" s="258"/>
      <c r="G47" s="173"/>
      <c r="H47" s="173"/>
      <c r="I47" s="576"/>
      <c r="J47" s="580"/>
      <c r="K47" s="569" t="str">
        <f t="shared" si="1"/>
        <v/>
      </c>
      <c r="L47" s="572"/>
      <c r="M47" s="173"/>
      <c r="N47" s="173"/>
      <c r="O47" s="173"/>
      <c r="P47" s="573"/>
      <c r="Q47" s="573"/>
      <c r="R47" s="173"/>
      <c r="S47" s="173"/>
      <c r="T47" s="173"/>
      <c r="U47" s="173"/>
      <c r="V47" s="173"/>
      <c r="W47" s="574"/>
      <c r="X47" s="575"/>
      <c r="Y47" s="28"/>
      <c r="Z47" s="543" t="str">
        <f t="array" ref="Z47">IF(LEN(AC47),lower(concatenate("bosvendor-",'2-Building'!B$4,"-",INDEX(D:D, MATCH(AC47, J:J, 0)),INDEX(E:E, MATCH(AC47, J:J, 0)))),"")</f>
        <v/>
      </c>
      <c r="AA47" s="28"/>
      <c r="AB47" s="28"/>
      <c r="AC47" s="28"/>
      <c r="AD47" s="28"/>
    </row>
    <row r="48" ht="30.0" customHeight="1">
      <c r="A48" s="173">
        <v>44.0</v>
      </c>
      <c r="B48" s="174"/>
      <c r="C48" s="256"/>
      <c r="D48" s="174"/>
      <c r="E48" s="173"/>
      <c r="F48" s="258"/>
      <c r="G48" s="173"/>
      <c r="H48" s="173"/>
      <c r="I48" s="576"/>
      <c r="J48" s="580"/>
      <c r="K48" s="569" t="str">
        <f t="shared" si="1"/>
        <v/>
      </c>
      <c r="L48" s="572"/>
      <c r="M48" s="173"/>
      <c r="N48" s="173"/>
      <c r="O48" s="173"/>
      <c r="P48" s="573"/>
      <c r="Q48" s="573"/>
      <c r="R48" s="173"/>
      <c r="S48" s="173"/>
      <c r="T48" s="173"/>
      <c r="U48" s="173"/>
      <c r="V48" s="173"/>
      <c r="W48" s="574"/>
      <c r="X48" s="575"/>
      <c r="Y48" s="28"/>
      <c r="Z48" s="543" t="str">
        <f t="array" ref="Z48">IF(LEN(AC48),lower(concatenate("bosvendor-",'2-Building'!B$4,"-",INDEX(D:D, MATCH(AC48, J:J, 0)),INDEX(E:E, MATCH(AC48, J:J, 0)))),"")</f>
        <v/>
      </c>
      <c r="AA48" s="28"/>
      <c r="AB48" s="28"/>
      <c r="AC48" s="28"/>
      <c r="AD48" s="28"/>
    </row>
    <row r="49" ht="30.0" customHeight="1">
      <c r="A49" s="173">
        <v>45.0</v>
      </c>
      <c r="B49" s="174"/>
      <c r="C49" s="256"/>
      <c r="D49" s="174"/>
      <c r="E49" s="173"/>
      <c r="F49" s="258"/>
      <c r="G49" s="173"/>
      <c r="H49" s="173"/>
      <c r="I49" s="576"/>
      <c r="J49" s="580"/>
      <c r="K49" s="569" t="str">
        <f t="shared" si="1"/>
        <v/>
      </c>
      <c r="L49" s="572"/>
      <c r="M49" s="173"/>
      <c r="N49" s="173"/>
      <c r="O49" s="173"/>
      <c r="P49" s="573"/>
      <c r="Q49" s="573"/>
      <c r="R49" s="173"/>
      <c r="S49" s="173"/>
      <c r="T49" s="173"/>
      <c r="U49" s="173"/>
      <c r="V49" s="173"/>
      <c r="W49" s="574"/>
      <c r="X49" s="575"/>
      <c r="Y49" s="28"/>
      <c r="Z49" s="543" t="str">
        <f t="array" ref="Z49">IF(LEN(AC49),lower(concatenate("bosvendor-",'2-Building'!B$4,"-",INDEX(D:D, MATCH(AC49, J:J, 0)),INDEX(E:E, MATCH(AC49, J:J, 0)))),"")</f>
        <v/>
      </c>
      <c r="AA49" s="28"/>
      <c r="AB49" s="28"/>
      <c r="AC49" s="28"/>
      <c r="AD49" s="28"/>
    </row>
    <row r="50" ht="30.0" customHeight="1">
      <c r="A50" s="258">
        <v>46.0</v>
      </c>
      <c r="B50" s="174"/>
      <c r="C50" s="256"/>
      <c r="D50" s="174"/>
      <c r="E50" s="173"/>
      <c r="F50" s="258"/>
      <c r="G50" s="173"/>
      <c r="H50" s="173"/>
      <c r="I50" s="576"/>
      <c r="J50" s="580"/>
      <c r="K50" s="569" t="str">
        <f t="shared" si="1"/>
        <v/>
      </c>
      <c r="L50" s="572"/>
      <c r="M50" s="173"/>
      <c r="N50" s="173"/>
      <c r="O50" s="173"/>
      <c r="P50" s="573"/>
      <c r="Q50" s="573"/>
      <c r="R50" s="173"/>
      <c r="S50" s="173"/>
      <c r="T50" s="173"/>
      <c r="U50" s="173"/>
      <c r="V50" s="173"/>
      <c r="W50" s="574"/>
      <c r="X50" s="575"/>
      <c r="Y50" s="28"/>
      <c r="Z50" s="543" t="str">
        <f t="array" ref="Z50">IF(LEN(AC50),lower(concatenate("bosvendor-",'2-Building'!B$4,"-",INDEX(D:D, MATCH(AC50, J:J, 0)),INDEX(E:E, MATCH(AC50, J:J, 0)))),"")</f>
        <v/>
      </c>
      <c r="AA50" s="28"/>
      <c r="AB50" s="28"/>
      <c r="AC50" s="28"/>
      <c r="AD50" s="28"/>
    </row>
    <row r="51" ht="30.0" customHeight="1">
      <c r="A51" s="173">
        <v>47.0</v>
      </c>
      <c r="B51" s="174"/>
      <c r="C51" s="256"/>
      <c r="D51" s="174"/>
      <c r="E51" s="173"/>
      <c r="F51" s="258"/>
      <c r="G51" s="173"/>
      <c r="H51" s="173"/>
      <c r="I51" s="576"/>
      <c r="J51" s="580"/>
      <c r="K51" s="569" t="str">
        <f t="shared" si="1"/>
        <v/>
      </c>
      <c r="L51" s="572"/>
      <c r="M51" s="173"/>
      <c r="N51" s="173"/>
      <c r="O51" s="173"/>
      <c r="P51" s="573"/>
      <c r="Q51" s="573"/>
      <c r="R51" s="173"/>
      <c r="S51" s="173"/>
      <c r="T51" s="173"/>
      <c r="U51" s="173"/>
      <c r="V51" s="173"/>
      <c r="W51" s="574"/>
      <c r="X51" s="575"/>
      <c r="Y51" s="28"/>
      <c r="Z51" s="543" t="str">
        <f t="array" ref="Z51">IF(LEN(AC51),lower(concatenate("bosvendor-",'2-Building'!B$4,"-",INDEX(D:D, MATCH(AC51, J:J, 0)),INDEX(E:E, MATCH(AC51, J:J, 0)))),"")</f>
        <v/>
      </c>
      <c r="AA51" s="28"/>
      <c r="AB51" s="28"/>
      <c r="AC51" s="28"/>
      <c r="AD51" s="28"/>
    </row>
    <row r="52" ht="30.0" customHeight="1">
      <c r="A52" s="173">
        <v>48.0</v>
      </c>
      <c r="B52" s="174"/>
      <c r="C52" s="256"/>
      <c r="D52" s="174"/>
      <c r="E52" s="173"/>
      <c r="F52" s="258"/>
      <c r="G52" s="173"/>
      <c r="H52" s="173"/>
      <c r="I52" s="576"/>
      <c r="J52" s="580"/>
      <c r="K52" s="569" t="str">
        <f t="shared" si="1"/>
        <v/>
      </c>
      <c r="L52" s="572"/>
      <c r="M52" s="173"/>
      <c r="N52" s="173"/>
      <c r="O52" s="173"/>
      <c r="P52" s="573"/>
      <c r="Q52" s="573"/>
      <c r="R52" s="173"/>
      <c r="S52" s="173"/>
      <c r="T52" s="173"/>
      <c r="U52" s="173"/>
      <c r="V52" s="173"/>
      <c r="W52" s="574"/>
      <c r="X52" s="575"/>
      <c r="Y52" s="28"/>
      <c r="Z52" s="543" t="str">
        <f t="array" ref="Z52">IF(LEN(AC52),lower(concatenate("bosvendor-",'2-Building'!B$4,"-",INDEX(D:D, MATCH(AC52, J:J, 0)),INDEX(E:E, MATCH(AC52, J:J, 0)))),"")</f>
        <v/>
      </c>
      <c r="AA52" s="28"/>
      <c r="AB52" s="28"/>
      <c r="AC52" s="28"/>
      <c r="AD52" s="28"/>
    </row>
    <row r="53" ht="30.0" customHeight="1">
      <c r="A53" s="258">
        <v>49.0</v>
      </c>
      <c r="B53" s="174"/>
      <c r="C53" s="256"/>
      <c r="D53" s="174"/>
      <c r="E53" s="173"/>
      <c r="F53" s="258"/>
      <c r="G53" s="173"/>
      <c r="H53" s="173"/>
      <c r="I53" s="576"/>
      <c r="J53" s="580"/>
      <c r="K53" s="569" t="str">
        <f t="shared" si="1"/>
        <v/>
      </c>
      <c r="L53" s="572"/>
      <c r="M53" s="173"/>
      <c r="N53" s="173"/>
      <c r="O53" s="173"/>
      <c r="P53" s="573"/>
      <c r="Q53" s="573"/>
      <c r="R53" s="173"/>
      <c r="S53" s="173"/>
      <c r="T53" s="173"/>
      <c r="U53" s="173"/>
      <c r="V53" s="173"/>
      <c r="W53" s="574"/>
      <c r="X53" s="575"/>
      <c r="Y53" s="28"/>
      <c r="Z53" s="543" t="str">
        <f t="array" ref="Z53">IF(LEN(AC53),lower(concatenate("bosvendor-",'2-Building'!B$4,"-",INDEX(D:D, MATCH(AC53, J:J, 0)),INDEX(E:E, MATCH(AC53, J:J, 0)))),"")</f>
        <v/>
      </c>
      <c r="AA53" s="28"/>
      <c r="AB53" s="28"/>
      <c r="AC53" s="28"/>
      <c r="AD53" s="28"/>
    </row>
    <row r="54" ht="30.0" customHeight="1">
      <c r="A54" s="173">
        <v>50.0</v>
      </c>
      <c r="B54" s="174"/>
      <c r="C54" s="256"/>
      <c r="D54" s="174"/>
      <c r="E54" s="173"/>
      <c r="F54" s="258"/>
      <c r="G54" s="173"/>
      <c r="H54" s="173"/>
      <c r="I54" s="576"/>
      <c r="J54" s="580"/>
      <c r="K54" s="569" t="str">
        <f t="shared" si="1"/>
        <v/>
      </c>
      <c r="L54" s="572"/>
      <c r="M54" s="173"/>
      <c r="N54" s="173"/>
      <c r="O54" s="173"/>
      <c r="P54" s="573"/>
      <c r="Q54" s="573"/>
      <c r="R54" s="173"/>
      <c r="S54" s="173"/>
      <c r="T54" s="173"/>
      <c r="U54" s="173"/>
      <c r="V54" s="173"/>
      <c r="W54" s="574"/>
      <c r="X54" s="575"/>
      <c r="Y54" s="28"/>
      <c r="Z54" s="543" t="str">
        <f t="array" ref="Z54">IF(LEN(AC54),lower(concatenate("bosvendor-",'2-Building'!B$4,"-",INDEX(D:D, MATCH(AC54, J:J, 0)),INDEX(E:E, MATCH(AC54, J:J, 0)))),"")</f>
        <v/>
      </c>
      <c r="AA54" s="28"/>
      <c r="AB54" s="28"/>
      <c r="AC54" s="28"/>
      <c r="AD54" s="28"/>
    </row>
    <row r="55" ht="30.0" customHeight="1">
      <c r="A55" s="173">
        <v>51.0</v>
      </c>
      <c r="B55" s="174"/>
      <c r="C55" s="256"/>
      <c r="D55" s="174"/>
      <c r="E55" s="173"/>
      <c r="F55" s="258"/>
      <c r="G55" s="173"/>
      <c r="H55" s="173"/>
      <c r="I55" s="576"/>
      <c r="J55" s="580"/>
      <c r="K55" s="569" t="str">
        <f t="shared" si="1"/>
        <v/>
      </c>
      <c r="L55" s="572"/>
      <c r="M55" s="173"/>
      <c r="N55" s="173"/>
      <c r="O55" s="173"/>
      <c r="P55" s="573"/>
      <c r="Q55" s="573"/>
      <c r="R55" s="173"/>
      <c r="S55" s="173"/>
      <c r="T55" s="173"/>
      <c r="U55" s="173"/>
      <c r="V55" s="173"/>
      <c r="W55" s="574"/>
      <c r="X55" s="575"/>
      <c r="Y55" s="28"/>
      <c r="Z55" s="543" t="str">
        <f t="array" ref="Z55">IF(LEN(AC55),lower(concatenate("bosvendor-",'2-Building'!B$4,"-",INDEX(D:D, MATCH(AC55, J:J, 0)),INDEX(E:E, MATCH(AC55, J:J, 0)))),"")</f>
        <v/>
      </c>
      <c r="AA55" s="28"/>
      <c r="AB55" s="28"/>
      <c r="AC55" s="28"/>
      <c r="AD55" s="28"/>
    </row>
    <row r="56" ht="30.0" customHeight="1">
      <c r="A56" s="258">
        <v>52.0</v>
      </c>
      <c r="B56" s="174"/>
      <c r="C56" s="256"/>
      <c r="D56" s="174"/>
      <c r="E56" s="173"/>
      <c r="F56" s="258"/>
      <c r="G56" s="173"/>
      <c r="H56" s="173"/>
      <c r="I56" s="576"/>
      <c r="J56" s="580"/>
      <c r="K56" s="569" t="str">
        <f t="shared" si="1"/>
        <v/>
      </c>
      <c r="L56" s="572"/>
      <c r="M56" s="173"/>
      <c r="N56" s="173"/>
      <c r="O56" s="173"/>
      <c r="P56" s="573"/>
      <c r="Q56" s="573"/>
      <c r="R56" s="173"/>
      <c r="S56" s="173"/>
      <c r="T56" s="173"/>
      <c r="U56" s="173"/>
      <c r="V56" s="173"/>
      <c r="W56" s="574"/>
      <c r="X56" s="575"/>
      <c r="Y56" s="28"/>
      <c r="Z56" s="543" t="str">
        <f t="array" ref="Z56">IF(LEN(AC56),lower(concatenate("bosvendor-",'2-Building'!B$4,"-",INDEX(D:D, MATCH(AC56, J:J, 0)),INDEX(E:E, MATCH(AC56, J:J, 0)))),"")</f>
        <v/>
      </c>
      <c r="AA56" s="28"/>
      <c r="AB56" s="28"/>
      <c r="AC56" s="28"/>
      <c r="AD56" s="28"/>
    </row>
    <row r="57" ht="30.0" customHeight="1">
      <c r="A57" s="173">
        <v>53.0</v>
      </c>
      <c r="B57" s="174"/>
      <c r="C57" s="256"/>
      <c r="D57" s="174"/>
      <c r="E57" s="173"/>
      <c r="F57" s="258"/>
      <c r="G57" s="173"/>
      <c r="H57" s="173"/>
      <c r="I57" s="576"/>
      <c r="J57" s="580"/>
      <c r="K57" s="569" t="str">
        <f t="shared" si="1"/>
        <v/>
      </c>
      <c r="L57" s="572"/>
      <c r="M57" s="173"/>
      <c r="N57" s="173"/>
      <c r="O57" s="173"/>
      <c r="P57" s="573"/>
      <c r="Q57" s="573"/>
      <c r="R57" s="173"/>
      <c r="S57" s="173"/>
      <c r="T57" s="173"/>
      <c r="U57" s="173"/>
      <c r="V57" s="173"/>
      <c r="W57" s="574"/>
      <c r="X57" s="575"/>
      <c r="Y57" s="28"/>
      <c r="Z57" s="543" t="str">
        <f t="array" ref="Z57">IF(LEN(AC57),lower(concatenate("bosvendor-",'2-Building'!B$4,"-",INDEX(D:D, MATCH(AC57, J:J, 0)),INDEX(E:E, MATCH(AC57, J:J, 0)))),"")</f>
        <v/>
      </c>
      <c r="AA57" s="28"/>
      <c r="AB57" s="28"/>
      <c r="AC57" s="28"/>
      <c r="AD57" s="28"/>
    </row>
    <row r="58" ht="30.0" customHeight="1">
      <c r="A58" s="173">
        <v>54.0</v>
      </c>
      <c r="B58" s="174"/>
      <c r="C58" s="256"/>
      <c r="D58" s="174"/>
      <c r="E58" s="173"/>
      <c r="F58" s="258"/>
      <c r="G58" s="173"/>
      <c r="H58" s="173"/>
      <c r="I58" s="576"/>
      <c r="J58" s="580"/>
      <c r="K58" s="569" t="str">
        <f t="shared" si="1"/>
        <v/>
      </c>
      <c r="L58" s="572"/>
      <c r="M58" s="173"/>
      <c r="N58" s="173"/>
      <c r="O58" s="173"/>
      <c r="P58" s="573"/>
      <c r="Q58" s="573"/>
      <c r="R58" s="173"/>
      <c r="S58" s="173"/>
      <c r="T58" s="173"/>
      <c r="U58" s="173"/>
      <c r="V58" s="173"/>
      <c r="W58" s="574"/>
      <c r="X58" s="575"/>
      <c r="Y58" s="28"/>
      <c r="Z58" s="543" t="str">
        <f t="array" ref="Z58">IF(LEN(AC58),lower(concatenate("bosvendor-",'2-Building'!B$4,"-",INDEX(D:D, MATCH(AC58, J:J, 0)),INDEX(E:E, MATCH(AC58, J:J, 0)))),"")</f>
        <v/>
      </c>
      <c r="AA58" s="28"/>
      <c r="AB58" s="28"/>
      <c r="AC58" s="28"/>
      <c r="AD58" s="28"/>
    </row>
    <row r="59" ht="30.0" customHeight="1">
      <c r="A59" s="258">
        <v>55.0</v>
      </c>
      <c r="B59" s="174"/>
      <c r="C59" s="256"/>
      <c r="D59" s="174"/>
      <c r="E59" s="173"/>
      <c r="F59" s="258"/>
      <c r="G59" s="173"/>
      <c r="H59" s="173"/>
      <c r="I59" s="576"/>
      <c r="J59" s="580"/>
      <c r="K59" s="569" t="str">
        <f t="shared" si="1"/>
        <v/>
      </c>
      <c r="L59" s="572"/>
      <c r="M59" s="173"/>
      <c r="N59" s="173"/>
      <c r="O59" s="173"/>
      <c r="P59" s="573"/>
      <c r="Q59" s="573"/>
      <c r="R59" s="173"/>
      <c r="S59" s="173"/>
      <c r="T59" s="173"/>
      <c r="U59" s="173"/>
      <c r="V59" s="173"/>
      <c r="W59" s="574"/>
      <c r="X59" s="575"/>
      <c r="Y59" s="28"/>
      <c r="Z59" s="543" t="str">
        <f t="array" ref="Z59">IF(LEN(AC59),lower(concatenate("bosvendor-",'2-Building'!B$4,"-",INDEX(D:D, MATCH(AC59, J:J, 0)),INDEX(E:E, MATCH(AC59, J:J, 0)))),"")</f>
        <v/>
      </c>
      <c r="AA59" s="28"/>
      <c r="AB59" s="28"/>
      <c r="AC59" s="28"/>
      <c r="AD59" s="28"/>
    </row>
    <row r="60" ht="30.0" customHeight="1">
      <c r="A60" s="173">
        <v>56.0</v>
      </c>
      <c r="B60" s="174"/>
      <c r="C60" s="256"/>
      <c r="D60" s="174"/>
      <c r="E60" s="173"/>
      <c r="F60" s="258"/>
      <c r="G60" s="173"/>
      <c r="H60" s="173"/>
      <c r="I60" s="576"/>
      <c r="J60" s="580"/>
      <c r="K60" s="569" t="str">
        <f t="shared" si="1"/>
        <v/>
      </c>
      <c r="L60" s="572"/>
      <c r="M60" s="173"/>
      <c r="N60" s="173"/>
      <c r="O60" s="173"/>
      <c r="P60" s="573"/>
      <c r="Q60" s="573"/>
      <c r="R60" s="173"/>
      <c r="S60" s="173"/>
      <c r="T60" s="173"/>
      <c r="U60" s="173"/>
      <c r="V60" s="173"/>
      <c r="W60" s="574"/>
      <c r="X60" s="575"/>
      <c r="Y60" s="28"/>
      <c r="Z60" s="543" t="str">
        <f t="array" ref="Z60">IF(LEN(AC60),lower(concatenate("bosvendor-",'2-Building'!B$4,"-",INDEX(D:D, MATCH(AC60, J:J, 0)),INDEX(E:E, MATCH(AC60, J:J, 0)))),"")</f>
        <v/>
      </c>
      <c r="AA60" s="28"/>
      <c r="AB60" s="28"/>
      <c r="AC60" s="28"/>
      <c r="AD60" s="28"/>
    </row>
    <row r="61" ht="30.0" customHeight="1">
      <c r="A61" s="173">
        <v>57.0</v>
      </c>
      <c r="B61" s="174"/>
      <c r="C61" s="256"/>
      <c r="D61" s="174"/>
      <c r="E61" s="173"/>
      <c r="F61" s="258"/>
      <c r="G61" s="173"/>
      <c r="H61" s="173"/>
      <c r="I61" s="576"/>
      <c r="J61" s="580"/>
      <c r="K61" s="569" t="str">
        <f t="shared" si="1"/>
        <v/>
      </c>
      <c r="L61" s="572"/>
      <c r="M61" s="173"/>
      <c r="N61" s="173"/>
      <c r="O61" s="173"/>
      <c r="P61" s="573"/>
      <c r="Q61" s="573"/>
      <c r="R61" s="173"/>
      <c r="S61" s="173"/>
      <c r="T61" s="173"/>
      <c r="U61" s="173"/>
      <c r="V61" s="173"/>
      <c r="W61" s="574"/>
      <c r="X61" s="575"/>
      <c r="Y61" s="28"/>
      <c r="Z61" s="543" t="str">
        <f t="array" ref="Z61">IF(LEN(AC61),lower(concatenate("bosvendor-",'2-Building'!B$4,"-",INDEX(D:D, MATCH(AC61, J:J, 0)),INDEX(E:E, MATCH(AC61, J:J, 0)))),"")</f>
        <v/>
      </c>
      <c r="AA61" s="28"/>
      <c r="AB61" s="28"/>
      <c r="AC61" s="28"/>
      <c r="AD61" s="28"/>
    </row>
    <row r="62" ht="30.0" customHeight="1">
      <c r="A62" s="258">
        <v>58.0</v>
      </c>
      <c r="B62" s="174"/>
      <c r="C62" s="256"/>
      <c r="D62" s="174"/>
      <c r="E62" s="173"/>
      <c r="F62" s="258"/>
      <c r="G62" s="173"/>
      <c r="H62" s="173"/>
      <c r="I62" s="576"/>
      <c r="J62" s="580"/>
      <c r="K62" s="569" t="str">
        <f t="shared" si="1"/>
        <v/>
      </c>
      <c r="L62" s="572"/>
      <c r="M62" s="173"/>
      <c r="N62" s="173"/>
      <c r="O62" s="173"/>
      <c r="P62" s="573"/>
      <c r="Q62" s="573"/>
      <c r="R62" s="173"/>
      <c r="S62" s="173"/>
      <c r="T62" s="173"/>
      <c r="U62" s="173"/>
      <c r="V62" s="173"/>
      <c r="W62" s="574"/>
      <c r="X62" s="575"/>
      <c r="Y62" s="28"/>
      <c r="Z62" s="543" t="str">
        <f t="array" ref="Z62">IF(LEN(AC62),lower(concatenate("bosvendor-",'2-Building'!B$4,"-",INDEX(D:D, MATCH(AC62, J:J, 0)),INDEX(E:E, MATCH(AC62, J:J, 0)))),"")</f>
        <v/>
      </c>
      <c r="AA62" s="28"/>
      <c r="AB62" s="28"/>
      <c r="AC62" s="28"/>
      <c r="AD62" s="28"/>
    </row>
    <row r="63" ht="30.0" customHeight="1">
      <c r="A63" s="173">
        <v>59.0</v>
      </c>
      <c r="B63" s="174"/>
      <c r="C63" s="256"/>
      <c r="D63" s="174"/>
      <c r="E63" s="173"/>
      <c r="F63" s="258"/>
      <c r="G63" s="173"/>
      <c r="H63" s="173"/>
      <c r="I63" s="576"/>
      <c r="J63" s="580"/>
      <c r="K63" s="569" t="str">
        <f t="shared" si="1"/>
        <v/>
      </c>
      <c r="L63" s="572"/>
      <c r="M63" s="173"/>
      <c r="N63" s="173"/>
      <c r="O63" s="173"/>
      <c r="P63" s="573"/>
      <c r="Q63" s="573"/>
      <c r="R63" s="173"/>
      <c r="S63" s="173"/>
      <c r="T63" s="173"/>
      <c r="U63" s="173"/>
      <c r="V63" s="173"/>
      <c r="W63" s="574"/>
      <c r="X63" s="575"/>
      <c r="Y63" s="28"/>
      <c r="Z63" s="543" t="str">
        <f t="array" ref="Z63">IF(LEN(AC63),lower(concatenate("bosvendor-",'2-Building'!B$4,"-",INDEX(D:D, MATCH(AC63, J:J, 0)),INDEX(E:E, MATCH(AC63, J:J, 0)))),"")</f>
        <v/>
      </c>
      <c r="AA63" s="28"/>
      <c r="AB63" s="28"/>
      <c r="AC63" s="28"/>
      <c r="AD63" s="28"/>
    </row>
    <row r="64" ht="30.0" customHeight="1">
      <c r="A64" s="173">
        <v>60.0</v>
      </c>
      <c r="B64" s="174"/>
      <c r="C64" s="256"/>
      <c r="D64" s="174"/>
      <c r="E64" s="173"/>
      <c r="F64" s="258"/>
      <c r="G64" s="173"/>
      <c r="H64" s="173"/>
      <c r="I64" s="576"/>
      <c r="J64" s="580"/>
      <c r="K64" s="569" t="str">
        <f t="shared" si="1"/>
        <v/>
      </c>
      <c r="L64" s="572"/>
      <c r="M64" s="173"/>
      <c r="N64" s="173"/>
      <c r="O64" s="173"/>
      <c r="P64" s="573"/>
      <c r="Q64" s="573"/>
      <c r="R64" s="173"/>
      <c r="S64" s="173"/>
      <c r="T64" s="173"/>
      <c r="U64" s="173"/>
      <c r="V64" s="173"/>
      <c r="W64" s="574"/>
      <c r="X64" s="575"/>
      <c r="Y64" s="28"/>
      <c r="Z64" s="543" t="str">
        <f t="array" ref="Z64">IF(LEN(AC64),lower(concatenate("bosvendor-",'2-Building'!B$4,"-",INDEX(D:D, MATCH(AC64, J:J, 0)),INDEX(E:E, MATCH(AC64, J:J, 0)))),"")</f>
        <v/>
      </c>
      <c r="AA64" s="28"/>
      <c r="AB64" s="28"/>
      <c r="AC64" s="28"/>
      <c r="AD64" s="28"/>
    </row>
    <row r="65" ht="30.0" customHeight="1">
      <c r="A65" s="258">
        <v>61.0</v>
      </c>
      <c r="B65" s="174"/>
      <c r="C65" s="256"/>
      <c r="D65" s="174"/>
      <c r="E65" s="173"/>
      <c r="F65" s="258"/>
      <c r="G65" s="173"/>
      <c r="H65" s="173"/>
      <c r="I65" s="576"/>
      <c r="J65" s="580"/>
      <c r="K65" s="569" t="str">
        <f t="shared" si="1"/>
        <v/>
      </c>
      <c r="L65" s="572"/>
      <c r="M65" s="173"/>
      <c r="N65" s="173"/>
      <c r="O65" s="173"/>
      <c r="P65" s="573"/>
      <c r="Q65" s="573"/>
      <c r="R65" s="173"/>
      <c r="S65" s="173"/>
      <c r="T65" s="173"/>
      <c r="U65" s="173"/>
      <c r="V65" s="173"/>
      <c r="W65" s="574"/>
      <c r="X65" s="575"/>
      <c r="Y65" s="28"/>
      <c r="Z65" s="543" t="str">
        <f t="array" ref="Z65">IF(LEN(AC65),lower(concatenate("bosvendor-",'2-Building'!B$4,"-",INDEX(D:D, MATCH(AC65, J:J, 0)),INDEX(E:E, MATCH(AC65, J:J, 0)))),"")</f>
        <v/>
      </c>
      <c r="AA65" s="28"/>
      <c r="AB65" s="28"/>
      <c r="AC65" s="28"/>
      <c r="AD65" s="28"/>
    </row>
    <row r="66" ht="30.0" customHeight="1">
      <c r="A66" s="173">
        <v>62.0</v>
      </c>
      <c r="B66" s="174"/>
      <c r="C66" s="256"/>
      <c r="D66" s="174"/>
      <c r="E66" s="173"/>
      <c r="F66" s="258"/>
      <c r="G66" s="173"/>
      <c r="H66" s="173"/>
      <c r="I66" s="576"/>
      <c r="J66" s="580"/>
      <c r="K66" s="569" t="str">
        <f t="shared" si="1"/>
        <v/>
      </c>
      <c r="L66" s="572"/>
      <c r="M66" s="173"/>
      <c r="N66" s="173"/>
      <c r="O66" s="173"/>
      <c r="P66" s="573"/>
      <c r="Q66" s="573"/>
      <c r="R66" s="173"/>
      <c r="S66" s="173"/>
      <c r="T66" s="173"/>
      <c r="U66" s="173"/>
      <c r="V66" s="173"/>
      <c r="W66" s="574"/>
      <c r="X66" s="575"/>
      <c r="Y66" s="28"/>
      <c r="Z66" s="543" t="str">
        <f t="array" ref="Z66">IF(LEN(AC66),lower(concatenate("bosvendor-",'2-Building'!B$4,"-",INDEX(D:D, MATCH(AC66, J:J, 0)),INDEX(E:E, MATCH(AC66, J:J, 0)))),"")</f>
        <v/>
      </c>
      <c r="AA66" s="28"/>
      <c r="AB66" s="28"/>
      <c r="AC66" s="28"/>
      <c r="AD66" s="28"/>
    </row>
    <row r="67" ht="30.0" customHeight="1">
      <c r="A67" s="173">
        <v>63.0</v>
      </c>
      <c r="B67" s="174"/>
      <c r="C67" s="256"/>
      <c r="D67" s="174"/>
      <c r="E67" s="173"/>
      <c r="F67" s="258"/>
      <c r="G67" s="173"/>
      <c r="H67" s="173"/>
      <c r="I67" s="576"/>
      <c r="J67" s="580"/>
      <c r="K67" s="569" t="str">
        <f t="shared" si="1"/>
        <v/>
      </c>
      <c r="L67" s="572"/>
      <c r="M67" s="173"/>
      <c r="N67" s="173"/>
      <c r="O67" s="173"/>
      <c r="P67" s="573"/>
      <c r="Q67" s="573"/>
      <c r="R67" s="173"/>
      <c r="S67" s="173"/>
      <c r="T67" s="173"/>
      <c r="U67" s="173"/>
      <c r="V67" s="173"/>
      <c r="W67" s="574"/>
      <c r="X67" s="575"/>
      <c r="Y67" s="28"/>
      <c r="Z67" s="543" t="str">
        <f t="array" ref="Z67">IF(LEN(AC67),lower(concatenate("bosvendor-",'2-Building'!B$4,"-",INDEX(D:D, MATCH(AC67, J:J, 0)),INDEX(E:E, MATCH(AC67, J:J, 0)))),"")</f>
        <v/>
      </c>
      <c r="AA67" s="28"/>
      <c r="AB67" s="28"/>
      <c r="AC67" s="28"/>
      <c r="AD67" s="28"/>
    </row>
    <row r="68" ht="30.0" customHeight="1">
      <c r="A68" s="258">
        <v>64.0</v>
      </c>
      <c r="B68" s="174"/>
      <c r="C68" s="256"/>
      <c r="D68" s="174"/>
      <c r="E68" s="173"/>
      <c r="F68" s="258"/>
      <c r="G68" s="173"/>
      <c r="H68" s="173"/>
      <c r="I68" s="576"/>
      <c r="J68" s="580"/>
      <c r="K68" s="569" t="str">
        <f t="shared" si="1"/>
        <v/>
      </c>
      <c r="L68" s="572"/>
      <c r="M68" s="173"/>
      <c r="N68" s="173"/>
      <c r="O68" s="173"/>
      <c r="P68" s="573"/>
      <c r="Q68" s="573"/>
      <c r="R68" s="173"/>
      <c r="S68" s="173"/>
      <c r="T68" s="173"/>
      <c r="U68" s="173"/>
      <c r="V68" s="173"/>
      <c r="W68" s="574"/>
      <c r="X68" s="575"/>
      <c r="Y68" s="28"/>
      <c r="Z68" s="543" t="str">
        <f t="array" ref="Z68">IF(LEN(AC68),lower(concatenate("bosvendor-",'2-Building'!B$4,"-",INDEX(D:D, MATCH(AC68, J:J, 0)),INDEX(E:E, MATCH(AC68, J:J, 0)))),"")</f>
        <v/>
      </c>
      <c r="AA68" s="28"/>
      <c r="AB68" s="28"/>
      <c r="AC68" s="28"/>
      <c r="AD68" s="28"/>
    </row>
    <row r="69" ht="30.0" customHeight="1">
      <c r="A69" s="173">
        <v>65.0</v>
      </c>
      <c r="B69" s="174"/>
      <c r="C69" s="256"/>
      <c r="D69" s="174"/>
      <c r="E69" s="173"/>
      <c r="F69" s="258"/>
      <c r="G69" s="173"/>
      <c r="H69" s="173"/>
      <c r="I69" s="576"/>
      <c r="J69" s="580"/>
      <c r="K69" s="569" t="str">
        <f t="shared" si="1"/>
        <v/>
      </c>
      <c r="L69" s="572"/>
      <c r="M69" s="173"/>
      <c r="N69" s="173"/>
      <c r="O69" s="173"/>
      <c r="P69" s="573"/>
      <c r="Q69" s="573"/>
      <c r="R69" s="173"/>
      <c r="S69" s="173"/>
      <c r="T69" s="173"/>
      <c r="U69" s="173"/>
      <c r="V69" s="173"/>
      <c r="W69" s="574"/>
      <c r="X69" s="575"/>
      <c r="Y69" s="28"/>
      <c r="Z69" s="543" t="str">
        <f t="array" ref="Z69">IF(LEN(AC69),lower(concatenate("bosvendor-",'2-Building'!B$4,"-",INDEX(D:D, MATCH(AC69, J:J, 0)),INDEX(E:E, MATCH(AC69, J:J, 0)))),"")</f>
        <v/>
      </c>
      <c r="AA69" s="28"/>
      <c r="AB69" s="28"/>
      <c r="AC69" s="28"/>
      <c r="AD69" s="28"/>
    </row>
    <row r="70" ht="30.0" customHeight="1">
      <c r="A70" s="173">
        <v>66.0</v>
      </c>
      <c r="B70" s="174"/>
      <c r="C70" s="256"/>
      <c r="D70" s="174"/>
      <c r="E70" s="173"/>
      <c r="F70" s="258"/>
      <c r="G70" s="173"/>
      <c r="H70" s="173"/>
      <c r="I70" s="576"/>
      <c r="J70" s="580"/>
      <c r="K70" s="569" t="str">
        <f t="shared" si="1"/>
        <v/>
      </c>
      <c r="L70" s="572"/>
      <c r="M70" s="173"/>
      <c r="N70" s="173"/>
      <c r="O70" s="173"/>
      <c r="P70" s="573"/>
      <c r="Q70" s="573"/>
      <c r="R70" s="173"/>
      <c r="S70" s="173"/>
      <c r="T70" s="173"/>
      <c r="U70" s="173"/>
      <c r="V70" s="173"/>
      <c r="W70" s="574"/>
      <c r="X70" s="575"/>
      <c r="Y70" s="28"/>
      <c r="Z70" s="543" t="str">
        <f t="array" ref="Z70">IF(LEN(AC70),lower(concatenate("bosvendor-",'2-Building'!B$4,"-",INDEX(D:D, MATCH(AC70, J:J, 0)),INDEX(E:E, MATCH(AC70, J:J, 0)))),"")</f>
        <v/>
      </c>
      <c r="AA70" s="28"/>
      <c r="AB70" s="28"/>
      <c r="AC70" s="28"/>
      <c r="AD70" s="28"/>
    </row>
    <row r="71" ht="30.0" customHeight="1">
      <c r="A71" s="258">
        <v>67.0</v>
      </c>
      <c r="B71" s="174"/>
      <c r="C71" s="256"/>
      <c r="D71" s="174"/>
      <c r="E71" s="173"/>
      <c r="F71" s="258"/>
      <c r="G71" s="173"/>
      <c r="H71" s="173"/>
      <c r="I71" s="576"/>
      <c r="J71" s="580"/>
      <c r="K71" s="569" t="str">
        <f t="shared" si="1"/>
        <v/>
      </c>
      <c r="L71" s="572"/>
      <c r="M71" s="173"/>
      <c r="N71" s="173"/>
      <c r="O71" s="173"/>
      <c r="P71" s="573"/>
      <c r="Q71" s="573"/>
      <c r="R71" s="173"/>
      <c r="S71" s="173"/>
      <c r="T71" s="173"/>
      <c r="U71" s="173"/>
      <c r="V71" s="173"/>
      <c r="W71" s="574"/>
      <c r="X71" s="575"/>
      <c r="Y71" s="28"/>
      <c r="Z71" s="543" t="str">
        <f t="array" ref="Z71">IF(LEN(AC71),lower(concatenate("bosvendor-",'2-Building'!B$4,"-",INDEX(D:D, MATCH(AC71, J:J, 0)),INDEX(E:E, MATCH(AC71, J:J, 0)))),"")</f>
        <v/>
      </c>
      <c r="AA71" s="28"/>
      <c r="AB71" s="28"/>
      <c r="AC71" s="28"/>
      <c r="AD71" s="28"/>
    </row>
    <row r="72" ht="30.0" customHeight="1">
      <c r="A72" s="173">
        <v>68.0</v>
      </c>
      <c r="B72" s="174"/>
      <c r="C72" s="256"/>
      <c r="D72" s="174"/>
      <c r="E72" s="173"/>
      <c r="F72" s="258"/>
      <c r="G72" s="173"/>
      <c r="H72" s="173"/>
      <c r="I72" s="576"/>
      <c r="J72" s="580"/>
      <c r="K72" s="569" t="str">
        <f t="shared" si="1"/>
        <v/>
      </c>
      <c r="L72" s="572"/>
      <c r="M72" s="173"/>
      <c r="N72" s="173"/>
      <c r="O72" s="173"/>
      <c r="P72" s="573"/>
      <c r="Q72" s="573"/>
      <c r="R72" s="173"/>
      <c r="S72" s="173"/>
      <c r="T72" s="173"/>
      <c r="U72" s="173"/>
      <c r="V72" s="173"/>
      <c r="W72" s="574"/>
      <c r="X72" s="575"/>
      <c r="Y72" s="28"/>
      <c r="Z72" s="543" t="str">
        <f t="array" ref="Z72">IF(LEN(AC72),lower(concatenate("bosvendor-",'2-Building'!B$4,"-",INDEX(D:D, MATCH(AC72, J:J, 0)),INDEX(E:E, MATCH(AC72, J:J, 0)))),"")</f>
        <v/>
      </c>
      <c r="AA72" s="28"/>
      <c r="AB72" s="28"/>
      <c r="AC72" s="28"/>
      <c r="AD72" s="28"/>
    </row>
    <row r="73" ht="30.0" customHeight="1">
      <c r="A73" s="173">
        <v>69.0</v>
      </c>
      <c r="B73" s="174"/>
      <c r="C73" s="256"/>
      <c r="D73" s="174"/>
      <c r="E73" s="173"/>
      <c r="F73" s="258"/>
      <c r="G73" s="173"/>
      <c r="H73" s="173"/>
      <c r="I73" s="576"/>
      <c r="J73" s="580"/>
      <c r="K73" s="569" t="str">
        <f t="shared" si="1"/>
        <v/>
      </c>
      <c r="L73" s="572"/>
      <c r="M73" s="173"/>
      <c r="N73" s="173"/>
      <c r="O73" s="173"/>
      <c r="P73" s="573"/>
      <c r="Q73" s="573"/>
      <c r="R73" s="173"/>
      <c r="S73" s="173"/>
      <c r="T73" s="173"/>
      <c r="U73" s="173"/>
      <c r="V73" s="173"/>
      <c r="W73" s="574"/>
      <c r="X73" s="575"/>
      <c r="Y73" s="28"/>
      <c r="Z73" s="543" t="str">
        <f t="array" ref="Z73">IF(LEN(AC73),lower(concatenate("bosvendor-",'2-Building'!B$4,"-",INDEX(D:D, MATCH(AC73, J:J, 0)),INDEX(E:E, MATCH(AC73, J:J, 0)))),"")</f>
        <v/>
      </c>
      <c r="AA73" s="28"/>
      <c r="AB73" s="28"/>
      <c r="AC73" s="28"/>
      <c r="AD73" s="28"/>
    </row>
    <row r="74" ht="30.0" customHeight="1">
      <c r="A74" s="258">
        <v>70.0</v>
      </c>
      <c r="B74" s="174"/>
      <c r="C74" s="256"/>
      <c r="D74" s="174"/>
      <c r="E74" s="173"/>
      <c r="F74" s="258"/>
      <c r="G74" s="173"/>
      <c r="H74" s="173"/>
      <c r="I74" s="576"/>
      <c r="J74" s="580"/>
      <c r="K74" s="569" t="str">
        <f t="shared" si="1"/>
        <v/>
      </c>
      <c r="L74" s="572"/>
      <c r="M74" s="173"/>
      <c r="N74" s="173"/>
      <c r="O74" s="173"/>
      <c r="P74" s="573"/>
      <c r="Q74" s="573"/>
      <c r="R74" s="173"/>
      <c r="S74" s="173"/>
      <c r="T74" s="173"/>
      <c r="U74" s="173"/>
      <c r="V74" s="173"/>
      <c r="W74" s="574"/>
      <c r="X74" s="575"/>
      <c r="Y74" s="28"/>
      <c r="Z74" s="543" t="str">
        <f t="array" ref="Z74">IF(LEN(AC74),lower(concatenate("bosvendor-",'2-Building'!B$4,"-",INDEX(D:D, MATCH(AC74, J:J, 0)),INDEX(E:E, MATCH(AC74, J:J, 0)))),"")</f>
        <v/>
      </c>
      <c r="AA74" s="28"/>
      <c r="AB74" s="28"/>
      <c r="AC74" s="28"/>
      <c r="AD74" s="28"/>
    </row>
    <row r="75" ht="30.0" customHeight="1">
      <c r="A75" s="173">
        <v>71.0</v>
      </c>
      <c r="B75" s="174"/>
      <c r="C75" s="256"/>
      <c r="D75" s="174"/>
      <c r="E75" s="173"/>
      <c r="F75" s="258"/>
      <c r="G75" s="173"/>
      <c r="H75" s="173"/>
      <c r="I75" s="576"/>
      <c r="J75" s="580"/>
      <c r="K75" s="569" t="str">
        <f t="shared" si="1"/>
        <v/>
      </c>
      <c r="L75" s="572"/>
      <c r="M75" s="173"/>
      <c r="N75" s="173"/>
      <c r="O75" s="173"/>
      <c r="P75" s="573"/>
      <c r="Q75" s="573"/>
      <c r="R75" s="173"/>
      <c r="S75" s="173"/>
      <c r="T75" s="173"/>
      <c r="U75" s="173"/>
      <c r="V75" s="173"/>
      <c r="W75" s="574"/>
      <c r="X75" s="575"/>
      <c r="Y75" s="28"/>
      <c r="Z75" s="543" t="str">
        <f t="array" ref="Z75">IF(LEN(AC75),lower(concatenate("bosvendor-",'2-Building'!B$4,"-",INDEX(D:D, MATCH(AC75, J:J, 0)),INDEX(E:E, MATCH(AC75, J:J, 0)))),"")</f>
        <v/>
      </c>
      <c r="AA75" s="28"/>
      <c r="AB75" s="28"/>
      <c r="AC75" s="28"/>
      <c r="AD75" s="28"/>
    </row>
    <row r="76" ht="30.0" customHeight="1">
      <c r="A76" s="173">
        <v>72.0</v>
      </c>
      <c r="B76" s="174"/>
      <c r="C76" s="256"/>
      <c r="D76" s="174"/>
      <c r="E76" s="173"/>
      <c r="F76" s="258"/>
      <c r="G76" s="173"/>
      <c r="H76" s="173"/>
      <c r="I76" s="576"/>
      <c r="J76" s="580"/>
      <c r="K76" s="569" t="str">
        <f t="shared" si="1"/>
        <v/>
      </c>
      <c r="L76" s="572"/>
      <c r="M76" s="173"/>
      <c r="N76" s="173"/>
      <c r="O76" s="173"/>
      <c r="P76" s="573"/>
      <c r="Q76" s="573"/>
      <c r="R76" s="173"/>
      <c r="S76" s="173"/>
      <c r="T76" s="173"/>
      <c r="U76" s="173"/>
      <c r="V76" s="173"/>
      <c r="W76" s="574"/>
      <c r="X76" s="575"/>
      <c r="Y76" s="28"/>
      <c r="Z76" s="543" t="str">
        <f t="array" ref="Z76">IF(LEN(AC76),lower(concatenate("bosvendor-",'2-Building'!B$4,"-",INDEX(D:D, MATCH(AC76, J:J, 0)),INDEX(E:E, MATCH(AC76, J:J, 0)))),"")</f>
        <v/>
      </c>
      <c r="AA76" s="28"/>
      <c r="AB76" s="28"/>
      <c r="AC76" s="28"/>
      <c r="AD76" s="28"/>
    </row>
    <row r="77" ht="30.0" customHeight="1">
      <c r="A77" s="258">
        <v>73.0</v>
      </c>
      <c r="B77" s="174"/>
      <c r="C77" s="256"/>
      <c r="D77" s="174"/>
      <c r="E77" s="173"/>
      <c r="F77" s="258"/>
      <c r="G77" s="173"/>
      <c r="H77" s="173"/>
      <c r="I77" s="576"/>
      <c r="J77" s="580"/>
      <c r="K77" s="569" t="str">
        <f t="shared" si="1"/>
        <v/>
      </c>
      <c r="L77" s="572"/>
      <c r="M77" s="173"/>
      <c r="N77" s="173"/>
      <c r="O77" s="173"/>
      <c r="P77" s="573"/>
      <c r="Q77" s="573"/>
      <c r="R77" s="173"/>
      <c r="S77" s="173"/>
      <c r="T77" s="173"/>
      <c r="U77" s="173"/>
      <c r="V77" s="173"/>
      <c r="W77" s="574"/>
      <c r="X77" s="575"/>
      <c r="Y77" s="28"/>
      <c r="Z77" s="543" t="str">
        <f t="array" ref="Z77">IF(LEN(AC77),lower(concatenate("bosvendor-",'2-Building'!B$4,"-",INDEX(D:D, MATCH(AC77, J:J, 0)),INDEX(E:E, MATCH(AC77, J:J, 0)))),"")</f>
        <v/>
      </c>
      <c r="AA77" s="28"/>
      <c r="AB77" s="28"/>
      <c r="AC77" s="28"/>
      <c r="AD77" s="28"/>
    </row>
    <row r="78" ht="30.0" customHeight="1">
      <c r="A78" s="173">
        <v>74.0</v>
      </c>
      <c r="B78" s="174"/>
      <c r="C78" s="256"/>
      <c r="D78" s="174"/>
      <c r="E78" s="173"/>
      <c r="F78" s="258"/>
      <c r="G78" s="173"/>
      <c r="H78" s="173"/>
      <c r="I78" s="576"/>
      <c r="J78" s="580"/>
      <c r="K78" s="569" t="str">
        <f t="shared" si="1"/>
        <v/>
      </c>
      <c r="L78" s="572"/>
      <c r="M78" s="173"/>
      <c r="N78" s="173"/>
      <c r="O78" s="173"/>
      <c r="P78" s="573"/>
      <c r="Q78" s="573"/>
      <c r="R78" s="173"/>
      <c r="S78" s="173"/>
      <c r="T78" s="173"/>
      <c r="U78" s="173"/>
      <c r="V78" s="173"/>
      <c r="W78" s="574"/>
      <c r="X78" s="575"/>
      <c r="Y78" s="28"/>
      <c r="Z78" s="543" t="str">
        <f t="array" ref="Z78">IF(LEN(AC78),lower(concatenate("bosvendor-",'2-Building'!B$4,"-",INDEX(D:D, MATCH(AC78, J:J, 0)),INDEX(E:E, MATCH(AC78, J:J, 0)))),"")</f>
        <v/>
      </c>
      <c r="AA78" s="28"/>
      <c r="AB78" s="28"/>
      <c r="AC78" s="28"/>
      <c r="AD78" s="28"/>
    </row>
    <row r="79" ht="30.0" customHeight="1">
      <c r="A79" s="173">
        <v>75.0</v>
      </c>
      <c r="B79" s="174"/>
      <c r="C79" s="256"/>
      <c r="D79" s="174"/>
      <c r="E79" s="173"/>
      <c r="F79" s="258"/>
      <c r="G79" s="173"/>
      <c r="H79" s="173"/>
      <c r="I79" s="576"/>
      <c r="J79" s="580"/>
      <c r="K79" s="569" t="str">
        <f t="shared" si="1"/>
        <v/>
      </c>
      <c r="L79" s="572"/>
      <c r="M79" s="173"/>
      <c r="N79" s="173"/>
      <c r="O79" s="173"/>
      <c r="P79" s="573"/>
      <c r="Q79" s="573"/>
      <c r="R79" s="173"/>
      <c r="S79" s="173"/>
      <c r="T79" s="173"/>
      <c r="U79" s="173"/>
      <c r="V79" s="173"/>
      <c r="W79" s="574"/>
      <c r="X79" s="575"/>
      <c r="Y79" s="28"/>
      <c r="Z79" s="543" t="str">
        <f t="array" ref="Z79">IF(LEN(AC79),lower(concatenate("bosvendor-",'2-Building'!B$4,"-",INDEX(D:D, MATCH(AC79, J:J, 0)),INDEX(E:E, MATCH(AC79, J:J, 0)))),"")</f>
        <v/>
      </c>
      <c r="AA79" s="28"/>
      <c r="AB79" s="28"/>
      <c r="AC79" s="28"/>
      <c r="AD79" s="28"/>
    </row>
    <row r="80" ht="30.0" customHeight="1">
      <c r="A80" s="258">
        <v>76.0</v>
      </c>
      <c r="B80" s="174"/>
      <c r="C80" s="256"/>
      <c r="D80" s="174"/>
      <c r="E80" s="173"/>
      <c r="F80" s="258"/>
      <c r="G80" s="173"/>
      <c r="H80" s="173"/>
      <c r="I80" s="576"/>
      <c r="J80" s="580"/>
      <c r="K80" s="569" t="str">
        <f t="shared" si="1"/>
        <v/>
      </c>
      <c r="L80" s="572"/>
      <c r="M80" s="173"/>
      <c r="N80" s="173"/>
      <c r="O80" s="173"/>
      <c r="P80" s="573"/>
      <c r="Q80" s="573"/>
      <c r="R80" s="173"/>
      <c r="S80" s="173"/>
      <c r="T80" s="173"/>
      <c r="U80" s="173"/>
      <c r="V80" s="173"/>
      <c r="W80" s="574"/>
      <c r="X80" s="575"/>
      <c r="Y80" s="28"/>
      <c r="Z80" s="543" t="str">
        <f t="array" ref="Z80">IF(LEN(AC80),lower(concatenate("bosvendor-",'2-Building'!B$4,"-",INDEX(D:D, MATCH(AC80, J:J, 0)),INDEX(E:E, MATCH(AC80, J:J, 0)))),"")</f>
        <v/>
      </c>
      <c r="AA80" s="28"/>
      <c r="AB80" s="28"/>
      <c r="AC80" s="28"/>
      <c r="AD80" s="28"/>
    </row>
    <row r="81" ht="30.0" customHeight="1">
      <c r="A81" s="173">
        <v>77.0</v>
      </c>
      <c r="B81" s="174"/>
      <c r="C81" s="256"/>
      <c r="D81" s="174"/>
      <c r="E81" s="173"/>
      <c r="F81" s="258"/>
      <c r="G81" s="173"/>
      <c r="H81" s="173"/>
      <c r="I81" s="576"/>
      <c r="J81" s="580"/>
      <c r="K81" s="569" t="str">
        <f t="shared" si="1"/>
        <v/>
      </c>
      <c r="L81" s="572"/>
      <c r="M81" s="173"/>
      <c r="N81" s="173"/>
      <c r="O81" s="173"/>
      <c r="P81" s="573"/>
      <c r="Q81" s="573"/>
      <c r="R81" s="173"/>
      <c r="S81" s="173"/>
      <c r="T81" s="173"/>
      <c r="U81" s="173"/>
      <c r="V81" s="173"/>
      <c r="W81" s="574"/>
      <c r="X81" s="575"/>
      <c r="Y81" s="28"/>
      <c r="Z81" s="543" t="str">
        <f t="array" ref="Z81">IF(LEN(AC81),lower(concatenate("bosvendor-",'2-Building'!B$4,"-",INDEX(D:D, MATCH(AC81, J:J, 0)),INDEX(E:E, MATCH(AC81, J:J, 0)))),"")</f>
        <v/>
      </c>
      <c r="AA81" s="28"/>
      <c r="AB81" s="28"/>
      <c r="AC81" s="28"/>
      <c r="AD81" s="28"/>
    </row>
    <row r="82" ht="30.0" customHeight="1">
      <c r="A82" s="173">
        <v>78.0</v>
      </c>
      <c r="B82" s="174"/>
      <c r="C82" s="256"/>
      <c r="D82" s="174"/>
      <c r="E82" s="173"/>
      <c r="F82" s="258"/>
      <c r="G82" s="173"/>
      <c r="H82" s="173"/>
      <c r="I82" s="576"/>
      <c r="J82" s="580"/>
      <c r="K82" s="569" t="str">
        <f t="shared" si="1"/>
        <v/>
      </c>
      <c r="L82" s="572"/>
      <c r="M82" s="173"/>
      <c r="N82" s="173"/>
      <c r="O82" s="173"/>
      <c r="P82" s="573"/>
      <c r="Q82" s="573"/>
      <c r="R82" s="173"/>
      <c r="S82" s="173"/>
      <c r="T82" s="173"/>
      <c r="U82" s="173"/>
      <c r="V82" s="173"/>
      <c r="W82" s="574"/>
      <c r="X82" s="575"/>
      <c r="Y82" s="28"/>
      <c r="Z82" s="543" t="str">
        <f t="array" ref="Z82">IF(LEN(AC82),lower(concatenate("bosvendor-",'2-Building'!B$4,"-",INDEX(D:D, MATCH(AC82, J:J, 0)),INDEX(E:E, MATCH(AC82, J:J, 0)))),"")</f>
        <v/>
      </c>
      <c r="AA82" s="28"/>
      <c r="AB82" s="28"/>
      <c r="AC82" s="28"/>
      <c r="AD82" s="28"/>
    </row>
    <row r="83" ht="30.0" customHeight="1">
      <c r="A83" s="258">
        <v>79.0</v>
      </c>
      <c r="B83" s="174"/>
      <c r="C83" s="256"/>
      <c r="D83" s="174"/>
      <c r="E83" s="173"/>
      <c r="F83" s="258"/>
      <c r="G83" s="173"/>
      <c r="H83" s="173"/>
      <c r="I83" s="576"/>
      <c r="J83" s="580"/>
      <c r="K83" s="569" t="str">
        <f t="shared" si="1"/>
        <v/>
      </c>
      <c r="L83" s="572"/>
      <c r="M83" s="173"/>
      <c r="N83" s="173"/>
      <c r="O83" s="173"/>
      <c r="P83" s="573"/>
      <c r="Q83" s="573"/>
      <c r="R83" s="173"/>
      <c r="S83" s="173"/>
      <c r="T83" s="173"/>
      <c r="U83" s="173"/>
      <c r="V83" s="173"/>
      <c r="W83" s="574"/>
      <c r="X83" s="575"/>
      <c r="Y83" s="28"/>
      <c r="Z83" s="543" t="str">
        <f t="array" ref="Z83">IF(LEN(AC83),lower(concatenate("bosvendor-",'2-Building'!B$4,"-",INDEX(D:D, MATCH(AC83, J:J, 0)),INDEX(E:E, MATCH(AC83, J:J, 0)))),"")</f>
        <v/>
      </c>
      <c r="AA83" s="28"/>
      <c r="AB83" s="28"/>
      <c r="AC83" s="28"/>
      <c r="AD83" s="28"/>
    </row>
    <row r="84" ht="30.0" customHeight="1">
      <c r="A84" s="173">
        <v>80.0</v>
      </c>
      <c r="B84" s="174"/>
      <c r="C84" s="256"/>
      <c r="D84" s="174"/>
      <c r="E84" s="173"/>
      <c r="F84" s="258"/>
      <c r="G84" s="173"/>
      <c r="H84" s="173"/>
      <c r="I84" s="576"/>
      <c r="J84" s="580"/>
      <c r="K84" s="569" t="str">
        <f t="shared" si="1"/>
        <v/>
      </c>
      <c r="L84" s="572"/>
      <c r="M84" s="173"/>
      <c r="N84" s="173"/>
      <c r="O84" s="173"/>
      <c r="P84" s="573"/>
      <c r="Q84" s="573"/>
      <c r="R84" s="173"/>
      <c r="S84" s="173"/>
      <c r="T84" s="173"/>
      <c r="U84" s="173"/>
      <c r="V84" s="173"/>
      <c r="W84" s="574"/>
      <c r="X84" s="575"/>
      <c r="Y84" s="28"/>
      <c r="Z84" s="543" t="str">
        <f t="array" ref="Z84">IF(LEN(AC84),lower(concatenate("bosvendor-",'2-Building'!B$4,"-",INDEX(D:D, MATCH(AC84, J:J, 0)),INDEX(E:E, MATCH(AC84, J:J, 0)))),"")</f>
        <v/>
      </c>
      <c r="AA84" s="28"/>
      <c r="AB84" s="28"/>
      <c r="AC84" s="28"/>
      <c r="AD84" s="28"/>
    </row>
    <row r="85" ht="30.0" customHeight="1">
      <c r="A85" s="173">
        <v>81.0</v>
      </c>
      <c r="B85" s="174"/>
      <c r="C85" s="256"/>
      <c r="D85" s="174"/>
      <c r="E85" s="173"/>
      <c r="F85" s="258"/>
      <c r="G85" s="173"/>
      <c r="H85" s="173"/>
      <c r="I85" s="576"/>
      <c r="J85" s="580"/>
      <c r="K85" s="569" t="str">
        <f t="shared" si="1"/>
        <v/>
      </c>
      <c r="L85" s="572"/>
      <c r="M85" s="173"/>
      <c r="N85" s="173"/>
      <c r="O85" s="173"/>
      <c r="P85" s="573"/>
      <c r="Q85" s="573"/>
      <c r="R85" s="173"/>
      <c r="S85" s="173"/>
      <c r="T85" s="173"/>
      <c r="U85" s="173"/>
      <c r="V85" s="173"/>
      <c r="W85" s="574"/>
      <c r="X85" s="575"/>
      <c r="Y85" s="28"/>
      <c r="Z85" s="543" t="str">
        <f t="array" ref="Z85">IF(LEN(AC85),lower(concatenate("bosvendor-",'2-Building'!B$4,"-",INDEX(D:D, MATCH(AC85, J:J, 0)),INDEX(E:E, MATCH(AC85, J:J, 0)))),"")</f>
        <v/>
      </c>
      <c r="AA85" s="28"/>
      <c r="AB85" s="28"/>
      <c r="AC85" s="28"/>
      <c r="AD85" s="28"/>
    </row>
    <row r="86" ht="30.0" customHeight="1">
      <c r="A86" s="258">
        <v>82.0</v>
      </c>
      <c r="B86" s="174"/>
      <c r="C86" s="256"/>
      <c r="D86" s="174"/>
      <c r="E86" s="173"/>
      <c r="F86" s="258"/>
      <c r="G86" s="173"/>
      <c r="H86" s="173"/>
      <c r="I86" s="576"/>
      <c r="J86" s="580"/>
      <c r="K86" s="569" t="str">
        <f t="shared" si="1"/>
        <v/>
      </c>
      <c r="L86" s="572"/>
      <c r="M86" s="173"/>
      <c r="N86" s="173"/>
      <c r="O86" s="173"/>
      <c r="P86" s="573"/>
      <c r="Q86" s="573"/>
      <c r="R86" s="173"/>
      <c r="S86" s="173"/>
      <c r="T86" s="173"/>
      <c r="U86" s="173"/>
      <c r="V86" s="173"/>
      <c r="W86" s="574"/>
      <c r="X86" s="575"/>
      <c r="Y86" s="28"/>
      <c r="Z86" s="543" t="str">
        <f t="array" ref="Z86">IF(LEN(AC86),lower(concatenate("bosvendor-",'2-Building'!B$4,"-",INDEX(D:D, MATCH(AC86, J:J, 0)),INDEX(E:E, MATCH(AC86, J:J, 0)))),"")</f>
        <v/>
      </c>
      <c r="AA86" s="28"/>
      <c r="AB86" s="28"/>
      <c r="AC86" s="28"/>
      <c r="AD86" s="28"/>
    </row>
    <row r="87" ht="30.0" customHeight="1">
      <c r="A87" s="173">
        <v>83.0</v>
      </c>
      <c r="B87" s="174"/>
      <c r="C87" s="256"/>
      <c r="D87" s="174"/>
      <c r="E87" s="173"/>
      <c r="F87" s="258"/>
      <c r="G87" s="173"/>
      <c r="H87" s="173"/>
      <c r="I87" s="576"/>
      <c r="J87" s="580"/>
      <c r="K87" s="569" t="str">
        <f t="shared" si="1"/>
        <v/>
      </c>
      <c r="L87" s="572"/>
      <c r="M87" s="173"/>
      <c r="N87" s="173"/>
      <c r="O87" s="173"/>
      <c r="P87" s="573"/>
      <c r="Q87" s="573"/>
      <c r="R87" s="173"/>
      <c r="S87" s="173"/>
      <c r="T87" s="173"/>
      <c r="U87" s="173"/>
      <c r="V87" s="173"/>
      <c r="W87" s="574"/>
      <c r="X87" s="575"/>
      <c r="Y87" s="28"/>
      <c r="Z87" s="543" t="str">
        <f t="array" ref="Z87">IF(LEN(AC87),lower(concatenate("bosvendor-",'2-Building'!B$4,"-",INDEX(D:D, MATCH(AC87, J:J, 0)),INDEX(E:E, MATCH(AC87, J:J, 0)))),"")</f>
        <v/>
      </c>
      <c r="AA87" s="28"/>
      <c r="AB87" s="28"/>
      <c r="AC87" s="28"/>
      <c r="AD87" s="28"/>
    </row>
    <row r="88" ht="30.0" customHeight="1">
      <c r="A88" s="173">
        <v>84.0</v>
      </c>
      <c r="B88" s="174"/>
      <c r="C88" s="256"/>
      <c r="D88" s="174"/>
      <c r="E88" s="173"/>
      <c r="F88" s="258"/>
      <c r="G88" s="173"/>
      <c r="H88" s="173"/>
      <c r="I88" s="576"/>
      <c r="J88" s="580"/>
      <c r="K88" s="569" t="str">
        <f t="shared" si="1"/>
        <v/>
      </c>
      <c r="L88" s="572"/>
      <c r="M88" s="173"/>
      <c r="N88" s="173"/>
      <c r="O88" s="173"/>
      <c r="P88" s="573"/>
      <c r="Q88" s="573"/>
      <c r="R88" s="173"/>
      <c r="S88" s="173"/>
      <c r="T88" s="173"/>
      <c r="U88" s="173"/>
      <c r="V88" s="173"/>
      <c r="W88" s="574"/>
      <c r="X88" s="575"/>
      <c r="Y88" s="28"/>
      <c r="Z88" s="543" t="str">
        <f t="array" ref="Z88">IF(LEN(AC88),lower(concatenate("bosvendor-",'2-Building'!B$4,"-",INDEX(D:D, MATCH(AC88, J:J, 0)),INDEX(E:E, MATCH(AC88, J:J, 0)))),"")</f>
        <v/>
      </c>
      <c r="AA88" s="28"/>
      <c r="AB88" s="28"/>
      <c r="AC88" s="28"/>
      <c r="AD88" s="28"/>
    </row>
    <row r="89" ht="30.0" customHeight="1">
      <c r="A89" s="258">
        <v>85.0</v>
      </c>
      <c r="B89" s="174"/>
      <c r="C89" s="256"/>
      <c r="D89" s="174"/>
      <c r="E89" s="173"/>
      <c r="F89" s="258"/>
      <c r="G89" s="173"/>
      <c r="H89" s="173"/>
      <c r="I89" s="576"/>
      <c r="J89" s="580"/>
      <c r="K89" s="569" t="str">
        <f t="shared" si="1"/>
        <v/>
      </c>
      <c r="L89" s="572"/>
      <c r="M89" s="173"/>
      <c r="N89" s="173"/>
      <c r="O89" s="173"/>
      <c r="P89" s="573"/>
      <c r="Q89" s="573"/>
      <c r="R89" s="173"/>
      <c r="S89" s="173"/>
      <c r="T89" s="173"/>
      <c r="U89" s="173"/>
      <c r="V89" s="173"/>
      <c r="W89" s="574"/>
      <c r="X89" s="575"/>
      <c r="Y89" s="28"/>
      <c r="Z89" s="543" t="str">
        <f t="array" ref="Z89">IF(LEN(AC89),lower(concatenate("bosvendor-",'2-Building'!B$4,"-",INDEX(D:D, MATCH(AC89, J:J, 0)),INDEX(E:E, MATCH(AC89, J:J, 0)))),"")</f>
        <v/>
      </c>
      <c r="AA89" s="28"/>
      <c r="AB89" s="28"/>
      <c r="AC89" s="28"/>
      <c r="AD89" s="28"/>
    </row>
    <row r="90" ht="30.0" customHeight="1">
      <c r="A90" s="173">
        <v>86.0</v>
      </c>
      <c r="B90" s="174"/>
      <c r="C90" s="256"/>
      <c r="D90" s="174"/>
      <c r="E90" s="173"/>
      <c r="F90" s="258"/>
      <c r="G90" s="173"/>
      <c r="H90" s="173"/>
      <c r="I90" s="576"/>
      <c r="J90" s="580"/>
      <c r="K90" s="569" t="str">
        <f t="shared" si="1"/>
        <v/>
      </c>
      <c r="L90" s="572"/>
      <c r="M90" s="173"/>
      <c r="N90" s="173"/>
      <c r="O90" s="173"/>
      <c r="P90" s="573"/>
      <c r="Q90" s="573"/>
      <c r="R90" s="173"/>
      <c r="S90" s="173"/>
      <c r="T90" s="173"/>
      <c r="U90" s="173"/>
      <c r="V90" s="173"/>
      <c r="W90" s="574"/>
      <c r="X90" s="575"/>
      <c r="Y90" s="28"/>
      <c r="Z90" s="543" t="str">
        <f t="array" ref="Z90">IF(LEN(AC90),lower(concatenate("bosvendor-",'2-Building'!B$4,"-",INDEX(D:D, MATCH(AC90, J:J, 0)),INDEX(E:E, MATCH(AC90, J:J, 0)))),"")</f>
        <v/>
      </c>
      <c r="AA90" s="28"/>
      <c r="AB90" s="28"/>
      <c r="AC90" s="28"/>
      <c r="AD90" s="28"/>
    </row>
    <row r="91" ht="30.0" customHeight="1">
      <c r="A91" s="173">
        <v>87.0</v>
      </c>
      <c r="B91" s="174"/>
      <c r="C91" s="256"/>
      <c r="D91" s="174"/>
      <c r="E91" s="173"/>
      <c r="F91" s="258"/>
      <c r="G91" s="173"/>
      <c r="H91" s="173"/>
      <c r="I91" s="576"/>
      <c r="J91" s="580"/>
      <c r="K91" s="569" t="str">
        <f t="shared" si="1"/>
        <v/>
      </c>
      <c r="L91" s="572"/>
      <c r="M91" s="173"/>
      <c r="N91" s="173"/>
      <c r="O91" s="173"/>
      <c r="P91" s="573"/>
      <c r="Q91" s="573"/>
      <c r="R91" s="173"/>
      <c r="S91" s="173"/>
      <c r="T91" s="173"/>
      <c r="U91" s="173"/>
      <c r="V91" s="173"/>
      <c r="W91" s="574"/>
      <c r="X91" s="575"/>
      <c r="Y91" s="28"/>
      <c r="Z91" s="543" t="str">
        <f t="array" ref="Z91">IF(LEN(AC91),lower(concatenate("bosvendor-",'2-Building'!B$4,"-",INDEX(D:D, MATCH(AC91, J:J, 0)),INDEX(E:E, MATCH(AC91, J:J, 0)))),"")</f>
        <v/>
      </c>
      <c r="AA91" s="28"/>
      <c r="AB91" s="28"/>
      <c r="AC91" s="28"/>
      <c r="AD91" s="28"/>
    </row>
    <row r="92" ht="30.0" customHeight="1">
      <c r="A92" s="258">
        <v>88.0</v>
      </c>
      <c r="B92" s="174"/>
      <c r="C92" s="256"/>
      <c r="D92" s="174"/>
      <c r="E92" s="173"/>
      <c r="F92" s="258"/>
      <c r="G92" s="173"/>
      <c r="H92" s="173"/>
      <c r="I92" s="576"/>
      <c r="J92" s="580"/>
      <c r="K92" s="569" t="str">
        <f t="shared" si="1"/>
        <v/>
      </c>
      <c r="L92" s="572"/>
      <c r="M92" s="173"/>
      <c r="N92" s="173"/>
      <c r="O92" s="173"/>
      <c r="P92" s="573"/>
      <c r="Q92" s="573"/>
      <c r="R92" s="173"/>
      <c r="S92" s="173"/>
      <c r="T92" s="173"/>
      <c r="U92" s="173"/>
      <c r="V92" s="173"/>
      <c r="W92" s="574"/>
      <c r="X92" s="575"/>
      <c r="Y92" s="28"/>
      <c r="Z92" s="543" t="str">
        <f t="array" ref="Z92">IF(LEN(AC92),lower(concatenate("bosvendor-",'2-Building'!B$4,"-",INDEX(D:D, MATCH(AC92, J:J, 0)),INDEX(E:E, MATCH(AC92, J:J, 0)))),"")</f>
        <v/>
      </c>
      <c r="AA92" s="28"/>
      <c r="AB92" s="28"/>
      <c r="AC92" s="28"/>
      <c r="AD92" s="28"/>
    </row>
    <row r="93" ht="30.0" customHeight="1">
      <c r="A93" s="173">
        <v>89.0</v>
      </c>
      <c r="B93" s="174"/>
      <c r="C93" s="256"/>
      <c r="D93" s="174"/>
      <c r="E93" s="173"/>
      <c r="F93" s="258"/>
      <c r="G93" s="173"/>
      <c r="H93" s="173"/>
      <c r="I93" s="576"/>
      <c r="J93" s="580"/>
      <c r="K93" s="569" t="str">
        <f t="shared" si="1"/>
        <v/>
      </c>
      <c r="L93" s="572"/>
      <c r="M93" s="173"/>
      <c r="N93" s="173"/>
      <c r="O93" s="173"/>
      <c r="P93" s="573"/>
      <c r="Q93" s="573"/>
      <c r="R93" s="173"/>
      <c r="S93" s="173"/>
      <c r="T93" s="173"/>
      <c r="U93" s="173"/>
      <c r="V93" s="173"/>
      <c r="W93" s="574"/>
      <c r="X93" s="575"/>
      <c r="Y93" s="28"/>
      <c r="Z93" s="543" t="str">
        <f t="array" ref="Z93">IF(LEN(AC93),lower(concatenate("bosvendor-",'2-Building'!B$4,"-",INDEX(D:D, MATCH(AC93, J:J, 0)),INDEX(E:E, MATCH(AC93, J:J, 0)))),"")</f>
        <v/>
      </c>
      <c r="AA93" s="28"/>
      <c r="AB93" s="28"/>
      <c r="AC93" s="28"/>
      <c r="AD93" s="28"/>
    </row>
    <row r="94" ht="30.0" customHeight="1">
      <c r="A94" s="173">
        <v>90.0</v>
      </c>
      <c r="B94" s="174"/>
      <c r="C94" s="256"/>
      <c r="D94" s="174"/>
      <c r="E94" s="173"/>
      <c r="F94" s="258"/>
      <c r="G94" s="173"/>
      <c r="H94" s="173"/>
      <c r="I94" s="576"/>
      <c r="J94" s="580"/>
      <c r="K94" s="569" t="str">
        <f t="shared" si="1"/>
        <v/>
      </c>
      <c r="L94" s="572"/>
      <c r="M94" s="173"/>
      <c r="N94" s="173"/>
      <c r="O94" s="173"/>
      <c r="P94" s="573"/>
      <c r="Q94" s="573"/>
      <c r="R94" s="173"/>
      <c r="S94" s="173"/>
      <c r="T94" s="173"/>
      <c r="U94" s="173"/>
      <c r="V94" s="173"/>
      <c r="W94" s="574"/>
      <c r="X94" s="575"/>
      <c r="Y94" s="28"/>
      <c r="Z94" s="543" t="str">
        <f t="array" ref="Z94">IF(LEN(AC94),lower(concatenate("bosvendor-",'2-Building'!B$4,"-",INDEX(D:D, MATCH(AC94, J:J, 0)),INDEX(E:E, MATCH(AC94, J:J, 0)))),"")</f>
        <v/>
      </c>
      <c r="AA94" s="28"/>
      <c r="AB94" s="28"/>
      <c r="AC94" s="28"/>
      <c r="AD94" s="28"/>
    </row>
    <row r="95" ht="30.0" customHeight="1">
      <c r="A95" s="258">
        <v>91.0</v>
      </c>
      <c r="B95" s="174"/>
      <c r="C95" s="256"/>
      <c r="D95" s="174"/>
      <c r="E95" s="173"/>
      <c r="F95" s="258"/>
      <c r="G95" s="173"/>
      <c r="H95" s="173"/>
      <c r="I95" s="576"/>
      <c r="J95" s="580"/>
      <c r="K95" s="569" t="str">
        <f t="shared" si="1"/>
        <v/>
      </c>
      <c r="L95" s="572"/>
      <c r="M95" s="173"/>
      <c r="N95" s="173"/>
      <c r="O95" s="173"/>
      <c r="P95" s="573"/>
      <c r="Q95" s="573"/>
      <c r="R95" s="173"/>
      <c r="S95" s="173"/>
      <c r="T95" s="173"/>
      <c r="U95" s="173"/>
      <c r="V95" s="173"/>
      <c r="W95" s="574"/>
      <c r="X95" s="575"/>
      <c r="Y95" s="28"/>
      <c r="Z95" s="543" t="str">
        <f t="array" ref="Z95">IF(LEN(AC95),lower(concatenate("bosvendor-",'2-Building'!B$4,"-",INDEX(D:D, MATCH(AC95, J:J, 0)),INDEX(E:E, MATCH(AC95, J:J, 0)))),"")</f>
        <v/>
      </c>
      <c r="AA95" s="28"/>
      <c r="AB95" s="28"/>
      <c r="AC95" s="28"/>
      <c r="AD95" s="28"/>
    </row>
    <row r="96" ht="30.0" customHeight="1">
      <c r="A96" s="173">
        <v>92.0</v>
      </c>
      <c r="B96" s="174"/>
      <c r="C96" s="256"/>
      <c r="D96" s="174"/>
      <c r="E96" s="173"/>
      <c r="F96" s="258"/>
      <c r="G96" s="173"/>
      <c r="H96" s="173"/>
      <c r="I96" s="576"/>
      <c r="J96" s="580"/>
      <c r="K96" s="569" t="str">
        <f t="shared" si="1"/>
        <v/>
      </c>
      <c r="L96" s="572"/>
      <c r="M96" s="173"/>
      <c r="N96" s="173"/>
      <c r="O96" s="173"/>
      <c r="P96" s="573"/>
      <c r="Q96" s="573"/>
      <c r="R96" s="173"/>
      <c r="S96" s="173"/>
      <c r="T96" s="173"/>
      <c r="U96" s="173"/>
      <c r="V96" s="173"/>
      <c r="W96" s="574"/>
      <c r="X96" s="575"/>
      <c r="Y96" s="28"/>
      <c r="Z96" s="543" t="str">
        <f t="array" ref="Z96">IF(LEN(AC96),lower(concatenate("bosvendor-",'2-Building'!B$4,"-",INDEX(D:D, MATCH(AC96, J:J, 0)),INDEX(E:E, MATCH(AC96, J:J, 0)))),"")</f>
        <v/>
      </c>
      <c r="AA96" s="28"/>
      <c r="AB96" s="28"/>
      <c r="AC96" s="28"/>
      <c r="AD96" s="28"/>
    </row>
    <row r="97" ht="30.0" customHeight="1">
      <c r="A97" s="173">
        <v>93.0</v>
      </c>
      <c r="B97" s="174"/>
      <c r="C97" s="256"/>
      <c r="D97" s="174"/>
      <c r="E97" s="173"/>
      <c r="F97" s="258"/>
      <c r="G97" s="173"/>
      <c r="H97" s="173"/>
      <c r="I97" s="576"/>
      <c r="J97" s="580"/>
      <c r="K97" s="569" t="str">
        <f t="shared" si="1"/>
        <v/>
      </c>
      <c r="L97" s="572"/>
      <c r="M97" s="173"/>
      <c r="N97" s="173"/>
      <c r="O97" s="173"/>
      <c r="P97" s="573"/>
      <c r="Q97" s="573"/>
      <c r="R97" s="173"/>
      <c r="S97" s="173"/>
      <c r="T97" s="173"/>
      <c r="U97" s="173"/>
      <c r="V97" s="173"/>
      <c r="W97" s="574"/>
      <c r="X97" s="575"/>
      <c r="Y97" s="28"/>
      <c r="Z97" s="543" t="str">
        <f t="array" ref="Z97">IF(LEN(AC97),lower(concatenate("bosvendor-",'2-Building'!B$4,"-",INDEX(D:D, MATCH(AC97, J:J, 0)),INDEX(E:E, MATCH(AC97, J:J, 0)))),"")</f>
        <v/>
      </c>
      <c r="AA97" s="28"/>
      <c r="AB97" s="28"/>
      <c r="AC97" s="28"/>
      <c r="AD97" s="28"/>
    </row>
    <row r="98" ht="30.0" customHeight="1">
      <c r="A98" s="258">
        <v>94.0</v>
      </c>
      <c r="B98" s="174"/>
      <c r="C98" s="256"/>
      <c r="D98" s="174"/>
      <c r="E98" s="173"/>
      <c r="F98" s="258"/>
      <c r="G98" s="173"/>
      <c r="H98" s="173"/>
      <c r="I98" s="576"/>
      <c r="J98" s="580"/>
      <c r="K98" s="569" t="str">
        <f t="shared" si="1"/>
        <v/>
      </c>
      <c r="L98" s="572"/>
      <c r="M98" s="173"/>
      <c r="N98" s="173"/>
      <c r="O98" s="173"/>
      <c r="P98" s="573"/>
      <c r="Q98" s="573"/>
      <c r="R98" s="173"/>
      <c r="S98" s="173"/>
      <c r="T98" s="173"/>
      <c r="U98" s="173"/>
      <c r="V98" s="173"/>
      <c r="W98" s="574"/>
      <c r="X98" s="575"/>
      <c r="Y98" s="28"/>
      <c r="Z98" s="543" t="str">
        <f t="array" ref="Z98">IF(LEN(AC98),lower(concatenate("bosvendor-",'2-Building'!B$4,"-",INDEX(D:D, MATCH(AC98, J:J, 0)),INDEX(E:E, MATCH(AC98, J:J, 0)))),"")</f>
        <v/>
      </c>
      <c r="AA98" s="28"/>
      <c r="AB98" s="28"/>
      <c r="AC98" s="28"/>
      <c r="AD98" s="28"/>
    </row>
    <row r="99" ht="30.0" customHeight="1">
      <c r="A99" s="173">
        <v>95.0</v>
      </c>
      <c r="B99" s="174"/>
      <c r="C99" s="256"/>
      <c r="D99" s="174"/>
      <c r="E99" s="173"/>
      <c r="F99" s="258"/>
      <c r="G99" s="173"/>
      <c r="H99" s="173"/>
      <c r="I99" s="576"/>
      <c r="J99" s="580"/>
      <c r="K99" s="569" t="str">
        <f t="shared" si="1"/>
        <v/>
      </c>
      <c r="L99" s="572"/>
      <c r="M99" s="173"/>
      <c r="N99" s="173"/>
      <c r="O99" s="173"/>
      <c r="P99" s="573"/>
      <c r="Q99" s="573"/>
      <c r="R99" s="173"/>
      <c r="S99" s="173"/>
      <c r="T99" s="173"/>
      <c r="U99" s="173"/>
      <c r="V99" s="173"/>
      <c r="W99" s="574"/>
      <c r="X99" s="575"/>
      <c r="Y99" s="28"/>
      <c r="Z99" s="543" t="str">
        <f t="array" ref="Z99">IF(LEN(AC99),lower(concatenate("bosvendor-",'2-Building'!B$4,"-",INDEX(D:D, MATCH(AC99, J:J, 0)),INDEX(E:E, MATCH(AC99, J:J, 0)))),"")</f>
        <v/>
      </c>
      <c r="AA99" s="28"/>
      <c r="AB99" s="28"/>
      <c r="AC99" s="28"/>
      <c r="AD99" s="28"/>
    </row>
    <row r="100" ht="30.0" customHeight="1">
      <c r="A100" s="488"/>
      <c r="B100" s="582"/>
      <c r="C100" s="256"/>
      <c r="D100" s="582"/>
      <c r="E100" s="488"/>
      <c r="F100" s="258"/>
      <c r="G100" s="173"/>
      <c r="H100" s="173"/>
      <c r="I100" s="576"/>
      <c r="J100" s="580"/>
      <c r="K100" s="569" t="str">
        <f t="shared" si="1"/>
        <v/>
      </c>
      <c r="L100" s="572"/>
      <c r="M100" s="173"/>
      <c r="N100" s="173"/>
      <c r="O100" s="173"/>
      <c r="P100" s="573"/>
      <c r="Q100" s="573"/>
      <c r="R100" s="173"/>
      <c r="S100" s="173"/>
      <c r="T100" s="173"/>
      <c r="U100" s="173"/>
      <c r="V100" s="173"/>
      <c r="W100" s="574"/>
      <c r="X100" s="575"/>
      <c r="Y100" s="28"/>
      <c r="Z100" s="543" t="str">
        <f t="array" ref="Z100">IF(LEN(AC100),lower(concatenate("bosvendor-",'2-Building'!B$4,"-",INDEX(D:D, MATCH(AC100, J:J, 0)),INDEX(E:E, MATCH(AC100, J:J, 0)))),"")</f>
        <v/>
      </c>
      <c r="AA100" s="28"/>
      <c r="AB100" s="28"/>
      <c r="AC100" s="28"/>
      <c r="AD100" s="28"/>
    </row>
    <row r="101" ht="30.0" customHeight="1">
      <c r="A101" s="488"/>
      <c r="B101" s="582"/>
      <c r="C101" s="256"/>
      <c r="D101" s="582"/>
      <c r="E101" s="488"/>
      <c r="F101" s="258"/>
      <c r="G101" s="173"/>
      <c r="H101" s="173"/>
      <c r="I101" s="576"/>
      <c r="J101" s="580"/>
      <c r="K101" s="569" t="str">
        <f t="shared" si="1"/>
        <v/>
      </c>
      <c r="L101" s="572"/>
      <c r="M101" s="173"/>
      <c r="N101" s="173"/>
      <c r="O101" s="173"/>
      <c r="P101" s="573"/>
      <c r="Q101" s="573"/>
      <c r="R101" s="173"/>
      <c r="S101" s="173"/>
      <c r="T101" s="173"/>
      <c r="U101" s="173"/>
      <c r="V101" s="173"/>
      <c r="W101" s="574"/>
      <c r="X101" s="575"/>
      <c r="Y101" s="28"/>
      <c r="Z101" s="543" t="str">
        <f t="array" ref="Z101">IF(LEN(AC101),lower(concatenate("bosvendor-",'2-Building'!B$4,"-",INDEX(D:D, MATCH(AC101, J:J, 0)),INDEX(E:E, MATCH(AC101, J:J, 0)))),"")</f>
        <v/>
      </c>
      <c r="AA101" s="28"/>
      <c r="AB101" s="28"/>
      <c r="AC101" s="28"/>
      <c r="AD101" s="28"/>
    </row>
    <row r="102" ht="30.0" customHeight="1">
      <c r="A102" s="488"/>
      <c r="B102" s="582"/>
      <c r="C102" s="256"/>
      <c r="D102" s="582"/>
      <c r="E102" s="488"/>
      <c r="F102" s="258"/>
      <c r="G102" s="173"/>
      <c r="H102" s="173"/>
      <c r="I102" s="576"/>
      <c r="J102" s="580"/>
      <c r="K102" s="569" t="str">
        <f t="shared" si="1"/>
        <v/>
      </c>
      <c r="L102" s="572"/>
      <c r="M102" s="173"/>
      <c r="N102" s="173"/>
      <c r="O102" s="173"/>
      <c r="P102" s="573"/>
      <c r="Q102" s="573"/>
      <c r="R102" s="173"/>
      <c r="S102" s="173"/>
      <c r="T102" s="173"/>
      <c r="U102" s="173"/>
      <c r="V102" s="173"/>
      <c r="W102" s="574"/>
      <c r="X102" s="575"/>
      <c r="Y102" s="28"/>
      <c r="Z102" s="543" t="str">
        <f t="array" ref="Z102">IF(LEN(AC102),lower(concatenate("bosvendor-",'2-Building'!B$4,"-",INDEX(D:D, MATCH(AC102, J:J, 0)),INDEX(E:E, MATCH(AC102, J:J, 0)))),"")</f>
        <v/>
      </c>
      <c r="AA102" s="28"/>
      <c r="AB102" s="28"/>
      <c r="AC102" s="28"/>
      <c r="AD102" s="28"/>
    </row>
    <row r="103" ht="30.0" customHeight="1">
      <c r="A103" s="488"/>
      <c r="B103" s="582"/>
      <c r="C103" s="256"/>
      <c r="D103" s="582"/>
      <c r="E103" s="488"/>
      <c r="F103" s="258"/>
      <c r="G103" s="173"/>
      <c r="H103" s="173"/>
      <c r="I103" s="576"/>
      <c r="J103" s="580"/>
      <c r="K103" s="569" t="str">
        <f t="shared" si="1"/>
        <v/>
      </c>
      <c r="L103" s="572"/>
      <c r="M103" s="173"/>
      <c r="N103" s="173"/>
      <c r="O103" s="173"/>
      <c r="P103" s="573"/>
      <c r="Q103" s="573"/>
      <c r="R103" s="173"/>
      <c r="S103" s="173"/>
      <c r="T103" s="173"/>
      <c r="U103" s="173"/>
      <c r="V103" s="173"/>
      <c r="W103" s="574"/>
      <c r="X103" s="575"/>
      <c r="Y103" s="28"/>
      <c r="Z103" s="543" t="str">
        <f t="array" ref="Z103">IF(LEN(AC103),lower(concatenate("bosvendor-",'2-Building'!B$4,"-",INDEX(D:D, MATCH(AC103, J:J, 0)),INDEX(E:E, MATCH(AC103, J:J, 0)))),"")</f>
        <v/>
      </c>
      <c r="AA103" s="28"/>
      <c r="AB103" s="28"/>
      <c r="AC103" s="28"/>
      <c r="AD103" s="28"/>
    </row>
    <row r="104" ht="30.0" customHeight="1">
      <c r="A104" s="488"/>
      <c r="B104" s="582"/>
      <c r="C104" s="256"/>
      <c r="D104" s="582"/>
      <c r="E104" s="488"/>
      <c r="F104" s="258"/>
      <c r="G104" s="173"/>
      <c r="H104" s="173"/>
      <c r="I104" s="576"/>
      <c r="J104" s="580"/>
      <c r="K104" s="569" t="str">
        <f t="shared" si="1"/>
        <v/>
      </c>
      <c r="L104" s="572"/>
      <c r="M104" s="173"/>
      <c r="N104" s="173"/>
      <c r="O104" s="173"/>
      <c r="P104" s="573"/>
      <c r="Q104" s="573"/>
      <c r="R104" s="173"/>
      <c r="S104" s="173"/>
      <c r="T104" s="173"/>
      <c r="U104" s="173"/>
      <c r="V104" s="173"/>
      <c r="W104" s="574"/>
      <c r="X104" s="575"/>
      <c r="Y104" s="28"/>
      <c r="Z104" s="543" t="str">
        <f t="array" ref="Z104">IF(LEN(AC104),lower(concatenate("bosvendor-",'2-Building'!B$4,"-",INDEX(D:D, MATCH(AC104, J:J, 0)),INDEX(E:E, MATCH(AC104, J:J, 0)))),"")</f>
        <v/>
      </c>
      <c r="AA104" s="28"/>
      <c r="AB104" s="28"/>
      <c r="AC104" s="28"/>
      <c r="AD104" s="28"/>
    </row>
    <row r="105" ht="30.0" customHeight="1">
      <c r="A105" s="488"/>
      <c r="B105" s="582"/>
      <c r="C105" s="256"/>
      <c r="D105" s="582"/>
      <c r="E105" s="488"/>
      <c r="F105" s="258"/>
      <c r="G105" s="173"/>
      <c r="H105" s="173"/>
      <c r="I105" s="576"/>
      <c r="J105" s="580"/>
      <c r="K105" s="569" t="str">
        <f t="shared" si="1"/>
        <v/>
      </c>
      <c r="L105" s="572"/>
      <c r="M105" s="173"/>
      <c r="N105" s="173"/>
      <c r="O105" s="173"/>
      <c r="P105" s="573"/>
      <c r="Q105" s="573"/>
      <c r="R105" s="173"/>
      <c r="S105" s="173"/>
      <c r="T105" s="173"/>
      <c r="U105" s="173"/>
      <c r="V105" s="173"/>
      <c r="W105" s="574"/>
      <c r="X105" s="575"/>
      <c r="Y105" s="28"/>
      <c r="Z105" s="543" t="str">
        <f t="array" ref="Z105">IF(LEN(AC105),lower(concatenate("bosvendor-",'2-Building'!B$4,"-",INDEX(D:D, MATCH(AC105, J:J, 0)),INDEX(E:E, MATCH(AC105, J:J, 0)))),"")</f>
        <v/>
      </c>
      <c r="AA105" s="28"/>
      <c r="AB105" s="28"/>
      <c r="AC105" s="28"/>
      <c r="AD105" s="28"/>
    </row>
    <row r="106" ht="30.0" customHeight="1">
      <c r="A106" s="488"/>
      <c r="B106" s="582"/>
      <c r="C106" s="256"/>
      <c r="D106" s="582"/>
      <c r="E106" s="488"/>
      <c r="F106" s="258"/>
      <c r="G106" s="173"/>
      <c r="H106" s="173"/>
      <c r="I106" s="576"/>
      <c r="J106" s="580"/>
      <c r="K106" s="569" t="str">
        <f t="shared" si="1"/>
        <v/>
      </c>
      <c r="L106" s="572"/>
      <c r="M106" s="173"/>
      <c r="N106" s="173"/>
      <c r="O106" s="173"/>
      <c r="P106" s="573"/>
      <c r="Q106" s="573"/>
      <c r="R106" s="173"/>
      <c r="S106" s="173"/>
      <c r="T106" s="173"/>
      <c r="U106" s="173"/>
      <c r="V106" s="173"/>
      <c r="W106" s="574"/>
      <c r="X106" s="575"/>
      <c r="Y106" s="28"/>
      <c r="Z106" s="543" t="str">
        <f t="array" ref="Z106">IF(LEN(AC106),lower(concatenate("bosvendor-",'2-Building'!B$4,"-",INDEX(D:D, MATCH(AC106, J:J, 0)),INDEX(E:E, MATCH(AC106, J:J, 0)))),"")</f>
        <v/>
      </c>
      <c r="AA106" s="28"/>
      <c r="AB106" s="28"/>
      <c r="AC106" s="28"/>
      <c r="AD106" s="28"/>
    </row>
    <row r="107" ht="30.0" customHeight="1">
      <c r="A107" s="488"/>
      <c r="B107" s="582"/>
      <c r="C107" s="256"/>
      <c r="D107" s="582"/>
      <c r="E107" s="488"/>
      <c r="F107" s="258"/>
      <c r="G107" s="173"/>
      <c r="H107" s="173"/>
      <c r="I107" s="576"/>
      <c r="J107" s="580"/>
      <c r="K107" s="569" t="str">
        <f t="shared" si="1"/>
        <v/>
      </c>
      <c r="L107" s="572"/>
      <c r="M107" s="173"/>
      <c r="N107" s="173"/>
      <c r="O107" s="173"/>
      <c r="P107" s="573"/>
      <c r="Q107" s="573"/>
      <c r="R107" s="173"/>
      <c r="S107" s="173"/>
      <c r="T107" s="173"/>
      <c r="U107" s="173"/>
      <c r="V107" s="173"/>
      <c r="W107" s="574"/>
      <c r="X107" s="575"/>
      <c r="Y107" s="28"/>
      <c r="Z107" s="543" t="str">
        <f t="array" ref="Z107">IF(LEN(AC107),lower(concatenate("bosvendor-",'2-Building'!B$4,"-",INDEX(D:D, MATCH(AC107, J:J, 0)),INDEX(E:E, MATCH(AC107, J:J, 0)))),"")</f>
        <v/>
      </c>
      <c r="AA107" s="28"/>
      <c r="AB107" s="28"/>
      <c r="AC107" s="28"/>
      <c r="AD107" s="28"/>
    </row>
    <row r="108" ht="30.0" customHeight="1">
      <c r="A108" s="488"/>
      <c r="B108" s="582"/>
      <c r="C108" s="256"/>
      <c r="D108" s="582"/>
      <c r="E108" s="488"/>
      <c r="F108" s="258"/>
      <c r="G108" s="173"/>
      <c r="H108" s="173"/>
      <c r="I108" s="576"/>
      <c r="J108" s="580"/>
      <c r="K108" s="569" t="str">
        <f t="shared" si="1"/>
        <v/>
      </c>
      <c r="L108" s="572"/>
      <c r="M108" s="173"/>
      <c r="N108" s="173"/>
      <c r="O108" s="173"/>
      <c r="P108" s="573"/>
      <c r="Q108" s="573"/>
      <c r="R108" s="173"/>
      <c r="S108" s="173"/>
      <c r="T108" s="173"/>
      <c r="U108" s="173"/>
      <c r="V108" s="173"/>
      <c r="W108" s="574"/>
      <c r="X108" s="575"/>
      <c r="Y108" s="28"/>
      <c r="Z108" s="543" t="str">
        <f t="array" ref="Z108">IF(LEN(AC108),lower(concatenate("bosvendor-",'2-Building'!B$4,"-",INDEX(D:D, MATCH(AC108, J:J, 0)),INDEX(E:E, MATCH(AC108, J:J, 0)))),"")</f>
        <v/>
      </c>
      <c r="AA108" s="28"/>
      <c r="AB108" s="28"/>
      <c r="AC108" s="28"/>
      <c r="AD108" s="28"/>
    </row>
    <row r="109" ht="30.0" customHeight="1">
      <c r="A109" s="488"/>
      <c r="B109" s="582"/>
      <c r="C109" s="256"/>
      <c r="D109" s="582"/>
      <c r="E109" s="488"/>
      <c r="F109" s="258"/>
      <c r="G109" s="173"/>
      <c r="H109" s="173"/>
      <c r="I109" s="576"/>
      <c r="J109" s="580"/>
      <c r="K109" s="569" t="str">
        <f t="shared" si="1"/>
        <v/>
      </c>
      <c r="L109" s="572"/>
      <c r="M109" s="173"/>
      <c r="N109" s="173"/>
      <c r="O109" s="173"/>
      <c r="P109" s="573"/>
      <c r="Q109" s="573"/>
      <c r="R109" s="173"/>
      <c r="S109" s="173"/>
      <c r="T109" s="173"/>
      <c r="U109" s="173"/>
      <c r="V109" s="173"/>
      <c r="W109" s="574"/>
      <c r="X109" s="575"/>
      <c r="Y109" s="28"/>
      <c r="Z109" s="543" t="str">
        <f t="array" ref="Z109">IF(LEN(AC109),lower(concatenate("bosvendor-",'2-Building'!B$4,"-",INDEX(D:D, MATCH(AC109, J:J, 0)),INDEX(E:E, MATCH(AC109, J:J, 0)))),"")</f>
        <v/>
      </c>
      <c r="AA109" s="28"/>
      <c r="AB109" s="28"/>
      <c r="AC109" s="28"/>
      <c r="AD109" s="28"/>
    </row>
    <row r="110" ht="30.0" customHeight="1">
      <c r="A110" s="488"/>
      <c r="B110" s="582"/>
      <c r="C110" s="256"/>
      <c r="D110" s="582"/>
      <c r="E110" s="488"/>
      <c r="F110" s="258"/>
      <c r="G110" s="173"/>
      <c r="H110" s="173"/>
      <c r="I110" s="576"/>
      <c r="J110" s="580"/>
      <c r="K110" s="569" t="str">
        <f t="shared" si="1"/>
        <v/>
      </c>
      <c r="L110" s="572"/>
      <c r="M110" s="173"/>
      <c r="N110" s="173"/>
      <c r="O110" s="173"/>
      <c r="P110" s="573"/>
      <c r="Q110" s="573"/>
      <c r="R110" s="173"/>
      <c r="S110" s="173"/>
      <c r="T110" s="173"/>
      <c r="U110" s="173"/>
      <c r="V110" s="173"/>
      <c r="W110" s="574"/>
      <c r="X110" s="575"/>
      <c r="Y110" s="28"/>
      <c r="Z110" s="543" t="str">
        <f t="array" ref="Z110">IF(LEN(AC110),lower(concatenate("bosvendor-",'2-Building'!B$4,"-",INDEX(D:D, MATCH(AC110, J:J, 0)),INDEX(E:E, MATCH(AC110, J:J, 0)))),"")</f>
        <v/>
      </c>
      <c r="AA110" s="28"/>
      <c r="AB110" s="28"/>
      <c r="AC110" s="28"/>
      <c r="AD110" s="28"/>
    </row>
    <row r="111" ht="30.0" customHeight="1">
      <c r="A111" s="488"/>
      <c r="B111" s="582"/>
      <c r="C111" s="256"/>
      <c r="D111" s="582"/>
      <c r="E111" s="488"/>
      <c r="F111" s="258"/>
      <c r="G111" s="173"/>
      <c r="H111" s="173"/>
      <c r="I111" s="576"/>
      <c r="J111" s="580"/>
      <c r="K111" s="569" t="str">
        <f t="shared" si="1"/>
        <v/>
      </c>
      <c r="L111" s="572"/>
      <c r="M111" s="173"/>
      <c r="N111" s="173"/>
      <c r="O111" s="173"/>
      <c r="P111" s="573"/>
      <c r="Q111" s="573"/>
      <c r="R111" s="173"/>
      <c r="S111" s="173"/>
      <c r="T111" s="173"/>
      <c r="U111" s="173"/>
      <c r="V111" s="173"/>
      <c r="W111" s="574"/>
      <c r="X111" s="575"/>
      <c r="Y111" s="28"/>
      <c r="Z111" s="543" t="str">
        <f t="array" ref="Z111">IF(LEN(AC111),lower(concatenate("bosvendor-",'2-Building'!B$4,"-",INDEX(D:D, MATCH(AC111, J:J, 0)),INDEX(E:E, MATCH(AC111, J:J, 0)))),"")</f>
        <v/>
      </c>
      <c r="AA111" s="28"/>
      <c r="AB111" s="28"/>
      <c r="AC111" s="28"/>
      <c r="AD111" s="28"/>
    </row>
    <row r="112" ht="30.0" customHeight="1">
      <c r="A112" s="488"/>
      <c r="B112" s="582"/>
      <c r="C112" s="256"/>
      <c r="D112" s="582"/>
      <c r="E112" s="488"/>
      <c r="F112" s="258"/>
      <c r="G112" s="173"/>
      <c r="H112" s="173"/>
      <c r="I112" s="576"/>
      <c r="J112" s="580"/>
      <c r="K112" s="569" t="str">
        <f t="shared" si="1"/>
        <v/>
      </c>
      <c r="L112" s="572"/>
      <c r="M112" s="173"/>
      <c r="N112" s="173"/>
      <c r="O112" s="173"/>
      <c r="P112" s="573"/>
      <c r="Q112" s="573"/>
      <c r="R112" s="173"/>
      <c r="S112" s="173"/>
      <c r="T112" s="173"/>
      <c r="U112" s="173"/>
      <c r="V112" s="173"/>
      <c r="W112" s="574"/>
      <c r="X112" s="575"/>
      <c r="Y112" s="28"/>
      <c r="Z112" s="543" t="str">
        <f t="array" ref="Z112">IF(LEN(AC112),lower(concatenate("bosvendor-",'2-Building'!B$4,"-",INDEX(D:D, MATCH(AC112, J:J, 0)),INDEX(E:E, MATCH(AC112, J:J, 0)))),"")</f>
        <v/>
      </c>
      <c r="AA112" s="28"/>
      <c r="AB112" s="28"/>
      <c r="AC112" s="28"/>
      <c r="AD112" s="28"/>
    </row>
    <row r="113" ht="30.0" customHeight="1">
      <c r="A113" s="488"/>
      <c r="B113" s="582"/>
      <c r="C113" s="256"/>
      <c r="D113" s="582"/>
      <c r="E113" s="488"/>
      <c r="F113" s="258"/>
      <c r="G113" s="173"/>
      <c r="H113" s="173"/>
      <c r="I113" s="576"/>
      <c r="J113" s="580"/>
      <c r="K113" s="569" t="str">
        <f t="shared" si="1"/>
        <v/>
      </c>
      <c r="L113" s="572"/>
      <c r="M113" s="173"/>
      <c r="N113" s="173"/>
      <c r="O113" s="173"/>
      <c r="P113" s="573"/>
      <c r="Q113" s="573"/>
      <c r="R113" s="173"/>
      <c r="S113" s="173"/>
      <c r="T113" s="173"/>
      <c r="U113" s="173"/>
      <c r="V113" s="173"/>
      <c r="W113" s="574"/>
      <c r="X113" s="575"/>
      <c r="Y113" s="28"/>
      <c r="Z113" s="543" t="str">
        <f t="array" ref="Z113">IF(LEN(AC113),lower(concatenate("bosvendor-",'2-Building'!B$4,"-",INDEX(D:D, MATCH(AC113, J:J, 0)),INDEX(E:E, MATCH(AC113, J:J, 0)))),"")</f>
        <v/>
      </c>
      <c r="AA113" s="28"/>
      <c r="AB113" s="28"/>
      <c r="AC113" s="28"/>
      <c r="AD113" s="28"/>
    </row>
    <row r="114" ht="30.0" customHeight="1">
      <c r="A114" s="488"/>
      <c r="B114" s="582"/>
      <c r="C114" s="256"/>
      <c r="D114" s="582"/>
      <c r="E114" s="488"/>
      <c r="F114" s="258"/>
      <c r="G114" s="173"/>
      <c r="H114" s="173"/>
      <c r="I114" s="576"/>
      <c r="J114" s="580"/>
      <c r="K114" s="569" t="str">
        <f t="shared" si="1"/>
        <v/>
      </c>
      <c r="L114" s="572"/>
      <c r="M114" s="173"/>
      <c r="N114" s="173"/>
      <c r="O114" s="173"/>
      <c r="P114" s="573"/>
      <c r="Q114" s="573"/>
      <c r="R114" s="173"/>
      <c r="S114" s="173"/>
      <c r="T114" s="173"/>
      <c r="U114" s="173"/>
      <c r="V114" s="173"/>
      <c r="W114" s="574"/>
      <c r="X114" s="575"/>
      <c r="Y114" s="28"/>
      <c r="Z114" s="543" t="str">
        <f t="array" ref="Z114">IF(LEN(AC114),lower(concatenate("bosvendor-",'2-Building'!B$4,"-",INDEX(D:D, MATCH(AC114, J:J, 0)),INDEX(E:E, MATCH(AC114, J:J, 0)))),"")</f>
        <v/>
      </c>
      <c r="AA114" s="28"/>
      <c r="AB114" s="28"/>
      <c r="AC114" s="28"/>
      <c r="AD114" s="28"/>
    </row>
    <row r="115" ht="30.0" customHeight="1">
      <c r="A115" s="488"/>
      <c r="B115" s="582"/>
      <c r="C115" s="256"/>
      <c r="D115" s="582"/>
      <c r="E115" s="488"/>
      <c r="F115" s="258"/>
      <c r="G115" s="173"/>
      <c r="H115" s="173"/>
      <c r="I115" s="576"/>
      <c r="J115" s="580"/>
      <c r="K115" s="569" t="str">
        <f t="shared" si="1"/>
        <v/>
      </c>
      <c r="L115" s="572"/>
      <c r="M115" s="173"/>
      <c r="N115" s="173"/>
      <c r="O115" s="173"/>
      <c r="P115" s="573"/>
      <c r="Q115" s="573"/>
      <c r="R115" s="173"/>
      <c r="S115" s="173"/>
      <c r="T115" s="173"/>
      <c r="U115" s="173"/>
      <c r="V115" s="173"/>
      <c r="W115" s="574"/>
      <c r="X115" s="575"/>
      <c r="Y115" s="28"/>
      <c r="Z115" s="543" t="str">
        <f t="array" ref="Z115">IF(LEN(AC115),lower(concatenate("bosvendor-",'2-Building'!B$4,"-",INDEX(D:D, MATCH(AC115, J:J, 0)),INDEX(E:E, MATCH(AC115, J:J, 0)))),"")</f>
        <v/>
      </c>
      <c r="AA115" s="28"/>
      <c r="AB115" s="28"/>
      <c r="AC115" s="28"/>
      <c r="AD115" s="28"/>
    </row>
    <row r="116" ht="30.0" customHeight="1">
      <c r="A116" s="488"/>
      <c r="B116" s="582"/>
      <c r="C116" s="256"/>
      <c r="D116" s="582"/>
      <c r="E116" s="488"/>
      <c r="F116" s="258"/>
      <c r="G116" s="173"/>
      <c r="H116" s="173"/>
      <c r="I116" s="576"/>
      <c r="J116" s="580"/>
      <c r="K116" s="569" t="str">
        <f t="shared" si="1"/>
        <v/>
      </c>
      <c r="L116" s="572"/>
      <c r="M116" s="173"/>
      <c r="N116" s="173"/>
      <c r="O116" s="173"/>
      <c r="P116" s="573"/>
      <c r="Q116" s="573"/>
      <c r="R116" s="173"/>
      <c r="S116" s="173"/>
      <c r="T116" s="173"/>
      <c r="U116" s="173"/>
      <c r="V116" s="173"/>
      <c r="W116" s="574"/>
      <c r="X116" s="575"/>
      <c r="Y116" s="28"/>
      <c r="Z116" s="543" t="str">
        <f t="array" ref="Z116">IF(LEN(AC116),lower(concatenate("bosvendor-",'2-Building'!B$4,"-",INDEX(D:D, MATCH(AC116, J:J, 0)),INDEX(E:E, MATCH(AC116, J:J, 0)))),"")</f>
        <v/>
      </c>
      <c r="AA116" s="28"/>
      <c r="AB116" s="28"/>
      <c r="AC116" s="28"/>
      <c r="AD116" s="28"/>
    </row>
    <row r="117" ht="30.0" customHeight="1">
      <c r="A117" s="488"/>
      <c r="B117" s="582"/>
      <c r="C117" s="256"/>
      <c r="D117" s="582"/>
      <c r="E117" s="488"/>
      <c r="F117" s="258"/>
      <c r="G117" s="173"/>
      <c r="H117" s="173"/>
      <c r="I117" s="576"/>
      <c r="J117" s="580"/>
      <c r="K117" s="569" t="str">
        <f t="shared" si="1"/>
        <v/>
      </c>
      <c r="L117" s="572"/>
      <c r="M117" s="173"/>
      <c r="N117" s="173"/>
      <c r="O117" s="173"/>
      <c r="P117" s="573"/>
      <c r="Q117" s="573"/>
      <c r="R117" s="173"/>
      <c r="S117" s="173"/>
      <c r="T117" s="173"/>
      <c r="U117" s="173"/>
      <c r="V117" s="173"/>
      <c r="W117" s="574"/>
      <c r="X117" s="575"/>
      <c r="Y117" s="28"/>
      <c r="Z117" s="543" t="str">
        <f t="array" ref="Z117">IF(LEN(AC117),lower(concatenate("bosvendor-",'2-Building'!B$4,"-",INDEX(D:D, MATCH(AC117, J:J, 0)),INDEX(E:E, MATCH(AC117, J:J, 0)))),"")</f>
        <v/>
      </c>
      <c r="AA117" s="28"/>
      <c r="AB117" s="28"/>
      <c r="AC117" s="28"/>
      <c r="AD117" s="28"/>
    </row>
    <row r="118" ht="30.0" customHeight="1">
      <c r="A118" s="488"/>
      <c r="B118" s="582"/>
      <c r="C118" s="256"/>
      <c r="D118" s="582"/>
      <c r="E118" s="488"/>
      <c r="F118" s="258"/>
      <c r="G118" s="173"/>
      <c r="H118" s="173"/>
      <c r="I118" s="576"/>
      <c r="J118" s="580"/>
      <c r="K118" s="569" t="str">
        <f t="shared" si="1"/>
        <v/>
      </c>
      <c r="L118" s="572"/>
      <c r="M118" s="173"/>
      <c r="N118" s="173"/>
      <c r="O118" s="173"/>
      <c r="P118" s="573"/>
      <c r="Q118" s="573"/>
      <c r="R118" s="173"/>
      <c r="S118" s="173"/>
      <c r="T118" s="173"/>
      <c r="U118" s="173"/>
      <c r="V118" s="173"/>
      <c r="W118" s="574"/>
      <c r="X118" s="575"/>
      <c r="Y118" s="28"/>
      <c r="Z118" s="543" t="str">
        <f t="array" ref="Z118">IF(LEN(AC118),lower(concatenate("bosvendor-",'2-Building'!B$4,"-",INDEX(D:D, MATCH(AC118, J:J, 0)),INDEX(E:E, MATCH(AC118, J:J, 0)))),"")</f>
        <v/>
      </c>
      <c r="AA118" s="28"/>
      <c r="AB118" s="28"/>
      <c r="AC118" s="28"/>
      <c r="AD118" s="28"/>
    </row>
    <row r="119" ht="30.0" customHeight="1">
      <c r="A119" s="488"/>
      <c r="B119" s="582"/>
      <c r="C119" s="256"/>
      <c r="D119" s="582"/>
      <c r="E119" s="488"/>
      <c r="F119" s="258"/>
      <c r="G119" s="173"/>
      <c r="H119" s="173"/>
      <c r="I119" s="576"/>
      <c r="J119" s="580"/>
      <c r="K119" s="569" t="str">
        <f t="shared" si="1"/>
        <v/>
      </c>
      <c r="L119" s="572"/>
      <c r="M119" s="173"/>
      <c r="N119" s="173"/>
      <c r="O119" s="173"/>
      <c r="P119" s="573"/>
      <c r="Q119" s="573"/>
      <c r="R119" s="173"/>
      <c r="S119" s="173"/>
      <c r="T119" s="173"/>
      <c r="U119" s="173"/>
      <c r="V119" s="173"/>
      <c r="W119" s="574"/>
      <c r="X119" s="575"/>
      <c r="Y119" s="28"/>
      <c r="Z119" s="543" t="str">
        <f t="array" ref="Z119">IF(LEN(AC119),lower(concatenate("bosvendor-",'2-Building'!B$4,"-",INDEX(D:D, MATCH(AC119, J:J, 0)),INDEX(E:E, MATCH(AC119, J:J, 0)))),"")</f>
        <v/>
      </c>
      <c r="AA119" s="28"/>
      <c r="AB119" s="28"/>
      <c r="AC119" s="28"/>
      <c r="AD119" s="28"/>
    </row>
    <row r="120" ht="30.0" customHeight="1">
      <c r="A120" s="488"/>
      <c r="B120" s="582"/>
      <c r="C120" s="256"/>
      <c r="D120" s="582"/>
      <c r="E120" s="488"/>
      <c r="F120" s="258"/>
      <c r="G120" s="173"/>
      <c r="H120" s="173"/>
      <c r="I120" s="576"/>
      <c r="J120" s="580"/>
      <c r="K120" s="569" t="str">
        <f t="shared" si="1"/>
        <v/>
      </c>
      <c r="L120" s="572"/>
      <c r="M120" s="173"/>
      <c r="N120" s="173"/>
      <c r="O120" s="173"/>
      <c r="P120" s="573"/>
      <c r="Q120" s="573"/>
      <c r="R120" s="173"/>
      <c r="S120" s="173"/>
      <c r="T120" s="173"/>
      <c r="U120" s="173"/>
      <c r="V120" s="173"/>
      <c r="W120" s="574"/>
      <c r="X120" s="575"/>
      <c r="Y120" s="28"/>
      <c r="Z120" s="543" t="str">
        <f t="array" ref="Z120">IF(LEN(AC120),lower(concatenate("bosvendor-",'2-Building'!B$4,"-",INDEX(D:D, MATCH(AC120, J:J, 0)),INDEX(E:E, MATCH(AC120, J:J, 0)))),"")</f>
        <v/>
      </c>
      <c r="AA120" s="28"/>
      <c r="AB120" s="28"/>
      <c r="AC120" s="28"/>
      <c r="AD120" s="28"/>
    </row>
    <row r="121" ht="30.0" customHeight="1">
      <c r="A121" s="488"/>
      <c r="B121" s="582"/>
      <c r="C121" s="256"/>
      <c r="D121" s="582"/>
      <c r="E121" s="488"/>
      <c r="F121" s="258"/>
      <c r="G121" s="173"/>
      <c r="H121" s="173"/>
      <c r="I121" s="576"/>
      <c r="J121" s="580"/>
      <c r="K121" s="569" t="str">
        <f t="shared" si="1"/>
        <v/>
      </c>
      <c r="L121" s="572"/>
      <c r="M121" s="173"/>
      <c r="N121" s="173"/>
      <c r="O121" s="173"/>
      <c r="P121" s="573"/>
      <c r="Q121" s="573"/>
      <c r="R121" s="173"/>
      <c r="S121" s="173"/>
      <c r="T121" s="173"/>
      <c r="U121" s="173"/>
      <c r="V121" s="173"/>
      <c r="W121" s="574"/>
      <c r="X121" s="575"/>
      <c r="Y121" s="28"/>
      <c r="Z121" s="543" t="str">
        <f t="array" ref="Z121">IF(LEN(AC121),lower(concatenate("bosvendor-",'2-Building'!B$4,"-",INDEX(D:D, MATCH(AC121, J:J, 0)),INDEX(E:E, MATCH(AC121, J:J, 0)))),"")</f>
        <v/>
      </c>
      <c r="AA121" s="28"/>
      <c r="AB121" s="28"/>
      <c r="AC121" s="28"/>
      <c r="AD121" s="28"/>
    </row>
    <row r="122" ht="30.0" customHeight="1">
      <c r="A122" s="488"/>
      <c r="B122" s="582"/>
      <c r="C122" s="256"/>
      <c r="D122" s="582"/>
      <c r="E122" s="488"/>
      <c r="F122" s="258"/>
      <c r="G122" s="173"/>
      <c r="H122" s="173"/>
      <c r="I122" s="576"/>
      <c r="J122" s="580"/>
      <c r="K122" s="569" t="str">
        <f t="shared" si="1"/>
        <v/>
      </c>
      <c r="L122" s="572"/>
      <c r="M122" s="173"/>
      <c r="N122" s="173"/>
      <c r="O122" s="173"/>
      <c r="P122" s="573"/>
      <c r="Q122" s="573"/>
      <c r="R122" s="173"/>
      <c r="S122" s="173"/>
      <c r="T122" s="173"/>
      <c r="U122" s="173"/>
      <c r="V122" s="173"/>
      <c r="W122" s="574"/>
      <c r="X122" s="575"/>
      <c r="Y122" s="28"/>
      <c r="Z122" s="543" t="str">
        <f t="array" ref="Z122">IF(LEN(AC122),lower(concatenate("bosvendor-",'2-Building'!B$4,"-",INDEX(D:D, MATCH(AC122, J:J, 0)),INDEX(E:E, MATCH(AC122, J:J, 0)))),"")</f>
        <v/>
      </c>
      <c r="AA122" s="28"/>
      <c r="AB122" s="28"/>
      <c r="AC122" s="28"/>
      <c r="AD122" s="28"/>
    </row>
    <row r="123" ht="30.0" customHeight="1">
      <c r="A123" s="488"/>
      <c r="B123" s="582"/>
      <c r="C123" s="256"/>
      <c r="D123" s="582"/>
      <c r="E123" s="488"/>
      <c r="F123" s="258"/>
      <c r="G123" s="173"/>
      <c r="H123" s="173"/>
      <c r="I123" s="576"/>
      <c r="J123" s="580"/>
      <c r="K123" s="569" t="str">
        <f t="shared" si="1"/>
        <v/>
      </c>
      <c r="L123" s="572"/>
      <c r="M123" s="173"/>
      <c r="N123" s="173"/>
      <c r="O123" s="173"/>
      <c r="P123" s="573"/>
      <c r="Q123" s="573"/>
      <c r="R123" s="173"/>
      <c r="S123" s="173"/>
      <c r="T123" s="173"/>
      <c r="U123" s="173"/>
      <c r="V123" s="173"/>
      <c r="W123" s="574"/>
      <c r="X123" s="575"/>
      <c r="Y123" s="28"/>
      <c r="Z123" s="543" t="str">
        <f t="array" ref="Z123">IF(LEN(AC123),lower(concatenate("bosvendor-",'2-Building'!B$4,"-",INDEX(D:D, MATCH(AC123, J:J, 0)),INDEX(E:E, MATCH(AC123, J:J, 0)))),"")</f>
        <v/>
      </c>
      <c r="AA123" s="28"/>
      <c r="AB123" s="28"/>
      <c r="AC123" s="28"/>
      <c r="AD123" s="28"/>
    </row>
    <row r="124" ht="30.0" customHeight="1">
      <c r="A124" s="488"/>
      <c r="B124" s="582"/>
      <c r="C124" s="256"/>
      <c r="D124" s="582"/>
      <c r="E124" s="488"/>
      <c r="F124" s="258"/>
      <c r="G124" s="173"/>
      <c r="H124" s="173"/>
      <c r="I124" s="576"/>
      <c r="J124" s="580"/>
      <c r="K124" s="569" t="str">
        <f t="shared" si="1"/>
        <v/>
      </c>
      <c r="L124" s="572"/>
      <c r="M124" s="173"/>
      <c r="N124" s="173"/>
      <c r="O124" s="173"/>
      <c r="P124" s="573"/>
      <c r="Q124" s="573"/>
      <c r="R124" s="173"/>
      <c r="S124" s="173"/>
      <c r="T124" s="173"/>
      <c r="U124" s="173"/>
      <c r="V124" s="173"/>
      <c r="W124" s="574"/>
      <c r="X124" s="575"/>
      <c r="Y124" s="28"/>
      <c r="Z124" s="543" t="str">
        <f t="array" ref="Z124">IF(LEN(AC124),lower(concatenate("bosvendor-",'2-Building'!B$4,"-",INDEX(D:D, MATCH(AC124, J:J, 0)),INDEX(E:E, MATCH(AC124, J:J, 0)))),"")</f>
        <v/>
      </c>
      <c r="AA124" s="28"/>
      <c r="AB124" s="28"/>
      <c r="AC124" s="28"/>
      <c r="AD124" s="28"/>
    </row>
    <row r="125" ht="30.0" customHeight="1">
      <c r="A125" s="488"/>
      <c r="B125" s="582"/>
      <c r="C125" s="256"/>
      <c r="D125" s="582"/>
      <c r="E125" s="488"/>
      <c r="F125" s="258"/>
      <c r="G125" s="173"/>
      <c r="H125" s="173"/>
      <c r="I125" s="576"/>
      <c r="J125" s="580"/>
      <c r="K125" s="569" t="str">
        <f t="shared" si="1"/>
        <v/>
      </c>
      <c r="L125" s="572"/>
      <c r="M125" s="173"/>
      <c r="N125" s="173"/>
      <c r="O125" s="173"/>
      <c r="P125" s="573"/>
      <c r="Q125" s="573"/>
      <c r="R125" s="173"/>
      <c r="S125" s="173"/>
      <c r="T125" s="173"/>
      <c r="U125" s="173"/>
      <c r="V125" s="173"/>
      <c r="W125" s="574"/>
      <c r="X125" s="575"/>
      <c r="Y125" s="28"/>
      <c r="Z125" s="543" t="str">
        <f t="array" ref="Z125">IF(LEN(AC125),lower(concatenate("bosvendor-",'2-Building'!B$4,"-",INDEX(D:D, MATCH(AC125, J:J, 0)),INDEX(E:E, MATCH(AC125, J:J, 0)))),"")</f>
        <v/>
      </c>
      <c r="AA125" s="28"/>
      <c r="AB125" s="28"/>
      <c r="AC125" s="28"/>
      <c r="AD125" s="28"/>
    </row>
    <row r="126" ht="30.0" customHeight="1">
      <c r="A126" s="488"/>
      <c r="B126" s="582"/>
      <c r="C126" s="256"/>
      <c r="D126" s="582"/>
      <c r="E126" s="488"/>
      <c r="F126" s="258"/>
      <c r="G126" s="173"/>
      <c r="H126" s="173"/>
      <c r="I126" s="576"/>
      <c r="J126" s="580"/>
      <c r="K126" s="569" t="str">
        <f t="shared" si="1"/>
        <v/>
      </c>
      <c r="L126" s="572"/>
      <c r="M126" s="173"/>
      <c r="N126" s="173"/>
      <c r="O126" s="173"/>
      <c r="P126" s="573"/>
      <c r="Q126" s="573"/>
      <c r="R126" s="173"/>
      <c r="S126" s="173"/>
      <c r="T126" s="173"/>
      <c r="U126" s="173"/>
      <c r="V126" s="173"/>
      <c r="W126" s="574"/>
      <c r="X126" s="575"/>
      <c r="Y126" s="28"/>
      <c r="Z126" s="543" t="str">
        <f t="array" ref="Z126">IF(LEN(AC126),lower(concatenate("bosvendor-",'2-Building'!B$4,"-",INDEX(D:D, MATCH(AC126, J:J, 0)),INDEX(E:E, MATCH(AC126, J:J, 0)))),"")</f>
        <v/>
      </c>
      <c r="AA126" s="28"/>
      <c r="AB126" s="28"/>
      <c r="AC126" s="28"/>
      <c r="AD126" s="28"/>
    </row>
    <row r="127" ht="30.0" customHeight="1">
      <c r="A127" s="488"/>
      <c r="B127" s="582"/>
      <c r="C127" s="256"/>
      <c r="D127" s="582"/>
      <c r="E127" s="488"/>
      <c r="F127" s="258"/>
      <c r="G127" s="173"/>
      <c r="H127" s="173"/>
      <c r="I127" s="576"/>
      <c r="J127" s="580"/>
      <c r="K127" s="569" t="str">
        <f t="shared" si="1"/>
        <v/>
      </c>
      <c r="L127" s="572"/>
      <c r="M127" s="173"/>
      <c r="N127" s="173"/>
      <c r="O127" s="173"/>
      <c r="P127" s="573"/>
      <c r="Q127" s="573"/>
      <c r="R127" s="173"/>
      <c r="S127" s="173"/>
      <c r="T127" s="173"/>
      <c r="U127" s="173"/>
      <c r="V127" s="173"/>
      <c r="W127" s="574"/>
      <c r="X127" s="575"/>
      <c r="Y127" s="28"/>
      <c r="Z127" s="543" t="str">
        <f t="array" ref="Z127">IF(LEN(AC127),lower(concatenate("bosvendor-",'2-Building'!B$4,"-",INDEX(D:D, MATCH(AC127, J:J, 0)),INDEX(E:E, MATCH(AC127, J:J, 0)))),"")</f>
        <v/>
      </c>
      <c r="AA127" s="28"/>
      <c r="AB127" s="28"/>
      <c r="AC127" s="28"/>
      <c r="AD127" s="28"/>
    </row>
    <row r="128" ht="30.0" customHeight="1">
      <c r="A128" s="488"/>
      <c r="B128" s="582"/>
      <c r="C128" s="256"/>
      <c r="D128" s="582"/>
      <c r="E128" s="488"/>
      <c r="F128" s="258"/>
      <c r="G128" s="173"/>
      <c r="H128" s="173"/>
      <c r="I128" s="576"/>
      <c r="J128" s="580"/>
      <c r="K128" s="569" t="str">
        <f t="shared" si="1"/>
        <v/>
      </c>
      <c r="L128" s="572"/>
      <c r="M128" s="173"/>
      <c r="N128" s="173"/>
      <c r="O128" s="173"/>
      <c r="P128" s="573"/>
      <c r="Q128" s="573"/>
      <c r="R128" s="173"/>
      <c r="S128" s="173"/>
      <c r="T128" s="173"/>
      <c r="U128" s="173"/>
      <c r="V128" s="173"/>
      <c r="W128" s="574"/>
      <c r="X128" s="575"/>
      <c r="Y128" s="28"/>
      <c r="Z128" s="543" t="str">
        <f t="array" ref="Z128">IF(LEN(AC128),lower(concatenate("bosvendor-",'2-Building'!B$4,"-",INDEX(D:D, MATCH(AC128, J:J, 0)),INDEX(E:E, MATCH(AC128, J:J, 0)))),"")</f>
        <v/>
      </c>
      <c r="AA128" s="28"/>
      <c r="AB128" s="28"/>
      <c r="AC128" s="28"/>
      <c r="AD128" s="28"/>
    </row>
    <row r="129" ht="30.0" customHeight="1">
      <c r="A129" s="488"/>
      <c r="B129" s="582"/>
      <c r="C129" s="256"/>
      <c r="D129" s="582"/>
      <c r="E129" s="488"/>
      <c r="F129" s="258"/>
      <c r="G129" s="173"/>
      <c r="H129" s="173"/>
      <c r="I129" s="576"/>
      <c r="J129" s="580"/>
      <c r="K129" s="569" t="str">
        <f t="shared" si="1"/>
        <v/>
      </c>
      <c r="L129" s="572"/>
      <c r="M129" s="173"/>
      <c r="N129" s="173"/>
      <c r="O129" s="173"/>
      <c r="P129" s="573"/>
      <c r="Q129" s="573"/>
      <c r="R129" s="173"/>
      <c r="S129" s="173"/>
      <c r="T129" s="173"/>
      <c r="U129" s="173"/>
      <c r="V129" s="173"/>
      <c r="W129" s="574"/>
      <c r="X129" s="575"/>
      <c r="Y129" s="28"/>
      <c r="Z129" s="543" t="str">
        <f t="array" ref="Z129">IF(LEN(AC129),lower(concatenate("bosvendor-",'2-Building'!B$4,"-",INDEX(D:D, MATCH(AC129, J:J, 0)),INDEX(E:E, MATCH(AC129, J:J, 0)))),"")</f>
        <v/>
      </c>
      <c r="AA129" s="28"/>
      <c r="AB129" s="28"/>
      <c r="AC129" s="28"/>
      <c r="AD129" s="28"/>
    </row>
    <row r="130" ht="30.0" customHeight="1">
      <c r="A130" s="488"/>
      <c r="B130" s="582"/>
      <c r="C130" s="256"/>
      <c r="D130" s="582"/>
      <c r="E130" s="488"/>
      <c r="F130" s="258"/>
      <c r="G130" s="173"/>
      <c r="H130" s="173"/>
      <c r="I130" s="576"/>
      <c r="J130" s="580"/>
      <c r="K130" s="569" t="str">
        <f t="shared" si="1"/>
        <v/>
      </c>
      <c r="L130" s="572"/>
      <c r="M130" s="173"/>
      <c r="N130" s="173"/>
      <c r="O130" s="173"/>
      <c r="P130" s="573"/>
      <c r="Q130" s="573"/>
      <c r="R130" s="173"/>
      <c r="S130" s="173"/>
      <c r="T130" s="173"/>
      <c r="U130" s="173"/>
      <c r="V130" s="173"/>
      <c r="W130" s="574"/>
      <c r="X130" s="575"/>
      <c r="Y130" s="28"/>
      <c r="Z130" s="543" t="str">
        <f t="array" ref="Z130">IF(LEN(AC130),lower(concatenate("bosvendor-",'2-Building'!B$4,"-",INDEX(D:D, MATCH(AC130, J:J, 0)),INDEX(E:E, MATCH(AC130, J:J, 0)))),"")</f>
        <v/>
      </c>
      <c r="AA130" s="28"/>
      <c r="AB130" s="28"/>
      <c r="AC130" s="28"/>
      <c r="AD130" s="28"/>
    </row>
    <row r="131" ht="30.0" customHeight="1">
      <c r="A131" s="488"/>
      <c r="B131" s="582"/>
      <c r="C131" s="256"/>
      <c r="D131" s="582"/>
      <c r="E131" s="488"/>
      <c r="F131" s="258"/>
      <c r="G131" s="173"/>
      <c r="H131" s="173"/>
      <c r="I131" s="576"/>
      <c r="J131" s="580"/>
      <c r="K131" s="569" t="str">
        <f t="shared" si="1"/>
        <v/>
      </c>
      <c r="L131" s="572"/>
      <c r="M131" s="173"/>
      <c r="N131" s="173"/>
      <c r="O131" s="173"/>
      <c r="P131" s="573"/>
      <c r="Q131" s="573"/>
      <c r="R131" s="173"/>
      <c r="S131" s="173"/>
      <c r="T131" s="173"/>
      <c r="U131" s="173"/>
      <c r="V131" s="173"/>
      <c r="W131" s="574"/>
      <c r="X131" s="575"/>
      <c r="Y131" s="28"/>
      <c r="Z131" s="543" t="str">
        <f t="array" ref="Z131">IF(LEN(AC131),lower(concatenate("bosvendor-",'2-Building'!B$4,"-",INDEX(D:D, MATCH(AC131, J:J, 0)),INDEX(E:E, MATCH(AC131, J:J, 0)))),"")</f>
        <v/>
      </c>
      <c r="AA131" s="28"/>
      <c r="AB131" s="28"/>
      <c r="AC131" s="28"/>
      <c r="AD131" s="28"/>
    </row>
    <row r="132" ht="30.0" customHeight="1">
      <c r="A132" s="488"/>
      <c r="B132" s="582"/>
      <c r="C132" s="256"/>
      <c r="D132" s="582"/>
      <c r="E132" s="488"/>
      <c r="F132" s="258"/>
      <c r="G132" s="173"/>
      <c r="H132" s="173"/>
      <c r="I132" s="576"/>
      <c r="J132" s="580"/>
      <c r="K132" s="569" t="str">
        <f t="shared" si="1"/>
        <v/>
      </c>
      <c r="L132" s="572"/>
      <c r="M132" s="173"/>
      <c r="N132" s="173"/>
      <c r="O132" s="173"/>
      <c r="P132" s="573"/>
      <c r="Q132" s="573"/>
      <c r="R132" s="173"/>
      <c r="S132" s="173"/>
      <c r="T132" s="173"/>
      <c r="U132" s="173"/>
      <c r="V132" s="173"/>
      <c r="W132" s="574"/>
      <c r="X132" s="575"/>
      <c r="Y132" s="28"/>
      <c r="Z132" s="543" t="str">
        <f t="array" ref="Z132">IF(LEN(AC132),lower(concatenate("bosvendor-",'2-Building'!B$4,"-",INDEX(D:D, MATCH(AC132, J:J, 0)),INDEX(E:E, MATCH(AC132, J:J, 0)))),"")</f>
        <v/>
      </c>
      <c r="AA132" s="28"/>
      <c r="AB132" s="28"/>
      <c r="AC132" s="28"/>
      <c r="AD132" s="28"/>
    </row>
    <row r="133" ht="30.0" customHeight="1">
      <c r="A133" s="488"/>
      <c r="B133" s="582"/>
      <c r="C133" s="256"/>
      <c r="D133" s="582"/>
      <c r="E133" s="488"/>
      <c r="F133" s="258"/>
      <c r="G133" s="173"/>
      <c r="H133" s="173"/>
      <c r="I133" s="576"/>
      <c r="J133" s="580"/>
      <c r="K133" s="569" t="str">
        <f t="shared" si="1"/>
        <v/>
      </c>
      <c r="L133" s="572"/>
      <c r="M133" s="173"/>
      <c r="N133" s="173"/>
      <c r="O133" s="173"/>
      <c r="P133" s="573"/>
      <c r="Q133" s="573"/>
      <c r="R133" s="173"/>
      <c r="S133" s="173"/>
      <c r="T133" s="173"/>
      <c r="U133" s="173"/>
      <c r="V133" s="173"/>
      <c r="W133" s="574"/>
      <c r="X133" s="575"/>
      <c r="Y133" s="28"/>
      <c r="Z133" s="543" t="str">
        <f t="array" ref="Z133">IF(LEN(AC133),lower(concatenate("bosvendor-",'2-Building'!B$4,"-",INDEX(D:D, MATCH(AC133, J:J, 0)),INDEX(E:E, MATCH(AC133, J:J, 0)))),"")</f>
        <v/>
      </c>
      <c r="AA133" s="28"/>
      <c r="AB133" s="28"/>
      <c r="AC133" s="28"/>
      <c r="AD133" s="28"/>
    </row>
    <row r="134" ht="30.0" customHeight="1">
      <c r="A134" s="488"/>
      <c r="B134" s="582"/>
      <c r="C134" s="256"/>
      <c r="D134" s="582"/>
      <c r="E134" s="488"/>
      <c r="F134" s="258"/>
      <c r="G134" s="173"/>
      <c r="H134" s="173"/>
      <c r="I134" s="576"/>
      <c r="J134" s="580"/>
      <c r="K134" s="569" t="str">
        <f t="shared" si="1"/>
        <v/>
      </c>
      <c r="L134" s="572"/>
      <c r="M134" s="173"/>
      <c r="N134" s="173"/>
      <c r="O134" s="173"/>
      <c r="P134" s="573"/>
      <c r="Q134" s="573"/>
      <c r="R134" s="173"/>
      <c r="S134" s="173"/>
      <c r="T134" s="173"/>
      <c r="U134" s="173"/>
      <c r="V134" s="173"/>
      <c r="W134" s="574"/>
      <c r="X134" s="575"/>
      <c r="Y134" s="28"/>
      <c r="Z134" s="543" t="str">
        <f t="array" ref="Z134">IF(LEN(AC134),lower(concatenate("bosvendor-",'2-Building'!B$4,"-",INDEX(D:D, MATCH(AC134, J:J, 0)),INDEX(E:E, MATCH(AC134, J:J, 0)))),"")</f>
        <v/>
      </c>
      <c r="AA134" s="28"/>
      <c r="AB134" s="28"/>
      <c r="AC134" s="28"/>
      <c r="AD134" s="28"/>
    </row>
    <row r="135" ht="30.0" customHeight="1">
      <c r="A135" s="488"/>
      <c r="B135" s="582"/>
      <c r="C135" s="256"/>
      <c r="D135" s="582"/>
      <c r="E135" s="488"/>
      <c r="F135" s="258"/>
      <c r="G135" s="173"/>
      <c r="H135" s="173"/>
      <c r="I135" s="576"/>
      <c r="J135" s="580"/>
      <c r="K135" s="569" t="str">
        <f t="shared" si="1"/>
        <v/>
      </c>
      <c r="L135" s="572"/>
      <c r="M135" s="173"/>
      <c r="N135" s="173"/>
      <c r="O135" s="173"/>
      <c r="P135" s="573"/>
      <c r="Q135" s="573"/>
      <c r="R135" s="173"/>
      <c r="S135" s="173"/>
      <c r="T135" s="173"/>
      <c r="U135" s="173"/>
      <c r="V135" s="173"/>
      <c r="W135" s="574"/>
      <c r="X135" s="575"/>
      <c r="Y135" s="28"/>
      <c r="Z135" s="543" t="str">
        <f t="array" ref="Z135">IF(LEN(AC135),lower(concatenate("bosvendor-",'2-Building'!B$4,"-",INDEX(D:D, MATCH(AC135, J:J, 0)),INDEX(E:E, MATCH(AC135, J:J, 0)))),"")</f>
        <v/>
      </c>
      <c r="AA135" s="28"/>
      <c r="AB135" s="28"/>
      <c r="AC135" s="28"/>
      <c r="AD135" s="28"/>
    </row>
    <row r="136" ht="30.0" customHeight="1">
      <c r="A136" s="488"/>
      <c r="B136" s="582"/>
      <c r="C136" s="256"/>
      <c r="D136" s="582"/>
      <c r="E136" s="488"/>
      <c r="F136" s="258"/>
      <c r="G136" s="173"/>
      <c r="H136" s="173"/>
      <c r="I136" s="576"/>
      <c r="J136" s="580"/>
      <c r="K136" s="569" t="str">
        <f t="shared" si="1"/>
        <v/>
      </c>
      <c r="L136" s="572"/>
      <c r="M136" s="173"/>
      <c r="N136" s="173"/>
      <c r="O136" s="173"/>
      <c r="P136" s="573"/>
      <c r="Q136" s="573"/>
      <c r="R136" s="173"/>
      <c r="S136" s="173"/>
      <c r="T136" s="173"/>
      <c r="U136" s="173"/>
      <c r="V136" s="173"/>
      <c r="W136" s="574"/>
      <c r="X136" s="575"/>
      <c r="Y136" s="28"/>
      <c r="Z136" s="543" t="str">
        <f t="array" ref="Z136">IF(LEN(AC136),lower(concatenate("bosvendor-",'2-Building'!B$4,"-",INDEX(D:D, MATCH(AC136, J:J, 0)),INDEX(E:E, MATCH(AC136, J:J, 0)))),"")</f>
        <v/>
      </c>
      <c r="AA136" s="28"/>
      <c r="AB136" s="28"/>
      <c r="AC136" s="28"/>
      <c r="AD136" s="28"/>
    </row>
    <row r="137" ht="30.0" customHeight="1">
      <c r="A137" s="488"/>
      <c r="B137" s="582"/>
      <c r="C137" s="256"/>
      <c r="D137" s="582"/>
      <c r="E137" s="488"/>
      <c r="F137" s="258"/>
      <c r="G137" s="173"/>
      <c r="H137" s="173"/>
      <c r="I137" s="576"/>
      <c r="J137" s="580"/>
      <c r="K137" s="569" t="str">
        <f t="shared" si="1"/>
        <v/>
      </c>
      <c r="L137" s="572"/>
      <c r="M137" s="173"/>
      <c r="N137" s="173"/>
      <c r="O137" s="173"/>
      <c r="P137" s="573"/>
      <c r="Q137" s="573"/>
      <c r="R137" s="173"/>
      <c r="S137" s="173"/>
      <c r="T137" s="173"/>
      <c r="U137" s="173"/>
      <c r="V137" s="173"/>
      <c r="W137" s="574"/>
      <c r="X137" s="575"/>
      <c r="Y137" s="28"/>
      <c r="Z137" s="543" t="str">
        <f t="array" ref="Z137">IF(LEN(AC137),lower(concatenate("bosvendor-",'2-Building'!B$4,"-",INDEX(D:D, MATCH(AC137, J:J, 0)),INDEX(E:E, MATCH(AC137, J:J, 0)))),"")</f>
        <v/>
      </c>
      <c r="AA137" s="28"/>
      <c r="AB137" s="28"/>
      <c r="AC137" s="28"/>
      <c r="AD137" s="28"/>
    </row>
    <row r="138" ht="30.0" customHeight="1">
      <c r="A138" s="488"/>
      <c r="B138" s="582"/>
      <c r="C138" s="256"/>
      <c r="D138" s="582"/>
      <c r="E138" s="488"/>
      <c r="F138" s="258"/>
      <c r="G138" s="173"/>
      <c r="H138" s="173"/>
      <c r="I138" s="576"/>
      <c r="J138" s="580"/>
      <c r="K138" s="569" t="str">
        <f t="shared" si="1"/>
        <v/>
      </c>
      <c r="L138" s="572"/>
      <c r="M138" s="173"/>
      <c r="N138" s="173"/>
      <c r="O138" s="173"/>
      <c r="P138" s="573"/>
      <c r="Q138" s="573"/>
      <c r="R138" s="173"/>
      <c r="S138" s="173"/>
      <c r="T138" s="173"/>
      <c r="U138" s="173"/>
      <c r="V138" s="173"/>
      <c r="W138" s="574"/>
      <c r="X138" s="575"/>
      <c r="Y138" s="28"/>
      <c r="Z138" s="543" t="str">
        <f t="array" ref="Z138">IF(LEN(AC138),lower(concatenate("bosvendor-",'2-Building'!B$4,"-",INDEX(D:D, MATCH(AC138, J:J, 0)),INDEX(E:E, MATCH(AC138, J:J, 0)))),"")</f>
        <v/>
      </c>
      <c r="AA138" s="28"/>
      <c r="AB138" s="28"/>
      <c r="AC138" s="28"/>
      <c r="AD138" s="28"/>
    </row>
    <row r="139" ht="30.0" customHeight="1">
      <c r="A139" s="488"/>
      <c r="B139" s="582"/>
      <c r="C139" s="256"/>
      <c r="D139" s="582"/>
      <c r="E139" s="488"/>
      <c r="F139" s="258"/>
      <c r="G139" s="173"/>
      <c r="H139" s="173"/>
      <c r="I139" s="576"/>
      <c r="J139" s="580"/>
      <c r="K139" s="569" t="str">
        <f t="shared" si="1"/>
        <v/>
      </c>
      <c r="L139" s="572"/>
      <c r="M139" s="173"/>
      <c r="N139" s="173"/>
      <c r="O139" s="173"/>
      <c r="P139" s="573"/>
      <c r="Q139" s="573"/>
      <c r="R139" s="173"/>
      <c r="S139" s="173"/>
      <c r="T139" s="173"/>
      <c r="U139" s="173"/>
      <c r="V139" s="173"/>
      <c r="W139" s="574"/>
      <c r="X139" s="575"/>
      <c r="Y139" s="28"/>
      <c r="Z139" s="543" t="str">
        <f t="array" ref="Z139">IF(LEN(AC139),lower(concatenate("bosvendor-",'2-Building'!B$4,"-",INDEX(D:D, MATCH(AC139, J:J, 0)),INDEX(E:E, MATCH(AC139, J:J, 0)))),"")</f>
        <v/>
      </c>
      <c r="AA139" s="28"/>
      <c r="AB139" s="28"/>
      <c r="AC139" s="28"/>
      <c r="AD139" s="28"/>
    </row>
    <row r="140" ht="30.0" customHeight="1">
      <c r="A140" s="488"/>
      <c r="B140" s="582"/>
      <c r="C140" s="256"/>
      <c r="D140" s="582"/>
      <c r="E140" s="488"/>
      <c r="F140" s="258"/>
      <c r="G140" s="173"/>
      <c r="H140" s="173"/>
      <c r="I140" s="576"/>
      <c r="J140" s="580"/>
      <c r="K140" s="569" t="str">
        <f t="shared" si="1"/>
        <v/>
      </c>
      <c r="L140" s="572"/>
      <c r="M140" s="173"/>
      <c r="N140" s="173"/>
      <c r="O140" s="173"/>
      <c r="P140" s="573"/>
      <c r="Q140" s="573"/>
      <c r="R140" s="173"/>
      <c r="S140" s="173"/>
      <c r="T140" s="173"/>
      <c r="U140" s="173"/>
      <c r="V140" s="173"/>
      <c r="W140" s="574"/>
      <c r="X140" s="575"/>
      <c r="Y140" s="28"/>
      <c r="Z140" s="543" t="str">
        <f t="array" ref="Z140">IF(LEN(AC140),lower(concatenate("bosvendor-",'2-Building'!B$4,"-",INDEX(D:D, MATCH(AC140, J:J, 0)),INDEX(E:E, MATCH(AC140, J:J, 0)))),"")</f>
        <v/>
      </c>
      <c r="AA140" s="28"/>
      <c r="AB140" s="28"/>
      <c r="AC140" s="28"/>
      <c r="AD140" s="28"/>
    </row>
    <row r="141" ht="30.0" customHeight="1">
      <c r="A141" s="488"/>
      <c r="B141" s="582"/>
      <c r="C141" s="256"/>
      <c r="D141" s="582"/>
      <c r="E141" s="488"/>
      <c r="F141" s="258"/>
      <c r="G141" s="173"/>
      <c r="H141" s="173"/>
      <c r="I141" s="576"/>
      <c r="J141" s="580"/>
      <c r="K141" s="569" t="str">
        <f t="shared" si="1"/>
        <v/>
      </c>
      <c r="L141" s="572"/>
      <c r="M141" s="173"/>
      <c r="N141" s="173"/>
      <c r="O141" s="173"/>
      <c r="P141" s="573"/>
      <c r="Q141" s="573"/>
      <c r="R141" s="173"/>
      <c r="S141" s="173"/>
      <c r="T141" s="173"/>
      <c r="U141" s="173"/>
      <c r="V141" s="173"/>
      <c r="W141" s="574"/>
      <c r="X141" s="575"/>
      <c r="Y141" s="28"/>
      <c r="Z141" s="543" t="str">
        <f t="array" ref="Z141">IF(LEN(AC141),lower(concatenate("bosvendor-",'2-Building'!B$4,"-",INDEX(D:D, MATCH(AC141, J:J, 0)),INDEX(E:E, MATCH(AC141, J:J, 0)))),"")</f>
        <v/>
      </c>
      <c r="AA141" s="28"/>
      <c r="AB141" s="28"/>
      <c r="AC141" s="28"/>
      <c r="AD141" s="28"/>
    </row>
    <row r="142" ht="30.0" customHeight="1">
      <c r="A142" s="488"/>
      <c r="B142" s="582"/>
      <c r="C142" s="256"/>
      <c r="D142" s="582"/>
      <c r="E142" s="488"/>
      <c r="F142" s="258"/>
      <c r="G142" s="173"/>
      <c r="H142" s="173"/>
      <c r="I142" s="576"/>
      <c r="J142" s="580"/>
      <c r="K142" s="569" t="str">
        <f t="shared" si="1"/>
        <v/>
      </c>
      <c r="L142" s="572"/>
      <c r="M142" s="173"/>
      <c r="N142" s="173"/>
      <c r="O142" s="173"/>
      <c r="P142" s="573"/>
      <c r="Q142" s="573"/>
      <c r="R142" s="173"/>
      <c r="S142" s="173"/>
      <c r="T142" s="173"/>
      <c r="U142" s="173"/>
      <c r="V142" s="173"/>
      <c r="W142" s="574"/>
      <c r="X142" s="575"/>
      <c r="Y142" s="28"/>
      <c r="Z142" s="543" t="str">
        <f t="array" ref="Z142">IF(LEN(AC142),lower(concatenate("bosvendor-",'2-Building'!B$4,"-",INDEX(D:D, MATCH(AC142, J:J, 0)),INDEX(E:E, MATCH(AC142, J:J, 0)))),"")</f>
        <v/>
      </c>
      <c r="AA142" s="28"/>
      <c r="AB142" s="28"/>
      <c r="AC142" s="28"/>
      <c r="AD142" s="28"/>
    </row>
    <row r="143" ht="30.0" customHeight="1">
      <c r="A143" s="488"/>
      <c r="B143" s="582"/>
      <c r="C143" s="256"/>
      <c r="D143" s="582"/>
      <c r="E143" s="488"/>
      <c r="F143" s="258"/>
      <c r="G143" s="173"/>
      <c r="H143" s="173"/>
      <c r="I143" s="576"/>
      <c r="J143" s="580"/>
      <c r="K143" s="569" t="str">
        <f t="shared" si="1"/>
        <v/>
      </c>
      <c r="L143" s="572"/>
      <c r="M143" s="173"/>
      <c r="N143" s="173"/>
      <c r="O143" s="173"/>
      <c r="P143" s="573"/>
      <c r="Q143" s="573"/>
      <c r="R143" s="173"/>
      <c r="S143" s="173"/>
      <c r="T143" s="173"/>
      <c r="U143" s="173"/>
      <c r="V143" s="173"/>
      <c r="W143" s="574"/>
      <c r="X143" s="575"/>
      <c r="Y143" s="28"/>
      <c r="Z143" s="543" t="str">
        <f t="array" ref="Z143">IF(LEN(AC143),lower(concatenate("bosvendor-",'2-Building'!B$4,"-",INDEX(D:D, MATCH(AC143, J:J, 0)),INDEX(E:E, MATCH(AC143, J:J, 0)))),"")</f>
        <v/>
      </c>
      <c r="AA143" s="28"/>
      <c r="AB143" s="28"/>
      <c r="AC143" s="28"/>
      <c r="AD143" s="28"/>
    </row>
    <row r="144" ht="30.0" customHeight="1">
      <c r="A144" s="488"/>
      <c r="B144" s="582"/>
      <c r="C144" s="256"/>
      <c r="D144" s="582"/>
      <c r="E144" s="488"/>
      <c r="F144" s="258"/>
      <c r="G144" s="173"/>
      <c r="H144" s="173"/>
      <c r="I144" s="576"/>
      <c r="J144" s="580"/>
      <c r="K144" s="569" t="str">
        <f t="shared" si="1"/>
        <v/>
      </c>
      <c r="L144" s="572"/>
      <c r="M144" s="173"/>
      <c r="N144" s="173"/>
      <c r="O144" s="173"/>
      <c r="P144" s="573"/>
      <c r="Q144" s="573"/>
      <c r="R144" s="173"/>
      <c r="S144" s="173"/>
      <c r="T144" s="173"/>
      <c r="U144" s="173"/>
      <c r="V144" s="173"/>
      <c r="W144" s="574"/>
      <c r="X144" s="575"/>
      <c r="Y144" s="28"/>
      <c r="Z144" s="543" t="str">
        <f t="array" ref="Z144">IF(LEN(AC144),lower(concatenate("bosvendor-",'2-Building'!B$4,"-",INDEX(D:D, MATCH(AC144, J:J, 0)),INDEX(E:E, MATCH(AC144, J:J, 0)))),"")</f>
        <v/>
      </c>
      <c r="AA144" s="28"/>
      <c r="AB144" s="28"/>
      <c r="AC144" s="28"/>
      <c r="AD144" s="28"/>
    </row>
    <row r="145" ht="30.0" customHeight="1">
      <c r="A145" s="488"/>
      <c r="B145" s="582"/>
      <c r="C145" s="256"/>
      <c r="D145" s="582"/>
      <c r="E145" s="488"/>
      <c r="F145" s="258"/>
      <c r="G145" s="173"/>
      <c r="H145" s="173"/>
      <c r="I145" s="576"/>
      <c r="J145" s="580"/>
      <c r="K145" s="569" t="str">
        <f t="shared" si="1"/>
        <v/>
      </c>
      <c r="L145" s="572"/>
      <c r="M145" s="173"/>
      <c r="N145" s="173"/>
      <c r="O145" s="173"/>
      <c r="P145" s="573"/>
      <c r="Q145" s="573"/>
      <c r="R145" s="173"/>
      <c r="S145" s="173"/>
      <c r="T145" s="173"/>
      <c r="U145" s="173"/>
      <c r="V145" s="173"/>
      <c r="W145" s="574"/>
      <c r="X145" s="575"/>
      <c r="Y145" s="28"/>
      <c r="Z145" s="543" t="str">
        <f t="array" ref="Z145">IF(LEN(AC145),lower(concatenate("bosvendor-",'2-Building'!B$4,"-",INDEX(D:D, MATCH(AC145, J:J, 0)),INDEX(E:E, MATCH(AC145, J:J, 0)))),"")</f>
        <v/>
      </c>
      <c r="AA145" s="28"/>
      <c r="AB145" s="28"/>
      <c r="AC145" s="28"/>
      <c r="AD145" s="28"/>
    </row>
    <row r="146" ht="30.0" customHeight="1">
      <c r="A146" s="488"/>
      <c r="B146" s="582"/>
      <c r="C146" s="256"/>
      <c r="D146" s="582"/>
      <c r="E146" s="488"/>
      <c r="F146" s="258"/>
      <c r="G146" s="173"/>
      <c r="H146" s="173"/>
      <c r="I146" s="576"/>
      <c r="J146" s="580"/>
      <c r="K146" s="569" t="str">
        <f t="shared" si="1"/>
        <v/>
      </c>
      <c r="L146" s="572"/>
      <c r="M146" s="173"/>
      <c r="N146" s="173"/>
      <c r="O146" s="173"/>
      <c r="P146" s="573"/>
      <c r="Q146" s="573"/>
      <c r="R146" s="173"/>
      <c r="S146" s="173"/>
      <c r="T146" s="173"/>
      <c r="U146" s="173"/>
      <c r="V146" s="173"/>
      <c r="W146" s="574"/>
      <c r="X146" s="575"/>
      <c r="Y146" s="28"/>
      <c r="Z146" s="543" t="str">
        <f t="array" ref="Z146">IF(LEN(AC146),lower(concatenate("bosvendor-",'2-Building'!B$4,"-",INDEX(D:D, MATCH(AC146, J:J, 0)),INDEX(E:E, MATCH(AC146, J:J, 0)))),"")</f>
        <v/>
      </c>
      <c r="AA146" s="28"/>
      <c r="AB146" s="28"/>
      <c r="AC146" s="28"/>
      <c r="AD146" s="28"/>
    </row>
    <row r="147" ht="30.0" customHeight="1">
      <c r="A147" s="488"/>
      <c r="B147" s="582"/>
      <c r="C147" s="256"/>
      <c r="D147" s="582"/>
      <c r="E147" s="488"/>
      <c r="F147" s="258"/>
      <c r="G147" s="173"/>
      <c r="H147" s="173"/>
      <c r="I147" s="576"/>
      <c r="J147" s="580"/>
      <c r="K147" s="569" t="str">
        <f t="shared" si="1"/>
        <v/>
      </c>
      <c r="L147" s="572"/>
      <c r="M147" s="173"/>
      <c r="N147" s="173"/>
      <c r="O147" s="173"/>
      <c r="P147" s="573"/>
      <c r="Q147" s="573"/>
      <c r="R147" s="173"/>
      <c r="S147" s="173"/>
      <c r="T147" s="173"/>
      <c r="U147" s="173"/>
      <c r="V147" s="173"/>
      <c r="W147" s="574"/>
      <c r="X147" s="575"/>
      <c r="Y147" s="28"/>
      <c r="Z147" s="543" t="str">
        <f t="array" ref="Z147">IF(LEN(AC147),lower(concatenate("bosvendor-",'2-Building'!B$4,"-",INDEX(D:D, MATCH(AC147, J:J, 0)),INDEX(E:E, MATCH(AC147, J:J, 0)))),"")</f>
        <v/>
      </c>
      <c r="AA147" s="28"/>
      <c r="AB147" s="28"/>
      <c r="AC147" s="28"/>
      <c r="AD147" s="28"/>
    </row>
    <row r="148" ht="30.0" customHeight="1">
      <c r="A148" s="488"/>
      <c r="B148" s="582"/>
      <c r="C148" s="256"/>
      <c r="D148" s="582"/>
      <c r="E148" s="488"/>
      <c r="F148" s="258"/>
      <c r="G148" s="173"/>
      <c r="H148" s="173"/>
      <c r="I148" s="576"/>
      <c r="J148" s="580"/>
      <c r="K148" s="569" t="str">
        <f t="shared" si="1"/>
        <v/>
      </c>
      <c r="L148" s="572"/>
      <c r="M148" s="173"/>
      <c r="N148" s="173"/>
      <c r="O148" s="173"/>
      <c r="P148" s="573"/>
      <c r="Q148" s="573"/>
      <c r="R148" s="173"/>
      <c r="S148" s="173"/>
      <c r="T148" s="173"/>
      <c r="U148" s="173"/>
      <c r="V148" s="173"/>
      <c r="W148" s="574"/>
      <c r="X148" s="575"/>
      <c r="Y148" s="28"/>
      <c r="Z148" s="543" t="str">
        <f t="array" ref="Z148">IF(LEN(AC148),lower(concatenate("bosvendor-",'2-Building'!B$4,"-",INDEX(D:D, MATCH(AC148, J:J, 0)),INDEX(E:E, MATCH(AC148, J:J, 0)))),"")</f>
        <v/>
      </c>
      <c r="AA148" s="28"/>
      <c r="AB148" s="28"/>
      <c r="AC148" s="28"/>
      <c r="AD148" s="28"/>
    </row>
    <row r="149" ht="30.0" customHeight="1">
      <c r="A149" s="488"/>
      <c r="B149" s="582"/>
      <c r="C149" s="256"/>
      <c r="D149" s="582"/>
      <c r="E149" s="488"/>
      <c r="F149" s="258"/>
      <c r="G149" s="173"/>
      <c r="H149" s="173"/>
      <c r="I149" s="576"/>
      <c r="J149" s="580"/>
      <c r="K149" s="569" t="str">
        <f t="shared" si="1"/>
        <v/>
      </c>
      <c r="L149" s="572"/>
      <c r="M149" s="173"/>
      <c r="N149" s="173"/>
      <c r="O149" s="173"/>
      <c r="P149" s="573"/>
      <c r="Q149" s="573"/>
      <c r="R149" s="173"/>
      <c r="S149" s="173"/>
      <c r="T149" s="173"/>
      <c r="U149" s="173"/>
      <c r="V149" s="173"/>
      <c r="W149" s="574"/>
      <c r="X149" s="575"/>
      <c r="Y149" s="28"/>
      <c r="Z149" s="543" t="str">
        <f t="array" ref="Z149">IF(LEN(AC149),lower(concatenate("bosvendor-",'2-Building'!B$4,"-",INDEX(D:D, MATCH(AC149, J:J, 0)),INDEX(E:E, MATCH(AC149, J:J, 0)))),"")</f>
        <v/>
      </c>
      <c r="AA149" s="28"/>
      <c r="AB149" s="28"/>
      <c r="AC149" s="28"/>
      <c r="AD149" s="28"/>
    </row>
    <row r="150" ht="30.0" customHeight="1">
      <c r="A150" s="488"/>
      <c r="B150" s="582"/>
      <c r="C150" s="256"/>
      <c r="D150" s="582"/>
      <c r="E150" s="488"/>
      <c r="F150" s="258"/>
      <c r="G150" s="173"/>
      <c r="H150" s="173"/>
      <c r="I150" s="576"/>
      <c r="J150" s="580"/>
      <c r="K150" s="569" t="str">
        <f t="shared" si="1"/>
        <v/>
      </c>
      <c r="L150" s="572"/>
      <c r="M150" s="173"/>
      <c r="N150" s="173"/>
      <c r="O150" s="173"/>
      <c r="P150" s="573"/>
      <c r="Q150" s="573"/>
      <c r="R150" s="173"/>
      <c r="S150" s="173"/>
      <c r="T150" s="173"/>
      <c r="U150" s="173"/>
      <c r="V150" s="173"/>
      <c r="W150" s="574"/>
      <c r="X150" s="575"/>
      <c r="Y150" s="28"/>
      <c r="Z150" s="543" t="str">
        <f t="array" ref="Z150">IF(LEN(AC150),lower(concatenate("bosvendor-",'2-Building'!B$4,"-",INDEX(D:D, MATCH(AC150, J:J, 0)),INDEX(E:E, MATCH(AC150, J:J, 0)))),"")</f>
        <v/>
      </c>
      <c r="AA150" s="28"/>
      <c r="AB150" s="28"/>
      <c r="AC150" s="28"/>
      <c r="AD150" s="28"/>
    </row>
    <row r="151" ht="30.0" customHeight="1">
      <c r="A151" s="488"/>
      <c r="B151" s="582"/>
      <c r="C151" s="256"/>
      <c r="D151" s="582"/>
      <c r="E151" s="488"/>
      <c r="F151" s="258"/>
      <c r="G151" s="173"/>
      <c r="H151" s="173"/>
      <c r="I151" s="576"/>
      <c r="J151" s="580"/>
      <c r="K151" s="569" t="str">
        <f t="shared" si="1"/>
        <v/>
      </c>
      <c r="L151" s="572"/>
      <c r="M151" s="173"/>
      <c r="N151" s="173"/>
      <c r="O151" s="173"/>
      <c r="P151" s="573"/>
      <c r="Q151" s="573"/>
      <c r="R151" s="173"/>
      <c r="S151" s="173"/>
      <c r="T151" s="173"/>
      <c r="U151" s="173"/>
      <c r="V151" s="173"/>
      <c r="W151" s="574"/>
      <c r="X151" s="575"/>
      <c r="Y151" s="28"/>
      <c r="Z151" s="543" t="str">
        <f t="array" ref="Z151">IF(LEN(AC151),lower(concatenate("bosvendor-",'2-Building'!B$4,"-",INDEX(D:D, MATCH(AC151, J:J, 0)),INDEX(E:E, MATCH(AC151, J:J, 0)))),"")</f>
        <v/>
      </c>
      <c r="AA151" s="28"/>
      <c r="AB151" s="28"/>
      <c r="AC151" s="28"/>
      <c r="AD151" s="28"/>
    </row>
    <row r="152" ht="30.0" customHeight="1">
      <c r="A152" s="488"/>
      <c r="B152" s="582"/>
      <c r="C152" s="256"/>
      <c r="D152" s="582"/>
      <c r="E152" s="488"/>
      <c r="F152" s="258"/>
      <c r="G152" s="173"/>
      <c r="H152" s="173"/>
      <c r="I152" s="576"/>
      <c r="J152" s="580"/>
      <c r="K152" s="569" t="str">
        <f t="shared" si="1"/>
        <v/>
      </c>
      <c r="L152" s="572"/>
      <c r="M152" s="173"/>
      <c r="N152" s="173"/>
      <c r="O152" s="173"/>
      <c r="P152" s="573"/>
      <c r="Q152" s="573"/>
      <c r="R152" s="173"/>
      <c r="S152" s="173"/>
      <c r="T152" s="173"/>
      <c r="U152" s="173"/>
      <c r="V152" s="173"/>
      <c r="W152" s="574"/>
      <c r="X152" s="575"/>
      <c r="Y152" s="28"/>
      <c r="Z152" s="543" t="str">
        <f t="array" ref="Z152">IF(LEN(AC152),lower(concatenate("bosvendor-",'2-Building'!B$4,"-",INDEX(D:D, MATCH(AC152, J:J, 0)),INDEX(E:E, MATCH(AC152, J:J, 0)))),"")</f>
        <v/>
      </c>
      <c r="AA152" s="28"/>
      <c r="AB152" s="28"/>
      <c r="AC152" s="28"/>
      <c r="AD152" s="28"/>
    </row>
    <row r="153" ht="30.0" customHeight="1">
      <c r="A153" s="488"/>
      <c r="B153" s="582"/>
      <c r="C153" s="256"/>
      <c r="D153" s="582"/>
      <c r="E153" s="488"/>
      <c r="F153" s="258"/>
      <c r="G153" s="173"/>
      <c r="H153" s="173"/>
      <c r="I153" s="576"/>
      <c r="J153" s="580"/>
      <c r="K153" s="569" t="str">
        <f t="shared" si="1"/>
        <v/>
      </c>
      <c r="L153" s="572"/>
      <c r="M153" s="173"/>
      <c r="N153" s="173"/>
      <c r="O153" s="173"/>
      <c r="P153" s="573"/>
      <c r="Q153" s="573"/>
      <c r="R153" s="173"/>
      <c r="S153" s="173"/>
      <c r="T153" s="173"/>
      <c r="U153" s="173"/>
      <c r="V153" s="173"/>
      <c r="W153" s="574"/>
      <c r="X153" s="575"/>
      <c r="Y153" s="28"/>
      <c r="Z153" s="543" t="str">
        <f t="array" ref="Z153">IF(LEN(AC153),lower(concatenate("bosvendor-",'2-Building'!B$4,"-",INDEX(D:D, MATCH(AC153, J:J, 0)),INDEX(E:E, MATCH(AC153, J:J, 0)))),"")</f>
        <v/>
      </c>
      <c r="AA153" s="28"/>
      <c r="AB153" s="28"/>
      <c r="AC153" s="28"/>
      <c r="AD153" s="28"/>
    </row>
    <row r="154" ht="30.0" customHeight="1">
      <c r="A154" s="488"/>
      <c r="B154" s="582"/>
      <c r="C154" s="256"/>
      <c r="D154" s="582"/>
      <c r="E154" s="488"/>
      <c r="F154" s="258"/>
      <c r="G154" s="173"/>
      <c r="H154" s="173"/>
      <c r="I154" s="576"/>
      <c r="J154" s="580"/>
      <c r="K154" s="569" t="str">
        <f t="shared" si="1"/>
        <v/>
      </c>
      <c r="L154" s="572"/>
      <c r="M154" s="173"/>
      <c r="N154" s="173"/>
      <c r="O154" s="173"/>
      <c r="P154" s="573"/>
      <c r="Q154" s="573"/>
      <c r="R154" s="173"/>
      <c r="S154" s="173"/>
      <c r="T154" s="173"/>
      <c r="U154" s="173"/>
      <c r="V154" s="173"/>
      <c r="W154" s="574"/>
      <c r="X154" s="575"/>
      <c r="Y154" s="28"/>
      <c r="Z154" s="543" t="str">
        <f t="array" ref="Z154">IF(LEN(AC154),lower(concatenate("bosvendor-",'2-Building'!B$4,"-",INDEX(D:D, MATCH(AC154, J:J, 0)),INDEX(E:E, MATCH(AC154, J:J, 0)))),"")</f>
        <v/>
      </c>
      <c r="AA154" s="28"/>
      <c r="AB154" s="28"/>
      <c r="AC154" s="28"/>
      <c r="AD154" s="28"/>
    </row>
    <row r="155" ht="30.0" customHeight="1">
      <c r="A155" s="488"/>
      <c r="B155" s="582"/>
      <c r="C155" s="256"/>
      <c r="D155" s="582"/>
      <c r="E155" s="488"/>
      <c r="F155" s="258"/>
      <c r="G155" s="173"/>
      <c r="H155" s="173"/>
      <c r="I155" s="576"/>
      <c r="J155" s="580"/>
      <c r="K155" s="569" t="str">
        <f t="shared" si="1"/>
        <v/>
      </c>
      <c r="L155" s="572"/>
      <c r="M155" s="173"/>
      <c r="N155" s="173"/>
      <c r="O155" s="173"/>
      <c r="P155" s="573"/>
      <c r="Q155" s="573"/>
      <c r="R155" s="173"/>
      <c r="S155" s="173"/>
      <c r="T155" s="173"/>
      <c r="U155" s="173"/>
      <c r="V155" s="173"/>
      <c r="W155" s="574"/>
      <c r="X155" s="575"/>
      <c r="Y155" s="28"/>
      <c r="Z155" s="543" t="str">
        <f t="array" ref="Z155">IF(LEN(AC155),lower(concatenate("bosvendor-",'2-Building'!B$4,"-",INDEX(D:D, MATCH(AC155, J:J, 0)),INDEX(E:E, MATCH(AC155, J:J, 0)))),"")</f>
        <v/>
      </c>
      <c r="AA155" s="28"/>
      <c r="AB155" s="28"/>
      <c r="AC155" s="28"/>
      <c r="AD155" s="28"/>
    </row>
    <row r="156" ht="30.0" customHeight="1">
      <c r="A156" s="488"/>
      <c r="B156" s="582"/>
      <c r="C156" s="256"/>
      <c r="D156" s="582"/>
      <c r="E156" s="488"/>
      <c r="F156" s="258"/>
      <c r="G156" s="173"/>
      <c r="H156" s="173"/>
      <c r="I156" s="576"/>
      <c r="J156" s="580"/>
      <c r="K156" s="569" t="str">
        <f t="shared" si="1"/>
        <v/>
      </c>
      <c r="L156" s="572"/>
      <c r="M156" s="173"/>
      <c r="N156" s="173"/>
      <c r="O156" s="173"/>
      <c r="P156" s="573"/>
      <c r="Q156" s="573"/>
      <c r="R156" s="173"/>
      <c r="S156" s="173"/>
      <c r="T156" s="173"/>
      <c r="U156" s="173"/>
      <c r="V156" s="173"/>
      <c r="W156" s="574"/>
      <c r="X156" s="575"/>
      <c r="Y156" s="28"/>
      <c r="Z156" s="543" t="str">
        <f t="array" ref="Z156">IF(LEN(AC156),lower(concatenate("bosvendor-",'2-Building'!B$4,"-",INDEX(D:D, MATCH(AC156, J:J, 0)),INDEX(E:E, MATCH(AC156, J:J, 0)))),"")</f>
        <v/>
      </c>
      <c r="AA156" s="28"/>
      <c r="AB156" s="28"/>
      <c r="AC156" s="28"/>
      <c r="AD156" s="28"/>
    </row>
    <row r="157" ht="30.0" customHeight="1">
      <c r="A157" s="488"/>
      <c r="B157" s="582"/>
      <c r="C157" s="256"/>
      <c r="D157" s="582"/>
      <c r="E157" s="488"/>
      <c r="F157" s="258"/>
      <c r="G157" s="173"/>
      <c r="H157" s="173"/>
      <c r="I157" s="576"/>
      <c r="J157" s="580"/>
      <c r="K157" s="569" t="str">
        <f t="shared" si="1"/>
        <v/>
      </c>
      <c r="L157" s="572"/>
      <c r="M157" s="173"/>
      <c r="N157" s="173"/>
      <c r="O157" s="173"/>
      <c r="P157" s="573"/>
      <c r="Q157" s="573"/>
      <c r="R157" s="173"/>
      <c r="S157" s="173"/>
      <c r="T157" s="173"/>
      <c r="U157" s="173"/>
      <c r="V157" s="173"/>
      <c r="W157" s="574"/>
      <c r="X157" s="575"/>
      <c r="Y157" s="28"/>
      <c r="Z157" s="543" t="str">
        <f t="array" ref="Z157">IF(LEN(AC157),lower(concatenate("bosvendor-",'2-Building'!B$4,"-",INDEX(D:D, MATCH(AC157, J:J, 0)),INDEX(E:E, MATCH(AC157, J:J, 0)))),"")</f>
        <v/>
      </c>
      <c r="AA157" s="28"/>
      <c r="AB157" s="28"/>
      <c r="AC157" s="28"/>
      <c r="AD157" s="28"/>
    </row>
    <row r="158" ht="30.0" customHeight="1">
      <c r="A158" s="488"/>
      <c r="B158" s="582"/>
      <c r="C158" s="256"/>
      <c r="D158" s="582"/>
      <c r="E158" s="488"/>
      <c r="F158" s="258"/>
      <c r="G158" s="173"/>
      <c r="H158" s="173"/>
      <c r="I158" s="576"/>
      <c r="J158" s="580"/>
      <c r="K158" s="569" t="str">
        <f t="shared" si="1"/>
        <v/>
      </c>
      <c r="L158" s="572"/>
      <c r="M158" s="173"/>
      <c r="N158" s="173"/>
      <c r="O158" s="173"/>
      <c r="P158" s="573"/>
      <c r="Q158" s="573"/>
      <c r="R158" s="173"/>
      <c r="S158" s="173"/>
      <c r="T158" s="173"/>
      <c r="U158" s="173"/>
      <c r="V158" s="173"/>
      <c r="W158" s="574"/>
      <c r="X158" s="575"/>
      <c r="Y158" s="28"/>
      <c r="Z158" s="543" t="str">
        <f t="array" ref="Z158">IF(LEN(AC158),lower(concatenate("bosvendor-",'2-Building'!B$4,"-",INDEX(D:D, MATCH(AC158, J:J, 0)),INDEX(E:E, MATCH(AC158, J:J, 0)))),"")</f>
        <v/>
      </c>
      <c r="AA158" s="28"/>
      <c r="AB158" s="28"/>
      <c r="AC158" s="28"/>
      <c r="AD158" s="28"/>
    </row>
    <row r="159" ht="30.0" customHeight="1">
      <c r="A159" s="488"/>
      <c r="B159" s="582"/>
      <c r="C159" s="256"/>
      <c r="D159" s="582"/>
      <c r="E159" s="488"/>
      <c r="F159" s="258"/>
      <c r="G159" s="173"/>
      <c r="H159" s="173"/>
      <c r="I159" s="576"/>
      <c r="J159" s="580"/>
      <c r="K159" s="569" t="str">
        <f t="shared" si="1"/>
        <v/>
      </c>
      <c r="L159" s="572"/>
      <c r="M159" s="173"/>
      <c r="N159" s="173"/>
      <c r="O159" s="173"/>
      <c r="P159" s="573"/>
      <c r="Q159" s="573"/>
      <c r="R159" s="173"/>
      <c r="S159" s="173"/>
      <c r="T159" s="173"/>
      <c r="U159" s="173"/>
      <c r="V159" s="173"/>
      <c r="W159" s="574"/>
      <c r="X159" s="575"/>
      <c r="Y159" s="28"/>
      <c r="Z159" s="543" t="str">
        <f t="array" ref="Z159">IF(LEN(AC159),lower(concatenate("bosvendor-",'2-Building'!B$4,"-",INDEX(D:D, MATCH(AC159, J:J, 0)),INDEX(E:E, MATCH(AC159, J:J, 0)))),"")</f>
        <v/>
      </c>
      <c r="AA159" s="28"/>
      <c r="AB159" s="28"/>
      <c r="AC159" s="28"/>
      <c r="AD159" s="28"/>
    </row>
    <row r="160" ht="30.0" customHeight="1">
      <c r="A160" s="488"/>
      <c r="B160" s="582"/>
      <c r="C160" s="256"/>
      <c r="D160" s="582"/>
      <c r="E160" s="488"/>
      <c r="F160" s="258"/>
      <c r="G160" s="173"/>
      <c r="H160" s="173"/>
      <c r="I160" s="576"/>
      <c r="J160" s="580"/>
      <c r="K160" s="569" t="str">
        <f t="shared" si="1"/>
        <v/>
      </c>
      <c r="L160" s="572"/>
      <c r="M160" s="173"/>
      <c r="N160" s="173"/>
      <c r="O160" s="173"/>
      <c r="P160" s="573"/>
      <c r="Q160" s="573"/>
      <c r="R160" s="173"/>
      <c r="S160" s="173"/>
      <c r="T160" s="173"/>
      <c r="U160" s="173"/>
      <c r="V160" s="173"/>
      <c r="W160" s="574"/>
      <c r="X160" s="575"/>
      <c r="Y160" s="28"/>
      <c r="Z160" s="543" t="str">
        <f t="array" ref="Z160">IF(LEN(AC160),lower(concatenate("bosvendor-",'2-Building'!B$4,"-",INDEX(D:D, MATCH(AC160, J:J, 0)),INDEX(E:E, MATCH(AC160, J:J, 0)))),"")</f>
        <v/>
      </c>
      <c r="AA160" s="28"/>
      <c r="AB160" s="28"/>
      <c r="AC160" s="28"/>
      <c r="AD160" s="28"/>
    </row>
    <row r="161" ht="30.0" customHeight="1">
      <c r="A161" s="488"/>
      <c r="B161" s="582"/>
      <c r="C161" s="256"/>
      <c r="D161" s="582"/>
      <c r="E161" s="488"/>
      <c r="F161" s="258"/>
      <c r="G161" s="173"/>
      <c r="H161" s="173"/>
      <c r="I161" s="576"/>
      <c r="J161" s="580"/>
      <c r="K161" s="569" t="str">
        <f t="shared" si="1"/>
        <v/>
      </c>
      <c r="L161" s="572"/>
      <c r="M161" s="173"/>
      <c r="N161" s="173"/>
      <c r="O161" s="173"/>
      <c r="P161" s="573"/>
      <c r="Q161" s="573"/>
      <c r="R161" s="173"/>
      <c r="S161" s="173"/>
      <c r="T161" s="173"/>
      <c r="U161" s="173"/>
      <c r="V161" s="173"/>
      <c r="W161" s="574"/>
      <c r="X161" s="575"/>
      <c r="Y161" s="28"/>
      <c r="Z161" s="543" t="str">
        <f t="array" ref="Z161">IF(LEN(AC161),lower(concatenate("bosvendor-",'2-Building'!B$4,"-",INDEX(D:D, MATCH(AC161, J:J, 0)),INDEX(E:E, MATCH(AC161, J:J, 0)))),"")</f>
        <v/>
      </c>
      <c r="AA161" s="28"/>
      <c r="AB161" s="28"/>
      <c r="AC161" s="28"/>
      <c r="AD161" s="28"/>
    </row>
    <row r="162" ht="30.0" customHeight="1">
      <c r="A162" s="488"/>
      <c r="B162" s="582"/>
      <c r="C162" s="256"/>
      <c r="D162" s="582"/>
      <c r="E162" s="488"/>
      <c r="F162" s="258"/>
      <c r="G162" s="173"/>
      <c r="H162" s="173"/>
      <c r="I162" s="576"/>
      <c r="J162" s="580"/>
      <c r="K162" s="569" t="str">
        <f t="shared" si="1"/>
        <v/>
      </c>
      <c r="L162" s="572"/>
      <c r="M162" s="173"/>
      <c r="N162" s="173"/>
      <c r="O162" s="173"/>
      <c r="P162" s="573"/>
      <c r="Q162" s="573"/>
      <c r="R162" s="173"/>
      <c r="S162" s="173"/>
      <c r="T162" s="173"/>
      <c r="U162" s="173"/>
      <c r="V162" s="173"/>
      <c r="W162" s="574"/>
      <c r="X162" s="575"/>
      <c r="Y162" s="28"/>
      <c r="Z162" s="543" t="str">
        <f t="array" ref="Z162">IF(LEN(AC162),lower(concatenate("bosvendor-",'2-Building'!B$4,"-",INDEX(D:D, MATCH(AC162, J:J, 0)),INDEX(E:E, MATCH(AC162, J:J, 0)))),"")</f>
        <v/>
      </c>
      <c r="AA162" s="28"/>
      <c r="AB162" s="28"/>
      <c r="AC162" s="28"/>
      <c r="AD162" s="28"/>
    </row>
    <row r="163" ht="30.0" customHeight="1">
      <c r="A163" s="488"/>
      <c r="B163" s="582"/>
      <c r="C163" s="256"/>
      <c r="D163" s="582"/>
      <c r="E163" s="488"/>
      <c r="F163" s="258"/>
      <c r="G163" s="173"/>
      <c r="H163" s="173"/>
      <c r="I163" s="576"/>
      <c r="J163" s="580"/>
      <c r="K163" s="569" t="str">
        <f t="shared" si="1"/>
        <v/>
      </c>
      <c r="L163" s="572"/>
      <c r="M163" s="173"/>
      <c r="N163" s="173"/>
      <c r="O163" s="173"/>
      <c r="P163" s="573"/>
      <c r="Q163" s="573"/>
      <c r="R163" s="173"/>
      <c r="S163" s="173"/>
      <c r="T163" s="173"/>
      <c r="U163" s="173"/>
      <c r="V163" s="173"/>
      <c r="W163" s="574"/>
      <c r="X163" s="575"/>
      <c r="Y163" s="28"/>
      <c r="Z163" s="543" t="str">
        <f t="array" ref="Z163">IF(LEN(AC163),lower(concatenate("bosvendor-",'2-Building'!B$4,"-",INDEX(D:D, MATCH(AC163, J:J, 0)),INDEX(E:E, MATCH(AC163, J:J, 0)))),"")</f>
        <v/>
      </c>
      <c r="AA163" s="28"/>
      <c r="AB163" s="28"/>
      <c r="AC163" s="28"/>
      <c r="AD163" s="28"/>
    </row>
    <row r="164" ht="30.0" customHeight="1">
      <c r="A164" s="488"/>
      <c r="B164" s="582"/>
      <c r="C164" s="256"/>
      <c r="D164" s="582"/>
      <c r="E164" s="488"/>
      <c r="F164" s="258"/>
      <c r="G164" s="173"/>
      <c r="H164" s="173"/>
      <c r="I164" s="576"/>
      <c r="J164" s="580"/>
      <c r="K164" s="569" t="str">
        <f t="shared" si="1"/>
        <v/>
      </c>
      <c r="L164" s="572"/>
      <c r="M164" s="173"/>
      <c r="N164" s="173"/>
      <c r="O164" s="173"/>
      <c r="P164" s="573"/>
      <c r="Q164" s="573"/>
      <c r="R164" s="173"/>
      <c r="S164" s="173"/>
      <c r="T164" s="173"/>
      <c r="U164" s="173"/>
      <c r="V164" s="173"/>
      <c r="W164" s="574"/>
      <c r="X164" s="575"/>
      <c r="Y164" s="28"/>
      <c r="Z164" s="543" t="str">
        <f t="array" ref="Z164">IF(LEN(AC164),lower(concatenate("bosvendor-",'2-Building'!B$4,"-",INDEX(D:D, MATCH(AC164, J:J, 0)),INDEX(E:E, MATCH(AC164, J:J, 0)))),"")</f>
        <v/>
      </c>
      <c r="AA164" s="28"/>
      <c r="AB164" s="28"/>
      <c r="AC164" s="28"/>
      <c r="AD164" s="28"/>
    </row>
    <row r="165" ht="30.0" customHeight="1">
      <c r="A165" s="488"/>
      <c r="B165" s="582"/>
      <c r="C165" s="256"/>
      <c r="D165" s="582"/>
      <c r="E165" s="488"/>
      <c r="F165" s="258"/>
      <c r="G165" s="173"/>
      <c r="H165" s="173"/>
      <c r="I165" s="576"/>
      <c r="J165" s="580"/>
      <c r="K165" s="569" t="str">
        <f t="shared" si="1"/>
        <v/>
      </c>
      <c r="L165" s="572"/>
      <c r="M165" s="173"/>
      <c r="N165" s="173"/>
      <c r="O165" s="173"/>
      <c r="P165" s="573"/>
      <c r="Q165" s="573"/>
      <c r="R165" s="173"/>
      <c r="S165" s="173"/>
      <c r="T165" s="173"/>
      <c r="U165" s="173"/>
      <c r="V165" s="173"/>
      <c r="W165" s="574"/>
      <c r="X165" s="575"/>
      <c r="Y165" s="28"/>
      <c r="Z165" s="543" t="str">
        <f t="array" ref="Z165">IF(LEN(AC165),lower(concatenate("bosvendor-",'2-Building'!B$4,"-",INDEX(D:D, MATCH(AC165, J:J, 0)),INDEX(E:E, MATCH(AC165, J:J, 0)))),"")</f>
        <v/>
      </c>
      <c r="AA165" s="28"/>
      <c r="AB165" s="28"/>
      <c r="AC165" s="28"/>
      <c r="AD165" s="28"/>
    </row>
    <row r="166" ht="30.0" customHeight="1">
      <c r="A166" s="488"/>
      <c r="B166" s="582"/>
      <c r="C166" s="256"/>
      <c r="D166" s="582"/>
      <c r="E166" s="488"/>
      <c r="F166" s="258"/>
      <c r="G166" s="173"/>
      <c r="H166" s="173"/>
      <c r="I166" s="576"/>
      <c r="J166" s="580"/>
      <c r="K166" s="569" t="str">
        <f t="shared" si="1"/>
        <v/>
      </c>
      <c r="L166" s="572"/>
      <c r="M166" s="173"/>
      <c r="N166" s="173"/>
      <c r="O166" s="173"/>
      <c r="P166" s="573"/>
      <c r="Q166" s="573"/>
      <c r="R166" s="173"/>
      <c r="S166" s="173"/>
      <c r="T166" s="173"/>
      <c r="U166" s="173"/>
      <c r="V166" s="173"/>
      <c r="W166" s="574"/>
      <c r="X166" s="575"/>
      <c r="Y166" s="28"/>
      <c r="Z166" s="543" t="str">
        <f t="array" ref="Z166">IF(LEN(AC166),lower(concatenate("bosvendor-",'2-Building'!B$4,"-",INDEX(D:D, MATCH(AC166, J:J, 0)),INDEX(E:E, MATCH(AC166, J:J, 0)))),"")</f>
        <v/>
      </c>
      <c r="AA166" s="28"/>
      <c r="AB166" s="28"/>
      <c r="AC166" s="28"/>
      <c r="AD166" s="28"/>
    </row>
    <row r="167" ht="30.0" customHeight="1">
      <c r="A167" s="488"/>
      <c r="B167" s="582"/>
      <c r="C167" s="256"/>
      <c r="D167" s="582"/>
      <c r="E167" s="488"/>
      <c r="F167" s="258"/>
      <c r="G167" s="173"/>
      <c r="H167" s="173"/>
      <c r="I167" s="576"/>
      <c r="J167" s="580"/>
      <c r="K167" s="569" t="str">
        <f t="shared" si="1"/>
        <v/>
      </c>
      <c r="L167" s="572"/>
      <c r="M167" s="173"/>
      <c r="N167" s="173"/>
      <c r="O167" s="173"/>
      <c r="P167" s="573"/>
      <c r="Q167" s="573"/>
      <c r="R167" s="173"/>
      <c r="S167" s="173"/>
      <c r="T167" s="173"/>
      <c r="U167" s="173"/>
      <c r="V167" s="173"/>
      <c r="W167" s="574"/>
      <c r="X167" s="575"/>
      <c r="Y167" s="28"/>
      <c r="Z167" s="543" t="str">
        <f t="array" ref="Z167">IF(LEN(AC167),lower(concatenate("bosvendor-",'2-Building'!B$4,"-",INDEX(D:D, MATCH(AC167, J:J, 0)),INDEX(E:E, MATCH(AC167, J:J, 0)))),"")</f>
        <v/>
      </c>
      <c r="AA167" s="28"/>
      <c r="AB167" s="28"/>
      <c r="AC167" s="28"/>
      <c r="AD167" s="28"/>
    </row>
    <row r="168" ht="30.0" customHeight="1">
      <c r="A168" s="488"/>
      <c r="B168" s="582"/>
      <c r="C168" s="256"/>
      <c r="D168" s="582"/>
      <c r="E168" s="488"/>
      <c r="F168" s="258"/>
      <c r="G168" s="173"/>
      <c r="H168" s="173"/>
      <c r="I168" s="576"/>
      <c r="J168" s="580"/>
      <c r="K168" s="569" t="str">
        <f t="shared" si="1"/>
        <v/>
      </c>
      <c r="L168" s="572"/>
      <c r="M168" s="173"/>
      <c r="N168" s="173"/>
      <c r="O168" s="173"/>
      <c r="P168" s="573"/>
      <c r="Q168" s="573"/>
      <c r="R168" s="173"/>
      <c r="S168" s="173"/>
      <c r="T168" s="173"/>
      <c r="U168" s="173"/>
      <c r="V168" s="173"/>
      <c r="W168" s="574"/>
      <c r="X168" s="575"/>
      <c r="Y168" s="28"/>
      <c r="Z168" s="543" t="str">
        <f t="array" ref="Z168">IF(LEN(AC168),lower(concatenate("bosvendor-",'2-Building'!B$4,"-",INDEX(D:D, MATCH(AC168, J:J, 0)),INDEX(E:E, MATCH(AC168, J:J, 0)))),"")</f>
        <v/>
      </c>
      <c r="AA168" s="28"/>
      <c r="AB168" s="28"/>
      <c r="AC168" s="28"/>
      <c r="AD168" s="28"/>
    </row>
    <row r="169" ht="30.0" customHeight="1">
      <c r="A169" s="488"/>
      <c r="B169" s="582"/>
      <c r="C169" s="256"/>
      <c r="D169" s="582"/>
      <c r="E169" s="488"/>
      <c r="F169" s="258"/>
      <c r="G169" s="173"/>
      <c r="H169" s="173"/>
      <c r="I169" s="576"/>
      <c r="J169" s="580"/>
      <c r="K169" s="569" t="str">
        <f t="shared" si="1"/>
        <v/>
      </c>
      <c r="L169" s="572"/>
      <c r="M169" s="173"/>
      <c r="N169" s="173"/>
      <c r="O169" s="173"/>
      <c r="P169" s="573"/>
      <c r="Q169" s="573"/>
      <c r="R169" s="173"/>
      <c r="S169" s="173"/>
      <c r="T169" s="173"/>
      <c r="U169" s="173"/>
      <c r="V169" s="173"/>
      <c r="W169" s="574"/>
      <c r="X169" s="575"/>
      <c r="Y169" s="28"/>
      <c r="Z169" s="543" t="str">
        <f t="array" ref="Z169">IF(LEN(AC169),lower(concatenate("bosvendor-",'2-Building'!B$4,"-",INDEX(D:D, MATCH(AC169, J:J, 0)),INDEX(E:E, MATCH(AC169, J:J, 0)))),"")</f>
        <v/>
      </c>
      <c r="AA169" s="28"/>
      <c r="AB169" s="28"/>
      <c r="AC169" s="28"/>
      <c r="AD169" s="28"/>
    </row>
    <row r="170" ht="30.0" customHeight="1">
      <c r="A170" s="488"/>
      <c r="B170" s="582"/>
      <c r="C170" s="256"/>
      <c r="D170" s="582"/>
      <c r="E170" s="488"/>
      <c r="F170" s="258"/>
      <c r="G170" s="173"/>
      <c r="H170" s="173"/>
      <c r="I170" s="576"/>
      <c r="J170" s="580"/>
      <c r="K170" s="569" t="str">
        <f t="shared" si="1"/>
        <v/>
      </c>
      <c r="L170" s="572"/>
      <c r="M170" s="173"/>
      <c r="N170" s="173"/>
      <c r="O170" s="173"/>
      <c r="P170" s="573"/>
      <c r="Q170" s="573"/>
      <c r="R170" s="173"/>
      <c r="S170" s="173"/>
      <c r="T170" s="173"/>
      <c r="U170" s="173"/>
      <c r="V170" s="173"/>
      <c r="W170" s="574"/>
      <c r="X170" s="575"/>
      <c r="Y170" s="28"/>
      <c r="Z170" s="543" t="str">
        <f t="array" ref="Z170">IF(LEN(AC170),lower(concatenate("bosvendor-",'2-Building'!B$4,"-",INDEX(D:D, MATCH(AC170, J:J, 0)),INDEX(E:E, MATCH(AC170, J:J, 0)))),"")</f>
        <v/>
      </c>
      <c r="AA170" s="28"/>
      <c r="AB170" s="28"/>
      <c r="AC170" s="28"/>
      <c r="AD170" s="28"/>
    </row>
    <row r="171" ht="30.0" customHeight="1">
      <c r="A171" s="488"/>
      <c r="B171" s="582"/>
      <c r="C171" s="256"/>
      <c r="D171" s="582"/>
      <c r="E171" s="488"/>
      <c r="F171" s="258"/>
      <c r="G171" s="173"/>
      <c r="H171" s="173"/>
      <c r="I171" s="576"/>
      <c r="J171" s="580"/>
      <c r="K171" s="569" t="str">
        <f t="shared" si="1"/>
        <v/>
      </c>
      <c r="L171" s="572"/>
      <c r="M171" s="173"/>
      <c r="N171" s="173"/>
      <c r="O171" s="173"/>
      <c r="P171" s="573"/>
      <c r="Q171" s="573"/>
      <c r="R171" s="173"/>
      <c r="S171" s="173"/>
      <c r="T171" s="173"/>
      <c r="U171" s="173"/>
      <c r="V171" s="173"/>
      <c r="W171" s="574"/>
      <c r="X171" s="575"/>
      <c r="Y171" s="28"/>
      <c r="Z171" s="543" t="str">
        <f t="array" ref="Z171">IF(LEN(AC171),lower(concatenate("bosvendor-",'2-Building'!B$4,"-",INDEX(D:D, MATCH(AC171, J:J, 0)),INDEX(E:E, MATCH(AC171, J:J, 0)))),"")</f>
        <v/>
      </c>
      <c r="AA171" s="28"/>
      <c r="AB171" s="28"/>
      <c r="AC171" s="28"/>
      <c r="AD171" s="28"/>
    </row>
    <row r="172" ht="30.0" customHeight="1">
      <c r="A172" s="488"/>
      <c r="B172" s="582"/>
      <c r="C172" s="256"/>
      <c r="D172" s="582"/>
      <c r="E172" s="488"/>
      <c r="F172" s="258"/>
      <c r="G172" s="173"/>
      <c r="H172" s="173"/>
      <c r="I172" s="576"/>
      <c r="J172" s="580"/>
      <c r="K172" s="569" t="str">
        <f t="shared" si="1"/>
        <v/>
      </c>
      <c r="L172" s="572"/>
      <c r="M172" s="173"/>
      <c r="N172" s="173"/>
      <c r="O172" s="173"/>
      <c r="P172" s="573"/>
      <c r="Q172" s="573"/>
      <c r="R172" s="173"/>
      <c r="S172" s="173"/>
      <c r="T172" s="173"/>
      <c r="U172" s="173"/>
      <c r="V172" s="173"/>
      <c r="W172" s="574"/>
      <c r="X172" s="575"/>
      <c r="Y172" s="28"/>
      <c r="Z172" s="543" t="str">
        <f t="array" ref="Z172">IF(LEN(AC172),lower(concatenate("bosvendor-",'2-Building'!B$4,"-",INDEX(D:D, MATCH(AC172, J:J, 0)),INDEX(E:E, MATCH(AC172, J:J, 0)))),"")</f>
        <v/>
      </c>
      <c r="AA172" s="28"/>
      <c r="AB172" s="28"/>
      <c r="AC172" s="28"/>
      <c r="AD172" s="28"/>
    </row>
    <row r="173" ht="30.0" customHeight="1">
      <c r="A173" s="488"/>
      <c r="B173" s="582"/>
      <c r="C173" s="256"/>
      <c r="D173" s="582"/>
      <c r="E173" s="488"/>
      <c r="F173" s="258"/>
      <c r="G173" s="173"/>
      <c r="H173" s="173"/>
      <c r="I173" s="576"/>
      <c r="J173" s="580"/>
      <c r="K173" s="569" t="str">
        <f t="shared" si="1"/>
        <v/>
      </c>
      <c r="L173" s="572"/>
      <c r="M173" s="173"/>
      <c r="N173" s="173"/>
      <c r="O173" s="173"/>
      <c r="P173" s="573"/>
      <c r="Q173" s="573"/>
      <c r="R173" s="173"/>
      <c r="S173" s="173"/>
      <c r="T173" s="173"/>
      <c r="U173" s="173"/>
      <c r="V173" s="173"/>
      <c r="W173" s="574"/>
      <c r="X173" s="575"/>
      <c r="Y173" s="28"/>
      <c r="Z173" s="543" t="str">
        <f t="array" ref="Z173">IF(LEN(AC173),lower(concatenate("bosvendor-",'2-Building'!B$4,"-",INDEX(D:D, MATCH(AC173, J:J, 0)),INDEX(E:E, MATCH(AC173, J:J, 0)))),"")</f>
        <v/>
      </c>
      <c r="AA173" s="28"/>
      <c r="AB173" s="28"/>
      <c r="AC173" s="28"/>
      <c r="AD173" s="28"/>
    </row>
    <row r="174" ht="30.0" customHeight="1">
      <c r="A174" s="488"/>
      <c r="B174" s="582"/>
      <c r="C174" s="256"/>
      <c r="D174" s="582"/>
      <c r="E174" s="488"/>
      <c r="F174" s="258"/>
      <c r="G174" s="173"/>
      <c r="H174" s="173"/>
      <c r="I174" s="576"/>
      <c r="J174" s="580"/>
      <c r="K174" s="569" t="str">
        <f t="shared" si="1"/>
        <v/>
      </c>
      <c r="L174" s="572"/>
      <c r="M174" s="173"/>
      <c r="N174" s="173"/>
      <c r="O174" s="173"/>
      <c r="P174" s="573"/>
      <c r="Q174" s="573"/>
      <c r="R174" s="173"/>
      <c r="S174" s="173"/>
      <c r="T174" s="173"/>
      <c r="U174" s="173"/>
      <c r="V174" s="173"/>
      <c r="W174" s="574"/>
      <c r="X174" s="575"/>
      <c r="Y174" s="28"/>
      <c r="Z174" s="543" t="str">
        <f t="array" ref="Z174">IF(LEN(AC174),lower(concatenate("bosvendor-",'2-Building'!B$4,"-",INDEX(D:D, MATCH(AC174, J:J, 0)),INDEX(E:E, MATCH(AC174, J:J, 0)))),"")</f>
        <v/>
      </c>
      <c r="AA174" s="28"/>
      <c r="AB174" s="28"/>
      <c r="AC174" s="28"/>
      <c r="AD174" s="28"/>
    </row>
    <row r="175" ht="30.0" customHeight="1">
      <c r="A175" s="488"/>
      <c r="B175" s="582"/>
      <c r="C175" s="256"/>
      <c r="D175" s="582"/>
      <c r="E175" s="488"/>
      <c r="F175" s="258"/>
      <c r="G175" s="173"/>
      <c r="H175" s="173"/>
      <c r="I175" s="576"/>
      <c r="J175" s="580"/>
      <c r="K175" s="569" t="str">
        <f t="shared" si="1"/>
        <v/>
      </c>
      <c r="L175" s="572"/>
      <c r="M175" s="173"/>
      <c r="N175" s="173"/>
      <c r="O175" s="173"/>
      <c r="P175" s="573"/>
      <c r="Q175" s="573"/>
      <c r="R175" s="173"/>
      <c r="S175" s="173"/>
      <c r="T175" s="173"/>
      <c r="U175" s="173"/>
      <c r="V175" s="173"/>
      <c r="W175" s="574"/>
      <c r="X175" s="575"/>
      <c r="Y175" s="28"/>
      <c r="Z175" s="543" t="str">
        <f t="array" ref="Z175">IF(LEN(AC175),lower(concatenate("bosvendor-",'2-Building'!B$4,"-",INDEX(D:D, MATCH(AC175, J:J, 0)),INDEX(E:E, MATCH(AC175, J:J, 0)))),"")</f>
        <v/>
      </c>
      <c r="AA175" s="28"/>
      <c r="AB175" s="28"/>
      <c r="AC175" s="28"/>
      <c r="AD175" s="28"/>
    </row>
    <row r="176" ht="30.0" customHeight="1">
      <c r="A176" s="488"/>
      <c r="B176" s="582"/>
      <c r="C176" s="256"/>
      <c r="D176" s="582"/>
      <c r="E176" s="488"/>
      <c r="F176" s="258"/>
      <c r="G176" s="173"/>
      <c r="H176" s="173"/>
      <c r="I176" s="576"/>
      <c r="J176" s="580"/>
      <c r="K176" s="569" t="str">
        <f t="shared" si="1"/>
        <v/>
      </c>
      <c r="L176" s="572"/>
      <c r="M176" s="173"/>
      <c r="N176" s="173"/>
      <c r="O176" s="173"/>
      <c r="P176" s="573"/>
      <c r="Q176" s="573"/>
      <c r="R176" s="173"/>
      <c r="S176" s="173"/>
      <c r="T176" s="173"/>
      <c r="U176" s="173"/>
      <c r="V176" s="173"/>
      <c r="W176" s="574"/>
      <c r="X176" s="575"/>
      <c r="Y176" s="28"/>
      <c r="Z176" s="543" t="str">
        <f t="array" ref="Z176">IF(LEN(AC176),lower(concatenate("bosvendor-",'2-Building'!B$4,"-",INDEX(D:D, MATCH(AC176, J:J, 0)),INDEX(E:E, MATCH(AC176, J:J, 0)))),"")</f>
        <v/>
      </c>
      <c r="AA176" s="28"/>
      <c r="AB176" s="28"/>
      <c r="AC176" s="28"/>
      <c r="AD176" s="28"/>
    </row>
    <row r="177" ht="30.0" customHeight="1">
      <c r="A177" s="488"/>
      <c r="B177" s="582"/>
      <c r="C177" s="256"/>
      <c r="D177" s="582"/>
      <c r="E177" s="488"/>
      <c r="F177" s="258"/>
      <c r="G177" s="173"/>
      <c r="H177" s="173"/>
      <c r="I177" s="576"/>
      <c r="J177" s="580"/>
      <c r="K177" s="569" t="str">
        <f t="shared" si="1"/>
        <v/>
      </c>
      <c r="L177" s="572"/>
      <c r="M177" s="173"/>
      <c r="N177" s="173"/>
      <c r="O177" s="173"/>
      <c r="P177" s="573"/>
      <c r="Q177" s="573"/>
      <c r="R177" s="173"/>
      <c r="S177" s="173"/>
      <c r="T177" s="173"/>
      <c r="U177" s="173"/>
      <c r="V177" s="173"/>
      <c r="W177" s="574"/>
      <c r="X177" s="575"/>
      <c r="Y177" s="28"/>
      <c r="Z177" s="543" t="str">
        <f t="array" ref="Z177">IF(LEN(AC177),lower(concatenate("bosvendor-",'2-Building'!B$4,"-",INDEX(D:D, MATCH(AC177, J:J, 0)),INDEX(E:E, MATCH(AC177, J:J, 0)))),"")</f>
        <v/>
      </c>
      <c r="AA177" s="28"/>
      <c r="AB177" s="28"/>
      <c r="AC177" s="28"/>
      <c r="AD177" s="28"/>
    </row>
    <row r="178" ht="30.0" customHeight="1">
      <c r="A178" s="488"/>
      <c r="B178" s="582"/>
      <c r="C178" s="256"/>
      <c r="D178" s="582"/>
      <c r="E178" s="488"/>
      <c r="F178" s="258"/>
      <c r="G178" s="173"/>
      <c r="H178" s="173"/>
      <c r="I178" s="576"/>
      <c r="J178" s="580"/>
      <c r="K178" s="569" t="str">
        <f t="shared" si="1"/>
        <v/>
      </c>
      <c r="L178" s="572"/>
      <c r="M178" s="173"/>
      <c r="N178" s="173"/>
      <c r="O178" s="173"/>
      <c r="P178" s="573"/>
      <c r="Q178" s="573"/>
      <c r="R178" s="173"/>
      <c r="S178" s="173"/>
      <c r="T178" s="173"/>
      <c r="U178" s="173"/>
      <c r="V178" s="173"/>
      <c r="W178" s="574"/>
      <c r="X178" s="575"/>
      <c r="Y178" s="28"/>
      <c r="Z178" s="543" t="str">
        <f t="array" ref="Z178">IF(LEN(AC178),lower(concatenate("bosvendor-",'2-Building'!B$4,"-",INDEX(D:D, MATCH(AC178, J:J, 0)),INDEX(E:E, MATCH(AC178, J:J, 0)))),"")</f>
        <v/>
      </c>
      <c r="AA178" s="28"/>
      <c r="AB178" s="28"/>
      <c r="AC178" s="28"/>
      <c r="AD178" s="28"/>
    </row>
    <row r="179" ht="30.0" customHeight="1">
      <c r="A179" s="488"/>
      <c r="B179" s="582"/>
      <c r="C179" s="256"/>
      <c r="D179" s="582"/>
      <c r="E179" s="488"/>
      <c r="F179" s="258"/>
      <c r="G179" s="173"/>
      <c r="H179" s="173"/>
      <c r="I179" s="576"/>
      <c r="J179" s="580"/>
      <c r="K179" s="569" t="str">
        <f t="shared" si="1"/>
        <v/>
      </c>
      <c r="L179" s="572"/>
      <c r="M179" s="173"/>
      <c r="N179" s="173"/>
      <c r="O179" s="173"/>
      <c r="P179" s="573"/>
      <c r="Q179" s="573"/>
      <c r="R179" s="173"/>
      <c r="S179" s="173"/>
      <c r="T179" s="173"/>
      <c r="U179" s="173"/>
      <c r="V179" s="173"/>
      <c r="W179" s="574"/>
      <c r="X179" s="575"/>
      <c r="Y179" s="28"/>
      <c r="Z179" s="543" t="str">
        <f t="array" ref="Z179">IF(LEN(AC179),lower(concatenate("bosvendor-",'2-Building'!B$4,"-",INDEX(D:D, MATCH(AC179, J:J, 0)),INDEX(E:E, MATCH(AC179, J:J, 0)))),"")</f>
        <v/>
      </c>
      <c r="AA179" s="28"/>
      <c r="AB179" s="28"/>
      <c r="AC179" s="28"/>
      <c r="AD179" s="28"/>
    </row>
    <row r="180" ht="30.0" customHeight="1">
      <c r="A180" s="488"/>
      <c r="B180" s="582"/>
      <c r="C180" s="256"/>
      <c r="D180" s="582"/>
      <c r="E180" s="488"/>
      <c r="F180" s="258"/>
      <c r="G180" s="173"/>
      <c r="H180" s="173"/>
      <c r="I180" s="576"/>
      <c r="J180" s="580"/>
      <c r="K180" s="569" t="str">
        <f t="shared" si="1"/>
        <v/>
      </c>
      <c r="L180" s="572"/>
      <c r="M180" s="173"/>
      <c r="N180" s="173"/>
      <c r="O180" s="173"/>
      <c r="P180" s="573"/>
      <c r="Q180" s="573"/>
      <c r="R180" s="173"/>
      <c r="S180" s="173"/>
      <c r="T180" s="173"/>
      <c r="U180" s="173"/>
      <c r="V180" s="173"/>
      <c r="W180" s="574"/>
      <c r="X180" s="575"/>
      <c r="Y180" s="28"/>
      <c r="Z180" s="543" t="str">
        <f t="array" ref="Z180">IF(LEN(AC180),lower(concatenate("bosvendor-",'2-Building'!B$4,"-",INDEX(D:D, MATCH(AC180, J:J, 0)),INDEX(E:E, MATCH(AC180, J:J, 0)))),"")</f>
        <v/>
      </c>
      <c r="AA180" s="28"/>
      <c r="AB180" s="28"/>
      <c r="AC180" s="28"/>
      <c r="AD180" s="28"/>
    </row>
    <row r="181" ht="30.0" customHeight="1">
      <c r="A181" s="488"/>
      <c r="B181" s="582"/>
      <c r="C181" s="256"/>
      <c r="D181" s="582"/>
      <c r="E181" s="488"/>
      <c r="F181" s="258"/>
      <c r="G181" s="173"/>
      <c r="H181" s="173"/>
      <c r="I181" s="576"/>
      <c r="J181" s="580"/>
      <c r="K181" s="569" t="str">
        <f t="shared" si="1"/>
        <v/>
      </c>
      <c r="L181" s="572"/>
      <c r="M181" s="173"/>
      <c r="N181" s="173"/>
      <c r="O181" s="173"/>
      <c r="P181" s="573"/>
      <c r="Q181" s="573"/>
      <c r="R181" s="173"/>
      <c r="S181" s="173"/>
      <c r="T181" s="173"/>
      <c r="U181" s="173"/>
      <c r="V181" s="173"/>
      <c r="W181" s="574"/>
      <c r="X181" s="575"/>
      <c r="Y181" s="28"/>
      <c r="Z181" s="543" t="str">
        <f t="array" ref="Z181">IF(LEN(AC181),lower(concatenate("bosvendor-",'2-Building'!B$4,"-",INDEX(D:D, MATCH(AC181, J:J, 0)),INDEX(E:E, MATCH(AC181, J:J, 0)))),"")</f>
        <v/>
      </c>
      <c r="AA181" s="28"/>
      <c r="AB181" s="28"/>
      <c r="AC181" s="28"/>
      <c r="AD181" s="28"/>
    </row>
    <row r="182" ht="30.0" customHeight="1">
      <c r="A182" s="488"/>
      <c r="B182" s="582"/>
      <c r="C182" s="256"/>
      <c r="D182" s="582"/>
      <c r="E182" s="488"/>
      <c r="F182" s="258"/>
      <c r="G182" s="173"/>
      <c r="H182" s="173"/>
      <c r="I182" s="576"/>
      <c r="J182" s="580"/>
      <c r="K182" s="569" t="str">
        <f t="shared" si="1"/>
        <v/>
      </c>
      <c r="L182" s="572"/>
      <c r="M182" s="173"/>
      <c r="N182" s="173"/>
      <c r="O182" s="173"/>
      <c r="P182" s="573"/>
      <c r="Q182" s="573"/>
      <c r="R182" s="173"/>
      <c r="S182" s="173"/>
      <c r="T182" s="173"/>
      <c r="U182" s="173"/>
      <c r="V182" s="173"/>
      <c r="W182" s="574"/>
      <c r="X182" s="575"/>
      <c r="Y182" s="28"/>
      <c r="Z182" s="543" t="str">
        <f t="array" ref="Z182">IF(LEN(AC182),lower(concatenate("bosvendor-",'2-Building'!B$4,"-",INDEX(D:D, MATCH(AC182, J:J, 0)),INDEX(E:E, MATCH(AC182, J:J, 0)))),"")</f>
        <v/>
      </c>
      <c r="AA182" s="28"/>
      <c r="AB182" s="28"/>
      <c r="AC182" s="28"/>
      <c r="AD182" s="28"/>
    </row>
    <row r="183" ht="30.0" customHeight="1">
      <c r="A183" s="488"/>
      <c r="B183" s="582"/>
      <c r="C183" s="256"/>
      <c r="D183" s="582"/>
      <c r="E183" s="488"/>
      <c r="F183" s="258"/>
      <c r="G183" s="173"/>
      <c r="H183" s="173"/>
      <c r="I183" s="576"/>
      <c r="J183" s="580"/>
      <c r="K183" s="569" t="str">
        <f t="shared" si="1"/>
        <v/>
      </c>
      <c r="L183" s="572"/>
      <c r="M183" s="173"/>
      <c r="N183" s="173"/>
      <c r="O183" s="173"/>
      <c r="P183" s="573"/>
      <c r="Q183" s="573"/>
      <c r="R183" s="173"/>
      <c r="S183" s="173"/>
      <c r="T183" s="173"/>
      <c r="U183" s="173"/>
      <c r="V183" s="173"/>
      <c r="W183" s="574"/>
      <c r="X183" s="575"/>
      <c r="Y183" s="28"/>
      <c r="Z183" s="543" t="str">
        <f t="array" ref="Z183">IF(LEN(AC183),lower(concatenate("bosvendor-",'2-Building'!B$4,"-",INDEX(D:D, MATCH(AC183, J:J, 0)),INDEX(E:E, MATCH(AC183, J:J, 0)))),"")</f>
        <v/>
      </c>
      <c r="AA183" s="28"/>
      <c r="AB183" s="28"/>
      <c r="AC183" s="28"/>
      <c r="AD183" s="28"/>
    </row>
    <row r="184" ht="30.0" customHeight="1">
      <c r="A184" s="488"/>
      <c r="B184" s="582"/>
      <c r="C184" s="256"/>
      <c r="D184" s="582"/>
      <c r="E184" s="488"/>
      <c r="F184" s="258"/>
      <c r="G184" s="173"/>
      <c r="H184" s="173"/>
      <c r="I184" s="576"/>
      <c r="J184" s="580"/>
      <c r="K184" s="569" t="str">
        <f t="shared" si="1"/>
        <v/>
      </c>
      <c r="L184" s="572"/>
      <c r="M184" s="173"/>
      <c r="N184" s="173"/>
      <c r="O184" s="173"/>
      <c r="P184" s="573"/>
      <c r="Q184" s="573"/>
      <c r="R184" s="173"/>
      <c r="S184" s="173"/>
      <c r="T184" s="173"/>
      <c r="U184" s="173"/>
      <c r="V184" s="173"/>
      <c r="W184" s="574"/>
      <c r="X184" s="575"/>
      <c r="Y184" s="28"/>
      <c r="Z184" s="543" t="str">
        <f t="array" ref="Z184">IF(LEN(AC184),lower(concatenate("bosvendor-",'2-Building'!B$4,"-",INDEX(D:D, MATCH(AC184, J:J, 0)),INDEX(E:E, MATCH(AC184, J:J, 0)))),"")</f>
        <v/>
      </c>
      <c r="AA184" s="28"/>
      <c r="AB184" s="28"/>
      <c r="AC184" s="28"/>
      <c r="AD184" s="28"/>
    </row>
    <row r="185" ht="30.0" customHeight="1">
      <c r="A185" s="488"/>
      <c r="B185" s="582"/>
      <c r="C185" s="256"/>
      <c r="D185" s="582"/>
      <c r="E185" s="488"/>
      <c r="F185" s="258"/>
      <c r="G185" s="173"/>
      <c r="H185" s="173"/>
      <c r="I185" s="576"/>
      <c r="J185" s="580"/>
      <c r="K185" s="569" t="str">
        <f t="shared" si="1"/>
        <v/>
      </c>
      <c r="L185" s="572"/>
      <c r="M185" s="173"/>
      <c r="N185" s="173"/>
      <c r="O185" s="173"/>
      <c r="P185" s="573"/>
      <c r="Q185" s="573"/>
      <c r="R185" s="173"/>
      <c r="S185" s="173"/>
      <c r="T185" s="173"/>
      <c r="U185" s="173"/>
      <c r="V185" s="173"/>
      <c r="W185" s="574"/>
      <c r="X185" s="575"/>
      <c r="Y185" s="28"/>
      <c r="Z185" s="543" t="str">
        <f t="array" ref="Z185">IF(LEN(AC185),lower(concatenate("bosvendor-",'2-Building'!B$4,"-",INDEX(D:D, MATCH(AC185, J:J, 0)),INDEX(E:E, MATCH(AC185, J:J, 0)))),"")</f>
        <v/>
      </c>
      <c r="AA185" s="28"/>
      <c r="AB185" s="28"/>
      <c r="AC185" s="28"/>
      <c r="AD185" s="28"/>
    </row>
    <row r="186" ht="30.0" customHeight="1">
      <c r="A186" s="488"/>
      <c r="B186" s="582"/>
      <c r="C186" s="256"/>
      <c r="D186" s="582"/>
      <c r="E186" s="488"/>
      <c r="F186" s="258"/>
      <c r="G186" s="173"/>
      <c r="H186" s="173"/>
      <c r="I186" s="576"/>
      <c r="J186" s="580"/>
      <c r="K186" s="569" t="str">
        <f t="shared" si="1"/>
        <v/>
      </c>
      <c r="L186" s="572"/>
      <c r="M186" s="173"/>
      <c r="N186" s="173"/>
      <c r="O186" s="173"/>
      <c r="P186" s="573"/>
      <c r="Q186" s="573"/>
      <c r="R186" s="173"/>
      <c r="S186" s="173"/>
      <c r="T186" s="173"/>
      <c r="U186" s="173"/>
      <c r="V186" s="173"/>
      <c r="W186" s="574"/>
      <c r="X186" s="575"/>
      <c r="Y186" s="28"/>
      <c r="Z186" s="543" t="str">
        <f t="array" ref="Z186">IF(LEN(AC186),lower(concatenate("bosvendor-",'2-Building'!B$4,"-",INDEX(D:D, MATCH(AC186, J:J, 0)),INDEX(E:E, MATCH(AC186, J:J, 0)))),"")</f>
        <v/>
      </c>
      <c r="AA186" s="28"/>
      <c r="AB186" s="28"/>
      <c r="AC186" s="28"/>
      <c r="AD186" s="28"/>
    </row>
    <row r="187" ht="30.0" customHeight="1">
      <c r="A187" s="488"/>
      <c r="B187" s="582"/>
      <c r="C187" s="256"/>
      <c r="D187" s="582"/>
      <c r="E187" s="488"/>
      <c r="F187" s="258"/>
      <c r="G187" s="173"/>
      <c r="H187" s="173"/>
      <c r="I187" s="576"/>
      <c r="J187" s="580"/>
      <c r="K187" s="569" t="str">
        <f t="shared" si="1"/>
        <v/>
      </c>
      <c r="L187" s="572"/>
      <c r="M187" s="173"/>
      <c r="N187" s="173"/>
      <c r="O187" s="173"/>
      <c r="P187" s="573"/>
      <c r="Q187" s="573"/>
      <c r="R187" s="173"/>
      <c r="S187" s="173"/>
      <c r="T187" s="173"/>
      <c r="U187" s="173"/>
      <c r="V187" s="173"/>
      <c r="W187" s="574"/>
      <c r="X187" s="575"/>
      <c r="Y187" s="28"/>
      <c r="Z187" s="543" t="str">
        <f t="array" ref="Z187">IF(LEN(AC187),lower(concatenate("bosvendor-",'2-Building'!B$4,"-",INDEX(D:D, MATCH(AC187, J:J, 0)),INDEX(E:E, MATCH(AC187, J:J, 0)))),"")</f>
        <v/>
      </c>
      <c r="AA187" s="28"/>
      <c r="AB187" s="28"/>
      <c r="AC187" s="28"/>
      <c r="AD187" s="28"/>
    </row>
    <row r="188" ht="30.0" customHeight="1">
      <c r="A188" s="488"/>
      <c r="B188" s="582"/>
      <c r="C188" s="256"/>
      <c r="D188" s="582"/>
      <c r="E188" s="488"/>
      <c r="F188" s="258"/>
      <c r="G188" s="173"/>
      <c r="H188" s="173"/>
      <c r="I188" s="576"/>
      <c r="J188" s="580"/>
      <c r="K188" s="569" t="str">
        <f t="shared" si="1"/>
        <v/>
      </c>
      <c r="L188" s="572"/>
      <c r="M188" s="173"/>
      <c r="N188" s="173"/>
      <c r="O188" s="173"/>
      <c r="P188" s="573"/>
      <c r="Q188" s="573"/>
      <c r="R188" s="173"/>
      <c r="S188" s="173"/>
      <c r="T188" s="173"/>
      <c r="U188" s="173"/>
      <c r="V188" s="173"/>
      <c r="W188" s="574"/>
      <c r="X188" s="575"/>
      <c r="Y188" s="28"/>
      <c r="Z188" s="543" t="str">
        <f t="array" ref="Z188">IF(LEN(AC188),lower(concatenate("bosvendor-",'2-Building'!B$4,"-",INDEX(D:D, MATCH(AC188, J:J, 0)),INDEX(E:E, MATCH(AC188, J:J, 0)))),"")</f>
        <v/>
      </c>
      <c r="AA188" s="28"/>
      <c r="AB188" s="28"/>
      <c r="AC188" s="28"/>
      <c r="AD188" s="28"/>
    </row>
    <row r="189" ht="30.0" customHeight="1">
      <c r="A189" s="488"/>
      <c r="B189" s="582"/>
      <c r="C189" s="256"/>
      <c r="D189" s="582"/>
      <c r="E189" s="488"/>
      <c r="F189" s="258"/>
      <c r="G189" s="173"/>
      <c r="H189" s="173"/>
      <c r="I189" s="576"/>
      <c r="J189" s="580"/>
      <c r="K189" s="569" t="str">
        <f t="shared" si="1"/>
        <v/>
      </c>
      <c r="L189" s="572"/>
      <c r="M189" s="173"/>
      <c r="N189" s="173"/>
      <c r="O189" s="173"/>
      <c r="P189" s="573"/>
      <c r="Q189" s="573"/>
      <c r="R189" s="173"/>
      <c r="S189" s="173"/>
      <c r="T189" s="173"/>
      <c r="U189" s="173"/>
      <c r="V189" s="173"/>
      <c r="W189" s="574"/>
      <c r="X189" s="575"/>
      <c r="Y189" s="28"/>
      <c r="Z189" s="543" t="str">
        <f t="array" ref="Z189">IF(LEN(AC189),lower(concatenate("bosvendor-",'2-Building'!B$4,"-",INDEX(D:D, MATCH(AC189, J:J, 0)),INDEX(E:E, MATCH(AC189, J:J, 0)))),"")</f>
        <v/>
      </c>
      <c r="AA189" s="28"/>
      <c r="AB189" s="28"/>
      <c r="AC189" s="28"/>
      <c r="AD189" s="28"/>
    </row>
    <row r="190" ht="30.0" customHeight="1">
      <c r="A190" s="488"/>
      <c r="B190" s="582"/>
      <c r="C190" s="256"/>
      <c r="D190" s="582"/>
      <c r="E190" s="488"/>
      <c r="F190" s="258"/>
      <c r="G190" s="173"/>
      <c r="H190" s="173"/>
      <c r="I190" s="576"/>
      <c r="J190" s="580"/>
      <c r="K190" s="569" t="str">
        <f t="shared" si="1"/>
        <v/>
      </c>
      <c r="L190" s="572"/>
      <c r="M190" s="173"/>
      <c r="N190" s="173"/>
      <c r="O190" s="173"/>
      <c r="P190" s="573"/>
      <c r="Q190" s="573"/>
      <c r="R190" s="173"/>
      <c r="S190" s="173"/>
      <c r="T190" s="173"/>
      <c r="U190" s="173"/>
      <c r="V190" s="173"/>
      <c r="W190" s="574"/>
      <c r="X190" s="575"/>
      <c r="Y190" s="28"/>
      <c r="Z190" s="543" t="str">
        <f t="array" ref="Z190">IF(LEN(AC190),lower(concatenate("bosvendor-",'2-Building'!B$4,"-",INDEX(D:D, MATCH(AC190, J:J, 0)),INDEX(E:E, MATCH(AC190, J:J, 0)))),"")</f>
        <v/>
      </c>
      <c r="AA190" s="28"/>
      <c r="AB190" s="28"/>
      <c r="AC190" s="28"/>
      <c r="AD190" s="28"/>
    </row>
    <row r="191" ht="30.0" customHeight="1">
      <c r="A191" s="488"/>
      <c r="B191" s="582"/>
      <c r="C191" s="256"/>
      <c r="D191" s="582"/>
      <c r="E191" s="488"/>
      <c r="F191" s="258"/>
      <c r="G191" s="173"/>
      <c r="H191" s="173"/>
      <c r="I191" s="576"/>
      <c r="J191" s="580"/>
      <c r="K191" s="569" t="str">
        <f t="shared" si="1"/>
        <v/>
      </c>
      <c r="L191" s="572"/>
      <c r="M191" s="173"/>
      <c r="N191" s="173"/>
      <c r="O191" s="173"/>
      <c r="P191" s="573"/>
      <c r="Q191" s="573"/>
      <c r="R191" s="173"/>
      <c r="S191" s="173"/>
      <c r="T191" s="173"/>
      <c r="U191" s="173"/>
      <c r="V191" s="173"/>
      <c r="W191" s="574"/>
      <c r="X191" s="575"/>
      <c r="Y191" s="28"/>
      <c r="Z191" s="543" t="str">
        <f t="array" ref="Z191">IF(LEN(AC191),lower(concatenate("bosvendor-",'2-Building'!B$4,"-",INDEX(D:D, MATCH(AC191, J:J, 0)),INDEX(E:E, MATCH(AC191, J:J, 0)))),"")</f>
        <v/>
      </c>
      <c r="AA191" s="28"/>
      <c r="AB191" s="28"/>
      <c r="AC191" s="28"/>
      <c r="AD191" s="28"/>
    </row>
    <row r="192" ht="30.0" customHeight="1">
      <c r="A192" s="488"/>
      <c r="B192" s="582"/>
      <c r="C192" s="256"/>
      <c r="D192" s="582"/>
      <c r="E192" s="488"/>
      <c r="F192" s="258"/>
      <c r="G192" s="173"/>
      <c r="H192" s="173"/>
      <c r="I192" s="576"/>
      <c r="J192" s="580"/>
      <c r="K192" s="569" t="str">
        <f t="shared" si="1"/>
        <v/>
      </c>
      <c r="L192" s="572"/>
      <c r="M192" s="173"/>
      <c r="N192" s="173"/>
      <c r="O192" s="173"/>
      <c r="P192" s="573"/>
      <c r="Q192" s="573"/>
      <c r="R192" s="173"/>
      <c r="S192" s="173"/>
      <c r="T192" s="173"/>
      <c r="U192" s="173"/>
      <c r="V192" s="173"/>
      <c r="W192" s="574"/>
      <c r="X192" s="575"/>
      <c r="Y192" s="28"/>
      <c r="Z192" s="543" t="str">
        <f t="array" ref="Z192">IF(LEN(AC192),lower(concatenate("bosvendor-",'2-Building'!B$4,"-",INDEX(D:D, MATCH(AC192, J:J, 0)),INDEX(E:E, MATCH(AC192, J:J, 0)))),"")</f>
        <v/>
      </c>
      <c r="AA192" s="28"/>
      <c r="AB192" s="28"/>
      <c r="AC192" s="28"/>
      <c r="AD192" s="28"/>
    </row>
    <row r="193" ht="30.0" customHeight="1">
      <c r="A193" s="488"/>
      <c r="B193" s="582"/>
      <c r="C193" s="256"/>
      <c r="D193" s="582"/>
      <c r="E193" s="488"/>
      <c r="F193" s="258"/>
      <c r="G193" s="173"/>
      <c r="H193" s="173"/>
      <c r="I193" s="576"/>
      <c r="J193" s="580"/>
      <c r="K193" s="569" t="str">
        <f t="shared" si="1"/>
        <v/>
      </c>
      <c r="L193" s="572"/>
      <c r="M193" s="173"/>
      <c r="N193" s="173"/>
      <c r="O193" s="173"/>
      <c r="P193" s="573"/>
      <c r="Q193" s="573"/>
      <c r="R193" s="173"/>
      <c r="S193" s="173"/>
      <c r="T193" s="173"/>
      <c r="U193" s="173"/>
      <c r="V193" s="173"/>
      <c r="W193" s="574"/>
      <c r="X193" s="575"/>
      <c r="Y193" s="28"/>
      <c r="Z193" s="543" t="str">
        <f t="array" ref="Z193">IF(LEN(AC193),lower(concatenate("bosvendor-",'2-Building'!B$4,"-",INDEX(D:D, MATCH(AC193, J:J, 0)),INDEX(E:E, MATCH(AC193, J:J, 0)))),"")</f>
        <v/>
      </c>
      <c r="AA193" s="28"/>
      <c r="AB193" s="28"/>
      <c r="AC193" s="28"/>
      <c r="AD193" s="28"/>
    </row>
    <row r="194" ht="30.0" customHeight="1">
      <c r="A194" s="488"/>
      <c r="B194" s="582"/>
      <c r="C194" s="256"/>
      <c r="D194" s="582"/>
      <c r="E194" s="488"/>
      <c r="F194" s="258"/>
      <c r="G194" s="173"/>
      <c r="H194" s="173"/>
      <c r="I194" s="576"/>
      <c r="J194" s="580"/>
      <c r="K194" s="569" t="str">
        <f t="shared" si="1"/>
        <v/>
      </c>
      <c r="L194" s="572"/>
      <c r="M194" s="173"/>
      <c r="N194" s="173"/>
      <c r="O194" s="173"/>
      <c r="P194" s="573"/>
      <c r="Q194" s="573"/>
      <c r="R194" s="173"/>
      <c r="S194" s="173"/>
      <c r="T194" s="173"/>
      <c r="U194" s="173"/>
      <c r="V194" s="173"/>
      <c r="W194" s="574"/>
      <c r="X194" s="575"/>
      <c r="Y194" s="28"/>
      <c r="Z194" s="543" t="str">
        <f t="array" ref="Z194">IF(LEN(AC194),lower(concatenate("bosvendor-",'2-Building'!B$4,"-",INDEX(D:D, MATCH(AC194, J:J, 0)),INDEX(E:E, MATCH(AC194, J:J, 0)))),"")</f>
        <v/>
      </c>
      <c r="AA194" s="28"/>
      <c r="AB194" s="28"/>
      <c r="AC194" s="28"/>
      <c r="AD194" s="28"/>
    </row>
    <row r="195" ht="30.0" customHeight="1">
      <c r="A195" s="488"/>
      <c r="B195" s="582"/>
      <c r="C195" s="256"/>
      <c r="D195" s="582"/>
      <c r="E195" s="488"/>
      <c r="F195" s="258"/>
      <c r="G195" s="173"/>
      <c r="H195" s="173"/>
      <c r="I195" s="576"/>
      <c r="J195" s="580"/>
      <c r="K195" s="569" t="str">
        <f t="shared" si="1"/>
        <v/>
      </c>
      <c r="L195" s="572"/>
      <c r="M195" s="173"/>
      <c r="N195" s="173"/>
      <c r="O195" s="173"/>
      <c r="P195" s="573"/>
      <c r="Q195" s="573"/>
      <c r="R195" s="173"/>
      <c r="S195" s="173"/>
      <c r="T195" s="173"/>
      <c r="U195" s="173"/>
      <c r="V195" s="173"/>
      <c r="W195" s="574"/>
      <c r="X195" s="575"/>
      <c r="Y195" s="28"/>
      <c r="Z195" s="543" t="str">
        <f t="array" ref="Z195">IF(LEN(AC195),lower(concatenate("bosvendor-",'2-Building'!B$4,"-",INDEX(D:D, MATCH(AC195, J:J, 0)),INDEX(E:E, MATCH(AC195, J:J, 0)))),"")</f>
        <v/>
      </c>
      <c r="AA195" s="28"/>
      <c r="AB195" s="28"/>
      <c r="AC195" s="28"/>
      <c r="AD195" s="28"/>
    </row>
    <row r="196" ht="30.0" customHeight="1">
      <c r="A196" s="488"/>
      <c r="B196" s="582"/>
      <c r="C196" s="256"/>
      <c r="D196" s="582"/>
      <c r="E196" s="488"/>
      <c r="F196" s="258"/>
      <c r="G196" s="173"/>
      <c r="H196" s="173"/>
      <c r="I196" s="576"/>
      <c r="J196" s="580"/>
      <c r="K196" s="569" t="str">
        <f t="shared" si="1"/>
        <v/>
      </c>
      <c r="L196" s="572"/>
      <c r="M196" s="173"/>
      <c r="N196" s="173"/>
      <c r="O196" s="173"/>
      <c r="P196" s="573"/>
      <c r="Q196" s="573"/>
      <c r="R196" s="173"/>
      <c r="S196" s="173"/>
      <c r="T196" s="173"/>
      <c r="U196" s="173"/>
      <c r="V196" s="173"/>
      <c r="W196" s="574"/>
      <c r="X196" s="575"/>
      <c r="Y196" s="28"/>
      <c r="Z196" s="543" t="str">
        <f t="array" ref="Z196">IF(LEN(AC196),lower(concatenate("bosvendor-",'2-Building'!B$4,"-",INDEX(D:D, MATCH(AC196, J:J, 0)),INDEX(E:E, MATCH(AC196, J:J, 0)))),"")</f>
        <v/>
      </c>
      <c r="AA196" s="28"/>
      <c r="AB196" s="28"/>
      <c r="AC196" s="28"/>
      <c r="AD196" s="28"/>
    </row>
    <row r="197" ht="30.0" customHeight="1">
      <c r="A197" s="488"/>
      <c r="B197" s="582"/>
      <c r="C197" s="256"/>
      <c r="D197" s="582"/>
      <c r="E197" s="488"/>
      <c r="F197" s="258"/>
      <c r="G197" s="173"/>
      <c r="H197" s="173"/>
      <c r="I197" s="576"/>
      <c r="J197" s="580"/>
      <c r="K197" s="569" t="str">
        <f t="shared" si="1"/>
        <v/>
      </c>
      <c r="L197" s="572"/>
      <c r="M197" s="173"/>
      <c r="N197" s="173"/>
      <c r="O197" s="173"/>
      <c r="P197" s="573"/>
      <c r="Q197" s="573"/>
      <c r="R197" s="173"/>
      <c r="S197" s="173"/>
      <c r="T197" s="173"/>
      <c r="U197" s="173"/>
      <c r="V197" s="173"/>
      <c r="W197" s="574"/>
      <c r="X197" s="575"/>
      <c r="Y197" s="28"/>
      <c r="Z197" s="543" t="str">
        <f t="array" ref="Z197">IF(LEN(AC197),lower(concatenate("bosvendor-",'2-Building'!B$4,"-",INDEX(D:D, MATCH(AC197, J:J, 0)),INDEX(E:E, MATCH(AC197, J:J, 0)))),"")</f>
        <v/>
      </c>
      <c r="AA197" s="28"/>
      <c r="AB197" s="28"/>
      <c r="AC197" s="28"/>
      <c r="AD197" s="28"/>
    </row>
    <row r="198" ht="30.0" customHeight="1">
      <c r="A198" s="488"/>
      <c r="B198" s="582"/>
      <c r="C198" s="256"/>
      <c r="D198" s="582"/>
      <c r="E198" s="488"/>
      <c r="F198" s="258"/>
      <c r="G198" s="173"/>
      <c r="H198" s="173"/>
      <c r="I198" s="576"/>
      <c r="J198" s="580"/>
      <c r="K198" s="569" t="str">
        <f t="shared" si="1"/>
        <v/>
      </c>
      <c r="L198" s="572"/>
      <c r="M198" s="173"/>
      <c r="N198" s="173"/>
      <c r="O198" s="173"/>
      <c r="P198" s="573"/>
      <c r="Q198" s="573"/>
      <c r="R198" s="173"/>
      <c r="S198" s="173"/>
      <c r="T198" s="173"/>
      <c r="U198" s="173"/>
      <c r="V198" s="173"/>
      <c r="W198" s="574"/>
      <c r="X198" s="575"/>
      <c r="Y198" s="28"/>
      <c r="Z198" s="543" t="str">
        <f t="array" ref="Z198">IF(LEN(AC198),lower(concatenate("bosvendor-",'2-Building'!B$4,"-",INDEX(D:D, MATCH(AC198, J:J, 0)),INDEX(E:E, MATCH(AC198, J:J, 0)))),"")</f>
        <v/>
      </c>
      <c r="AA198" s="28"/>
      <c r="AB198" s="28"/>
      <c r="AC198" s="28"/>
      <c r="AD198" s="28"/>
    </row>
    <row r="199" ht="30.0" customHeight="1">
      <c r="A199" s="488"/>
      <c r="B199" s="582"/>
      <c r="C199" s="256"/>
      <c r="D199" s="582"/>
      <c r="E199" s="488"/>
      <c r="F199" s="258"/>
      <c r="G199" s="173"/>
      <c r="H199" s="173"/>
      <c r="I199" s="576"/>
      <c r="J199" s="580"/>
      <c r="K199" s="569" t="str">
        <f t="shared" si="1"/>
        <v/>
      </c>
      <c r="L199" s="572"/>
      <c r="M199" s="173"/>
      <c r="N199" s="173"/>
      <c r="O199" s="173"/>
      <c r="P199" s="573"/>
      <c r="Q199" s="573"/>
      <c r="R199" s="173"/>
      <c r="S199" s="173"/>
      <c r="T199" s="173"/>
      <c r="U199" s="173"/>
      <c r="V199" s="173"/>
      <c r="W199" s="574"/>
      <c r="X199" s="575"/>
      <c r="Y199" s="28"/>
      <c r="Z199" s="543" t="str">
        <f t="array" ref="Z199">IF(LEN(AC199),lower(concatenate("bosvendor-",'2-Building'!B$4,"-",INDEX(D:D, MATCH(AC199, J:J, 0)),INDEX(E:E, MATCH(AC199, J:J, 0)))),"")</f>
        <v/>
      </c>
      <c r="AA199" s="28"/>
      <c r="AB199" s="28"/>
      <c r="AC199" s="28"/>
      <c r="AD199" s="28"/>
    </row>
    <row r="200" ht="30.0" customHeight="1">
      <c r="A200" s="488"/>
      <c r="B200" s="582"/>
      <c r="C200" s="256"/>
      <c r="D200" s="582"/>
      <c r="E200" s="488"/>
      <c r="F200" s="258"/>
      <c r="G200" s="173"/>
      <c r="H200" s="173"/>
      <c r="I200" s="576"/>
      <c r="J200" s="580"/>
      <c r="K200" s="569" t="str">
        <f t="shared" si="1"/>
        <v/>
      </c>
      <c r="L200" s="572"/>
      <c r="M200" s="173"/>
      <c r="N200" s="173"/>
      <c r="O200" s="173"/>
      <c r="P200" s="573"/>
      <c r="Q200" s="573"/>
      <c r="R200" s="173"/>
      <c r="S200" s="173"/>
      <c r="T200" s="173"/>
      <c r="U200" s="173"/>
      <c r="V200" s="173"/>
      <c r="W200" s="574"/>
      <c r="X200" s="575"/>
      <c r="Y200" s="28"/>
      <c r="Z200" s="543" t="str">
        <f t="array" ref="Z200">IF(LEN(AC200),lower(concatenate("bosvendor-",'2-Building'!B$4,"-",INDEX(D:D, MATCH(AC200, J:J, 0)),INDEX(E:E, MATCH(AC200, J:J, 0)))),"")</f>
        <v/>
      </c>
      <c r="AA200" s="28"/>
      <c r="AB200" s="28"/>
      <c r="AC200" s="28"/>
      <c r="AD200" s="28"/>
    </row>
    <row r="201" ht="30.0" customHeight="1">
      <c r="A201" s="488"/>
      <c r="B201" s="582"/>
      <c r="C201" s="256"/>
      <c r="D201" s="582"/>
      <c r="E201" s="488"/>
      <c r="F201" s="258"/>
      <c r="G201" s="173"/>
      <c r="H201" s="173"/>
      <c r="I201" s="576"/>
      <c r="J201" s="580"/>
      <c r="K201" s="569" t="str">
        <f t="shared" si="1"/>
        <v/>
      </c>
      <c r="L201" s="572"/>
      <c r="M201" s="173"/>
      <c r="N201" s="173"/>
      <c r="O201" s="173"/>
      <c r="P201" s="573"/>
      <c r="Q201" s="573"/>
      <c r="R201" s="173"/>
      <c r="S201" s="173"/>
      <c r="T201" s="173"/>
      <c r="U201" s="173"/>
      <c r="V201" s="173"/>
      <c r="W201" s="574"/>
      <c r="X201" s="575"/>
      <c r="Y201" s="28"/>
      <c r="Z201" s="543" t="str">
        <f t="array" ref="Z201">IF(LEN(AC201),lower(concatenate("bosvendor-",'2-Building'!B$4,"-",INDEX(D:D, MATCH(AC201, J:J, 0)),INDEX(E:E, MATCH(AC201, J:J, 0)))),"")</f>
        <v/>
      </c>
      <c r="AA201" s="28"/>
      <c r="AB201" s="28"/>
      <c r="AC201" s="28"/>
      <c r="AD201" s="28"/>
    </row>
    <row r="202" ht="30.0" customHeight="1">
      <c r="A202" s="488"/>
      <c r="B202" s="582"/>
      <c r="C202" s="256"/>
      <c r="D202" s="582"/>
      <c r="E202" s="488"/>
      <c r="F202" s="258"/>
      <c r="G202" s="173"/>
      <c r="H202" s="173"/>
      <c r="I202" s="576"/>
      <c r="J202" s="580"/>
      <c r="K202" s="569" t="str">
        <f t="shared" si="1"/>
        <v/>
      </c>
      <c r="L202" s="572"/>
      <c r="M202" s="173"/>
      <c r="N202" s="173"/>
      <c r="O202" s="173"/>
      <c r="P202" s="573"/>
      <c r="Q202" s="573"/>
      <c r="R202" s="173"/>
      <c r="S202" s="173"/>
      <c r="T202" s="173"/>
      <c r="U202" s="173"/>
      <c r="V202" s="173"/>
      <c r="W202" s="574"/>
      <c r="X202" s="575"/>
      <c r="Y202" s="28"/>
      <c r="Z202" s="543" t="str">
        <f t="array" ref="Z202">IF(LEN(AC202),lower(concatenate("bosvendor-",'2-Building'!B$4,"-",INDEX(D:D, MATCH(AC202, J:J, 0)),INDEX(E:E, MATCH(AC202, J:J, 0)))),"")</f>
        <v/>
      </c>
      <c r="AA202" s="28"/>
      <c r="AB202" s="28"/>
      <c r="AC202" s="28"/>
      <c r="AD202" s="28"/>
    </row>
    <row r="203" ht="30.0" customHeight="1">
      <c r="A203" s="488"/>
      <c r="B203" s="582"/>
      <c r="C203" s="256"/>
      <c r="D203" s="582"/>
      <c r="E203" s="488"/>
      <c r="F203" s="258"/>
      <c r="G203" s="173"/>
      <c r="H203" s="173"/>
      <c r="I203" s="576"/>
      <c r="J203" s="580"/>
      <c r="K203" s="569" t="str">
        <f t="shared" si="1"/>
        <v/>
      </c>
      <c r="L203" s="572"/>
      <c r="M203" s="173"/>
      <c r="N203" s="173"/>
      <c r="O203" s="173"/>
      <c r="P203" s="573"/>
      <c r="Q203" s="573"/>
      <c r="R203" s="173"/>
      <c r="S203" s="173"/>
      <c r="T203" s="173"/>
      <c r="U203" s="173"/>
      <c r="V203" s="173"/>
      <c r="W203" s="574"/>
      <c r="X203" s="575"/>
      <c r="Y203" s="28"/>
      <c r="Z203" s="543" t="str">
        <f t="array" ref="Z203">IF(LEN(AC203),lower(concatenate("bosvendor-",'2-Building'!B$4,"-",INDEX(D:D, MATCH(AC203, J:J, 0)),INDEX(E:E, MATCH(AC203, J:J, 0)))),"")</f>
        <v/>
      </c>
      <c r="AA203" s="28"/>
      <c r="AB203" s="28"/>
      <c r="AC203" s="28"/>
      <c r="AD203" s="28"/>
    </row>
    <row r="204" ht="30.0" customHeight="1">
      <c r="A204" s="488"/>
      <c r="B204" s="582"/>
      <c r="C204" s="256"/>
      <c r="D204" s="582"/>
      <c r="E204" s="488"/>
      <c r="F204" s="258"/>
      <c r="G204" s="173"/>
      <c r="H204" s="173"/>
      <c r="I204" s="576"/>
      <c r="J204" s="580"/>
      <c r="K204" s="569" t="str">
        <f t="shared" si="1"/>
        <v/>
      </c>
      <c r="L204" s="572"/>
      <c r="M204" s="173"/>
      <c r="N204" s="173"/>
      <c r="O204" s="173"/>
      <c r="P204" s="573"/>
      <c r="Q204" s="573"/>
      <c r="R204" s="173"/>
      <c r="S204" s="173"/>
      <c r="T204" s="173"/>
      <c r="U204" s="173"/>
      <c r="V204" s="173"/>
      <c r="W204" s="574"/>
      <c r="X204" s="575"/>
      <c r="Y204" s="28"/>
      <c r="Z204" s="543" t="str">
        <f t="array" ref="Z204">IF(LEN(AC204),lower(concatenate("bosvendor-",'2-Building'!B$4,"-",INDEX(D:D, MATCH(AC204, J:J, 0)),INDEX(E:E, MATCH(AC204, J:J, 0)))),"")</f>
        <v/>
      </c>
      <c r="AA204" s="28"/>
      <c r="AB204" s="28"/>
      <c r="AC204" s="28"/>
      <c r="AD204" s="28"/>
    </row>
    <row r="205" ht="30.0" customHeight="1">
      <c r="A205" s="488"/>
      <c r="B205" s="582"/>
      <c r="C205" s="256"/>
      <c r="D205" s="582"/>
      <c r="E205" s="488"/>
      <c r="F205" s="258"/>
      <c r="G205" s="173"/>
      <c r="H205" s="173"/>
      <c r="I205" s="576"/>
      <c r="J205" s="580"/>
      <c r="K205" s="569" t="str">
        <f t="shared" si="1"/>
        <v/>
      </c>
      <c r="L205" s="572"/>
      <c r="M205" s="173"/>
      <c r="N205" s="173"/>
      <c r="O205" s="173"/>
      <c r="P205" s="573"/>
      <c r="Q205" s="573"/>
      <c r="R205" s="173"/>
      <c r="S205" s="173"/>
      <c r="T205" s="173"/>
      <c r="U205" s="173"/>
      <c r="V205" s="173"/>
      <c r="W205" s="574"/>
      <c r="X205" s="575"/>
      <c r="Y205" s="28"/>
      <c r="Z205" s="543" t="str">
        <f t="array" ref="Z205">IF(LEN(AC205),lower(concatenate("bosvendor-",'2-Building'!B$4,"-",INDEX(D:D, MATCH(AC205, J:J, 0)),INDEX(E:E, MATCH(AC205, J:J, 0)))),"")</f>
        <v/>
      </c>
      <c r="AA205" s="28"/>
      <c r="AB205" s="28"/>
      <c r="AC205" s="28"/>
      <c r="AD205" s="28"/>
    </row>
    <row r="206" ht="30.0" customHeight="1">
      <c r="A206" s="488"/>
      <c r="B206" s="582"/>
      <c r="C206" s="256"/>
      <c r="D206" s="582"/>
      <c r="E206" s="488"/>
      <c r="F206" s="258"/>
      <c r="G206" s="173"/>
      <c r="H206" s="173"/>
      <c r="I206" s="576"/>
      <c r="J206" s="580"/>
      <c r="K206" s="569" t="str">
        <f t="shared" si="1"/>
        <v/>
      </c>
      <c r="L206" s="572"/>
      <c r="M206" s="173"/>
      <c r="N206" s="173"/>
      <c r="O206" s="173"/>
      <c r="P206" s="573"/>
      <c r="Q206" s="573"/>
      <c r="R206" s="173"/>
      <c r="S206" s="173"/>
      <c r="T206" s="173"/>
      <c r="U206" s="173"/>
      <c r="V206" s="173"/>
      <c r="W206" s="574"/>
      <c r="X206" s="575"/>
      <c r="Y206" s="28"/>
      <c r="Z206" s="543" t="str">
        <f t="array" ref="Z206">IF(LEN(AC206),lower(concatenate("bosvendor-",'2-Building'!B$4,"-",INDEX(D:D, MATCH(AC206, J:J, 0)),INDEX(E:E, MATCH(AC206, J:J, 0)))),"")</f>
        <v/>
      </c>
      <c r="AA206" s="28"/>
      <c r="AB206" s="28"/>
      <c r="AC206" s="28"/>
      <c r="AD206" s="28"/>
    </row>
    <row r="207" ht="30.0" customHeight="1">
      <c r="A207" s="488"/>
      <c r="B207" s="582"/>
      <c r="C207" s="256"/>
      <c r="D207" s="582"/>
      <c r="E207" s="488"/>
      <c r="F207" s="258"/>
      <c r="G207" s="173"/>
      <c r="H207" s="173"/>
      <c r="I207" s="576"/>
      <c r="J207" s="580"/>
      <c r="K207" s="569" t="str">
        <f t="shared" si="1"/>
        <v/>
      </c>
      <c r="L207" s="572"/>
      <c r="M207" s="173"/>
      <c r="N207" s="173"/>
      <c r="O207" s="173"/>
      <c r="P207" s="573"/>
      <c r="Q207" s="573"/>
      <c r="R207" s="173"/>
      <c r="S207" s="173"/>
      <c r="T207" s="173"/>
      <c r="U207" s="173"/>
      <c r="V207" s="173"/>
      <c r="W207" s="574"/>
      <c r="X207" s="575"/>
      <c r="Y207" s="28"/>
      <c r="Z207" s="543" t="str">
        <f t="array" ref="Z207">IF(LEN(AC207),lower(concatenate("bosvendor-",'2-Building'!B$4,"-",INDEX(D:D, MATCH(AC207, J:J, 0)),INDEX(E:E, MATCH(AC207, J:J, 0)))),"")</f>
        <v/>
      </c>
      <c r="AA207" s="28"/>
      <c r="AB207" s="28"/>
      <c r="AC207" s="28"/>
      <c r="AD207" s="28"/>
    </row>
    <row r="208" ht="30.0" customHeight="1">
      <c r="A208" s="488"/>
      <c r="B208" s="582"/>
      <c r="C208" s="256"/>
      <c r="D208" s="582"/>
      <c r="E208" s="488"/>
      <c r="F208" s="258"/>
      <c r="G208" s="173"/>
      <c r="H208" s="173"/>
      <c r="I208" s="576"/>
      <c r="J208" s="580"/>
      <c r="K208" s="569" t="str">
        <f t="shared" si="1"/>
        <v/>
      </c>
      <c r="L208" s="572"/>
      <c r="M208" s="173"/>
      <c r="N208" s="173"/>
      <c r="O208" s="173"/>
      <c r="P208" s="573"/>
      <c r="Q208" s="573"/>
      <c r="R208" s="173"/>
      <c r="S208" s="173"/>
      <c r="T208" s="173"/>
      <c r="U208" s="173"/>
      <c r="V208" s="173"/>
      <c r="W208" s="574"/>
      <c r="X208" s="575"/>
      <c r="Y208" s="28"/>
      <c r="Z208" s="543" t="str">
        <f t="array" ref="Z208">IF(LEN(AC208),lower(concatenate("bosvendor-",'2-Building'!B$4,"-",INDEX(D:D, MATCH(AC208, J:J, 0)),INDEX(E:E, MATCH(AC208, J:J, 0)))),"")</f>
        <v/>
      </c>
      <c r="AA208" s="28"/>
      <c r="AB208" s="28"/>
      <c r="AC208" s="28"/>
      <c r="AD208" s="28"/>
    </row>
    <row r="209" ht="30.0" customHeight="1">
      <c r="A209" s="488"/>
      <c r="B209" s="582"/>
      <c r="C209" s="256"/>
      <c r="D209" s="582"/>
      <c r="E209" s="488"/>
      <c r="F209" s="258"/>
      <c r="G209" s="173"/>
      <c r="H209" s="173"/>
      <c r="I209" s="576"/>
      <c r="J209" s="580"/>
      <c r="K209" s="569" t="str">
        <f t="shared" si="1"/>
        <v/>
      </c>
      <c r="L209" s="572"/>
      <c r="M209" s="173"/>
      <c r="N209" s="173"/>
      <c r="O209" s="173"/>
      <c r="P209" s="573"/>
      <c r="Q209" s="573"/>
      <c r="R209" s="173"/>
      <c r="S209" s="173"/>
      <c r="T209" s="173"/>
      <c r="U209" s="173"/>
      <c r="V209" s="173"/>
      <c r="W209" s="574"/>
      <c r="X209" s="575"/>
      <c r="Y209" s="28"/>
      <c r="Z209" s="543" t="str">
        <f t="array" ref="Z209">IF(LEN(AC209),lower(concatenate("bosvendor-",'2-Building'!B$4,"-",INDEX(D:D, MATCH(AC209, J:J, 0)),INDEX(E:E, MATCH(AC209, J:J, 0)))),"")</f>
        <v/>
      </c>
      <c r="AA209" s="28"/>
      <c r="AB209" s="28"/>
      <c r="AC209" s="28"/>
      <c r="AD209" s="28"/>
    </row>
    <row r="210" ht="30.0" customHeight="1">
      <c r="A210" s="488"/>
      <c r="B210" s="582"/>
      <c r="C210" s="256"/>
      <c r="D210" s="582"/>
      <c r="E210" s="488"/>
      <c r="F210" s="258"/>
      <c r="G210" s="173"/>
      <c r="H210" s="173"/>
      <c r="I210" s="576"/>
      <c r="J210" s="580"/>
      <c r="K210" s="569" t="str">
        <f t="shared" si="1"/>
        <v/>
      </c>
      <c r="L210" s="572"/>
      <c r="M210" s="173"/>
      <c r="N210" s="173"/>
      <c r="O210" s="173"/>
      <c r="P210" s="573"/>
      <c r="Q210" s="573"/>
      <c r="R210" s="173"/>
      <c r="S210" s="173"/>
      <c r="T210" s="173"/>
      <c r="U210" s="173"/>
      <c r="V210" s="173"/>
      <c r="W210" s="574"/>
      <c r="X210" s="575"/>
      <c r="Y210" s="28"/>
      <c r="Z210" s="543" t="str">
        <f t="array" ref="Z210">IF(LEN(AC210),lower(concatenate("bosvendor-",'2-Building'!B$4,"-",INDEX(D:D, MATCH(AC210, J:J, 0)),INDEX(E:E, MATCH(AC210, J:J, 0)))),"")</f>
        <v/>
      </c>
      <c r="AA210" s="28"/>
      <c r="AB210" s="28"/>
      <c r="AC210" s="28"/>
      <c r="AD210" s="28"/>
    </row>
    <row r="211" ht="30.0" customHeight="1">
      <c r="A211" s="488"/>
      <c r="B211" s="582"/>
      <c r="C211" s="256"/>
      <c r="D211" s="582"/>
      <c r="E211" s="488"/>
      <c r="F211" s="258"/>
      <c r="G211" s="173"/>
      <c r="H211" s="173"/>
      <c r="I211" s="576"/>
      <c r="J211" s="580"/>
      <c r="K211" s="569" t="str">
        <f t="shared" si="1"/>
        <v/>
      </c>
      <c r="L211" s="572"/>
      <c r="M211" s="173"/>
      <c r="N211" s="173"/>
      <c r="O211" s="173"/>
      <c r="P211" s="573"/>
      <c r="Q211" s="573"/>
      <c r="R211" s="173"/>
      <c r="S211" s="173"/>
      <c r="T211" s="173"/>
      <c r="U211" s="173"/>
      <c r="V211" s="173"/>
      <c r="W211" s="574"/>
      <c r="X211" s="575"/>
      <c r="Y211" s="28"/>
      <c r="Z211" s="543" t="str">
        <f t="array" ref="Z211">IF(LEN(AC211),lower(concatenate("bosvendor-",'2-Building'!B$4,"-",INDEX(D:D, MATCH(AC211, J:J, 0)),INDEX(E:E, MATCH(AC211, J:J, 0)))),"")</f>
        <v/>
      </c>
      <c r="AA211" s="28"/>
      <c r="AB211" s="28"/>
      <c r="AC211" s="28"/>
      <c r="AD211" s="28"/>
    </row>
    <row r="212" ht="30.0" customHeight="1">
      <c r="A212" s="488"/>
      <c r="B212" s="582"/>
      <c r="C212" s="256"/>
      <c r="D212" s="582"/>
      <c r="E212" s="488"/>
      <c r="F212" s="258"/>
      <c r="G212" s="173"/>
      <c r="H212" s="173"/>
      <c r="I212" s="576"/>
      <c r="J212" s="580"/>
      <c r="K212" s="569" t="str">
        <f t="shared" si="1"/>
        <v/>
      </c>
      <c r="L212" s="572"/>
      <c r="M212" s="173"/>
      <c r="N212" s="173"/>
      <c r="O212" s="173"/>
      <c r="P212" s="573"/>
      <c r="Q212" s="573"/>
      <c r="R212" s="173"/>
      <c r="S212" s="173"/>
      <c r="T212" s="173"/>
      <c r="U212" s="173"/>
      <c r="V212" s="173"/>
      <c r="W212" s="574"/>
      <c r="X212" s="575"/>
      <c r="Y212" s="28"/>
      <c r="Z212" s="543" t="str">
        <f t="array" ref="Z212">IF(LEN(AC212),lower(concatenate("bosvendor-",'2-Building'!B$4,"-",INDEX(D:D, MATCH(AC212, J:J, 0)),INDEX(E:E, MATCH(AC212, J:J, 0)))),"")</f>
        <v/>
      </c>
      <c r="AA212" s="28"/>
      <c r="AB212" s="28"/>
      <c r="AC212" s="28"/>
      <c r="AD212" s="28"/>
    </row>
    <row r="213" ht="30.0" customHeight="1">
      <c r="A213" s="488"/>
      <c r="B213" s="582"/>
      <c r="C213" s="256"/>
      <c r="D213" s="582"/>
      <c r="E213" s="488"/>
      <c r="F213" s="258"/>
      <c r="G213" s="173"/>
      <c r="H213" s="173"/>
      <c r="I213" s="576"/>
      <c r="J213" s="580"/>
      <c r="K213" s="569" t="str">
        <f t="shared" si="1"/>
        <v/>
      </c>
      <c r="L213" s="572"/>
      <c r="M213" s="173"/>
      <c r="N213" s="173"/>
      <c r="O213" s="173"/>
      <c r="P213" s="573"/>
      <c r="Q213" s="573"/>
      <c r="R213" s="173"/>
      <c r="S213" s="173"/>
      <c r="T213" s="173"/>
      <c r="U213" s="173"/>
      <c r="V213" s="173"/>
      <c r="W213" s="574"/>
      <c r="X213" s="575"/>
      <c r="Y213" s="28"/>
      <c r="Z213" s="543" t="str">
        <f t="array" ref="Z213">IF(LEN(AC213),lower(concatenate("bosvendor-",'2-Building'!B$4,"-",INDEX(D:D, MATCH(AC213, J:J, 0)),INDEX(E:E, MATCH(AC213, J:J, 0)))),"")</f>
        <v/>
      </c>
      <c r="AA213" s="28"/>
      <c r="AB213" s="28"/>
      <c r="AC213" s="28"/>
      <c r="AD213" s="28"/>
    </row>
    <row r="214" ht="30.0" customHeight="1">
      <c r="A214" s="488"/>
      <c r="B214" s="582"/>
      <c r="C214" s="256"/>
      <c r="D214" s="582"/>
      <c r="E214" s="488"/>
      <c r="F214" s="258"/>
      <c r="G214" s="173"/>
      <c r="H214" s="173"/>
      <c r="I214" s="576"/>
      <c r="J214" s="580"/>
      <c r="K214" s="569" t="str">
        <f t="shared" si="1"/>
        <v/>
      </c>
      <c r="L214" s="572"/>
      <c r="M214" s="173"/>
      <c r="N214" s="173"/>
      <c r="O214" s="173"/>
      <c r="P214" s="573"/>
      <c r="Q214" s="573"/>
      <c r="R214" s="173"/>
      <c r="S214" s="173"/>
      <c r="T214" s="173"/>
      <c r="U214" s="173"/>
      <c r="V214" s="173"/>
      <c r="W214" s="574"/>
      <c r="X214" s="575"/>
      <c r="Y214" s="28"/>
      <c r="Z214" s="543" t="str">
        <f t="array" ref="Z214">IF(LEN(AC214),lower(concatenate("bosvendor-",'2-Building'!B$4,"-",INDEX(D:D, MATCH(AC214, J:J, 0)),INDEX(E:E, MATCH(AC214, J:J, 0)))),"")</f>
        <v/>
      </c>
      <c r="AA214" s="28"/>
      <c r="AB214" s="28"/>
      <c r="AC214" s="28"/>
      <c r="AD214" s="28"/>
    </row>
    <row r="215" ht="30.0" customHeight="1">
      <c r="A215" s="488"/>
      <c r="B215" s="582"/>
      <c r="C215" s="256"/>
      <c r="D215" s="582"/>
      <c r="E215" s="488"/>
      <c r="F215" s="258"/>
      <c r="G215" s="173"/>
      <c r="H215" s="173"/>
      <c r="I215" s="576"/>
      <c r="J215" s="580"/>
      <c r="K215" s="569" t="str">
        <f t="shared" si="1"/>
        <v/>
      </c>
      <c r="L215" s="572"/>
      <c r="M215" s="173"/>
      <c r="N215" s="173"/>
      <c r="O215" s="173"/>
      <c r="P215" s="573"/>
      <c r="Q215" s="573"/>
      <c r="R215" s="173"/>
      <c r="S215" s="173"/>
      <c r="T215" s="173"/>
      <c r="U215" s="173"/>
      <c r="V215" s="173"/>
      <c r="W215" s="574"/>
      <c r="X215" s="575"/>
      <c r="Y215" s="28"/>
      <c r="Z215" s="543" t="str">
        <f t="array" ref="Z215">IF(LEN(AC215),lower(concatenate("bosvendor-",'2-Building'!B$4,"-",INDEX(D:D, MATCH(AC215, J:J, 0)),INDEX(E:E, MATCH(AC215, J:J, 0)))),"")</f>
        <v/>
      </c>
      <c r="AA215" s="28"/>
      <c r="AB215" s="28"/>
      <c r="AC215" s="28"/>
      <c r="AD215" s="28"/>
    </row>
    <row r="216" ht="30.0" customHeight="1">
      <c r="A216" s="488"/>
      <c r="B216" s="582"/>
      <c r="C216" s="256"/>
      <c r="D216" s="582"/>
      <c r="E216" s="488"/>
      <c r="F216" s="258"/>
      <c r="G216" s="173"/>
      <c r="H216" s="173"/>
      <c r="I216" s="576"/>
      <c r="J216" s="580"/>
      <c r="K216" s="569" t="str">
        <f t="shared" si="1"/>
        <v/>
      </c>
      <c r="L216" s="572"/>
      <c r="M216" s="173"/>
      <c r="N216" s="173"/>
      <c r="O216" s="173"/>
      <c r="P216" s="573"/>
      <c r="Q216" s="573"/>
      <c r="R216" s="173"/>
      <c r="S216" s="173"/>
      <c r="T216" s="173"/>
      <c r="U216" s="173"/>
      <c r="V216" s="173"/>
      <c r="W216" s="574"/>
      <c r="X216" s="575"/>
      <c r="Y216" s="28"/>
      <c r="Z216" s="543" t="str">
        <f t="array" ref="Z216">IF(LEN(AC216),lower(concatenate("bosvendor-",'2-Building'!B$4,"-",INDEX(D:D, MATCH(AC216, J:J, 0)),INDEX(E:E, MATCH(AC216, J:J, 0)))),"")</f>
        <v/>
      </c>
      <c r="AA216" s="28"/>
      <c r="AB216" s="28"/>
      <c r="AC216" s="28"/>
      <c r="AD216" s="28"/>
    </row>
    <row r="217" ht="30.0" customHeight="1">
      <c r="A217" s="488"/>
      <c r="B217" s="582"/>
      <c r="C217" s="256"/>
      <c r="D217" s="582"/>
      <c r="E217" s="488"/>
      <c r="F217" s="258"/>
      <c r="G217" s="173"/>
      <c r="H217" s="173"/>
      <c r="I217" s="576"/>
      <c r="J217" s="580"/>
      <c r="K217" s="569" t="str">
        <f t="shared" si="1"/>
        <v/>
      </c>
      <c r="L217" s="572"/>
      <c r="M217" s="173"/>
      <c r="N217" s="173"/>
      <c r="O217" s="173"/>
      <c r="P217" s="573"/>
      <c r="Q217" s="573"/>
      <c r="R217" s="173"/>
      <c r="S217" s="173"/>
      <c r="T217" s="173"/>
      <c r="U217" s="173"/>
      <c r="V217" s="173"/>
      <c r="W217" s="574"/>
      <c r="X217" s="575"/>
      <c r="Y217" s="28"/>
      <c r="Z217" s="543" t="str">
        <f t="array" ref="Z217">IF(LEN(AC217),lower(concatenate("bosvendor-",'2-Building'!B$4,"-",INDEX(D:D, MATCH(AC217, J:J, 0)),INDEX(E:E, MATCH(AC217, J:J, 0)))),"")</f>
        <v/>
      </c>
      <c r="AA217" s="28"/>
      <c r="AB217" s="28"/>
      <c r="AC217" s="28"/>
      <c r="AD217" s="28"/>
    </row>
    <row r="218" ht="30.0" customHeight="1">
      <c r="A218" s="488"/>
      <c r="B218" s="582"/>
      <c r="C218" s="256"/>
      <c r="D218" s="582"/>
      <c r="E218" s="488"/>
      <c r="F218" s="258"/>
      <c r="G218" s="173"/>
      <c r="H218" s="173"/>
      <c r="I218" s="576"/>
      <c r="J218" s="580"/>
      <c r="K218" s="569" t="str">
        <f t="shared" si="1"/>
        <v/>
      </c>
      <c r="L218" s="572"/>
      <c r="M218" s="173"/>
      <c r="N218" s="173"/>
      <c r="O218" s="173"/>
      <c r="P218" s="573"/>
      <c r="Q218" s="573"/>
      <c r="R218" s="173"/>
      <c r="S218" s="173"/>
      <c r="T218" s="173"/>
      <c r="U218" s="173"/>
      <c r="V218" s="173"/>
      <c r="W218" s="574"/>
      <c r="X218" s="575"/>
      <c r="Y218" s="28"/>
      <c r="Z218" s="543" t="str">
        <f t="array" ref="Z218">IF(LEN(AC218),lower(concatenate("bosvendor-",'2-Building'!B$4,"-",INDEX(D:D, MATCH(AC218, J:J, 0)),INDEX(E:E, MATCH(AC218, J:J, 0)))),"")</f>
        <v/>
      </c>
      <c r="AA218" s="28"/>
      <c r="AB218" s="28"/>
      <c r="AC218" s="28"/>
      <c r="AD218" s="28"/>
    </row>
    <row r="219" ht="30.0" customHeight="1">
      <c r="A219" s="488"/>
      <c r="B219" s="582"/>
      <c r="C219" s="256"/>
      <c r="D219" s="582"/>
      <c r="E219" s="488"/>
      <c r="F219" s="258"/>
      <c r="G219" s="173"/>
      <c r="H219" s="173"/>
      <c r="I219" s="576"/>
      <c r="J219" s="580"/>
      <c r="K219" s="569" t="str">
        <f t="shared" si="1"/>
        <v/>
      </c>
      <c r="L219" s="572"/>
      <c r="M219" s="173"/>
      <c r="N219" s="173"/>
      <c r="O219" s="173"/>
      <c r="P219" s="573"/>
      <c r="Q219" s="573"/>
      <c r="R219" s="173"/>
      <c r="S219" s="173"/>
      <c r="T219" s="173"/>
      <c r="U219" s="173"/>
      <c r="V219" s="173"/>
      <c r="W219" s="574"/>
      <c r="X219" s="575"/>
      <c r="Y219" s="28"/>
      <c r="Z219" s="543" t="str">
        <f t="array" ref="Z219">IF(LEN(AC219),lower(concatenate("bosvendor-",'2-Building'!B$4,"-",INDEX(D:D, MATCH(AC219, J:J, 0)),INDEX(E:E, MATCH(AC219, J:J, 0)))),"")</f>
        <v/>
      </c>
      <c r="AA219" s="28"/>
      <c r="AB219" s="28"/>
      <c r="AC219" s="28"/>
      <c r="AD219" s="28"/>
    </row>
    <row r="220" ht="30.0" customHeight="1">
      <c r="A220" s="488"/>
      <c r="B220" s="582"/>
      <c r="C220" s="256"/>
      <c r="D220" s="582"/>
      <c r="E220" s="488"/>
      <c r="F220" s="258"/>
      <c r="G220" s="173"/>
      <c r="H220" s="173"/>
      <c r="I220" s="576"/>
      <c r="J220" s="580"/>
      <c r="K220" s="569" t="str">
        <f t="shared" si="1"/>
        <v/>
      </c>
      <c r="L220" s="572"/>
      <c r="M220" s="173"/>
      <c r="N220" s="173"/>
      <c r="O220" s="173"/>
      <c r="P220" s="573"/>
      <c r="Q220" s="573"/>
      <c r="R220" s="173"/>
      <c r="S220" s="173"/>
      <c r="T220" s="173"/>
      <c r="U220" s="173"/>
      <c r="V220" s="173"/>
      <c r="W220" s="574"/>
      <c r="X220" s="575"/>
      <c r="Y220" s="28"/>
      <c r="Z220" s="543" t="str">
        <f t="array" ref="Z220">IF(LEN(AC220),lower(concatenate("bosvendor-",'2-Building'!B$4,"-",INDEX(D:D, MATCH(AC220, J:J, 0)),INDEX(E:E, MATCH(AC220, J:J, 0)))),"")</f>
        <v/>
      </c>
      <c r="AA220" s="28"/>
      <c r="AB220" s="28"/>
      <c r="AC220" s="28"/>
      <c r="AD220" s="28"/>
    </row>
    <row r="221" ht="30.0" customHeight="1">
      <c r="A221" s="488"/>
      <c r="B221" s="582"/>
      <c r="C221" s="256"/>
      <c r="D221" s="582"/>
      <c r="E221" s="488"/>
      <c r="F221" s="258"/>
      <c r="G221" s="173"/>
      <c r="H221" s="173"/>
      <c r="I221" s="576"/>
      <c r="J221" s="580"/>
      <c r="K221" s="569" t="str">
        <f t="shared" si="1"/>
        <v/>
      </c>
      <c r="L221" s="572"/>
      <c r="M221" s="173"/>
      <c r="N221" s="173"/>
      <c r="O221" s="173"/>
      <c r="P221" s="573"/>
      <c r="Q221" s="573"/>
      <c r="R221" s="173"/>
      <c r="S221" s="173"/>
      <c r="T221" s="173"/>
      <c r="U221" s="173"/>
      <c r="V221" s="173"/>
      <c r="W221" s="574"/>
      <c r="X221" s="575"/>
      <c r="Y221" s="28"/>
      <c r="Z221" s="543" t="str">
        <f t="array" ref="Z221">IF(LEN(AC221),lower(concatenate("bosvendor-",'2-Building'!B$4,"-",INDEX(D:D, MATCH(AC221, J:J, 0)),INDEX(E:E, MATCH(AC221, J:J, 0)))),"")</f>
        <v/>
      </c>
      <c r="AA221" s="28"/>
      <c r="AB221" s="28"/>
      <c r="AC221" s="28"/>
      <c r="AD221" s="28"/>
    </row>
    <row r="222" ht="30.0" customHeight="1">
      <c r="A222" s="488"/>
      <c r="B222" s="582"/>
      <c r="C222" s="256"/>
      <c r="D222" s="582"/>
      <c r="E222" s="488"/>
      <c r="F222" s="258"/>
      <c r="G222" s="173"/>
      <c r="H222" s="173"/>
      <c r="I222" s="576"/>
      <c r="J222" s="580"/>
      <c r="K222" s="569" t="str">
        <f t="shared" si="1"/>
        <v/>
      </c>
      <c r="L222" s="572"/>
      <c r="M222" s="173"/>
      <c r="N222" s="173"/>
      <c r="O222" s="173"/>
      <c r="P222" s="573"/>
      <c r="Q222" s="573"/>
      <c r="R222" s="173"/>
      <c r="S222" s="173"/>
      <c r="T222" s="173"/>
      <c r="U222" s="173"/>
      <c r="V222" s="173"/>
      <c r="W222" s="574"/>
      <c r="X222" s="575"/>
      <c r="Y222" s="28"/>
      <c r="Z222" s="543" t="str">
        <f t="array" ref="Z222">IF(LEN(AC222),lower(concatenate("bosvendor-",'2-Building'!B$4,"-",INDEX(D:D, MATCH(AC222, J:J, 0)),INDEX(E:E, MATCH(AC222, J:J, 0)))),"")</f>
        <v/>
      </c>
      <c r="AA222" s="28"/>
      <c r="AB222" s="28"/>
      <c r="AC222" s="28"/>
      <c r="AD222" s="28"/>
    </row>
    <row r="223" ht="30.0" customHeight="1">
      <c r="A223" s="488"/>
      <c r="B223" s="582"/>
      <c r="C223" s="256"/>
      <c r="D223" s="582"/>
      <c r="E223" s="488"/>
      <c r="F223" s="258"/>
      <c r="G223" s="173"/>
      <c r="H223" s="173"/>
      <c r="I223" s="576"/>
      <c r="J223" s="580"/>
      <c r="K223" s="569" t="str">
        <f t="shared" si="1"/>
        <v/>
      </c>
      <c r="L223" s="572"/>
      <c r="M223" s="173"/>
      <c r="N223" s="173"/>
      <c r="O223" s="173"/>
      <c r="P223" s="573"/>
      <c r="Q223" s="573"/>
      <c r="R223" s="173"/>
      <c r="S223" s="173"/>
      <c r="T223" s="173"/>
      <c r="U223" s="173"/>
      <c r="V223" s="173"/>
      <c r="W223" s="574"/>
      <c r="X223" s="575"/>
      <c r="Y223" s="28"/>
      <c r="Z223" s="543" t="str">
        <f t="array" ref="Z223">IF(LEN(AC223),lower(concatenate("bosvendor-",'2-Building'!B$4,"-",INDEX(D:D, MATCH(AC223, J:J, 0)),INDEX(E:E, MATCH(AC223, J:J, 0)))),"")</f>
        <v/>
      </c>
      <c r="AA223" s="28"/>
      <c r="AB223" s="28"/>
      <c r="AC223" s="28"/>
      <c r="AD223" s="28"/>
    </row>
    <row r="224" ht="30.0" customHeight="1">
      <c r="A224" s="488"/>
      <c r="B224" s="582"/>
      <c r="C224" s="256"/>
      <c r="D224" s="582"/>
      <c r="E224" s="488"/>
      <c r="F224" s="258"/>
      <c r="G224" s="173"/>
      <c r="H224" s="173"/>
      <c r="I224" s="576"/>
      <c r="J224" s="580"/>
      <c r="K224" s="569" t="str">
        <f t="shared" si="1"/>
        <v/>
      </c>
      <c r="L224" s="572"/>
      <c r="M224" s="173"/>
      <c r="N224" s="173"/>
      <c r="O224" s="173"/>
      <c r="P224" s="573"/>
      <c r="Q224" s="573"/>
      <c r="R224" s="173"/>
      <c r="S224" s="173"/>
      <c r="T224" s="173"/>
      <c r="U224" s="173"/>
      <c r="V224" s="173"/>
      <c r="W224" s="574"/>
      <c r="X224" s="575"/>
      <c r="Y224" s="28"/>
      <c r="Z224" s="543" t="str">
        <f t="array" ref="Z224">IF(LEN(AC224),lower(concatenate("bosvendor-",'2-Building'!B$4,"-",INDEX(D:D, MATCH(AC224, J:J, 0)),INDEX(E:E, MATCH(AC224, J:J, 0)))),"")</f>
        <v/>
      </c>
      <c r="AA224" s="28"/>
      <c r="AB224" s="28"/>
      <c r="AC224" s="28"/>
      <c r="AD224" s="28"/>
    </row>
    <row r="225" ht="30.0" customHeight="1">
      <c r="A225" s="488"/>
      <c r="B225" s="582"/>
      <c r="C225" s="256"/>
      <c r="D225" s="582"/>
      <c r="E225" s="488"/>
      <c r="F225" s="258"/>
      <c r="G225" s="173"/>
      <c r="H225" s="173"/>
      <c r="I225" s="576"/>
      <c r="J225" s="580"/>
      <c r="K225" s="569" t="str">
        <f t="shared" si="1"/>
        <v/>
      </c>
      <c r="L225" s="572"/>
      <c r="M225" s="173"/>
      <c r="N225" s="173"/>
      <c r="O225" s="173"/>
      <c r="P225" s="573"/>
      <c r="Q225" s="573"/>
      <c r="R225" s="173"/>
      <c r="S225" s="173"/>
      <c r="T225" s="173"/>
      <c r="U225" s="173"/>
      <c r="V225" s="173"/>
      <c r="W225" s="574"/>
      <c r="X225" s="575"/>
      <c r="Y225" s="28"/>
      <c r="Z225" s="543" t="str">
        <f t="array" ref="Z225">IF(LEN(AC225),lower(concatenate("bosvendor-",'2-Building'!B$4,"-",INDEX(D:D, MATCH(AC225, J:J, 0)),INDEX(E:E, MATCH(AC225, J:J, 0)))),"")</f>
        <v/>
      </c>
      <c r="AA225" s="28"/>
      <c r="AB225" s="28"/>
      <c r="AC225" s="28"/>
      <c r="AD225" s="28"/>
    </row>
    <row r="226" ht="30.0" customHeight="1">
      <c r="A226" s="488"/>
      <c r="B226" s="582"/>
      <c r="C226" s="256"/>
      <c r="D226" s="582"/>
      <c r="E226" s="488"/>
      <c r="F226" s="258"/>
      <c r="G226" s="173"/>
      <c r="H226" s="173"/>
      <c r="I226" s="576"/>
      <c r="J226" s="580"/>
      <c r="K226" s="569" t="str">
        <f t="shared" si="1"/>
        <v/>
      </c>
      <c r="L226" s="572"/>
      <c r="M226" s="173"/>
      <c r="N226" s="173"/>
      <c r="O226" s="173"/>
      <c r="P226" s="573"/>
      <c r="Q226" s="573"/>
      <c r="R226" s="173"/>
      <c r="S226" s="173"/>
      <c r="T226" s="173"/>
      <c r="U226" s="173"/>
      <c r="V226" s="173"/>
      <c r="W226" s="574"/>
      <c r="X226" s="575"/>
      <c r="Y226" s="28"/>
      <c r="Z226" s="543" t="str">
        <f t="array" ref="Z226">IF(LEN(AC226),lower(concatenate("bosvendor-",'2-Building'!B$4,"-",INDEX(D:D, MATCH(AC226, J:J, 0)),INDEX(E:E, MATCH(AC226, J:J, 0)))),"")</f>
        <v/>
      </c>
      <c r="AA226" s="28"/>
      <c r="AB226" s="28"/>
      <c r="AC226" s="28"/>
      <c r="AD226" s="28"/>
    </row>
    <row r="227" ht="30.0" customHeight="1">
      <c r="A227" s="488"/>
      <c r="B227" s="582"/>
      <c r="C227" s="256"/>
      <c r="D227" s="582"/>
      <c r="E227" s="488"/>
      <c r="F227" s="258"/>
      <c r="G227" s="173"/>
      <c r="H227" s="173"/>
      <c r="I227" s="576"/>
      <c r="J227" s="580"/>
      <c r="K227" s="569" t="str">
        <f t="shared" si="1"/>
        <v/>
      </c>
      <c r="L227" s="572"/>
      <c r="M227" s="173"/>
      <c r="N227" s="173"/>
      <c r="O227" s="173"/>
      <c r="P227" s="573"/>
      <c r="Q227" s="573"/>
      <c r="R227" s="173"/>
      <c r="S227" s="173"/>
      <c r="T227" s="173"/>
      <c r="U227" s="173"/>
      <c r="V227" s="173"/>
      <c r="W227" s="574"/>
      <c r="X227" s="575"/>
      <c r="Y227" s="28"/>
      <c r="Z227" s="543" t="str">
        <f t="array" ref="Z227">IF(LEN(AC227),lower(concatenate("bosvendor-",'2-Building'!B$4,"-",INDEX(D:D, MATCH(AC227, J:J, 0)),INDEX(E:E, MATCH(AC227, J:J, 0)))),"")</f>
        <v/>
      </c>
      <c r="AA227" s="28"/>
      <c r="AB227" s="28"/>
      <c r="AC227" s="28"/>
      <c r="AD227" s="28"/>
    </row>
    <row r="228" ht="30.0" customHeight="1">
      <c r="A228" s="488"/>
      <c r="B228" s="582"/>
      <c r="C228" s="256"/>
      <c r="D228" s="582"/>
      <c r="E228" s="488"/>
      <c r="F228" s="258"/>
      <c r="G228" s="173"/>
      <c r="H228" s="173"/>
      <c r="I228" s="576"/>
      <c r="J228" s="580"/>
      <c r="K228" s="569" t="str">
        <f t="shared" si="1"/>
        <v/>
      </c>
      <c r="L228" s="572"/>
      <c r="M228" s="173"/>
      <c r="N228" s="173"/>
      <c r="O228" s="173"/>
      <c r="P228" s="573"/>
      <c r="Q228" s="573"/>
      <c r="R228" s="173"/>
      <c r="S228" s="173"/>
      <c r="T228" s="173"/>
      <c r="U228" s="173"/>
      <c r="V228" s="173"/>
      <c r="W228" s="574"/>
      <c r="X228" s="575"/>
      <c r="Y228" s="28"/>
      <c r="Z228" s="543" t="str">
        <f t="array" ref="Z228">IF(LEN(AC228),lower(concatenate("bosvendor-",'2-Building'!B$4,"-",INDEX(D:D, MATCH(AC228, J:J, 0)),INDEX(E:E, MATCH(AC228, J:J, 0)))),"")</f>
        <v/>
      </c>
      <c r="AA228" s="28"/>
      <c r="AB228" s="28"/>
      <c r="AC228" s="28"/>
      <c r="AD228" s="28"/>
    </row>
    <row r="229" ht="30.0" customHeight="1">
      <c r="A229" s="488"/>
      <c r="B229" s="582"/>
      <c r="C229" s="256"/>
      <c r="D229" s="582"/>
      <c r="E229" s="488"/>
      <c r="F229" s="258"/>
      <c r="G229" s="173"/>
      <c r="H229" s="173"/>
      <c r="I229" s="576"/>
      <c r="J229" s="580"/>
      <c r="K229" s="569" t="str">
        <f t="shared" si="1"/>
        <v/>
      </c>
      <c r="L229" s="572"/>
      <c r="M229" s="173"/>
      <c r="N229" s="173"/>
      <c r="O229" s="173"/>
      <c r="P229" s="573"/>
      <c r="Q229" s="573"/>
      <c r="R229" s="173"/>
      <c r="S229" s="173"/>
      <c r="T229" s="173"/>
      <c r="U229" s="173"/>
      <c r="V229" s="173"/>
      <c r="W229" s="574"/>
      <c r="X229" s="575"/>
      <c r="Y229" s="28"/>
      <c r="Z229" s="543" t="str">
        <f t="array" ref="Z229">IF(LEN(AC229),lower(concatenate("bosvendor-",'2-Building'!B$4,"-",INDEX(D:D, MATCH(AC229, J:J, 0)),INDEX(E:E, MATCH(AC229, J:J, 0)))),"")</f>
        <v/>
      </c>
      <c r="AA229" s="28"/>
      <c r="AB229" s="28"/>
      <c r="AC229" s="28"/>
      <c r="AD229" s="28"/>
    </row>
    <row r="230" ht="30.0" customHeight="1">
      <c r="A230" s="488"/>
      <c r="B230" s="582"/>
      <c r="C230" s="256"/>
      <c r="D230" s="582"/>
      <c r="E230" s="488"/>
      <c r="F230" s="258"/>
      <c r="G230" s="173"/>
      <c r="H230" s="173"/>
      <c r="I230" s="576"/>
      <c r="J230" s="580"/>
      <c r="K230" s="569" t="str">
        <f t="shared" si="1"/>
        <v/>
      </c>
      <c r="L230" s="572"/>
      <c r="M230" s="173"/>
      <c r="N230" s="173"/>
      <c r="O230" s="173"/>
      <c r="P230" s="573"/>
      <c r="Q230" s="573"/>
      <c r="R230" s="173"/>
      <c r="S230" s="173"/>
      <c r="T230" s="173"/>
      <c r="U230" s="173"/>
      <c r="V230" s="173"/>
      <c r="W230" s="574"/>
      <c r="X230" s="575"/>
      <c r="Y230" s="28"/>
      <c r="Z230" s="543" t="str">
        <f t="array" ref="Z230">IF(LEN(AC230),lower(concatenate("bosvendor-",'2-Building'!B$4,"-",INDEX(D:D, MATCH(AC230, J:J, 0)),INDEX(E:E, MATCH(AC230, J:J, 0)))),"")</f>
        <v/>
      </c>
      <c r="AA230" s="28"/>
      <c r="AB230" s="28"/>
      <c r="AC230" s="28"/>
      <c r="AD230" s="28"/>
    </row>
    <row r="231" ht="30.0" customHeight="1">
      <c r="A231" s="488"/>
      <c r="B231" s="582"/>
      <c r="C231" s="256"/>
      <c r="D231" s="582"/>
      <c r="E231" s="488"/>
      <c r="F231" s="258"/>
      <c r="G231" s="173"/>
      <c r="H231" s="173"/>
      <c r="I231" s="576"/>
      <c r="J231" s="580"/>
      <c r="K231" s="569" t="str">
        <f t="shared" si="1"/>
        <v/>
      </c>
      <c r="L231" s="572"/>
      <c r="M231" s="173"/>
      <c r="N231" s="173"/>
      <c r="O231" s="173"/>
      <c r="P231" s="573"/>
      <c r="Q231" s="573"/>
      <c r="R231" s="173"/>
      <c r="S231" s="173"/>
      <c r="T231" s="173"/>
      <c r="U231" s="173"/>
      <c r="V231" s="173"/>
      <c r="W231" s="574"/>
      <c r="X231" s="575"/>
      <c r="Y231" s="28"/>
      <c r="Z231" s="543" t="str">
        <f t="array" ref="Z231">IF(LEN(AC231),lower(concatenate("bosvendor-",'2-Building'!B$4,"-",INDEX(D:D, MATCH(AC231, J:J, 0)),INDEX(E:E, MATCH(AC231, J:J, 0)))),"")</f>
        <v/>
      </c>
      <c r="AA231" s="28"/>
      <c r="AB231" s="28"/>
      <c r="AC231" s="28"/>
      <c r="AD231" s="28"/>
    </row>
    <row r="232" ht="30.0" customHeight="1">
      <c r="A232" s="488"/>
      <c r="B232" s="582"/>
      <c r="C232" s="256"/>
      <c r="D232" s="582"/>
      <c r="E232" s="488"/>
      <c r="F232" s="258"/>
      <c r="G232" s="173"/>
      <c r="H232" s="173"/>
      <c r="I232" s="576"/>
      <c r="J232" s="580"/>
      <c r="K232" s="569" t="str">
        <f t="shared" si="1"/>
        <v/>
      </c>
      <c r="L232" s="572"/>
      <c r="M232" s="173"/>
      <c r="N232" s="173"/>
      <c r="O232" s="173"/>
      <c r="P232" s="573"/>
      <c r="Q232" s="573"/>
      <c r="R232" s="173"/>
      <c r="S232" s="173"/>
      <c r="T232" s="173"/>
      <c r="U232" s="173"/>
      <c r="V232" s="173"/>
      <c r="W232" s="574"/>
      <c r="X232" s="575"/>
      <c r="Y232" s="28"/>
      <c r="Z232" s="543" t="str">
        <f t="array" ref="Z232">IF(LEN(AC232),lower(concatenate("bosvendor-",'2-Building'!B$4,"-",INDEX(D:D, MATCH(AC232, J:J, 0)),INDEX(E:E, MATCH(AC232, J:J, 0)))),"")</f>
        <v/>
      </c>
      <c r="AA232" s="28"/>
      <c r="AB232" s="28"/>
      <c r="AC232" s="28"/>
      <c r="AD232" s="28"/>
    </row>
    <row r="233" ht="30.0" customHeight="1">
      <c r="A233" s="488"/>
      <c r="B233" s="582"/>
      <c r="C233" s="256"/>
      <c r="D233" s="582"/>
      <c r="E233" s="488"/>
      <c r="F233" s="258"/>
      <c r="G233" s="173"/>
      <c r="H233" s="173"/>
      <c r="I233" s="576"/>
      <c r="J233" s="580"/>
      <c r="K233" s="569" t="str">
        <f t="shared" si="1"/>
        <v/>
      </c>
      <c r="L233" s="572"/>
      <c r="M233" s="173"/>
      <c r="N233" s="173"/>
      <c r="O233" s="173"/>
      <c r="P233" s="573"/>
      <c r="Q233" s="573"/>
      <c r="R233" s="173"/>
      <c r="S233" s="173"/>
      <c r="T233" s="173"/>
      <c r="U233" s="173"/>
      <c r="V233" s="173"/>
      <c r="W233" s="574"/>
      <c r="X233" s="575"/>
      <c r="Y233" s="28"/>
      <c r="Z233" s="543" t="str">
        <f t="array" ref="Z233">IF(LEN(AC233),lower(concatenate("bosvendor-",'2-Building'!B$4,"-",INDEX(D:D, MATCH(AC233, J:J, 0)),INDEX(E:E, MATCH(AC233, J:J, 0)))),"")</f>
        <v/>
      </c>
      <c r="AA233" s="28"/>
      <c r="AB233" s="28"/>
      <c r="AC233" s="28"/>
      <c r="AD233" s="28"/>
    </row>
    <row r="234" ht="30.0" customHeight="1">
      <c r="A234" s="488"/>
      <c r="B234" s="582"/>
      <c r="C234" s="256"/>
      <c r="D234" s="582"/>
      <c r="E234" s="488"/>
      <c r="F234" s="258"/>
      <c r="G234" s="173"/>
      <c r="H234" s="173"/>
      <c r="I234" s="576"/>
      <c r="J234" s="580"/>
      <c r="K234" s="569" t="str">
        <f t="shared" si="1"/>
        <v/>
      </c>
      <c r="L234" s="572"/>
      <c r="M234" s="173"/>
      <c r="N234" s="173"/>
      <c r="O234" s="173"/>
      <c r="P234" s="573"/>
      <c r="Q234" s="573"/>
      <c r="R234" s="173"/>
      <c r="S234" s="173"/>
      <c r="T234" s="173"/>
      <c r="U234" s="173"/>
      <c r="V234" s="173"/>
      <c r="W234" s="574"/>
      <c r="X234" s="575"/>
      <c r="Y234" s="28"/>
      <c r="Z234" s="543" t="str">
        <f t="array" ref="Z234">IF(LEN(AC234),lower(concatenate("bosvendor-",'2-Building'!B$4,"-",INDEX(D:D, MATCH(AC234, J:J, 0)),INDEX(E:E, MATCH(AC234, J:J, 0)))),"")</f>
        <v/>
      </c>
      <c r="AA234" s="28"/>
      <c r="AB234" s="28"/>
      <c r="AC234" s="28"/>
      <c r="AD234" s="28"/>
    </row>
    <row r="235" ht="30.0" customHeight="1">
      <c r="A235" s="488"/>
      <c r="B235" s="582"/>
      <c r="C235" s="256"/>
      <c r="D235" s="582"/>
      <c r="E235" s="488"/>
      <c r="F235" s="258"/>
      <c r="G235" s="173"/>
      <c r="H235" s="173"/>
      <c r="I235" s="576"/>
      <c r="J235" s="580"/>
      <c r="K235" s="569" t="str">
        <f t="shared" si="1"/>
        <v/>
      </c>
      <c r="L235" s="572"/>
      <c r="M235" s="173"/>
      <c r="N235" s="173"/>
      <c r="O235" s="173"/>
      <c r="P235" s="573"/>
      <c r="Q235" s="573"/>
      <c r="R235" s="173"/>
      <c r="S235" s="173"/>
      <c r="T235" s="173"/>
      <c r="U235" s="173"/>
      <c r="V235" s="173"/>
      <c r="W235" s="574"/>
      <c r="X235" s="575"/>
      <c r="Y235" s="28"/>
      <c r="Z235" s="543" t="str">
        <f t="array" ref="Z235">IF(LEN(AC235),lower(concatenate("bosvendor-",'2-Building'!B$4,"-",INDEX(D:D, MATCH(AC235, J:J, 0)),INDEX(E:E, MATCH(AC235, J:J, 0)))),"")</f>
        <v/>
      </c>
      <c r="AA235" s="28"/>
      <c r="AB235" s="28"/>
      <c r="AC235" s="28"/>
      <c r="AD235" s="28"/>
    </row>
    <row r="236" ht="30.0" customHeight="1">
      <c r="A236" s="488"/>
      <c r="B236" s="582"/>
      <c r="C236" s="256"/>
      <c r="D236" s="582"/>
      <c r="E236" s="488"/>
      <c r="F236" s="258"/>
      <c r="G236" s="173"/>
      <c r="H236" s="173"/>
      <c r="I236" s="576"/>
      <c r="J236" s="580"/>
      <c r="K236" s="569" t="str">
        <f t="shared" si="1"/>
        <v/>
      </c>
      <c r="L236" s="572"/>
      <c r="M236" s="173"/>
      <c r="N236" s="173"/>
      <c r="O236" s="173"/>
      <c r="P236" s="573"/>
      <c r="Q236" s="573"/>
      <c r="R236" s="173"/>
      <c r="S236" s="173"/>
      <c r="T236" s="173"/>
      <c r="U236" s="173"/>
      <c r="V236" s="173"/>
      <c r="W236" s="574"/>
      <c r="X236" s="575"/>
      <c r="Y236" s="28"/>
      <c r="Z236" s="543" t="str">
        <f t="array" ref="Z236">IF(LEN(AC236),lower(concatenate("bosvendor-",'2-Building'!B$4,"-",INDEX(D:D, MATCH(AC236, J:J, 0)),INDEX(E:E, MATCH(AC236, J:J, 0)))),"")</f>
        <v/>
      </c>
      <c r="AA236" s="28"/>
      <c r="AB236" s="28"/>
      <c r="AC236" s="28"/>
      <c r="AD236" s="28"/>
    </row>
    <row r="237" ht="30.0" customHeight="1">
      <c r="A237" s="488"/>
      <c r="B237" s="582"/>
      <c r="C237" s="256"/>
      <c r="D237" s="582"/>
      <c r="E237" s="488"/>
      <c r="F237" s="258"/>
      <c r="G237" s="173"/>
      <c r="H237" s="173"/>
      <c r="I237" s="576"/>
      <c r="J237" s="580"/>
      <c r="K237" s="569" t="str">
        <f t="shared" si="1"/>
        <v/>
      </c>
      <c r="L237" s="572"/>
      <c r="M237" s="173"/>
      <c r="N237" s="173"/>
      <c r="O237" s="173"/>
      <c r="P237" s="573"/>
      <c r="Q237" s="573"/>
      <c r="R237" s="173"/>
      <c r="S237" s="173"/>
      <c r="T237" s="173"/>
      <c r="U237" s="173"/>
      <c r="V237" s="173"/>
      <c r="W237" s="574"/>
      <c r="X237" s="575"/>
      <c r="Y237" s="28"/>
      <c r="Z237" s="543" t="str">
        <f t="array" ref="Z237">IF(LEN(AC237),lower(concatenate("bosvendor-",'2-Building'!B$4,"-",INDEX(D:D, MATCH(AC237, J:J, 0)),INDEX(E:E, MATCH(AC237, J:J, 0)))),"")</f>
        <v/>
      </c>
      <c r="AA237" s="28"/>
      <c r="AB237" s="28"/>
      <c r="AC237" s="28"/>
      <c r="AD237" s="28"/>
    </row>
    <row r="238" ht="30.0" customHeight="1">
      <c r="A238" s="488"/>
      <c r="B238" s="582"/>
      <c r="C238" s="256"/>
      <c r="D238" s="582"/>
      <c r="E238" s="488"/>
      <c r="F238" s="258"/>
      <c r="G238" s="173"/>
      <c r="H238" s="173"/>
      <c r="I238" s="576"/>
      <c r="J238" s="580"/>
      <c r="K238" s="569" t="str">
        <f t="shared" si="1"/>
        <v/>
      </c>
      <c r="L238" s="572"/>
      <c r="M238" s="173"/>
      <c r="N238" s="173"/>
      <c r="O238" s="173"/>
      <c r="P238" s="573"/>
      <c r="Q238" s="573"/>
      <c r="R238" s="173"/>
      <c r="S238" s="173"/>
      <c r="T238" s="173"/>
      <c r="U238" s="173"/>
      <c r="V238" s="173"/>
      <c r="W238" s="574"/>
      <c r="X238" s="575"/>
      <c r="Y238" s="28"/>
      <c r="Z238" s="543" t="str">
        <f t="array" ref="Z238">IF(LEN(AC238),lower(concatenate("bosvendor-",'2-Building'!B$4,"-",INDEX(D:D, MATCH(AC238, J:J, 0)),INDEX(E:E, MATCH(AC238, J:J, 0)))),"")</f>
        <v/>
      </c>
      <c r="AA238" s="28"/>
      <c r="AB238" s="28"/>
      <c r="AC238" s="28"/>
      <c r="AD238" s="28"/>
    </row>
    <row r="239" ht="30.0" customHeight="1">
      <c r="A239" s="488"/>
      <c r="B239" s="582"/>
      <c r="C239" s="256"/>
      <c r="D239" s="582"/>
      <c r="E239" s="488"/>
      <c r="F239" s="258"/>
      <c r="G239" s="173"/>
      <c r="H239" s="173"/>
      <c r="I239" s="576"/>
      <c r="J239" s="580"/>
      <c r="K239" s="569" t="str">
        <f t="shared" si="1"/>
        <v/>
      </c>
      <c r="L239" s="572"/>
      <c r="M239" s="173"/>
      <c r="N239" s="173"/>
      <c r="O239" s="173"/>
      <c r="P239" s="573"/>
      <c r="Q239" s="573"/>
      <c r="R239" s="173"/>
      <c r="S239" s="173"/>
      <c r="T239" s="173"/>
      <c r="U239" s="173"/>
      <c r="V239" s="173"/>
      <c r="W239" s="574"/>
      <c r="X239" s="575"/>
      <c r="Y239" s="28"/>
      <c r="Z239" s="543" t="str">
        <f t="array" ref="Z239">IF(LEN(AC239),lower(concatenate("bosvendor-",'2-Building'!B$4,"-",INDEX(D:D, MATCH(AC239, J:J, 0)),INDEX(E:E, MATCH(AC239, J:J, 0)))),"")</f>
        <v/>
      </c>
      <c r="AA239" s="28"/>
      <c r="AB239" s="28"/>
      <c r="AC239" s="28"/>
      <c r="AD239" s="28"/>
    </row>
    <row r="240" ht="30.0" customHeight="1">
      <c r="A240" s="488"/>
      <c r="B240" s="582"/>
      <c r="C240" s="256"/>
      <c r="D240" s="582"/>
      <c r="E240" s="488"/>
      <c r="F240" s="258"/>
      <c r="G240" s="173"/>
      <c r="H240" s="173"/>
      <c r="I240" s="576"/>
      <c r="J240" s="580"/>
      <c r="K240" s="569" t="str">
        <f t="shared" si="1"/>
        <v/>
      </c>
      <c r="L240" s="572"/>
      <c r="M240" s="173"/>
      <c r="N240" s="173"/>
      <c r="O240" s="173"/>
      <c r="P240" s="573"/>
      <c r="Q240" s="573"/>
      <c r="R240" s="173"/>
      <c r="S240" s="173"/>
      <c r="T240" s="173"/>
      <c r="U240" s="173"/>
      <c r="V240" s="173"/>
      <c r="W240" s="574"/>
      <c r="X240" s="575"/>
      <c r="Y240" s="28"/>
      <c r="Z240" s="543" t="str">
        <f t="array" ref="Z240">IF(LEN(AC240),lower(concatenate("bosvendor-",'2-Building'!B$4,"-",INDEX(D:D, MATCH(AC240, J:J, 0)),INDEX(E:E, MATCH(AC240, J:J, 0)))),"")</f>
        <v/>
      </c>
      <c r="AA240" s="28"/>
      <c r="AB240" s="28"/>
      <c r="AC240" s="28"/>
      <c r="AD240" s="28"/>
    </row>
    <row r="241" ht="30.0" customHeight="1">
      <c r="A241" s="488"/>
      <c r="B241" s="582"/>
      <c r="C241" s="256"/>
      <c r="D241" s="582"/>
      <c r="E241" s="488"/>
      <c r="F241" s="258"/>
      <c r="G241" s="173"/>
      <c r="H241" s="173"/>
      <c r="I241" s="576"/>
      <c r="J241" s="580"/>
      <c r="K241" s="569" t="str">
        <f t="shared" si="1"/>
        <v/>
      </c>
      <c r="L241" s="572"/>
      <c r="M241" s="173"/>
      <c r="N241" s="173"/>
      <c r="O241" s="173"/>
      <c r="P241" s="573"/>
      <c r="Q241" s="573"/>
      <c r="R241" s="173"/>
      <c r="S241" s="173"/>
      <c r="T241" s="173"/>
      <c r="U241" s="173"/>
      <c r="V241" s="173"/>
      <c r="W241" s="574"/>
      <c r="X241" s="575"/>
      <c r="Y241" s="28"/>
      <c r="Z241" s="543" t="str">
        <f t="array" ref="Z241">IF(LEN(AC241),lower(concatenate("bosvendor-",'2-Building'!B$4,"-",INDEX(D:D, MATCH(AC241, J:J, 0)),INDEX(E:E, MATCH(AC241, J:J, 0)))),"")</f>
        <v/>
      </c>
      <c r="AA241" s="28"/>
      <c r="AB241" s="28"/>
      <c r="AC241" s="28"/>
      <c r="AD241" s="28"/>
    </row>
    <row r="242" ht="30.0" customHeight="1">
      <c r="A242" s="488"/>
      <c r="B242" s="582"/>
      <c r="C242" s="256"/>
      <c r="D242" s="582"/>
      <c r="E242" s="488"/>
      <c r="F242" s="258"/>
      <c r="G242" s="173"/>
      <c r="H242" s="173"/>
      <c r="I242" s="576"/>
      <c r="J242" s="580"/>
      <c r="K242" s="569" t="str">
        <f t="shared" si="1"/>
        <v/>
      </c>
      <c r="L242" s="572"/>
      <c r="M242" s="173"/>
      <c r="N242" s="173"/>
      <c r="O242" s="173"/>
      <c r="P242" s="573"/>
      <c r="Q242" s="573"/>
      <c r="R242" s="173"/>
      <c r="S242" s="173"/>
      <c r="T242" s="173"/>
      <c r="U242" s="173"/>
      <c r="V242" s="173"/>
      <c r="W242" s="574"/>
      <c r="X242" s="575"/>
      <c r="Y242" s="28"/>
      <c r="Z242" s="543" t="str">
        <f t="array" ref="Z242">IF(LEN(AC242),lower(concatenate("bosvendor-",'2-Building'!B$4,"-",INDEX(D:D, MATCH(AC242, J:J, 0)),INDEX(E:E, MATCH(AC242, J:J, 0)))),"")</f>
        <v/>
      </c>
      <c r="AA242" s="28"/>
      <c r="AB242" s="28"/>
      <c r="AC242" s="28"/>
      <c r="AD242" s="28"/>
    </row>
    <row r="243" ht="30.0" customHeight="1">
      <c r="A243" s="488"/>
      <c r="B243" s="582"/>
      <c r="C243" s="256"/>
      <c r="D243" s="582"/>
      <c r="E243" s="488"/>
      <c r="F243" s="258"/>
      <c r="G243" s="173"/>
      <c r="H243" s="173"/>
      <c r="I243" s="576"/>
      <c r="J243" s="580"/>
      <c r="K243" s="569" t="str">
        <f t="shared" si="1"/>
        <v/>
      </c>
      <c r="L243" s="572"/>
      <c r="M243" s="173"/>
      <c r="N243" s="173"/>
      <c r="O243" s="173"/>
      <c r="P243" s="573"/>
      <c r="Q243" s="573"/>
      <c r="R243" s="173"/>
      <c r="S243" s="173"/>
      <c r="T243" s="173"/>
      <c r="U243" s="173"/>
      <c r="V243" s="173"/>
      <c r="W243" s="574"/>
      <c r="X243" s="575"/>
      <c r="Y243" s="28"/>
      <c r="Z243" s="543" t="str">
        <f t="array" ref="Z243">IF(LEN(AC243),lower(concatenate("bosvendor-",'2-Building'!B$4,"-",INDEX(D:D, MATCH(AC243, J:J, 0)),INDEX(E:E, MATCH(AC243, J:J, 0)))),"")</f>
        <v/>
      </c>
      <c r="AA243" s="28"/>
      <c r="AB243" s="28"/>
      <c r="AC243" s="28"/>
      <c r="AD243" s="28"/>
    </row>
    <row r="244" ht="30.0" customHeight="1">
      <c r="A244" s="488"/>
      <c r="B244" s="582"/>
      <c r="C244" s="256"/>
      <c r="D244" s="582"/>
      <c r="E244" s="488"/>
      <c r="F244" s="258"/>
      <c r="G244" s="173"/>
      <c r="H244" s="173"/>
      <c r="I244" s="576"/>
      <c r="J244" s="580"/>
      <c r="K244" s="569" t="str">
        <f t="shared" si="1"/>
        <v/>
      </c>
      <c r="L244" s="572"/>
      <c r="M244" s="173"/>
      <c r="N244" s="173"/>
      <c r="O244" s="173"/>
      <c r="P244" s="573"/>
      <c r="Q244" s="573"/>
      <c r="R244" s="173"/>
      <c r="S244" s="173"/>
      <c r="T244" s="173"/>
      <c r="U244" s="173"/>
      <c r="V244" s="173"/>
      <c r="W244" s="574"/>
      <c r="X244" s="575"/>
      <c r="Y244" s="28"/>
      <c r="Z244" s="543" t="str">
        <f t="array" ref="Z244">IF(LEN(AC244),lower(concatenate("bosvendor-",'2-Building'!B$4,"-",INDEX(D:D, MATCH(AC244, J:J, 0)),INDEX(E:E, MATCH(AC244, J:J, 0)))),"")</f>
        <v/>
      </c>
      <c r="AA244" s="28"/>
      <c r="AB244" s="28"/>
      <c r="AC244" s="28"/>
      <c r="AD244" s="28"/>
    </row>
    <row r="245" ht="30.0" customHeight="1">
      <c r="A245" s="488"/>
      <c r="B245" s="582"/>
      <c r="C245" s="256"/>
      <c r="D245" s="582"/>
      <c r="E245" s="488"/>
      <c r="F245" s="258"/>
      <c r="G245" s="173"/>
      <c r="H245" s="173"/>
      <c r="I245" s="576"/>
      <c r="J245" s="580"/>
      <c r="K245" s="569" t="str">
        <f t="shared" si="1"/>
        <v/>
      </c>
      <c r="L245" s="572"/>
      <c r="M245" s="173"/>
      <c r="N245" s="173"/>
      <c r="O245" s="173"/>
      <c r="P245" s="573"/>
      <c r="Q245" s="573"/>
      <c r="R245" s="173"/>
      <c r="S245" s="173"/>
      <c r="T245" s="173"/>
      <c r="U245" s="173"/>
      <c r="V245" s="173"/>
      <c r="W245" s="574"/>
      <c r="X245" s="575"/>
      <c r="Y245" s="28"/>
      <c r="Z245" s="543" t="str">
        <f t="array" ref="Z245">IF(LEN(AC245),lower(concatenate("bosvendor-",'2-Building'!B$4,"-",INDEX(D:D, MATCH(AC245, J:J, 0)),INDEX(E:E, MATCH(AC245, J:J, 0)))),"")</f>
        <v/>
      </c>
      <c r="AA245" s="28"/>
      <c r="AB245" s="28"/>
      <c r="AC245" s="28"/>
      <c r="AD245" s="28"/>
    </row>
    <row r="246" ht="30.0" customHeight="1">
      <c r="A246" s="488"/>
      <c r="B246" s="582"/>
      <c r="C246" s="256"/>
      <c r="D246" s="582"/>
      <c r="E246" s="488"/>
      <c r="F246" s="258"/>
      <c r="G246" s="173"/>
      <c r="H246" s="173"/>
      <c r="I246" s="576"/>
      <c r="J246" s="580"/>
      <c r="K246" s="569" t="str">
        <f t="shared" si="1"/>
        <v/>
      </c>
      <c r="L246" s="572"/>
      <c r="M246" s="173"/>
      <c r="N246" s="173"/>
      <c r="O246" s="173"/>
      <c r="P246" s="573"/>
      <c r="Q246" s="573"/>
      <c r="R246" s="173"/>
      <c r="S246" s="173"/>
      <c r="T246" s="173"/>
      <c r="U246" s="173"/>
      <c r="V246" s="173"/>
      <c r="W246" s="574"/>
      <c r="X246" s="575"/>
      <c r="Y246" s="28"/>
      <c r="Z246" s="543" t="str">
        <f t="array" ref="Z246">IF(LEN(AC246),lower(concatenate("bosvendor-",'2-Building'!B$4,"-",INDEX(D:D, MATCH(AC246, J:J, 0)),INDEX(E:E, MATCH(AC246, J:J, 0)))),"")</f>
        <v/>
      </c>
      <c r="AA246" s="28"/>
      <c r="AB246" s="28"/>
      <c r="AC246" s="28"/>
      <c r="AD246" s="28"/>
    </row>
    <row r="247" ht="30.0" customHeight="1">
      <c r="A247" s="488"/>
      <c r="B247" s="582"/>
      <c r="C247" s="256"/>
      <c r="D247" s="582"/>
      <c r="E247" s="488"/>
      <c r="F247" s="258"/>
      <c r="G247" s="173"/>
      <c r="H247" s="173"/>
      <c r="I247" s="576"/>
      <c r="J247" s="580"/>
      <c r="K247" s="569" t="str">
        <f t="shared" si="1"/>
        <v/>
      </c>
      <c r="L247" s="572"/>
      <c r="M247" s="173"/>
      <c r="N247" s="173"/>
      <c r="O247" s="173"/>
      <c r="P247" s="573"/>
      <c r="Q247" s="573"/>
      <c r="R247" s="173"/>
      <c r="S247" s="173"/>
      <c r="T247" s="173"/>
      <c r="U247" s="173"/>
      <c r="V247" s="173"/>
      <c r="W247" s="574"/>
      <c r="X247" s="575"/>
      <c r="Y247" s="28"/>
      <c r="Z247" s="543" t="str">
        <f t="array" ref="Z247">IF(LEN(AC247),lower(concatenate("bosvendor-",'2-Building'!B$4,"-",INDEX(D:D, MATCH(AC247, J:J, 0)),INDEX(E:E, MATCH(AC247, J:J, 0)))),"")</f>
        <v/>
      </c>
      <c r="AA247" s="28"/>
      <c r="AB247" s="28"/>
      <c r="AC247" s="28"/>
      <c r="AD247" s="28"/>
    </row>
    <row r="248" ht="30.0" customHeight="1">
      <c r="A248" s="488"/>
      <c r="B248" s="582"/>
      <c r="C248" s="256"/>
      <c r="D248" s="582"/>
      <c r="E248" s="488"/>
      <c r="F248" s="258"/>
      <c r="G248" s="173"/>
      <c r="H248" s="173"/>
      <c r="I248" s="576"/>
      <c r="J248" s="580"/>
      <c r="K248" s="569" t="str">
        <f t="shared" si="1"/>
        <v/>
      </c>
      <c r="L248" s="572"/>
      <c r="M248" s="173"/>
      <c r="N248" s="173"/>
      <c r="O248" s="173"/>
      <c r="P248" s="573"/>
      <c r="Q248" s="573"/>
      <c r="R248" s="173"/>
      <c r="S248" s="173"/>
      <c r="T248" s="173"/>
      <c r="U248" s="173"/>
      <c r="V248" s="173"/>
      <c r="W248" s="574"/>
      <c r="X248" s="575"/>
      <c r="Y248" s="28"/>
      <c r="Z248" s="543" t="str">
        <f t="array" ref="Z248">IF(LEN(AC248),lower(concatenate("bosvendor-",'2-Building'!B$4,"-",INDEX(D:D, MATCH(AC248, J:J, 0)),INDEX(E:E, MATCH(AC248, J:J, 0)))),"")</f>
        <v/>
      </c>
      <c r="AA248" s="28"/>
      <c r="AB248" s="28"/>
      <c r="AC248" s="28"/>
      <c r="AD248" s="28"/>
    </row>
    <row r="249" ht="30.0" customHeight="1">
      <c r="A249" s="488"/>
      <c r="B249" s="582"/>
      <c r="C249" s="256"/>
      <c r="D249" s="582"/>
      <c r="E249" s="488"/>
      <c r="F249" s="258"/>
      <c r="G249" s="173"/>
      <c r="H249" s="173"/>
      <c r="I249" s="576"/>
      <c r="J249" s="580"/>
      <c r="K249" s="569" t="str">
        <f t="shared" si="1"/>
        <v/>
      </c>
      <c r="L249" s="572"/>
      <c r="M249" s="173"/>
      <c r="N249" s="173"/>
      <c r="O249" s="173"/>
      <c r="P249" s="573"/>
      <c r="Q249" s="573"/>
      <c r="R249" s="173"/>
      <c r="S249" s="173"/>
      <c r="T249" s="173"/>
      <c r="U249" s="173"/>
      <c r="V249" s="173"/>
      <c r="W249" s="574"/>
      <c r="X249" s="575"/>
      <c r="Y249" s="28"/>
      <c r="Z249" s="543" t="str">
        <f t="array" ref="Z249">IF(LEN(AC249),lower(concatenate("bosvendor-",'2-Building'!B$4,"-",INDEX(D:D, MATCH(AC249, J:J, 0)),INDEX(E:E, MATCH(AC249, J:J, 0)))),"")</f>
        <v/>
      </c>
      <c r="AA249" s="28"/>
      <c r="AB249" s="28"/>
      <c r="AC249" s="28"/>
      <c r="AD249" s="28"/>
    </row>
    <row r="250" ht="30.0" customHeight="1">
      <c r="A250" s="488"/>
      <c r="B250" s="582"/>
      <c r="C250" s="256"/>
      <c r="D250" s="582"/>
      <c r="E250" s="488"/>
      <c r="F250" s="258"/>
      <c r="G250" s="173"/>
      <c r="H250" s="173"/>
      <c r="I250" s="576"/>
      <c r="J250" s="580"/>
      <c r="K250" s="569" t="str">
        <f t="shared" si="1"/>
        <v/>
      </c>
      <c r="L250" s="572"/>
      <c r="M250" s="173"/>
      <c r="N250" s="173"/>
      <c r="O250" s="173"/>
      <c r="P250" s="573"/>
      <c r="Q250" s="573"/>
      <c r="R250" s="173"/>
      <c r="S250" s="173"/>
      <c r="T250" s="173"/>
      <c r="U250" s="173"/>
      <c r="V250" s="173"/>
      <c r="W250" s="574"/>
      <c r="X250" s="575"/>
      <c r="Y250" s="28"/>
      <c r="Z250" s="543" t="str">
        <f t="array" ref="Z250">IF(LEN(AC250),lower(concatenate("bosvendor-",'2-Building'!B$4,"-",INDEX(D:D, MATCH(AC250, J:J, 0)),INDEX(E:E, MATCH(AC250, J:J, 0)))),"")</f>
        <v/>
      </c>
      <c r="AA250" s="28"/>
      <c r="AB250" s="28"/>
      <c r="AC250" s="28"/>
      <c r="AD250" s="28"/>
    </row>
    <row r="251" ht="30.0" customHeight="1">
      <c r="A251" s="488"/>
      <c r="B251" s="582"/>
      <c r="C251" s="256"/>
      <c r="D251" s="582"/>
      <c r="E251" s="488"/>
      <c r="F251" s="258"/>
      <c r="G251" s="173"/>
      <c r="H251" s="173"/>
      <c r="I251" s="576"/>
      <c r="J251" s="580"/>
      <c r="K251" s="569" t="str">
        <f t="shared" si="1"/>
        <v/>
      </c>
      <c r="L251" s="572"/>
      <c r="M251" s="173"/>
      <c r="N251" s="173"/>
      <c r="O251" s="173"/>
      <c r="P251" s="573"/>
      <c r="Q251" s="573"/>
      <c r="R251" s="173"/>
      <c r="S251" s="173"/>
      <c r="T251" s="173"/>
      <c r="U251" s="173"/>
      <c r="V251" s="173"/>
      <c r="W251" s="574"/>
      <c r="X251" s="575"/>
      <c r="Y251" s="28"/>
      <c r="Z251" s="543" t="str">
        <f t="array" ref="Z251">IF(LEN(AC251),lower(concatenate("bosvendor-",'2-Building'!B$4,"-",INDEX(D:D, MATCH(AC251, J:J, 0)),INDEX(E:E, MATCH(AC251, J:J, 0)))),"")</f>
        <v/>
      </c>
      <c r="AA251" s="28"/>
      <c r="AB251" s="28"/>
      <c r="AC251" s="28"/>
      <c r="AD251" s="28"/>
    </row>
    <row r="252" ht="30.0" customHeight="1">
      <c r="A252" s="488"/>
      <c r="B252" s="582"/>
      <c r="C252" s="256"/>
      <c r="D252" s="582"/>
      <c r="E252" s="488"/>
      <c r="F252" s="258"/>
      <c r="G252" s="173"/>
      <c r="H252" s="173"/>
      <c r="I252" s="576"/>
      <c r="J252" s="580"/>
      <c r="K252" s="569" t="str">
        <f t="shared" si="1"/>
        <v/>
      </c>
      <c r="L252" s="572"/>
      <c r="M252" s="173"/>
      <c r="N252" s="173"/>
      <c r="O252" s="173"/>
      <c r="P252" s="573"/>
      <c r="Q252" s="573"/>
      <c r="R252" s="173"/>
      <c r="S252" s="173"/>
      <c r="T252" s="173"/>
      <c r="U252" s="173"/>
      <c r="V252" s="173"/>
      <c r="W252" s="574"/>
      <c r="X252" s="575"/>
      <c r="Y252" s="28"/>
      <c r="Z252" s="543" t="str">
        <f t="array" ref="Z252">IF(LEN(AC252),lower(concatenate("bosvendor-",'2-Building'!B$4,"-",INDEX(D:D, MATCH(AC252, J:J, 0)),INDEX(E:E, MATCH(AC252, J:J, 0)))),"")</f>
        <v/>
      </c>
      <c r="AA252" s="28"/>
      <c r="AB252" s="28"/>
      <c r="AC252" s="28"/>
      <c r="AD252" s="28"/>
    </row>
    <row r="253" ht="30.0" customHeight="1">
      <c r="A253" s="488"/>
      <c r="B253" s="582"/>
      <c r="C253" s="256"/>
      <c r="D253" s="582"/>
      <c r="E253" s="488"/>
      <c r="F253" s="258"/>
      <c r="G253" s="173"/>
      <c r="H253" s="173"/>
      <c r="I253" s="576"/>
      <c r="J253" s="580"/>
      <c r="K253" s="569" t="str">
        <f t="shared" si="1"/>
        <v/>
      </c>
      <c r="L253" s="572"/>
      <c r="M253" s="173"/>
      <c r="N253" s="173"/>
      <c r="O253" s="173"/>
      <c r="P253" s="573"/>
      <c r="Q253" s="573"/>
      <c r="R253" s="173"/>
      <c r="S253" s="173"/>
      <c r="T253" s="173"/>
      <c r="U253" s="173"/>
      <c r="V253" s="173"/>
      <c r="W253" s="574"/>
      <c r="X253" s="575"/>
      <c r="Y253" s="28"/>
      <c r="Z253" s="543" t="str">
        <f t="array" ref="Z253">IF(LEN(AC253),lower(concatenate("bosvendor-",'2-Building'!B$4,"-",INDEX(D:D, MATCH(AC253, J:J, 0)),INDEX(E:E, MATCH(AC253, J:J, 0)))),"")</f>
        <v/>
      </c>
      <c r="AA253" s="28"/>
      <c r="AB253" s="28"/>
      <c r="AC253" s="28"/>
      <c r="AD253" s="28"/>
    </row>
    <row r="254" ht="30.0" customHeight="1">
      <c r="A254" s="488"/>
      <c r="B254" s="582"/>
      <c r="C254" s="256"/>
      <c r="D254" s="582"/>
      <c r="E254" s="488"/>
      <c r="F254" s="258"/>
      <c r="G254" s="173"/>
      <c r="H254" s="173"/>
      <c r="I254" s="576"/>
      <c r="J254" s="580"/>
      <c r="K254" s="569" t="str">
        <f t="shared" si="1"/>
        <v/>
      </c>
      <c r="L254" s="572"/>
      <c r="M254" s="173"/>
      <c r="N254" s="173"/>
      <c r="O254" s="173"/>
      <c r="P254" s="573"/>
      <c r="Q254" s="573"/>
      <c r="R254" s="173"/>
      <c r="S254" s="173"/>
      <c r="T254" s="173"/>
      <c r="U254" s="173"/>
      <c r="V254" s="173"/>
      <c r="W254" s="574"/>
      <c r="X254" s="575"/>
      <c r="Y254" s="28"/>
      <c r="Z254" s="543" t="str">
        <f t="array" ref="Z254">IF(LEN(AC254),lower(concatenate("bosvendor-",'2-Building'!B$4,"-",INDEX(D:D, MATCH(AC254, J:J, 0)),INDEX(E:E, MATCH(AC254, J:J, 0)))),"")</f>
        <v/>
      </c>
      <c r="AA254" s="28"/>
      <c r="AB254" s="28"/>
      <c r="AC254" s="28"/>
      <c r="AD254" s="28"/>
    </row>
    <row r="255" ht="30.0" customHeight="1">
      <c r="A255" s="488"/>
      <c r="B255" s="582"/>
      <c r="C255" s="256"/>
      <c r="D255" s="582"/>
      <c r="E255" s="488"/>
      <c r="F255" s="258"/>
      <c r="G255" s="173"/>
      <c r="H255" s="173"/>
      <c r="I255" s="576"/>
      <c r="J255" s="580"/>
      <c r="K255" s="569" t="str">
        <f t="shared" si="1"/>
        <v/>
      </c>
      <c r="L255" s="572"/>
      <c r="M255" s="173"/>
      <c r="N255" s="173"/>
      <c r="O255" s="173"/>
      <c r="P255" s="573"/>
      <c r="Q255" s="573"/>
      <c r="R255" s="173"/>
      <c r="S255" s="173"/>
      <c r="T255" s="173"/>
      <c r="U255" s="173"/>
      <c r="V255" s="173"/>
      <c r="W255" s="574"/>
      <c r="X255" s="575"/>
      <c r="Y255" s="28"/>
      <c r="Z255" s="543" t="str">
        <f t="array" ref="Z255">IF(LEN(AC255),lower(concatenate("bosvendor-",'2-Building'!B$4,"-",INDEX(D:D, MATCH(AC255, J:J, 0)),INDEX(E:E, MATCH(AC255, J:J, 0)))),"")</f>
        <v/>
      </c>
      <c r="AA255" s="28"/>
      <c r="AB255" s="28"/>
      <c r="AC255" s="28"/>
      <c r="AD255" s="28"/>
    </row>
    <row r="256" ht="30.0" customHeight="1">
      <c r="A256" s="488"/>
      <c r="B256" s="582"/>
      <c r="C256" s="256"/>
      <c r="D256" s="582"/>
      <c r="E256" s="488"/>
      <c r="F256" s="258"/>
      <c r="G256" s="173"/>
      <c r="H256" s="173"/>
      <c r="I256" s="576"/>
      <c r="J256" s="580"/>
      <c r="K256" s="569" t="str">
        <f t="shared" si="1"/>
        <v/>
      </c>
      <c r="L256" s="572"/>
      <c r="M256" s="173"/>
      <c r="N256" s="173"/>
      <c r="O256" s="173"/>
      <c r="P256" s="573"/>
      <c r="Q256" s="573"/>
      <c r="R256" s="173"/>
      <c r="S256" s="173"/>
      <c r="T256" s="173"/>
      <c r="U256" s="173"/>
      <c r="V256" s="173"/>
      <c r="W256" s="574"/>
      <c r="X256" s="575"/>
      <c r="Y256" s="28"/>
      <c r="Z256" s="543" t="str">
        <f t="array" ref="Z256">IF(LEN(AC256),lower(concatenate("bosvendor-",'2-Building'!B$4,"-",INDEX(D:D, MATCH(AC256, J:J, 0)),INDEX(E:E, MATCH(AC256, J:J, 0)))),"")</f>
        <v/>
      </c>
      <c r="AA256" s="28"/>
      <c r="AB256" s="28"/>
      <c r="AC256" s="28"/>
      <c r="AD256" s="28"/>
    </row>
    <row r="257" ht="30.0" customHeight="1">
      <c r="A257" s="488"/>
      <c r="B257" s="582"/>
      <c r="C257" s="256"/>
      <c r="D257" s="582"/>
      <c r="E257" s="488"/>
      <c r="F257" s="258"/>
      <c r="G257" s="173"/>
      <c r="H257" s="173"/>
      <c r="I257" s="576"/>
      <c r="J257" s="580"/>
      <c r="K257" s="569" t="str">
        <f t="shared" si="1"/>
        <v/>
      </c>
      <c r="L257" s="572"/>
      <c r="M257" s="173"/>
      <c r="N257" s="173"/>
      <c r="O257" s="173"/>
      <c r="P257" s="573"/>
      <c r="Q257" s="573"/>
      <c r="R257" s="173"/>
      <c r="S257" s="173"/>
      <c r="T257" s="173"/>
      <c r="U257" s="173"/>
      <c r="V257" s="173"/>
      <c r="W257" s="574"/>
      <c r="X257" s="575"/>
      <c r="Y257" s="28"/>
      <c r="Z257" s="543" t="str">
        <f t="array" ref="Z257">IF(LEN(AC257),lower(concatenate("bosvendor-",'2-Building'!B$4,"-",INDEX(D:D, MATCH(AC257, J:J, 0)),INDEX(E:E, MATCH(AC257, J:J, 0)))),"")</f>
        <v/>
      </c>
      <c r="AA257" s="28"/>
      <c r="AB257" s="28"/>
      <c r="AC257" s="28"/>
      <c r="AD257" s="28"/>
    </row>
    <row r="258" ht="30.0" customHeight="1">
      <c r="A258" s="488"/>
      <c r="B258" s="582"/>
      <c r="C258" s="256"/>
      <c r="D258" s="582"/>
      <c r="E258" s="488"/>
      <c r="F258" s="258"/>
      <c r="G258" s="173"/>
      <c r="H258" s="173"/>
      <c r="I258" s="576"/>
      <c r="J258" s="580"/>
      <c r="K258" s="569" t="str">
        <f t="shared" si="1"/>
        <v/>
      </c>
      <c r="L258" s="572"/>
      <c r="M258" s="173"/>
      <c r="N258" s="173"/>
      <c r="O258" s="173"/>
      <c r="P258" s="573"/>
      <c r="Q258" s="573"/>
      <c r="R258" s="173"/>
      <c r="S258" s="173"/>
      <c r="T258" s="173"/>
      <c r="U258" s="173"/>
      <c r="V258" s="173"/>
      <c r="W258" s="574"/>
      <c r="X258" s="575"/>
      <c r="Y258" s="28"/>
      <c r="Z258" s="543" t="str">
        <f t="array" ref="Z258">IF(LEN(AC258),lower(concatenate("bosvendor-",'2-Building'!B$4,"-",INDEX(D:D, MATCH(AC258, J:J, 0)),INDEX(E:E, MATCH(AC258, J:J, 0)))),"")</f>
        <v/>
      </c>
      <c r="AA258" s="28"/>
      <c r="AB258" s="28"/>
      <c r="AC258" s="28"/>
      <c r="AD258" s="28"/>
    </row>
    <row r="259" ht="30.0" customHeight="1">
      <c r="A259" s="488"/>
      <c r="B259" s="582"/>
      <c r="C259" s="256"/>
      <c r="D259" s="582"/>
      <c r="E259" s="488"/>
      <c r="F259" s="258"/>
      <c r="G259" s="173"/>
      <c r="H259" s="173"/>
      <c r="I259" s="576"/>
      <c r="J259" s="580"/>
      <c r="K259" s="569" t="str">
        <f t="shared" si="1"/>
        <v/>
      </c>
      <c r="L259" s="572"/>
      <c r="M259" s="173"/>
      <c r="N259" s="173"/>
      <c r="O259" s="173"/>
      <c r="P259" s="573"/>
      <c r="Q259" s="573"/>
      <c r="R259" s="173"/>
      <c r="S259" s="173"/>
      <c r="T259" s="173"/>
      <c r="U259" s="173"/>
      <c r="V259" s="173"/>
      <c r="W259" s="574"/>
      <c r="X259" s="575"/>
      <c r="Y259" s="28"/>
      <c r="Z259" s="543" t="str">
        <f t="array" ref="Z259">IF(LEN(AC259),lower(concatenate("bosvendor-",'2-Building'!B$4,"-",INDEX(D:D, MATCH(AC259, J:J, 0)),INDEX(E:E, MATCH(AC259, J:J, 0)))),"")</f>
        <v/>
      </c>
      <c r="AA259" s="28"/>
      <c r="AB259" s="28"/>
      <c r="AC259" s="28"/>
      <c r="AD259" s="28"/>
    </row>
    <row r="260" ht="30.0" customHeight="1">
      <c r="A260" s="488"/>
      <c r="B260" s="582"/>
      <c r="C260" s="256"/>
      <c r="D260" s="582"/>
      <c r="E260" s="488"/>
      <c r="F260" s="258"/>
      <c r="G260" s="173"/>
      <c r="H260" s="173"/>
      <c r="I260" s="576"/>
      <c r="J260" s="580"/>
      <c r="K260" s="569" t="str">
        <f t="shared" si="1"/>
        <v/>
      </c>
      <c r="L260" s="572"/>
      <c r="M260" s="173"/>
      <c r="N260" s="173"/>
      <c r="O260" s="173"/>
      <c r="P260" s="573"/>
      <c r="Q260" s="573"/>
      <c r="R260" s="173"/>
      <c r="S260" s="173"/>
      <c r="T260" s="173"/>
      <c r="U260" s="173"/>
      <c r="V260" s="173"/>
      <c r="W260" s="574"/>
      <c r="X260" s="575"/>
      <c r="Y260" s="28"/>
      <c r="Z260" s="543" t="str">
        <f t="array" ref="Z260">IF(LEN(AC260),lower(concatenate("bosvendor-",'2-Building'!B$4,"-",INDEX(D:D, MATCH(AC260, J:J, 0)),INDEX(E:E, MATCH(AC260, J:J, 0)))),"")</f>
        <v/>
      </c>
      <c r="AA260" s="28"/>
      <c r="AB260" s="28"/>
      <c r="AC260" s="28"/>
      <c r="AD260" s="28"/>
    </row>
    <row r="261" ht="30.0" customHeight="1">
      <c r="A261" s="488"/>
      <c r="B261" s="582"/>
      <c r="C261" s="256"/>
      <c r="D261" s="582"/>
      <c r="E261" s="488"/>
      <c r="F261" s="258"/>
      <c r="G261" s="173"/>
      <c r="H261" s="173"/>
      <c r="I261" s="576"/>
      <c r="J261" s="580"/>
      <c r="K261" s="569" t="str">
        <f t="shared" si="1"/>
        <v/>
      </c>
      <c r="L261" s="572"/>
      <c r="M261" s="173"/>
      <c r="N261" s="173"/>
      <c r="O261" s="173"/>
      <c r="P261" s="573"/>
      <c r="Q261" s="573"/>
      <c r="R261" s="173"/>
      <c r="S261" s="173"/>
      <c r="T261" s="173"/>
      <c r="U261" s="173"/>
      <c r="V261" s="173"/>
      <c r="W261" s="574"/>
      <c r="X261" s="575"/>
      <c r="Y261" s="28"/>
      <c r="Z261" s="543" t="str">
        <f t="array" ref="Z261">IF(LEN(AC261),lower(concatenate("bosvendor-",'2-Building'!B$4,"-",INDEX(D:D, MATCH(AC261, J:J, 0)),INDEX(E:E, MATCH(AC261, J:J, 0)))),"")</f>
        <v/>
      </c>
      <c r="AA261" s="28"/>
      <c r="AB261" s="28"/>
      <c r="AC261" s="28"/>
      <c r="AD261" s="28"/>
    </row>
    <row r="262" ht="30.0" customHeight="1">
      <c r="A262" s="488"/>
      <c r="B262" s="582"/>
      <c r="C262" s="256"/>
      <c r="D262" s="582"/>
      <c r="E262" s="488"/>
      <c r="F262" s="258"/>
      <c r="G262" s="173"/>
      <c r="H262" s="173"/>
      <c r="I262" s="576"/>
      <c r="J262" s="580"/>
      <c r="K262" s="569" t="str">
        <f t="shared" si="1"/>
        <v/>
      </c>
      <c r="L262" s="572"/>
      <c r="M262" s="173"/>
      <c r="N262" s="173"/>
      <c r="O262" s="173"/>
      <c r="P262" s="573"/>
      <c r="Q262" s="573"/>
      <c r="R262" s="173"/>
      <c r="S262" s="173"/>
      <c r="T262" s="173"/>
      <c r="U262" s="173"/>
      <c r="V262" s="173"/>
      <c r="W262" s="574"/>
      <c r="X262" s="575"/>
      <c r="Y262" s="28"/>
      <c r="Z262" s="543" t="str">
        <f t="array" ref="Z262">IF(LEN(AC262),lower(concatenate("bosvendor-",'2-Building'!B$4,"-",INDEX(D:D, MATCH(AC262, J:J, 0)),INDEX(E:E, MATCH(AC262, J:J, 0)))),"")</f>
        <v/>
      </c>
      <c r="AA262" s="28"/>
      <c r="AB262" s="28"/>
      <c r="AC262" s="28"/>
      <c r="AD262" s="28"/>
    </row>
    <row r="263" ht="30.0" customHeight="1">
      <c r="A263" s="488"/>
      <c r="B263" s="582"/>
      <c r="C263" s="256"/>
      <c r="D263" s="582"/>
      <c r="E263" s="488"/>
      <c r="F263" s="258"/>
      <c r="G263" s="173"/>
      <c r="H263" s="173"/>
      <c r="I263" s="576"/>
      <c r="J263" s="580"/>
      <c r="K263" s="569" t="str">
        <f t="shared" si="1"/>
        <v/>
      </c>
      <c r="L263" s="572"/>
      <c r="M263" s="173"/>
      <c r="N263" s="173"/>
      <c r="O263" s="173"/>
      <c r="P263" s="573"/>
      <c r="Q263" s="573"/>
      <c r="R263" s="173"/>
      <c r="S263" s="173"/>
      <c r="T263" s="173"/>
      <c r="U263" s="173"/>
      <c r="V263" s="173"/>
      <c r="W263" s="574"/>
      <c r="X263" s="575"/>
      <c r="Y263" s="28"/>
      <c r="Z263" s="543" t="str">
        <f t="array" ref="Z263">IF(LEN(AC263),lower(concatenate("bosvendor-",'2-Building'!B$4,"-",INDEX(D:D, MATCH(AC263, J:J, 0)),INDEX(E:E, MATCH(AC263, J:J, 0)))),"")</f>
        <v/>
      </c>
      <c r="AA263" s="28"/>
      <c r="AB263" s="28"/>
      <c r="AC263" s="28"/>
      <c r="AD263" s="28"/>
    </row>
    <row r="264" ht="30.0" customHeight="1">
      <c r="A264" s="488"/>
      <c r="B264" s="582"/>
      <c r="C264" s="256"/>
      <c r="D264" s="582"/>
      <c r="E264" s="488"/>
      <c r="F264" s="258"/>
      <c r="G264" s="173"/>
      <c r="H264" s="173"/>
      <c r="I264" s="576"/>
      <c r="J264" s="580"/>
      <c r="K264" s="569" t="str">
        <f t="shared" si="1"/>
        <v/>
      </c>
      <c r="L264" s="572"/>
      <c r="M264" s="173"/>
      <c r="N264" s="173"/>
      <c r="O264" s="173"/>
      <c r="P264" s="573"/>
      <c r="Q264" s="573"/>
      <c r="R264" s="173"/>
      <c r="S264" s="173"/>
      <c r="T264" s="173"/>
      <c r="U264" s="173"/>
      <c r="V264" s="173"/>
      <c r="W264" s="574"/>
      <c r="X264" s="575"/>
      <c r="Y264" s="28"/>
      <c r="Z264" s="543" t="str">
        <f t="array" ref="Z264">IF(LEN(AC264),lower(concatenate("bosvendor-",'2-Building'!B$4,"-",INDEX(D:D, MATCH(AC264, J:J, 0)),INDEX(E:E, MATCH(AC264, J:J, 0)))),"")</f>
        <v/>
      </c>
      <c r="AA264" s="28"/>
      <c r="AB264" s="28"/>
      <c r="AC264" s="28"/>
      <c r="AD264" s="28"/>
    </row>
    <row r="265" ht="30.0" customHeight="1">
      <c r="A265" s="488"/>
      <c r="B265" s="582"/>
      <c r="C265" s="256"/>
      <c r="D265" s="582"/>
      <c r="E265" s="488"/>
      <c r="F265" s="258"/>
      <c r="G265" s="173"/>
      <c r="H265" s="173"/>
      <c r="I265" s="576"/>
      <c r="J265" s="580"/>
      <c r="K265" s="569" t="str">
        <f t="shared" si="1"/>
        <v/>
      </c>
      <c r="L265" s="572"/>
      <c r="M265" s="173"/>
      <c r="N265" s="173"/>
      <c r="O265" s="173"/>
      <c r="P265" s="573"/>
      <c r="Q265" s="573"/>
      <c r="R265" s="173"/>
      <c r="S265" s="173"/>
      <c r="T265" s="173"/>
      <c r="U265" s="173"/>
      <c r="V265" s="173"/>
      <c r="W265" s="574"/>
      <c r="X265" s="575"/>
      <c r="Y265" s="28"/>
      <c r="Z265" s="543" t="str">
        <f t="array" ref="Z265">IF(LEN(AC265),lower(concatenate("bosvendor-",'2-Building'!B$4,"-",INDEX(D:D, MATCH(AC265, J:J, 0)),INDEX(E:E, MATCH(AC265, J:J, 0)))),"")</f>
        <v/>
      </c>
      <c r="AA265" s="28"/>
      <c r="AB265" s="28"/>
      <c r="AC265" s="28"/>
      <c r="AD265" s="28"/>
    </row>
    <row r="266" ht="30.0" customHeight="1">
      <c r="A266" s="488"/>
      <c r="B266" s="582"/>
      <c r="C266" s="256"/>
      <c r="D266" s="582"/>
      <c r="E266" s="488"/>
      <c r="F266" s="258"/>
      <c r="G266" s="173"/>
      <c r="H266" s="173"/>
      <c r="I266" s="576"/>
      <c r="J266" s="580"/>
      <c r="K266" s="569" t="str">
        <f t="shared" si="1"/>
        <v/>
      </c>
      <c r="L266" s="572"/>
      <c r="M266" s="173"/>
      <c r="N266" s="173"/>
      <c r="O266" s="173"/>
      <c r="P266" s="573"/>
      <c r="Q266" s="573"/>
      <c r="R266" s="173"/>
      <c r="S266" s="173"/>
      <c r="T266" s="173"/>
      <c r="U266" s="173"/>
      <c r="V266" s="173"/>
      <c r="W266" s="574"/>
      <c r="X266" s="575"/>
      <c r="Y266" s="28"/>
      <c r="Z266" s="543" t="str">
        <f t="array" ref="Z266">IF(LEN(AC266),lower(concatenate("bosvendor-",'2-Building'!B$4,"-",INDEX(D:D, MATCH(AC266, J:J, 0)),INDEX(E:E, MATCH(AC266, J:J, 0)))),"")</f>
        <v/>
      </c>
      <c r="AA266" s="28"/>
      <c r="AB266" s="28"/>
      <c r="AC266" s="28"/>
      <c r="AD266" s="28"/>
    </row>
    <row r="267" ht="30.0" customHeight="1">
      <c r="A267" s="488"/>
      <c r="B267" s="582"/>
      <c r="C267" s="256"/>
      <c r="D267" s="582"/>
      <c r="E267" s="488"/>
      <c r="F267" s="258"/>
      <c r="G267" s="173"/>
      <c r="H267" s="173"/>
      <c r="I267" s="576"/>
      <c r="J267" s="580"/>
      <c r="K267" s="569" t="str">
        <f t="shared" si="1"/>
        <v/>
      </c>
      <c r="L267" s="572"/>
      <c r="M267" s="173"/>
      <c r="N267" s="173"/>
      <c r="O267" s="173"/>
      <c r="P267" s="573"/>
      <c r="Q267" s="573"/>
      <c r="R267" s="173"/>
      <c r="S267" s="173"/>
      <c r="T267" s="173"/>
      <c r="U267" s="173"/>
      <c r="V267" s="173"/>
      <c r="W267" s="574"/>
      <c r="X267" s="575"/>
      <c r="Y267" s="28"/>
      <c r="Z267" s="543" t="str">
        <f t="array" ref="Z267">IF(LEN(AC267),lower(concatenate("bosvendor-",'2-Building'!B$4,"-",INDEX(D:D, MATCH(AC267, J:J, 0)),INDEX(E:E, MATCH(AC267, J:J, 0)))),"")</f>
        <v/>
      </c>
      <c r="AA267" s="28"/>
      <c r="AB267" s="28"/>
      <c r="AC267" s="28"/>
      <c r="AD267" s="28"/>
    </row>
    <row r="268" ht="30.0" customHeight="1">
      <c r="A268" s="488"/>
      <c r="B268" s="582"/>
      <c r="C268" s="256"/>
      <c r="D268" s="582"/>
      <c r="E268" s="488"/>
      <c r="F268" s="258"/>
      <c r="G268" s="173"/>
      <c r="H268" s="173"/>
      <c r="I268" s="576"/>
      <c r="J268" s="580"/>
      <c r="K268" s="569" t="str">
        <f t="shared" si="1"/>
        <v/>
      </c>
      <c r="L268" s="572"/>
      <c r="M268" s="173"/>
      <c r="N268" s="173"/>
      <c r="O268" s="173"/>
      <c r="P268" s="573"/>
      <c r="Q268" s="573"/>
      <c r="R268" s="173"/>
      <c r="S268" s="173"/>
      <c r="T268" s="173"/>
      <c r="U268" s="173"/>
      <c r="V268" s="173"/>
      <c r="W268" s="574"/>
      <c r="X268" s="575"/>
      <c r="Y268" s="28"/>
      <c r="Z268" s="543" t="str">
        <f t="array" ref="Z268">IF(LEN(AC268),lower(concatenate("bosvendor-",'2-Building'!B$4,"-",INDEX(D:D, MATCH(AC268, J:J, 0)),INDEX(E:E, MATCH(AC268, J:J, 0)))),"")</f>
        <v/>
      </c>
      <c r="AA268" s="28"/>
      <c r="AB268" s="28"/>
      <c r="AC268" s="28"/>
      <c r="AD268" s="28"/>
    </row>
    <row r="269" ht="30.0" customHeight="1">
      <c r="A269" s="488"/>
      <c r="B269" s="582"/>
      <c r="C269" s="256"/>
      <c r="D269" s="582"/>
      <c r="E269" s="488"/>
      <c r="F269" s="258"/>
      <c r="G269" s="173"/>
      <c r="H269" s="173"/>
      <c r="I269" s="576"/>
      <c r="J269" s="580"/>
      <c r="K269" s="569" t="str">
        <f t="shared" si="1"/>
        <v/>
      </c>
      <c r="L269" s="572"/>
      <c r="M269" s="173"/>
      <c r="N269" s="173"/>
      <c r="O269" s="173"/>
      <c r="P269" s="573"/>
      <c r="Q269" s="573"/>
      <c r="R269" s="173"/>
      <c r="S269" s="173"/>
      <c r="T269" s="173"/>
      <c r="U269" s="173"/>
      <c r="V269" s="173"/>
      <c r="W269" s="574"/>
      <c r="X269" s="575"/>
      <c r="Y269" s="28"/>
      <c r="Z269" s="543" t="str">
        <f t="array" ref="Z269">IF(LEN(AC269),lower(concatenate("bosvendor-",'2-Building'!B$4,"-",INDEX(D:D, MATCH(AC269, J:J, 0)),INDEX(E:E, MATCH(AC269, J:J, 0)))),"")</f>
        <v/>
      </c>
      <c r="AA269" s="28"/>
      <c r="AB269" s="28"/>
      <c r="AC269" s="28"/>
      <c r="AD269" s="28"/>
    </row>
    <row r="270" ht="30.0" customHeight="1">
      <c r="A270" s="488"/>
      <c r="B270" s="582"/>
      <c r="C270" s="256"/>
      <c r="D270" s="582"/>
      <c r="E270" s="488"/>
      <c r="F270" s="258"/>
      <c r="G270" s="173"/>
      <c r="H270" s="173"/>
      <c r="I270" s="576"/>
      <c r="J270" s="580"/>
      <c r="K270" s="569" t="str">
        <f t="shared" si="1"/>
        <v/>
      </c>
      <c r="L270" s="572"/>
      <c r="M270" s="173"/>
      <c r="N270" s="173"/>
      <c r="O270" s="173"/>
      <c r="P270" s="573"/>
      <c r="Q270" s="573"/>
      <c r="R270" s="173"/>
      <c r="S270" s="173"/>
      <c r="T270" s="173"/>
      <c r="U270" s="173"/>
      <c r="V270" s="173"/>
      <c r="W270" s="574"/>
      <c r="X270" s="575"/>
      <c r="Y270" s="28"/>
      <c r="Z270" s="543" t="str">
        <f t="array" ref="Z270">IF(LEN(AC270),lower(concatenate("bosvendor-",'2-Building'!B$4,"-",INDEX(D:D, MATCH(AC270, J:J, 0)),INDEX(E:E, MATCH(AC270, J:J, 0)))),"")</f>
        <v/>
      </c>
      <c r="AA270" s="28"/>
      <c r="AB270" s="28"/>
      <c r="AC270" s="28"/>
      <c r="AD270" s="28"/>
    </row>
    <row r="271" ht="30.0" customHeight="1">
      <c r="A271" s="488"/>
      <c r="B271" s="582"/>
      <c r="C271" s="256"/>
      <c r="D271" s="582"/>
      <c r="E271" s="488"/>
      <c r="F271" s="258"/>
      <c r="G271" s="173"/>
      <c r="H271" s="173"/>
      <c r="I271" s="576"/>
      <c r="J271" s="580"/>
      <c r="K271" s="569" t="str">
        <f t="shared" si="1"/>
        <v/>
      </c>
      <c r="L271" s="572"/>
      <c r="M271" s="173"/>
      <c r="N271" s="173"/>
      <c r="O271" s="173"/>
      <c r="P271" s="573"/>
      <c r="Q271" s="573"/>
      <c r="R271" s="173"/>
      <c r="S271" s="173"/>
      <c r="T271" s="173"/>
      <c r="U271" s="173"/>
      <c r="V271" s="173"/>
      <c r="W271" s="574"/>
      <c r="X271" s="575"/>
      <c r="Y271" s="28"/>
      <c r="Z271" s="543" t="str">
        <f t="array" ref="Z271">IF(LEN(AC271),lower(concatenate("bosvendor-",'2-Building'!B$4,"-",INDEX(D:D, MATCH(AC271, J:J, 0)),INDEX(E:E, MATCH(AC271, J:J, 0)))),"")</f>
        <v/>
      </c>
      <c r="AA271" s="28"/>
      <c r="AB271" s="28"/>
      <c r="AC271" s="28"/>
      <c r="AD271" s="28"/>
    </row>
    <row r="272" ht="30.0" customHeight="1">
      <c r="A272" s="488"/>
      <c r="B272" s="582"/>
      <c r="C272" s="256"/>
      <c r="D272" s="582"/>
      <c r="E272" s="488"/>
      <c r="F272" s="258"/>
      <c r="G272" s="173"/>
      <c r="H272" s="173"/>
      <c r="I272" s="576"/>
      <c r="J272" s="580"/>
      <c r="K272" s="569" t="str">
        <f t="shared" si="1"/>
        <v/>
      </c>
      <c r="L272" s="572"/>
      <c r="M272" s="173"/>
      <c r="N272" s="173"/>
      <c r="O272" s="173"/>
      <c r="P272" s="573"/>
      <c r="Q272" s="573"/>
      <c r="R272" s="173"/>
      <c r="S272" s="173"/>
      <c r="T272" s="173"/>
      <c r="U272" s="173"/>
      <c r="V272" s="173"/>
      <c r="W272" s="574"/>
      <c r="X272" s="575"/>
      <c r="Y272" s="28"/>
      <c r="Z272" s="543" t="str">
        <f t="array" ref="Z272">IF(LEN(AC272),lower(concatenate("bosvendor-",'2-Building'!B$4,"-",INDEX(D:D, MATCH(AC272, J:J, 0)),INDEX(E:E, MATCH(AC272, J:J, 0)))),"")</f>
        <v/>
      </c>
      <c r="AA272" s="28"/>
      <c r="AB272" s="28"/>
      <c r="AC272" s="28"/>
      <c r="AD272" s="28"/>
    </row>
    <row r="273" ht="30.0" customHeight="1">
      <c r="A273" s="488"/>
      <c r="B273" s="582"/>
      <c r="C273" s="256"/>
      <c r="D273" s="582"/>
      <c r="E273" s="488"/>
      <c r="F273" s="258"/>
      <c r="G273" s="173"/>
      <c r="H273" s="173"/>
      <c r="I273" s="576"/>
      <c r="J273" s="580"/>
      <c r="K273" s="569" t="str">
        <f t="shared" si="1"/>
        <v/>
      </c>
      <c r="L273" s="572"/>
      <c r="M273" s="173"/>
      <c r="N273" s="173"/>
      <c r="O273" s="173"/>
      <c r="P273" s="573"/>
      <c r="Q273" s="573"/>
      <c r="R273" s="173"/>
      <c r="S273" s="173"/>
      <c r="T273" s="173"/>
      <c r="U273" s="173"/>
      <c r="V273" s="173"/>
      <c r="W273" s="574"/>
      <c r="X273" s="575"/>
      <c r="Y273" s="28"/>
      <c r="Z273" s="543" t="str">
        <f t="array" ref="Z273">IF(LEN(AC273),lower(concatenate("bosvendor-",'2-Building'!B$4,"-",INDEX(D:D, MATCH(AC273, J:J, 0)),INDEX(E:E, MATCH(AC273, J:J, 0)))),"")</f>
        <v/>
      </c>
      <c r="AA273" s="28"/>
      <c r="AB273" s="28"/>
      <c r="AC273" s="28"/>
      <c r="AD273" s="28"/>
    </row>
    <row r="274" ht="30.0" customHeight="1">
      <c r="A274" s="488"/>
      <c r="B274" s="582"/>
      <c r="C274" s="256"/>
      <c r="D274" s="582"/>
      <c r="E274" s="488"/>
      <c r="F274" s="258"/>
      <c r="G274" s="173"/>
      <c r="H274" s="173"/>
      <c r="I274" s="576"/>
      <c r="J274" s="580"/>
      <c r="K274" s="569" t="str">
        <f t="shared" si="1"/>
        <v/>
      </c>
      <c r="L274" s="572"/>
      <c r="M274" s="173"/>
      <c r="N274" s="173"/>
      <c r="O274" s="173"/>
      <c r="P274" s="573"/>
      <c r="Q274" s="573"/>
      <c r="R274" s="173"/>
      <c r="S274" s="173"/>
      <c r="T274" s="173"/>
      <c r="U274" s="173"/>
      <c r="V274" s="173"/>
      <c r="W274" s="574"/>
      <c r="X274" s="575"/>
      <c r="Y274" s="28"/>
      <c r="Z274" s="543" t="str">
        <f t="array" ref="Z274">IF(LEN(AC274),lower(concatenate("bosvendor-",'2-Building'!B$4,"-",INDEX(D:D, MATCH(AC274, J:J, 0)),INDEX(E:E, MATCH(AC274, J:J, 0)))),"")</f>
        <v/>
      </c>
      <c r="AA274" s="28"/>
      <c r="AB274" s="28"/>
      <c r="AC274" s="28"/>
      <c r="AD274" s="28"/>
    </row>
    <row r="275" ht="30.0" customHeight="1">
      <c r="A275" s="488"/>
      <c r="B275" s="582"/>
      <c r="C275" s="256"/>
      <c r="D275" s="582"/>
      <c r="E275" s="488"/>
      <c r="F275" s="258"/>
      <c r="G275" s="173"/>
      <c r="H275" s="173"/>
      <c r="I275" s="576"/>
      <c r="J275" s="580"/>
      <c r="K275" s="569" t="str">
        <f t="shared" si="1"/>
        <v/>
      </c>
      <c r="L275" s="572"/>
      <c r="M275" s="173"/>
      <c r="N275" s="173"/>
      <c r="O275" s="173"/>
      <c r="P275" s="573"/>
      <c r="Q275" s="573"/>
      <c r="R275" s="173"/>
      <c r="S275" s="173"/>
      <c r="T275" s="173"/>
      <c r="U275" s="173"/>
      <c r="V275" s="173"/>
      <c r="W275" s="574"/>
      <c r="X275" s="575"/>
      <c r="Y275" s="28"/>
      <c r="Z275" s="543" t="str">
        <f t="array" ref="Z275">IF(LEN(AC275),lower(concatenate("bosvendor-",'2-Building'!B$4,"-",INDEX(D:D, MATCH(AC275, J:J, 0)),INDEX(E:E, MATCH(AC275, J:J, 0)))),"")</f>
        <v/>
      </c>
      <c r="AA275" s="28"/>
      <c r="AB275" s="28"/>
      <c r="AC275" s="28"/>
      <c r="AD275" s="28"/>
    </row>
    <row r="276" ht="30.0" customHeight="1">
      <c r="A276" s="488"/>
      <c r="B276" s="582"/>
      <c r="C276" s="256"/>
      <c r="D276" s="582"/>
      <c r="E276" s="488"/>
      <c r="F276" s="258"/>
      <c r="G276" s="173"/>
      <c r="H276" s="173"/>
      <c r="I276" s="576"/>
      <c r="J276" s="580"/>
      <c r="K276" s="569" t="str">
        <f t="shared" si="1"/>
        <v/>
      </c>
      <c r="L276" s="572"/>
      <c r="M276" s="173"/>
      <c r="N276" s="173"/>
      <c r="O276" s="173"/>
      <c r="P276" s="573"/>
      <c r="Q276" s="573"/>
      <c r="R276" s="173"/>
      <c r="S276" s="173"/>
      <c r="T276" s="173"/>
      <c r="U276" s="173"/>
      <c r="V276" s="173"/>
      <c r="W276" s="574"/>
      <c r="X276" s="575"/>
      <c r="Y276" s="28"/>
      <c r="Z276" s="543" t="str">
        <f t="array" ref="Z276">IF(LEN(AC276),lower(concatenate("bosvendor-",'2-Building'!B$4,"-",INDEX(D:D, MATCH(AC276, J:J, 0)),INDEX(E:E, MATCH(AC276, J:J, 0)))),"")</f>
        <v/>
      </c>
      <c r="AA276" s="28"/>
      <c r="AB276" s="28"/>
      <c r="AC276" s="28"/>
      <c r="AD276" s="28"/>
    </row>
    <row r="277" ht="30.0" customHeight="1">
      <c r="A277" s="488"/>
      <c r="B277" s="582"/>
      <c r="C277" s="256"/>
      <c r="D277" s="582"/>
      <c r="E277" s="488"/>
      <c r="F277" s="258"/>
      <c r="G277" s="173"/>
      <c r="H277" s="173"/>
      <c r="I277" s="576"/>
      <c r="J277" s="580"/>
      <c r="K277" s="569" t="str">
        <f t="shared" si="1"/>
        <v/>
      </c>
      <c r="L277" s="572"/>
      <c r="M277" s="173"/>
      <c r="N277" s="173"/>
      <c r="O277" s="173"/>
      <c r="P277" s="573"/>
      <c r="Q277" s="573"/>
      <c r="R277" s="173"/>
      <c r="S277" s="173"/>
      <c r="T277" s="173"/>
      <c r="U277" s="173"/>
      <c r="V277" s="173"/>
      <c r="W277" s="574"/>
      <c r="X277" s="575"/>
      <c r="Y277" s="28"/>
      <c r="Z277" s="543" t="str">
        <f t="array" ref="Z277">IF(LEN(AC277),lower(concatenate("bosvendor-",'2-Building'!B$4,"-",INDEX(D:D, MATCH(AC277, J:J, 0)),INDEX(E:E, MATCH(AC277, J:J, 0)))),"")</f>
        <v/>
      </c>
      <c r="AA277" s="28"/>
      <c r="AB277" s="28"/>
      <c r="AC277" s="28"/>
      <c r="AD277" s="28"/>
    </row>
    <row r="278" ht="30.0" customHeight="1">
      <c r="A278" s="488"/>
      <c r="B278" s="582"/>
      <c r="C278" s="256"/>
      <c r="D278" s="582"/>
      <c r="E278" s="488"/>
      <c r="F278" s="258"/>
      <c r="G278" s="173"/>
      <c r="H278" s="173"/>
      <c r="I278" s="576"/>
      <c r="J278" s="580"/>
      <c r="K278" s="569" t="str">
        <f t="shared" si="1"/>
        <v/>
      </c>
      <c r="L278" s="572"/>
      <c r="M278" s="173"/>
      <c r="N278" s="173"/>
      <c r="O278" s="173"/>
      <c r="P278" s="573"/>
      <c r="Q278" s="573"/>
      <c r="R278" s="173"/>
      <c r="S278" s="173"/>
      <c r="T278" s="173"/>
      <c r="U278" s="173"/>
      <c r="V278" s="173"/>
      <c r="W278" s="574"/>
      <c r="X278" s="575"/>
      <c r="Y278" s="28"/>
      <c r="Z278" s="543" t="str">
        <f t="array" ref="Z278">IF(LEN(AC278),lower(concatenate("bosvendor-",'2-Building'!B$4,"-",INDEX(D:D, MATCH(AC278, J:J, 0)),INDEX(E:E, MATCH(AC278, J:J, 0)))),"")</f>
        <v/>
      </c>
      <c r="AA278" s="28"/>
      <c r="AB278" s="28"/>
      <c r="AC278" s="28"/>
      <c r="AD278" s="28"/>
    </row>
    <row r="279" ht="30.0" customHeight="1">
      <c r="A279" s="488"/>
      <c r="B279" s="582"/>
      <c r="C279" s="256"/>
      <c r="D279" s="582"/>
      <c r="E279" s="488"/>
      <c r="F279" s="258"/>
      <c r="G279" s="173"/>
      <c r="H279" s="173"/>
      <c r="I279" s="576"/>
      <c r="J279" s="580"/>
      <c r="K279" s="569" t="str">
        <f t="shared" si="1"/>
        <v/>
      </c>
      <c r="L279" s="572"/>
      <c r="M279" s="173"/>
      <c r="N279" s="173"/>
      <c r="O279" s="173"/>
      <c r="P279" s="573"/>
      <c r="Q279" s="573"/>
      <c r="R279" s="173"/>
      <c r="S279" s="173"/>
      <c r="T279" s="173"/>
      <c r="U279" s="173"/>
      <c r="V279" s="173"/>
      <c r="W279" s="574"/>
      <c r="X279" s="575"/>
      <c r="Y279" s="28"/>
      <c r="Z279" s="543" t="str">
        <f t="array" ref="Z279">IF(LEN(AC279),lower(concatenate("bosvendor-",'2-Building'!B$4,"-",INDEX(D:D, MATCH(AC279, J:J, 0)),INDEX(E:E, MATCH(AC279, J:J, 0)))),"")</f>
        <v/>
      </c>
      <c r="AA279" s="28"/>
      <c r="AB279" s="28"/>
      <c r="AC279" s="28"/>
      <c r="AD279" s="28"/>
    </row>
    <row r="280" ht="30.0" customHeight="1">
      <c r="A280" s="488"/>
      <c r="B280" s="582"/>
      <c r="C280" s="256"/>
      <c r="D280" s="582"/>
      <c r="E280" s="488"/>
      <c r="F280" s="258"/>
      <c r="G280" s="173"/>
      <c r="H280" s="173"/>
      <c r="I280" s="576"/>
      <c r="J280" s="580"/>
      <c r="K280" s="569" t="str">
        <f t="shared" si="1"/>
        <v/>
      </c>
      <c r="L280" s="572"/>
      <c r="M280" s="173"/>
      <c r="N280" s="173"/>
      <c r="O280" s="173"/>
      <c r="P280" s="573"/>
      <c r="Q280" s="573"/>
      <c r="R280" s="173"/>
      <c r="S280" s="173"/>
      <c r="T280" s="173"/>
      <c r="U280" s="173"/>
      <c r="V280" s="173"/>
      <c r="W280" s="574"/>
      <c r="X280" s="575"/>
      <c r="Y280" s="28"/>
      <c r="Z280" s="543" t="str">
        <f t="array" ref="Z280">IF(LEN(AC280),lower(concatenate("bosvendor-",'2-Building'!B$4,"-",INDEX(D:D, MATCH(AC280, J:J, 0)),INDEX(E:E, MATCH(AC280, J:J, 0)))),"")</f>
        <v/>
      </c>
      <c r="AA280" s="28"/>
      <c r="AB280" s="28"/>
      <c r="AC280" s="28"/>
      <c r="AD280" s="28"/>
    </row>
    <row r="281" ht="30.0" customHeight="1">
      <c r="A281" s="488"/>
      <c r="B281" s="582"/>
      <c r="C281" s="256"/>
      <c r="D281" s="582"/>
      <c r="E281" s="488"/>
      <c r="F281" s="258"/>
      <c r="G281" s="173"/>
      <c r="H281" s="173"/>
      <c r="I281" s="576"/>
      <c r="J281" s="580"/>
      <c r="K281" s="569" t="str">
        <f t="shared" si="1"/>
        <v/>
      </c>
      <c r="L281" s="572"/>
      <c r="M281" s="173"/>
      <c r="N281" s="173"/>
      <c r="O281" s="173"/>
      <c r="P281" s="573"/>
      <c r="Q281" s="573"/>
      <c r="R281" s="173"/>
      <c r="S281" s="173"/>
      <c r="T281" s="173"/>
      <c r="U281" s="173"/>
      <c r="V281" s="173"/>
      <c r="W281" s="574"/>
      <c r="X281" s="575"/>
      <c r="Y281" s="28"/>
      <c r="Z281" s="543" t="str">
        <f t="array" ref="Z281">IF(LEN(AC281),lower(concatenate("bosvendor-",'2-Building'!B$4,"-",INDEX(D:D, MATCH(AC281, J:J, 0)),INDEX(E:E, MATCH(AC281, J:J, 0)))),"")</f>
        <v/>
      </c>
      <c r="AA281" s="28"/>
      <c r="AB281" s="28"/>
      <c r="AC281" s="28"/>
      <c r="AD281" s="28"/>
    </row>
    <row r="282" ht="30.0" customHeight="1">
      <c r="A282" s="488"/>
      <c r="B282" s="582"/>
      <c r="C282" s="256"/>
      <c r="D282" s="582"/>
      <c r="E282" s="488"/>
      <c r="F282" s="258"/>
      <c r="G282" s="173"/>
      <c r="H282" s="173"/>
      <c r="I282" s="576"/>
      <c r="J282" s="580"/>
      <c r="K282" s="569" t="str">
        <f t="shared" si="1"/>
        <v/>
      </c>
      <c r="L282" s="572"/>
      <c r="M282" s="173"/>
      <c r="N282" s="173"/>
      <c r="O282" s="173"/>
      <c r="P282" s="573"/>
      <c r="Q282" s="573"/>
      <c r="R282" s="173"/>
      <c r="S282" s="173"/>
      <c r="T282" s="173"/>
      <c r="U282" s="173"/>
      <c r="V282" s="173"/>
      <c r="W282" s="574"/>
      <c r="X282" s="575"/>
      <c r="Y282" s="28"/>
      <c r="Z282" s="543" t="str">
        <f t="array" ref="Z282">IF(LEN(AC282),lower(concatenate("bosvendor-",'2-Building'!B$4,"-",INDEX(D:D, MATCH(AC282, J:J, 0)),INDEX(E:E, MATCH(AC282, J:J, 0)))),"")</f>
        <v/>
      </c>
      <c r="AA282" s="28"/>
      <c r="AB282" s="28"/>
      <c r="AC282" s="28"/>
      <c r="AD282" s="28"/>
    </row>
    <row r="283" ht="30.0" customHeight="1">
      <c r="A283" s="488"/>
      <c r="B283" s="582"/>
      <c r="C283" s="256"/>
      <c r="D283" s="582"/>
      <c r="E283" s="488"/>
      <c r="F283" s="258"/>
      <c r="G283" s="173"/>
      <c r="H283" s="173"/>
      <c r="I283" s="576"/>
      <c r="J283" s="580"/>
      <c r="K283" s="569" t="str">
        <f t="shared" si="1"/>
        <v/>
      </c>
      <c r="L283" s="572"/>
      <c r="M283" s="173"/>
      <c r="N283" s="173"/>
      <c r="O283" s="173"/>
      <c r="P283" s="573"/>
      <c r="Q283" s="573"/>
      <c r="R283" s="173"/>
      <c r="S283" s="173"/>
      <c r="T283" s="173"/>
      <c r="U283" s="173"/>
      <c r="V283" s="173"/>
      <c r="W283" s="574"/>
      <c r="X283" s="575"/>
      <c r="Y283" s="28"/>
      <c r="Z283" s="543" t="str">
        <f t="array" ref="Z283">IF(LEN(AC283),lower(concatenate("bosvendor-",'2-Building'!B$4,"-",INDEX(D:D, MATCH(AC283, J:J, 0)),INDEX(E:E, MATCH(AC283, J:J, 0)))),"")</f>
        <v/>
      </c>
      <c r="AA283" s="28"/>
      <c r="AB283" s="28"/>
      <c r="AC283" s="28"/>
      <c r="AD283" s="28"/>
    </row>
    <row r="284" ht="30.0" customHeight="1">
      <c r="A284" s="488"/>
      <c r="B284" s="582"/>
      <c r="C284" s="256"/>
      <c r="D284" s="582"/>
      <c r="E284" s="488"/>
      <c r="F284" s="258"/>
      <c r="G284" s="173"/>
      <c r="H284" s="173"/>
      <c r="I284" s="576"/>
      <c r="J284" s="580"/>
      <c r="K284" s="569" t="str">
        <f t="shared" si="1"/>
        <v/>
      </c>
      <c r="L284" s="572"/>
      <c r="M284" s="173"/>
      <c r="N284" s="173"/>
      <c r="O284" s="173"/>
      <c r="P284" s="573"/>
      <c r="Q284" s="573"/>
      <c r="R284" s="173"/>
      <c r="S284" s="173"/>
      <c r="T284" s="173"/>
      <c r="U284" s="173"/>
      <c r="V284" s="173"/>
      <c r="W284" s="574"/>
      <c r="X284" s="575"/>
      <c r="Y284" s="28"/>
      <c r="Z284" s="543" t="str">
        <f t="array" ref="Z284">IF(LEN(AC284),lower(concatenate("bosvendor-",'2-Building'!B$4,"-",INDEX(D:D, MATCH(AC284, J:J, 0)),INDEX(E:E, MATCH(AC284, J:J, 0)))),"")</f>
        <v/>
      </c>
      <c r="AA284" s="28"/>
      <c r="AB284" s="28"/>
      <c r="AC284" s="28"/>
      <c r="AD284" s="28"/>
    </row>
    <row r="285" ht="30.0" customHeight="1">
      <c r="A285" s="488"/>
      <c r="B285" s="582"/>
      <c r="C285" s="256"/>
      <c r="D285" s="582"/>
      <c r="E285" s="488"/>
      <c r="F285" s="258"/>
      <c r="G285" s="173"/>
      <c r="H285" s="173"/>
      <c r="I285" s="576"/>
      <c r="J285" s="580"/>
      <c r="K285" s="569" t="str">
        <f t="shared" si="1"/>
        <v/>
      </c>
      <c r="L285" s="572"/>
      <c r="M285" s="173"/>
      <c r="N285" s="173"/>
      <c r="O285" s="173"/>
      <c r="P285" s="573"/>
      <c r="Q285" s="573"/>
      <c r="R285" s="173"/>
      <c r="S285" s="173"/>
      <c r="T285" s="173"/>
      <c r="U285" s="173"/>
      <c r="V285" s="173"/>
      <c r="W285" s="574"/>
      <c r="X285" s="575"/>
      <c r="Y285" s="28"/>
      <c r="Z285" s="543" t="str">
        <f t="array" ref="Z285">IF(LEN(AC285),lower(concatenate("bosvendor-",'2-Building'!B$4,"-",INDEX(D:D, MATCH(AC285, J:J, 0)),INDEX(E:E, MATCH(AC285, J:J, 0)))),"")</f>
        <v/>
      </c>
      <c r="AA285" s="28"/>
      <c r="AB285" s="28"/>
      <c r="AC285" s="28"/>
      <c r="AD285" s="28"/>
    </row>
    <row r="286" ht="30.0" customHeight="1">
      <c r="A286" s="488"/>
      <c r="B286" s="582"/>
      <c r="C286" s="256"/>
      <c r="D286" s="582"/>
      <c r="E286" s="488"/>
      <c r="F286" s="258"/>
      <c r="G286" s="173"/>
      <c r="H286" s="173"/>
      <c r="I286" s="576"/>
      <c r="J286" s="580"/>
      <c r="K286" s="569" t="str">
        <f t="shared" si="1"/>
        <v/>
      </c>
      <c r="L286" s="572"/>
      <c r="M286" s="173"/>
      <c r="N286" s="173"/>
      <c r="O286" s="173"/>
      <c r="P286" s="573"/>
      <c r="Q286" s="573"/>
      <c r="R286" s="173"/>
      <c r="S286" s="173"/>
      <c r="T286" s="173"/>
      <c r="U286" s="173"/>
      <c r="V286" s="173"/>
      <c r="W286" s="574"/>
      <c r="X286" s="575"/>
      <c r="Y286" s="28"/>
      <c r="Z286" s="543" t="str">
        <f t="array" ref="Z286">IF(LEN(AC286),lower(concatenate("bosvendor-",'2-Building'!B$4,"-",INDEX(D:D, MATCH(AC286, J:J, 0)),INDEX(E:E, MATCH(AC286, J:J, 0)))),"")</f>
        <v/>
      </c>
      <c r="AA286" s="28"/>
      <c r="AB286" s="28"/>
      <c r="AC286" s="28"/>
      <c r="AD286" s="28"/>
    </row>
    <row r="287" ht="30.0" customHeight="1">
      <c r="A287" s="488"/>
      <c r="B287" s="582"/>
      <c r="C287" s="256"/>
      <c r="D287" s="582"/>
      <c r="E287" s="488"/>
      <c r="F287" s="258"/>
      <c r="G287" s="173"/>
      <c r="H287" s="173"/>
      <c r="I287" s="576"/>
      <c r="J287" s="580"/>
      <c r="K287" s="569" t="str">
        <f t="shared" si="1"/>
        <v/>
      </c>
      <c r="L287" s="572"/>
      <c r="M287" s="173"/>
      <c r="N287" s="173"/>
      <c r="O287" s="173"/>
      <c r="P287" s="573"/>
      <c r="Q287" s="573"/>
      <c r="R287" s="173"/>
      <c r="S287" s="173"/>
      <c r="T287" s="173"/>
      <c r="U287" s="173"/>
      <c r="V287" s="173"/>
      <c r="W287" s="574"/>
      <c r="X287" s="575"/>
      <c r="Y287" s="28"/>
      <c r="Z287" s="543" t="str">
        <f t="array" ref="Z287">IF(LEN(AC287),lower(concatenate("bosvendor-",'2-Building'!B$4,"-",INDEX(D:D, MATCH(AC287, J:J, 0)),INDEX(E:E, MATCH(AC287, J:J, 0)))),"")</f>
        <v/>
      </c>
      <c r="AA287" s="28"/>
      <c r="AB287" s="28"/>
      <c r="AC287" s="28"/>
      <c r="AD287" s="28"/>
    </row>
    <row r="288" ht="30.0" customHeight="1">
      <c r="A288" s="488"/>
      <c r="B288" s="582"/>
      <c r="C288" s="256"/>
      <c r="D288" s="582"/>
      <c r="E288" s="488"/>
      <c r="F288" s="258"/>
      <c r="G288" s="173"/>
      <c r="H288" s="173"/>
      <c r="I288" s="576"/>
      <c r="J288" s="580"/>
      <c r="K288" s="569" t="str">
        <f t="shared" si="1"/>
        <v/>
      </c>
      <c r="L288" s="572"/>
      <c r="M288" s="173"/>
      <c r="N288" s="173"/>
      <c r="O288" s="173"/>
      <c r="P288" s="573"/>
      <c r="Q288" s="573"/>
      <c r="R288" s="173"/>
      <c r="S288" s="173"/>
      <c r="T288" s="173"/>
      <c r="U288" s="173"/>
      <c r="V288" s="173"/>
      <c r="W288" s="574"/>
      <c r="X288" s="575"/>
      <c r="Y288" s="28"/>
      <c r="Z288" s="543" t="str">
        <f t="array" ref="Z288">IF(LEN(AC288),lower(concatenate("bosvendor-",'2-Building'!B$4,"-",INDEX(D:D, MATCH(AC288, J:J, 0)),INDEX(E:E, MATCH(AC288, J:J, 0)))),"")</f>
        <v/>
      </c>
      <c r="AA288" s="28"/>
      <c r="AB288" s="28"/>
      <c r="AC288" s="28"/>
      <c r="AD288" s="28"/>
    </row>
    <row r="289" ht="30.0" customHeight="1">
      <c r="A289" s="488"/>
      <c r="B289" s="582"/>
      <c r="C289" s="256"/>
      <c r="D289" s="582"/>
      <c r="E289" s="488"/>
      <c r="F289" s="258"/>
      <c r="G289" s="173"/>
      <c r="H289" s="173"/>
      <c r="I289" s="576"/>
      <c r="J289" s="580"/>
      <c r="K289" s="569" t="str">
        <f t="shared" si="1"/>
        <v/>
      </c>
      <c r="L289" s="572"/>
      <c r="M289" s="173"/>
      <c r="N289" s="173"/>
      <c r="O289" s="173"/>
      <c r="P289" s="573"/>
      <c r="Q289" s="573"/>
      <c r="R289" s="173"/>
      <c r="S289" s="173"/>
      <c r="T289" s="173"/>
      <c r="U289" s="173"/>
      <c r="V289" s="173"/>
      <c r="W289" s="574"/>
      <c r="X289" s="575"/>
      <c r="Y289" s="28"/>
      <c r="Z289" s="543" t="str">
        <f t="array" ref="Z289">IF(LEN(AC289),lower(concatenate("bosvendor-",'2-Building'!B$4,"-",INDEX(D:D, MATCH(AC289, J:J, 0)),INDEX(E:E, MATCH(AC289, J:J, 0)))),"")</f>
        <v/>
      </c>
      <c r="AA289" s="28"/>
      <c r="AB289" s="28"/>
      <c r="AC289" s="28"/>
      <c r="AD289" s="28"/>
    </row>
    <row r="290" ht="30.0" customHeight="1">
      <c r="A290" s="488"/>
      <c r="B290" s="582"/>
      <c r="C290" s="256"/>
      <c r="D290" s="582"/>
      <c r="E290" s="488"/>
      <c r="F290" s="258"/>
      <c r="G290" s="173"/>
      <c r="H290" s="173"/>
      <c r="I290" s="576"/>
      <c r="J290" s="580"/>
      <c r="K290" s="569" t="str">
        <f t="shared" si="1"/>
        <v/>
      </c>
      <c r="L290" s="572"/>
      <c r="M290" s="173"/>
      <c r="N290" s="173"/>
      <c r="O290" s="173"/>
      <c r="P290" s="573"/>
      <c r="Q290" s="573"/>
      <c r="R290" s="173"/>
      <c r="S290" s="173"/>
      <c r="T290" s="173"/>
      <c r="U290" s="173"/>
      <c r="V290" s="173"/>
      <c r="W290" s="574"/>
      <c r="X290" s="575"/>
      <c r="Y290" s="28"/>
      <c r="Z290" s="543" t="str">
        <f t="array" ref="Z290">IF(LEN(AC290),lower(concatenate("bosvendor-",'2-Building'!B$4,"-",INDEX(D:D, MATCH(AC290, J:J, 0)),INDEX(E:E, MATCH(AC290, J:J, 0)))),"")</f>
        <v/>
      </c>
      <c r="AA290" s="28"/>
      <c r="AB290" s="28"/>
      <c r="AC290" s="28"/>
      <c r="AD290" s="28"/>
    </row>
    <row r="291" ht="30.0" customHeight="1">
      <c r="A291" s="488"/>
      <c r="B291" s="582"/>
      <c r="C291" s="256"/>
      <c r="D291" s="582"/>
      <c r="E291" s="488"/>
      <c r="F291" s="258"/>
      <c r="G291" s="173"/>
      <c r="H291" s="173"/>
      <c r="I291" s="576"/>
      <c r="J291" s="580"/>
      <c r="K291" s="569" t="str">
        <f t="shared" si="1"/>
        <v/>
      </c>
      <c r="L291" s="572"/>
      <c r="M291" s="173"/>
      <c r="N291" s="173"/>
      <c r="O291" s="173"/>
      <c r="P291" s="573"/>
      <c r="Q291" s="573"/>
      <c r="R291" s="173"/>
      <c r="S291" s="173"/>
      <c r="T291" s="173"/>
      <c r="U291" s="173"/>
      <c r="V291" s="173"/>
      <c r="W291" s="574"/>
      <c r="X291" s="575"/>
      <c r="Y291" s="28"/>
      <c r="Z291" s="543" t="str">
        <f t="array" ref="Z291">IF(LEN(AC291),lower(concatenate("bosvendor-",'2-Building'!B$4,"-",INDEX(D:D, MATCH(AC291, J:J, 0)),INDEX(E:E, MATCH(AC291, J:J, 0)))),"")</f>
        <v/>
      </c>
      <c r="AA291" s="28"/>
      <c r="AB291" s="28"/>
      <c r="AC291" s="28"/>
      <c r="AD291" s="28"/>
    </row>
    <row r="292" ht="30.0" customHeight="1">
      <c r="A292" s="488"/>
      <c r="B292" s="582"/>
      <c r="C292" s="256"/>
      <c r="D292" s="582"/>
      <c r="E292" s="488"/>
      <c r="F292" s="258"/>
      <c r="G292" s="173"/>
      <c r="H292" s="173"/>
      <c r="I292" s="576"/>
      <c r="J292" s="580"/>
      <c r="K292" s="569" t="str">
        <f t="shared" si="1"/>
        <v/>
      </c>
      <c r="L292" s="572"/>
      <c r="M292" s="173"/>
      <c r="N292" s="173"/>
      <c r="O292" s="173"/>
      <c r="P292" s="573"/>
      <c r="Q292" s="573"/>
      <c r="R292" s="173"/>
      <c r="S292" s="173"/>
      <c r="T292" s="173"/>
      <c r="U292" s="173"/>
      <c r="V292" s="173"/>
      <c r="W292" s="574"/>
      <c r="X292" s="575"/>
      <c r="Y292" s="28"/>
      <c r="Z292" s="543" t="str">
        <f t="array" ref="Z292">IF(LEN(AC292),lower(concatenate("bosvendor-",'2-Building'!B$4,"-",INDEX(D:D, MATCH(AC292, J:J, 0)),INDEX(E:E, MATCH(AC292, J:J, 0)))),"")</f>
        <v/>
      </c>
      <c r="AA292" s="28"/>
      <c r="AB292" s="28"/>
      <c r="AC292" s="28"/>
      <c r="AD292" s="28"/>
    </row>
    <row r="293" ht="30.0" customHeight="1">
      <c r="A293" s="488"/>
      <c r="B293" s="582"/>
      <c r="C293" s="256"/>
      <c r="D293" s="582"/>
      <c r="E293" s="488"/>
      <c r="F293" s="258"/>
      <c r="G293" s="173"/>
      <c r="H293" s="173"/>
      <c r="I293" s="576"/>
      <c r="J293" s="580"/>
      <c r="K293" s="569" t="str">
        <f t="shared" si="1"/>
        <v/>
      </c>
      <c r="L293" s="572"/>
      <c r="M293" s="173"/>
      <c r="N293" s="173"/>
      <c r="O293" s="173"/>
      <c r="P293" s="573"/>
      <c r="Q293" s="573"/>
      <c r="R293" s="173"/>
      <c r="S293" s="173"/>
      <c r="T293" s="173"/>
      <c r="U293" s="173"/>
      <c r="V293" s="173"/>
      <c r="W293" s="574"/>
      <c r="X293" s="575"/>
      <c r="Y293" s="28"/>
      <c r="Z293" s="543" t="str">
        <f t="array" ref="Z293">IF(LEN(AC293),lower(concatenate("bosvendor-",'2-Building'!B$4,"-",INDEX(D:D, MATCH(AC293, J:J, 0)),INDEX(E:E, MATCH(AC293, J:J, 0)))),"")</f>
        <v/>
      </c>
      <c r="AA293" s="28"/>
      <c r="AB293" s="28"/>
      <c r="AC293" s="28"/>
      <c r="AD293" s="28"/>
    </row>
    <row r="294" ht="30.0" customHeight="1">
      <c r="A294" s="488"/>
      <c r="B294" s="582"/>
      <c r="C294" s="256"/>
      <c r="D294" s="582"/>
      <c r="E294" s="488"/>
      <c r="F294" s="258"/>
      <c r="G294" s="173"/>
      <c r="H294" s="173"/>
      <c r="I294" s="576"/>
      <c r="J294" s="580"/>
      <c r="K294" s="569" t="str">
        <f t="shared" si="1"/>
        <v/>
      </c>
      <c r="L294" s="572"/>
      <c r="M294" s="173"/>
      <c r="N294" s="173"/>
      <c r="O294" s="173"/>
      <c r="P294" s="573"/>
      <c r="Q294" s="573"/>
      <c r="R294" s="173"/>
      <c r="S294" s="173"/>
      <c r="T294" s="173"/>
      <c r="U294" s="173"/>
      <c r="V294" s="173"/>
      <c r="W294" s="574"/>
      <c r="X294" s="575"/>
      <c r="Y294" s="28"/>
      <c r="Z294" s="543" t="str">
        <f t="array" ref="Z294">IF(LEN(AC294),lower(concatenate("bosvendor-",'2-Building'!B$4,"-",INDEX(D:D, MATCH(AC294, J:J, 0)),INDEX(E:E, MATCH(AC294, J:J, 0)))),"")</f>
        <v/>
      </c>
      <c r="AA294" s="28"/>
      <c r="AB294" s="28"/>
      <c r="AC294" s="28"/>
      <c r="AD294" s="28"/>
    </row>
    <row r="295" ht="30.0" customHeight="1">
      <c r="A295" s="488"/>
      <c r="B295" s="582"/>
      <c r="C295" s="256"/>
      <c r="D295" s="582"/>
      <c r="E295" s="488"/>
      <c r="F295" s="258"/>
      <c r="G295" s="173"/>
      <c r="H295" s="173"/>
      <c r="I295" s="576"/>
      <c r="J295" s="580"/>
      <c r="K295" s="569" t="str">
        <f t="shared" si="1"/>
        <v/>
      </c>
      <c r="L295" s="572"/>
      <c r="M295" s="173"/>
      <c r="N295" s="173"/>
      <c r="O295" s="173"/>
      <c r="P295" s="573"/>
      <c r="Q295" s="573"/>
      <c r="R295" s="173"/>
      <c r="S295" s="173"/>
      <c r="T295" s="173"/>
      <c r="U295" s="173"/>
      <c r="V295" s="173"/>
      <c r="W295" s="574"/>
      <c r="X295" s="575"/>
      <c r="Y295" s="28"/>
      <c r="Z295" s="543" t="str">
        <f t="array" ref="Z295">IF(LEN(AC295),lower(concatenate("bosvendor-",'2-Building'!B$4,"-",INDEX(D:D, MATCH(AC295, J:J, 0)),INDEX(E:E, MATCH(AC295, J:J, 0)))),"")</f>
        <v/>
      </c>
      <c r="AA295" s="28"/>
      <c r="AB295" s="28"/>
      <c r="AC295" s="28"/>
      <c r="AD295" s="28"/>
    </row>
    <row r="296" ht="30.0" customHeight="1">
      <c r="A296" s="488"/>
      <c r="B296" s="582"/>
      <c r="C296" s="256"/>
      <c r="D296" s="582"/>
      <c r="E296" s="488"/>
      <c r="F296" s="258"/>
      <c r="G296" s="173"/>
      <c r="H296" s="173"/>
      <c r="I296" s="576"/>
      <c r="J296" s="580"/>
      <c r="K296" s="569" t="str">
        <f t="shared" si="1"/>
        <v/>
      </c>
      <c r="L296" s="572"/>
      <c r="M296" s="173"/>
      <c r="N296" s="173"/>
      <c r="O296" s="173"/>
      <c r="P296" s="573"/>
      <c r="Q296" s="573"/>
      <c r="R296" s="173"/>
      <c r="S296" s="173"/>
      <c r="T296" s="173"/>
      <c r="U296" s="173"/>
      <c r="V296" s="173"/>
      <c r="W296" s="574"/>
      <c r="X296" s="575"/>
      <c r="Y296" s="28"/>
      <c r="Z296" s="543" t="str">
        <f t="array" ref="Z296">IF(LEN(AC296),lower(concatenate("bosvendor-",'2-Building'!B$4,"-",INDEX(D:D, MATCH(AC296, J:J, 0)),INDEX(E:E, MATCH(AC296, J:J, 0)))),"")</f>
        <v/>
      </c>
      <c r="AA296" s="28"/>
      <c r="AB296" s="28"/>
      <c r="AC296" s="28"/>
      <c r="AD296" s="28"/>
    </row>
    <row r="297" ht="30.0" customHeight="1">
      <c r="A297" s="488"/>
      <c r="B297" s="582"/>
      <c r="C297" s="256"/>
      <c r="D297" s="582"/>
      <c r="E297" s="488"/>
      <c r="F297" s="258"/>
      <c r="G297" s="173"/>
      <c r="H297" s="173"/>
      <c r="I297" s="576"/>
      <c r="J297" s="580"/>
      <c r="K297" s="569" t="str">
        <f t="shared" si="1"/>
        <v/>
      </c>
      <c r="L297" s="572"/>
      <c r="M297" s="173"/>
      <c r="N297" s="173"/>
      <c r="O297" s="173"/>
      <c r="P297" s="573"/>
      <c r="Q297" s="573"/>
      <c r="R297" s="173"/>
      <c r="S297" s="173"/>
      <c r="T297" s="173"/>
      <c r="U297" s="173"/>
      <c r="V297" s="173"/>
      <c r="W297" s="574"/>
      <c r="X297" s="575"/>
      <c r="Y297" s="28"/>
      <c r="Z297" s="543" t="str">
        <f t="array" ref="Z297">IF(LEN(AC297),lower(concatenate("bosvendor-",'2-Building'!B$4,"-",INDEX(D:D, MATCH(AC297, J:J, 0)),INDEX(E:E, MATCH(AC297, J:J, 0)))),"")</f>
        <v/>
      </c>
      <c r="AA297" s="28"/>
      <c r="AB297" s="28"/>
      <c r="AC297" s="28"/>
      <c r="AD297" s="28"/>
    </row>
    <row r="298" ht="30.0" customHeight="1">
      <c r="A298" s="488"/>
      <c r="B298" s="582"/>
      <c r="C298" s="256"/>
      <c r="D298" s="582"/>
      <c r="E298" s="488"/>
      <c r="F298" s="258"/>
      <c r="G298" s="173"/>
      <c r="H298" s="173"/>
      <c r="I298" s="576"/>
      <c r="J298" s="580"/>
      <c r="K298" s="569" t="str">
        <f t="shared" si="1"/>
        <v/>
      </c>
      <c r="L298" s="572"/>
      <c r="M298" s="173"/>
      <c r="N298" s="173"/>
      <c r="O298" s="173"/>
      <c r="P298" s="573"/>
      <c r="Q298" s="573"/>
      <c r="R298" s="173"/>
      <c r="S298" s="173"/>
      <c r="T298" s="173"/>
      <c r="U298" s="173"/>
      <c r="V298" s="173"/>
      <c r="W298" s="574"/>
      <c r="X298" s="575"/>
      <c r="Y298" s="28"/>
      <c r="Z298" s="543" t="str">
        <f t="array" ref="Z298">IF(LEN(AC298),lower(concatenate("bosvendor-",'2-Building'!B$4,"-",INDEX(D:D, MATCH(AC298, J:J, 0)),INDEX(E:E, MATCH(AC298, J:J, 0)))),"")</f>
        <v/>
      </c>
      <c r="AA298" s="28"/>
      <c r="AB298" s="28"/>
      <c r="AC298" s="28"/>
      <c r="AD298" s="28"/>
    </row>
    <row r="299" ht="30.0" customHeight="1">
      <c r="A299" s="488"/>
      <c r="B299" s="582"/>
      <c r="C299" s="256"/>
      <c r="D299" s="582"/>
      <c r="E299" s="488"/>
      <c r="F299" s="258"/>
      <c r="G299" s="173"/>
      <c r="H299" s="173"/>
      <c r="I299" s="576"/>
      <c r="J299" s="580"/>
      <c r="K299" s="569" t="str">
        <f t="shared" si="1"/>
        <v/>
      </c>
      <c r="L299" s="572"/>
      <c r="M299" s="173"/>
      <c r="N299" s="173"/>
      <c r="O299" s="173"/>
      <c r="P299" s="573"/>
      <c r="Q299" s="573"/>
      <c r="R299" s="173"/>
      <c r="S299" s="173"/>
      <c r="T299" s="173"/>
      <c r="U299" s="173"/>
      <c r="V299" s="173"/>
      <c r="W299" s="574"/>
      <c r="X299" s="575"/>
      <c r="Y299" s="28"/>
      <c r="Z299" s="543" t="str">
        <f t="array" ref="Z299">IF(LEN(AC299),lower(concatenate("bosvendor-",'2-Building'!B$4,"-",INDEX(D:D, MATCH(AC299, J:J, 0)),INDEX(E:E, MATCH(AC299, J:J, 0)))),"")</f>
        <v/>
      </c>
      <c r="AA299" s="28"/>
      <c r="AB299" s="28"/>
      <c r="AC299" s="28"/>
      <c r="AD299" s="28"/>
    </row>
    <row r="300" ht="30.0" customHeight="1">
      <c r="A300" s="488"/>
      <c r="B300" s="582"/>
      <c r="C300" s="256"/>
      <c r="D300" s="582"/>
      <c r="E300" s="488"/>
      <c r="F300" s="258"/>
      <c r="G300" s="173"/>
      <c r="H300" s="173"/>
      <c r="I300" s="576"/>
      <c r="J300" s="580"/>
      <c r="K300" s="569" t="str">
        <f t="shared" si="1"/>
        <v/>
      </c>
      <c r="L300" s="572"/>
      <c r="M300" s="173"/>
      <c r="N300" s="173"/>
      <c r="O300" s="173"/>
      <c r="P300" s="573"/>
      <c r="Q300" s="573"/>
      <c r="R300" s="173"/>
      <c r="S300" s="173"/>
      <c r="T300" s="173"/>
      <c r="U300" s="173"/>
      <c r="V300" s="173"/>
      <c r="W300" s="574"/>
      <c r="X300" s="575"/>
      <c r="Y300" s="28"/>
      <c r="Z300" s="543" t="str">
        <f t="array" ref="Z300">IF(LEN(AC300),lower(concatenate("bosvendor-",'2-Building'!B$4,"-",INDEX(D:D, MATCH(AC300, J:J, 0)),INDEX(E:E, MATCH(AC300, J:J, 0)))),"")</f>
        <v/>
      </c>
      <c r="AA300" s="28"/>
      <c r="AB300" s="28"/>
      <c r="AC300" s="28"/>
      <c r="AD300" s="28"/>
    </row>
    <row r="301" ht="30.0" customHeight="1">
      <c r="A301" s="488"/>
      <c r="B301" s="582"/>
      <c r="C301" s="256"/>
      <c r="D301" s="582"/>
      <c r="E301" s="488"/>
      <c r="F301" s="258"/>
      <c r="G301" s="173"/>
      <c r="H301" s="173"/>
      <c r="I301" s="576"/>
      <c r="J301" s="580"/>
      <c r="K301" s="569" t="str">
        <f t="shared" si="1"/>
        <v/>
      </c>
      <c r="L301" s="572"/>
      <c r="M301" s="173"/>
      <c r="N301" s="173"/>
      <c r="O301" s="173"/>
      <c r="P301" s="573"/>
      <c r="Q301" s="573"/>
      <c r="R301" s="173"/>
      <c r="S301" s="173"/>
      <c r="T301" s="173"/>
      <c r="U301" s="173"/>
      <c r="V301" s="173"/>
      <c r="W301" s="574"/>
      <c r="X301" s="575"/>
      <c r="Y301" s="28"/>
      <c r="Z301" s="543" t="str">
        <f t="array" ref="Z301">IF(LEN(AC301),lower(concatenate("bosvendor-",'2-Building'!B$4,"-",INDEX(D:D, MATCH(AC301, J:J, 0)),INDEX(E:E, MATCH(AC301, J:J, 0)))),"")</f>
        <v/>
      </c>
      <c r="AA301" s="28"/>
      <c r="AB301" s="28"/>
      <c r="AC301" s="28"/>
      <c r="AD301" s="28"/>
    </row>
    <row r="302" ht="30.0" customHeight="1">
      <c r="A302" s="488"/>
      <c r="B302" s="582"/>
      <c r="C302" s="256"/>
      <c r="D302" s="582"/>
      <c r="E302" s="488"/>
      <c r="F302" s="258"/>
      <c r="G302" s="173"/>
      <c r="H302" s="173"/>
      <c r="I302" s="576"/>
      <c r="J302" s="580"/>
      <c r="K302" s="569" t="str">
        <f t="shared" si="1"/>
        <v/>
      </c>
      <c r="L302" s="572"/>
      <c r="M302" s="173"/>
      <c r="N302" s="173"/>
      <c r="O302" s="173"/>
      <c r="P302" s="573"/>
      <c r="Q302" s="573"/>
      <c r="R302" s="173"/>
      <c r="S302" s="173"/>
      <c r="T302" s="173"/>
      <c r="U302" s="173"/>
      <c r="V302" s="173"/>
      <c r="W302" s="574"/>
      <c r="X302" s="575"/>
      <c r="Y302" s="28"/>
      <c r="Z302" s="543" t="str">
        <f t="array" ref="Z302">IF(LEN(AC302),lower(concatenate("bosvendor-",'2-Building'!B$4,"-",INDEX(D:D, MATCH(AC302, J:J, 0)),INDEX(E:E, MATCH(AC302, J:J, 0)))),"")</f>
        <v/>
      </c>
      <c r="AA302" s="28"/>
      <c r="AB302" s="28"/>
      <c r="AC302" s="28"/>
      <c r="AD302" s="28"/>
    </row>
    <row r="303" ht="30.0" customHeight="1">
      <c r="A303" s="488"/>
      <c r="B303" s="582"/>
      <c r="C303" s="256"/>
      <c r="D303" s="582"/>
      <c r="E303" s="488"/>
      <c r="F303" s="258"/>
      <c r="G303" s="173"/>
      <c r="H303" s="173"/>
      <c r="I303" s="576"/>
      <c r="J303" s="580"/>
      <c r="K303" s="569" t="str">
        <f t="shared" si="1"/>
        <v/>
      </c>
      <c r="L303" s="572"/>
      <c r="M303" s="173"/>
      <c r="N303" s="173"/>
      <c r="O303" s="173"/>
      <c r="P303" s="573"/>
      <c r="Q303" s="573"/>
      <c r="R303" s="173"/>
      <c r="S303" s="173"/>
      <c r="T303" s="173"/>
      <c r="U303" s="173"/>
      <c r="V303" s="173"/>
      <c r="W303" s="574"/>
      <c r="X303" s="575"/>
      <c r="Y303" s="28"/>
      <c r="Z303" s="543" t="str">
        <f t="array" ref="Z303">IF(LEN(AC303),lower(concatenate("bosvendor-",'2-Building'!B$4,"-",INDEX(D:D, MATCH(AC303, J:J, 0)),INDEX(E:E, MATCH(AC303, J:J, 0)))),"")</f>
        <v/>
      </c>
      <c r="AA303" s="28"/>
      <c r="AB303" s="28"/>
      <c r="AC303" s="28"/>
      <c r="AD303" s="28"/>
    </row>
    <row r="304" ht="30.0" customHeight="1">
      <c r="A304" s="488"/>
      <c r="B304" s="582"/>
      <c r="C304" s="256"/>
      <c r="D304" s="582"/>
      <c r="E304" s="488"/>
      <c r="F304" s="258"/>
      <c r="G304" s="173"/>
      <c r="H304" s="173"/>
      <c r="I304" s="576"/>
      <c r="J304" s="580"/>
      <c r="K304" s="569" t="str">
        <f t="shared" si="1"/>
        <v/>
      </c>
      <c r="L304" s="572"/>
      <c r="M304" s="173"/>
      <c r="N304" s="173"/>
      <c r="O304" s="173"/>
      <c r="P304" s="573"/>
      <c r="Q304" s="573"/>
      <c r="R304" s="173"/>
      <c r="S304" s="173"/>
      <c r="T304" s="173"/>
      <c r="U304" s="173"/>
      <c r="V304" s="173"/>
      <c r="W304" s="574"/>
      <c r="X304" s="575"/>
      <c r="Y304" s="28"/>
      <c r="Z304" s="543" t="str">
        <f t="array" ref="Z304">IF(LEN(AC304),lower(concatenate("bosvendor-",'2-Building'!B$4,"-",INDEX(D:D, MATCH(AC304, J:J, 0)),INDEX(E:E, MATCH(AC304, J:J, 0)))),"")</f>
        <v/>
      </c>
      <c r="AA304" s="28"/>
      <c r="AB304" s="28"/>
      <c r="AC304" s="28"/>
      <c r="AD304" s="28"/>
    </row>
    <row r="305" ht="30.0" customHeight="1">
      <c r="A305" s="488"/>
      <c r="B305" s="582"/>
      <c r="C305" s="256"/>
      <c r="D305" s="582"/>
      <c r="E305" s="488"/>
      <c r="F305" s="258"/>
      <c r="G305" s="173"/>
      <c r="H305" s="173"/>
      <c r="I305" s="576"/>
      <c r="J305" s="580"/>
      <c r="K305" s="569" t="str">
        <f t="shared" si="1"/>
        <v/>
      </c>
      <c r="L305" s="572"/>
      <c r="M305" s="173"/>
      <c r="N305" s="173"/>
      <c r="O305" s="173"/>
      <c r="P305" s="573"/>
      <c r="Q305" s="573"/>
      <c r="R305" s="173"/>
      <c r="S305" s="173"/>
      <c r="T305" s="173"/>
      <c r="U305" s="173"/>
      <c r="V305" s="173"/>
      <c r="W305" s="574"/>
      <c r="X305" s="575"/>
      <c r="Y305" s="28"/>
      <c r="Z305" s="543" t="str">
        <f t="array" ref="Z305">IF(LEN(AC305),lower(concatenate("bosvendor-",'2-Building'!B$4,"-",INDEX(D:D, MATCH(AC305, J:J, 0)),INDEX(E:E, MATCH(AC305, J:J, 0)))),"")</f>
        <v/>
      </c>
      <c r="AA305" s="28"/>
      <c r="AB305" s="28"/>
      <c r="AC305" s="28"/>
      <c r="AD305" s="28"/>
    </row>
    <row r="306" ht="30.0" customHeight="1">
      <c r="A306" s="488"/>
      <c r="B306" s="582"/>
      <c r="C306" s="256"/>
      <c r="D306" s="582"/>
      <c r="E306" s="488"/>
      <c r="F306" s="258"/>
      <c r="G306" s="173"/>
      <c r="H306" s="173"/>
      <c r="I306" s="576"/>
      <c r="J306" s="580"/>
      <c r="K306" s="569" t="str">
        <f t="shared" si="1"/>
        <v/>
      </c>
      <c r="L306" s="572"/>
      <c r="M306" s="173"/>
      <c r="N306" s="173"/>
      <c r="O306" s="173"/>
      <c r="P306" s="573"/>
      <c r="Q306" s="573"/>
      <c r="R306" s="173"/>
      <c r="S306" s="173"/>
      <c r="T306" s="173"/>
      <c r="U306" s="173"/>
      <c r="V306" s="173"/>
      <c r="W306" s="574"/>
      <c r="X306" s="575"/>
      <c r="Y306" s="28"/>
      <c r="Z306" s="543" t="str">
        <f t="array" ref="Z306">IF(LEN(AC306),lower(concatenate("bosvendor-",'2-Building'!B$4,"-",INDEX(D:D, MATCH(AC306, J:J, 0)),INDEX(E:E, MATCH(AC306, J:J, 0)))),"")</f>
        <v/>
      </c>
      <c r="AA306" s="28"/>
      <c r="AB306" s="28"/>
      <c r="AC306" s="28"/>
      <c r="AD306" s="28"/>
    </row>
    <row r="307" ht="30.0" customHeight="1">
      <c r="A307" s="488"/>
      <c r="B307" s="582"/>
      <c r="C307" s="256"/>
      <c r="D307" s="582"/>
      <c r="E307" s="488"/>
      <c r="F307" s="258"/>
      <c r="G307" s="173"/>
      <c r="H307" s="173"/>
      <c r="I307" s="576"/>
      <c r="J307" s="580"/>
      <c r="K307" s="569" t="str">
        <f t="shared" si="1"/>
        <v/>
      </c>
      <c r="L307" s="572"/>
      <c r="M307" s="173"/>
      <c r="N307" s="173"/>
      <c r="O307" s="173"/>
      <c r="P307" s="573"/>
      <c r="Q307" s="573"/>
      <c r="R307" s="173"/>
      <c r="S307" s="173"/>
      <c r="T307" s="173"/>
      <c r="U307" s="173"/>
      <c r="V307" s="173"/>
      <c r="W307" s="574"/>
      <c r="X307" s="575"/>
      <c r="Y307" s="28"/>
      <c r="Z307" s="543" t="str">
        <f t="array" ref="Z307">IF(LEN(AC307),lower(concatenate("bosvendor-",'2-Building'!B$4,"-",INDEX(D:D, MATCH(AC307, J:J, 0)),INDEX(E:E, MATCH(AC307, J:J, 0)))),"")</f>
        <v/>
      </c>
      <c r="AA307" s="28"/>
      <c r="AB307" s="28"/>
      <c r="AC307" s="28"/>
      <c r="AD307" s="28"/>
    </row>
    <row r="308" ht="30.0" customHeight="1">
      <c r="A308" s="488"/>
      <c r="B308" s="582"/>
      <c r="C308" s="256"/>
      <c r="D308" s="582"/>
      <c r="E308" s="488"/>
      <c r="F308" s="258"/>
      <c r="G308" s="173"/>
      <c r="H308" s="173"/>
      <c r="I308" s="576"/>
      <c r="J308" s="580"/>
      <c r="K308" s="569" t="str">
        <f t="shared" si="1"/>
        <v/>
      </c>
      <c r="L308" s="572"/>
      <c r="M308" s="173"/>
      <c r="N308" s="173"/>
      <c r="O308" s="173"/>
      <c r="P308" s="573"/>
      <c r="Q308" s="573"/>
      <c r="R308" s="173"/>
      <c r="S308" s="173"/>
      <c r="T308" s="173"/>
      <c r="U308" s="173"/>
      <c r="V308" s="173"/>
      <c r="W308" s="574"/>
      <c r="X308" s="575"/>
      <c r="Y308" s="28"/>
      <c r="Z308" s="543" t="str">
        <f t="array" ref="Z308">IF(LEN(AC308),lower(concatenate("bosvendor-",'2-Building'!B$4,"-",INDEX(D:D, MATCH(AC308, J:J, 0)),INDEX(E:E, MATCH(AC308, J:J, 0)))),"")</f>
        <v/>
      </c>
      <c r="AA308" s="28"/>
      <c r="AB308" s="28"/>
      <c r="AC308" s="28"/>
      <c r="AD308" s="28"/>
    </row>
    <row r="309" ht="30.0" customHeight="1">
      <c r="A309" s="488"/>
      <c r="B309" s="582"/>
      <c r="C309" s="256"/>
      <c r="D309" s="582"/>
      <c r="E309" s="488"/>
      <c r="F309" s="258"/>
      <c r="G309" s="173"/>
      <c r="H309" s="173"/>
      <c r="I309" s="576"/>
      <c r="J309" s="580"/>
      <c r="K309" s="569" t="str">
        <f t="shared" si="1"/>
        <v/>
      </c>
      <c r="L309" s="572"/>
      <c r="M309" s="173"/>
      <c r="N309" s="173"/>
      <c r="O309" s="173"/>
      <c r="P309" s="573"/>
      <c r="Q309" s="573"/>
      <c r="R309" s="173"/>
      <c r="S309" s="173"/>
      <c r="T309" s="173"/>
      <c r="U309" s="173"/>
      <c r="V309" s="173"/>
      <c r="W309" s="574"/>
      <c r="X309" s="575"/>
      <c r="Y309" s="28"/>
      <c r="Z309" s="543" t="str">
        <f t="array" ref="Z309">IF(LEN(AC309),lower(concatenate("bosvendor-",'2-Building'!B$4,"-",INDEX(D:D, MATCH(AC309, J:J, 0)),INDEX(E:E, MATCH(AC309, J:J, 0)))),"")</f>
        <v/>
      </c>
      <c r="AA309" s="28"/>
      <c r="AB309" s="28"/>
      <c r="AC309" s="28"/>
      <c r="AD309" s="28"/>
    </row>
    <row r="310" ht="30.0" customHeight="1">
      <c r="A310" s="488"/>
      <c r="B310" s="582"/>
      <c r="C310" s="256"/>
      <c r="D310" s="582"/>
      <c r="E310" s="488"/>
      <c r="F310" s="258"/>
      <c r="G310" s="173"/>
      <c r="H310" s="173"/>
      <c r="I310" s="576"/>
      <c r="J310" s="580"/>
      <c r="K310" s="569" t="str">
        <f t="shared" si="1"/>
        <v/>
      </c>
      <c r="L310" s="572"/>
      <c r="M310" s="173"/>
      <c r="N310" s="173"/>
      <c r="O310" s="173"/>
      <c r="P310" s="573"/>
      <c r="Q310" s="573"/>
      <c r="R310" s="173"/>
      <c r="S310" s="173"/>
      <c r="T310" s="173"/>
      <c r="U310" s="173"/>
      <c r="V310" s="173"/>
      <c r="W310" s="574"/>
      <c r="X310" s="575"/>
      <c r="Y310" s="28"/>
      <c r="Z310" s="543" t="str">
        <f t="array" ref="Z310">IF(LEN(AC310),lower(concatenate("bosvendor-",'2-Building'!B$4,"-",INDEX(D:D, MATCH(AC310, J:J, 0)),INDEX(E:E, MATCH(AC310, J:J, 0)))),"")</f>
        <v/>
      </c>
      <c r="AA310" s="28"/>
      <c r="AB310" s="28"/>
      <c r="AC310" s="28"/>
      <c r="AD310" s="28"/>
    </row>
    <row r="311" ht="30.0" customHeight="1">
      <c r="A311" s="488"/>
      <c r="B311" s="582"/>
      <c r="C311" s="256"/>
      <c r="D311" s="582"/>
      <c r="E311" s="488"/>
      <c r="F311" s="258"/>
      <c r="G311" s="173"/>
      <c r="H311" s="173"/>
      <c r="I311" s="576"/>
      <c r="J311" s="580"/>
      <c r="K311" s="569" t="str">
        <f t="shared" si="1"/>
        <v/>
      </c>
      <c r="L311" s="572"/>
      <c r="M311" s="173"/>
      <c r="N311" s="173"/>
      <c r="O311" s="173"/>
      <c r="P311" s="573"/>
      <c r="Q311" s="573"/>
      <c r="R311" s="173"/>
      <c r="S311" s="173"/>
      <c r="T311" s="173"/>
      <c r="U311" s="173"/>
      <c r="V311" s="173"/>
      <c r="W311" s="574"/>
      <c r="X311" s="575"/>
      <c r="Y311" s="28"/>
      <c r="Z311" s="543" t="str">
        <f t="array" ref="Z311">IF(LEN(AC311),lower(concatenate("bosvendor-",'2-Building'!B$4,"-",INDEX(D:D, MATCH(AC311, J:J, 0)),INDEX(E:E, MATCH(AC311, J:J, 0)))),"")</f>
        <v/>
      </c>
      <c r="AA311" s="28"/>
      <c r="AB311" s="28"/>
      <c r="AC311" s="28"/>
      <c r="AD311" s="28"/>
    </row>
    <row r="312" ht="30.0" customHeight="1">
      <c r="A312" s="488"/>
      <c r="B312" s="582"/>
      <c r="C312" s="256"/>
      <c r="D312" s="582"/>
      <c r="E312" s="488"/>
      <c r="F312" s="258"/>
      <c r="G312" s="173"/>
      <c r="H312" s="173"/>
      <c r="I312" s="576"/>
      <c r="J312" s="580"/>
      <c r="K312" s="569" t="str">
        <f t="shared" si="1"/>
        <v/>
      </c>
      <c r="L312" s="572"/>
      <c r="M312" s="173"/>
      <c r="N312" s="173"/>
      <c r="O312" s="173"/>
      <c r="P312" s="573"/>
      <c r="Q312" s="573"/>
      <c r="R312" s="173"/>
      <c r="S312" s="173"/>
      <c r="T312" s="173"/>
      <c r="U312" s="173"/>
      <c r="V312" s="173"/>
      <c r="W312" s="574"/>
      <c r="X312" s="575"/>
      <c r="Y312" s="28"/>
      <c r="Z312" s="543" t="str">
        <f t="array" ref="Z312">IF(LEN(AC312),lower(concatenate("bosvendor-",'2-Building'!B$4,"-",INDEX(D:D, MATCH(AC312, J:J, 0)),INDEX(E:E, MATCH(AC312, J:J, 0)))),"")</f>
        <v/>
      </c>
      <c r="AA312" s="28"/>
      <c r="AB312" s="28"/>
      <c r="AC312" s="28"/>
      <c r="AD312" s="28"/>
    </row>
    <row r="313" ht="30.0" customHeight="1">
      <c r="A313" s="488"/>
      <c r="B313" s="582"/>
      <c r="C313" s="256"/>
      <c r="D313" s="582"/>
      <c r="E313" s="488"/>
      <c r="F313" s="258"/>
      <c r="G313" s="173"/>
      <c r="H313" s="173"/>
      <c r="I313" s="576"/>
      <c r="J313" s="580"/>
      <c r="K313" s="569" t="str">
        <f t="shared" si="1"/>
        <v/>
      </c>
      <c r="L313" s="572"/>
      <c r="M313" s="173"/>
      <c r="N313" s="173"/>
      <c r="O313" s="173"/>
      <c r="P313" s="573"/>
      <c r="Q313" s="573"/>
      <c r="R313" s="173"/>
      <c r="S313" s="173"/>
      <c r="T313" s="173"/>
      <c r="U313" s="173"/>
      <c r="V313" s="173"/>
      <c r="W313" s="574"/>
      <c r="X313" s="575"/>
      <c r="Y313" s="28"/>
      <c r="Z313" s="543" t="str">
        <f t="array" ref="Z313">IF(LEN(AC313),lower(concatenate("bosvendor-",'2-Building'!B$4,"-",INDEX(D:D, MATCH(AC313, J:J, 0)),INDEX(E:E, MATCH(AC313, J:J, 0)))),"")</f>
        <v/>
      </c>
      <c r="AA313" s="28"/>
      <c r="AB313" s="28"/>
      <c r="AC313" s="28"/>
      <c r="AD313" s="28"/>
    </row>
    <row r="314" ht="30.0" customHeight="1">
      <c r="A314" s="488"/>
      <c r="B314" s="582"/>
      <c r="C314" s="256"/>
      <c r="D314" s="582"/>
      <c r="E314" s="488"/>
      <c r="F314" s="258"/>
      <c r="G314" s="173"/>
      <c r="H314" s="173"/>
      <c r="I314" s="576"/>
      <c r="J314" s="580"/>
      <c r="K314" s="569" t="str">
        <f t="shared" si="1"/>
        <v/>
      </c>
      <c r="L314" s="572"/>
      <c r="M314" s="173"/>
      <c r="N314" s="173"/>
      <c r="O314" s="173"/>
      <c r="P314" s="573"/>
      <c r="Q314" s="573"/>
      <c r="R314" s="173"/>
      <c r="S314" s="173"/>
      <c r="T314" s="173"/>
      <c r="U314" s="173"/>
      <c r="V314" s="173"/>
      <c r="W314" s="574"/>
      <c r="X314" s="575"/>
      <c r="Y314" s="28"/>
      <c r="Z314" s="543" t="str">
        <f t="array" ref="Z314">IF(LEN(AC314),lower(concatenate("bosvendor-",'2-Building'!B$4,"-",INDEX(D:D, MATCH(AC314, J:J, 0)),INDEX(E:E, MATCH(AC314, J:J, 0)))),"")</f>
        <v/>
      </c>
      <c r="AA314" s="28"/>
      <c r="AB314" s="28"/>
      <c r="AC314" s="28"/>
      <c r="AD314" s="28"/>
    </row>
    <row r="315" ht="30.0" customHeight="1">
      <c r="A315" s="488"/>
      <c r="B315" s="582"/>
      <c r="C315" s="256"/>
      <c r="D315" s="582"/>
      <c r="E315" s="488"/>
      <c r="F315" s="258"/>
      <c r="G315" s="173"/>
      <c r="H315" s="173"/>
      <c r="I315" s="576"/>
      <c r="J315" s="580"/>
      <c r="K315" s="569" t="str">
        <f t="shared" si="1"/>
        <v/>
      </c>
      <c r="L315" s="572"/>
      <c r="M315" s="173"/>
      <c r="N315" s="173"/>
      <c r="O315" s="173"/>
      <c r="P315" s="573"/>
      <c r="Q315" s="573"/>
      <c r="R315" s="173"/>
      <c r="S315" s="173"/>
      <c r="T315" s="173"/>
      <c r="U315" s="173"/>
      <c r="V315" s="173"/>
      <c r="W315" s="574"/>
      <c r="X315" s="575"/>
      <c r="Y315" s="28"/>
      <c r="Z315" s="543" t="str">
        <f t="array" ref="Z315">IF(LEN(AC315),lower(concatenate("bosvendor-",'2-Building'!B$4,"-",INDEX(D:D, MATCH(AC315, J:J, 0)),INDEX(E:E, MATCH(AC315, J:J, 0)))),"")</f>
        <v/>
      </c>
      <c r="AA315" s="28"/>
      <c r="AB315" s="28"/>
      <c r="AC315" s="28"/>
      <c r="AD315" s="28"/>
    </row>
    <row r="316" ht="30.0" customHeight="1">
      <c r="A316" s="488"/>
      <c r="B316" s="582"/>
      <c r="C316" s="256"/>
      <c r="D316" s="582"/>
      <c r="E316" s="488"/>
      <c r="F316" s="258"/>
      <c r="G316" s="173"/>
      <c r="H316" s="173"/>
      <c r="I316" s="576"/>
      <c r="J316" s="580"/>
      <c r="K316" s="569" t="str">
        <f t="shared" si="1"/>
        <v/>
      </c>
      <c r="L316" s="572"/>
      <c r="M316" s="173"/>
      <c r="N316" s="173"/>
      <c r="O316" s="173"/>
      <c r="P316" s="573"/>
      <c r="Q316" s="573"/>
      <c r="R316" s="173"/>
      <c r="S316" s="173"/>
      <c r="T316" s="173"/>
      <c r="U316" s="173"/>
      <c r="V316" s="173"/>
      <c r="W316" s="574"/>
      <c r="X316" s="575"/>
      <c r="Y316" s="28"/>
      <c r="Z316" s="543" t="str">
        <f t="array" ref="Z316">IF(LEN(AC316),lower(concatenate("bosvendor-",'2-Building'!B$4,"-",INDEX(D:D, MATCH(AC316, J:J, 0)),INDEX(E:E, MATCH(AC316, J:J, 0)))),"")</f>
        <v/>
      </c>
      <c r="AA316" s="28"/>
      <c r="AB316" s="28"/>
      <c r="AC316" s="28"/>
      <c r="AD316" s="28"/>
    </row>
    <row r="317" ht="30.0" customHeight="1">
      <c r="A317" s="488"/>
      <c r="B317" s="582"/>
      <c r="C317" s="256"/>
      <c r="D317" s="582"/>
      <c r="E317" s="488"/>
      <c r="F317" s="258"/>
      <c r="G317" s="173"/>
      <c r="H317" s="173"/>
      <c r="I317" s="576"/>
      <c r="J317" s="580"/>
      <c r="K317" s="569" t="str">
        <f t="shared" si="1"/>
        <v/>
      </c>
      <c r="L317" s="572"/>
      <c r="M317" s="173"/>
      <c r="N317" s="173"/>
      <c r="O317" s="173"/>
      <c r="P317" s="573"/>
      <c r="Q317" s="573"/>
      <c r="R317" s="173"/>
      <c r="S317" s="173"/>
      <c r="T317" s="173"/>
      <c r="U317" s="173"/>
      <c r="V317" s="173"/>
      <c r="W317" s="574"/>
      <c r="X317" s="575"/>
      <c r="Y317" s="28"/>
      <c r="Z317" s="543" t="str">
        <f t="array" ref="Z317">IF(LEN(AC317),lower(concatenate("bosvendor-",'2-Building'!B$4,"-",INDEX(D:D, MATCH(AC317, J:J, 0)),INDEX(E:E, MATCH(AC317, J:J, 0)))),"")</f>
        <v/>
      </c>
      <c r="AA317" s="28"/>
      <c r="AB317" s="28"/>
      <c r="AC317" s="28"/>
      <c r="AD317" s="28"/>
    </row>
    <row r="318" ht="30.0" customHeight="1">
      <c r="A318" s="488"/>
      <c r="B318" s="582"/>
      <c r="C318" s="256"/>
      <c r="D318" s="582"/>
      <c r="E318" s="488"/>
      <c r="F318" s="258"/>
      <c r="G318" s="173"/>
      <c r="H318" s="173"/>
      <c r="I318" s="576"/>
      <c r="J318" s="580"/>
      <c r="K318" s="569" t="str">
        <f t="shared" si="1"/>
        <v/>
      </c>
      <c r="L318" s="572"/>
      <c r="M318" s="173"/>
      <c r="N318" s="173"/>
      <c r="O318" s="173"/>
      <c r="P318" s="573"/>
      <c r="Q318" s="573"/>
      <c r="R318" s="173"/>
      <c r="S318" s="173"/>
      <c r="T318" s="173"/>
      <c r="U318" s="173"/>
      <c r="V318" s="173"/>
      <c r="W318" s="574"/>
      <c r="X318" s="575"/>
      <c r="Y318" s="28"/>
      <c r="Z318" s="543" t="str">
        <f t="array" ref="Z318">IF(LEN(AC318),lower(concatenate("bosvendor-",'2-Building'!B$4,"-",INDEX(D:D, MATCH(AC318, J:J, 0)),INDEX(E:E, MATCH(AC318, J:J, 0)))),"")</f>
        <v/>
      </c>
      <c r="AA318" s="28"/>
      <c r="AB318" s="28"/>
      <c r="AC318" s="28"/>
      <c r="AD318" s="28"/>
    </row>
    <row r="319" ht="30.0" customHeight="1">
      <c r="A319" s="488"/>
      <c r="B319" s="582"/>
      <c r="C319" s="256"/>
      <c r="D319" s="582"/>
      <c r="E319" s="488"/>
      <c r="F319" s="258"/>
      <c r="G319" s="173"/>
      <c r="H319" s="173"/>
      <c r="I319" s="576"/>
      <c r="J319" s="580"/>
      <c r="K319" s="569" t="str">
        <f t="shared" si="1"/>
        <v/>
      </c>
      <c r="L319" s="572"/>
      <c r="M319" s="173"/>
      <c r="N319" s="173"/>
      <c r="O319" s="173"/>
      <c r="P319" s="573"/>
      <c r="Q319" s="573"/>
      <c r="R319" s="173"/>
      <c r="S319" s="173"/>
      <c r="T319" s="173"/>
      <c r="U319" s="173"/>
      <c r="V319" s="173"/>
      <c r="W319" s="574"/>
      <c r="X319" s="575"/>
      <c r="Y319" s="28"/>
      <c r="Z319" s="543" t="str">
        <f t="array" ref="Z319">IF(LEN(AC319),lower(concatenate("bosvendor-",'2-Building'!B$4,"-",INDEX(D:D, MATCH(AC319, J:J, 0)),INDEX(E:E, MATCH(AC319, J:J, 0)))),"")</f>
        <v/>
      </c>
      <c r="AA319" s="28"/>
      <c r="AB319" s="28"/>
      <c r="AC319" s="28"/>
      <c r="AD319" s="28"/>
    </row>
    <row r="320" ht="30.0" customHeight="1">
      <c r="A320" s="488"/>
      <c r="B320" s="582"/>
      <c r="C320" s="256"/>
      <c r="D320" s="582"/>
      <c r="E320" s="488"/>
      <c r="F320" s="258"/>
      <c r="G320" s="173"/>
      <c r="H320" s="173"/>
      <c r="I320" s="576"/>
      <c r="J320" s="580"/>
      <c r="K320" s="569" t="str">
        <f t="shared" si="1"/>
        <v/>
      </c>
      <c r="L320" s="572"/>
      <c r="M320" s="173"/>
      <c r="N320" s="173"/>
      <c r="O320" s="173"/>
      <c r="P320" s="573"/>
      <c r="Q320" s="573"/>
      <c r="R320" s="173"/>
      <c r="S320" s="173"/>
      <c r="T320" s="173"/>
      <c r="U320" s="173"/>
      <c r="V320" s="173"/>
      <c r="W320" s="574"/>
      <c r="X320" s="575"/>
      <c r="Y320" s="28"/>
      <c r="Z320" s="543" t="str">
        <f t="array" ref="Z320">IF(LEN(AC320),lower(concatenate("bosvendor-",'2-Building'!B$4,"-",INDEX(D:D, MATCH(AC320, J:J, 0)),INDEX(E:E, MATCH(AC320, J:J, 0)))),"")</f>
        <v/>
      </c>
      <c r="AA320" s="28"/>
      <c r="AB320" s="28"/>
      <c r="AC320" s="28"/>
      <c r="AD320" s="28"/>
    </row>
    <row r="321" ht="30.0" customHeight="1">
      <c r="A321" s="488"/>
      <c r="B321" s="582"/>
      <c r="C321" s="256"/>
      <c r="D321" s="582"/>
      <c r="E321" s="488"/>
      <c r="F321" s="258"/>
      <c r="G321" s="173"/>
      <c r="H321" s="173"/>
      <c r="I321" s="576"/>
      <c r="J321" s="580"/>
      <c r="K321" s="569" t="str">
        <f t="shared" si="1"/>
        <v/>
      </c>
      <c r="L321" s="572"/>
      <c r="M321" s="173"/>
      <c r="N321" s="173"/>
      <c r="O321" s="173"/>
      <c r="P321" s="573"/>
      <c r="Q321" s="573"/>
      <c r="R321" s="173"/>
      <c r="S321" s="173"/>
      <c r="T321" s="173"/>
      <c r="U321" s="173"/>
      <c r="V321" s="173"/>
      <c r="W321" s="574"/>
      <c r="X321" s="575"/>
      <c r="Y321" s="28"/>
      <c r="Z321" s="543" t="str">
        <f t="array" ref="Z321">IF(LEN(AC321),lower(concatenate("bosvendor-",'2-Building'!B$4,"-",INDEX(D:D, MATCH(AC321, J:J, 0)),INDEX(E:E, MATCH(AC321, J:J, 0)))),"")</f>
        <v/>
      </c>
      <c r="AA321" s="28"/>
      <c r="AB321" s="28"/>
      <c r="AC321" s="28"/>
      <c r="AD321" s="28"/>
    </row>
    <row r="322" ht="30.0" customHeight="1">
      <c r="A322" s="488"/>
      <c r="B322" s="582"/>
      <c r="C322" s="256"/>
      <c r="D322" s="582"/>
      <c r="E322" s="488"/>
      <c r="F322" s="258"/>
      <c r="G322" s="173"/>
      <c r="H322" s="173"/>
      <c r="I322" s="576"/>
      <c r="J322" s="580"/>
      <c r="K322" s="569" t="str">
        <f t="shared" si="1"/>
        <v/>
      </c>
      <c r="L322" s="572"/>
      <c r="M322" s="173"/>
      <c r="N322" s="173"/>
      <c r="O322" s="173"/>
      <c r="P322" s="573"/>
      <c r="Q322" s="573"/>
      <c r="R322" s="173"/>
      <c r="S322" s="173"/>
      <c r="T322" s="173"/>
      <c r="U322" s="173"/>
      <c r="V322" s="173"/>
      <c r="W322" s="574"/>
      <c r="X322" s="575"/>
      <c r="Y322" s="28"/>
      <c r="Z322" s="543" t="str">
        <f t="array" ref="Z322">IF(LEN(AC322),lower(concatenate("bosvendor-",'2-Building'!B$4,"-",INDEX(D:D, MATCH(AC322, J:J, 0)),INDEX(E:E, MATCH(AC322, J:J, 0)))),"")</f>
        <v/>
      </c>
      <c r="AA322" s="28"/>
      <c r="AB322" s="28"/>
      <c r="AC322" s="28"/>
      <c r="AD322" s="28"/>
    </row>
    <row r="323" ht="30.0" customHeight="1">
      <c r="A323" s="488"/>
      <c r="B323" s="582"/>
      <c r="C323" s="256"/>
      <c r="D323" s="582"/>
      <c r="E323" s="488"/>
      <c r="F323" s="258"/>
      <c r="G323" s="173"/>
      <c r="H323" s="173"/>
      <c r="I323" s="576"/>
      <c r="J323" s="580"/>
      <c r="K323" s="569" t="str">
        <f t="shared" si="1"/>
        <v/>
      </c>
      <c r="L323" s="572"/>
      <c r="M323" s="173"/>
      <c r="N323" s="173"/>
      <c r="O323" s="173"/>
      <c r="P323" s="573"/>
      <c r="Q323" s="573"/>
      <c r="R323" s="173"/>
      <c r="S323" s="173"/>
      <c r="T323" s="173"/>
      <c r="U323" s="173"/>
      <c r="V323" s="173"/>
      <c r="W323" s="574"/>
      <c r="X323" s="575"/>
      <c r="Y323" s="28"/>
      <c r="Z323" s="543" t="str">
        <f t="array" ref="Z323">IF(LEN(AC323),lower(concatenate("bosvendor-",'2-Building'!B$4,"-",INDEX(D:D, MATCH(AC323, J:J, 0)),INDEX(E:E, MATCH(AC323, J:J, 0)))),"")</f>
        <v/>
      </c>
      <c r="AA323" s="28"/>
      <c r="AB323" s="28"/>
      <c r="AC323" s="28"/>
      <c r="AD323" s="28"/>
    </row>
    <row r="324" ht="30.0" customHeight="1">
      <c r="A324" s="488"/>
      <c r="B324" s="582"/>
      <c r="C324" s="256"/>
      <c r="D324" s="582"/>
      <c r="E324" s="488"/>
      <c r="F324" s="258"/>
      <c r="G324" s="173"/>
      <c r="H324" s="173"/>
      <c r="I324" s="576"/>
      <c r="J324" s="580"/>
      <c r="K324" s="569" t="str">
        <f t="shared" si="1"/>
        <v/>
      </c>
      <c r="L324" s="572"/>
      <c r="M324" s="173"/>
      <c r="N324" s="173"/>
      <c r="O324" s="173"/>
      <c r="P324" s="573"/>
      <c r="Q324" s="573"/>
      <c r="R324" s="173"/>
      <c r="S324" s="173"/>
      <c r="T324" s="173"/>
      <c r="U324" s="173"/>
      <c r="V324" s="173"/>
      <c r="W324" s="574"/>
      <c r="X324" s="575"/>
      <c r="Y324" s="28"/>
      <c r="Z324" s="543" t="str">
        <f t="array" ref="Z324">IF(LEN(AC324),lower(concatenate("bosvendor-",'2-Building'!B$4,"-",INDEX(D:D, MATCH(AC324, J:J, 0)),INDEX(E:E, MATCH(AC324, J:J, 0)))),"")</f>
        <v/>
      </c>
      <c r="AA324" s="28"/>
      <c r="AB324" s="28"/>
      <c r="AC324" s="28"/>
      <c r="AD324" s="28"/>
    </row>
    <row r="325" ht="30.0" customHeight="1">
      <c r="A325" s="488"/>
      <c r="B325" s="582"/>
      <c r="C325" s="256"/>
      <c r="D325" s="582"/>
      <c r="E325" s="488"/>
      <c r="F325" s="258"/>
      <c r="G325" s="173"/>
      <c r="H325" s="173"/>
      <c r="I325" s="576"/>
      <c r="J325" s="580"/>
      <c r="K325" s="569" t="str">
        <f t="shared" si="1"/>
        <v/>
      </c>
      <c r="L325" s="572"/>
      <c r="M325" s="173"/>
      <c r="N325" s="173"/>
      <c r="O325" s="173"/>
      <c r="P325" s="573"/>
      <c r="Q325" s="573"/>
      <c r="R325" s="173"/>
      <c r="S325" s="173"/>
      <c r="T325" s="173"/>
      <c r="U325" s="173"/>
      <c r="V325" s="173"/>
      <c r="W325" s="574"/>
      <c r="X325" s="575"/>
      <c r="Y325" s="28"/>
      <c r="Z325" s="543" t="str">
        <f t="array" ref="Z325">IF(LEN(AC325),lower(concatenate("bosvendor-",'2-Building'!B$4,"-",INDEX(D:D, MATCH(AC325, J:J, 0)),INDEX(E:E, MATCH(AC325, J:J, 0)))),"")</f>
        <v/>
      </c>
      <c r="AA325" s="28"/>
      <c r="AB325" s="28"/>
      <c r="AC325" s="28"/>
      <c r="AD325" s="28"/>
    </row>
    <row r="326" ht="30.0" customHeight="1">
      <c r="A326" s="488"/>
      <c r="B326" s="582"/>
      <c r="C326" s="256"/>
      <c r="D326" s="582"/>
      <c r="E326" s="488"/>
      <c r="F326" s="258"/>
      <c r="G326" s="173"/>
      <c r="H326" s="173"/>
      <c r="I326" s="576"/>
      <c r="J326" s="580"/>
      <c r="K326" s="569" t="str">
        <f t="shared" si="1"/>
        <v/>
      </c>
      <c r="L326" s="572"/>
      <c r="M326" s="173"/>
      <c r="N326" s="173"/>
      <c r="O326" s="173"/>
      <c r="P326" s="573"/>
      <c r="Q326" s="573"/>
      <c r="R326" s="173"/>
      <c r="S326" s="173"/>
      <c r="T326" s="173"/>
      <c r="U326" s="173"/>
      <c r="V326" s="173"/>
      <c r="W326" s="574"/>
      <c r="X326" s="575"/>
      <c r="Y326" s="28"/>
      <c r="Z326" s="543" t="str">
        <f t="array" ref="Z326">IF(LEN(AC326),lower(concatenate("bosvendor-",'2-Building'!B$4,"-",INDEX(D:D, MATCH(AC326, J:J, 0)),INDEX(E:E, MATCH(AC326, J:J, 0)))),"")</f>
        <v/>
      </c>
      <c r="AA326" s="28"/>
      <c r="AB326" s="28"/>
      <c r="AC326" s="28"/>
      <c r="AD326" s="28"/>
    </row>
    <row r="327" ht="30.0" customHeight="1">
      <c r="A327" s="488"/>
      <c r="B327" s="582"/>
      <c r="C327" s="256"/>
      <c r="D327" s="582"/>
      <c r="E327" s="488"/>
      <c r="F327" s="258"/>
      <c r="G327" s="173"/>
      <c r="H327" s="173"/>
      <c r="I327" s="576"/>
      <c r="J327" s="580"/>
      <c r="K327" s="569" t="str">
        <f t="shared" si="1"/>
        <v/>
      </c>
      <c r="L327" s="572"/>
      <c r="M327" s="173"/>
      <c r="N327" s="173"/>
      <c r="O327" s="173"/>
      <c r="P327" s="573"/>
      <c r="Q327" s="573"/>
      <c r="R327" s="173"/>
      <c r="S327" s="173"/>
      <c r="T327" s="173"/>
      <c r="U327" s="173"/>
      <c r="V327" s="173"/>
      <c r="W327" s="574"/>
      <c r="X327" s="575"/>
      <c r="Y327" s="28"/>
      <c r="Z327" s="543" t="str">
        <f t="array" ref="Z327">IF(LEN(AC327),lower(concatenate("bosvendor-",'2-Building'!B$4,"-",INDEX(D:D, MATCH(AC327, J:J, 0)),INDEX(E:E, MATCH(AC327, J:J, 0)))),"")</f>
        <v/>
      </c>
      <c r="AA327" s="28"/>
      <c r="AB327" s="28"/>
      <c r="AC327" s="28"/>
      <c r="AD327" s="28"/>
    </row>
    <row r="328" ht="30.0" customHeight="1">
      <c r="A328" s="488"/>
      <c r="B328" s="582"/>
      <c r="C328" s="256"/>
      <c r="D328" s="582"/>
      <c r="E328" s="488"/>
      <c r="F328" s="258"/>
      <c r="G328" s="173"/>
      <c r="H328" s="173"/>
      <c r="I328" s="576"/>
      <c r="J328" s="580"/>
      <c r="K328" s="569" t="str">
        <f t="shared" si="1"/>
        <v/>
      </c>
      <c r="L328" s="572"/>
      <c r="M328" s="173"/>
      <c r="N328" s="173"/>
      <c r="O328" s="173"/>
      <c r="P328" s="573"/>
      <c r="Q328" s="573"/>
      <c r="R328" s="173"/>
      <c r="S328" s="173"/>
      <c r="T328" s="173"/>
      <c r="U328" s="173"/>
      <c r="V328" s="173"/>
      <c r="W328" s="574"/>
      <c r="X328" s="575"/>
      <c r="Y328" s="28"/>
      <c r="Z328" s="543" t="str">
        <f t="array" ref="Z328">IF(LEN(AC328),lower(concatenate("bosvendor-",'2-Building'!B$4,"-",INDEX(D:D, MATCH(AC328, J:J, 0)),INDEX(E:E, MATCH(AC328, J:J, 0)))),"")</f>
        <v/>
      </c>
      <c r="AA328" s="28"/>
      <c r="AB328" s="28"/>
      <c r="AC328" s="28"/>
      <c r="AD328" s="28"/>
    </row>
    <row r="329" ht="30.0" customHeight="1">
      <c r="A329" s="488"/>
      <c r="B329" s="582"/>
      <c r="C329" s="256"/>
      <c r="D329" s="582"/>
      <c r="E329" s="488"/>
      <c r="F329" s="258"/>
      <c r="G329" s="173"/>
      <c r="H329" s="173"/>
      <c r="I329" s="576"/>
      <c r="J329" s="580"/>
      <c r="K329" s="569" t="str">
        <f t="shared" si="1"/>
        <v/>
      </c>
      <c r="L329" s="572"/>
      <c r="M329" s="173"/>
      <c r="N329" s="173"/>
      <c r="O329" s="173"/>
      <c r="P329" s="573"/>
      <c r="Q329" s="573"/>
      <c r="R329" s="173"/>
      <c r="S329" s="173"/>
      <c r="T329" s="173"/>
      <c r="U329" s="173"/>
      <c r="V329" s="173"/>
      <c r="W329" s="574"/>
      <c r="X329" s="575"/>
      <c r="Y329" s="28"/>
      <c r="Z329" s="543" t="str">
        <f t="array" ref="Z329">IF(LEN(AC329),lower(concatenate("bosvendor-",'2-Building'!B$4,"-",INDEX(D:D, MATCH(AC329, J:J, 0)),INDEX(E:E, MATCH(AC329, J:J, 0)))),"")</f>
        <v/>
      </c>
      <c r="AA329" s="28"/>
      <c r="AB329" s="28"/>
      <c r="AC329" s="28"/>
      <c r="AD329" s="28"/>
    </row>
    <row r="330" ht="30.0" customHeight="1">
      <c r="A330" s="488"/>
      <c r="B330" s="582"/>
      <c r="C330" s="256"/>
      <c r="D330" s="582"/>
      <c r="E330" s="488"/>
      <c r="F330" s="258"/>
      <c r="G330" s="173"/>
      <c r="H330" s="173"/>
      <c r="I330" s="576"/>
      <c r="J330" s="580"/>
      <c r="K330" s="569" t="str">
        <f t="shared" si="1"/>
        <v/>
      </c>
      <c r="L330" s="572"/>
      <c r="M330" s="173"/>
      <c r="N330" s="173"/>
      <c r="O330" s="173"/>
      <c r="P330" s="573"/>
      <c r="Q330" s="573"/>
      <c r="R330" s="173"/>
      <c r="S330" s="173"/>
      <c r="T330" s="173"/>
      <c r="U330" s="173"/>
      <c r="V330" s="173"/>
      <c r="W330" s="574"/>
      <c r="X330" s="575"/>
      <c r="Y330" s="28"/>
      <c r="Z330" s="543" t="str">
        <f t="array" ref="Z330">IF(LEN(AC330),lower(concatenate("bosvendor-",'2-Building'!B$4,"-",INDEX(D:D, MATCH(AC330, J:J, 0)),INDEX(E:E, MATCH(AC330, J:J, 0)))),"")</f>
        <v/>
      </c>
      <c r="AA330" s="28"/>
      <c r="AB330" s="28"/>
      <c r="AC330" s="28"/>
      <c r="AD330" s="28"/>
    </row>
    <row r="331" ht="30.0" customHeight="1">
      <c r="A331" s="488"/>
      <c r="B331" s="582"/>
      <c r="C331" s="256"/>
      <c r="D331" s="582"/>
      <c r="E331" s="488"/>
      <c r="F331" s="258"/>
      <c r="G331" s="173"/>
      <c r="H331" s="173"/>
      <c r="I331" s="576"/>
      <c r="J331" s="580"/>
      <c r="K331" s="569" t="str">
        <f t="shared" si="1"/>
        <v/>
      </c>
      <c r="L331" s="572"/>
      <c r="M331" s="173"/>
      <c r="N331" s="173"/>
      <c r="O331" s="173"/>
      <c r="P331" s="573"/>
      <c r="Q331" s="573"/>
      <c r="R331" s="173"/>
      <c r="S331" s="173"/>
      <c r="T331" s="173"/>
      <c r="U331" s="173"/>
      <c r="V331" s="173"/>
      <c r="W331" s="574"/>
      <c r="X331" s="575"/>
      <c r="Y331" s="28"/>
      <c r="Z331" s="543" t="str">
        <f t="array" ref="Z331">IF(LEN(AC331),lower(concatenate("bosvendor-",'2-Building'!B$4,"-",INDEX(D:D, MATCH(AC331, J:J, 0)),INDEX(E:E, MATCH(AC331, J:J, 0)))),"")</f>
        <v/>
      </c>
      <c r="AA331" s="28"/>
      <c r="AB331" s="28"/>
      <c r="AC331" s="28"/>
      <c r="AD331" s="28"/>
    </row>
    <row r="332" ht="30.0" customHeight="1">
      <c r="A332" s="488"/>
      <c r="B332" s="582"/>
      <c r="C332" s="256"/>
      <c r="D332" s="582"/>
      <c r="E332" s="488"/>
      <c r="F332" s="258"/>
      <c r="G332" s="173"/>
      <c r="H332" s="173"/>
      <c r="I332" s="576"/>
      <c r="J332" s="580"/>
      <c r="K332" s="569" t="str">
        <f t="shared" si="1"/>
        <v/>
      </c>
      <c r="L332" s="572"/>
      <c r="M332" s="173"/>
      <c r="N332" s="173"/>
      <c r="O332" s="173"/>
      <c r="P332" s="573"/>
      <c r="Q332" s="573"/>
      <c r="R332" s="173"/>
      <c r="S332" s="173"/>
      <c r="T332" s="173"/>
      <c r="U332" s="173"/>
      <c r="V332" s="173"/>
      <c r="W332" s="574"/>
      <c r="X332" s="575"/>
      <c r="Y332" s="28"/>
      <c r="Z332" s="543" t="str">
        <f t="array" ref="Z332">IF(LEN(AC332),lower(concatenate("bosvendor-",'2-Building'!B$4,"-",INDEX(D:D, MATCH(AC332, J:J, 0)),INDEX(E:E, MATCH(AC332, J:J, 0)))),"")</f>
        <v/>
      </c>
      <c r="AA332" s="28"/>
      <c r="AB332" s="28"/>
      <c r="AC332" s="28"/>
      <c r="AD332" s="28"/>
    </row>
    <row r="333" ht="30.0" customHeight="1">
      <c r="A333" s="488"/>
      <c r="B333" s="582"/>
      <c r="C333" s="256"/>
      <c r="D333" s="582"/>
      <c r="E333" s="488"/>
      <c r="F333" s="258"/>
      <c r="G333" s="173"/>
      <c r="H333" s="173"/>
      <c r="I333" s="576"/>
      <c r="J333" s="580"/>
      <c r="K333" s="569" t="str">
        <f t="shared" si="1"/>
        <v/>
      </c>
      <c r="L333" s="572"/>
      <c r="M333" s="173"/>
      <c r="N333" s="173"/>
      <c r="O333" s="173"/>
      <c r="P333" s="573"/>
      <c r="Q333" s="573"/>
      <c r="R333" s="173"/>
      <c r="S333" s="173"/>
      <c r="T333" s="173"/>
      <c r="U333" s="173"/>
      <c r="V333" s="173"/>
      <c r="W333" s="574"/>
      <c r="X333" s="575"/>
      <c r="Y333" s="28"/>
      <c r="Z333" s="543" t="str">
        <f t="array" ref="Z333">IF(LEN(AC333),lower(concatenate("bosvendor-",'2-Building'!B$4,"-",INDEX(D:D, MATCH(AC333, J:J, 0)),INDEX(E:E, MATCH(AC333, J:J, 0)))),"")</f>
        <v/>
      </c>
      <c r="AA333" s="28"/>
      <c r="AB333" s="28"/>
      <c r="AC333" s="28"/>
      <c r="AD333" s="28"/>
    </row>
    <row r="334" ht="30.0" customHeight="1">
      <c r="A334" s="488"/>
      <c r="B334" s="582"/>
      <c r="C334" s="256"/>
      <c r="D334" s="582"/>
      <c r="E334" s="488"/>
      <c r="F334" s="258"/>
      <c r="G334" s="173"/>
      <c r="H334" s="173"/>
      <c r="I334" s="576"/>
      <c r="J334" s="580"/>
      <c r="K334" s="569" t="str">
        <f t="shared" si="1"/>
        <v/>
      </c>
      <c r="L334" s="572"/>
      <c r="M334" s="173"/>
      <c r="N334" s="173"/>
      <c r="O334" s="173"/>
      <c r="P334" s="573"/>
      <c r="Q334" s="573"/>
      <c r="R334" s="173"/>
      <c r="S334" s="173"/>
      <c r="T334" s="173"/>
      <c r="U334" s="173"/>
      <c r="V334" s="173"/>
      <c r="W334" s="574"/>
      <c r="X334" s="575"/>
      <c r="Y334" s="28"/>
      <c r="Z334" s="543" t="str">
        <f t="array" ref="Z334">IF(LEN(AC334),lower(concatenate("bosvendor-",'2-Building'!B$4,"-",INDEX(D:D, MATCH(AC334, J:J, 0)),INDEX(E:E, MATCH(AC334, J:J, 0)))),"")</f>
        <v/>
      </c>
      <c r="AA334" s="28"/>
      <c r="AB334" s="28"/>
      <c r="AC334" s="28"/>
      <c r="AD334" s="28"/>
    </row>
    <row r="335" ht="30.0" customHeight="1">
      <c r="A335" s="488"/>
      <c r="B335" s="582"/>
      <c r="C335" s="256"/>
      <c r="D335" s="582"/>
      <c r="E335" s="488"/>
      <c r="F335" s="258"/>
      <c r="G335" s="173"/>
      <c r="H335" s="173"/>
      <c r="I335" s="576"/>
      <c r="J335" s="580"/>
      <c r="K335" s="569" t="str">
        <f t="shared" si="1"/>
        <v/>
      </c>
      <c r="L335" s="572"/>
      <c r="M335" s="173"/>
      <c r="N335" s="173"/>
      <c r="O335" s="173"/>
      <c r="P335" s="573"/>
      <c r="Q335" s="573"/>
      <c r="R335" s="173"/>
      <c r="S335" s="173"/>
      <c r="T335" s="173"/>
      <c r="U335" s="173"/>
      <c r="V335" s="173"/>
      <c r="W335" s="574"/>
      <c r="X335" s="575"/>
      <c r="Y335" s="28"/>
      <c r="Z335" s="543" t="str">
        <f t="array" ref="Z335">IF(LEN(AC335),lower(concatenate("bosvendor-",'2-Building'!B$4,"-",INDEX(D:D, MATCH(AC335, J:J, 0)),INDEX(E:E, MATCH(AC335, J:J, 0)))),"")</f>
        <v/>
      </c>
      <c r="AA335" s="28"/>
      <c r="AB335" s="28"/>
      <c r="AC335" s="28"/>
      <c r="AD335" s="28"/>
    </row>
    <row r="336" ht="30.0" customHeight="1">
      <c r="A336" s="488"/>
      <c r="B336" s="582"/>
      <c r="C336" s="256"/>
      <c r="D336" s="582"/>
      <c r="E336" s="488"/>
      <c r="F336" s="258"/>
      <c r="G336" s="173"/>
      <c r="H336" s="173"/>
      <c r="I336" s="576"/>
      <c r="J336" s="580"/>
      <c r="K336" s="569" t="str">
        <f t="shared" si="1"/>
        <v/>
      </c>
      <c r="L336" s="572"/>
      <c r="M336" s="173"/>
      <c r="N336" s="173"/>
      <c r="O336" s="173"/>
      <c r="P336" s="573"/>
      <c r="Q336" s="573"/>
      <c r="R336" s="173"/>
      <c r="S336" s="173"/>
      <c r="T336" s="173"/>
      <c r="U336" s="173"/>
      <c r="V336" s="173"/>
      <c r="W336" s="574"/>
      <c r="X336" s="575"/>
      <c r="Y336" s="28"/>
      <c r="Z336" s="543" t="str">
        <f t="array" ref="Z336">IF(LEN(AC336),lower(concatenate("bosvendor-",'2-Building'!B$4,"-",INDEX(D:D, MATCH(AC336, J:J, 0)),INDEX(E:E, MATCH(AC336, J:J, 0)))),"")</f>
        <v/>
      </c>
      <c r="AA336" s="28"/>
      <c r="AB336" s="28"/>
      <c r="AC336" s="28"/>
      <c r="AD336" s="28"/>
    </row>
    <row r="337" ht="30.0" customHeight="1">
      <c r="A337" s="488"/>
      <c r="B337" s="582"/>
      <c r="C337" s="256"/>
      <c r="D337" s="582"/>
      <c r="E337" s="488"/>
      <c r="F337" s="258"/>
      <c r="G337" s="173"/>
      <c r="H337" s="173"/>
      <c r="I337" s="576"/>
      <c r="J337" s="580"/>
      <c r="K337" s="569" t="str">
        <f t="shared" si="1"/>
        <v/>
      </c>
      <c r="L337" s="572"/>
      <c r="M337" s="173"/>
      <c r="N337" s="173"/>
      <c r="O337" s="173"/>
      <c r="P337" s="573"/>
      <c r="Q337" s="573"/>
      <c r="R337" s="173"/>
      <c r="S337" s="173"/>
      <c r="T337" s="173"/>
      <c r="U337" s="173"/>
      <c r="V337" s="173"/>
      <c r="W337" s="574"/>
      <c r="X337" s="575"/>
      <c r="Y337" s="28"/>
      <c r="Z337" s="543" t="str">
        <f t="array" ref="Z337">IF(LEN(AC337),lower(concatenate("bosvendor-",'2-Building'!B$4,"-",INDEX(D:D, MATCH(AC337, J:J, 0)),INDEX(E:E, MATCH(AC337, J:J, 0)))),"")</f>
        <v/>
      </c>
      <c r="AA337" s="28"/>
      <c r="AB337" s="28"/>
      <c r="AC337" s="28"/>
      <c r="AD337" s="28"/>
    </row>
    <row r="338" ht="30.0" customHeight="1">
      <c r="A338" s="488"/>
      <c r="B338" s="582"/>
      <c r="C338" s="256"/>
      <c r="D338" s="582"/>
      <c r="E338" s="488"/>
      <c r="F338" s="258"/>
      <c r="G338" s="173"/>
      <c r="H338" s="173"/>
      <c r="I338" s="576"/>
      <c r="J338" s="580"/>
      <c r="K338" s="569" t="str">
        <f t="shared" si="1"/>
        <v/>
      </c>
      <c r="L338" s="572"/>
      <c r="M338" s="173"/>
      <c r="N338" s="173"/>
      <c r="O338" s="173"/>
      <c r="P338" s="573"/>
      <c r="Q338" s="573"/>
      <c r="R338" s="173"/>
      <c r="S338" s="173"/>
      <c r="T338" s="173"/>
      <c r="U338" s="173"/>
      <c r="V338" s="173"/>
      <c r="W338" s="574"/>
      <c r="X338" s="575"/>
      <c r="Y338" s="28"/>
      <c r="Z338" s="543" t="str">
        <f t="array" ref="Z338">IF(LEN(AC338),lower(concatenate("bosvendor-",'2-Building'!B$4,"-",INDEX(D:D, MATCH(AC338, J:J, 0)),INDEX(E:E, MATCH(AC338, J:J, 0)))),"")</f>
        <v/>
      </c>
      <c r="AA338" s="28"/>
      <c r="AB338" s="28"/>
      <c r="AC338" s="28"/>
      <c r="AD338" s="28"/>
    </row>
    <row r="339" ht="30.0" customHeight="1">
      <c r="A339" s="488"/>
      <c r="B339" s="582"/>
      <c r="C339" s="256"/>
      <c r="D339" s="582"/>
      <c r="E339" s="488"/>
      <c r="F339" s="258"/>
      <c r="G339" s="173"/>
      <c r="H339" s="173"/>
      <c r="I339" s="576"/>
      <c r="J339" s="580"/>
      <c r="K339" s="569" t="str">
        <f t="shared" si="1"/>
        <v/>
      </c>
      <c r="L339" s="572"/>
      <c r="M339" s="173"/>
      <c r="N339" s="173"/>
      <c r="O339" s="173"/>
      <c r="P339" s="573"/>
      <c r="Q339" s="573"/>
      <c r="R339" s="173"/>
      <c r="S339" s="173"/>
      <c r="T339" s="173"/>
      <c r="U339" s="173"/>
      <c r="V339" s="173"/>
      <c r="W339" s="574"/>
      <c r="X339" s="575"/>
      <c r="Y339" s="28"/>
      <c r="Z339" s="543" t="str">
        <f t="array" ref="Z339">IF(LEN(AC339),lower(concatenate("bosvendor-",'2-Building'!B$4,"-",INDEX(D:D, MATCH(AC339, J:J, 0)),INDEX(E:E, MATCH(AC339, J:J, 0)))),"")</f>
        <v/>
      </c>
      <c r="AA339" s="28"/>
      <c r="AB339" s="28"/>
      <c r="AC339" s="28"/>
      <c r="AD339" s="28"/>
    </row>
    <row r="340" ht="30.0" customHeight="1">
      <c r="A340" s="488"/>
      <c r="B340" s="582"/>
      <c r="C340" s="256"/>
      <c r="D340" s="582"/>
      <c r="E340" s="488"/>
      <c r="F340" s="258"/>
      <c r="G340" s="173"/>
      <c r="H340" s="173"/>
      <c r="I340" s="576"/>
      <c r="J340" s="580"/>
      <c r="K340" s="569" t="str">
        <f t="shared" si="1"/>
        <v/>
      </c>
      <c r="L340" s="572"/>
      <c r="M340" s="173"/>
      <c r="N340" s="173"/>
      <c r="O340" s="173"/>
      <c r="P340" s="573"/>
      <c r="Q340" s="573"/>
      <c r="R340" s="173"/>
      <c r="S340" s="173"/>
      <c r="T340" s="173"/>
      <c r="U340" s="173"/>
      <c r="V340" s="173"/>
      <c r="W340" s="574"/>
      <c r="X340" s="575"/>
      <c r="Y340" s="28"/>
      <c r="Z340" s="543" t="str">
        <f t="array" ref="Z340">IF(LEN(AC340),lower(concatenate("bosvendor-",'2-Building'!B$4,"-",INDEX(D:D, MATCH(AC340, J:J, 0)),INDEX(E:E, MATCH(AC340, J:J, 0)))),"")</f>
        <v/>
      </c>
      <c r="AA340" s="28"/>
      <c r="AB340" s="28"/>
      <c r="AC340" s="28"/>
      <c r="AD340" s="28"/>
    </row>
    <row r="341" ht="30.0" customHeight="1">
      <c r="A341" s="488"/>
      <c r="B341" s="582"/>
      <c r="C341" s="256"/>
      <c r="D341" s="582"/>
      <c r="E341" s="488"/>
      <c r="F341" s="258"/>
      <c r="G341" s="173"/>
      <c r="H341" s="173"/>
      <c r="I341" s="576"/>
      <c r="J341" s="580"/>
      <c r="K341" s="569" t="str">
        <f t="shared" si="1"/>
        <v/>
      </c>
      <c r="L341" s="572"/>
      <c r="M341" s="173"/>
      <c r="N341" s="173"/>
      <c r="O341" s="173"/>
      <c r="P341" s="573"/>
      <c r="Q341" s="573"/>
      <c r="R341" s="173"/>
      <c r="S341" s="173"/>
      <c r="T341" s="173"/>
      <c r="U341" s="173"/>
      <c r="V341" s="173"/>
      <c r="W341" s="574"/>
      <c r="X341" s="575"/>
      <c r="Y341" s="28"/>
      <c r="Z341" s="543" t="str">
        <f t="array" ref="Z341">IF(LEN(AC341),lower(concatenate("bosvendor-",'2-Building'!B$4,"-",INDEX(D:D, MATCH(AC341, J:J, 0)),INDEX(E:E, MATCH(AC341, J:J, 0)))),"")</f>
        <v/>
      </c>
      <c r="AA341" s="28"/>
      <c r="AB341" s="28"/>
      <c r="AC341" s="28"/>
      <c r="AD341" s="28"/>
    </row>
    <row r="342" ht="30.0" customHeight="1">
      <c r="A342" s="488"/>
      <c r="B342" s="582"/>
      <c r="C342" s="256"/>
      <c r="D342" s="582"/>
      <c r="E342" s="488"/>
      <c r="F342" s="258"/>
      <c r="G342" s="173"/>
      <c r="H342" s="173"/>
      <c r="I342" s="576"/>
      <c r="J342" s="580"/>
      <c r="K342" s="569" t="str">
        <f t="shared" si="1"/>
        <v/>
      </c>
      <c r="L342" s="572"/>
      <c r="M342" s="173"/>
      <c r="N342" s="173"/>
      <c r="O342" s="173"/>
      <c r="P342" s="573"/>
      <c r="Q342" s="573"/>
      <c r="R342" s="173"/>
      <c r="S342" s="173"/>
      <c r="T342" s="173"/>
      <c r="U342" s="173"/>
      <c r="V342" s="173"/>
      <c r="W342" s="574"/>
      <c r="X342" s="575"/>
      <c r="Y342" s="28"/>
      <c r="Z342" s="543" t="str">
        <f t="array" ref="Z342">IF(LEN(AC342),lower(concatenate("bosvendor-",'2-Building'!B$4,"-",INDEX(D:D, MATCH(AC342, J:J, 0)),INDEX(E:E, MATCH(AC342, J:J, 0)))),"")</f>
        <v/>
      </c>
      <c r="AA342" s="28"/>
      <c r="AB342" s="28"/>
      <c r="AC342" s="28"/>
      <c r="AD342" s="28"/>
    </row>
    <row r="343" ht="30.0" customHeight="1">
      <c r="A343" s="488"/>
      <c r="B343" s="582"/>
      <c r="C343" s="256"/>
      <c r="D343" s="582"/>
      <c r="E343" s="488"/>
      <c r="F343" s="258"/>
      <c r="G343" s="173"/>
      <c r="H343" s="173"/>
      <c r="I343" s="576"/>
      <c r="J343" s="580"/>
      <c r="K343" s="569" t="str">
        <f t="shared" si="1"/>
        <v/>
      </c>
      <c r="L343" s="572"/>
      <c r="M343" s="173"/>
      <c r="N343" s="173"/>
      <c r="O343" s="173"/>
      <c r="P343" s="573"/>
      <c r="Q343" s="573"/>
      <c r="R343" s="173"/>
      <c r="S343" s="173"/>
      <c r="T343" s="173"/>
      <c r="U343" s="173"/>
      <c r="V343" s="173"/>
      <c r="W343" s="574"/>
      <c r="X343" s="575"/>
      <c r="Y343" s="28"/>
      <c r="Z343" s="543" t="str">
        <f t="array" ref="Z343">IF(LEN(AC343),lower(concatenate("bosvendor-",'2-Building'!B$4,"-",INDEX(D:D, MATCH(AC343, J:J, 0)),INDEX(E:E, MATCH(AC343, J:J, 0)))),"")</f>
        <v/>
      </c>
      <c r="AA343" s="28"/>
      <c r="AB343" s="28"/>
      <c r="AC343" s="28"/>
      <c r="AD343" s="28"/>
    </row>
    <row r="344" ht="30.0" customHeight="1">
      <c r="A344" s="488"/>
      <c r="B344" s="582"/>
      <c r="C344" s="256"/>
      <c r="D344" s="582"/>
      <c r="E344" s="488"/>
      <c r="F344" s="258"/>
      <c r="G344" s="173"/>
      <c r="H344" s="173"/>
      <c r="I344" s="576"/>
      <c r="J344" s="580"/>
      <c r="K344" s="569" t="str">
        <f t="shared" si="1"/>
        <v/>
      </c>
      <c r="L344" s="572"/>
      <c r="M344" s="173"/>
      <c r="N344" s="173"/>
      <c r="O344" s="173"/>
      <c r="P344" s="573"/>
      <c r="Q344" s="573"/>
      <c r="R344" s="173"/>
      <c r="S344" s="173"/>
      <c r="T344" s="173"/>
      <c r="U344" s="173"/>
      <c r="V344" s="173"/>
      <c r="W344" s="574"/>
      <c r="X344" s="575"/>
      <c r="Y344" s="28"/>
      <c r="Z344" s="543" t="str">
        <f t="array" ref="Z344">IF(LEN(AC344),lower(concatenate("bosvendor-",'2-Building'!B$4,"-",INDEX(D:D, MATCH(AC344, J:J, 0)),INDEX(E:E, MATCH(AC344, J:J, 0)))),"")</f>
        <v/>
      </c>
      <c r="AA344" s="28"/>
      <c r="AB344" s="28"/>
      <c r="AC344" s="28"/>
      <c r="AD344" s="28"/>
    </row>
    <row r="345" ht="30.0" customHeight="1">
      <c r="A345" s="488"/>
      <c r="B345" s="582"/>
      <c r="C345" s="256"/>
      <c r="D345" s="582"/>
      <c r="E345" s="488"/>
      <c r="F345" s="258"/>
      <c r="G345" s="173"/>
      <c r="H345" s="173"/>
      <c r="I345" s="576"/>
      <c r="J345" s="580"/>
      <c r="K345" s="569" t="str">
        <f t="shared" si="1"/>
        <v/>
      </c>
      <c r="L345" s="572"/>
      <c r="M345" s="173"/>
      <c r="N345" s="173"/>
      <c r="O345" s="173"/>
      <c r="P345" s="573"/>
      <c r="Q345" s="573"/>
      <c r="R345" s="173"/>
      <c r="S345" s="173"/>
      <c r="T345" s="173"/>
      <c r="U345" s="173"/>
      <c r="V345" s="173"/>
      <c r="W345" s="574"/>
      <c r="X345" s="575"/>
      <c r="Y345" s="28"/>
      <c r="Z345" s="543" t="str">
        <f t="array" ref="Z345">IF(LEN(AC345),lower(concatenate("bosvendor-",'2-Building'!B$4,"-",INDEX(D:D, MATCH(AC345, J:J, 0)),INDEX(E:E, MATCH(AC345, J:J, 0)))),"")</f>
        <v/>
      </c>
      <c r="AA345" s="28"/>
      <c r="AB345" s="28"/>
      <c r="AC345" s="28"/>
      <c r="AD345" s="28"/>
    </row>
    <row r="346" ht="30.0" customHeight="1">
      <c r="A346" s="488"/>
      <c r="B346" s="582"/>
      <c r="C346" s="256"/>
      <c r="D346" s="582"/>
      <c r="E346" s="488"/>
      <c r="F346" s="258"/>
      <c r="G346" s="173"/>
      <c r="H346" s="173"/>
      <c r="I346" s="576"/>
      <c r="J346" s="580"/>
      <c r="K346" s="569" t="str">
        <f t="shared" si="1"/>
        <v/>
      </c>
      <c r="L346" s="572"/>
      <c r="M346" s="173"/>
      <c r="N346" s="173"/>
      <c r="O346" s="173"/>
      <c r="P346" s="573"/>
      <c r="Q346" s="573"/>
      <c r="R346" s="173"/>
      <c r="S346" s="173"/>
      <c r="T346" s="173"/>
      <c r="U346" s="173"/>
      <c r="V346" s="173"/>
      <c r="W346" s="574"/>
      <c r="X346" s="575"/>
      <c r="Y346" s="28"/>
      <c r="Z346" s="543" t="str">
        <f t="array" ref="Z346">IF(LEN(AC346),lower(concatenate("bosvendor-",'2-Building'!B$4,"-",INDEX(D:D, MATCH(AC346, J:J, 0)),INDEX(E:E, MATCH(AC346, J:J, 0)))),"")</f>
        <v/>
      </c>
      <c r="AA346" s="28"/>
      <c r="AB346" s="28"/>
      <c r="AC346" s="28"/>
      <c r="AD346" s="28"/>
    </row>
    <row r="347" ht="30.0" customHeight="1">
      <c r="A347" s="488"/>
      <c r="B347" s="582"/>
      <c r="C347" s="256"/>
      <c r="D347" s="582"/>
      <c r="E347" s="488"/>
      <c r="F347" s="258"/>
      <c r="G347" s="173"/>
      <c r="H347" s="173"/>
      <c r="I347" s="576"/>
      <c r="J347" s="580"/>
      <c r="K347" s="569" t="str">
        <f t="shared" si="1"/>
        <v/>
      </c>
      <c r="L347" s="572"/>
      <c r="M347" s="173"/>
      <c r="N347" s="173"/>
      <c r="O347" s="173"/>
      <c r="P347" s="573"/>
      <c r="Q347" s="573"/>
      <c r="R347" s="173"/>
      <c r="S347" s="173"/>
      <c r="T347" s="173"/>
      <c r="U347" s="173"/>
      <c r="V347" s="173"/>
      <c r="W347" s="574"/>
      <c r="X347" s="575"/>
      <c r="Y347" s="28"/>
      <c r="Z347" s="543" t="str">
        <f t="array" ref="Z347">IF(LEN(AC347),lower(concatenate("bosvendor-",'2-Building'!B$4,"-",INDEX(D:D, MATCH(AC347, J:J, 0)),INDEX(E:E, MATCH(AC347, J:J, 0)))),"")</f>
        <v/>
      </c>
      <c r="AA347" s="28"/>
      <c r="AB347" s="28"/>
      <c r="AC347" s="28"/>
      <c r="AD347" s="28"/>
    </row>
    <row r="348" ht="30.0" customHeight="1">
      <c r="A348" s="488"/>
      <c r="B348" s="582"/>
      <c r="C348" s="256"/>
      <c r="D348" s="582"/>
      <c r="E348" s="488"/>
      <c r="F348" s="258"/>
      <c r="G348" s="173"/>
      <c r="H348" s="173"/>
      <c r="I348" s="576"/>
      <c r="J348" s="580"/>
      <c r="K348" s="569" t="str">
        <f t="shared" si="1"/>
        <v/>
      </c>
      <c r="L348" s="572"/>
      <c r="M348" s="173"/>
      <c r="N348" s="173"/>
      <c r="O348" s="173"/>
      <c r="P348" s="573"/>
      <c r="Q348" s="573"/>
      <c r="R348" s="173"/>
      <c r="S348" s="173"/>
      <c r="T348" s="173"/>
      <c r="U348" s="173"/>
      <c r="V348" s="173"/>
      <c r="W348" s="574"/>
      <c r="X348" s="575"/>
      <c r="Y348" s="28"/>
      <c r="Z348" s="543" t="str">
        <f t="array" ref="Z348">IF(LEN(AC348),lower(concatenate("bosvendor-",'2-Building'!B$4,"-",INDEX(D:D, MATCH(AC348, J:J, 0)),INDEX(E:E, MATCH(AC348, J:J, 0)))),"")</f>
        <v/>
      </c>
      <c r="AA348" s="28"/>
      <c r="AB348" s="28"/>
      <c r="AC348" s="28"/>
      <c r="AD348" s="28"/>
    </row>
    <row r="349" ht="30.0" customHeight="1">
      <c r="A349" s="488"/>
      <c r="B349" s="582"/>
      <c r="C349" s="256"/>
      <c r="D349" s="582"/>
      <c r="E349" s="488"/>
      <c r="F349" s="258"/>
      <c r="G349" s="173"/>
      <c r="H349" s="173"/>
      <c r="I349" s="576"/>
      <c r="J349" s="580"/>
      <c r="K349" s="569" t="str">
        <f t="shared" si="1"/>
        <v/>
      </c>
      <c r="L349" s="572"/>
      <c r="M349" s="173"/>
      <c r="N349" s="173"/>
      <c r="O349" s="173"/>
      <c r="P349" s="573"/>
      <c r="Q349" s="573"/>
      <c r="R349" s="173"/>
      <c r="S349" s="173"/>
      <c r="T349" s="173"/>
      <c r="U349" s="173"/>
      <c r="V349" s="173"/>
      <c r="W349" s="574"/>
      <c r="X349" s="575"/>
      <c r="Y349" s="28"/>
      <c r="Z349" s="543" t="str">
        <f t="array" ref="Z349">IF(LEN(AC349),lower(concatenate("bosvendor-",'2-Building'!B$4,"-",INDEX(D:D, MATCH(AC349, J:J, 0)),INDEX(E:E, MATCH(AC349, J:J, 0)))),"")</f>
        <v/>
      </c>
      <c r="AA349" s="28"/>
      <c r="AB349" s="28"/>
      <c r="AC349" s="28"/>
      <c r="AD349" s="28"/>
    </row>
    <row r="350" ht="30.0" customHeight="1">
      <c r="A350" s="488"/>
      <c r="B350" s="582"/>
      <c r="C350" s="256"/>
      <c r="D350" s="582"/>
      <c r="E350" s="488"/>
      <c r="F350" s="258"/>
      <c r="G350" s="173"/>
      <c r="H350" s="173"/>
      <c r="I350" s="576"/>
      <c r="J350" s="580"/>
      <c r="K350" s="569" t="str">
        <f t="shared" si="1"/>
        <v/>
      </c>
      <c r="L350" s="572"/>
      <c r="M350" s="173"/>
      <c r="N350" s="173"/>
      <c r="O350" s="173"/>
      <c r="P350" s="573"/>
      <c r="Q350" s="573"/>
      <c r="R350" s="173"/>
      <c r="S350" s="173"/>
      <c r="T350" s="173"/>
      <c r="U350" s="173"/>
      <c r="V350" s="173"/>
      <c r="W350" s="574"/>
      <c r="X350" s="575"/>
      <c r="Y350" s="28"/>
      <c r="Z350" s="543" t="str">
        <f t="array" ref="Z350">IF(LEN(AC350),lower(concatenate("bosvendor-",'2-Building'!B$4,"-",INDEX(D:D, MATCH(AC350, J:J, 0)),INDEX(E:E, MATCH(AC350, J:J, 0)))),"")</f>
        <v/>
      </c>
      <c r="AA350" s="28"/>
      <c r="AB350" s="28"/>
      <c r="AC350" s="28"/>
      <c r="AD350" s="28"/>
    </row>
    <row r="351" ht="30.0" customHeight="1">
      <c r="A351" s="488"/>
      <c r="B351" s="582"/>
      <c r="C351" s="256"/>
      <c r="D351" s="582"/>
      <c r="E351" s="488"/>
      <c r="F351" s="258"/>
      <c r="G351" s="173"/>
      <c r="H351" s="173"/>
      <c r="I351" s="576"/>
      <c r="J351" s="580"/>
      <c r="K351" s="569" t="str">
        <f t="shared" si="1"/>
        <v/>
      </c>
      <c r="L351" s="572"/>
      <c r="M351" s="173"/>
      <c r="N351" s="173"/>
      <c r="O351" s="173"/>
      <c r="P351" s="573"/>
      <c r="Q351" s="573"/>
      <c r="R351" s="173"/>
      <c r="S351" s="173"/>
      <c r="T351" s="173"/>
      <c r="U351" s="173"/>
      <c r="V351" s="173"/>
      <c r="W351" s="574"/>
      <c r="X351" s="575"/>
      <c r="Y351" s="28"/>
      <c r="Z351" s="543" t="str">
        <f t="array" ref="Z351">IF(LEN(AC351),lower(concatenate("bosvendor-",'2-Building'!B$4,"-",INDEX(D:D, MATCH(AC351, J:J, 0)),INDEX(E:E, MATCH(AC351, J:J, 0)))),"")</f>
        <v/>
      </c>
      <c r="AA351" s="28"/>
      <c r="AB351" s="28"/>
      <c r="AC351" s="28"/>
      <c r="AD351" s="28"/>
    </row>
    <row r="352" ht="30.0" customHeight="1">
      <c r="A352" s="488"/>
      <c r="B352" s="582"/>
      <c r="C352" s="256"/>
      <c r="D352" s="582"/>
      <c r="E352" s="488"/>
      <c r="F352" s="258"/>
      <c r="G352" s="173"/>
      <c r="H352" s="173"/>
      <c r="I352" s="576"/>
      <c r="J352" s="580"/>
      <c r="K352" s="569" t="str">
        <f t="shared" si="1"/>
        <v/>
      </c>
      <c r="L352" s="572"/>
      <c r="M352" s="173"/>
      <c r="N352" s="173"/>
      <c r="O352" s="173"/>
      <c r="P352" s="573"/>
      <c r="Q352" s="573"/>
      <c r="R352" s="173"/>
      <c r="S352" s="173"/>
      <c r="T352" s="173"/>
      <c r="U352" s="173"/>
      <c r="V352" s="173"/>
      <c r="W352" s="574"/>
      <c r="X352" s="575"/>
      <c r="Y352" s="28"/>
      <c r="Z352" s="543" t="str">
        <f t="array" ref="Z352">IF(LEN(AC352),lower(concatenate("bosvendor-",'2-Building'!B$4,"-",INDEX(D:D, MATCH(AC352, J:J, 0)),INDEX(E:E, MATCH(AC352, J:J, 0)))),"")</f>
        <v/>
      </c>
      <c r="AA352" s="28"/>
      <c r="AB352" s="28"/>
      <c r="AC352" s="28"/>
      <c r="AD352" s="28"/>
    </row>
    <row r="353" ht="30.0" customHeight="1">
      <c r="A353" s="488"/>
      <c r="B353" s="582"/>
      <c r="C353" s="256"/>
      <c r="D353" s="582"/>
      <c r="E353" s="488"/>
      <c r="F353" s="258"/>
      <c r="G353" s="173"/>
      <c r="H353" s="173"/>
      <c r="I353" s="576"/>
      <c r="J353" s="580"/>
      <c r="K353" s="569" t="str">
        <f t="shared" si="1"/>
        <v/>
      </c>
      <c r="L353" s="572"/>
      <c r="M353" s="173"/>
      <c r="N353" s="173"/>
      <c r="O353" s="173"/>
      <c r="P353" s="573"/>
      <c r="Q353" s="573"/>
      <c r="R353" s="173"/>
      <c r="S353" s="173"/>
      <c r="T353" s="173"/>
      <c r="U353" s="173"/>
      <c r="V353" s="173"/>
      <c r="W353" s="574"/>
      <c r="X353" s="575"/>
      <c r="Y353" s="28"/>
      <c r="Z353" s="543" t="str">
        <f t="array" ref="Z353">IF(LEN(AC353),lower(concatenate("bosvendor-",'2-Building'!B$4,"-",INDEX(D:D, MATCH(AC353, J:J, 0)),INDEX(E:E, MATCH(AC353, J:J, 0)))),"")</f>
        <v/>
      </c>
      <c r="AA353" s="28"/>
      <c r="AB353" s="28"/>
      <c r="AC353" s="28"/>
      <c r="AD353" s="28"/>
    </row>
    <row r="354" ht="30.0" customHeight="1">
      <c r="A354" s="488"/>
      <c r="B354" s="582"/>
      <c r="C354" s="256"/>
      <c r="D354" s="582"/>
      <c r="E354" s="488"/>
      <c r="F354" s="258"/>
      <c r="G354" s="173"/>
      <c r="H354" s="173"/>
      <c r="I354" s="576"/>
      <c r="J354" s="580"/>
      <c r="K354" s="569" t="str">
        <f t="shared" si="1"/>
        <v/>
      </c>
      <c r="L354" s="572"/>
      <c r="M354" s="173"/>
      <c r="N354" s="173"/>
      <c r="O354" s="173"/>
      <c r="P354" s="573"/>
      <c r="Q354" s="573"/>
      <c r="R354" s="173"/>
      <c r="S354" s="173"/>
      <c r="T354" s="173"/>
      <c r="U354" s="173"/>
      <c r="V354" s="173"/>
      <c r="W354" s="574"/>
      <c r="X354" s="575"/>
      <c r="Y354" s="28"/>
      <c r="Z354" s="543" t="str">
        <f t="array" ref="Z354">IF(LEN(AC354),lower(concatenate("bosvendor-",'2-Building'!B$4,"-",INDEX(D:D, MATCH(AC354, J:J, 0)),INDEX(E:E, MATCH(AC354, J:J, 0)))),"")</f>
        <v/>
      </c>
      <c r="AA354" s="28"/>
      <c r="AB354" s="28"/>
      <c r="AC354" s="28"/>
      <c r="AD354" s="28"/>
    </row>
    <row r="355" ht="30.0" customHeight="1">
      <c r="A355" s="488"/>
      <c r="B355" s="582"/>
      <c r="C355" s="256"/>
      <c r="D355" s="582"/>
      <c r="E355" s="488"/>
      <c r="F355" s="258"/>
      <c r="G355" s="173"/>
      <c r="H355" s="173"/>
      <c r="I355" s="576"/>
      <c r="J355" s="580"/>
      <c r="K355" s="569" t="str">
        <f t="shared" si="1"/>
        <v/>
      </c>
      <c r="L355" s="572"/>
      <c r="M355" s="173"/>
      <c r="N355" s="173"/>
      <c r="O355" s="173"/>
      <c r="P355" s="573"/>
      <c r="Q355" s="573"/>
      <c r="R355" s="173"/>
      <c r="S355" s="173"/>
      <c r="T355" s="173"/>
      <c r="U355" s="173"/>
      <c r="V355" s="173"/>
      <c r="W355" s="574"/>
      <c r="X355" s="575"/>
      <c r="Y355" s="28"/>
      <c r="Z355" s="543" t="str">
        <f t="array" ref="Z355">IF(LEN(AC355),lower(concatenate("bosvendor-",'2-Building'!B$4,"-",INDEX(D:D, MATCH(AC355, J:J, 0)),INDEX(E:E, MATCH(AC355, J:J, 0)))),"")</f>
        <v/>
      </c>
      <c r="AA355" s="28"/>
      <c r="AB355" s="28"/>
      <c r="AC355" s="28"/>
      <c r="AD355" s="28"/>
    </row>
    <row r="356" ht="30.0" customHeight="1">
      <c r="A356" s="488"/>
      <c r="B356" s="582"/>
      <c r="C356" s="256"/>
      <c r="D356" s="582"/>
      <c r="E356" s="488"/>
      <c r="F356" s="258"/>
      <c r="G356" s="173"/>
      <c r="H356" s="173"/>
      <c r="I356" s="576"/>
      <c r="J356" s="580"/>
      <c r="K356" s="569" t="str">
        <f t="shared" si="1"/>
        <v/>
      </c>
      <c r="L356" s="572"/>
      <c r="M356" s="173"/>
      <c r="N356" s="173"/>
      <c r="O356" s="173"/>
      <c r="P356" s="573"/>
      <c r="Q356" s="573"/>
      <c r="R356" s="173"/>
      <c r="S356" s="173"/>
      <c r="T356" s="173"/>
      <c r="U356" s="173"/>
      <c r="V356" s="173"/>
      <c r="W356" s="574"/>
      <c r="X356" s="575"/>
      <c r="Y356" s="28"/>
      <c r="Z356" s="543" t="str">
        <f t="array" ref="Z356">IF(LEN(AC356),lower(concatenate("bosvendor-",'2-Building'!B$4,"-",INDEX(D:D, MATCH(AC356, J:J, 0)),INDEX(E:E, MATCH(AC356, J:J, 0)))),"")</f>
        <v/>
      </c>
      <c r="AA356" s="28"/>
      <c r="AB356" s="28"/>
      <c r="AC356" s="28"/>
      <c r="AD356" s="28"/>
    </row>
    <row r="357" ht="30.0" customHeight="1">
      <c r="A357" s="488"/>
      <c r="B357" s="582"/>
      <c r="C357" s="256"/>
      <c r="D357" s="582"/>
      <c r="E357" s="488"/>
      <c r="F357" s="258"/>
      <c r="G357" s="173"/>
      <c r="H357" s="173"/>
      <c r="I357" s="576"/>
      <c r="J357" s="580"/>
      <c r="K357" s="569" t="str">
        <f t="shared" si="1"/>
        <v/>
      </c>
      <c r="L357" s="572"/>
      <c r="M357" s="173"/>
      <c r="N357" s="173"/>
      <c r="O357" s="173"/>
      <c r="P357" s="573"/>
      <c r="Q357" s="573"/>
      <c r="R357" s="173"/>
      <c r="S357" s="173"/>
      <c r="T357" s="173"/>
      <c r="U357" s="173"/>
      <c r="V357" s="173"/>
      <c r="W357" s="574"/>
      <c r="X357" s="575"/>
      <c r="Y357" s="28"/>
      <c r="Z357" s="543" t="str">
        <f t="array" ref="Z357">IF(LEN(AC357),lower(concatenate("bosvendor-",'2-Building'!B$4,"-",INDEX(D:D, MATCH(AC357, J:J, 0)),INDEX(E:E, MATCH(AC357, J:J, 0)))),"")</f>
        <v/>
      </c>
      <c r="AA357" s="28"/>
      <c r="AB357" s="28"/>
      <c r="AC357" s="28"/>
      <c r="AD357" s="28"/>
    </row>
    <row r="358" ht="30.0" customHeight="1">
      <c r="A358" s="488"/>
      <c r="B358" s="582"/>
      <c r="C358" s="256"/>
      <c r="D358" s="582"/>
      <c r="E358" s="488"/>
      <c r="F358" s="258"/>
      <c r="G358" s="173"/>
      <c r="H358" s="173"/>
      <c r="I358" s="576"/>
      <c r="J358" s="580"/>
      <c r="K358" s="569" t="str">
        <f t="shared" si="1"/>
        <v/>
      </c>
      <c r="L358" s="572"/>
      <c r="M358" s="173"/>
      <c r="N358" s="173"/>
      <c r="O358" s="173"/>
      <c r="P358" s="573"/>
      <c r="Q358" s="573"/>
      <c r="R358" s="173"/>
      <c r="S358" s="173"/>
      <c r="T358" s="173"/>
      <c r="U358" s="173"/>
      <c r="V358" s="173"/>
      <c r="W358" s="574"/>
      <c r="X358" s="575"/>
      <c r="Y358" s="28"/>
      <c r="Z358" s="543" t="str">
        <f t="array" ref="Z358">IF(LEN(AC358),lower(concatenate("bosvendor-",'2-Building'!B$4,"-",INDEX(D:D, MATCH(AC358, J:J, 0)),INDEX(E:E, MATCH(AC358, J:J, 0)))),"")</f>
        <v/>
      </c>
      <c r="AA358" s="28"/>
      <c r="AB358" s="28"/>
      <c r="AC358" s="28"/>
      <c r="AD358" s="28"/>
    </row>
    <row r="359" ht="30.0" customHeight="1">
      <c r="A359" s="488"/>
      <c r="B359" s="582"/>
      <c r="C359" s="256"/>
      <c r="D359" s="582"/>
      <c r="E359" s="488"/>
      <c r="F359" s="258"/>
      <c r="G359" s="173"/>
      <c r="H359" s="173"/>
      <c r="I359" s="576"/>
      <c r="J359" s="580"/>
      <c r="K359" s="569" t="str">
        <f t="shared" si="1"/>
        <v/>
      </c>
      <c r="L359" s="572"/>
      <c r="M359" s="173"/>
      <c r="N359" s="173"/>
      <c r="O359" s="173"/>
      <c r="P359" s="573"/>
      <c r="Q359" s="573"/>
      <c r="R359" s="173"/>
      <c r="S359" s="173"/>
      <c r="T359" s="173"/>
      <c r="U359" s="173"/>
      <c r="V359" s="173"/>
      <c r="W359" s="574"/>
      <c r="X359" s="575"/>
      <c r="Y359" s="28"/>
      <c r="Z359" s="543" t="str">
        <f t="array" ref="Z359">IF(LEN(AC359),lower(concatenate("bosvendor-",'2-Building'!B$4,"-",INDEX(D:D, MATCH(AC359, J:J, 0)),INDEX(E:E, MATCH(AC359, J:J, 0)))),"")</f>
        <v/>
      </c>
      <c r="AA359" s="28"/>
      <c r="AB359" s="28"/>
      <c r="AC359" s="28"/>
      <c r="AD359" s="28"/>
    </row>
    <row r="360" ht="30.0" customHeight="1">
      <c r="A360" s="488"/>
      <c r="B360" s="582"/>
      <c r="C360" s="256"/>
      <c r="D360" s="582"/>
      <c r="E360" s="488"/>
      <c r="F360" s="258"/>
      <c r="G360" s="173"/>
      <c r="H360" s="173"/>
      <c r="I360" s="576"/>
      <c r="J360" s="580"/>
      <c r="K360" s="569" t="str">
        <f t="shared" si="1"/>
        <v/>
      </c>
      <c r="L360" s="572"/>
      <c r="M360" s="173"/>
      <c r="N360" s="173"/>
      <c r="O360" s="173"/>
      <c r="P360" s="573"/>
      <c r="Q360" s="573"/>
      <c r="R360" s="173"/>
      <c r="S360" s="173"/>
      <c r="T360" s="173"/>
      <c r="U360" s="173"/>
      <c r="V360" s="173"/>
      <c r="W360" s="574"/>
      <c r="X360" s="575"/>
      <c r="Y360" s="28"/>
      <c r="Z360" s="543" t="str">
        <f t="array" ref="Z360">IF(LEN(AC360),lower(concatenate("bosvendor-",'2-Building'!B$4,"-",INDEX(D:D, MATCH(AC360, J:J, 0)),INDEX(E:E, MATCH(AC360, J:J, 0)))),"")</f>
        <v/>
      </c>
      <c r="AA360" s="28"/>
      <c r="AB360" s="28"/>
      <c r="AC360" s="28"/>
      <c r="AD360" s="28"/>
    </row>
    <row r="361" ht="30.0" customHeight="1">
      <c r="A361" s="488"/>
      <c r="B361" s="582"/>
      <c r="C361" s="256"/>
      <c r="D361" s="582"/>
      <c r="E361" s="488"/>
      <c r="F361" s="258"/>
      <c r="G361" s="173"/>
      <c r="H361" s="173"/>
      <c r="I361" s="576"/>
      <c r="J361" s="580"/>
      <c r="K361" s="569" t="str">
        <f t="shared" si="1"/>
        <v/>
      </c>
      <c r="L361" s="572"/>
      <c r="M361" s="173"/>
      <c r="N361" s="173"/>
      <c r="O361" s="173"/>
      <c r="P361" s="573"/>
      <c r="Q361" s="573"/>
      <c r="R361" s="173"/>
      <c r="S361" s="173"/>
      <c r="T361" s="173"/>
      <c r="U361" s="173"/>
      <c r="V361" s="173"/>
      <c r="W361" s="574"/>
      <c r="X361" s="575"/>
      <c r="Y361" s="28"/>
      <c r="Z361" s="543" t="str">
        <f t="array" ref="Z361">IF(LEN(AC361),lower(concatenate("bosvendor-",'2-Building'!B$4,"-",INDEX(D:D, MATCH(AC361, J:J, 0)),INDEX(E:E, MATCH(AC361, J:J, 0)))),"")</f>
        <v/>
      </c>
      <c r="AA361" s="28"/>
      <c r="AB361" s="28"/>
      <c r="AC361" s="28"/>
      <c r="AD361" s="28"/>
    </row>
    <row r="362" ht="30.0" customHeight="1">
      <c r="A362" s="488"/>
      <c r="B362" s="582"/>
      <c r="C362" s="256"/>
      <c r="D362" s="582"/>
      <c r="E362" s="488"/>
      <c r="F362" s="258"/>
      <c r="G362" s="173"/>
      <c r="H362" s="173"/>
      <c r="I362" s="576"/>
      <c r="J362" s="580"/>
      <c r="K362" s="569" t="str">
        <f t="shared" si="1"/>
        <v/>
      </c>
      <c r="L362" s="572"/>
      <c r="M362" s="173"/>
      <c r="N362" s="173"/>
      <c r="O362" s="173"/>
      <c r="P362" s="573"/>
      <c r="Q362" s="573"/>
      <c r="R362" s="173"/>
      <c r="S362" s="173"/>
      <c r="T362" s="173"/>
      <c r="U362" s="173"/>
      <c r="V362" s="173"/>
      <c r="W362" s="574"/>
      <c r="X362" s="575"/>
      <c r="Y362" s="28"/>
      <c r="Z362" s="543" t="str">
        <f t="array" ref="Z362">IF(LEN(AC362),lower(concatenate("bosvendor-",'2-Building'!B$4,"-",INDEX(D:D, MATCH(AC362, J:J, 0)),INDEX(E:E, MATCH(AC362, J:J, 0)))),"")</f>
        <v/>
      </c>
      <c r="AA362" s="28"/>
      <c r="AB362" s="28"/>
      <c r="AC362" s="28"/>
      <c r="AD362" s="28"/>
    </row>
    <row r="363" ht="30.0" customHeight="1">
      <c r="A363" s="488"/>
      <c r="B363" s="582"/>
      <c r="C363" s="256"/>
      <c r="D363" s="582"/>
      <c r="E363" s="488"/>
      <c r="F363" s="258"/>
      <c r="G363" s="173"/>
      <c r="H363" s="173"/>
      <c r="I363" s="576"/>
      <c r="J363" s="580"/>
      <c r="K363" s="569" t="str">
        <f t="shared" si="1"/>
        <v/>
      </c>
      <c r="L363" s="572"/>
      <c r="M363" s="173"/>
      <c r="N363" s="173"/>
      <c r="O363" s="173"/>
      <c r="P363" s="573"/>
      <c r="Q363" s="573"/>
      <c r="R363" s="173"/>
      <c r="S363" s="173"/>
      <c r="T363" s="173"/>
      <c r="U363" s="173"/>
      <c r="V363" s="173"/>
      <c r="W363" s="574"/>
      <c r="X363" s="575"/>
      <c r="Y363" s="28"/>
      <c r="Z363" s="543" t="str">
        <f t="array" ref="Z363">IF(LEN(AC363),lower(concatenate("bosvendor-",'2-Building'!B$4,"-",INDEX(D:D, MATCH(AC363, J:J, 0)),INDEX(E:E, MATCH(AC363, J:J, 0)))),"")</f>
        <v/>
      </c>
      <c r="AA363" s="28"/>
      <c r="AB363" s="28"/>
      <c r="AC363" s="28"/>
      <c r="AD363" s="28"/>
    </row>
    <row r="364" ht="30.0" customHeight="1">
      <c r="A364" s="488"/>
      <c r="B364" s="582"/>
      <c r="C364" s="256"/>
      <c r="D364" s="582"/>
      <c r="E364" s="488"/>
      <c r="F364" s="258"/>
      <c r="G364" s="173"/>
      <c r="H364" s="173"/>
      <c r="I364" s="576"/>
      <c r="J364" s="580"/>
      <c r="K364" s="569" t="str">
        <f t="shared" si="1"/>
        <v/>
      </c>
      <c r="L364" s="572"/>
      <c r="M364" s="173"/>
      <c r="N364" s="173"/>
      <c r="O364" s="173"/>
      <c r="P364" s="573"/>
      <c r="Q364" s="573"/>
      <c r="R364" s="173"/>
      <c r="S364" s="173"/>
      <c r="T364" s="173"/>
      <c r="U364" s="173"/>
      <c r="V364" s="173"/>
      <c r="W364" s="574"/>
      <c r="X364" s="575"/>
      <c r="Y364" s="28"/>
      <c r="Z364" s="543" t="str">
        <f t="array" ref="Z364">IF(LEN(AC364),lower(concatenate("bosvendor-",'2-Building'!B$4,"-",INDEX(D:D, MATCH(AC364, J:J, 0)),INDEX(E:E, MATCH(AC364, J:J, 0)))),"")</f>
        <v/>
      </c>
      <c r="AA364" s="28"/>
      <c r="AB364" s="28"/>
      <c r="AC364" s="28"/>
      <c r="AD364" s="28"/>
    </row>
    <row r="365" ht="30.0" customHeight="1">
      <c r="A365" s="488"/>
      <c r="B365" s="582"/>
      <c r="C365" s="256"/>
      <c r="D365" s="582"/>
      <c r="E365" s="488"/>
      <c r="F365" s="258"/>
      <c r="G365" s="173"/>
      <c r="H365" s="173"/>
      <c r="I365" s="576"/>
      <c r="J365" s="580"/>
      <c r="K365" s="569" t="str">
        <f t="shared" si="1"/>
        <v/>
      </c>
      <c r="L365" s="572"/>
      <c r="M365" s="173"/>
      <c r="N365" s="173"/>
      <c r="O365" s="173"/>
      <c r="P365" s="573"/>
      <c r="Q365" s="573"/>
      <c r="R365" s="173"/>
      <c r="S365" s="173"/>
      <c r="T365" s="173"/>
      <c r="U365" s="173"/>
      <c r="V365" s="173"/>
      <c r="W365" s="574"/>
      <c r="X365" s="575"/>
      <c r="Y365" s="28"/>
      <c r="Z365" s="543" t="str">
        <f t="array" ref="Z365">IF(LEN(AC365),lower(concatenate("bosvendor-",'2-Building'!B$4,"-",INDEX(D:D, MATCH(AC365, J:J, 0)),INDEX(E:E, MATCH(AC365, J:J, 0)))),"")</f>
        <v/>
      </c>
      <c r="AA365" s="28"/>
      <c r="AB365" s="28"/>
      <c r="AC365" s="28"/>
      <c r="AD365" s="28"/>
    </row>
    <row r="366" ht="30.0" customHeight="1">
      <c r="A366" s="488"/>
      <c r="B366" s="582"/>
      <c r="C366" s="256"/>
      <c r="D366" s="582"/>
      <c r="E366" s="488"/>
      <c r="F366" s="258"/>
      <c r="G366" s="173"/>
      <c r="H366" s="173"/>
      <c r="I366" s="576"/>
      <c r="J366" s="580"/>
      <c r="K366" s="569" t="str">
        <f t="shared" si="1"/>
        <v/>
      </c>
      <c r="L366" s="572"/>
      <c r="M366" s="173"/>
      <c r="N366" s="173"/>
      <c r="O366" s="173"/>
      <c r="P366" s="573"/>
      <c r="Q366" s="573"/>
      <c r="R366" s="173"/>
      <c r="S366" s="173"/>
      <c r="T366" s="173"/>
      <c r="U366" s="173"/>
      <c r="V366" s="173"/>
      <c r="W366" s="574"/>
      <c r="X366" s="575"/>
      <c r="Y366" s="28"/>
      <c r="Z366" s="543" t="str">
        <f t="array" ref="Z366">IF(LEN(AC366),lower(concatenate("bosvendor-",'2-Building'!B$4,"-",INDEX(D:D, MATCH(AC366, J:J, 0)),INDEX(E:E, MATCH(AC366, J:J, 0)))),"")</f>
        <v/>
      </c>
      <c r="AA366" s="28"/>
      <c r="AB366" s="28"/>
      <c r="AC366" s="28"/>
      <c r="AD366" s="28"/>
    </row>
    <row r="367" ht="30.0" customHeight="1">
      <c r="A367" s="488"/>
      <c r="B367" s="582"/>
      <c r="C367" s="256"/>
      <c r="D367" s="582"/>
      <c r="E367" s="488"/>
      <c r="F367" s="258"/>
      <c r="G367" s="173"/>
      <c r="H367" s="173"/>
      <c r="I367" s="576"/>
      <c r="J367" s="580"/>
      <c r="K367" s="569" t="str">
        <f t="shared" si="1"/>
        <v/>
      </c>
      <c r="L367" s="572"/>
      <c r="M367" s="173"/>
      <c r="N367" s="173"/>
      <c r="O367" s="173"/>
      <c r="P367" s="573"/>
      <c r="Q367" s="573"/>
      <c r="R367" s="173"/>
      <c r="S367" s="173"/>
      <c r="T367" s="173"/>
      <c r="U367" s="173"/>
      <c r="V367" s="173"/>
      <c r="W367" s="574"/>
      <c r="X367" s="575"/>
      <c r="Y367" s="28"/>
      <c r="Z367" s="543" t="str">
        <f t="array" ref="Z367">IF(LEN(AC367),lower(concatenate("bosvendor-",'2-Building'!B$4,"-",INDEX(D:D, MATCH(AC367, J:J, 0)),INDEX(E:E, MATCH(AC367, J:J, 0)))),"")</f>
        <v/>
      </c>
      <c r="AA367" s="28"/>
      <c r="AB367" s="28"/>
      <c r="AC367" s="28"/>
      <c r="AD367" s="28"/>
    </row>
    <row r="368" ht="30.0" customHeight="1">
      <c r="A368" s="488"/>
      <c r="B368" s="582"/>
      <c r="C368" s="256"/>
      <c r="D368" s="582"/>
      <c r="E368" s="488"/>
      <c r="F368" s="258"/>
      <c r="G368" s="173"/>
      <c r="H368" s="173"/>
      <c r="I368" s="576"/>
      <c r="J368" s="580"/>
      <c r="K368" s="569" t="str">
        <f t="shared" si="1"/>
        <v/>
      </c>
      <c r="L368" s="572"/>
      <c r="M368" s="173"/>
      <c r="N368" s="173"/>
      <c r="O368" s="173"/>
      <c r="P368" s="573"/>
      <c r="Q368" s="573"/>
      <c r="R368" s="173"/>
      <c r="S368" s="173"/>
      <c r="T368" s="173"/>
      <c r="U368" s="173"/>
      <c r="V368" s="173"/>
      <c r="W368" s="574"/>
      <c r="X368" s="575"/>
      <c r="Y368" s="28"/>
      <c r="Z368" s="543" t="str">
        <f t="array" ref="Z368">IF(LEN(AC368),lower(concatenate("bosvendor-",'2-Building'!B$4,"-",INDEX(D:D, MATCH(AC368, J:J, 0)),INDEX(E:E, MATCH(AC368, J:J, 0)))),"")</f>
        <v/>
      </c>
      <c r="AA368" s="28"/>
      <c r="AB368" s="28"/>
      <c r="AC368" s="28"/>
      <c r="AD368" s="28"/>
    </row>
    <row r="369" ht="30.0" customHeight="1">
      <c r="A369" s="488"/>
      <c r="B369" s="582"/>
      <c r="C369" s="256"/>
      <c r="D369" s="582"/>
      <c r="E369" s="488"/>
      <c r="F369" s="258"/>
      <c r="G369" s="173"/>
      <c r="H369" s="173"/>
      <c r="I369" s="576"/>
      <c r="J369" s="580"/>
      <c r="K369" s="569" t="str">
        <f t="shared" si="1"/>
        <v/>
      </c>
      <c r="L369" s="572"/>
      <c r="M369" s="173"/>
      <c r="N369" s="173"/>
      <c r="O369" s="173"/>
      <c r="P369" s="573"/>
      <c r="Q369" s="573"/>
      <c r="R369" s="173"/>
      <c r="S369" s="173"/>
      <c r="T369" s="173"/>
      <c r="U369" s="173"/>
      <c r="V369" s="173"/>
      <c r="W369" s="574"/>
      <c r="X369" s="575"/>
      <c r="Y369" s="28"/>
      <c r="Z369" s="543" t="str">
        <f t="array" ref="Z369">IF(LEN(AC369),lower(concatenate("bosvendor-",'2-Building'!B$4,"-",INDEX(D:D, MATCH(AC369, J:J, 0)),INDEX(E:E, MATCH(AC369, J:J, 0)))),"")</f>
        <v/>
      </c>
      <c r="AA369" s="28"/>
      <c r="AB369" s="28"/>
      <c r="AC369" s="28"/>
      <c r="AD369" s="28"/>
    </row>
    <row r="370" ht="30.0" customHeight="1">
      <c r="A370" s="488"/>
      <c r="B370" s="582"/>
      <c r="C370" s="256"/>
      <c r="D370" s="582"/>
      <c r="E370" s="488"/>
      <c r="F370" s="258"/>
      <c r="G370" s="173"/>
      <c r="H370" s="173"/>
      <c r="I370" s="576"/>
      <c r="J370" s="580"/>
      <c r="K370" s="569" t="str">
        <f t="shared" si="1"/>
        <v/>
      </c>
      <c r="L370" s="572"/>
      <c r="M370" s="173"/>
      <c r="N370" s="173"/>
      <c r="O370" s="173"/>
      <c r="P370" s="573"/>
      <c r="Q370" s="573"/>
      <c r="R370" s="173"/>
      <c r="S370" s="173"/>
      <c r="T370" s="173"/>
      <c r="U370" s="173"/>
      <c r="V370" s="173"/>
      <c r="W370" s="574"/>
      <c r="X370" s="575"/>
      <c r="Y370" s="28"/>
      <c r="Z370" s="543" t="str">
        <f t="array" ref="Z370">IF(LEN(AC370),lower(concatenate("bosvendor-",'2-Building'!B$4,"-",INDEX(D:D, MATCH(AC370, J:J, 0)),INDEX(E:E, MATCH(AC370, J:J, 0)))),"")</f>
        <v/>
      </c>
      <c r="AA370" s="28"/>
      <c r="AB370" s="28"/>
      <c r="AC370" s="28"/>
      <c r="AD370" s="28"/>
    </row>
    <row r="371" ht="30.0" customHeight="1">
      <c r="A371" s="488"/>
      <c r="B371" s="582"/>
      <c r="C371" s="256"/>
      <c r="D371" s="582"/>
      <c r="E371" s="488"/>
      <c r="F371" s="258"/>
      <c r="G371" s="173"/>
      <c r="H371" s="173"/>
      <c r="I371" s="576"/>
      <c r="J371" s="580"/>
      <c r="K371" s="569" t="str">
        <f t="shared" si="1"/>
        <v/>
      </c>
      <c r="L371" s="572"/>
      <c r="M371" s="173"/>
      <c r="N371" s="173"/>
      <c r="O371" s="173"/>
      <c r="P371" s="573"/>
      <c r="Q371" s="573"/>
      <c r="R371" s="173"/>
      <c r="S371" s="173"/>
      <c r="T371" s="173"/>
      <c r="U371" s="173"/>
      <c r="V371" s="173"/>
      <c r="W371" s="574"/>
      <c r="X371" s="575"/>
      <c r="Y371" s="28"/>
      <c r="Z371" s="543" t="str">
        <f t="array" ref="Z371">IF(LEN(AC371),lower(concatenate("bosvendor-",'2-Building'!B$4,"-",INDEX(D:D, MATCH(AC371, J:J, 0)),INDEX(E:E, MATCH(AC371, J:J, 0)))),"")</f>
        <v/>
      </c>
      <c r="AA371" s="28"/>
      <c r="AB371" s="28"/>
      <c r="AC371" s="28"/>
      <c r="AD371" s="28"/>
    </row>
    <row r="372" ht="30.0" customHeight="1">
      <c r="A372" s="488"/>
      <c r="B372" s="582"/>
      <c r="C372" s="256"/>
      <c r="D372" s="582"/>
      <c r="E372" s="488"/>
      <c r="F372" s="258"/>
      <c r="G372" s="173"/>
      <c r="H372" s="173"/>
      <c r="I372" s="576"/>
      <c r="J372" s="580"/>
      <c r="K372" s="569" t="str">
        <f t="shared" si="1"/>
        <v/>
      </c>
      <c r="L372" s="572"/>
      <c r="M372" s="173"/>
      <c r="N372" s="173"/>
      <c r="O372" s="173"/>
      <c r="P372" s="573"/>
      <c r="Q372" s="573"/>
      <c r="R372" s="173"/>
      <c r="S372" s="173"/>
      <c r="T372" s="173"/>
      <c r="U372" s="173"/>
      <c r="V372" s="173"/>
      <c r="W372" s="574"/>
      <c r="X372" s="575"/>
      <c r="Y372" s="28"/>
      <c r="Z372" s="543" t="str">
        <f t="array" ref="Z372">IF(LEN(AC372),lower(concatenate("bosvendor-",'2-Building'!B$4,"-",INDEX(D:D, MATCH(AC372, J:J, 0)),INDEX(E:E, MATCH(AC372, J:J, 0)))),"")</f>
        <v/>
      </c>
      <c r="AA372" s="28"/>
      <c r="AB372" s="28"/>
      <c r="AC372" s="28"/>
      <c r="AD372" s="28"/>
    </row>
    <row r="373" ht="30.0" customHeight="1">
      <c r="A373" s="488"/>
      <c r="B373" s="582"/>
      <c r="C373" s="256"/>
      <c r="D373" s="582"/>
      <c r="E373" s="488"/>
      <c r="F373" s="258"/>
      <c r="G373" s="173"/>
      <c r="H373" s="173"/>
      <c r="I373" s="576"/>
      <c r="J373" s="580"/>
      <c r="K373" s="569" t="str">
        <f t="shared" si="1"/>
        <v/>
      </c>
      <c r="L373" s="572"/>
      <c r="M373" s="173"/>
      <c r="N373" s="173"/>
      <c r="O373" s="173"/>
      <c r="P373" s="573"/>
      <c r="Q373" s="573"/>
      <c r="R373" s="173"/>
      <c r="S373" s="173"/>
      <c r="T373" s="173"/>
      <c r="U373" s="173"/>
      <c r="V373" s="173"/>
      <c r="W373" s="574"/>
      <c r="X373" s="575"/>
      <c r="Y373" s="28"/>
      <c r="Z373" s="543" t="str">
        <f t="array" ref="Z373">IF(LEN(AC373),lower(concatenate("bosvendor-",'2-Building'!B$4,"-",INDEX(D:D, MATCH(AC373, J:J, 0)),INDEX(E:E, MATCH(AC373, J:J, 0)))),"")</f>
        <v/>
      </c>
      <c r="AA373" s="28"/>
      <c r="AB373" s="28"/>
      <c r="AC373" s="28"/>
      <c r="AD373" s="28"/>
    </row>
    <row r="374" ht="30.0" customHeight="1">
      <c r="A374" s="488"/>
      <c r="B374" s="582"/>
      <c r="C374" s="256"/>
      <c r="D374" s="582"/>
      <c r="E374" s="488"/>
      <c r="F374" s="258"/>
      <c r="G374" s="173"/>
      <c r="H374" s="173"/>
      <c r="I374" s="576"/>
      <c r="J374" s="580"/>
      <c r="K374" s="569" t="str">
        <f t="shared" si="1"/>
        <v/>
      </c>
      <c r="L374" s="572"/>
      <c r="M374" s="173"/>
      <c r="N374" s="173"/>
      <c r="O374" s="173"/>
      <c r="P374" s="573"/>
      <c r="Q374" s="573"/>
      <c r="R374" s="173"/>
      <c r="S374" s="173"/>
      <c r="T374" s="173"/>
      <c r="U374" s="173"/>
      <c r="V374" s="173"/>
      <c r="W374" s="574"/>
      <c r="X374" s="575"/>
      <c r="Y374" s="28"/>
      <c r="Z374" s="543" t="str">
        <f t="array" ref="Z374">IF(LEN(AC374),lower(concatenate("bosvendor-",'2-Building'!B$4,"-",INDEX(D:D, MATCH(AC374, J:J, 0)),INDEX(E:E, MATCH(AC374, J:J, 0)))),"")</f>
        <v/>
      </c>
      <c r="AA374" s="28"/>
      <c r="AB374" s="28"/>
      <c r="AC374" s="28"/>
      <c r="AD374" s="28"/>
    </row>
    <row r="375" ht="30.0" customHeight="1">
      <c r="A375" s="488"/>
      <c r="B375" s="582"/>
      <c r="C375" s="256"/>
      <c r="D375" s="582"/>
      <c r="E375" s="488"/>
      <c r="F375" s="258"/>
      <c r="G375" s="173"/>
      <c r="H375" s="173"/>
      <c r="I375" s="576"/>
      <c r="J375" s="580"/>
      <c r="K375" s="569" t="str">
        <f t="shared" si="1"/>
        <v/>
      </c>
      <c r="L375" s="572"/>
      <c r="M375" s="173"/>
      <c r="N375" s="173"/>
      <c r="O375" s="173"/>
      <c r="P375" s="573"/>
      <c r="Q375" s="573"/>
      <c r="R375" s="173"/>
      <c r="S375" s="173"/>
      <c r="T375" s="173"/>
      <c r="U375" s="173"/>
      <c r="V375" s="173"/>
      <c r="W375" s="574"/>
      <c r="X375" s="575"/>
      <c r="Y375" s="28"/>
      <c r="Z375" s="543" t="str">
        <f t="array" ref="Z375">IF(LEN(AC375),lower(concatenate("bosvendor-",'2-Building'!B$4,"-",INDEX(D:D, MATCH(AC375, J:J, 0)),INDEX(E:E, MATCH(AC375, J:J, 0)))),"")</f>
        <v/>
      </c>
      <c r="AA375" s="28"/>
      <c r="AB375" s="28"/>
      <c r="AC375" s="28"/>
      <c r="AD375" s="28"/>
    </row>
    <row r="376" ht="30.0" customHeight="1">
      <c r="A376" s="488"/>
      <c r="B376" s="582"/>
      <c r="C376" s="256"/>
      <c r="D376" s="582"/>
      <c r="E376" s="488"/>
      <c r="F376" s="258"/>
      <c r="G376" s="173"/>
      <c r="H376" s="173"/>
      <c r="I376" s="576"/>
      <c r="J376" s="580"/>
      <c r="K376" s="569" t="str">
        <f t="shared" si="1"/>
        <v/>
      </c>
      <c r="L376" s="572"/>
      <c r="M376" s="173"/>
      <c r="N376" s="173"/>
      <c r="O376" s="173"/>
      <c r="P376" s="573"/>
      <c r="Q376" s="573"/>
      <c r="R376" s="173"/>
      <c r="S376" s="173"/>
      <c r="T376" s="173"/>
      <c r="U376" s="173"/>
      <c r="V376" s="173"/>
      <c r="W376" s="574"/>
      <c r="X376" s="575"/>
      <c r="Y376" s="28"/>
      <c r="Z376" s="543" t="str">
        <f t="array" ref="Z376">IF(LEN(AC376),lower(concatenate("bosvendor-",'2-Building'!B$4,"-",INDEX(D:D, MATCH(AC376, J:J, 0)),INDEX(E:E, MATCH(AC376, J:J, 0)))),"")</f>
        <v/>
      </c>
      <c r="AA376" s="28"/>
      <c r="AB376" s="28"/>
      <c r="AC376" s="28"/>
      <c r="AD376" s="28"/>
    </row>
    <row r="377" ht="30.0" customHeight="1">
      <c r="A377" s="488"/>
      <c r="B377" s="582"/>
      <c r="C377" s="256"/>
      <c r="D377" s="582"/>
      <c r="E377" s="488"/>
      <c r="F377" s="258"/>
      <c r="G377" s="173"/>
      <c r="H377" s="173"/>
      <c r="I377" s="576"/>
      <c r="J377" s="580"/>
      <c r="K377" s="569" t="str">
        <f t="shared" si="1"/>
        <v/>
      </c>
      <c r="L377" s="572"/>
      <c r="M377" s="173"/>
      <c r="N377" s="173"/>
      <c r="O377" s="173"/>
      <c r="P377" s="573"/>
      <c r="Q377" s="573"/>
      <c r="R377" s="173"/>
      <c r="S377" s="173"/>
      <c r="T377" s="173"/>
      <c r="U377" s="173"/>
      <c r="V377" s="173"/>
      <c r="W377" s="574"/>
      <c r="X377" s="575"/>
      <c r="Y377" s="28"/>
      <c r="Z377" s="543" t="str">
        <f t="array" ref="Z377">IF(LEN(AC377),lower(concatenate("bosvendor-",'2-Building'!B$4,"-",INDEX(D:D, MATCH(AC377, J:J, 0)),INDEX(E:E, MATCH(AC377, J:J, 0)))),"")</f>
        <v/>
      </c>
      <c r="AA377" s="28"/>
      <c r="AB377" s="28"/>
      <c r="AC377" s="28"/>
      <c r="AD377" s="28"/>
    </row>
    <row r="378" ht="30.0" customHeight="1">
      <c r="A378" s="488"/>
      <c r="B378" s="582"/>
      <c r="C378" s="256"/>
      <c r="D378" s="582"/>
      <c r="E378" s="488"/>
      <c r="F378" s="258"/>
      <c r="G378" s="173"/>
      <c r="H378" s="173"/>
      <c r="I378" s="576"/>
      <c r="J378" s="580"/>
      <c r="K378" s="569" t="str">
        <f t="shared" si="1"/>
        <v/>
      </c>
      <c r="L378" s="572"/>
      <c r="M378" s="173"/>
      <c r="N378" s="173"/>
      <c r="O378" s="173"/>
      <c r="P378" s="573"/>
      <c r="Q378" s="573"/>
      <c r="R378" s="173"/>
      <c r="S378" s="173"/>
      <c r="T378" s="173"/>
      <c r="U378" s="173"/>
      <c r="V378" s="173"/>
      <c r="W378" s="574"/>
      <c r="X378" s="575"/>
      <c r="Y378" s="28"/>
      <c r="Z378" s="543" t="str">
        <f t="array" ref="Z378">IF(LEN(AC378),lower(concatenate("bosvendor-",'2-Building'!B$4,"-",INDEX(D:D, MATCH(AC378, J:J, 0)),INDEX(E:E, MATCH(AC378, J:J, 0)))),"")</f>
        <v/>
      </c>
      <c r="AA378" s="28"/>
      <c r="AB378" s="28"/>
      <c r="AC378" s="28"/>
      <c r="AD378" s="28"/>
    </row>
    <row r="379" ht="30.0" customHeight="1">
      <c r="A379" s="488"/>
      <c r="B379" s="582"/>
      <c r="C379" s="256"/>
      <c r="D379" s="582"/>
      <c r="E379" s="488"/>
      <c r="F379" s="258"/>
      <c r="G379" s="173"/>
      <c r="H379" s="173"/>
      <c r="I379" s="576"/>
      <c r="J379" s="580"/>
      <c r="K379" s="569" t="str">
        <f t="shared" si="1"/>
        <v/>
      </c>
      <c r="L379" s="572"/>
      <c r="M379" s="173"/>
      <c r="N379" s="173"/>
      <c r="O379" s="173"/>
      <c r="P379" s="573"/>
      <c r="Q379" s="573"/>
      <c r="R379" s="173"/>
      <c r="S379" s="173"/>
      <c r="T379" s="173"/>
      <c r="U379" s="173"/>
      <c r="V379" s="173"/>
      <c r="W379" s="574"/>
      <c r="X379" s="575"/>
      <c r="Y379" s="28"/>
      <c r="Z379" s="543" t="str">
        <f t="array" ref="Z379">IF(LEN(AC379),lower(concatenate("bosvendor-",'2-Building'!B$4,"-",INDEX(D:D, MATCH(AC379, J:J, 0)),INDEX(E:E, MATCH(AC379, J:J, 0)))),"")</f>
        <v/>
      </c>
      <c r="AA379" s="28"/>
      <c r="AB379" s="28"/>
      <c r="AC379" s="28"/>
      <c r="AD379" s="28"/>
    </row>
    <row r="380" ht="30.0" customHeight="1">
      <c r="A380" s="488"/>
      <c r="B380" s="582"/>
      <c r="C380" s="256"/>
      <c r="D380" s="582"/>
      <c r="E380" s="488"/>
      <c r="F380" s="258"/>
      <c r="G380" s="173"/>
      <c r="H380" s="173"/>
      <c r="I380" s="576"/>
      <c r="J380" s="580"/>
      <c r="K380" s="569" t="str">
        <f t="shared" si="1"/>
        <v/>
      </c>
      <c r="L380" s="572"/>
      <c r="M380" s="173"/>
      <c r="N380" s="173"/>
      <c r="O380" s="173"/>
      <c r="P380" s="573"/>
      <c r="Q380" s="573"/>
      <c r="R380" s="173"/>
      <c r="S380" s="173"/>
      <c r="T380" s="173"/>
      <c r="U380" s="173"/>
      <c r="V380" s="173"/>
      <c r="W380" s="574"/>
      <c r="X380" s="575"/>
      <c r="Y380" s="28"/>
      <c r="Z380" s="543" t="str">
        <f t="array" ref="Z380">IF(LEN(AC380),lower(concatenate("bosvendor-",'2-Building'!B$4,"-",INDEX(D:D, MATCH(AC380, J:J, 0)),INDEX(E:E, MATCH(AC380, J:J, 0)))),"")</f>
        <v/>
      </c>
      <c r="AA380" s="28"/>
      <c r="AB380" s="28"/>
      <c r="AC380" s="28"/>
      <c r="AD380" s="28"/>
    </row>
    <row r="381" ht="30.0" customHeight="1">
      <c r="A381" s="488"/>
      <c r="B381" s="582"/>
      <c r="C381" s="256"/>
      <c r="D381" s="582"/>
      <c r="E381" s="488"/>
      <c r="F381" s="258"/>
      <c r="G381" s="173"/>
      <c r="H381" s="173"/>
      <c r="I381" s="576"/>
      <c r="J381" s="580"/>
      <c r="K381" s="569" t="str">
        <f t="shared" si="1"/>
        <v/>
      </c>
      <c r="L381" s="572"/>
      <c r="M381" s="173"/>
      <c r="N381" s="173"/>
      <c r="O381" s="173"/>
      <c r="P381" s="573"/>
      <c r="Q381" s="573"/>
      <c r="R381" s="173"/>
      <c r="S381" s="173"/>
      <c r="T381" s="173"/>
      <c r="U381" s="173"/>
      <c r="V381" s="173"/>
      <c r="W381" s="574"/>
      <c r="X381" s="575"/>
      <c r="Y381" s="28"/>
      <c r="Z381" s="543" t="str">
        <f t="array" ref="Z381">IF(LEN(AC381),lower(concatenate("bosvendor-",'2-Building'!B$4,"-",INDEX(D:D, MATCH(AC381, J:J, 0)),INDEX(E:E, MATCH(AC381, J:J, 0)))),"")</f>
        <v/>
      </c>
      <c r="AA381" s="28"/>
      <c r="AB381" s="28"/>
      <c r="AC381" s="28"/>
      <c r="AD381" s="28"/>
    </row>
    <row r="382" ht="30.0" customHeight="1">
      <c r="A382" s="488"/>
      <c r="B382" s="582"/>
      <c r="C382" s="256"/>
      <c r="D382" s="582"/>
      <c r="E382" s="488"/>
      <c r="F382" s="258"/>
      <c r="G382" s="173"/>
      <c r="H382" s="173"/>
      <c r="I382" s="576"/>
      <c r="J382" s="580"/>
      <c r="K382" s="569" t="str">
        <f t="shared" si="1"/>
        <v/>
      </c>
      <c r="L382" s="572"/>
      <c r="M382" s="173"/>
      <c r="N382" s="173"/>
      <c r="O382" s="173"/>
      <c r="P382" s="573"/>
      <c r="Q382" s="573"/>
      <c r="R382" s="173"/>
      <c r="S382" s="173"/>
      <c r="T382" s="173"/>
      <c r="U382" s="173"/>
      <c r="V382" s="173"/>
      <c r="W382" s="574"/>
      <c r="X382" s="575"/>
      <c r="Y382" s="28"/>
      <c r="Z382" s="543" t="str">
        <f t="array" ref="Z382">IF(LEN(AC382),lower(concatenate("bosvendor-",'2-Building'!B$4,"-",INDEX(D:D, MATCH(AC382, J:J, 0)),INDEX(E:E, MATCH(AC382, J:J, 0)))),"")</f>
        <v/>
      </c>
      <c r="AA382" s="28"/>
      <c r="AB382" s="28"/>
      <c r="AC382" s="28"/>
      <c r="AD382" s="28"/>
    </row>
    <row r="383" ht="30.0" customHeight="1">
      <c r="A383" s="488"/>
      <c r="B383" s="582"/>
      <c r="C383" s="256"/>
      <c r="D383" s="582"/>
      <c r="E383" s="488"/>
      <c r="F383" s="258"/>
      <c r="G383" s="173"/>
      <c r="H383" s="173"/>
      <c r="I383" s="576"/>
      <c r="J383" s="580"/>
      <c r="K383" s="569" t="str">
        <f t="shared" si="1"/>
        <v/>
      </c>
      <c r="L383" s="572"/>
      <c r="M383" s="173"/>
      <c r="N383" s="173"/>
      <c r="O383" s="173"/>
      <c r="P383" s="573"/>
      <c r="Q383" s="573"/>
      <c r="R383" s="173"/>
      <c r="S383" s="173"/>
      <c r="T383" s="173"/>
      <c r="U383" s="173"/>
      <c r="V383" s="173"/>
      <c r="W383" s="574"/>
      <c r="X383" s="575"/>
      <c r="Y383" s="28"/>
      <c r="Z383" s="543" t="str">
        <f t="array" ref="Z383">IF(LEN(AC383),lower(concatenate("bosvendor-",'2-Building'!B$4,"-",INDEX(D:D, MATCH(AC383, J:J, 0)),INDEX(E:E, MATCH(AC383, J:J, 0)))),"")</f>
        <v/>
      </c>
      <c r="AA383" s="28"/>
      <c r="AB383" s="28"/>
      <c r="AC383" s="28"/>
      <c r="AD383" s="28"/>
    </row>
    <row r="384" ht="30.0" customHeight="1">
      <c r="A384" s="488"/>
      <c r="B384" s="582"/>
      <c r="C384" s="256"/>
      <c r="D384" s="582"/>
      <c r="E384" s="488"/>
      <c r="F384" s="258"/>
      <c r="G384" s="173"/>
      <c r="H384" s="173"/>
      <c r="I384" s="576"/>
      <c r="J384" s="580"/>
      <c r="K384" s="569" t="str">
        <f t="shared" si="1"/>
        <v/>
      </c>
      <c r="L384" s="572"/>
      <c r="M384" s="173"/>
      <c r="N384" s="173"/>
      <c r="O384" s="173"/>
      <c r="P384" s="573"/>
      <c r="Q384" s="573"/>
      <c r="R384" s="173"/>
      <c r="S384" s="173"/>
      <c r="T384" s="173"/>
      <c r="U384" s="173"/>
      <c r="V384" s="173"/>
      <c r="W384" s="574"/>
      <c r="X384" s="575"/>
      <c r="Y384" s="28"/>
      <c r="Z384" s="543" t="str">
        <f t="array" ref="Z384">IF(LEN(AC384),lower(concatenate("bosvendor-",'2-Building'!B$4,"-",INDEX(D:D, MATCH(AC384, J:J, 0)),INDEX(E:E, MATCH(AC384, J:J, 0)))),"")</f>
        <v/>
      </c>
      <c r="AA384" s="28"/>
      <c r="AB384" s="28"/>
      <c r="AC384" s="28"/>
      <c r="AD384" s="28"/>
    </row>
    <row r="385" ht="30.0" customHeight="1">
      <c r="A385" s="488"/>
      <c r="B385" s="582"/>
      <c r="C385" s="256"/>
      <c r="D385" s="582"/>
      <c r="E385" s="488"/>
      <c r="F385" s="258"/>
      <c r="G385" s="173"/>
      <c r="H385" s="173"/>
      <c r="I385" s="576"/>
      <c r="J385" s="580"/>
      <c r="K385" s="569" t="str">
        <f t="shared" si="1"/>
        <v/>
      </c>
      <c r="L385" s="572"/>
      <c r="M385" s="173"/>
      <c r="N385" s="173"/>
      <c r="O385" s="173"/>
      <c r="P385" s="573"/>
      <c r="Q385" s="573"/>
      <c r="R385" s="173"/>
      <c r="S385" s="173"/>
      <c r="T385" s="173"/>
      <c r="U385" s="173"/>
      <c r="V385" s="173"/>
      <c r="W385" s="574"/>
      <c r="X385" s="575"/>
      <c r="Y385" s="28"/>
      <c r="Z385" s="543" t="str">
        <f t="array" ref="Z385">IF(LEN(AC385),lower(concatenate("bosvendor-",'2-Building'!B$4,"-",INDEX(D:D, MATCH(AC385, J:J, 0)),INDEX(E:E, MATCH(AC385, J:J, 0)))),"")</f>
        <v/>
      </c>
      <c r="AA385" s="28"/>
      <c r="AB385" s="28"/>
      <c r="AC385" s="28"/>
      <c r="AD385" s="28"/>
    </row>
    <row r="386" ht="30.0" customHeight="1">
      <c r="A386" s="488"/>
      <c r="B386" s="582"/>
      <c r="C386" s="256"/>
      <c r="D386" s="582"/>
      <c r="E386" s="488"/>
      <c r="F386" s="258"/>
      <c r="G386" s="173"/>
      <c r="H386" s="173"/>
      <c r="I386" s="576"/>
      <c r="J386" s="580"/>
      <c r="K386" s="569" t="str">
        <f t="shared" si="1"/>
        <v/>
      </c>
      <c r="L386" s="572"/>
      <c r="M386" s="173"/>
      <c r="N386" s="173"/>
      <c r="O386" s="173"/>
      <c r="P386" s="573"/>
      <c r="Q386" s="573"/>
      <c r="R386" s="173"/>
      <c r="S386" s="173"/>
      <c r="T386" s="173"/>
      <c r="U386" s="173"/>
      <c r="V386" s="173"/>
      <c r="W386" s="574"/>
      <c r="X386" s="575"/>
      <c r="Y386" s="28"/>
      <c r="Z386" s="543" t="str">
        <f t="array" ref="Z386">IF(LEN(AC386),lower(concatenate("bosvendor-",'2-Building'!B$4,"-",INDEX(D:D, MATCH(AC386, J:J, 0)),INDEX(E:E, MATCH(AC386, J:J, 0)))),"")</f>
        <v/>
      </c>
      <c r="AA386" s="28"/>
      <c r="AB386" s="28"/>
      <c r="AC386" s="28"/>
      <c r="AD386" s="28"/>
    </row>
    <row r="387" ht="30.0" customHeight="1">
      <c r="A387" s="488"/>
      <c r="B387" s="582"/>
      <c r="C387" s="256"/>
      <c r="D387" s="582"/>
      <c r="E387" s="488"/>
      <c r="F387" s="258"/>
      <c r="G387" s="173"/>
      <c r="H387" s="173"/>
      <c r="I387" s="576"/>
      <c r="J387" s="580"/>
      <c r="K387" s="569" t="str">
        <f t="shared" si="1"/>
        <v/>
      </c>
      <c r="L387" s="572"/>
      <c r="M387" s="173"/>
      <c r="N387" s="173"/>
      <c r="O387" s="173"/>
      <c r="P387" s="573"/>
      <c r="Q387" s="573"/>
      <c r="R387" s="173"/>
      <c r="S387" s="173"/>
      <c r="T387" s="173"/>
      <c r="U387" s="173"/>
      <c r="V387" s="173"/>
      <c r="W387" s="574"/>
      <c r="X387" s="575"/>
      <c r="Y387" s="28"/>
      <c r="Z387" s="543" t="str">
        <f t="array" ref="Z387">IF(LEN(AC387),lower(concatenate("bosvendor-",'2-Building'!B$4,"-",INDEX(D:D, MATCH(AC387, J:J, 0)),INDEX(E:E, MATCH(AC387, J:J, 0)))),"")</f>
        <v/>
      </c>
      <c r="AA387" s="28"/>
      <c r="AB387" s="28"/>
      <c r="AC387" s="28"/>
      <c r="AD387" s="28"/>
    </row>
    <row r="388" ht="30.0" customHeight="1">
      <c r="A388" s="488"/>
      <c r="B388" s="582"/>
      <c r="C388" s="256"/>
      <c r="D388" s="582"/>
      <c r="E388" s="488"/>
      <c r="F388" s="258"/>
      <c r="G388" s="173"/>
      <c r="H388" s="173"/>
      <c r="I388" s="576"/>
      <c r="J388" s="580"/>
      <c r="K388" s="569" t="str">
        <f t="shared" si="1"/>
        <v/>
      </c>
      <c r="L388" s="572"/>
      <c r="M388" s="173"/>
      <c r="N388" s="173"/>
      <c r="O388" s="173"/>
      <c r="P388" s="573"/>
      <c r="Q388" s="573"/>
      <c r="R388" s="173"/>
      <c r="S388" s="173"/>
      <c r="T388" s="173"/>
      <c r="U388" s="173"/>
      <c r="V388" s="173"/>
      <c r="W388" s="574"/>
      <c r="X388" s="575"/>
      <c r="Y388" s="28"/>
      <c r="Z388" s="543" t="str">
        <f t="array" ref="Z388">IF(LEN(AC388),lower(concatenate("bosvendor-",'2-Building'!B$4,"-",INDEX(D:D, MATCH(AC388, J:J, 0)),INDEX(E:E, MATCH(AC388, J:J, 0)))),"")</f>
        <v/>
      </c>
      <c r="AA388" s="28"/>
      <c r="AB388" s="28"/>
      <c r="AC388" s="28"/>
      <c r="AD388" s="28"/>
    </row>
    <row r="389" ht="30.0" customHeight="1">
      <c r="A389" s="488"/>
      <c r="B389" s="582"/>
      <c r="C389" s="256"/>
      <c r="D389" s="582"/>
      <c r="E389" s="488"/>
      <c r="F389" s="258"/>
      <c r="G389" s="173"/>
      <c r="H389" s="173"/>
      <c r="I389" s="576"/>
      <c r="J389" s="580"/>
      <c r="K389" s="569" t="str">
        <f t="shared" si="1"/>
        <v/>
      </c>
      <c r="L389" s="572"/>
      <c r="M389" s="173"/>
      <c r="N389" s="173"/>
      <c r="O389" s="173"/>
      <c r="P389" s="573"/>
      <c r="Q389" s="573"/>
      <c r="R389" s="173"/>
      <c r="S389" s="173"/>
      <c r="T389" s="173"/>
      <c r="U389" s="173"/>
      <c r="V389" s="173"/>
      <c r="W389" s="574"/>
      <c r="X389" s="575"/>
      <c r="Y389" s="28"/>
      <c r="Z389" s="543" t="str">
        <f t="array" ref="Z389">IF(LEN(AC389),lower(concatenate("bosvendor-",'2-Building'!B$4,"-",INDEX(D:D, MATCH(AC389, J:J, 0)),INDEX(E:E, MATCH(AC389, J:J, 0)))),"")</f>
        <v/>
      </c>
      <c r="AA389" s="28"/>
      <c r="AB389" s="28"/>
      <c r="AC389" s="28"/>
      <c r="AD389" s="28"/>
    </row>
    <row r="390" ht="30.0" customHeight="1">
      <c r="A390" s="488"/>
      <c r="B390" s="582"/>
      <c r="C390" s="256"/>
      <c r="D390" s="582"/>
      <c r="E390" s="488"/>
      <c r="F390" s="258"/>
      <c r="G390" s="173"/>
      <c r="H390" s="173"/>
      <c r="I390" s="576"/>
      <c r="J390" s="580"/>
      <c r="K390" s="569" t="str">
        <f t="shared" si="1"/>
        <v/>
      </c>
      <c r="L390" s="572"/>
      <c r="M390" s="173"/>
      <c r="N390" s="173"/>
      <c r="O390" s="173"/>
      <c r="P390" s="573"/>
      <c r="Q390" s="573"/>
      <c r="R390" s="173"/>
      <c r="S390" s="173"/>
      <c r="T390" s="173"/>
      <c r="U390" s="173"/>
      <c r="V390" s="173"/>
      <c r="W390" s="574"/>
      <c r="X390" s="575"/>
      <c r="Y390" s="28"/>
      <c r="Z390" s="543" t="str">
        <f t="array" ref="Z390">IF(LEN(AC390),lower(concatenate("bosvendor-",'2-Building'!B$4,"-",INDEX(D:D, MATCH(AC390, J:J, 0)),INDEX(E:E, MATCH(AC390, J:J, 0)))),"")</f>
        <v/>
      </c>
      <c r="AA390" s="28"/>
      <c r="AB390" s="28"/>
      <c r="AC390" s="28"/>
      <c r="AD390" s="28"/>
    </row>
    <row r="391" ht="30.0" customHeight="1">
      <c r="A391" s="488"/>
      <c r="B391" s="582"/>
      <c r="C391" s="256"/>
      <c r="D391" s="582"/>
      <c r="E391" s="488"/>
      <c r="F391" s="258"/>
      <c r="G391" s="173"/>
      <c r="H391" s="173"/>
      <c r="I391" s="576"/>
      <c r="J391" s="580"/>
      <c r="K391" s="569" t="str">
        <f t="shared" si="1"/>
        <v/>
      </c>
      <c r="L391" s="572"/>
      <c r="M391" s="173"/>
      <c r="N391" s="173"/>
      <c r="O391" s="173"/>
      <c r="P391" s="573"/>
      <c r="Q391" s="573"/>
      <c r="R391" s="173"/>
      <c r="S391" s="173"/>
      <c r="T391" s="173"/>
      <c r="U391" s="173"/>
      <c r="V391" s="173"/>
      <c r="W391" s="574"/>
      <c r="X391" s="575"/>
      <c r="Y391" s="28"/>
      <c r="Z391" s="543" t="str">
        <f t="array" ref="Z391">IF(LEN(AC391),lower(concatenate("bosvendor-",'2-Building'!B$4,"-",INDEX(D:D, MATCH(AC391, J:J, 0)),INDEX(E:E, MATCH(AC391, J:J, 0)))),"")</f>
        <v/>
      </c>
      <c r="AA391" s="28"/>
      <c r="AB391" s="28"/>
      <c r="AC391" s="28"/>
      <c r="AD391" s="28"/>
    </row>
    <row r="392" ht="30.0" customHeight="1">
      <c r="A392" s="488"/>
      <c r="B392" s="582"/>
      <c r="C392" s="256"/>
      <c r="D392" s="582"/>
      <c r="E392" s="488"/>
      <c r="F392" s="258"/>
      <c r="G392" s="173"/>
      <c r="H392" s="173"/>
      <c r="I392" s="576"/>
      <c r="J392" s="580"/>
      <c r="K392" s="569" t="str">
        <f t="shared" si="1"/>
        <v/>
      </c>
      <c r="L392" s="572"/>
      <c r="M392" s="173"/>
      <c r="N392" s="173"/>
      <c r="O392" s="173"/>
      <c r="P392" s="573"/>
      <c r="Q392" s="573"/>
      <c r="R392" s="173"/>
      <c r="S392" s="173"/>
      <c r="T392" s="173"/>
      <c r="U392" s="173"/>
      <c r="V392" s="173"/>
      <c r="W392" s="574"/>
      <c r="X392" s="575"/>
      <c r="Y392" s="28"/>
      <c r="Z392" s="543" t="str">
        <f t="array" ref="Z392">IF(LEN(AC392),lower(concatenate("bosvendor-",'2-Building'!B$4,"-",INDEX(D:D, MATCH(AC392, J:J, 0)),INDEX(E:E, MATCH(AC392, J:J, 0)))),"")</f>
        <v/>
      </c>
      <c r="AA392" s="28"/>
      <c r="AB392" s="28"/>
      <c r="AC392" s="28"/>
      <c r="AD392" s="28"/>
    </row>
    <row r="393" ht="30.0" customHeight="1">
      <c r="A393" s="488"/>
      <c r="B393" s="582"/>
      <c r="C393" s="256"/>
      <c r="D393" s="582"/>
      <c r="E393" s="488"/>
      <c r="F393" s="258"/>
      <c r="G393" s="173"/>
      <c r="H393" s="173"/>
      <c r="I393" s="576"/>
      <c r="J393" s="580"/>
      <c r="K393" s="569" t="str">
        <f t="shared" si="1"/>
        <v/>
      </c>
      <c r="L393" s="572"/>
      <c r="M393" s="173"/>
      <c r="N393" s="173"/>
      <c r="O393" s="173"/>
      <c r="P393" s="573"/>
      <c r="Q393" s="573"/>
      <c r="R393" s="173"/>
      <c r="S393" s="173"/>
      <c r="T393" s="173"/>
      <c r="U393" s="173"/>
      <c r="V393" s="173"/>
      <c r="W393" s="574"/>
      <c r="X393" s="575"/>
      <c r="Y393" s="28"/>
      <c r="Z393" s="543" t="str">
        <f t="array" ref="Z393">IF(LEN(AC393),lower(concatenate("bosvendor-",'2-Building'!B$4,"-",INDEX(D:D, MATCH(AC393, J:J, 0)),INDEX(E:E, MATCH(AC393, J:J, 0)))),"")</f>
        <v/>
      </c>
      <c r="AA393" s="28"/>
      <c r="AB393" s="28"/>
      <c r="AC393" s="28"/>
      <c r="AD393" s="28"/>
    </row>
    <row r="394" ht="30.0" customHeight="1">
      <c r="A394" s="488"/>
      <c r="B394" s="582"/>
      <c r="C394" s="256"/>
      <c r="D394" s="582"/>
      <c r="E394" s="488"/>
      <c r="F394" s="258"/>
      <c r="G394" s="173"/>
      <c r="H394" s="173"/>
      <c r="I394" s="576"/>
      <c r="J394" s="580"/>
      <c r="K394" s="569" t="str">
        <f t="shared" si="1"/>
        <v/>
      </c>
      <c r="L394" s="572"/>
      <c r="M394" s="173"/>
      <c r="N394" s="173"/>
      <c r="O394" s="173"/>
      <c r="P394" s="573"/>
      <c r="Q394" s="573"/>
      <c r="R394" s="173"/>
      <c r="S394" s="173"/>
      <c r="T394" s="173"/>
      <c r="U394" s="173"/>
      <c r="V394" s="173"/>
      <c r="W394" s="574"/>
      <c r="X394" s="575"/>
      <c r="Y394" s="28"/>
      <c r="Z394" s="543" t="str">
        <f t="array" ref="Z394">IF(LEN(AC394),lower(concatenate("bosvendor-",'2-Building'!B$4,"-",INDEX(D:D, MATCH(AC394, J:J, 0)),INDEX(E:E, MATCH(AC394, J:J, 0)))),"")</f>
        <v/>
      </c>
      <c r="AA394" s="28"/>
      <c r="AB394" s="28"/>
      <c r="AC394" s="28"/>
      <c r="AD394" s="28"/>
    </row>
    <row r="395" ht="30.0" customHeight="1">
      <c r="A395" s="488"/>
      <c r="B395" s="582"/>
      <c r="C395" s="256"/>
      <c r="D395" s="582"/>
      <c r="E395" s="488"/>
      <c r="F395" s="258"/>
      <c r="G395" s="173"/>
      <c r="H395" s="173"/>
      <c r="I395" s="576"/>
      <c r="J395" s="580"/>
      <c r="K395" s="569" t="str">
        <f t="shared" si="1"/>
        <v/>
      </c>
      <c r="L395" s="572"/>
      <c r="M395" s="173"/>
      <c r="N395" s="173"/>
      <c r="O395" s="173"/>
      <c r="P395" s="573"/>
      <c r="Q395" s="573"/>
      <c r="R395" s="173"/>
      <c r="S395" s="173"/>
      <c r="T395" s="173"/>
      <c r="U395" s="173"/>
      <c r="V395" s="173"/>
      <c r="W395" s="574"/>
      <c r="X395" s="575"/>
      <c r="Y395" s="28"/>
      <c r="Z395" s="543" t="str">
        <f t="array" ref="Z395">IF(LEN(AC395),lower(concatenate("bosvendor-",'2-Building'!B$4,"-",INDEX(D:D, MATCH(AC395, J:J, 0)),INDEX(E:E, MATCH(AC395, J:J, 0)))),"")</f>
        <v/>
      </c>
      <c r="AA395" s="28"/>
      <c r="AB395" s="28"/>
      <c r="AC395" s="28"/>
      <c r="AD395" s="28"/>
    </row>
    <row r="396" ht="30.0" customHeight="1">
      <c r="A396" s="488"/>
      <c r="B396" s="582"/>
      <c r="C396" s="256"/>
      <c r="D396" s="582"/>
      <c r="E396" s="488"/>
      <c r="F396" s="258"/>
      <c r="G396" s="173"/>
      <c r="H396" s="173"/>
      <c r="I396" s="576"/>
      <c r="J396" s="580"/>
      <c r="K396" s="569" t="str">
        <f t="shared" si="1"/>
        <v/>
      </c>
      <c r="L396" s="572"/>
      <c r="M396" s="173"/>
      <c r="N396" s="173"/>
      <c r="O396" s="173"/>
      <c r="P396" s="573"/>
      <c r="Q396" s="573"/>
      <c r="R396" s="173"/>
      <c r="S396" s="173"/>
      <c r="T396" s="173"/>
      <c r="U396" s="173"/>
      <c r="V396" s="173"/>
      <c r="W396" s="574"/>
      <c r="X396" s="575"/>
      <c r="Y396" s="28"/>
      <c r="Z396" s="543" t="str">
        <f t="array" ref="Z396">IF(LEN(AC396),lower(concatenate("bosvendor-",'2-Building'!B$4,"-",INDEX(D:D, MATCH(AC396, J:J, 0)),INDEX(E:E, MATCH(AC396, J:J, 0)))),"")</f>
        <v/>
      </c>
      <c r="AA396" s="28"/>
      <c r="AB396" s="28"/>
      <c r="AC396" s="28"/>
      <c r="AD396" s="28"/>
    </row>
    <row r="397" ht="30.0" customHeight="1">
      <c r="A397" s="488"/>
      <c r="B397" s="582"/>
      <c r="C397" s="256"/>
      <c r="D397" s="582"/>
      <c r="E397" s="488"/>
      <c r="F397" s="258"/>
      <c r="G397" s="173"/>
      <c r="H397" s="173"/>
      <c r="I397" s="576"/>
      <c r="J397" s="580"/>
      <c r="K397" s="569" t="str">
        <f t="shared" si="1"/>
        <v/>
      </c>
      <c r="L397" s="572"/>
      <c r="M397" s="173"/>
      <c r="N397" s="173"/>
      <c r="O397" s="173"/>
      <c r="P397" s="573"/>
      <c r="Q397" s="573"/>
      <c r="R397" s="173"/>
      <c r="S397" s="173"/>
      <c r="T397" s="173"/>
      <c r="U397" s="173"/>
      <c r="V397" s="173"/>
      <c r="W397" s="574"/>
      <c r="X397" s="575"/>
      <c r="Y397" s="28"/>
      <c r="Z397" s="543" t="str">
        <f t="array" ref="Z397">IF(LEN(AC397),lower(concatenate("bosvendor-",'2-Building'!B$4,"-",INDEX(D:D, MATCH(AC397, J:J, 0)),INDEX(E:E, MATCH(AC397, J:J, 0)))),"")</f>
        <v/>
      </c>
      <c r="AA397" s="28"/>
      <c r="AB397" s="28"/>
      <c r="AC397" s="28"/>
      <c r="AD397" s="28"/>
    </row>
    <row r="398" ht="30.0" customHeight="1">
      <c r="A398" s="488"/>
      <c r="B398" s="582"/>
      <c r="C398" s="256"/>
      <c r="D398" s="582"/>
      <c r="E398" s="488"/>
      <c r="F398" s="258"/>
      <c r="G398" s="173"/>
      <c r="H398" s="173"/>
      <c r="I398" s="576"/>
      <c r="J398" s="580"/>
      <c r="K398" s="569" t="str">
        <f t="shared" si="1"/>
        <v/>
      </c>
      <c r="L398" s="572"/>
      <c r="M398" s="173"/>
      <c r="N398" s="173"/>
      <c r="O398" s="173"/>
      <c r="P398" s="573"/>
      <c r="Q398" s="573"/>
      <c r="R398" s="173"/>
      <c r="S398" s="173"/>
      <c r="T398" s="173"/>
      <c r="U398" s="173"/>
      <c r="V398" s="173"/>
      <c r="W398" s="574"/>
      <c r="X398" s="575"/>
      <c r="Y398" s="28"/>
      <c r="Z398" s="543" t="str">
        <f t="array" ref="Z398">IF(LEN(AC398),lower(concatenate("bosvendor-",'2-Building'!B$4,"-",INDEX(D:D, MATCH(AC398, J:J, 0)),INDEX(E:E, MATCH(AC398, J:J, 0)))),"")</f>
        <v/>
      </c>
      <c r="AA398" s="28"/>
      <c r="AB398" s="28"/>
      <c r="AC398" s="28"/>
      <c r="AD398" s="28"/>
    </row>
    <row r="399" ht="30.0" customHeight="1">
      <c r="A399" s="488"/>
      <c r="B399" s="582"/>
      <c r="C399" s="256"/>
      <c r="D399" s="582"/>
      <c r="E399" s="488"/>
      <c r="F399" s="258"/>
      <c r="G399" s="173"/>
      <c r="H399" s="173"/>
      <c r="I399" s="576"/>
      <c r="J399" s="580"/>
      <c r="K399" s="569" t="str">
        <f t="shared" si="1"/>
        <v/>
      </c>
      <c r="L399" s="572"/>
      <c r="M399" s="173"/>
      <c r="N399" s="173"/>
      <c r="O399" s="173"/>
      <c r="P399" s="573"/>
      <c r="Q399" s="573"/>
      <c r="R399" s="173"/>
      <c r="S399" s="173"/>
      <c r="T399" s="173"/>
      <c r="U399" s="173"/>
      <c r="V399" s="173"/>
      <c r="W399" s="574"/>
      <c r="X399" s="575"/>
      <c r="Y399" s="28"/>
      <c r="Z399" s="543" t="str">
        <f t="array" ref="Z399">IF(LEN(AC399),lower(concatenate("bosvendor-",'2-Building'!B$4,"-",INDEX(D:D, MATCH(AC399, J:J, 0)),INDEX(E:E, MATCH(AC399, J:J, 0)))),"")</f>
        <v/>
      </c>
      <c r="AA399" s="28"/>
      <c r="AB399" s="28"/>
      <c r="AC399" s="28"/>
      <c r="AD399" s="28"/>
    </row>
    <row r="400" ht="30.0" customHeight="1">
      <c r="A400" s="488"/>
      <c r="B400" s="582"/>
      <c r="C400" s="256"/>
      <c r="D400" s="582"/>
      <c r="E400" s="488"/>
      <c r="F400" s="258"/>
      <c r="G400" s="173"/>
      <c r="H400" s="173"/>
      <c r="I400" s="576"/>
      <c r="J400" s="580"/>
      <c r="K400" s="569" t="str">
        <f t="shared" si="1"/>
        <v/>
      </c>
      <c r="L400" s="572"/>
      <c r="M400" s="173"/>
      <c r="N400" s="173"/>
      <c r="O400" s="173"/>
      <c r="P400" s="573"/>
      <c r="Q400" s="573"/>
      <c r="R400" s="173"/>
      <c r="S400" s="173"/>
      <c r="T400" s="173"/>
      <c r="U400" s="173"/>
      <c r="V400" s="173"/>
      <c r="W400" s="574"/>
      <c r="X400" s="575"/>
      <c r="Y400" s="28"/>
      <c r="Z400" s="543" t="str">
        <f t="array" ref="Z400">IF(LEN(AC400),lower(concatenate("bosvendor-",'2-Building'!B$4,"-",INDEX(D:D, MATCH(AC400, J:J, 0)),INDEX(E:E, MATCH(AC400, J:J, 0)))),"")</f>
        <v/>
      </c>
      <c r="AA400" s="28"/>
      <c r="AB400" s="28"/>
      <c r="AC400" s="28"/>
      <c r="AD400" s="28"/>
    </row>
    <row r="401" ht="30.0" customHeight="1">
      <c r="A401" s="488"/>
      <c r="B401" s="582"/>
      <c r="C401" s="256"/>
      <c r="D401" s="582"/>
      <c r="E401" s="488"/>
      <c r="F401" s="258"/>
      <c r="G401" s="173"/>
      <c r="H401" s="173"/>
      <c r="I401" s="576"/>
      <c r="J401" s="580"/>
      <c r="K401" s="569" t="str">
        <f t="shared" si="1"/>
        <v/>
      </c>
      <c r="L401" s="572"/>
      <c r="M401" s="173"/>
      <c r="N401" s="173"/>
      <c r="O401" s="173"/>
      <c r="P401" s="573"/>
      <c r="Q401" s="573"/>
      <c r="R401" s="173"/>
      <c r="S401" s="173"/>
      <c r="T401" s="173"/>
      <c r="U401" s="173"/>
      <c r="V401" s="173"/>
      <c r="W401" s="574"/>
      <c r="X401" s="575"/>
      <c r="Y401" s="28"/>
      <c r="Z401" s="543" t="str">
        <f t="array" ref="Z401">IF(LEN(AC401),lower(concatenate("bosvendor-",'2-Building'!B$4,"-",INDEX(D:D, MATCH(AC401, J:J, 0)),INDEX(E:E, MATCH(AC401, J:J, 0)))),"")</f>
        <v/>
      </c>
      <c r="AA401" s="28"/>
      <c r="AB401" s="28"/>
      <c r="AC401" s="28"/>
      <c r="AD401" s="28"/>
    </row>
    <row r="402" ht="30.0" customHeight="1">
      <c r="A402" s="488"/>
      <c r="B402" s="582"/>
      <c r="C402" s="256"/>
      <c r="D402" s="582"/>
      <c r="E402" s="488"/>
      <c r="F402" s="258"/>
      <c r="G402" s="173"/>
      <c r="H402" s="173"/>
      <c r="I402" s="576"/>
      <c r="J402" s="580"/>
      <c r="K402" s="569" t="str">
        <f t="shared" si="1"/>
        <v/>
      </c>
      <c r="L402" s="572"/>
      <c r="M402" s="173"/>
      <c r="N402" s="173"/>
      <c r="O402" s="173"/>
      <c r="P402" s="573"/>
      <c r="Q402" s="573"/>
      <c r="R402" s="173"/>
      <c r="S402" s="173"/>
      <c r="T402" s="173"/>
      <c r="U402" s="173"/>
      <c r="V402" s="173"/>
      <c r="W402" s="574"/>
      <c r="X402" s="575"/>
      <c r="Y402" s="28"/>
      <c r="Z402" s="543" t="str">
        <f t="array" ref="Z402">IF(LEN(AC402),lower(concatenate("bosvendor-",'2-Building'!B$4,"-",INDEX(D:D, MATCH(AC402, J:J, 0)),INDEX(E:E, MATCH(AC402, J:J, 0)))),"")</f>
        <v/>
      </c>
      <c r="AA402" s="28"/>
      <c r="AB402" s="28"/>
      <c r="AC402" s="28"/>
      <c r="AD402" s="28"/>
    </row>
    <row r="403" ht="30.0" customHeight="1">
      <c r="A403" s="488"/>
      <c r="B403" s="582"/>
      <c r="C403" s="256"/>
      <c r="D403" s="582"/>
      <c r="E403" s="488"/>
      <c r="F403" s="258"/>
      <c r="G403" s="173"/>
      <c r="H403" s="173"/>
      <c r="I403" s="576"/>
      <c r="J403" s="580"/>
      <c r="K403" s="569" t="str">
        <f t="shared" si="1"/>
        <v/>
      </c>
      <c r="L403" s="572"/>
      <c r="M403" s="173"/>
      <c r="N403" s="173"/>
      <c r="O403" s="173"/>
      <c r="P403" s="573"/>
      <c r="Q403" s="573"/>
      <c r="R403" s="173"/>
      <c r="S403" s="173"/>
      <c r="T403" s="173"/>
      <c r="U403" s="173"/>
      <c r="V403" s="173"/>
      <c r="W403" s="574"/>
      <c r="X403" s="575"/>
      <c r="Y403" s="28"/>
      <c r="Z403" s="543" t="str">
        <f t="array" ref="Z403">IF(LEN(AC403),lower(concatenate("bosvendor-",'2-Building'!B$4,"-",INDEX(D:D, MATCH(AC403, J:J, 0)),INDEX(E:E, MATCH(AC403, J:J, 0)))),"")</f>
        <v/>
      </c>
      <c r="AA403" s="28"/>
      <c r="AB403" s="28"/>
      <c r="AC403" s="28"/>
      <c r="AD403" s="28"/>
    </row>
    <row r="404" ht="30.0" customHeight="1">
      <c r="A404" s="488"/>
      <c r="B404" s="582"/>
      <c r="C404" s="256"/>
      <c r="D404" s="582"/>
      <c r="E404" s="488"/>
      <c r="F404" s="258"/>
      <c r="G404" s="173"/>
      <c r="H404" s="173"/>
      <c r="I404" s="576"/>
      <c r="J404" s="580"/>
      <c r="K404" s="569" t="str">
        <f t="shared" si="1"/>
        <v/>
      </c>
      <c r="L404" s="572"/>
      <c r="M404" s="173"/>
      <c r="N404" s="173"/>
      <c r="O404" s="173"/>
      <c r="P404" s="573"/>
      <c r="Q404" s="573"/>
      <c r="R404" s="173"/>
      <c r="S404" s="173"/>
      <c r="T404" s="173"/>
      <c r="U404" s="173"/>
      <c r="V404" s="173"/>
      <c r="W404" s="574"/>
      <c r="X404" s="575"/>
      <c r="Y404" s="28"/>
      <c r="Z404" s="543" t="str">
        <f t="array" ref="Z404">IF(LEN(AC404),lower(concatenate("bosvendor-",'2-Building'!B$4,"-",INDEX(D:D, MATCH(AC404, J:J, 0)),INDEX(E:E, MATCH(AC404, J:J, 0)))),"")</f>
        <v/>
      </c>
      <c r="AA404" s="28"/>
      <c r="AB404" s="28"/>
      <c r="AC404" s="28"/>
      <c r="AD404" s="28"/>
    </row>
    <row r="405" ht="30.0" customHeight="1">
      <c r="A405" s="488"/>
      <c r="B405" s="582"/>
      <c r="C405" s="256"/>
      <c r="D405" s="582"/>
      <c r="E405" s="488"/>
      <c r="F405" s="258"/>
      <c r="G405" s="173"/>
      <c r="H405" s="173"/>
      <c r="I405" s="576"/>
      <c r="J405" s="580"/>
      <c r="K405" s="569" t="str">
        <f t="shared" si="1"/>
        <v/>
      </c>
      <c r="L405" s="572"/>
      <c r="M405" s="173"/>
      <c r="N405" s="173"/>
      <c r="O405" s="173"/>
      <c r="P405" s="573"/>
      <c r="Q405" s="573"/>
      <c r="R405" s="173"/>
      <c r="S405" s="173"/>
      <c r="T405" s="173"/>
      <c r="U405" s="173"/>
      <c r="V405" s="173"/>
      <c r="W405" s="574"/>
      <c r="X405" s="575"/>
      <c r="Y405" s="28"/>
      <c r="Z405" s="543" t="str">
        <f t="array" ref="Z405">IF(LEN(AC405),lower(concatenate("bosvendor-",'2-Building'!B$4,"-",INDEX(D:D, MATCH(AC405, J:J, 0)),INDEX(E:E, MATCH(AC405, J:J, 0)))),"")</f>
        <v/>
      </c>
      <c r="AA405" s="28"/>
      <c r="AB405" s="28"/>
      <c r="AC405" s="28"/>
      <c r="AD405" s="28"/>
    </row>
    <row r="406" ht="30.0" customHeight="1">
      <c r="A406" s="488"/>
      <c r="B406" s="582"/>
      <c r="C406" s="256"/>
      <c r="D406" s="582"/>
      <c r="E406" s="488"/>
      <c r="F406" s="258"/>
      <c r="G406" s="173"/>
      <c r="H406" s="173"/>
      <c r="I406" s="576"/>
      <c r="J406" s="580"/>
      <c r="K406" s="569" t="str">
        <f t="shared" si="1"/>
        <v/>
      </c>
      <c r="L406" s="572"/>
      <c r="M406" s="173"/>
      <c r="N406" s="173"/>
      <c r="O406" s="173"/>
      <c r="P406" s="573"/>
      <c r="Q406" s="573"/>
      <c r="R406" s="173"/>
      <c r="S406" s="173"/>
      <c r="T406" s="173"/>
      <c r="U406" s="173"/>
      <c r="V406" s="173"/>
      <c r="W406" s="574"/>
      <c r="X406" s="575"/>
      <c r="Y406" s="28"/>
      <c r="Z406" s="543" t="str">
        <f t="array" ref="Z406">IF(LEN(AC406),lower(concatenate("bosvendor-",'2-Building'!B$4,"-",INDEX(D:D, MATCH(AC406, J:J, 0)),INDEX(E:E, MATCH(AC406, J:J, 0)))),"")</f>
        <v/>
      </c>
      <c r="AA406" s="28"/>
      <c r="AB406" s="28"/>
      <c r="AC406" s="28"/>
      <c r="AD406" s="28"/>
    </row>
    <row r="407" ht="30.0" customHeight="1">
      <c r="A407" s="488"/>
      <c r="B407" s="582"/>
      <c r="C407" s="256"/>
      <c r="D407" s="582"/>
      <c r="E407" s="488"/>
      <c r="F407" s="258"/>
      <c r="G407" s="173"/>
      <c r="H407" s="173"/>
      <c r="I407" s="576"/>
      <c r="J407" s="580"/>
      <c r="K407" s="569" t="str">
        <f t="shared" si="1"/>
        <v/>
      </c>
      <c r="L407" s="572"/>
      <c r="M407" s="173"/>
      <c r="N407" s="173"/>
      <c r="O407" s="173"/>
      <c r="P407" s="573"/>
      <c r="Q407" s="573"/>
      <c r="R407" s="173"/>
      <c r="S407" s="173"/>
      <c r="T407" s="173"/>
      <c r="U407" s="173"/>
      <c r="V407" s="173"/>
      <c r="W407" s="574"/>
      <c r="X407" s="575"/>
      <c r="Y407" s="28"/>
      <c r="Z407" s="543" t="str">
        <f t="array" ref="Z407">IF(LEN(AC407),lower(concatenate("bosvendor-",'2-Building'!B$4,"-",INDEX(D:D, MATCH(AC407, J:J, 0)),INDEX(E:E, MATCH(AC407, J:J, 0)))),"")</f>
        <v/>
      </c>
      <c r="AA407" s="28"/>
      <c r="AB407" s="28"/>
      <c r="AC407" s="28"/>
      <c r="AD407" s="28"/>
    </row>
    <row r="408" ht="30.0" customHeight="1">
      <c r="A408" s="488"/>
      <c r="B408" s="582"/>
      <c r="C408" s="256"/>
      <c r="D408" s="582"/>
      <c r="E408" s="488"/>
      <c r="F408" s="258"/>
      <c r="G408" s="173"/>
      <c r="H408" s="173"/>
      <c r="I408" s="576"/>
      <c r="J408" s="580"/>
      <c r="K408" s="569" t="str">
        <f t="shared" si="1"/>
        <v/>
      </c>
      <c r="L408" s="572"/>
      <c r="M408" s="173"/>
      <c r="N408" s="173"/>
      <c r="O408" s="173"/>
      <c r="P408" s="573"/>
      <c r="Q408" s="573"/>
      <c r="R408" s="173"/>
      <c r="S408" s="173"/>
      <c r="T408" s="173"/>
      <c r="U408" s="173"/>
      <c r="V408" s="173"/>
      <c r="W408" s="574"/>
      <c r="X408" s="575"/>
      <c r="Y408" s="28"/>
      <c r="Z408" s="543" t="str">
        <f t="array" ref="Z408">IF(LEN(AC408),lower(concatenate("bosvendor-",'2-Building'!B$4,"-",INDEX(D:D, MATCH(AC408, J:J, 0)),INDEX(E:E, MATCH(AC408, J:J, 0)))),"")</f>
        <v/>
      </c>
      <c r="AA408" s="28"/>
      <c r="AB408" s="28"/>
      <c r="AC408" s="28"/>
      <c r="AD408" s="28"/>
    </row>
    <row r="409" ht="30.0" customHeight="1">
      <c r="A409" s="488"/>
      <c r="B409" s="582"/>
      <c r="C409" s="256"/>
      <c r="D409" s="582"/>
      <c r="E409" s="488"/>
      <c r="F409" s="258"/>
      <c r="G409" s="173"/>
      <c r="H409" s="173"/>
      <c r="I409" s="576"/>
      <c r="J409" s="580"/>
      <c r="K409" s="569" t="str">
        <f t="shared" si="1"/>
        <v/>
      </c>
      <c r="L409" s="572"/>
      <c r="M409" s="173"/>
      <c r="N409" s="173"/>
      <c r="O409" s="173"/>
      <c r="P409" s="573"/>
      <c r="Q409" s="573"/>
      <c r="R409" s="173"/>
      <c r="S409" s="173"/>
      <c r="T409" s="173"/>
      <c r="U409" s="173"/>
      <c r="V409" s="173"/>
      <c r="W409" s="574"/>
      <c r="X409" s="575"/>
      <c r="Y409" s="28"/>
      <c r="Z409" s="543" t="str">
        <f t="array" ref="Z409">IF(LEN(AC409),lower(concatenate("bosvendor-",'2-Building'!B$4,"-",INDEX(D:D, MATCH(AC409, J:J, 0)),INDEX(E:E, MATCH(AC409, J:J, 0)))),"")</f>
        <v/>
      </c>
      <c r="AA409" s="28"/>
      <c r="AB409" s="28"/>
      <c r="AC409" s="28"/>
      <c r="AD409" s="28"/>
    </row>
    <row r="410" ht="30.0" customHeight="1">
      <c r="A410" s="488"/>
      <c r="B410" s="582"/>
      <c r="C410" s="256"/>
      <c r="D410" s="582"/>
      <c r="E410" s="488"/>
      <c r="F410" s="258"/>
      <c r="G410" s="173"/>
      <c r="H410" s="173"/>
      <c r="I410" s="576"/>
      <c r="J410" s="580"/>
      <c r="K410" s="569" t="str">
        <f t="shared" si="1"/>
        <v/>
      </c>
      <c r="L410" s="572"/>
      <c r="M410" s="173"/>
      <c r="N410" s="173"/>
      <c r="O410" s="173"/>
      <c r="P410" s="573"/>
      <c r="Q410" s="573"/>
      <c r="R410" s="173"/>
      <c r="S410" s="173"/>
      <c r="T410" s="173"/>
      <c r="U410" s="173"/>
      <c r="V410" s="173"/>
      <c r="W410" s="574"/>
      <c r="X410" s="575"/>
      <c r="Y410" s="28"/>
      <c r="Z410" s="543" t="str">
        <f t="array" ref="Z410">IF(LEN(AC410),lower(concatenate("bosvendor-",'2-Building'!B$4,"-",INDEX(D:D, MATCH(AC410, J:J, 0)),INDEX(E:E, MATCH(AC410, J:J, 0)))),"")</f>
        <v/>
      </c>
      <c r="AA410" s="28"/>
      <c r="AB410" s="28"/>
      <c r="AC410" s="28"/>
      <c r="AD410" s="28"/>
    </row>
    <row r="411" ht="30.0" customHeight="1">
      <c r="A411" s="488"/>
      <c r="B411" s="582"/>
      <c r="C411" s="256"/>
      <c r="D411" s="582"/>
      <c r="E411" s="488"/>
      <c r="F411" s="258"/>
      <c r="G411" s="173"/>
      <c r="H411" s="173"/>
      <c r="I411" s="576"/>
      <c r="J411" s="580"/>
      <c r="K411" s="569" t="str">
        <f t="shared" si="1"/>
        <v/>
      </c>
      <c r="L411" s="572"/>
      <c r="M411" s="173"/>
      <c r="N411" s="173"/>
      <c r="O411" s="173"/>
      <c r="P411" s="573"/>
      <c r="Q411" s="573"/>
      <c r="R411" s="173"/>
      <c r="S411" s="173"/>
      <c r="T411" s="173"/>
      <c r="U411" s="173"/>
      <c r="V411" s="173"/>
      <c r="W411" s="574"/>
      <c r="X411" s="575"/>
      <c r="Y411" s="28"/>
      <c r="Z411" s="543" t="str">
        <f t="array" ref="Z411">IF(LEN(AC411),lower(concatenate("bosvendor-",'2-Building'!B$4,"-",INDEX(D:D, MATCH(AC411, J:J, 0)),INDEX(E:E, MATCH(AC411, J:J, 0)))),"")</f>
        <v/>
      </c>
      <c r="AA411" s="28"/>
      <c r="AB411" s="28"/>
      <c r="AC411" s="28"/>
      <c r="AD411" s="28"/>
    </row>
    <row r="412" ht="30.0" customHeight="1">
      <c r="A412" s="488"/>
      <c r="B412" s="582"/>
      <c r="C412" s="256"/>
      <c r="D412" s="582"/>
      <c r="E412" s="488"/>
      <c r="F412" s="258"/>
      <c r="G412" s="173"/>
      <c r="H412" s="173"/>
      <c r="I412" s="576"/>
      <c r="J412" s="580"/>
      <c r="K412" s="569" t="str">
        <f t="shared" si="1"/>
        <v/>
      </c>
      <c r="L412" s="572"/>
      <c r="M412" s="173"/>
      <c r="N412" s="173"/>
      <c r="O412" s="173"/>
      <c r="P412" s="573"/>
      <c r="Q412" s="573"/>
      <c r="R412" s="173"/>
      <c r="S412" s="173"/>
      <c r="T412" s="173"/>
      <c r="U412" s="173"/>
      <c r="V412" s="173"/>
      <c r="W412" s="574"/>
      <c r="X412" s="575"/>
      <c r="Y412" s="28"/>
      <c r="Z412" s="543" t="str">
        <f t="array" ref="Z412">IF(LEN(AC412),lower(concatenate("bosvendor-",'2-Building'!B$4,"-",INDEX(D:D, MATCH(AC412, J:J, 0)),INDEX(E:E, MATCH(AC412, J:J, 0)))),"")</f>
        <v/>
      </c>
      <c r="AA412" s="28"/>
      <c r="AB412" s="28"/>
      <c r="AC412" s="28"/>
      <c r="AD412" s="28"/>
    </row>
    <row r="413" ht="30.0" customHeight="1">
      <c r="A413" s="488"/>
      <c r="B413" s="582"/>
      <c r="C413" s="256"/>
      <c r="D413" s="582"/>
      <c r="E413" s="488"/>
      <c r="F413" s="258"/>
      <c r="G413" s="173"/>
      <c r="H413" s="173"/>
      <c r="I413" s="576"/>
      <c r="J413" s="580"/>
      <c r="K413" s="569" t="str">
        <f t="shared" si="1"/>
        <v/>
      </c>
      <c r="L413" s="572"/>
      <c r="M413" s="173"/>
      <c r="N413" s="173"/>
      <c r="O413" s="173"/>
      <c r="P413" s="573"/>
      <c r="Q413" s="573"/>
      <c r="R413" s="173"/>
      <c r="S413" s="173"/>
      <c r="T413" s="173"/>
      <c r="U413" s="173"/>
      <c r="V413" s="173"/>
      <c r="W413" s="574"/>
      <c r="X413" s="575"/>
      <c r="Y413" s="28"/>
      <c r="Z413" s="543" t="str">
        <f t="array" ref="Z413">IF(LEN(AC413),lower(concatenate("bosvendor-",'2-Building'!B$4,"-",INDEX(D:D, MATCH(AC413, J:J, 0)),INDEX(E:E, MATCH(AC413, J:J, 0)))),"")</f>
        <v/>
      </c>
      <c r="AA413" s="28"/>
      <c r="AB413" s="28"/>
      <c r="AC413" s="28"/>
      <c r="AD413" s="28"/>
    </row>
    <row r="414" ht="30.0" customHeight="1">
      <c r="A414" s="488"/>
      <c r="B414" s="582"/>
      <c r="C414" s="256"/>
      <c r="D414" s="582"/>
      <c r="E414" s="488"/>
      <c r="F414" s="258"/>
      <c r="G414" s="173"/>
      <c r="H414" s="173"/>
      <c r="I414" s="576"/>
      <c r="J414" s="580"/>
      <c r="K414" s="569" t="str">
        <f t="shared" si="1"/>
        <v/>
      </c>
      <c r="L414" s="572"/>
      <c r="M414" s="173"/>
      <c r="N414" s="173"/>
      <c r="O414" s="173"/>
      <c r="P414" s="573"/>
      <c r="Q414" s="573"/>
      <c r="R414" s="173"/>
      <c r="S414" s="173"/>
      <c r="T414" s="173"/>
      <c r="U414" s="173"/>
      <c r="V414" s="173"/>
      <c r="W414" s="574"/>
      <c r="X414" s="575"/>
      <c r="Y414" s="28"/>
      <c r="Z414" s="543" t="str">
        <f t="array" ref="Z414">IF(LEN(AC414),lower(concatenate("bosvendor-",'2-Building'!B$4,"-",INDEX(D:D, MATCH(AC414, J:J, 0)),INDEX(E:E, MATCH(AC414, J:J, 0)))),"")</f>
        <v/>
      </c>
      <c r="AA414" s="28"/>
      <c r="AB414" s="28"/>
      <c r="AC414" s="28"/>
      <c r="AD414" s="28"/>
    </row>
    <row r="415" ht="30.0" customHeight="1">
      <c r="A415" s="488"/>
      <c r="B415" s="582"/>
      <c r="C415" s="256"/>
      <c r="D415" s="582"/>
      <c r="E415" s="488"/>
      <c r="F415" s="258"/>
      <c r="G415" s="173"/>
      <c r="H415" s="173"/>
      <c r="I415" s="576"/>
      <c r="J415" s="580"/>
      <c r="K415" s="569" t="str">
        <f t="shared" si="1"/>
        <v/>
      </c>
      <c r="L415" s="572"/>
      <c r="M415" s="173"/>
      <c r="N415" s="173"/>
      <c r="O415" s="173"/>
      <c r="P415" s="573"/>
      <c r="Q415" s="573"/>
      <c r="R415" s="173"/>
      <c r="S415" s="173"/>
      <c r="T415" s="173"/>
      <c r="U415" s="173"/>
      <c r="V415" s="173"/>
      <c r="W415" s="574"/>
      <c r="X415" s="575"/>
      <c r="Y415" s="28"/>
      <c r="Z415" s="543" t="str">
        <f t="array" ref="Z415">IF(LEN(AC415),lower(concatenate("bosvendor-",'2-Building'!B$4,"-",INDEX(D:D, MATCH(AC415, J:J, 0)),INDEX(E:E, MATCH(AC415, J:J, 0)))),"")</f>
        <v/>
      </c>
      <c r="AA415" s="28"/>
      <c r="AB415" s="28"/>
      <c r="AC415" s="28"/>
      <c r="AD415" s="28"/>
    </row>
    <row r="416" ht="30.0" customHeight="1">
      <c r="A416" s="488"/>
      <c r="B416" s="582"/>
      <c r="C416" s="256"/>
      <c r="D416" s="582"/>
      <c r="E416" s="488"/>
      <c r="F416" s="258"/>
      <c r="G416" s="173"/>
      <c r="H416" s="173"/>
      <c r="I416" s="576"/>
      <c r="J416" s="580"/>
      <c r="K416" s="569" t="str">
        <f t="shared" si="1"/>
        <v/>
      </c>
      <c r="L416" s="572"/>
      <c r="M416" s="173"/>
      <c r="N416" s="173"/>
      <c r="O416" s="173"/>
      <c r="P416" s="573"/>
      <c r="Q416" s="573"/>
      <c r="R416" s="173"/>
      <c r="S416" s="173"/>
      <c r="T416" s="173"/>
      <c r="U416" s="173"/>
      <c r="V416" s="173"/>
      <c r="W416" s="574"/>
      <c r="X416" s="575"/>
      <c r="Y416" s="28"/>
      <c r="Z416" s="543" t="str">
        <f t="array" ref="Z416">IF(LEN(AC416),lower(concatenate("bosvendor-",'2-Building'!B$4,"-",INDEX(D:D, MATCH(AC416, J:J, 0)),INDEX(E:E, MATCH(AC416, J:J, 0)))),"")</f>
        <v/>
      </c>
      <c r="AA416" s="28"/>
      <c r="AB416" s="28"/>
      <c r="AC416" s="28"/>
      <c r="AD416" s="28"/>
    </row>
    <row r="417" ht="30.0" customHeight="1">
      <c r="A417" s="488"/>
      <c r="B417" s="582"/>
      <c r="C417" s="256"/>
      <c r="D417" s="582"/>
      <c r="E417" s="488"/>
      <c r="F417" s="258"/>
      <c r="G417" s="173"/>
      <c r="H417" s="173"/>
      <c r="I417" s="576"/>
      <c r="J417" s="580"/>
      <c r="K417" s="569" t="str">
        <f t="shared" si="1"/>
        <v/>
      </c>
      <c r="L417" s="572"/>
      <c r="M417" s="173"/>
      <c r="N417" s="173"/>
      <c r="O417" s="173"/>
      <c r="P417" s="573"/>
      <c r="Q417" s="573"/>
      <c r="R417" s="173"/>
      <c r="S417" s="173"/>
      <c r="T417" s="173"/>
      <c r="U417" s="173"/>
      <c r="V417" s="173"/>
      <c r="W417" s="574"/>
      <c r="X417" s="575"/>
      <c r="Y417" s="28"/>
      <c r="Z417" s="543" t="str">
        <f t="array" ref="Z417">IF(LEN(AC417),lower(concatenate("bosvendor-",'2-Building'!B$4,"-",INDEX(D:D, MATCH(AC417, J:J, 0)),INDEX(E:E, MATCH(AC417, J:J, 0)))),"")</f>
        <v/>
      </c>
      <c r="AA417" s="28"/>
      <c r="AB417" s="28"/>
      <c r="AC417" s="28"/>
      <c r="AD417" s="28"/>
    </row>
    <row r="418" ht="30.0" customHeight="1">
      <c r="A418" s="488"/>
      <c r="B418" s="582"/>
      <c r="C418" s="256"/>
      <c r="D418" s="582"/>
      <c r="E418" s="488"/>
      <c r="F418" s="258"/>
      <c r="G418" s="173"/>
      <c r="H418" s="173"/>
      <c r="I418" s="576"/>
      <c r="J418" s="580"/>
      <c r="K418" s="569" t="str">
        <f t="shared" si="1"/>
        <v/>
      </c>
      <c r="L418" s="572"/>
      <c r="M418" s="173"/>
      <c r="N418" s="173"/>
      <c r="O418" s="173"/>
      <c r="P418" s="573"/>
      <c r="Q418" s="573"/>
      <c r="R418" s="173"/>
      <c r="S418" s="173"/>
      <c r="T418" s="173"/>
      <c r="U418" s="173"/>
      <c r="V418" s="173"/>
      <c r="W418" s="574"/>
      <c r="X418" s="575"/>
      <c r="Y418" s="28"/>
      <c r="Z418" s="543" t="str">
        <f t="array" ref="Z418">IF(LEN(AC418),lower(concatenate("bosvendor-",'2-Building'!B$4,"-",INDEX(D:D, MATCH(AC418, J:J, 0)),INDEX(E:E, MATCH(AC418, J:J, 0)))),"")</f>
        <v/>
      </c>
      <c r="AA418" s="28"/>
      <c r="AB418" s="28"/>
      <c r="AC418" s="28"/>
      <c r="AD418" s="28"/>
    </row>
    <row r="419" ht="30.0" customHeight="1">
      <c r="A419" s="488"/>
      <c r="B419" s="582"/>
      <c r="C419" s="256"/>
      <c r="D419" s="582"/>
      <c r="E419" s="488"/>
      <c r="F419" s="258"/>
      <c r="G419" s="173"/>
      <c r="H419" s="173"/>
      <c r="I419" s="576"/>
      <c r="J419" s="580"/>
      <c r="K419" s="569" t="str">
        <f t="shared" si="1"/>
        <v/>
      </c>
      <c r="L419" s="572"/>
      <c r="M419" s="173"/>
      <c r="N419" s="173"/>
      <c r="O419" s="173"/>
      <c r="P419" s="573"/>
      <c r="Q419" s="573"/>
      <c r="R419" s="173"/>
      <c r="S419" s="173"/>
      <c r="T419" s="173"/>
      <c r="U419" s="173"/>
      <c r="V419" s="173"/>
      <c r="W419" s="574"/>
      <c r="X419" s="575"/>
      <c r="Y419" s="28"/>
      <c r="Z419" s="543" t="str">
        <f t="array" ref="Z419">IF(LEN(AC419),lower(concatenate("bosvendor-",'2-Building'!B$4,"-",INDEX(D:D, MATCH(AC419, J:J, 0)),INDEX(E:E, MATCH(AC419, J:J, 0)))),"")</f>
        <v/>
      </c>
      <c r="AA419" s="28"/>
      <c r="AB419" s="28"/>
      <c r="AC419" s="28"/>
      <c r="AD419" s="28"/>
    </row>
    <row r="420" ht="30.0" customHeight="1">
      <c r="A420" s="488"/>
      <c r="B420" s="582"/>
      <c r="C420" s="256"/>
      <c r="D420" s="582"/>
      <c r="E420" s="488"/>
      <c r="F420" s="258"/>
      <c r="G420" s="173"/>
      <c r="H420" s="173"/>
      <c r="I420" s="576"/>
      <c r="J420" s="580"/>
      <c r="K420" s="569" t="str">
        <f t="shared" si="1"/>
        <v/>
      </c>
      <c r="L420" s="572"/>
      <c r="M420" s="173"/>
      <c r="N420" s="173"/>
      <c r="O420" s="173"/>
      <c r="P420" s="573"/>
      <c r="Q420" s="573"/>
      <c r="R420" s="173"/>
      <c r="S420" s="173"/>
      <c r="T420" s="173"/>
      <c r="U420" s="173"/>
      <c r="V420" s="173"/>
      <c r="W420" s="574"/>
      <c r="X420" s="575"/>
      <c r="Y420" s="28"/>
      <c r="Z420" s="543" t="str">
        <f t="array" ref="Z420">IF(LEN(AC420),lower(concatenate("bosvendor-",'2-Building'!B$4,"-",INDEX(D:D, MATCH(AC420, J:J, 0)),INDEX(E:E, MATCH(AC420, J:J, 0)))),"")</f>
        <v/>
      </c>
      <c r="AA420" s="28"/>
      <c r="AB420" s="28"/>
      <c r="AC420" s="28"/>
      <c r="AD420" s="28"/>
    </row>
    <row r="421" ht="30.0" customHeight="1">
      <c r="A421" s="488"/>
      <c r="B421" s="582"/>
      <c r="C421" s="256"/>
      <c r="D421" s="582"/>
      <c r="E421" s="488"/>
      <c r="F421" s="258"/>
      <c r="G421" s="173"/>
      <c r="H421" s="173"/>
      <c r="I421" s="576"/>
      <c r="J421" s="580"/>
      <c r="K421" s="569" t="str">
        <f t="shared" si="1"/>
        <v/>
      </c>
      <c r="L421" s="572"/>
      <c r="M421" s="173"/>
      <c r="N421" s="173"/>
      <c r="O421" s="173"/>
      <c r="P421" s="573"/>
      <c r="Q421" s="573"/>
      <c r="R421" s="173"/>
      <c r="S421" s="173"/>
      <c r="T421" s="173"/>
      <c r="U421" s="173"/>
      <c r="V421" s="173"/>
      <c r="W421" s="574"/>
      <c r="X421" s="575"/>
      <c r="Y421" s="28"/>
      <c r="Z421" s="543" t="str">
        <f t="array" ref="Z421">IF(LEN(AC421),lower(concatenate("bosvendor-",'2-Building'!B$4,"-",INDEX(D:D, MATCH(AC421, J:J, 0)),INDEX(E:E, MATCH(AC421, J:J, 0)))),"")</f>
        <v/>
      </c>
      <c r="AA421" s="28"/>
      <c r="AB421" s="28"/>
      <c r="AC421" s="28"/>
      <c r="AD421" s="28"/>
    </row>
    <row r="422" ht="30.0" customHeight="1">
      <c r="A422" s="488"/>
      <c r="B422" s="582"/>
      <c r="C422" s="256"/>
      <c r="D422" s="582"/>
      <c r="E422" s="488"/>
      <c r="F422" s="258"/>
      <c r="G422" s="173"/>
      <c r="H422" s="173"/>
      <c r="I422" s="576"/>
      <c r="J422" s="580"/>
      <c r="K422" s="569" t="str">
        <f t="shared" si="1"/>
        <v/>
      </c>
      <c r="L422" s="572"/>
      <c r="M422" s="173"/>
      <c r="N422" s="173"/>
      <c r="O422" s="173"/>
      <c r="P422" s="573"/>
      <c r="Q422" s="573"/>
      <c r="R422" s="173"/>
      <c r="S422" s="173"/>
      <c r="T422" s="173"/>
      <c r="U422" s="173"/>
      <c r="V422" s="173"/>
      <c r="W422" s="574"/>
      <c r="X422" s="575"/>
      <c r="Y422" s="28"/>
      <c r="Z422" s="543" t="str">
        <f t="array" ref="Z422">IF(LEN(AC422),lower(concatenate("bosvendor-",'2-Building'!B$4,"-",INDEX(D:D, MATCH(AC422, J:J, 0)),INDEX(E:E, MATCH(AC422, J:J, 0)))),"")</f>
        <v/>
      </c>
      <c r="AA422" s="28"/>
      <c r="AB422" s="28"/>
      <c r="AC422" s="28"/>
      <c r="AD422" s="28"/>
    </row>
    <row r="423" ht="30.0" customHeight="1">
      <c r="A423" s="488"/>
      <c r="B423" s="582"/>
      <c r="C423" s="256"/>
      <c r="D423" s="582"/>
      <c r="E423" s="488"/>
      <c r="F423" s="258"/>
      <c r="G423" s="173"/>
      <c r="H423" s="173"/>
      <c r="I423" s="576"/>
      <c r="J423" s="580"/>
      <c r="K423" s="569" t="str">
        <f t="shared" si="1"/>
        <v/>
      </c>
      <c r="L423" s="572"/>
      <c r="M423" s="173"/>
      <c r="N423" s="173"/>
      <c r="O423" s="173"/>
      <c r="P423" s="573"/>
      <c r="Q423" s="573"/>
      <c r="R423" s="173"/>
      <c r="S423" s="173"/>
      <c r="T423" s="173"/>
      <c r="U423" s="173"/>
      <c r="V423" s="173"/>
      <c r="W423" s="574"/>
      <c r="X423" s="575"/>
      <c r="Y423" s="28"/>
      <c r="Z423" s="543" t="str">
        <f t="array" ref="Z423">IF(LEN(AC423),lower(concatenate("bosvendor-",'2-Building'!B$4,"-",INDEX(D:D, MATCH(AC423, J:J, 0)),INDEX(E:E, MATCH(AC423, J:J, 0)))),"")</f>
        <v/>
      </c>
      <c r="AA423" s="28"/>
      <c r="AB423" s="28"/>
      <c r="AC423" s="28"/>
      <c r="AD423" s="28"/>
    </row>
    <row r="424" ht="30.0" customHeight="1">
      <c r="A424" s="488"/>
      <c r="B424" s="582"/>
      <c r="C424" s="256"/>
      <c r="D424" s="582"/>
      <c r="E424" s="488"/>
      <c r="F424" s="258"/>
      <c r="G424" s="173"/>
      <c r="H424" s="173"/>
      <c r="I424" s="576"/>
      <c r="J424" s="580"/>
      <c r="K424" s="569" t="str">
        <f t="shared" si="1"/>
        <v/>
      </c>
      <c r="L424" s="572"/>
      <c r="M424" s="173"/>
      <c r="N424" s="173"/>
      <c r="O424" s="173"/>
      <c r="P424" s="573"/>
      <c r="Q424" s="573"/>
      <c r="R424" s="173"/>
      <c r="S424" s="173"/>
      <c r="T424" s="173"/>
      <c r="U424" s="173"/>
      <c r="V424" s="173"/>
      <c r="W424" s="574"/>
      <c r="X424" s="575"/>
      <c r="Y424" s="28"/>
      <c r="Z424" s="543" t="str">
        <f t="array" ref="Z424">IF(LEN(AC424),lower(concatenate("bosvendor-",'2-Building'!B$4,"-",INDEX(D:D, MATCH(AC424, J:J, 0)),INDEX(E:E, MATCH(AC424, J:J, 0)))),"")</f>
        <v/>
      </c>
      <c r="AA424" s="28"/>
      <c r="AB424" s="28"/>
      <c r="AC424" s="28"/>
      <c r="AD424" s="28"/>
    </row>
    <row r="425" ht="30.0" customHeight="1">
      <c r="A425" s="488"/>
      <c r="B425" s="582"/>
      <c r="C425" s="256"/>
      <c r="D425" s="582"/>
      <c r="E425" s="488"/>
      <c r="F425" s="258"/>
      <c r="G425" s="173"/>
      <c r="H425" s="173"/>
      <c r="I425" s="576"/>
      <c r="J425" s="580"/>
      <c r="K425" s="569" t="str">
        <f t="shared" si="1"/>
        <v/>
      </c>
      <c r="L425" s="572"/>
      <c r="M425" s="173"/>
      <c r="N425" s="173"/>
      <c r="O425" s="173"/>
      <c r="P425" s="573"/>
      <c r="Q425" s="573"/>
      <c r="R425" s="173"/>
      <c r="S425" s="173"/>
      <c r="T425" s="173"/>
      <c r="U425" s="173"/>
      <c r="V425" s="173"/>
      <c r="W425" s="574"/>
      <c r="X425" s="575"/>
      <c r="Y425" s="28"/>
      <c r="Z425" s="543" t="str">
        <f t="array" ref="Z425">IF(LEN(AC425),lower(concatenate("bosvendor-",'2-Building'!B$4,"-",INDEX(D:D, MATCH(AC425, J:J, 0)),INDEX(E:E, MATCH(AC425, J:J, 0)))),"")</f>
        <v/>
      </c>
      <c r="AA425" s="28"/>
      <c r="AB425" s="28"/>
      <c r="AC425" s="28"/>
      <c r="AD425" s="28"/>
    </row>
    <row r="426" ht="30.0" customHeight="1">
      <c r="A426" s="488"/>
      <c r="B426" s="582"/>
      <c r="C426" s="256"/>
      <c r="D426" s="582"/>
      <c r="E426" s="488"/>
      <c r="F426" s="258"/>
      <c r="G426" s="173"/>
      <c r="H426" s="173"/>
      <c r="I426" s="576"/>
      <c r="J426" s="580"/>
      <c r="K426" s="569" t="str">
        <f t="shared" si="1"/>
        <v/>
      </c>
      <c r="L426" s="572"/>
      <c r="M426" s="173"/>
      <c r="N426" s="173"/>
      <c r="O426" s="173"/>
      <c r="P426" s="573"/>
      <c r="Q426" s="573"/>
      <c r="R426" s="173"/>
      <c r="S426" s="173"/>
      <c r="T426" s="173"/>
      <c r="U426" s="173"/>
      <c r="V426" s="173"/>
      <c r="W426" s="574"/>
      <c r="X426" s="575"/>
      <c r="Y426" s="28"/>
      <c r="Z426" s="543" t="str">
        <f t="array" ref="Z426">IF(LEN(AC426),lower(concatenate("bosvendor-",'2-Building'!B$4,"-",INDEX(D:D, MATCH(AC426, J:J, 0)),INDEX(E:E, MATCH(AC426, J:J, 0)))),"")</f>
        <v/>
      </c>
      <c r="AA426" s="28"/>
      <c r="AB426" s="28"/>
      <c r="AC426" s="28"/>
      <c r="AD426" s="28"/>
    </row>
    <row r="427" ht="30.0" customHeight="1">
      <c r="A427" s="488"/>
      <c r="B427" s="582"/>
      <c r="C427" s="256"/>
      <c r="D427" s="582"/>
      <c r="E427" s="488"/>
      <c r="F427" s="258"/>
      <c r="G427" s="173"/>
      <c r="H427" s="173"/>
      <c r="I427" s="576"/>
      <c r="J427" s="580"/>
      <c r="K427" s="569" t="str">
        <f t="shared" si="1"/>
        <v/>
      </c>
      <c r="L427" s="572"/>
      <c r="M427" s="173"/>
      <c r="N427" s="173"/>
      <c r="O427" s="173"/>
      <c r="P427" s="573"/>
      <c r="Q427" s="573"/>
      <c r="R427" s="173"/>
      <c r="S427" s="173"/>
      <c r="T427" s="173"/>
      <c r="U427" s="173"/>
      <c r="V427" s="173"/>
      <c r="W427" s="574"/>
      <c r="X427" s="575"/>
      <c r="Y427" s="28"/>
      <c r="Z427" s="543" t="str">
        <f t="array" ref="Z427">IF(LEN(AC427),lower(concatenate("bosvendor-",'2-Building'!B$4,"-",INDEX(D:D, MATCH(AC427, J:J, 0)),INDEX(E:E, MATCH(AC427, J:J, 0)))),"")</f>
        <v/>
      </c>
      <c r="AA427" s="28"/>
      <c r="AB427" s="28"/>
      <c r="AC427" s="28"/>
      <c r="AD427" s="28"/>
    </row>
    <row r="428" ht="30.0" customHeight="1">
      <c r="A428" s="488"/>
      <c r="B428" s="582"/>
      <c r="C428" s="256"/>
      <c r="D428" s="582"/>
      <c r="E428" s="488"/>
      <c r="F428" s="258"/>
      <c r="G428" s="173"/>
      <c r="H428" s="173"/>
      <c r="I428" s="576"/>
      <c r="J428" s="580"/>
      <c r="K428" s="569" t="str">
        <f t="shared" si="1"/>
        <v/>
      </c>
      <c r="L428" s="572"/>
      <c r="M428" s="173"/>
      <c r="N428" s="173"/>
      <c r="O428" s="173"/>
      <c r="P428" s="573"/>
      <c r="Q428" s="573"/>
      <c r="R428" s="173"/>
      <c r="S428" s="173"/>
      <c r="T428" s="173"/>
      <c r="U428" s="173"/>
      <c r="V428" s="173"/>
      <c r="W428" s="574"/>
      <c r="X428" s="575"/>
      <c r="Y428" s="28"/>
      <c r="Z428" s="543" t="str">
        <f t="array" ref="Z428">IF(LEN(AC428),lower(concatenate("bosvendor-",'2-Building'!B$4,"-",INDEX(D:D, MATCH(AC428, J:J, 0)),INDEX(E:E, MATCH(AC428, J:J, 0)))),"")</f>
        <v/>
      </c>
      <c r="AA428" s="28"/>
      <c r="AB428" s="28"/>
      <c r="AC428" s="28"/>
      <c r="AD428" s="28"/>
    </row>
    <row r="429" ht="30.0" customHeight="1">
      <c r="A429" s="488"/>
      <c r="B429" s="582"/>
      <c r="C429" s="256"/>
      <c r="D429" s="582"/>
      <c r="E429" s="488"/>
      <c r="F429" s="258"/>
      <c r="G429" s="173"/>
      <c r="H429" s="173"/>
      <c r="I429" s="576"/>
      <c r="J429" s="580"/>
      <c r="K429" s="569" t="str">
        <f t="shared" si="1"/>
        <v/>
      </c>
      <c r="L429" s="572"/>
      <c r="M429" s="173"/>
      <c r="N429" s="173"/>
      <c r="O429" s="173"/>
      <c r="P429" s="573"/>
      <c r="Q429" s="573"/>
      <c r="R429" s="173"/>
      <c r="S429" s="173"/>
      <c r="T429" s="173"/>
      <c r="U429" s="173"/>
      <c r="V429" s="173"/>
      <c r="W429" s="574"/>
      <c r="X429" s="575"/>
      <c r="Y429" s="28"/>
      <c r="Z429" s="543" t="str">
        <f t="array" ref="Z429">IF(LEN(AC429),lower(concatenate("bosvendor-",'2-Building'!B$4,"-",INDEX(D:D, MATCH(AC429, J:J, 0)),INDEX(E:E, MATCH(AC429, J:J, 0)))),"")</f>
        <v/>
      </c>
      <c r="AA429" s="28"/>
      <c r="AB429" s="28"/>
      <c r="AC429" s="28"/>
      <c r="AD429" s="28"/>
    </row>
    <row r="430" ht="30.0" customHeight="1">
      <c r="A430" s="488"/>
      <c r="B430" s="582"/>
      <c r="C430" s="256"/>
      <c r="D430" s="582"/>
      <c r="E430" s="488"/>
      <c r="F430" s="258"/>
      <c r="G430" s="173"/>
      <c r="H430" s="173"/>
      <c r="I430" s="576"/>
      <c r="J430" s="580"/>
      <c r="K430" s="569" t="str">
        <f t="shared" si="1"/>
        <v/>
      </c>
      <c r="L430" s="572"/>
      <c r="M430" s="173"/>
      <c r="N430" s="173"/>
      <c r="O430" s="173"/>
      <c r="P430" s="573"/>
      <c r="Q430" s="573"/>
      <c r="R430" s="173"/>
      <c r="S430" s="173"/>
      <c r="T430" s="173"/>
      <c r="U430" s="173"/>
      <c r="V430" s="173"/>
      <c r="W430" s="574"/>
      <c r="X430" s="575"/>
      <c r="Y430" s="28"/>
      <c r="Z430" s="543" t="str">
        <f t="array" ref="Z430">IF(LEN(AC430),lower(concatenate("bosvendor-",'2-Building'!B$4,"-",INDEX(D:D, MATCH(AC430, J:J, 0)),INDEX(E:E, MATCH(AC430, J:J, 0)))),"")</f>
        <v/>
      </c>
      <c r="AA430" s="28"/>
      <c r="AB430" s="28"/>
      <c r="AC430" s="28"/>
      <c r="AD430" s="28"/>
    </row>
    <row r="431" ht="30.0" customHeight="1">
      <c r="A431" s="488"/>
      <c r="B431" s="582"/>
      <c r="C431" s="256"/>
      <c r="D431" s="582"/>
      <c r="E431" s="488"/>
      <c r="F431" s="258"/>
      <c r="G431" s="173"/>
      <c r="H431" s="173"/>
      <c r="I431" s="576"/>
      <c r="J431" s="580"/>
      <c r="K431" s="569" t="str">
        <f t="shared" si="1"/>
        <v/>
      </c>
      <c r="L431" s="572"/>
      <c r="M431" s="173"/>
      <c r="N431" s="173"/>
      <c r="O431" s="173"/>
      <c r="P431" s="573"/>
      <c r="Q431" s="573"/>
      <c r="R431" s="173"/>
      <c r="S431" s="173"/>
      <c r="T431" s="173"/>
      <c r="U431" s="173"/>
      <c r="V431" s="173"/>
      <c r="W431" s="574"/>
      <c r="X431" s="575"/>
      <c r="Y431" s="28"/>
      <c r="Z431" s="543" t="str">
        <f t="array" ref="Z431">IF(LEN(AC431),lower(concatenate("bosvendor-",'2-Building'!B$4,"-",INDEX(D:D, MATCH(AC431, J:J, 0)),INDEX(E:E, MATCH(AC431, J:J, 0)))),"")</f>
        <v/>
      </c>
      <c r="AA431" s="28"/>
      <c r="AB431" s="28"/>
      <c r="AC431" s="28"/>
      <c r="AD431" s="28"/>
    </row>
    <row r="432" ht="30.0" customHeight="1">
      <c r="A432" s="488"/>
      <c r="B432" s="582"/>
      <c r="C432" s="256"/>
      <c r="D432" s="582"/>
      <c r="E432" s="488"/>
      <c r="F432" s="258"/>
      <c r="G432" s="173"/>
      <c r="H432" s="173"/>
      <c r="I432" s="576"/>
      <c r="J432" s="580"/>
      <c r="K432" s="569" t="str">
        <f t="shared" si="1"/>
        <v/>
      </c>
      <c r="L432" s="572"/>
      <c r="M432" s="173"/>
      <c r="N432" s="173"/>
      <c r="O432" s="173"/>
      <c r="P432" s="573"/>
      <c r="Q432" s="573"/>
      <c r="R432" s="173"/>
      <c r="S432" s="173"/>
      <c r="T432" s="173"/>
      <c r="U432" s="173"/>
      <c r="V432" s="173"/>
      <c r="W432" s="574"/>
      <c r="X432" s="575"/>
      <c r="Y432" s="28"/>
      <c r="Z432" s="543" t="str">
        <f t="array" ref="Z432">IF(LEN(AC432),lower(concatenate("bosvendor-",'2-Building'!B$4,"-",INDEX(D:D, MATCH(AC432, J:J, 0)),INDEX(E:E, MATCH(AC432, J:J, 0)))),"")</f>
        <v/>
      </c>
      <c r="AA432" s="28"/>
      <c r="AB432" s="28"/>
      <c r="AC432" s="28"/>
      <c r="AD432" s="28"/>
    </row>
    <row r="433" ht="30.0" customHeight="1">
      <c r="A433" s="488"/>
      <c r="B433" s="582"/>
      <c r="C433" s="256"/>
      <c r="D433" s="582"/>
      <c r="E433" s="488"/>
      <c r="F433" s="258"/>
      <c r="G433" s="173"/>
      <c r="H433" s="173"/>
      <c r="I433" s="576"/>
      <c r="J433" s="580"/>
      <c r="K433" s="569" t="str">
        <f t="shared" si="1"/>
        <v/>
      </c>
      <c r="L433" s="572"/>
      <c r="M433" s="173"/>
      <c r="N433" s="173"/>
      <c r="O433" s="173"/>
      <c r="P433" s="573"/>
      <c r="Q433" s="573"/>
      <c r="R433" s="173"/>
      <c r="S433" s="173"/>
      <c r="T433" s="173"/>
      <c r="U433" s="173"/>
      <c r="V433" s="173"/>
      <c r="W433" s="574"/>
      <c r="X433" s="575"/>
      <c r="Y433" s="28"/>
      <c r="Z433" s="543" t="str">
        <f t="array" ref="Z433">IF(LEN(AC433),lower(concatenate("bosvendor-",'2-Building'!B$4,"-",INDEX(D:D, MATCH(AC433, J:J, 0)),INDEX(E:E, MATCH(AC433, J:J, 0)))),"")</f>
        <v/>
      </c>
      <c r="AA433" s="28"/>
      <c r="AB433" s="28"/>
      <c r="AC433" s="28"/>
      <c r="AD433" s="28"/>
    </row>
    <row r="434" ht="30.0" customHeight="1">
      <c r="A434" s="488"/>
      <c r="B434" s="582"/>
      <c r="C434" s="256"/>
      <c r="D434" s="582"/>
      <c r="E434" s="488"/>
      <c r="F434" s="258"/>
      <c r="G434" s="173"/>
      <c r="H434" s="173"/>
      <c r="I434" s="576"/>
      <c r="J434" s="580"/>
      <c r="K434" s="569" t="str">
        <f t="shared" si="1"/>
        <v/>
      </c>
      <c r="L434" s="572"/>
      <c r="M434" s="173"/>
      <c r="N434" s="173"/>
      <c r="O434" s="173"/>
      <c r="P434" s="573"/>
      <c r="Q434" s="573"/>
      <c r="R434" s="173"/>
      <c r="S434" s="173"/>
      <c r="T434" s="173"/>
      <c r="U434" s="173"/>
      <c r="V434" s="173"/>
      <c r="W434" s="574"/>
      <c r="X434" s="575"/>
      <c r="Y434" s="28"/>
      <c r="Z434" s="543" t="str">
        <f t="array" ref="Z434">IF(LEN(AC434),lower(concatenate("bosvendor-",'2-Building'!B$4,"-",INDEX(D:D, MATCH(AC434, J:J, 0)),INDEX(E:E, MATCH(AC434, J:J, 0)))),"")</f>
        <v/>
      </c>
      <c r="AA434" s="28"/>
      <c r="AB434" s="28"/>
      <c r="AC434" s="28"/>
      <c r="AD434" s="28"/>
    </row>
    <row r="435" ht="30.0" customHeight="1">
      <c r="A435" s="488"/>
      <c r="B435" s="582"/>
      <c r="C435" s="256"/>
      <c r="D435" s="582"/>
      <c r="E435" s="488"/>
      <c r="F435" s="258"/>
      <c r="G435" s="173"/>
      <c r="H435" s="173"/>
      <c r="I435" s="576"/>
      <c r="J435" s="580"/>
      <c r="K435" s="569" t="str">
        <f t="shared" si="1"/>
        <v/>
      </c>
      <c r="L435" s="572"/>
      <c r="M435" s="173"/>
      <c r="N435" s="173"/>
      <c r="O435" s="173"/>
      <c r="P435" s="573"/>
      <c r="Q435" s="573"/>
      <c r="R435" s="173"/>
      <c r="S435" s="173"/>
      <c r="T435" s="173"/>
      <c r="U435" s="173"/>
      <c r="V435" s="173"/>
      <c r="W435" s="574"/>
      <c r="X435" s="575"/>
      <c r="Y435" s="28"/>
      <c r="Z435" s="543" t="str">
        <f t="array" ref="Z435">IF(LEN(AC435),lower(concatenate("bosvendor-",'2-Building'!B$4,"-",INDEX(D:D, MATCH(AC435, J:J, 0)),INDEX(E:E, MATCH(AC435, J:J, 0)))),"")</f>
        <v/>
      </c>
      <c r="AA435" s="28"/>
      <c r="AB435" s="28"/>
      <c r="AC435" s="28"/>
      <c r="AD435" s="28"/>
    </row>
    <row r="436" ht="30.0" customHeight="1">
      <c r="A436" s="488"/>
      <c r="B436" s="582"/>
      <c r="C436" s="256"/>
      <c r="D436" s="582"/>
      <c r="E436" s="488"/>
      <c r="F436" s="258"/>
      <c r="G436" s="173"/>
      <c r="H436" s="173"/>
      <c r="I436" s="576"/>
      <c r="J436" s="580"/>
      <c r="K436" s="569" t="str">
        <f t="shared" si="1"/>
        <v/>
      </c>
      <c r="L436" s="572"/>
      <c r="M436" s="173"/>
      <c r="N436" s="173"/>
      <c r="O436" s="173"/>
      <c r="P436" s="573"/>
      <c r="Q436" s="573"/>
      <c r="R436" s="173"/>
      <c r="S436" s="173"/>
      <c r="T436" s="173"/>
      <c r="U436" s="173"/>
      <c r="V436" s="173"/>
      <c r="W436" s="574"/>
      <c r="X436" s="575"/>
      <c r="Y436" s="28"/>
      <c r="Z436" s="543" t="str">
        <f t="array" ref="Z436">IF(LEN(AC436),lower(concatenate("bosvendor-",'2-Building'!B$4,"-",INDEX(D:D, MATCH(AC436, J:J, 0)),INDEX(E:E, MATCH(AC436, J:J, 0)))),"")</f>
        <v/>
      </c>
      <c r="AA436" s="28"/>
      <c r="AB436" s="28"/>
      <c r="AC436" s="28"/>
      <c r="AD436" s="28"/>
    </row>
    <row r="437" ht="30.0" customHeight="1">
      <c r="A437" s="488"/>
      <c r="B437" s="582"/>
      <c r="C437" s="256"/>
      <c r="D437" s="582"/>
      <c r="E437" s="488"/>
      <c r="F437" s="258"/>
      <c r="G437" s="173"/>
      <c r="H437" s="173"/>
      <c r="I437" s="576"/>
      <c r="J437" s="580"/>
      <c r="K437" s="569" t="str">
        <f t="shared" si="1"/>
        <v/>
      </c>
      <c r="L437" s="572"/>
      <c r="M437" s="173"/>
      <c r="N437" s="173"/>
      <c r="O437" s="173"/>
      <c r="P437" s="573"/>
      <c r="Q437" s="573"/>
      <c r="R437" s="173"/>
      <c r="S437" s="173"/>
      <c r="T437" s="173"/>
      <c r="U437" s="173"/>
      <c r="V437" s="173"/>
      <c r="W437" s="574"/>
      <c r="X437" s="575"/>
      <c r="Y437" s="28"/>
      <c r="Z437" s="543" t="str">
        <f t="array" ref="Z437">IF(LEN(AC437),lower(concatenate("bosvendor-",'2-Building'!B$4,"-",INDEX(D:D, MATCH(AC437, J:J, 0)),INDEX(E:E, MATCH(AC437, J:J, 0)))),"")</f>
        <v/>
      </c>
      <c r="AA437" s="28"/>
      <c r="AB437" s="28"/>
      <c r="AC437" s="28"/>
      <c r="AD437" s="28"/>
    </row>
    <row r="438" ht="30.0" customHeight="1">
      <c r="A438" s="488"/>
      <c r="B438" s="582"/>
      <c r="C438" s="256"/>
      <c r="D438" s="582"/>
      <c r="E438" s="488"/>
      <c r="F438" s="258"/>
      <c r="G438" s="173"/>
      <c r="H438" s="173"/>
      <c r="I438" s="576"/>
      <c r="J438" s="580"/>
      <c r="K438" s="569" t="str">
        <f t="shared" si="1"/>
        <v/>
      </c>
      <c r="L438" s="572"/>
      <c r="M438" s="173"/>
      <c r="N438" s="173"/>
      <c r="O438" s="173"/>
      <c r="P438" s="573"/>
      <c r="Q438" s="573"/>
      <c r="R438" s="173"/>
      <c r="S438" s="173"/>
      <c r="T438" s="173"/>
      <c r="U438" s="173"/>
      <c r="V438" s="173"/>
      <c r="W438" s="574"/>
      <c r="X438" s="575"/>
      <c r="Y438" s="28"/>
      <c r="Z438" s="543" t="str">
        <f t="array" ref="Z438">IF(LEN(AC438),lower(concatenate("bosvendor-",'2-Building'!B$4,"-",INDEX(D:D, MATCH(AC438, J:J, 0)),INDEX(E:E, MATCH(AC438, J:J, 0)))),"")</f>
        <v/>
      </c>
      <c r="AA438" s="28"/>
      <c r="AB438" s="28"/>
      <c r="AC438" s="28"/>
      <c r="AD438" s="28"/>
    </row>
    <row r="439" ht="30.0" customHeight="1">
      <c r="A439" s="488"/>
      <c r="B439" s="582"/>
      <c r="C439" s="256"/>
      <c r="D439" s="582"/>
      <c r="E439" s="488"/>
      <c r="F439" s="258"/>
      <c r="G439" s="173"/>
      <c r="H439" s="173"/>
      <c r="I439" s="576"/>
      <c r="J439" s="580"/>
      <c r="K439" s="569" t="str">
        <f t="shared" si="1"/>
        <v/>
      </c>
      <c r="L439" s="572"/>
      <c r="M439" s="173"/>
      <c r="N439" s="173"/>
      <c r="O439" s="173"/>
      <c r="P439" s="573"/>
      <c r="Q439" s="573"/>
      <c r="R439" s="173"/>
      <c r="S439" s="173"/>
      <c r="T439" s="173"/>
      <c r="U439" s="173"/>
      <c r="V439" s="173"/>
      <c r="W439" s="574"/>
      <c r="X439" s="575"/>
      <c r="Y439" s="28"/>
      <c r="Z439" s="543" t="str">
        <f t="array" ref="Z439">IF(LEN(AC439),lower(concatenate("bosvendor-",'2-Building'!B$4,"-",INDEX(D:D, MATCH(AC439, J:J, 0)),INDEX(E:E, MATCH(AC439, J:J, 0)))),"")</f>
        <v/>
      </c>
      <c r="AA439" s="28"/>
      <c r="AB439" s="28"/>
      <c r="AC439" s="28"/>
      <c r="AD439" s="28"/>
    </row>
    <row r="440" ht="30.0" customHeight="1">
      <c r="A440" s="488"/>
      <c r="B440" s="582"/>
      <c r="C440" s="256"/>
      <c r="D440" s="582"/>
      <c r="E440" s="488"/>
      <c r="F440" s="258"/>
      <c r="G440" s="173"/>
      <c r="H440" s="173"/>
      <c r="I440" s="576"/>
      <c r="J440" s="580"/>
      <c r="K440" s="569" t="str">
        <f t="shared" si="1"/>
        <v/>
      </c>
      <c r="L440" s="572"/>
      <c r="M440" s="173"/>
      <c r="N440" s="173"/>
      <c r="O440" s="173"/>
      <c r="P440" s="573"/>
      <c r="Q440" s="573"/>
      <c r="R440" s="173"/>
      <c r="S440" s="173"/>
      <c r="T440" s="173"/>
      <c r="U440" s="173"/>
      <c r="V440" s="173"/>
      <c r="W440" s="574"/>
      <c r="X440" s="575"/>
      <c r="Y440" s="28"/>
      <c r="Z440" s="543" t="str">
        <f t="array" ref="Z440">IF(LEN(AC440),lower(concatenate("bosvendor-",'2-Building'!B$4,"-",INDEX(D:D, MATCH(AC440, J:J, 0)),INDEX(E:E, MATCH(AC440, J:J, 0)))),"")</f>
        <v/>
      </c>
      <c r="AA440" s="28"/>
      <c r="AB440" s="28"/>
      <c r="AC440" s="28"/>
      <c r="AD440" s="28"/>
    </row>
    <row r="441" ht="30.0" customHeight="1">
      <c r="A441" s="488"/>
      <c r="B441" s="582"/>
      <c r="C441" s="256"/>
      <c r="D441" s="582"/>
      <c r="E441" s="488"/>
      <c r="F441" s="258"/>
      <c r="G441" s="173"/>
      <c r="H441" s="173"/>
      <c r="I441" s="576"/>
      <c r="J441" s="580"/>
      <c r="K441" s="569" t="str">
        <f t="shared" si="1"/>
        <v/>
      </c>
      <c r="L441" s="572"/>
      <c r="M441" s="173"/>
      <c r="N441" s="173"/>
      <c r="O441" s="173"/>
      <c r="P441" s="573"/>
      <c r="Q441" s="573"/>
      <c r="R441" s="173"/>
      <c r="S441" s="173"/>
      <c r="T441" s="173"/>
      <c r="U441" s="173"/>
      <c r="V441" s="173"/>
      <c r="W441" s="574"/>
      <c r="X441" s="575"/>
      <c r="Y441" s="28"/>
      <c r="Z441" s="543" t="str">
        <f t="array" ref="Z441">IF(LEN(AC441),lower(concatenate("bosvendor-",'2-Building'!B$4,"-",INDEX(D:D, MATCH(AC441, J:J, 0)),INDEX(E:E, MATCH(AC441, J:J, 0)))),"")</f>
        <v/>
      </c>
      <c r="AA441" s="28"/>
      <c r="AB441" s="28"/>
      <c r="AC441" s="28"/>
      <c r="AD441" s="28"/>
    </row>
    <row r="442" ht="30.0" customHeight="1">
      <c r="A442" s="488"/>
      <c r="B442" s="582"/>
      <c r="C442" s="256"/>
      <c r="D442" s="582"/>
      <c r="E442" s="488"/>
      <c r="F442" s="258"/>
      <c r="G442" s="173"/>
      <c r="H442" s="173"/>
      <c r="I442" s="576"/>
      <c r="J442" s="580"/>
      <c r="K442" s="569" t="str">
        <f t="shared" si="1"/>
        <v/>
      </c>
      <c r="L442" s="572"/>
      <c r="M442" s="173"/>
      <c r="N442" s="173"/>
      <c r="O442" s="173"/>
      <c r="P442" s="573"/>
      <c r="Q442" s="573"/>
      <c r="R442" s="173"/>
      <c r="S442" s="173"/>
      <c r="T442" s="173"/>
      <c r="U442" s="173"/>
      <c r="V442" s="173"/>
      <c r="W442" s="574"/>
      <c r="X442" s="575"/>
      <c r="Y442" s="28"/>
      <c r="Z442" s="543" t="str">
        <f t="array" ref="Z442">IF(LEN(AC442),lower(concatenate("bosvendor-",'2-Building'!B$4,"-",INDEX(D:D, MATCH(AC442, J:J, 0)),INDEX(E:E, MATCH(AC442, J:J, 0)))),"")</f>
        <v/>
      </c>
      <c r="AA442" s="28"/>
      <c r="AB442" s="28"/>
      <c r="AC442" s="28"/>
      <c r="AD442" s="28"/>
    </row>
    <row r="443" ht="30.0" customHeight="1">
      <c r="A443" s="488"/>
      <c r="B443" s="582"/>
      <c r="C443" s="256"/>
      <c r="D443" s="582"/>
      <c r="E443" s="488"/>
      <c r="F443" s="258"/>
      <c r="G443" s="173"/>
      <c r="H443" s="173"/>
      <c r="I443" s="576"/>
      <c r="J443" s="580"/>
      <c r="K443" s="569" t="str">
        <f t="shared" si="1"/>
        <v/>
      </c>
      <c r="L443" s="572"/>
      <c r="M443" s="173"/>
      <c r="N443" s="173"/>
      <c r="O443" s="173"/>
      <c r="P443" s="573"/>
      <c r="Q443" s="573"/>
      <c r="R443" s="173"/>
      <c r="S443" s="173"/>
      <c r="T443" s="173"/>
      <c r="U443" s="173"/>
      <c r="V443" s="173"/>
      <c r="W443" s="574"/>
      <c r="X443" s="575"/>
      <c r="Y443" s="28"/>
      <c r="Z443" s="543" t="str">
        <f t="array" ref="Z443">IF(LEN(AC443),lower(concatenate("bosvendor-",'2-Building'!B$4,"-",INDEX(D:D, MATCH(AC443, J:J, 0)),INDEX(E:E, MATCH(AC443, J:J, 0)))),"")</f>
        <v/>
      </c>
      <c r="AA443" s="28"/>
      <c r="AB443" s="28"/>
      <c r="AC443" s="28"/>
      <c r="AD443" s="28"/>
    </row>
    <row r="444" ht="30.0" customHeight="1">
      <c r="A444" s="488"/>
      <c r="B444" s="582"/>
      <c r="C444" s="256"/>
      <c r="D444" s="582"/>
      <c r="E444" s="488"/>
      <c r="F444" s="258"/>
      <c r="G444" s="173"/>
      <c r="H444" s="173"/>
      <c r="I444" s="576"/>
      <c r="J444" s="580"/>
      <c r="K444" s="569" t="str">
        <f t="shared" si="1"/>
        <v/>
      </c>
      <c r="L444" s="572"/>
      <c r="M444" s="173"/>
      <c r="N444" s="173"/>
      <c r="O444" s="173"/>
      <c r="P444" s="573"/>
      <c r="Q444" s="573"/>
      <c r="R444" s="173"/>
      <c r="S444" s="173"/>
      <c r="T444" s="173"/>
      <c r="U444" s="173"/>
      <c r="V444" s="173"/>
      <c r="W444" s="574"/>
      <c r="X444" s="575"/>
      <c r="Y444" s="28"/>
      <c r="Z444" s="543" t="str">
        <f t="array" ref="Z444">IF(LEN(AC444),lower(concatenate("bosvendor-",'2-Building'!B$4,"-",INDEX(D:D, MATCH(AC444, J:J, 0)),INDEX(E:E, MATCH(AC444, J:J, 0)))),"")</f>
        <v/>
      </c>
      <c r="AA444" s="28"/>
      <c r="AB444" s="28"/>
      <c r="AC444" s="28"/>
      <c r="AD444" s="28"/>
    </row>
    <row r="445" ht="30.0" customHeight="1">
      <c r="A445" s="488"/>
      <c r="B445" s="582"/>
      <c r="C445" s="256"/>
      <c r="D445" s="582"/>
      <c r="E445" s="488"/>
      <c r="F445" s="258"/>
      <c r="G445" s="173"/>
      <c r="H445" s="173"/>
      <c r="I445" s="576"/>
      <c r="J445" s="580"/>
      <c r="K445" s="569" t="str">
        <f t="shared" si="1"/>
        <v/>
      </c>
      <c r="L445" s="572"/>
      <c r="M445" s="173"/>
      <c r="N445" s="173"/>
      <c r="O445" s="173"/>
      <c r="P445" s="573"/>
      <c r="Q445" s="573"/>
      <c r="R445" s="173"/>
      <c r="S445" s="173"/>
      <c r="T445" s="173"/>
      <c r="U445" s="173"/>
      <c r="V445" s="173"/>
      <c r="W445" s="574"/>
      <c r="X445" s="575"/>
      <c r="Y445" s="28"/>
      <c r="Z445" s="543" t="str">
        <f t="array" ref="Z445">IF(LEN(AC445),lower(concatenate("bosvendor-",'2-Building'!B$4,"-",INDEX(D:D, MATCH(AC445, J:J, 0)),INDEX(E:E, MATCH(AC445, J:J, 0)))),"")</f>
        <v/>
      </c>
      <c r="AA445" s="28"/>
      <c r="AB445" s="28"/>
      <c r="AC445" s="28"/>
      <c r="AD445" s="28"/>
    </row>
    <row r="446" ht="30.0" customHeight="1">
      <c r="A446" s="488"/>
      <c r="B446" s="582"/>
      <c r="C446" s="256"/>
      <c r="D446" s="582"/>
      <c r="E446" s="488"/>
      <c r="F446" s="258"/>
      <c r="G446" s="173"/>
      <c r="H446" s="173"/>
      <c r="I446" s="576"/>
      <c r="J446" s="580"/>
      <c r="K446" s="569" t="str">
        <f t="shared" si="1"/>
        <v/>
      </c>
      <c r="L446" s="572"/>
      <c r="M446" s="173"/>
      <c r="N446" s="173"/>
      <c r="O446" s="173"/>
      <c r="P446" s="573"/>
      <c r="Q446" s="573"/>
      <c r="R446" s="173"/>
      <c r="S446" s="173"/>
      <c r="T446" s="173"/>
      <c r="U446" s="173"/>
      <c r="V446" s="173"/>
      <c r="W446" s="574"/>
      <c r="X446" s="575"/>
      <c r="Y446" s="28"/>
      <c r="Z446" s="543" t="str">
        <f t="array" ref="Z446">IF(LEN(AC446),lower(concatenate("bosvendor-",'2-Building'!B$4,"-",INDEX(D:D, MATCH(AC446, J:J, 0)),INDEX(E:E, MATCH(AC446, J:J, 0)))),"")</f>
        <v/>
      </c>
      <c r="AA446" s="28"/>
      <c r="AB446" s="28"/>
      <c r="AC446" s="28"/>
      <c r="AD446" s="28"/>
    </row>
    <row r="447" ht="30.0" customHeight="1">
      <c r="A447" s="488"/>
      <c r="B447" s="582"/>
      <c r="C447" s="256"/>
      <c r="D447" s="582"/>
      <c r="E447" s="488"/>
      <c r="F447" s="258"/>
      <c r="G447" s="173"/>
      <c r="H447" s="173"/>
      <c r="I447" s="576"/>
      <c r="J447" s="580"/>
      <c r="K447" s="569" t="str">
        <f t="shared" si="1"/>
        <v/>
      </c>
      <c r="L447" s="572"/>
      <c r="M447" s="173"/>
      <c r="N447" s="173"/>
      <c r="O447" s="173"/>
      <c r="P447" s="573"/>
      <c r="Q447" s="573"/>
      <c r="R447" s="173"/>
      <c r="S447" s="173"/>
      <c r="T447" s="173"/>
      <c r="U447" s="173"/>
      <c r="V447" s="173"/>
      <c r="W447" s="574"/>
      <c r="X447" s="575"/>
      <c r="Y447" s="28"/>
      <c r="Z447" s="543" t="str">
        <f t="array" ref="Z447">IF(LEN(AC447),lower(concatenate("bosvendor-",'2-Building'!B$4,"-",INDEX(D:D, MATCH(AC447, J:J, 0)),INDEX(E:E, MATCH(AC447, J:J, 0)))),"")</f>
        <v/>
      </c>
      <c r="AA447" s="28"/>
      <c r="AB447" s="28"/>
      <c r="AC447" s="28"/>
      <c r="AD447" s="28"/>
    </row>
    <row r="448" ht="30.0" customHeight="1">
      <c r="A448" s="488"/>
      <c r="B448" s="582"/>
      <c r="C448" s="256"/>
      <c r="D448" s="582"/>
      <c r="E448" s="488"/>
      <c r="F448" s="258"/>
      <c r="G448" s="173"/>
      <c r="H448" s="173"/>
      <c r="I448" s="576"/>
      <c r="J448" s="580"/>
      <c r="K448" s="569" t="str">
        <f t="shared" si="1"/>
        <v/>
      </c>
      <c r="L448" s="572"/>
      <c r="M448" s="173"/>
      <c r="N448" s="173"/>
      <c r="O448" s="173"/>
      <c r="P448" s="573"/>
      <c r="Q448" s="573"/>
      <c r="R448" s="173"/>
      <c r="S448" s="173"/>
      <c r="T448" s="173"/>
      <c r="U448" s="173"/>
      <c r="V448" s="173"/>
      <c r="W448" s="574"/>
      <c r="X448" s="575"/>
      <c r="Y448" s="28"/>
      <c r="Z448" s="543" t="str">
        <f t="array" ref="Z448">IF(LEN(AC448),lower(concatenate("bosvendor-",'2-Building'!B$4,"-",INDEX(D:D, MATCH(AC448, J:J, 0)),INDEX(E:E, MATCH(AC448, J:J, 0)))),"")</f>
        <v/>
      </c>
      <c r="AA448" s="28"/>
      <c r="AB448" s="28"/>
      <c r="AC448" s="28"/>
      <c r="AD448" s="28"/>
    </row>
    <row r="449" ht="30.0" customHeight="1">
      <c r="A449" s="488"/>
      <c r="B449" s="582"/>
      <c r="C449" s="256"/>
      <c r="D449" s="582"/>
      <c r="E449" s="488"/>
      <c r="F449" s="258"/>
      <c r="G449" s="173"/>
      <c r="H449" s="173"/>
      <c r="I449" s="576"/>
      <c r="J449" s="580"/>
      <c r="K449" s="569" t="str">
        <f t="shared" si="1"/>
        <v/>
      </c>
      <c r="L449" s="572"/>
      <c r="M449" s="173"/>
      <c r="N449" s="173"/>
      <c r="O449" s="173"/>
      <c r="P449" s="573"/>
      <c r="Q449" s="573"/>
      <c r="R449" s="173"/>
      <c r="S449" s="173"/>
      <c r="T449" s="173"/>
      <c r="U449" s="173"/>
      <c r="V449" s="173"/>
      <c r="W449" s="574"/>
      <c r="X449" s="575"/>
      <c r="Y449" s="28"/>
      <c r="Z449" s="543" t="str">
        <f t="array" ref="Z449">IF(LEN(AC449),lower(concatenate("bosvendor-",'2-Building'!B$4,"-",INDEX(D:D, MATCH(AC449, J:J, 0)),INDEX(E:E, MATCH(AC449, J:J, 0)))),"")</f>
        <v/>
      </c>
      <c r="AA449" s="28"/>
      <c r="AB449" s="28"/>
      <c r="AC449" s="28"/>
      <c r="AD449" s="28"/>
    </row>
    <row r="450" ht="30.0" customHeight="1">
      <c r="A450" s="488"/>
      <c r="B450" s="582"/>
      <c r="C450" s="256"/>
      <c r="D450" s="582"/>
      <c r="E450" s="488"/>
      <c r="F450" s="258"/>
      <c r="G450" s="173"/>
      <c r="H450" s="173"/>
      <c r="I450" s="576"/>
      <c r="J450" s="580"/>
      <c r="K450" s="569" t="str">
        <f t="shared" si="1"/>
        <v/>
      </c>
      <c r="L450" s="572"/>
      <c r="M450" s="173"/>
      <c r="N450" s="173"/>
      <c r="O450" s="173"/>
      <c r="P450" s="573"/>
      <c r="Q450" s="573"/>
      <c r="R450" s="173"/>
      <c r="S450" s="173"/>
      <c r="T450" s="173"/>
      <c r="U450" s="173"/>
      <c r="V450" s="173"/>
      <c r="W450" s="574"/>
      <c r="X450" s="575"/>
      <c r="Y450" s="28"/>
      <c r="Z450" s="543" t="str">
        <f t="array" ref="Z450">IF(LEN(AC450),lower(concatenate("bosvendor-",'2-Building'!B$4,"-",INDEX(D:D, MATCH(AC450, J:J, 0)),INDEX(E:E, MATCH(AC450, J:J, 0)))),"")</f>
        <v/>
      </c>
      <c r="AA450" s="28"/>
      <c r="AB450" s="28"/>
      <c r="AC450" s="28"/>
      <c r="AD450" s="28"/>
    </row>
    <row r="451" ht="30.0" customHeight="1">
      <c r="A451" s="488"/>
      <c r="B451" s="582"/>
      <c r="C451" s="256"/>
      <c r="D451" s="582"/>
      <c r="E451" s="488"/>
      <c r="F451" s="258"/>
      <c r="G451" s="173"/>
      <c r="H451" s="173"/>
      <c r="I451" s="576"/>
      <c r="J451" s="580"/>
      <c r="K451" s="569" t="str">
        <f t="shared" si="1"/>
        <v/>
      </c>
      <c r="L451" s="572"/>
      <c r="M451" s="173"/>
      <c r="N451" s="173"/>
      <c r="O451" s="173"/>
      <c r="P451" s="573"/>
      <c r="Q451" s="573"/>
      <c r="R451" s="173"/>
      <c r="S451" s="173"/>
      <c r="T451" s="173"/>
      <c r="U451" s="173"/>
      <c r="V451" s="173"/>
      <c r="W451" s="574"/>
      <c r="X451" s="575"/>
      <c r="Y451" s="28"/>
      <c r="Z451" s="543" t="str">
        <f t="array" ref="Z451">IF(LEN(AC451),lower(concatenate("bosvendor-",'2-Building'!B$4,"-",INDEX(D:D, MATCH(AC451, J:J, 0)),INDEX(E:E, MATCH(AC451, J:J, 0)))),"")</f>
        <v/>
      </c>
      <c r="AA451" s="28"/>
      <c r="AB451" s="28"/>
      <c r="AC451" s="28"/>
      <c r="AD451" s="28"/>
    </row>
    <row r="452" ht="30.0" customHeight="1">
      <c r="A452" s="488"/>
      <c r="B452" s="582"/>
      <c r="C452" s="256"/>
      <c r="D452" s="582"/>
      <c r="E452" s="488"/>
      <c r="F452" s="258"/>
      <c r="G452" s="173"/>
      <c r="H452" s="173"/>
      <c r="I452" s="576"/>
      <c r="J452" s="580"/>
      <c r="K452" s="569" t="str">
        <f t="shared" si="1"/>
        <v/>
      </c>
      <c r="L452" s="572"/>
      <c r="M452" s="173"/>
      <c r="N452" s="173"/>
      <c r="O452" s="173"/>
      <c r="P452" s="573"/>
      <c r="Q452" s="573"/>
      <c r="R452" s="173"/>
      <c r="S452" s="173"/>
      <c r="T452" s="173"/>
      <c r="U452" s="173"/>
      <c r="V452" s="173"/>
      <c r="W452" s="574"/>
      <c r="X452" s="575"/>
      <c r="Y452" s="28"/>
      <c r="Z452" s="543" t="str">
        <f t="array" ref="Z452">IF(LEN(AC452),lower(concatenate("bosvendor-",'2-Building'!B$4,"-",INDEX(D:D, MATCH(AC452, J:J, 0)),INDEX(E:E, MATCH(AC452, J:J, 0)))),"")</f>
        <v/>
      </c>
      <c r="AA452" s="28"/>
      <c r="AB452" s="28"/>
      <c r="AC452" s="28"/>
      <c r="AD452" s="28"/>
    </row>
    <row r="453" ht="30.0" customHeight="1">
      <c r="A453" s="488"/>
      <c r="B453" s="582"/>
      <c r="C453" s="256"/>
      <c r="D453" s="582"/>
      <c r="E453" s="488"/>
      <c r="F453" s="258"/>
      <c r="G453" s="173"/>
      <c r="H453" s="173"/>
      <c r="I453" s="576"/>
      <c r="J453" s="580"/>
      <c r="K453" s="569" t="str">
        <f t="shared" si="1"/>
        <v/>
      </c>
      <c r="L453" s="572"/>
      <c r="M453" s="173"/>
      <c r="N453" s="173"/>
      <c r="O453" s="173"/>
      <c r="P453" s="573"/>
      <c r="Q453" s="573"/>
      <c r="R453" s="173"/>
      <c r="S453" s="173"/>
      <c r="T453" s="173"/>
      <c r="U453" s="173"/>
      <c r="V453" s="173"/>
      <c r="W453" s="574"/>
      <c r="X453" s="575"/>
      <c r="Y453" s="28"/>
      <c r="Z453" s="543" t="str">
        <f t="array" ref="Z453">IF(LEN(AC453),lower(concatenate("bosvendor-",'2-Building'!B$4,"-",INDEX(D:D, MATCH(AC453, J:J, 0)),INDEX(E:E, MATCH(AC453, J:J, 0)))),"")</f>
        <v/>
      </c>
      <c r="AA453" s="28"/>
      <c r="AB453" s="28"/>
      <c r="AC453" s="28"/>
      <c r="AD453" s="28"/>
    </row>
    <row r="454" ht="30.0" customHeight="1">
      <c r="A454" s="488"/>
      <c r="B454" s="582"/>
      <c r="C454" s="256"/>
      <c r="D454" s="582"/>
      <c r="E454" s="488"/>
      <c r="F454" s="258"/>
      <c r="G454" s="173"/>
      <c r="H454" s="173"/>
      <c r="I454" s="576"/>
      <c r="J454" s="580"/>
      <c r="K454" s="569" t="str">
        <f t="shared" si="1"/>
        <v/>
      </c>
      <c r="L454" s="572"/>
      <c r="M454" s="173"/>
      <c r="N454" s="173"/>
      <c r="O454" s="173"/>
      <c r="P454" s="573"/>
      <c r="Q454" s="573"/>
      <c r="R454" s="173"/>
      <c r="S454" s="173"/>
      <c r="T454" s="173"/>
      <c r="U454" s="173"/>
      <c r="V454" s="173"/>
      <c r="W454" s="574"/>
      <c r="X454" s="575"/>
      <c r="Y454" s="28"/>
      <c r="Z454" s="543" t="str">
        <f t="array" ref="Z454">IF(LEN(AC454),lower(concatenate("bosvendor-",'2-Building'!B$4,"-",INDEX(D:D, MATCH(AC454, J:J, 0)),INDEX(E:E, MATCH(AC454, J:J, 0)))),"")</f>
        <v/>
      </c>
      <c r="AA454" s="28"/>
      <c r="AB454" s="28"/>
      <c r="AC454" s="28"/>
      <c r="AD454" s="28"/>
    </row>
    <row r="455" ht="30.0" customHeight="1">
      <c r="A455" s="488"/>
      <c r="B455" s="582"/>
      <c r="C455" s="256"/>
      <c r="D455" s="582"/>
      <c r="E455" s="488"/>
      <c r="F455" s="258"/>
      <c r="G455" s="173"/>
      <c r="H455" s="173"/>
      <c r="I455" s="576"/>
      <c r="J455" s="580"/>
      <c r="K455" s="569" t="str">
        <f t="shared" si="1"/>
        <v/>
      </c>
      <c r="L455" s="572"/>
      <c r="M455" s="173"/>
      <c r="N455" s="173"/>
      <c r="O455" s="173"/>
      <c r="P455" s="573"/>
      <c r="Q455" s="573"/>
      <c r="R455" s="173"/>
      <c r="S455" s="173"/>
      <c r="T455" s="173"/>
      <c r="U455" s="173"/>
      <c r="V455" s="173"/>
      <c r="W455" s="574"/>
      <c r="X455" s="575"/>
      <c r="Y455" s="28"/>
      <c r="Z455" s="543" t="str">
        <f t="array" ref="Z455">IF(LEN(AC455),lower(concatenate("bosvendor-",'2-Building'!B$4,"-",INDEX(D:D, MATCH(AC455, J:J, 0)),INDEX(E:E, MATCH(AC455, J:J, 0)))),"")</f>
        <v/>
      </c>
      <c r="AA455" s="28"/>
      <c r="AB455" s="28"/>
      <c r="AC455" s="28"/>
      <c r="AD455" s="28"/>
    </row>
    <row r="456" ht="30.0" customHeight="1">
      <c r="A456" s="488"/>
      <c r="B456" s="582"/>
      <c r="C456" s="256"/>
      <c r="D456" s="582"/>
      <c r="E456" s="488"/>
      <c r="F456" s="258"/>
      <c r="G456" s="173"/>
      <c r="H456" s="173"/>
      <c r="I456" s="576"/>
      <c r="J456" s="580"/>
      <c r="K456" s="569" t="str">
        <f t="shared" si="1"/>
        <v/>
      </c>
      <c r="L456" s="572"/>
      <c r="M456" s="173"/>
      <c r="N456" s="173"/>
      <c r="O456" s="173"/>
      <c r="P456" s="573"/>
      <c r="Q456" s="573"/>
      <c r="R456" s="173"/>
      <c r="S456" s="173"/>
      <c r="T456" s="173"/>
      <c r="U456" s="173"/>
      <c r="V456" s="173"/>
      <c r="W456" s="574"/>
      <c r="X456" s="575"/>
      <c r="Y456" s="28"/>
      <c r="Z456" s="543" t="str">
        <f t="array" ref="Z456">IF(LEN(AC456),lower(concatenate("bosvendor-",'2-Building'!B$4,"-",INDEX(D:D, MATCH(AC456, J:J, 0)),INDEX(E:E, MATCH(AC456, J:J, 0)))),"")</f>
        <v/>
      </c>
      <c r="AA456" s="28"/>
      <c r="AB456" s="28"/>
      <c r="AC456" s="28"/>
      <c r="AD456" s="28"/>
    </row>
    <row r="457" ht="30.0" customHeight="1">
      <c r="A457" s="488"/>
      <c r="B457" s="582"/>
      <c r="C457" s="256"/>
      <c r="D457" s="582"/>
      <c r="E457" s="488"/>
      <c r="F457" s="258"/>
      <c r="G457" s="173"/>
      <c r="H457" s="173"/>
      <c r="I457" s="576"/>
      <c r="J457" s="580"/>
      <c r="K457" s="569" t="str">
        <f t="shared" si="1"/>
        <v/>
      </c>
      <c r="L457" s="572"/>
      <c r="M457" s="173"/>
      <c r="N457" s="173"/>
      <c r="O457" s="173"/>
      <c r="P457" s="573"/>
      <c r="Q457" s="573"/>
      <c r="R457" s="173"/>
      <c r="S457" s="173"/>
      <c r="T457" s="173"/>
      <c r="U457" s="173"/>
      <c r="V457" s="173"/>
      <c r="W457" s="574"/>
      <c r="X457" s="575"/>
      <c r="Y457" s="28"/>
      <c r="Z457" s="543" t="str">
        <f t="array" ref="Z457">IF(LEN(AC457),lower(concatenate("bosvendor-",'2-Building'!B$4,"-",INDEX(D:D, MATCH(AC457, J:J, 0)),INDEX(E:E, MATCH(AC457, J:J, 0)))),"")</f>
        <v/>
      </c>
      <c r="AA457" s="28"/>
      <c r="AB457" s="28"/>
      <c r="AC457" s="28"/>
      <c r="AD457" s="28"/>
    </row>
    <row r="458" ht="30.0" customHeight="1">
      <c r="A458" s="488"/>
      <c r="B458" s="582"/>
      <c r="C458" s="256"/>
      <c r="D458" s="582"/>
      <c r="E458" s="488"/>
      <c r="F458" s="258"/>
      <c r="G458" s="173"/>
      <c r="H458" s="173"/>
      <c r="I458" s="576"/>
      <c r="J458" s="580"/>
      <c r="K458" s="569" t="str">
        <f t="shared" si="1"/>
        <v/>
      </c>
      <c r="L458" s="572"/>
      <c r="M458" s="173"/>
      <c r="N458" s="173"/>
      <c r="O458" s="173"/>
      <c r="P458" s="573"/>
      <c r="Q458" s="573"/>
      <c r="R458" s="173"/>
      <c r="S458" s="173"/>
      <c r="T458" s="173"/>
      <c r="U458" s="173"/>
      <c r="V458" s="173"/>
      <c r="W458" s="574"/>
      <c r="X458" s="575"/>
      <c r="Y458" s="28"/>
      <c r="Z458" s="543" t="str">
        <f t="array" ref="Z458">IF(LEN(AC458),lower(concatenate("bosvendor-",'2-Building'!B$4,"-",INDEX(D:D, MATCH(AC458, J:J, 0)),INDEX(E:E, MATCH(AC458, J:J, 0)))),"")</f>
        <v/>
      </c>
      <c r="AA458" s="28"/>
      <c r="AB458" s="28"/>
      <c r="AC458" s="28"/>
      <c r="AD458" s="28"/>
    </row>
    <row r="459" ht="30.0" customHeight="1">
      <c r="A459" s="488"/>
      <c r="B459" s="582"/>
      <c r="C459" s="256"/>
      <c r="D459" s="582"/>
      <c r="E459" s="488"/>
      <c r="F459" s="258"/>
      <c r="G459" s="173"/>
      <c r="H459" s="173"/>
      <c r="I459" s="576"/>
      <c r="J459" s="580"/>
      <c r="K459" s="569" t="str">
        <f t="shared" si="1"/>
        <v/>
      </c>
      <c r="L459" s="572"/>
      <c r="M459" s="173"/>
      <c r="N459" s="173"/>
      <c r="O459" s="173"/>
      <c r="P459" s="573"/>
      <c r="Q459" s="573"/>
      <c r="R459" s="173"/>
      <c r="S459" s="173"/>
      <c r="T459" s="173"/>
      <c r="U459" s="173"/>
      <c r="V459" s="173"/>
      <c r="W459" s="574"/>
      <c r="X459" s="575"/>
      <c r="Y459" s="28"/>
      <c r="Z459" s="543" t="str">
        <f t="array" ref="Z459">IF(LEN(AC459),lower(concatenate("bosvendor-",'2-Building'!B$4,"-",INDEX(D:D, MATCH(AC459, J:J, 0)),INDEX(E:E, MATCH(AC459, J:J, 0)))),"")</f>
        <v/>
      </c>
      <c r="AA459" s="28"/>
      <c r="AB459" s="28"/>
      <c r="AC459" s="28"/>
      <c r="AD459" s="28"/>
    </row>
    <row r="460" ht="30.0" customHeight="1">
      <c r="A460" s="488"/>
      <c r="B460" s="582"/>
      <c r="C460" s="256"/>
      <c r="D460" s="582"/>
      <c r="E460" s="488"/>
      <c r="F460" s="258"/>
      <c r="G460" s="173"/>
      <c r="H460" s="173"/>
      <c r="I460" s="576"/>
      <c r="J460" s="580"/>
      <c r="K460" s="569" t="str">
        <f t="shared" si="1"/>
        <v/>
      </c>
      <c r="L460" s="572"/>
      <c r="M460" s="173"/>
      <c r="N460" s="173"/>
      <c r="O460" s="173"/>
      <c r="P460" s="573"/>
      <c r="Q460" s="573"/>
      <c r="R460" s="173"/>
      <c r="S460" s="173"/>
      <c r="T460" s="173"/>
      <c r="U460" s="173"/>
      <c r="V460" s="173"/>
      <c r="W460" s="574"/>
      <c r="X460" s="575"/>
      <c r="Y460" s="28"/>
      <c r="Z460" s="543" t="str">
        <f t="array" ref="Z460">IF(LEN(AC460),lower(concatenate("bosvendor-",'2-Building'!B$4,"-",INDEX(D:D, MATCH(AC460, J:J, 0)),INDEX(E:E, MATCH(AC460, J:J, 0)))),"")</f>
        <v/>
      </c>
      <c r="AA460" s="28"/>
      <c r="AB460" s="28"/>
      <c r="AC460" s="28"/>
      <c r="AD460" s="28"/>
    </row>
    <row r="461" ht="30.0" customHeight="1">
      <c r="A461" s="488"/>
      <c r="B461" s="582"/>
      <c r="C461" s="256"/>
      <c r="D461" s="582"/>
      <c r="E461" s="488"/>
      <c r="F461" s="258"/>
      <c r="G461" s="173"/>
      <c r="H461" s="173"/>
      <c r="I461" s="576"/>
      <c r="J461" s="580"/>
      <c r="K461" s="569" t="str">
        <f t="shared" si="1"/>
        <v/>
      </c>
      <c r="L461" s="572"/>
      <c r="M461" s="173"/>
      <c r="N461" s="173"/>
      <c r="O461" s="173"/>
      <c r="P461" s="573"/>
      <c r="Q461" s="573"/>
      <c r="R461" s="173"/>
      <c r="S461" s="173"/>
      <c r="T461" s="173"/>
      <c r="U461" s="173"/>
      <c r="V461" s="173"/>
      <c r="W461" s="574"/>
      <c r="X461" s="575"/>
      <c r="Y461" s="28"/>
      <c r="Z461" s="543" t="str">
        <f t="array" ref="Z461">IF(LEN(AC461),lower(concatenate("bosvendor-",'2-Building'!B$4,"-",INDEX(D:D, MATCH(AC461, J:J, 0)),INDEX(E:E, MATCH(AC461, J:J, 0)))),"")</f>
        <v/>
      </c>
      <c r="AA461" s="28"/>
      <c r="AB461" s="28"/>
      <c r="AC461" s="28"/>
      <c r="AD461" s="28"/>
    </row>
    <row r="462" ht="30.0" customHeight="1">
      <c r="A462" s="488"/>
      <c r="B462" s="582"/>
      <c r="C462" s="256"/>
      <c r="D462" s="582"/>
      <c r="E462" s="488"/>
      <c r="F462" s="258"/>
      <c r="G462" s="173"/>
      <c r="H462" s="173"/>
      <c r="I462" s="576"/>
      <c r="J462" s="580"/>
      <c r="K462" s="569" t="str">
        <f t="shared" si="1"/>
        <v/>
      </c>
      <c r="L462" s="572"/>
      <c r="M462" s="173"/>
      <c r="N462" s="173"/>
      <c r="O462" s="173"/>
      <c r="P462" s="573"/>
      <c r="Q462" s="573"/>
      <c r="R462" s="173"/>
      <c r="S462" s="173"/>
      <c r="T462" s="173"/>
      <c r="U462" s="173"/>
      <c r="V462" s="173"/>
      <c r="W462" s="574"/>
      <c r="X462" s="575"/>
      <c r="Y462" s="28"/>
      <c r="Z462" s="543" t="str">
        <f t="array" ref="Z462">IF(LEN(AC462),lower(concatenate("bosvendor-",'2-Building'!B$4,"-",INDEX(D:D, MATCH(AC462, J:J, 0)),INDEX(E:E, MATCH(AC462, J:J, 0)))),"")</f>
        <v/>
      </c>
      <c r="AA462" s="28"/>
      <c r="AB462" s="28"/>
      <c r="AC462" s="28"/>
      <c r="AD462" s="28"/>
    </row>
    <row r="463" ht="30.0" customHeight="1">
      <c r="A463" s="488"/>
      <c r="B463" s="582"/>
      <c r="C463" s="256"/>
      <c r="D463" s="582"/>
      <c r="E463" s="488"/>
      <c r="F463" s="258"/>
      <c r="G463" s="173"/>
      <c r="H463" s="173"/>
      <c r="I463" s="576"/>
      <c r="J463" s="580"/>
      <c r="K463" s="569" t="str">
        <f t="shared" si="1"/>
        <v/>
      </c>
      <c r="L463" s="572"/>
      <c r="M463" s="173"/>
      <c r="N463" s="173"/>
      <c r="O463" s="173"/>
      <c r="P463" s="573"/>
      <c r="Q463" s="573"/>
      <c r="R463" s="173"/>
      <c r="S463" s="173"/>
      <c r="T463" s="173"/>
      <c r="U463" s="173"/>
      <c r="V463" s="173"/>
      <c r="W463" s="574"/>
      <c r="X463" s="575"/>
      <c r="Y463" s="28"/>
      <c r="Z463" s="543" t="str">
        <f t="array" ref="Z463">IF(LEN(AC463),lower(concatenate("bosvendor-",'2-Building'!B$4,"-",INDEX(D:D, MATCH(AC463, J:J, 0)),INDEX(E:E, MATCH(AC463, J:J, 0)))),"")</f>
        <v/>
      </c>
      <c r="AA463" s="28"/>
      <c r="AB463" s="28"/>
      <c r="AC463" s="28"/>
      <c r="AD463" s="28"/>
    </row>
    <row r="464" ht="30.0" customHeight="1">
      <c r="A464" s="488"/>
      <c r="B464" s="582"/>
      <c r="C464" s="256"/>
      <c r="D464" s="582"/>
      <c r="E464" s="488"/>
      <c r="F464" s="258"/>
      <c r="G464" s="173"/>
      <c r="H464" s="173"/>
      <c r="I464" s="576"/>
      <c r="J464" s="580"/>
      <c r="K464" s="569" t="str">
        <f t="shared" si="1"/>
        <v/>
      </c>
      <c r="L464" s="572"/>
      <c r="M464" s="173"/>
      <c r="N464" s="173"/>
      <c r="O464" s="173"/>
      <c r="P464" s="573"/>
      <c r="Q464" s="573"/>
      <c r="R464" s="173"/>
      <c r="S464" s="173"/>
      <c r="T464" s="173"/>
      <c r="U464" s="173"/>
      <c r="V464" s="173"/>
      <c r="W464" s="574"/>
      <c r="X464" s="575"/>
      <c r="Y464" s="28"/>
      <c r="Z464" s="543" t="str">
        <f t="array" ref="Z464">IF(LEN(AC464),lower(concatenate("bosvendor-",'2-Building'!B$4,"-",INDEX(D:D, MATCH(AC464, J:J, 0)),INDEX(E:E, MATCH(AC464, J:J, 0)))),"")</f>
        <v/>
      </c>
      <c r="AA464" s="28"/>
      <c r="AB464" s="28"/>
      <c r="AC464" s="28"/>
      <c r="AD464" s="28"/>
    </row>
    <row r="465" ht="30.0" customHeight="1">
      <c r="A465" s="488"/>
      <c r="B465" s="582"/>
      <c r="C465" s="256"/>
      <c r="D465" s="582"/>
      <c r="E465" s="488"/>
      <c r="F465" s="258"/>
      <c r="G465" s="173"/>
      <c r="H465" s="173"/>
      <c r="I465" s="576"/>
      <c r="J465" s="580"/>
      <c r="K465" s="569" t="str">
        <f t="shared" si="1"/>
        <v/>
      </c>
      <c r="L465" s="572"/>
      <c r="M465" s="173"/>
      <c r="N465" s="173"/>
      <c r="O465" s="173"/>
      <c r="P465" s="573"/>
      <c r="Q465" s="573"/>
      <c r="R465" s="173"/>
      <c r="S465" s="173"/>
      <c r="T465" s="173"/>
      <c r="U465" s="173"/>
      <c r="V465" s="173"/>
      <c r="W465" s="574"/>
      <c r="X465" s="575"/>
      <c r="Y465" s="28"/>
      <c r="Z465" s="543" t="str">
        <f t="array" ref="Z465">IF(LEN(AC465),lower(concatenate("bosvendor-",'2-Building'!B$4,"-",INDEX(D:D, MATCH(AC465, J:J, 0)),INDEX(E:E, MATCH(AC465, J:J, 0)))),"")</f>
        <v/>
      </c>
      <c r="AA465" s="28"/>
      <c r="AB465" s="28"/>
      <c r="AC465" s="28"/>
      <c r="AD465" s="28"/>
    </row>
    <row r="466" ht="30.0" customHeight="1">
      <c r="A466" s="488"/>
      <c r="B466" s="582"/>
      <c r="C466" s="256"/>
      <c r="D466" s="582"/>
      <c r="E466" s="488"/>
      <c r="F466" s="258"/>
      <c r="G466" s="173"/>
      <c r="H466" s="173"/>
      <c r="I466" s="576"/>
      <c r="J466" s="580"/>
      <c r="K466" s="569" t="str">
        <f t="shared" si="1"/>
        <v/>
      </c>
      <c r="L466" s="572"/>
      <c r="M466" s="173"/>
      <c r="N466" s="173"/>
      <c r="O466" s="173"/>
      <c r="P466" s="573"/>
      <c r="Q466" s="573"/>
      <c r="R466" s="173"/>
      <c r="S466" s="173"/>
      <c r="T466" s="173"/>
      <c r="U466" s="173"/>
      <c r="V466" s="173"/>
      <c r="W466" s="574"/>
      <c r="X466" s="575"/>
      <c r="Y466" s="28"/>
      <c r="Z466" s="543" t="str">
        <f t="array" ref="Z466">IF(LEN(AC466),lower(concatenate("bosvendor-",'2-Building'!B$4,"-",INDEX(D:D, MATCH(AC466, J:J, 0)),INDEX(E:E, MATCH(AC466, J:J, 0)))),"")</f>
        <v/>
      </c>
      <c r="AA466" s="28"/>
      <c r="AB466" s="28"/>
      <c r="AC466" s="28"/>
      <c r="AD466" s="28"/>
    </row>
    <row r="467" ht="30.0" customHeight="1">
      <c r="A467" s="488"/>
      <c r="B467" s="582"/>
      <c r="C467" s="256"/>
      <c r="D467" s="582"/>
      <c r="E467" s="488"/>
      <c r="F467" s="258"/>
      <c r="G467" s="173"/>
      <c r="H467" s="173"/>
      <c r="I467" s="576"/>
      <c r="J467" s="580"/>
      <c r="K467" s="569" t="str">
        <f t="shared" si="1"/>
        <v/>
      </c>
      <c r="L467" s="572"/>
      <c r="M467" s="173"/>
      <c r="N467" s="173"/>
      <c r="O467" s="173"/>
      <c r="P467" s="573"/>
      <c r="Q467" s="573"/>
      <c r="R467" s="173"/>
      <c r="S467" s="173"/>
      <c r="T467" s="173"/>
      <c r="U467" s="173"/>
      <c r="V467" s="173"/>
      <c r="W467" s="574"/>
      <c r="X467" s="575"/>
      <c r="Y467" s="28"/>
      <c r="Z467" s="543" t="str">
        <f t="array" ref="Z467">IF(LEN(AC467),lower(concatenate("bosvendor-",'2-Building'!B$4,"-",INDEX(D:D, MATCH(AC467, J:J, 0)),INDEX(E:E, MATCH(AC467, J:J, 0)))),"")</f>
        <v/>
      </c>
      <c r="AA467" s="28"/>
      <c r="AB467" s="28"/>
      <c r="AC467" s="28"/>
      <c r="AD467" s="28"/>
    </row>
    <row r="468" ht="30.0" customHeight="1">
      <c r="A468" s="488"/>
      <c r="B468" s="582"/>
      <c r="C468" s="256"/>
      <c r="D468" s="582"/>
      <c r="E468" s="488"/>
      <c r="F468" s="258"/>
      <c r="G468" s="173"/>
      <c r="H468" s="173"/>
      <c r="I468" s="576"/>
      <c r="J468" s="580"/>
      <c r="K468" s="569" t="str">
        <f t="shared" si="1"/>
        <v/>
      </c>
      <c r="L468" s="572"/>
      <c r="M468" s="173"/>
      <c r="N468" s="173"/>
      <c r="O468" s="173"/>
      <c r="P468" s="573"/>
      <c r="Q468" s="573"/>
      <c r="R468" s="173"/>
      <c r="S468" s="173"/>
      <c r="T468" s="173"/>
      <c r="U468" s="173"/>
      <c r="V468" s="173"/>
      <c r="W468" s="574"/>
      <c r="X468" s="575"/>
      <c r="Y468" s="28"/>
      <c r="Z468" s="543" t="str">
        <f t="array" ref="Z468">IF(LEN(AC468),lower(concatenate("bosvendor-",'2-Building'!B$4,"-",INDEX(D:D, MATCH(AC468, J:J, 0)),INDEX(E:E, MATCH(AC468, J:J, 0)))),"")</f>
        <v/>
      </c>
      <c r="AA468" s="28"/>
      <c r="AB468" s="28"/>
      <c r="AC468" s="28"/>
      <c r="AD468" s="28"/>
    </row>
    <row r="469" ht="30.0" customHeight="1">
      <c r="A469" s="488"/>
      <c r="B469" s="582"/>
      <c r="C469" s="256"/>
      <c r="D469" s="582"/>
      <c r="E469" s="488"/>
      <c r="F469" s="258"/>
      <c r="G469" s="173"/>
      <c r="H469" s="173"/>
      <c r="I469" s="576"/>
      <c r="J469" s="580"/>
      <c r="K469" s="569" t="str">
        <f t="shared" si="1"/>
        <v/>
      </c>
      <c r="L469" s="572"/>
      <c r="M469" s="173"/>
      <c r="N469" s="173"/>
      <c r="O469" s="173"/>
      <c r="P469" s="573"/>
      <c r="Q469" s="573"/>
      <c r="R469" s="173"/>
      <c r="S469" s="173"/>
      <c r="T469" s="173"/>
      <c r="U469" s="173"/>
      <c r="V469" s="173"/>
      <c r="W469" s="574"/>
      <c r="X469" s="575"/>
      <c r="Y469" s="28"/>
      <c r="Z469" s="543" t="str">
        <f t="array" ref="Z469">IF(LEN(AC469),lower(concatenate("bosvendor-",'2-Building'!B$4,"-",INDEX(D:D, MATCH(AC469, J:J, 0)),INDEX(E:E, MATCH(AC469, J:J, 0)))),"")</f>
        <v/>
      </c>
      <c r="AA469" s="28"/>
      <c r="AB469" s="28"/>
      <c r="AC469" s="28"/>
      <c r="AD469" s="28"/>
    </row>
    <row r="470" ht="30.0" customHeight="1">
      <c r="A470" s="488"/>
      <c r="B470" s="582"/>
      <c r="C470" s="256"/>
      <c r="D470" s="582"/>
      <c r="E470" s="488"/>
      <c r="F470" s="258"/>
      <c r="G470" s="173"/>
      <c r="H470" s="173"/>
      <c r="I470" s="576"/>
      <c r="J470" s="580"/>
      <c r="K470" s="569" t="str">
        <f t="shared" si="1"/>
        <v/>
      </c>
      <c r="L470" s="572"/>
      <c r="M470" s="173"/>
      <c r="N470" s="173"/>
      <c r="O470" s="173"/>
      <c r="P470" s="573"/>
      <c r="Q470" s="573"/>
      <c r="R470" s="173"/>
      <c r="S470" s="173"/>
      <c r="T470" s="173"/>
      <c r="U470" s="173"/>
      <c r="V470" s="173"/>
      <c r="W470" s="574"/>
      <c r="X470" s="575"/>
      <c r="Y470" s="28"/>
      <c r="Z470" s="543" t="str">
        <f t="array" ref="Z470">IF(LEN(AC470),lower(concatenate("bosvendor-",'2-Building'!B$4,"-",INDEX(D:D, MATCH(AC470, J:J, 0)),INDEX(E:E, MATCH(AC470, J:J, 0)))),"")</f>
        <v/>
      </c>
      <c r="AA470" s="28"/>
      <c r="AB470" s="28"/>
      <c r="AC470" s="28"/>
      <c r="AD470" s="28"/>
    </row>
    <row r="471" ht="30.0" customHeight="1">
      <c r="A471" s="488"/>
      <c r="B471" s="582"/>
      <c r="C471" s="256"/>
      <c r="D471" s="582"/>
      <c r="E471" s="488"/>
      <c r="F471" s="258"/>
      <c r="G471" s="173"/>
      <c r="H471" s="173"/>
      <c r="I471" s="576"/>
      <c r="J471" s="580"/>
      <c r="K471" s="569" t="str">
        <f t="shared" si="1"/>
        <v/>
      </c>
      <c r="L471" s="572"/>
      <c r="M471" s="173"/>
      <c r="N471" s="173"/>
      <c r="O471" s="173"/>
      <c r="P471" s="573"/>
      <c r="Q471" s="573"/>
      <c r="R471" s="173"/>
      <c r="S471" s="173"/>
      <c r="T471" s="173"/>
      <c r="U471" s="173"/>
      <c r="V471" s="173"/>
      <c r="W471" s="574"/>
      <c r="X471" s="575"/>
      <c r="Y471" s="28"/>
      <c r="Z471" s="543" t="str">
        <f t="array" ref="Z471">IF(LEN(AC471),lower(concatenate("bosvendor-",'2-Building'!B$4,"-",INDEX(D:D, MATCH(AC471, J:J, 0)),INDEX(E:E, MATCH(AC471, J:J, 0)))),"")</f>
        <v/>
      </c>
      <c r="AA471" s="28"/>
      <c r="AB471" s="28"/>
      <c r="AC471" s="28"/>
      <c r="AD471" s="28"/>
    </row>
    <row r="472" ht="30.0" customHeight="1">
      <c r="A472" s="488"/>
      <c r="B472" s="582"/>
      <c r="C472" s="256"/>
      <c r="D472" s="582"/>
      <c r="E472" s="488"/>
      <c r="F472" s="258"/>
      <c r="G472" s="173"/>
      <c r="H472" s="173"/>
      <c r="I472" s="576"/>
      <c r="J472" s="580"/>
      <c r="K472" s="569" t="str">
        <f t="shared" si="1"/>
        <v/>
      </c>
      <c r="L472" s="572"/>
      <c r="M472" s="173"/>
      <c r="N472" s="173"/>
      <c r="O472" s="173"/>
      <c r="P472" s="573"/>
      <c r="Q472" s="573"/>
      <c r="R472" s="173"/>
      <c r="S472" s="173"/>
      <c r="T472" s="173"/>
      <c r="U472" s="173"/>
      <c r="V472" s="173"/>
      <c r="W472" s="574"/>
      <c r="X472" s="575"/>
      <c r="Y472" s="28"/>
      <c r="Z472" s="543" t="str">
        <f t="array" ref="Z472">IF(LEN(AC472),lower(concatenate("bosvendor-",'2-Building'!B$4,"-",INDEX(D:D, MATCH(AC472, J:J, 0)),INDEX(E:E, MATCH(AC472, J:J, 0)))),"")</f>
        <v/>
      </c>
      <c r="AA472" s="28"/>
      <c r="AB472" s="28"/>
      <c r="AC472" s="28"/>
      <c r="AD472" s="28"/>
    </row>
    <row r="473" ht="30.0" customHeight="1">
      <c r="A473" s="488"/>
      <c r="B473" s="582"/>
      <c r="C473" s="256"/>
      <c r="D473" s="582"/>
      <c r="E473" s="488"/>
      <c r="F473" s="258"/>
      <c r="G473" s="173"/>
      <c r="H473" s="173"/>
      <c r="I473" s="576"/>
      <c r="J473" s="580"/>
      <c r="K473" s="569" t="str">
        <f t="shared" si="1"/>
        <v/>
      </c>
      <c r="L473" s="572"/>
      <c r="M473" s="173"/>
      <c r="N473" s="173"/>
      <c r="O473" s="173"/>
      <c r="P473" s="573"/>
      <c r="Q473" s="573"/>
      <c r="R473" s="173"/>
      <c r="S473" s="173"/>
      <c r="T473" s="173"/>
      <c r="U473" s="173"/>
      <c r="V473" s="173"/>
      <c r="W473" s="574"/>
      <c r="X473" s="575"/>
      <c r="Y473" s="28"/>
      <c r="Z473" s="543" t="str">
        <f t="array" ref="Z473">IF(LEN(AC473),lower(concatenate("bosvendor-",'2-Building'!B$4,"-",INDEX(D:D, MATCH(AC473, J:J, 0)),INDEX(E:E, MATCH(AC473, J:J, 0)))),"")</f>
        <v/>
      </c>
      <c r="AA473" s="28"/>
      <c r="AB473" s="28"/>
      <c r="AC473" s="28"/>
      <c r="AD473" s="28"/>
    </row>
    <row r="474" ht="30.0" customHeight="1">
      <c r="A474" s="488"/>
      <c r="B474" s="582"/>
      <c r="C474" s="256"/>
      <c r="D474" s="582"/>
      <c r="E474" s="488"/>
      <c r="F474" s="258"/>
      <c r="G474" s="173"/>
      <c r="H474" s="173"/>
      <c r="I474" s="576"/>
      <c r="J474" s="580"/>
      <c r="K474" s="569" t="str">
        <f t="shared" si="1"/>
        <v/>
      </c>
      <c r="L474" s="572"/>
      <c r="M474" s="173"/>
      <c r="N474" s="173"/>
      <c r="O474" s="173"/>
      <c r="P474" s="573"/>
      <c r="Q474" s="573"/>
      <c r="R474" s="173"/>
      <c r="S474" s="173"/>
      <c r="T474" s="173"/>
      <c r="U474" s="173"/>
      <c r="V474" s="173"/>
      <c r="W474" s="574"/>
      <c r="X474" s="575"/>
      <c r="Y474" s="28"/>
      <c r="Z474" s="543" t="str">
        <f t="array" ref="Z474">IF(LEN(AC474),lower(concatenate("bosvendor-",'2-Building'!B$4,"-",INDEX(D:D, MATCH(AC474, J:J, 0)),INDEX(E:E, MATCH(AC474, J:J, 0)))),"")</f>
        <v/>
      </c>
      <c r="AA474" s="28"/>
      <c r="AB474" s="28"/>
      <c r="AC474" s="28"/>
      <c r="AD474" s="28"/>
    </row>
    <row r="475" ht="30.0" customHeight="1">
      <c r="A475" s="488"/>
      <c r="B475" s="582"/>
      <c r="C475" s="256"/>
      <c r="D475" s="582"/>
      <c r="E475" s="488"/>
      <c r="F475" s="258"/>
      <c r="G475" s="173"/>
      <c r="H475" s="173"/>
      <c r="I475" s="576"/>
      <c r="J475" s="580"/>
      <c r="K475" s="569" t="str">
        <f t="shared" si="1"/>
        <v/>
      </c>
      <c r="L475" s="572"/>
      <c r="M475" s="173"/>
      <c r="N475" s="173"/>
      <c r="O475" s="173"/>
      <c r="P475" s="573"/>
      <c r="Q475" s="573"/>
      <c r="R475" s="173"/>
      <c r="S475" s="173"/>
      <c r="T475" s="173"/>
      <c r="U475" s="173"/>
      <c r="V475" s="173"/>
      <c r="W475" s="574"/>
      <c r="X475" s="575"/>
      <c r="Y475" s="28"/>
      <c r="Z475" s="543" t="str">
        <f t="array" ref="Z475">IF(LEN(AC475),lower(concatenate("bosvendor-",'2-Building'!B$4,"-",INDEX(D:D, MATCH(AC475, J:J, 0)),INDEX(E:E, MATCH(AC475, J:J, 0)))),"")</f>
        <v/>
      </c>
      <c r="AA475" s="28"/>
      <c r="AB475" s="28"/>
      <c r="AC475" s="28"/>
      <c r="AD475" s="28"/>
    </row>
    <row r="476" ht="30.0" customHeight="1">
      <c r="A476" s="488"/>
      <c r="B476" s="582"/>
      <c r="C476" s="256"/>
      <c r="D476" s="582"/>
      <c r="E476" s="488"/>
      <c r="F476" s="258"/>
      <c r="G476" s="173"/>
      <c r="H476" s="173"/>
      <c r="I476" s="576"/>
      <c r="J476" s="580"/>
      <c r="K476" s="569" t="str">
        <f t="shared" si="1"/>
        <v/>
      </c>
      <c r="L476" s="572"/>
      <c r="M476" s="173"/>
      <c r="N476" s="173"/>
      <c r="O476" s="173"/>
      <c r="P476" s="573"/>
      <c r="Q476" s="573"/>
      <c r="R476" s="173"/>
      <c r="S476" s="173"/>
      <c r="T476" s="173"/>
      <c r="U476" s="173"/>
      <c r="V476" s="173"/>
      <c r="W476" s="574"/>
      <c r="X476" s="575"/>
      <c r="Y476" s="28"/>
      <c r="Z476" s="543" t="str">
        <f t="array" ref="Z476">IF(LEN(AC476),lower(concatenate("bosvendor-",'2-Building'!B$4,"-",INDEX(D:D, MATCH(AC476, J:J, 0)),INDEX(E:E, MATCH(AC476, J:J, 0)))),"")</f>
        <v/>
      </c>
      <c r="AA476" s="28"/>
      <c r="AB476" s="28"/>
      <c r="AC476" s="28"/>
      <c r="AD476" s="28"/>
    </row>
    <row r="477" ht="30.0" customHeight="1">
      <c r="A477" s="488"/>
      <c r="B477" s="582"/>
      <c r="C477" s="256"/>
      <c r="D477" s="582"/>
      <c r="E477" s="488"/>
      <c r="F477" s="258"/>
      <c r="G477" s="173"/>
      <c r="H477" s="173"/>
      <c r="I477" s="576"/>
      <c r="J477" s="580"/>
      <c r="K477" s="569" t="str">
        <f t="shared" si="1"/>
        <v/>
      </c>
      <c r="L477" s="572"/>
      <c r="M477" s="173"/>
      <c r="N477" s="173"/>
      <c r="O477" s="173"/>
      <c r="P477" s="573"/>
      <c r="Q477" s="573"/>
      <c r="R477" s="173"/>
      <c r="S477" s="173"/>
      <c r="T477" s="173"/>
      <c r="U477" s="173"/>
      <c r="V477" s="173"/>
      <c r="W477" s="574"/>
      <c r="X477" s="575"/>
      <c r="Y477" s="28"/>
      <c r="Z477" s="543" t="str">
        <f t="array" ref="Z477">IF(LEN(AC477),lower(concatenate("bosvendor-",'2-Building'!B$4,"-",INDEX(D:D, MATCH(AC477, J:J, 0)),INDEX(E:E, MATCH(AC477, J:J, 0)))),"")</f>
        <v/>
      </c>
      <c r="AA477" s="28"/>
      <c r="AB477" s="28"/>
      <c r="AC477" s="28"/>
      <c r="AD477" s="28"/>
    </row>
    <row r="478" ht="30.0" customHeight="1">
      <c r="A478" s="488"/>
      <c r="B478" s="582"/>
      <c r="C478" s="256"/>
      <c r="D478" s="582"/>
      <c r="E478" s="488"/>
      <c r="F478" s="258"/>
      <c r="G478" s="173"/>
      <c r="H478" s="173"/>
      <c r="I478" s="576"/>
      <c r="J478" s="580"/>
      <c r="K478" s="569" t="str">
        <f t="shared" si="1"/>
        <v/>
      </c>
      <c r="L478" s="572"/>
      <c r="M478" s="173"/>
      <c r="N478" s="173"/>
      <c r="O478" s="173"/>
      <c r="P478" s="573"/>
      <c r="Q478" s="573"/>
      <c r="R478" s="173"/>
      <c r="S478" s="173"/>
      <c r="T478" s="173"/>
      <c r="U478" s="173"/>
      <c r="V478" s="173"/>
      <c r="W478" s="574"/>
      <c r="X478" s="575"/>
      <c r="Y478" s="28"/>
      <c r="Z478" s="543" t="str">
        <f t="array" ref="Z478">IF(LEN(AC478),lower(concatenate("bosvendor-",'2-Building'!B$4,"-",INDEX(D:D, MATCH(AC478, J:J, 0)),INDEX(E:E, MATCH(AC478, J:J, 0)))),"")</f>
        <v/>
      </c>
      <c r="AA478" s="28"/>
      <c r="AB478" s="28"/>
      <c r="AC478" s="28"/>
      <c r="AD478" s="28"/>
    </row>
    <row r="479" ht="30.0" customHeight="1">
      <c r="A479" s="488"/>
      <c r="B479" s="582"/>
      <c r="C479" s="256"/>
      <c r="D479" s="582"/>
      <c r="E479" s="488"/>
      <c r="F479" s="258"/>
      <c r="G479" s="173"/>
      <c r="H479" s="173"/>
      <c r="I479" s="576"/>
      <c r="J479" s="580"/>
      <c r="K479" s="569" t="str">
        <f t="shared" si="1"/>
        <v/>
      </c>
      <c r="L479" s="572"/>
      <c r="M479" s="173"/>
      <c r="N479" s="173"/>
      <c r="O479" s="173"/>
      <c r="P479" s="573"/>
      <c r="Q479" s="573"/>
      <c r="R479" s="173"/>
      <c r="S479" s="173"/>
      <c r="T479" s="173"/>
      <c r="U479" s="173"/>
      <c r="V479" s="173"/>
      <c r="W479" s="574"/>
      <c r="X479" s="575"/>
      <c r="Y479" s="28"/>
      <c r="Z479" s="543" t="str">
        <f t="array" ref="Z479">IF(LEN(AC479),lower(concatenate("bosvendor-",'2-Building'!B$4,"-",INDEX(D:D, MATCH(AC479, J:J, 0)),INDEX(E:E, MATCH(AC479, J:J, 0)))),"")</f>
        <v/>
      </c>
      <c r="AA479" s="28"/>
      <c r="AB479" s="28"/>
      <c r="AC479" s="28"/>
      <c r="AD479" s="28"/>
    </row>
    <row r="480" ht="30.0" customHeight="1">
      <c r="A480" s="488"/>
      <c r="B480" s="582"/>
      <c r="C480" s="256"/>
      <c r="D480" s="582"/>
      <c r="E480" s="488"/>
      <c r="F480" s="258"/>
      <c r="G480" s="173"/>
      <c r="H480" s="173"/>
      <c r="I480" s="576"/>
      <c r="J480" s="580"/>
      <c r="K480" s="569" t="str">
        <f t="shared" si="1"/>
        <v/>
      </c>
      <c r="L480" s="572"/>
      <c r="M480" s="173"/>
      <c r="N480" s="173"/>
      <c r="O480" s="173"/>
      <c r="P480" s="573"/>
      <c r="Q480" s="573"/>
      <c r="R480" s="173"/>
      <c r="S480" s="173"/>
      <c r="T480" s="173"/>
      <c r="U480" s="173"/>
      <c r="V480" s="173"/>
      <c r="W480" s="574"/>
      <c r="X480" s="575"/>
      <c r="Y480" s="28"/>
      <c r="Z480" s="543" t="str">
        <f t="array" ref="Z480">IF(LEN(AC480),lower(concatenate("bosvendor-",'2-Building'!B$4,"-",INDEX(D:D, MATCH(AC480, J:J, 0)),INDEX(E:E, MATCH(AC480, J:J, 0)))),"")</f>
        <v/>
      </c>
      <c r="AA480" s="28"/>
      <c r="AB480" s="28"/>
      <c r="AC480" s="28"/>
      <c r="AD480" s="28"/>
    </row>
    <row r="481" ht="30.0" customHeight="1">
      <c r="A481" s="488"/>
      <c r="B481" s="582"/>
      <c r="C481" s="256"/>
      <c r="D481" s="582"/>
      <c r="E481" s="488"/>
      <c r="F481" s="258"/>
      <c r="G481" s="173"/>
      <c r="H481" s="173"/>
      <c r="I481" s="576"/>
      <c r="J481" s="580"/>
      <c r="K481" s="569" t="str">
        <f t="shared" si="1"/>
        <v/>
      </c>
      <c r="L481" s="572"/>
      <c r="M481" s="173"/>
      <c r="N481" s="173"/>
      <c r="O481" s="173"/>
      <c r="P481" s="573"/>
      <c r="Q481" s="573"/>
      <c r="R481" s="173"/>
      <c r="S481" s="173"/>
      <c r="T481" s="173"/>
      <c r="U481" s="173"/>
      <c r="V481" s="173"/>
      <c r="W481" s="574"/>
      <c r="X481" s="575"/>
      <c r="Y481" s="28"/>
      <c r="Z481" s="543" t="str">
        <f t="array" ref="Z481">IF(LEN(AC481),lower(concatenate("bosvendor-",'2-Building'!B$4,"-",INDEX(D:D, MATCH(AC481, J:J, 0)),INDEX(E:E, MATCH(AC481, J:J, 0)))),"")</f>
        <v/>
      </c>
      <c r="AA481" s="28"/>
      <c r="AB481" s="28"/>
      <c r="AC481" s="28"/>
      <c r="AD481" s="28"/>
    </row>
    <row r="482" ht="30.0" customHeight="1">
      <c r="A482" s="488"/>
      <c r="B482" s="582"/>
      <c r="C482" s="256"/>
      <c r="D482" s="582"/>
      <c r="E482" s="488"/>
      <c r="F482" s="258"/>
      <c r="G482" s="173"/>
      <c r="H482" s="173"/>
      <c r="I482" s="576"/>
      <c r="J482" s="580"/>
      <c r="K482" s="569" t="str">
        <f t="shared" si="1"/>
        <v/>
      </c>
      <c r="L482" s="572"/>
      <c r="M482" s="173"/>
      <c r="N482" s="173"/>
      <c r="O482" s="173"/>
      <c r="P482" s="573"/>
      <c r="Q482" s="573"/>
      <c r="R482" s="173"/>
      <c r="S482" s="173"/>
      <c r="T482" s="173"/>
      <c r="U482" s="173"/>
      <c r="V482" s="173"/>
      <c r="W482" s="574"/>
      <c r="X482" s="575"/>
      <c r="Y482" s="28"/>
      <c r="Z482" s="543" t="str">
        <f t="array" ref="Z482">IF(LEN(AC482),lower(concatenate("bosvendor-",'2-Building'!B$4,"-",INDEX(D:D, MATCH(AC482, J:J, 0)),INDEX(E:E, MATCH(AC482, J:J, 0)))),"")</f>
        <v/>
      </c>
      <c r="AA482" s="28"/>
      <c r="AB482" s="28"/>
      <c r="AC482" s="28"/>
      <c r="AD482" s="28"/>
    </row>
    <row r="483" ht="30.0" customHeight="1">
      <c r="A483" s="488"/>
      <c r="B483" s="582"/>
      <c r="C483" s="256"/>
      <c r="D483" s="582"/>
      <c r="E483" s="488"/>
      <c r="F483" s="258"/>
      <c r="G483" s="173"/>
      <c r="H483" s="173"/>
      <c r="I483" s="576"/>
      <c r="J483" s="580"/>
      <c r="K483" s="569" t="str">
        <f t="shared" si="1"/>
        <v/>
      </c>
      <c r="L483" s="572"/>
      <c r="M483" s="173"/>
      <c r="N483" s="173"/>
      <c r="O483" s="173"/>
      <c r="P483" s="573"/>
      <c r="Q483" s="573"/>
      <c r="R483" s="173"/>
      <c r="S483" s="173"/>
      <c r="T483" s="173"/>
      <c r="U483" s="173"/>
      <c r="V483" s="173"/>
      <c r="W483" s="574"/>
      <c r="X483" s="575"/>
      <c r="Y483" s="28"/>
      <c r="Z483" s="543" t="str">
        <f t="array" ref="Z483">IF(LEN(AC483),lower(concatenate("bosvendor-",'2-Building'!B$4,"-",INDEX(D:D, MATCH(AC483, J:J, 0)),INDEX(E:E, MATCH(AC483, J:J, 0)))),"")</f>
        <v/>
      </c>
      <c r="AA483" s="28"/>
      <c r="AB483" s="28"/>
      <c r="AC483" s="28"/>
      <c r="AD483" s="28"/>
    </row>
    <row r="484" ht="30.0" customHeight="1">
      <c r="A484" s="488"/>
      <c r="B484" s="582"/>
      <c r="C484" s="256"/>
      <c r="D484" s="582"/>
      <c r="E484" s="488"/>
      <c r="F484" s="258"/>
      <c r="G484" s="173"/>
      <c r="H484" s="173"/>
      <c r="I484" s="576"/>
      <c r="J484" s="580"/>
      <c r="K484" s="569" t="str">
        <f t="shared" si="1"/>
        <v/>
      </c>
      <c r="L484" s="572"/>
      <c r="M484" s="173"/>
      <c r="N484" s="173"/>
      <c r="O484" s="173"/>
      <c r="P484" s="573"/>
      <c r="Q484" s="573"/>
      <c r="R484" s="173"/>
      <c r="S484" s="173"/>
      <c r="T484" s="173"/>
      <c r="U484" s="173"/>
      <c r="V484" s="173"/>
      <c r="W484" s="574"/>
      <c r="X484" s="575"/>
      <c r="Y484" s="28"/>
      <c r="Z484" s="543" t="str">
        <f t="array" ref="Z484">IF(LEN(AC484),lower(concatenate("bosvendor-",'2-Building'!B$4,"-",INDEX(D:D, MATCH(AC484, J:J, 0)),INDEX(E:E, MATCH(AC484, J:J, 0)))),"")</f>
        <v/>
      </c>
      <c r="AA484" s="28"/>
      <c r="AB484" s="28"/>
      <c r="AC484" s="28"/>
      <c r="AD484" s="28"/>
    </row>
    <row r="485" ht="30.0" customHeight="1">
      <c r="A485" s="488"/>
      <c r="B485" s="582"/>
      <c r="C485" s="256"/>
      <c r="D485" s="582"/>
      <c r="E485" s="488"/>
      <c r="F485" s="258"/>
      <c r="G485" s="173"/>
      <c r="H485" s="173"/>
      <c r="I485" s="576"/>
      <c r="J485" s="580"/>
      <c r="K485" s="569" t="str">
        <f t="shared" si="1"/>
        <v/>
      </c>
      <c r="L485" s="572"/>
      <c r="M485" s="173"/>
      <c r="N485" s="173"/>
      <c r="O485" s="173"/>
      <c r="P485" s="573"/>
      <c r="Q485" s="573"/>
      <c r="R485" s="173"/>
      <c r="S485" s="173"/>
      <c r="T485" s="173"/>
      <c r="U485" s="173"/>
      <c r="V485" s="173"/>
      <c r="W485" s="574"/>
      <c r="X485" s="575"/>
      <c r="Y485" s="28"/>
      <c r="Z485" s="543" t="str">
        <f t="array" ref="Z485">IF(LEN(AC485),lower(concatenate("bosvendor-",'2-Building'!B$4,"-",INDEX(D:D, MATCH(AC485, J:J, 0)),INDEX(E:E, MATCH(AC485, J:J, 0)))),"")</f>
        <v/>
      </c>
      <c r="AA485" s="28"/>
      <c r="AB485" s="28"/>
      <c r="AC485" s="28"/>
      <c r="AD485" s="28"/>
    </row>
    <row r="486" ht="30.0" customHeight="1">
      <c r="A486" s="488"/>
      <c r="B486" s="582"/>
      <c r="C486" s="256"/>
      <c r="D486" s="582"/>
      <c r="E486" s="488"/>
      <c r="F486" s="258"/>
      <c r="G486" s="173"/>
      <c r="H486" s="173"/>
      <c r="I486" s="576"/>
      <c r="J486" s="580"/>
      <c r="K486" s="569" t="str">
        <f t="shared" si="1"/>
        <v/>
      </c>
      <c r="L486" s="572"/>
      <c r="M486" s="173"/>
      <c r="N486" s="173"/>
      <c r="O486" s="173"/>
      <c r="P486" s="573"/>
      <c r="Q486" s="573"/>
      <c r="R486" s="173"/>
      <c r="S486" s="173"/>
      <c r="T486" s="173"/>
      <c r="U486" s="173"/>
      <c r="V486" s="173"/>
      <c r="W486" s="574"/>
      <c r="X486" s="575"/>
      <c r="Y486" s="28"/>
      <c r="Z486" s="543" t="str">
        <f t="array" ref="Z486">IF(LEN(AC486),lower(concatenate("bosvendor-",'2-Building'!B$4,"-",INDEX(D:D, MATCH(AC486, J:J, 0)),INDEX(E:E, MATCH(AC486, J:J, 0)))),"")</f>
        <v/>
      </c>
      <c r="AA486" s="28"/>
      <c r="AB486" s="28"/>
      <c r="AC486" s="28"/>
      <c r="AD486" s="28"/>
    </row>
    <row r="487" ht="30.0" customHeight="1">
      <c r="A487" s="488"/>
      <c r="B487" s="582"/>
      <c r="C487" s="256"/>
      <c r="D487" s="582"/>
      <c r="E487" s="488"/>
      <c r="F487" s="258"/>
      <c r="G487" s="173"/>
      <c r="H487" s="173"/>
      <c r="I487" s="576"/>
      <c r="J487" s="580"/>
      <c r="K487" s="569" t="str">
        <f t="shared" si="1"/>
        <v/>
      </c>
      <c r="L487" s="572"/>
      <c r="M487" s="173"/>
      <c r="N487" s="173"/>
      <c r="O487" s="173"/>
      <c r="P487" s="573"/>
      <c r="Q487" s="573"/>
      <c r="R487" s="173"/>
      <c r="S487" s="173"/>
      <c r="T487" s="173"/>
      <c r="U487" s="173"/>
      <c r="V487" s="173"/>
      <c r="W487" s="574"/>
      <c r="X487" s="575"/>
      <c r="Y487" s="28"/>
      <c r="Z487" s="543" t="str">
        <f t="array" ref="Z487">IF(LEN(AC487),lower(concatenate("bosvendor-",'2-Building'!B$4,"-",INDEX(D:D, MATCH(AC487, J:J, 0)),INDEX(E:E, MATCH(AC487, J:J, 0)))),"")</f>
        <v/>
      </c>
      <c r="AA487" s="28"/>
      <c r="AB487" s="28"/>
      <c r="AC487" s="28"/>
      <c r="AD487" s="28"/>
    </row>
    <row r="488" ht="30.0" customHeight="1">
      <c r="A488" s="488"/>
      <c r="B488" s="582"/>
      <c r="C488" s="256"/>
      <c r="D488" s="582"/>
      <c r="E488" s="488"/>
      <c r="F488" s="258"/>
      <c r="G488" s="173"/>
      <c r="H488" s="173"/>
      <c r="I488" s="576"/>
      <c r="J488" s="580"/>
      <c r="K488" s="569" t="str">
        <f t="shared" si="1"/>
        <v/>
      </c>
      <c r="L488" s="572"/>
      <c r="M488" s="173"/>
      <c r="N488" s="173"/>
      <c r="O488" s="173"/>
      <c r="P488" s="573"/>
      <c r="Q488" s="573"/>
      <c r="R488" s="173"/>
      <c r="S488" s="173"/>
      <c r="T488" s="173"/>
      <c r="U488" s="173"/>
      <c r="V488" s="173"/>
      <c r="W488" s="574"/>
      <c r="X488" s="575"/>
      <c r="Y488" s="28"/>
      <c r="Z488" s="543" t="str">
        <f t="array" ref="Z488">IF(LEN(AC488),lower(concatenate("bosvendor-",'2-Building'!B$4,"-",INDEX(D:D, MATCH(AC488, J:J, 0)),INDEX(E:E, MATCH(AC488, J:J, 0)))),"")</f>
        <v/>
      </c>
      <c r="AA488" s="28"/>
      <c r="AB488" s="28"/>
      <c r="AC488" s="28"/>
      <c r="AD488" s="28"/>
    </row>
    <row r="489" ht="30.0" customHeight="1">
      <c r="A489" s="488"/>
      <c r="B489" s="582"/>
      <c r="C489" s="256"/>
      <c r="D489" s="582"/>
      <c r="E489" s="488"/>
      <c r="F489" s="258"/>
      <c r="G489" s="173"/>
      <c r="H489" s="173"/>
      <c r="I489" s="576"/>
      <c r="J489" s="580"/>
      <c r="K489" s="569" t="str">
        <f t="shared" si="1"/>
        <v/>
      </c>
      <c r="L489" s="572"/>
      <c r="M489" s="173"/>
      <c r="N489" s="173"/>
      <c r="O489" s="173"/>
      <c r="P489" s="573"/>
      <c r="Q489" s="573"/>
      <c r="R489" s="173"/>
      <c r="S489" s="173"/>
      <c r="T489" s="173"/>
      <c r="U489" s="173"/>
      <c r="V489" s="173"/>
      <c r="W489" s="574"/>
      <c r="X489" s="575"/>
      <c r="Y489" s="28"/>
      <c r="Z489" s="543" t="str">
        <f t="array" ref="Z489">IF(LEN(AC489),lower(concatenate("bosvendor-",'2-Building'!B$4,"-",INDEX(D:D, MATCH(AC489, J:J, 0)),INDEX(E:E, MATCH(AC489, J:J, 0)))),"")</f>
        <v/>
      </c>
      <c r="AA489" s="28"/>
      <c r="AB489" s="28"/>
      <c r="AC489" s="28"/>
      <c r="AD489" s="28"/>
    </row>
    <row r="490" ht="30.0" customHeight="1">
      <c r="A490" s="488"/>
      <c r="B490" s="582"/>
      <c r="C490" s="256"/>
      <c r="D490" s="582"/>
      <c r="E490" s="488"/>
      <c r="F490" s="258"/>
      <c r="G490" s="173"/>
      <c r="H490" s="173"/>
      <c r="I490" s="576"/>
      <c r="J490" s="580"/>
      <c r="K490" s="569" t="str">
        <f t="shared" si="1"/>
        <v/>
      </c>
      <c r="L490" s="572"/>
      <c r="M490" s="173"/>
      <c r="N490" s="173"/>
      <c r="O490" s="173"/>
      <c r="P490" s="573"/>
      <c r="Q490" s="573"/>
      <c r="R490" s="173"/>
      <c r="S490" s="173"/>
      <c r="T490" s="173"/>
      <c r="U490" s="173"/>
      <c r="V490" s="173"/>
      <c r="W490" s="574"/>
      <c r="X490" s="575"/>
      <c r="Y490" s="28"/>
      <c r="Z490" s="543" t="str">
        <f t="array" ref="Z490">IF(LEN(AC490),lower(concatenate("bosvendor-",'2-Building'!B$4,"-",INDEX(D:D, MATCH(AC490, J:J, 0)),INDEX(E:E, MATCH(AC490, J:J, 0)))),"")</f>
        <v/>
      </c>
      <c r="AA490" s="28"/>
      <c r="AB490" s="28"/>
      <c r="AC490" s="28"/>
      <c r="AD490" s="28"/>
    </row>
    <row r="491" ht="30.0" customHeight="1">
      <c r="A491" s="488"/>
      <c r="B491" s="582"/>
      <c r="C491" s="256"/>
      <c r="D491" s="582"/>
      <c r="E491" s="488"/>
      <c r="F491" s="258"/>
      <c r="G491" s="173"/>
      <c r="H491" s="173"/>
      <c r="I491" s="576"/>
      <c r="J491" s="580"/>
      <c r="K491" s="569" t="str">
        <f t="shared" si="1"/>
        <v/>
      </c>
      <c r="L491" s="572"/>
      <c r="M491" s="173"/>
      <c r="N491" s="173"/>
      <c r="O491" s="173"/>
      <c r="P491" s="573"/>
      <c r="Q491" s="573"/>
      <c r="R491" s="173"/>
      <c r="S491" s="173"/>
      <c r="T491" s="173"/>
      <c r="U491" s="173"/>
      <c r="V491" s="173"/>
      <c r="W491" s="574"/>
      <c r="X491" s="575"/>
      <c r="Y491" s="28"/>
      <c r="Z491" s="543" t="str">
        <f t="array" ref="Z491">IF(LEN(AC491),lower(concatenate("bosvendor-",'2-Building'!B$4,"-",INDEX(D:D, MATCH(AC491, J:J, 0)),INDEX(E:E, MATCH(AC491, J:J, 0)))),"")</f>
        <v/>
      </c>
      <c r="AA491" s="28"/>
      <c r="AB491" s="28"/>
      <c r="AC491" s="28"/>
      <c r="AD491" s="28"/>
    </row>
    <row r="492" ht="30.0" customHeight="1">
      <c r="A492" s="488"/>
      <c r="B492" s="582"/>
      <c r="C492" s="256"/>
      <c r="D492" s="582"/>
      <c r="E492" s="488"/>
      <c r="F492" s="258"/>
      <c r="G492" s="173"/>
      <c r="H492" s="173"/>
      <c r="I492" s="576"/>
      <c r="J492" s="580"/>
      <c r="K492" s="569" t="str">
        <f t="shared" si="1"/>
        <v/>
      </c>
      <c r="L492" s="572"/>
      <c r="M492" s="173"/>
      <c r="N492" s="173"/>
      <c r="O492" s="173"/>
      <c r="P492" s="573"/>
      <c r="Q492" s="573"/>
      <c r="R492" s="173"/>
      <c r="S492" s="173"/>
      <c r="T492" s="173"/>
      <c r="U492" s="173"/>
      <c r="V492" s="173"/>
      <c r="W492" s="574"/>
      <c r="X492" s="575"/>
      <c r="Y492" s="28"/>
      <c r="Z492" s="543" t="str">
        <f t="array" ref="Z492">IF(LEN(AC492),lower(concatenate("bosvendor-",'2-Building'!B$4,"-",INDEX(D:D, MATCH(AC492, J:J, 0)),INDEX(E:E, MATCH(AC492, J:J, 0)))),"")</f>
        <v/>
      </c>
      <c r="AA492" s="28"/>
      <c r="AB492" s="28"/>
      <c r="AC492" s="28"/>
      <c r="AD492" s="28"/>
    </row>
    <row r="493" ht="30.0" customHeight="1">
      <c r="A493" s="488"/>
      <c r="B493" s="582"/>
      <c r="C493" s="256"/>
      <c r="D493" s="582"/>
      <c r="E493" s="488"/>
      <c r="F493" s="258"/>
      <c r="G493" s="173"/>
      <c r="H493" s="173"/>
      <c r="I493" s="576"/>
      <c r="J493" s="580"/>
      <c r="K493" s="569" t="str">
        <f t="shared" si="1"/>
        <v/>
      </c>
      <c r="L493" s="572"/>
      <c r="M493" s="173"/>
      <c r="N493" s="173"/>
      <c r="O493" s="173"/>
      <c r="P493" s="573"/>
      <c r="Q493" s="573"/>
      <c r="R493" s="173"/>
      <c r="S493" s="173"/>
      <c r="T493" s="173"/>
      <c r="U493" s="173"/>
      <c r="V493" s="173"/>
      <c r="W493" s="574"/>
      <c r="X493" s="575"/>
      <c r="Y493" s="28"/>
      <c r="Z493" s="543" t="str">
        <f t="array" ref="Z493">IF(LEN(AC493),lower(concatenate("bosvendor-",'2-Building'!B$4,"-",INDEX(D:D, MATCH(AC493, J:J, 0)),INDEX(E:E, MATCH(AC493, J:J, 0)))),"")</f>
        <v/>
      </c>
      <c r="AA493" s="28"/>
      <c r="AB493" s="28"/>
      <c r="AC493" s="28"/>
      <c r="AD493" s="28"/>
    </row>
    <row r="494" ht="30.0" customHeight="1">
      <c r="A494" s="488"/>
      <c r="B494" s="582"/>
      <c r="C494" s="256"/>
      <c r="D494" s="582"/>
      <c r="E494" s="488"/>
      <c r="F494" s="258"/>
      <c r="G494" s="173"/>
      <c r="H494" s="173"/>
      <c r="I494" s="576"/>
      <c r="J494" s="580"/>
      <c r="K494" s="569" t="str">
        <f t="shared" si="1"/>
        <v/>
      </c>
      <c r="L494" s="572"/>
      <c r="M494" s="173"/>
      <c r="N494" s="173"/>
      <c r="O494" s="173"/>
      <c r="P494" s="573"/>
      <c r="Q494" s="573"/>
      <c r="R494" s="173"/>
      <c r="S494" s="173"/>
      <c r="T494" s="173"/>
      <c r="U494" s="173"/>
      <c r="V494" s="173"/>
      <c r="W494" s="574"/>
      <c r="X494" s="575"/>
      <c r="Y494" s="28"/>
      <c r="Z494" s="543" t="str">
        <f t="array" ref="Z494">IF(LEN(AC494),lower(concatenate("bosvendor-",'2-Building'!B$4,"-",INDEX(D:D, MATCH(AC494, J:J, 0)),INDEX(E:E, MATCH(AC494, J:J, 0)))),"")</f>
        <v/>
      </c>
      <c r="AA494" s="28"/>
      <c r="AB494" s="28"/>
      <c r="AC494" s="28"/>
      <c r="AD494" s="28"/>
    </row>
    <row r="495" ht="30.0" customHeight="1">
      <c r="A495" s="488"/>
      <c r="B495" s="582"/>
      <c r="C495" s="256"/>
      <c r="D495" s="582"/>
      <c r="E495" s="488"/>
      <c r="F495" s="258"/>
      <c r="G495" s="173"/>
      <c r="H495" s="173"/>
      <c r="I495" s="576"/>
      <c r="J495" s="580"/>
      <c r="K495" s="569" t="str">
        <f t="shared" si="1"/>
        <v/>
      </c>
      <c r="L495" s="572"/>
      <c r="M495" s="173"/>
      <c r="N495" s="173"/>
      <c r="O495" s="173"/>
      <c r="P495" s="573"/>
      <c r="Q495" s="573"/>
      <c r="R495" s="173"/>
      <c r="S495" s="173"/>
      <c r="T495" s="173"/>
      <c r="U495" s="173"/>
      <c r="V495" s="173"/>
      <c r="W495" s="574"/>
      <c r="X495" s="575"/>
      <c r="Y495" s="28"/>
      <c r="Z495" s="543" t="str">
        <f t="array" ref="Z495">IF(LEN(AC495),lower(concatenate("bosvendor-",'2-Building'!B$4,"-",INDEX(D:D, MATCH(AC495, J:J, 0)),INDEX(E:E, MATCH(AC495, J:J, 0)))),"")</f>
        <v/>
      </c>
      <c r="AA495" s="28"/>
      <c r="AB495" s="28"/>
      <c r="AC495" s="28"/>
      <c r="AD495" s="28"/>
    </row>
    <row r="496" ht="30.0" customHeight="1">
      <c r="A496" s="488"/>
      <c r="B496" s="582"/>
      <c r="C496" s="256"/>
      <c r="D496" s="582"/>
      <c r="E496" s="488"/>
      <c r="F496" s="258"/>
      <c r="G496" s="173"/>
      <c r="H496" s="173"/>
      <c r="I496" s="576"/>
      <c r="J496" s="580"/>
      <c r="K496" s="569" t="str">
        <f t="shared" si="1"/>
        <v/>
      </c>
      <c r="L496" s="572"/>
      <c r="M496" s="173"/>
      <c r="N496" s="173"/>
      <c r="O496" s="173"/>
      <c r="P496" s="573"/>
      <c r="Q496" s="573"/>
      <c r="R496" s="173"/>
      <c r="S496" s="173"/>
      <c r="T496" s="173"/>
      <c r="U496" s="173"/>
      <c r="V496" s="173"/>
      <c r="W496" s="574"/>
      <c r="X496" s="575"/>
      <c r="Y496" s="28"/>
      <c r="Z496" s="543" t="str">
        <f t="array" ref="Z496">IF(LEN(AC496),lower(concatenate("bosvendor-",'2-Building'!B$4,"-",INDEX(D:D, MATCH(AC496, J:J, 0)),INDEX(E:E, MATCH(AC496, J:J, 0)))),"")</f>
        <v/>
      </c>
      <c r="AA496" s="28"/>
      <c r="AB496" s="28"/>
      <c r="AC496" s="28"/>
      <c r="AD496" s="28"/>
    </row>
    <row r="497" ht="30.0" customHeight="1">
      <c r="A497" s="488"/>
      <c r="B497" s="582"/>
      <c r="C497" s="256"/>
      <c r="D497" s="582"/>
      <c r="E497" s="488"/>
      <c r="F497" s="258"/>
      <c r="G497" s="173"/>
      <c r="H497" s="173"/>
      <c r="I497" s="576"/>
      <c r="J497" s="580"/>
      <c r="K497" s="569" t="str">
        <f t="shared" si="1"/>
        <v/>
      </c>
      <c r="L497" s="572"/>
      <c r="M497" s="173"/>
      <c r="N497" s="173"/>
      <c r="O497" s="173"/>
      <c r="P497" s="573"/>
      <c r="Q497" s="573"/>
      <c r="R497" s="173"/>
      <c r="S497" s="173"/>
      <c r="T497" s="173"/>
      <c r="U497" s="173"/>
      <c r="V497" s="173"/>
      <c r="W497" s="574"/>
      <c r="X497" s="575"/>
      <c r="Y497" s="28"/>
      <c r="Z497" s="543" t="str">
        <f t="array" ref="Z497">IF(LEN(AC497),lower(concatenate("bosvendor-",'2-Building'!B$4,"-",INDEX(D:D, MATCH(AC497, J:J, 0)),INDEX(E:E, MATCH(AC497, J:J, 0)))),"")</f>
        <v/>
      </c>
      <c r="AA497" s="28"/>
      <c r="AB497" s="28"/>
      <c r="AC497" s="28"/>
      <c r="AD497" s="28"/>
    </row>
    <row r="498" ht="30.0" customHeight="1">
      <c r="A498" s="488"/>
      <c r="B498" s="582"/>
      <c r="C498" s="256"/>
      <c r="D498" s="582"/>
      <c r="E498" s="488"/>
      <c r="F498" s="258"/>
      <c r="G498" s="173"/>
      <c r="H498" s="173"/>
      <c r="I498" s="576"/>
      <c r="J498" s="580"/>
      <c r="K498" s="569" t="str">
        <f t="shared" si="1"/>
        <v/>
      </c>
      <c r="L498" s="572"/>
      <c r="M498" s="173"/>
      <c r="N498" s="173"/>
      <c r="O498" s="173"/>
      <c r="P498" s="573"/>
      <c r="Q498" s="573"/>
      <c r="R498" s="173"/>
      <c r="S498" s="173"/>
      <c r="T498" s="173"/>
      <c r="U498" s="173"/>
      <c r="V498" s="173"/>
      <c r="W498" s="574"/>
      <c r="X498" s="575"/>
      <c r="Y498" s="28"/>
      <c r="Z498" s="543" t="str">
        <f t="array" ref="Z498">IF(LEN(AC498),lower(concatenate("bosvendor-",'2-Building'!B$4,"-",INDEX(D:D, MATCH(AC498, J:J, 0)),INDEX(E:E, MATCH(AC498, J:J, 0)))),"")</f>
        <v/>
      </c>
      <c r="AA498" s="28"/>
      <c r="AB498" s="28"/>
      <c r="AC498" s="28"/>
      <c r="AD498" s="28"/>
    </row>
    <row r="499" ht="30.0" customHeight="1">
      <c r="A499" s="488"/>
      <c r="B499" s="582"/>
      <c r="C499" s="256"/>
      <c r="D499" s="582"/>
      <c r="E499" s="488"/>
      <c r="F499" s="258"/>
      <c r="G499" s="173"/>
      <c r="H499" s="173"/>
      <c r="I499" s="576"/>
      <c r="J499" s="580"/>
      <c r="K499" s="569" t="str">
        <f t="shared" si="1"/>
        <v/>
      </c>
      <c r="L499" s="572"/>
      <c r="M499" s="173"/>
      <c r="N499" s="173"/>
      <c r="O499" s="173"/>
      <c r="P499" s="573"/>
      <c r="Q499" s="573"/>
      <c r="R499" s="173"/>
      <c r="S499" s="173"/>
      <c r="T499" s="173"/>
      <c r="U499" s="173"/>
      <c r="V499" s="173"/>
      <c r="W499" s="574"/>
      <c r="X499" s="575"/>
      <c r="Y499" s="28"/>
      <c r="Z499" s="543" t="str">
        <f t="array" ref="Z499">IF(LEN(AC499),lower(concatenate("bosvendor-",'2-Building'!B$4,"-",INDEX(D:D, MATCH(AC499, J:J, 0)),INDEX(E:E, MATCH(AC499, J:J, 0)))),"")</f>
        <v/>
      </c>
      <c r="AA499" s="28"/>
      <c r="AB499" s="28"/>
      <c r="AC499" s="28"/>
      <c r="AD499" s="28"/>
    </row>
    <row r="500" ht="30.0" customHeight="1">
      <c r="A500" s="488"/>
      <c r="B500" s="582"/>
      <c r="C500" s="256"/>
      <c r="D500" s="582"/>
      <c r="E500" s="488"/>
      <c r="F500" s="258"/>
      <c r="G500" s="173"/>
      <c r="H500" s="173"/>
      <c r="I500" s="576"/>
      <c r="J500" s="580"/>
      <c r="K500" s="569" t="str">
        <f t="shared" si="1"/>
        <v/>
      </c>
      <c r="L500" s="572"/>
      <c r="M500" s="173"/>
      <c r="N500" s="173"/>
      <c r="O500" s="173"/>
      <c r="P500" s="573"/>
      <c r="Q500" s="573"/>
      <c r="R500" s="173"/>
      <c r="S500" s="173"/>
      <c r="T500" s="173"/>
      <c r="U500" s="173"/>
      <c r="V500" s="173"/>
      <c r="W500" s="574"/>
      <c r="X500" s="575"/>
      <c r="Y500" s="28"/>
      <c r="Z500" s="543" t="str">
        <f t="array" ref="Z500">IF(LEN(AC500),lower(concatenate("bosvendor-",'2-Building'!B$4,"-",INDEX(D:D, MATCH(AC500, J:J, 0)),INDEX(E:E, MATCH(AC500, J:J, 0)))),"")</f>
        <v/>
      </c>
      <c r="AA500" s="28"/>
      <c r="AB500" s="28"/>
      <c r="AC500" s="28"/>
      <c r="AD500" s="28"/>
    </row>
    <row r="501" ht="30.0" customHeight="1">
      <c r="A501" s="488"/>
      <c r="B501" s="582"/>
      <c r="C501" s="256"/>
      <c r="D501" s="582"/>
      <c r="E501" s="488"/>
      <c r="F501" s="258"/>
      <c r="G501" s="173"/>
      <c r="H501" s="173"/>
      <c r="I501" s="576"/>
      <c r="J501" s="580"/>
      <c r="K501" s="569" t="str">
        <f t="shared" si="1"/>
        <v/>
      </c>
      <c r="L501" s="572"/>
      <c r="M501" s="173"/>
      <c r="N501" s="173"/>
      <c r="O501" s="173"/>
      <c r="P501" s="573"/>
      <c r="Q501" s="573"/>
      <c r="R501" s="173"/>
      <c r="S501" s="173"/>
      <c r="T501" s="173"/>
      <c r="U501" s="173"/>
      <c r="V501" s="173"/>
      <c r="W501" s="574"/>
      <c r="X501" s="575"/>
      <c r="Y501" s="28"/>
      <c r="Z501" s="543" t="str">
        <f t="array" ref="Z501">IF(LEN(AC501),lower(concatenate("bosvendor-",'2-Building'!B$4,"-",INDEX(D:D, MATCH(AC501, J:J, 0)),INDEX(E:E, MATCH(AC501, J:J, 0)))),"")</f>
        <v/>
      </c>
      <c r="AA501" s="28"/>
      <c r="AB501" s="28"/>
      <c r="AC501" s="28"/>
      <c r="AD501" s="28"/>
    </row>
    <row r="502" ht="30.0" customHeight="1">
      <c r="A502" s="488"/>
      <c r="B502" s="582"/>
      <c r="C502" s="256"/>
      <c r="D502" s="582"/>
      <c r="E502" s="488"/>
      <c r="F502" s="258"/>
      <c r="G502" s="173"/>
      <c r="H502" s="173"/>
      <c r="I502" s="576"/>
      <c r="J502" s="580"/>
      <c r="K502" s="569" t="str">
        <f t="shared" si="1"/>
        <v/>
      </c>
      <c r="L502" s="572"/>
      <c r="M502" s="173"/>
      <c r="N502" s="173"/>
      <c r="O502" s="173"/>
      <c r="P502" s="573"/>
      <c r="Q502" s="573"/>
      <c r="R502" s="173"/>
      <c r="S502" s="173"/>
      <c r="T502" s="173"/>
      <c r="U502" s="173"/>
      <c r="V502" s="173"/>
      <c r="W502" s="574"/>
      <c r="X502" s="575"/>
      <c r="Y502" s="28"/>
      <c r="Z502" s="543" t="str">
        <f t="array" ref="Z502">IF(LEN(AC502),lower(concatenate("bosvendor-",'2-Building'!B$4,"-",INDEX(D:D, MATCH(AC502, J:J, 0)),INDEX(E:E, MATCH(AC502, J:J, 0)))),"")</f>
        <v/>
      </c>
      <c r="AA502" s="28"/>
      <c r="AB502" s="28"/>
      <c r="AC502" s="28"/>
      <c r="AD502" s="28"/>
    </row>
    <row r="503" ht="30.0" customHeight="1">
      <c r="A503" s="488"/>
      <c r="B503" s="582"/>
      <c r="C503" s="256"/>
      <c r="D503" s="582"/>
      <c r="E503" s="488"/>
      <c r="F503" s="258"/>
      <c r="G503" s="173"/>
      <c r="H503" s="173"/>
      <c r="I503" s="576"/>
      <c r="J503" s="580"/>
      <c r="K503" s="569" t="str">
        <f t="shared" si="1"/>
        <v/>
      </c>
      <c r="L503" s="572"/>
      <c r="M503" s="173"/>
      <c r="N503" s="173"/>
      <c r="O503" s="173"/>
      <c r="P503" s="573"/>
      <c r="Q503" s="573"/>
      <c r="R503" s="173"/>
      <c r="S503" s="173"/>
      <c r="T503" s="173"/>
      <c r="U503" s="173"/>
      <c r="V503" s="173"/>
      <c r="W503" s="574"/>
      <c r="X503" s="575"/>
      <c r="Y503" s="28"/>
      <c r="Z503" s="543" t="str">
        <f t="array" ref="Z503">IF(LEN(AC503),lower(concatenate("bosvendor-",'2-Building'!B$4,"-",INDEX(D:D, MATCH(AC503, J:J, 0)),INDEX(E:E, MATCH(AC503, J:J, 0)))),"")</f>
        <v/>
      </c>
      <c r="AA503" s="28"/>
      <c r="AB503" s="28"/>
      <c r="AC503" s="28"/>
      <c r="AD503" s="28"/>
    </row>
    <row r="504" ht="30.0" customHeight="1">
      <c r="A504" s="488"/>
      <c r="B504" s="582"/>
      <c r="C504" s="256"/>
      <c r="D504" s="582"/>
      <c r="E504" s="488"/>
      <c r="F504" s="258"/>
      <c r="G504" s="173"/>
      <c r="H504" s="173"/>
      <c r="I504" s="576"/>
      <c r="J504" s="580"/>
      <c r="K504" s="569" t="str">
        <f t="shared" si="1"/>
        <v/>
      </c>
      <c r="L504" s="572"/>
      <c r="M504" s="173"/>
      <c r="N504" s="173"/>
      <c r="O504" s="173"/>
      <c r="P504" s="573"/>
      <c r="Q504" s="573"/>
      <c r="R504" s="173"/>
      <c r="S504" s="173"/>
      <c r="T504" s="173"/>
      <c r="U504" s="173"/>
      <c r="V504" s="173"/>
      <c r="W504" s="574"/>
      <c r="X504" s="575"/>
      <c r="Y504" s="28"/>
      <c r="Z504" s="543" t="str">
        <f t="array" ref="Z504">IF(LEN(AC504),lower(concatenate("bosvendor-",'2-Building'!B$4,"-",INDEX(D:D, MATCH(AC504, J:J, 0)),INDEX(E:E, MATCH(AC504, J:J, 0)))),"")</f>
        <v/>
      </c>
      <c r="AA504" s="28"/>
      <c r="AB504" s="28"/>
      <c r="AC504" s="28"/>
      <c r="AD504" s="28"/>
    </row>
    <row r="505" ht="30.0" customHeight="1">
      <c r="A505" s="488"/>
      <c r="B505" s="582"/>
      <c r="C505" s="256"/>
      <c r="D505" s="582"/>
      <c r="E505" s="488"/>
      <c r="F505" s="258"/>
      <c r="G505" s="173"/>
      <c r="H505" s="173"/>
      <c r="I505" s="576"/>
      <c r="J505" s="580"/>
      <c r="K505" s="569" t="str">
        <f t="shared" si="1"/>
        <v/>
      </c>
      <c r="L505" s="572"/>
      <c r="M505" s="173"/>
      <c r="N505" s="173"/>
      <c r="O505" s="173"/>
      <c r="P505" s="573"/>
      <c r="Q505" s="573"/>
      <c r="R505" s="173"/>
      <c r="S505" s="173"/>
      <c r="T505" s="173"/>
      <c r="U505" s="173"/>
      <c r="V505" s="173"/>
      <c r="W505" s="574"/>
      <c r="X505" s="575"/>
      <c r="Y505" s="28"/>
      <c r="Z505" s="543" t="str">
        <f t="array" ref="Z505">IF(LEN(AC505),lower(concatenate("bosvendor-",'2-Building'!B$4,"-",INDEX(D:D, MATCH(AC505, J:J, 0)),INDEX(E:E, MATCH(AC505, J:J, 0)))),"")</f>
        <v/>
      </c>
      <c r="AA505" s="28"/>
      <c r="AB505" s="28"/>
      <c r="AC505" s="28"/>
      <c r="AD505" s="28"/>
    </row>
    <row r="506" ht="30.0" customHeight="1">
      <c r="A506" s="488"/>
      <c r="B506" s="582"/>
      <c r="C506" s="256"/>
      <c r="D506" s="582"/>
      <c r="E506" s="488"/>
      <c r="F506" s="258"/>
      <c r="G506" s="173"/>
      <c r="H506" s="173"/>
      <c r="I506" s="576"/>
      <c r="J506" s="580"/>
      <c r="K506" s="569" t="str">
        <f t="shared" si="1"/>
        <v/>
      </c>
      <c r="L506" s="572"/>
      <c r="M506" s="173"/>
      <c r="N506" s="173"/>
      <c r="O506" s="173"/>
      <c r="P506" s="573"/>
      <c r="Q506" s="573"/>
      <c r="R506" s="173"/>
      <c r="S506" s="173"/>
      <c r="T506" s="173"/>
      <c r="U506" s="173"/>
      <c r="V506" s="173"/>
      <c r="W506" s="574"/>
      <c r="X506" s="575"/>
      <c r="Y506" s="28"/>
      <c r="Z506" s="543" t="str">
        <f t="array" ref="Z506">IF(LEN(AC506),lower(concatenate("bosvendor-",'2-Building'!B$4,"-",INDEX(D:D, MATCH(AC506, J:J, 0)),INDEX(E:E, MATCH(AC506, J:J, 0)))),"")</f>
        <v/>
      </c>
      <c r="AA506" s="28"/>
      <c r="AB506" s="28"/>
      <c r="AC506" s="28"/>
      <c r="AD506" s="28"/>
    </row>
    <row r="507" ht="30.0" customHeight="1">
      <c r="A507" s="488"/>
      <c r="B507" s="582"/>
      <c r="C507" s="256"/>
      <c r="D507" s="582"/>
      <c r="E507" s="488"/>
      <c r="F507" s="258"/>
      <c r="G507" s="173"/>
      <c r="H507" s="173"/>
      <c r="I507" s="576"/>
      <c r="J507" s="580"/>
      <c r="K507" s="569" t="str">
        <f t="shared" si="1"/>
        <v/>
      </c>
      <c r="L507" s="572"/>
      <c r="M507" s="173"/>
      <c r="N507" s="173"/>
      <c r="O507" s="173"/>
      <c r="P507" s="573"/>
      <c r="Q507" s="573"/>
      <c r="R507" s="173"/>
      <c r="S507" s="173"/>
      <c r="T507" s="173"/>
      <c r="U507" s="173"/>
      <c r="V507" s="173"/>
      <c r="W507" s="574"/>
      <c r="X507" s="575"/>
      <c r="Y507" s="28"/>
      <c r="Z507" s="543" t="str">
        <f t="array" ref="Z507">IF(LEN(AC507),lower(concatenate("bosvendor-",'2-Building'!B$4,"-",INDEX(D:D, MATCH(AC507, J:J, 0)),INDEX(E:E, MATCH(AC507, J:J, 0)))),"")</f>
        <v/>
      </c>
      <c r="AA507" s="28"/>
      <c r="AB507" s="28"/>
      <c r="AC507" s="28"/>
      <c r="AD507" s="28"/>
    </row>
    <row r="508" ht="30.0" customHeight="1">
      <c r="A508" s="488"/>
      <c r="B508" s="582"/>
      <c r="C508" s="256"/>
      <c r="D508" s="582"/>
      <c r="E508" s="488"/>
      <c r="F508" s="258"/>
      <c r="G508" s="173"/>
      <c r="H508" s="173"/>
      <c r="I508" s="576"/>
      <c r="J508" s="580"/>
      <c r="K508" s="569" t="str">
        <f t="shared" si="1"/>
        <v/>
      </c>
      <c r="L508" s="572"/>
      <c r="M508" s="173"/>
      <c r="N508" s="173"/>
      <c r="O508" s="173"/>
      <c r="P508" s="573"/>
      <c r="Q508" s="573"/>
      <c r="R508" s="173"/>
      <c r="S508" s="173"/>
      <c r="T508" s="173"/>
      <c r="U508" s="173"/>
      <c r="V508" s="173"/>
      <c r="W508" s="574"/>
      <c r="X508" s="575"/>
      <c r="Y508" s="28"/>
      <c r="Z508" s="543" t="str">
        <f t="array" ref="Z508">IF(LEN(AC508),lower(concatenate("bosvendor-",'2-Building'!B$4,"-",INDEX(D:D, MATCH(AC508, J:J, 0)),INDEX(E:E, MATCH(AC508, J:J, 0)))),"")</f>
        <v/>
      </c>
      <c r="AA508" s="28"/>
      <c r="AB508" s="28"/>
      <c r="AC508" s="28"/>
      <c r="AD508" s="28"/>
    </row>
    <row r="509" ht="30.0" customHeight="1">
      <c r="A509" s="488"/>
      <c r="B509" s="582"/>
      <c r="C509" s="256"/>
      <c r="D509" s="582"/>
      <c r="E509" s="488"/>
      <c r="F509" s="258"/>
      <c r="G509" s="173"/>
      <c r="H509" s="173"/>
      <c r="I509" s="576"/>
      <c r="J509" s="580"/>
      <c r="K509" s="569" t="str">
        <f t="shared" si="1"/>
        <v/>
      </c>
      <c r="L509" s="572"/>
      <c r="M509" s="173"/>
      <c r="N509" s="173"/>
      <c r="O509" s="173"/>
      <c r="P509" s="573"/>
      <c r="Q509" s="573"/>
      <c r="R509" s="173"/>
      <c r="S509" s="173"/>
      <c r="T509" s="173"/>
      <c r="U509" s="173"/>
      <c r="V509" s="173"/>
      <c r="W509" s="574"/>
      <c r="X509" s="575"/>
      <c r="Y509" s="28"/>
      <c r="Z509" s="543" t="str">
        <f t="array" ref="Z509">IF(LEN(AC509),lower(concatenate("bosvendor-",'2-Building'!B$4,"-",INDEX(D:D, MATCH(AC509, J:J, 0)),INDEX(E:E, MATCH(AC509, J:J, 0)))),"")</f>
        <v/>
      </c>
      <c r="AA509" s="28"/>
      <c r="AB509" s="28"/>
      <c r="AC509" s="28"/>
      <c r="AD509" s="28"/>
    </row>
    <row r="510" ht="30.0" customHeight="1">
      <c r="A510" s="488"/>
      <c r="B510" s="582"/>
      <c r="C510" s="256"/>
      <c r="D510" s="582"/>
      <c r="E510" s="488"/>
      <c r="F510" s="258"/>
      <c r="G510" s="173"/>
      <c r="H510" s="173"/>
      <c r="I510" s="576"/>
      <c r="J510" s="580"/>
      <c r="K510" s="569" t="str">
        <f t="shared" si="1"/>
        <v/>
      </c>
      <c r="L510" s="572"/>
      <c r="M510" s="173"/>
      <c r="N510" s="173"/>
      <c r="O510" s="173"/>
      <c r="P510" s="573"/>
      <c r="Q510" s="573"/>
      <c r="R510" s="173"/>
      <c r="S510" s="173"/>
      <c r="T510" s="173"/>
      <c r="U510" s="173"/>
      <c r="V510" s="173"/>
      <c r="W510" s="574"/>
      <c r="X510" s="575"/>
      <c r="Y510" s="28"/>
      <c r="Z510" s="543" t="str">
        <f t="array" ref="Z510">IF(LEN(AC510),lower(concatenate("bosvendor-",'2-Building'!B$4,"-",INDEX(D:D, MATCH(AC510, J:J, 0)),INDEX(E:E, MATCH(AC510, J:J, 0)))),"")</f>
        <v/>
      </c>
      <c r="AA510" s="28"/>
      <c r="AB510" s="28"/>
      <c r="AC510" s="28"/>
      <c r="AD510" s="28"/>
    </row>
    <row r="511" ht="30.0" customHeight="1">
      <c r="A511" s="488"/>
      <c r="B511" s="582"/>
      <c r="C511" s="256"/>
      <c r="D511" s="582"/>
      <c r="E511" s="488"/>
      <c r="F511" s="258"/>
      <c r="G511" s="173"/>
      <c r="H511" s="173"/>
      <c r="I511" s="576"/>
      <c r="J511" s="580"/>
      <c r="K511" s="569" t="str">
        <f t="shared" si="1"/>
        <v/>
      </c>
      <c r="L511" s="572"/>
      <c r="M511" s="173"/>
      <c r="N511" s="173"/>
      <c r="O511" s="173"/>
      <c r="P511" s="573"/>
      <c r="Q511" s="573"/>
      <c r="R511" s="173"/>
      <c r="S511" s="173"/>
      <c r="T511" s="173"/>
      <c r="U511" s="173"/>
      <c r="V511" s="173"/>
      <c r="W511" s="574"/>
      <c r="X511" s="575"/>
      <c r="Y511" s="28"/>
      <c r="Z511" s="543" t="str">
        <f t="array" ref="Z511">IF(LEN(AC511),lower(concatenate("bosvendor-",'2-Building'!B$4,"-",INDEX(D:D, MATCH(AC511, J:J, 0)),INDEX(E:E, MATCH(AC511, J:J, 0)))),"")</f>
        <v/>
      </c>
      <c r="AA511" s="28"/>
      <c r="AB511" s="28"/>
      <c r="AC511" s="28"/>
      <c r="AD511" s="28"/>
    </row>
    <row r="512" ht="30.0" customHeight="1">
      <c r="A512" s="488"/>
      <c r="B512" s="582"/>
      <c r="C512" s="256"/>
      <c r="D512" s="582"/>
      <c r="E512" s="488"/>
      <c r="F512" s="258"/>
      <c r="G512" s="173"/>
      <c r="H512" s="173"/>
      <c r="I512" s="576"/>
      <c r="J512" s="580"/>
      <c r="K512" s="569" t="str">
        <f t="shared" si="1"/>
        <v/>
      </c>
      <c r="L512" s="572"/>
      <c r="M512" s="173"/>
      <c r="N512" s="173"/>
      <c r="O512" s="173"/>
      <c r="P512" s="573"/>
      <c r="Q512" s="573"/>
      <c r="R512" s="173"/>
      <c r="S512" s="173"/>
      <c r="T512" s="173"/>
      <c r="U512" s="173"/>
      <c r="V512" s="173"/>
      <c r="W512" s="574"/>
      <c r="X512" s="575"/>
      <c r="Y512" s="28"/>
      <c r="Z512" s="543" t="str">
        <f t="array" ref="Z512">IF(LEN(AC512),lower(concatenate("bosvendor-",'2-Building'!B$4,"-",INDEX(D:D, MATCH(AC512, J:J, 0)),INDEX(E:E, MATCH(AC512, J:J, 0)))),"")</f>
        <v/>
      </c>
      <c r="AA512" s="28"/>
      <c r="AB512" s="28"/>
      <c r="AC512" s="28"/>
      <c r="AD512" s="28"/>
    </row>
    <row r="513" ht="30.0" customHeight="1">
      <c r="A513" s="488"/>
      <c r="B513" s="582"/>
      <c r="C513" s="256"/>
      <c r="D513" s="582"/>
      <c r="E513" s="488"/>
      <c r="F513" s="258"/>
      <c r="G513" s="173"/>
      <c r="H513" s="173"/>
      <c r="I513" s="576"/>
      <c r="J513" s="580"/>
      <c r="K513" s="569" t="str">
        <f t="shared" si="1"/>
        <v/>
      </c>
      <c r="L513" s="572"/>
      <c r="M513" s="173"/>
      <c r="N513" s="173"/>
      <c r="O513" s="173"/>
      <c r="P513" s="573"/>
      <c r="Q513" s="573"/>
      <c r="R513" s="173"/>
      <c r="S513" s="173"/>
      <c r="T513" s="173"/>
      <c r="U513" s="173"/>
      <c r="V513" s="173"/>
      <c r="W513" s="574"/>
      <c r="X513" s="575"/>
      <c r="Y513" s="28"/>
      <c r="Z513" s="543" t="str">
        <f t="array" ref="Z513">IF(LEN(AC513),lower(concatenate("bosvendor-",'2-Building'!B$4,"-",INDEX(D:D, MATCH(AC513, J:J, 0)),INDEX(E:E, MATCH(AC513, J:J, 0)))),"")</f>
        <v/>
      </c>
      <c r="AA513" s="28"/>
      <c r="AB513" s="28"/>
      <c r="AC513" s="28"/>
      <c r="AD513" s="28"/>
    </row>
    <row r="514" ht="30.0" customHeight="1">
      <c r="A514" s="488"/>
      <c r="B514" s="582"/>
      <c r="C514" s="256"/>
      <c r="D514" s="582"/>
      <c r="E514" s="488"/>
      <c r="F514" s="258"/>
      <c r="G514" s="173"/>
      <c r="H514" s="173"/>
      <c r="I514" s="576"/>
      <c r="J514" s="580"/>
      <c r="K514" s="569" t="str">
        <f t="shared" si="1"/>
        <v/>
      </c>
      <c r="L514" s="572"/>
      <c r="M514" s="173"/>
      <c r="N514" s="173"/>
      <c r="O514" s="173"/>
      <c r="P514" s="573"/>
      <c r="Q514" s="573"/>
      <c r="R514" s="173"/>
      <c r="S514" s="173"/>
      <c r="T514" s="173"/>
      <c r="U514" s="173"/>
      <c r="V514" s="173"/>
      <c r="W514" s="574"/>
      <c r="X514" s="575"/>
      <c r="Y514" s="28"/>
      <c r="Z514" s="543" t="str">
        <f t="array" ref="Z514">IF(LEN(AC514),lower(concatenate("bosvendor-",'2-Building'!B$4,"-",INDEX(D:D, MATCH(AC514, J:J, 0)),INDEX(E:E, MATCH(AC514, J:J, 0)))),"")</f>
        <v/>
      </c>
      <c r="AA514" s="28"/>
      <c r="AB514" s="28"/>
      <c r="AC514" s="28"/>
      <c r="AD514" s="28"/>
    </row>
    <row r="515" ht="30.0" customHeight="1">
      <c r="A515" s="488"/>
      <c r="B515" s="582"/>
      <c r="C515" s="256"/>
      <c r="D515" s="582"/>
      <c r="E515" s="488"/>
      <c r="F515" s="258"/>
      <c r="G515" s="173"/>
      <c r="H515" s="173"/>
      <c r="I515" s="576"/>
      <c r="J515" s="580"/>
      <c r="K515" s="569" t="str">
        <f t="shared" si="1"/>
        <v/>
      </c>
      <c r="L515" s="572"/>
      <c r="M515" s="173"/>
      <c r="N515" s="173"/>
      <c r="O515" s="173"/>
      <c r="P515" s="573"/>
      <c r="Q515" s="573"/>
      <c r="R515" s="173"/>
      <c r="S515" s="173"/>
      <c r="T515" s="173"/>
      <c r="U515" s="173"/>
      <c r="V515" s="173"/>
      <c r="W515" s="574"/>
      <c r="X515" s="575"/>
      <c r="Y515" s="28"/>
      <c r="Z515" s="543" t="str">
        <f t="array" ref="Z515">IF(LEN(AC515),lower(concatenate("bosvendor-",'2-Building'!B$4,"-",INDEX(D:D, MATCH(AC515, J:J, 0)),INDEX(E:E, MATCH(AC515, J:J, 0)))),"")</f>
        <v/>
      </c>
      <c r="AA515" s="28"/>
      <c r="AB515" s="28"/>
      <c r="AC515" s="28"/>
      <c r="AD515" s="28"/>
    </row>
    <row r="516" ht="30.0" customHeight="1">
      <c r="A516" s="488"/>
      <c r="B516" s="582"/>
      <c r="C516" s="256"/>
      <c r="D516" s="582"/>
      <c r="E516" s="488"/>
      <c r="F516" s="258"/>
      <c r="G516" s="173"/>
      <c r="H516" s="173"/>
      <c r="I516" s="576"/>
      <c r="J516" s="580"/>
      <c r="K516" s="569" t="str">
        <f t="shared" si="1"/>
        <v/>
      </c>
      <c r="L516" s="572"/>
      <c r="M516" s="173"/>
      <c r="N516" s="173"/>
      <c r="O516" s="173"/>
      <c r="P516" s="573"/>
      <c r="Q516" s="573"/>
      <c r="R516" s="173"/>
      <c r="S516" s="173"/>
      <c r="T516" s="173"/>
      <c r="U516" s="173"/>
      <c r="V516" s="173"/>
      <c r="W516" s="574"/>
      <c r="X516" s="575"/>
      <c r="Y516" s="28"/>
      <c r="Z516" s="543" t="str">
        <f t="array" ref="Z516">IF(LEN(AC516),lower(concatenate("bosvendor-",'2-Building'!B$4,"-",INDEX(D:D, MATCH(AC516, J:J, 0)),INDEX(E:E, MATCH(AC516, J:J, 0)))),"")</f>
        <v/>
      </c>
      <c r="AA516" s="28"/>
      <c r="AB516" s="28"/>
      <c r="AC516" s="28"/>
      <c r="AD516" s="28"/>
    </row>
    <row r="517" ht="30.0" customHeight="1">
      <c r="A517" s="488"/>
      <c r="B517" s="582"/>
      <c r="C517" s="256"/>
      <c r="D517" s="582"/>
      <c r="E517" s="488"/>
      <c r="F517" s="258"/>
      <c r="G517" s="173"/>
      <c r="H517" s="173"/>
      <c r="I517" s="576"/>
      <c r="J517" s="580"/>
      <c r="K517" s="569" t="str">
        <f t="shared" si="1"/>
        <v/>
      </c>
      <c r="L517" s="572"/>
      <c r="M517" s="173"/>
      <c r="N517" s="173"/>
      <c r="O517" s="173"/>
      <c r="P517" s="573"/>
      <c r="Q517" s="573"/>
      <c r="R517" s="173"/>
      <c r="S517" s="173"/>
      <c r="T517" s="173"/>
      <c r="U517" s="173"/>
      <c r="V517" s="173"/>
      <c r="W517" s="574"/>
      <c r="X517" s="575"/>
      <c r="Y517" s="28"/>
      <c r="Z517" s="543" t="str">
        <f t="array" ref="Z517">IF(LEN(AC517),lower(concatenate("bosvendor-",'2-Building'!B$4,"-",INDEX(D:D, MATCH(AC517, J:J, 0)),INDEX(E:E, MATCH(AC517, J:J, 0)))),"")</f>
        <v/>
      </c>
      <c r="AA517" s="28"/>
      <c r="AB517" s="28"/>
      <c r="AC517" s="28"/>
      <c r="AD517" s="28"/>
    </row>
    <row r="518" ht="30.0" customHeight="1">
      <c r="A518" s="488"/>
      <c r="B518" s="582"/>
      <c r="C518" s="256"/>
      <c r="D518" s="582"/>
      <c r="E518" s="488"/>
      <c r="F518" s="258"/>
      <c r="G518" s="173"/>
      <c r="H518" s="173"/>
      <c r="I518" s="576"/>
      <c r="J518" s="580"/>
      <c r="K518" s="569" t="str">
        <f t="shared" si="1"/>
        <v/>
      </c>
      <c r="L518" s="572"/>
      <c r="M518" s="173"/>
      <c r="N518" s="173"/>
      <c r="O518" s="173"/>
      <c r="P518" s="573"/>
      <c r="Q518" s="573"/>
      <c r="R518" s="173"/>
      <c r="S518" s="173"/>
      <c r="T518" s="173"/>
      <c r="U518" s="173"/>
      <c r="V518" s="173"/>
      <c r="W518" s="574"/>
      <c r="X518" s="575"/>
      <c r="Y518" s="28"/>
      <c r="Z518" s="543" t="str">
        <f t="array" ref="Z518">IF(LEN(AC518),lower(concatenate("bosvendor-",'2-Building'!B$4,"-",INDEX(D:D, MATCH(AC518, J:J, 0)),INDEX(E:E, MATCH(AC518, J:J, 0)))),"")</f>
        <v/>
      </c>
      <c r="AA518" s="28"/>
      <c r="AB518" s="28"/>
      <c r="AC518" s="28"/>
      <c r="AD518" s="28"/>
    </row>
    <row r="519" ht="30.0" customHeight="1">
      <c r="A519" s="488"/>
      <c r="B519" s="582"/>
      <c r="C519" s="256"/>
      <c r="D519" s="582"/>
      <c r="E519" s="488"/>
      <c r="F519" s="258"/>
      <c r="G519" s="173"/>
      <c r="H519" s="173"/>
      <c r="I519" s="576"/>
      <c r="J519" s="580"/>
      <c r="K519" s="569" t="str">
        <f t="shared" si="1"/>
        <v/>
      </c>
      <c r="L519" s="572"/>
      <c r="M519" s="173"/>
      <c r="N519" s="173"/>
      <c r="O519" s="173"/>
      <c r="P519" s="573"/>
      <c r="Q519" s="573"/>
      <c r="R519" s="173"/>
      <c r="S519" s="173"/>
      <c r="T519" s="173"/>
      <c r="U519" s="173"/>
      <c r="V519" s="173"/>
      <c r="W519" s="574"/>
      <c r="X519" s="575"/>
      <c r="Y519" s="28"/>
      <c r="Z519" s="543" t="str">
        <f t="array" ref="Z519">IF(LEN(AC519),lower(concatenate("bosvendor-",'2-Building'!B$4,"-",INDEX(D:D, MATCH(AC519, J:J, 0)),INDEX(E:E, MATCH(AC519, J:J, 0)))),"")</f>
        <v/>
      </c>
      <c r="AA519" s="28"/>
      <c r="AB519" s="28"/>
      <c r="AC519" s="28"/>
      <c r="AD519" s="28"/>
    </row>
    <row r="520" ht="30.0" customHeight="1">
      <c r="A520" s="488"/>
      <c r="B520" s="582"/>
      <c r="C520" s="256"/>
      <c r="D520" s="582"/>
      <c r="E520" s="488"/>
      <c r="F520" s="258"/>
      <c r="G520" s="173"/>
      <c r="H520" s="173"/>
      <c r="I520" s="576"/>
      <c r="J520" s="580"/>
      <c r="K520" s="569" t="str">
        <f t="shared" si="1"/>
        <v/>
      </c>
      <c r="L520" s="572"/>
      <c r="M520" s="173"/>
      <c r="N520" s="173"/>
      <c r="O520" s="173"/>
      <c r="P520" s="573"/>
      <c r="Q520" s="573"/>
      <c r="R520" s="173"/>
      <c r="S520" s="173"/>
      <c r="T520" s="173"/>
      <c r="U520" s="173"/>
      <c r="V520" s="173"/>
      <c r="W520" s="574"/>
      <c r="X520" s="575"/>
      <c r="Y520" s="28"/>
      <c r="Z520" s="543" t="str">
        <f t="array" ref="Z520">IF(LEN(AC520),lower(concatenate("bosvendor-",'2-Building'!B$4,"-",INDEX(D:D, MATCH(AC520, J:J, 0)),INDEX(E:E, MATCH(AC520, J:J, 0)))),"")</f>
        <v/>
      </c>
      <c r="AA520" s="28"/>
      <c r="AB520" s="28"/>
      <c r="AC520" s="28"/>
      <c r="AD520" s="28"/>
    </row>
    <row r="521" ht="30.0" customHeight="1">
      <c r="A521" s="488"/>
      <c r="B521" s="582"/>
      <c r="C521" s="256"/>
      <c r="D521" s="582"/>
      <c r="E521" s="488"/>
      <c r="F521" s="258"/>
      <c r="G521" s="173"/>
      <c r="H521" s="173"/>
      <c r="I521" s="576"/>
      <c r="J521" s="580"/>
      <c r="K521" s="569" t="str">
        <f t="shared" si="1"/>
        <v/>
      </c>
      <c r="L521" s="572"/>
      <c r="M521" s="173"/>
      <c r="N521" s="173"/>
      <c r="O521" s="173"/>
      <c r="P521" s="573"/>
      <c r="Q521" s="573"/>
      <c r="R521" s="173"/>
      <c r="S521" s="173"/>
      <c r="T521" s="173"/>
      <c r="U521" s="173"/>
      <c r="V521" s="173"/>
      <c r="W521" s="574"/>
      <c r="X521" s="575"/>
      <c r="Y521" s="28"/>
      <c r="Z521" s="543" t="str">
        <f t="array" ref="Z521">IF(LEN(AC521),lower(concatenate("bosvendor-",'2-Building'!B$4,"-",INDEX(D:D, MATCH(AC521, J:J, 0)),INDEX(E:E, MATCH(AC521, J:J, 0)))),"")</f>
        <v/>
      </c>
      <c r="AA521" s="28"/>
      <c r="AB521" s="28"/>
      <c r="AC521" s="28"/>
      <c r="AD521" s="28"/>
    </row>
    <row r="522" ht="30.0" customHeight="1">
      <c r="A522" s="488"/>
      <c r="B522" s="582"/>
      <c r="C522" s="256"/>
      <c r="D522" s="582"/>
      <c r="E522" s="488"/>
      <c r="F522" s="258"/>
      <c r="G522" s="173"/>
      <c r="H522" s="173"/>
      <c r="I522" s="576"/>
      <c r="J522" s="580"/>
      <c r="K522" s="569" t="str">
        <f t="shared" si="1"/>
        <v/>
      </c>
      <c r="L522" s="572"/>
      <c r="M522" s="173"/>
      <c r="N522" s="173"/>
      <c r="O522" s="173"/>
      <c r="P522" s="573"/>
      <c r="Q522" s="573"/>
      <c r="R522" s="173"/>
      <c r="S522" s="173"/>
      <c r="T522" s="173"/>
      <c r="U522" s="173"/>
      <c r="V522" s="173"/>
      <c r="W522" s="574"/>
      <c r="X522" s="575"/>
      <c r="Y522" s="28"/>
      <c r="Z522" s="543" t="str">
        <f t="array" ref="Z522">IF(LEN(AC522),lower(concatenate("bosvendor-",'2-Building'!B$4,"-",INDEX(D:D, MATCH(AC522, J:J, 0)),INDEX(E:E, MATCH(AC522, J:J, 0)))),"")</f>
        <v/>
      </c>
      <c r="AA522" s="28"/>
      <c r="AB522" s="28"/>
      <c r="AC522" s="28"/>
      <c r="AD522" s="28"/>
    </row>
    <row r="523" ht="30.0" customHeight="1">
      <c r="A523" s="488"/>
      <c r="B523" s="582"/>
      <c r="C523" s="256"/>
      <c r="D523" s="582"/>
      <c r="E523" s="488"/>
      <c r="F523" s="258"/>
      <c r="G523" s="173"/>
      <c r="H523" s="173"/>
      <c r="I523" s="576"/>
      <c r="J523" s="580"/>
      <c r="K523" s="569" t="str">
        <f t="shared" si="1"/>
        <v/>
      </c>
      <c r="L523" s="572"/>
      <c r="M523" s="173"/>
      <c r="N523" s="173"/>
      <c r="O523" s="173"/>
      <c r="P523" s="573"/>
      <c r="Q523" s="573"/>
      <c r="R523" s="173"/>
      <c r="S523" s="173"/>
      <c r="T523" s="173"/>
      <c r="U523" s="173"/>
      <c r="V523" s="173"/>
      <c r="W523" s="574"/>
      <c r="X523" s="575"/>
      <c r="Y523" s="28"/>
      <c r="Z523" s="543" t="str">
        <f t="array" ref="Z523">IF(LEN(AC523),lower(concatenate("bosvendor-",'2-Building'!B$4,"-",INDEX(D:D, MATCH(AC523, J:J, 0)),INDEX(E:E, MATCH(AC523, J:J, 0)))),"")</f>
        <v/>
      </c>
      <c r="AA523" s="28"/>
      <c r="AB523" s="28"/>
      <c r="AC523" s="28"/>
      <c r="AD523" s="28"/>
    </row>
    <row r="524" ht="30.0" customHeight="1">
      <c r="A524" s="488"/>
      <c r="B524" s="582"/>
      <c r="C524" s="256"/>
      <c r="D524" s="582"/>
      <c r="E524" s="488"/>
      <c r="F524" s="258"/>
      <c r="G524" s="173"/>
      <c r="H524" s="173"/>
      <c r="I524" s="576"/>
      <c r="J524" s="580"/>
      <c r="K524" s="569" t="str">
        <f t="shared" si="1"/>
        <v/>
      </c>
      <c r="L524" s="572"/>
      <c r="M524" s="173"/>
      <c r="N524" s="173"/>
      <c r="O524" s="173"/>
      <c r="P524" s="573"/>
      <c r="Q524" s="573"/>
      <c r="R524" s="173"/>
      <c r="S524" s="173"/>
      <c r="T524" s="173"/>
      <c r="U524" s="173"/>
      <c r="V524" s="173"/>
      <c r="W524" s="574"/>
      <c r="X524" s="575"/>
      <c r="Y524" s="28"/>
      <c r="Z524" s="543" t="str">
        <f t="array" ref="Z524">IF(LEN(AC524),lower(concatenate("bosvendor-",'2-Building'!B$4,"-",INDEX(D:D, MATCH(AC524, J:J, 0)),INDEX(E:E, MATCH(AC524, J:J, 0)))),"")</f>
        <v/>
      </c>
      <c r="AA524" s="28"/>
      <c r="AB524" s="28"/>
      <c r="AC524" s="28"/>
      <c r="AD524" s="28"/>
    </row>
    <row r="525" ht="30.0" customHeight="1">
      <c r="A525" s="488"/>
      <c r="B525" s="582"/>
      <c r="C525" s="256"/>
      <c r="D525" s="582"/>
      <c r="E525" s="488"/>
      <c r="F525" s="258"/>
      <c r="G525" s="173"/>
      <c r="H525" s="173"/>
      <c r="I525" s="576"/>
      <c r="J525" s="580"/>
      <c r="K525" s="569" t="str">
        <f t="shared" si="1"/>
        <v/>
      </c>
      <c r="L525" s="572"/>
      <c r="M525" s="173"/>
      <c r="N525" s="173"/>
      <c r="O525" s="173"/>
      <c r="P525" s="573"/>
      <c r="Q525" s="573"/>
      <c r="R525" s="173"/>
      <c r="S525" s="173"/>
      <c r="T525" s="173"/>
      <c r="U525" s="173"/>
      <c r="V525" s="173"/>
      <c r="W525" s="574"/>
      <c r="X525" s="575"/>
      <c r="Y525" s="28"/>
      <c r="Z525" s="543" t="str">
        <f t="array" ref="Z525">IF(LEN(AC525),lower(concatenate("bosvendor-",'2-Building'!B$4,"-",INDEX(D:D, MATCH(AC525, J:J, 0)),INDEX(E:E, MATCH(AC525, J:J, 0)))),"")</f>
        <v/>
      </c>
      <c r="AA525" s="28"/>
      <c r="AB525" s="28"/>
      <c r="AC525" s="28"/>
      <c r="AD525" s="28"/>
    </row>
    <row r="526" ht="30.0" customHeight="1">
      <c r="A526" s="488"/>
      <c r="B526" s="582"/>
      <c r="C526" s="256"/>
      <c r="D526" s="582"/>
      <c r="E526" s="488"/>
      <c r="F526" s="258"/>
      <c r="G526" s="173"/>
      <c r="H526" s="173"/>
      <c r="I526" s="576"/>
      <c r="J526" s="580"/>
      <c r="K526" s="569" t="str">
        <f t="shared" si="1"/>
        <v/>
      </c>
      <c r="L526" s="572"/>
      <c r="M526" s="173"/>
      <c r="N526" s="173"/>
      <c r="O526" s="173"/>
      <c r="P526" s="573"/>
      <c r="Q526" s="573"/>
      <c r="R526" s="173"/>
      <c r="S526" s="173"/>
      <c r="T526" s="173"/>
      <c r="U526" s="173"/>
      <c r="V526" s="173"/>
      <c r="W526" s="574"/>
      <c r="X526" s="575"/>
      <c r="Y526" s="28"/>
      <c r="Z526" s="543" t="str">
        <f t="array" ref="Z526">IF(LEN(AC526),lower(concatenate("bosvendor-",'2-Building'!B$4,"-",INDEX(D:D, MATCH(AC526, J:J, 0)),INDEX(E:E, MATCH(AC526, J:J, 0)))),"")</f>
        <v/>
      </c>
      <c r="AA526" s="28"/>
      <c r="AB526" s="28"/>
      <c r="AC526" s="28"/>
      <c r="AD526" s="28"/>
    </row>
    <row r="527" ht="30.0" customHeight="1">
      <c r="A527" s="488"/>
      <c r="B527" s="582"/>
      <c r="C527" s="256"/>
      <c r="D527" s="582"/>
      <c r="E527" s="488"/>
      <c r="F527" s="258"/>
      <c r="G527" s="173"/>
      <c r="H527" s="173"/>
      <c r="I527" s="576"/>
      <c r="J527" s="580"/>
      <c r="K527" s="569" t="str">
        <f t="shared" si="1"/>
        <v/>
      </c>
      <c r="L527" s="572"/>
      <c r="M527" s="173"/>
      <c r="N527" s="173"/>
      <c r="O527" s="173"/>
      <c r="P527" s="573"/>
      <c r="Q527" s="573"/>
      <c r="R527" s="173"/>
      <c r="S527" s="173"/>
      <c r="T527" s="173"/>
      <c r="U527" s="173"/>
      <c r="V527" s="173"/>
      <c r="W527" s="574"/>
      <c r="X527" s="575"/>
      <c r="Y527" s="28"/>
      <c r="Z527" s="543" t="str">
        <f t="array" ref="Z527">IF(LEN(AC527),lower(concatenate("bosvendor-",'2-Building'!B$4,"-",INDEX(D:D, MATCH(AC527, J:J, 0)),INDEX(E:E, MATCH(AC527, J:J, 0)))),"")</f>
        <v/>
      </c>
      <c r="AA527" s="28"/>
      <c r="AB527" s="28"/>
      <c r="AC527" s="28"/>
      <c r="AD527" s="28"/>
    </row>
    <row r="528" ht="30.0" customHeight="1">
      <c r="A528" s="488"/>
      <c r="B528" s="582"/>
      <c r="C528" s="256"/>
      <c r="D528" s="582"/>
      <c r="E528" s="488"/>
      <c r="F528" s="258"/>
      <c r="G528" s="173"/>
      <c r="H528" s="173"/>
      <c r="I528" s="576"/>
      <c r="J528" s="580"/>
      <c r="K528" s="569" t="str">
        <f t="shared" si="1"/>
        <v/>
      </c>
      <c r="L528" s="572"/>
      <c r="M528" s="173"/>
      <c r="N528" s="173"/>
      <c r="O528" s="173"/>
      <c r="P528" s="573"/>
      <c r="Q528" s="573"/>
      <c r="R528" s="173"/>
      <c r="S528" s="173"/>
      <c r="T528" s="173"/>
      <c r="U528" s="173"/>
      <c r="V528" s="173"/>
      <c r="W528" s="574"/>
      <c r="X528" s="575"/>
      <c r="Y528" s="28"/>
      <c r="Z528" s="543" t="str">
        <f t="array" ref="Z528">IF(LEN(AC528),lower(concatenate("bosvendor-",'2-Building'!B$4,"-",INDEX(D:D, MATCH(AC528, J:J, 0)),INDEX(E:E, MATCH(AC528, J:J, 0)))),"")</f>
        <v/>
      </c>
      <c r="AA528" s="28"/>
      <c r="AB528" s="28"/>
      <c r="AC528" s="28"/>
      <c r="AD528" s="28"/>
    </row>
    <row r="529" ht="30.0" customHeight="1">
      <c r="A529" s="488"/>
      <c r="B529" s="582"/>
      <c r="C529" s="256"/>
      <c r="D529" s="582"/>
      <c r="E529" s="488"/>
      <c r="F529" s="258"/>
      <c r="G529" s="173"/>
      <c r="H529" s="173"/>
      <c r="I529" s="576"/>
      <c r="J529" s="580"/>
      <c r="K529" s="569" t="str">
        <f t="shared" si="1"/>
        <v/>
      </c>
      <c r="L529" s="572"/>
      <c r="M529" s="173"/>
      <c r="N529" s="173"/>
      <c r="O529" s="173"/>
      <c r="P529" s="573"/>
      <c r="Q529" s="573"/>
      <c r="R529" s="173"/>
      <c r="S529" s="173"/>
      <c r="T529" s="173"/>
      <c r="U529" s="173"/>
      <c r="V529" s="173"/>
      <c r="W529" s="574"/>
      <c r="X529" s="575"/>
      <c r="Y529" s="28"/>
      <c r="Z529" s="543" t="str">
        <f t="array" ref="Z529">IF(LEN(AC529),lower(concatenate("bosvendor-",'2-Building'!B$4,"-",INDEX(D:D, MATCH(AC529, J:J, 0)),INDEX(E:E, MATCH(AC529, J:J, 0)))),"")</f>
        <v/>
      </c>
      <c r="AA529" s="28"/>
      <c r="AB529" s="28"/>
      <c r="AC529" s="28"/>
      <c r="AD529" s="28"/>
    </row>
    <row r="530" ht="30.0" customHeight="1">
      <c r="A530" s="488"/>
      <c r="B530" s="582"/>
      <c r="C530" s="256"/>
      <c r="D530" s="582"/>
      <c r="E530" s="488"/>
      <c r="F530" s="258"/>
      <c r="G530" s="173"/>
      <c r="H530" s="173"/>
      <c r="I530" s="576"/>
      <c r="J530" s="580"/>
      <c r="K530" s="569" t="str">
        <f t="shared" si="1"/>
        <v/>
      </c>
      <c r="L530" s="572"/>
      <c r="M530" s="173"/>
      <c r="N530" s="173"/>
      <c r="O530" s="173"/>
      <c r="P530" s="573"/>
      <c r="Q530" s="573"/>
      <c r="R530" s="173"/>
      <c r="S530" s="173"/>
      <c r="T530" s="173"/>
      <c r="U530" s="173"/>
      <c r="V530" s="173"/>
      <c r="W530" s="574"/>
      <c r="X530" s="575"/>
      <c r="Y530" s="28"/>
      <c r="Z530" s="543" t="str">
        <f t="array" ref="Z530">IF(LEN(AC530),lower(concatenate("bosvendor-",'2-Building'!B$4,"-",INDEX(D:D, MATCH(AC530, J:J, 0)),INDEX(E:E, MATCH(AC530, J:J, 0)))),"")</f>
        <v/>
      </c>
      <c r="AA530" s="28"/>
      <c r="AB530" s="28"/>
      <c r="AC530" s="28"/>
      <c r="AD530" s="28"/>
    </row>
    <row r="531" ht="30.0" customHeight="1">
      <c r="A531" s="488"/>
      <c r="B531" s="582"/>
      <c r="C531" s="256"/>
      <c r="D531" s="582"/>
      <c r="E531" s="488"/>
      <c r="F531" s="258"/>
      <c r="G531" s="173"/>
      <c r="H531" s="173"/>
      <c r="I531" s="576"/>
      <c r="J531" s="580"/>
      <c r="K531" s="569" t="str">
        <f t="shared" si="1"/>
        <v/>
      </c>
      <c r="L531" s="572"/>
      <c r="M531" s="173"/>
      <c r="N531" s="173"/>
      <c r="O531" s="173"/>
      <c r="P531" s="573"/>
      <c r="Q531" s="573"/>
      <c r="R531" s="173"/>
      <c r="S531" s="173"/>
      <c r="T531" s="173"/>
      <c r="U531" s="173"/>
      <c r="V531" s="173"/>
      <c r="W531" s="574"/>
      <c r="X531" s="575"/>
      <c r="Y531" s="28"/>
      <c r="Z531" s="543" t="str">
        <f t="array" ref="Z531">IF(LEN(AC531),lower(concatenate("bosvendor-",'2-Building'!B$4,"-",INDEX(D:D, MATCH(AC531, J:J, 0)),INDEX(E:E, MATCH(AC531, J:J, 0)))),"")</f>
        <v/>
      </c>
      <c r="AA531" s="28"/>
      <c r="AB531" s="28"/>
      <c r="AC531" s="28"/>
      <c r="AD531" s="28"/>
    </row>
    <row r="532" ht="30.0" customHeight="1">
      <c r="A532" s="488"/>
      <c r="B532" s="582"/>
      <c r="C532" s="256"/>
      <c r="D532" s="582"/>
      <c r="E532" s="488"/>
      <c r="F532" s="258"/>
      <c r="G532" s="173"/>
      <c r="H532" s="173"/>
      <c r="I532" s="576"/>
      <c r="J532" s="580"/>
      <c r="K532" s="569" t="str">
        <f t="shared" si="1"/>
        <v/>
      </c>
      <c r="L532" s="572"/>
      <c r="M532" s="173"/>
      <c r="N532" s="173"/>
      <c r="O532" s="173"/>
      <c r="P532" s="573"/>
      <c r="Q532" s="573"/>
      <c r="R532" s="173"/>
      <c r="S532" s="173"/>
      <c r="T532" s="173"/>
      <c r="U532" s="173"/>
      <c r="V532" s="173"/>
      <c r="W532" s="574"/>
      <c r="X532" s="575"/>
      <c r="Y532" s="28"/>
      <c r="Z532" s="543" t="str">
        <f t="array" ref="Z532">IF(LEN(AC532),lower(concatenate("bosvendor-",'2-Building'!B$4,"-",INDEX(D:D, MATCH(AC532, J:J, 0)),INDEX(E:E, MATCH(AC532, J:J, 0)))),"")</f>
        <v/>
      </c>
      <c r="AA532" s="28"/>
      <c r="AB532" s="28"/>
      <c r="AC532" s="28"/>
      <c r="AD532" s="28"/>
    </row>
    <row r="533" ht="30.0" customHeight="1">
      <c r="A533" s="488"/>
      <c r="B533" s="582"/>
      <c r="C533" s="256"/>
      <c r="D533" s="582"/>
      <c r="E533" s="488"/>
      <c r="F533" s="258"/>
      <c r="G533" s="173"/>
      <c r="H533" s="173"/>
      <c r="I533" s="576"/>
      <c r="J533" s="580"/>
      <c r="K533" s="569" t="str">
        <f t="shared" si="1"/>
        <v/>
      </c>
      <c r="L533" s="572"/>
      <c r="M533" s="173"/>
      <c r="N533" s="173"/>
      <c r="O533" s="173"/>
      <c r="P533" s="573"/>
      <c r="Q533" s="573"/>
      <c r="R533" s="173"/>
      <c r="S533" s="173"/>
      <c r="T533" s="173"/>
      <c r="U533" s="173"/>
      <c r="V533" s="173"/>
      <c r="W533" s="574"/>
      <c r="X533" s="575"/>
      <c r="Y533" s="28"/>
      <c r="Z533" s="543" t="str">
        <f t="array" ref="Z533">IF(LEN(AC533),lower(concatenate("bosvendor-",'2-Building'!B$4,"-",INDEX(D:D, MATCH(AC533, J:J, 0)),INDEX(E:E, MATCH(AC533, J:J, 0)))),"")</f>
        <v/>
      </c>
      <c r="AA533" s="28"/>
      <c r="AB533" s="28"/>
      <c r="AC533" s="28"/>
      <c r="AD533" s="28"/>
    </row>
    <row r="534" ht="30.0" customHeight="1">
      <c r="A534" s="488"/>
      <c r="B534" s="582"/>
      <c r="C534" s="256"/>
      <c r="D534" s="582"/>
      <c r="E534" s="488"/>
      <c r="F534" s="258"/>
      <c r="G534" s="173"/>
      <c r="H534" s="173"/>
      <c r="I534" s="576"/>
      <c r="J534" s="580"/>
      <c r="K534" s="569" t="str">
        <f t="shared" si="1"/>
        <v/>
      </c>
      <c r="L534" s="572"/>
      <c r="M534" s="173"/>
      <c r="N534" s="173"/>
      <c r="O534" s="173"/>
      <c r="P534" s="573"/>
      <c r="Q534" s="573"/>
      <c r="R534" s="173"/>
      <c r="S534" s="173"/>
      <c r="T534" s="173"/>
      <c r="U534" s="173"/>
      <c r="V534" s="173"/>
      <c r="W534" s="574"/>
      <c r="X534" s="575"/>
      <c r="Y534" s="28"/>
      <c r="Z534" s="543" t="str">
        <f t="array" ref="Z534">IF(LEN(AC534),lower(concatenate("bosvendor-",'2-Building'!B$4,"-",INDEX(D:D, MATCH(AC534, J:J, 0)),INDEX(E:E, MATCH(AC534, J:J, 0)))),"")</f>
        <v/>
      </c>
      <c r="AA534" s="28"/>
      <c r="AB534" s="28"/>
      <c r="AC534" s="28"/>
      <c r="AD534" s="28"/>
    </row>
    <row r="535" ht="30.0" customHeight="1">
      <c r="A535" s="488"/>
      <c r="B535" s="582"/>
      <c r="C535" s="256"/>
      <c r="D535" s="582"/>
      <c r="E535" s="488"/>
      <c r="F535" s="258"/>
      <c r="G535" s="173"/>
      <c r="H535" s="173"/>
      <c r="I535" s="576"/>
      <c r="J535" s="580"/>
      <c r="K535" s="569" t="str">
        <f t="shared" si="1"/>
        <v/>
      </c>
      <c r="L535" s="572"/>
      <c r="M535" s="173"/>
      <c r="N535" s="173"/>
      <c r="O535" s="173"/>
      <c r="P535" s="573"/>
      <c r="Q535" s="573"/>
      <c r="R535" s="173"/>
      <c r="S535" s="173"/>
      <c r="T535" s="173"/>
      <c r="U535" s="173"/>
      <c r="V535" s="173"/>
      <c r="W535" s="574"/>
      <c r="X535" s="575"/>
      <c r="Y535" s="28"/>
      <c r="Z535" s="543" t="str">
        <f t="array" ref="Z535">IF(LEN(AC535),lower(concatenate("bosvendor-",'2-Building'!B$4,"-",INDEX(D:D, MATCH(AC535, J:J, 0)),INDEX(E:E, MATCH(AC535, J:J, 0)))),"")</f>
        <v/>
      </c>
      <c r="AA535" s="28"/>
      <c r="AB535" s="28"/>
      <c r="AC535" s="28"/>
      <c r="AD535" s="28"/>
    </row>
    <row r="536" ht="30.0" customHeight="1">
      <c r="A536" s="488"/>
      <c r="B536" s="582"/>
      <c r="C536" s="256"/>
      <c r="D536" s="582"/>
      <c r="E536" s="488"/>
      <c r="F536" s="258"/>
      <c r="G536" s="173"/>
      <c r="H536" s="173"/>
      <c r="I536" s="576"/>
      <c r="J536" s="580"/>
      <c r="K536" s="569" t="str">
        <f t="shared" si="1"/>
        <v/>
      </c>
      <c r="L536" s="572"/>
      <c r="M536" s="173"/>
      <c r="N536" s="173"/>
      <c r="O536" s="173"/>
      <c r="P536" s="573"/>
      <c r="Q536" s="573"/>
      <c r="R536" s="173"/>
      <c r="S536" s="173"/>
      <c r="T536" s="173"/>
      <c r="U536" s="173"/>
      <c r="V536" s="173"/>
      <c r="W536" s="574"/>
      <c r="X536" s="575"/>
      <c r="Y536" s="28"/>
      <c r="Z536" s="543" t="str">
        <f t="array" ref="Z536">IF(LEN(AC536),lower(concatenate("bosvendor-",'2-Building'!B$4,"-",INDEX(D:D, MATCH(AC536, J:J, 0)),INDEX(E:E, MATCH(AC536, J:J, 0)))),"")</f>
        <v/>
      </c>
      <c r="AA536" s="28"/>
      <c r="AB536" s="28"/>
      <c r="AC536" s="28"/>
      <c r="AD536" s="28"/>
    </row>
    <row r="537" ht="30.0" customHeight="1">
      <c r="A537" s="488"/>
      <c r="B537" s="582"/>
      <c r="C537" s="256"/>
      <c r="D537" s="582"/>
      <c r="E537" s="488"/>
      <c r="F537" s="258"/>
      <c r="G537" s="173"/>
      <c r="H537" s="173"/>
      <c r="I537" s="576"/>
      <c r="J537" s="580"/>
      <c r="K537" s="569" t="str">
        <f t="shared" si="1"/>
        <v/>
      </c>
      <c r="L537" s="572"/>
      <c r="M537" s="173"/>
      <c r="N537" s="173"/>
      <c r="O537" s="173"/>
      <c r="P537" s="573"/>
      <c r="Q537" s="573"/>
      <c r="R537" s="173"/>
      <c r="S537" s="173"/>
      <c r="T537" s="173"/>
      <c r="U537" s="173"/>
      <c r="V537" s="173"/>
      <c r="W537" s="574"/>
      <c r="X537" s="575"/>
      <c r="Y537" s="28"/>
      <c r="Z537" s="543" t="str">
        <f t="array" ref="Z537">IF(LEN(AC537),lower(concatenate("bosvendor-",'2-Building'!B$4,"-",INDEX(D:D, MATCH(AC537, J:J, 0)),INDEX(E:E, MATCH(AC537, J:J, 0)))),"")</f>
        <v/>
      </c>
      <c r="AA537" s="28"/>
      <c r="AB537" s="28"/>
      <c r="AC537" s="28"/>
      <c r="AD537" s="28"/>
    </row>
    <row r="538" ht="30.0" customHeight="1">
      <c r="A538" s="488"/>
      <c r="B538" s="582"/>
      <c r="C538" s="256"/>
      <c r="D538" s="582"/>
      <c r="E538" s="488"/>
      <c r="F538" s="258"/>
      <c r="G538" s="173"/>
      <c r="H538" s="173"/>
      <c r="I538" s="576"/>
      <c r="J538" s="580"/>
      <c r="K538" s="569" t="str">
        <f t="shared" si="1"/>
        <v/>
      </c>
      <c r="L538" s="572"/>
      <c r="M538" s="173"/>
      <c r="N538" s="173"/>
      <c r="O538" s="173"/>
      <c r="P538" s="573"/>
      <c r="Q538" s="573"/>
      <c r="R538" s="173"/>
      <c r="S538" s="173"/>
      <c r="T538" s="173"/>
      <c r="U538" s="173"/>
      <c r="V538" s="173"/>
      <c r="W538" s="574"/>
      <c r="X538" s="575"/>
      <c r="Y538" s="28"/>
      <c r="Z538" s="543" t="str">
        <f t="array" ref="Z538">IF(LEN(AC538),lower(concatenate("bosvendor-",'2-Building'!B$4,"-",INDEX(D:D, MATCH(AC538, J:J, 0)),INDEX(E:E, MATCH(AC538, J:J, 0)))),"")</f>
        <v/>
      </c>
      <c r="AA538" s="28"/>
      <c r="AB538" s="28"/>
      <c r="AC538" s="28"/>
      <c r="AD538" s="28"/>
    </row>
    <row r="539" ht="30.0" customHeight="1">
      <c r="A539" s="488"/>
      <c r="B539" s="582"/>
      <c r="C539" s="256"/>
      <c r="D539" s="582"/>
      <c r="E539" s="488"/>
      <c r="F539" s="258"/>
      <c r="G539" s="173"/>
      <c r="H539" s="173"/>
      <c r="I539" s="576"/>
      <c r="J539" s="580"/>
      <c r="K539" s="569" t="str">
        <f t="shared" si="1"/>
        <v/>
      </c>
      <c r="L539" s="572"/>
      <c r="M539" s="173"/>
      <c r="N539" s="173"/>
      <c r="O539" s="173"/>
      <c r="P539" s="573"/>
      <c r="Q539" s="573"/>
      <c r="R539" s="173"/>
      <c r="S539" s="173"/>
      <c r="T539" s="173"/>
      <c r="U539" s="173"/>
      <c r="V539" s="173"/>
      <c r="W539" s="574"/>
      <c r="X539" s="575"/>
      <c r="Y539" s="28"/>
      <c r="Z539" s="543" t="str">
        <f t="array" ref="Z539">IF(LEN(AC539),lower(concatenate("bosvendor-",'2-Building'!B$4,"-",INDEX(D:D, MATCH(AC539, J:J, 0)),INDEX(E:E, MATCH(AC539, J:J, 0)))),"")</f>
        <v/>
      </c>
      <c r="AA539" s="28"/>
      <c r="AB539" s="28"/>
      <c r="AC539" s="28"/>
      <c r="AD539" s="28"/>
    </row>
    <row r="540" ht="30.0" customHeight="1">
      <c r="A540" s="488"/>
      <c r="B540" s="582"/>
      <c r="C540" s="256"/>
      <c r="D540" s="582"/>
      <c r="E540" s="488"/>
      <c r="F540" s="258"/>
      <c r="G540" s="173"/>
      <c r="H540" s="173"/>
      <c r="I540" s="576"/>
      <c r="J540" s="580"/>
      <c r="K540" s="569" t="str">
        <f t="shared" si="1"/>
        <v/>
      </c>
      <c r="L540" s="572"/>
      <c r="M540" s="173"/>
      <c r="N540" s="173"/>
      <c r="O540" s="173"/>
      <c r="P540" s="573"/>
      <c r="Q540" s="573"/>
      <c r="R540" s="173"/>
      <c r="S540" s="173"/>
      <c r="T540" s="173"/>
      <c r="U540" s="173"/>
      <c r="V540" s="173"/>
      <c r="W540" s="574"/>
      <c r="X540" s="575"/>
      <c r="Y540" s="28"/>
      <c r="Z540" s="543" t="str">
        <f t="array" ref="Z540">IF(LEN(AC540),lower(concatenate("bosvendor-",'2-Building'!B$4,"-",INDEX(D:D, MATCH(AC540, J:J, 0)),INDEX(E:E, MATCH(AC540, J:J, 0)))),"")</f>
        <v/>
      </c>
      <c r="AA540" s="28"/>
      <c r="AB540" s="28"/>
      <c r="AC540" s="28"/>
      <c r="AD540" s="28"/>
    </row>
    <row r="541" ht="30.0" customHeight="1">
      <c r="A541" s="488"/>
      <c r="B541" s="582"/>
      <c r="C541" s="256"/>
      <c r="D541" s="582"/>
      <c r="E541" s="488"/>
      <c r="F541" s="258"/>
      <c r="G541" s="173"/>
      <c r="H541" s="173"/>
      <c r="I541" s="576"/>
      <c r="J541" s="580"/>
      <c r="K541" s="569" t="str">
        <f t="shared" si="1"/>
        <v/>
      </c>
      <c r="L541" s="572"/>
      <c r="M541" s="173"/>
      <c r="N541" s="173"/>
      <c r="O541" s="173"/>
      <c r="P541" s="573"/>
      <c r="Q541" s="573"/>
      <c r="R541" s="173"/>
      <c r="S541" s="173"/>
      <c r="T541" s="173"/>
      <c r="U541" s="173"/>
      <c r="V541" s="173"/>
      <c r="W541" s="574"/>
      <c r="X541" s="575"/>
      <c r="Y541" s="28"/>
      <c r="Z541" s="543" t="str">
        <f t="array" ref="Z541">IF(LEN(AC541),lower(concatenate("bosvendor-",'2-Building'!B$4,"-",INDEX(D:D, MATCH(AC541, J:J, 0)),INDEX(E:E, MATCH(AC541, J:J, 0)))),"")</f>
        <v/>
      </c>
      <c r="AA541" s="28"/>
      <c r="AB541" s="28"/>
      <c r="AC541" s="28"/>
      <c r="AD541" s="28"/>
    </row>
    <row r="542" ht="30.0" customHeight="1">
      <c r="A542" s="488"/>
      <c r="B542" s="582"/>
      <c r="C542" s="256"/>
      <c r="D542" s="582"/>
      <c r="E542" s="488"/>
      <c r="F542" s="258"/>
      <c r="G542" s="173"/>
      <c r="H542" s="173"/>
      <c r="I542" s="576"/>
      <c r="J542" s="580"/>
      <c r="K542" s="569" t="str">
        <f t="shared" si="1"/>
        <v/>
      </c>
      <c r="L542" s="572"/>
      <c r="M542" s="173"/>
      <c r="N542" s="173"/>
      <c r="O542" s="173"/>
      <c r="P542" s="573"/>
      <c r="Q542" s="573"/>
      <c r="R542" s="173"/>
      <c r="S542" s="173"/>
      <c r="T542" s="173"/>
      <c r="U542" s="173"/>
      <c r="V542" s="173"/>
      <c r="W542" s="574"/>
      <c r="X542" s="575"/>
      <c r="Y542" s="28"/>
      <c r="Z542" s="543" t="str">
        <f t="array" ref="Z542">IF(LEN(AC542),lower(concatenate("bosvendor-",'2-Building'!B$4,"-",INDEX(D:D, MATCH(AC542, J:J, 0)),INDEX(E:E, MATCH(AC542, J:J, 0)))),"")</f>
        <v/>
      </c>
      <c r="AA542" s="28"/>
      <c r="AB542" s="28"/>
      <c r="AC542" s="28"/>
      <c r="AD542" s="28"/>
    </row>
    <row r="543" ht="30.0" customHeight="1">
      <c r="A543" s="488"/>
      <c r="B543" s="582"/>
      <c r="C543" s="256"/>
      <c r="D543" s="582"/>
      <c r="E543" s="488"/>
      <c r="F543" s="258"/>
      <c r="G543" s="173"/>
      <c r="H543" s="173"/>
      <c r="I543" s="576"/>
      <c r="J543" s="580"/>
      <c r="K543" s="569" t="str">
        <f t="shared" si="1"/>
        <v/>
      </c>
      <c r="L543" s="572"/>
      <c r="M543" s="173"/>
      <c r="N543" s="173"/>
      <c r="O543" s="173"/>
      <c r="P543" s="573"/>
      <c r="Q543" s="573"/>
      <c r="R543" s="173"/>
      <c r="S543" s="173"/>
      <c r="T543" s="173"/>
      <c r="U543" s="173"/>
      <c r="V543" s="173"/>
      <c r="W543" s="574"/>
      <c r="X543" s="575"/>
      <c r="Y543" s="28"/>
      <c r="Z543" s="543" t="str">
        <f t="array" ref="Z543">IF(LEN(AC543),lower(concatenate("bosvendor-",'2-Building'!B$4,"-",INDEX(D:D, MATCH(AC543, J:J, 0)),INDEX(E:E, MATCH(AC543, J:J, 0)))),"")</f>
        <v/>
      </c>
      <c r="AA543" s="28"/>
      <c r="AB543" s="28"/>
      <c r="AC543" s="28"/>
      <c r="AD543" s="28"/>
    </row>
    <row r="544" ht="30.0" customHeight="1">
      <c r="A544" s="488"/>
      <c r="B544" s="582"/>
      <c r="C544" s="256"/>
      <c r="D544" s="582"/>
      <c r="E544" s="488"/>
      <c r="F544" s="258"/>
      <c r="G544" s="173"/>
      <c r="H544" s="173"/>
      <c r="I544" s="576"/>
      <c r="J544" s="580"/>
      <c r="K544" s="569" t="str">
        <f t="shared" si="1"/>
        <v/>
      </c>
      <c r="L544" s="572"/>
      <c r="M544" s="173"/>
      <c r="N544" s="173"/>
      <c r="O544" s="173"/>
      <c r="P544" s="573"/>
      <c r="Q544" s="573"/>
      <c r="R544" s="173"/>
      <c r="S544" s="173"/>
      <c r="T544" s="173"/>
      <c r="U544" s="173"/>
      <c r="V544" s="173"/>
      <c r="W544" s="574"/>
      <c r="X544" s="575"/>
      <c r="Y544" s="28"/>
      <c r="Z544" s="543" t="str">
        <f t="array" ref="Z544">IF(LEN(AC544),lower(concatenate("bosvendor-",'2-Building'!B$4,"-",INDEX(D:D, MATCH(AC544, J:J, 0)),INDEX(E:E, MATCH(AC544, J:J, 0)))),"")</f>
        <v/>
      </c>
      <c r="AA544" s="28"/>
      <c r="AB544" s="28"/>
      <c r="AC544" s="28"/>
      <c r="AD544" s="28"/>
    </row>
    <row r="545" ht="30.0" customHeight="1">
      <c r="A545" s="488"/>
      <c r="B545" s="582"/>
      <c r="C545" s="256"/>
      <c r="D545" s="582"/>
      <c r="E545" s="488"/>
      <c r="F545" s="258"/>
      <c r="G545" s="173"/>
      <c r="H545" s="173"/>
      <c r="I545" s="576"/>
      <c r="J545" s="580"/>
      <c r="K545" s="569" t="str">
        <f t="shared" si="1"/>
        <v/>
      </c>
      <c r="L545" s="572"/>
      <c r="M545" s="173"/>
      <c r="N545" s="173"/>
      <c r="O545" s="173"/>
      <c r="P545" s="573"/>
      <c r="Q545" s="573"/>
      <c r="R545" s="173"/>
      <c r="S545" s="173"/>
      <c r="T545" s="173"/>
      <c r="U545" s="173"/>
      <c r="V545" s="173"/>
      <c r="W545" s="574"/>
      <c r="X545" s="575"/>
      <c r="Y545" s="28"/>
      <c r="Z545" s="543" t="str">
        <f t="array" ref="Z545">IF(LEN(AC545),lower(concatenate("bosvendor-",'2-Building'!B$4,"-",INDEX(D:D, MATCH(AC545, J:J, 0)),INDEX(E:E, MATCH(AC545, J:J, 0)))),"")</f>
        <v/>
      </c>
      <c r="AA545" s="28"/>
      <c r="AB545" s="28"/>
      <c r="AC545" s="28"/>
      <c r="AD545" s="28"/>
    </row>
    <row r="546" ht="30.0" customHeight="1">
      <c r="A546" s="488"/>
      <c r="B546" s="582"/>
      <c r="C546" s="256"/>
      <c r="D546" s="582"/>
      <c r="E546" s="488"/>
      <c r="F546" s="258"/>
      <c r="G546" s="173"/>
      <c r="H546" s="173"/>
      <c r="I546" s="576"/>
      <c r="J546" s="580"/>
      <c r="K546" s="569" t="str">
        <f t="shared" si="1"/>
        <v/>
      </c>
      <c r="L546" s="572"/>
      <c r="M546" s="173"/>
      <c r="N546" s="173"/>
      <c r="O546" s="173"/>
      <c r="P546" s="573"/>
      <c r="Q546" s="573"/>
      <c r="R546" s="173"/>
      <c r="S546" s="173"/>
      <c r="T546" s="173"/>
      <c r="U546" s="173"/>
      <c r="V546" s="173"/>
      <c r="W546" s="574"/>
      <c r="X546" s="575"/>
      <c r="Y546" s="28"/>
      <c r="Z546" s="543" t="str">
        <f t="array" ref="Z546">IF(LEN(AC546),lower(concatenate("bosvendor-",'2-Building'!B$4,"-",INDEX(D:D, MATCH(AC546, J:J, 0)),INDEX(E:E, MATCH(AC546, J:J, 0)))),"")</f>
        <v/>
      </c>
      <c r="AA546" s="28"/>
      <c r="AB546" s="28"/>
      <c r="AC546" s="28"/>
      <c r="AD546" s="28"/>
    </row>
    <row r="547" ht="30.0" customHeight="1">
      <c r="A547" s="488"/>
      <c r="B547" s="582"/>
      <c r="C547" s="256"/>
      <c r="D547" s="582"/>
      <c r="E547" s="488"/>
      <c r="F547" s="258"/>
      <c r="G547" s="173"/>
      <c r="H547" s="173"/>
      <c r="I547" s="576"/>
      <c r="J547" s="580"/>
      <c r="K547" s="569" t="str">
        <f t="shared" si="1"/>
        <v/>
      </c>
      <c r="L547" s="572"/>
      <c r="M547" s="173"/>
      <c r="N547" s="173"/>
      <c r="O547" s="173"/>
      <c r="P547" s="573"/>
      <c r="Q547" s="573"/>
      <c r="R547" s="173"/>
      <c r="S547" s="173"/>
      <c r="T547" s="173"/>
      <c r="U547" s="173"/>
      <c r="V547" s="173"/>
      <c r="W547" s="574"/>
      <c r="X547" s="575"/>
      <c r="Y547" s="28"/>
      <c r="Z547" s="543" t="str">
        <f t="array" ref="Z547">IF(LEN(AC547),lower(concatenate("bosvendor-",'2-Building'!B$4,"-",INDEX(D:D, MATCH(AC547, J:J, 0)),INDEX(E:E, MATCH(AC547, J:J, 0)))),"")</f>
        <v/>
      </c>
      <c r="AA547" s="28"/>
      <c r="AB547" s="28"/>
      <c r="AC547" s="28"/>
      <c r="AD547" s="28"/>
    </row>
    <row r="548" ht="30.0" customHeight="1">
      <c r="A548" s="488"/>
      <c r="B548" s="582"/>
      <c r="C548" s="256"/>
      <c r="D548" s="582"/>
      <c r="E548" s="488"/>
      <c r="F548" s="258"/>
      <c r="G548" s="173"/>
      <c r="H548" s="173"/>
      <c r="I548" s="576"/>
      <c r="J548" s="580"/>
      <c r="K548" s="569" t="str">
        <f t="shared" si="1"/>
        <v/>
      </c>
      <c r="L548" s="572"/>
      <c r="M548" s="173"/>
      <c r="N548" s="173"/>
      <c r="O548" s="173"/>
      <c r="P548" s="573"/>
      <c r="Q548" s="573"/>
      <c r="R548" s="173"/>
      <c r="S548" s="173"/>
      <c r="T548" s="173"/>
      <c r="U548" s="173"/>
      <c r="V548" s="173"/>
      <c r="W548" s="574"/>
      <c r="X548" s="575"/>
      <c r="Y548" s="28"/>
      <c r="Z548" s="543" t="str">
        <f t="array" ref="Z548">IF(LEN(AC548),lower(concatenate("bosvendor-",'2-Building'!B$4,"-",INDEX(D:D, MATCH(AC548, J:J, 0)),INDEX(E:E, MATCH(AC548, J:J, 0)))),"")</f>
        <v/>
      </c>
      <c r="AA548" s="28"/>
      <c r="AB548" s="28"/>
      <c r="AC548" s="28"/>
      <c r="AD548" s="28"/>
    </row>
    <row r="549" ht="30.0" customHeight="1">
      <c r="A549" s="488"/>
      <c r="B549" s="582"/>
      <c r="C549" s="256"/>
      <c r="D549" s="582"/>
      <c r="E549" s="488"/>
      <c r="F549" s="258"/>
      <c r="G549" s="173"/>
      <c r="H549" s="173"/>
      <c r="I549" s="576"/>
      <c r="J549" s="580"/>
      <c r="K549" s="569" t="str">
        <f t="shared" si="1"/>
        <v/>
      </c>
      <c r="L549" s="572"/>
      <c r="M549" s="173"/>
      <c r="N549" s="173"/>
      <c r="O549" s="173"/>
      <c r="P549" s="573"/>
      <c r="Q549" s="573"/>
      <c r="R549" s="173"/>
      <c r="S549" s="173"/>
      <c r="T549" s="173"/>
      <c r="U549" s="173"/>
      <c r="V549" s="173"/>
      <c r="W549" s="574"/>
      <c r="X549" s="575"/>
      <c r="Y549" s="28"/>
      <c r="Z549" s="543" t="str">
        <f t="array" ref="Z549">IF(LEN(AC549),lower(concatenate("bosvendor-",'2-Building'!B$4,"-",INDEX(D:D, MATCH(AC549, J:J, 0)),INDEX(E:E, MATCH(AC549, J:J, 0)))),"")</f>
        <v/>
      </c>
      <c r="AA549" s="28"/>
      <c r="AB549" s="28"/>
      <c r="AC549" s="28"/>
      <c r="AD549" s="28"/>
    </row>
    <row r="550" ht="30.0" customHeight="1">
      <c r="A550" s="488"/>
      <c r="B550" s="582"/>
      <c r="C550" s="256"/>
      <c r="D550" s="582"/>
      <c r="E550" s="488"/>
      <c r="F550" s="258"/>
      <c r="G550" s="173"/>
      <c r="H550" s="173"/>
      <c r="I550" s="576"/>
      <c r="J550" s="580"/>
      <c r="K550" s="569" t="str">
        <f t="shared" si="1"/>
        <v/>
      </c>
      <c r="L550" s="572"/>
      <c r="M550" s="173"/>
      <c r="N550" s="173"/>
      <c r="O550" s="173"/>
      <c r="P550" s="573"/>
      <c r="Q550" s="573"/>
      <c r="R550" s="173"/>
      <c r="S550" s="173"/>
      <c r="T550" s="173"/>
      <c r="U550" s="173"/>
      <c r="V550" s="173"/>
      <c r="W550" s="574"/>
      <c r="X550" s="575"/>
      <c r="Y550" s="28"/>
      <c r="Z550" s="543" t="str">
        <f t="array" ref="Z550">IF(LEN(AC550),lower(concatenate("bosvendor-",'2-Building'!B$4,"-",INDEX(D:D, MATCH(AC550, J:J, 0)),INDEX(E:E, MATCH(AC550, J:J, 0)))),"")</f>
        <v/>
      </c>
      <c r="AA550" s="28"/>
      <c r="AB550" s="28"/>
      <c r="AC550" s="28"/>
      <c r="AD550" s="28"/>
    </row>
    <row r="551" ht="30.0" customHeight="1">
      <c r="A551" s="488"/>
      <c r="B551" s="582"/>
      <c r="C551" s="256"/>
      <c r="D551" s="582"/>
      <c r="E551" s="488"/>
      <c r="F551" s="258"/>
      <c r="G551" s="173"/>
      <c r="H551" s="173"/>
      <c r="I551" s="576"/>
      <c r="J551" s="580"/>
      <c r="K551" s="569" t="str">
        <f t="shared" si="1"/>
        <v/>
      </c>
      <c r="L551" s="572"/>
      <c r="M551" s="173"/>
      <c r="N551" s="173"/>
      <c r="O551" s="173"/>
      <c r="P551" s="573"/>
      <c r="Q551" s="573"/>
      <c r="R551" s="173"/>
      <c r="S551" s="173"/>
      <c r="T551" s="173"/>
      <c r="U551" s="173"/>
      <c r="V551" s="173"/>
      <c r="W551" s="574"/>
      <c r="X551" s="575"/>
      <c r="Y551" s="28"/>
      <c r="Z551" s="543" t="str">
        <f t="array" ref="Z551">IF(LEN(AC551),lower(concatenate("bosvendor-",'2-Building'!B$4,"-",INDEX(D:D, MATCH(AC551, J:J, 0)),INDEX(E:E, MATCH(AC551, J:J, 0)))),"")</f>
        <v/>
      </c>
      <c r="AA551" s="28"/>
      <c r="AB551" s="28"/>
      <c r="AC551" s="28"/>
      <c r="AD551" s="28"/>
    </row>
    <row r="552" ht="30.0" customHeight="1">
      <c r="A552" s="488"/>
      <c r="B552" s="582"/>
      <c r="C552" s="256"/>
      <c r="D552" s="582"/>
      <c r="E552" s="488"/>
      <c r="F552" s="258"/>
      <c r="G552" s="173"/>
      <c r="H552" s="173"/>
      <c r="I552" s="576"/>
      <c r="J552" s="580"/>
      <c r="K552" s="569" t="str">
        <f t="shared" si="1"/>
        <v/>
      </c>
      <c r="L552" s="572"/>
      <c r="M552" s="173"/>
      <c r="N552" s="173"/>
      <c r="O552" s="173"/>
      <c r="P552" s="573"/>
      <c r="Q552" s="573"/>
      <c r="R552" s="173"/>
      <c r="S552" s="173"/>
      <c r="T552" s="173"/>
      <c r="U552" s="173"/>
      <c r="V552" s="173"/>
      <c r="W552" s="574"/>
      <c r="X552" s="575"/>
      <c r="Y552" s="28"/>
      <c r="Z552" s="543" t="str">
        <f t="array" ref="Z552">IF(LEN(AC552),lower(concatenate("bosvendor-",'2-Building'!B$4,"-",INDEX(D:D, MATCH(AC552, J:J, 0)),INDEX(E:E, MATCH(AC552, J:J, 0)))),"")</f>
        <v/>
      </c>
      <c r="AA552" s="28"/>
      <c r="AB552" s="28"/>
      <c r="AC552" s="28"/>
      <c r="AD552" s="28"/>
    </row>
    <row r="553" ht="30.0" customHeight="1">
      <c r="A553" s="488"/>
      <c r="B553" s="582"/>
      <c r="C553" s="256"/>
      <c r="D553" s="582"/>
      <c r="E553" s="488"/>
      <c r="F553" s="258"/>
      <c r="G553" s="173"/>
      <c r="H553" s="173"/>
      <c r="I553" s="576"/>
      <c r="J553" s="580"/>
      <c r="K553" s="569" t="str">
        <f t="shared" si="1"/>
        <v/>
      </c>
      <c r="L553" s="572"/>
      <c r="M553" s="173"/>
      <c r="N553" s="173"/>
      <c r="O553" s="173"/>
      <c r="P553" s="573"/>
      <c r="Q553" s="573"/>
      <c r="R553" s="173"/>
      <c r="S553" s="173"/>
      <c r="T553" s="173"/>
      <c r="U553" s="173"/>
      <c r="V553" s="173"/>
      <c r="W553" s="574"/>
      <c r="X553" s="575"/>
      <c r="Y553" s="28"/>
      <c r="Z553" s="543" t="str">
        <f t="array" ref="Z553">IF(LEN(AC553),lower(concatenate("bosvendor-",'2-Building'!B$4,"-",INDEX(D:D, MATCH(AC553, J:J, 0)),INDEX(E:E, MATCH(AC553, J:J, 0)))),"")</f>
        <v/>
      </c>
      <c r="AA553" s="28"/>
      <c r="AB553" s="28"/>
      <c r="AC553" s="28"/>
      <c r="AD553" s="28"/>
    </row>
    <row r="554" ht="30.0" customHeight="1">
      <c r="A554" s="488"/>
      <c r="B554" s="582"/>
      <c r="C554" s="256"/>
      <c r="D554" s="582"/>
      <c r="E554" s="488"/>
      <c r="F554" s="258"/>
      <c r="G554" s="173"/>
      <c r="H554" s="173"/>
      <c r="I554" s="576"/>
      <c r="J554" s="580"/>
      <c r="K554" s="569" t="str">
        <f t="shared" si="1"/>
        <v/>
      </c>
      <c r="L554" s="572"/>
      <c r="M554" s="173"/>
      <c r="N554" s="173"/>
      <c r="O554" s="173"/>
      <c r="P554" s="573"/>
      <c r="Q554" s="573"/>
      <c r="R554" s="173"/>
      <c r="S554" s="173"/>
      <c r="T554" s="173"/>
      <c r="U554" s="173"/>
      <c r="V554" s="173"/>
      <c r="W554" s="574"/>
      <c r="X554" s="575"/>
      <c r="Y554" s="28"/>
      <c r="Z554" s="543" t="str">
        <f t="array" ref="Z554">IF(LEN(AC554),lower(concatenate("bosvendor-",'2-Building'!B$4,"-",INDEX(D:D, MATCH(AC554, J:J, 0)),INDEX(E:E, MATCH(AC554, J:J, 0)))),"")</f>
        <v/>
      </c>
      <c r="AA554" s="28"/>
      <c r="AB554" s="28"/>
      <c r="AC554" s="28"/>
      <c r="AD554" s="28"/>
    </row>
    <row r="555" ht="30.0" customHeight="1">
      <c r="A555" s="488"/>
      <c r="B555" s="582"/>
      <c r="C555" s="256"/>
      <c r="D555" s="582"/>
      <c r="E555" s="488"/>
      <c r="F555" s="258"/>
      <c r="G555" s="173"/>
      <c r="H555" s="173"/>
      <c r="I555" s="576"/>
      <c r="J555" s="580"/>
      <c r="K555" s="569" t="str">
        <f t="shared" si="1"/>
        <v/>
      </c>
      <c r="L555" s="572"/>
      <c r="M555" s="173"/>
      <c r="N555" s="173"/>
      <c r="O555" s="173"/>
      <c r="P555" s="573"/>
      <c r="Q555" s="573"/>
      <c r="R555" s="173"/>
      <c r="S555" s="173"/>
      <c r="T555" s="173"/>
      <c r="U555" s="173"/>
      <c r="V555" s="173"/>
      <c r="W555" s="574"/>
      <c r="X555" s="575"/>
      <c r="Y555" s="28"/>
      <c r="Z555" s="543" t="str">
        <f t="array" ref="Z555">IF(LEN(AC555),lower(concatenate("bosvendor-",'2-Building'!B$4,"-",INDEX(D:D, MATCH(AC555, J:J, 0)),INDEX(E:E, MATCH(AC555, J:J, 0)))),"")</f>
        <v/>
      </c>
      <c r="AA555" s="28"/>
      <c r="AB555" s="28"/>
      <c r="AC555" s="28"/>
      <c r="AD555" s="28"/>
    </row>
    <row r="556" ht="30.0" customHeight="1">
      <c r="A556" s="488"/>
      <c r="B556" s="582"/>
      <c r="C556" s="256"/>
      <c r="D556" s="582"/>
      <c r="E556" s="488"/>
      <c r="F556" s="258"/>
      <c r="G556" s="173"/>
      <c r="H556" s="173"/>
      <c r="I556" s="576"/>
      <c r="J556" s="580"/>
      <c r="K556" s="569" t="str">
        <f t="shared" si="1"/>
        <v/>
      </c>
      <c r="L556" s="572"/>
      <c r="M556" s="173"/>
      <c r="N556" s="173"/>
      <c r="O556" s="173"/>
      <c r="P556" s="573"/>
      <c r="Q556" s="573"/>
      <c r="R556" s="173"/>
      <c r="S556" s="173"/>
      <c r="T556" s="173"/>
      <c r="U556" s="173"/>
      <c r="V556" s="173"/>
      <c r="W556" s="574"/>
      <c r="X556" s="575"/>
      <c r="Y556" s="28"/>
      <c r="Z556" s="543" t="str">
        <f t="array" ref="Z556">IF(LEN(AC556),lower(concatenate("bosvendor-",'2-Building'!B$4,"-",INDEX(D:D, MATCH(AC556, J:J, 0)),INDEX(E:E, MATCH(AC556, J:J, 0)))),"")</f>
        <v/>
      </c>
      <c r="AA556" s="28"/>
      <c r="AB556" s="28"/>
      <c r="AC556" s="28"/>
      <c r="AD556" s="28"/>
    </row>
    <row r="557" ht="30.0" customHeight="1">
      <c r="A557" s="488"/>
      <c r="B557" s="582"/>
      <c r="C557" s="256"/>
      <c r="D557" s="582"/>
      <c r="E557" s="488"/>
      <c r="F557" s="258"/>
      <c r="G557" s="173"/>
      <c r="H557" s="173"/>
      <c r="I557" s="576"/>
      <c r="J557" s="580"/>
      <c r="K557" s="569" t="str">
        <f t="shared" si="1"/>
        <v/>
      </c>
      <c r="L557" s="572"/>
      <c r="M557" s="173"/>
      <c r="N557" s="173"/>
      <c r="O557" s="173"/>
      <c r="P557" s="573"/>
      <c r="Q557" s="573"/>
      <c r="R557" s="173"/>
      <c r="S557" s="173"/>
      <c r="T557" s="173"/>
      <c r="U557" s="173"/>
      <c r="V557" s="173"/>
      <c r="W557" s="574"/>
      <c r="X557" s="575"/>
      <c r="Y557" s="28"/>
      <c r="Z557" s="543" t="str">
        <f t="array" ref="Z557">IF(LEN(AC557),lower(concatenate("bosvendor-",'2-Building'!B$4,"-",INDEX(D:D, MATCH(AC557, J:J, 0)),INDEX(E:E, MATCH(AC557, J:J, 0)))),"")</f>
        <v/>
      </c>
      <c r="AA557" s="28"/>
      <c r="AB557" s="28"/>
      <c r="AC557" s="28"/>
      <c r="AD557" s="28"/>
    </row>
    <row r="558" ht="30.0" customHeight="1">
      <c r="A558" s="488"/>
      <c r="B558" s="582"/>
      <c r="C558" s="256"/>
      <c r="D558" s="582"/>
      <c r="E558" s="488"/>
      <c r="F558" s="258"/>
      <c r="G558" s="173"/>
      <c r="H558" s="173"/>
      <c r="I558" s="576"/>
      <c r="J558" s="580"/>
      <c r="K558" s="569" t="str">
        <f t="shared" si="1"/>
        <v/>
      </c>
      <c r="L558" s="572"/>
      <c r="M558" s="173"/>
      <c r="N558" s="173"/>
      <c r="O558" s="173"/>
      <c r="P558" s="573"/>
      <c r="Q558" s="573"/>
      <c r="R558" s="173"/>
      <c r="S558" s="173"/>
      <c r="T558" s="173"/>
      <c r="U558" s="173"/>
      <c r="V558" s="173"/>
      <c r="W558" s="574"/>
      <c r="X558" s="575"/>
      <c r="Y558" s="28"/>
      <c r="Z558" s="543" t="str">
        <f t="array" ref="Z558">IF(LEN(AC558),lower(concatenate("bosvendor-",'2-Building'!B$4,"-",INDEX(D:D, MATCH(AC558, J:J, 0)),INDEX(E:E, MATCH(AC558, J:J, 0)))),"")</f>
        <v/>
      </c>
      <c r="AA558" s="28"/>
      <c r="AB558" s="28"/>
      <c r="AC558" s="28"/>
      <c r="AD558" s="28"/>
    </row>
    <row r="559" ht="30.0" customHeight="1">
      <c r="A559" s="488"/>
      <c r="B559" s="582"/>
      <c r="C559" s="256"/>
      <c r="D559" s="582"/>
      <c r="E559" s="488"/>
      <c r="F559" s="258"/>
      <c r="G559" s="173"/>
      <c r="H559" s="173"/>
      <c r="I559" s="576"/>
      <c r="J559" s="580"/>
      <c r="K559" s="569" t="str">
        <f t="shared" si="1"/>
        <v/>
      </c>
      <c r="L559" s="572"/>
      <c r="M559" s="173"/>
      <c r="N559" s="173"/>
      <c r="O559" s="173"/>
      <c r="P559" s="573"/>
      <c r="Q559" s="573"/>
      <c r="R559" s="173"/>
      <c r="S559" s="173"/>
      <c r="T559" s="173"/>
      <c r="U559" s="173"/>
      <c r="V559" s="173"/>
      <c r="W559" s="574"/>
      <c r="X559" s="575"/>
      <c r="Y559" s="28"/>
      <c r="Z559" s="543" t="str">
        <f t="array" ref="Z559">IF(LEN(AC559),lower(concatenate("bosvendor-",'2-Building'!B$4,"-",INDEX(D:D, MATCH(AC559, J:J, 0)),INDEX(E:E, MATCH(AC559, J:J, 0)))),"")</f>
        <v/>
      </c>
      <c r="AA559" s="28"/>
      <c r="AB559" s="28"/>
      <c r="AC559" s="28"/>
      <c r="AD559" s="28"/>
    </row>
    <row r="560" ht="30.0" customHeight="1">
      <c r="A560" s="488"/>
      <c r="B560" s="582"/>
      <c r="C560" s="256"/>
      <c r="D560" s="582"/>
      <c r="E560" s="488"/>
      <c r="F560" s="258"/>
      <c r="G560" s="173"/>
      <c r="H560" s="173"/>
      <c r="I560" s="576"/>
      <c r="J560" s="580"/>
      <c r="K560" s="569" t="str">
        <f t="shared" si="1"/>
        <v/>
      </c>
      <c r="L560" s="572"/>
      <c r="M560" s="173"/>
      <c r="N560" s="173"/>
      <c r="O560" s="173"/>
      <c r="P560" s="573"/>
      <c r="Q560" s="573"/>
      <c r="R560" s="173"/>
      <c r="S560" s="173"/>
      <c r="T560" s="173"/>
      <c r="U560" s="173"/>
      <c r="V560" s="173"/>
      <c r="W560" s="574"/>
      <c r="X560" s="575"/>
      <c r="Y560" s="28"/>
      <c r="Z560" s="543" t="str">
        <f t="array" ref="Z560">IF(LEN(AC560),lower(concatenate("bosvendor-",'2-Building'!B$4,"-",INDEX(D:D, MATCH(AC560, J:J, 0)),INDEX(E:E, MATCH(AC560, J:J, 0)))),"")</f>
        <v/>
      </c>
      <c r="AA560" s="28"/>
      <c r="AB560" s="28"/>
      <c r="AC560" s="28"/>
      <c r="AD560" s="28"/>
    </row>
    <row r="561" ht="30.0" customHeight="1">
      <c r="A561" s="488"/>
      <c r="B561" s="582"/>
      <c r="C561" s="256"/>
      <c r="D561" s="582"/>
      <c r="E561" s="488"/>
      <c r="F561" s="258"/>
      <c r="G561" s="173"/>
      <c r="H561" s="173"/>
      <c r="I561" s="576"/>
      <c r="J561" s="580"/>
      <c r="K561" s="569" t="str">
        <f t="shared" si="1"/>
        <v/>
      </c>
      <c r="L561" s="572"/>
      <c r="M561" s="173"/>
      <c r="N561" s="173"/>
      <c r="O561" s="173"/>
      <c r="P561" s="573"/>
      <c r="Q561" s="573"/>
      <c r="R561" s="173"/>
      <c r="S561" s="173"/>
      <c r="T561" s="173"/>
      <c r="U561" s="173"/>
      <c r="V561" s="173"/>
      <c r="W561" s="574"/>
      <c r="X561" s="575"/>
      <c r="Y561" s="28"/>
      <c r="Z561" s="543" t="str">
        <f t="array" ref="Z561">IF(LEN(AC561),lower(concatenate("bosvendor-",'2-Building'!B$4,"-",INDEX(D:D, MATCH(AC561, J:J, 0)),INDEX(E:E, MATCH(AC561, J:J, 0)))),"")</f>
        <v/>
      </c>
      <c r="AA561" s="28"/>
      <c r="AB561" s="28"/>
      <c r="AC561" s="28"/>
      <c r="AD561" s="28"/>
    </row>
    <row r="562" ht="30.0" customHeight="1">
      <c r="A562" s="488"/>
      <c r="B562" s="582"/>
      <c r="C562" s="256"/>
      <c r="D562" s="582"/>
      <c r="E562" s="488"/>
      <c r="F562" s="258"/>
      <c r="G562" s="173"/>
      <c r="H562" s="173"/>
      <c r="I562" s="576"/>
      <c r="J562" s="580"/>
      <c r="K562" s="569" t="str">
        <f t="shared" si="1"/>
        <v/>
      </c>
      <c r="L562" s="572"/>
      <c r="M562" s="173"/>
      <c r="N562" s="173"/>
      <c r="O562" s="173"/>
      <c r="P562" s="573"/>
      <c r="Q562" s="573"/>
      <c r="R562" s="173"/>
      <c r="S562" s="173"/>
      <c r="T562" s="173"/>
      <c r="U562" s="173"/>
      <c r="V562" s="173"/>
      <c r="W562" s="574"/>
      <c r="X562" s="575"/>
      <c r="Y562" s="28"/>
      <c r="Z562" s="543" t="str">
        <f t="array" ref="Z562">IF(LEN(AC562),lower(concatenate("bosvendor-",'2-Building'!B$4,"-",INDEX(D:D, MATCH(AC562, J:J, 0)),INDEX(E:E, MATCH(AC562, J:J, 0)))),"")</f>
        <v/>
      </c>
      <c r="AA562" s="28"/>
      <c r="AB562" s="28"/>
      <c r="AC562" s="28"/>
      <c r="AD562" s="28"/>
    </row>
    <row r="563" ht="30.0" customHeight="1">
      <c r="A563" s="488"/>
      <c r="B563" s="582"/>
      <c r="C563" s="256"/>
      <c r="D563" s="582"/>
      <c r="E563" s="488"/>
      <c r="F563" s="258"/>
      <c r="G563" s="173"/>
      <c r="H563" s="173"/>
      <c r="I563" s="576"/>
      <c r="J563" s="580"/>
      <c r="K563" s="569" t="str">
        <f t="shared" si="1"/>
        <v/>
      </c>
      <c r="L563" s="572"/>
      <c r="M563" s="173"/>
      <c r="N563" s="173"/>
      <c r="O563" s="173"/>
      <c r="P563" s="573"/>
      <c r="Q563" s="573"/>
      <c r="R563" s="173"/>
      <c r="S563" s="173"/>
      <c r="T563" s="173"/>
      <c r="U563" s="173"/>
      <c r="V563" s="173"/>
      <c r="W563" s="574"/>
      <c r="X563" s="575"/>
      <c r="Y563" s="28"/>
      <c r="Z563" s="543" t="str">
        <f t="array" ref="Z563">IF(LEN(AC563),lower(concatenate("bosvendor-",'2-Building'!B$4,"-",INDEX(D:D, MATCH(AC563, J:J, 0)),INDEX(E:E, MATCH(AC563, J:J, 0)))),"")</f>
        <v/>
      </c>
      <c r="AA563" s="28"/>
      <c r="AB563" s="28"/>
      <c r="AC563" s="28"/>
      <c r="AD563" s="28"/>
    </row>
    <row r="564" ht="30.0" customHeight="1">
      <c r="A564" s="488"/>
      <c r="B564" s="582"/>
      <c r="C564" s="256"/>
      <c r="D564" s="582"/>
      <c r="E564" s="488"/>
      <c r="F564" s="258"/>
      <c r="G564" s="173"/>
      <c r="H564" s="173"/>
      <c r="I564" s="576"/>
      <c r="J564" s="580"/>
      <c r="K564" s="569" t="str">
        <f t="shared" si="1"/>
        <v/>
      </c>
      <c r="L564" s="572"/>
      <c r="M564" s="173"/>
      <c r="N564" s="173"/>
      <c r="O564" s="173"/>
      <c r="P564" s="573"/>
      <c r="Q564" s="573"/>
      <c r="R564" s="173"/>
      <c r="S564" s="173"/>
      <c r="T564" s="173"/>
      <c r="U564" s="173"/>
      <c r="V564" s="173"/>
      <c r="W564" s="574"/>
      <c r="X564" s="575"/>
      <c r="Y564" s="28"/>
      <c r="Z564" s="543" t="str">
        <f t="array" ref="Z564">IF(LEN(AC564),lower(concatenate("bosvendor-",'2-Building'!B$4,"-",INDEX(D:D, MATCH(AC564, J:J, 0)),INDEX(E:E, MATCH(AC564, J:J, 0)))),"")</f>
        <v/>
      </c>
      <c r="AA564" s="28"/>
      <c r="AB564" s="28"/>
      <c r="AC564" s="28"/>
      <c r="AD564" s="28"/>
    </row>
    <row r="565" ht="30.0" customHeight="1">
      <c r="A565" s="488"/>
      <c r="B565" s="582"/>
      <c r="C565" s="256"/>
      <c r="D565" s="582"/>
      <c r="E565" s="488"/>
      <c r="F565" s="258"/>
      <c r="G565" s="173"/>
      <c r="H565" s="173"/>
      <c r="I565" s="576"/>
      <c r="J565" s="580"/>
      <c r="K565" s="569" t="str">
        <f t="shared" si="1"/>
        <v/>
      </c>
      <c r="L565" s="572"/>
      <c r="M565" s="173"/>
      <c r="N565" s="173"/>
      <c r="O565" s="173"/>
      <c r="P565" s="573"/>
      <c r="Q565" s="573"/>
      <c r="R565" s="173"/>
      <c r="S565" s="173"/>
      <c r="T565" s="173"/>
      <c r="U565" s="173"/>
      <c r="V565" s="173"/>
      <c r="W565" s="574"/>
      <c r="X565" s="575"/>
      <c r="Y565" s="28"/>
      <c r="Z565" s="543" t="str">
        <f t="array" ref="Z565">IF(LEN(AC565),lower(concatenate("bosvendor-",'2-Building'!B$4,"-",INDEX(D:D, MATCH(AC565, J:J, 0)),INDEX(E:E, MATCH(AC565, J:J, 0)))),"")</f>
        <v/>
      </c>
      <c r="AA565" s="28"/>
      <c r="AB565" s="28"/>
      <c r="AC565" s="28"/>
      <c r="AD565" s="28"/>
    </row>
    <row r="566" ht="30.0" customHeight="1">
      <c r="A566" s="488"/>
      <c r="B566" s="582"/>
      <c r="C566" s="256"/>
      <c r="D566" s="582"/>
      <c r="E566" s="488"/>
      <c r="F566" s="258"/>
      <c r="G566" s="173"/>
      <c r="H566" s="173"/>
      <c r="I566" s="576"/>
      <c r="J566" s="580"/>
      <c r="K566" s="569" t="str">
        <f t="shared" si="1"/>
        <v/>
      </c>
      <c r="L566" s="572"/>
      <c r="M566" s="173"/>
      <c r="N566" s="173"/>
      <c r="O566" s="173"/>
      <c r="P566" s="573"/>
      <c r="Q566" s="573"/>
      <c r="R566" s="173"/>
      <c r="S566" s="173"/>
      <c r="T566" s="173"/>
      <c r="U566" s="173"/>
      <c r="V566" s="173"/>
      <c r="W566" s="574"/>
      <c r="X566" s="575"/>
      <c r="Y566" s="28"/>
      <c r="Z566" s="543" t="str">
        <f t="array" ref="Z566">IF(LEN(AC566),lower(concatenate("bosvendor-",'2-Building'!B$4,"-",INDEX(D:D, MATCH(AC566, J:J, 0)),INDEX(E:E, MATCH(AC566, J:J, 0)))),"")</f>
        <v/>
      </c>
      <c r="AA566" s="28"/>
      <c r="AB566" s="28"/>
      <c r="AC566" s="28"/>
      <c r="AD566" s="28"/>
    </row>
    <row r="567" ht="30.0" customHeight="1">
      <c r="A567" s="488"/>
      <c r="B567" s="582"/>
      <c r="C567" s="256"/>
      <c r="D567" s="582"/>
      <c r="E567" s="488"/>
      <c r="F567" s="258"/>
      <c r="G567" s="173"/>
      <c r="H567" s="173"/>
      <c r="I567" s="576"/>
      <c r="J567" s="580"/>
      <c r="K567" s="569" t="str">
        <f t="shared" si="1"/>
        <v/>
      </c>
      <c r="L567" s="572"/>
      <c r="M567" s="173"/>
      <c r="N567" s="173"/>
      <c r="O567" s="173"/>
      <c r="P567" s="573"/>
      <c r="Q567" s="573"/>
      <c r="R567" s="173"/>
      <c r="S567" s="173"/>
      <c r="T567" s="173"/>
      <c r="U567" s="173"/>
      <c r="V567" s="173"/>
      <c r="W567" s="574"/>
      <c r="X567" s="575"/>
      <c r="Y567" s="28"/>
      <c r="Z567" s="543" t="str">
        <f t="array" ref="Z567">IF(LEN(AC567),lower(concatenate("bosvendor-",'2-Building'!B$4,"-",INDEX(D:D, MATCH(AC567, J:J, 0)),INDEX(E:E, MATCH(AC567, J:J, 0)))),"")</f>
        <v/>
      </c>
      <c r="AA567" s="28"/>
      <c r="AB567" s="28"/>
      <c r="AC567" s="28"/>
      <c r="AD567" s="28"/>
    </row>
    <row r="568" ht="30.0" customHeight="1">
      <c r="A568" s="488"/>
      <c r="B568" s="582"/>
      <c r="C568" s="256"/>
      <c r="D568" s="582"/>
      <c r="E568" s="488"/>
      <c r="F568" s="258"/>
      <c r="G568" s="173"/>
      <c r="H568" s="173"/>
      <c r="I568" s="576"/>
      <c r="J568" s="580"/>
      <c r="K568" s="569" t="str">
        <f t="shared" si="1"/>
        <v/>
      </c>
      <c r="L568" s="572"/>
      <c r="M568" s="173"/>
      <c r="N568" s="173"/>
      <c r="O568" s="173"/>
      <c r="P568" s="573"/>
      <c r="Q568" s="573"/>
      <c r="R568" s="173"/>
      <c r="S568" s="173"/>
      <c r="T568" s="173"/>
      <c r="U568" s="173"/>
      <c r="V568" s="173"/>
      <c r="W568" s="574"/>
      <c r="X568" s="575"/>
      <c r="Y568" s="28"/>
      <c r="Z568" s="543" t="str">
        <f t="array" ref="Z568">IF(LEN(AC568),lower(concatenate("bosvendor-",'2-Building'!B$4,"-",INDEX(D:D, MATCH(AC568, J:J, 0)),INDEX(E:E, MATCH(AC568, J:J, 0)))),"")</f>
        <v/>
      </c>
      <c r="AA568" s="28"/>
      <c r="AB568" s="28"/>
      <c r="AC568" s="28"/>
      <c r="AD568" s="28"/>
    </row>
    <row r="569" ht="30.0" customHeight="1">
      <c r="A569" s="488"/>
      <c r="B569" s="582"/>
      <c r="C569" s="256"/>
      <c r="D569" s="582"/>
      <c r="E569" s="488"/>
      <c r="F569" s="258"/>
      <c r="G569" s="173"/>
      <c r="H569" s="173"/>
      <c r="I569" s="576"/>
      <c r="J569" s="580"/>
      <c r="K569" s="569" t="str">
        <f t="shared" si="1"/>
        <v/>
      </c>
      <c r="L569" s="572"/>
      <c r="M569" s="173"/>
      <c r="N569" s="173"/>
      <c r="O569" s="173"/>
      <c r="P569" s="573"/>
      <c r="Q569" s="573"/>
      <c r="R569" s="173"/>
      <c r="S569" s="173"/>
      <c r="T569" s="173"/>
      <c r="U569" s="173"/>
      <c r="V569" s="173"/>
      <c r="W569" s="574"/>
      <c r="X569" s="575"/>
      <c r="Y569" s="28"/>
      <c r="Z569" s="543" t="str">
        <f t="array" ref="Z569">IF(LEN(AC569),lower(concatenate("bosvendor-",'2-Building'!B$4,"-",INDEX(D:D, MATCH(AC569, J:J, 0)),INDEX(E:E, MATCH(AC569, J:J, 0)))),"")</f>
        <v/>
      </c>
      <c r="AA569" s="28"/>
      <c r="AB569" s="28"/>
      <c r="AC569" s="28"/>
      <c r="AD569" s="28"/>
    </row>
    <row r="570" ht="30.0" customHeight="1">
      <c r="A570" s="488"/>
      <c r="B570" s="582"/>
      <c r="C570" s="256"/>
      <c r="D570" s="582"/>
      <c r="E570" s="488"/>
      <c r="F570" s="258"/>
      <c r="G570" s="173"/>
      <c r="H570" s="173"/>
      <c r="I570" s="576"/>
      <c r="J570" s="580"/>
      <c r="K570" s="569" t="str">
        <f t="shared" si="1"/>
        <v/>
      </c>
      <c r="L570" s="572"/>
      <c r="M570" s="173"/>
      <c r="N570" s="173"/>
      <c r="O570" s="173"/>
      <c r="P570" s="573"/>
      <c r="Q570" s="573"/>
      <c r="R570" s="173"/>
      <c r="S570" s="173"/>
      <c r="T570" s="173"/>
      <c r="U570" s="173"/>
      <c r="V570" s="173"/>
      <c r="W570" s="574"/>
      <c r="X570" s="575"/>
      <c r="Y570" s="28"/>
      <c r="Z570" s="543" t="str">
        <f t="array" ref="Z570">IF(LEN(AC570),lower(concatenate("bosvendor-",'2-Building'!B$4,"-",INDEX(D:D, MATCH(AC570, J:J, 0)),INDEX(E:E, MATCH(AC570, J:J, 0)))),"")</f>
        <v/>
      </c>
      <c r="AA570" s="28"/>
      <c r="AB570" s="28"/>
      <c r="AC570" s="28"/>
      <c r="AD570" s="28"/>
    </row>
    <row r="571" ht="30.0" customHeight="1">
      <c r="A571" s="488"/>
      <c r="B571" s="582"/>
      <c r="C571" s="256"/>
      <c r="D571" s="582"/>
      <c r="E571" s="488"/>
      <c r="F571" s="258"/>
      <c r="G571" s="173"/>
      <c r="H571" s="173"/>
      <c r="I571" s="576"/>
      <c r="J571" s="580"/>
      <c r="K571" s="569" t="str">
        <f t="shared" si="1"/>
        <v/>
      </c>
      <c r="L571" s="572"/>
      <c r="M571" s="173"/>
      <c r="N571" s="173"/>
      <c r="O571" s="173"/>
      <c r="P571" s="573"/>
      <c r="Q571" s="573"/>
      <c r="R571" s="173"/>
      <c r="S571" s="173"/>
      <c r="T571" s="173"/>
      <c r="U571" s="173"/>
      <c r="V571" s="173"/>
      <c r="W571" s="574"/>
      <c r="X571" s="575"/>
      <c r="Y571" s="28"/>
      <c r="Z571" s="543" t="str">
        <f t="array" ref="Z571">IF(LEN(AC571),lower(concatenate("bosvendor-",'2-Building'!B$4,"-",INDEX(D:D, MATCH(AC571, J:J, 0)),INDEX(E:E, MATCH(AC571, J:J, 0)))),"")</f>
        <v/>
      </c>
      <c r="AA571" s="28"/>
      <c r="AB571" s="28"/>
      <c r="AC571" s="28"/>
      <c r="AD571" s="28"/>
    </row>
    <row r="572" ht="30.0" customHeight="1">
      <c r="A572" s="488"/>
      <c r="B572" s="582"/>
      <c r="C572" s="256"/>
      <c r="D572" s="582"/>
      <c r="E572" s="488"/>
      <c r="F572" s="258"/>
      <c r="G572" s="173"/>
      <c r="H572" s="173"/>
      <c r="I572" s="576"/>
      <c r="J572" s="580"/>
      <c r="K572" s="569" t="str">
        <f t="shared" si="1"/>
        <v/>
      </c>
      <c r="L572" s="572"/>
      <c r="M572" s="173"/>
      <c r="N572" s="173"/>
      <c r="O572" s="173"/>
      <c r="P572" s="573"/>
      <c r="Q572" s="573"/>
      <c r="R572" s="173"/>
      <c r="S572" s="173"/>
      <c r="T572" s="173"/>
      <c r="U572" s="173"/>
      <c r="V572" s="173"/>
      <c r="W572" s="574"/>
      <c r="X572" s="575"/>
      <c r="Y572" s="28"/>
      <c r="Z572" s="543" t="str">
        <f t="array" ref="Z572">IF(LEN(AC572),lower(concatenate("bosvendor-",'2-Building'!B$4,"-",INDEX(D:D, MATCH(AC572, J:J, 0)),INDEX(E:E, MATCH(AC572, J:J, 0)))),"")</f>
        <v/>
      </c>
      <c r="AA572" s="28"/>
      <c r="AB572" s="28"/>
      <c r="AC572" s="28"/>
      <c r="AD572" s="28"/>
    </row>
    <row r="573" ht="30.0" customHeight="1">
      <c r="A573" s="488"/>
      <c r="B573" s="582"/>
      <c r="C573" s="256"/>
      <c r="D573" s="582"/>
      <c r="E573" s="488"/>
      <c r="F573" s="258"/>
      <c r="G573" s="173"/>
      <c r="H573" s="173"/>
      <c r="I573" s="576"/>
      <c r="J573" s="580"/>
      <c r="K573" s="569" t="str">
        <f t="shared" si="1"/>
        <v/>
      </c>
      <c r="L573" s="572"/>
      <c r="M573" s="173"/>
      <c r="N573" s="173"/>
      <c r="O573" s="173"/>
      <c r="P573" s="573"/>
      <c r="Q573" s="573"/>
      <c r="R573" s="173"/>
      <c r="S573" s="173"/>
      <c r="T573" s="173"/>
      <c r="U573" s="173"/>
      <c r="V573" s="173"/>
      <c r="W573" s="574"/>
      <c r="X573" s="575"/>
      <c r="Y573" s="28"/>
      <c r="Z573" s="543" t="str">
        <f t="array" ref="Z573">IF(LEN(AC573),lower(concatenate("bosvendor-",'2-Building'!B$4,"-",INDEX(D:D, MATCH(AC573, J:J, 0)),INDEX(E:E, MATCH(AC573, J:J, 0)))),"")</f>
        <v/>
      </c>
      <c r="AA573" s="28"/>
      <c r="AB573" s="28"/>
      <c r="AC573" s="28"/>
      <c r="AD573" s="28"/>
    </row>
    <row r="574" ht="30.0" customHeight="1">
      <c r="A574" s="488"/>
      <c r="B574" s="582"/>
      <c r="C574" s="256"/>
      <c r="D574" s="582"/>
      <c r="E574" s="488"/>
      <c r="F574" s="258"/>
      <c r="G574" s="173"/>
      <c r="H574" s="173"/>
      <c r="I574" s="576"/>
      <c r="J574" s="580"/>
      <c r="K574" s="569" t="str">
        <f t="shared" si="1"/>
        <v/>
      </c>
      <c r="L574" s="572"/>
      <c r="M574" s="173"/>
      <c r="N574" s="173"/>
      <c r="O574" s="173"/>
      <c r="P574" s="573"/>
      <c r="Q574" s="573"/>
      <c r="R574" s="173"/>
      <c r="S574" s="173"/>
      <c r="T574" s="173"/>
      <c r="U574" s="173"/>
      <c r="V574" s="173"/>
      <c r="W574" s="574"/>
      <c r="X574" s="575"/>
      <c r="Y574" s="28"/>
      <c r="Z574" s="543" t="str">
        <f t="array" ref="Z574">IF(LEN(AC574),lower(concatenate("bosvendor-",'2-Building'!B$4,"-",INDEX(D:D, MATCH(AC574, J:J, 0)),INDEX(E:E, MATCH(AC574, J:J, 0)))),"")</f>
        <v/>
      </c>
      <c r="AA574" s="28"/>
      <c r="AB574" s="28"/>
      <c r="AC574" s="28"/>
      <c r="AD574" s="28"/>
    </row>
    <row r="575" ht="30.0" customHeight="1">
      <c r="A575" s="488"/>
      <c r="B575" s="582"/>
      <c r="C575" s="256"/>
      <c r="D575" s="582"/>
      <c r="E575" s="488"/>
      <c r="F575" s="258"/>
      <c r="G575" s="173"/>
      <c r="H575" s="173"/>
      <c r="I575" s="576"/>
      <c r="J575" s="580"/>
      <c r="K575" s="569" t="str">
        <f t="shared" si="1"/>
        <v/>
      </c>
      <c r="L575" s="572"/>
      <c r="M575" s="173"/>
      <c r="N575" s="173"/>
      <c r="O575" s="173"/>
      <c r="P575" s="573"/>
      <c r="Q575" s="573"/>
      <c r="R575" s="173"/>
      <c r="S575" s="173"/>
      <c r="T575" s="173"/>
      <c r="U575" s="173"/>
      <c r="V575" s="173"/>
      <c r="W575" s="574"/>
      <c r="X575" s="575"/>
      <c r="Y575" s="28"/>
      <c r="Z575" s="543" t="str">
        <f t="array" ref="Z575">IF(LEN(AC575),lower(concatenate("bosvendor-",'2-Building'!B$4,"-",INDEX(D:D, MATCH(AC575, J:J, 0)),INDEX(E:E, MATCH(AC575, J:J, 0)))),"")</f>
        <v/>
      </c>
      <c r="AA575" s="28"/>
      <c r="AB575" s="28"/>
      <c r="AC575" s="28"/>
      <c r="AD575" s="28"/>
    </row>
    <row r="576" ht="30.0" customHeight="1">
      <c r="A576" s="488"/>
      <c r="B576" s="582"/>
      <c r="C576" s="256"/>
      <c r="D576" s="582"/>
      <c r="E576" s="488"/>
      <c r="F576" s="258"/>
      <c r="G576" s="173"/>
      <c r="H576" s="173"/>
      <c r="I576" s="576"/>
      <c r="J576" s="580"/>
      <c r="K576" s="569" t="str">
        <f t="shared" si="1"/>
        <v/>
      </c>
      <c r="L576" s="572"/>
      <c r="M576" s="173"/>
      <c r="N576" s="173"/>
      <c r="O576" s="173"/>
      <c r="P576" s="573"/>
      <c r="Q576" s="573"/>
      <c r="R576" s="173"/>
      <c r="S576" s="173"/>
      <c r="T576" s="173"/>
      <c r="U576" s="173"/>
      <c r="V576" s="173"/>
      <c r="W576" s="574"/>
      <c r="X576" s="575"/>
      <c r="Y576" s="28"/>
      <c r="Z576" s="543" t="str">
        <f t="array" ref="Z576">IF(LEN(AC576),lower(concatenate("bosvendor-",'2-Building'!B$4,"-",INDEX(D:D, MATCH(AC576, J:J, 0)),INDEX(E:E, MATCH(AC576, J:J, 0)))),"")</f>
        <v/>
      </c>
      <c r="AA576" s="28"/>
      <c r="AB576" s="28"/>
      <c r="AC576" s="28"/>
      <c r="AD576" s="28"/>
    </row>
    <row r="577" ht="30.0" customHeight="1">
      <c r="A577" s="488"/>
      <c r="B577" s="582"/>
      <c r="C577" s="256"/>
      <c r="D577" s="582"/>
      <c r="E577" s="488"/>
      <c r="F577" s="258"/>
      <c r="G577" s="173"/>
      <c r="H577" s="173"/>
      <c r="I577" s="576"/>
      <c r="J577" s="580"/>
      <c r="K577" s="569" t="str">
        <f t="shared" si="1"/>
        <v/>
      </c>
      <c r="L577" s="572"/>
      <c r="M577" s="173"/>
      <c r="N577" s="173"/>
      <c r="O577" s="173"/>
      <c r="P577" s="573"/>
      <c r="Q577" s="573"/>
      <c r="R577" s="173"/>
      <c r="S577" s="173"/>
      <c r="T577" s="173"/>
      <c r="U577" s="173"/>
      <c r="V577" s="173"/>
      <c r="W577" s="574"/>
      <c r="X577" s="575"/>
      <c r="Y577" s="28"/>
      <c r="Z577" s="543" t="str">
        <f t="array" ref="Z577">IF(LEN(AC577),lower(concatenate("bosvendor-",'2-Building'!B$4,"-",INDEX(D:D, MATCH(AC577, J:J, 0)),INDEX(E:E, MATCH(AC577, J:J, 0)))),"")</f>
        <v/>
      </c>
      <c r="AA577" s="28"/>
      <c r="AB577" s="28"/>
      <c r="AC577" s="28"/>
      <c r="AD577" s="28"/>
    </row>
    <row r="578" ht="30.0" customHeight="1">
      <c r="A578" s="488"/>
      <c r="B578" s="582"/>
      <c r="C578" s="256"/>
      <c r="D578" s="582"/>
      <c r="E578" s="488"/>
      <c r="F578" s="258"/>
      <c r="G578" s="173"/>
      <c r="H578" s="173"/>
      <c r="I578" s="576"/>
      <c r="J578" s="580"/>
      <c r="K578" s="569" t="str">
        <f t="shared" si="1"/>
        <v/>
      </c>
      <c r="L578" s="572"/>
      <c r="M578" s="173"/>
      <c r="N578" s="173"/>
      <c r="O578" s="173"/>
      <c r="P578" s="573"/>
      <c r="Q578" s="573"/>
      <c r="R578" s="173"/>
      <c r="S578" s="173"/>
      <c r="T578" s="173"/>
      <c r="U578" s="173"/>
      <c r="V578" s="173"/>
      <c r="W578" s="574"/>
      <c r="X578" s="575"/>
      <c r="Y578" s="28"/>
      <c r="Z578" s="543" t="str">
        <f t="array" ref="Z578">IF(LEN(AC578),lower(concatenate("bosvendor-",'2-Building'!B$4,"-",INDEX(D:D, MATCH(AC578, J:J, 0)),INDEX(E:E, MATCH(AC578, J:J, 0)))),"")</f>
        <v/>
      </c>
      <c r="AA578" s="28"/>
      <c r="AB578" s="28"/>
      <c r="AC578" s="28"/>
      <c r="AD578" s="28"/>
    </row>
    <row r="579" ht="30.0" customHeight="1">
      <c r="A579" s="488"/>
      <c r="B579" s="582"/>
      <c r="C579" s="256"/>
      <c r="D579" s="582"/>
      <c r="E579" s="488"/>
      <c r="F579" s="258"/>
      <c r="G579" s="173"/>
      <c r="H579" s="173"/>
      <c r="I579" s="576"/>
      <c r="J579" s="580"/>
      <c r="K579" s="569" t="str">
        <f t="shared" si="1"/>
        <v/>
      </c>
      <c r="L579" s="572"/>
      <c r="M579" s="173"/>
      <c r="N579" s="173"/>
      <c r="O579" s="173"/>
      <c r="P579" s="573"/>
      <c r="Q579" s="573"/>
      <c r="R579" s="173"/>
      <c r="S579" s="173"/>
      <c r="T579" s="173"/>
      <c r="U579" s="173"/>
      <c r="V579" s="173"/>
      <c r="W579" s="574"/>
      <c r="X579" s="575"/>
      <c r="Y579" s="28"/>
      <c r="Z579" s="543" t="str">
        <f t="array" ref="Z579">IF(LEN(AC579),lower(concatenate("bosvendor-",'2-Building'!B$4,"-",INDEX(D:D, MATCH(AC579, J:J, 0)),INDEX(E:E, MATCH(AC579, J:J, 0)))),"")</f>
        <v/>
      </c>
      <c r="AA579" s="28"/>
      <c r="AB579" s="28"/>
      <c r="AC579" s="28"/>
      <c r="AD579" s="28"/>
    </row>
    <row r="580" ht="30.0" customHeight="1">
      <c r="A580" s="488"/>
      <c r="B580" s="582"/>
      <c r="C580" s="256"/>
      <c r="D580" s="582"/>
      <c r="E580" s="488"/>
      <c r="F580" s="258"/>
      <c r="G580" s="173"/>
      <c r="H580" s="173"/>
      <c r="I580" s="576"/>
      <c r="J580" s="580"/>
      <c r="K580" s="569" t="str">
        <f t="shared" si="1"/>
        <v/>
      </c>
      <c r="L580" s="572"/>
      <c r="M580" s="173"/>
      <c r="N580" s="173"/>
      <c r="O580" s="173"/>
      <c r="P580" s="573"/>
      <c r="Q580" s="573"/>
      <c r="R580" s="173"/>
      <c r="S580" s="173"/>
      <c r="T580" s="173"/>
      <c r="U580" s="173"/>
      <c r="V580" s="173"/>
      <c r="W580" s="574"/>
      <c r="X580" s="575"/>
      <c r="Y580" s="28"/>
      <c r="Z580" s="543" t="str">
        <f t="array" ref="Z580">IF(LEN(AC580),lower(concatenate("bosvendor-",'2-Building'!B$4,"-",INDEX(D:D, MATCH(AC580, J:J, 0)),INDEX(E:E, MATCH(AC580, J:J, 0)))),"")</f>
        <v/>
      </c>
      <c r="AA580" s="28"/>
      <c r="AB580" s="28"/>
      <c r="AC580" s="28"/>
      <c r="AD580" s="28"/>
    </row>
    <row r="581" ht="30.0" customHeight="1">
      <c r="A581" s="488"/>
      <c r="B581" s="582"/>
      <c r="C581" s="256"/>
      <c r="D581" s="582"/>
      <c r="E581" s="488"/>
      <c r="F581" s="258"/>
      <c r="G581" s="173"/>
      <c r="H581" s="173"/>
      <c r="I581" s="576"/>
      <c r="J581" s="580"/>
      <c r="K581" s="569" t="str">
        <f t="shared" si="1"/>
        <v/>
      </c>
      <c r="L581" s="572"/>
      <c r="M581" s="173"/>
      <c r="N581" s="173"/>
      <c r="O581" s="173"/>
      <c r="P581" s="573"/>
      <c r="Q581" s="573"/>
      <c r="R581" s="173"/>
      <c r="S581" s="173"/>
      <c r="T581" s="173"/>
      <c r="U581" s="173"/>
      <c r="V581" s="173"/>
      <c r="W581" s="574"/>
      <c r="X581" s="575"/>
      <c r="Y581" s="28"/>
      <c r="Z581" s="543" t="str">
        <f t="array" ref="Z581">IF(LEN(AC581),lower(concatenate("bosvendor-",'2-Building'!B$4,"-",INDEX(D:D, MATCH(AC581, J:J, 0)),INDEX(E:E, MATCH(AC581, J:J, 0)))),"")</f>
        <v/>
      </c>
      <c r="AA581" s="28"/>
      <c r="AB581" s="28"/>
      <c r="AC581" s="28"/>
      <c r="AD581" s="28"/>
    </row>
    <row r="582" ht="30.0" customHeight="1">
      <c r="A582" s="488"/>
      <c r="B582" s="582"/>
      <c r="C582" s="256"/>
      <c r="D582" s="582"/>
      <c r="E582" s="488"/>
      <c r="F582" s="258"/>
      <c r="G582" s="173"/>
      <c r="H582" s="173"/>
      <c r="I582" s="576"/>
      <c r="J582" s="580"/>
      <c r="K582" s="569" t="str">
        <f t="shared" si="1"/>
        <v/>
      </c>
      <c r="L582" s="572"/>
      <c r="M582" s="173"/>
      <c r="N582" s="173"/>
      <c r="O582" s="173"/>
      <c r="P582" s="573"/>
      <c r="Q582" s="573"/>
      <c r="R582" s="173"/>
      <c r="S582" s="173"/>
      <c r="T582" s="173"/>
      <c r="U582" s="173"/>
      <c r="V582" s="173"/>
      <c r="W582" s="574"/>
      <c r="X582" s="575"/>
      <c r="Y582" s="28"/>
      <c r="Z582" s="543" t="str">
        <f t="array" ref="Z582">IF(LEN(AC582),lower(concatenate("bosvendor-",'2-Building'!B$4,"-",INDEX(D:D, MATCH(AC582, J:J, 0)),INDEX(E:E, MATCH(AC582, J:J, 0)))),"")</f>
        <v/>
      </c>
      <c r="AA582" s="28"/>
      <c r="AB582" s="28"/>
      <c r="AC582" s="28"/>
      <c r="AD582" s="28"/>
    </row>
    <row r="583" ht="30.0" customHeight="1">
      <c r="A583" s="488"/>
      <c r="B583" s="582"/>
      <c r="C583" s="256"/>
      <c r="D583" s="582"/>
      <c r="E583" s="488"/>
      <c r="F583" s="258"/>
      <c r="G583" s="173"/>
      <c r="H583" s="173"/>
      <c r="I583" s="576"/>
      <c r="J583" s="580"/>
      <c r="K583" s="569" t="str">
        <f t="shared" si="1"/>
        <v/>
      </c>
      <c r="L583" s="572"/>
      <c r="M583" s="173"/>
      <c r="N583" s="173"/>
      <c r="O583" s="173"/>
      <c r="P583" s="573"/>
      <c r="Q583" s="573"/>
      <c r="R583" s="173"/>
      <c r="S583" s="173"/>
      <c r="T583" s="173"/>
      <c r="U583" s="173"/>
      <c r="V583" s="173"/>
      <c r="W583" s="574"/>
      <c r="X583" s="575"/>
      <c r="Y583" s="28"/>
      <c r="Z583" s="543" t="str">
        <f t="array" ref="Z583">IF(LEN(AC583),lower(concatenate("bosvendor-",'2-Building'!B$4,"-",INDEX(D:D, MATCH(AC583, J:J, 0)),INDEX(E:E, MATCH(AC583, J:J, 0)))),"")</f>
        <v/>
      </c>
      <c r="AA583" s="28"/>
      <c r="AB583" s="28"/>
      <c r="AC583" s="28"/>
      <c r="AD583" s="28"/>
    </row>
    <row r="584" ht="30.0" customHeight="1">
      <c r="A584" s="488"/>
      <c r="B584" s="582"/>
      <c r="C584" s="256"/>
      <c r="D584" s="582"/>
      <c r="E584" s="488"/>
      <c r="F584" s="258"/>
      <c r="G584" s="173"/>
      <c r="H584" s="173"/>
      <c r="I584" s="576"/>
      <c r="J584" s="580"/>
      <c r="K584" s="569" t="str">
        <f t="shared" si="1"/>
        <v/>
      </c>
      <c r="L584" s="572"/>
      <c r="M584" s="173"/>
      <c r="N584" s="173"/>
      <c r="O584" s="173"/>
      <c r="P584" s="573"/>
      <c r="Q584" s="573"/>
      <c r="R584" s="173"/>
      <c r="S584" s="173"/>
      <c r="T584" s="173"/>
      <c r="U584" s="173"/>
      <c r="V584" s="173"/>
      <c r="W584" s="574"/>
      <c r="X584" s="575"/>
      <c r="Y584" s="28"/>
      <c r="Z584" s="543" t="str">
        <f t="array" ref="Z584">IF(LEN(AC584),lower(concatenate("bosvendor-",'2-Building'!B$4,"-",INDEX(D:D, MATCH(AC584, J:J, 0)),INDEX(E:E, MATCH(AC584, J:J, 0)))),"")</f>
        <v/>
      </c>
      <c r="AA584" s="28"/>
      <c r="AB584" s="28"/>
      <c r="AC584" s="28"/>
      <c r="AD584" s="28"/>
    </row>
    <row r="585" ht="30.0" customHeight="1">
      <c r="A585" s="488"/>
      <c r="B585" s="582"/>
      <c r="C585" s="256"/>
      <c r="D585" s="582"/>
      <c r="E585" s="488"/>
      <c r="F585" s="258"/>
      <c r="G585" s="173"/>
      <c r="H585" s="173"/>
      <c r="I585" s="576"/>
      <c r="J585" s="580"/>
      <c r="K585" s="569" t="str">
        <f t="shared" si="1"/>
        <v/>
      </c>
      <c r="L585" s="572"/>
      <c r="M585" s="173"/>
      <c r="N585" s="173"/>
      <c r="O585" s="173"/>
      <c r="P585" s="573"/>
      <c r="Q585" s="573"/>
      <c r="R585" s="173"/>
      <c r="S585" s="173"/>
      <c r="T585" s="173"/>
      <c r="U585" s="173"/>
      <c r="V585" s="173"/>
      <c r="W585" s="574"/>
      <c r="X585" s="575"/>
      <c r="Y585" s="28"/>
      <c r="Z585" s="543" t="str">
        <f t="array" ref="Z585">IF(LEN(AC585),lower(concatenate("bosvendor-",'2-Building'!B$4,"-",INDEX(D:D, MATCH(AC585, J:J, 0)),INDEX(E:E, MATCH(AC585, J:J, 0)))),"")</f>
        <v/>
      </c>
      <c r="AA585" s="28"/>
      <c r="AB585" s="28"/>
      <c r="AC585" s="28"/>
      <c r="AD585" s="28"/>
    </row>
    <row r="586" ht="30.0" customHeight="1">
      <c r="A586" s="488"/>
      <c r="B586" s="582"/>
      <c r="C586" s="256"/>
      <c r="D586" s="582"/>
      <c r="E586" s="488"/>
      <c r="F586" s="258"/>
      <c r="G586" s="173"/>
      <c r="H586" s="173"/>
      <c r="I586" s="576"/>
      <c r="J586" s="580"/>
      <c r="K586" s="569" t="str">
        <f t="shared" si="1"/>
        <v/>
      </c>
      <c r="L586" s="572"/>
      <c r="M586" s="173"/>
      <c r="N586" s="173"/>
      <c r="O586" s="173"/>
      <c r="P586" s="573"/>
      <c r="Q586" s="573"/>
      <c r="R586" s="173"/>
      <c r="S586" s="173"/>
      <c r="T586" s="173"/>
      <c r="U586" s="173"/>
      <c r="V586" s="173"/>
      <c r="W586" s="574"/>
      <c r="X586" s="575"/>
      <c r="Y586" s="28"/>
      <c r="Z586" s="543" t="str">
        <f t="array" ref="Z586">IF(LEN(AC586),lower(concatenate("bosvendor-",'2-Building'!B$4,"-",INDEX(D:D, MATCH(AC586, J:J, 0)),INDEX(E:E, MATCH(AC586, J:J, 0)))),"")</f>
        <v/>
      </c>
      <c r="AA586" s="28"/>
      <c r="AB586" s="28"/>
      <c r="AC586" s="28"/>
      <c r="AD586" s="28"/>
    </row>
    <row r="587" ht="30.0" customHeight="1">
      <c r="A587" s="488"/>
      <c r="B587" s="582"/>
      <c r="C587" s="256"/>
      <c r="D587" s="582"/>
      <c r="E587" s="488"/>
      <c r="F587" s="258"/>
      <c r="G587" s="173"/>
      <c r="H587" s="173"/>
      <c r="I587" s="576"/>
      <c r="J587" s="580"/>
      <c r="K587" s="569" t="str">
        <f t="shared" si="1"/>
        <v/>
      </c>
      <c r="L587" s="572"/>
      <c r="M587" s="173"/>
      <c r="N587" s="173"/>
      <c r="O587" s="173"/>
      <c r="P587" s="573"/>
      <c r="Q587" s="573"/>
      <c r="R587" s="173"/>
      <c r="S587" s="173"/>
      <c r="T587" s="173"/>
      <c r="U587" s="173"/>
      <c r="V587" s="173"/>
      <c r="W587" s="574"/>
      <c r="X587" s="575"/>
      <c r="Y587" s="28"/>
      <c r="Z587" s="543" t="str">
        <f t="array" ref="Z587">IF(LEN(AC587),lower(concatenate("bosvendor-",'2-Building'!B$4,"-",INDEX(D:D, MATCH(AC587, J:J, 0)),INDEX(E:E, MATCH(AC587, J:J, 0)))),"")</f>
        <v/>
      </c>
      <c r="AA587" s="28"/>
      <c r="AB587" s="28"/>
      <c r="AC587" s="28"/>
      <c r="AD587" s="28"/>
    </row>
    <row r="588" ht="30.0" customHeight="1">
      <c r="A588" s="488"/>
      <c r="B588" s="582"/>
      <c r="C588" s="256"/>
      <c r="D588" s="582"/>
      <c r="E588" s="488"/>
      <c r="F588" s="258"/>
      <c r="G588" s="173"/>
      <c r="H588" s="173"/>
      <c r="I588" s="576"/>
      <c r="J588" s="580"/>
      <c r="K588" s="569" t="str">
        <f t="shared" si="1"/>
        <v/>
      </c>
      <c r="L588" s="572"/>
      <c r="M588" s="173"/>
      <c r="N588" s="173"/>
      <c r="O588" s="173"/>
      <c r="P588" s="573"/>
      <c r="Q588" s="573"/>
      <c r="R588" s="173"/>
      <c r="S588" s="173"/>
      <c r="T588" s="173"/>
      <c r="U588" s="173"/>
      <c r="V588" s="173"/>
      <c r="W588" s="574"/>
      <c r="X588" s="575"/>
      <c r="Y588" s="28"/>
      <c r="Z588" s="543" t="str">
        <f t="array" ref="Z588">IF(LEN(AC588),lower(concatenate("bosvendor-",'2-Building'!B$4,"-",INDEX(D:D, MATCH(AC588, J:J, 0)),INDEX(E:E, MATCH(AC588, J:J, 0)))),"")</f>
        <v/>
      </c>
      <c r="AA588" s="28"/>
      <c r="AB588" s="28"/>
      <c r="AC588" s="28"/>
      <c r="AD588" s="28"/>
    </row>
    <row r="589" ht="30.0" customHeight="1">
      <c r="A589" s="488"/>
      <c r="B589" s="582"/>
      <c r="C589" s="256"/>
      <c r="D589" s="582"/>
      <c r="E589" s="488"/>
      <c r="F589" s="258"/>
      <c r="G589" s="173"/>
      <c r="H589" s="173"/>
      <c r="I589" s="576"/>
      <c r="J589" s="580"/>
      <c r="K589" s="569" t="str">
        <f t="shared" si="1"/>
        <v/>
      </c>
      <c r="L589" s="572"/>
      <c r="M589" s="173"/>
      <c r="N589" s="173"/>
      <c r="O589" s="173"/>
      <c r="P589" s="573"/>
      <c r="Q589" s="573"/>
      <c r="R589" s="173"/>
      <c r="S589" s="173"/>
      <c r="T589" s="173"/>
      <c r="U589" s="173"/>
      <c r="V589" s="173"/>
      <c r="W589" s="574"/>
      <c r="X589" s="575"/>
      <c r="Y589" s="28"/>
      <c r="Z589" s="543" t="str">
        <f t="array" ref="Z589">IF(LEN(AC589),lower(concatenate("bosvendor-",'2-Building'!B$4,"-",INDEX(D:D, MATCH(AC589, J:J, 0)),INDEX(E:E, MATCH(AC589, J:J, 0)))),"")</f>
        <v/>
      </c>
      <c r="AA589" s="28"/>
      <c r="AB589" s="28"/>
      <c r="AC589" s="28"/>
      <c r="AD589" s="28"/>
    </row>
    <row r="590" ht="30.0" customHeight="1">
      <c r="A590" s="488"/>
      <c r="B590" s="582"/>
      <c r="C590" s="256"/>
      <c r="D590" s="582"/>
      <c r="E590" s="488"/>
      <c r="F590" s="258"/>
      <c r="G590" s="173"/>
      <c r="H590" s="173"/>
      <c r="I590" s="576"/>
      <c r="J590" s="580"/>
      <c r="K590" s="569" t="str">
        <f t="shared" si="1"/>
        <v/>
      </c>
      <c r="L590" s="572"/>
      <c r="M590" s="173"/>
      <c r="N590" s="173"/>
      <c r="O590" s="173"/>
      <c r="P590" s="573"/>
      <c r="Q590" s="573"/>
      <c r="R590" s="173"/>
      <c r="S590" s="173"/>
      <c r="T590" s="173"/>
      <c r="U590" s="173"/>
      <c r="V590" s="173"/>
      <c r="W590" s="574"/>
      <c r="X590" s="575"/>
      <c r="Y590" s="28"/>
      <c r="Z590" s="543" t="str">
        <f t="array" ref="Z590">IF(LEN(AC590),lower(concatenate("bosvendor-",'2-Building'!B$4,"-",INDEX(D:D, MATCH(AC590, J:J, 0)),INDEX(E:E, MATCH(AC590, J:J, 0)))),"")</f>
        <v/>
      </c>
      <c r="AA590" s="28"/>
      <c r="AB590" s="28"/>
      <c r="AC590" s="28"/>
      <c r="AD590" s="28"/>
    </row>
    <row r="591" ht="30.0" customHeight="1">
      <c r="A591" s="488"/>
      <c r="B591" s="582"/>
      <c r="C591" s="256"/>
      <c r="D591" s="582"/>
      <c r="E591" s="488"/>
      <c r="F591" s="258"/>
      <c r="G591" s="173"/>
      <c r="H591" s="173"/>
      <c r="I591" s="576"/>
      <c r="J591" s="580"/>
      <c r="K591" s="569" t="str">
        <f t="shared" si="1"/>
        <v/>
      </c>
      <c r="L591" s="572"/>
      <c r="M591" s="173"/>
      <c r="N591" s="173"/>
      <c r="O591" s="173"/>
      <c r="P591" s="573"/>
      <c r="Q591" s="573"/>
      <c r="R591" s="173"/>
      <c r="S591" s="173"/>
      <c r="T591" s="173"/>
      <c r="U591" s="173"/>
      <c r="V591" s="173"/>
      <c r="W591" s="574"/>
      <c r="X591" s="575"/>
      <c r="Y591" s="28"/>
      <c r="Z591" s="543" t="str">
        <f t="array" ref="Z591">IF(LEN(AC591),lower(concatenate("bosvendor-",'2-Building'!B$4,"-",INDEX(D:D, MATCH(AC591, J:J, 0)),INDEX(E:E, MATCH(AC591, J:J, 0)))),"")</f>
        <v/>
      </c>
      <c r="AA591" s="28"/>
      <c r="AB591" s="28"/>
      <c r="AC591" s="28"/>
      <c r="AD591" s="28"/>
    </row>
    <row r="592" ht="30.0" customHeight="1">
      <c r="A592" s="488"/>
      <c r="B592" s="582"/>
      <c r="C592" s="256"/>
      <c r="D592" s="582"/>
      <c r="E592" s="488"/>
      <c r="F592" s="258"/>
      <c r="G592" s="173"/>
      <c r="H592" s="173"/>
      <c r="I592" s="576"/>
      <c r="J592" s="580"/>
      <c r="K592" s="569" t="str">
        <f t="shared" si="1"/>
        <v/>
      </c>
      <c r="L592" s="572"/>
      <c r="M592" s="173"/>
      <c r="N592" s="173"/>
      <c r="O592" s="173"/>
      <c r="P592" s="573"/>
      <c r="Q592" s="573"/>
      <c r="R592" s="173"/>
      <c r="S592" s="173"/>
      <c r="T592" s="173"/>
      <c r="U592" s="173"/>
      <c r="V592" s="173"/>
      <c r="W592" s="574"/>
      <c r="X592" s="575"/>
      <c r="Y592" s="28"/>
      <c r="Z592" s="543" t="str">
        <f t="array" ref="Z592">IF(LEN(AC592),lower(concatenate("bosvendor-",'2-Building'!B$4,"-",INDEX(D:D, MATCH(AC592, J:J, 0)),INDEX(E:E, MATCH(AC592, J:J, 0)))),"")</f>
        <v/>
      </c>
      <c r="AA592" s="28"/>
      <c r="AB592" s="28"/>
      <c r="AC592" s="28"/>
      <c r="AD592" s="28"/>
    </row>
    <row r="593" ht="30.0" customHeight="1">
      <c r="A593" s="488"/>
      <c r="B593" s="582"/>
      <c r="C593" s="256"/>
      <c r="D593" s="582"/>
      <c r="E593" s="488"/>
      <c r="F593" s="258"/>
      <c r="G593" s="173"/>
      <c r="H593" s="173"/>
      <c r="I593" s="576"/>
      <c r="J593" s="580"/>
      <c r="K593" s="569" t="str">
        <f t="shared" si="1"/>
        <v/>
      </c>
      <c r="L593" s="572"/>
      <c r="M593" s="173"/>
      <c r="N593" s="173"/>
      <c r="O593" s="173"/>
      <c r="P593" s="573"/>
      <c r="Q593" s="573"/>
      <c r="R593" s="173"/>
      <c r="S593" s="173"/>
      <c r="T593" s="173"/>
      <c r="U593" s="173"/>
      <c r="V593" s="173"/>
      <c r="W593" s="574"/>
      <c r="X593" s="575"/>
      <c r="Y593" s="28"/>
      <c r="Z593" s="543" t="str">
        <f t="array" ref="Z593">IF(LEN(AC593),lower(concatenate("bosvendor-",'2-Building'!B$4,"-",INDEX(D:D, MATCH(AC593, J:J, 0)),INDEX(E:E, MATCH(AC593, J:J, 0)))),"")</f>
        <v/>
      </c>
      <c r="AA593" s="28"/>
      <c r="AB593" s="28"/>
      <c r="AC593" s="28"/>
      <c r="AD593" s="28"/>
    </row>
    <row r="594" ht="30.0" customHeight="1">
      <c r="A594" s="488"/>
      <c r="B594" s="582"/>
      <c r="C594" s="256"/>
      <c r="D594" s="582"/>
      <c r="E594" s="488"/>
      <c r="F594" s="258"/>
      <c r="G594" s="173"/>
      <c r="H594" s="173"/>
      <c r="I594" s="576"/>
      <c r="J594" s="580"/>
      <c r="K594" s="569" t="str">
        <f t="shared" si="1"/>
        <v/>
      </c>
      <c r="L594" s="572"/>
      <c r="M594" s="173"/>
      <c r="N594" s="173"/>
      <c r="O594" s="173"/>
      <c r="P594" s="573"/>
      <c r="Q594" s="573"/>
      <c r="R594" s="173"/>
      <c r="S594" s="173"/>
      <c r="T594" s="173"/>
      <c r="U594" s="173"/>
      <c r="V594" s="173"/>
      <c r="W594" s="574"/>
      <c r="X594" s="575"/>
      <c r="Y594" s="28"/>
      <c r="Z594" s="543" t="str">
        <f t="array" ref="Z594">IF(LEN(AC594),lower(concatenate("bosvendor-",'2-Building'!B$4,"-",INDEX(D:D, MATCH(AC594, J:J, 0)),INDEX(E:E, MATCH(AC594, J:J, 0)))),"")</f>
        <v/>
      </c>
      <c r="AA594" s="28"/>
      <c r="AB594" s="28"/>
      <c r="AC594" s="28"/>
      <c r="AD594" s="28"/>
    </row>
    <row r="595" ht="30.0" customHeight="1">
      <c r="A595" s="488"/>
      <c r="B595" s="582"/>
      <c r="C595" s="256"/>
      <c r="D595" s="582"/>
      <c r="E595" s="488"/>
      <c r="F595" s="258"/>
      <c r="G595" s="173"/>
      <c r="H595" s="173"/>
      <c r="I595" s="576"/>
      <c r="J595" s="580"/>
      <c r="K595" s="569" t="str">
        <f t="shared" si="1"/>
        <v/>
      </c>
      <c r="L595" s="572"/>
      <c r="M595" s="173"/>
      <c r="N595" s="173"/>
      <c r="O595" s="173"/>
      <c r="P595" s="573"/>
      <c r="Q595" s="573"/>
      <c r="R595" s="173"/>
      <c r="S595" s="173"/>
      <c r="T595" s="173"/>
      <c r="U595" s="173"/>
      <c r="V595" s="173"/>
      <c r="W595" s="574"/>
      <c r="X595" s="575"/>
      <c r="Y595" s="28"/>
      <c r="Z595" s="543" t="str">
        <f t="array" ref="Z595">IF(LEN(AC595),lower(concatenate("bosvendor-",'2-Building'!B$4,"-",INDEX(D:D, MATCH(AC595, J:J, 0)),INDEX(E:E, MATCH(AC595, J:J, 0)))),"")</f>
        <v/>
      </c>
      <c r="AA595" s="28"/>
      <c r="AB595" s="28"/>
      <c r="AC595" s="28"/>
      <c r="AD595" s="28"/>
    </row>
    <row r="596" ht="30.0" customHeight="1">
      <c r="A596" s="488"/>
      <c r="B596" s="582"/>
      <c r="C596" s="256"/>
      <c r="D596" s="582"/>
      <c r="E596" s="488"/>
      <c r="F596" s="258"/>
      <c r="G596" s="173"/>
      <c r="H596" s="173"/>
      <c r="I596" s="576"/>
      <c r="J596" s="580"/>
      <c r="K596" s="569" t="str">
        <f t="shared" si="1"/>
        <v/>
      </c>
      <c r="L596" s="572"/>
      <c r="M596" s="173"/>
      <c r="N596" s="173"/>
      <c r="O596" s="173"/>
      <c r="P596" s="573"/>
      <c r="Q596" s="573"/>
      <c r="R596" s="173"/>
      <c r="S596" s="173"/>
      <c r="T596" s="173"/>
      <c r="U596" s="173"/>
      <c r="V596" s="173"/>
      <c r="W596" s="574"/>
      <c r="X596" s="575"/>
      <c r="Y596" s="28"/>
      <c r="Z596" s="543" t="str">
        <f t="array" ref="Z596">IF(LEN(AC596),lower(concatenate("bosvendor-",'2-Building'!B$4,"-",INDEX(D:D, MATCH(AC596, J:J, 0)),INDEX(E:E, MATCH(AC596, J:J, 0)))),"")</f>
        <v/>
      </c>
      <c r="AA596" s="28"/>
      <c r="AB596" s="28"/>
      <c r="AC596" s="28"/>
      <c r="AD596" s="28"/>
    </row>
    <row r="597" ht="30.0" customHeight="1">
      <c r="A597" s="488"/>
      <c r="B597" s="582"/>
      <c r="C597" s="256"/>
      <c r="D597" s="582"/>
      <c r="E597" s="488"/>
      <c r="F597" s="258"/>
      <c r="G597" s="173"/>
      <c r="H597" s="173"/>
      <c r="I597" s="576"/>
      <c r="J597" s="580"/>
      <c r="K597" s="569" t="str">
        <f t="shared" si="1"/>
        <v/>
      </c>
      <c r="L597" s="572"/>
      <c r="M597" s="173"/>
      <c r="N597" s="173"/>
      <c r="O597" s="173"/>
      <c r="P597" s="573"/>
      <c r="Q597" s="573"/>
      <c r="R597" s="173"/>
      <c r="S597" s="173"/>
      <c r="T597" s="173"/>
      <c r="U597" s="173"/>
      <c r="V597" s="173"/>
      <c r="W597" s="574"/>
      <c r="X597" s="575"/>
      <c r="Y597" s="28"/>
      <c r="Z597" s="543" t="str">
        <f t="array" ref="Z597">IF(LEN(AC597),lower(concatenate("bosvendor-",'2-Building'!B$4,"-",INDEX(D:D, MATCH(AC597, J:J, 0)),INDEX(E:E, MATCH(AC597, J:J, 0)))),"")</f>
        <v/>
      </c>
      <c r="AA597" s="28"/>
      <c r="AB597" s="28"/>
      <c r="AC597" s="28"/>
      <c r="AD597" s="28"/>
    </row>
    <row r="598" ht="30.0" customHeight="1">
      <c r="A598" s="488"/>
      <c r="B598" s="582"/>
      <c r="C598" s="256"/>
      <c r="D598" s="582"/>
      <c r="E598" s="488"/>
      <c r="F598" s="258"/>
      <c r="G598" s="173"/>
      <c r="H598" s="173"/>
      <c r="I598" s="576"/>
      <c r="J598" s="580"/>
      <c r="K598" s="569" t="str">
        <f t="shared" si="1"/>
        <v/>
      </c>
      <c r="L598" s="572"/>
      <c r="M598" s="173"/>
      <c r="N598" s="173"/>
      <c r="O598" s="173"/>
      <c r="P598" s="573"/>
      <c r="Q598" s="573"/>
      <c r="R598" s="173"/>
      <c r="S598" s="173"/>
      <c r="T598" s="173"/>
      <c r="U598" s="173"/>
      <c r="V598" s="173"/>
      <c r="W598" s="574"/>
      <c r="X598" s="575"/>
      <c r="Y598" s="28"/>
      <c r="Z598" s="543" t="str">
        <f t="array" ref="Z598">IF(LEN(AC598),lower(concatenate("bosvendor-",'2-Building'!B$4,"-",INDEX(D:D, MATCH(AC598, J:J, 0)),INDEX(E:E, MATCH(AC598, J:J, 0)))),"")</f>
        <v/>
      </c>
      <c r="AA598" s="28"/>
      <c r="AB598" s="28"/>
      <c r="AC598" s="28"/>
      <c r="AD598" s="28"/>
    </row>
    <row r="599" ht="30.0" customHeight="1">
      <c r="A599" s="488"/>
      <c r="B599" s="582"/>
      <c r="C599" s="256"/>
      <c r="D599" s="582"/>
      <c r="E599" s="488"/>
      <c r="F599" s="258"/>
      <c r="G599" s="173"/>
      <c r="H599" s="173"/>
      <c r="I599" s="576"/>
      <c r="J599" s="580"/>
      <c r="K599" s="569" t="str">
        <f t="shared" si="1"/>
        <v/>
      </c>
      <c r="L599" s="572"/>
      <c r="M599" s="173"/>
      <c r="N599" s="173"/>
      <c r="O599" s="173"/>
      <c r="P599" s="573"/>
      <c r="Q599" s="573"/>
      <c r="R599" s="173"/>
      <c r="S599" s="173"/>
      <c r="T599" s="173"/>
      <c r="U599" s="173"/>
      <c r="V599" s="173"/>
      <c r="W599" s="574"/>
      <c r="X599" s="575"/>
      <c r="Y599" s="28"/>
      <c r="Z599" s="543" t="str">
        <f t="array" ref="Z599">IF(LEN(AC599),lower(concatenate("bosvendor-",'2-Building'!B$4,"-",INDEX(D:D, MATCH(AC599, J:J, 0)),INDEX(E:E, MATCH(AC599, J:J, 0)))),"")</f>
        <v/>
      </c>
      <c r="AA599" s="28"/>
      <c r="AB599" s="28"/>
      <c r="AC599" s="28"/>
      <c r="AD599" s="28"/>
    </row>
    <row r="600" ht="30.0" customHeight="1">
      <c r="A600" s="488"/>
      <c r="B600" s="582"/>
      <c r="C600" s="256"/>
      <c r="D600" s="582"/>
      <c r="E600" s="488"/>
      <c r="F600" s="258"/>
      <c r="G600" s="173"/>
      <c r="H600" s="173"/>
      <c r="I600" s="576"/>
      <c r="J600" s="580"/>
      <c r="K600" s="569" t="str">
        <f t="shared" si="1"/>
        <v/>
      </c>
      <c r="L600" s="572"/>
      <c r="M600" s="173"/>
      <c r="N600" s="173"/>
      <c r="O600" s="173"/>
      <c r="P600" s="573"/>
      <c r="Q600" s="573"/>
      <c r="R600" s="173"/>
      <c r="S600" s="173"/>
      <c r="T600" s="173"/>
      <c r="U600" s="173"/>
      <c r="V600" s="173"/>
      <c r="W600" s="574"/>
      <c r="X600" s="575"/>
      <c r="Y600" s="28"/>
      <c r="Z600" s="543" t="str">
        <f t="array" ref="Z600">IF(LEN(AC600),lower(concatenate("bosvendor-",'2-Building'!B$4,"-",INDEX(D:D, MATCH(AC600, J:J, 0)),INDEX(E:E, MATCH(AC600, J:J, 0)))),"")</f>
        <v/>
      </c>
      <c r="AA600" s="28"/>
      <c r="AB600" s="28"/>
      <c r="AC600" s="28"/>
      <c r="AD600" s="28"/>
    </row>
    <row r="601" ht="30.0" customHeight="1">
      <c r="A601" s="488"/>
      <c r="B601" s="582"/>
      <c r="C601" s="256"/>
      <c r="D601" s="582"/>
      <c r="E601" s="488"/>
      <c r="F601" s="258"/>
      <c r="G601" s="173"/>
      <c r="H601" s="173"/>
      <c r="I601" s="576"/>
      <c r="J601" s="580"/>
      <c r="K601" s="569" t="str">
        <f t="shared" si="1"/>
        <v/>
      </c>
      <c r="L601" s="572"/>
      <c r="M601" s="173"/>
      <c r="N601" s="173"/>
      <c r="O601" s="173"/>
      <c r="P601" s="573"/>
      <c r="Q601" s="573"/>
      <c r="R601" s="173"/>
      <c r="S601" s="173"/>
      <c r="T601" s="173"/>
      <c r="U601" s="173"/>
      <c r="V601" s="173"/>
      <c r="W601" s="574"/>
      <c r="X601" s="575"/>
      <c r="Y601" s="28"/>
      <c r="Z601" s="543" t="str">
        <f t="array" ref="Z601">IF(LEN(AC601),lower(concatenate("bosvendor-",'2-Building'!B$4,"-",INDEX(D:D, MATCH(AC601, J:J, 0)),INDEX(E:E, MATCH(AC601, J:J, 0)))),"")</f>
        <v/>
      </c>
      <c r="AA601" s="28"/>
      <c r="AB601" s="28"/>
      <c r="AC601" s="28"/>
      <c r="AD601" s="28"/>
    </row>
    <row r="602" ht="30.0" customHeight="1">
      <c r="A602" s="488"/>
      <c r="B602" s="582"/>
      <c r="C602" s="256"/>
      <c r="D602" s="582"/>
      <c r="E602" s="488"/>
      <c r="F602" s="258"/>
      <c r="G602" s="173"/>
      <c r="H602" s="173"/>
      <c r="I602" s="576"/>
      <c r="J602" s="580"/>
      <c r="K602" s="569" t="str">
        <f t="shared" si="1"/>
        <v/>
      </c>
      <c r="L602" s="572"/>
      <c r="M602" s="173"/>
      <c r="N602" s="173"/>
      <c r="O602" s="173"/>
      <c r="P602" s="573"/>
      <c r="Q602" s="573"/>
      <c r="R602" s="173"/>
      <c r="S602" s="173"/>
      <c r="T602" s="173"/>
      <c r="U602" s="173"/>
      <c r="V602" s="173"/>
      <c r="W602" s="574"/>
      <c r="X602" s="575"/>
      <c r="Y602" s="28"/>
      <c r="Z602" s="543" t="str">
        <f t="array" ref="Z602">IF(LEN(AC602),lower(concatenate("bosvendor-",'2-Building'!B$4,"-",INDEX(D:D, MATCH(AC602, J:J, 0)),INDEX(E:E, MATCH(AC602, J:J, 0)))),"")</f>
        <v/>
      </c>
      <c r="AA602" s="28"/>
      <c r="AB602" s="28"/>
      <c r="AC602" s="28"/>
      <c r="AD602" s="28"/>
    </row>
    <row r="603" ht="30.0" customHeight="1">
      <c r="A603" s="488"/>
      <c r="B603" s="582"/>
      <c r="C603" s="256"/>
      <c r="D603" s="582"/>
      <c r="E603" s="488"/>
      <c r="F603" s="258"/>
      <c r="G603" s="173"/>
      <c r="H603" s="173"/>
      <c r="I603" s="576"/>
      <c r="J603" s="580"/>
      <c r="K603" s="569" t="str">
        <f t="shared" si="1"/>
        <v/>
      </c>
      <c r="L603" s="572"/>
      <c r="M603" s="173"/>
      <c r="N603" s="173"/>
      <c r="O603" s="173"/>
      <c r="P603" s="573"/>
      <c r="Q603" s="573"/>
      <c r="R603" s="173"/>
      <c r="S603" s="173"/>
      <c r="T603" s="173"/>
      <c r="U603" s="173"/>
      <c r="V603" s="173"/>
      <c r="W603" s="574"/>
      <c r="X603" s="575"/>
      <c r="Y603" s="28"/>
      <c r="Z603" s="543" t="str">
        <f t="array" ref="Z603">IF(LEN(AC603),lower(concatenate("bosvendor-",'2-Building'!B$4,"-",INDEX(D:D, MATCH(AC603, J:J, 0)),INDEX(E:E, MATCH(AC603, J:J, 0)))),"")</f>
        <v/>
      </c>
      <c r="AA603" s="28"/>
      <c r="AB603" s="28"/>
      <c r="AC603" s="28"/>
      <c r="AD603" s="28"/>
    </row>
    <row r="604" ht="30.0" customHeight="1">
      <c r="A604" s="488"/>
      <c r="B604" s="582"/>
      <c r="C604" s="256"/>
      <c r="D604" s="582"/>
      <c r="E604" s="488"/>
      <c r="F604" s="258"/>
      <c r="G604" s="173"/>
      <c r="H604" s="173"/>
      <c r="I604" s="576"/>
      <c r="J604" s="580"/>
      <c r="K604" s="569" t="str">
        <f t="shared" si="1"/>
        <v/>
      </c>
      <c r="L604" s="572"/>
      <c r="M604" s="173"/>
      <c r="N604" s="173"/>
      <c r="O604" s="173"/>
      <c r="P604" s="573"/>
      <c r="Q604" s="573"/>
      <c r="R604" s="173"/>
      <c r="S604" s="173"/>
      <c r="T604" s="173"/>
      <c r="U604" s="173"/>
      <c r="V604" s="173"/>
      <c r="W604" s="574"/>
      <c r="X604" s="575"/>
      <c r="Y604" s="28"/>
      <c r="Z604" s="543" t="str">
        <f t="array" ref="Z604">IF(LEN(AC604),lower(concatenate("bosvendor-",'2-Building'!B$4,"-",INDEX(D:D, MATCH(AC604, J:J, 0)),INDEX(E:E, MATCH(AC604, J:J, 0)))),"")</f>
        <v/>
      </c>
      <c r="AA604" s="28"/>
      <c r="AB604" s="28"/>
      <c r="AC604" s="28"/>
      <c r="AD604" s="28"/>
    </row>
    <row r="605" ht="30.0" customHeight="1">
      <c r="A605" s="488"/>
      <c r="B605" s="582"/>
      <c r="C605" s="256"/>
      <c r="D605" s="582"/>
      <c r="E605" s="488"/>
      <c r="F605" s="258"/>
      <c r="G605" s="173"/>
      <c r="H605" s="173"/>
      <c r="I605" s="576"/>
      <c r="J605" s="580"/>
      <c r="K605" s="569" t="str">
        <f t="shared" si="1"/>
        <v/>
      </c>
      <c r="L605" s="572"/>
      <c r="M605" s="173"/>
      <c r="N605" s="173"/>
      <c r="O605" s="173"/>
      <c r="P605" s="573"/>
      <c r="Q605" s="573"/>
      <c r="R605" s="173"/>
      <c r="S605" s="173"/>
      <c r="T605" s="173"/>
      <c r="U605" s="173"/>
      <c r="V605" s="173"/>
      <c r="W605" s="574"/>
      <c r="X605" s="575"/>
      <c r="Y605" s="28"/>
      <c r="Z605" s="543" t="str">
        <f t="array" ref="Z605">IF(LEN(AC605),lower(concatenate("bosvendor-",'2-Building'!B$4,"-",INDEX(D:D, MATCH(AC605, J:J, 0)),INDEX(E:E, MATCH(AC605, J:J, 0)))),"")</f>
        <v/>
      </c>
      <c r="AA605" s="28"/>
      <c r="AB605" s="28"/>
      <c r="AC605" s="28"/>
      <c r="AD605" s="28"/>
    </row>
    <row r="606" ht="30.0" customHeight="1">
      <c r="A606" s="488"/>
      <c r="B606" s="582"/>
      <c r="C606" s="256"/>
      <c r="D606" s="582"/>
      <c r="E606" s="488"/>
      <c r="F606" s="258"/>
      <c r="G606" s="173"/>
      <c r="H606" s="173"/>
      <c r="I606" s="576"/>
      <c r="J606" s="580"/>
      <c r="K606" s="569" t="str">
        <f t="shared" si="1"/>
        <v/>
      </c>
      <c r="L606" s="572"/>
      <c r="M606" s="173"/>
      <c r="N606" s="173"/>
      <c r="O606" s="173"/>
      <c r="P606" s="573"/>
      <c r="Q606" s="573"/>
      <c r="R606" s="173"/>
      <c r="S606" s="173"/>
      <c r="T606" s="173"/>
      <c r="U606" s="173"/>
      <c r="V606" s="173"/>
      <c r="W606" s="574"/>
      <c r="X606" s="575"/>
      <c r="Y606" s="28"/>
      <c r="Z606" s="543" t="str">
        <f t="array" ref="Z606">IF(LEN(AC606),lower(concatenate("bosvendor-",'2-Building'!B$4,"-",INDEX(D:D, MATCH(AC606, J:J, 0)),INDEX(E:E, MATCH(AC606, J:J, 0)))),"")</f>
        <v/>
      </c>
      <c r="AA606" s="28"/>
      <c r="AB606" s="28"/>
      <c r="AC606" s="28"/>
      <c r="AD606" s="28"/>
    </row>
    <row r="607" ht="30.0" customHeight="1">
      <c r="A607" s="488"/>
      <c r="B607" s="582"/>
      <c r="C607" s="256"/>
      <c r="D607" s="582"/>
      <c r="E607" s="488"/>
      <c r="F607" s="258"/>
      <c r="G607" s="173"/>
      <c r="H607" s="173"/>
      <c r="I607" s="576"/>
      <c r="J607" s="580"/>
      <c r="K607" s="569" t="str">
        <f t="shared" si="1"/>
        <v/>
      </c>
      <c r="L607" s="572"/>
      <c r="M607" s="173"/>
      <c r="N607" s="173"/>
      <c r="O607" s="173"/>
      <c r="P607" s="573"/>
      <c r="Q607" s="573"/>
      <c r="R607" s="173"/>
      <c r="S607" s="173"/>
      <c r="T607" s="173"/>
      <c r="U607" s="173"/>
      <c r="V607" s="173"/>
      <c r="W607" s="574"/>
      <c r="X607" s="575"/>
      <c r="Y607" s="28"/>
      <c r="Z607" s="543" t="str">
        <f t="array" ref="Z607">IF(LEN(AC607),lower(concatenate("bosvendor-",'2-Building'!B$4,"-",INDEX(D:D, MATCH(AC607, J:J, 0)),INDEX(E:E, MATCH(AC607, J:J, 0)))),"")</f>
        <v/>
      </c>
      <c r="AA607" s="28"/>
      <c r="AB607" s="28"/>
      <c r="AC607" s="28"/>
      <c r="AD607" s="28"/>
    </row>
    <row r="608" ht="30.0" customHeight="1">
      <c r="A608" s="488"/>
      <c r="B608" s="582"/>
      <c r="C608" s="256"/>
      <c r="D608" s="582"/>
      <c r="E608" s="488"/>
      <c r="F608" s="258"/>
      <c r="G608" s="173"/>
      <c r="H608" s="173"/>
      <c r="I608" s="576"/>
      <c r="J608" s="580"/>
      <c r="K608" s="569" t="str">
        <f t="shared" si="1"/>
        <v/>
      </c>
      <c r="L608" s="572"/>
      <c r="M608" s="173"/>
      <c r="N608" s="173"/>
      <c r="O608" s="173"/>
      <c r="P608" s="573"/>
      <c r="Q608" s="573"/>
      <c r="R608" s="173"/>
      <c r="S608" s="173"/>
      <c r="T608" s="173"/>
      <c r="U608" s="173"/>
      <c r="V608" s="173"/>
      <c r="W608" s="574"/>
      <c r="X608" s="575"/>
      <c r="Y608" s="28"/>
      <c r="Z608" s="543" t="str">
        <f t="array" ref="Z608">IF(LEN(AC608),lower(concatenate("bosvendor-",'2-Building'!B$4,"-",INDEX(D:D, MATCH(AC608, J:J, 0)),INDEX(E:E, MATCH(AC608, J:J, 0)))),"")</f>
        <v/>
      </c>
      <c r="AA608" s="28"/>
      <c r="AB608" s="28"/>
      <c r="AC608" s="28"/>
      <c r="AD608" s="28"/>
    </row>
    <row r="609" ht="30.0" customHeight="1">
      <c r="A609" s="488"/>
      <c r="B609" s="582"/>
      <c r="C609" s="256"/>
      <c r="D609" s="582"/>
      <c r="E609" s="488"/>
      <c r="F609" s="258"/>
      <c r="G609" s="173"/>
      <c r="H609" s="173"/>
      <c r="I609" s="576"/>
      <c r="J609" s="580"/>
      <c r="K609" s="569" t="str">
        <f t="shared" si="1"/>
        <v/>
      </c>
      <c r="L609" s="572"/>
      <c r="M609" s="173"/>
      <c r="N609" s="173"/>
      <c r="O609" s="173"/>
      <c r="P609" s="573"/>
      <c r="Q609" s="573"/>
      <c r="R609" s="173"/>
      <c r="S609" s="173"/>
      <c r="T609" s="173"/>
      <c r="U609" s="173"/>
      <c r="V609" s="173"/>
      <c r="W609" s="574"/>
      <c r="X609" s="575"/>
      <c r="Y609" s="28"/>
      <c r="Z609" s="543" t="str">
        <f t="array" ref="Z609">IF(LEN(AC609),lower(concatenate("bosvendor-",'2-Building'!B$4,"-",INDEX(D:D, MATCH(AC609, J:J, 0)),INDEX(E:E, MATCH(AC609, J:J, 0)))),"")</f>
        <v/>
      </c>
      <c r="AA609" s="28"/>
      <c r="AB609" s="28"/>
      <c r="AC609" s="28"/>
      <c r="AD609" s="28"/>
    </row>
    <row r="610" ht="30.0" customHeight="1">
      <c r="A610" s="488"/>
      <c r="B610" s="582"/>
      <c r="C610" s="256"/>
      <c r="D610" s="582"/>
      <c r="E610" s="488"/>
      <c r="F610" s="258"/>
      <c r="G610" s="173"/>
      <c r="H610" s="173"/>
      <c r="I610" s="576"/>
      <c r="J610" s="580"/>
      <c r="K610" s="569" t="str">
        <f t="shared" si="1"/>
        <v/>
      </c>
      <c r="L610" s="572"/>
      <c r="M610" s="173"/>
      <c r="N610" s="173"/>
      <c r="O610" s="173"/>
      <c r="P610" s="573"/>
      <c r="Q610" s="573"/>
      <c r="R610" s="173"/>
      <c r="S610" s="173"/>
      <c r="T610" s="173"/>
      <c r="U610" s="173"/>
      <c r="V610" s="173"/>
      <c r="W610" s="574"/>
      <c r="X610" s="575"/>
      <c r="Y610" s="28"/>
      <c r="Z610" s="543" t="str">
        <f t="array" ref="Z610">IF(LEN(AC610),lower(concatenate("bosvendor-",'2-Building'!B$4,"-",INDEX(D:D, MATCH(AC610, J:J, 0)),INDEX(E:E, MATCH(AC610, J:J, 0)))),"")</f>
        <v/>
      </c>
      <c r="AA610" s="28"/>
      <c r="AB610" s="28"/>
      <c r="AC610" s="28"/>
      <c r="AD610" s="28"/>
    </row>
    <row r="611" ht="30.0" customHeight="1">
      <c r="A611" s="488"/>
      <c r="B611" s="582"/>
      <c r="C611" s="256"/>
      <c r="D611" s="582"/>
      <c r="E611" s="488"/>
      <c r="F611" s="258"/>
      <c r="G611" s="173"/>
      <c r="H611" s="173"/>
      <c r="I611" s="576"/>
      <c r="J611" s="580"/>
      <c r="K611" s="569" t="str">
        <f t="shared" si="1"/>
        <v/>
      </c>
      <c r="L611" s="572"/>
      <c r="M611" s="173"/>
      <c r="N611" s="173"/>
      <c r="O611" s="173"/>
      <c r="P611" s="573"/>
      <c r="Q611" s="573"/>
      <c r="R611" s="173"/>
      <c r="S611" s="173"/>
      <c r="T611" s="173"/>
      <c r="U611" s="173"/>
      <c r="V611" s="173"/>
      <c r="W611" s="574"/>
      <c r="X611" s="575"/>
      <c r="Y611" s="28"/>
      <c r="Z611" s="543" t="str">
        <f t="array" ref="Z611">IF(LEN(AC611),lower(concatenate("bosvendor-",'2-Building'!B$4,"-",INDEX(D:D, MATCH(AC611, J:J, 0)),INDEX(E:E, MATCH(AC611, J:J, 0)))),"")</f>
        <v/>
      </c>
      <c r="AA611" s="28"/>
      <c r="AB611" s="28"/>
      <c r="AC611" s="28"/>
      <c r="AD611" s="28"/>
    </row>
    <row r="612" ht="30.0" customHeight="1">
      <c r="A612" s="488"/>
      <c r="B612" s="582"/>
      <c r="C612" s="256"/>
      <c r="D612" s="582"/>
      <c r="E612" s="488"/>
      <c r="F612" s="258"/>
      <c r="G612" s="173"/>
      <c r="H612" s="173"/>
      <c r="I612" s="576"/>
      <c r="J612" s="580"/>
      <c r="K612" s="569" t="str">
        <f t="shared" si="1"/>
        <v/>
      </c>
      <c r="L612" s="572"/>
      <c r="M612" s="173"/>
      <c r="N612" s="173"/>
      <c r="O612" s="173"/>
      <c r="P612" s="573"/>
      <c r="Q612" s="573"/>
      <c r="R612" s="173"/>
      <c r="S612" s="173"/>
      <c r="T612" s="173"/>
      <c r="U612" s="173"/>
      <c r="V612" s="173"/>
      <c r="W612" s="574"/>
      <c r="X612" s="575"/>
      <c r="Y612" s="28"/>
      <c r="Z612" s="543" t="str">
        <f t="array" ref="Z612">IF(LEN(AC612),lower(concatenate("bosvendor-",'2-Building'!B$4,"-",INDEX(D:D, MATCH(AC612, J:J, 0)),INDEX(E:E, MATCH(AC612, J:J, 0)))),"")</f>
        <v/>
      </c>
      <c r="AA612" s="28"/>
      <c r="AB612" s="28"/>
      <c r="AC612" s="28"/>
      <c r="AD612" s="28"/>
    </row>
    <row r="613" ht="30.0" customHeight="1">
      <c r="A613" s="488"/>
      <c r="B613" s="582"/>
      <c r="C613" s="256"/>
      <c r="D613" s="582"/>
      <c r="E613" s="488"/>
      <c r="F613" s="258"/>
      <c r="G613" s="173"/>
      <c r="H613" s="173"/>
      <c r="I613" s="576"/>
      <c r="J613" s="580"/>
      <c r="K613" s="569" t="str">
        <f t="shared" si="1"/>
        <v/>
      </c>
      <c r="L613" s="572"/>
      <c r="M613" s="173"/>
      <c r="N613" s="173"/>
      <c r="O613" s="173"/>
      <c r="P613" s="573"/>
      <c r="Q613" s="573"/>
      <c r="R613" s="173"/>
      <c r="S613" s="173"/>
      <c r="T613" s="173"/>
      <c r="U613" s="173"/>
      <c r="V613" s="173"/>
      <c r="W613" s="574"/>
      <c r="X613" s="575"/>
      <c r="Y613" s="28"/>
      <c r="Z613" s="543" t="str">
        <f t="array" ref="Z613">IF(LEN(AC613),lower(concatenate("bosvendor-",'2-Building'!B$4,"-",INDEX(D:D, MATCH(AC613, J:J, 0)),INDEX(E:E, MATCH(AC613, J:J, 0)))),"")</f>
        <v/>
      </c>
      <c r="AA613" s="28"/>
      <c r="AB613" s="28"/>
      <c r="AC613" s="28"/>
      <c r="AD613" s="28"/>
    </row>
    <row r="614" ht="30.0" customHeight="1">
      <c r="A614" s="488"/>
      <c r="B614" s="582"/>
      <c r="C614" s="256"/>
      <c r="D614" s="582"/>
      <c r="E614" s="488"/>
      <c r="F614" s="258"/>
      <c r="G614" s="173"/>
      <c r="H614" s="173"/>
      <c r="I614" s="576"/>
      <c r="J614" s="580"/>
      <c r="K614" s="569" t="str">
        <f t="shared" si="1"/>
        <v/>
      </c>
      <c r="L614" s="572"/>
      <c r="M614" s="173"/>
      <c r="N614" s="173"/>
      <c r="O614" s="173"/>
      <c r="P614" s="573"/>
      <c r="Q614" s="573"/>
      <c r="R614" s="173"/>
      <c r="S614" s="173"/>
      <c r="T614" s="173"/>
      <c r="U614" s="173"/>
      <c r="V614" s="173"/>
      <c r="W614" s="574"/>
      <c r="X614" s="575"/>
      <c r="Y614" s="28"/>
      <c r="Z614" s="543" t="str">
        <f t="array" ref="Z614">IF(LEN(AC614),lower(concatenate("bosvendor-",'2-Building'!B$4,"-",INDEX(D:D, MATCH(AC614, J:J, 0)),INDEX(E:E, MATCH(AC614, J:J, 0)))),"")</f>
        <v/>
      </c>
      <c r="AA614" s="28"/>
      <c r="AB614" s="28"/>
      <c r="AC614" s="28"/>
      <c r="AD614" s="28"/>
    </row>
    <row r="615" ht="30.0" customHeight="1">
      <c r="A615" s="488"/>
      <c r="B615" s="582"/>
      <c r="C615" s="256"/>
      <c r="D615" s="582"/>
      <c r="E615" s="488"/>
      <c r="F615" s="258"/>
      <c r="G615" s="173"/>
      <c r="H615" s="173"/>
      <c r="I615" s="576"/>
      <c r="J615" s="580"/>
      <c r="K615" s="569" t="str">
        <f t="shared" si="1"/>
        <v/>
      </c>
      <c r="L615" s="572"/>
      <c r="M615" s="173"/>
      <c r="N615" s="173"/>
      <c r="O615" s="173"/>
      <c r="P615" s="573"/>
      <c r="Q615" s="573"/>
      <c r="R615" s="173"/>
      <c r="S615" s="173"/>
      <c r="T615" s="173"/>
      <c r="U615" s="173"/>
      <c r="V615" s="173"/>
      <c r="W615" s="574"/>
      <c r="X615" s="575"/>
      <c r="Y615" s="28"/>
      <c r="Z615" s="543" t="str">
        <f t="array" ref="Z615">IF(LEN(AC615),lower(concatenate("bosvendor-",'2-Building'!B$4,"-",INDEX(D:D, MATCH(AC615, J:J, 0)),INDEX(E:E, MATCH(AC615, J:J, 0)))),"")</f>
        <v/>
      </c>
      <c r="AA615" s="28"/>
      <c r="AB615" s="28"/>
      <c r="AC615" s="28"/>
      <c r="AD615" s="28"/>
    </row>
    <row r="616" ht="30.0" customHeight="1">
      <c r="A616" s="488"/>
      <c r="B616" s="582"/>
      <c r="C616" s="256"/>
      <c r="D616" s="582"/>
      <c r="E616" s="488"/>
      <c r="F616" s="258"/>
      <c r="G616" s="173"/>
      <c r="H616" s="173"/>
      <c r="I616" s="576"/>
      <c r="J616" s="580"/>
      <c r="K616" s="569" t="str">
        <f t="shared" si="1"/>
        <v/>
      </c>
      <c r="L616" s="572"/>
      <c r="M616" s="173"/>
      <c r="N616" s="173"/>
      <c r="O616" s="173"/>
      <c r="P616" s="573"/>
      <c r="Q616" s="573"/>
      <c r="R616" s="173"/>
      <c r="S616" s="173"/>
      <c r="T616" s="173"/>
      <c r="U616" s="173"/>
      <c r="V616" s="173"/>
      <c r="W616" s="574"/>
      <c r="X616" s="575"/>
      <c r="Y616" s="28"/>
      <c r="Z616" s="543" t="str">
        <f t="array" ref="Z616">IF(LEN(AC616),lower(concatenate("bosvendor-",'2-Building'!B$4,"-",INDEX(D:D, MATCH(AC616, J:J, 0)),INDEX(E:E, MATCH(AC616, J:J, 0)))),"")</f>
        <v/>
      </c>
      <c r="AA616" s="28"/>
      <c r="AB616" s="28"/>
      <c r="AC616" s="28"/>
      <c r="AD616" s="28"/>
    </row>
    <row r="617" ht="30.0" customHeight="1">
      <c r="A617" s="488"/>
      <c r="B617" s="582"/>
      <c r="C617" s="256"/>
      <c r="D617" s="582"/>
      <c r="E617" s="488"/>
      <c r="F617" s="258"/>
      <c r="G617" s="173"/>
      <c r="H617" s="173"/>
      <c r="I617" s="576"/>
      <c r="J617" s="580"/>
      <c r="K617" s="569" t="str">
        <f t="shared" si="1"/>
        <v/>
      </c>
      <c r="L617" s="572"/>
      <c r="M617" s="173"/>
      <c r="N617" s="173"/>
      <c r="O617" s="173"/>
      <c r="P617" s="573"/>
      <c r="Q617" s="573"/>
      <c r="R617" s="173"/>
      <c r="S617" s="173"/>
      <c r="T617" s="173"/>
      <c r="U617" s="173"/>
      <c r="V617" s="173"/>
      <c r="W617" s="574"/>
      <c r="X617" s="575"/>
      <c r="Y617" s="28"/>
      <c r="Z617" s="543" t="str">
        <f t="array" ref="Z617">IF(LEN(AC617),lower(concatenate("bosvendor-",'2-Building'!B$4,"-",INDEX(D:D, MATCH(AC617, J:J, 0)),INDEX(E:E, MATCH(AC617, J:J, 0)))),"")</f>
        <v/>
      </c>
      <c r="AA617" s="28"/>
      <c r="AB617" s="28"/>
      <c r="AC617" s="28"/>
      <c r="AD617" s="28"/>
    </row>
    <row r="618" ht="30.0" customHeight="1">
      <c r="A618" s="488"/>
      <c r="B618" s="582"/>
      <c r="C618" s="256"/>
      <c r="D618" s="582"/>
      <c r="E618" s="488"/>
      <c r="F618" s="258"/>
      <c r="G618" s="173"/>
      <c r="H618" s="173"/>
      <c r="I618" s="576"/>
      <c r="J618" s="580"/>
      <c r="K618" s="569" t="str">
        <f t="shared" si="1"/>
        <v/>
      </c>
      <c r="L618" s="572"/>
      <c r="M618" s="173"/>
      <c r="N618" s="173"/>
      <c r="O618" s="173"/>
      <c r="P618" s="573"/>
      <c r="Q618" s="573"/>
      <c r="R618" s="173"/>
      <c r="S618" s="173"/>
      <c r="T618" s="173"/>
      <c r="U618" s="173"/>
      <c r="V618" s="173"/>
      <c r="W618" s="574"/>
      <c r="X618" s="575"/>
      <c r="Y618" s="28"/>
      <c r="Z618" s="543" t="str">
        <f t="array" ref="Z618">IF(LEN(AC618),lower(concatenate("bosvendor-",'2-Building'!B$4,"-",INDEX(D:D, MATCH(AC618, J:J, 0)),INDEX(E:E, MATCH(AC618, J:J, 0)))),"")</f>
        <v/>
      </c>
      <c r="AA618" s="28"/>
      <c r="AB618" s="28"/>
      <c r="AC618" s="28"/>
      <c r="AD618" s="28"/>
    </row>
    <row r="619" ht="30.0" customHeight="1">
      <c r="A619" s="488"/>
      <c r="B619" s="582"/>
      <c r="C619" s="256"/>
      <c r="D619" s="582"/>
      <c r="E619" s="488"/>
      <c r="F619" s="258"/>
      <c r="G619" s="173"/>
      <c r="H619" s="173"/>
      <c r="I619" s="576"/>
      <c r="J619" s="580"/>
      <c r="K619" s="569" t="str">
        <f t="shared" si="1"/>
        <v/>
      </c>
      <c r="L619" s="572"/>
      <c r="M619" s="173"/>
      <c r="N619" s="173"/>
      <c r="O619" s="173"/>
      <c r="P619" s="573"/>
      <c r="Q619" s="573"/>
      <c r="R619" s="173"/>
      <c r="S619" s="173"/>
      <c r="T619" s="173"/>
      <c r="U619" s="173"/>
      <c r="V619" s="173"/>
      <c r="W619" s="574"/>
      <c r="X619" s="575"/>
      <c r="Y619" s="28"/>
      <c r="Z619" s="543" t="str">
        <f t="array" ref="Z619">IF(LEN(AC619),lower(concatenate("bosvendor-",'2-Building'!B$4,"-",INDEX(D:D, MATCH(AC619, J:J, 0)),INDEX(E:E, MATCH(AC619, J:J, 0)))),"")</f>
        <v/>
      </c>
      <c r="AA619" s="28"/>
      <c r="AB619" s="28"/>
      <c r="AC619" s="28"/>
      <c r="AD619" s="28"/>
    </row>
    <row r="620" ht="30.0" customHeight="1">
      <c r="A620" s="488"/>
      <c r="B620" s="582"/>
      <c r="C620" s="256"/>
      <c r="D620" s="582"/>
      <c r="E620" s="488"/>
      <c r="F620" s="258"/>
      <c r="G620" s="173"/>
      <c r="H620" s="173"/>
      <c r="I620" s="576"/>
      <c r="J620" s="580"/>
      <c r="K620" s="569" t="str">
        <f t="shared" si="1"/>
        <v/>
      </c>
      <c r="L620" s="572"/>
      <c r="M620" s="173"/>
      <c r="N620" s="173"/>
      <c r="O620" s="173"/>
      <c r="P620" s="573"/>
      <c r="Q620" s="573"/>
      <c r="R620" s="173"/>
      <c r="S620" s="173"/>
      <c r="T620" s="173"/>
      <c r="U620" s="173"/>
      <c r="V620" s="173"/>
      <c r="W620" s="574"/>
      <c r="X620" s="575"/>
      <c r="Y620" s="28"/>
      <c r="Z620" s="543" t="str">
        <f t="array" ref="Z620">IF(LEN(AC620),lower(concatenate("bosvendor-",'2-Building'!B$4,"-",INDEX(D:D, MATCH(AC620, J:J, 0)),INDEX(E:E, MATCH(AC620, J:J, 0)))),"")</f>
        <v/>
      </c>
      <c r="AA620" s="28"/>
      <c r="AB620" s="28"/>
      <c r="AC620" s="28"/>
      <c r="AD620" s="28"/>
    </row>
    <row r="621" ht="30.0" customHeight="1">
      <c r="A621" s="488"/>
      <c r="B621" s="582"/>
      <c r="C621" s="256"/>
      <c r="D621" s="582"/>
      <c r="E621" s="488"/>
      <c r="F621" s="258"/>
      <c r="G621" s="173"/>
      <c r="H621" s="173"/>
      <c r="I621" s="576"/>
      <c r="J621" s="580"/>
      <c r="K621" s="569" t="str">
        <f t="shared" si="1"/>
        <v/>
      </c>
      <c r="L621" s="572"/>
      <c r="M621" s="173"/>
      <c r="N621" s="173"/>
      <c r="O621" s="173"/>
      <c r="P621" s="573"/>
      <c r="Q621" s="573"/>
      <c r="R621" s="173"/>
      <c r="S621" s="173"/>
      <c r="T621" s="173"/>
      <c r="U621" s="173"/>
      <c r="V621" s="173"/>
      <c r="W621" s="574"/>
      <c r="X621" s="575"/>
      <c r="Y621" s="28"/>
      <c r="Z621" s="543" t="str">
        <f t="array" ref="Z621">IF(LEN(AC621),lower(concatenate("bosvendor-",'2-Building'!B$4,"-",INDEX(D:D, MATCH(AC621, J:J, 0)),INDEX(E:E, MATCH(AC621, J:J, 0)))),"")</f>
        <v/>
      </c>
      <c r="AA621" s="28"/>
      <c r="AB621" s="28"/>
      <c r="AC621" s="28"/>
      <c r="AD621" s="28"/>
    </row>
    <row r="622" ht="30.0" customHeight="1">
      <c r="A622" s="488"/>
      <c r="B622" s="582"/>
      <c r="C622" s="256"/>
      <c r="D622" s="582"/>
      <c r="E622" s="488"/>
      <c r="F622" s="258"/>
      <c r="G622" s="173"/>
      <c r="H622" s="173"/>
      <c r="I622" s="576"/>
      <c r="J622" s="580"/>
      <c r="K622" s="569" t="str">
        <f t="shared" si="1"/>
        <v/>
      </c>
      <c r="L622" s="572"/>
      <c r="M622" s="173"/>
      <c r="N622" s="173"/>
      <c r="O622" s="173"/>
      <c r="P622" s="573"/>
      <c r="Q622" s="573"/>
      <c r="R622" s="173"/>
      <c r="S622" s="173"/>
      <c r="T622" s="173"/>
      <c r="U622" s="173"/>
      <c r="V622" s="173"/>
      <c r="W622" s="574"/>
      <c r="X622" s="575"/>
      <c r="Y622" s="28"/>
      <c r="Z622" s="543" t="str">
        <f t="array" ref="Z622">IF(LEN(AC622),lower(concatenate("bosvendor-",'2-Building'!B$4,"-",INDEX(D:D, MATCH(AC622, J:J, 0)),INDEX(E:E, MATCH(AC622, J:J, 0)))),"")</f>
        <v/>
      </c>
      <c r="AA622" s="28"/>
      <c r="AB622" s="28"/>
      <c r="AC622" s="28"/>
      <c r="AD622" s="28"/>
    </row>
    <row r="623" ht="30.0" customHeight="1">
      <c r="A623" s="488"/>
      <c r="B623" s="582"/>
      <c r="C623" s="256"/>
      <c r="D623" s="582"/>
      <c r="E623" s="488"/>
      <c r="F623" s="258"/>
      <c r="G623" s="173"/>
      <c r="H623" s="173"/>
      <c r="I623" s="576"/>
      <c r="J623" s="580"/>
      <c r="K623" s="569" t="str">
        <f t="shared" si="1"/>
        <v/>
      </c>
      <c r="L623" s="572"/>
      <c r="M623" s="173"/>
      <c r="N623" s="173"/>
      <c r="O623" s="173"/>
      <c r="P623" s="573"/>
      <c r="Q623" s="573"/>
      <c r="R623" s="173"/>
      <c r="S623" s="173"/>
      <c r="T623" s="173"/>
      <c r="U623" s="173"/>
      <c r="V623" s="173"/>
      <c r="W623" s="574"/>
      <c r="X623" s="575"/>
      <c r="Y623" s="28"/>
      <c r="Z623" s="543" t="str">
        <f t="array" ref="Z623">IF(LEN(AC623),lower(concatenate("bosvendor-",'2-Building'!B$4,"-",INDEX(D:D, MATCH(AC623, J:J, 0)),INDEX(E:E, MATCH(AC623, J:J, 0)))),"")</f>
        <v/>
      </c>
      <c r="AA623" s="28"/>
      <c r="AB623" s="28"/>
      <c r="AC623" s="28"/>
      <c r="AD623" s="28"/>
    </row>
    <row r="624" ht="30.0" customHeight="1">
      <c r="A624" s="488"/>
      <c r="B624" s="582"/>
      <c r="C624" s="256"/>
      <c r="D624" s="582"/>
      <c r="E624" s="488"/>
      <c r="F624" s="258"/>
      <c r="G624" s="173"/>
      <c r="H624" s="173"/>
      <c r="I624" s="576"/>
      <c r="J624" s="580"/>
      <c r="K624" s="569" t="str">
        <f t="shared" si="1"/>
        <v/>
      </c>
      <c r="L624" s="572"/>
      <c r="M624" s="173"/>
      <c r="N624" s="173"/>
      <c r="O624" s="173"/>
      <c r="P624" s="573"/>
      <c r="Q624" s="573"/>
      <c r="R624" s="173"/>
      <c r="S624" s="173"/>
      <c r="T624" s="173"/>
      <c r="U624" s="173"/>
      <c r="V624" s="173"/>
      <c r="W624" s="574"/>
      <c r="X624" s="575"/>
      <c r="Y624" s="28"/>
      <c r="Z624" s="543" t="str">
        <f t="array" ref="Z624">IF(LEN(AC624),lower(concatenate("bosvendor-",'2-Building'!B$4,"-",INDEX(D:D, MATCH(AC624, J:J, 0)),INDEX(E:E, MATCH(AC624, J:J, 0)))),"")</f>
        <v/>
      </c>
      <c r="AA624" s="28"/>
      <c r="AB624" s="28"/>
      <c r="AC624" s="28"/>
      <c r="AD624" s="28"/>
    </row>
    <row r="625" ht="30.0" customHeight="1">
      <c r="A625" s="488"/>
      <c r="B625" s="582"/>
      <c r="C625" s="256"/>
      <c r="D625" s="582"/>
      <c r="E625" s="488"/>
      <c r="F625" s="258"/>
      <c r="G625" s="173"/>
      <c r="H625" s="173"/>
      <c r="I625" s="576"/>
      <c r="J625" s="580"/>
      <c r="K625" s="569" t="str">
        <f t="shared" si="1"/>
        <v/>
      </c>
      <c r="L625" s="572"/>
      <c r="M625" s="173"/>
      <c r="N625" s="173"/>
      <c r="O625" s="173"/>
      <c r="P625" s="573"/>
      <c r="Q625" s="573"/>
      <c r="R625" s="173"/>
      <c r="S625" s="173"/>
      <c r="T625" s="173"/>
      <c r="U625" s="173"/>
      <c r="V625" s="173"/>
      <c r="W625" s="574"/>
      <c r="X625" s="575"/>
      <c r="Y625" s="28"/>
      <c r="Z625" s="543" t="str">
        <f t="array" ref="Z625">IF(LEN(AC625),lower(concatenate("bosvendor-",'2-Building'!B$4,"-",INDEX(D:D, MATCH(AC625, J:J, 0)),INDEX(E:E, MATCH(AC625, J:J, 0)))),"")</f>
        <v/>
      </c>
      <c r="AA625" s="28"/>
      <c r="AB625" s="28"/>
      <c r="AC625" s="28"/>
      <c r="AD625" s="28"/>
    </row>
    <row r="626" ht="30.0" customHeight="1">
      <c r="A626" s="488"/>
      <c r="B626" s="582"/>
      <c r="C626" s="256"/>
      <c r="D626" s="582"/>
      <c r="E626" s="488"/>
      <c r="F626" s="258"/>
      <c r="G626" s="173"/>
      <c r="H626" s="173"/>
      <c r="I626" s="576"/>
      <c r="J626" s="580"/>
      <c r="K626" s="569" t="str">
        <f t="shared" si="1"/>
        <v/>
      </c>
      <c r="L626" s="572"/>
      <c r="M626" s="173"/>
      <c r="N626" s="173"/>
      <c r="O626" s="173"/>
      <c r="P626" s="573"/>
      <c r="Q626" s="573"/>
      <c r="R626" s="173"/>
      <c r="S626" s="173"/>
      <c r="T626" s="173"/>
      <c r="U626" s="173"/>
      <c r="V626" s="173"/>
      <c r="W626" s="574"/>
      <c r="X626" s="575"/>
      <c r="Y626" s="28"/>
      <c r="Z626" s="543" t="str">
        <f t="array" ref="Z626">IF(LEN(AC626),lower(concatenate("bosvendor-",'2-Building'!B$4,"-",INDEX(D:D, MATCH(AC626, J:J, 0)),INDEX(E:E, MATCH(AC626, J:J, 0)))),"")</f>
        <v/>
      </c>
      <c r="AA626" s="28"/>
      <c r="AB626" s="28"/>
      <c r="AC626" s="28"/>
      <c r="AD626" s="28"/>
    </row>
    <row r="627" ht="30.0" customHeight="1">
      <c r="A627" s="488"/>
      <c r="B627" s="582"/>
      <c r="C627" s="256"/>
      <c r="D627" s="582"/>
      <c r="E627" s="488"/>
      <c r="F627" s="258"/>
      <c r="G627" s="173"/>
      <c r="H627" s="173"/>
      <c r="I627" s="576"/>
      <c r="J627" s="580"/>
      <c r="K627" s="569" t="str">
        <f t="shared" si="1"/>
        <v/>
      </c>
      <c r="L627" s="572"/>
      <c r="M627" s="173"/>
      <c r="N627" s="173"/>
      <c r="O627" s="173"/>
      <c r="P627" s="573"/>
      <c r="Q627" s="573"/>
      <c r="R627" s="173"/>
      <c r="S627" s="173"/>
      <c r="T627" s="173"/>
      <c r="U627" s="173"/>
      <c r="V627" s="173"/>
      <c r="W627" s="574"/>
      <c r="X627" s="575"/>
      <c r="Y627" s="28"/>
      <c r="Z627" s="543" t="str">
        <f t="array" ref="Z627">IF(LEN(AC627),lower(concatenate("bosvendor-",'2-Building'!B$4,"-",INDEX(D:D, MATCH(AC627, J:J, 0)),INDEX(E:E, MATCH(AC627, J:J, 0)))),"")</f>
        <v/>
      </c>
      <c r="AA627" s="28"/>
      <c r="AB627" s="28"/>
      <c r="AC627" s="28"/>
      <c r="AD627" s="28"/>
    </row>
    <row r="628" ht="30.0" customHeight="1">
      <c r="A628" s="488"/>
      <c r="B628" s="582"/>
      <c r="C628" s="256"/>
      <c r="D628" s="582"/>
      <c r="E628" s="488"/>
      <c r="F628" s="258"/>
      <c r="G628" s="173"/>
      <c r="H628" s="173"/>
      <c r="I628" s="576"/>
      <c r="J628" s="580"/>
      <c r="K628" s="569" t="str">
        <f t="shared" si="1"/>
        <v/>
      </c>
      <c r="L628" s="572"/>
      <c r="M628" s="173"/>
      <c r="N628" s="173"/>
      <c r="O628" s="173"/>
      <c r="P628" s="573"/>
      <c r="Q628" s="573"/>
      <c r="R628" s="173"/>
      <c r="S628" s="173"/>
      <c r="T628" s="173"/>
      <c r="U628" s="173"/>
      <c r="V628" s="173"/>
      <c r="W628" s="574"/>
      <c r="X628" s="575"/>
      <c r="Y628" s="28"/>
      <c r="Z628" s="543" t="str">
        <f t="array" ref="Z628">IF(LEN(AC628),lower(concatenate("bosvendor-",'2-Building'!B$4,"-",INDEX(D:D, MATCH(AC628, J:J, 0)),INDEX(E:E, MATCH(AC628, J:J, 0)))),"")</f>
        <v/>
      </c>
      <c r="AA628" s="28"/>
      <c r="AB628" s="28"/>
      <c r="AC628" s="28"/>
      <c r="AD628" s="28"/>
    </row>
    <row r="629" ht="30.0" customHeight="1">
      <c r="A629" s="488"/>
      <c r="B629" s="582"/>
      <c r="C629" s="256"/>
      <c r="D629" s="582"/>
      <c r="E629" s="488"/>
      <c r="F629" s="258"/>
      <c r="G629" s="173"/>
      <c r="H629" s="173"/>
      <c r="I629" s="576"/>
      <c r="J629" s="580"/>
      <c r="K629" s="569" t="str">
        <f t="shared" si="1"/>
        <v/>
      </c>
      <c r="L629" s="572"/>
      <c r="M629" s="173"/>
      <c r="N629" s="173"/>
      <c r="O629" s="173"/>
      <c r="P629" s="573"/>
      <c r="Q629" s="573"/>
      <c r="R629" s="173"/>
      <c r="S629" s="173"/>
      <c r="T629" s="173"/>
      <c r="U629" s="173"/>
      <c r="V629" s="173"/>
      <c r="W629" s="574"/>
      <c r="X629" s="575"/>
      <c r="Y629" s="28"/>
      <c r="Z629" s="543" t="str">
        <f t="array" ref="Z629">IF(LEN(AC629),lower(concatenate("bosvendor-",'2-Building'!B$4,"-",INDEX(D:D, MATCH(AC629, J:J, 0)),INDEX(E:E, MATCH(AC629, J:J, 0)))),"")</f>
        <v/>
      </c>
      <c r="AA629" s="28"/>
      <c r="AB629" s="28"/>
      <c r="AC629" s="28"/>
      <c r="AD629" s="28"/>
    </row>
    <row r="630" ht="30.0" customHeight="1">
      <c r="A630" s="488"/>
      <c r="B630" s="582"/>
      <c r="C630" s="256"/>
      <c r="D630" s="582"/>
      <c r="E630" s="488"/>
      <c r="F630" s="258"/>
      <c r="G630" s="173"/>
      <c r="H630" s="173"/>
      <c r="I630" s="576"/>
      <c r="J630" s="580"/>
      <c r="K630" s="569" t="str">
        <f t="shared" si="1"/>
        <v/>
      </c>
      <c r="L630" s="572"/>
      <c r="M630" s="173"/>
      <c r="N630" s="173"/>
      <c r="O630" s="173"/>
      <c r="P630" s="573"/>
      <c r="Q630" s="573"/>
      <c r="R630" s="173"/>
      <c r="S630" s="173"/>
      <c r="T630" s="173"/>
      <c r="U630" s="173"/>
      <c r="V630" s="173"/>
      <c r="W630" s="574"/>
      <c r="X630" s="575"/>
      <c r="Y630" s="28"/>
      <c r="Z630" s="543" t="str">
        <f t="array" ref="Z630">IF(LEN(AC630),lower(concatenate("bosvendor-",'2-Building'!B$4,"-",INDEX(D:D, MATCH(AC630, J:J, 0)),INDEX(E:E, MATCH(AC630, J:J, 0)))),"")</f>
        <v/>
      </c>
      <c r="AA630" s="28"/>
      <c r="AB630" s="28"/>
      <c r="AC630" s="28"/>
      <c r="AD630" s="28"/>
    </row>
    <row r="631" ht="30.0" customHeight="1">
      <c r="A631" s="488"/>
      <c r="B631" s="582"/>
      <c r="C631" s="256"/>
      <c r="D631" s="582"/>
      <c r="E631" s="488"/>
      <c r="F631" s="258"/>
      <c r="G631" s="173"/>
      <c r="H631" s="173"/>
      <c r="I631" s="576"/>
      <c r="J631" s="580"/>
      <c r="K631" s="569" t="str">
        <f t="shared" si="1"/>
        <v/>
      </c>
      <c r="L631" s="572"/>
      <c r="M631" s="173"/>
      <c r="N631" s="173"/>
      <c r="O631" s="173"/>
      <c r="P631" s="573"/>
      <c r="Q631" s="573"/>
      <c r="R631" s="173"/>
      <c r="S631" s="173"/>
      <c r="T631" s="173"/>
      <c r="U631" s="173"/>
      <c r="V631" s="173"/>
      <c r="W631" s="574"/>
      <c r="X631" s="575"/>
      <c r="Y631" s="28"/>
      <c r="Z631" s="543" t="str">
        <f t="array" ref="Z631">IF(LEN(AC631),lower(concatenate("bosvendor-",'2-Building'!B$4,"-",INDEX(D:D, MATCH(AC631, J:J, 0)),INDEX(E:E, MATCH(AC631, J:J, 0)))),"")</f>
        <v/>
      </c>
      <c r="AA631" s="28"/>
      <c r="AB631" s="28"/>
      <c r="AC631" s="28"/>
      <c r="AD631" s="28"/>
    </row>
    <row r="632" ht="30.0" customHeight="1">
      <c r="A632" s="488"/>
      <c r="B632" s="582"/>
      <c r="C632" s="256"/>
      <c r="D632" s="582"/>
      <c r="E632" s="488"/>
      <c r="F632" s="258"/>
      <c r="G632" s="173"/>
      <c r="H632" s="173"/>
      <c r="I632" s="576"/>
      <c r="J632" s="580"/>
      <c r="K632" s="569" t="str">
        <f t="shared" si="1"/>
        <v/>
      </c>
      <c r="L632" s="572"/>
      <c r="M632" s="173"/>
      <c r="N632" s="173"/>
      <c r="O632" s="173"/>
      <c r="P632" s="573"/>
      <c r="Q632" s="573"/>
      <c r="R632" s="173"/>
      <c r="S632" s="173"/>
      <c r="T632" s="173"/>
      <c r="U632" s="173"/>
      <c r="V632" s="173"/>
      <c r="W632" s="574"/>
      <c r="X632" s="575"/>
      <c r="Y632" s="28"/>
      <c r="Z632" s="543" t="str">
        <f t="array" ref="Z632">IF(LEN(AC632),lower(concatenate("bosvendor-",'2-Building'!B$4,"-",INDEX(D:D, MATCH(AC632, J:J, 0)),INDEX(E:E, MATCH(AC632, J:J, 0)))),"")</f>
        <v/>
      </c>
      <c r="AA632" s="28"/>
      <c r="AB632" s="28"/>
      <c r="AC632" s="28"/>
      <c r="AD632" s="28"/>
    </row>
    <row r="633" ht="30.0" customHeight="1">
      <c r="A633" s="488"/>
      <c r="B633" s="582"/>
      <c r="C633" s="256"/>
      <c r="D633" s="582"/>
      <c r="E633" s="488"/>
      <c r="F633" s="258"/>
      <c r="G633" s="173"/>
      <c r="H633" s="173"/>
      <c r="I633" s="576"/>
      <c r="J633" s="580"/>
      <c r="K633" s="569" t="str">
        <f t="shared" si="1"/>
        <v/>
      </c>
      <c r="L633" s="572"/>
      <c r="M633" s="173"/>
      <c r="N633" s="173"/>
      <c r="O633" s="173"/>
      <c r="P633" s="573"/>
      <c r="Q633" s="573"/>
      <c r="R633" s="173"/>
      <c r="S633" s="173"/>
      <c r="T633" s="173"/>
      <c r="U633" s="173"/>
      <c r="V633" s="173"/>
      <c r="W633" s="574"/>
      <c r="X633" s="575"/>
      <c r="Y633" s="28"/>
      <c r="Z633" s="543" t="str">
        <f t="array" ref="Z633">IF(LEN(AC633),lower(concatenate("bosvendor-",'2-Building'!B$4,"-",INDEX(D:D, MATCH(AC633, J:J, 0)),INDEX(E:E, MATCH(AC633, J:J, 0)))),"")</f>
        <v/>
      </c>
      <c r="AA633" s="28"/>
      <c r="AB633" s="28"/>
      <c r="AC633" s="28"/>
      <c r="AD633" s="28"/>
    </row>
    <row r="634" ht="30.0" customHeight="1">
      <c r="A634" s="488"/>
      <c r="B634" s="582"/>
      <c r="C634" s="256"/>
      <c r="D634" s="582"/>
      <c r="E634" s="488"/>
      <c r="F634" s="258"/>
      <c r="G634" s="173"/>
      <c r="H634" s="173"/>
      <c r="I634" s="576"/>
      <c r="J634" s="580"/>
      <c r="K634" s="569" t="str">
        <f t="shared" si="1"/>
        <v/>
      </c>
      <c r="L634" s="572"/>
      <c r="M634" s="173"/>
      <c r="N634" s="173"/>
      <c r="O634" s="173"/>
      <c r="P634" s="573"/>
      <c r="Q634" s="573"/>
      <c r="R634" s="173"/>
      <c r="S634" s="173"/>
      <c r="T634" s="173"/>
      <c r="U634" s="173"/>
      <c r="V634" s="173"/>
      <c r="W634" s="574"/>
      <c r="X634" s="575"/>
      <c r="Y634" s="28"/>
      <c r="Z634" s="543" t="str">
        <f t="array" ref="Z634">IF(LEN(AC634),lower(concatenate("bosvendor-",'2-Building'!B$4,"-",INDEX(D:D, MATCH(AC634, J:J, 0)),INDEX(E:E, MATCH(AC634, J:J, 0)))),"")</f>
        <v/>
      </c>
      <c r="AA634" s="28"/>
      <c r="AB634" s="28"/>
      <c r="AC634" s="28"/>
      <c r="AD634" s="28"/>
    </row>
    <row r="635" ht="30.0" customHeight="1">
      <c r="A635" s="488"/>
      <c r="B635" s="582"/>
      <c r="C635" s="256"/>
      <c r="D635" s="582"/>
      <c r="E635" s="488"/>
      <c r="F635" s="258"/>
      <c r="G635" s="173"/>
      <c r="H635" s="173"/>
      <c r="I635" s="576"/>
      <c r="J635" s="580"/>
      <c r="K635" s="569" t="str">
        <f t="shared" si="1"/>
        <v/>
      </c>
      <c r="L635" s="572"/>
      <c r="M635" s="173"/>
      <c r="N635" s="173"/>
      <c r="O635" s="173"/>
      <c r="P635" s="573"/>
      <c r="Q635" s="573"/>
      <c r="R635" s="173"/>
      <c r="S635" s="173"/>
      <c r="T635" s="173"/>
      <c r="U635" s="173"/>
      <c r="V635" s="173"/>
      <c r="W635" s="574"/>
      <c r="X635" s="575"/>
      <c r="Y635" s="28"/>
      <c r="Z635" s="543" t="str">
        <f t="array" ref="Z635">IF(LEN(AC635),lower(concatenate("bosvendor-",'2-Building'!B$4,"-",INDEX(D:D, MATCH(AC635, J:J, 0)),INDEX(E:E, MATCH(AC635, J:J, 0)))),"")</f>
        <v/>
      </c>
      <c r="AA635" s="28"/>
      <c r="AB635" s="28"/>
      <c r="AC635" s="28"/>
      <c r="AD635" s="28"/>
    </row>
    <row r="636" ht="30.0" customHeight="1">
      <c r="A636" s="488"/>
      <c r="B636" s="582"/>
      <c r="C636" s="256"/>
      <c r="D636" s="582"/>
      <c r="E636" s="488"/>
      <c r="F636" s="258"/>
      <c r="G636" s="173"/>
      <c r="H636" s="173"/>
      <c r="I636" s="576"/>
      <c r="J636" s="580"/>
      <c r="K636" s="569" t="str">
        <f t="shared" si="1"/>
        <v/>
      </c>
      <c r="L636" s="572"/>
      <c r="M636" s="173"/>
      <c r="N636" s="173"/>
      <c r="O636" s="173"/>
      <c r="P636" s="573"/>
      <c r="Q636" s="573"/>
      <c r="R636" s="173"/>
      <c r="S636" s="173"/>
      <c r="T636" s="173"/>
      <c r="U636" s="173"/>
      <c r="V636" s="173"/>
      <c r="W636" s="574"/>
      <c r="X636" s="575"/>
      <c r="Y636" s="28"/>
      <c r="Z636" s="543" t="str">
        <f t="array" ref="Z636">IF(LEN(AC636),lower(concatenate("bosvendor-",'2-Building'!B$4,"-",INDEX(D:D, MATCH(AC636, J:J, 0)),INDEX(E:E, MATCH(AC636, J:J, 0)))),"")</f>
        <v/>
      </c>
      <c r="AA636" s="28"/>
      <c r="AB636" s="28"/>
      <c r="AC636" s="28"/>
      <c r="AD636" s="28"/>
    </row>
    <row r="637" ht="30.0" customHeight="1">
      <c r="A637" s="488"/>
      <c r="B637" s="582"/>
      <c r="C637" s="256"/>
      <c r="D637" s="582"/>
      <c r="E637" s="488"/>
      <c r="F637" s="258"/>
      <c r="G637" s="173"/>
      <c r="H637" s="173"/>
      <c r="I637" s="576"/>
      <c r="J637" s="580"/>
      <c r="K637" s="569" t="str">
        <f t="shared" si="1"/>
        <v/>
      </c>
      <c r="L637" s="572"/>
      <c r="M637" s="173"/>
      <c r="N637" s="173"/>
      <c r="O637" s="173"/>
      <c r="P637" s="573"/>
      <c r="Q637" s="573"/>
      <c r="R637" s="173"/>
      <c r="S637" s="173"/>
      <c r="T637" s="173"/>
      <c r="U637" s="173"/>
      <c r="V637" s="173"/>
      <c r="W637" s="574"/>
      <c r="X637" s="575"/>
      <c r="Y637" s="28"/>
      <c r="Z637" s="543" t="str">
        <f t="array" ref="Z637">IF(LEN(AC637),lower(concatenate("bosvendor-",'2-Building'!B$4,"-",INDEX(D:D, MATCH(AC637, J:J, 0)),INDEX(E:E, MATCH(AC637, J:J, 0)))),"")</f>
        <v/>
      </c>
      <c r="AA637" s="28"/>
      <c r="AB637" s="28"/>
      <c r="AC637" s="28"/>
      <c r="AD637" s="28"/>
    </row>
    <row r="638" ht="30.0" customHeight="1">
      <c r="A638" s="488"/>
      <c r="B638" s="582"/>
      <c r="C638" s="256"/>
      <c r="D638" s="582"/>
      <c r="E638" s="488"/>
      <c r="F638" s="258"/>
      <c r="G638" s="173"/>
      <c r="H638" s="173"/>
      <c r="I638" s="576"/>
      <c r="J638" s="580"/>
      <c r="K638" s="569" t="str">
        <f t="shared" si="1"/>
        <v/>
      </c>
      <c r="L638" s="572"/>
      <c r="M638" s="173"/>
      <c r="N638" s="173"/>
      <c r="O638" s="173"/>
      <c r="P638" s="573"/>
      <c r="Q638" s="573"/>
      <c r="R638" s="173"/>
      <c r="S638" s="173"/>
      <c r="T638" s="173"/>
      <c r="U638" s="173"/>
      <c r="V638" s="173"/>
      <c r="W638" s="574"/>
      <c r="X638" s="575"/>
      <c r="Y638" s="28"/>
      <c r="Z638" s="543" t="str">
        <f t="array" ref="Z638">IF(LEN(AC638),lower(concatenate("bosvendor-",'2-Building'!B$4,"-",INDEX(D:D, MATCH(AC638, J:J, 0)),INDEX(E:E, MATCH(AC638, J:J, 0)))),"")</f>
        <v/>
      </c>
      <c r="AA638" s="28"/>
      <c r="AB638" s="28"/>
      <c r="AC638" s="28"/>
      <c r="AD638" s="28"/>
    </row>
    <row r="639" ht="30.0" customHeight="1">
      <c r="A639" s="488"/>
      <c r="B639" s="582"/>
      <c r="C639" s="256"/>
      <c r="D639" s="582"/>
      <c r="E639" s="488"/>
      <c r="F639" s="258"/>
      <c r="G639" s="173"/>
      <c r="H639" s="173"/>
      <c r="I639" s="576"/>
      <c r="J639" s="580"/>
      <c r="K639" s="569" t="str">
        <f t="shared" si="1"/>
        <v/>
      </c>
      <c r="L639" s="572"/>
      <c r="M639" s="173"/>
      <c r="N639" s="173"/>
      <c r="O639" s="173"/>
      <c r="P639" s="573"/>
      <c r="Q639" s="573"/>
      <c r="R639" s="173"/>
      <c r="S639" s="173"/>
      <c r="T639" s="173"/>
      <c r="U639" s="173"/>
      <c r="V639" s="173"/>
      <c r="W639" s="574"/>
      <c r="X639" s="575"/>
      <c r="Y639" s="28"/>
      <c r="Z639" s="543" t="str">
        <f t="array" ref="Z639">IF(LEN(AC639),lower(concatenate("bosvendor-",'2-Building'!B$4,"-",INDEX(D:D, MATCH(AC639, J:J, 0)),INDEX(E:E, MATCH(AC639, J:J, 0)))),"")</f>
        <v/>
      </c>
      <c r="AA639" s="28"/>
      <c r="AB639" s="28"/>
      <c r="AC639" s="28"/>
      <c r="AD639" s="28"/>
    </row>
    <row r="640" ht="30.0" customHeight="1">
      <c r="A640" s="488"/>
      <c r="B640" s="582"/>
      <c r="C640" s="256"/>
      <c r="D640" s="582"/>
      <c r="E640" s="488"/>
      <c r="F640" s="258"/>
      <c r="G640" s="173"/>
      <c r="H640" s="173"/>
      <c r="I640" s="576"/>
      <c r="J640" s="580"/>
      <c r="K640" s="569" t="str">
        <f t="shared" si="1"/>
        <v/>
      </c>
      <c r="L640" s="572"/>
      <c r="M640" s="173"/>
      <c r="N640" s="173"/>
      <c r="O640" s="173"/>
      <c r="P640" s="573"/>
      <c r="Q640" s="573"/>
      <c r="R640" s="173"/>
      <c r="S640" s="173"/>
      <c r="T640" s="173"/>
      <c r="U640" s="173"/>
      <c r="V640" s="173"/>
      <c r="W640" s="574"/>
      <c r="X640" s="575"/>
      <c r="Y640" s="28"/>
      <c r="Z640" s="543" t="str">
        <f t="array" ref="Z640">IF(LEN(AC640),lower(concatenate("bosvendor-",'2-Building'!B$4,"-",INDEX(D:D, MATCH(AC640, J:J, 0)),INDEX(E:E, MATCH(AC640, J:J, 0)))),"")</f>
        <v/>
      </c>
      <c r="AA640" s="28"/>
      <c r="AB640" s="28"/>
      <c r="AC640" s="28"/>
      <c r="AD640" s="28"/>
    </row>
    <row r="641" ht="30.0" customHeight="1">
      <c r="A641" s="488"/>
      <c r="B641" s="582"/>
      <c r="C641" s="256"/>
      <c r="D641" s="582"/>
      <c r="E641" s="488"/>
      <c r="F641" s="258"/>
      <c r="G641" s="173"/>
      <c r="H641" s="173"/>
      <c r="I641" s="576"/>
      <c r="J641" s="580"/>
      <c r="K641" s="569" t="str">
        <f t="shared" si="1"/>
        <v/>
      </c>
      <c r="L641" s="572"/>
      <c r="M641" s="173"/>
      <c r="N641" s="173"/>
      <c r="O641" s="173"/>
      <c r="P641" s="573"/>
      <c r="Q641" s="573"/>
      <c r="R641" s="173"/>
      <c r="S641" s="173"/>
      <c r="T641" s="173"/>
      <c r="U641" s="173"/>
      <c r="V641" s="173"/>
      <c r="W641" s="574"/>
      <c r="X641" s="575"/>
      <c r="Y641" s="28"/>
      <c r="Z641" s="543" t="str">
        <f t="array" ref="Z641">IF(LEN(AC641),lower(concatenate("bosvendor-",'2-Building'!B$4,"-",INDEX(D:D, MATCH(AC641, J:J, 0)),INDEX(E:E, MATCH(AC641, J:J, 0)))),"")</f>
        <v/>
      </c>
      <c r="AA641" s="28"/>
      <c r="AB641" s="28"/>
      <c r="AC641" s="28"/>
      <c r="AD641" s="28"/>
    </row>
    <row r="642" ht="30.0" customHeight="1">
      <c r="A642" s="488"/>
      <c r="B642" s="582"/>
      <c r="C642" s="256"/>
      <c r="D642" s="582"/>
      <c r="E642" s="488"/>
      <c r="F642" s="258"/>
      <c r="G642" s="173"/>
      <c r="H642" s="173"/>
      <c r="I642" s="576"/>
      <c r="J642" s="580"/>
      <c r="K642" s="569" t="str">
        <f t="shared" si="1"/>
        <v/>
      </c>
      <c r="L642" s="572"/>
      <c r="M642" s="173"/>
      <c r="N642" s="173"/>
      <c r="O642" s="173"/>
      <c r="P642" s="573"/>
      <c r="Q642" s="573"/>
      <c r="R642" s="173"/>
      <c r="S642" s="173"/>
      <c r="T642" s="173"/>
      <c r="U642" s="173"/>
      <c r="V642" s="173"/>
      <c r="W642" s="574"/>
      <c r="X642" s="575"/>
      <c r="Y642" s="28"/>
      <c r="Z642" s="543" t="str">
        <f t="array" ref="Z642">IF(LEN(AC642),lower(concatenate("bosvendor-",'2-Building'!B$4,"-",INDEX(D:D, MATCH(AC642, J:J, 0)),INDEX(E:E, MATCH(AC642, J:J, 0)))),"")</f>
        <v/>
      </c>
      <c r="AA642" s="28"/>
      <c r="AB642" s="28"/>
      <c r="AC642" s="28"/>
      <c r="AD642" s="28"/>
    </row>
    <row r="643" ht="30.0" customHeight="1">
      <c r="A643" s="488"/>
      <c r="B643" s="582"/>
      <c r="C643" s="256"/>
      <c r="D643" s="582"/>
      <c r="E643" s="488"/>
      <c r="F643" s="258"/>
      <c r="G643" s="173"/>
      <c r="H643" s="173"/>
      <c r="I643" s="576"/>
      <c r="J643" s="580"/>
      <c r="K643" s="569" t="str">
        <f t="shared" si="1"/>
        <v/>
      </c>
      <c r="L643" s="572"/>
      <c r="M643" s="173"/>
      <c r="N643" s="173"/>
      <c r="O643" s="173"/>
      <c r="P643" s="573"/>
      <c r="Q643" s="573"/>
      <c r="R643" s="173"/>
      <c r="S643" s="173"/>
      <c r="T643" s="173"/>
      <c r="U643" s="173"/>
      <c r="V643" s="173"/>
      <c r="W643" s="574"/>
      <c r="X643" s="575"/>
      <c r="Y643" s="28"/>
      <c r="Z643" s="543" t="str">
        <f t="array" ref="Z643">IF(LEN(AC643),lower(concatenate("bosvendor-",'2-Building'!B$4,"-",INDEX(D:D, MATCH(AC643, J:J, 0)),INDEX(E:E, MATCH(AC643, J:J, 0)))),"")</f>
        <v/>
      </c>
      <c r="AA643" s="28"/>
      <c r="AB643" s="28"/>
      <c r="AC643" s="28"/>
      <c r="AD643" s="28"/>
    </row>
    <row r="644" ht="30.0" customHeight="1">
      <c r="A644" s="488"/>
      <c r="B644" s="582"/>
      <c r="C644" s="256"/>
      <c r="D644" s="582"/>
      <c r="E644" s="488"/>
      <c r="F644" s="258"/>
      <c r="G644" s="173"/>
      <c r="H644" s="173"/>
      <c r="I644" s="576"/>
      <c r="J644" s="580"/>
      <c r="K644" s="569" t="str">
        <f t="shared" si="1"/>
        <v/>
      </c>
      <c r="L644" s="572"/>
      <c r="M644" s="173"/>
      <c r="N644" s="173"/>
      <c r="O644" s="173"/>
      <c r="P644" s="573"/>
      <c r="Q644" s="573"/>
      <c r="R644" s="173"/>
      <c r="S644" s="173"/>
      <c r="T644" s="173"/>
      <c r="U644" s="173"/>
      <c r="V644" s="173"/>
      <c r="W644" s="574"/>
      <c r="X644" s="575"/>
      <c r="Y644" s="28"/>
      <c r="Z644" s="543" t="str">
        <f t="array" ref="Z644">IF(LEN(AC644),lower(concatenate("bosvendor-",'2-Building'!B$4,"-",INDEX(D:D, MATCH(AC644, J:J, 0)),INDEX(E:E, MATCH(AC644, J:J, 0)))),"")</f>
        <v/>
      </c>
      <c r="AA644" s="28"/>
      <c r="AB644" s="28"/>
      <c r="AC644" s="28"/>
      <c r="AD644" s="28"/>
    </row>
    <row r="645" ht="30.0" customHeight="1">
      <c r="A645" s="488"/>
      <c r="B645" s="582"/>
      <c r="C645" s="256"/>
      <c r="D645" s="582"/>
      <c r="E645" s="488"/>
      <c r="F645" s="258"/>
      <c r="G645" s="173"/>
      <c r="H645" s="173"/>
      <c r="I645" s="576"/>
      <c r="J645" s="580"/>
      <c r="K645" s="569" t="str">
        <f t="shared" si="1"/>
        <v/>
      </c>
      <c r="L645" s="572"/>
      <c r="M645" s="173"/>
      <c r="N645" s="173"/>
      <c r="O645" s="173"/>
      <c r="P645" s="573"/>
      <c r="Q645" s="573"/>
      <c r="R645" s="173"/>
      <c r="S645" s="173"/>
      <c r="T645" s="173"/>
      <c r="U645" s="173"/>
      <c r="V645" s="173"/>
      <c r="W645" s="574"/>
      <c r="X645" s="575"/>
      <c r="Y645" s="28"/>
      <c r="Z645" s="543" t="str">
        <f t="array" ref="Z645">IF(LEN(AC645),lower(concatenate("bosvendor-",'2-Building'!B$4,"-",INDEX(D:D, MATCH(AC645, J:J, 0)),INDEX(E:E, MATCH(AC645, J:J, 0)))),"")</f>
        <v/>
      </c>
      <c r="AA645" s="28"/>
      <c r="AB645" s="28"/>
      <c r="AC645" s="28"/>
      <c r="AD645" s="28"/>
    </row>
    <row r="646" ht="30.0" customHeight="1">
      <c r="A646" s="488"/>
      <c r="B646" s="582"/>
      <c r="C646" s="256"/>
      <c r="D646" s="582"/>
      <c r="E646" s="488"/>
      <c r="F646" s="258"/>
      <c r="G646" s="173"/>
      <c r="H646" s="173"/>
      <c r="I646" s="576"/>
      <c r="J646" s="580"/>
      <c r="K646" s="569" t="str">
        <f t="shared" si="1"/>
        <v/>
      </c>
      <c r="L646" s="572"/>
      <c r="M646" s="173"/>
      <c r="N646" s="173"/>
      <c r="O646" s="173"/>
      <c r="P646" s="573"/>
      <c r="Q646" s="573"/>
      <c r="R646" s="173"/>
      <c r="S646" s="173"/>
      <c r="T646" s="173"/>
      <c r="U646" s="173"/>
      <c r="V646" s="173"/>
      <c r="W646" s="574"/>
      <c r="X646" s="575"/>
      <c r="Y646" s="28"/>
      <c r="Z646" s="543" t="str">
        <f t="array" ref="Z646">IF(LEN(AC646),lower(concatenate("bosvendor-",'2-Building'!B$4,"-",INDEX(D:D, MATCH(AC646, J:J, 0)),INDEX(E:E, MATCH(AC646, J:J, 0)))),"")</f>
        <v/>
      </c>
      <c r="AA646" s="28"/>
      <c r="AB646" s="28"/>
      <c r="AC646" s="28"/>
      <c r="AD646" s="28"/>
    </row>
    <row r="647" ht="30.0" customHeight="1">
      <c r="A647" s="488"/>
      <c r="B647" s="582"/>
      <c r="C647" s="256"/>
      <c r="D647" s="582"/>
      <c r="E647" s="488"/>
      <c r="F647" s="258"/>
      <c r="G647" s="173"/>
      <c r="H647" s="173"/>
      <c r="I647" s="576"/>
      <c r="J647" s="580"/>
      <c r="K647" s="569" t="str">
        <f t="shared" si="1"/>
        <v/>
      </c>
      <c r="L647" s="572"/>
      <c r="M647" s="173"/>
      <c r="N647" s="173"/>
      <c r="O647" s="173"/>
      <c r="P647" s="573"/>
      <c r="Q647" s="573"/>
      <c r="R647" s="173"/>
      <c r="S647" s="173"/>
      <c r="T647" s="173"/>
      <c r="U647" s="173"/>
      <c r="V647" s="173"/>
      <c r="W647" s="574"/>
      <c r="X647" s="575"/>
      <c r="Y647" s="28"/>
      <c r="Z647" s="543" t="str">
        <f t="array" ref="Z647">IF(LEN(AC647),lower(concatenate("bosvendor-",'2-Building'!B$4,"-",INDEX(D:D, MATCH(AC647, J:J, 0)),INDEX(E:E, MATCH(AC647, J:J, 0)))),"")</f>
        <v/>
      </c>
      <c r="AA647" s="28"/>
      <c r="AB647" s="28"/>
      <c r="AC647" s="28"/>
      <c r="AD647" s="28"/>
    </row>
    <row r="648" ht="30.0" customHeight="1">
      <c r="A648" s="488"/>
      <c r="B648" s="582"/>
      <c r="C648" s="256"/>
      <c r="D648" s="582"/>
      <c r="E648" s="488"/>
      <c r="F648" s="258"/>
      <c r="G648" s="173"/>
      <c r="H648" s="173"/>
      <c r="I648" s="576"/>
      <c r="J648" s="580"/>
      <c r="K648" s="569" t="str">
        <f t="shared" si="1"/>
        <v/>
      </c>
      <c r="L648" s="572"/>
      <c r="M648" s="173"/>
      <c r="N648" s="173"/>
      <c r="O648" s="173"/>
      <c r="P648" s="573"/>
      <c r="Q648" s="573"/>
      <c r="R648" s="173"/>
      <c r="S648" s="173"/>
      <c r="T648" s="173"/>
      <c r="U648" s="173"/>
      <c r="V648" s="173"/>
      <c r="W648" s="574"/>
      <c r="X648" s="575"/>
      <c r="Y648" s="28"/>
      <c r="Z648" s="543" t="str">
        <f t="array" ref="Z648">IF(LEN(AC648),lower(concatenate("bosvendor-",'2-Building'!B$4,"-",INDEX(D:D, MATCH(AC648, J:J, 0)),INDEX(E:E, MATCH(AC648, J:J, 0)))),"")</f>
        <v/>
      </c>
      <c r="AA648" s="28"/>
      <c r="AB648" s="28"/>
      <c r="AC648" s="28"/>
      <c r="AD648" s="28"/>
    </row>
    <row r="649" ht="30.0" customHeight="1">
      <c r="A649" s="488"/>
      <c r="B649" s="582"/>
      <c r="C649" s="256"/>
      <c r="D649" s="582"/>
      <c r="E649" s="488"/>
      <c r="F649" s="258"/>
      <c r="G649" s="173"/>
      <c r="H649" s="173"/>
      <c r="I649" s="576"/>
      <c r="J649" s="580"/>
      <c r="K649" s="569" t="str">
        <f t="shared" si="1"/>
        <v/>
      </c>
      <c r="L649" s="572"/>
      <c r="M649" s="173"/>
      <c r="N649" s="173"/>
      <c r="O649" s="173"/>
      <c r="P649" s="573"/>
      <c r="Q649" s="573"/>
      <c r="R649" s="173"/>
      <c r="S649" s="173"/>
      <c r="T649" s="173"/>
      <c r="U649" s="173"/>
      <c r="V649" s="173"/>
      <c r="W649" s="574"/>
      <c r="X649" s="575"/>
      <c r="Y649" s="28"/>
      <c r="Z649" s="543" t="str">
        <f t="array" ref="Z649">IF(LEN(AC649),lower(concatenate("bosvendor-",'2-Building'!B$4,"-",INDEX(D:D, MATCH(AC649, J:J, 0)),INDEX(E:E, MATCH(AC649, J:J, 0)))),"")</f>
        <v/>
      </c>
      <c r="AA649" s="28"/>
      <c r="AB649" s="28"/>
      <c r="AC649" s="28"/>
      <c r="AD649" s="28"/>
    </row>
    <row r="650" ht="30.0" customHeight="1">
      <c r="A650" s="488"/>
      <c r="B650" s="582"/>
      <c r="C650" s="256"/>
      <c r="D650" s="582"/>
      <c r="E650" s="488"/>
      <c r="F650" s="258"/>
      <c r="G650" s="173"/>
      <c r="H650" s="173"/>
      <c r="I650" s="576"/>
      <c r="J650" s="580"/>
      <c r="K650" s="569" t="str">
        <f t="shared" si="1"/>
        <v/>
      </c>
      <c r="L650" s="572"/>
      <c r="M650" s="173"/>
      <c r="N650" s="173"/>
      <c r="O650" s="173"/>
      <c r="P650" s="573"/>
      <c r="Q650" s="573"/>
      <c r="R650" s="173"/>
      <c r="S650" s="173"/>
      <c r="T650" s="173"/>
      <c r="U650" s="173"/>
      <c r="V650" s="173"/>
      <c r="W650" s="574"/>
      <c r="X650" s="575"/>
      <c r="Y650" s="28"/>
      <c r="Z650" s="543" t="str">
        <f t="array" ref="Z650">IF(LEN(AC650),lower(concatenate("bosvendor-",'2-Building'!B$4,"-",INDEX(D:D, MATCH(AC650, J:J, 0)),INDEX(E:E, MATCH(AC650, J:J, 0)))),"")</f>
        <v/>
      </c>
      <c r="AA650" s="28"/>
      <c r="AB650" s="28"/>
      <c r="AC650" s="28"/>
      <c r="AD650" s="28"/>
    </row>
    <row r="651" ht="30.0" customHeight="1">
      <c r="A651" s="488"/>
      <c r="B651" s="582"/>
      <c r="C651" s="256"/>
      <c r="D651" s="582"/>
      <c r="E651" s="488"/>
      <c r="F651" s="258"/>
      <c r="G651" s="173"/>
      <c r="H651" s="173"/>
      <c r="I651" s="576"/>
      <c r="J651" s="580"/>
      <c r="K651" s="569" t="str">
        <f t="shared" si="1"/>
        <v/>
      </c>
      <c r="L651" s="572"/>
      <c r="M651" s="173"/>
      <c r="N651" s="173"/>
      <c r="O651" s="173"/>
      <c r="P651" s="573"/>
      <c r="Q651" s="573"/>
      <c r="R651" s="173"/>
      <c r="S651" s="173"/>
      <c r="T651" s="173"/>
      <c r="U651" s="173"/>
      <c r="V651" s="173"/>
      <c r="W651" s="574"/>
      <c r="X651" s="575"/>
      <c r="Y651" s="28"/>
      <c r="Z651" s="543" t="str">
        <f t="array" ref="Z651">IF(LEN(AC651),lower(concatenate("bosvendor-",'2-Building'!B$4,"-",INDEX(D:D, MATCH(AC651, J:J, 0)),INDEX(E:E, MATCH(AC651, J:J, 0)))),"")</f>
        <v/>
      </c>
      <c r="AA651" s="28"/>
      <c r="AB651" s="28"/>
      <c r="AC651" s="28"/>
      <c r="AD651" s="28"/>
    </row>
    <row r="652" ht="30.0" customHeight="1">
      <c r="A652" s="488"/>
      <c r="B652" s="582"/>
      <c r="C652" s="256"/>
      <c r="D652" s="582"/>
      <c r="E652" s="488"/>
      <c r="F652" s="258"/>
      <c r="G652" s="173"/>
      <c r="H652" s="173"/>
      <c r="I652" s="576"/>
      <c r="J652" s="580"/>
      <c r="K652" s="569" t="str">
        <f t="shared" si="1"/>
        <v/>
      </c>
      <c r="L652" s="572"/>
      <c r="M652" s="173"/>
      <c r="N652" s="173"/>
      <c r="O652" s="173"/>
      <c r="P652" s="573"/>
      <c r="Q652" s="573"/>
      <c r="R652" s="173"/>
      <c r="S652" s="173"/>
      <c r="T652" s="173"/>
      <c r="U652" s="173"/>
      <c r="V652" s="173"/>
      <c r="W652" s="574"/>
      <c r="X652" s="575"/>
      <c r="Y652" s="28"/>
      <c r="Z652" s="543" t="str">
        <f t="array" ref="Z652">IF(LEN(AC652),lower(concatenate("bosvendor-",'2-Building'!B$4,"-",INDEX(D:D, MATCH(AC652, J:J, 0)),INDEX(E:E, MATCH(AC652, J:J, 0)))),"")</f>
        <v/>
      </c>
      <c r="AA652" s="28"/>
      <c r="AB652" s="28"/>
      <c r="AC652" s="28"/>
      <c r="AD652" s="28"/>
    </row>
    <row r="653" ht="30.0" customHeight="1">
      <c r="A653" s="488"/>
      <c r="B653" s="582"/>
      <c r="C653" s="256"/>
      <c r="D653" s="582"/>
      <c r="E653" s="488"/>
      <c r="F653" s="258"/>
      <c r="G653" s="173"/>
      <c r="H653" s="173"/>
      <c r="I653" s="576"/>
      <c r="J653" s="580"/>
      <c r="K653" s="569" t="str">
        <f t="shared" si="1"/>
        <v/>
      </c>
      <c r="L653" s="572"/>
      <c r="M653" s="173"/>
      <c r="N653" s="173"/>
      <c r="O653" s="173"/>
      <c r="P653" s="573"/>
      <c r="Q653" s="573"/>
      <c r="R653" s="173"/>
      <c r="S653" s="173"/>
      <c r="T653" s="173"/>
      <c r="U653" s="173"/>
      <c r="V653" s="173"/>
      <c r="W653" s="574"/>
      <c r="X653" s="575"/>
      <c r="Y653" s="28"/>
      <c r="Z653" s="543" t="str">
        <f t="array" ref="Z653">IF(LEN(AC653),lower(concatenate("bosvendor-",'2-Building'!B$4,"-",INDEX(D:D, MATCH(AC653, J:J, 0)),INDEX(E:E, MATCH(AC653, J:J, 0)))),"")</f>
        <v/>
      </c>
      <c r="AA653" s="28"/>
      <c r="AB653" s="28"/>
      <c r="AC653" s="28"/>
      <c r="AD653" s="28"/>
    </row>
    <row r="654" ht="30.0" customHeight="1">
      <c r="A654" s="488"/>
      <c r="B654" s="582"/>
      <c r="C654" s="256"/>
      <c r="D654" s="582"/>
      <c r="E654" s="488"/>
      <c r="F654" s="258"/>
      <c r="G654" s="173"/>
      <c r="H654" s="173"/>
      <c r="I654" s="576"/>
      <c r="J654" s="580"/>
      <c r="K654" s="569" t="str">
        <f t="shared" si="1"/>
        <v/>
      </c>
      <c r="L654" s="572"/>
      <c r="M654" s="173"/>
      <c r="N654" s="173"/>
      <c r="O654" s="173"/>
      <c r="P654" s="573"/>
      <c r="Q654" s="573"/>
      <c r="R654" s="173"/>
      <c r="S654" s="173"/>
      <c r="T654" s="173"/>
      <c r="U654" s="173"/>
      <c r="V654" s="173"/>
      <c r="W654" s="574"/>
      <c r="X654" s="575"/>
      <c r="Y654" s="28"/>
      <c r="Z654" s="543" t="str">
        <f t="array" ref="Z654">IF(LEN(AC654),lower(concatenate("bosvendor-",'2-Building'!B$4,"-",INDEX(D:D, MATCH(AC654, J:J, 0)),INDEX(E:E, MATCH(AC654, J:J, 0)))),"")</f>
        <v/>
      </c>
      <c r="AA654" s="28"/>
      <c r="AB654" s="28"/>
      <c r="AC654" s="28"/>
      <c r="AD654" s="28"/>
    </row>
    <row r="655" ht="30.0" customHeight="1">
      <c r="A655" s="488"/>
      <c r="B655" s="582"/>
      <c r="C655" s="256"/>
      <c r="D655" s="582"/>
      <c r="E655" s="488"/>
      <c r="F655" s="258"/>
      <c r="G655" s="173"/>
      <c r="H655" s="173"/>
      <c r="I655" s="576"/>
      <c r="J655" s="580"/>
      <c r="K655" s="569" t="str">
        <f t="shared" si="1"/>
        <v/>
      </c>
      <c r="L655" s="572"/>
      <c r="M655" s="173"/>
      <c r="N655" s="173"/>
      <c r="O655" s="173"/>
      <c r="P655" s="573"/>
      <c r="Q655" s="573"/>
      <c r="R655" s="173"/>
      <c r="S655" s="173"/>
      <c r="T655" s="173"/>
      <c r="U655" s="173"/>
      <c r="V655" s="173"/>
      <c r="W655" s="574"/>
      <c r="X655" s="575"/>
      <c r="Y655" s="28"/>
      <c r="Z655" s="543" t="str">
        <f t="array" ref="Z655">IF(LEN(AC655),lower(concatenate("bosvendor-",'2-Building'!B$4,"-",INDEX(D:D, MATCH(AC655, J:J, 0)),INDEX(E:E, MATCH(AC655, J:J, 0)))),"")</f>
        <v/>
      </c>
      <c r="AA655" s="28"/>
      <c r="AB655" s="28"/>
      <c r="AC655" s="28"/>
      <c r="AD655" s="28"/>
    </row>
    <row r="656" ht="30.0" customHeight="1">
      <c r="A656" s="488"/>
      <c r="B656" s="582"/>
      <c r="C656" s="256"/>
      <c r="D656" s="582"/>
      <c r="E656" s="488"/>
      <c r="F656" s="258"/>
      <c r="G656" s="173"/>
      <c r="H656" s="173"/>
      <c r="I656" s="576"/>
      <c r="J656" s="580"/>
      <c r="K656" s="569" t="str">
        <f t="shared" si="1"/>
        <v/>
      </c>
      <c r="L656" s="572"/>
      <c r="M656" s="173"/>
      <c r="N656" s="173"/>
      <c r="O656" s="173"/>
      <c r="P656" s="573"/>
      <c r="Q656" s="573"/>
      <c r="R656" s="173"/>
      <c r="S656" s="173"/>
      <c r="T656" s="173"/>
      <c r="U656" s="173"/>
      <c r="V656" s="173"/>
      <c r="W656" s="574"/>
      <c r="X656" s="575"/>
      <c r="Y656" s="28"/>
      <c r="Z656" s="543" t="str">
        <f t="array" ref="Z656">IF(LEN(AC656),lower(concatenate("bosvendor-",'2-Building'!B$4,"-",INDEX(D:D, MATCH(AC656, J:J, 0)),INDEX(E:E, MATCH(AC656, J:J, 0)))),"")</f>
        <v/>
      </c>
      <c r="AA656" s="28"/>
      <c r="AB656" s="28"/>
      <c r="AC656" s="28"/>
      <c r="AD656" s="28"/>
    </row>
    <row r="657" ht="30.0" customHeight="1">
      <c r="A657" s="488"/>
      <c r="B657" s="582"/>
      <c r="C657" s="256"/>
      <c r="D657" s="582"/>
      <c r="E657" s="488"/>
      <c r="F657" s="258"/>
      <c r="G657" s="173"/>
      <c r="H657" s="173"/>
      <c r="I657" s="576"/>
      <c r="J657" s="580"/>
      <c r="K657" s="569" t="str">
        <f t="shared" si="1"/>
        <v/>
      </c>
      <c r="L657" s="572"/>
      <c r="M657" s="173"/>
      <c r="N657" s="173"/>
      <c r="O657" s="173"/>
      <c r="P657" s="573"/>
      <c r="Q657" s="573"/>
      <c r="R657" s="173"/>
      <c r="S657" s="173"/>
      <c r="T657" s="173"/>
      <c r="U657" s="173"/>
      <c r="V657" s="173"/>
      <c r="W657" s="574"/>
      <c r="X657" s="575"/>
      <c r="Y657" s="28"/>
      <c r="Z657" s="543" t="str">
        <f t="array" ref="Z657">IF(LEN(AC657),lower(concatenate("bosvendor-",'2-Building'!B$4,"-",INDEX(D:D, MATCH(AC657, J:J, 0)),INDEX(E:E, MATCH(AC657, J:J, 0)))),"")</f>
        <v/>
      </c>
      <c r="AA657" s="28"/>
      <c r="AB657" s="28"/>
      <c r="AC657" s="28"/>
      <c r="AD657" s="28"/>
    </row>
    <row r="658" ht="30.0" customHeight="1">
      <c r="A658" s="488"/>
      <c r="B658" s="582"/>
      <c r="C658" s="256"/>
      <c r="D658" s="582"/>
      <c r="E658" s="488"/>
      <c r="F658" s="258"/>
      <c r="G658" s="173"/>
      <c r="H658" s="173"/>
      <c r="I658" s="576"/>
      <c r="J658" s="580"/>
      <c r="K658" s="569" t="str">
        <f t="shared" si="1"/>
        <v/>
      </c>
      <c r="L658" s="572"/>
      <c r="M658" s="173"/>
      <c r="N658" s="173"/>
      <c r="O658" s="173"/>
      <c r="P658" s="573"/>
      <c r="Q658" s="573"/>
      <c r="R658" s="173"/>
      <c r="S658" s="173"/>
      <c r="T658" s="173"/>
      <c r="U658" s="173"/>
      <c r="V658" s="173"/>
      <c r="W658" s="574"/>
      <c r="X658" s="575"/>
      <c r="Y658" s="28"/>
      <c r="Z658" s="543" t="str">
        <f t="array" ref="Z658">IF(LEN(AC658),lower(concatenate("bosvendor-",'2-Building'!B$4,"-",INDEX(D:D, MATCH(AC658, J:J, 0)),INDEX(E:E, MATCH(AC658, J:J, 0)))),"")</f>
        <v/>
      </c>
      <c r="AA658" s="28"/>
      <c r="AB658" s="28"/>
      <c r="AC658" s="28"/>
      <c r="AD658" s="28"/>
    </row>
    <row r="659" ht="30.0" customHeight="1">
      <c r="A659" s="488"/>
      <c r="B659" s="582"/>
      <c r="C659" s="256"/>
      <c r="D659" s="582"/>
      <c r="E659" s="488"/>
      <c r="F659" s="258"/>
      <c r="G659" s="173"/>
      <c r="H659" s="173"/>
      <c r="I659" s="576"/>
      <c r="J659" s="580"/>
      <c r="K659" s="569" t="str">
        <f t="shared" si="1"/>
        <v/>
      </c>
      <c r="L659" s="572"/>
      <c r="M659" s="173"/>
      <c r="N659" s="173"/>
      <c r="O659" s="173"/>
      <c r="P659" s="573"/>
      <c r="Q659" s="573"/>
      <c r="R659" s="173"/>
      <c r="S659" s="173"/>
      <c r="T659" s="173"/>
      <c r="U659" s="173"/>
      <c r="V659" s="173"/>
      <c r="W659" s="574"/>
      <c r="X659" s="575"/>
      <c r="Y659" s="28"/>
      <c r="Z659" s="543" t="str">
        <f t="array" ref="Z659">IF(LEN(AC659),lower(concatenate("bosvendor-",'2-Building'!B$4,"-",INDEX(D:D, MATCH(AC659, J:J, 0)),INDEX(E:E, MATCH(AC659, J:J, 0)))),"")</f>
        <v/>
      </c>
      <c r="AA659" s="28"/>
      <c r="AB659" s="28"/>
      <c r="AC659" s="28"/>
      <c r="AD659" s="28"/>
    </row>
    <row r="660" ht="30.0" customHeight="1">
      <c r="A660" s="488"/>
      <c r="B660" s="582"/>
      <c r="C660" s="256"/>
      <c r="D660" s="582"/>
      <c r="E660" s="488"/>
      <c r="F660" s="258"/>
      <c r="G660" s="173"/>
      <c r="H660" s="173"/>
      <c r="I660" s="576"/>
      <c r="J660" s="580"/>
      <c r="K660" s="569" t="str">
        <f t="shared" si="1"/>
        <v/>
      </c>
      <c r="L660" s="572"/>
      <c r="M660" s="173"/>
      <c r="N660" s="173"/>
      <c r="O660" s="173"/>
      <c r="P660" s="573"/>
      <c r="Q660" s="573"/>
      <c r="R660" s="173"/>
      <c r="S660" s="173"/>
      <c r="T660" s="173"/>
      <c r="U660" s="173"/>
      <c r="V660" s="173"/>
      <c r="W660" s="574"/>
      <c r="X660" s="575"/>
      <c r="Y660" s="28"/>
      <c r="Z660" s="543" t="str">
        <f t="array" ref="Z660">IF(LEN(AC660),lower(concatenate("bosvendor-",'2-Building'!B$4,"-",INDEX(D:D, MATCH(AC660, J:J, 0)),INDEX(E:E, MATCH(AC660, J:J, 0)))),"")</f>
        <v/>
      </c>
      <c r="AA660" s="28"/>
      <c r="AB660" s="28"/>
      <c r="AC660" s="28"/>
      <c r="AD660" s="28"/>
    </row>
    <row r="661" ht="30.0" customHeight="1">
      <c r="A661" s="488"/>
      <c r="B661" s="582"/>
      <c r="C661" s="256"/>
      <c r="D661" s="582"/>
      <c r="E661" s="488"/>
      <c r="F661" s="258"/>
      <c r="G661" s="173"/>
      <c r="H661" s="173"/>
      <c r="I661" s="576"/>
      <c r="J661" s="580"/>
      <c r="K661" s="569" t="str">
        <f t="shared" si="1"/>
        <v/>
      </c>
      <c r="L661" s="572"/>
      <c r="M661" s="173"/>
      <c r="N661" s="173"/>
      <c r="O661" s="173"/>
      <c r="P661" s="573"/>
      <c r="Q661" s="573"/>
      <c r="R661" s="173"/>
      <c r="S661" s="173"/>
      <c r="T661" s="173"/>
      <c r="U661" s="173"/>
      <c r="V661" s="173"/>
      <c r="W661" s="574"/>
      <c r="X661" s="575"/>
      <c r="Y661" s="28"/>
      <c r="Z661" s="543" t="str">
        <f t="array" ref="Z661">IF(LEN(AC661),lower(concatenate("bosvendor-",'2-Building'!B$4,"-",INDEX(D:D, MATCH(AC661, J:J, 0)),INDEX(E:E, MATCH(AC661, J:J, 0)))),"")</f>
        <v/>
      </c>
      <c r="AA661" s="28"/>
      <c r="AB661" s="28"/>
      <c r="AC661" s="28"/>
      <c r="AD661" s="28"/>
    </row>
    <row r="662" ht="30.0" customHeight="1">
      <c r="A662" s="488"/>
      <c r="B662" s="582"/>
      <c r="C662" s="256"/>
      <c r="D662" s="582"/>
      <c r="E662" s="488"/>
      <c r="F662" s="258"/>
      <c r="G662" s="173"/>
      <c r="H662" s="173"/>
      <c r="I662" s="576"/>
      <c r="J662" s="580"/>
      <c r="K662" s="569" t="str">
        <f t="shared" si="1"/>
        <v/>
      </c>
      <c r="L662" s="572"/>
      <c r="M662" s="173"/>
      <c r="N662" s="173"/>
      <c r="O662" s="173"/>
      <c r="P662" s="573"/>
      <c r="Q662" s="573"/>
      <c r="R662" s="173"/>
      <c r="S662" s="173"/>
      <c r="T662" s="173"/>
      <c r="U662" s="173"/>
      <c r="V662" s="173"/>
      <c r="W662" s="574"/>
      <c r="X662" s="575"/>
      <c r="Y662" s="28"/>
      <c r="Z662" s="543" t="str">
        <f t="array" ref="Z662">IF(LEN(AC662),lower(concatenate("bosvendor-",'2-Building'!B$4,"-",INDEX(D:D, MATCH(AC662, J:J, 0)),INDEX(E:E, MATCH(AC662, J:J, 0)))),"")</f>
        <v/>
      </c>
      <c r="AA662" s="28"/>
      <c r="AB662" s="28"/>
      <c r="AC662" s="28"/>
      <c r="AD662" s="28"/>
    </row>
    <row r="663" ht="30.0" customHeight="1">
      <c r="A663" s="488"/>
      <c r="B663" s="582"/>
      <c r="C663" s="256"/>
      <c r="D663" s="582"/>
      <c r="E663" s="488"/>
      <c r="F663" s="258"/>
      <c r="G663" s="173"/>
      <c r="H663" s="173"/>
      <c r="I663" s="576"/>
      <c r="J663" s="580"/>
      <c r="K663" s="569" t="str">
        <f t="shared" si="1"/>
        <v/>
      </c>
      <c r="L663" s="572"/>
      <c r="M663" s="173"/>
      <c r="N663" s="173"/>
      <c r="O663" s="173"/>
      <c r="P663" s="573"/>
      <c r="Q663" s="573"/>
      <c r="R663" s="173"/>
      <c r="S663" s="173"/>
      <c r="T663" s="173"/>
      <c r="U663" s="173"/>
      <c r="V663" s="173"/>
      <c r="W663" s="574"/>
      <c r="X663" s="575"/>
      <c r="Y663" s="28"/>
      <c r="Z663" s="543" t="str">
        <f t="array" ref="Z663">IF(LEN(AC663),lower(concatenate("bosvendor-",'2-Building'!B$4,"-",INDEX(D:D, MATCH(AC663, J:J, 0)),INDEX(E:E, MATCH(AC663, J:J, 0)))),"")</f>
        <v/>
      </c>
      <c r="AA663" s="28"/>
      <c r="AB663" s="28"/>
      <c r="AC663" s="28"/>
      <c r="AD663" s="28"/>
    </row>
    <row r="664" ht="30.0" customHeight="1">
      <c r="A664" s="488"/>
      <c r="B664" s="582"/>
      <c r="C664" s="256"/>
      <c r="D664" s="582"/>
      <c r="E664" s="488"/>
      <c r="F664" s="258"/>
      <c r="G664" s="173"/>
      <c r="H664" s="173"/>
      <c r="I664" s="576"/>
      <c r="J664" s="580"/>
      <c r="K664" s="569" t="str">
        <f t="shared" si="1"/>
        <v/>
      </c>
      <c r="L664" s="572"/>
      <c r="M664" s="173"/>
      <c r="N664" s="173"/>
      <c r="O664" s="173"/>
      <c r="P664" s="573"/>
      <c r="Q664" s="573"/>
      <c r="R664" s="173"/>
      <c r="S664" s="173"/>
      <c r="T664" s="173"/>
      <c r="U664" s="173"/>
      <c r="V664" s="173"/>
      <c r="W664" s="574"/>
      <c r="X664" s="575"/>
      <c r="Y664" s="28"/>
      <c r="Z664" s="543" t="str">
        <f t="array" ref="Z664">IF(LEN(AC664),lower(concatenate("bosvendor-",'2-Building'!B$4,"-",INDEX(D:D, MATCH(AC664, J:J, 0)),INDEX(E:E, MATCH(AC664, J:J, 0)))),"")</f>
        <v/>
      </c>
      <c r="AA664" s="28"/>
      <c r="AB664" s="28"/>
      <c r="AC664" s="28"/>
      <c r="AD664" s="28"/>
    </row>
    <row r="665" ht="30.0" customHeight="1">
      <c r="A665" s="488"/>
      <c r="B665" s="582"/>
      <c r="C665" s="256"/>
      <c r="D665" s="582"/>
      <c r="E665" s="488"/>
      <c r="F665" s="258"/>
      <c r="G665" s="173"/>
      <c r="H665" s="173"/>
      <c r="I665" s="576"/>
      <c r="J665" s="580"/>
      <c r="K665" s="569" t="str">
        <f t="shared" si="1"/>
        <v/>
      </c>
      <c r="L665" s="572"/>
      <c r="M665" s="173"/>
      <c r="N665" s="173"/>
      <c r="O665" s="173"/>
      <c r="P665" s="573"/>
      <c r="Q665" s="573"/>
      <c r="R665" s="173"/>
      <c r="S665" s="173"/>
      <c r="T665" s="173"/>
      <c r="U665" s="173"/>
      <c r="V665" s="173"/>
      <c r="W665" s="574"/>
      <c r="X665" s="575"/>
      <c r="Y665" s="28"/>
      <c r="Z665" s="543" t="str">
        <f t="array" ref="Z665">IF(LEN(AC665),lower(concatenate("bosvendor-",'2-Building'!B$4,"-",INDEX(D:D, MATCH(AC665, J:J, 0)),INDEX(E:E, MATCH(AC665, J:J, 0)))),"")</f>
        <v/>
      </c>
      <c r="AA665" s="28"/>
      <c r="AB665" s="28"/>
      <c r="AC665" s="28"/>
      <c r="AD665" s="28"/>
    </row>
    <row r="666" ht="30.0" customHeight="1">
      <c r="A666" s="488"/>
      <c r="B666" s="582"/>
      <c r="C666" s="256"/>
      <c r="D666" s="582"/>
      <c r="E666" s="488"/>
      <c r="F666" s="258"/>
      <c r="G666" s="173"/>
      <c r="H666" s="173"/>
      <c r="I666" s="576"/>
      <c r="J666" s="580"/>
      <c r="K666" s="569" t="str">
        <f t="shared" si="1"/>
        <v/>
      </c>
      <c r="L666" s="572"/>
      <c r="M666" s="173"/>
      <c r="N666" s="173"/>
      <c r="O666" s="173"/>
      <c r="P666" s="573"/>
      <c r="Q666" s="573"/>
      <c r="R666" s="173"/>
      <c r="S666" s="173"/>
      <c r="T666" s="173"/>
      <c r="U666" s="173"/>
      <c r="V666" s="173"/>
      <c r="W666" s="574"/>
      <c r="X666" s="575"/>
      <c r="Y666" s="28"/>
      <c r="Z666" s="543" t="str">
        <f t="array" ref="Z666">IF(LEN(AC666),lower(concatenate("bosvendor-",'2-Building'!B$4,"-",INDEX(D:D, MATCH(AC666, J:J, 0)),INDEX(E:E, MATCH(AC666, J:J, 0)))),"")</f>
        <v/>
      </c>
      <c r="AA666" s="28"/>
      <c r="AB666" s="28"/>
      <c r="AC666" s="28"/>
      <c r="AD666" s="28"/>
    </row>
    <row r="667" ht="30.0" customHeight="1">
      <c r="A667" s="488"/>
      <c r="B667" s="582"/>
      <c r="C667" s="256"/>
      <c r="D667" s="582"/>
      <c r="E667" s="488"/>
      <c r="F667" s="258"/>
      <c r="G667" s="173"/>
      <c r="H667" s="173"/>
      <c r="I667" s="576"/>
      <c r="J667" s="580"/>
      <c r="K667" s="569" t="str">
        <f t="shared" si="1"/>
        <v/>
      </c>
      <c r="L667" s="572"/>
      <c r="M667" s="173"/>
      <c r="N667" s="173"/>
      <c r="O667" s="173"/>
      <c r="P667" s="573"/>
      <c r="Q667" s="573"/>
      <c r="R667" s="173"/>
      <c r="S667" s="173"/>
      <c r="T667" s="173"/>
      <c r="U667" s="173"/>
      <c r="V667" s="173"/>
      <c r="W667" s="574"/>
      <c r="X667" s="575"/>
      <c r="Y667" s="28"/>
      <c r="Z667" s="543" t="str">
        <f t="array" ref="Z667">IF(LEN(AC667),lower(concatenate("bosvendor-",'2-Building'!B$4,"-",INDEX(D:D, MATCH(AC667, J:J, 0)),INDEX(E:E, MATCH(AC667, J:J, 0)))),"")</f>
        <v/>
      </c>
      <c r="AA667" s="28"/>
      <c r="AB667" s="28"/>
      <c r="AC667" s="28"/>
      <c r="AD667" s="28"/>
    </row>
    <row r="668" ht="30.0" customHeight="1">
      <c r="A668" s="488"/>
      <c r="B668" s="582"/>
      <c r="C668" s="256"/>
      <c r="D668" s="582"/>
      <c r="E668" s="488"/>
      <c r="F668" s="258"/>
      <c r="G668" s="173"/>
      <c r="H668" s="173"/>
      <c r="I668" s="576"/>
      <c r="J668" s="580"/>
      <c r="K668" s="569" t="str">
        <f t="shared" si="1"/>
        <v/>
      </c>
      <c r="L668" s="572"/>
      <c r="M668" s="173"/>
      <c r="N668" s="173"/>
      <c r="O668" s="173"/>
      <c r="P668" s="573"/>
      <c r="Q668" s="573"/>
      <c r="R668" s="173"/>
      <c r="S668" s="173"/>
      <c r="T668" s="173"/>
      <c r="U668" s="173"/>
      <c r="V668" s="173"/>
      <c r="W668" s="574"/>
      <c r="X668" s="575"/>
      <c r="Y668" s="28"/>
      <c r="Z668" s="543" t="str">
        <f t="array" ref="Z668">IF(LEN(AC668),lower(concatenate("bosvendor-",'2-Building'!B$4,"-",INDEX(D:D, MATCH(AC668, J:J, 0)),INDEX(E:E, MATCH(AC668, J:J, 0)))),"")</f>
        <v/>
      </c>
      <c r="AA668" s="28"/>
      <c r="AB668" s="28"/>
      <c r="AC668" s="28"/>
      <c r="AD668" s="28"/>
    </row>
    <row r="669" ht="30.0" customHeight="1">
      <c r="A669" s="488"/>
      <c r="B669" s="582"/>
      <c r="C669" s="256"/>
      <c r="D669" s="582"/>
      <c r="E669" s="488"/>
      <c r="F669" s="258"/>
      <c r="G669" s="173"/>
      <c r="H669" s="173"/>
      <c r="I669" s="576"/>
      <c r="J669" s="580"/>
      <c r="K669" s="569" t="str">
        <f t="shared" si="1"/>
        <v/>
      </c>
      <c r="L669" s="572"/>
      <c r="M669" s="173"/>
      <c r="N669" s="173"/>
      <c r="O669" s="173"/>
      <c r="P669" s="573"/>
      <c r="Q669" s="573"/>
      <c r="R669" s="173"/>
      <c r="S669" s="173"/>
      <c r="T669" s="173"/>
      <c r="U669" s="173"/>
      <c r="V669" s="173"/>
      <c r="W669" s="574"/>
      <c r="X669" s="575"/>
      <c r="Y669" s="28"/>
      <c r="Z669" s="543" t="str">
        <f t="array" ref="Z669">IF(LEN(AC669),lower(concatenate("bosvendor-",'2-Building'!B$4,"-",INDEX(D:D, MATCH(AC669, J:J, 0)),INDEX(E:E, MATCH(AC669, J:J, 0)))),"")</f>
        <v/>
      </c>
      <c r="AA669" s="28"/>
      <c r="AB669" s="28"/>
      <c r="AC669" s="28"/>
      <c r="AD669" s="28"/>
    </row>
    <row r="670" ht="30.0" customHeight="1">
      <c r="A670" s="488"/>
      <c r="B670" s="582"/>
      <c r="C670" s="256"/>
      <c r="D670" s="582"/>
      <c r="E670" s="488"/>
      <c r="F670" s="258"/>
      <c r="G670" s="173"/>
      <c r="H670" s="173"/>
      <c r="I670" s="576"/>
      <c r="J670" s="580"/>
      <c r="K670" s="569" t="str">
        <f t="shared" si="1"/>
        <v/>
      </c>
      <c r="L670" s="572"/>
      <c r="M670" s="173"/>
      <c r="N670" s="173"/>
      <c r="O670" s="173"/>
      <c r="P670" s="573"/>
      <c r="Q670" s="573"/>
      <c r="R670" s="173"/>
      <c r="S670" s="173"/>
      <c r="T670" s="173"/>
      <c r="U670" s="173"/>
      <c r="V670" s="173"/>
      <c r="W670" s="574"/>
      <c r="X670" s="575"/>
      <c r="Y670" s="28"/>
      <c r="Z670" s="543" t="str">
        <f t="array" ref="Z670">IF(LEN(AC670),lower(concatenate("bosvendor-",'2-Building'!B$4,"-",INDEX(D:D, MATCH(AC670, J:J, 0)),INDEX(E:E, MATCH(AC670, J:J, 0)))),"")</f>
        <v/>
      </c>
      <c r="AA670" s="28"/>
      <c r="AB670" s="28"/>
      <c r="AC670" s="28"/>
      <c r="AD670" s="28"/>
    </row>
    <row r="671" ht="30.0" customHeight="1">
      <c r="A671" s="488"/>
      <c r="B671" s="582"/>
      <c r="C671" s="256"/>
      <c r="D671" s="582"/>
      <c r="E671" s="488"/>
      <c r="F671" s="258"/>
      <c r="G671" s="173"/>
      <c r="H671" s="173"/>
      <c r="I671" s="576"/>
      <c r="J671" s="580"/>
      <c r="K671" s="569" t="str">
        <f t="shared" si="1"/>
        <v/>
      </c>
      <c r="L671" s="572"/>
      <c r="M671" s="173"/>
      <c r="N671" s="173"/>
      <c r="O671" s="173"/>
      <c r="P671" s="573"/>
      <c r="Q671" s="573"/>
      <c r="R671" s="173"/>
      <c r="S671" s="173"/>
      <c r="T671" s="173"/>
      <c r="U671" s="173"/>
      <c r="V671" s="173"/>
      <c r="W671" s="574"/>
      <c r="X671" s="575"/>
      <c r="Y671" s="28"/>
      <c r="Z671" s="543" t="str">
        <f t="array" ref="Z671">IF(LEN(AC671),lower(concatenate("bosvendor-",'2-Building'!B$4,"-",INDEX(D:D, MATCH(AC671, J:J, 0)),INDEX(E:E, MATCH(AC671, J:J, 0)))),"")</f>
        <v/>
      </c>
      <c r="AA671" s="28"/>
      <c r="AB671" s="28"/>
      <c r="AC671" s="28"/>
      <c r="AD671" s="28"/>
    </row>
    <row r="672" ht="30.0" customHeight="1">
      <c r="A672" s="488"/>
      <c r="B672" s="582"/>
      <c r="C672" s="256"/>
      <c r="D672" s="582"/>
      <c r="E672" s="488"/>
      <c r="F672" s="258"/>
      <c r="G672" s="173"/>
      <c r="H672" s="173"/>
      <c r="I672" s="576"/>
      <c r="J672" s="580"/>
      <c r="K672" s="569" t="str">
        <f t="shared" si="1"/>
        <v/>
      </c>
      <c r="L672" s="572"/>
      <c r="M672" s="173"/>
      <c r="N672" s="173"/>
      <c r="O672" s="173"/>
      <c r="P672" s="573"/>
      <c r="Q672" s="573"/>
      <c r="R672" s="173"/>
      <c r="S672" s="173"/>
      <c r="T672" s="173"/>
      <c r="U672" s="173"/>
      <c r="V672" s="173"/>
      <c r="W672" s="574"/>
      <c r="X672" s="575"/>
      <c r="Y672" s="28"/>
      <c r="Z672" s="543" t="str">
        <f t="array" ref="Z672">IF(LEN(AC672),lower(concatenate("bosvendor-",'2-Building'!B$4,"-",INDEX(D:D, MATCH(AC672, J:J, 0)),INDEX(E:E, MATCH(AC672, J:J, 0)))),"")</f>
        <v/>
      </c>
      <c r="AA672" s="28"/>
      <c r="AB672" s="28"/>
      <c r="AC672" s="28"/>
      <c r="AD672" s="28"/>
    </row>
    <row r="673" ht="30.0" customHeight="1">
      <c r="A673" s="488"/>
      <c r="B673" s="582"/>
      <c r="C673" s="256"/>
      <c r="D673" s="582"/>
      <c r="E673" s="488"/>
      <c r="F673" s="258"/>
      <c r="G673" s="173"/>
      <c r="H673" s="173"/>
      <c r="I673" s="576"/>
      <c r="J673" s="580"/>
      <c r="K673" s="569" t="str">
        <f t="shared" si="1"/>
        <v/>
      </c>
      <c r="L673" s="572"/>
      <c r="M673" s="173"/>
      <c r="N673" s="173"/>
      <c r="O673" s="173"/>
      <c r="P673" s="573"/>
      <c r="Q673" s="573"/>
      <c r="R673" s="173"/>
      <c r="S673" s="173"/>
      <c r="T673" s="173"/>
      <c r="U673" s="173"/>
      <c r="V673" s="173"/>
      <c r="W673" s="574"/>
      <c r="X673" s="575"/>
      <c r="Y673" s="28"/>
      <c r="Z673" s="543" t="str">
        <f t="array" ref="Z673">IF(LEN(AC673),lower(concatenate("bosvendor-",'2-Building'!B$4,"-",INDEX(D:D, MATCH(AC673, J:J, 0)),INDEX(E:E, MATCH(AC673, J:J, 0)))),"")</f>
        <v/>
      </c>
      <c r="AA673" s="28"/>
      <c r="AB673" s="28"/>
      <c r="AC673" s="28"/>
      <c r="AD673" s="28"/>
    </row>
    <row r="674" ht="30.0" customHeight="1">
      <c r="A674" s="488"/>
      <c r="B674" s="582"/>
      <c r="C674" s="256"/>
      <c r="D674" s="582"/>
      <c r="E674" s="488"/>
      <c r="F674" s="258"/>
      <c r="G674" s="173"/>
      <c r="H674" s="173"/>
      <c r="I674" s="576"/>
      <c r="J674" s="580"/>
      <c r="K674" s="569" t="str">
        <f t="shared" si="1"/>
        <v/>
      </c>
      <c r="L674" s="572"/>
      <c r="M674" s="173"/>
      <c r="N674" s="173"/>
      <c r="O674" s="173"/>
      <c r="P674" s="573"/>
      <c r="Q674" s="573"/>
      <c r="R674" s="173"/>
      <c r="S674" s="173"/>
      <c r="T674" s="173"/>
      <c r="U674" s="173"/>
      <c r="V674" s="173"/>
      <c r="W674" s="574"/>
      <c r="X674" s="575"/>
      <c r="Y674" s="28"/>
      <c r="Z674" s="543" t="str">
        <f t="array" ref="Z674">IF(LEN(AC674),lower(concatenate("bosvendor-",'2-Building'!B$4,"-",INDEX(D:D, MATCH(AC674, J:J, 0)),INDEX(E:E, MATCH(AC674, J:J, 0)))),"")</f>
        <v/>
      </c>
      <c r="AA674" s="28"/>
      <c r="AB674" s="28"/>
      <c r="AC674" s="28"/>
      <c r="AD674" s="28"/>
    </row>
    <row r="675" ht="30.0" customHeight="1">
      <c r="A675" s="488"/>
      <c r="B675" s="582"/>
      <c r="C675" s="256"/>
      <c r="D675" s="582"/>
      <c r="E675" s="488"/>
      <c r="F675" s="258"/>
      <c r="G675" s="173"/>
      <c r="H675" s="173"/>
      <c r="I675" s="576"/>
      <c r="J675" s="580"/>
      <c r="K675" s="569" t="str">
        <f t="shared" si="1"/>
        <v/>
      </c>
      <c r="L675" s="572"/>
      <c r="M675" s="173"/>
      <c r="N675" s="173"/>
      <c r="O675" s="173"/>
      <c r="P675" s="573"/>
      <c r="Q675" s="573"/>
      <c r="R675" s="173"/>
      <c r="S675" s="173"/>
      <c r="T675" s="173"/>
      <c r="U675" s="173"/>
      <c r="V675" s="173"/>
      <c r="W675" s="574"/>
      <c r="X675" s="575"/>
      <c r="Y675" s="28"/>
      <c r="Z675" s="543" t="str">
        <f t="array" ref="Z675">IF(LEN(AC675),lower(concatenate("bosvendor-",'2-Building'!B$4,"-",INDEX(D:D, MATCH(AC675, J:J, 0)),INDEX(E:E, MATCH(AC675, J:J, 0)))),"")</f>
        <v/>
      </c>
      <c r="AA675" s="28"/>
      <c r="AB675" s="28"/>
      <c r="AC675" s="28"/>
      <c r="AD675" s="28"/>
    </row>
    <row r="676" ht="30.0" customHeight="1">
      <c r="A676" s="488"/>
      <c r="B676" s="582"/>
      <c r="C676" s="256"/>
      <c r="D676" s="582"/>
      <c r="E676" s="488"/>
      <c r="F676" s="258"/>
      <c r="G676" s="173"/>
      <c r="H676" s="173"/>
      <c r="I676" s="576"/>
      <c r="J676" s="580"/>
      <c r="K676" s="569" t="str">
        <f t="shared" si="1"/>
        <v/>
      </c>
      <c r="L676" s="572"/>
      <c r="M676" s="173"/>
      <c r="N676" s="173"/>
      <c r="O676" s="173"/>
      <c r="P676" s="573"/>
      <c r="Q676" s="573"/>
      <c r="R676" s="173"/>
      <c r="S676" s="173"/>
      <c r="T676" s="173"/>
      <c r="U676" s="173"/>
      <c r="V676" s="173"/>
      <c r="W676" s="574"/>
      <c r="X676" s="575"/>
      <c r="Y676" s="28"/>
      <c r="Z676" s="543" t="str">
        <f t="array" ref="Z676">IF(LEN(AC676),lower(concatenate("bosvendor-",'2-Building'!B$4,"-",INDEX(D:D, MATCH(AC676, J:J, 0)),INDEX(E:E, MATCH(AC676, J:J, 0)))),"")</f>
        <v/>
      </c>
      <c r="AA676" s="28"/>
      <c r="AB676" s="28"/>
      <c r="AC676" s="28"/>
      <c r="AD676" s="28"/>
    </row>
    <row r="677" ht="30.0" customHeight="1">
      <c r="A677" s="488"/>
      <c r="B677" s="582"/>
      <c r="C677" s="256"/>
      <c r="D677" s="582"/>
      <c r="E677" s="488"/>
      <c r="F677" s="258"/>
      <c r="G677" s="173"/>
      <c r="H677" s="173"/>
      <c r="I677" s="576"/>
      <c r="J677" s="580"/>
      <c r="K677" s="569" t="str">
        <f t="shared" si="1"/>
        <v/>
      </c>
      <c r="L677" s="572"/>
      <c r="M677" s="173"/>
      <c r="N677" s="173"/>
      <c r="O677" s="173"/>
      <c r="P677" s="573"/>
      <c r="Q677" s="573"/>
      <c r="R677" s="173"/>
      <c r="S677" s="173"/>
      <c r="T677" s="173"/>
      <c r="U677" s="173"/>
      <c r="V677" s="173"/>
      <c r="W677" s="574"/>
      <c r="X677" s="575"/>
      <c r="Y677" s="28"/>
      <c r="Z677" s="543" t="str">
        <f t="array" ref="Z677">IF(LEN(AC677),lower(concatenate("bosvendor-",'2-Building'!B$4,"-",INDEX(D:D, MATCH(AC677, J:J, 0)),INDEX(E:E, MATCH(AC677, J:J, 0)))),"")</f>
        <v/>
      </c>
      <c r="AA677" s="28"/>
      <c r="AB677" s="28"/>
      <c r="AC677" s="28"/>
      <c r="AD677" s="28"/>
    </row>
    <row r="678" ht="30.0" customHeight="1">
      <c r="A678" s="488"/>
      <c r="B678" s="582"/>
      <c r="C678" s="256"/>
      <c r="D678" s="582"/>
      <c r="E678" s="488"/>
      <c r="F678" s="258"/>
      <c r="G678" s="173"/>
      <c r="H678" s="173"/>
      <c r="I678" s="576"/>
      <c r="J678" s="580"/>
      <c r="K678" s="569" t="str">
        <f t="shared" si="1"/>
        <v/>
      </c>
      <c r="L678" s="572"/>
      <c r="M678" s="173"/>
      <c r="N678" s="173"/>
      <c r="O678" s="173"/>
      <c r="P678" s="573"/>
      <c r="Q678" s="573"/>
      <c r="R678" s="173"/>
      <c r="S678" s="173"/>
      <c r="T678" s="173"/>
      <c r="U678" s="173"/>
      <c r="V678" s="173"/>
      <c r="W678" s="574"/>
      <c r="X678" s="575"/>
      <c r="Y678" s="28"/>
      <c r="Z678" s="543" t="str">
        <f t="array" ref="Z678">IF(LEN(AC678),lower(concatenate("bosvendor-",'2-Building'!B$4,"-",INDEX(D:D, MATCH(AC678, J:J, 0)),INDEX(E:E, MATCH(AC678, J:J, 0)))),"")</f>
        <v/>
      </c>
      <c r="AA678" s="28"/>
      <c r="AB678" s="28"/>
      <c r="AC678" s="28"/>
      <c r="AD678" s="28"/>
    </row>
    <row r="679" ht="30.0" customHeight="1">
      <c r="A679" s="488"/>
      <c r="B679" s="582"/>
      <c r="C679" s="256"/>
      <c r="D679" s="582"/>
      <c r="E679" s="488"/>
      <c r="F679" s="258"/>
      <c r="G679" s="173"/>
      <c r="H679" s="173"/>
      <c r="I679" s="576"/>
      <c r="J679" s="580"/>
      <c r="K679" s="569" t="str">
        <f t="shared" si="1"/>
        <v/>
      </c>
      <c r="L679" s="572"/>
      <c r="M679" s="173"/>
      <c r="N679" s="173"/>
      <c r="O679" s="173"/>
      <c r="P679" s="573"/>
      <c r="Q679" s="573"/>
      <c r="R679" s="173"/>
      <c r="S679" s="173"/>
      <c r="T679" s="173"/>
      <c r="U679" s="173"/>
      <c r="V679" s="173"/>
      <c r="W679" s="574"/>
      <c r="X679" s="575"/>
      <c r="Y679" s="28"/>
      <c r="Z679" s="543" t="str">
        <f t="array" ref="Z679">IF(LEN(AC679),lower(concatenate("bosvendor-",'2-Building'!B$4,"-",INDEX(D:D, MATCH(AC679, J:J, 0)),INDEX(E:E, MATCH(AC679, J:J, 0)))),"")</f>
        <v/>
      </c>
      <c r="AA679" s="28"/>
      <c r="AB679" s="28"/>
      <c r="AC679" s="28"/>
      <c r="AD679" s="28"/>
    </row>
    <row r="680" ht="30.0" customHeight="1">
      <c r="A680" s="488"/>
      <c r="B680" s="582"/>
      <c r="C680" s="256"/>
      <c r="D680" s="582"/>
      <c r="E680" s="488"/>
      <c r="F680" s="258"/>
      <c r="G680" s="173"/>
      <c r="H680" s="173"/>
      <c r="I680" s="576"/>
      <c r="J680" s="580"/>
      <c r="K680" s="569" t="str">
        <f t="shared" si="1"/>
        <v/>
      </c>
      <c r="L680" s="572"/>
      <c r="M680" s="173"/>
      <c r="N680" s="173"/>
      <c r="O680" s="173"/>
      <c r="P680" s="573"/>
      <c r="Q680" s="573"/>
      <c r="R680" s="173"/>
      <c r="S680" s="173"/>
      <c r="T680" s="173"/>
      <c r="U680" s="173"/>
      <c r="V680" s="173"/>
      <c r="W680" s="574"/>
      <c r="X680" s="575"/>
      <c r="Y680" s="28"/>
      <c r="Z680" s="543" t="str">
        <f t="array" ref="Z680">IF(LEN(AC680),lower(concatenate("bosvendor-",'2-Building'!B$4,"-",INDEX(D:D, MATCH(AC680, J:J, 0)),INDEX(E:E, MATCH(AC680, J:J, 0)))),"")</f>
        <v/>
      </c>
      <c r="AA680" s="28"/>
      <c r="AB680" s="28"/>
      <c r="AC680" s="28"/>
      <c r="AD680" s="28"/>
    </row>
    <row r="681" ht="30.0" customHeight="1">
      <c r="A681" s="488"/>
      <c r="B681" s="582"/>
      <c r="C681" s="256"/>
      <c r="D681" s="582"/>
      <c r="E681" s="488"/>
      <c r="F681" s="258"/>
      <c r="G681" s="173"/>
      <c r="H681" s="173"/>
      <c r="I681" s="576"/>
      <c r="J681" s="580"/>
      <c r="K681" s="569" t="str">
        <f t="shared" si="1"/>
        <v/>
      </c>
      <c r="L681" s="572"/>
      <c r="M681" s="173"/>
      <c r="N681" s="173"/>
      <c r="O681" s="173"/>
      <c r="P681" s="573"/>
      <c r="Q681" s="573"/>
      <c r="R681" s="173"/>
      <c r="S681" s="173"/>
      <c r="T681" s="173"/>
      <c r="U681" s="173"/>
      <c r="V681" s="173"/>
      <c r="W681" s="574"/>
      <c r="X681" s="575"/>
      <c r="Y681" s="28"/>
      <c r="Z681" s="543" t="str">
        <f t="array" ref="Z681">IF(LEN(AC681),lower(concatenate("bosvendor-",'2-Building'!B$4,"-",INDEX(D:D, MATCH(AC681, J:J, 0)),INDEX(E:E, MATCH(AC681, J:J, 0)))),"")</f>
        <v/>
      </c>
      <c r="AA681" s="28"/>
      <c r="AB681" s="28"/>
      <c r="AC681" s="28"/>
      <c r="AD681" s="28"/>
    </row>
    <row r="682" ht="30.0" customHeight="1">
      <c r="A682" s="488"/>
      <c r="B682" s="582"/>
      <c r="C682" s="256"/>
      <c r="D682" s="582"/>
      <c r="E682" s="488"/>
      <c r="F682" s="258"/>
      <c r="G682" s="173"/>
      <c r="H682" s="173"/>
      <c r="I682" s="576"/>
      <c r="J682" s="580"/>
      <c r="K682" s="569" t="str">
        <f t="shared" si="1"/>
        <v/>
      </c>
      <c r="L682" s="572"/>
      <c r="M682" s="173"/>
      <c r="N682" s="173"/>
      <c r="O682" s="173"/>
      <c r="P682" s="573"/>
      <c r="Q682" s="573"/>
      <c r="R682" s="173"/>
      <c r="S682" s="173"/>
      <c r="T682" s="173"/>
      <c r="U682" s="173"/>
      <c r="V682" s="173"/>
      <c r="W682" s="574"/>
      <c r="X682" s="575"/>
      <c r="Y682" s="28"/>
      <c r="Z682" s="543" t="str">
        <f t="array" ref="Z682">IF(LEN(AC682),lower(concatenate("bosvendor-",'2-Building'!B$4,"-",INDEX(D:D, MATCH(AC682, J:J, 0)),INDEX(E:E, MATCH(AC682, J:J, 0)))),"")</f>
        <v/>
      </c>
      <c r="AA682" s="28"/>
      <c r="AB682" s="28"/>
      <c r="AC682" s="28"/>
      <c r="AD682" s="28"/>
    </row>
    <row r="683" ht="30.0" customHeight="1">
      <c r="A683" s="488"/>
      <c r="B683" s="582"/>
      <c r="C683" s="256"/>
      <c r="D683" s="582"/>
      <c r="E683" s="488"/>
      <c r="F683" s="258"/>
      <c r="G683" s="173"/>
      <c r="H683" s="173"/>
      <c r="I683" s="576"/>
      <c r="J683" s="580"/>
      <c r="K683" s="569" t="str">
        <f t="shared" si="1"/>
        <v/>
      </c>
      <c r="L683" s="572"/>
      <c r="M683" s="173"/>
      <c r="N683" s="173"/>
      <c r="O683" s="173"/>
      <c r="P683" s="573"/>
      <c r="Q683" s="573"/>
      <c r="R683" s="173"/>
      <c r="S683" s="173"/>
      <c r="T683" s="173"/>
      <c r="U683" s="173"/>
      <c r="V683" s="173"/>
      <c r="W683" s="574"/>
      <c r="X683" s="575"/>
      <c r="Y683" s="28"/>
      <c r="Z683" s="543" t="str">
        <f t="array" ref="Z683">IF(LEN(AC683),lower(concatenate("bosvendor-",'2-Building'!B$4,"-",INDEX(D:D, MATCH(AC683, J:J, 0)),INDEX(E:E, MATCH(AC683, J:J, 0)))),"")</f>
        <v/>
      </c>
      <c r="AA683" s="28"/>
      <c r="AB683" s="28"/>
      <c r="AC683" s="28"/>
      <c r="AD683" s="28"/>
    </row>
    <row r="684" ht="30.0" customHeight="1">
      <c r="A684" s="488"/>
      <c r="B684" s="582"/>
      <c r="C684" s="256"/>
      <c r="D684" s="582"/>
      <c r="E684" s="488"/>
      <c r="F684" s="258"/>
      <c r="G684" s="173"/>
      <c r="H684" s="173"/>
      <c r="I684" s="576"/>
      <c r="J684" s="580"/>
      <c r="K684" s="569" t="str">
        <f t="shared" si="1"/>
        <v/>
      </c>
      <c r="L684" s="572"/>
      <c r="M684" s="173"/>
      <c r="N684" s="173"/>
      <c r="O684" s="173"/>
      <c r="P684" s="573"/>
      <c r="Q684" s="573"/>
      <c r="R684" s="173"/>
      <c r="S684" s="173"/>
      <c r="T684" s="173"/>
      <c r="U684" s="173"/>
      <c r="V684" s="173"/>
      <c r="W684" s="574"/>
      <c r="X684" s="575"/>
      <c r="Y684" s="28"/>
      <c r="Z684" s="543" t="str">
        <f t="array" ref="Z684">IF(LEN(AC684),lower(concatenate("bosvendor-",'2-Building'!B$4,"-",INDEX(D:D, MATCH(AC684, J:J, 0)),INDEX(E:E, MATCH(AC684, J:J, 0)))),"")</f>
        <v/>
      </c>
      <c r="AA684" s="28"/>
      <c r="AB684" s="28"/>
      <c r="AC684" s="28"/>
      <c r="AD684" s="28"/>
    </row>
    <row r="685" ht="30.0" customHeight="1">
      <c r="A685" s="488"/>
      <c r="B685" s="582"/>
      <c r="C685" s="256"/>
      <c r="D685" s="582"/>
      <c r="E685" s="488"/>
      <c r="F685" s="258"/>
      <c r="G685" s="173"/>
      <c r="H685" s="173"/>
      <c r="I685" s="576"/>
      <c r="J685" s="580"/>
      <c r="K685" s="569" t="str">
        <f t="shared" si="1"/>
        <v/>
      </c>
      <c r="L685" s="572"/>
      <c r="M685" s="173"/>
      <c r="N685" s="173"/>
      <c r="O685" s="173"/>
      <c r="P685" s="573"/>
      <c r="Q685" s="573"/>
      <c r="R685" s="173"/>
      <c r="S685" s="173"/>
      <c r="T685" s="173"/>
      <c r="U685" s="173"/>
      <c r="V685" s="173"/>
      <c r="W685" s="574"/>
      <c r="X685" s="575"/>
      <c r="Y685" s="28"/>
      <c r="Z685" s="543" t="str">
        <f t="array" ref="Z685">IF(LEN(AC685),lower(concatenate("bosvendor-",'2-Building'!B$4,"-",INDEX(D:D, MATCH(AC685, J:J, 0)),INDEX(E:E, MATCH(AC685, J:J, 0)))),"")</f>
        <v/>
      </c>
      <c r="AA685" s="28"/>
      <c r="AB685" s="28"/>
      <c r="AC685" s="28"/>
      <c r="AD685" s="28"/>
    </row>
    <row r="686" ht="30.0" customHeight="1">
      <c r="A686" s="488"/>
      <c r="B686" s="582"/>
      <c r="C686" s="256"/>
      <c r="D686" s="582"/>
      <c r="E686" s="488"/>
      <c r="F686" s="258"/>
      <c r="G686" s="173"/>
      <c r="H686" s="173"/>
      <c r="I686" s="576"/>
      <c r="J686" s="580"/>
      <c r="K686" s="569" t="str">
        <f t="shared" si="1"/>
        <v/>
      </c>
      <c r="L686" s="572"/>
      <c r="M686" s="173"/>
      <c r="N686" s="173"/>
      <c r="O686" s="173"/>
      <c r="P686" s="573"/>
      <c r="Q686" s="573"/>
      <c r="R686" s="173"/>
      <c r="S686" s="173"/>
      <c r="T686" s="173"/>
      <c r="U686" s="173"/>
      <c r="V686" s="173"/>
      <c r="W686" s="574"/>
      <c r="X686" s="575"/>
      <c r="Y686" s="28"/>
      <c r="Z686" s="543" t="str">
        <f t="array" ref="Z686">IF(LEN(AC686),lower(concatenate("bosvendor-",'2-Building'!B$4,"-",INDEX(D:D, MATCH(AC686, J:J, 0)),INDEX(E:E, MATCH(AC686, J:J, 0)))),"")</f>
        <v/>
      </c>
      <c r="AA686" s="28"/>
      <c r="AB686" s="28"/>
      <c r="AC686" s="28"/>
      <c r="AD686" s="28"/>
    </row>
    <row r="687" ht="30.0" customHeight="1">
      <c r="A687" s="488"/>
      <c r="B687" s="582"/>
      <c r="C687" s="256"/>
      <c r="D687" s="582"/>
      <c r="E687" s="488"/>
      <c r="F687" s="258"/>
      <c r="G687" s="173"/>
      <c r="H687" s="173"/>
      <c r="I687" s="576"/>
      <c r="J687" s="580"/>
      <c r="K687" s="569" t="str">
        <f t="shared" si="1"/>
        <v/>
      </c>
      <c r="L687" s="572"/>
      <c r="M687" s="173"/>
      <c r="N687" s="173"/>
      <c r="O687" s="173"/>
      <c r="P687" s="573"/>
      <c r="Q687" s="573"/>
      <c r="R687" s="173"/>
      <c r="S687" s="173"/>
      <c r="T687" s="173"/>
      <c r="U687" s="173"/>
      <c r="V687" s="173"/>
      <c r="W687" s="574"/>
      <c r="X687" s="575"/>
      <c r="Y687" s="28"/>
      <c r="Z687" s="543" t="str">
        <f t="array" ref="Z687">IF(LEN(AC687),lower(concatenate("bosvendor-",'2-Building'!B$4,"-",INDEX(D:D, MATCH(AC687, J:J, 0)),INDEX(E:E, MATCH(AC687, J:J, 0)))),"")</f>
        <v/>
      </c>
      <c r="AA687" s="28"/>
      <c r="AB687" s="28"/>
      <c r="AC687" s="28"/>
      <c r="AD687" s="28"/>
    </row>
    <row r="688" ht="30.0" customHeight="1">
      <c r="A688" s="488"/>
      <c r="B688" s="582"/>
      <c r="C688" s="256"/>
      <c r="D688" s="582"/>
      <c r="E688" s="488"/>
      <c r="F688" s="258"/>
      <c r="G688" s="173"/>
      <c r="H688" s="173"/>
      <c r="I688" s="576"/>
      <c r="J688" s="580"/>
      <c r="K688" s="569" t="str">
        <f t="shared" si="1"/>
        <v/>
      </c>
      <c r="L688" s="572"/>
      <c r="M688" s="173"/>
      <c r="N688" s="173"/>
      <c r="O688" s="173"/>
      <c r="P688" s="573"/>
      <c r="Q688" s="573"/>
      <c r="R688" s="173"/>
      <c r="S688" s="173"/>
      <c r="T688" s="173"/>
      <c r="U688" s="173"/>
      <c r="V688" s="173"/>
      <c r="W688" s="574"/>
      <c r="X688" s="575"/>
      <c r="Y688" s="28"/>
      <c r="Z688" s="543" t="str">
        <f t="array" ref="Z688">IF(LEN(AC688),lower(concatenate("bosvendor-",'2-Building'!B$4,"-",INDEX(D:D, MATCH(AC688, J:J, 0)),INDEX(E:E, MATCH(AC688, J:J, 0)))),"")</f>
        <v/>
      </c>
      <c r="AA688" s="28"/>
      <c r="AB688" s="28"/>
      <c r="AC688" s="28"/>
      <c r="AD688" s="28"/>
    </row>
    <row r="689" ht="30.0" customHeight="1">
      <c r="A689" s="488"/>
      <c r="B689" s="582"/>
      <c r="C689" s="256"/>
      <c r="D689" s="582"/>
      <c r="E689" s="488"/>
      <c r="F689" s="258"/>
      <c r="G689" s="173"/>
      <c r="H689" s="173"/>
      <c r="I689" s="576"/>
      <c r="J689" s="580"/>
      <c r="K689" s="569" t="str">
        <f t="shared" si="1"/>
        <v/>
      </c>
      <c r="L689" s="572"/>
      <c r="M689" s="173"/>
      <c r="N689" s="173"/>
      <c r="O689" s="173"/>
      <c r="P689" s="573"/>
      <c r="Q689" s="573"/>
      <c r="R689" s="173"/>
      <c r="S689" s="173"/>
      <c r="T689" s="173"/>
      <c r="U689" s="173"/>
      <c r="V689" s="173"/>
      <c r="W689" s="574"/>
      <c r="X689" s="575"/>
      <c r="Y689" s="28"/>
      <c r="Z689" s="543" t="str">
        <f t="array" ref="Z689">IF(LEN(AC689),lower(concatenate("bosvendor-",'2-Building'!B$4,"-",INDEX(D:D, MATCH(AC689, J:J, 0)),INDEX(E:E, MATCH(AC689, J:J, 0)))),"")</f>
        <v/>
      </c>
      <c r="AA689" s="28"/>
      <c r="AB689" s="28"/>
      <c r="AC689" s="28"/>
      <c r="AD689" s="28"/>
    </row>
    <row r="690" ht="30.0" customHeight="1">
      <c r="A690" s="488"/>
      <c r="B690" s="582"/>
      <c r="C690" s="256"/>
      <c r="D690" s="582"/>
      <c r="E690" s="488"/>
      <c r="F690" s="258"/>
      <c r="G690" s="173"/>
      <c r="H690" s="173"/>
      <c r="I690" s="576"/>
      <c r="J690" s="580"/>
      <c r="K690" s="569" t="str">
        <f t="shared" si="1"/>
        <v/>
      </c>
      <c r="L690" s="572"/>
      <c r="M690" s="173"/>
      <c r="N690" s="173"/>
      <c r="O690" s="173"/>
      <c r="P690" s="573"/>
      <c r="Q690" s="573"/>
      <c r="R690" s="173"/>
      <c r="S690" s="173"/>
      <c r="T690" s="173"/>
      <c r="U690" s="173"/>
      <c r="V690" s="173"/>
      <c r="W690" s="574"/>
      <c r="X690" s="575"/>
      <c r="Y690" s="28"/>
      <c r="Z690" s="543" t="str">
        <f t="array" ref="Z690">IF(LEN(AC690),lower(concatenate("bosvendor-",'2-Building'!B$4,"-",INDEX(D:D, MATCH(AC690, J:J, 0)),INDEX(E:E, MATCH(AC690, J:J, 0)))),"")</f>
        <v/>
      </c>
      <c r="AA690" s="28"/>
      <c r="AB690" s="28"/>
      <c r="AC690" s="28"/>
      <c r="AD690" s="28"/>
    </row>
    <row r="691" ht="30.0" customHeight="1">
      <c r="A691" s="488"/>
      <c r="B691" s="582"/>
      <c r="C691" s="256"/>
      <c r="D691" s="582"/>
      <c r="E691" s="488"/>
      <c r="F691" s="258"/>
      <c r="G691" s="173"/>
      <c r="H691" s="173"/>
      <c r="I691" s="576"/>
      <c r="J691" s="580"/>
      <c r="K691" s="569" t="str">
        <f t="shared" si="1"/>
        <v/>
      </c>
      <c r="L691" s="572"/>
      <c r="M691" s="173"/>
      <c r="N691" s="173"/>
      <c r="O691" s="173"/>
      <c r="P691" s="573"/>
      <c r="Q691" s="573"/>
      <c r="R691" s="173"/>
      <c r="S691" s="173"/>
      <c r="T691" s="173"/>
      <c r="U691" s="173"/>
      <c r="V691" s="173"/>
      <c r="W691" s="574"/>
      <c r="X691" s="575"/>
      <c r="Y691" s="28"/>
      <c r="Z691" s="543" t="str">
        <f t="array" ref="Z691">IF(LEN(AC691),lower(concatenate("bosvendor-",'2-Building'!B$4,"-",INDEX(D:D, MATCH(AC691, J:J, 0)),INDEX(E:E, MATCH(AC691, J:J, 0)))),"")</f>
        <v/>
      </c>
      <c r="AA691" s="28"/>
      <c r="AB691" s="28"/>
      <c r="AC691" s="28"/>
      <c r="AD691" s="28"/>
    </row>
    <row r="692" ht="30.0" customHeight="1">
      <c r="A692" s="488"/>
      <c r="B692" s="582"/>
      <c r="C692" s="256"/>
      <c r="D692" s="582"/>
      <c r="E692" s="488"/>
      <c r="F692" s="258"/>
      <c r="G692" s="173"/>
      <c r="H692" s="173"/>
      <c r="I692" s="576"/>
      <c r="J692" s="580"/>
      <c r="K692" s="569" t="str">
        <f t="shared" si="1"/>
        <v/>
      </c>
      <c r="L692" s="572"/>
      <c r="M692" s="173"/>
      <c r="N692" s="173"/>
      <c r="O692" s="173"/>
      <c r="P692" s="573"/>
      <c r="Q692" s="573"/>
      <c r="R692" s="173"/>
      <c r="S692" s="173"/>
      <c r="T692" s="173"/>
      <c r="U692" s="173"/>
      <c r="V692" s="173"/>
      <c r="W692" s="574"/>
      <c r="X692" s="575"/>
      <c r="Y692" s="28"/>
      <c r="Z692" s="543" t="str">
        <f t="array" ref="Z692">IF(LEN(AC692),lower(concatenate("bosvendor-",'2-Building'!B$4,"-",INDEX(D:D, MATCH(AC692, J:J, 0)),INDEX(E:E, MATCH(AC692, J:J, 0)))),"")</f>
        <v/>
      </c>
      <c r="AA692" s="28"/>
      <c r="AB692" s="28"/>
      <c r="AC692" s="28"/>
      <c r="AD692" s="28"/>
    </row>
    <row r="693" ht="30.0" customHeight="1">
      <c r="A693" s="488"/>
      <c r="B693" s="582"/>
      <c r="C693" s="256"/>
      <c r="D693" s="582"/>
      <c r="E693" s="488"/>
      <c r="F693" s="258"/>
      <c r="G693" s="173"/>
      <c r="H693" s="173"/>
      <c r="I693" s="576"/>
      <c r="J693" s="580"/>
      <c r="K693" s="569" t="str">
        <f t="shared" si="1"/>
        <v/>
      </c>
      <c r="L693" s="572"/>
      <c r="M693" s="173"/>
      <c r="N693" s="173"/>
      <c r="O693" s="173"/>
      <c r="P693" s="573"/>
      <c r="Q693" s="573"/>
      <c r="R693" s="173"/>
      <c r="S693" s="173"/>
      <c r="T693" s="173"/>
      <c r="U693" s="173"/>
      <c r="V693" s="173"/>
      <c r="W693" s="574"/>
      <c r="X693" s="575"/>
      <c r="Y693" s="28"/>
      <c r="Z693" s="543" t="str">
        <f t="array" ref="Z693">IF(LEN(AC693),lower(concatenate("bosvendor-",'2-Building'!B$4,"-",INDEX(D:D, MATCH(AC693, J:J, 0)),INDEX(E:E, MATCH(AC693, J:J, 0)))),"")</f>
        <v/>
      </c>
      <c r="AA693" s="28"/>
      <c r="AB693" s="28"/>
      <c r="AC693" s="28"/>
      <c r="AD693" s="28"/>
    </row>
    <row r="694" ht="30.0" customHeight="1">
      <c r="A694" s="488"/>
      <c r="B694" s="582"/>
      <c r="C694" s="256"/>
      <c r="D694" s="582"/>
      <c r="E694" s="488"/>
      <c r="F694" s="258"/>
      <c r="G694" s="173"/>
      <c r="H694" s="173"/>
      <c r="I694" s="576"/>
      <c r="J694" s="580"/>
      <c r="K694" s="569" t="str">
        <f t="shared" si="1"/>
        <v/>
      </c>
      <c r="L694" s="572"/>
      <c r="M694" s="173"/>
      <c r="N694" s="173"/>
      <c r="O694" s="173"/>
      <c r="P694" s="573"/>
      <c r="Q694" s="573"/>
      <c r="R694" s="173"/>
      <c r="S694" s="173"/>
      <c r="T694" s="173"/>
      <c r="U694" s="173"/>
      <c r="V694" s="173"/>
      <c r="W694" s="574"/>
      <c r="X694" s="575"/>
      <c r="Y694" s="28"/>
      <c r="Z694" s="543" t="str">
        <f t="array" ref="Z694">IF(LEN(AC694),lower(concatenate("bosvendor-",'2-Building'!B$4,"-",INDEX(D:D, MATCH(AC694, J:J, 0)),INDEX(E:E, MATCH(AC694, J:J, 0)))),"")</f>
        <v/>
      </c>
      <c r="AA694" s="28"/>
      <c r="AB694" s="28"/>
      <c r="AC694" s="28"/>
      <c r="AD694" s="28"/>
    </row>
    <row r="695" ht="30.0" customHeight="1">
      <c r="A695" s="488"/>
      <c r="B695" s="582"/>
      <c r="C695" s="256"/>
      <c r="D695" s="582"/>
      <c r="E695" s="488"/>
      <c r="F695" s="258"/>
      <c r="G695" s="173"/>
      <c r="H695" s="173"/>
      <c r="I695" s="576"/>
      <c r="J695" s="580"/>
      <c r="K695" s="569" t="str">
        <f t="shared" si="1"/>
        <v/>
      </c>
      <c r="L695" s="572"/>
      <c r="M695" s="173"/>
      <c r="N695" s="173"/>
      <c r="O695" s="173"/>
      <c r="P695" s="573"/>
      <c r="Q695" s="573"/>
      <c r="R695" s="173"/>
      <c r="S695" s="173"/>
      <c r="T695" s="173"/>
      <c r="U695" s="173"/>
      <c r="V695" s="173"/>
      <c r="W695" s="574"/>
      <c r="X695" s="575"/>
      <c r="Y695" s="28"/>
      <c r="Z695" s="543" t="str">
        <f t="array" ref="Z695">IF(LEN(AC695),lower(concatenate("bosvendor-",'2-Building'!B$4,"-",INDEX(D:D, MATCH(AC695, J:J, 0)),INDEX(E:E, MATCH(AC695, J:J, 0)))),"")</f>
        <v/>
      </c>
      <c r="AA695" s="28"/>
      <c r="AB695" s="28"/>
      <c r="AC695" s="28"/>
      <c r="AD695" s="28"/>
    </row>
    <row r="696" ht="30.0" customHeight="1">
      <c r="A696" s="488"/>
      <c r="B696" s="582"/>
      <c r="C696" s="256"/>
      <c r="D696" s="582"/>
      <c r="E696" s="488"/>
      <c r="F696" s="258"/>
      <c r="G696" s="173"/>
      <c r="H696" s="173"/>
      <c r="I696" s="576"/>
      <c r="J696" s="580"/>
      <c r="K696" s="569" t="str">
        <f t="shared" si="1"/>
        <v/>
      </c>
      <c r="L696" s="572"/>
      <c r="M696" s="173"/>
      <c r="N696" s="173"/>
      <c r="O696" s="173"/>
      <c r="P696" s="573"/>
      <c r="Q696" s="573"/>
      <c r="R696" s="173"/>
      <c r="S696" s="173"/>
      <c r="T696" s="173"/>
      <c r="U696" s="173"/>
      <c r="V696" s="173"/>
      <c r="W696" s="574"/>
      <c r="X696" s="575"/>
      <c r="Y696" s="28"/>
      <c r="Z696" s="543" t="str">
        <f t="array" ref="Z696">IF(LEN(AC696),lower(concatenate("bosvendor-",'2-Building'!B$4,"-",INDEX(D:D, MATCH(AC696, J:J, 0)),INDEX(E:E, MATCH(AC696, J:J, 0)))),"")</f>
        <v/>
      </c>
      <c r="AA696" s="28"/>
      <c r="AB696" s="28"/>
      <c r="AC696" s="28"/>
      <c r="AD696" s="28"/>
    </row>
    <row r="697" ht="30.0" customHeight="1">
      <c r="A697" s="488"/>
      <c r="B697" s="582"/>
      <c r="C697" s="256"/>
      <c r="D697" s="582"/>
      <c r="E697" s="488"/>
      <c r="F697" s="258"/>
      <c r="G697" s="173"/>
      <c r="H697" s="173"/>
      <c r="I697" s="576"/>
      <c r="J697" s="580"/>
      <c r="K697" s="569" t="str">
        <f t="shared" si="1"/>
        <v/>
      </c>
      <c r="L697" s="572"/>
      <c r="M697" s="173"/>
      <c r="N697" s="173"/>
      <c r="O697" s="173"/>
      <c r="P697" s="573"/>
      <c r="Q697" s="573"/>
      <c r="R697" s="173"/>
      <c r="S697" s="173"/>
      <c r="T697" s="173"/>
      <c r="U697" s="173"/>
      <c r="V697" s="173"/>
      <c r="W697" s="574"/>
      <c r="X697" s="575"/>
      <c r="Y697" s="28"/>
      <c r="Z697" s="543" t="str">
        <f t="array" ref="Z697">IF(LEN(AC697),lower(concatenate("bosvendor-",'2-Building'!B$4,"-",INDEX(D:D, MATCH(AC697, J:J, 0)),INDEX(E:E, MATCH(AC697, J:J, 0)))),"")</f>
        <v/>
      </c>
      <c r="AA697" s="28"/>
      <c r="AB697" s="28"/>
      <c r="AC697" s="28"/>
      <c r="AD697" s="28"/>
    </row>
    <row r="698" ht="30.0" customHeight="1">
      <c r="A698" s="488"/>
      <c r="B698" s="582"/>
      <c r="C698" s="256"/>
      <c r="D698" s="582"/>
      <c r="E698" s="488"/>
      <c r="F698" s="258"/>
      <c r="G698" s="173"/>
      <c r="H698" s="173"/>
      <c r="I698" s="576"/>
      <c r="J698" s="580"/>
      <c r="K698" s="569" t="str">
        <f t="shared" si="1"/>
        <v/>
      </c>
      <c r="L698" s="572"/>
      <c r="M698" s="173"/>
      <c r="N698" s="173"/>
      <c r="O698" s="173"/>
      <c r="P698" s="573"/>
      <c r="Q698" s="573"/>
      <c r="R698" s="173"/>
      <c r="S698" s="173"/>
      <c r="T698" s="173"/>
      <c r="U698" s="173"/>
      <c r="V698" s="173"/>
      <c r="W698" s="574"/>
      <c r="X698" s="575"/>
      <c r="Y698" s="28"/>
      <c r="Z698" s="543" t="str">
        <f t="array" ref="Z698">IF(LEN(AC698),lower(concatenate("bosvendor-",'2-Building'!B$4,"-",INDEX(D:D, MATCH(AC698, J:J, 0)),INDEX(E:E, MATCH(AC698, J:J, 0)))),"")</f>
        <v/>
      </c>
      <c r="AA698" s="28"/>
      <c r="AB698" s="28"/>
      <c r="AC698" s="28"/>
      <c r="AD698" s="28"/>
    </row>
    <row r="699" ht="30.0" customHeight="1">
      <c r="A699" s="488"/>
      <c r="B699" s="582"/>
      <c r="C699" s="256"/>
      <c r="D699" s="582"/>
      <c r="E699" s="488"/>
      <c r="F699" s="258"/>
      <c r="G699" s="173"/>
      <c r="H699" s="173"/>
      <c r="I699" s="576"/>
      <c r="J699" s="580"/>
      <c r="K699" s="569" t="str">
        <f t="shared" si="1"/>
        <v/>
      </c>
      <c r="L699" s="572"/>
      <c r="M699" s="173"/>
      <c r="N699" s="173"/>
      <c r="O699" s="173"/>
      <c r="P699" s="573"/>
      <c r="Q699" s="573"/>
      <c r="R699" s="173"/>
      <c r="S699" s="173"/>
      <c r="T699" s="173"/>
      <c r="U699" s="173"/>
      <c r="V699" s="173"/>
      <c r="W699" s="574"/>
      <c r="X699" s="575"/>
      <c r="Y699" s="28"/>
      <c r="Z699" s="543" t="str">
        <f t="array" ref="Z699">IF(LEN(AC699),lower(concatenate("bosvendor-",'2-Building'!B$4,"-",INDEX(D:D, MATCH(AC699, J:J, 0)),INDEX(E:E, MATCH(AC699, J:J, 0)))),"")</f>
        <v/>
      </c>
      <c r="AA699" s="28"/>
      <c r="AB699" s="28"/>
      <c r="AC699" s="28"/>
      <c r="AD699" s="28"/>
    </row>
    <row r="700" ht="30.0" customHeight="1">
      <c r="A700" s="488"/>
      <c r="B700" s="582"/>
      <c r="C700" s="256"/>
      <c r="D700" s="582"/>
      <c r="E700" s="488"/>
      <c r="F700" s="258"/>
      <c r="G700" s="173"/>
      <c r="H700" s="173"/>
      <c r="I700" s="576"/>
      <c r="J700" s="580"/>
      <c r="K700" s="569" t="str">
        <f t="shared" si="1"/>
        <v/>
      </c>
      <c r="L700" s="572"/>
      <c r="M700" s="173"/>
      <c r="N700" s="173"/>
      <c r="O700" s="173"/>
      <c r="P700" s="573"/>
      <c r="Q700" s="573"/>
      <c r="R700" s="173"/>
      <c r="S700" s="173"/>
      <c r="T700" s="173"/>
      <c r="U700" s="173"/>
      <c r="V700" s="173"/>
      <c r="W700" s="574"/>
      <c r="X700" s="575"/>
      <c r="Y700" s="28"/>
      <c r="Z700" s="543" t="str">
        <f t="array" ref="Z700">IF(LEN(AC700),lower(concatenate("bosvendor-",'2-Building'!B$4,"-",INDEX(D:D, MATCH(AC700, J:J, 0)),INDEX(E:E, MATCH(AC700, J:J, 0)))),"")</f>
        <v/>
      </c>
      <c r="AA700" s="28"/>
      <c r="AB700" s="28"/>
      <c r="AC700" s="28"/>
      <c r="AD700" s="28"/>
    </row>
    <row r="701" ht="30.0" customHeight="1">
      <c r="A701" s="488"/>
      <c r="B701" s="582"/>
      <c r="C701" s="256"/>
      <c r="D701" s="582"/>
      <c r="E701" s="488"/>
      <c r="F701" s="258"/>
      <c r="G701" s="173"/>
      <c r="H701" s="173"/>
      <c r="I701" s="576"/>
      <c r="J701" s="580"/>
      <c r="K701" s="569" t="str">
        <f t="shared" si="1"/>
        <v/>
      </c>
      <c r="L701" s="572"/>
      <c r="M701" s="173"/>
      <c r="N701" s="173"/>
      <c r="O701" s="173"/>
      <c r="P701" s="573"/>
      <c r="Q701" s="573"/>
      <c r="R701" s="173"/>
      <c r="S701" s="173"/>
      <c r="T701" s="173"/>
      <c r="U701" s="173"/>
      <c r="V701" s="173"/>
      <c r="W701" s="574"/>
      <c r="X701" s="575"/>
      <c r="Y701" s="28"/>
      <c r="Z701" s="543" t="str">
        <f t="array" ref="Z701">IF(LEN(AC701),lower(concatenate("bosvendor-",'2-Building'!B$4,"-",INDEX(D:D, MATCH(AC701, J:J, 0)),INDEX(E:E, MATCH(AC701, J:J, 0)))),"")</f>
        <v/>
      </c>
      <c r="AA701" s="28"/>
      <c r="AB701" s="28"/>
      <c r="AC701" s="28"/>
      <c r="AD701" s="28"/>
    </row>
    <row r="702" ht="30.0" customHeight="1">
      <c r="A702" s="488"/>
      <c r="B702" s="582"/>
      <c r="C702" s="256"/>
      <c r="D702" s="582"/>
      <c r="E702" s="488"/>
      <c r="F702" s="258"/>
      <c r="G702" s="173"/>
      <c r="H702" s="173"/>
      <c r="I702" s="576"/>
      <c r="J702" s="580"/>
      <c r="K702" s="569" t="str">
        <f t="shared" si="1"/>
        <v/>
      </c>
      <c r="L702" s="572"/>
      <c r="M702" s="173"/>
      <c r="N702" s="173"/>
      <c r="O702" s="173"/>
      <c r="P702" s="573"/>
      <c r="Q702" s="573"/>
      <c r="R702" s="173"/>
      <c r="S702" s="173"/>
      <c r="T702" s="173"/>
      <c r="U702" s="173"/>
      <c r="V702" s="173"/>
      <c r="W702" s="574"/>
      <c r="X702" s="575"/>
      <c r="Y702" s="28"/>
      <c r="Z702" s="543" t="str">
        <f t="array" ref="Z702">IF(LEN(AC702),lower(concatenate("bosvendor-",'2-Building'!B$4,"-",INDEX(D:D, MATCH(AC702, J:J, 0)),INDEX(E:E, MATCH(AC702, J:J, 0)))),"")</f>
        <v/>
      </c>
      <c r="AA702" s="28"/>
      <c r="AB702" s="28"/>
      <c r="AC702" s="28"/>
      <c r="AD702" s="28"/>
    </row>
    <row r="703" ht="30.0" customHeight="1">
      <c r="A703" s="488"/>
      <c r="B703" s="582"/>
      <c r="C703" s="256"/>
      <c r="D703" s="582"/>
      <c r="E703" s="488"/>
      <c r="F703" s="258"/>
      <c r="G703" s="173"/>
      <c r="H703" s="173"/>
      <c r="I703" s="576"/>
      <c r="J703" s="580"/>
      <c r="K703" s="569" t="str">
        <f t="shared" si="1"/>
        <v/>
      </c>
      <c r="L703" s="572"/>
      <c r="M703" s="173"/>
      <c r="N703" s="173"/>
      <c r="O703" s="173"/>
      <c r="P703" s="573"/>
      <c r="Q703" s="573"/>
      <c r="R703" s="173"/>
      <c r="S703" s="173"/>
      <c r="T703" s="173"/>
      <c r="U703" s="173"/>
      <c r="V703" s="173"/>
      <c r="W703" s="574"/>
      <c r="X703" s="575"/>
      <c r="Y703" s="28"/>
      <c r="Z703" s="543" t="str">
        <f t="array" ref="Z703">IF(LEN(AC703),lower(concatenate("bosvendor-",'2-Building'!B$4,"-",INDEX(D:D, MATCH(AC703, J:J, 0)),INDEX(E:E, MATCH(AC703, J:J, 0)))),"")</f>
        <v/>
      </c>
      <c r="AA703" s="28"/>
      <c r="AB703" s="28"/>
      <c r="AC703" s="28"/>
      <c r="AD703" s="28"/>
    </row>
    <row r="704" ht="30.0" customHeight="1">
      <c r="A704" s="488"/>
      <c r="B704" s="582"/>
      <c r="C704" s="256"/>
      <c r="D704" s="582"/>
      <c r="E704" s="488"/>
      <c r="F704" s="258"/>
      <c r="G704" s="173"/>
      <c r="H704" s="173"/>
      <c r="I704" s="576"/>
      <c r="J704" s="580"/>
      <c r="K704" s="569" t="str">
        <f t="shared" si="1"/>
        <v/>
      </c>
      <c r="L704" s="572"/>
      <c r="M704" s="173"/>
      <c r="N704" s="173"/>
      <c r="O704" s="173"/>
      <c r="P704" s="573"/>
      <c r="Q704" s="573"/>
      <c r="R704" s="173"/>
      <c r="S704" s="173"/>
      <c r="T704" s="173"/>
      <c r="U704" s="173"/>
      <c r="V704" s="173"/>
      <c r="W704" s="574"/>
      <c r="X704" s="575"/>
      <c r="Y704" s="28"/>
      <c r="Z704" s="543" t="str">
        <f t="array" ref="Z704">IF(LEN(AC704),lower(concatenate("bosvendor-",'2-Building'!B$4,"-",INDEX(D:D, MATCH(AC704, J:J, 0)),INDEX(E:E, MATCH(AC704, J:J, 0)))),"")</f>
        <v/>
      </c>
      <c r="AA704" s="28"/>
      <c r="AB704" s="28"/>
      <c r="AC704" s="28"/>
      <c r="AD704" s="28"/>
    </row>
    <row r="705" ht="30.0" customHeight="1">
      <c r="A705" s="488"/>
      <c r="B705" s="582"/>
      <c r="C705" s="256"/>
      <c r="D705" s="582"/>
      <c r="E705" s="488"/>
      <c r="F705" s="258"/>
      <c r="G705" s="173"/>
      <c r="H705" s="173"/>
      <c r="I705" s="576"/>
      <c r="J705" s="580"/>
      <c r="K705" s="569" t="str">
        <f t="shared" si="1"/>
        <v/>
      </c>
      <c r="L705" s="572"/>
      <c r="M705" s="173"/>
      <c r="N705" s="173"/>
      <c r="O705" s="173"/>
      <c r="P705" s="573"/>
      <c r="Q705" s="573"/>
      <c r="R705" s="173"/>
      <c r="S705" s="173"/>
      <c r="T705" s="173"/>
      <c r="U705" s="173"/>
      <c r="V705" s="173"/>
      <c r="W705" s="574"/>
      <c r="X705" s="575"/>
      <c r="Y705" s="28"/>
      <c r="Z705" s="543" t="str">
        <f t="array" ref="Z705">IF(LEN(AC705),lower(concatenate("bosvendor-",'2-Building'!B$4,"-",INDEX(D:D, MATCH(AC705, J:J, 0)),INDEX(E:E, MATCH(AC705, J:J, 0)))),"")</f>
        <v/>
      </c>
      <c r="AA705" s="28"/>
      <c r="AB705" s="28"/>
      <c r="AC705" s="28"/>
      <c r="AD705" s="28"/>
    </row>
    <row r="706" ht="30.0" customHeight="1">
      <c r="A706" s="488"/>
      <c r="B706" s="582"/>
      <c r="C706" s="256"/>
      <c r="D706" s="582"/>
      <c r="E706" s="488"/>
      <c r="F706" s="258"/>
      <c r="G706" s="173"/>
      <c r="H706" s="173"/>
      <c r="I706" s="576"/>
      <c r="J706" s="580"/>
      <c r="K706" s="569" t="str">
        <f t="shared" si="1"/>
        <v/>
      </c>
      <c r="L706" s="572"/>
      <c r="M706" s="173"/>
      <c r="N706" s="173"/>
      <c r="O706" s="173"/>
      <c r="P706" s="573"/>
      <c r="Q706" s="573"/>
      <c r="R706" s="173"/>
      <c r="S706" s="173"/>
      <c r="T706" s="173"/>
      <c r="U706" s="173"/>
      <c r="V706" s="173"/>
      <c r="W706" s="574"/>
      <c r="X706" s="575"/>
      <c r="Y706" s="28"/>
      <c r="Z706" s="543" t="str">
        <f t="array" ref="Z706">IF(LEN(AC706),lower(concatenate("bosvendor-",'2-Building'!B$4,"-",INDEX(D:D, MATCH(AC706, J:J, 0)),INDEX(E:E, MATCH(AC706, J:J, 0)))),"")</f>
        <v/>
      </c>
      <c r="AA706" s="28"/>
      <c r="AB706" s="28"/>
      <c r="AC706" s="28"/>
      <c r="AD706" s="28"/>
    </row>
    <row r="707" ht="30.0" customHeight="1">
      <c r="A707" s="488"/>
      <c r="B707" s="582"/>
      <c r="C707" s="256"/>
      <c r="D707" s="582"/>
      <c r="E707" s="488"/>
      <c r="F707" s="258"/>
      <c r="G707" s="173"/>
      <c r="H707" s="173"/>
      <c r="I707" s="576"/>
      <c r="J707" s="580"/>
      <c r="K707" s="569" t="str">
        <f t="shared" si="1"/>
        <v/>
      </c>
      <c r="L707" s="572"/>
      <c r="M707" s="173"/>
      <c r="N707" s="173"/>
      <c r="O707" s="173"/>
      <c r="P707" s="573"/>
      <c r="Q707" s="573"/>
      <c r="R707" s="173"/>
      <c r="S707" s="173"/>
      <c r="T707" s="173"/>
      <c r="U707" s="173"/>
      <c r="V707" s="173"/>
      <c r="W707" s="574"/>
      <c r="X707" s="575"/>
      <c r="Y707" s="28"/>
      <c r="Z707" s="543" t="str">
        <f t="array" ref="Z707">IF(LEN(AC707),lower(concatenate("bosvendor-",'2-Building'!B$4,"-",INDEX(D:D, MATCH(AC707, J:J, 0)),INDEX(E:E, MATCH(AC707, J:J, 0)))),"")</f>
        <v/>
      </c>
      <c r="AA707" s="28"/>
      <c r="AB707" s="28"/>
      <c r="AC707" s="28"/>
      <c r="AD707" s="28"/>
    </row>
    <row r="708" ht="30.0" customHeight="1">
      <c r="A708" s="488"/>
      <c r="B708" s="582"/>
      <c r="C708" s="256"/>
      <c r="D708" s="582"/>
      <c r="E708" s="488"/>
      <c r="F708" s="258"/>
      <c r="G708" s="173"/>
      <c r="H708" s="173"/>
      <c r="I708" s="576"/>
      <c r="J708" s="580"/>
      <c r="K708" s="569" t="str">
        <f t="shared" si="1"/>
        <v/>
      </c>
      <c r="L708" s="572"/>
      <c r="M708" s="173"/>
      <c r="N708" s="173"/>
      <c r="O708" s="173"/>
      <c r="P708" s="573"/>
      <c r="Q708" s="573"/>
      <c r="R708" s="173"/>
      <c r="S708" s="173"/>
      <c r="T708" s="173"/>
      <c r="U708" s="173"/>
      <c r="V708" s="173"/>
      <c r="W708" s="574"/>
      <c r="X708" s="575"/>
      <c r="Y708" s="28"/>
      <c r="Z708" s="543" t="str">
        <f t="array" ref="Z708">IF(LEN(AC708),lower(concatenate("bosvendor-",'2-Building'!B$4,"-",INDEX(D:D, MATCH(AC708, J:J, 0)),INDEX(E:E, MATCH(AC708, J:J, 0)))),"")</f>
        <v/>
      </c>
      <c r="AA708" s="28"/>
      <c r="AB708" s="28"/>
      <c r="AC708" s="28"/>
      <c r="AD708" s="28"/>
    </row>
    <row r="709" ht="30.0" customHeight="1">
      <c r="A709" s="488"/>
      <c r="B709" s="582"/>
      <c r="C709" s="256"/>
      <c r="D709" s="582"/>
      <c r="E709" s="488"/>
      <c r="F709" s="258"/>
      <c r="G709" s="173"/>
      <c r="H709" s="173"/>
      <c r="I709" s="576"/>
      <c r="J709" s="580"/>
      <c r="K709" s="569" t="str">
        <f t="shared" si="1"/>
        <v/>
      </c>
      <c r="L709" s="572"/>
      <c r="M709" s="173"/>
      <c r="N709" s="173"/>
      <c r="O709" s="173"/>
      <c r="P709" s="573"/>
      <c r="Q709" s="573"/>
      <c r="R709" s="173"/>
      <c r="S709" s="173"/>
      <c r="T709" s="173"/>
      <c r="U709" s="173"/>
      <c r="V709" s="173"/>
      <c r="W709" s="574"/>
      <c r="X709" s="575"/>
      <c r="Y709" s="28"/>
      <c r="Z709" s="543" t="str">
        <f t="array" ref="Z709">IF(LEN(AC709),lower(concatenate("bosvendor-",'2-Building'!B$4,"-",INDEX(D:D, MATCH(AC709, J:J, 0)),INDEX(E:E, MATCH(AC709, J:J, 0)))),"")</f>
        <v/>
      </c>
      <c r="AA709" s="28"/>
      <c r="AB709" s="28"/>
      <c r="AC709" s="28"/>
      <c r="AD709" s="28"/>
    </row>
    <row r="710" ht="30.0" customHeight="1">
      <c r="A710" s="488"/>
      <c r="B710" s="582"/>
      <c r="C710" s="256"/>
      <c r="D710" s="582"/>
      <c r="E710" s="488"/>
      <c r="F710" s="258"/>
      <c r="G710" s="173"/>
      <c r="H710" s="173"/>
      <c r="I710" s="576"/>
      <c r="J710" s="580"/>
      <c r="K710" s="569" t="str">
        <f t="shared" si="1"/>
        <v/>
      </c>
      <c r="L710" s="572"/>
      <c r="M710" s="173"/>
      <c r="N710" s="173"/>
      <c r="O710" s="173"/>
      <c r="P710" s="573"/>
      <c r="Q710" s="573"/>
      <c r="R710" s="173"/>
      <c r="S710" s="173"/>
      <c r="T710" s="173"/>
      <c r="U710" s="173"/>
      <c r="V710" s="173"/>
      <c r="W710" s="574"/>
      <c r="X710" s="575"/>
      <c r="Y710" s="28"/>
      <c r="Z710" s="543" t="str">
        <f t="array" ref="Z710">IF(LEN(AC710),lower(concatenate("bosvendor-",'2-Building'!B$4,"-",INDEX(D:D, MATCH(AC710, J:J, 0)),INDEX(E:E, MATCH(AC710, J:J, 0)))),"")</f>
        <v/>
      </c>
      <c r="AA710" s="28"/>
      <c r="AB710" s="28"/>
      <c r="AC710" s="28"/>
      <c r="AD710" s="28"/>
    </row>
    <row r="711" ht="30.0" customHeight="1">
      <c r="A711" s="488"/>
      <c r="B711" s="582"/>
      <c r="C711" s="256"/>
      <c r="D711" s="582"/>
      <c r="E711" s="488"/>
      <c r="F711" s="258"/>
      <c r="G711" s="173"/>
      <c r="H711" s="173"/>
      <c r="I711" s="576"/>
      <c r="J711" s="580"/>
      <c r="K711" s="569" t="str">
        <f t="shared" si="1"/>
        <v/>
      </c>
      <c r="L711" s="572"/>
      <c r="M711" s="173"/>
      <c r="N711" s="173"/>
      <c r="O711" s="173"/>
      <c r="P711" s="573"/>
      <c r="Q711" s="573"/>
      <c r="R711" s="173"/>
      <c r="S711" s="173"/>
      <c r="T711" s="173"/>
      <c r="U711" s="173"/>
      <c r="V711" s="173"/>
      <c r="W711" s="574"/>
      <c r="X711" s="575"/>
      <c r="Y711" s="28"/>
      <c r="Z711" s="543" t="str">
        <f t="array" ref="Z711">IF(LEN(AC711),lower(concatenate("bosvendor-",'2-Building'!B$4,"-",INDEX(D:D, MATCH(AC711, J:J, 0)),INDEX(E:E, MATCH(AC711, J:J, 0)))),"")</f>
        <v/>
      </c>
      <c r="AA711" s="28"/>
      <c r="AB711" s="28"/>
      <c r="AC711" s="28"/>
      <c r="AD711" s="28"/>
    </row>
    <row r="712" ht="30.0" customHeight="1">
      <c r="A712" s="488"/>
      <c r="B712" s="582"/>
      <c r="C712" s="256"/>
      <c r="D712" s="582"/>
      <c r="E712" s="488"/>
      <c r="F712" s="258"/>
      <c r="G712" s="173"/>
      <c r="H712" s="173"/>
      <c r="I712" s="576"/>
      <c r="J712" s="580"/>
      <c r="K712" s="569" t="str">
        <f t="shared" si="1"/>
        <v/>
      </c>
      <c r="L712" s="572"/>
      <c r="M712" s="173"/>
      <c r="N712" s="173"/>
      <c r="O712" s="173"/>
      <c r="P712" s="573"/>
      <c r="Q712" s="573"/>
      <c r="R712" s="173"/>
      <c r="S712" s="173"/>
      <c r="T712" s="173"/>
      <c r="U712" s="173"/>
      <c r="V712" s="173"/>
      <c r="W712" s="574"/>
      <c r="X712" s="575"/>
      <c r="Y712" s="28"/>
      <c r="Z712" s="543" t="str">
        <f t="array" ref="Z712">IF(LEN(AC712),lower(concatenate("bosvendor-",'2-Building'!B$4,"-",INDEX(D:D, MATCH(AC712, J:J, 0)),INDEX(E:E, MATCH(AC712, J:J, 0)))),"")</f>
        <v/>
      </c>
      <c r="AA712" s="28"/>
      <c r="AB712" s="28"/>
      <c r="AC712" s="28"/>
      <c r="AD712" s="28"/>
    </row>
    <row r="713" ht="30.0" customHeight="1">
      <c r="A713" s="488"/>
      <c r="B713" s="582"/>
      <c r="C713" s="256"/>
      <c r="D713" s="582"/>
      <c r="E713" s="488"/>
      <c r="F713" s="258"/>
      <c r="G713" s="173"/>
      <c r="H713" s="173"/>
      <c r="I713" s="576"/>
      <c r="J713" s="580"/>
      <c r="K713" s="569" t="str">
        <f t="shared" si="1"/>
        <v/>
      </c>
      <c r="L713" s="572"/>
      <c r="M713" s="173"/>
      <c r="N713" s="173"/>
      <c r="O713" s="173"/>
      <c r="P713" s="573"/>
      <c r="Q713" s="573"/>
      <c r="R713" s="173"/>
      <c r="S713" s="173"/>
      <c r="T713" s="173"/>
      <c r="U713" s="173"/>
      <c r="V713" s="173"/>
      <c r="W713" s="574"/>
      <c r="X713" s="575"/>
      <c r="Y713" s="28"/>
      <c r="Z713" s="543" t="str">
        <f t="array" ref="Z713">IF(LEN(AC713),lower(concatenate("bosvendor-",'2-Building'!B$4,"-",INDEX(D:D, MATCH(AC713, J:J, 0)),INDEX(E:E, MATCH(AC713, J:J, 0)))),"")</f>
        <v/>
      </c>
      <c r="AA713" s="28"/>
      <c r="AB713" s="28"/>
      <c r="AC713" s="28"/>
      <c r="AD713" s="28"/>
    </row>
    <row r="714" ht="30.0" customHeight="1">
      <c r="A714" s="488"/>
      <c r="B714" s="582"/>
      <c r="C714" s="256"/>
      <c r="D714" s="582"/>
      <c r="E714" s="488"/>
      <c r="F714" s="258"/>
      <c r="G714" s="173"/>
      <c r="H714" s="173"/>
      <c r="I714" s="576"/>
      <c r="J714" s="580"/>
      <c r="K714" s="569" t="str">
        <f t="shared" si="1"/>
        <v/>
      </c>
      <c r="L714" s="572"/>
      <c r="M714" s="173"/>
      <c r="N714" s="173"/>
      <c r="O714" s="173"/>
      <c r="P714" s="573"/>
      <c r="Q714" s="573"/>
      <c r="R714" s="173"/>
      <c r="S714" s="173"/>
      <c r="T714" s="173"/>
      <c r="U714" s="173"/>
      <c r="V714" s="173"/>
      <c r="W714" s="574"/>
      <c r="X714" s="575"/>
      <c r="Y714" s="28"/>
      <c r="Z714" s="543" t="str">
        <f t="array" ref="Z714">IF(LEN(AC714),lower(concatenate("bosvendor-",'2-Building'!B$4,"-",INDEX(D:D, MATCH(AC714, J:J, 0)),INDEX(E:E, MATCH(AC714, J:J, 0)))),"")</f>
        <v/>
      </c>
      <c r="AA714" s="28"/>
      <c r="AB714" s="28"/>
      <c r="AC714" s="28"/>
      <c r="AD714" s="28"/>
    </row>
    <row r="715" ht="30.0" customHeight="1">
      <c r="A715" s="488"/>
      <c r="B715" s="582"/>
      <c r="C715" s="256"/>
      <c r="D715" s="582"/>
      <c r="E715" s="488"/>
      <c r="F715" s="258"/>
      <c r="G715" s="173"/>
      <c r="H715" s="173"/>
      <c r="I715" s="576"/>
      <c r="J715" s="580"/>
      <c r="K715" s="569" t="str">
        <f t="shared" si="1"/>
        <v/>
      </c>
      <c r="L715" s="572"/>
      <c r="M715" s="173"/>
      <c r="N715" s="173"/>
      <c r="O715" s="173"/>
      <c r="P715" s="573"/>
      <c r="Q715" s="573"/>
      <c r="R715" s="173"/>
      <c r="S715" s="173"/>
      <c r="T715" s="173"/>
      <c r="U715" s="173"/>
      <c r="V715" s="173"/>
      <c r="W715" s="574"/>
      <c r="X715" s="575"/>
      <c r="Y715" s="28"/>
      <c r="Z715" s="543" t="str">
        <f t="array" ref="Z715">IF(LEN(AC715),lower(concatenate("bosvendor-",'2-Building'!B$4,"-",INDEX(D:D, MATCH(AC715, J:J, 0)),INDEX(E:E, MATCH(AC715, J:J, 0)))),"")</f>
        <v/>
      </c>
      <c r="AA715" s="28"/>
      <c r="AB715" s="28"/>
      <c r="AC715" s="28"/>
      <c r="AD715" s="28"/>
    </row>
    <row r="716" ht="30.0" customHeight="1">
      <c r="A716" s="488"/>
      <c r="B716" s="582"/>
      <c r="C716" s="256"/>
      <c r="D716" s="582"/>
      <c r="E716" s="488"/>
      <c r="F716" s="258"/>
      <c r="G716" s="173"/>
      <c r="H716" s="173"/>
      <c r="I716" s="576"/>
      <c r="J716" s="580"/>
      <c r="K716" s="569" t="str">
        <f t="shared" si="1"/>
        <v/>
      </c>
      <c r="L716" s="572"/>
      <c r="M716" s="173"/>
      <c r="N716" s="173"/>
      <c r="O716" s="173"/>
      <c r="P716" s="573"/>
      <c r="Q716" s="573"/>
      <c r="R716" s="173"/>
      <c r="S716" s="173"/>
      <c r="T716" s="173"/>
      <c r="U716" s="173"/>
      <c r="V716" s="173"/>
      <c r="W716" s="574"/>
      <c r="X716" s="575"/>
      <c r="Y716" s="28"/>
      <c r="Z716" s="543" t="str">
        <f t="array" ref="Z716">IF(LEN(AC716),lower(concatenate("bosvendor-",'2-Building'!B$4,"-",INDEX(D:D, MATCH(AC716, J:J, 0)),INDEX(E:E, MATCH(AC716, J:J, 0)))),"")</f>
        <v/>
      </c>
      <c r="AA716" s="28"/>
      <c r="AB716" s="28"/>
      <c r="AC716" s="28"/>
      <c r="AD716" s="28"/>
    </row>
    <row r="717" ht="30.0" customHeight="1">
      <c r="A717" s="488"/>
      <c r="B717" s="582"/>
      <c r="C717" s="256"/>
      <c r="D717" s="582"/>
      <c r="E717" s="488"/>
      <c r="F717" s="258"/>
      <c r="G717" s="173"/>
      <c r="H717" s="173"/>
      <c r="I717" s="576"/>
      <c r="J717" s="580"/>
      <c r="K717" s="569" t="str">
        <f t="shared" si="1"/>
        <v/>
      </c>
      <c r="L717" s="572"/>
      <c r="M717" s="173"/>
      <c r="N717" s="173"/>
      <c r="O717" s="173"/>
      <c r="P717" s="573"/>
      <c r="Q717" s="573"/>
      <c r="R717" s="173"/>
      <c r="S717" s="173"/>
      <c r="T717" s="173"/>
      <c r="U717" s="173"/>
      <c r="V717" s="173"/>
      <c r="W717" s="574"/>
      <c r="X717" s="575"/>
      <c r="Y717" s="28"/>
      <c r="Z717" s="543" t="str">
        <f t="array" ref="Z717">IF(LEN(AC717),lower(concatenate("bosvendor-",'2-Building'!B$4,"-",INDEX(D:D, MATCH(AC717, J:J, 0)),INDEX(E:E, MATCH(AC717, J:J, 0)))),"")</f>
        <v/>
      </c>
      <c r="AA717" s="28"/>
      <c r="AB717" s="28"/>
      <c r="AC717" s="28"/>
      <c r="AD717" s="28"/>
    </row>
    <row r="718" ht="30.0" customHeight="1">
      <c r="A718" s="488"/>
      <c r="B718" s="582"/>
      <c r="C718" s="256"/>
      <c r="D718" s="582"/>
      <c r="E718" s="488"/>
      <c r="F718" s="258"/>
      <c r="G718" s="173"/>
      <c r="H718" s="173"/>
      <c r="I718" s="576"/>
      <c r="J718" s="580"/>
      <c r="K718" s="569" t="str">
        <f t="shared" si="1"/>
        <v/>
      </c>
      <c r="L718" s="572"/>
      <c r="M718" s="173"/>
      <c r="N718" s="173"/>
      <c r="O718" s="173"/>
      <c r="P718" s="573"/>
      <c r="Q718" s="573"/>
      <c r="R718" s="173"/>
      <c r="S718" s="173"/>
      <c r="T718" s="173"/>
      <c r="U718" s="173"/>
      <c r="V718" s="173"/>
      <c r="W718" s="574"/>
      <c r="X718" s="575"/>
      <c r="Y718" s="28"/>
      <c r="Z718" s="543" t="str">
        <f t="array" ref="Z718">IF(LEN(AC718),lower(concatenate("bosvendor-",'2-Building'!B$4,"-",INDEX(D:D, MATCH(AC718, J:J, 0)),INDEX(E:E, MATCH(AC718, J:J, 0)))),"")</f>
        <v/>
      </c>
      <c r="AA718" s="28"/>
      <c r="AB718" s="28"/>
      <c r="AC718" s="28"/>
      <c r="AD718" s="28"/>
    </row>
    <row r="719" ht="30.0" customHeight="1">
      <c r="A719" s="488"/>
      <c r="B719" s="582"/>
      <c r="C719" s="256"/>
      <c r="D719" s="582"/>
      <c r="E719" s="488"/>
      <c r="F719" s="258"/>
      <c r="G719" s="173"/>
      <c r="H719" s="173"/>
      <c r="I719" s="576"/>
      <c r="J719" s="580"/>
      <c r="K719" s="569" t="str">
        <f t="shared" si="1"/>
        <v/>
      </c>
      <c r="L719" s="572"/>
      <c r="M719" s="173"/>
      <c r="N719" s="173"/>
      <c r="O719" s="173"/>
      <c r="P719" s="573"/>
      <c r="Q719" s="573"/>
      <c r="R719" s="173"/>
      <c r="S719" s="173"/>
      <c r="T719" s="173"/>
      <c r="U719" s="173"/>
      <c r="V719" s="173"/>
      <c r="W719" s="574"/>
      <c r="X719" s="575"/>
      <c r="Y719" s="28"/>
      <c r="Z719" s="543" t="str">
        <f t="array" ref="Z719">IF(LEN(AC719),lower(concatenate("bosvendor-",'2-Building'!B$4,"-",INDEX(D:D, MATCH(AC719, J:J, 0)),INDEX(E:E, MATCH(AC719, J:J, 0)))),"")</f>
        <v/>
      </c>
      <c r="AA719" s="28"/>
      <c r="AB719" s="28"/>
      <c r="AC719" s="28"/>
      <c r="AD719" s="28"/>
    </row>
    <row r="720" ht="30.0" customHeight="1">
      <c r="A720" s="488"/>
      <c r="B720" s="582"/>
      <c r="C720" s="256"/>
      <c r="D720" s="582"/>
      <c r="E720" s="488"/>
      <c r="F720" s="258"/>
      <c r="G720" s="173"/>
      <c r="H720" s="173"/>
      <c r="I720" s="576"/>
      <c r="J720" s="580"/>
      <c r="K720" s="569" t="str">
        <f t="shared" si="1"/>
        <v/>
      </c>
      <c r="L720" s="572"/>
      <c r="M720" s="173"/>
      <c r="N720" s="173"/>
      <c r="O720" s="173"/>
      <c r="P720" s="573"/>
      <c r="Q720" s="573"/>
      <c r="R720" s="173"/>
      <c r="S720" s="173"/>
      <c r="T720" s="173"/>
      <c r="U720" s="173"/>
      <c r="V720" s="173"/>
      <c r="W720" s="574"/>
      <c r="X720" s="575"/>
      <c r="Y720" s="28"/>
      <c r="Z720" s="543" t="str">
        <f t="array" ref="Z720">IF(LEN(AC720),lower(concatenate("bosvendor-",'2-Building'!B$4,"-",INDEX(D:D, MATCH(AC720, J:J, 0)),INDEX(E:E, MATCH(AC720, J:J, 0)))),"")</f>
        <v/>
      </c>
      <c r="AA720" s="28"/>
      <c r="AB720" s="28"/>
      <c r="AC720" s="28"/>
      <c r="AD720" s="28"/>
    </row>
    <row r="721" ht="30.0" customHeight="1">
      <c r="A721" s="488"/>
      <c r="B721" s="582"/>
      <c r="C721" s="256"/>
      <c r="D721" s="582"/>
      <c r="E721" s="488"/>
      <c r="F721" s="258"/>
      <c r="G721" s="173"/>
      <c r="H721" s="173"/>
      <c r="I721" s="576"/>
      <c r="J721" s="580"/>
      <c r="K721" s="569" t="str">
        <f t="shared" si="1"/>
        <v/>
      </c>
      <c r="L721" s="572"/>
      <c r="M721" s="173"/>
      <c r="N721" s="173"/>
      <c r="O721" s="173"/>
      <c r="P721" s="573"/>
      <c r="Q721" s="573"/>
      <c r="R721" s="173"/>
      <c r="S721" s="173"/>
      <c r="T721" s="173"/>
      <c r="U721" s="173"/>
      <c r="V721" s="173"/>
      <c r="W721" s="574"/>
      <c r="X721" s="575"/>
      <c r="Y721" s="28"/>
      <c r="Z721" s="543" t="str">
        <f t="array" ref="Z721">IF(LEN(AC721),lower(concatenate("bosvendor-",'2-Building'!B$4,"-",INDEX(D:D, MATCH(AC721, J:J, 0)),INDEX(E:E, MATCH(AC721, J:J, 0)))),"")</f>
        <v/>
      </c>
      <c r="AA721" s="28"/>
      <c r="AB721" s="28"/>
      <c r="AC721" s="28"/>
      <c r="AD721" s="28"/>
    </row>
    <row r="722" ht="30.0" customHeight="1">
      <c r="A722" s="488"/>
      <c r="B722" s="582"/>
      <c r="C722" s="256"/>
      <c r="D722" s="582"/>
      <c r="E722" s="488"/>
      <c r="F722" s="258"/>
      <c r="G722" s="173"/>
      <c r="H722" s="173"/>
      <c r="I722" s="576"/>
      <c r="J722" s="580"/>
      <c r="K722" s="569" t="str">
        <f t="shared" si="1"/>
        <v/>
      </c>
      <c r="L722" s="572"/>
      <c r="M722" s="173"/>
      <c r="N722" s="173"/>
      <c r="O722" s="173"/>
      <c r="P722" s="573"/>
      <c r="Q722" s="573"/>
      <c r="R722" s="173"/>
      <c r="S722" s="173"/>
      <c r="T722" s="173"/>
      <c r="U722" s="173"/>
      <c r="V722" s="173"/>
      <c r="W722" s="574"/>
      <c r="X722" s="575"/>
      <c r="Y722" s="28"/>
      <c r="Z722" s="543" t="str">
        <f t="array" ref="Z722">IF(LEN(AC722),lower(concatenate("bosvendor-",'2-Building'!B$4,"-",INDEX(D:D, MATCH(AC722, J:J, 0)),INDEX(E:E, MATCH(AC722, J:J, 0)))),"")</f>
        <v/>
      </c>
      <c r="AA722" s="28"/>
      <c r="AB722" s="28"/>
      <c r="AC722" s="28"/>
      <c r="AD722" s="28"/>
    </row>
    <row r="723" ht="30.0" customHeight="1">
      <c r="A723" s="488"/>
      <c r="B723" s="582"/>
      <c r="C723" s="256"/>
      <c r="D723" s="582"/>
      <c r="E723" s="488"/>
      <c r="F723" s="258"/>
      <c r="G723" s="173"/>
      <c r="H723" s="173"/>
      <c r="I723" s="576"/>
      <c r="J723" s="580"/>
      <c r="K723" s="569" t="str">
        <f t="shared" si="1"/>
        <v/>
      </c>
      <c r="L723" s="572"/>
      <c r="M723" s="173"/>
      <c r="N723" s="173"/>
      <c r="O723" s="173"/>
      <c r="P723" s="573"/>
      <c r="Q723" s="573"/>
      <c r="R723" s="173"/>
      <c r="S723" s="173"/>
      <c r="T723" s="173"/>
      <c r="U723" s="173"/>
      <c r="V723" s="173"/>
      <c r="W723" s="574"/>
      <c r="X723" s="575"/>
      <c r="Y723" s="28"/>
      <c r="Z723" s="543" t="str">
        <f t="array" ref="Z723">IF(LEN(AC723),lower(concatenate("bosvendor-",'2-Building'!B$4,"-",INDEX(D:D, MATCH(AC723, J:J, 0)),INDEX(E:E, MATCH(AC723, J:J, 0)))),"")</f>
        <v/>
      </c>
      <c r="AA723" s="28"/>
      <c r="AB723" s="28"/>
      <c r="AC723" s="28"/>
      <c r="AD723" s="28"/>
    </row>
    <row r="724" ht="30.0" customHeight="1">
      <c r="A724" s="488"/>
      <c r="B724" s="582"/>
      <c r="C724" s="256"/>
      <c r="D724" s="582"/>
      <c r="E724" s="488"/>
      <c r="F724" s="258"/>
      <c r="G724" s="173"/>
      <c r="H724" s="173"/>
      <c r="I724" s="576"/>
      <c r="J724" s="580"/>
      <c r="K724" s="569" t="str">
        <f t="shared" si="1"/>
        <v/>
      </c>
      <c r="L724" s="572"/>
      <c r="M724" s="173"/>
      <c r="N724" s="173"/>
      <c r="O724" s="173"/>
      <c r="P724" s="573"/>
      <c r="Q724" s="573"/>
      <c r="R724" s="173"/>
      <c r="S724" s="173"/>
      <c r="T724" s="173"/>
      <c r="U724" s="173"/>
      <c r="V724" s="173"/>
      <c r="W724" s="574"/>
      <c r="X724" s="575"/>
      <c r="Y724" s="28"/>
      <c r="Z724" s="543" t="str">
        <f t="array" ref="Z724">IF(LEN(AC724),lower(concatenate("bosvendor-",'2-Building'!B$4,"-",INDEX(D:D, MATCH(AC724, J:J, 0)),INDEX(E:E, MATCH(AC724, J:J, 0)))),"")</f>
        <v/>
      </c>
      <c r="AA724" s="28"/>
      <c r="AB724" s="28"/>
      <c r="AC724" s="28"/>
      <c r="AD724" s="28"/>
    </row>
    <row r="725" ht="30.0" customHeight="1">
      <c r="A725" s="488"/>
      <c r="B725" s="582"/>
      <c r="C725" s="256"/>
      <c r="D725" s="582"/>
      <c r="E725" s="488"/>
      <c r="F725" s="258"/>
      <c r="G725" s="173"/>
      <c r="H725" s="173"/>
      <c r="I725" s="576"/>
      <c r="J725" s="580"/>
      <c r="K725" s="569" t="str">
        <f t="shared" si="1"/>
        <v/>
      </c>
      <c r="L725" s="572"/>
      <c r="M725" s="173"/>
      <c r="N725" s="173"/>
      <c r="O725" s="173"/>
      <c r="P725" s="573"/>
      <c r="Q725" s="573"/>
      <c r="R725" s="173"/>
      <c r="S725" s="173"/>
      <c r="T725" s="173"/>
      <c r="U725" s="173"/>
      <c r="V725" s="173"/>
      <c r="W725" s="574"/>
      <c r="X725" s="575"/>
      <c r="Y725" s="28"/>
      <c r="Z725" s="543" t="str">
        <f t="array" ref="Z725">IF(LEN(AC725),lower(concatenate("bosvendor-",'2-Building'!B$4,"-",INDEX(D:D, MATCH(AC725, J:J, 0)),INDEX(E:E, MATCH(AC725, J:J, 0)))),"")</f>
        <v/>
      </c>
      <c r="AA725" s="28"/>
      <c r="AB725" s="28"/>
      <c r="AC725" s="28"/>
      <c r="AD725" s="28"/>
    </row>
    <row r="726" ht="30.0" customHeight="1">
      <c r="A726" s="488"/>
      <c r="B726" s="582"/>
      <c r="C726" s="256"/>
      <c r="D726" s="582"/>
      <c r="E726" s="488"/>
      <c r="F726" s="258"/>
      <c r="G726" s="173"/>
      <c r="H726" s="173"/>
      <c r="I726" s="576"/>
      <c r="J726" s="580"/>
      <c r="K726" s="569" t="str">
        <f t="shared" si="1"/>
        <v/>
      </c>
      <c r="L726" s="572"/>
      <c r="M726" s="173"/>
      <c r="N726" s="173"/>
      <c r="O726" s="173"/>
      <c r="P726" s="573"/>
      <c r="Q726" s="573"/>
      <c r="R726" s="173"/>
      <c r="S726" s="173"/>
      <c r="T726" s="173"/>
      <c r="U726" s="173"/>
      <c r="V726" s="173"/>
      <c r="W726" s="574"/>
      <c r="X726" s="575"/>
      <c r="Y726" s="28"/>
      <c r="Z726" s="543" t="str">
        <f t="array" ref="Z726">IF(LEN(AC726),lower(concatenate("bosvendor-",'2-Building'!B$4,"-",INDEX(D:D, MATCH(AC726, J:J, 0)),INDEX(E:E, MATCH(AC726, J:J, 0)))),"")</f>
        <v/>
      </c>
      <c r="AA726" s="28"/>
      <c r="AB726" s="28"/>
      <c r="AC726" s="28"/>
      <c r="AD726" s="28"/>
    </row>
    <row r="727" ht="30.0" customHeight="1">
      <c r="A727" s="488"/>
      <c r="B727" s="582"/>
      <c r="C727" s="256"/>
      <c r="D727" s="582"/>
      <c r="E727" s="488"/>
      <c r="F727" s="258"/>
      <c r="G727" s="173"/>
      <c r="H727" s="173"/>
      <c r="I727" s="576"/>
      <c r="J727" s="580"/>
      <c r="K727" s="569" t="str">
        <f t="shared" si="1"/>
        <v/>
      </c>
      <c r="L727" s="572"/>
      <c r="M727" s="173"/>
      <c r="N727" s="173"/>
      <c r="O727" s="173"/>
      <c r="P727" s="573"/>
      <c r="Q727" s="573"/>
      <c r="R727" s="173"/>
      <c r="S727" s="173"/>
      <c r="T727" s="173"/>
      <c r="U727" s="173"/>
      <c r="V727" s="173"/>
      <c r="W727" s="574"/>
      <c r="X727" s="575"/>
      <c r="Y727" s="28"/>
      <c r="Z727" s="543" t="str">
        <f t="array" ref="Z727">IF(LEN(AC727),lower(concatenate("bosvendor-",'2-Building'!B$4,"-",INDEX(D:D, MATCH(AC727, J:J, 0)),INDEX(E:E, MATCH(AC727, J:J, 0)))),"")</f>
        <v/>
      </c>
      <c r="AA727" s="28"/>
      <c r="AB727" s="28"/>
      <c r="AC727" s="28"/>
      <c r="AD727" s="28"/>
    </row>
    <row r="728" ht="30.0" customHeight="1">
      <c r="A728" s="488"/>
      <c r="B728" s="582"/>
      <c r="C728" s="256"/>
      <c r="D728" s="582"/>
      <c r="E728" s="488"/>
      <c r="F728" s="258"/>
      <c r="G728" s="173"/>
      <c r="H728" s="173"/>
      <c r="I728" s="576"/>
      <c r="J728" s="580"/>
      <c r="K728" s="569" t="str">
        <f t="shared" si="1"/>
        <v/>
      </c>
      <c r="L728" s="572"/>
      <c r="M728" s="173"/>
      <c r="N728" s="173"/>
      <c r="O728" s="173"/>
      <c r="P728" s="573"/>
      <c r="Q728" s="573"/>
      <c r="R728" s="173"/>
      <c r="S728" s="173"/>
      <c r="T728" s="173"/>
      <c r="U728" s="173"/>
      <c r="V728" s="173"/>
      <c r="W728" s="574"/>
      <c r="X728" s="575"/>
      <c r="Y728" s="28"/>
      <c r="Z728" s="543" t="str">
        <f t="array" ref="Z728">IF(LEN(AC728),lower(concatenate("bosvendor-",'2-Building'!B$4,"-",INDEX(D:D, MATCH(AC728, J:J, 0)),INDEX(E:E, MATCH(AC728, J:J, 0)))),"")</f>
        <v/>
      </c>
      <c r="AA728" s="28"/>
      <c r="AB728" s="28"/>
      <c r="AC728" s="28"/>
      <c r="AD728" s="28"/>
    </row>
    <row r="729" ht="30.0" customHeight="1">
      <c r="A729" s="488"/>
      <c r="B729" s="582"/>
      <c r="C729" s="256"/>
      <c r="D729" s="582"/>
      <c r="E729" s="488"/>
      <c r="F729" s="258"/>
      <c r="G729" s="173"/>
      <c r="H729" s="173"/>
      <c r="I729" s="576"/>
      <c r="J729" s="580"/>
      <c r="K729" s="569" t="str">
        <f t="shared" si="1"/>
        <v/>
      </c>
      <c r="L729" s="572"/>
      <c r="M729" s="173"/>
      <c r="N729" s="173"/>
      <c r="O729" s="173"/>
      <c r="P729" s="573"/>
      <c r="Q729" s="573"/>
      <c r="R729" s="173"/>
      <c r="S729" s="173"/>
      <c r="T729" s="173"/>
      <c r="U729" s="173"/>
      <c r="V729" s="173"/>
      <c r="W729" s="574"/>
      <c r="X729" s="575"/>
      <c r="Y729" s="28"/>
      <c r="Z729" s="543" t="str">
        <f t="array" ref="Z729">IF(LEN(AC729),lower(concatenate("bosvendor-",'2-Building'!B$4,"-",INDEX(D:D, MATCH(AC729, J:J, 0)),INDEX(E:E, MATCH(AC729, J:J, 0)))),"")</f>
        <v/>
      </c>
      <c r="AA729" s="28"/>
      <c r="AB729" s="28"/>
      <c r="AC729" s="28"/>
      <c r="AD729" s="28"/>
    </row>
    <row r="730" ht="30.0" customHeight="1">
      <c r="A730" s="488"/>
      <c r="B730" s="582"/>
      <c r="C730" s="256"/>
      <c r="D730" s="582"/>
      <c r="E730" s="488"/>
      <c r="F730" s="258"/>
      <c r="G730" s="173"/>
      <c r="H730" s="173"/>
      <c r="I730" s="576"/>
      <c r="J730" s="580"/>
      <c r="K730" s="569" t="str">
        <f t="shared" si="1"/>
        <v/>
      </c>
      <c r="L730" s="572"/>
      <c r="M730" s="173"/>
      <c r="N730" s="173"/>
      <c r="O730" s="173"/>
      <c r="P730" s="573"/>
      <c r="Q730" s="573"/>
      <c r="R730" s="173"/>
      <c r="S730" s="173"/>
      <c r="T730" s="173"/>
      <c r="U730" s="173"/>
      <c r="V730" s="173"/>
      <c r="W730" s="574"/>
      <c r="X730" s="575"/>
      <c r="Y730" s="28"/>
      <c r="Z730" s="543" t="str">
        <f t="array" ref="Z730">IF(LEN(AC730),lower(concatenate("bosvendor-",'2-Building'!B$4,"-",INDEX(D:D, MATCH(AC730, J:J, 0)),INDEX(E:E, MATCH(AC730, J:J, 0)))),"")</f>
        <v/>
      </c>
      <c r="AA730" s="28"/>
      <c r="AB730" s="28"/>
      <c r="AC730" s="28"/>
      <c r="AD730" s="28"/>
    </row>
    <row r="731" ht="30.0" customHeight="1">
      <c r="A731" s="488"/>
      <c r="B731" s="582"/>
      <c r="C731" s="256"/>
      <c r="D731" s="582"/>
      <c r="E731" s="488"/>
      <c r="F731" s="258"/>
      <c r="G731" s="173"/>
      <c r="H731" s="173"/>
      <c r="I731" s="576"/>
      <c r="J731" s="580"/>
      <c r="K731" s="569" t="str">
        <f t="shared" si="1"/>
        <v/>
      </c>
      <c r="L731" s="572"/>
      <c r="M731" s="173"/>
      <c r="N731" s="173"/>
      <c r="O731" s="173"/>
      <c r="P731" s="573"/>
      <c r="Q731" s="573"/>
      <c r="R731" s="173"/>
      <c r="S731" s="173"/>
      <c r="T731" s="173"/>
      <c r="U731" s="173"/>
      <c r="V731" s="173"/>
      <c r="W731" s="574"/>
      <c r="X731" s="575"/>
      <c r="Y731" s="28"/>
      <c r="Z731" s="543" t="str">
        <f t="array" ref="Z731">IF(LEN(AC731),lower(concatenate("bosvendor-",'2-Building'!B$4,"-",INDEX(D:D, MATCH(AC731, J:J, 0)),INDEX(E:E, MATCH(AC731, J:J, 0)))),"")</f>
        <v/>
      </c>
      <c r="AA731" s="28"/>
      <c r="AB731" s="28"/>
      <c r="AC731" s="28"/>
      <c r="AD731" s="28"/>
    </row>
    <row r="732" ht="30.0" customHeight="1">
      <c r="A732" s="488"/>
      <c r="B732" s="582"/>
      <c r="C732" s="256"/>
      <c r="D732" s="582"/>
      <c r="E732" s="488"/>
      <c r="F732" s="258"/>
      <c r="G732" s="173"/>
      <c r="H732" s="173"/>
      <c r="I732" s="576"/>
      <c r="J732" s="580"/>
      <c r="K732" s="569" t="str">
        <f t="shared" si="1"/>
        <v/>
      </c>
      <c r="L732" s="572"/>
      <c r="M732" s="173"/>
      <c r="N732" s="173"/>
      <c r="O732" s="173"/>
      <c r="P732" s="573"/>
      <c r="Q732" s="573"/>
      <c r="R732" s="173"/>
      <c r="S732" s="173"/>
      <c r="T732" s="173"/>
      <c r="U732" s="173"/>
      <c r="V732" s="173"/>
      <c r="W732" s="574"/>
      <c r="X732" s="575"/>
      <c r="Y732" s="28"/>
      <c r="Z732" s="543" t="str">
        <f t="array" ref="Z732">IF(LEN(AC732),lower(concatenate("bosvendor-",'2-Building'!B$4,"-",INDEX(D:D, MATCH(AC732, J:J, 0)),INDEX(E:E, MATCH(AC732, J:J, 0)))),"")</f>
        <v/>
      </c>
      <c r="AA732" s="28"/>
      <c r="AB732" s="28"/>
      <c r="AC732" s="28"/>
      <c r="AD732" s="28"/>
    </row>
    <row r="733" ht="30.0" customHeight="1">
      <c r="A733" s="488"/>
      <c r="B733" s="582"/>
      <c r="C733" s="256"/>
      <c r="D733" s="582"/>
      <c r="E733" s="488"/>
      <c r="F733" s="258"/>
      <c r="G733" s="173"/>
      <c r="H733" s="173"/>
      <c r="I733" s="576"/>
      <c r="J733" s="580"/>
      <c r="K733" s="569" t="str">
        <f t="shared" si="1"/>
        <v/>
      </c>
      <c r="L733" s="572"/>
      <c r="M733" s="173"/>
      <c r="N733" s="173"/>
      <c r="O733" s="173"/>
      <c r="P733" s="573"/>
      <c r="Q733" s="573"/>
      <c r="R733" s="173"/>
      <c r="S733" s="173"/>
      <c r="T733" s="173"/>
      <c r="U733" s="173"/>
      <c r="V733" s="173"/>
      <c r="W733" s="574"/>
      <c r="X733" s="575"/>
      <c r="Y733" s="28"/>
      <c r="Z733" s="543" t="str">
        <f t="array" ref="Z733">IF(LEN(AC733),lower(concatenate("bosvendor-",'2-Building'!B$4,"-",INDEX(D:D, MATCH(AC733, J:J, 0)),INDEX(E:E, MATCH(AC733, J:J, 0)))),"")</f>
        <v/>
      </c>
      <c r="AA733" s="28"/>
      <c r="AB733" s="28"/>
      <c r="AC733" s="28"/>
      <c r="AD733" s="28"/>
    </row>
    <row r="734" ht="30.0" customHeight="1">
      <c r="A734" s="488"/>
      <c r="B734" s="582"/>
      <c r="C734" s="256"/>
      <c r="D734" s="582"/>
      <c r="E734" s="488"/>
      <c r="F734" s="258"/>
      <c r="G734" s="173"/>
      <c r="H734" s="173"/>
      <c r="I734" s="576"/>
      <c r="J734" s="580"/>
      <c r="K734" s="569" t="str">
        <f t="shared" si="1"/>
        <v/>
      </c>
      <c r="L734" s="572"/>
      <c r="M734" s="173"/>
      <c r="N734" s="173"/>
      <c r="O734" s="173"/>
      <c r="P734" s="573"/>
      <c r="Q734" s="573"/>
      <c r="R734" s="173"/>
      <c r="S734" s="173"/>
      <c r="T734" s="173"/>
      <c r="U734" s="173"/>
      <c r="V734" s="173"/>
      <c r="W734" s="574"/>
      <c r="X734" s="575"/>
      <c r="Y734" s="28"/>
      <c r="Z734" s="543" t="str">
        <f t="array" ref="Z734">IF(LEN(AC734),lower(concatenate("bosvendor-",'2-Building'!B$4,"-",INDEX(D:D, MATCH(AC734, J:J, 0)),INDEX(E:E, MATCH(AC734, J:J, 0)))),"")</f>
        <v/>
      </c>
      <c r="AA734" s="28"/>
      <c r="AB734" s="28"/>
      <c r="AC734" s="28"/>
      <c r="AD734" s="28"/>
    </row>
    <row r="735" ht="30.0" customHeight="1">
      <c r="A735" s="488"/>
      <c r="B735" s="582"/>
      <c r="C735" s="256"/>
      <c r="D735" s="582"/>
      <c r="E735" s="488"/>
      <c r="F735" s="258"/>
      <c r="G735" s="173"/>
      <c r="H735" s="173"/>
      <c r="I735" s="576"/>
      <c r="J735" s="580"/>
      <c r="K735" s="569" t="str">
        <f t="shared" si="1"/>
        <v/>
      </c>
      <c r="L735" s="572"/>
      <c r="M735" s="173"/>
      <c r="N735" s="173"/>
      <c r="O735" s="173"/>
      <c r="P735" s="573"/>
      <c r="Q735" s="573"/>
      <c r="R735" s="173"/>
      <c r="S735" s="173"/>
      <c r="T735" s="173"/>
      <c r="U735" s="173"/>
      <c r="V735" s="173"/>
      <c r="W735" s="574"/>
      <c r="X735" s="575"/>
      <c r="Y735" s="28"/>
      <c r="Z735" s="543" t="str">
        <f t="array" ref="Z735">IF(LEN(AC735),lower(concatenate("bosvendor-",'2-Building'!B$4,"-",INDEX(D:D, MATCH(AC735, J:J, 0)),INDEX(E:E, MATCH(AC735, J:J, 0)))),"")</f>
        <v/>
      </c>
      <c r="AA735" s="28"/>
      <c r="AB735" s="28"/>
      <c r="AC735" s="28"/>
      <c r="AD735" s="28"/>
    </row>
    <row r="736" ht="30.0" customHeight="1">
      <c r="A736" s="488"/>
      <c r="B736" s="582"/>
      <c r="C736" s="256"/>
      <c r="D736" s="582"/>
      <c r="E736" s="488"/>
      <c r="F736" s="258"/>
      <c r="G736" s="173"/>
      <c r="H736" s="173"/>
      <c r="I736" s="576"/>
      <c r="J736" s="580"/>
      <c r="K736" s="569" t="str">
        <f t="shared" si="1"/>
        <v/>
      </c>
      <c r="L736" s="572"/>
      <c r="M736" s="173"/>
      <c r="N736" s="173"/>
      <c r="O736" s="173"/>
      <c r="P736" s="573"/>
      <c r="Q736" s="573"/>
      <c r="R736" s="173"/>
      <c r="S736" s="173"/>
      <c r="T736" s="173"/>
      <c r="U736" s="173"/>
      <c r="V736" s="173"/>
      <c r="W736" s="574"/>
      <c r="X736" s="575"/>
      <c r="Y736" s="28"/>
      <c r="Z736" s="543" t="str">
        <f t="array" ref="Z736">IF(LEN(AC736),lower(concatenate("bosvendor-",'2-Building'!B$4,"-",INDEX(D:D, MATCH(AC736, J:J, 0)),INDEX(E:E, MATCH(AC736, J:J, 0)))),"")</f>
        <v/>
      </c>
      <c r="AA736" s="28"/>
      <c r="AB736" s="28"/>
      <c r="AC736" s="28"/>
      <c r="AD736" s="28"/>
    </row>
    <row r="737" ht="30.0" customHeight="1">
      <c r="A737" s="488"/>
      <c r="B737" s="582"/>
      <c r="C737" s="256"/>
      <c r="D737" s="582"/>
      <c r="E737" s="488"/>
      <c r="F737" s="258"/>
      <c r="G737" s="173"/>
      <c r="H737" s="173"/>
      <c r="I737" s="576"/>
      <c r="J737" s="580"/>
      <c r="K737" s="569" t="str">
        <f t="shared" si="1"/>
        <v/>
      </c>
      <c r="L737" s="572"/>
      <c r="M737" s="173"/>
      <c r="N737" s="173"/>
      <c r="O737" s="173"/>
      <c r="P737" s="573"/>
      <c r="Q737" s="573"/>
      <c r="R737" s="173"/>
      <c r="S737" s="173"/>
      <c r="T737" s="173"/>
      <c r="U737" s="173"/>
      <c r="V737" s="173"/>
      <c r="W737" s="574"/>
      <c r="X737" s="575"/>
      <c r="Y737" s="28"/>
      <c r="Z737" s="543" t="str">
        <f t="array" ref="Z737">IF(LEN(AC737),lower(concatenate("bosvendor-",'2-Building'!B$4,"-",INDEX(D:D, MATCH(AC737, J:J, 0)),INDEX(E:E, MATCH(AC737, J:J, 0)))),"")</f>
        <v/>
      </c>
      <c r="AA737" s="28"/>
      <c r="AB737" s="28"/>
      <c r="AC737" s="28"/>
      <c r="AD737" s="28"/>
    </row>
    <row r="738" ht="30.0" customHeight="1">
      <c r="A738" s="488"/>
      <c r="B738" s="582"/>
      <c r="C738" s="256"/>
      <c r="D738" s="582"/>
      <c r="E738" s="488"/>
      <c r="F738" s="258"/>
      <c r="G738" s="173"/>
      <c r="H738" s="173"/>
      <c r="I738" s="576"/>
      <c r="J738" s="580"/>
      <c r="K738" s="569" t="str">
        <f t="shared" si="1"/>
        <v/>
      </c>
      <c r="L738" s="572"/>
      <c r="M738" s="173"/>
      <c r="N738" s="173"/>
      <c r="O738" s="173"/>
      <c r="P738" s="573"/>
      <c r="Q738" s="573"/>
      <c r="R738" s="173"/>
      <c r="S738" s="173"/>
      <c r="T738" s="173"/>
      <c r="U738" s="173"/>
      <c r="V738" s="173"/>
      <c r="W738" s="574"/>
      <c r="X738" s="575"/>
      <c r="Y738" s="28"/>
      <c r="Z738" s="543" t="str">
        <f t="array" ref="Z738">IF(LEN(AC738),lower(concatenate("bosvendor-",'2-Building'!B$4,"-",INDEX(D:D, MATCH(AC738, J:J, 0)),INDEX(E:E, MATCH(AC738, J:J, 0)))),"")</f>
        <v/>
      </c>
      <c r="AA738" s="28"/>
      <c r="AB738" s="28"/>
      <c r="AC738" s="28"/>
      <c r="AD738" s="28"/>
    </row>
    <row r="739" ht="30.0" customHeight="1">
      <c r="A739" s="488"/>
      <c r="B739" s="582"/>
      <c r="C739" s="256"/>
      <c r="D739" s="582"/>
      <c r="E739" s="488"/>
      <c r="F739" s="258"/>
      <c r="G739" s="173"/>
      <c r="H739" s="173"/>
      <c r="I739" s="576"/>
      <c r="J739" s="580"/>
      <c r="K739" s="569" t="str">
        <f t="shared" si="1"/>
        <v/>
      </c>
      <c r="L739" s="572"/>
      <c r="M739" s="173"/>
      <c r="N739" s="173"/>
      <c r="O739" s="173"/>
      <c r="P739" s="573"/>
      <c r="Q739" s="573"/>
      <c r="R739" s="173"/>
      <c r="S739" s="173"/>
      <c r="T739" s="173"/>
      <c r="U739" s="173"/>
      <c r="V739" s="173"/>
      <c r="W739" s="574"/>
      <c r="X739" s="575"/>
      <c r="Y739" s="28"/>
      <c r="Z739" s="543" t="str">
        <f t="array" ref="Z739">IF(LEN(AC739),lower(concatenate("bosvendor-",'2-Building'!B$4,"-",INDEX(D:D, MATCH(AC739, J:J, 0)),INDEX(E:E, MATCH(AC739, J:J, 0)))),"")</f>
        <v/>
      </c>
      <c r="AA739" s="28"/>
      <c r="AB739" s="28"/>
      <c r="AC739" s="28"/>
      <c r="AD739" s="28"/>
    </row>
    <row r="740" ht="30.0" customHeight="1">
      <c r="A740" s="488"/>
      <c r="B740" s="582"/>
      <c r="C740" s="256"/>
      <c r="D740" s="582"/>
      <c r="E740" s="488"/>
      <c r="F740" s="258"/>
      <c r="G740" s="173"/>
      <c r="H740" s="173"/>
      <c r="I740" s="576"/>
      <c r="J740" s="580"/>
      <c r="K740" s="569" t="str">
        <f t="shared" si="1"/>
        <v/>
      </c>
      <c r="L740" s="572"/>
      <c r="M740" s="173"/>
      <c r="N740" s="173"/>
      <c r="O740" s="173"/>
      <c r="P740" s="573"/>
      <c r="Q740" s="573"/>
      <c r="R740" s="173"/>
      <c r="S740" s="173"/>
      <c r="T740" s="173"/>
      <c r="U740" s="173"/>
      <c r="V740" s="173"/>
      <c r="W740" s="574"/>
      <c r="X740" s="575"/>
      <c r="Y740" s="28"/>
      <c r="Z740" s="543" t="str">
        <f t="array" ref="Z740">IF(LEN(AC740),lower(concatenate("bosvendor-",'2-Building'!B$4,"-",INDEX(D:D, MATCH(AC740, J:J, 0)),INDEX(E:E, MATCH(AC740, J:J, 0)))),"")</f>
        <v/>
      </c>
      <c r="AA740" s="28"/>
      <c r="AB740" s="28"/>
      <c r="AC740" s="28"/>
      <c r="AD740" s="28"/>
    </row>
    <row r="741" ht="30.0" customHeight="1">
      <c r="A741" s="488"/>
      <c r="B741" s="582"/>
      <c r="C741" s="256"/>
      <c r="D741" s="582"/>
      <c r="E741" s="488"/>
      <c r="F741" s="258"/>
      <c r="G741" s="173"/>
      <c r="H741" s="173"/>
      <c r="I741" s="576"/>
      <c r="J741" s="580"/>
      <c r="K741" s="569" t="str">
        <f t="shared" si="1"/>
        <v/>
      </c>
      <c r="L741" s="572"/>
      <c r="M741" s="173"/>
      <c r="N741" s="173"/>
      <c r="O741" s="173"/>
      <c r="P741" s="573"/>
      <c r="Q741" s="573"/>
      <c r="R741" s="173"/>
      <c r="S741" s="173"/>
      <c r="T741" s="173"/>
      <c r="U741" s="173"/>
      <c r="V741" s="173"/>
      <c r="W741" s="574"/>
      <c r="X741" s="575"/>
      <c r="Y741" s="28"/>
      <c r="Z741" s="543" t="str">
        <f t="array" ref="Z741">IF(LEN(AC741),lower(concatenate("bosvendor-",'2-Building'!B$4,"-",INDEX(D:D, MATCH(AC741, J:J, 0)),INDEX(E:E, MATCH(AC741, J:J, 0)))),"")</f>
        <v/>
      </c>
      <c r="AA741" s="28"/>
      <c r="AB741" s="28"/>
      <c r="AC741" s="28"/>
      <c r="AD741" s="28"/>
    </row>
    <row r="742" ht="30.0" customHeight="1">
      <c r="A742" s="488"/>
      <c r="B742" s="582"/>
      <c r="C742" s="256"/>
      <c r="D742" s="582"/>
      <c r="E742" s="488"/>
      <c r="F742" s="258"/>
      <c r="G742" s="173"/>
      <c r="H742" s="173"/>
      <c r="I742" s="576"/>
      <c r="J742" s="580"/>
      <c r="K742" s="569" t="str">
        <f t="shared" si="1"/>
        <v/>
      </c>
      <c r="L742" s="572"/>
      <c r="M742" s="173"/>
      <c r="N742" s="173"/>
      <c r="O742" s="173"/>
      <c r="P742" s="573"/>
      <c r="Q742" s="573"/>
      <c r="R742" s="173"/>
      <c r="S742" s="173"/>
      <c r="T742" s="173"/>
      <c r="U742" s="173"/>
      <c r="V742" s="173"/>
      <c r="W742" s="574"/>
      <c r="X742" s="575"/>
      <c r="Y742" s="28"/>
      <c r="Z742" s="543" t="str">
        <f t="array" ref="Z742">IF(LEN(AC742),lower(concatenate("bosvendor-",'2-Building'!B$4,"-",INDEX(D:D, MATCH(AC742, J:J, 0)),INDEX(E:E, MATCH(AC742, J:J, 0)))),"")</f>
        <v/>
      </c>
      <c r="AA742" s="28"/>
      <c r="AB742" s="28"/>
      <c r="AC742" s="28"/>
      <c r="AD742" s="28"/>
    </row>
    <row r="743" ht="30.0" customHeight="1">
      <c r="A743" s="488"/>
      <c r="B743" s="582"/>
      <c r="C743" s="256"/>
      <c r="D743" s="582"/>
      <c r="E743" s="488"/>
      <c r="F743" s="258"/>
      <c r="G743" s="173"/>
      <c r="H743" s="173"/>
      <c r="I743" s="576"/>
      <c r="J743" s="580"/>
      <c r="K743" s="569" t="str">
        <f t="shared" si="1"/>
        <v/>
      </c>
      <c r="L743" s="572"/>
      <c r="M743" s="173"/>
      <c r="N743" s="173"/>
      <c r="O743" s="173"/>
      <c r="P743" s="573"/>
      <c r="Q743" s="573"/>
      <c r="R743" s="173"/>
      <c r="S743" s="173"/>
      <c r="T743" s="173"/>
      <c r="U743" s="173"/>
      <c r="V743" s="173"/>
      <c r="W743" s="574"/>
      <c r="X743" s="575"/>
      <c r="Y743" s="28"/>
      <c r="Z743" s="543" t="str">
        <f t="array" ref="Z743">IF(LEN(AC743),lower(concatenate("bosvendor-",'2-Building'!B$4,"-",INDEX(D:D, MATCH(AC743, J:J, 0)),INDEX(E:E, MATCH(AC743, J:J, 0)))),"")</f>
        <v/>
      </c>
      <c r="AA743" s="28"/>
      <c r="AB743" s="28"/>
      <c r="AC743" s="28"/>
      <c r="AD743" s="28"/>
    </row>
    <row r="744" ht="30.0" customHeight="1">
      <c r="A744" s="488"/>
      <c r="B744" s="582"/>
      <c r="C744" s="256"/>
      <c r="D744" s="582"/>
      <c r="E744" s="488"/>
      <c r="F744" s="258"/>
      <c r="G744" s="173"/>
      <c r="H744" s="173"/>
      <c r="I744" s="576"/>
      <c r="J744" s="580"/>
      <c r="K744" s="569" t="str">
        <f t="shared" si="1"/>
        <v/>
      </c>
      <c r="L744" s="572"/>
      <c r="M744" s="173"/>
      <c r="N744" s="173"/>
      <c r="O744" s="173"/>
      <c r="P744" s="573"/>
      <c r="Q744" s="573"/>
      <c r="R744" s="173"/>
      <c r="S744" s="173"/>
      <c r="T744" s="173"/>
      <c r="U744" s="173"/>
      <c r="V744" s="173"/>
      <c r="W744" s="574"/>
      <c r="X744" s="575"/>
      <c r="Y744" s="28"/>
      <c r="Z744" s="543" t="str">
        <f t="array" ref="Z744">IF(LEN(AC744),lower(concatenate("bosvendor-",'2-Building'!B$4,"-",INDEX(D:D, MATCH(AC744, J:J, 0)),INDEX(E:E, MATCH(AC744, J:J, 0)))),"")</f>
        <v/>
      </c>
      <c r="AA744" s="28"/>
      <c r="AB744" s="28"/>
      <c r="AC744" s="28"/>
      <c r="AD744" s="28"/>
    </row>
    <row r="745" ht="30.0" customHeight="1">
      <c r="A745" s="488"/>
      <c r="B745" s="582"/>
      <c r="C745" s="256"/>
      <c r="D745" s="582"/>
      <c r="E745" s="488"/>
      <c r="F745" s="258"/>
      <c r="G745" s="173"/>
      <c r="H745" s="173"/>
      <c r="I745" s="576"/>
      <c r="J745" s="580"/>
      <c r="K745" s="569" t="str">
        <f t="shared" si="1"/>
        <v/>
      </c>
      <c r="L745" s="572"/>
      <c r="M745" s="173"/>
      <c r="N745" s="173"/>
      <c r="O745" s="173"/>
      <c r="P745" s="573"/>
      <c r="Q745" s="573"/>
      <c r="R745" s="173"/>
      <c r="S745" s="173"/>
      <c r="T745" s="173"/>
      <c r="U745" s="173"/>
      <c r="V745" s="173"/>
      <c r="W745" s="574"/>
      <c r="X745" s="575"/>
      <c r="Y745" s="28"/>
      <c r="Z745" s="543" t="str">
        <f t="array" ref="Z745">IF(LEN(AC745),lower(concatenate("bosvendor-",'2-Building'!B$4,"-",INDEX(D:D, MATCH(AC745, J:J, 0)),INDEX(E:E, MATCH(AC745, J:J, 0)))),"")</f>
        <v/>
      </c>
      <c r="AA745" s="28"/>
      <c r="AB745" s="28"/>
      <c r="AC745" s="28"/>
      <c r="AD745" s="28"/>
    </row>
    <row r="746" ht="30.0" customHeight="1">
      <c r="A746" s="488"/>
      <c r="B746" s="582"/>
      <c r="C746" s="256"/>
      <c r="D746" s="582"/>
      <c r="E746" s="488"/>
      <c r="F746" s="258"/>
      <c r="G746" s="173"/>
      <c r="H746" s="173"/>
      <c r="I746" s="576"/>
      <c r="J746" s="580"/>
      <c r="K746" s="569" t="str">
        <f t="shared" si="1"/>
        <v/>
      </c>
      <c r="L746" s="572"/>
      <c r="M746" s="173"/>
      <c r="N746" s="173"/>
      <c r="O746" s="173"/>
      <c r="P746" s="573"/>
      <c r="Q746" s="573"/>
      <c r="R746" s="173"/>
      <c r="S746" s="173"/>
      <c r="T746" s="173"/>
      <c r="U746" s="173"/>
      <c r="V746" s="173"/>
      <c r="W746" s="574"/>
      <c r="X746" s="575"/>
      <c r="Y746" s="28"/>
      <c r="Z746" s="543" t="str">
        <f t="array" ref="Z746">IF(LEN(AC746),lower(concatenate("bosvendor-",'2-Building'!B$4,"-",INDEX(D:D, MATCH(AC746, J:J, 0)),INDEX(E:E, MATCH(AC746, J:J, 0)))),"")</f>
        <v/>
      </c>
      <c r="AA746" s="28"/>
      <c r="AB746" s="28"/>
      <c r="AC746" s="28"/>
      <c r="AD746" s="28"/>
    </row>
    <row r="747" ht="30.0" customHeight="1">
      <c r="A747" s="488"/>
      <c r="B747" s="582"/>
      <c r="C747" s="256"/>
      <c r="D747" s="582"/>
      <c r="E747" s="488"/>
      <c r="F747" s="258"/>
      <c r="G747" s="173"/>
      <c r="H747" s="173"/>
      <c r="I747" s="576"/>
      <c r="J747" s="580"/>
      <c r="K747" s="569" t="str">
        <f t="shared" si="1"/>
        <v/>
      </c>
      <c r="L747" s="572"/>
      <c r="M747" s="173"/>
      <c r="N747" s="173"/>
      <c r="O747" s="173"/>
      <c r="P747" s="573"/>
      <c r="Q747" s="573"/>
      <c r="R747" s="173"/>
      <c r="S747" s="173"/>
      <c r="T747" s="173"/>
      <c r="U747" s="173"/>
      <c r="V747" s="173"/>
      <c r="W747" s="574"/>
      <c r="X747" s="575"/>
      <c r="Y747" s="28"/>
      <c r="Z747" s="543" t="str">
        <f t="array" ref="Z747">IF(LEN(AC747),lower(concatenate("bosvendor-",'2-Building'!B$4,"-",INDEX(D:D, MATCH(AC747, J:J, 0)),INDEX(E:E, MATCH(AC747, J:J, 0)))),"")</f>
        <v/>
      </c>
      <c r="AA747" s="28"/>
      <c r="AB747" s="28"/>
      <c r="AC747" s="28"/>
      <c r="AD747" s="28"/>
    </row>
    <row r="748" ht="30.0" customHeight="1">
      <c r="A748" s="488"/>
      <c r="B748" s="582"/>
      <c r="C748" s="256"/>
      <c r="D748" s="582"/>
      <c r="E748" s="488"/>
      <c r="F748" s="258"/>
      <c r="G748" s="173"/>
      <c r="H748" s="173"/>
      <c r="I748" s="576"/>
      <c r="J748" s="580"/>
      <c r="K748" s="569" t="str">
        <f t="shared" si="1"/>
        <v/>
      </c>
      <c r="L748" s="572"/>
      <c r="M748" s="173"/>
      <c r="N748" s="173"/>
      <c r="O748" s="173"/>
      <c r="P748" s="573"/>
      <c r="Q748" s="573"/>
      <c r="R748" s="173"/>
      <c r="S748" s="173"/>
      <c r="T748" s="173"/>
      <c r="U748" s="173"/>
      <c r="V748" s="173"/>
      <c r="W748" s="574"/>
      <c r="X748" s="575"/>
      <c r="Y748" s="28"/>
      <c r="Z748" s="543" t="str">
        <f t="array" ref="Z748">IF(LEN(AC748),lower(concatenate("bosvendor-",'2-Building'!B$4,"-",INDEX(D:D, MATCH(AC748, J:J, 0)),INDEX(E:E, MATCH(AC748, J:J, 0)))),"")</f>
        <v/>
      </c>
      <c r="AA748" s="28"/>
      <c r="AB748" s="28"/>
      <c r="AC748" s="28"/>
      <c r="AD748" s="28"/>
    </row>
    <row r="749" ht="30.0" customHeight="1">
      <c r="A749" s="488"/>
      <c r="B749" s="582"/>
      <c r="C749" s="256"/>
      <c r="D749" s="582"/>
      <c r="E749" s="488"/>
      <c r="F749" s="258"/>
      <c r="G749" s="173"/>
      <c r="H749" s="173"/>
      <c r="I749" s="576"/>
      <c r="J749" s="580"/>
      <c r="K749" s="569" t="str">
        <f t="shared" si="1"/>
        <v/>
      </c>
      <c r="L749" s="572"/>
      <c r="M749" s="173"/>
      <c r="N749" s="173"/>
      <c r="O749" s="173"/>
      <c r="P749" s="573"/>
      <c r="Q749" s="573"/>
      <c r="R749" s="173"/>
      <c r="S749" s="173"/>
      <c r="T749" s="173"/>
      <c r="U749" s="173"/>
      <c r="V749" s="173"/>
      <c r="W749" s="574"/>
      <c r="X749" s="575"/>
      <c r="Y749" s="28"/>
      <c r="Z749" s="543" t="str">
        <f t="array" ref="Z749">IF(LEN(AC749),lower(concatenate("bosvendor-",'2-Building'!B$4,"-",INDEX(D:D, MATCH(AC749, J:J, 0)),INDEX(E:E, MATCH(AC749, J:J, 0)))),"")</f>
        <v/>
      </c>
      <c r="AA749" s="28"/>
      <c r="AB749" s="28"/>
      <c r="AC749" s="28"/>
      <c r="AD749" s="28"/>
    </row>
    <row r="750" ht="30.0" customHeight="1">
      <c r="A750" s="488"/>
      <c r="B750" s="582"/>
      <c r="C750" s="256"/>
      <c r="D750" s="582"/>
      <c r="E750" s="488"/>
      <c r="F750" s="258"/>
      <c r="G750" s="173"/>
      <c r="H750" s="173"/>
      <c r="I750" s="576"/>
      <c r="J750" s="580"/>
      <c r="K750" s="569" t="str">
        <f t="shared" si="1"/>
        <v/>
      </c>
      <c r="L750" s="572"/>
      <c r="M750" s="173"/>
      <c r="N750" s="173"/>
      <c r="O750" s="173"/>
      <c r="P750" s="573"/>
      <c r="Q750" s="573"/>
      <c r="R750" s="173"/>
      <c r="S750" s="173"/>
      <c r="T750" s="173"/>
      <c r="U750" s="173"/>
      <c r="V750" s="173"/>
      <c r="W750" s="574"/>
      <c r="X750" s="575"/>
      <c r="Y750" s="28"/>
      <c r="Z750" s="543" t="str">
        <f t="array" ref="Z750">IF(LEN(AC750),lower(concatenate("bosvendor-",'2-Building'!B$4,"-",INDEX(D:D, MATCH(AC750, J:J, 0)),INDEX(E:E, MATCH(AC750, J:J, 0)))),"")</f>
        <v/>
      </c>
      <c r="AA750" s="28"/>
      <c r="AB750" s="28"/>
      <c r="AC750" s="28"/>
      <c r="AD750" s="28"/>
    </row>
    <row r="751" ht="30.0" customHeight="1">
      <c r="A751" s="488"/>
      <c r="B751" s="582"/>
      <c r="C751" s="256"/>
      <c r="D751" s="582"/>
      <c r="E751" s="488"/>
      <c r="F751" s="258"/>
      <c r="G751" s="173"/>
      <c r="H751" s="173"/>
      <c r="I751" s="576"/>
      <c r="J751" s="580"/>
      <c r="K751" s="569" t="str">
        <f t="shared" si="1"/>
        <v/>
      </c>
      <c r="L751" s="572"/>
      <c r="M751" s="173"/>
      <c r="N751" s="173"/>
      <c r="O751" s="173"/>
      <c r="P751" s="573"/>
      <c r="Q751" s="573"/>
      <c r="R751" s="173"/>
      <c r="S751" s="173"/>
      <c r="T751" s="173"/>
      <c r="U751" s="173"/>
      <c r="V751" s="173"/>
      <c r="W751" s="574"/>
      <c r="X751" s="575"/>
      <c r="Y751" s="28"/>
      <c r="Z751" s="543" t="str">
        <f t="array" ref="Z751">IF(LEN(AC751),lower(concatenate("bosvendor-",'2-Building'!B$4,"-",INDEX(D:D, MATCH(AC751, J:J, 0)),INDEX(E:E, MATCH(AC751, J:J, 0)))),"")</f>
        <v/>
      </c>
      <c r="AA751" s="28"/>
      <c r="AB751" s="28"/>
      <c r="AC751" s="28"/>
      <c r="AD751" s="28"/>
    </row>
    <row r="752" ht="30.0" customHeight="1">
      <c r="A752" s="488"/>
      <c r="B752" s="582"/>
      <c r="C752" s="256"/>
      <c r="D752" s="582"/>
      <c r="E752" s="488"/>
      <c r="F752" s="258"/>
      <c r="G752" s="173"/>
      <c r="H752" s="173"/>
      <c r="I752" s="576"/>
      <c r="J752" s="580"/>
      <c r="K752" s="569" t="str">
        <f t="shared" si="1"/>
        <v/>
      </c>
      <c r="L752" s="572"/>
      <c r="M752" s="173"/>
      <c r="N752" s="173"/>
      <c r="O752" s="173"/>
      <c r="P752" s="573"/>
      <c r="Q752" s="573"/>
      <c r="R752" s="173"/>
      <c r="S752" s="173"/>
      <c r="T752" s="173"/>
      <c r="U752" s="173"/>
      <c r="V752" s="173"/>
      <c r="W752" s="574"/>
      <c r="X752" s="575"/>
      <c r="Y752" s="28"/>
      <c r="Z752" s="543" t="str">
        <f t="array" ref="Z752">IF(LEN(AC752),lower(concatenate("bosvendor-",'2-Building'!B$4,"-",INDEX(D:D, MATCH(AC752, J:J, 0)),INDEX(E:E, MATCH(AC752, J:J, 0)))),"")</f>
        <v/>
      </c>
      <c r="AA752" s="28"/>
      <c r="AB752" s="28"/>
      <c r="AC752" s="28"/>
      <c r="AD752" s="28"/>
    </row>
    <row r="753" ht="30.0" customHeight="1">
      <c r="A753" s="488"/>
      <c r="B753" s="582"/>
      <c r="C753" s="256"/>
      <c r="D753" s="582"/>
      <c r="E753" s="488"/>
      <c r="F753" s="258"/>
      <c r="G753" s="173"/>
      <c r="H753" s="173"/>
      <c r="I753" s="576"/>
      <c r="J753" s="580"/>
      <c r="K753" s="569" t="str">
        <f t="shared" si="1"/>
        <v/>
      </c>
      <c r="L753" s="572"/>
      <c r="M753" s="173"/>
      <c r="N753" s="173"/>
      <c r="O753" s="173"/>
      <c r="P753" s="573"/>
      <c r="Q753" s="573"/>
      <c r="R753" s="173"/>
      <c r="S753" s="173"/>
      <c r="T753" s="173"/>
      <c r="U753" s="173"/>
      <c r="V753" s="173"/>
      <c r="W753" s="574"/>
      <c r="X753" s="575"/>
      <c r="Y753" s="28"/>
      <c r="Z753" s="543" t="str">
        <f t="array" ref="Z753">IF(LEN(AC753),lower(concatenate("bosvendor-",'2-Building'!B$4,"-",INDEX(D:D, MATCH(AC753, J:J, 0)),INDEX(E:E, MATCH(AC753, J:J, 0)))),"")</f>
        <v/>
      </c>
      <c r="AA753" s="28"/>
      <c r="AB753" s="28"/>
      <c r="AC753" s="28"/>
      <c r="AD753" s="28"/>
    </row>
    <row r="754" ht="30.0" customHeight="1">
      <c r="A754" s="488"/>
      <c r="B754" s="582"/>
      <c r="C754" s="256"/>
      <c r="D754" s="582"/>
      <c r="E754" s="488"/>
      <c r="F754" s="258"/>
      <c r="G754" s="173"/>
      <c r="H754" s="173"/>
      <c r="I754" s="576"/>
      <c r="J754" s="580"/>
      <c r="K754" s="569" t="str">
        <f t="shared" si="1"/>
        <v/>
      </c>
      <c r="L754" s="572"/>
      <c r="M754" s="173"/>
      <c r="N754" s="173"/>
      <c r="O754" s="173"/>
      <c r="P754" s="573"/>
      <c r="Q754" s="573"/>
      <c r="R754" s="173"/>
      <c r="S754" s="173"/>
      <c r="T754" s="173"/>
      <c r="U754" s="173"/>
      <c r="V754" s="173"/>
      <c r="W754" s="574"/>
      <c r="X754" s="575"/>
      <c r="Y754" s="28"/>
      <c r="Z754" s="543" t="str">
        <f t="array" ref="Z754">IF(LEN(AC754),lower(concatenate("bosvendor-",'2-Building'!B$4,"-",INDEX(D:D, MATCH(AC754, J:J, 0)),INDEX(E:E, MATCH(AC754, J:J, 0)))),"")</f>
        <v/>
      </c>
      <c r="AA754" s="28"/>
      <c r="AB754" s="28"/>
      <c r="AC754" s="28"/>
      <c r="AD754" s="28"/>
    </row>
    <row r="755" ht="30.0" customHeight="1">
      <c r="A755" s="488"/>
      <c r="B755" s="582"/>
      <c r="C755" s="256"/>
      <c r="D755" s="582"/>
      <c r="E755" s="488"/>
      <c r="F755" s="258"/>
      <c r="G755" s="173"/>
      <c r="H755" s="173"/>
      <c r="I755" s="576"/>
      <c r="J755" s="580"/>
      <c r="K755" s="569" t="str">
        <f t="shared" si="1"/>
        <v/>
      </c>
      <c r="L755" s="572"/>
      <c r="M755" s="173"/>
      <c r="N755" s="173"/>
      <c r="O755" s="173"/>
      <c r="P755" s="573"/>
      <c r="Q755" s="573"/>
      <c r="R755" s="173"/>
      <c r="S755" s="173"/>
      <c r="T755" s="173"/>
      <c r="U755" s="173"/>
      <c r="V755" s="173"/>
      <c r="W755" s="574"/>
      <c r="X755" s="575"/>
      <c r="Y755" s="28"/>
      <c r="Z755" s="543" t="str">
        <f t="array" ref="Z755">IF(LEN(AC755),lower(concatenate("bosvendor-",'2-Building'!B$4,"-",INDEX(D:D, MATCH(AC755, J:J, 0)),INDEX(E:E, MATCH(AC755, J:J, 0)))),"")</f>
        <v/>
      </c>
      <c r="AA755" s="28"/>
      <c r="AB755" s="28"/>
      <c r="AC755" s="28"/>
      <c r="AD755" s="28"/>
    </row>
    <row r="756" ht="30.0" customHeight="1">
      <c r="A756" s="488"/>
      <c r="B756" s="582"/>
      <c r="C756" s="256"/>
      <c r="D756" s="582"/>
      <c r="E756" s="488"/>
      <c r="F756" s="258"/>
      <c r="G756" s="173"/>
      <c r="H756" s="173"/>
      <c r="I756" s="576"/>
      <c r="J756" s="580"/>
      <c r="K756" s="569" t="str">
        <f t="shared" si="1"/>
        <v/>
      </c>
      <c r="L756" s="572"/>
      <c r="M756" s="173"/>
      <c r="N756" s="173"/>
      <c r="O756" s="173"/>
      <c r="P756" s="573"/>
      <c r="Q756" s="573"/>
      <c r="R756" s="173"/>
      <c r="S756" s="173"/>
      <c r="T756" s="173"/>
      <c r="U756" s="173"/>
      <c r="V756" s="173"/>
      <c r="W756" s="574"/>
      <c r="X756" s="575"/>
      <c r="Y756" s="28"/>
      <c r="Z756" s="543" t="str">
        <f t="array" ref="Z756">IF(LEN(AC756),lower(concatenate("bosvendor-",'2-Building'!B$4,"-",INDEX(D:D, MATCH(AC756, J:J, 0)),INDEX(E:E, MATCH(AC756, J:J, 0)))),"")</f>
        <v/>
      </c>
      <c r="AA756" s="28"/>
      <c r="AB756" s="28"/>
      <c r="AC756" s="28"/>
      <c r="AD756" s="28"/>
    </row>
    <row r="757" ht="30.0" customHeight="1">
      <c r="A757" s="488"/>
      <c r="B757" s="582"/>
      <c r="C757" s="256"/>
      <c r="D757" s="582"/>
      <c r="E757" s="488"/>
      <c r="F757" s="258"/>
      <c r="G757" s="173"/>
      <c r="H757" s="173"/>
      <c r="I757" s="576"/>
      <c r="J757" s="580"/>
      <c r="K757" s="569" t="str">
        <f t="shared" si="1"/>
        <v/>
      </c>
      <c r="L757" s="572"/>
      <c r="M757" s="173"/>
      <c r="N757" s="173"/>
      <c r="O757" s="173"/>
      <c r="P757" s="573"/>
      <c r="Q757" s="573"/>
      <c r="R757" s="173"/>
      <c r="S757" s="173"/>
      <c r="T757" s="173"/>
      <c r="U757" s="173"/>
      <c r="V757" s="173"/>
      <c r="W757" s="574"/>
      <c r="X757" s="575"/>
      <c r="Y757" s="28"/>
      <c r="Z757" s="543" t="str">
        <f t="array" ref="Z757">IF(LEN(AC757),lower(concatenate("bosvendor-",'2-Building'!B$4,"-",INDEX(D:D, MATCH(AC757, J:J, 0)),INDEX(E:E, MATCH(AC757, J:J, 0)))),"")</f>
        <v/>
      </c>
      <c r="AA757" s="28"/>
      <c r="AB757" s="28"/>
      <c r="AC757" s="28"/>
      <c r="AD757" s="28"/>
    </row>
    <row r="758" ht="30.0" customHeight="1">
      <c r="A758" s="488"/>
      <c r="B758" s="582"/>
      <c r="C758" s="256"/>
      <c r="D758" s="582"/>
      <c r="E758" s="488"/>
      <c r="F758" s="258"/>
      <c r="G758" s="173"/>
      <c r="H758" s="173"/>
      <c r="I758" s="576"/>
      <c r="J758" s="580"/>
      <c r="K758" s="569" t="str">
        <f t="shared" si="1"/>
        <v/>
      </c>
      <c r="L758" s="572"/>
      <c r="M758" s="173"/>
      <c r="N758" s="173"/>
      <c r="O758" s="173"/>
      <c r="P758" s="573"/>
      <c r="Q758" s="573"/>
      <c r="R758" s="173"/>
      <c r="S758" s="173"/>
      <c r="T758" s="173"/>
      <c r="U758" s="173"/>
      <c r="V758" s="173"/>
      <c r="W758" s="574"/>
      <c r="X758" s="575"/>
      <c r="Y758" s="28"/>
      <c r="Z758" s="543" t="str">
        <f t="array" ref="Z758">IF(LEN(AC758),lower(concatenate("bosvendor-",'2-Building'!B$4,"-",INDEX(D:D, MATCH(AC758, J:J, 0)),INDEX(E:E, MATCH(AC758, J:J, 0)))),"")</f>
        <v/>
      </c>
      <c r="AA758" s="28"/>
      <c r="AB758" s="28"/>
      <c r="AC758" s="28"/>
      <c r="AD758" s="28"/>
    </row>
    <row r="759" ht="30.0" customHeight="1">
      <c r="A759" s="488"/>
      <c r="B759" s="582"/>
      <c r="C759" s="256"/>
      <c r="D759" s="582"/>
      <c r="E759" s="488"/>
      <c r="F759" s="258"/>
      <c r="G759" s="173"/>
      <c r="H759" s="173"/>
      <c r="I759" s="576"/>
      <c r="J759" s="580"/>
      <c r="K759" s="569" t="str">
        <f t="shared" si="1"/>
        <v/>
      </c>
      <c r="L759" s="572"/>
      <c r="M759" s="173"/>
      <c r="N759" s="173"/>
      <c r="O759" s="173"/>
      <c r="P759" s="573"/>
      <c r="Q759" s="573"/>
      <c r="R759" s="173"/>
      <c r="S759" s="173"/>
      <c r="T759" s="173"/>
      <c r="U759" s="173"/>
      <c r="V759" s="173"/>
      <c r="W759" s="574"/>
      <c r="X759" s="575"/>
      <c r="Y759" s="28"/>
      <c r="Z759" s="543" t="str">
        <f t="array" ref="Z759">IF(LEN(AC759),lower(concatenate("bosvendor-",'2-Building'!B$4,"-",INDEX(D:D, MATCH(AC759, J:J, 0)),INDEX(E:E, MATCH(AC759, J:J, 0)))),"")</f>
        <v/>
      </c>
      <c r="AA759" s="28"/>
      <c r="AB759" s="28"/>
      <c r="AC759" s="28"/>
      <c r="AD759" s="28"/>
    </row>
    <row r="760" ht="30.0" customHeight="1">
      <c r="A760" s="488"/>
      <c r="B760" s="582"/>
      <c r="C760" s="256"/>
      <c r="D760" s="582"/>
      <c r="E760" s="488"/>
      <c r="F760" s="258"/>
      <c r="G760" s="173"/>
      <c r="H760" s="173"/>
      <c r="I760" s="576"/>
      <c r="J760" s="580"/>
      <c r="K760" s="569" t="str">
        <f t="shared" si="1"/>
        <v/>
      </c>
      <c r="L760" s="572"/>
      <c r="M760" s="173"/>
      <c r="N760" s="173"/>
      <c r="O760" s="173"/>
      <c r="P760" s="573"/>
      <c r="Q760" s="573"/>
      <c r="R760" s="173"/>
      <c r="S760" s="173"/>
      <c r="T760" s="173"/>
      <c r="U760" s="173"/>
      <c r="V760" s="173"/>
      <c r="W760" s="574"/>
      <c r="X760" s="575"/>
      <c r="Y760" s="28"/>
      <c r="Z760" s="543" t="str">
        <f t="array" ref="Z760">IF(LEN(AC760),lower(concatenate("bosvendor-",'2-Building'!B$4,"-",INDEX(D:D, MATCH(AC760, J:J, 0)),INDEX(E:E, MATCH(AC760, J:J, 0)))),"")</f>
        <v/>
      </c>
      <c r="AA760" s="28"/>
      <c r="AB760" s="28"/>
      <c r="AC760" s="28"/>
      <c r="AD760" s="28"/>
    </row>
    <row r="761" ht="30.0" customHeight="1">
      <c r="A761" s="488"/>
      <c r="B761" s="582"/>
      <c r="C761" s="256"/>
      <c r="D761" s="582"/>
      <c r="E761" s="488"/>
      <c r="F761" s="258"/>
      <c r="G761" s="173"/>
      <c r="H761" s="173"/>
      <c r="I761" s="576"/>
      <c r="J761" s="580"/>
      <c r="K761" s="569" t="str">
        <f t="shared" si="1"/>
        <v/>
      </c>
      <c r="L761" s="572"/>
      <c r="M761" s="173"/>
      <c r="N761" s="173"/>
      <c r="O761" s="173"/>
      <c r="P761" s="573"/>
      <c r="Q761" s="573"/>
      <c r="R761" s="173"/>
      <c r="S761" s="173"/>
      <c r="T761" s="173"/>
      <c r="U761" s="173"/>
      <c r="V761" s="173"/>
      <c r="W761" s="574"/>
      <c r="X761" s="575"/>
      <c r="Y761" s="28"/>
      <c r="Z761" s="543" t="str">
        <f t="array" ref="Z761">IF(LEN(AC761),lower(concatenate("bosvendor-",'2-Building'!B$4,"-",INDEX(D:D, MATCH(AC761, J:J, 0)),INDEX(E:E, MATCH(AC761, J:J, 0)))),"")</f>
        <v/>
      </c>
      <c r="AA761" s="28"/>
      <c r="AB761" s="28"/>
      <c r="AC761" s="28"/>
      <c r="AD761" s="28"/>
    </row>
    <row r="762" ht="30.0" customHeight="1">
      <c r="A762" s="488"/>
      <c r="B762" s="582"/>
      <c r="C762" s="256"/>
      <c r="D762" s="582"/>
      <c r="E762" s="488"/>
      <c r="F762" s="258"/>
      <c r="G762" s="173"/>
      <c r="H762" s="173"/>
      <c r="I762" s="576"/>
      <c r="J762" s="580"/>
      <c r="K762" s="569" t="str">
        <f t="shared" si="1"/>
        <v/>
      </c>
      <c r="L762" s="572"/>
      <c r="M762" s="173"/>
      <c r="N762" s="173"/>
      <c r="O762" s="173"/>
      <c r="P762" s="573"/>
      <c r="Q762" s="573"/>
      <c r="R762" s="173"/>
      <c r="S762" s="173"/>
      <c r="T762" s="173"/>
      <c r="U762" s="173"/>
      <c r="V762" s="173"/>
      <c r="W762" s="574"/>
      <c r="X762" s="575"/>
      <c r="Y762" s="28"/>
      <c r="Z762" s="543" t="str">
        <f t="array" ref="Z762">IF(LEN(AC762),lower(concatenate("bosvendor-",'2-Building'!B$4,"-",INDEX(D:D, MATCH(AC762, J:J, 0)),INDEX(E:E, MATCH(AC762, J:J, 0)))),"")</f>
        <v/>
      </c>
      <c r="AA762" s="28"/>
      <c r="AB762" s="28"/>
      <c r="AC762" s="28"/>
      <c r="AD762" s="28"/>
    </row>
    <row r="763" ht="30.0" customHeight="1">
      <c r="A763" s="488"/>
      <c r="B763" s="582"/>
      <c r="C763" s="256"/>
      <c r="D763" s="582"/>
      <c r="E763" s="488"/>
      <c r="F763" s="258"/>
      <c r="G763" s="173"/>
      <c r="H763" s="173"/>
      <c r="I763" s="576"/>
      <c r="J763" s="580"/>
      <c r="K763" s="569" t="str">
        <f t="shared" si="1"/>
        <v/>
      </c>
      <c r="L763" s="572"/>
      <c r="M763" s="173"/>
      <c r="N763" s="173"/>
      <c r="O763" s="173"/>
      <c r="P763" s="573"/>
      <c r="Q763" s="573"/>
      <c r="R763" s="173"/>
      <c r="S763" s="173"/>
      <c r="T763" s="173"/>
      <c r="U763" s="173"/>
      <c r="V763" s="173"/>
      <c r="W763" s="574"/>
      <c r="X763" s="575"/>
      <c r="Y763" s="28"/>
      <c r="Z763" s="543" t="str">
        <f t="array" ref="Z763">IF(LEN(AC763),lower(concatenate("bosvendor-",'2-Building'!B$4,"-",INDEX(D:D, MATCH(AC763, J:J, 0)),INDEX(E:E, MATCH(AC763, J:J, 0)))),"")</f>
        <v/>
      </c>
      <c r="AA763" s="28"/>
      <c r="AB763" s="28"/>
      <c r="AC763" s="28"/>
      <c r="AD763" s="28"/>
    </row>
    <row r="764" ht="30.0" customHeight="1">
      <c r="A764" s="488"/>
      <c r="B764" s="582"/>
      <c r="C764" s="256"/>
      <c r="D764" s="582"/>
      <c r="E764" s="488"/>
      <c r="F764" s="258"/>
      <c r="G764" s="173"/>
      <c r="H764" s="173"/>
      <c r="I764" s="576"/>
      <c r="J764" s="580"/>
      <c r="K764" s="569" t="str">
        <f t="shared" si="1"/>
        <v/>
      </c>
      <c r="L764" s="572"/>
      <c r="M764" s="173"/>
      <c r="N764" s="173"/>
      <c r="O764" s="173"/>
      <c r="P764" s="573"/>
      <c r="Q764" s="573"/>
      <c r="R764" s="173"/>
      <c r="S764" s="173"/>
      <c r="T764" s="173"/>
      <c r="U764" s="173"/>
      <c r="V764" s="173"/>
      <c r="W764" s="574"/>
      <c r="X764" s="575"/>
      <c r="Y764" s="28"/>
      <c r="Z764" s="543" t="str">
        <f t="array" ref="Z764">IF(LEN(AC764),lower(concatenate("bosvendor-",'2-Building'!B$4,"-",INDEX(D:D, MATCH(AC764, J:J, 0)),INDEX(E:E, MATCH(AC764, J:J, 0)))),"")</f>
        <v/>
      </c>
      <c r="AA764" s="28"/>
      <c r="AB764" s="28"/>
      <c r="AC764" s="28"/>
      <c r="AD764" s="28"/>
    </row>
    <row r="765" ht="30.0" customHeight="1">
      <c r="A765" s="488"/>
      <c r="B765" s="582"/>
      <c r="C765" s="256"/>
      <c r="D765" s="582"/>
      <c r="E765" s="488"/>
      <c r="F765" s="258"/>
      <c r="G765" s="173"/>
      <c r="H765" s="173"/>
      <c r="I765" s="576"/>
      <c r="J765" s="580"/>
      <c r="K765" s="569" t="str">
        <f t="shared" si="1"/>
        <v/>
      </c>
      <c r="L765" s="572"/>
      <c r="M765" s="173"/>
      <c r="N765" s="173"/>
      <c r="O765" s="173"/>
      <c r="P765" s="573"/>
      <c r="Q765" s="573"/>
      <c r="R765" s="173"/>
      <c r="S765" s="173"/>
      <c r="T765" s="173"/>
      <c r="U765" s="173"/>
      <c r="V765" s="173"/>
      <c r="W765" s="574"/>
      <c r="X765" s="575"/>
      <c r="Y765" s="28"/>
      <c r="Z765" s="543" t="str">
        <f t="array" ref="Z765">IF(LEN(AC765),lower(concatenate("bosvendor-",'2-Building'!B$4,"-",INDEX(D:D, MATCH(AC765, J:J, 0)),INDEX(E:E, MATCH(AC765, J:J, 0)))),"")</f>
        <v/>
      </c>
      <c r="AA765" s="28"/>
      <c r="AB765" s="28"/>
      <c r="AC765" s="28"/>
      <c r="AD765" s="28"/>
    </row>
    <row r="766" ht="30.0" customHeight="1">
      <c r="A766" s="488"/>
      <c r="B766" s="582"/>
      <c r="C766" s="256"/>
      <c r="D766" s="582"/>
      <c r="E766" s="488"/>
      <c r="F766" s="258"/>
      <c r="G766" s="173"/>
      <c r="H766" s="173"/>
      <c r="I766" s="576"/>
      <c r="J766" s="580"/>
      <c r="K766" s="569" t="str">
        <f t="shared" si="1"/>
        <v/>
      </c>
      <c r="L766" s="572"/>
      <c r="M766" s="173"/>
      <c r="N766" s="173"/>
      <c r="O766" s="173"/>
      <c r="P766" s="573"/>
      <c r="Q766" s="573"/>
      <c r="R766" s="173"/>
      <c r="S766" s="173"/>
      <c r="T766" s="173"/>
      <c r="U766" s="173"/>
      <c r="V766" s="173"/>
      <c r="W766" s="574"/>
      <c r="X766" s="575"/>
      <c r="Y766" s="28"/>
      <c r="Z766" s="543" t="str">
        <f t="array" ref="Z766">IF(LEN(AC766),lower(concatenate("bosvendor-",'2-Building'!B$4,"-",INDEX(D:D, MATCH(AC766, J:J, 0)),INDEX(E:E, MATCH(AC766, J:J, 0)))),"")</f>
        <v/>
      </c>
      <c r="AA766" s="28"/>
      <c r="AB766" s="28"/>
      <c r="AC766" s="28"/>
      <c r="AD766" s="28"/>
    </row>
    <row r="767" ht="30.0" customHeight="1">
      <c r="A767" s="488"/>
      <c r="B767" s="582"/>
      <c r="C767" s="256"/>
      <c r="D767" s="582"/>
      <c r="E767" s="488"/>
      <c r="F767" s="258"/>
      <c r="G767" s="173"/>
      <c r="H767" s="173"/>
      <c r="I767" s="576"/>
      <c r="J767" s="580"/>
      <c r="K767" s="569" t="str">
        <f t="shared" si="1"/>
        <v/>
      </c>
      <c r="L767" s="572"/>
      <c r="M767" s="173"/>
      <c r="N767" s="173"/>
      <c r="O767" s="173"/>
      <c r="P767" s="573"/>
      <c r="Q767" s="573"/>
      <c r="R767" s="173"/>
      <c r="S767" s="173"/>
      <c r="T767" s="173"/>
      <c r="U767" s="173"/>
      <c r="V767" s="173"/>
      <c r="W767" s="574"/>
      <c r="X767" s="575"/>
      <c r="Y767" s="28"/>
      <c r="Z767" s="543" t="str">
        <f t="array" ref="Z767">IF(LEN(AC767),lower(concatenate("bosvendor-",'2-Building'!B$4,"-",INDEX(D:D, MATCH(AC767, J:J, 0)),INDEX(E:E, MATCH(AC767, J:J, 0)))),"")</f>
        <v/>
      </c>
      <c r="AA767" s="28"/>
      <c r="AB767" s="28"/>
      <c r="AC767" s="28"/>
      <c r="AD767" s="28"/>
    </row>
    <row r="768" ht="30.0" customHeight="1">
      <c r="A768" s="488"/>
      <c r="B768" s="582"/>
      <c r="C768" s="256"/>
      <c r="D768" s="582"/>
      <c r="E768" s="488"/>
      <c r="F768" s="258"/>
      <c r="G768" s="173"/>
      <c r="H768" s="173"/>
      <c r="I768" s="576"/>
      <c r="J768" s="580"/>
      <c r="K768" s="569" t="str">
        <f t="shared" si="1"/>
        <v/>
      </c>
      <c r="L768" s="572"/>
      <c r="M768" s="173"/>
      <c r="N768" s="173"/>
      <c r="O768" s="173"/>
      <c r="P768" s="573"/>
      <c r="Q768" s="573"/>
      <c r="R768" s="173"/>
      <c r="S768" s="173"/>
      <c r="T768" s="173"/>
      <c r="U768" s="173"/>
      <c r="V768" s="173"/>
      <c r="W768" s="574"/>
      <c r="X768" s="575"/>
      <c r="Y768" s="28"/>
      <c r="Z768" s="543" t="str">
        <f t="array" ref="Z768">IF(LEN(AC768),lower(concatenate("bosvendor-",'2-Building'!B$4,"-",INDEX(D:D, MATCH(AC768, J:J, 0)),INDEX(E:E, MATCH(AC768, J:J, 0)))),"")</f>
        <v/>
      </c>
      <c r="AA768" s="28"/>
      <c r="AB768" s="28"/>
      <c r="AC768" s="28"/>
      <c r="AD768" s="28"/>
    </row>
    <row r="769" ht="30.0" customHeight="1">
      <c r="A769" s="488"/>
      <c r="B769" s="582"/>
      <c r="C769" s="256"/>
      <c r="D769" s="582"/>
      <c r="E769" s="488"/>
      <c r="F769" s="258"/>
      <c r="G769" s="173"/>
      <c r="H769" s="173"/>
      <c r="I769" s="576"/>
      <c r="J769" s="580"/>
      <c r="K769" s="569" t="str">
        <f t="shared" si="1"/>
        <v/>
      </c>
      <c r="L769" s="572"/>
      <c r="M769" s="173"/>
      <c r="N769" s="173"/>
      <c r="O769" s="173"/>
      <c r="P769" s="573"/>
      <c r="Q769" s="573"/>
      <c r="R769" s="173"/>
      <c r="S769" s="173"/>
      <c r="T769" s="173"/>
      <c r="U769" s="173"/>
      <c r="V769" s="173"/>
      <c r="W769" s="574"/>
      <c r="X769" s="575"/>
      <c r="Y769" s="28"/>
      <c r="Z769" s="543" t="str">
        <f t="array" ref="Z769">IF(LEN(AC769),lower(concatenate("bosvendor-",'2-Building'!B$4,"-",INDEX(D:D, MATCH(AC769, J:J, 0)),INDEX(E:E, MATCH(AC769, J:J, 0)))),"")</f>
        <v/>
      </c>
      <c r="AA769" s="28"/>
      <c r="AB769" s="28"/>
      <c r="AC769" s="28"/>
      <c r="AD769" s="28"/>
    </row>
    <row r="770" ht="30.0" customHeight="1">
      <c r="A770" s="488"/>
      <c r="B770" s="582"/>
      <c r="C770" s="256"/>
      <c r="D770" s="582"/>
      <c r="E770" s="488"/>
      <c r="F770" s="258"/>
      <c r="G770" s="173"/>
      <c r="H770" s="173"/>
      <c r="I770" s="576"/>
      <c r="J770" s="580"/>
      <c r="K770" s="569" t="str">
        <f t="shared" si="1"/>
        <v/>
      </c>
      <c r="L770" s="572"/>
      <c r="M770" s="173"/>
      <c r="N770" s="173"/>
      <c r="O770" s="173"/>
      <c r="P770" s="573"/>
      <c r="Q770" s="573"/>
      <c r="R770" s="173"/>
      <c r="S770" s="173"/>
      <c r="T770" s="173"/>
      <c r="U770" s="173"/>
      <c r="V770" s="173"/>
      <c r="W770" s="574"/>
      <c r="X770" s="575"/>
      <c r="Y770" s="28"/>
      <c r="Z770" s="543" t="str">
        <f t="array" ref="Z770">IF(LEN(AC770),lower(concatenate("bosvendor-",'2-Building'!B$4,"-",INDEX(D:D, MATCH(AC770, J:J, 0)),INDEX(E:E, MATCH(AC770, J:J, 0)))),"")</f>
        <v/>
      </c>
      <c r="AA770" s="28"/>
      <c r="AB770" s="28"/>
      <c r="AC770" s="28"/>
      <c r="AD770" s="28"/>
    </row>
    <row r="771" ht="30.0" customHeight="1">
      <c r="A771" s="488"/>
      <c r="B771" s="582"/>
      <c r="C771" s="256"/>
      <c r="D771" s="582"/>
      <c r="E771" s="488"/>
      <c r="F771" s="258"/>
      <c r="G771" s="173"/>
      <c r="H771" s="173"/>
      <c r="I771" s="576"/>
      <c r="J771" s="580"/>
      <c r="K771" s="569" t="str">
        <f t="shared" si="1"/>
        <v/>
      </c>
      <c r="L771" s="572"/>
      <c r="M771" s="173"/>
      <c r="N771" s="173"/>
      <c r="O771" s="173"/>
      <c r="P771" s="573"/>
      <c r="Q771" s="573"/>
      <c r="R771" s="173"/>
      <c r="S771" s="173"/>
      <c r="T771" s="173"/>
      <c r="U771" s="173"/>
      <c r="V771" s="173"/>
      <c r="W771" s="574"/>
      <c r="X771" s="575"/>
      <c r="Y771" s="28"/>
      <c r="Z771" s="543" t="str">
        <f t="array" ref="Z771">IF(LEN(AC771),lower(concatenate("bosvendor-",'2-Building'!B$4,"-",INDEX(D:D, MATCH(AC771, J:J, 0)),INDEX(E:E, MATCH(AC771, J:J, 0)))),"")</f>
        <v/>
      </c>
      <c r="AA771" s="28"/>
      <c r="AB771" s="28"/>
      <c r="AC771" s="28"/>
      <c r="AD771" s="28"/>
    </row>
    <row r="772" ht="30.0" customHeight="1">
      <c r="A772" s="488"/>
      <c r="B772" s="582"/>
      <c r="C772" s="256"/>
      <c r="D772" s="582"/>
      <c r="E772" s="488"/>
      <c r="F772" s="258"/>
      <c r="G772" s="173"/>
      <c r="H772" s="173"/>
      <c r="I772" s="576"/>
      <c r="J772" s="580"/>
      <c r="K772" s="569" t="str">
        <f t="shared" si="1"/>
        <v/>
      </c>
      <c r="L772" s="572"/>
      <c r="M772" s="173"/>
      <c r="N772" s="173"/>
      <c r="O772" s="173"/>
      <c r="P772" s="573"/>
      <c r="Q772" s="573"/>
      <c r="R772" s="173"/>
      <c r="S772" s="173"/>
      <c r="T772" s="173"/>
      <c r="U772" s="173"/>
      <c r="V772" s="173"/>
      <c r="W772" s="574"/>
      <c r="X772" s="575"/>
      <c r="Y772" s="28"/>
      <c r="Z772" s="543" t="str">
        <f t="array" ref="Z772">IF(LEN(AC772),lower(concatenate("bosvendor-",'2-Building'!B$4,"-",INDEX(D:D, MATCH(AC772, J:J, 0)),INDEX(E:E, MATCH(AC772, J:J, 0)))),"")</f>
        <v/>
      </c>
      <c r="AA772" s="28"/>
      <c r="AB772" s="28"/>
      <c r="AC772" s="28"/>
      <c r="AD772" s="28"/>
    </row>
    <row r="773" ht="30.0" customHeight="1">
      <c r="A773" s="488"/>
      <c r="B773" s="582"/>
      <c r="C773" s="256"/>
      <c r="D773" s="582"/>
      <c r="E773" s="488"/>
      <c r="F773" s="258"/>
      <c r="G773" s="173"/>
      <c r="H773" s="173"/>
      <c r="I773" s="576"/>
      <c r="J773" s="580"/>
      <c r="K773" s="569" t="str">
        <f t="shared" si="1"/>
        <v/>
      </c>
      <c r="L773" s="572"/>
      <c r="M773" s="173"/>
      <c r="N773" s="173"/>
      <c r="O773" s="173"/>
      <c r="P773" s="573"/>
      <c r="Q773" s="573"/>
      <c r="R773" s="173"/>
      <c r="S773" s="173"/>
      <c r="T773" s="173"/>
      <c r="U773" s="173"/>
      <c r="V773" s="173"/>
      <c r="W773" s="574"/>
      <c r="X773" s="575"/>
      <c r="Y773" s="28"/>
      <c r="Z773" s="543" t="str">
        <f t="array" ref="Z773">IF(LEN(AC773),lower(concatenate("bosvendor-",'2-Building'!B$4,"-",INDEX(D:D, MATCH(AC773, J:J, 0)),INDEX(E:E, MATCH(AC773, J:J, 0)))),"")</f>
        <v/>
      </c>
      <c r="AA773" s="28"/>
      <c r="AB773" s="28"/>
      <c r="AC773" s="28"/>
      <c r="AD773" s="28"/>
    </row>
    <row r="774" ht="30.0" customHeight="1">
      <c r="A774" s="488"/>
      <c r="B774" s="582"/>
      <c r="C774" s="256"/>
      <c r="D774" s="582"/>
      <c r="E774" s="488"/>
      <c r="F774" s="258"/>
      <c r="G774" s="173"/>
      <c r="H774" s="173"/>
      <c r="I774" s="576"/>
      <c r="J774" s="580"/>
      <c r="K774" s="569" t="str">
        <f t="shared" si="1"/>
        <v/>
      </c>
      <c r="L774" s="572"/>
      <c r="M774" s="173"/>
      <c r="N774" s="173"/>
      <c r="O774" s="173"/>
      <c r="P774" s="573"/>
      <c r="Q774" s="573"/>
      <c r="R774" s="173"/>
      <c r="S774" s="173"/>
      <c r="T774" s="173"/>
      <c r="U774" s="173"/>
      <c r="V774" s="173"/>
      <c r="W774" s="574"/>
      <c r="X774" s="575"/>
      <c r="Y774" s="28"/>
      <c r="Z774" s="543" t="str">
        <f t="array" ref="Z774">IF(LEN(AC774),lower(concatenate("bosvendor-",'2-Building'!B$4,"-",INDEX(D:D, MATCH(AC774, J:J, 0)),INDEX(E:E, MATCH(AC774, J:J, 0)))),"")</f>
        <v/>
      </c>
      <c r="AA774" s="28"/>
      <c r="AB774" s="28"/>
      <c r="AC774" s="28"/>
      <c r="AD774" s="28"/>
    </row>
    <row r="775" ht="30.0" customHeight="1">
      <c r="A775" s="488"/>
      <c r="B775" s="582"/>
      <c r="C775" s="256"/>
      <c r="D775" s="582"/>
      <c r="E775" s="488"/>
      <c r="F775" s="258"/>
      <c r="G775" s="173"/>
      <c r="H775" s="173"/>
      <c r="I775" s="576"/>
      <c r="J775" s="580"/>
      <c r="K775" s="569" t="str">
        <f t="shared" si="1"/>
        <v/>
      </c>
      <c r="L775" s="572"/>
      <c r="M775" s="173"/>
      <c r="N775" s="173"/>
      <c r="O775" s="173"/>
      <c r="P775" s="573"/>
      <c r="Q775" s="573"/>
      <c r="R775" s="173"/>
      <c r="S775" s="173"/>
      <c r="T775" s="173"/>
      <c r="U775" s="173"/>
      <c r="V775" s="173"/>
      <c r="W775" s="574"/>
      <c r="X775" s="575"/>
      <c r="Y775" s="28"/>
      <c r="Z775" s="543" t="str">
        <f t="array" ref="Z775">IF(LEN(AC775),lower(concatenate("bosvendor-",'2-Building'!B$4,"-",INDEX(D:D, MATCH(AC775, J:J, 0)),INDEX(E:E, MATCH(AC775, J:J, 0)))),"")</f>
        <v/>
      </c>
      <c r="AA775" s="28"/>
      <c r="AB775" s="28"/>
      <c r="AC775" s="28"/>
      <c r="AD775" s="28"/>
    </row>
    <row r="776" ht="30.0" customHeight="1">
      <c r="A776" s="488"/>
      <c r="B776" s="582"/>
      <c r="C776" s="256"/>
      <c r="D776" s="582"/>
      <c r="E776" s="488"/>
      <c r="F776" s="258"/>
      <c r="G776" s="173"/>
      <c r="H776" s="173"/>
      <c r="I776" s="576"/>
      <c r="J776" s="580"/>
      <c r="K776" s="569" t="str">
        <f t="shared" si="1"/>
        <v/>
      </c>
      <c r="L776" s="572"/>
      <c r="M776" s="173"/>
      <c r="N776" s="173"/>
      <c r="O776" s="173"/>
      <c r="P776" s="573"/>
      <c r="Q776" s="573"/>
      <c r="R776" s="173"/>
      <c r="S776" s="173"/>
      <c r="T776" s="173"/>
      <c r="U776" s="173"/>
      <c r="V776" s="173"/>
      <c r="W776" s="574"/>
      <c r="X776" s="575"/>
      <c r="Y776" s="28"/>
      <c r="Z776" s="543" t="str">
        <f t="array" ref="Z776">IF(LEN(AC776),lower(concatenate("bosvendor-",'2-Building'!B$4,"-",INDEX(D:D, MATCH(AC776, J:J, 0)),INDEX(E:E, MATCH(AC776, J:J, 0)))),"")</f>
        <v/>
      </c>
      <c r="AA776" s="28"/>
      <c r="AB776" s="28"/>
      <c r="AC776" s="28"/>
      <c r="AD776" s="28"/>
    </row>
    <row r="777" ht="30.0" customHeight="1">
      <c r="A777" s="488"/>
      <c r="B777" s="582"/>
      <c r="C777" s="256"/>
      <c r="D777" s="582"/>
      <c r="E777" s="488"/>
      <c r="F777" s="258"/>
      <c r="G777" s="173"/>
      <c r="H777" s="173"/>
      <c r="I777" s="576"/>
      <c r="J777" s="580"/>
      <c r="K777" s="569" t="str">
        <f t="shared" si="1"/>
        <v/>
      </c>
      <c r="L777" s="572"/>
      <c r="M777" s="173"/>
      <c r="N777" s="173"/>
      <c r="O777" s="173"/>
      <c r="P777" s="573"/>
      <c r="Q777" s="573"/>
      <c r="R777" s="173"/>
      <c r="S777" s="173"/>
      <c r="T777" s="173"/>
      <c r="U777" s="173"/>
      <c r="V777" s="173"/>
      <c r="W777" s="574"/>
      <c r="X777" s="575"/>
      <c r="Y777" s="28"/>
      <c r="Z777" s="543" t="str">
        <f t="array" ref="Z777">IF(LEN(AC777),lower(concatenate("bosvendor-",'2-Building'!B$4,"-",INDEX(D:D, MATCH(AC777, J:J, 0)),INDEX(E:E, MATCH(AC777, J:J, 0)))),"")</f>
        <v/>
      </c>
      <c r="AA777" s="28"/>
      <c r="AB777" s="28"/>
      <c r="AC777" s="28"/>
      <c r="AD777" s="28"/>
    </row>
    <row r="778" ht="30.0" customHeight="1">
      <c r="A778" s="488"/>
      <c r="B778" s="582"/>
      <c r="C778" s="256"/>
      <c r="D778" s="582"/>
      <c r="E778" s="488"/>
      <c r="F778" s="258"/>
      <c r="G778" s="173"/>
      <c r="H778" s="173"/>
      <c r="I778" s="576"/>
      <c r="J778" s="580"/>
      <c r="K778" s="569" t="str">
        <f t="shared" si="1"/>
        <v/>
      </c>
      <c r="L778" s="572"/>
      <c r="M778" s="173"/>
      <c r="N778" s="173"/>
      <c r="O778" s="173"/>
      <c r="P778" s="573"/>
      <c r="Q778" s="573"/>
      <c r="R778" s="173"/>
      <c r="S778" s="173"/>
      <c r="T778" s="173"/>
      <c r="U778" s="173"/>
      <c r="V778" s="173"/>
      <c r="W778" s="574"/>
      <c r="X778" s="575"/>
      <c r="Y778" s="28"/>
      <c r="Z778" s="543" t="str">
        <f t="array" ref="Z778">IF(LEN(AC778),lower(concatenate("bosvendor-",'2-Building'!B$4,"-",INDEX(D:D, MATCH(AC778, J:J, 0)),INDEX(E:E, MATCH(AC778, J:J, 0)))),"")</f>
        <v/>
      </c>
      <c r="AA778" s="28"/>
      <c r="AB778" s="28"/>
      <c r="AC778" s="28"/>
      <c r="AD778" s="28"/>
    </row>
    <row r="779" ht="30.0" customHeight="1">
      <c r="A779" s="488"/>
      <c r="B779" s="582"/>
      <c r="C779" s="256"/>
      <c r="D779" s="582"/>
      <c r="E779" s="488"/>
      <c r="F779" s="258"/>
      <c r="G779" s="173"/>
      <c r="H779" s="173"/>
      <c r="I779" s="576"/>
      <c r="J779" s="580"/>
      <c r="K779" s="569" t="str">
        <f t="shared" si="1"/>
        <v/>
      </c>
      <c r="L779" s="572"/>
      <c r="M779" s="173"/>
      <c r="N779" s="173"/>
      <c r="O779" s="173"/>
      <c r="P779" s="573"/>
      <c r="Q779" s="573"/>
      <c r="R779" s="173"/>
      <c r="S779" s="173"/>
      <c r="T779" s="173"/>
      <c r="U779" s="173"/>
      <c r="V779" s="173"/>
      <c r="W779" s="574"/>
      <c r="X779" s="575"/>
      <c r="Y779" s="28"/>
      <c r="Z779" s="543" t="str">
        <f t="array" ref="Z779">IF(LEN(AC779),lower(concatenate("bosvendor-",'2-Building'!B$4,"-",INDEX(D:D, MATCH(AC779, J:J, 0)),INDEX(E:E, MATCH(AC779, J:J, 0)))),"")</f>
        <v/>
      </c>
      <c r="AA779" s="28"/>
      <c r="AB779" s="28"/>
      <c r="AC779" s="28"/>
      <c r="AD779" s="28"/>
    </row>
    <row r="780" ht="30.0" customHeight="1">
      <c r="A780" s="488"/>
      <c r="B780" s="582"/>
      <c r="C780" s="256"/>
      <c r="D780" s="582"/>
      <c r="E780" s="488"/>
      <c r="F780" s="258"/>
      <c r="G780" s="173"/>
      <c r="H780" s="173"/>
      <c r="I780" s="576"/>
      <c r="J780" s="580"/>
      <c r="K780" s="569" t="str">
        <f t="shared" si="1"/>
        <v/>
      </c>
      <c r="L780" s="572"/>
      <c r="M780" s="173"/>
      <c r="N780" s="173"/>
      <c r="O780" s="173"/>
      <c r="P780" s="573"/>
      <c r="Q780" s="573"/>
      <c r="R780" s="173"/>
      <c r="S780" s="173"/>
      <c r="T780" s="173"/>
      <c r="U780" s="173"/>
      <c r="V780" s="173"/>
      <c r="W780" s="574"/>
      <c r="X780" s="575"/>
      <c r="Y780" s="28"/>
      <c r="Z780" s="543" t="str">
        <f t="array" ref="Z780">IF(LEN(AC780),lower(concatenate("bosvendor-",'2-Building'!B$4,"-",INDEX(D:D, MATCH(AC780, J:J, 0)),INDEX(E:E, MATCH(AC780, J:J, 0)))),"")</f>
        <v/>
      </c>
      <c r="AA780" s="28"/>
      <c r="AB780" s="28"/>
      <c r="AC780" s="28"/>
      <c r="AD780" s="28"/>
    </row>
    <row r="781" ht="30.0" customHeight="1">
      <c r="A781" s="488"/>
      <c r="B781" s="582"/>
      <c r="C781" s="256"/>
      <c r="D781" s="582"/>
      <c r="E781" s="488"/>
      <c r="F781" s="258"/>
      <c r="G781" s="173"/>
      <c r="H781" s="173"/>
      <c r="I781" s="576"/>
      <c r="J781" s="580"/>
      <c r="K781" s="569" t="str">
        <f t="shared" si="1"/>
        <v/>
      </c>
      <c r="L781" s="572"/>
      <c r="M781" s="173"/>
      <c r="N781" s="173"/>
      <c r="O781" s="173"/>
      <c r="P781" s="573"/>
      <c r="Q781" s="573"/>
      <c r="R781" s="173"/>
      <c r="S781" s="173"/>
      <c r="T781" s="173"/>
      <c r="U781" s="173"/>
      <c r="V781" s="173"/>
      <c r="W781" s="574"/>
      <c r="X781" s="575"/>
      <c r="Y781" s="28"/>
      <c r="Z781" s="543" t="str">
        <f t="array" ref="Z781">IF(LEN(AC781),lower(concatenate("bosvendor-",'2-Building'!B$4,"-",INDEX(D:D, MATCH(AC781, J:J, 0)),INDEX(E:E, MATCH(AC781, J:J, 0)))),"")</f>
        <v/>
      </c>
      <c r="AA781" s="28"/>
      <c r="AB781" s="28"/>
      <c r="AC781" s="28"/>
      <c r="AD781" s="28"/>
    </row>
    <row r="782" ht="30.0" customHeight="1">
      <c r="A782" s="488"/>
      <c r="B782" s="582"/>
      <c r="C782" s="256"/>
      <c r="D782" s="582"/>
      <c r="E782" s="488"/>
      <c r="F782" s="258"/>
      <c r="G782" s="173"/>
      <c r="H782" s="173"/>
      <c r="I782" s="576"/>
      <c r="J782" s="580"/>
      <c r="K782" s="569" t="str">
        <f t="shared" si="1"/>
        <v/>
      </c>
      <c r="L782" s="572"/>
      <c r="M782" s="173"/>
      <c r="N782" s="173"/>
      <c r="O782" s="173"/>
      <c r="P782" s="573"/>
      <c r="Q782" s="573"/>
      <c r="R782" s="173"/>
      <c r="S782" s="173"/>
      <c r="T782" s="173"/>
      <c r="U782" s="173"/>
      <c r="V782" s="173"/>
      <c r="W782" s="574"/>
      <c r="X782" s="575"/>
      <c r="Y782" s="28"/>
      <c r="Z782" s="543" t="str">
        <f t="array" ref="Z782">IF(LEN(AC782),lower(concatenate("bosvendor-",'2-Building'!B$4,"-",INDEX(D:D, MATCH(AC782, J:J, 0)),INDEX(E:E, MATCH(AC782, J:J, 0)))),"")</f>
        <v/>
      </c>
      <c r="AA782" s="28"/>
      <c r="AB782" s="28"/>
      <c r="AC782" s="28"/>
      <c r="AD782" s="28"/>
    </row>
    <row r="783" ht="30.0" customHeight="1">
      <c r="A783" s="488"/>
      <c r="B783" s="582"/>
      <c r="C783" s="256"/>
      <c r="D783" s="582"/>
      <c r="E783" s="488"/>
      <c r="F783" s="258"/>
      <c r="G783" s="173"/>
      <c r="H783" s="173"/>
      <c r="I783" s="576"/>
      <c r="J783" s="580"/>
      <c r="K783" s="569" t="str">
        <f t="shared" si="1"/>
        <v/>
      </c>
      <c r="L783" s="572"/>
      <c r="M783" s="173"/>
      <c r="N783" s="173"/>
      <c r="O783" s="173"/>
      <c r="P783" s="573"/>
      <c r="Q783" s="573"/>
      <c r="R783" s="173"/>
      <c r="S783" s="173"/>
      <c r="T783" s="173"/>
      <c r="U783" s="173"/>
      <c r="V783" s="173"/>
      <c r="W783" s="574"/>
      <c r="X783" s="575"/>
      <c r="Y783" s="28"/>
      <c r="Z783" s="543" t="str">
        <f t="array" ref="Z783">IF(LEN(AC783),lower(concatenate("bosvendor-",'2-Building'!B$4,"-",INDEX(D:D, MATCH(AC783, J:J, 0)),INDEX(E:E, MATCH(AC783, J:J, 0)))),"")</f>
        <v/>
      </c>
      <c r="AA783" s="28"/>
      <c r="AB783" s="28"/>
      <c r="AC783" s="28"/>
      <c r="AD783" s="28"/>
    </row>
    <row r="784" ht="30.0" customHeight="1">
      <c r="A784" s="488"/>
      <c r="B784" s="582"/>
      <c r="C784" s="256"/>
      <c r="D784" s="582"/>
      <c r="E784" s="488"/>
      <c r="F784" s="258"/>
      <c r="G784" s="173"/>
      <c r="H784" s="173"/>
      <c r="I784" s="576"/>
      <c r="J784" s="580"/>
      <c r="K784" s="569" t="str">
        <f t="shared" si="1"/>
        <v/>
      </c>
      <c r="L784" s="572"/>
      <c r="M784" s="173"/>
      <c r="N784" s="173"/>
      <c r="O784" s="173"/>
      <c r="P784" s="573"/>
      <c r="Q784" s="573"/>
      <c r="R784" s="173"/>
      <c r="S784" s="173"/>
      <c r="T784" s="173"/>
      <c r="U784" s="173"/>
      <c r="V784" s="173"/>
      <c r="W784" s="574"/>
      <c r="X784" s="575"/>
      <c r="Y784" s="28"/>
      <c r="Z784" s="543" t="str">
        <f t="array" ref="Z784">IF(LEN(AC784),lower(concatenate("bosvendor-",'2-Building'!B$4,"-",INDEX(D:D, MATCH(AC784, J:J, 0)),INDEX(E:E, MATCH(AC784, J:J, 0)))),"")</f>
        <v/>
      </c>
      <c r="AA784" s="28"/>
      <c r="AB784" s="28"/>
      <c r="AC784" s="28"/>
      <c r="AD784" s="28"/>
    </row>
    <row r="785" ht="30.0" customHeight="1">
      <c r="A785" s="488"/>
      <c r="B785" s="582"/>
      <c r="C785" s="256"/>
      <c r="D785" s="582"/>
      <c r="E785" s="488"/>
      <c r="F785" s="258"/>
      <c r="G785" s="173"/>
      <c r="H785" s="173"/>
      <c r="I785" s="576"/>
      <c r="J785" s="580"/>
      <c r="K785" s="569" t="str">
        <f t="shared" si="1"/>
        <v/>
      </c>
      <c r="L785" s="572"/>
      <c r="M785" s="173"/>
      <c r="N785" s="173"/>
      <c r="O785" s="173"/>
      <c r="P785" s="573"/>
      <c r="Q785" s="573"/>
      <c r="R785" s="173"/>
      <c r="S785" s="173"/>
      <c r="T785" s="173"/>
      <c r="U785" s="173"/>
      <c r="V785" s="173"/>
      <c r="W785" s="574"/>
      <c r="X785" s="575"/>
      <c r="Y785" s="28"/>
      <c r="Z785" s="543" t="str">
        <f t="array" ref="Z785">IF(LEN(AC785),lower(concatenate("bosvendor-",'2-Building'!B$4,"-",INDEX(D:D, MATCH(AC785, J:J, 0)),INDEX(E:E, MATCH(AC785, J:J, 0)))),"")</f>
        <v/>
      </c>
      <c r="AA785" s="28"/>
      <c r="AB785" s="28"/>
      <c r="AC785" s="28"/>
      <c r="AD785" s="28"/>
    </row>
    <row r="786" ht="30.0" customHeight="1">
      <c r="A786" s="488"/>
      <c r="B786" s="582"/>
      <c r="C786" s="256"/>
      <c r="D786" s="582"/>
      <c r="E786" s="488"/>
      <c r="F786" s="258"/>
      <c r="G786" s="173"/>
      <c r="H786" s="173"/>
      <c r="I786" s="576"/>
      <c r="J786" s="580"/>
      <c r="K786" s="569" t="str">
        <f t="shared" si="1"/>
        <v/>
      </c>
      <c r="L786" s="572"/>
      <c r="M786" s="173"/>
      <c r="N786" s="173"/>
      <c r="O786" s="173"/>
      <c r="P786" s="573"/>
      <c r="Q786" s="573"/>
      <c r="R786" s="173"/>
      <c r="S786" s="173"/>
      <c r="T786" s="173"/>
      <c r="U786" s="173"/>
      <c r="V786" s="173"/>
      <c r="W786" s="574"/>
      <c r="X786" s="575"/>
      <c r="Y786" s="28"/>
      <c r="Z786" s="543" t="str">
        <f t="array" ref="Z786">IF(LEN(AC786),lower(concatenate("bosvendor-",'2-Building'!B$4,"-",INDEX(D:D, MATCH(AC786, J:J, 0)),INDEX(E:E, MATCH(AC786, J:J, 0)))),"")</f>
        <v/>
      </c>
      <c r="AA786" s="28"/>
      <c r="AB786" s="28"/>
      <c r="AC786" s="28"/>
      <c r="AD786" s="28"/>
    </row>
    <row r="787" ht="30.0" customHeight="1">
      <c r="A787" s="488"/>
      <c r="B787" s="582"/>
      <c r="C787" s="256"/>
      <c r="D787" s="582"/>
      <c r="E787" s="488"/>
      <c r="F787" s="258"/>
      <c r="G787" s="173"/>
      <c r="H787" s="173"/>
      <c r="I787" s="576"/>
      <c r="J787" s="580"/>
      <c r="K787" s="569" t="str">
        <f t="shared" si="1"/>
        <v/>
      </c>
      <c r="L787" s="572"/>
      <c r="M787" s="173"/>
      <c r="N787" s="173"/>
      <c r="O787" s="173"/>
      <c r="P787" s="573"/>
      <c r="Q787" s="573"/>
      <c r="R787" s="173"/>
      <c r="S787" s="173"/>
      <c r="T787" s="173"/>
      <c r="U787" s="173"/>
      <c r="V787" s="173"/>
      <c r="W787" s="574"/>
      <c r="X787" s="575"/>
      <c r="Y787" s="28"/>
      <c r="Z787" s="543" t="str">
        <f t="array" ref="Z787">IF(LEN(AC787),lower(concatenate("bosvendor-",'2-Building'!B$4,"-",INDEX(D:D, MATCH(AC787, J:J, 0)),INDEX(E:E, MATCH(AC787, J:J, 0)))),"")</f>
        <v/>
      </c>
      <c r="AA787" s="28"/>
      <c r="AB787" s="28"/>
      <c r="AC787" s="28"/>
      <c r="AD787" s="28"/>
    </row>
    <row r="788" ht="30.0" customHeight="1">
      <c r="A788" s="488"/>
      <c r="B788" s="582"/>
      <c r="C788" s="256"/>
      <c r="D788" s="582"/>
      <c r="E788" s="488"/>
      <c r="F788" s="258"/>
      <c r="G788" s="173"/>
      <c r="H788" s="173"/>
      <c r="I788" s="576"/>
      <c r="J788" s="580"/>
      <c r="K788" s="569" t="str">
        <f t="shared" si="1"/>
        <v/>
      </c>
      <c r="L788" s="572"/>
      <c r="M788" s="173"/>
      <c r="N788" s="173"/>
      <c r="O788" s="173"/>
      <c r="P788" s="573"/>
      <c r="Q788" s="573"/>
      <c r="R788" s="173"/>
      <c r="S788" s="173"/>
      <c r="T788" s="173"/>
      <c r="U788" s="173"/>
      <c r="V788" s="173"/>
      <c r="W788" s="574"/>
      <c r="X788" s="575"/>
      <c r="Y788" s="28"/>
      <c r="Z788" s="543" t="str">
        <f t="array" ref="Z788">IF(LEN(AC788),lower(concatenate("bosvendor-",'2-Building'!B$4,"-",INDEX(D:D, MATCH(AC788, J:J, 0)),INDEX(E:E, MATCH(AC788, J:J, 0)))),"")</f>
        <v/>
      </c>
      <c r="AA788" s="28"/>
      <c r="AB788" s="28"/>
      <c r="AC788" s="28"/>
      <c r="AD788" s="28"/>
    </row>
    <row r="789" ht="30.0" customHeight="1">
      <c r="A789" s="488"/>
      <c r="B789" s="582"/>
      <c r="C789" s="256"/>
      <c r="D789" s="582"/>
      <c r="E789" s="488"/>
      <c r="F789" s="258"/>
      <c r="G789" s="173"/>
      <c r="H789" s="173"/>
      <c r="I789" s="576"/>
      <c r="J789" s="580"/>
      <c r="K789" s="569" t="str">
        <f t="shared" si="1"/>
        <v/>
      </c>
      <c r="L789" s="572"/>
      <c r="M789" s="173"/>
      <c r="N789" s="173"/>
      <c r="O789" s="173"/>
      <c r="P789" s="573"/>
      <c r="Q789" s="573"/>
      <c r="R789" s="173"/>
      <c r="S789" s="173"/>
      <c r="T789" s="173"/>
      <c r="U789" s="173"/>
      <c r="V789" s="173"/>
      <c r="W789" s="574"/>
      <c r="X789" s="575"/>
      <c r="Y789" s="28"/>
      <c r="Z789" s="543" t="str">
        <f t="array" ref="Z789">IF(LEN(AC789),lower(concatenate("bosvendor-",'2-Building'!B$4,"-",INDEX(D:D, MATCH(AC789, J:J, 0)),INDEX(E:E, MATCH(AC789, J:J, 0)))),"")</f>
        <v/>
      </c>
      <c r="AA789" s="28"/>
      <c r="AB789" s="28"/>
      <c r="AC789" s="28"/>
      <c r="AD789" s="28"/>
    </row>
    <row r="790" ht="30.0" customHeight="1">
      <c r="A790" s="488"/>
      <c r="B790" s="582"/>
      <c r="C790" s="256"/>
      <c r="D790" s="582"/>
      <c r="E790" s="488"/>
      <c r="F790" s="258"/>
      <c r="G790" s="173"/>
      <c r="H790" s="173"/>
      <c r="I790" s="576"/>
      <c r="J790" s="580"/>
      <c r="K790" s="569" t="str">
        <f t="shared" si="1"/>
        <v/>
      </c>
      <c r="L790" s="572"/>
      <c r="M790" s="173"/>
      <c r="N790" s="173"/>
      <c r="O790" s="173"/>
      <c r="P790" s="573"/>
      <c r="Q790" s="573"/>
      <c r="R790" s="173"/>
      <c r="S790" s="173"/>
      <c r="T790" s="173"/>
      <c r="U790" s="173"/>
      <c r="V790" s="173"/>
      <c r="W790" s="574"/>
      <c r="X790" s="575"/>
      <c r="Y790" s="28"/>
      <c r="Z790" s="543" t="str">
        <f t="array" ref="Z790">IF(LEN(AC790),lower(concatenate("bosvendor-",'2-Building'!B$4,"-",INDEX(D:D, MATCH(AC790, J:J, 0)),INDEX(E:E, MATCH(AC790, J:J, 0)))),"")</f>
        <v/>
      </c>
      <c r="AA790" s="28"/>
      <c r="AB790" s="28"/>
      <c r="AC790" s="28"/>
      <c r="AD790" s="28"/>
    </row>
    <row r="791" ht="30.0" customHeight="1">
      <c r="A791" s="488"/>
      <c r="B791" s="582"/>
      <c r="C791" s="256"/>
      <c r="D791" s="582"/>
      <c r="E791" s="488"/>
      <c r="F791" s="258"/>
      <c r="G791" s="173"/>
      <c r="H791" s="173"/>
      <c r="I791" s="576"/>
      <c r="J791" s="580"/>
      <c r="K791" s="569" t="str">
        <f t="shared" si="1"/>
        <v/>
      </c>
      <c r="L791" s="572"/>
      <c r="M791" s="173"/>
      <c r="N791" s="173"/>
      <c r="O791" s="173"/>
      <c r="P791" s="573"/>
      <c r="Q791" s="573"/>
      <c r="R791" s="173"/>
      <c r="S791" s="173"/>
      <c r="T791" s="173"/>
      <c r="U791" s="173"/>
      <c r="V791" s="173"/>
      <c r="W791" s="574"/>
      <c r="X791" s="575"/>
      <c r="Y791" s="28"/>
      <c r="Z791" s="543" t="str">
        <f t="array" ref="Z791">IF(LEN(AC791),lower(concatenate("bosvendor-",'2-Building'!B$4,"-",INDEX(D:D, MATCH(AC791, J:J, 0)),INDEX(E:E, MATCH(AC791, J:J, 0)))),"")</f>
        <v/>
      </c>
      <c r="AA791" s="28"/>
      <c r="AB791" s="28"/>
      <c r="AC791" s="28"/>
      <c r="AD791" s="28"/>
    </row>
    <row r="792" ht="30.0" customHeight="1">
      <c r="A792" s="488"/>
      <c r="B792" s="582"/>
      <c r="C792" s="256"/>
      <c r="D792" s="582"/>
      <c r="E792" s="488"/>
      <c r="F792" s="258"/>
      <c r="G792" s="173"/>
      <c r="H792" s="173"/>
      <c r="I792" s="576"/>
      <c r="J792" s="580"/>
      <c r="K792" s="569" t="str">
        <f t="shared" si="1"/>
        <v/>
      </c>
      <c r="L792" s="572"/>
      <c r="M792" s="173"/>
      <c r="N792" s="173"/>
      <c r="O792" s="173"/>
      <c r="P792" s="573"/>
      <c r="Q792" s="573"/>
      <c r="R792" s="173"/>
      <c r="S792" s="173"/>
      <c r="T792" s="173"/>
      <c r="U792" s="173"/>
      <c r="V792" s="173"/>
      <c r="W792" s="574"/>
      <c r="X792" s="575"/>
      <c r="Y792" s="28"/>
      <c r="Z792" s="543" t="str">
        <f t="array" ref="Z792">IF(LEN(AC792),lower(concatenate("bosvendor-",'2-Building'!B$4,"-",INDEX(D:D, MATCH(AC792, J:J, 0)),INDEX(E:E, MATCH(AC792, J:J, 0)))),"")</f>
        <v/>
      </c>
      <c r="AA792" s="28"/>
      <c r="AB792" s="28"/>
      <c r="AC792" s="28"/>
      <c r="AD792" s="28"/>
    </row>
    <row r="793" ht="30.0" customHeight="1">
      <c r="A793" s="488"/>
      <c r="B793" s="582"/>
      <c r="C793" s="256"/>
      <c r="D793" s="582"/>
      <c r="E793" s="488"/>
      <c r="F793" s="258"/>
      <c r="G793" s="173"/>
      <c r="H793" s="173"/>
      <c r="I793" s="576"/>
      <c r="J793" s="580"/>
      <c r="K793" s="569" t="str">
        <f t="shared" si="1"/>
        <v/>
      </c>
      <c r="L793" s="572"/>
      <c r="M793" s="173"/>
      <c r="N793" s="173"/>
      <c r="O793" s="173"/>
      <c r="P793" s="573"/>
      <c r="Q793" s="573"/>
      <c r="R793" s="173"/>
      <c r="S793" s="173"/>
      <c r="T793" s="173"/>
      <c r="U793" s="173"/>
      <c r="V793" s="173"/>
      <c r="W793" s="574"/>
      <c r="X793" s="575"/>
      <c r="Y793" s="28"/>
      <c r="Z793" s="543" t="str">
        <f t="array" ref="Z793">IF(LEN(AC793),lower(concatenate("bosvendor-",'2-Building'!B$4,"-",INDEX(D:D, MATCH(AC793, J:J, 0)),INDEX(E:E, MATCH(AC793, J:J, 0)))),"")</f>
        <v/>
      </c>
      <c r="AA793" s="28"/>
      <c r="AB793" s="28"/>
      <c r="AC793" s="28"/>
      <c r="AD793" s="28"/>
    </row>
    <row r="794" ht="30.0" customHeight="1">
      <c r="A794" s="488"/>
      <c r="B794" s="582"/>
      <c r="C794" s="256"/>
      <c r="D794" s="582"/>
      <c r="E794" s="488"/>
      <c r="F794" s="258"/>
      <c r="G794" s="173"/>
      <c r="H794" s="173"/>
      <c r="I794" s="576"/>
      <c r="J794" s="580"/>
      <c r="K794" s="569" t="str">
        <f t="shared" si="1"/>
        <v/>
      </c>
      <c r="L794" s="572"/>
      <c r="M794" s="173"/>
      <c r="N794" s="173"/>
      <c r="O794" s="173"/>
      <c r="P794" s="573"/>
      <c r="Q794" s="573"/>
      <c r="R794" s="173"/>
      <c r="S794" s="173"/>
      <c r="T794" s="173"/>
      <c r="U794" s="173"/>
      <c r="V794" s="173"/>
      <c r="W794" s="574"/>
      <c r="X794" s="575"/>
      <c r="Y794" s="28"/>
      <c r="Z794" s="543" t="str">
        <f t="array" ref="Z794">IF(LEN(AC794),lower(concatenate("bosvendor-",'2-Building'!B$4,"-",INDEX(D:D, MATCH(AC794, J:J, 0)),INDEX(E:E, MATCH(AC794, J:J, 0)))),"")</f>
        <v/>
      </c>
      <c r="AA794" s="28"/>
      <c r="AB794" s="28"/>
      <c r="AC794" s="28"/>
      <c r="AD794" s="28"/>
    </row>
    <row r="795" ht="30.0" customHeight="1">
      <c r="A795" s="488"/>
      <c r="B795" s="582"/>
      <c r="C795" s="256"/>
      <c r="D795" s="582"/>
      <c r="E795" s="488"/>
      <c r="F795" s="258"/>
      <c r="G795" s="173"/>
      <c r="H795" s="173"/>
      <c r="I795" s="576"/>
      <c r="J795" s="580"/>
      <c r="K795" s="569" t="str">
        <f t="shared" si="1"/>
        <v/>
      </c>
      <c r="L795" s="572"/>
      <c r="M795" s="173"/>
      <c r="N795" s="173"/>
      <c r="O795" s="173"/>
      <c r="P795" s="573"/>
      <c r="Q795" s="573"/>
      <c r="R795" s="173"/>
      <c r="S795" s="173"/>
      <c r="T795" s="173"/>
      <c r="U795" s="173"/>
      <c r="V795" s="173"/>
      <c r="W795" s="574"/>
      <c r="X795" s="575"/>
      <c r="Y795" s="28"/>
      <c r="Z795" s="543" t="str">
        <f t="array" ref="Z795">IF(LEN(AC795),lower(concatenate("bosvendor-",'2-Building'!B$4,"-",INDEX(D:D, MATCH(AC795, J:J, 0)),INDEX(E:E, MATCH(AC795, J:J, 0)))),"")</f>
        <v/>
      </c>
      <c r="AA795" s="28"/>
      <c r="AB795" s="28"/>
      <c r="AC795" s="28"/>
      <c r="AD795" s="28"/>
    </row>
    <row r="796" ht="30.0" customHeight="1">
      <c r="A796" s="488"/>
      <c r="B796" s="582"/>
      <c r="C796" s="256"/>
      <c r="D796" s="582"/>
      <c r="E796" s="488"/>
      <c r="F796" s="258"/>
      <c r="G796" s="173"/>
      <c r="H796" s="173"/>
      <c r="I796" s="576"/>
      <c r="J796" s="580"/>
      <c r="K796" s="569" t="str">
        <f t="shared" si="1"/>
        <v/>
      </c>
      <c r="L796" s="572"/>
      <c r="M796" s="173"/>
      <c r="N796" s="173"/>
      <c r="O796" s="173"/>
      <c r="P796" s="573"/>
      <c r="Q796" s="573"/>
      <c r="R796" s="173"/>
      <c r="S796" s="173"/>
      <c r="T796" s="173"/>
      <c r="U796" s="173"/>
      <c r="V796" s="173"/>
      <c r="W796" s="574"/>
      <c r="X796" s="575"/>
      <c r="Y796" s="28"/>
      <c r="Z796" s="543" t="str">
        <f t="array" ref="Z796">IF(LEN(AC796),lower(concatenate("bosvendor-",'2-Building'!B$4,"-",INDEX(D:D, MATCH(AC796, J:J, 0)),INDEX(E:E, MATCH(AC796, J:J, 0)))),"")</f>
        <v/>
      </c>
      <c r="AA796" s="28"/>
      <c r="AB796" s="28"/>
      <c r="AC796" s="28"/>
      <c r="AD796" s="28"/>
    </row>
    <row r="797" ht="30.0" customHeight="1">
      <c r="A797" s="488"/>
      <c r="B797" s="582"/>
      <c r="C797" s="256"/>
      <c r="D797" s="582"/>
      <c r="E797" s="488"/>
      <c r="F797" s="258"/>
      <c r="G797" s="173"/>
      <c r="H797" s="173"/>
      <c r="I797" s="576"/>
      <c r="J797" s="580"/>
      <c r="K797" s="569" t="str">
        <f t="shared" si="1"/>
        <v/>
      </c>
      <c r="L797" s="572"/>
      <c r="M797" s="173"/>
      <c r="N797" s="173"/>
      <c r="O797" s="173"/>
      <c r="P797" s="573"/>
      <c r="Q797" s="573"/>
      <c r="R797" s="173"/>
      <c r="S797" s="173"/>
      <c r="T797" s="173"/>
      <c r="U797" s="173"/>
      <c r="V797" s="173"/>
      <c r="W797" s="574"/>
      <c r="X797" s="575"/>
      <c r="Y797" s="28"/>
      <c r="Z797" s="543" t="str">
        <f t="array" ref="Z797">IF(LEN(AC797),lower(concatenate("bosvendor-",'2-Building'!B$4,"-",INDEX(D:D, MATCH(AC797, J:J, 0)),INDEX(E:E, MATCH(AC797, J:J, 0)))),"")</f>
        <v/>
      </c>
      <c r="AA797" s="28"/>
      <c r="AB797" s="28"/>
      <c r="AC797" s="28"/>
      <c r="AD797" s="28"/>
    </row>
    <row r="798" ht="30.0" customHeight="1">
      <c r="A798" s="488"/>
      <c r="B798" s="582"/>
      <c r="C798" s="256"/>
      <c r="D798" s="582"/>
      <c r="E798" s="488"/>
      <c r="F798" s="258"/>
      <c r="G798" s="173"/>
      <c r="H798" s="173"/>
      <c r="I798" s="576"/>
      <c r="J798" s="580"/>
      <c r="K798" s="569" t="str">
        <f t="shared" si="1"/>
        <v/>
      </c>
      <c r="L798" s="572"/>
      <c r="M798" s="173"/>
      <c r="N798" s="173"/>
      <c r="O798" s="173"/>
      <c r="P798" s="573"/>
      <c r="Q798" s="573"/>
      <c r="R798" s="173"/>
      <c r="S798" s="173"/>
      <c r="T798" s="173"/>
      <c r="U798" s="173"/>
      <c r="V798" s="173"/>
      <c r="W798" s="574"/>
      <c r="X798" s="575"/>
      <c r="Y798" s="28"/>
      <c r="Z798" s="543" t="str">
        <f t="array" ref="Z798">IF(LEN(AC798),lower(concatenate("bosvendor-",'2-Building'!B$4,"-",INDEX(D:D, MATCH(AC798, J:J, 0)),INDEX(E:E, MATCH(AC798, J:J, 0)))),"")</f>
        <v/>
      </c>
      <c r="AA798" s="28"/>
      <c r="AB798" s="28"/>
      <c r="AC798" s="28"/>
      <c r="AD798" s="28"/>
    </row>
    <row r="799" ht="30.0" customHeight="1">
      <c r="A799" s="488"/>
      <c r="B799" s="582"/>
      <c r="C799" s="256"/>
      <c r="D799" s="582"/>
      <c r="E799" s="488"/>
      <c r="F799" s="258"/>
      <c r="G799" s="173"/>
      <c r="H799" s="173"/>
      <c r="I799" s="576"/>
      <c r="J799" s="580"/>
      <c r="K799" s="569" t="str">
        <f t="shared" si="1"/>
        <v/>
      </c>
      <c r="L799" s="572"/>
      <c r="M799" s="173"/>
      <c r="N799" s="173"/>
      <c r="O799" s="173"/>
      <c r="P799" s="573"/>
      <c r="Q799" s="573"/>
      <c r="R799" s="173"/>
      <c r="S799" s="173"/>
      <c r="T799" s="173"/>
      <c r="U799" s="173"/>
      <c r="V799" s="173"/>
      <c r="W799" s="574"/>
      <c r="X799" s="575"/>
      <c r="Y799" s="28"/>
      <c r="Z799" s="543" t="str">
        <f t="array" ref="Z799">IF(LEN(AC799),lower(concatenate("bosvendor-",'2-Building'!B$4,"-",INDEX(D:D, MATCH(AC799, J:J, 0)),INDEX(E:E, MATCH(AC799, J:J, 0)))),"")</f>
        <v/>
      </c>
      <c r="AA799" s="28"/>
      <c r="AB799" s="28"/>
      <c r="AC799" s="28"/>
      <c r="AD799" s="28"/>
    </row>
    <row r="800" ht="30.0" customHeight="1">
      <c r="A800" s="488"/>
      <c r="B800" s="582"/>
      <c r="C800" s="256"/>
      <c r="D800" s="582"/>
      <c r="E800" s="488"/>
      <c r="F800" s="258"/>
      <c r="G800" s="173"/>
      <c r="H800" s="173"/>
      <c r="I800" s="576"/>
      <c r="J800" s="580"/>
      <c r="K800" s="569" t="str">
        <f t="shared" si="1"/>
        <v/>
      </c>
      <c r="L800" s="572"/>
      <c r="M800" s="173"/>
      <c r="N800" s="173"/>
      <c r="O800" s="173"/>
      <c r="P800" s="573"/>
      <c r="Q800" s="573"/>
      <c r="R800" s="173"/>
      <c r="S800" s="173"/>
      <c r="T800" s="173"/>
      <c r="U800" s="173"/>
      <c r="V800" s="173"/>
      <c r="W800" s="574"/>
      <c r="X800" s="575"/>
      <c r="Y800" s="28"/>
      <c r="Z800" s="543" t="str">
        <f t="array" ref="Z800">IF(LEN(AC800),lower(concatenate("bosvendor-",'2-Building'!B$4,"-",INDEX(D:D, MATCH(AC800, J:J, 0)),INDEX(E:E, MATCH(AC800, J:J, 0)))),"")</f>
        <v/>
      </c>
      <c r="AA800" s="28"/>
      <c r="AB800" s="28"/>
      <c r="AC800" s="28"/>
      <c r="AD800" s="28"/>
    </row>
    <row r="801" ht="30.0" customHeight="1">
      <c r="A801" s="488"/>
      <c r="B801" s="582"/>
      <c r="C801" s="256"/>
      <c r="D801" s="582"/>
      <c r="E801" s="488"/>
      <c r="F801" s="258"/>
      <c r="G801" s="173"/>
      <c r="H801" s="173"/>
      <c r="I801" s="576"/>
      <c r="J801" s="580"/>
      <c r="K801" s="569" t="str">
        <f t="shared" si="1"/>
        <v/>
      </c>
      <c r="L801" s="572"/>
      <c r="M801" s="173"/>
      <c r="N801" s="173"/>
      <c r="O801" s="173"/>
      <c r="P801" s="573"/>
      <c r="Q801" s="573"/>
      <c r="R801" s="173"/>
      <c r="S801" s="173"/>
      <c r="T801" s="173"/>
      <c r="U801" s="173"/>
      <c r="V801" s="173"/>
      <c r="W801" s="574"/>
      <c r="X801" s="575"/>
      <c r="Y801" s="28"/>
      <c r="Z801" s="543" t="str">
        <f t="array" ref="Z801">IF(LEN(AC801),lower(concatenate("bosvendor-",'2-Building'!B$4,"-",INDEX(D:D, MATCH(AC801, J:J, 0)),INDEX(E:E, MATCH(AC801, J:J, 0)))),"")</f>
        <v/>
      </c>
      <c r="AA801" s="28"/>
      <c r="AB801" s="28"/>
      <c r="AC801" s="28"/>
      <c r="AD801" s="28"/>
    </row>
    <row r="802" ht="30.0" customHeight="1">
      <c r="A802" s="488"/>
      <c r="B802" s="582"/>
      <c r="C802" s="256"/>
      <c r="D802" s="582"/>
      <c r="E802" s="488"/>
      <c r="F802" s="258"/>
      <c r="G802" s="173"/>
      <c r="H802" s="173"/>
      <c r="I802" s="576"/>
      <c r="J802" s="580"/>
      <c r="K802" s="569" t="str">
        <f t="shared" si="1"/>
        <v/>
      </c>
      <c r="L802" s="572"/>
      <c r="M802" s="173"/>
      <c r="N802" s="173"/>
      <c r="O802" s="173"/>
      <c r="P802" s="573"/>
      <c r="Q802" s="573"/>
      <c r="R802" s="173"/>
      <c r="S802" s="173"/>
      <c r="T802" s="173"/>
      <c r="U802" s="173"/>
      <c r="V802" s="173"/>
      <c r="W802" s="574"/>
      <c r="X802" s="575"/>
      <c r="Y802" s="28"/>
      <c r="Z802" s="543" t="str">
        <f t="array" ref="Z802">IF(LEN(AC802),lower(concatenate("bosvendor-",'2-Building'!B$4,"-",INDEX(D:D, MATCH(AC802, J:J, 0)),INDEX(E:E, MATCH(AC802, J:J, 0)))),"")</f>
        <v/>
      </c>
      <c r="AA802" s="28"/>
      <c r="AB802" s="28"/>
      <c r="AC802" s="28"/>
      <c r="AD802" s="28"/>
    </row>
    <row r="803" ht="30.0" customHeight="1">
      <c r="A803" s="488"/>
      <c r="B803" s="582"/>
      <c r="C803" s="256"/>
      <c r="D803" s="582"/>
      <c r="E803" s="488"/>
      <c r="F803" s="258"/>
      <c r="G803" s="173"/>
      <c r="H803" s="173"/>
      <c r="I803" s="576"/>
      <c r="J803" s="580"/>
      <c r="K803" s="569" t="str">
        <f t="shared" si="1"/>
        <v/>
      </c>
      <c r="L803" s="572"/>
      <c r="M803" s="173"/>
      <c r="N803" s="173"/>
      <c r="O803" s="173"/>
      <c r="P803" s="573"/>
      <c r="Q803" s="573"/>
      <c r="R803" s="173"/>
      <c r="S803" s="173"/>
      <c r="T803" s="173"/>
      <c r="U803" s="173"/>
      <c r="V803" s="173"/>
      <c r="W803" s="574"/>
      <c r="X803" s="575"/>
      <c r="Y803" s="28"/>
      <c r="Z803" s="543" t="str">
        <f t="array" ref="Z803">IF(LEN(AC803),lower(concatenate("bosvendor-",'2-Building'!B$4,"-",INDEX(D:D, MATCH(AC803, J:J, 0)),INDEX(E:E, MATCH(AC803, J:J, 0)))),"")</f>
        <v/>
      </c>
      <c r="AA803" s="28"/>
      <c r="AB803" s="28"/>
      <c r="AC803" s="28"/>
      <c r="AD803" s="28"/>
    </row>
    <row r="804" ht="30.0" customHeight="1">
      <c r="A804" s="488"/>
      <c r="B804" s="582"/>
      <c r="C804" s="256"/>
      <c r="D804" s="582"/>
      <c r="E804" s="488"/>
      <c r="F804" s="258"/>
      <c r="G804" s="173"/>
      <c r="H804" s="173"/>
      <c r="I804" s="576"/>
      <c r="J804" s="580"/>
      <c r="K804" s="569" t="str">
        <f t="shared" si="1"/>
        <v/>
      </c>
      <c r="L804" s="572"/>
      <c r="M804" s="173"/>
      <c r="N804" s="173"/>
      <c r="O804" s="173"/>
      <c r="P804" s="573"/>
      <c r="Q804" s="573"/>
      <c r="R804" s="173"/>
      <c r="S804" s="173"/>
      <c r="T804" s="173"/>
      <c r="U804" s="173"/>
      <c r="V804" s="173"/>
      <c r="W804" s="574"/>
      <c r="X804" s="575"/>
      <c r="Y804" s="28"/>
      <c r="Z804" s="543" t="str">
        <f t="array" ref="Z804">IF(LEN(AC804),lower(concatenate("bosvendor-",'2-Building'!B$4,"-",INDEX(D:D, MATCH(AC804, J:J, 0)),INDEX(E:E, MATCH(AC804, J:J, 0)))),"")</f>
        <v/>
      </c>
      <c r="AA804" s="28"/>
      <c r="AB804" s="28"/>
      <c r="AC804" s="28"/>
      <c r="AD804" s="28"/>
    </row>
    <row r="805" ht="30.0" customHeight="1">
      <c r="A805" s="488"/>
      <c r="B805" s="582"/>
      <c r="C805" s="256"/>
      <c r="D805" s="582"/>
      <c r="E805" s="488"/>
      <c r="F805" s="258"/>
      <c r="G805" s="173"/>
      <c r="H805" s="173"/>
      <c r="I805" s="576"/>
      <c r="J805" s="580"/>
      <c r="K805" s="569" t="str">
        <f t="shared" si="1"/>
        <v/>
      </c>
      <c r="L805" s="572"/>
      <c r="M805" s="173"/>
      <c r="N805" s="173"/>
      <c r="O805" s="173"/>
      <c r="P805" s="573"/>
      <c r="Q805" s="573"/>
      <c r="R805" s="173"/>
      <c r="S805" s="173"/>
      <c r="T805" s="173"/>
      <c r="U805" s="173"/>
      <c r="V805" s="173"/>
      <c r="W805" s="574"/>
      <c r="X805" s="575"/>
      <c r="Y805" s="28"/>
      <c r="Z805" s="543" t="str">
        <f t="array" ref="Z805">IF(LEN(AC805),lower(concatenate("bosvendor-",'2-Building'!B$4,"-",INDEX(D:D, MATCH(AC805, J:J, 0)),INDEX(E:E, MATCH(AC805, J:J, 0)))),"")</f>
        <v/>
      </c>
      <c r="AA805" s="28"/>
      <c r="AB805" s="28"/>
      <c r="AC805" s="28"/>
      <c r="AD805" s="28"/>
    </row>
    <row r="806" ht="30.0" customHeight="1">
      <c r="A806" s="488"/>
      <c r="B806" s="582"/>
      <c r="C806" s="256"/>
      <c r="D806" s="582"/>
      <c r="E806" s="488"/>
      <c r="F806" s="258"/>
      <c r="G806" s="173"/>
      <c r="H806" s="173"/>
      <c r="I806" s="576"/>
      <c r="J806" s="580"/>
      <c r="K806" s="569" t="str">
        <f t="shared" si="1"/>
        <v/>
      </c>
      <c r="L806" s="572"/>
      <c r="M806" s="173"/>
      <c r="N806" s="173"/>
      <c r="O806" s="173"/>
      <c r="P806" s="573"/>
      <c r="Q806" s="573"/>
      <c r="R806" s="173"/>
      <c r="S806" s="173"/>
      <c r="T806" s="173"/>
      <c r="U806" s="173"/>
      <c r="V806" s="173"/>
      <c r="W806" s="574"/>
      <c r="X806" s="575"/>
      <c r="Y806" s="28"/>
      <c r="Z806" s="543" t="str">
        <f t="array" ref="Z806">IF(LEN(AC806),lower(concatenate("bosvendor-",'2-Building'!B$4,"-",INDEX(D:D, MATCH(AC806, J:J, 0)),INDEX(E:E, MATCH(AC806, J:J, 0)))),"")</f>
        <v/>
      </c>
      <c r="AA806" s="28"/>
      <c r="AB806" s="28"/>
      <c r="AC806" s="28"/>
      <c r="AD806" s="28"/>
    </row>
    <row r="807" ht="30.0" customHeight="1">
      <c r="A807" s="488"/>
      <c r="B807" s="582"/>
      <c r="C807" s="256"/>
      <c r="D807" s="582"/>
      <c r="E807" s="488"/>
      <c r="F807" s="258"/>
      <c r="G807" s="173"/>
      <c r="H807" s="173"/>
      <c r="I807" s="576"/>
      <c r="J807" s="580"/>
      <c r="K807" s="569" t="str">
        <f t="shared" si="1"/>
        <v/>
      </c>
      <c r="L807" s="572"/>
      <c r="M807" s="173"/>
      <c r="N807" s="173"/>
      <c r="O807" s="173"/>
      <c r="P807" s="573"/>
      <c r="Q807" s="573"/>
      <c r="R807" s="173"/>
      <c r="S807" s="173"/>
      <c r="T807" s="173"/>
      <c r="U807" s="173"/>
      <c r="V807" s="173"/>
      <c r="W807" s="574"/>
      <c r="X807" s="575"/>
      <c r="Y807" s="28"/>
      <c r="Z807" s="543" t="str">
        <f t="array" ref="Z807">IF(LEN(AC807),lower(concatenate("bosvendor-",'2-Building'!B$4,"-",INDEX(D:D, MATCH(AC807, J:J, 0)),INDEX(E:E, MATCH(AC807, J:J, 0)))),"")</f>
        <v/>
      </c>
      <c r="AA807" s="28"/>
      <c r="AB807" s="28"/>
      <c r="AC807" s="28"/>
      <c r="AD807" s="28"/>
    </row>
    <row r="808" ht="30.0" customHeight="1">
      <c r="A808" s="488"/>
      <c r="B808" s="582"/>
      <c r="C808" s="256"/>
      <c r="D808" s="582"/>
      <c r="E808" s="488"/>
      <c r="F808" s="258"/>
      <c r="G808" s="173"/>
      <c r="H808" s="173"/>
      <c r="I808" s="576"/>
      <c r="J808" s="580"/>
      <c r="K808" s="569" t="str">
        <f t="shared" si="1"/>
        <v/>
      </c>
      <c r="L808" s="572"/>
      <c r="M808" s="173"/>
      <c r="N808" s="173"/>
      <c r="O808" s="173"/>
      <c r="P808" s="573"/>
      <c r="Q808" s="573"/>
      <c r="R808" s="173"/>
      <c r="S808" s="173"/>
      <c r="T808" s="173"/>
      <c r="U808" s="173"/>
      <c r="V808" s="173"/>
      <c r="W808" s="574"/>
      <c r="X808" s="575"/>
      <c r="Y808" s="28"/>
      <c r="Z808" s="543" t="str">
        <f t="array" ref="Z808">IF(LEN(AC808),lower(concatenate("bosvendor-",'2-Building'!B$4,"-",INDEX(D:D, MATCH(AC808, J:J, 0)),INDEX(E:E, MATCH(AC808, J:J, 0)))),"")</f>
        <v/>
      </c>
      <c r="AA808" s="28"/>
      <c r="AB808" s="28"/>
      <c r="AC808" s="28"/>
      <c r="AD808" s="28"/>
    </row>
    <row r="809" ht="30.0" customHeight="1">
      <c r="A809" s="488"/>
      <c r="B809" s="582"/>
      <c r="C809" s="256"/>
      <c r="D809" s="582"/>
      <c r="E809" s="488"/>
      <c r="F809" s="258"/>
      <c r="G809" s="173"/>
      <c r="H809" s="173"/>
      <c r="I809" s="576"/>
      <c r="J809" s="580"/>
      <c r="K809" s="569" t="str">
        <f t="shared" si="1"/>
        <v/>
      </c>
      <c r="L809" s="572"/>
      <c r="M809" s="173"/>
      <c r="N809" s="173"/>
      <c r="O809" s="173"/>
      <c r="P809" s="573"/>
      <c r="Q809" s="573"/>
      <c r="R809" s="173"/>
      <c r="S809" s="173"/>
      <c r="T809" s="173"/>
      <c r="U809" s="173"/>
      <c r="V809" s="173"/>
      <c r="W809" s="574"/>
      <c r="X809" s="575"/>
      <c r="Y809" s="28"/>
      <c r="Z809" s="543" t="str">
        <f t="array" ref="Z809">IF(LEN(AC809),lower(concatenate("bosvendor-",'2-Building'!B$4,"-",INDEX(D:D, MATCH(AC809, J:J, 0)),INDEX(E:E, MATCH(AC809, J:J, 0)))),"")</f>
        <v/>
      </c>
      <c r="AA809" s="28"/>
      <c r="AB809" s="28"/>
      <c r="AC809" s="28"/>
      <c r="AD809" s="28"/>
    </row>
    <row r="810" ht="30.0" customHeight="1">
      <c r="A810" s="488"/>
      <c r="B810" s="582"/>
      <c r="C810" s="256"/>
      <c r="D810" s="582"/>
      <c r="E810" s="488"/>
      <c r="F810" s="258"/>
      <c r="G810" s="173"/>
      <c r="H810" s="173"/>
      <c r="I810" s="576"/>
      <c r="J810" s="580"/>
      <c r="K810" s="569" t="str">
        <f t="shared" si="1"/>
        <v/>
      </c>
      <c r="L810" s="572"/>
      <c r="M810" s="173"/>
      <c r="N810" s="173"/>
      <c r="O810" s="173"/>
      <c r="P810" s="573"/>
      <c r="Q810" s="573"/>
      <c r="R810" s="173"/>
      <c r="S810" s="173"/>
      <c r="T810" s="173"/>
      <c r="U810" s="173"/>
      <c r="V810" s="173"/>
      <c r="W810" s="574"/>
      <c r="X810" s="575"/>
      <c r="Y810" s="28"/>
      <c r="Z810" s="543" t="str">
        <f t="array" ref="Z810">IF(LEN(AC810),lower(concatenate("bosvendor-",'2-Building'!B$4,"-",INDEX(D:D, MATCH(AC810, J:J, 0)),INDEX(E:E, MATCH(AC810, J:J, 0)))),"")</f>
        <v/>
      </c>
      <c r="AA810" s="28"/>
      <c r="AB810" s="28"/>
      <c r="AC810" s="28"/>
      <c r="AD810" s="28"/>
    </row>
    <row r="811" ht="30.0" customHeight="1">
      <c r="A811" s="488"/>
      <c r="B811" s="582"/>
      <c r="C811" s="256"/>
      <c r="D811" s="582"/>
      <c r="E811" s="488"/>
      <c r="F811" s="258"/>
      <c r="G811" s="173"/>
      <c r="H811" s="173"/>
      <c r="I811" s="576"/>
      <c r="J811" s="580"/>
      <c r="K811" s="569" t="str">
        <f t="shared" si="1"/>
        <v/>
      </c>
      <c r="L811" s="572"/>
      <c r="M811" s="173"/>
      <c r="N811" s="173"/>
      <c r="O811" s="173"/>
      <c r="P811" s="573"/>
      <c r="Q811" s="573"/>
      <c r="R811" s="173"/>
      <c r="S811" s="173"/>
      <c r="T811" s="173"/>
      <c r="U811" s="173"/>
      <c r="V811" s="173"/>
      <c r="W811" s="574"/>
      <c r="X811" s="575"/>
      <c r="Y811" s="28"/>
      <c r="Z811" s="543" t="str">
        <f t="array" ref="Z811">IF(LEN(AC811),lower(concatenate("bosvendor-",'2-Building'!B$4,"-",INDEX(D:D, MATCH(AC811, J:J, 0)),INDEX(E:E, MATCH(AC811, J:J, 0)))),"")</f>
        <v/>
      </c>
      <c r="AA811" s="28"/>
      <c r="AB811" s="28"/>
      <c r="AC811" s="28"/>
      <c r="AD811" s="28"/>
    </row>
    <row r="812" ht="30.0" customHeight="1">
      <c r="A812" s="488"/>
      <c r="B812" s="582"/>
      <c r="C812" s="256"/>
      <c r="D812" s="582"/>
      <c r="E812" s="488"/>
      <c r="F812" s="258"/>
      <c r="G812" s="173"/>
      <c r="H812" s="173"/>
      <c r="I812" s="576"/>
      <c r="J812" s="580"/>
      <c r="K812" s="569" t="str">
        <f t="shared" si="1"/>
        <v/>
      </c>
      <c r="L812" s="572"/>
      <c r="M812" s="173"/>
      <c r="N812" s="173"/>
      <c r="O812" s="173"/>
      <c r="P812" s="573"/>
      <c r="Q812" s="573"/>
      <c r="R812" s="173"/>
      <c r="S812" s="173"/>
      <c r="T812" s="173"/>
      <c r="U812" s="173"/>
      <c r="V812" s="173"/>
      <c r="W812" s="574"/>
      <c r="X812" s="575"/>
      <c r="Y812" s="28"/>
      <c r="Z812" s="543" t="str">
        <f t="array" ref="Z812">IF(LEN(AC812),lower(concatenate("bosvendor-",'2-Building'!B$4,"-",INDEX(D:D, MATCH(AC812, J:J, 0)),INDEX(E:E, MATCH(AC812, J:J, 0)))),"")</f>
        <v/>
      </c>
      <c r="AA812" s="28"/>
      <c r="AB812" s="28"/>
      <c r="AC812" s="28"/>
      <c r="AD812" s="28"/>
    </row>
    <row r="813" ht="30.0" customHeight="1">
      <c r="A813" s="488"/>
      <c r="B813" s="582"/>
      <c r="C813" s="256"/>
      <c r="D813" s="582"/>
      <c r="E813" s="488"/>
      <c r="F813" s="258"/>
      <c r="G813" s="173"/>
      <c r="H813" s="173"/>
      <c r="I813" s="576"/>
      <c r="J813" s="580"/>
      <c r="K813" s="569" t="str">
        <f t="shared" si="1"/>
        <v/>
      </c>
      <c r="L813" s="572"/>
      <c r="M813" s="173"/>
      <c r="N813" s="173"/>
      <c r="O813" s="173"/>
      <c r="P813" s="573"/>
      <c r="Q813" s="573"/>
      <c r="R813" s="173"/>
      <c r="S813" s="173"/>
      <c r="T813" s="173"/>
      <c r="U813" s="173"/>
      <c r="V813" s="173"/>
      <c r="W813" s="574"/>
      <c r="X813" s="575"/>
      <c r="Y813" s="28"/>
      <c r="Z813" s="543" t="str">
        <f t="array" ref="Z813">IF(LEN(AC813),lower(concatenate("bosvendor-",'2-Building'!B$4,"-",INDEX(D:D, MATCH(AC813, J:J, 0)),INDEX(E:E, MATCH(AC813, J:J, 0)))),"")</f>
        <v/>
      </c>
      <c r="AA813" s="28"/>
      <c r="AB813" s="28"/>
      <c r="AC813" s="28"/>
      <c r="AD813" s="28"/>
    </row>
    <row r="814" ht="30.0" customHeight="1">
      <c r="A814" s="488"/>
      <c r="B814" s="582"/>
      <c r="C814" s="256"/>
      <c r="D814" s="582"/>
      <c r="E814" s="488"/>
      <c r="F814" s="258"/>
      <c r="G814" s="173"/>
      <c r="H814" s="173"/>
      <c r="I814" s="576"/>
      <c r="J814" s="580"/>
      <c r="K814" s="569" t="str">
        <f t="shared" si="1"/>
        <v/>
      </c>
      <c r="L814" s="572"/>
      <c r="M814" s="173"/>
      <c r="N814" s="173"/>
      <c r="O814" s="173"/>
      <c r="P814" s="573"/>
      <c r="Q814" s="573"/>
      <c r="R814" s="173"/>
      <c r="S814" s="173"/>
      <c r="T814" s="173"/>
      <c r="U814" s="173"/>
      <c r="V814" s="173"/>
      <c r="W814" s="574"/>
      <c r="X814" s="575"/>
      <c r="Y814" s="28"/>
      <c r="Z814" s="543" t="str">
        <f t="array" ref="Z814">IF(LEN(AC814),lower(concatenate("bosvendor-",'2-Building'!B$4,"-",INDEX(D:D, MATCH(AC814, J:J, 0)),INDEX(E:E, MATCH(AC814, J:J, 0)))),"")</f>
        <v/>
      </c>
      <c r="AA814" s="28"/>
      <c r="AB814" s="28"/>
      <c r="AC814" s="28"/>
      <c r="AD814" s="28"/>
    </row>
    <row r="815" ht="30.0" customHeight="1">
      <c r="A815" s="488"/>
      <c r="B815" s="582"/>
      <c r="C815" s="256"/>
      <c r="D815" s="582"/>
      <c r="E815" s="488"/>
      <c r="F815" s="258"/>
      <c r="G815" s="173"/>
      <c r="H815" s="173"/>
      <c r="I815" s="576"/>
      <c r="J815" s="580"/>
      <c r="K815" s="569" t="str">
        <f t="shared" si="1"/>
        <v/>
      </c>
      <c r="L815" s="572"/>
      <c r="M815" s="173"/>
      <c r="N815" s="173"/>
      <c r="O815" s="173"/>
      <c r="P815" s="573"/>
      <c r="Q815" s="573"/>
      <c r="R815" s="173"/>
      <c r="S815" s="173"/>
      <c r="T815" s="173"/>
      <c r="U815" s="173"/>
      <c r="V815" s="173"/>
      <c r="W815" s="574"/>
      <c r="X815" s="575"/>
      <c r="Y815" s="28"/>
      <c r="Z815" s="543" t="str">
        <f t="array" ref="Z815">IF(LEN(AC815),lower(concatenate("bosvendor-",'2-Building'!B$4,"-",INDEX(D:D, MATCH(AC815, J:J, 0)),INDEX(E:E, MATCH(AC815, J:J, 0)))),"")</f>
        <v/>
      </c>
      <c r="AA815" s="28"/>
      <c r="AB815" s="28"/>
      <c r="AC815" s="28"/>
      <c r="AD815" s="28"/>
    </row>
    <row r="816" ht="30.0" customHeight="1">
      <c r="A816" s="488"/>
      <c r="B816" s="582"/>
      <c r="C816" s="256"/>
      <c r="D816" s="582"/>
      <c r="E816" s="488"/>
      <c r="F816" s="258"/>
      <c r="G816" s="173"/>
      <c r="H816" s="173"/>
      <c r="I816" s="576"/>
      <c r="J816" s="580"/>
      <c r="K816" s="569" t="str">
        <f t="shared" si="1"/>
        <v/>
      </c>
      <c r="L816" s="572"/>
      <c r="M816" s="173"/>
      <c r="N816" s="173"/>
      <c r="O816" s="173"/>
      <c r="P816" s="573"/>
      <c r="Q816" s="573"/>
      <c r="R816" s="173"/>
      <c r="S816" s="173"/>
      <c r="T816" s="173"/>
      <c r="U816" s="173"/>
      <c r="V816" s="173"/>
      <c r="W816" s="574"/>
      <c r="X816" s="575"/>
      <c r="Y816" s="28"/>
      <c r="Z816" s="543" t="str">
        <f t="array" ref="Z816">IF(LEN(AC816),lower(concatenate("bosvendor-",'2-Building'!B$4,"-",INDEX(D:D, MATCH(AC816, J:J, 0)),INDEX(E:E, MATCH(AC816, J:J, 0)))),"")</f>
        <v/>
      </c>
      <c r="AA816" s="28"/>
      <c r="AB816" s="28"/>
      <c r="AC816" s="28"/>
      <c r="AD816" s="28"/>
    </row>
    <row r="817" ht="30.0" customHeight="1">
      <c r="A817" s="488"/>
      <c r="B817" s="582"/>
      <c r="C817" s="256"/>
      <c r="D817" s="582"/>
      <c r="E817" s="488"/>
      <c r="F817" s="258"/>
      <c r="G817" s="173"/>
      <c r="H817" s="173"/>
      <c r="I817" s="576"/>
      <c r="J817" s="580"/>
      <c r="K817" s="569" t="str">
        <f t="shared" si="1"/>
        <v/>
      </c>
      <c r="L817" s="572"/>
      <c r="M817" s="173"/>
      <c r="N817" s="173"/>
      <c r="O817" s="173"/>
      <c r="P817" s="573"/>
      <c r="Q817" s="573"/>
      <c r="R817" s="173"/>
      <c r="S817" s="173"/>
      <c r="T817" s="173"/>
      <c r="U817" s="173"/>
      <c r="V817" s="173"/>
      <c r="W817" s="574"/>
      <c r="X817" s="575"/>
      <c r="Y817" s="28"/>
      <c r="Z817" s="543" t="str">
        <f t="array" ref="Z817">IF(LEN(AC817),lower(concatenate("bosvendor-",'2-Building'!B$4,"-",INDEX(D:D, MATCH(AC817, J:J, 0)),INDEX(E:E, MATCH(AC817, J:J, 0)))),"")</f>
        <v/>
      </c>
      <c r="AA817" s="28"/>
      <c r="AB817" s="28"/>
      <c r="AC817" s="28"/>
      <c r="AD817" s="28"/>
    </row>
    <row r="818" ht="30.0" customHeight="1">
      <c r="A818" s="488"/>
      <c r="B818" s="582"/>
      <c r="C818" s="256"/>
      <c r="D818" s="582"/>
      <c r="E818" s="488"/>
      <c r="F818" s="258"/>
      <c r="G818" s="173"/>
      <c r="H818" s="173"/>
      <c r="I818" s="576"/>
      <c r="J818" s="580"/>
      <c r="K818" s="569" t="str">
        <f t="shared" si="1"/>
        <v/>
      </c>
      <c r="L818" s="572"/>
      <c r="M818" s="173"/>
      <c r="N818" s="173"/>
      <c r="O818" s="173"/>
      <c r="P818" s="573"/>
      <c r="Q818" s="573"/>
      <c r="R818" s="173"/>
      <c r="S818" s="173"/>
      <c r="T818" s="173"/>
      <c r="U818" s="173"/>
      <c r="V818" s="173"/>
      <c r="W818" s="574"/>
      <c r="X818" s="575"/>
      <c r="Y818" s="28"/>
      <c r="Z818" s="543" t="str">
        <f t="array" ref="Z818">IF(LEN(AC818),lower(concatenate("bosvendor-",'2-Building'!B$4,"-",INDEX(D:D, MATCH(AC818, J:J, 0)),INDEX(E:E, MATCH(AC818, J:J, 0)))),"")</f>
        <v/>
      </c>
      <c r="AA818" s="28"/>
      <c r="AB818" s="28"/>
      <c r="AC818" s="28"/>
      <c r="AD818" s="28"/>
    </row>
    <row r="819" ht="30.0" customHeight="1">
      <c r="A819" s="488"/>
      <c r="B819" s="582"/>
      <c r="C819" s="256"/>
      <c r="D819" s="582"/>
      <c r="E819" s="488"/>
      <c r="F819" s="258"/>
      <c r="G819" s="173"/>
      <c r="H819" s="173"/>
      <c r="I819" s="576"/>
      <c r="J819" s="580"/>
      <c r="K819" s="569" t="str">
        <f t="shared" si="1"/>
        <v/>
      </c>
      <c r="L819" s="572"/>
      <c r="M819" s="173"/>
      <c r="N819" s="173"/>
      <c r="O819" s="173"/>
      <c r="P819" s="573"/>
      <c r="Q819" s="573"/>
      <c r="R819" s="173"/>
      <c r="S819" s="173"/>
      <c r="T819" s="173"/>
      <c r="U819" s="173"/>
      <c r="V819" s="173"/>
      <c r="W819" s="574"/>
      <c r="X819" s="575"/>
      <c r="Y819" s="28"/>
      <c r="Z819" s="543" t="str">
        <f t="array" ref="Z819">IF(LEN(AC819),lower(concatenate("bosvendor-",'2-Building'!B$4,"-",INDEX(D:D, MATCH(AC819, J:J, 0)),INDEX(E:E, MATCH(AC819, J:J, 0)))),"")</f>
        <v/>
      </c>
      <c r="AA819" s="28"/>
      <c r="AB819" s="28"/>
      <c r="AC819" s="28"/>
      <c r="AD819" s="28"/>
    </row>
    <row r="820" ht="30.0" customHeight="1">
      <c r="A820" s="488"/>
      <c r="B820" s="582"/>
      <c r="C820" s="256"/>
      <c r="D820" s="582"/>
      <c r="E820" s="488"/>
      <c r="F820" s="258"/>
      <c r="G820" s="173"/>
      <c r="H820" s="173"/>
      <c r="I820" s="576"/>
      <c r="J820" s="580"/>
      <c r="K820" s="569" t="str">
        <f t="shared" si="1"/>
        <v/>
      </c>
      <c r="L820" s="572"/>
      <c r="M820" s="173"/>
      <c r="N820" s="173"/>
      <c r="O820" s="173"/>
      <c r="P820" s="573"/>
      <c r="Q820" s="573"/>
      <c r="R820" s="173"/>
      <c r="S820" s="173"/>
      <c r="T820" s="173"/>
      <c r="U820" s="173"/>
      <c r="V820" s="173"/>
      <c r="W820" s="574"/>
      <c r="X820" s="575"/>
      <c r="Y820" s="28"/>
      <c r="Z820" s="543" t="str">
        <f t="array" ref="Z820">IF(LEN(AC820),lower(concatenate("bosvendor-",'2-Building'!B$4,"-",INDEX(D:D, MATCH(AC820, J:J, 0)),INDEX(E:E, MATCH(AC820, J:J, 0)))),"")</f>
        <v/>
      </c>
      <c r="AA820" s="28"/>
      <c r="AB820" s="28"/>
      <c r="AC820" s="28"/>
      <c r="AD820" s="28"/>
    </row>
    <row r="821" ht="30.0" customHeight="1">
      <c r="A821" s="488"/>
      <c r="B821" s="582"/>
      <c r="C821" s="256"/>
      <c r="D821" s="582"/>
      <c r="E821" s="488"/>
      <c r="F821" s="258"/>
      <c r="G821" s="173"/>
      <c r="H821" s="173"/>
      <c r="I821" s="576"/>
      <c r="J821" s="580"/>
      <c r="K821" s="569" t="str">
        <f t="shared" si="1"/>
        <v/>
      </c>
      <c r="L821" s="572"/>
      <c r="M821" s="173"/>
      <c r="N821" s="173"/>
      <c r="O821" s="173"/>
      <c r="P821" s="573"/>
      <c r="Q821" s="573"/>
      <c r="R821" s="173"/>
      <c r="S821" s="173"/>
      <c r="T821" s="173"/>
      <c r="U821" s="173"/>
      <c r="V821" s="173"/>
      <c r="W821" s="574"/>
      <c r="X821" s="575"/>
      <c r="Y821" s="28"/>
      <c r="Z821" s="543" t="str">
        <f t="array" ref="Z821">IF(LEN(AC821),lower(concatenate("bosvendor-",'2-Building'!B$4,"-",INDEX(D:D, MATCH(AC821, J:J, 0)),INDEX(E:E, MATCH(AC821, J:J, 0)))),"")</f>
        <v/>
      </c>
      <c r="AA821" s="28"/>
      <c r="AB821" s="28"/>
      <c r="AC821" s="28"/>
      <c r="AD821" s="28"/>
    </row>
    <row r="822" ht="30.0" customHeight="1">
      <c r="A822" s="488"/>
      <c r="B822" s="582"/>
      <c r="C822" s="256"/>
      <c r="D822" s="582"/>
      <c r="E822" s="488"/>
      <c r="F822" s="258"/>
      <c r="G822" s="173"/>
      <c r="H822" s="173"/>
      <c r="I822" s="576"/>
      <c r="J822" s="580"/>
      <c r="K822" s="569" t="str">
        <f t="shared" si="1"/>
        <v/>
      </c>
      <c r="L822" s="572"/>
      <c r="M822" s="173"/>
      <c r="N822" s="173"/>
      <c r="O822" s="173"/>
      <c r="P822" s="573"/>
      <c r="Q822" s="573"/>
      <c r="R822" s="173"/>
      <c r="S822" s="173"/>
      <c r="T822" s="173"/>
      <c r="U822" s="173"/>
      <c r="V822" s="173"/>
      <c r="W822" s="574"/>
      <c r="X822" s="575"/>
      <c r="Y822" s="28"/>
      <c r="Z822" s="543" t="str">
        <f t="array" ref="Z822">IF(LEN(AC822),lower(concatenate("bosvendor-",'2-Building'!B$4,"-",INDEX(D:D, MATCH(AC822, J:J, 0)),INDEX(E:E, MATCH(AC822, J:J, 0)))),"")</f>
        <v/>
      </c>
      <c r="AA822" s="28"/>
      <c r="AB822" s="28"/>
      <c r="AC822" s="28"/>
      <c r="AD822" s="28"/>
    </row>
    <row r="823" ht="30.0" customHeight="1">
      <c r="A823" s="488"/>
      <c r="B823" s="582"/>
      <c r="C823" s="256"/>
      <c r="D823" s="582"/>
      <c r="E823" s="488"/>
      <c r="F823" s="258"/>
      <c r="G823" s="173"/>
      <c r="H823" s="173"/>
      <c r="I823" s="576"/>
      <c r="J823" s="580"/>
      <c r="K823" s="569" t="str">
        <f t="shared" si="1"/>
        <v/>
      </c>
      <c r="L823" s="572"/>
      <c r="M823" s="173"/>
      <c r="N823" s="173"/>
      <c r="O823" s="173"/>
      <c r="P823" s="573"/>
      <c r="Q823" s="573"/>
      <c r="R823" s="173"/>
      <c r="S823" s="173"/>
      <c r="T823" s="173"/>
      <c r="U823" s="173"/>
      <c r="V823" s="173"/>
      <c r="W823" s="574"/>
      <c r="X823" s="575"/>
      <c r="Y823" s="28"/>
      <c r="Z823" s="543" t="str">
        <f t="array" ref="Z823">IF(LEN(AC823),lower(concatenate("bosvendor-",'2-Building'!B$4,"-",INDEX(D:D, MATCH(AC823, J:J, 0)),INDEX(E:E, MATCH(AC823, J:J, 0)))),"")</f>
        <v/>
      </c>
      <c r="AA823" s="28"/>
      <c r="AB823" s="28"/>
      <c r="AC823" s="28"/>
      <c r="AD823" s="28"/>
    </row>
    <row r="824" ht="30.0" customHeight="1">
      <c r="A824" s="488"/>
      <c r="B824" s="582"/>
      <c r="C824" s="256"/>
      <c r="D824" s="582"/>
      <c r="E824" s="488"/>
      <c r="F824" s="258"/>
      <c r="G824" s="173"/>
      <c r="H824" s="173"/>
      <c r="I824" s="576"/>
      <c r="J824" s="580"/>
      <c r="K824" s="569" t="str">
        <f t="shared" si="1"/>
        <v/>
      </c>
      <c r="L824" s="572"/>
      <c r="M824" s="173"/>
      <c r="N824" s="173"/>
      <c r="O824" s="173"/>
      <c r="P824" s="573"/>
      <c r="Q824" s="573"/>
      <c r="R824" s="173"/>
      <c r="S824" s="173"/>
      <c r="T824" s="173"/>
      <c r="U824" s="173"/>
      <c r="V824" s="173"/>
      <c r="W824" s="574"/>
      <c r="X824" s="575"/>
      <c r="Y824" s="28"/>
      <c r="Z824" s="543" t="str">
        <f t="array" ref="Z824">IF(LEN(AC824),lower(concatenate("bosvendor-",'2-Building'!B$4,"-",INDEX(D:D, MATCH(AC824, J:J, 0)),INDEX(E:E, MATCH(AC824, J:J, 0)))),"")</f>
        <v/>
      </c>
      <c r="AA824" s="28"/>
      <c r="AB824" s="28"/>
      <c r="AC824" s="28"/>
      <c r="AD824" s="28"/>
    </row>
    <row r="825" ht="30.0" customHeight="1">
      <c r="A825" s="488"/>
      <c r="B825" s="582"/>
      <c r="C825" s="256"/>
      <c r="D825" s="582"/>
      <c r="E825" s="488"/>
      <c r="F825" s="258"/>
      <c r="G825" s="173"/>
      <c r="H825" s="173"/>
      <c r="I825" s="576"/>
      <c r="J825" s="580"/>
      <c r="K825" s="569" t="str">
        <f t="shared" si="1"/>
        <v/>
      </c>
      <c r="L825" s="572"/>
      <c r="M825" s="173"/>
      <c r="N825" s="173"/>
      <c r="O825" s="173"/>
      <c r="P825" s="573"/>
      <c r="Q825" s="573"/>
      <c r="R825" s="173"/>
      <c r="S825" s="173"/>
      <c r="T825" s="173"/>
      <c r="U825" s="173"/>
      <c r="V825" s="173"/>
      <c r="W825" s="574"/>
      <c r="X825" s="575"/>
      <c r="Y825" s="28"/>
      <c r="Z825" s="543" t="str">
        <f t="array" ref="Z825">IF(LEN(AC825),lower(concatenate("bosvendor-",'2-Building'!B$4,"-",INDEX(D:D, MATCH(AC825, J:J, 0)),INDEX(E:E, MATCH(AC825, J:J, 0)))),"")</f>
        <v/>
      </c>
      <c r="AA825" s="28"/>
      <c r="AB825" s="28"/>
      <c r="AC825" s="28"/>
      <c r="AD825" s="28"/>
    </row>
    <row r="826" ht="30.0" customHeight="1">
      <c r="A826" s="488"/>
      <c r="B826" s="582"/>
      <c r="C826" s="256"/>
      <c r="D826" s="582"/>
      <c r="E826" s="488"/>
      <c r="F826" s="258"/>
      <c r="G826" s="173"/>
      <c r="H826" s="173"/>
      <c r="I826" s="576"/>
      <c r="J826" s="580"/>
      <c r="K826" s="569" t="str">
        <f t="shared" si="1"/>
        <v/>
      </c>
      <c r="L826" s="572"/>
      <c r="M826" s="173"/>
      <c r="N826" s="173"/>
      <c r="O826" s="173"/>
      <c r="P826" s="573"/>
      <c r="Q826" s="573"/>
      <c r="R826" s="173"/>
      <c r="S826" s="173"/>
      <c r="T826" s="173"/>
      <c r="U826" s="173"/>
      <c r="V826" s="173"/>
      <c r="W826" s="574"/>
      <c r="X826" s="575"/>
      <c r="Y826" s="28"/>
      <c r="Z826" s="543" t="str">
        <f t="array" ref="Z826">IF(LEN(AC826),lower(concatenate("bosvendor-",'2-Building'!B$4,"-",INDEX(D:D, MATCH(AC826, J:J, 0)),INDEX(E:E, MATCH(AC826, J:J, 0)))),"")</f>
        <v/>
      </c>
      <c r="AA826" s="28"/>
      <c r="AB826" s="28"/>
      <c r="AC826" s="28"/>
      <c r="AD826" s="28"/>
    </row>
    <row r="827" ht="30.0" customHeight="1">
      <c r="A827" s="488"/>
      <c r="B827" s="582"/>
      <c r="C827" s="256"/>
      <c r="D827" s="582"/>
      <c r="E827" s="488"/>
      <c r="F827" s="258"/>
      <c r="G827" s="173"/>
      <c r="H827" s="173"/>
      <c r="I827" s="576"/>
      <c r="J827" s="580"/>
      <c r="K827" s="569" t="str">
        <f t="shared" si="1"/>
        <v/>
      </c>
      <c r="L827" s="572"/>
      <c r="M827" s="173"/>
      <c r="N827" s="173"/>
      <c r="O827" s="173"/>
      <c r="P827" s="573"/>
      <c r="Q827" s="573"/>
      <c r="R827" s="173"/>
      <c r="S827" s="173"/>
      <c r="T827" s="173"/>
      <c r="U827" s="173"/>
      <c r="V827" s="173"/>
      <c r="W827" s="574"/>
      <c r="X827" s="575"/>
      <c r="Y827" s="28"/>
      <c r="Z827" s="543" t="str">
        <f t="array" ref="Z827">IF(LEN(AC827),lower(concatenate("bosvendor-",'2-Building'!B$4,"-",INDEX(D:D, MATCH(AC827, J:J, 0)),INDEX(E:E, MATCH(AC827, J:J, 0)))),"")</f>
        <v/>
      </c>
      <c r="AA827" s="28"/>
      <c r="AB827" s="28"/>
      <c r="AC827" s="28"/>
      <c r="AD827" s="28"/>
    </row>
    <row r="828" ht="30.0" customHeight="1">
      <c r="A828" s="488"/>
      <c r="B828" s="582"/>
      <c r="C828" s="256"/>
      <c r="D828" s="582"/>
      <c r="E828" s="488"/>
      <c r="F828" s="258"/>
      <c r="G828" s="173"/>
      <c r="H828" s="173"/>
      <c r="I828" s="576"/>
      <c r="J828" s="580"/>
      <c r="K828" s="569" t="str">
        <f t="shared" si="1"/>
        <v/>
      </c>
      <c r="L828" s="572"/>
      <c r="M828" s="173"/>
      <c r="N828" s="173"/>
      <c r="O828" s="173"/>
      <c r="P828" s="573"/>
      <c r="Q828" s="573"/>
      <c r="R828" s="173"/>
      <c r="S828" s="173"/>
      <c r="T828" s="173"/>
      <c r="U828" s="173"/>
      <c r="V828" s="173"/>
      <c r="W828" s="574"/>
      <c r="X828" s="575"/>
      <c r="Y828" s="28"/>
      <c r="Z828" s="543" t="str">
        <f t="array" ref="Z828">IF(LEN(AC828),lower(concatenate("bosvendor-",'2-Building'!B$4,"-",INDEX(D:D, MATCH(AC828, J:J, 0)),INDEX(E:E, MATCH(AC828, J:J, 0)))),"")</f>
        <v/>
      </c>
      <c r="AA828" s="28"/>
      <c r="AB828" s="28"/>
      <c r="AC828" s="28"/>
      <c r="AD828" s="28"/>
    </row>
    <row r="829" ht="30.0" customHeight="1">
      <c r="A829" s="488"/>
      <c r="B829" s="582"/>
      <c r="C829" s="256"/>
      <c r="D829" s="582"/>
      <c r="E829" s="488"/>
      <c r="F829" s="258"/>
      <c r="G829" s="173"/>
      <c r="H829" s="173"/>
      <c r="I829" s="576"/>
      <c r="J829" s="580"/>
      <c r="K829" s="569" t="str">
        <f t="shared" si="1"/>
        <v/>
      </c>
      <c r="L829" s="572"/>
      <c r="M829" s="173"/>
      <c r="N829" s="173"/>
      <c r="O829" s="173"/>
      <c r="P829" s="573"/>
      <c r="Q829" s="573"/>
      <c r="R829" s="173"/>
      <c r="S829" s="173"/>
      <c r="T829" s="173"/>
      <c r="U829" s="173"/>
      <c r="V829" s="173"/>
      <c r="W829" s="574"/>
      <c r="X829" s="575"/>
      <c r="Y829" s="28"/>
      <c r="Z829" s="543" t="str">
        <f t="array" ref="Z829">IF(LEN(AC829),lower(concatenate("bosvendor-",'2-Building'!B$4,"-",INDEX(D:D, MATCH(AC829, J:J, 0)),INDEX(E:E, MATCH(AC829, J:J, 0)))),"")</f>
        <v/>
      </c>
      <c r="AA829" s="28"/>
      <c r="AB829" s="28"/>
      <c r="AC829" s="28"/>
      <c r="AD829" s="28"/>
    </row>
    <row r="830" ht="30.0" customHeight="1">
      <c r="A830" s="488"/>
      <c r="B830" s="582"/>
      <c r="C830" s="256"/>
      <c r="D830" s="582"/>
      <c r="E830" s="488"/>
      <c r="F830" s="258"/>
      <c r="G830" s="173"/>
      <c r="H830" s="173"/>
      <c r="I830" s="576"/>
      <c r="J830" s="580"/>
      <c r="K830" s="569" t="str">
        <f t="shared" si="1"/>
        <v/>
      </c>
      <c r="L830" s="572"/>
      <c r="M830" s="173"/>
      <c r="N830" s="173"/>
      <c r="O830" s="173"/>
      <c r="P830" s="573"/>
      <c r="Q830" s="573"/>
      <c r="R830" s="173"/>
      <c r="S830" s="173"/>
      <c r="T830" s="173"/>
      <c r="U830" s="173"/>
      <c r="V830" s="173"/>
      <c r="W830" s="574"/>
      <c r="X830" s="575"/>
      <c r="Y830" s="28"/>
      <c r="Z830" s="543" t="str">
        <f t="array" ref="Z830">IF(LEN(AC830),lower(concatenate("bosvendor-",'2-Building'!B$4,"-",INDEX(D:D, MATCH(AC830, J:J, 0)),INDEX(E:E, MATCH(AC830, J:J, 0)))),"")</f>
        <v/>
      </c>
      <c r="AA830" s="28"/>
      <c r="AB830" s="28"/>
      <c r="AC830" s="28"/>
      <c r="AD830" s="28"/>
    </row>
    <row r="831" ht="30.0" customHeight="1">
      <c r="A831" s="488"/>
      <c r="B831" s="582"/>
      <c r="C831" s="256"/>
      <c r="D831" s="582"/>
      <c r="E831" s="488"/>
      <c r="F831" s="258"/>
      <c r="G831" s="173"/>
      <c r="H831" s="173"/>
      <c r="I831" s="576"/>
      <c r="J831" s="580"/>
      <c r="K831" s="569" t="str">
        <f t="shared" si="1"/>
        <v/>
      </c>
      <c r="L831" s="572"/>
      <c r="M831" s="173"/>
      <c r="N831" s="173"/>
      <c r="O831" s="173"/>
      <c r="P831" s="573"/>
      <c r="Q831" s="573"/>
      <c r="R831" s="173"/>
      <c r="S831" s="173"/>
      <c r="T831" s="173"/>
      <c r="U831" s="173"/>
      <c r="V831" s="173"/>
      <c r="W831" s="574"/>
      <c r="X831" s="575"/>
      <c r="Y831" s="28"/>
      <c r="Z831" s="543" t="str">
        <f t="array" ref="Z831">IF(LEN(AC831),lower(concatenate("bosvendor-",'2-Building'!B$4,"-",INDEX(D:D, MATCH(AC831, J:J, 0)),INDEX(E:E, MATCH(AC831, J:J, 0)))),"")</f>
        <v/>
      </c>
      <c r="AA831" s="28"/>
      <c r="AB831" s="28"/>
      <c r="AC831" s="28"/>
      <c r="AD831" s="28"/>
    </row>
    <row r="832" ht="30.0" customHeight="1">
      <c r="A832" s="488"/>
      <c r="B832" s="582"/>
      <c r="C832" s="256"/>
      <c r="D832" s="582"/>
      <c r="E832" s="488"/>
      <c r="F832" s="258"/>
      <c r="G832" s="173"/>
      <c r="H832" s="173"/>
      <c r="I832" s="576"/>
      <c r="J832" s="580"/>
      <c r="K832" s="569" t="str">
        <f t="shared" si="1"/>
        <v/>
      </c>
      <c r="L832" s="572"/>
      <c r="M832" s="173"/>
      <c r="N832" s="173"/>
      <c r="O832" s="173"/>
      <c r="P832" s="573"/>
      <c r="Q832" s="573"/>
      <c r="R832" s="173"/>
      <c r="S832" s="173"/>
      <c r="T832" s="173"/>
      <c r="U832" s="173"/>
      <c r="V832" s="173"/>
      <c r="W832" s="574"/>
      <c r="X832" s="575"/>
      <c r="Y832" s="28"/>
      <c r="Z832" s="543" t="str">
        <f t="array" ref="Z832">IF(LEN(AC832),lower(concatenate("bosvendor-",'2-Building'!B$4,"-",INDEX(D:D, MATCH(AC832, J:J, 0)),INDEX(E:E, MATCH(AC832, J:J, 0)))),"")</f>
        <v/>
      </c>
      <c r="AA832" s="28"/>
      <c r="AB832" s="28"/>
      <c r="AC832" s="28"/>
      <c r="AD832" s="28"/>
    </row>
    <row r="833" ht="30.0" customHeight="1">
      <c r="A833" s="488"/>
      <c r="B833" s="582"/>
      <c r="C833" s="256"/>
      <c r="D833" s="582"/>
      <c r="E833" s="488"/>
      <c r="F833" s="258"/>
      <c r="G833" s="173"/>
      <c r="H833" s="173"/>
      <c r="I833" s="576"/>
      <c r="J833" s="580"/>
      <c r="K833" s="569" t="str">
        <f t="shared" si="1"/>
        <v/>
      </c>
      <c r="L833" s="572"/>
      <c r="M833" s="173"/>
      <c r="N833" s="173"/>
      <c r="O833" s="173"/>
      <c r="P833" s="573"/>
      <c r="Q833" s="573"/>
      <c r="R833" s="173"/>
      <c r="S833" s="173"/>
      <c r="T833" s="173"/>
      <c r="U833" s="173"/>
      <c r="V833" s="173"/>
      <c r="W833" s="574"/>
      <c r="X833" s="575"/>
      <c r="Y833" s="28"/>
      <c r="Z833" s="543" t="str">
        <f t="array" ref="Z833">IF(LEN(AC833),lower(concatenate("bosvendor-",'2-Building'!B$4,"-",INDEX(D:D, MATCH(AC833, J:J, 0)),INDEX(E:E, MATCH(AC833, J:J, 0)))),"")</f>
        <v/>
      </c>
      <c r="AA833" s="28"/>
      <c r="AB833" s="28"/>
      <c r="AC833" s="28"/>
      <c r="AD833" s="28"/>
    </row>
    <row r="834" ht="30.0" customHeight="1">
      <c r="A834" s="488"/>
      <c r="B834" s="582"/>
      <c r="C834" s="256"/>
      <c r="D834" s="582"/>
      <c r="E834" s="488"/>
      <c r="F834" s="258"/>
      <c r="G834" s="173"/>
      <c r="H834" s="173"/>
      <c r="I834" s="576"/>
      <c r="J834" s="580"/>
      <c r="K834" s="569" t="str">
        <f t="shared" si="1"/>
        <v/>
      </c>
      <c r="L834" s="572"/>
      <c r="M834" s="173"/>
      <c r="N834" s="173"/>
      <c r="O834" s="173"/>
      <c r="P834" s="573"/>
      <c r="Q834" s="573"/>
      <c r="R834" s="173"/>
      <c r="S834" s="173"/>
      <c r="T834" s="173"/>
      <c r="U834" s="173"/>
      <c r="V834" s="173"/>
      <c r="W834" s="574"/>
      <c r="X834" s="575"/>
      <c r="Y834" s="28"/>
      <c r="Z834" s="543" t="str">
        <f t="array" ref="Z834">IF(LEN(AC834),lower(concatenate("bosvendor-",'2-Building'!B$4,"-",INDEX(D:D, MATCH(AC834, J:J, 0)),INDEX(E:E, MATCH(AC834, J:J, 0)))),"")</f>
        <v/>
      </c>
      <c r="AA834" s="28"/>
      <c r="AB834" s="28"/>
      <c r="AC834" s="28"/>
      <c r="AD834" s="28"/>
    </row>
    <row r="835" ht="30.0" customHeight="1">
      <c r="A835" s="488"/>
      <c r="B835" s="582"/>
      <c r="C835" s="256"/>
      <c r="D835" s="582"/>
      <c r="E835" s="488"/>
      <c r="F835" s="258"/>
      <c r="G835" s="173"/>
      <c r="H835" s="173"/>
      <c r="I835" s="576"/>
      <c r="J835" s="580"/>
      <c r="K835" s="569" t="str">
        <f t="shared" si="1"/>
        <v/>
      </c>
      <c r="L835" s="572"/>
      <c r="M835" s="173"/>
      <c r="N835" s="173"/>
      <c r="O835" s="173"/>
      <c r="P835" s="573"/>
      <c r="Q835" s="573"/>
      <c r="R835" s="173"/>
      <c r="S835" s="173"/>
      <c r="T835" s="173"/>
      <c r="U835" s="173"/>
      <c r="V835" s="173"/>
      <c r="W835" s="574"/>
      <c r="X835" s="575"/>
      <c r="Y835" s="28"/>
      <c r="Z835" s="543" t="str">
        <f t="array" ref="Z835">IF(LEN(AC835),lower(concatenate("bosvendor-",'2-Building'!B$4,"-",INDEX(D:D, MATCH(AC835, J:J, 0)),INDEX(E:E, MATCH(AC835, J:J, 0)))),"")</f>
        <v/>
      </c>
      <c r="AA835" s="28"/>
      <c r="AB835" s="28"/>
      <c r="AC835" s="28"/>
      <c r="AD835" s="28"/>
    </row>
    <row r="836" ht="30.0" customHeight="1">
      <c r="A836" s="488"/>
      <c r="B836" s="582"/>
      <c r="C836" s="256"/>
      <c r="D836" s="582"/>
      <c r="E836" s="488"/>
      <c r="F836" s="258"/>
      <c r="G836" s="173"/>
      <c r="H836" s="173"/>
      <c r="I836" s="576"/>
      <c r="J836" s="580"/>
      <c r="K836" s="569" t="str">
        <f t="shared" si="1"/>
        <v/>
      </c>
      <c r="L836" s="572"/>
      <c r="M836" s="173"/>
      <c r="N836" s="173"/>
      <c r="O836" s="173"/>
      <c r="P836" s="573"/>
      <c r="Q836" s="573"/>
      <c r="R836" s="173"/>
      <c r="S836" s="173"/>
      <c r="T836" s="173"/>
      <c r="U836" s="173"/>
      <c r="V836" s="173"/>
      <c r="W836" s="574"/>
      <c r="X836" s="575"/>
      <c r="Y836" s="28"/>
      <c r="Z836" s="543" t="str">
        <f t="array" ref="Z836">IF(LEN(AC836),lower(concatenate("bosvendor-",'2-Building'!B$4,"-",INDEX(D:D, MATCH(AC836, J:J, 0)),INDEX(E:E, MATCH(AC836, J:J, 0)))),"")</f>
        <v/>
      </c>
      <c r="AA836" s="28"/>
      <c r="AB836" s="28"/>
      <c r="AC836" s="28"/>
      <c r="AD836" s="28"/>
    </row>
    <row r="837" ht="30.0" customHeight="1">
      <c r="A837" s="488"/>
      <c r="B837" s="582"/>
      <c r="C837" s="256"/>
      <c r="D837" s="582"/>
      <c r="E837" s="488"/>
      <c r="F837" s="258"/>
      <c r="G837" s="173"/>
      <c r="H837" s="173"/>
      <c r="I837" s="576"/>
      <c r="J837" s="580"/>
      <c r="K837" s="569" t="str">
        <f t="shared" si="1"/>
        <v/>
      </c>
      <c r="L837" s="572"/>
      <c r="M837" s="173"/>
      <c r="N837" s="173"/>
      <c r="O837" s="173"/>
      <c r="P837" s="573"/>
      <c r="Q837" s="573"/>
      <c r="R837" s="173"/>
      <c r="S837" s="173"/>
      <c r="T837" s="173"/>
      <c r="U837" s="173"/>
      <c r="V837" s="173"/>
      <c r="W837" s="574"/>
      <c r="X837" s="575"/>
      <c r="Y837" s="28"/>
      <c r="Z837" s="543" t="str">
        <f t="array" ref="Z837">IF(LEN(AC837),lower(concatenate("bosvendor-",'2-Building'!B$4,"-",INDEX(D:D, MATCH(AC837, J:J, 0)),INDEX(E:E, MATCH(AC837, J:J, 0)))),"")</f>
        <v/>
      </c>
      <c r="AA837" s="28"/>
      <c r="AB837" s="28"/>
      <c r="AC837" s="28"/>
      <c r="AD837" s="28"/>
    </row>
    <row r="838" ht="30.0" customHeight="1">
      <c r="A838" s="488"/>
      <c r="B838" s="582"/>
      <c r="C838" s="256"/>
      <c r="D838" s="582"/>
      <c r="E838" s="488"/>
      <c r="F838" s="258"/>
      <c r="G838" s="173"/>
      <c r="H838" s="173"/>
      <c r="I838" s="576"/>
      <c r="J838" s="580"/>
      <c r="K838" s="569" t="str">
        <f t="shared" si="1"/>
        <v/>
      </c>
      <c r="L838" s="572"/>
      <c r="M838" s="173"/>
      <c r="N838" s="173"/>
      <c r="O838" s="173"/>
      <c r="P838" s="573"/>
      <c r="Q838" s="573"/>
      <c r="R838" s="173"/>
      <c r="S838" s="173"/>
      <c r="T838" s="173"/>
      <c r="U838" s="173"/>
      <c r="V838" s="173"/>
      <c r="W838" s="574"/>
      <c r="X838" s="575"/>
      <c r="Y838" s="28"/>
      <c r="Z838" s="543" t="str">
        <f t="array" ref="Z838">IF(LEN(AC838),lower(concatenate("bosvendor-",'2-Building'!B$4,"-",INDEX(D:D, MATCH(AC838, J:J, 0)),INDEX(E:E, MATCH(AC838, J:J, 0)))),"")</f>
        <v/>
      </c>
      <c r="AA838" s="28"/>
      <c r="AB838" s="28"/>
      <c r="AC838" s="28"/>
      <c r="AD838" s="28"/>
    </row>
    <row r="839" ht="30.0" customHeight="1">
      <c r="A839" s="488"/>
      <c r="B839" s="582"/>
      <c r="C839" s="256"/>
      <c r="D839" s="582"/>
      <c r="E839" s="488"/>
      <c r="F839" s="258"/>
      <c r="G839" s="173"/>
      <c r="H839" s="173"/>
      <c r="I839" s="576"/>
      <c r="J839" s="580"/>
      <c r="K839" s="569" t="str">
        <f t="shared" si="1"/>
        <v/>
      </c>
      <c r="L839" s="572"/>
      <c r="M839" s="173"/>
      <c r="N839" s="173"/>
      <c r="O839" s="173"/>
      <c r="P839" s="573"/>
      <c r="Q839" s="573"/>
      <c r="R839" s="173"/>
      <c r="S839" s="173"/>
      <c r="T839" s="173"/>
      <c r="U839" s="173"/>
      <c r="V839" s="173"/>
      <c r="W839" s="574"/>
      <c r="X839" s="575"/>
      <c r="Y839" s="28"/>
      <c r="Z839" s="543" t="str">
        <f t="array" ref="Z839">IF(LEN(AC839),lower(concatenate("bosvendor-",'2-Building'!B$4,"-",INDEX(D:D, MATCH(AC839, J:J, 0)),INDEX(E:E, MATCH(AC839, J:J, 0)))),"")</f>
        <v/>
      </c>
      <c r="AA839" s="28"/>
      <c r="AB839" s="28"/>
      <c r="AC839" s="28"/>
      <c r="AD839" s="28"/>
    </row>
    <row r="840" ht="30.0" customHeight="1">
      <c r="A840" s="488"/>
      <c r="B840" s="582"/>
      <c r="C840" s="256"/>
      <c r="D840" s="582"/>
      <c r="E840" s="488"/>
      <c r="F840" s="258"/>
      <c r="G840" s="173"/>
      <c r="H840" s="173"/>
      <c r="I840" s="576"/>
      <c r="J840" s="580"/>
      <c r="K840" s="569" t="str">
        <f t="shared" si="1"/>
        <v/>
      </c>
      <c r="L840" s="572"/>
      <c r="M840" s="173"/>
      <c r="N840" s="173"/>
      <c r="O840" s="173"/>
      <c r="P840" s="573"/>
      <c r="Q840" s="573"/>
      <c r="R840" s="173"/>
      <c r="S840" s="173"/>
      <c r="T840" s="173"/>
      <c r="U840" s="173"/>
      <c r="V840" s="173"/>
      <c r="W840" s="574"/>
      <c r="X840" s="575"/>
      <c r="Y840" s="28"/>
      <c r="Z840" s="543" t="str">
        <f t="array" ref="Z840">IF(LEN(AC840),lower(concatenate("bosvendor-",'2-Building'!B$4,"-",INDEX(D:D, MATCH(AC840, J:J, 0)),INDEX(E:E, MATCH(AC840, J:J, 0)))),"")</f>
        <v/>
      </c>
      <c r="AA840" s="28"/>
      <c r="AB840" s="28"/>
      <c r="AC840" s="28"/>
      <c r="AD840" s="28"/>
    </row>
    <row r="841" ht="30.0" customHeight="1">
      <c r="A841" s="488"/>
      <c r="B841" s="582"/>
      <c r="C841" s="256"/>
      <c r="D841" s="582"/>
      <c r="E841" s="488"/>
      <c r="F841" s="258"/>
      <c r="G841" s="173"/>
      <c r="H841" s="173"/>
      <c r="I841" s="576"/>
      <c r="J841" s="580"/>
      <c r="K841" s="569" t="str">
        <f t="shared" si="1"/>
        <v/>
      </c>
      <c r="L841" s="572"/>
      <c r="M841" s="173"/>
      <c r="N841" s="173"/>
      <c r="O841" s="173"/>
      <c r="P841" s="573"/>
      <c r="Q841" s="573"/>
      <c r="R841" s="173"/>
      <c r="S841" s="173"/>
      <c r="T841" s="173"/>
      <c r="U841" s="173"/>
      <c r="V841" s="173"/>
      <c r="W841" s="574"/>
      <c r="X841" s="575"/>
      <c r="Y841" s="28"/>
      <c r="Z841" s="543" t="str">
        <f t="array" ref="Z841">IF(LEN(AC841),lower(concatenate("bosvendor-",'2-Building'!B$4,"-",INDEX(D:D, MATCH(AC841, J:J, 0)),INDEX(E:E, MATCH(AC841, J:J, 0)))),"")</f>
        <v/>
      </c>
      <c r="AA841" s="28"/>
      <c r="AB841" s="28"/>
      <c r="AC841" s="28"/>
      <c r="AD841" s="28"/>
    </row>
    <row r="842" ht="30.0" customHeight="1">
      <c r="A842" s="488"/>
      <c r="B842" s="582"/>
      <c r="C842" s="256"/>
      <c r="D842" s="582"/>
      <c r="E842" s="488"/>
      <c r="F842" s="258"/>
      <c r="G842" s="173"/>
      <c r="H842" s="173"/>
      <c r="I842" s="576"/>
      <c r="J842" s="580"/>
      <c r="K842" s="569" t="str">
        <f t="shared" si="1"/>
        <v/>
      </c>
      <c r="L842" s="572"/>
      <c r="M842" s="173"/>
      <c r="N842" s="173"/>
      <c r="O842" s="173"/>
      <c r="P842" s="573"/>
      <c r="Q842" s="573"/>
      <c r="R842" s="173"/>
      <c r="S842" s="173"/>
      <c r="T842" s="173"/>
      <c r="U842" s="173"/>
      <c r="V842" s="173"/>
      <c r="W842" s="574"/>
      <c r="X842" s="575"/>
      <c r="Y842" s="28"/>
      <c r="Z842" s="543" t="str">
        <f t="array" ref="Z842">IF(LEN(AC842),lower(concatenate("bosvendor-",'2-Building'!B$4,"-",INDEX(D:D, MATCH(AC842, J:J, 0)),INDEX(E:E, MATCH(AC842, J:J, 0)))),"")</f>
        <v/>
      </c>
      <c r="AA842" s="28"/>
      <c r="AB842" s="28"/>
      <c r="AC842" s="28"/>
      <c r="AD842" s="28"/>
    </row>
    <row r="843" ht="30.0" customHeight="1">
      <c r="A843" s="488"/>
      <c r="B843" s="582"/>
      <c r="C843" s="256"/>
      <c r="D843" s="582"/>
      <c r="E843" s="488"/>
      <c r="F843" s="258"/>
      <c r="G843" s="173"/>
      <c r="H843" s="173"/>
      <c r="I843" s="576"/>
      <c r="J843" s="580"/>
      <c r="K843" s="569" t="str">
        <f t="shared" si="1"/>
        <v/>
      </c>
      <c r="L843" s="572"/>
      <c r="M843" s="173"/>
      <c r="N843" s="173"/>
      <c r="O843" s="173"/>
      <c r="P843" s="573"/>
      <c r="Q843" s="573"/>
      <c r="R843" s="173"/>
      <c r="S843" s="173"/>
      <c r="T843" s="173"/>
      <c r="U843" s="173"/>
      <c r="V843" s="173"/>
      <c r="W843" s="574"/>
      <c r="X843" s="575"/>
      <c r="Y843" s="28"/>
      <c r="Z843" s="543" t="str">
        <f t="array" ref="Z843">IF(LEN(AC843),lower(concatenate("bosvendor-",'2-Building'!B$4,"-",INDEX(D:D, MATCH(AC843, J:J, 0)),INDEX(E:E, MATCH(AC843, J:J, 0)))),"")</f>
        <v/>
      </c>
      <c r="AA843" s="28"/>
      <c r="AB843" s="28"/>
      <c r="AC843" s="28"/>
      <c r="AD843" s="28"/>
    </row>
    <row r="844" ht="30.0" customHeight="1">
      <c r="A844" s="488"/>
      <c r="B844" s="582"/>
      <c r="C844" s="256"/>
      <c r="D844" s="582"/>
      <c r="E844" s="488"/>
      <c r="F844" s="258"/>
      <c r="G844" s="173"/>
      <c r="H844" s="173"/>
      <c r="I844" s="576"/>
      <c r="J844" s="580"/>
      <c r="K844" s="569" t="str">
        <f t="shared" si="1"/>
        <v/>
      </c>
      <c r="L844" s="572"/>
      <c r="M844" s="173"/>
      <c r="N844" s="173"/>
      <c r="O844" s="173"/>
      <c r="P844" s="573"/>
      <c r="Q844" s="573"/>
      <c r="R844" s="173"/>
      <c r="S844" s="173"/>
      <c r="T844" s="173"/>
      <c r="U844" s="173"/>
      <c r="V844" s="173"/>
      <c r="W844" s="574"/>
      <c r="X844" s="575"/>
      <c r="Y844" s="28"/>
      <c r="Z844" s="543" t="str">
        <f t="array" ref="Z844">IF(LEN(AC844),lower(concatenate("bosvendor-",'2-Building'!B$4,"-",INDEX(D:D, MATCH(AC844, J:J, 0)),INDEX(E:E, MATCH(AC844, J:J, 0)))),"")</f>
        <v/>
      </c>
      <c r="AA844" s="28"/>
      <c r="AB844" s="28"/>
      <c r="AC844" s="28"/>
      <c r="AD844" s="28"/>
    </row>
    <row r="845" ht="30.0" customHeight="1">
      <c r="A845" s="488"/>
      <c r="B845" s="582"/>
      <c r="C845" s="256"/>
      <c r="D845" s="582"/>
      <c r="E845" s="488"/>
      <c r="F845" s="258"/>
      <c r="G845" s="173"/>
      <c r="H845" s="173"/>
      <c r="I845" s="576"/>
      <c r="J845" s="580"/>
      <c r="K845" s="569" t="str">
        <f t="shared" si="1"/>
        <v/>
      </c>
      <c r="L845" s="572"/>
      <c r="M845" s="173"/>
      <c r="N845" s="173"/>
      <c r="O845" s="173"/>
      <c r="P845" s="573"/>
      <c r="Q845" s="573"/>
      <c r="R845" s="173"/>
      <c r="S845" s="173"/>
      <c r="T845" s="173"/>
      <c r="U845" s="173"/>
      <c r="V845" s="173"/>
      <c r="W845" s="574"/>
      <c r="X845" s="575"/>
      <c r="Y845" s="28"/>
      <c r="Z845" s="543" t="str">
        <f t="array" ref="Z845">IF(LEN(AC845),lower(concatenate("bosvendor-",'2-Building'!B$4,"-",INDEX(D:D, MATCH(AC845, J:J, 0)),INDEX(E:E, MATCH(AC845, J:J, 0)))),"")</f>
        <v/>
      </c>
      <c r="AA845" s="28"/>
      <c r="AB845" s="28"/>
      <c r="AC845" s="28"/>
      <c r="AD845" s="28"/>
    </row>
    <row r="846" ht="30.0" customHeight="1">
      <c r="A846" s="488"/>
      <c r="B846" s="582"/>
      <c r="C846" s="256"/>
      <c r="D846" s="582"/>
      <c r="E846" s="488"/>
      <c r="F846" s="258"/>
      <c r="G846" s="173"/>
      <c r="H846" s="173"/>
      <c r="I846" s="576"/>
      <c r="J846" s="580"/>
      <c r="K846" s="569" t="str">
        <f t="shared" si="1"/>
        <v/>
      </c>
      <c r="L846" s="572"/>
      <c r="M846" s="173"/>
      <c r="N846" s="173"/>
      <c r="O846" s="173"/>
      <c r="P846" s="573"/>
      <c r="Q846" s="573"/>
      <c r="R846" s="173"/>
      <c r="S846" s="173"/>
      <c r="T846" s="173"/>
      <c r="U846" s="173"/>
      <c r="V846" s="173"/>
      <c r="W846" s="574"/>
      <c r="X846" s="575"/>
      <c r="Y846" s="28"/>
      <c r="Z846" s="543" t="str">
        <f t="array" ref="Z846">IF(LEN(AC846),lower(concatenate("bosvendor-",'2-Building'!B$4,"-",INDEX(D:D, MATCH(AC846, J:J, 0)),INDEX(E:E, MATCH(AC846, J:J, 0)))),"")</f>
        <v/>
      </c>
      <c r="AA846" s="28"/>
      <c r="AB846" s="28"/>
      <c r="AC846" s="28"/>
      <c r="AD846" s="28"/>
    </row>
    <row r="847" ht="30.0" customHeight="1">
      <c r="A847" s="488"/>
      <c r="B847" s="582"/>
      <c r="C847" s="256"/>
      <c r="D847" s="582"/>
      <c r="E847" s="488"/>
      <c r="F847" s="258"/>
      <c r="G847" s="173"/>
      <c r="H847" s="173"/>
      <c r="I847" s="576"/>
      <c r="J847" s="580"/>
      <c r="K847" s="569" t="str">
        <f t="shared" si="1"/>
        <v/>
      </c>
      <c r="L847" s="572"/>
      <c r="M847" s="173"/>
      <c r="N847" s="173"/>
      <c r="O847" s="173"/>
      <c r="P847" s="573"/>
      <c r="Q847" s="573"/>
      <c r="R847" s="173"/>
      <c r="S847" s="173"/>
      <c r="T847" s="173"/>
      <c r="U847" s="173"/>
      <c r="V847" s="173"/>
      <c r="W847" s="574"/>
      <c r="X847" s="575"/>
      <c r="Y847" s="28"/>
      <c r="Z847" s="543" t="str">
        <f t="array" ref="Z847">IF(LEN(AC847),lower(concatenate("bosvendor-",'2-Building'!B$4,"-",INDEX(D:D, MATCH(AC847, J:J, 0)),INDEX(E:E, MATCH(AC847, J:J, 0)))),"")</f>
        <v/>
      </c>
      <c r="AA847" s="28"/>
      <c r="AB847" s="28"/>
      <c r="AC847" s="28"/>
      <c r="AD847" s="28"/>
    </row>
    <row r="848" ht="30.0" customHeight="1">
      <c r="A848" s="488"/>
      <c r="B848" s="582"/>
      <c r="C848" s="256"/>
      <c r="D848" s="582"/>
      <c r="E848" s="488"/>
      <c r="F848" s="258"/>
      <c r="G848" s="173"/>
      <c r="H848" s="173"/>
      <c r="I848" s="576"/>
      <c r="J848" s="580"/>
      <c r="K848" s="569" t="str">
        <f t="shared" si="1"/>
        <v/>
      </c>
      <c r="L848" s="572"/>
      <c r="M848" s="173"/>
      <c r="N848" s="173"/>
      <c r="O848" s="173"/>
      <c r="P848" s="573"/>
      <c r="Q848" s="573"/>
      <c r="R848" s="173"/>
      <c r="S848" s="173"/>
      <c r="T848" s="173"/>
      <c r="U848" s="173"/>
      <c r="V848" s="173"/>
      <c r="W848" s="574"/>
      <c r="X848" s="575"/>
      <c r="Y848" s="28"/>
      <c r="Z848" s="543" t="str">
        <f t="array" ref="Z848">IF(LEN(AC848),lower(concatenate("bosvendor-",'2-Building'!B$4,"-",INDEX(D:D, MATCH(AC848, J:J, 0)),INDEX(E:E, MATCH(AC848, J:J, 0)))),"")</f>
        <v/>
      </c>
      <c r="AA848" s="28"/>
      <c r="AB848" s="28"/>
      <c r="AC848" s="28"/>
      <c r="AD848" s="28"/>
    </row>
    <row r="849" ht="30.0" customHeight="1">
      <c r="A849" s="488"/>
      <c r="B849" s="582"/>
      <c r="C849" s="256"/>
      <c r="D849" s="582"/>
      <c r="E849" s="488"/>
      <c r="F849" s="258"/>
      <c r="G849" s="173"/>
      <c r="H849" s="173"/>
      <c r="I849" s="576"/>
      <c r="J849" s="580"/>
      <c r="K849" s="569" t="str">
        <f t="shared" si="1"/>
        <v/>
      </c>
      <c r="L849" s="572"/>
      <c r="M849" s="173"/>
      <c r="N849" s="173"/>
      <c r="O849" s="173"/>
      <c r="P849" s="573"/>
      <c r="Q849" s="573"/>
      <c r="R849" s="173"/>
      <c r="S849" s="173"/>
      <c r="T849" s="173"/>
      <c r="U849" s="173"/>
      <c r="V849" s="173"/>
      <c r="W849" s="574"/>
      <c r="X849" s="575"/>
      <c r="Y849" s="28"/>
      <c r="Z849" s="543" t="str">
        <f t="array" ref="Z849">IF(LEN(AC849),lower(concatenate("bosvendor-",'2-Building'!B$4,"-",INDEX(D:D, MATCH(AC849, J:J, 0)),INDEX(E:E, MATCH(AC849, J:J, 0)))),"")</f>
        <v/>
      </c>
      <c r="AA849" s="28"/>
      <c r="AB849" s="28"/>
      <c r="AC849" s="28"/>
      <c r="AD849" s="28"/>
    </row>
    <row r="850" ht="30.0" customHeight="1">
      <c r="A850" s="488"/>
      <c r="B850" s="582"/>
      <c r="C850" s="256"/>
      <c r="D850" s="582"/>
      <c r="E850" s="488"/>
      <c r="F850" s="258"/>
      <c r="G850" s="173"/>
      <c r="H850" s="173"/>
      <c r="I850" s="576"/>
      <c r="J850" s="580"/>
      <c r="K850" s="569" t="str">
        <f t="shared" si="1"/>
        <v/>
      </c>
      <c r="L850" s="572"/>
      <c r="M850" s="173"/>
      <c r="N850" s="173"/>
      <c r="O850" s="173"/>
      <c r="P850" s="573"/>
      <c r="Q850" s="573"/>
      <c r="R850" s="173"/>
      <c r="S850" s="173"/>
      <c r="T850" s="173"/>
      <c r="U850" s="173"/>
      <c r="V850" s="173"/>
      <c r="W850" s="574"/>
      <c r="X850" s="575"/>
      <c r="Y850" s="28"/>
      <c r="Z850" s="543" t="str">
        <f t="array" ref="Z850">IF(LEN(AC850),lower(concatenate("bosvendor-",'2-Building'!B$4,"-",INDEX(D:D, MATCH(AC850, J:J, 0)),INDEX(E:E, MATCH(AC850, J:J, 0)))),"")</f>
        <v/>
      </c>
      <c r="AA850" s="28"/>
      <c r="AB850" s="28"/>
      <c r="AC850" s="28"/>
      <c r="AD850" s="28"/>
    </row>
    <row r="851" ht="30.0" customHeight="1">
      <c r="A851" s="488"/>
      <c r="B851" s="582"/>
      <c r="C851" s="256"/>
      <c r="D851" s="582"/>
      <c r="E851" s="488"/>
      <c r="F851" s="258"/>
      <c r="G851" s="173"/>
      <c r="H851" s="173"/>
      <c r="I851" s="576"/>
      <c r="J851" s="580"/>
      <c r="K851" s="569" t="str">
        <f t="shared" si="1"/>
        <v/>
      </c>
      <c r="L851" s="572"/>
      <c r="M851" s="173"/>
      <c r="N851" s="173"/>
      <c r="O851" s="173"/>
      <c r="P851" s="573"/>
      <c r="Q851" s="573"/>
      <c r="R851" s="173"/>
      <c r="S851" s="173"/>
      <c r="T851" s="173"/>
      <c r="U851" s="173"/>
      <c r="V851" s="173"/>
      <c r="W851" s="574"/>
      <c r="X851" s="575"/>
      <c r="Y851" s="28"/>
      <c r="Z851" s="543" t="str">
        <f t="array" ref="Z851">IF(LEN(AC851),lower(concatenate("bosvendor-",'2-Building'!B$4,"-",INDEX(D:D, MATCH(AC851, J:J, 0)),INDEX(E:E, MATCH(AC851, J:J, 0)))),"")</f>
        <v/>
      </c>
      <c r="AA851" s="28"/>
      <c r="AB851" s="28"/>
      <c r="AC851" s="28"/>
      <c r="AD851" s="28"/>
    </row>
    <row r="852" ht="30.0" customHeight="1">
      <c r="A852" s="488"/>
      <c r="B852" s="582"/>
      <c r="C852" s="256"/>
      <c r="D852" s="582"/>
      <c r="E852" s="488"/>
      <c r="F852" s="258"/>
      <c r="G852" s="173"/>
      <c r="H852" s="173"/>
      <c r="I852" s="576"/>
      <c r="J852" s="580"/>
      <c r="K852" s="569" t="str">
        <f t="shared" si="1"/>
        <v/>
      </c>
      <c r="L852" s="572"/>
      <c r="M852" s="173"/>
      <c r="N852" s="173"/>
      <c r="O852" s="173"/>
      <c r="P852" s="573"/>
      <c r="Q852" s="573"/>
      <c r="R852" s="173"/>
      <c r="S852" s="173"/>
      <c r="T852" s="173"/>
      <c r="U852" s="173"/>
      <c r="V852" s="173"/>
      <c r="W852" s="574"/>
      <c r="X852" s="575"/>
      <c r="Y852" s="28"/>
      <c r="Z852" s="543" t="str">
        <f t="array" ref="Z852">IF(LEN(AC852),lower(concatenate("bosvendor-",'2-Building'!B$4,"-",INDEX(D:D, MATCH(AC852, J:J, 0)),INDEX(E:E, MATCH(AC852, J:J, 0)))),"")</f>
        <v/>
      </c>
      <c r="AA852" s="28"/>
      <c r="AB852" s="28"/>
      <c r="AC852" s="28"/>
      <c r="AD852" s="28"/>
    </row>
    <row r="853" ht="30.0" customHeight="1">
      <c r="A853" s="488"/>
      <c r="B853" s="582"/>
      <c r="C853" s="256"/>
      <c r="D853" s="582"/>
      <c r="E853" s="488"/>
      <c r="F853" s="258"/>
      <c r="G853" s="173"/>
      <c r="H853" s="173"/>
      <c r="I853" s="576"/>
      <c r="J853" s="580"/>
      <c r="K853" s="569" t="str">
        <f t="shared" si="1"/>
        <v/>
      </c>
      <c r="L853" s="572"/>
      <c r="M853" s="173"/>
      <c r="N853" s="173"/>
      <c r="O853" s="173"/>
      <c r="P853" s="573"/>
      <c r="Q853" s="573"/>
      <c r="R853" s="173"/>
      <c r="S853" s="173"/>
      <c r="T853" s="173"/>
      <c r="U853" s="173"/>
      <c r="V853" s="173"/>
      <c r="W853" s="574"/>
      <c r="X853" s="575"/>
      <c r="Y853" s="28"/>
      <c r="Z853" s="543" t="str">
        <f t="array" ref="Z853">IF(LEN(AC853),lower(concatenate("bosvendor-",'2-Building'!B$4,"-",INDEX(D:D, MATCH(AC853, J:J, 0)),INDEX(E:E, MATCH(AC853, J:J, 0)))),"")</f>
        <v/>
      </c>
      <c r="AA853" s="28"/>
      <c r="AB853" s="28"/>
      <c r="AC853" s="28"/>
      <c r="AD853" s="28"/>
    </row>
    <row r="854" ht="30.0" customHeight="1">
      <c r="A854" s="488"/>
      <c r="B854" s="582"/>
      <c r="C854" s="256"/>
      <c r="D854" s="582"/>
      <c r="E854" s="488"/>
      <c r="F854" s="258"/>
      <c r="G854" s="173"/>
      <c r="H854" s="173"/>
      <c r="I854" s="576"/>
      <c r="J854" s="580"/>
      <c r="K854" s="569" t="str">
        <f t="shared" si="1"/>
        <v/>
      </c>
      <c r="L854" s="572"/>
      <c r="M854" s="173"/>
      <c r="N854" s="173"/>
      <c r="O854" s="173"/>
      <c r="P854" s="573"/>
      <c r="Q854" s="573"/>
      <c r="R854" s="173"/>
      <c r="S854" s="173"/>
      <c r="T854" s="173"/>
      <c r="U854" s="173"/>
      <c r="V854" s="173"/>
      <c r="W854" s="574"/>
      <c r="X854" s="575"/>
      <c r="Y854" s="28"/>
      <c r="Z854" s="543" t="str">
        <f t="array" ref="Z854">IF(LEN(AC854),lower(concatenate("bosvendor-",'2-Building'!B$4,"-",INDEX(D:D, MATCH(AC854, J:J, 0)),INDEX(E:E, MATCH(AC854, J:J, 0)))),"")</f>
        <v/>
      </c>
      <c r="AA854" s="28"/>
      <c r="AB854" s="28"/>
      <c r="AC854" s="28"/>
      <c r="AD854" s="28"/>
    </row>
    <row r="855" ht="30.0" customHeight="1">
      <c r="A855" s="488"/>
      <c r="B855" s="582"/>
      <c r="C855" s="256"/>
      <c r="D855" s="582"/>
      <c r="E855" s="488"/>
      <c r="F855" s="258"/>
      <c r="G855" s="173"/>
      <c r="H855" s="173"/>
      <c r="I855" s="576"/>
      <c r="J855" s="580"/>
      <c r="K855" s="569" t="str">
        <f t="shared" si="1"/>
        <v/>
      </c>
      <c r="L855" s="572"/>
      <c r="M855" s="173"/>
      <c r="N855" s="173"/>
      <c r="O855" s="173"/>
      <c r="P855" s="573"/>
      <c r="Q855" s="573"/>
      <c r="R855" s="173"/>
      <c r="S855" s="173"/>
      <c r="T855" s="173"/>
      <c r="U855" s="173"/>
      <c r="V855" s="173"/>
      <c r="W855" s="574"/>
      <c r="X855" s="575"/>
      <c r="Y855" s="28"/>
      <c r="Z855" s="543" t="str">
        <f t="array" ref="Z855">IF(LEN(AC855),lower(concatenate("bosvendor-",'2-Building'!B$4,"-",INDEX(D:D, MATCH(AC855, J:J, 0)),INDEX(E:E, MATCH(AC855, J:J, 0)))),"")</f>
        <v/>
      </c>
      <c r="AA855" s="28"/>
      <c r="AB855" s="28"/>
      <c r="AC855" s="28"/>
      <c r="AD855" s="28"/>
    </row>
    <row r="856" ht="30.0" customHeight="1">
      <c r="A856" s="488"/>
      <c r="B856" s="582"/>
      <c r="C856" s="256"/>
      <c r="D856" s="582"/>
      <c r="E856" s="488"/>
      <c r="F856" s="258"/>
      <c r="G856" s="173"/>
      <c r="H856" s="173"/>
      <c r="I856" s="576"/>
      <c r="J856" s="580"/>
      <c r="K856" s="569" t="str">
        <f t="shared" si="1"/>
        <v/>
      </c>
      <c r="L856" s="572"/>
      <c r="M856" s="173"/>
      <c r="N856" s="173"/>
      <c r="O856" s="173"/>
      <c r="P856" s="573"/>
      <c r="Q856" s="573"/>
      <c r="R856" s="173"/>
      <c r="S856" s="173"/>
      <c r="T856" s="173"/>
      <c r="U856" s="173"/>
      <c r="V856" s="173"/>
      <c r="W856" s="574"/>
      <c r="X856" s="575"/>
      <c r="Y856" s="28"/>
      <c r="Z856" s="543" t="str">
        <f t="array" ref="Z856">IF(LEN(AC856),lower(concatenate("bosvendor-",'2-Building'!B$4,"-",INDEX(D:D, MATCH(AC856, J:J, 0)),INDEX(E:E, MATCH(AC856, J:J, 0)))),"")</f>
        <v/>
      </c>
      <c r="AA856" s="28"/>
      <c r="AB856" s="28"/>
      <c r="AC856" s="28"/>
      <c r="AD856" s="28"/>
    </row>
    <row r="857" ht="30.0" customHeight="1">
      <c r="A857" s="488"/>
      <c r="B857" s="582"/>
      <c r="C857" s="256"/>
      <c r="D857" s="582"/>
      <c r="E857" s="488"/>
      <c r="F857" s="258"/>
      <c r="G857" s="173"/>
      <c r="H857" s="173"/>
      <c r="I857" s="576"/>
      <c r="J857" s="580"/>
      <c r="K857" s="569" t="str">
        <f t="shared" si="1"/>
        <v/>
      </c>
      <c r="L857" s="572"/>
      <c r="M857" s="173"/>
      <c r="N857" s="173"/>
      <c r="O857" s="173"/>
      <c r="P857" s="573"/>
      <c r="Q857" s="573"/>
      <c r="R857" s="173"/>
      <c r="S857" s="173"/>
      <c r="T857" s="173"/>
      <c r="U857" s="173"/>
      <c r="V857" s="173"/>
      <c r="W857" s="574"/>
      <c r="X857" s="575"/>
      <c r="Y857" s="28"/>
      <c r="Z857" s="543" t="str">
        <f t="array" ref="Z857">IF(LEN(AC857),lower(concatenate("bosvendor-",'2-Building'!B$4,"-",INDEX(D:D, MATCH(AC857, J:J, 0)),INDEX(E:E, MATCH(AC857, J:J, 0)))),"")</f>
        <v/>
      </c>
      <c r="AA857" s="28"/>
      <c r="AB857" s="28"/>
      <c r="AC857" s="28"/>
      <c r="AD857" s="28"/>
    </row>
    <row r="858" ht="30.0" customHeight="1">
      <c r="A858" s="488"/>
      <c r="B858" s="582"/>
      <c r="C858" s="256"/>
      <c r="D858" s="582"/>
      <c r="E858" s="488"/>
      <c r="F858" s="258"/>
      <c r="G858" s="173"/>
      <c r="H858" s="173"/>
      <c r="I858" s="576"/>
      <c r="J858" s="580"/>
      <c r="K858" s="569" t="str">
        <f t="shared" si="1"/>
        <v/>
      </c>
      <c r="L858" s="572"/>
      <c r="M858" s="173"/>
      <c r="N858" s="173"/>
      <c r="O858" s="173"/>
      <c r="P858" s="573"/>
      <c r="Q858" s="573"/>
      <c r="R858" s="173"/>
      <c r="S858" s="173"/>
      <c r="T858" s="173"/>
      <c r="U858" s="173"/>
      <c r="V858" s="173"/>
      <c r="W858" s="574"/>
      <c r="X858" s="575"/>
      <c r="Y858" s="28"/>
      <c r="Z858" s="543" t="str">
        <f t="array" ref="Z858">IF(LEN(AC858),lower(concatenate("bosvendor-",'2-Building'!B$4,"-",INDEX(D:D, MATCH(AC858, J:J, 0)),INDEX(E:E, MATCH(AC858, J:J, 0)))),"")</f>
        <v/>
      </c>
      <c r="AA858" s="28"/>
      <c r="AB858" s="28"/>
      <c r="AC858" s="28"/>
      <c r="AD858" s="28"/>
    </row>
    <row r="859" ht="30.0" customHeight="1">
      <c r="A859" s="488"/>
      <c r="B859" s="582"/>
      <c r="C859" s="256"/>
      <c r="D859" s="582"/>
      <c r="E859" s="488"/>
      <c r="F859" s="258"/>
      <c r="G859" s="173"/>
      <c r="H859" s="173"/>
      <c r="I859" s="576"/>
      <c r="J859" s="580"/>
      <c r="K859" s="569" t="str">
        <f t="shared" si="1"/>
        <v/>
      </c>
      <c r="L859" s="572"/>
      <c r="M859" s="173"/>
      <c r="N859" s="173"/>
      <c r="O859" s="173"/>
      <c r="P859" s="573"/>
      <c r="Q859" s="573"/>
      <c r="R859" s="173"/>
      <c r="S859" s="173"/>
      <c r="T859" s="173"/>
      <c r="U859" s="173"/>
      <c r="V859" s="173"/>
      <c r="W859" s="574"/>
      <c r="X859" s="575"/>
      <c r="Y859" s="28"/>
      <c r="Z859" s="543" t="str">
        <f t="array" ref="Z859">IF(LEN(AC859),lower(concatenate("bosvendor-",'2-Building'!B$4,"-",INDEX(D:D, MATCH(AC859, J:J, 0)),INDEX(E:E, MATCH(AC859, J:J, 0)))),"")</f>
        <v/>
      </c>
      <c r="AA859" s="28"/>
      <c r="AB859" s="28"/>
      <c r="AC859" s="28"/>
      <c r="AD859" s="28"/>
    </row>
    <row r="860" ht="30.0" customHeight="1">
      <c r="A860" s="488"/>
      <c r="B860" s="582"/>
      <c r="C860" s="256"/>
      <c r="D860" s="582"/>
      <c r="E860" s="488"/>
      <c r="F860" s="258"/>
      <c r="G860" s="173"/>
      <c r="H860" s="173"/>
      <c r="I860" s="576"/>
      <c r="J860" s="580"/>
      <c r="K860" s="569" t="str">
        <f t="shared" si="1"/>
        <v/>
      </c>
      <c r="L860" s="572"/>
      <c r="M860" s="173"/>
      <c r="N860" s="173"/>
      <c r="O860" s="173"/>
      <c r="P860" s="573"/>
      <c r="Q860" s="573"/>
      <c r="R860" s="173"/>
      <c r="S860" s="173"/>
      <c r="T860" s="173"/>
      <c r="U860" s="173"/>
      <c r="V860" s="173"/>
      <c r="W860" s="574"/>
      <c r="X860" s="575"/>
      <c r="Y860" s="28"/>
      <c r="Z860" s="543" t="str">
        <f t="array" ref="Z860">IF(LEN(AC860),lower(concatenate("bosvendor-",'2-Building'!B$4,"-",INDEX(D:D, MATCH(AC860, J:J, 0)),INDEX(E:E, MATCH(AC860, J:J, 0)))),"")</f>
        <v/>
      </c>
      <c r="AA860" s="28"/>
      <c r="AB860" s="28"/>
      <c r="AC860" s="28"/>
      <c r="AD860" s="28"/>
    </row>
    <row r="861" ht="30.0" customHeight="1">
      <c r="A861" s="488"/>
      <c r="B861" s="582"/>
      <c r="C861" s="256"/>
      <c r="D861" s="582"/>
      <c r="E861" s="488"/>
      <c r="F861" s="258"/>
      <c r="G861" s="173"/>
      <c r="H861" s="173"/>
      <c r="I861" s="576"/>
      <c r="J861" s="580"/>
      <c r="K861" s="569" t="str">
        <f t="shared" si="1"/>
        <v/>
      </c>
      <c r="L861" s="572"/>
      <c r="M861" s="173"/>
      <c r="N861" s="173"/>
      <c r="O861" s="173"/>
      <c r="P861" s="573"/>
      <c r="Q861" s="573"/>
      <c r="R861" s="173"/>
      <c r="S861" s="173"/>
      <c r="T861" s="173"/>
      <c r="U861" s="173"/>
      <c r="V861" s="173"/>
      <c r="W861" s="574"/>
      <c r="X861" s="575"/>
      <c r="Y861" s="28"/>
      <c r="Z861" s="543" t="str">
        <f t="array" ref="Z861">IF(LEN(AC861),lower(concatenate("bosvendor-",'2-Building'!B$4,"-",INDEX(D:D, MATCH(AC861, J:J, 0)),INDEX(E:E, MATCH(AC861, J:J, 0)))),"")</f>
        <v/>
      </c>
      <c r="AA861" s="28"/>
      <c r="AB861" s="28"/>
      <c r="AC861" s="28"/>
      <c r="AD861" s="28"/>
    </row>
    <row r="862" ht="30.0" customHeight="1">
      <c r="A862" s="488"/>
      <c r="B862" s="582"/>
      <c r="C862" s="256"/>
      <c r="D862" s="582"/>
      <c r="E862" s="488"/>
      <c r="F862" s="258"/>
      <c r="G862" s="173"/>
      <c r="H862" s="173"/>
      <c r="I862" s="576"/>
      <c r="J862" s="580"/>
      <c r="K862" s="569" t="str">
        <f t="shared" si="1"/>
        <v/>
      </c>
      <c r="L862" s="572"/>
      <c r="M862" s="173"/>
      <c r="N862" s="173"/>
      <c r="O862" s="173"/>
      <c r="P862" s="573"/>
      <c r="Q862" s="573"/>
      <c r="R862" s="173"/>
      <c r="S862" s="173"/>
      <c r="T862" s="173"/>
      <c r="U862" s="173"/>
      <c r="V862" s="173"/>
      <c r="W862" s="574"/>
      <c r="X862" s="575"/>
      <c r="Y862" s="28"/>
      <c r="Z862" s="543" t="str">
        <f t="array" ref="Z862">IF(LEN(AC862),lower(concatenate("bosvendor-",'2-Building'!B$4,"-",INDEX(D:D, MATCH(AC862, J:J, 0)),INDEX(E:E, MATCH(AC862, J:J, 0)))),"")</f>
        <v/>
      </c>
      <c r="AA862" s="28"/>
      <c r="AB862" s="28"/>
      <c r="AC862" s="28"/>
      <c r="AD862" s="28"/>
    </row>
    <row r="863" ht="30.0" customHeight="1">
      <c r="A863" s="488"/>
      <c r="B863" s="582"/>
      <c r="C863" s="256"/>
      <c r="D863" s="582"/>
      <c r="E863" s="488"/>
      <c r="F863" s="258"/>
      <c r="G863" s="173"/>
      <c r="H863" s="173"/>
      <c r="I863" s="576"/>
      <c r="J863" s="580"/>
      <c r="K863" s="569" t="str">
        <f t="shared" si="1"/>
        <v/>
      </c>
      <c r="L863" s="572"/>
      <c r="M863" s="173"/>
      <c r="N863" s="173"/>
      <c r="O863" s="173"/>
      <c r="P863" s="573"/>
      <c r="Q863" s="573"/>
      <c r="R863" s="173"/>
      <c r="S863" s="173"/>
      <c r="T863" s="173"/>
      <c r="U863" s="173"/>
      <c r="V863" s="173"/>
      <c r="W863" s="574"/>
      <c r="X863" s="575"/>
      <c r="Y863" s="28"/>
      <c r="Z863" s="543" t="str">
        <f t="array" ref="Z863">IF(LEN(AC863),lower(concatenate("bosvendor-",'2-Building'!B$4,"-",INDEX(D:D, MATCH(AC863, J:J, 0)),INDEX(E:E, MATCH(AC863, J:J, 0)))),"")</f>
        <v/>
      </c>
      <c r="AA863" s="28"/>
      <c r="AB863" s="28"/>
      <c r="AC863" s="28"/>
      <c r="AD863" s="28"/>
    </row>
    <row r="864" ht="30.0" customHeight="1">
      <c r="A864" s="488"/>
      <c r="B864" s="582"/>
      <c r="C864" s="256"/>
      <c r="D864" s="582"/>
      <c r="E864" s="488"/>
      <c r="F864" s="258"/>
      <c r="G864" s="173"/>
      <c r="H864" s="173"/>
      <c r="I864" s="576"/>
      <c r="J864" s="580"/>
      <c r="K864" s="569" t="str">
        <f t="shared" si="1"/>
        <v/>
      </c>
      <c r="L864" s="572"/>
      <c r="M864" s="173"/>
      <c r="N864" s="173"/>
      <c r="O864" s="173"/>
      <c r="P864" s="573"/>
      <c r="Q864" s="573"/>
      <c r="R864" s="173"/>
      <c r="S864" s="173"/>
      <c r="T864" s="173"/>
      <c r="U864" s="173"/>
      <c r="V864" s="173"/>
      <c r="W864" s="574"/>
      <c r="X864" s="575"/>
      <c r="Y864" s="28"/>
      <c r="Z864" s="543" t="str">
        <f t="array" ref="Z864">IF(LEN(AC864),lower(concatenate("bosvendor-",'2-Building'!B$4,"-",INDEX(D:D, MATCH(AC864, J:J, 0)),INDEX(E:E, MATCH(AC864, J:J, 0)))),"")</f>
        <v/>
      </c>
      <c r="AA864" s="28"/>
      <c r="AB864" s="28"/>
      <c r="AC864" s="28"/>
      <c r="AD864" s="28"/>
    </row>
    <row r="865" ht="30.0" customHeight="1">
      <c r="A865" s="488"/>
      <c r="B865" s="582"/>
      <c r="C865" s="256"/>
      <c r="D865" s="582"/>
      <c r="E865" s="488"/>
      <c r="F865" s="258"/>
      <c r="G865" s="173"/>
      <c r="H865" s="173"/>
      <c r="I865" s="576"/>
      <c r="J865" s="580"/>
      <c r="K865" s="569" t="str">
        <f t="shared" si="1"/>
        <v/>
      </c>
      <c r="L865" s="572"/>
      <c r="M865" s="173"/>
      <c r="N865" s="173"/>
      <c r="O865" s="173"/>
      <c r="P865" s="573"/>
      <c r="Q865" s="573"/>
      <c r="R865" s="173"/>
      <c r="S865" s="173"/>
      <c r="T865" s="173"/>
      <c r="U865" s="173"/>
      <c r="V865" s="173"/>
      <c r="W865" s="574"/>
      <c r="X865" s="575"/>
      <c r="Y865" s="28"/>
      <c r="Z865" s="543" t="str">
        <f t="array" ref="Z865">IF(LEN(AC865),lower(concatenate("bosvendor-",'2-Building'!B$4,"-",INDEX(D:D, MATCH(AC865, J:J, 0)),INDEX(E:E, MATCH(AC865, J:J, 0)))),"")</f>
        <v/>
      </c>
      <c r="AA865" s="28"/>
      <c r="AB865" s="28"/>
      <c r="AC865" s="28"/>
      <c r="AD865" s="28"/>
    </row>
    <row r="866" ht="30.0" customHeight="1">
      <c r="A866" s="488"/>
      <c r="B866" s="582"/>
      <c r="C866" s="256"/>
      <c r="D866" s="582"/>
      <c r="E866" s="488"/>
      <c r="F866" s="258"/>
      <c r="G866" s="173"/>
      <c r="H866" s="173"/>
      <c r="I866" s="576"/>
      <c r="J866" s="580"/>
      <c r="K866" s="569" t="str">
        <f t="shared" si="1"/>
        <v/>
      </c>
      <c r="L866" s="572"/>
      <c r="M866" s="173"/>
      <c r="N866" s="173"/>
      <c r="O866" s="173"/>
      <c r="P866" s="573"/>
      <c r="Q866" s="573"/>
      <c r="R866" s="173"/>
      <c r="S866" s="173"/>
      <c r="T866" s="173"/>
      <c r="U866" s="173"/>
      <c r="V866" s="173"/>
      <c r="W866" s="574"/>
      <c r="X866" s="575"/>
      <c r="Y866" s="28"/>
      <c r="Z866" s="543" t="str">
        <f t="array" ref="Z866">IF(LEN(AC866),lower(concatenate("bosvendor-",'2-Building'!B$4,"-",INDEX(D:D, MATCH(AC866, J:J, 0)),INDEX(E:E, MATCH(AC866, J:J, 0)))),"")</f>
        <v/>
      </c>
      <c r="AA866" s="28"/>
      <c r="AB866" s="28"/>
      <c r="AC866" s="28"/>
      <c r="AD866" s="28"/>
    </row>
    <row r="867" ht="30.0" customHeight="1">
      <c r="A867" s="488"/>
      <c r="B867" s="582"/>
      <c r="C867" s="256"/>
      <c r="D867" s="582"/>
      <c r="E867" s="488"/>
      <c r="F867" s="258"/>
      <c r="G867" s="173"/>
      <c r="H867" s="173"/>
      <c r="I867" s="576"/>
      <c r="J867" s="580"/>
      <c r="K867" s="569" t="str">
        <f t="shared" si="1"/>
        <v/>
      </c>
      <c r="L867" s="572"/>
      <c r="M867" s="173"/>
      <c r="N867" s="173"/>
      <c r="O867" s="173"/>
      <c r="P867" s="573"/>
      <c r="Q867" s="573"/>
      <c r="R867" s="173"/>
      <c r="S867" s="173"/>
      <c r="T867" s="173"/>
      <c r="U867" s="173"/>
      <c r="V867" s="173"/>
      <c r="W867" s="574"/>
      <c r="X867" s="575"/>
      <c r="Y867" s="28"/>
      <c r="Z867" s="543" t="str">
        <f t="array" ref="Z867">IF(LEN(AC867),lower(concatenate("bosvendor-",'2-Building'!B$4,"-",INDEX(D:D, MATCH(AC867, J:J, 0)),INDEX(E:E, MATCH(AC867, J:J, 0)))),"")</f>
        <v/>
      </c>
      <c r="AA867" s="28"/>
      <c r="AB867" s="28"/>
      <c r="AC867" s="28"/>
      <c r="AD867" s="28"/>
    </row>
    <row r="868" ht="30.0" customHeight="1">
      <c r="A868" s="488"/>
      <c r="B868" s="582"/>
      <c r="C868" s="256"/>
      <c r="D868" s="582"/>
      <c r="E868" s="488"/>
      <c r="F868" s="258"/>
      <c r="G868" s="173"/>
      <c r="H868" s="173"/>
      <c r="I868" s="576"/>
      <c r="J868" s="580"/>
      <c r="K868" s="569" t="str">
        <f t="shared" si="1"/>
        <v/>
      </c>
      <c r="L868" s="572"/>
      <c r="M868" s="173"/>
      <c r="N868" s="173"/>
      <c r="O868" s="173"/>
      <c r="P868" s="573"/>
      <c r="Q868" s="573"/>
      <c r="R868" s="173"/>
      <c r="S868" s="173"/>
      <c r="T868" s="173"/>
      <c r="U868" s="173"/>
      <c r="V868" s="173"/>
      <c r="W868" s="574"/>
      <c r="X868" s="575"/>
      <c r="Y868" s="28"/>
      <c r="Z868" s="543" t="str">
        <f t="array" ref="Z868">IF(LEN(AC868),lower(concatenate("bosvendor-",'2-Building'!B$4,"-",INDEX(D:D, MATCH(AC868, J:J, 0)),INDEX(E:E, MATCH(AC868, J:J, 0)))),"")</f>
        <v/>
      </c>
      <c r="AA868" s="28"/>
      <c r="AB868" s="28"/>
      <c r="AC868" s="28"/>
      <c r="AD868" s="28"/>
    </row>
    <row r="869" ht="30.0" customHeight="1">
      <c r="A869" s="488"/>
      <c r="B869" s="582"/>
      <c r="C869" s="256"/>
      <c r="D869" s="582"/>
      <c r="E869" s="488"/>
      <c r="F869" s="258"/>
      <c r="G869" s="173"/>
      <c r="H869" s="173"/>
      <c r="I869" s="576"/>
      <c r="J869" s="580"/>
      <c r="K869" s="569" t="str">
        <f t="shared" si="1"/>
        <v/>
      </c>
      <c r="L869" s="572"/>
      <c r="M869" s="173"/>
      <c r="N869" s="173"/>
      <c r="O869" s="173"/>
      <c r="P869" s="573"/>
      <c r="Q869" s="573"/>
      <c r="R869" s="173"/>
      <c r="S869" s="173"/>
      <c r="T869" s="173"/>
      <c r="U869" s="173"/>
      <c r="V869" s="173"/>
      <c r="W869" s="574"/>
      <c r="X869" s="575"/>
      <c r="Y869" s="28"/>
      <c r="Z869" s="543" t="str">
        <f t="array" ref="Z869">IF(LEN(AC869),lower(concatenate("bosvendor-",'2-Building'!B$4,"-",INDEX(D:D, MATCH(AC869, J:J, 0)),INDEX(E:E, MATCH(AC869, J:J, 0)))),"")</f>
        <v/>
      </c>
      <c r="AA869" s="28"/>
      <c r="AB869" s="28"/>
      <c r="AC869" s="28"/>
      <c r="AD869" s="28"/>
    </row>
    <row r="870" ht="30.0" customHeight="1">
      <c r="A870" s="488"/>
      <c r="B870" s="582"/>
      <c r="C870" s="256"/>
      <c r="D870" s="582"/>
      <c r="E870" s="488"/>
      <c r="F870" s="258"/>
      <c r="G870" s="173"/>
      <c r="H870" s="173"/>
      <c r="I870" s="576"/>
      <c r="J870" s="580"/>
      <c r="K870" s="569" t="str">
        <f t="shared" si="1"/>
        <v/>
      </c>
      <c r="L870" s="572"/>
      <c r="M870" s="173"/>
      <c r="N870" s="173"/>
      <c r="O870" s="173"/>
      <c r="P870" s="573"/>
      <c r="Q870" s="573"/>
      <c r="R870" s="173"/>
      <c r="S870" s="173"/>
      <c r="T870" s="173"/>
      <c r="U870" s="173"/>
      <c r="V870" s="173"/>
      <c r="W870" s="574"/>
      <c r="X870" s="575"/>
      <c r="Y870" s="28"/>
      <c r="Z870" s="543" t="str">
        <f t="array" ref="Z870">IF(LEN(AC870),lower(concatenate("bosvendor-",'2-Building'!B$4,"-",INDEX(D:D, MATCH(AC870, J:J, 0)),INDEX(E:E, MATCH(AC870, J:J, 0)))),"")</f>
        <v/>
      </c>
      <c r="AA870" s="28"/>
      <c r="AB870" s="28"/>
      <c r="AC870" s="28"/>
      <c r="AD870" s="28"/>
    </row>
    <row r="871" ht="30.0" customHeight="1">
      <c r="A871" s="488"/>
      <c r="B871" s="582"/>
      <c r="C871" s="256"/>
      <c r="D871" s="582"/>
      <c r="E871" s="488"/>
      <c r="F871" s="258"/>
      <c r="G871" s="173"/>
      <c r="H871" s="173"/>
      <c r="I871" s="576"/>
      <c r="J871" s="580"/>
      <c r="K871" s="569" t="str">
        <f t="shared" si="1"/>
        <v/>
      </c>
      <c r="L871" s="572"/>
      <c r="M871" s="173"/>
      <c r="N871" s="173"/>
      <c r="O871" s="173"/>
      <c r="P871" s="573"/>
      <c r="Q871" s="573"/>
      <c r="R871" s="173"/>
      <c r="S871" s="173"/>
      <c r="T871" s="173"/>
      <c r="U871" s="173"/>
      <c r="V871" s="173"/>
      <c r="W871" s="574"/>
      <c r="X871" s="575"/>
      <c r="Y871" s="28"/>
      <c r="Z871" s="543" t="str">
        <f t="array" ref="Z871">IF(LEN(AC871),lower(concatenate("bosvendor-",'2-Building'!B$4,"-",INDEX(D:D, MATCH(AC871, J:J, 0)),INDEX(E:E, MATCH(AC871, J:J, 0)))),"")</f>
        <v/>
      </c>
      <c r="AA871" s="28"/>
      <c r="AB871" s="28"/>
      <c r="AC871" s="28"/>
      <c r="AD871" s="28"/>
    </row>
    <row r="872" ht="30.0" customHeight="1">
      <c r="A872" s="488"/>
      <c r="B872" s="582"/>
      <c r="C872" s="256"/>
      <c r="D872" s="582"/>
      <c r="E872" s="488"/>
      <c r="F872" s="258"/>
      <c r="G872" s="173"/>
      <c r="H872" s="173"/>
      <c r="I872" s="576"/>
      <c r="J872" s="580"/>
      <c r="K872" s="569" t="str">
        <f t="shared" si="1"/>
        <v/>
      </c>
      <c r="L872" s="572"/>
      <c r="M872" s="173"/>
      <c r="N872" s="173"/>
      <c r="O872" s="173"/>
      <c r="P872" s="573"/>
      <c r="Q872" s="573"/>
      <c r="R872" s="173"/>
      <c r="S872" s="173"/>
      <c r="T872" s="173"/>
      <c r="U872" s="173"/>
      <c r="V872" s="173"/>
      <c r="W872" s="574"/>
      <c r="X872" s="575"/>
      <c r="Y872" s="28"/>
      <c r="Z872" s="543" t="str">
        <f t="array" ref="Z872">IF(LEN(AC872),lower(concatenate("bosvendor-",'2-Building'!B$4,"-",INDEX(D:D, MATCH(AC872, J:J, 0)),INDEX(E:E, MATCH(AC872, J:J, 0)))),"")</f>
        <v/>
      </c>
      <c r="AA872" s="28"/>
      <c r="AB872" s="28"/>
      <c r="AC872" s="28"/>
      <c r="AD872" s="28"/>
    </row>
    <row r="873" ht="30.0" customHeight="1">
      <c r="A873" s="488"/>
      <c r="B873" s="582"/>
      <c r="C873" s="256"/>
      <c r="D873" s="582"/>
      <c r="E873" s="488"/>
      <c r="F873" s="258"/>
      <c r="G873" s="173"/>
      <c r="H873" s="173"/>
      <c r="I873" s="576"/>
      <c r="J873" s="580"/>
      <c r="K873" s="569" t="str">
        <f t="shared" si="1"/>
        <v/>
      </c>
      <c r="L873" s="572"/>
      <c r="M873" s="173"/>
      <c r="N873" s="173"/>
      <c r="O873" s="173"/>
      <c r="P873" s="573"/>
      <c r="Q873" s="573"/>
      <c r="R873" s="173"/>
      <c r="S873" s="173"/>
      <c r="T873" s="173"/>
      <c r="U873" s="173"/>
      <c r="V873" s="173"/>
      <c r="W873" s="574"/>
      <c r="X873" s="575"/>
      <c r="Y873" s="28"/>
      <c r="Z873" s="543" t="str">
        <f t="array" ref="Z873">IF(LEN(AC873),lower(concatenate("bosvendor-",'2-Building'!B$4,"-",INDEX(D:D, MATCH(AC873, J:J, 0)),INDEX(E:E, MATCH(AC873, J:J, 0)))),"")</f>
        <v/>
      </c>
      <c r="AA873" s="28"/>
      <c r="AB873" s="28"/>
      <c r="AC873" s="28"/>
      <c r="AD873" s="28"/>
    </row>
    <row r="874" ht="30.0" customHeight="1">
      <c r="A874" s="488"/>
      <c r="B874" s="582"/>
      <c r="C874" s="256"/>
      <c r="D874" s="582"/>
      <c r="E874" s="488"/>
      <c r="F874" s="258"/>
      <c r="G874" s="173"/>
      <c r="H874" s="173"/>
      <c r="I874" s="576"/>
      <c r="J874" s="580"/>
      <c r="K874" s="569" t="str">
        <f t="shared" si="1"/>
        <v/>
      </c>
      <c r="L874" s="572"/>
      <c r="M874" s="173"/>
      <c r="N874" s="173"/>
      <c r="O874" s="173"/>
      <c r="P874" s="573"/>
      <c r="Q874" s="573"/>
      <c r="R874" s="173"/>
      <c r="S874" s="173"/>
      <c r="T874" s="173"/>
      <c r="U874" s="173"/>
      <c r="V874" s="173"/>
      <c r="W874" s="574"/>
      <c r="X874" s="575"/>
      <c r="Y874" s="28"/>
      <c r="Z874" s="543" t="str">
        <f t="array" ref="Z874">IF(LEN(AC874),lower(concatenate("bosvendor-",'2-Building'!B$4,"-",INDEX(D:D, MATCH(AC874, J:J, 0)),INDEX(E:E, MATCH(AC874, J:J, 0)))),"")</f>
        <v/>
      </c>
      <c r="AA874" s="28"/>
      <c r="AB874" s="28"/>
      <c r="AC874" s="28"/>
      <c r="AD874" s="28"/>
    </row>
    <row r="875" ht="30.0" customHeight="1">
      <c r="A875" s="488"/>
      <c r="B875" s="582"/>
      <c r="C875" s="256"/>
      <c r="D875" s="582"/>
      <c r="E875" s="488"/>
      <c r="F875" s="258"/>
      <c r="G875" s="173"/>
      <c r="H875" s="173"/>
      <c r="I875" s="576"/>
      <c r="J875" s="580"/>
      <c r="K875" s="569" t="str">
        <f t="shared" si="1"/>
        <v/>
      </c>
      <c r="L875" s="572"/>
      <c r="M875" s="173"/>
      <c r="N875" s="173"/>
      <c r="O875" s="173"/>
      <c r="P875" s="573"/>
      <c r="Q875" s="573"/>
      <c r="R875" s="173"/>
      <c r="S875" s="173"/>
      <c r="T875" s="173"/>
      <c r="U875" s="173"/>
      <c r="V875" s="173"/>
      <c r="W875" s="574"/>
      <c r="X875" s="575"/>
      <c r="Y875" s="28"/>
      <c r="Z875" s="543" t="str">
        <f t="array" ref="Z875">IF(LEN(AC875),lower(concatenate("bosvendor-",'2-Building'!B$4,"-",INDEX(D:D, MATCH(AC875, J:J, 0)),INDEX(E:E, MATCH(AC875, J:J, 0)))),"")</f>
        <v/>
      </c>
      <c r="AA875" s="28"/>
      <c r="AB875" s="28"/>
      <c r="AC875" s="28"/>
      <c r="AD875" s="28"/>
    </row>
    <row r="876" ht="30.0" customHeight="1">
      <c r="A876" s="488"/>
      <c r="B876" s="582"/>
      <c r="C876" s="256"/>
      <c r="D876" s="582"/>
      <c r="E876" s="488"/>
      <c r="F876" s="258"/>
      <c r="G876" s="173"/>
      <c r="H876" s="173"/>
      <c r="I876" s="576"/>
      <c r="J876" s="580"/>
      <c r="K876" s="569" t="str">
        <f t="shared" si="1"/>
        <v/>
      </c>
      <c r="L876" s="572"/>
      <c r="M876" s="173"/>
      <c r="N876" s="173"/>
      <c r="O876" s="173"/>
      <c r="P876" s="573"/>
      <c r="Q876" s="573"/>
      <c r="R876" s="173"/>
      <c r="S876" s="173"/>
      <c r="T876" s="173"/>
      <c r="U876" s="173"/>
      <c r="V876" s="173"/>
      <c r="W876" s="574"/>
      <c r="X876" s="575"/>
      <c r="Y876" s="28"/>
      <c r="Z876" s="543" t="str">
        <f t="array" ref="Z876">IF(LEN(AC876),lower(concatenate("bosvendor-",'2-Building'!B$4,"-",INDEX(D:D, MATCH(AC876, J:J, 0)),INDEX(E:E, MATCH(AC876, J:J, 0)))),"")</f>
        <v/>
      </c>
      <c r="AA876" s="28"/>
      <c r="AB876" s="28"/>
      <c r="AC876" s="28"/>
      <c r="AD876" s="28"/>
    </row>
    <row r="877" ht="30.0" customHeight="1">
      <c r="A877" s="488"/>
      <c r="B877" s="582"/>
      <c r="C877" s="256"/>
      <c r="D877" s="582"/>
      <c r="E877" s="488"/>
      <c r="F877" s="258"/>
      <c r="G877" s="173"/>
      <c r="H877" s="173"/>
      <c r="I877" s="576"/>
      <c r="J877" s="580"/>
      <c r="K877" s="569" t="str">
        <f t="shared" si="1"/>
        <v/>
      </c>
      <c r="L877" s="572"/>
      <c r="M877" s="173"/>
      <c r="N877" s="173"/>
      <c r="O877" s="173"/>
      <c r="P877" s="573"/>
      <c r="Q877" s="573"/>
      <c r="R877" s="173"/>
      <c r="S877" s="173"/>
      <c r="T877" s="173"/>
      <c r="U877" s="173"/>
      <c r="V877" s="173"/>
      <c r="W877" s="574"/>
      <c r="X877" s="575"/>
      <c r="Y877" s="28"/>
      <c r="Z877" s="543" t="str">
        <f t="array" ref="Z877">IF(LEN(AC877),lower(concatenate("bosvendor-",'2-Building'!B$4,"-",INDEX(D:D, MATCH(AC877, J:J, 0)),INDEX(E:E, MATCH(AC877, J:J, 0)))),"")</f>
        <v/>
      </c>
      <c r="AA877" s="28"/>
      <c r="AB877" s="28"/>
      <c r="AC877" s="28"/>
      <c r="AD877" s="28"/>
    </row>
    <row r="878" ht="30.0" customHeight="1">
      <c r="A878" s="488"/>
      <c r="B878" s="582"/>
      <c r="C878" s="256"/>
      <c r="D878" s="582"/>
      <c r="E878" s="488"/>
      <c r="F878" s="258"/>
      <c r="G878" s="173"/>
      <c r="H878" s="173"/>
      <c r="I878" s="576"/>
      <c r="J878" s="580"/>
      <c r="K878" s="569" t="str">
        <f t="shared" si="1"/>
        <v/>
      </c>
      <c r="L878" s="572"/>
      <c r="M878" s="173"/>
      <c r="N878" s="173"/>
      <c r="O878" s="173"/>
      <c r="P878" s="573"/>
      <c r="Q878" s="573"/>
      <c r="R878" s="173"/>
      <c r="S878" s="173"/>
      <c r="T878" s="173"/>
      <c r="U878" s="173"/>
      <c r="V878" s="173"/>
      <c r="W878" s="574"/>
      <c r="X878" s="575"/>
      <c r="Y878" s="28"/>
      <c r="Z878" s="543" t="str">
        <f t="array" ref="Z878">IF(LEN(AC878),lower(concatenate("bosvendor-",'2-Building'!B$4,"-",INDEX(D:D, MATCH(AC878, J:J, 0)),INDEX(E:E, MATCH(AC878, J:J, 0)))),"")</f>
        <v/>
      </c>
      <c r="AA878" s="28"/>
      <c r="AB878" s="28"/>
      <c r="AC878" s="28"/>
      <c r="AD878" s="28"/>
    </row>
    <row r="879" ht="30.0" customHeight="1">
      <c r="A879" s="488"/>
      <c r="B879" s="582"/>
      <c r="C879" s="256"/>
      <c r="D879" s="582"/>
      <c r="E879" s="488"/>
      <c r="F879" s="258"/>
      <c r="G879" s="173"/>
      <c r="H879" s="173"/>
      <c r="I879" s="576"/>
      <c r="J879" s="580"/>
      <c r="K879" s="569" t="str">
        <f t="shared" si="1"/>
        <v/>
      </c>
      <c r="L879" s="572"/>
      <c r="M879" s="173"/>
      <c r="N879" s="173"/>
      <c r="O879" s="173"/>
      <c r="P879" s="573"/>
      <c r="Q879" s="573"/>
      <c r="R879" s="173"/>
      <c r="S879" s="173"/>
      <c r="T879" s="173"/>
      <c r="U879" s="173"/>
      <c r="V879" s="173"/>
      <c r="W879" s="574"/>
      <c r="X879" s="575"/>
      <c r="Y879" s="28"/>
      <c r="Z879" s="543" t="str">
        <f t="array" ref="Z879">IF(LEN(AC879),lower(concatenate("bosvendor-",'2-Building'!B$4,"-",INDEX(D:D, MATCH(AC879, J:J, 0)),INDEX(E:E, MATCH(AC879, J:J, 0)))),"")</f>
        <v/>
      </c>
      <c r="AA879" s="28"/>
      <c r="AB879" s="28"/>
      <c r="AC879" s="28"/>
      <c r="AD879" s="28"/>
    </row>
    <row r="880" ht="30.0" customHeight="1">
      <c r="A880" s="488"/>
      <c r="B880" s="582"/>
      <c r="C880" s="256"/>
      <c r="D880" s="582"/>
      <c r="E880" s="488"/>
      <c r="F880" s="258"/>
      <c r="G880" s="173"/>
      <c r="H880" s="173"/>
      <c r="I880" s="576"/>
      <c r="J880" s="580"/>
      <c r="K880" s="569" t="str">
        <f t="shared" si="1"/>
        <v/>
      </c>
      <c r="L880" s="572"/>
      <c r="M880" s="173"/>
      <c r="N880" s="173"/>
      <c r="O880" s="173"/>
      <c r="P880" s="573"/>
      <c r="Q880" s="573"/>
      <c r="R880" s="173"/>
      <c r="S880" s="173"/>
      <c r="T880" s="173"/>
      <c r="U880" s="173"/>
      <c r="V880" s="173"/>
      <c r="W880" s="574"/>
      <c r="X880" s="575"/>
      <c r="Y880" s="28"/>
      <c r="Z880" s="543" t="str">
        <f t="array" ref="Z880">IF(LEN(AC880),lower(concatenate("bosvendor-",'2-Building'!B$4,"-",INDEX(D:D, MATCH(AC880, J:J, 0)),INDEX(E:E, MATCH(AC880, J:J, 0)))),"")</f>
        <v/>
      </c>
      <c r="AA880" s="28"/>
      <c r="AB880" s="28"/>
      <c r="AC880" s="28"/>
      <c r="AD880" s="28"/>
    </row>
    <row r="881" ht="30.0" customHeight="1">
      <c r="A881" s="488"/>
      <c r="B881" s="582"/>
      <c r="C881" s="256"/>
      <c r="D881" s="582"/>
      <c r="E881" s="488"/>
      <c r="F881" s="258"/>
      <c r="G881" s="173"/>
      <c r="H881" s="173"/>
      <c r="I881" s="576"/>
      <c r="J881" s="580"/>
      <c r="K881" s="569" t="str">
        <f t="shared" si="1"/>
        <v/>
      </c>
      <c r="L881" s="572"/>
      <c r="M881" s="173"/>
      <c r="N881" s="173"/>
      <c r="O881" s="173"/>
      <c r="P881" s="573"/>
      <c r="Q881" s="573"/>
      <c r="R881" s="173"/>
      <c r="S881" s="173"/>
      <c r="T881" s="173"/>
      <c r="U881" s="173"/>
      <c r="V881" s="173"/>
      <c r="W881" s="574"/>
      <c r="X881" s="575"/>
      <c r="Y881" s="28"/>
      <c r="Z881" s="543" t="str">
        <f t="array" ref="Z881">IF(LEN(AC881),lower(concatenate("bosvendor-",'2-Building'!B$4,"-",INDEX(D:D, MATCH(AC881, J:J, 0)),INDEX(E:E, MATCH(AC881, J:J, 0)))),"")</f>
        <v/>
      </c>
      <c r="AA881" s="28"/>
      <c r="AB881" s="28"/>
      <c r="AC881" s="28"/>
      <c r="AD881" s="28"/>
    </row>
    <row r="882" ht="30.0" customHeight="1">
      <c r="A882" s="488"/>
      <c r="B882" s="582"/>
      <c r="C882" s="256"/>
      <c r="D882" s="582"/>
      <c r="E882" s="488"/>
      <c r="F882" s="258"/>
      <c r="G882" s="173"/>
      <c r="H882" s="173"/>
      <c r="I882" s="576"/>
      <c r="J882" s="580"/>
      <c r="K882" s="569" t="str">
        <f t="shared" si="1"/>
        <v/>
      </c>
      <c r="L882" s="572"/>
      <c r="M882" s="173"/>
      <c r="N882" s="173"/>
      <c r="O882" s="173"/>
      <c r="P882" s="573"/>
      <c r="Q882" s="573"/>
      <c r="R882" s="173"/>
      <c r="S882" s="173"/>
      <c r="T882" s="173"/>
      <c r="U882" s="173"/>
      <c r="V882" s="173"/>
      <c r="W882" s="574"/>
      <c r="X882" s="575"/>
      <c r="Y882" s="28"/>
      <c r="Z882" s="543" t="str">
        <f t="array" ref="Z882">IF(LEN(AC882),lower(concatenate("bosvendor-",'2-Building'!B$4,"-",INDEX(D:D, MATCH(AC882, J:J, 0)),INDEX(E:E, MATCH(AC882, J:J, 0)))),"")</f>
        <v/>
      </c>
      <c r="AA882" s="28"/>
      <c r="AB882" s="28"/>
      <c r="AC882" s="28"/>
      <c r="AD882" s="28"/>
    </row>
    <row r="883" ht="30.0" customHeight="1">
      <c r="A883" s="488"/>
      <c r="B883" s="582"/>
      <c r="C883" s="256"/>
      <c r="D883" s="582"/>
      <c r="E883" s="488"/>
      <c r="F883" s="258"/>
      <c r="G883" s="173"/>
      <c r="H883" s="173"/>
      <c r="I883" s="576"/>
      <c r="J883" s="580"/>
      <c r="K883" s="569" t="str">
        <f t="shared" si="1"/>
        <v/>
      </c>
      <c r="L883" s="572"/>
      <c r="M883" s="173"/>
      <c r="N883" s="173"/>
      <c r="O883" s="173"/>
      <c r="P883" s="573"/>
      <c r="Q883" s="573"/>
      <c r="R883" s="173"/>
      <c r="S883" s="173"/>
      <c r="T883" s="173"/>
      <c r="U883" s="173"/>
      <c r="V883" s="173"/>
      <c r="W883" s="574"/>
      <c r="X883" s="575"/>
      <c r="Y883" s="28"/>
      <c r="Z883" s="543" t="str">
        <f t="array" ref="Z883">IF(LEN(AC883),lower(concatenate("bosvendor-",'2-Building'!B$4,"-",INDEX(D:D, MATCH(AC883, J:J, 0)),INDEX(E:E, MATCH(AC883, J:J, 0)))),"")</f>
        <v/>
      </c>
      <c r="AA883" s="28"/>
      <c r="AB883" s="28"/>
      <c r="AC883" s="28"/>
      <c r="AD883" s="28"/>
    </row>
    <row r="884" ht="30.0" customHeight="1">
      <c r="A884" s="488"/>
      <c r="B884" s="582"/>
      <c r="C884" s="256"/>
      <c r="D884" s="582"/>
      <c r="E884" s="488"/>
      <c r="F884" s="258"/>
      <c r="G884" s="173"/>
      <c r="H884" s="173"/>
      <c r="I884" s="576"/>
      <c r="J884" s="580"/>
      <c r="K884" s="569" t="str">
        <f t="shared" si="1"/>
        <v/>
      </c>
      <c r="L884" s="572"/>
      <c r="M884" s="173"/>
      <c r="N884" s="173"/>
      <c r="O884" s="173"/>
      <c r="P884" s="573"/>
      <c r="Q884" s="573"/>
      <c r="R884" s="173"/>
      <c r="S884" s="173"/>
      <c r="T884" s="173"/>
      <c r="U884" s="173"/>
      <c r="V884" s="173"/>
      <c r="W884" s="574"/>
      <c r="X884" s="575"/>
      <c r="Y884" s="28"/>
      <c r="Z884" s="543" t="str">
        <f t="array" ref="Z884">IF(LEN(AC884),lower(concatenate("bosvendor-",'2-Building'!B$4,"-",INDEX(D:D, MATCH(AC884, J:J, 0)),INDEX(E:E, MATCH(AC884, J:J, 0)))),"")</f>
        <v/>
      </c>
      <c r="AA884" s="28"/>
      <c r="AB884" s="28"/>
      <c r="AC884" s="28"/>
      <c r="AD884" s="28"/>
    </row>
    <row r="885" ht="30.0" customHeight="1">
      <c r="A885" s="488"/>
      <c r="B885" s="582"/>
      <c r="C885" s="256"/>
      <c r="D885" s="582"/>
      <c r="E885" s="488"/>
      <c r="F885" s="258"/>
      <c r="G885" s="173"/>
      <c r="H885" s="173"/>
      <c r="I885" s="576"/>
      <c r="J885" s="580"/>
      <c r="K885" s="569" t="str">
        <f t="shared" si="1"/>
        <v/>
      </c>
      <c r="L885" s="572"/>
      <c r="M885" s="173"/>
      <c r="N885" s="173"/>
      <c r="O885" s="173"/>
      <c r="P885" s="573"/>
      <c r="Q885" s="573"/>
      <c r="R885" s="173"/>
      <c r="S885" s="173"/>
      <c r="T885" s="173"/>
      <c r="U885" s="173"/>
      <c r="V885" s="173"/>
      <c r="W885" s="574"/>
      <c r="X885" s="575"/>
      <c r="Y885" s="28"/>
      <c r="Z885" s="543" t="str">
        <f t="array" ref="Z885">IF(LEN(AC885),lower(concatenate("bosvendor-",'2-Building'!B$4,"-",INDEX(D:D, MATCH(AC885, J:J, 0)),INDEX(E:E, MATCH(AC885, J:J, 0)))),"")</f>
        <v/>
      </c>
      <c r="AA885" s="28"/>
      <c r="AB885" s="28"/>
      <c r="AC885" s="28"/>
      <c r="AD885" s="28"/>
    </row>
    <row r="886" ht="30.0" customHeight="1">
      <c r="A886" s="488"/>
      <c r="B886" s="582"/>
      <c r="C886" s="256"/>
      <c r="D886" s="582"/>
      <c r="E886" s="488"/>
      <c r="F886" s="258"/>
      <c r="G886" s="173"/>
      <c r="H886" s="173"/>
      <c r="I886" s="576"/>
      <c r="J886" s="580"/>
      <c r="K886" s="569" t="str">
        <f t="shared" si="1"/>
        <v/>
      </c>
      <c r="L886" s="572"/>
      <c r="M886" s="173"/>
      <c r="N886" s="173"/>
      <c r="O886" s="173"/>
      <c r="P886" s="573"/>
      <c r="Q886" s="573"/>
      <c r="R886" s="173"/>
      <c r="S886" s="173"/>
      <c r="T886" s="173"/>
      <c r="U886" s="173"/>
      <c r="V886" s="173"/>
      <c r="W886" s="574"/>
      <c r="X886" s="575"/>
      <c r="Y886" s="28"/>
      <c r="Z886" s="543" t="str">
        <f t="array" ref="Z886">IF(LEN(AC886),lower(concatenate("bosvendor-",'2-Building'!B$4,"-",INDEX(D:D, MATCH(AC886, J:J, 0)),INDEX(E:E, MATCH(AC886, J:J, 0)))),"")</f>
        <v/>
      </c>
      <c r="AA886" s="28"/>
      <c r="AB886" s="28"/>
      <c r="AC886" s="28"/>
      <c r="AD886" s="28"/>
    </row>
    <row r="887" ht="30.0" customHeight="1">
      <c r="A887" s="488"/>
      <c r="B887" s="582"/>
      <c r="C887" s="256"/>
      <c r="D887" s="582"/>
      <c r="E887" s="488"/>
      <c r="F887" s="258"/>
      <c r="G887" s="173"/>
      <c r="H887" s="173"/>
      <c r="I887" s="576"/>
      <c r="J887" s="580"/>
      <c r="K887" s="569" t="str">
        <f t="shared" si="1"/>
        <v/>
      </c>
      <c r="L887" s="572"/>
      <c r="M887" s="173"/>
      <c r="N887" s="173"/>
      <c r="O887" s="173"/>
      <c r="P887" s="573"/>
      <c r="Q887" s="573"/>
      <c r="R887" s="173"/>
      <c r="S887" s="173"/>
      <c r="T887" s="173"/>
      <c r="U887" s="173"/>
      <c r="V887" s="173"/>
      <c r="W887" s="574"/>
      <c r="X887" s="575"/>
      <c r="Y887" s="28"/>
      <c r="Z887" s="543" t="str">
        <f t="array" ref="Z887">IF(LEN(AC887),lower(concatenate("bosvendor-",'2-Building'!B$4,"-",INDEX(D:D, MATCH(AC887, J:J, 0)),INDEX(E:E, MATCH(AC887, J:J, 0)))),"")</f>
        <v/>
      </c>
      <c r="AA887" s="28"/>
      <c r="AB887" s="28"/>
      <c r="AC887" s="28"/>
      <c r="AD887" s="28"/>
    </row>
    <row r="888" ht="30.0" customHeight="1">
      <c r="A888" s="488"/>
      <c r="B888" s="582"/>
      <c r="C888" s="256"/>
      <c r="D888" s="582"/>
      <c r="E888" s="488"/>
      <c r="F888" s="258"/>
      <c r="G888" s="173"/>
      <c r="H888" s="173"/>
      <c r="I888" s="576"/>
      <c r="J888" s="580"/>
      <c r="K888" s="569" t="str">
        <f t="shared" si="1"/>
        <v/>
      </c>
      <c r="L888" s="572"/>
      <c r="M888" s="173"/>
      <c r="N888" s="173"/>
      <c r="O888" s="173"/>
      <c r="P888" s="573"/>
      <c r="Q888" s="573"/>
      <c r="R888" s="173"/>
      <c r="S888" s="173"/>
      <c r="T888" s="173"/>
      <c r="U888" s="173"/>
      <c r="V888" s="173"/>
      <c r="W888" s="574"/>
      <c r="X888" s="575"/>
      <c r="Y888" s="28"/>
      <c r="Z888" s="543" t="str">
        <f t="array" ref="Z888">IF(LEN(AC888),lower(concatenate("bosvendor-",'2-Building'!B$4,"-",INDEX(D:D, MATCH(AC888, J:J, 0)),INDEX(E:E, MATCH(AC888, J:J, 0)))),"")</f>
        <v/>
      </c>
      <c r="AA888" s="28"/>
      <c r="AB888" s="28"/>
      <c r="AC888" s="28"/>
      <c r="AD888" s="28"/>
    </row>
    <row r="889" ht="30.0" customHeight="1">
      <c r="A889" s="488"/>
      <c r="B889" s="582"/>
      <c r="C889" s="256"/>
      <c r="D889" s="582"/>
      <c r="E889" s="488"/>
      <c r="F889" s="258"/>
      <c r="G889" s="173"/>
      <c r="H889" s="173"/>
      <c r="I889" s="576"/>
      <c r="J889" s="580"/>
      <c r="K889" s="569" t="str">
        <f t="shared" si="1"/>
        <v/>
      </c>
      <c r="L889" s="572"/>
      <c r="M889" s="173"/>
      <c r="N889" s="173"/>
      <c r="O889" s="173"/>
      <c r="P889" s="573"/>
      <c r="Q889" s="573"/>
      <c r="R889" s="173"/>
      <c r="S889" s="173"/>
      <c r="T889" s="173"/>
      <c r="U889" s="173"/>
      <c r="V889" s="173"/>
      <c r="W889" s="574"/>
      <c r="X889" s="575"/>
      <c r="Y889" s="28"/>
      <c r="Z889" s="543" t="str">
        <f t="array" ref="Z889">IF(LEN(AC889),lower(concatenate("bosvendor-",'2-Building'!B$4,"-",INDEX(D:D, MATCH(AC889, J:J, 0)),INDEX(E:E, MATCH(AC889, J:J, 0)))),"")</f>
        <v/>
      </c>
      <c r="AA889" s="28"/>
      <c r="AB889" s="28"/>
      <c r="AC889" s="28"/>
      <c r="AD889" s="28"/>
    </row>
    <row r="890" ht="30.0" customHeight="1">
      <c r="A890" s="488"/>
      <c r="B890" s="582"/>
      <c r="C890" s="256"/>
      <c r="D890" s="582"/>
      <c r="E890" s="488"/>
      <c r="F890" s="258"/>
      <c r="G890" s="173"/>
      <c r="H890" s="173"/>
      <c r="I890" s="576"/>
      <c r="J890" s="580"/>
      <c r="K890" s="569" t="str">
        <f t="shared" si="1"/>
        <v/>
      </c>
      <c r="L890" s="572"/>
      <c r="M890" s="173"/>
      <c r="N890" s="173"/>
      <c r="O890" s="173"/>
      <c r="P890" s="573"/>
      <c r="Q890" s="573"/>
      <c r="R890" s="173"/>
      <c r="S890" s="173"/>
      <c r="T890" s="173"/>
      <c r="U890" s="173"/>
      <c r="V890" s="173"/>
      <c r="W890" s="574"/>
      <c r="X890" s="575"/>
      <c r="Y890" s="28"/>
      <c r="Z890" s="543" t="str">
        <f t="array" ref="Z890">IF(LEN(AC890),lower(concatenate("bosvendor-",'2-Building'!B$4,"-",INDEX(D:D, MATCH(AC890, J:J, 0)),INDEX(E:E, MATCH(AC890, J:J, 0)))),"")</f>
        <v/>
      </c>
      <c r="AA890" s="28"/>
      <c r="AB890" s="28"/>
      <c r="AC890" s="28"/>
      <c r="AD890" s="28"/>
    </row>
    <row r="891" ht="30.0" customHeight="1">
      <c r="A891" s="488"/>
      <c r="B891" s="582"/>
      <c r="C891" s="256"/>
      <c r="D891" s="582"/>
      <c r="E891" s="488"/>
      <c r="F891" s="258"/>
      <c r="G891" s="173"/>
      <c r="H891" s="173"/>
      <c r="I891" s="576"/>
      <c r="J891" s="580"/>
      <c r="K891" s="569" t="str">
        <f t="shared" si="1"/>
        <v/>
      </c>
      <c r="L891" s="572"/>
      <c r="M891" s="173"/>
      <c r="N891" s="173"/>
      <c r="O891" s="173"/>
      <c r="P891" s="573"/>
      <c r="Q891" s="573"/>
      <c r="R891" s="173"/>
      <c r="S891" s="173"/>
      <c r="T891" s="173"/>
      <c r="U891" s="173"/>
      <c r="V891" s="173"/>
      <c r="W891" s="574"/>
      <c r="X891" s="575"/>
      <c r="Y891" s="28"/>
      <c r="Z891" s="543" t="str">
        <f t="array" ref="Z891">IF(LEN(AC891),lower(concatenate("bosvendor-",'2-Building'!B$4,"-",INDEX(D:D, MATCH(AC891, J:J, 0)),INDEX(E:E, MATCH(AC891, J:J, 0)))),"")</f>
        <v/>
      </c>
      <c r="AA891" s="28"/>
      <c r="AB891" s="28"/>
      <c r="AC891" s="28"/>
      <c r="AD891" s="28"/>
    </row>
    <row r="892" ht="30.0" customHeight="1">
      <c r="A892" s="488"/>
      <c r="B892" s="582"/>
      <c r="C892" s="256"/>
      <c r="D892" s="582"/>
      <c r="E892" s="488"/>
      <c r="F892" s="258"/>
      <c r="G892" s="173"/>
      <c r="H892" s="173"/>
      <c r="I892" s="576"/>
      <c r="J892" s="580"/>
      <c r="K892" s="569" t="str">
        <f t="shared" si="1"/>
        <v/>
      </c>
      <c r="L892" s="572"/>
      <c r="M892" s="173"/>
      <c r="N892" s="173"/>
      <c r="O892" s="173"/>
      <c r="P892" s="573"/>
      <c r="Q892" s="573"/>
      <c r="R892" s="173"/>
      <c r="S892" s="173"/>
      <c r="T892" s="173"/>
      <c r="U892" s="173"/>
      <c r="V892" s="173"/>
      <c r="W892" s="574"/>
      <c r="X892" s="575"/>
      <c r="Y892" s="28"/>
      <c r="Z892" s="543" t="str">
        <f t="array" ref="Z892">IF(LEN(AC892),lower(concatenate("bosvendor-",'2-Building'!B$4,"-",INDEX(D:D, MATCH(AC892, J:J, 0)),INDEX(E:E, MATCH(AC892, J:J, 0)))),"")</f>
        <v/>
      </c>
      <c r="AA892" s="28"/>
      <c r="AB892" s="28"/>
      <c r="AC892" s="28"/>
      <c r="AD892" s="28"/>
    </row>
    <row r="893" ht="30.0" customHeight="1">
      <c r="A893" s="488"/>
      <c r="B893" s="582"/>
      <c r="C893" s="256"/>
      <c r="D893" s="582"/>
      <c r="E893" s="488"/>
      <c r="F893" s="258"/>
      <c r="G893" s="173"/>
      <c r="H893" s="173"/>
      <c r="I893" s="576"/>
      <c r="J893" s="580"/>
      <c r="K893" s="569" t="str">
        <f t="shared" si="1"/>
        <v/>
      </c>
      <c r="L893" s="572"/>
      <c r="M893" s="173"/>
      <c r="N893" s="173"/>
      <c r="O893" s="173"/>
      <c r="P893" s="573"/>
      <c r="Q893" s="573"/>
      <c r="R893" s="173"/>
      <c r="S893" s="173"/>
      <c r="T893" s="173"/>
      <c r="U893" s="173"/>
      <c r="V893" s="173"/>
      <c r="W893" s="574"/>
      <c r="X893" s="575"/>
      <c r="Y893" s="28"/>
      <c r="Z893" s="543" t="str">
        <f t="array" ref="Z893">IF(LEN(AC893),lower(concatenate("bosvendor-",'2-Building'!B$4,"-",INDEX(D:D, MATCH(AC893, J:J, 0)),INDEX(E:E, MATCH(AC893, J:J, 0)))),"")</f>
        <v/>
      </c>
      <c r="AA893" s="28"/>
      <c r="AB893" s="28"/>
      <c r="AC893" s="28"/>
      <c r="AD893" s="28"/>
    </row>
    <row r="894" ht="30.0" customHeight="1">
      <c r="A894" s="488"/>
      <c r="B894" s="582"/>
      <c r="C894" s="256"/>
      <c r="D894" s="582"/>
      <c r="E894" s="488"/>
      <c r="F894" s="258"/>
      <c r="G894" s="173"/>
      <c r="H894" s="173"/>
      <c r="I894" s="576"/>
      <c r="J894" s="580"/>
      <c r="K894" s="569" t="str">
        <f t="shared" si="1"/>
        <v/>
      </c>
      <c r="L894" s="572"/>
      <c r="M894" s="173"/>
      <c r="N894" s="173"/>
      <c r="O894" s="173"/>
      <c r="P894" s="573"/>
      <c r="Q894" s="573"/>
      <c r="R894" s="173"/>
      <c r="S894" s="173"/>
      <c r="T894" s="173"/>
      <c r="U894" s="173"/>
      <c r="V894" s="173"/>
      <c r="W894" s="574"/>
      <c r="X894" s="575"/>
      <c r="Y894" s="28"/>
      <c r="Z894" s="543" t="str">
        <f t="array" ref="Z894">IF(LEN(AC894),lower(concatenate("bosvendor-",'2-Building'!B$4,"-",INDEX(D:D, MATCH(AC894, J:J, 0)),INDEX(E:E, MATCH(AC894, J:J, 0)))),"")</f>
        <v/>
      </c>
      <c r="AA894" s="28"/>
      <c r="AB894" s="28"/>
      <c r="AC894" s="28"/>
      <c r="AD894" s="28"/>
    </row>
    <row r="895" ht="30.0" customHeight="1">
      <c r="A895" s="488"/>
      <c r="B895" s="582"/>
      <c r="C895" s="256"/>
      <c r="D895" s="582"/>
      <c r="E895" s="488"/>
      <c r="F895" s="258"/>
      <c r="G895" s="173"/>
      <c r="H895" s="173"/>
      <c r="I895" s="576"/>
      <c r="J895" s="580"/>
      <c r="K895" s="569" t="str">
        <f t="shared" si="1"/>
        <v/>
      </c>
      <c r="L895" s="572"/>
      <c r="M895" s="173"/>
      <c r="N895" s="173"/>
      <c r="O895" s="173"/>
      <c r="P895" s="573"/>
      <c r="Q895" s="573"/>
      <c r="R895" s="173"/>
      <c r="S895" s="173"/>
      <c r="T895" s="173"/>
      <c r="U895" s="173"/>
      <c r="V895" s="173"/>
      <c r="W895" s="574"/>
      <c r="X895" s="575"/>
      <c r="Y895" s="28"/>
      <c r="Z895" s="543" t="str">
        <f t="array" ref="Z895">IF(LEN(AC895),lower(concatenate("bosvendor-",'2-Building'!B$4,"-",INDEX(D:D, MATCH(AC895, J:J, 0)),INDEX(E:E, MATCH(AC895, J:J, 0)))),"")</f>
        <v/>
      </c>
      <c r="AA895" s="28"/>
      <c r="AB895" s="28"/>
      <c r="AC895" s="28"/>
      <c r="AD895" s="28"/>
    </row>
    <row r="896" ht="30.0" customHeight="1">
      <c r="A896" s="488"/>
      <c r="B896" s="582"/>
      <c r="C896" s="256"/>
      <c r="D896" s="582"/>
      <c r="E896" s="488"/>
      <c r="F896" s="258"/>
      <c r="G896" s="173"/>
      <c r="H896" s="173"/>
      <c r="I896" s="576"/>
      <c r="J896" s="580"/>
      <c r="K896" s="569" t="str">
        <f t="shared" si="1"/>
        <v/>
      </c>
      <c r="L896" s="572"/>
      <c r="M896" s="173"/>
      <c r="N896" s="173"/>
      <c r="O896" s="173"/>
      <c r="P896" s="573"/>
      <c r="Q896" s="573"/>
      <c r="R896" s="173"/>
      <c r="S896" s="173"/>
      <c r="T896" s="173"/>
      <c r="U896" s="173"/>
      <c r="V896" s="173"/>
      <c r="W896" s="574"/>
      <c r="X896" s="575"/>
      <c r="Y896" s="28"/>
      <c r="Z896" s="543" t="str">
        <f t="array" ref="Z896">IF(LEN(AC896),lower(concatenate("bosvendor-",'2-Building'!B$4,"-",INDEX(D:D, MATCH(AC896, J:J, 0)),INDEX(E:E, MATCH(AC896, J:J, 0)))),"")</f>
        <v/>
      </c>
      <c r="AA896" s="28"/>
      <c r="AB896" s="28"/>
      <c r="AC896" s="28"/>
      <c r="AD896" s="28"/>
    </row>
    <row r="897" ht="30.0" customHeight="1">
      <c r="A897" s="488"/>
      <c r="B897" s="582"/>
      <c r="C897" s="256"/>
      <c r="D897" s="582"/>
      <c r="E897" s="488"/>
      <c r="F897" s="258"/>
      <c r="G897" s="173"/>
      <c r="H897" s="173"/>
      <c r="I897" s="576"/>
      <c r="J897" s="580"/>
      <c r="K897" s="569" t="str">
        <f t="shared" si="1"/>
        <v/>
      </c>
      <c r="L897" s="572"/>
      <c r="M897" s="173"/>
      <c r="N897" s="173"/>
      <c r="O897" s="173"/>
      <c r="P897" s="573"/>
      <c r="Q897" s="573"/>
      <c r="R897" s="173"/>
      <c r="S897" s="173"/>
      <c r="T897" s="173"/>
      <c r="U897" s="173"/>
      <c r="V897" s="173"/>
      <c r="W897" s="574"/>
      <c r="X897" s="575"/>
      <c r="Y897" s="28"/>
      <c r="Z897" s="543" t="str">
        <f t="array" ref="Z897">IF(LEN(AC897),lower(concatenate("bosvendor-",'2-Building'!B$4,"-",INDEX(D:D, MATCH(AC897, J:J, 0)),INDEX(E:E, MATCH(AC897, J:J, 0)))),"")</f>
        <v/>
      </c>
      <c r="AA897" s="28"/>
      <c r="AB897" s="28"/>
      <c r="AC897" s="28"/>
      <c r="AD897" s="28"/>
    </row>
    <row r="898" ht="30.0" customHeight="1">
      <c r="A898" s="488"/>
      <c r="B898" s="582"/>
      <c r="C898" s="256"/>
      <c r="D898" s="582"/>
      <c r="E898" s="488"/>
      <c r="F898" s="258"/>
      <c r="G898" s="173"/>
      <c r="H898" s="173"/>
      <c r="I898" s="576"/>
      <c r="J898" s="580"/>
      <c r="K898" s="569" t="str">
        <f t="shared" si="1"/>
        <v/>
      </c>
      <c r="L898" s="572"/>
      <c r="M898" s="173"/>
      <c r="N898" s="173"/>
      <c r="O898" s="173"/>
      <c r="P898" s="573"/>
      <c r="Q898" s="573"/>
      <c r="R898" s="173"/>
      <c r="S898" s="173"/>
      <c r="T898" s="173"/>
      <c r="U898" s="173"/>
      <c r="V898" s="173"/>
      <c r="W898" s="574"/>
      <c r="X898" s="575"/>
      <c r="Y898" s="28"/>
      <c r="Z898" s="543" t="str">
        <f t="array" ref="Z898">IF(LEN(AC898),lower(concatenate("bosvendor-",'2-Building'!B$4,"-",INDEX(D:D, MATCH(AC898, J:J, 0)),INDEX(E:E, MATCH(AC898, J:J, 0)))),"")</f>
        <v/>
      </c>
      <c r="AA898" s="28"/>
      <c r="AB898" s="28"/>
      <c r="AC898" s="28"/>
      <c r="AD898" s="28"/>
    </row>
    <row r="899" ht="30.0" customHeight="1">
      <c r="A899" s="488"/>
      <c r="B899" s="582"/>
      <c r="C899" s="256"/>
      <c r="D899" s="582"/>
      <c r="E899" s="488"/>
      <c r="F899" s="258"/>
      <c r="G899" s="173"/>
      <c r="H899" s="173"/>
      <c r="I899" s="576"/>
      <c r="J899" s="580"/>
      <c r="K899" s="569" t="str">
        <f t="shared" si="1"/>
        <v/>
      </c>
      <c r="L899" s="572"/>
      <c r="M899" s="173"/>
      <c r="N899" s="173"/>
      <c r="O899" s="173"/>
      <c r="P899" s="573"/>
      <c r="Q899" s="573"/>
      <c r="R899" s="173"/>
      <c r="S899" s="173"/>
      <c r="T899" s="173"/>
      <c r="U899" s="173"/>
      <c r="V899" s="173"/>
      <c r="W899" s="574"/>
      <c r="X899" s="575"/>
      <c r="Y899" s="28"/>
      <c r="Z899" s="543" t="str">
        <f t="array" ref="Z899">IF(LEN(AC899),lower(concatenate("bosvendor-",'2-Building'!B$4,"-",INDEX(D:D, MATCH(AC899, J:J, 0)),INDEX(E:E, MATCH(AC899, J:J, 0)))),"")</f>
        <v/>
      </c>
      <c r="AA899" s="28"/>
      <c r="AB899" s="28"/>
      <c r="AC899" s="28"/>
      <c r="AD899" s="28"/>
    </row>
    <row r="900" ht="30.0" customHeight="1">
      <c r="A900" s="488"/>
      <c r="B900" s="582"/>
      <c r="C900" s="256"/>
      <c r="D900" s="582"/>
      <c r="E900" s="488"/>
      <c r="F900" s="258"/>
      <c r="G900" s="173"/>
      <c r="H900" s="173"/>
      <c r="I900" s="576"/>
      <c r="J900" s="580"/>
      <c r="K900" s="569" t="str">
        <f t="shared" si="1"/>
        <v/>
      </c>
      <c r="L900" s="572"/>
      <c r="M900" s="173"/>
      <c r="N900" s="173"/>
      <c r="O900" s="173"/>
      <c r="P900" s="573"/>
      <c r="Q900" s="573"/>
      <c r="R900" s="173"/>
      <c r="S900" s="173"/>
      <c r="T900" s="173"/>
      <c r="U900" s="173"/>
      <c r="V900" s="173"/>
      <c r="W900" s="574"/>
      <c r="X900" s="575"/>
      <c r="Y900" s="28"/>
      <c r="Z900" s="543" t="str">
        <f t="array" ref="Z900">IF(LEN(AC900),lower(concatenate("bosvendor-",'2-Building'!B$4,"-",INDEX(D:D, MATCH(AC900, J:J, 0)),INDEX(E:E, MATCH(AC900, J:J, 0)))),"")</f>
        <v/>
      </c>
      <c r="AA900" s="28"/>
      <c r="AB900" s="28"/>
      <c r="AC900" s="28"/>
      <c r="AD900" s="28"/>
    </row>
    <row r="901" ht="30.0" customHeight="1">
      <c r="A901" s="488"/>
      <c r="B901" s="582"/>
      <c r="C901" s="256"/>
      <c r="D901" s="582"/>
      <c r="E901" s="488"/>
      <c r="F901" s="258"/>
      <c r="G901" s="173"/>
      <c r="H901" s="173"/>
      <c r="I901" s="576"/>
      <c r="J901" s="580"/>
      <c r="K901" s="569" t="str">
        <f t="shared" si="1"/>
        <v/>
      </c>
      <c r="L901" s="572"/>
      <c r="M901" s="173"/>
      <c r="N901" s="173"/>
      <c r="O901" s="173"/>
      <c r="P901" s="573"/>
      <c r="Q901" s="573"/>
      <c r="R901" s="173"/>
      <c r="S901" s="173"/>
      <c r="T901" s="173"/>
      <c r="U901" s="173"/>
      <c r="V901" s="173"/>
      <c r="W901" s="574"/>
      <c r="X901" s="575"/>
      <c r="Y901" s="28"/>
      <c r="Z901" s="543" t="str">
        <f t="array" ref="Z901">IF(LEN(AC901),lower(concatenate("bosvendor-",'2-Building'!B$4,"-",INDEX(D:D, MATCH(AC901, J:J, 0)),INDEX(E:E, MATCH(AC901, J:J, 0)))),"")</f>
        <v/>
      </c>
      <c r="AA901" s="28"/>
      <c r="AB901" s="28"/>
      <c r="AC901" s="28"/>
      <c r="AD901" s="28"/>
    </row>
    <row r="902" ht="30.0" customHeight="1">
      <c r="A902" s="488"/>
      <c r="B902" s="582"/>
      <c r="C902" s="256"/>
      <c r="D902" s="582"/>
      <c r="E902" s="488"/>
      <c r="F902" s="258"/>
      <c r="G902" s="173"/>
      <c r="H902" s="173"/>
      <c r="I902" s="576"/>
      <c r="J902" s="580"/>
      <c r="K902" s="569" t="str">
        <f t="shared" si="1"/>
        <v/>
      </c>
      <c r="L902" s="572"/>
      <c r="M902" s="173"/>
      <c r="N902" s="173"/>
      <c r="O902" s="173"/>
      <c r="P902" s="573"/>
      <c r="Q902" s="573"/>
      <c r="R902" s="173"/>
      <c r="S902" s="173"/>
      <c r="T902" s="173"/>
      <c r="U902" s="173"/>
      <c r="V902" s="173"/>
      <c r="W902" s="574"/>
      <c r="X902" s="575"/>
      <c r="Y902" s="28"/>
      <c r="Z902" s="543" t="str">
        <f t="array" ref="Z902">IF(LEN(AC902),lower(concatenate("bosvendor-",'2-Building'!B$4,"-",INDEX(D:D, MATCH(AC902, J:J, 0)),INDEX(E:E, MATCH(AC902, J:J, 0)))),"")</f>
        <v/>
      </c>
      <c r="AA902" s="28"/>
      <c r="AB902" s="28"/>
      <c r="AC902" s="28"/>
      <c r="AD902" s="28"/>
    </row>
    <row r="903" ht="30.0" customHeight="1">
      <c r="A903" s="488"/>
      <c r="B903" s="582"/>
      <c r="C903" s="256"/>
      <c r="D903" s="582"/>
      <c r="E903" s="488"/>
      <c r="F903" s="258"/>
      <c r="G903" s="173"/>
      <c r="H903" s="173"/>
      <c r="I903" s="576"/>
      <c r="J903" s="580"/>
      <c r="K903" s="569" t="str">
        <f t="shared" si="1"/>
        <v/>
      </c>
      <c r="L903" s="572"/>
      <c r="M903" s="173"/>
      <c r="N903" s="173"/>
      <c r="O903" s="173"/>
      <c r="P903" s="573"/>
      <c r="Q903" s="573"/>
      <c r="R903" s="173"/>
      <c r="S903" s="173"/>
      <c r="T903" s="173"/>
      <c r="U903" s="173"/>
      <c r="V903" s="173"/>
      <c r="W903" s="574"/>
      <c r="X903" s="575"/>
      <c r="Y903" s="28"/>
      <c r="Z903" s="543" t="str">
        <f t="array" ref="Z903">IF(LEN(AC903),lower(concatenate("bosvendor-",'2-Building'!B$4,"-",INDEX(D:D, MATCH(AC903, J:J, 0)),INDEX(E:E, MATCH(AC903, J:J, 0)))),"")</f>
        <v/>
      </c>
      <c r="AA903" s="28"/>
      <c r="AB903" s="28"/>
      <c r="AC903" s="28"/>
      <c r="AD903" s="28"/>
    </row>
    <row r="904" ht="30.0" customHeight="1">
      <c r="A904" s="488"/>
      <c r="B904" s="582"/>
      <c r="C904" s="256"/>
      <c r="D904" s="582"/>
      <c r="E904" s="488"/>
      <c r="F904" s="258"/>
      <c r="G904" s="173"/>
      <c r="H904" s="173"/>
      <c r="I904" s="576"/>
      <c r="J904" s="580"/>
      <c r="K904" s="569" t="str">
        <f t="shared" si="1"/>
        <v/>
      </c>
      <c r="L904" s="572"/>
      <c r="M904" s="173"/>
      <c r="N904" s="173"/>
      <c r="O904" s="173"/>
      <c r="P904" s="573"/>
      <c r="Q904" s="573"/>
      <c r="R904" s="173"/>
      <c r="S904" s="173"/>
      <c r="T904" s="173"/>
      <c r="U904" s="173"/>
      <c r="V904" s="173"/>
      <c r="W904" s="574"/>
      <c r="X904" s="575"/>
      <c r="Y904" s="28"/>
      <c r="Z904" s="543" t="str">
        <f t="array" ref="Z904">IF(LEN(AC904),lower(concatenate("bosvendor-",'2-Building'!B$4,"-",INDEX(D:D, MATCH(AC904, J:J, 0)),INDEX(E:E, MATCH(AC904, J:J, 0)))),"")</f>
        <v/>
      </c>
      <c r="AA904" s="28"/>
      <c r="AB904" s="28"/>
      <c r="AC904" s="28"/>
      <c r="AD904" s="28"/>
    </row>
    <row r="905" ht="30.0" customHeight="1">
      <c r="A905" s="488"/>
      <c r="B905" s="582"/>
      <c r="C905" s="256"/>
      <c r="D905" s="582"/>
      <c r="E905" s="488"/>
      <c r="F905" s="258"/>
      <c r="G905" s="173"/>
      <c r="H905" s="173"/>
      <c r="I905" s="576"/>
      <c r="J905" s="580"/>
      <c r="K905" s="569" t="str">
        <f t="shared" si="1"/>
        <v/>
      </c>
      <c r="L905" s="572"/>
      <c r="M905" s="173"/>
      <c r="N905" s="173"/>
      <c r="O905" s="173"/>
      <c r="P905" s="573"/>
      <c r="Q905" s="573"/>
      <c r="R905" s="173"/>
      <c r="S905" s="173"/>
      <c r="T905" s="173"/>
      <c r="U905" s="173"/>
      <c r="V905" s="173"/>
      <c r="W905" s="574"/>
      <c r="X905" s="575"/>
      <c r="Y905" s="28"/>
      <c r="Z905" s="543" t="str">
        <f t="array" ref="Z905">IF(LEN(AC905),lower(concatenate("bosvendor-",'2-Building'!B$4,"-",INDEX(D:D, MATCH(AC905, J:J, 0)),INDEX(E:E, MATCH(AC905, J:J, 0)))),"")</f>
        <v/>
      </c>
      <c r="AA905" s="28"/>
      <c r="AB905" s="28"/>
      <c r="AC905" s="28"/>
      <c r="AD905" s="28"/>
    </row>
    <row r="906" ht="30.0" customHeight="1">
      <c r="A906" s="488"/>
      <c r="B906" s="582"/>
      <c r="C906" s="256"/>
      <c r="D906" s="582"/>
      <c r="E906" s="488"/>
      <c r="F906" s="258"/>
      <c r="G906" s="173"/>
      <c r="H906" s="173"/>
      <c r="I906" s="576"/>
      <c r="J906" s="580"/>
      <c r="K906" s="569" t="str">
        <f t="shared" si="1"/>
        <v/>
      </c>
      <c r="L906" s="572"/>
      <c r="M906" s="173"/>
      <c r="N906" s="173"/>
      <c r="O906" s="173"/>
      <c r="P906" s="573"/>
      <c r="Q906" s="573"/>
      <c r="R906" s="173"/>
      <c r="S906" s="173"/>
      <c r="T906" s="173"/>
      <c r="U906" s="173"/>
      <c r="V906" s="173"/>
      <c r="W906" s="574"/>
      <c r="X906" s="575"/>
      <c r="Y906" s="28"/>
      <c r="Z906" s="543" t="str">
        <f t="array" ref="Z906">IF(LEN(AC906),lower(concatenate("bosvendor-",'2-Building'!B$4,"-",INDEX(D:D, MATCH(AC906, J:J, 0)),INDEX(E:E, MATCH(AC906, J:J, 0)))),"")</f>
        <v/>
      </c>
      <c r="AA906" s="28"/>
      <c r="AB906" s="28"/>
      <c r="AC906" s="28"/>
      <c r="AD906" s="28"/>
    </row>
    <row r="907" ht="30.0" customHeight="1">
      <c r="A907" s="488"/>
      <c r="B907" s="582"/>
      <c r="C907" s="256"/>
      <c r="D907" s="582"/>
      <c r="E907" s="488"/>
      <c r="F907" s="258"/>
      <c r="G907" s="173"/>
      <c r="H907" s="173"/>
      <c r="I907" s="576"/>
      <c r="J907" s="580"/>
      <c r="K907" s="569" t="str">
        <f t="shared" si="1"/>
        <v/>
      </c>
      <c r="L907" s="572"/>
      <c r="M907" s="173"/>
      <c r="N907" s="173"/>
      <c r="O907" s="173"/>
      <c r="P907" s="573"/>
      <c r="Q907" s="573"/>
      <c r="R907" s="173"/>
      <c r="S907" s="173"/>
      <c r="T907" s="173"/>
      <c r="U907" s="173"/>
      <c r="V907" s="173"/>
      <c r="W907" s="574"/>
      <c r="X907" s="575"/>
      <c r="Y907" s="28"/>
      <c r="Z907" s="543" t="str">
        <f t="array" ref="Z907">IF(LEN(AC907),lower(concatenate("bosvendor-",'2-Building'!B$4,"-",INDEX(D:D, MATCH(AC907, J:J, 0)),INDEX(E:E, MATCH(AC907, J:J, 0)))),"")</f>
        <v/>
      </c>
      <c r="AA907" s="28"/>
      <c r="AB907" s="28"/>
      <c r="AC907" s="28"/>
      <c r="AD907" s="28"/>
    </row>
    <row r="908" ht="30.0" customHeight="1">
      <c r="A908" s="488"/>
      <c r="B908" s="582"/>
      <c r="C908" s="256"/>
      <c r="D908" s="582"/>
      <c r="E908" s="488"/>
      <c r="F908" s="258"/>
      <c r="G908" s="173"/>
      <c r="H908" s="173"/>
      <c r="I908" s="576"/>
      <c r="J908" s="580"/>
      <c r="K908" s="569" t="str">
        <f t="shared" si="1"/>
        <v/>
      </c>
      <c r="L908" s="572"/>
      <c r="M908" s="173"/>
      <c r="N908" s="173"/>
      <c r="O908" s="173"/>
      <c r="P908" s="573"/>
      <c r="Q908" s="573"/>
      <c r="R908" s="173"/>
      <c r="S908" s="173"/>
      <c r="T908" s="173"/>
      <c r="U908" s="173"/>
      <c r="V908" s="173"/>
      <c r="W908" s="574"/>
      <c r="X908" s="575"/>
      <c r="Y908" s="28"/>
      <c r="Z908" s="543" t="str">
        <f t="array" ref="Z908">IF(LEN(AC908),lower(concatenate("bosvendor-",'2-Building'!B$4,"-",INDEX(D:D, MATCH(AC908, J:J, 0)),INDEX(E:E, MATCH(AC908, J:J, 0)))),"")</f>
        <v/>
      </c>
      <c r="AA908" s="28"/>
      <c r="AB908" s="28"/>
      <c r="AC908" s="28"/>
      <c r="AD908" s="28"/>
    </row>
    <row r="909" ht="30.0" customHeight="1">
      <c r="A909" s="488"/>
      <c r="B909" s="582"/>
      <c r="C909" s="256"/>
      <c r="D909" s="582"/>
      <c r="E909" s="488"/>
      <c r="F909" s="258"/>
      <c r="G909" s="173"/>
      <c r="H909" s="173"/>
      <c r="I909" s="576"/>
      <c r="J909" s="580"/>
      <c r="K909" s="569" t="str">
        <f t="shared" si="1"/>
        <v/>
      </c>
      <c r="L909" s="572"/>
      <c r="M909" s="173"/>
      <c r="N909" s="173"/>
      <c r="O909" s="173"/>
      <c r="P909" s="573"/>
      <c r="Q909" s="573"/>
      <c r="R909" s="173"/>
      <c r="S909" s="173"/>
      <c r="T909" s="173"/>
      <c r="U909" s="173"/>
      <c r="V909" s="173"/>
      <c r="W909" s="574"/>
      <c r="X909" s="575"/>
      <c r="Y909" s="28"/>
      <c r="Z909" s="543" t="str">
        <f t="array" ref="Z909">IF(LEN(AC909),lower(concatenate("bosvendor-",'2-Building'!B$4,"-",INDEX(D:D, MATCH(AC909, J:J, 0)),INDEX(E:E, MATCH(AC909, J:J, 0)))),"")</f>
        <v/>
      </c>
      <c r="AA909" s="28"/>
      <c r="AB909" s="28"/>
      <c r="AC909" s="28"/>
      <c r="AD909" s="28"/>
    </row>
    <row r="910" ht="30.0" customHeight="1">
      <c r="A910" s="488"/>
      <c r="B910" s="582"/>
      <c r="C910" s="256"/>
      <c r="D910" s="582"/>
      <c r="E910" s="488"/>
      <c r="F910" s="258"/>
      <c r="G910" s="173"/>
      <c r="H910" s="173"/>
      <c r="I910" s="576"/>
      <c r="J910" s="580"/>
      <c r="K910" s="569" t="str">
        <f t="shared" si="1"/>
        <v/>
      </c>
      <c r="L910" s="572"/>
      <c r="M910" s="173"/>
      <c r="N910" s="173"/>
      <c r="O910" s="173"/>
      <c r="P910" s="573"/>
      <c r="Q910" s="573"/>
      <c r="R910" s="173"/>
      <c r="S910" s="173"/>
      <c r="T910" s="173"/>
      <c r="U910" s="173"/>
      <c r="V910" s="173"/>
      <c r="W910" s="574"/>
      <c r="X910" s="575"/>
      <c r="Y910" s="28"/>
      <c r="Z910" s="543" t="str">
        <f t="array" ref="Z910">IF(LEN(AC910),lower(concatenate("bosvendor-",'2-Building'!B$4,"-",INDEX(D:D, MATCH(AC910, J:J, 0)),INDEX(E:E, MATCH(AC910, J:J, 0)))),"")</f>
        <v/>
      </c>
      <c r="AA910" s="28"/>
      <c r="AB910" s="28"/>
      <c r="AC910" s="28"/>
      <c r="AD910" s="28"/>
    </row>
    <row r="911" ht="30.0" customHeight="1">
      <c r="A911" s="488"/>
      <c r="B911" s="582"/>
      <c r="C911" s="256"/>
      <c r="D911" s="582"/>
      <c r="E911" s="488"/>
      <c r="F911" s="258"/>
      <c r="G911" s="173"/>
      <c r="H911" s="173"/>
      <c r="I911" s="576"/>
      <c r="J911" s="580"/>
      <c r="K911" s="569" t="str">
        <f t="shared" si="1"/>
        <v/>
      </c>
      <c r="L911" s="572"/>
      <c r="M911" s="173"/>
      <c r="N911" s="173"/>
      <c r="O911" s="173"/>
      <c r="P911" s="573"/>
      <c r="Q911" s="573"/>
      <c r="R911" s="173"/>
      <c r="S911" s="173"/>
      <c r="T911" s="173"/>
      <c r="U911" s="173"/>
      <c r="V911" s="173"/>
      <c r="W911" s="574"/>
      <c r="X911" s="575"/>
      <c r="Y911" s="28"/>
      <c r="Z911" s="543" t="str">
        <f t="array" ref="Z911">IF(LEN(AC911),lower(concatenate("bosvendor-",'2-Building'!B$4,"-",INDEX(D:D, MATCH(AC911, J:J, 0)),INDEX(E:E, MATCH(AC911, J:J, 0)))),"")</f>
        <v/>
      </c>
      <c r="AA911" s="28"/>
      <c r="AB911" s="28"/>
      <c r="AC911" s="28"/>
      <c r="AD911" s="28"/>
    </row>
    <row r="912" ht="30.0" customHeight="1">
      <c r="A912" s="488"/>
      <c r="B912" s="582"/>
      <c r="C912" s="256"/>
      <c r="D912" s="582"/>
      <c r="E912" s="488"/>
      <c r="F912" s="258"/>
      <c r="G912" s="173"/>
      <c r="H912" s="173"/>
      <c r="I912" s="576"/>
      <c r="J912" s="580"/>
      <c r="K912" s="569" t="str">
        <f t="shared" si="1"/>
        <v/>
      </c>
      <c r="L912" s="572"/>
      <c r="M912" s="173"/>
      <c r="N912" s="173"/>
      <c r="O912" s="173"/>
      <c r="P912" s="573"/>
      <c r="Q912" s="573"/>
      <c r="R912" s="173"/>
      <c r="S912" s="173"/>
      <c r="T912" s="173"/>
      <c r="U912" s="173"/>
      <c r="V912" s="173"/>
      <c r="W912" s="574"/>
      <c r="X912" s="575"/>
      <c r="Y912" s="28"/>
      <c r="Z912" s="543" t="str">
        <f t="array" ref="Z912">IF(LEN(AC912),lower(concatenate("bosvendor-",'2-Building'!B$4,"-",INDEX(D:D, MATCH(AC912, J:J, 0)),INDEX(E:E, MATCH(AC912, J:J, 0)))),"")</f>
        <v/>
      </c>
      <c r="AA912" s="28"/>
      <c r="AB912" s="28"/>
      <c r="AC912" s="28"/>
      <c r="AD912" s="28"/>
    </row>
    <row r="913" ht="30.0" customHeight="1">
      <c r="A913" s="488"/>
      <c r="B913" s="582"/>
      <c r="C913" s="256"/>
      <c r="D913" s="582"/>
      <c r="E913" s="488"/>
      <c r="F913" s="258"/>
      <c r="G913" s="173"/>
      <c r="H913" s="173"/>
      <c r="I913" s="576"/>
      <c r="J913" s="580"/>
      <c r="K913" s="569" t="str">
        <f t="shared" si="1"/>
        <v/>
      </c>
      <c r="L913" s="572"/>
      <c r="M913" s="173"/>
      <c r="N913" s="173"/>
      <c r="O913" s="173"/>
      <c r="P913" s="573"/>
      <c r="Q913" s="573"/>
      <c r="R913" s="173"/>
      <c r="S913" s="173"/>
      <c r="T913" s="173"/>
      <c r="U913" s="173"/>
      <c r="V913" s="173"/>
      <c r="W913" s="574"/>
      <c r="X913" s="575"/>
      <c r="Y913" s="28"/>
      <c r="Z913" s="543" t="str">
        <f t="array" ref="Z913">IF(LEN(AC913),lower(concatenate("bosvendor-",'2-Building'!B$4,"-",INDEX(D:D, MATCH(AC913, J:J, 0)),INDEX(E:E, MATCH(AC913, J:J, 0)))),"")</f>
        <v/>
      </c>
      <c r="AA913" s="28"/>
      <c r="AB913" s="28"/>
      <c r="AC913" s="28"/>
      <c r="AD913" s="28"/>
    </row>
    <row r="914" ht="30.0" customHeight="1">
      <c r="A914" s="488"/>
      <c r="B914" s="582"/>
      <c r="C914" s="256"/>
      <c r="D914" s="582"/>
      <c r="E914" s="488"/>
      <c r="F914" s="258"/>
      <c r="G914" s="173"/>
      <c r="H914" s="173"/>
      <c r="I914" s="576"/>
      <c r="J914" s="580"/>
      <c r="K914" s="569" t="str">
        <f t="shared" si="1"/>
        <v/>
      </c>
      <c r="L914" s="572"/>
      <c r="M914" s="173"/>
      <c r="N914" s="173"/>
      <c r="O914" s="173"/>
      <c r="P914" s="573"/>
      <c r="Q914" s="573"/>
      <c r="R914" s="173"/>
      <c r="S914" s="173"/>
      <c r="T914" s="173"/>
      <c r="U914" s="173"/>
      <c r="V914" s="173"/>
      <c r="W914" s="574"/>
      <c r="X914" s="575"/>
      <c r="Y914" s="28"/>
      <c r="Z914" s="543" t="str">
        <f t="array" ref="Z914">IF(LEN(AC914),lower(concatenate("bosvendor-",'2-Building'!B$4,"-",INDEX(D:D, MATCH(AC914, J:J, 0)),INDEX(E:E, MATCH(AC914, J:J, 0)))),"")</f>
        <v/>
      </c>
      <c r="AA914" s="28"/>
      <c r="AB914" s="28"/>
      <c r="AC914" s="28"/>
      <c r="AD914" s="28"/>
    </row>
    <row r="915" ht="30.0" customHeight="1">
      <c r="A915" s="488"/>
      <c r="B915" s="582"/>
      <c r="C915" s="256"/>
      <c r="D915" s="582"/>
      <c r="E915" s="488"/>
      <c r="F915" s="258"/>
      <c r="G915" s="173"/>
      <c r="H915" s="173"/>
      <c r="I915" s="576"/>
      <c r="J915" s="580"/>
      <c r="K915" s="569" t="str">
        <f t="shared" si="1"/>
        <v/>
      </c>
      <c r="L915" s="572"/>
      <c r="M915" s="173"/>
      <c r="N915" s="173"/>
      <c r="O915" s="173"/>
      <c r="P915" s="573"/>
      <c r="Q915" s="573"/>
      <c r="R915" s="173"/>
      <c r="S915" s="173"/>
      <c r="T915" s="173"/>
      <c r="U915" s="173"/>
      <c r="V915" s="173"/>
      <c r="W915" s="574"/>
      <c r="X915" s="575"/>
      <c r="Y915" s="28"/>
      <c r="Z915" s="543" t="str">
        <f t="array" ref="Z915">IF(LEN(AC915),lower(concatenate("bosvendor-",'2-Building'!B$4,"-",INDEX(D:D, MATCH(AC915, J:J, 0)),INDEX(E:E, MATCH(AC915, J:J, 0)))),"")</f>
        <v/>
      </c>
      <c r="AA915" s="28"/>
      <c r="AB915" s="28"/>
      <c r="AC915" s="28"/>
      <c r="AD915" s="28"/>
    </row>
    <row r="916" ht="30.0" customHeight="1">
      <c r="A916" s="488"/>
      <c r="B916" s="582"/>
      <c r="C916" s="256"/>
      <c r="D916" s="582"/>
      <c r="E916" s="488"/>
      <c r="F916" s="258"/>
      <c r="G916" s="173"/>
      <c r="H916" s="173"/>
      <c r="I916" s="576"/>
      <c r="J916" s="580"/>
      <c r="K916" s="569" t="str">
        <f t="shared" si="1"/>
        <v/>
      </c>
      <c r="L916" s="572"/>
      <c r="M916" s="173"/>
      <c r="N916" s="173"/>
      <c r="O916" s="173"/>
      <c r="P916" s="573"/>
      <c r="Q916" s="573"/>
      <c r="R916" s="173"/>
      <c r="S916" s="173"/>
      <c r="T916" s="173"/>
      <c r="U916" s="173"/>
      <c r="V916" s="173"/>
      <c r="W916" s="574"/>
      <c r="X916" s="575"/>
      <c r="Y916" s="28"/>
      <c r="Z916" s="543" t="str">
        <f t="array" ref="Z916">IF(LEN(AC916),lower(concatenate("bosvendor-",'2-Building'!B$4,"-",INDEX(D:D, MATCH(AC916, J:J, 0)),INDEX(E:E, MATCH(AC916, J:J, 0)))),"")</f>
        <v/>
      </c>
      <c r="AA916" s="28"/>
      <c r="AB916" s="28"/>
      <c r="AC916" s="28"/>
      <c r="AD916" s="28"/>
    </row>
    <row r="917" ht="30.0" customHeight="1">
      <c r="A917" s="488"/>
      <c r="B917" s="582"/>
      <c r="C917" s="256"/>
      <c r="D917" s="582"/>
      <c r="E917" s="488"/>
      <c r="F917" s="258"/>
      <c r="G917" s="173"/>
      <c r="H917" s="173"/>
      <c r="I917" s="576"/>
      <c r="J917" s="580"/>
      <c r="K917" s="569" t="str">
        <f t="shared" si="1"/>
        <v/>
      </c>
      <c r="L917" s="572"/>
      <c r="M917" s="173"/>
      <c r="N917" s="173"/>
      <c r="O917" s="173"/>
      <c r="P917" s="573"/>
      <c r="Q917" s="573"/>
      <c r="R917" s="173"/>
      <c r="S917" s="173"/>
      <c r="T917" s="173"/>
      <c r="U917" s="173"/>
      <c r="V917" s="173"/>
      <c r="W917" s="574"/>
      <c r="X917" s="575"/>
      <c r="Y917" s="28"/>
      <c r="Z917" s="543" t="str">
        <f t="array" ref="Z917">IF(LEN(AC917),lower(concatenate("bosvendor-",'2-Building'!B$4,"-",INDEX(D:D, MATCH(AC917, J:J, 0)),INDEX(E:E, MATCH(AC917, J:J, 0)))),"")</f>
        <v/>
      </c>
      <c r="AA917" s="28"/>
      <c r="AB917" s="28"/>
      <c r="AC917" s="28"/>
      <c r="AD917" s="28"/>
    </row>
    <row r="918" ht="30.0" customHeight="1">
      <c r="A918" s="488"/>
      <c r="B918" s="582"/>
      <c r="C918" s="256"/>
      <c r="D918" s="582"/>
      <c r="E918" s="488"/>
      <c r="F918" s="258"/>
      <c r="G918" s="173"/>
      <c r="H918" s="173"/>
      <c r="I918" s="576"/>
      <c r="J918" s="580"/>
      <c r="K918" s="569" t="str">
        <f t="shared" si="1"/>
        <v/>
      </c>
      <c r="L918" s="572"/>
      <c r="M918" s="173"/>
      <c r="N918" s="173"/>
      <c r="O918" s="173"/>
      <c r="P918" s="573"/>
      <c r="Q918" s="573"/>
      <c r="R918" s="173"/>
      <c r="S918" s="173"/>
      <c r="T918" s="173"/>
      <c r="U918" s="173"/>
      <c r="V918" s="173"/>
      <c r="W918" s="574"/>
      <c r="X918" s="575"/>
      <c r="Y918" s="28"/>
      <c r="Z918" s="543" t="str">
        <f t="array" ref="Z918">IF(LEN(AC918),lower(concatenate("bosvendor-",'2-Building'!B$4,"-",INDEX(D:D, MATCH(AC918, J:J, 0)),INDEX(E:E, MATCH(AC918, J:J, 0)))),"")</f>
        <v/>
      </c>
      <c r="AA918" s="28"/>
      <c r="AB918" s="28"/>
      <c r="AC918" s="28"/>
      <c r="AD918" s="28"/>
    </row>
    <row r="919" ht="30.0" customHeight="1">
      <c r="A919" s="488"/>
      <c r="B919" s="582"/>
      <c r="C919" s="256"/>
      <c r="D919" s="582"/>
      <c r="E919" s="488"/>
      <c r="F919" s="258"/>
      <c r="G919" s="173"/>
      <c r="H919" s="173"/>
      <c r="I919" s="576"/>
      <c r="J919" s="580"/>
      <c r="K919" s="569" t="str">
        <f t="shared" si="1"/>
        <v/>
      </c>
      <c r="L919" s="572"/>
      <c r="M919" s="173"/>
      <c r="N919" s="173"/>
      <c r="O919" s="173"/>
      <c r="P919" s="573"/>
      <c r="Q919" s="573"/>
      <c r="R919" s="173"/>
      <c r="S919" s="173"/>
      <c r="T919" s="173"/>
      <c r="U919" s="173"/>
      <c r="V919" s="173"/>
      <c r="W919" s="574"/>
      <c r="X919" s="575"/>
      <c r="Y919" s="28"/>
      <c r="Z919" s="543" t="str">
        <f t="array" ref="Z919">IF(LEN(AC919),lower(concatenate("bosvendor-",'2-Building'!B$4,"-",INDEX(D:D, MATCH(AC919, J:J, 0)),INDEX(E:E, MATCH(AC919, J:J, 0)))),"")</f>
        <v/>
      </c>
      <c r="AA919" s="28"/>
      <c r="AB919" s="28"/>
      <c r="AC919" s="28"/>
      <c r="AD919" s="28"/>
    </row>
    <row r="920" ht="30.0" customHeight="1">
      <c r="A920" s="488"/>
      <c r="B920" s="582"/>
      <c r="C920" s="256"/>
      <c r="D920" s="582"/>
      <c r="E920" s="488"/>
      <c r="F920" s="258"/>
      <c r="G920" s="173"/>
      <c r="H920" s="173"/>
      <c r="I920" s="576"/>
      <c r="J920" s="580"/>
      <c r="K920" s="569" t="str">
        <f t="shared" si="1"/>
        <v/>
      </c>
      <c r="L920" s="572"/>
      <c r="M920" s="173"/>
      <c r="N920" s="173"/>
      <c r="O920" s="173"/>
      <c r="P920" s="573"/>
      <c r="Q920" s="573"/>
      <c r="R920" s="173"/>
      <c r="S920" s="173"/>
      <c r="T920" s="173"/>
      <c r="U920" s="173"/>
      <c r="V920" s="173"/>
      <c r="W920" s="574"/>
      <c r="X920" s="575"/>
      <c r="Y920" s="28"/>
      <c r="Z920" s="543" t="str">
        <f t="array" ref="Z920">IF(LEN(AC920),lower(concatenate("bosvendor-",'2-Building'!B$4,"-",INDEX(D:D, MATCH(AC920, J:J, 0)),INDEX(E:E, MATCH(AC920, J:J, 0)))),"")</f>
        <v/>
      </c>
      <c r="AA920" s="28"/>
      <c r="AB920" s="28"/>
      <c r="AC920" s="28"/>
      <c r="AD920" s="28"/>
    </row>
    <row r="921" ht="30.0" customHeight="1">
      <c r="A921" s="488"/>
      <c r="B921" s="582"/>
      <c r="C921" s="256"/>
      <c r="D921" s="582"/>
      <c r="E921" s="488"/>
      <c r="F921" s="258"/>
      <c r="G921" s="173"/>
      <c r="H921" s="173"/>
      <c r="I921" s="576"/>
      <c r="J921" s="580"/>
      <c r="K921" s="569" t="str">
        <f t="shared" si="1"/>
        <v/>
      </c>
      <c r="L921" s="572"/>
      <c r="M921" s="173"/>
      <c r="N921" s="173"/>
      <c r="O921" s="173"/>
      <c r="P921" s="573"/>
      <c r="Q921" s="573"/>
      <c r="R921" s="173"/>
      <c r="S921" s="173"/>
      <c r="T921" s="173"/>
      <c r="U921" s="173"/>
      <c r="V921" s="173"/>
      <c r="W921" s="574"/>
      <c r="X921" s="575"/>
      <c r="Y921" s="28"/>
      <c r="Z921" s="543" t="str">
        <f t="array" ref="Z921">IF(LEN(AC921),lower(concatenate("bosvendor-",'2-Building'!B$4,"-",INDEX(D:D, MATCH(AC921, J:J, 0)),INDEX(E:E, MATCH(AC921, J:J, 0)))),"")</f>
        <v/>
      </c>
      <c r="AA921" s="28"/>
      <c r="AB921" s="28"/>
      <c r="AC921" s="28"/>
      <c r="AD921" s="28"/>
    </row>
    <row r="922" ht="30.0" customHeight="1">
      <c r="A922" s="488"/>
      <c r="B922" s="582"/>
      <c r="C922" s="256"/>
      <c r="D922" s="582"/>
      <c r="E922" s="488"/>
      <c r="F922" s="258"/>
      <c r="G922" s="173"/>
      <c r="H922" s="173"/>
      <c r="I922" s="576"/>
      <c r="J922" s="580"/>
      <c r="K922" s="569" t="str">
        <f t="shared" si="1"/>
        <v/>
      </c>
      <c r="L922" s="572"/>
      <c r="M922" s="173"/>
      <c r="N922" s="173"/>
      <c r="O922" s="173"/>
      <c r="P922" s="573"/>
      <c r="Q922" s="573"/>
      <c r="R922" s="173"/>
      <c r="S922" s="173"/>
      <c r="T922" s="173"/>
      <c r="U922" s="173"/>
      <c r="V922" s="173"/>
      <c r="W922" s="574"/>
      <c r="X922" s="575"/>
      <c r="Y922" s="28"/>
      <c r="Z922" s="543" t="str">
        <f t="array" ref="Z922">IF(LEN(AC922),lower(concatenate("bosvendor-",'2-Building'!B$4,"-",INDEX(D:D, MATCH(AC922, J:J, 0)),INDEX(E:E, MATCH(AC922, J:J, 0)))),"")</f>
        <v/>
      </c>
      <c r="AA922" s="28"/>
      <c r="AB922" s="28"/>
      <c r="AC922" s="28"/>
      <c r="AD922" s="28"/>
    </row>
    <row r="923" ht="30.0" customHeight="1">
      <c r="A923" s="488"/>
      <c r="B923" s="582"/>
      <c r="C923" s="256"/>
      <c r="D923" s="582"/>
      <c r="E923" s="488"/>
      <c r="F923" s="258"/>
      <c r="G923" s="173"/>
      <c r="H923" s="173"/>
      <c r="I923" s="576"/>
      <c r="J923" s="580"/>
      <c r="K923" s="569" t="str">
        <f t="shared" si="1"/>
        <v/>
      </c>
      <c r="L923" s="572"/>
      <c r="M923" s="173"/>
      <c r="N923" s="173"/>
      <c r="O923" s="173"/>
      <c r="P923" s="573"/>
      <c r="Q923" s="573"/>
      <c r="R923" s="173"/>
      <c r="S923" s="173"/>
      <c r="T923" s="173"/>
      <c r="U923" s="173"/>
      <c r="V923" s="173"/>
      <c r="W923" s="574"/>
      <c r="X923" s="575"/>
      <c r="Y923" s="28"/>
      <c r="Z923" s="543" t="str">
        <f t="array" ref="Z923">IF(LEN(AC923),lower(concatenate("bosvendor-",'2-Building'!B$4,"-",INDEX(D:D, MATCH(AC923, J:J, 0)),INDEX(E:E, MATCH(AC923, J:J, 0)))),"")</f>
        <v/>
      </c>
      <c r="AA923" s="28"/>
      <c r="AB923" s="28"/>
      <c r="AC923" s="28"/>
      <c r="AD923" s="28"/>
    </row>
    <row r="924" ht="30.0" customHeight="1">
      <c r="A924" s="488"/>
      <c r="B924" s="582"/>
      <c r="C924" s="256"/>
      <c r="D924" s="582"/>
      <c r="E924" s="488"/>
      <c r="F924" s="258"/>
      <c r="G924" s="173"/>
      <c r="H924" s="173"/>
      <c r="I924" s="576"/>
      <c r="J924" s="580"/>
      <c r="K924" s="569" t="str">
        <f t="shared" si="1"/>
        <v/>
      </c>
      <c r="L924" s="572"/>
      <c r="M924" s="173"/>
      <c r="N924" s="173"/>
      <c r="O924" s="173"/>
      <c r="P924" s="573"/>
      <c r="Q924" s="573"/>
      <c r="R924" s="173"/>
      <c r="S924" s="173"/>
      <c r="T924" s="173"/>
      <c r="U924" s="173"/>
      <c r="V924" s="173"/>
      <c r="W924" s="574"/>
      <c r="X924" s="575"/>
      <c r="Y924" s="28"/>
      <c r="Z924" s="543" t="str">
        <f t="array" ref="Z924">IF(LEN(AC924),lower(concatenate("bosvendor-",'2-Building'!B$4,"-",INDEX(D:D, MATCH(AC924, J:J, 0)),INDEX(E:E, MATCH(AC924, J:J, 0)))),"")</f>
        <v/>
      </c>
      <c r="AA924" s="28"/>
      <c r="AB924" s="28"/>
      <c r="AC924" s="28"/>
      <c r="AD924" s="28"/>
    </row>
    <row r="925" ht="30.0" customHeight="1">
      <c r="A925" s="488"/>
      <c r="B925" s="582"/>
      <c r="C925" s="256"/>
      <c r="D925" s="582"/>
      <c r="E925" s="488"/>
      <c r="F925" s="258"/>
      <c r="G925" s="173"/>
      <c r="H925" s="173"/>
      <c r="I925" s="576"/>
      <c r="J925" s="580"/>
      <c r="K925" s="569" t="str">
        <f t="shared" si="1"/>
        <v/>
      </c>
      <c r="L925" s="572"/>
      <c r="M925" s="173"/>
      <c r="N925" s="173"/>
      <c r="O925" s="173"/>
      <c r="P925" s="573"/>
      <c r="Q925" s="573"/>
      <c r="R925" s="173"/>
      <c r="S925" s="173"/>
      <c r="T925" s="173"/>
      <c r="U925" s="173"/>
      <c r="V925" s="173"/>
      <c r="W925" s="574"/>
      <c r="X925" s="575"/>
      <c r="Y925" s="28"/>
      <c r="Z925" s="543" t="str">
        <f t="array" ref="Z925">IF(LEN(AC925),lower(concatenate("bosvendor-",'2-Building'!B$4,"-",INDEX(D:D, MATCH(AC925, J:J, 0)),INDEX(E:E, MATCH(AC925, J:J, 0)))),"")</f>
        <v/>
      </c>
      <c r="AA925" s="28"/>
      <c r="AB925" s="28"/>
      <c r="AC925" s="28"/>
      <c r="AD925" s="28"/>
    </row>
    <row r="926" ht="30.0" customHeight="1">
      <c r="A926" s="488"/>
      <c r="B926" s="582"/>
      <c r="C926" s="256"/>
      <c r="D926" s="582"/>
      <c r="E926" s="488"/>
      <c r="F926" s="258"/>
      <c r="G926" s="173"/>
      <c r="H926" s="173"/>
      <c r="I926" s="576"/>
      <c r="J926" s="580"/>
      <c r="K926" s="569" t="str">
        <f t="shared" si="1"/>
        <v/>
      </c>
      <c r="L926" s="572"/>
      <c r="M926" s="173"/>
      <c r="N926" s="173"/>
      <c r="O926" s="173"/>
      <c r="P926" s="573"/>
      <c r="Q926" s="573"/>
      <c r="R926" s="173"/>
      <c r="S926" s="173"/>
      <c r="T926" s="173"/>
      <c r="U926" s="173"/>
      <c r="V926" s="173"/>
      <c r="W926" s="574"/>
      <c r="X926" s="575"/>
      <c r="Y926" s="28"/>
      <c r="Z926" s="543" t="str">
        <f t="array" ref="Z926">IF(LEN(AC926),lower(concatenate("bosvendor-",'2-Building'!B$4,"-",INDEX(D:D, MATCH(AC926, J:J, 0)),INDEX(E:E, MATCH(AC926, J:J, 0)))),"")</f>
        <v/>
      </c>
      <c r="AA926" s="28"/>
      <c r="AB926" s="28"/>
      <c r="AC926" s="28"/>
      <c r="AD926" s="28"/>
    </row>
    <row r="927" ht="30.0" customHeight="1">
      <c r="A927" s="488"/>
      <c r="B927" s="582"/>
      <c r="C927" s="256"/>
      <c r="D927" s="582"/>
      <c r="E927" s="488"/>
      <c r="F927" s="258"/>
      <c r="G927" s="173"/>
      <c r="H927" s="173"/>
      <c r="I927" s="576"/>
      <c r="J927" s="580"/>
      <c r="K927" s="569" t="str">
        <f t="shared" si="1"/>
        <v/>
      </c>
      <c r="L927" s="572"/>
      <c r="M927" s="173"/>
      <c r="N927" s="173"/>
      <c r="O927" s="173"/>
      <c r="P927" s="573"/>
      <c r="Q927" s="573"/>
      <c r="R927" s="173"/>
      <c r="S927" s="173"/>
      <c r="T927" s="173"/>
      <c r="U927" s="173"/>
      <c r="V927" s="173"/>
      <c r="W927" s="574"/>
      <c r="X927" s="575"/>
      <c r="Y927" s="28"/>
      <c r="Z927" s="543" t="str">
        <f t="array" ref="Z927">IF(LEN(AC927),lower(concatenate("bosvendor-",'2-Building'!B$4,"-",INDEX(D:D, MATCH(AC927, J:J, 0)),INDEX(E:E, MATCH(AC927, J:J, 0)))),"")</f>
        <v/>
      </c>
      <c r="AA927" s="28"/>
      <c r="AB927" s="28"/>
      <c r="AC927" s="28"/>
      <c r="AD927" s="28"/>
    </row>
    <row r="928" ht="30.0" customHeight="1">
      <c r="A928" s="488"/>
      <c r="B928" s="582"/>
      <c r="C928" s="256"/>
      <c r="D928" s="582"/>
      <c r="E928" s="488"/>
      <c r="F928" s="258"/>
      <c r="G928" s="173"/>
      <c r="H928" s="173"/>
      <c r="I928" s="576"/>
      <c r="J928" s="580"/>
      <c r="K928" s="569" t="str">
        <f t="shared" si="1"/>
        <v/>
      </c>
      <c r="L928" s="572"/>
      <c r="M928" s="173"/>
      <c r="N928" s="173"/>
      <c r="O928" s="173"/>
      <c r="P928" s="573"/>
      <c r="Q928" s="573"/>
      <c r="R928" s="173"/>
      <c r="S928" s="173"/>
      <c r="T928" s="173"/>
      <c r="U928" s="173"/>
      <c r="V928" s="173"/>
      <c r="W928" s="574"/>
      <c r="X928" s="575"/>
      <c r="Y928" s="28"/>
      <c r="Z928" s="543" t="str">
        <f t="array" ref="Z928">IF(LEN(AC928),lower(concatenate("bosvendor-",'2-Building'!B$4,"-",INDEX(D:D, MATCH(AC928, J:J, 0)),INDEX(E:E, MATCH(AC928, J:J, 0)))),"")</f>
        <v/>
      </c>
      <c r="AA928" s="28"/>
      <c r="AB928" s="28"/>
      <c r="AC928" s="28"/>
      <c r="AD928" s="28"/>
    </row>
    <row r="929" ht="30.0" customHeight="1">
      <c r="A929" s="488"/>
      <c r="B929" s="582"/>
      <c r="C929" s="256"/>
      <c r="D929" s="582"/>
      <c r="E929" s="488"/>
      <c r="F929" s="258"/>
      <c r="G929" s="173"/>
      <c r="H929" s="173"/>
      <c r="I929" s="576"/>
      <c r="J929" s="580"/>
      <c r="K929" s="569" t="str">
        <f t="shared" si="1"/>
        <v/>
      </c>
      <c r="L929" s="572"/>
      <c r="M929" s="173"/>
      <c r="N929" s="173"/>
      <c r="O929" s="173"/>
      <c r="P929" s="573"/>
      <c r="Q929" s="573"/>
      <c r="R929" s="173"/>
      <c r="S929" s="173"/>
      <c r="T929" s="173"/>
      <c r="U929" s="173"/>
      <c r="V929" s="173"/>
      <c r="W929" s="574"/>
      <c r="X929" s="575"/>
      <c r="Y929" s="28"/>
      <c r="Z929" s="543" t="str">
        <f t="array" ref="Z929">IF(LEN(AC929),lower(concatenate("bosvendor-",'2-Building'!B$4,"-",INDEX(D:D, MATCH(AC929, J:J, 0)),INDEX(E:E, MATCH(AC929, J:J, 0)))),"")</f>
        <v/>
      </c>
      <c r="AA929" s="28"/>
      <c r="AB929" s="28"/>
      <c r="AC929" s="28"/>
      <c r="AD929" s="28"/>
    </row>
    <row r="930" ht="30.0" customHeight="1">
      <c r="A930" s="488"/>
      <c r="B930" s="582"/>
      <c r="C930" s="256"/>
      <c r="D930" s="582"/>
      <c r="E930" s="488"/>
      <c r="F930" s="258"/>
      <c r="G930" s="173"/>
      <c r="H930" s="173"/>
      <c r="I930" s="576"/>
      <c r="J930" s="580"/>
      <c r="K930" s="569" t="str">
        <f t="shared" si="1"/>
        <v/>
      </c>
      <c r="L930" s="572"/>
      <c r="M930" s="173"/>
      <c r="N930" s="173"/>
      <c r="O930" s="173"/>
      <c r="P930" s="573"/>
      <c r="Q930" s="573"/>
      <c r="R930" s="173"/>
      <c r="S930" s="173"/>
      <c r="T930" s="173"/>
      <c r="U930" s="173"/>
      <c r="V930" s="173"/>
      <c r="W930" s="574"/>
      <c r="X930" s="575"/>
      <c r="Y930" s="28"/>
      <c r="Z930" s="543" t="str">
        <f t="array" ref="Z930">IF(LEN(AC930),lower(concatenate("bosvendor-",'2-Building'!B$4,"-",INDEX(D:D, MATCH(AC930, J:J, 0)),INDEX(E:E, MATCH(AC930, J:J, 0)))),"")</f>
        <v/>
      </c>
      <c r="AA930" s="28"/>
      <c r="AB930" s="28"/>
      <c r="AC930" s="28"/>
      <c r="AD930" s="28"/>
    </row>
    <row r="931" ht="30.0" customHeight="1">
      <c r="A931" s="488"/>
      <c r="B931" s="582"/>
      <c r="C931" s="256"/>
      <c r="D931" s="582"/>
      <c r="E931" s="488"/>
      <c r="F931" s="258"/>
      <c r="G931" s="173"/>
      <c r="H931" s="173"/>
      <c r="I931" s="576"/>
      <c r="J931" s="580"/>
      <c r="K931" s="569" t="str">
        <f t="shared" si="1"/>
        <v/>
      </c>
      <c r="L931" s="572"/>
      <c r="M931" s="173"/>
      <c r="N931" s="173"/>
      <c r="O931" s="173"/>
      <c r="P931" s="573"/>
      <c r="Q931" s="573"/>
      <c r="R931" s="173"/>
      <c r="S931" s="173"/>
      <c r="T931" s="173"/>
      <c r="U931" s="173"/>
      <c r="V931" s="173"/>
      <c r="W931" s="574"/>
      <c r="X931" s="575"/>
      <c r="Y931" s="28"/>
      <c r="Z931" s="543" t="str">
        <f t="array" ref="Z931">IF(LEN(AC931),lower(concatenate("bosvendor-",'2-Building'!B$4,"-",INDEX(D:D, MATCH(AC931, J:J, 0)),INDEX(E:E, MATCH(AC931, J:J, 0)))),"")</f>
        <v/>
      </c>
      <c r="AA931" s="28"/>
      <c r="AB931" s="28"/>
      <c r="AC931" s="28"/>
      <c r="AD931" s="28"/>
    </row>
    <row r="932" ht="30.0" customHeight="1">
      <c r="A932" s="488"/>
      <c r="B932" s="582"/>
      <c r="C932" s="256"/>
      <c r="D932" s="582"/>
      <c r="E932" s="488"/>
      <c r="F932" s="258"/>
      <c r="G932" s="173"/>
      <c r="H932" s="173"/>
      <c r="I932" s="576"/>
      <c r="J932" s="580"/>
      <c r="K932" s="569" t="str">
        <f t="shared" si="1"/>
        <v/>
      </c>
      <c r="L932" s="572"/>
      <c r="M932" s="173"/>
      <c r="N932" s="173"/>
      <c r="O932" s="173"/>
      <c r="P932" s="573"/>
      <c r="Q932" s="573"/>
      <c r="R932" s="173"/>
      <c r="S932" s="173"/>
      <c r="T932" s="173"/>
      <c r="U932" s="173"/>
      <c r="V932" s="173"/>
      <c r="W932" s="574"/>
      <c r="X932" s="575"/>
      <c r="Y932" s="28"/>
      <c r="Z932" s="543" t="str">
        <f t="array" ref="Z932">IF(LEN(AC932),lower(concatenate("bosvendor-",'2-Building'!B$4,"-",INDEX(D:D, MATCH(AC932, J:J, 0)),INDEX(E:E, MATCH(AC932, J:J, 0)))),"")</f>
        <v/>
      </c>
      <c r="AA932" s="28"/>
      <c r="AB932" s="28"/>
      <c r="AC932" s="28"/>
      <c r="AD932" s="28"/>
    </row>
    <row r="933" ht="30.0" customHeight="1">
      <c r="A933" s="488"/>
      <c r="B933" s="582"/>
      <c r="C933" s="256"/>
      <c r="D933" s="582"/>
      <c r="E933" s="488"/>
      <c r="F933" s="258"/>
      <c r="G933" s="173"/>
      <c r="H933" s="173"/>
      <c r="I933" s="576"/>
      <c r="J933" s="580"/>
      <c r="K933" s="569" t="str">
        <f t="shared" si="1"/>
        <v/>
      </c>
      <c r="L933" s="572"/>
      <c r="M933" s="173"/>
      <c r="N933" s="173"/>
      <c r="O933" s="173"/>
      <c r="P933" s="573"/>
      <c r="Q933" s="573"/>
      <c r="R933" s="173"/>
      <c r="S933" s="173"/>
      <c r="T933" s="173"/>
      <c r="U933" s="173"/>
      <c r="V933" s="173"/>
      <c r="W933" s="574"/>
      <c r="X933" s="575"/>
      <c r="Y933" s="28"/>
      <c r="Z933" s="543" t="str">
        <f t="array" ref="Z933">IF(LEN(AC933),lower(concatenate("bosvendor-",'2-Building'!B$4,"-",INDEX(D:D, MATCH(AC933, J:J, 0)),INDEX(E:E, MATCH(AC933, J:J, 0)))),"")</f>
        <v/>
      </c>
      <c r="AA933" s="28"/>
      <c r="AB933" s="28"/>
      <c r="AC933" s="28"/>
      <c r="AD933" s="28"/>
    </row>
    <row r="934" ht="30.0" customHeight="1">
      <c r="A934" s="488"/>
      <c r="B934" s="582"/>
      <c r="C934" s="256"/>
      <c r="D934" s="582"/>
      <c r="E934" s="488"/>
      <c r="F934" s="258"/>
      <c r="G934" s="173"/>
      <c r="H934" s="173"/>
      <c r="I934" s="576"/>
      <c r="J934" s="580"/>
      <c r="K934" s="569" t="str">
        <f t="shared" si="1"/>
        <v/>
      </c>
      <c r="L934" s="572"/>
      <c r="M934" s="173"/>
      <c r="N934" s="173"/>
      <c r="O934" s="173"/>
      <c r="P934" s="573"/>
      <c r="Q934" s="573"/>
      <c r="R934" s="173"/>
      <c r="S934" s="173"/>
      <c r="T934" s="173"/>
      <c r="U934" s="173"/>
      <c r="V934" s="173"/>
      <c r="W934" s="574"/>
      <c r="X934" s="575"/>
      <c r="Y934" s="28"/>
      <c r="Z934" s="543" t="str">
        <f t="array" ref="Z934">IF(LEN(AC934),lower(concatenate("bosvendor-",'2-Building'!B$4,"-",INDEX(D:D, MATCH(AC934, J:J, 0)),INDEX(E:E, MATCH(AC934, J:J, 0)))),"")</f>
        <v/>
      </c>
      <c r="AA934" s="28"/>
      <c r="AB934" s="28"/>
      <c r="AC934" s="28"/>
      <c r="AD934" s="28"/>
    </row>
    <row r="935" ht="30.0" customHeight="1">
      <c r="A935" s="488"/>
      <c r="B935" s="582"/>
      <c r="C935" s="256"/>
      <c r="D935" s="582"/>
      <c r="E935" s="488"/>
      <c r="F935" s="258"/>
      <c r="G935" s="173"/>
      <c r="H935" s="173"/>
      <c r="I935" s="576"/>
      <c r="J935" s="580"/>
      <c r="K935" s="569" t="str">
        <f t="shared" si="1"/>
        <v/>
      </c>
      <c r="L935" s="572"/>
      <c r="M935" s="173"/>
      <c r="N935" s="173"/>
      <c r="O935" s="173"/>
      <c r="P935" s="573"/>
      <c r="Q935" s="573"/>
      <c r="R935" s="173"/>
      <c r="S935" s="173"/>
      <c r="T935" s="173"/>
      <c r="U935" s="173"/>
      <c r="V935" s="173"/>
      <c r="W935" s="574"/>
      <c r="X935" s="575"/>
      <c r="Y935" s="28"/>
      <c r="Z935" s="543" t="str">
        <f t="array" ref="Z935">IF(LEN(AC935),lower(concatenate("bosvendor-",'2-Building'!B$4,"-",INDEX(D:D, MATCH(AC935, J:J, 0)),INDEX(E:E, MATCH(AC935, J:J, 0)))),"")</f>
        <v/>
      </c>
      <c r="AA935" s="28"/>
      <c r="AB935" s="28"/>
      <c r="AC935" s="28"/>
      <c r="AD935" s="28"/>
    </row>
    <row r="936" ht="30.0" customHeight="1">
      <c r="A936" s="488"/>
      <c r="B936" s="582"/>
      <c r="C936" s="256"/>
      <c r="D936" s="582"/>
      <c r="E936" s="488"/>
      <c r="F936" s="258"/>
      <c r="G936" s="173"/>
      <c r="H936" s="173"/>
      <c r="I936" s="576"/>
      <c r="J936" s="580"/>
      <c r="K936" s="569" t="str">
        <f t="shared" si="1"/>
        <v/>
      </c>
      <c r="L936" s="572"/>
      <c r="M936" s="173"/>
      <c r="N936" s="173"/>
      <c r="O936" s="173"/>
      <c r="P936" s="573"/>
      <c r="Q936" s="573"/>
      <c r="R936" s="173"/>
      <c r="S936" s="173"/>
      <c r="T936" s="173"/>
      <c r="U936" s="173"/>
      <c r="V936" s="173"/>
      <c r="W936" s="574"/>
      <c r="X936" s="575"/>
      <c r="Y936" s="28"/>
      <c r="Z936" s="543" t="str">
        <f t="array" ref="Z936">IF(LEN(AC936),lower(concatenate("bosvendor-",'2-Building'!B$4,"-",INDEX(D:D, MATCH(AC936, J:J, 0)),INDEX(E:E, MATCH(AC936, J:J, 0)))),"")</f>
        <v/>
      </c>
      <c r="AA936" s="28"/>
      <c r="AB936" s="28"/>
      <c r="AC936" s="28"/>
      <c r="AD936" s="28"/>
    </row>
    <row r="937" ht="30.0" customHeight="1">
      <c r="A937" s="488"/>
      <c r="B937" s="582"/>
      <c r="C937" s="256"/>
      <c r="D937" s="582"/>
      <c r="E937" s="488"/>
      <c r="F937" s="258"/>
      <c r="G937" s="173"/>
      <c r="H937" s="173"/>
      <c r="I937" s="576"/>
      <c r="J937" s="580"/>
      <c r="K937" s="569" t="str">
        <f t="shared" si="1"/>
        <v/>
      </c>
      <c r="L937" s="572"/>
      <c r="M937" s="173"/>
      <c r="N937" s="173"/>
      <c r="O937" s="173"/>
      <c r="P937" s="573"/>
      <c r="Q937" s="573"/>
      <c r="R937" s="173"/>
      <c r="S937" s="173"/>
      <c r="T937" s="173"/>
      <c r="U937" s="173"/>
      <c r="V937" s="173"/>
      <c r="W937" s="574"/>
      <c r="X937" s="575"/>
      <c r="Y937" s="28"/>
      <c r="Z937" s="543" t="str">
        <f t="array" ref="Z937">IF(LEN(AC937),lower(concatenate("bosvendor-",'2-Building'!B$4,"-",INDEX(D:D, MATCH(AC937, J:J, 0)),INDEX(E:E, MATCH(AC937, J:J, 0)))),"")</f>
        <v/>
      </c>
      <c r="AA937" s="28"/>
      <c r="AB937" s="28"/>
      <c r="AC937" s="28"/>
      <c r="AD937" s="28"/>
    </row>
    <row r="938" ht="30.0" customHeight="1">
      <c r="A938" s="488"/>
      <c r="B938" s="582"/>
      <c r="C938" s="256"/>
      <c r="D938" s="582"/>
      <c r="E938" s="488"/>
      <c r="F938" s="258"/>
      <c r="G938" s="173"/>
      <c r="H938" s="173"/>
      <c r="I938" s="576"/>
      <c r="J938" s="580"/>
      <c r="K938" s="569" t="str">
        <f t="shared" si="1"/>
        <v/>
      </c>
      <c r="L938" s="572"/>
      <c r="M938" s="173"/>
      <c r="N938" s="173"/>
      <c r="O938" s="173"/>
      <c r="P938" s="573"/>
      <c r="Q938" s="573"/>
      <c r="R938" s="173"/>
      <c r="S938" s="173"/>
      <c r="T938" s="173"/>
      <c r="U938" s="173"/>
      <c r="V938" s="173"/>
      <c r="W938" s="574"/>
      <c r="X938" s="575"/>
      <c r="Y938" s="28"/>
      <c r="Z938" s="543" t="str">
        <f t="array" ref="Z938">IF(LEN(AC938),lower(concatenate("bosvendor-",'2-Building'!B$4,"-",INDEX(D:D, MATCH(AC938, J:J, 0)),INDEX(E:E, MATCH(AC938, J:J, 0)))),"")</f>
        <v/>
      </c>
      <c r="AA938" s="28"/>
      <c r="AB938" s="28"/>
      <c r="AC938" s="28"/>
      <c r="AD938" s="28"/>
    </row>
    <row r="939" ht="30.0" customHeight="1">
      <c r="A939" s="488"/>
      <c r="B939" s="582"/>
      <c r="C939" s="256"/>
      <c r="D939" s="582"/>
      <c r="E939" s="488"/>
      <c r="F939" s="258"/>
      <c r="G939" s="173"/>
      <c r="H939" s="173"/>
      <c r="I939" s="576"/>
      <c r="J939" s="580"/>
      <c r="K939" s="569" t="str">
        <f t="shared" si="1"/>
        <v/>
      </c>
      <c r="L939" s="572"/>
      <c r="M939" s="173"/>
      <c r="N939" s="173"/>
      <c r="O939" s="173"/>
      <c r="P939" s="573"/>
      <c r="Q939" s="573"/>
      <c r="R939" s="173"/>
      <c r="S939" s="173"/>
      <c r="T939" s="173"/>
      <c r="U939" s="173"/>
      <c r="V939" s="173"/>
      <c r="W939" s="574"/>
      <c r="X939" s="575"/>
      <c r="Y939" s="28"/>
      <c r="Z939" s="543" t="str">
        <f t="array" ref="Z939">IF(LEN(AC939),lower(concatenate("bosvendor-",'2-Building'!B$4,"-",INDEX(D:D, MATCH(AC939, J:J, 0)),INDEX(E:E, MATCH(AC939, J:J, 0)))),"")</f>
        <v/>
      </c>
      <c r="AA939" s="28"/>
      <c r="AB939" s="28"/>
      <c r="AC939" s="28"/>
      <c r="AD939" s="28"/>
    </row>
    <row r="940" ht="30.0" customHeight="1">
      <c r="A940" s="488"/>
      <c r="B940" s="582"/>
      <c r="C940" s="256"/>
      <c r="D940" s="582"/>
      <c r="E940" s="488"/>
      <c r="F940" s="258"/>
      <c r="G940" s="173"/>
      <c r="H940" s="173"/>
      <c r="I940" s="576"/>
      <c r="J940" s="580"/>
      <c r="K940" s="569" t="str">
        <f t="shared" si="1"/>
        <v/>
      </c>
      <c r="L940" s="572"/>
      <c r="M940" s="173"/>
      <c r="N940" s="173"/>
      <c r="O940" s="173"/>
      <c r="P940" s="573"/>
      <c r="Q940" s="573"/>
      <c r="R940" s="173"/>
      <c r="S940" s="173"/>
      <c r="T940" s="173"/>
      <c r="U940" s="173"/>
      <c r="V940" s="173"/>
      <c r="W940" s="574"/>
      <c r="X940" s="575"/>
      <c r="Y940" s="28"/>
      <c r="Z940" s="543" t="str">
        <f t="array" ref="Z940">IF(LEN(AC940),lower(concatenate("bosvendor-",'2-Building'!B$4,"-",INDEX(D:D, MATCH(AC940, J:J, 0)),INDEX(E:E, MATCH(AC940, J:J, 0)))),"")</f>
        <v/>
      </c>
      <c r="AA940" s="28"/>
      <c r="AB940" s="28"/>
      <c r="AC940" s="28"/>
      <c r="AD940" s="28"/>
    </row>
    <row r="941" ht="30.0" customHeight="1">
      <c r="A941" s="488"/>
      <c r="B941" s="582"/>
      <c r="C941" s="256"/>
      <c r="D941" s="582"/>
      <c r="E941" s="488"/>
      <c r="F941" s="258"/>
      <c r="G941" s="173"/>
      <c r="H941" s="173"/>
      <c r="I941" s="576"/>
      <c r="J941" s="580"/>
      <c r="K941" s="569" t="str">
        <f t="shared" si="1"/>
        <v/>
      </c>
      <c r="L941" s="572"/>
      <c r="M941" s="173"/>
      <c r="N941" s="173"/>
      <c r="O941" s="173"/>
      <c r="P941" s="573"/>
      <c r="Q941" s="573"/>
      <c r="R941" s="173"/>
      <c r="S941" s="173"/>
      <c r="T941" s="173"/>
      <c r="U941" s="173"/>
      <c r="V941" s="173"/>
      <c r="W941" s="574"/>
      <c r="X941" s="575"/>
      <c r="Y941" s="28"/>
      <c r="Z941" s="543" t="str">
        <f t="array" ref="Z941">IF(LEN(AC941),lower(concatenate("bosvendor-",'2-Building'!B$4,"-",INDEX(D:D, MATCH(AC941, J:J, 0)),INDEX(E:E, MATCH(AC941, J:J, 0)))),"")</f>
        <v/>
      </c>
      <c r="AA941" s="28"/>
      <c r="AB941" s="28"/>
      <c r="AC941" s="28"/>
      <c r="AD941" s="28"/>
    </row>
    <row r="942" ht="30.0" customHeight="1">
      <c r="A942" s="488"/>
      <c r="B942" s="582"/>
      <c r="C942" s="256"/>
      <c r="D942" s="582"/>
      <c r="E942" s="488"/>
      <c r="F942" s="258"/>
      <c r="G942" s="173"/>
      <c r="H942" s="173"/>
      <c r="I942" s="576"/>
      <c r="J942" s="580"/>
      <c r="K942" s="569" t="str">
        <f t="shared" si="1"/>
        <v/>
      </c>
      <c r="L942" s="572"/>
      <c r="M942" s="173"/>
      <c r="N942" s="173"/>
      <c r="O942" s="173"/>
      <c r="P942" s="573"/>
      <c r="Q942" s="573"/>
      <c r="R942" s="173"/>
      <c r="S942" s="173"/>
      <c r="T942" s="173"/>
      <c r="U942" s="173"/>
      <c r="V942" s="173"/>
      <c r="W942" s="574"/>
      <c r="X942" s="575"/>
      <c r="Y942" s="28"/>
      <c r="Z942" s="543" t="str">
        <f t="array" ref="Z942">IF(LEN(AC942),lower(concatenate("bosvendor-",'2-Building'!B$4,"-",INDEX(D:D, MATCH(AC942, J:J, 0)),INDEX(E:E, MATCH(AC942, J:J, 0)))),"")</f>
        <v/>
      </c>
      <c r="AA942" s="28"/>
      <c r="AB942" s="28"/>
      <c r="AC942" s="28"/>
      <c r="AD942" s="28"/>
    </row>
    <row r="943" ht="30.0" customHeight="1">
      <c r="A943" s="488"/>
      <c r="B943" s="582"/>
      <c r="C943" s="256"/>
      <c r="D943" s="582"/>
      <c r="E943" s="488"/>
      <c r="F943" s="258"/>
      <c r="G943" s="173"/>
      <c r="H943" s="173"/>
      <c r="I943" s="576"/>
      <c r="J943" s="580"/>
      <c r="K943" s="569" t="str">
        <f t="shared" si="1"/>
        <v/>
      </c>
      <c r="L943" s="572"/>
      <c r="M943" s="173"/>
      <c r="N943" s="173"/>
      <c r="O943" s="173"/>
      <c r="P943" s="573"/>
      <c r="Q943" s="573"/>
      <c r="R943" s="173"/>
      <c r="S943" s="173"/>
      <c r="T943" s="173"/>
      <c r="U943" s="173"/>
      <c r="V943" s="173"/>
      <c r="W943" s="574"/>
      <c r="X943" s="575"/>
      <c r="Y943" s="28"/>
      <c r="Z943" s="543" t="str">
        <f t="array" ref="Z943">IF(LEN(AC943),lower(concatenate("bosvendor-",'2-Building'!B$4,"-",INDEX(D:D, MATCH(AC943, J:J, 0)),INDEX(E:E, MATCH(AC943, J:J, 0)))),"")</f>
        <v/>
      </c>
      <c r="AA943" s="28"/>
      <c r="AB943" s="28"/>
      <c r="AC943" s="28"/>
      <c r="AD943" s="28"/>
    </row>
    <row r="944" ht="30.0" customHeight="1">
      <c r="A944" s="488"/>
      <c r="B944" s="582"/>
      <c r="C944" s="256"/>
      <c r="D944" s="582"/>
      <c r="E944" s="488"/>
      <c r="F944" s="258"/>
      <c r="G944" s="173"/>
      <c r="H944" s="173"/>
      <c r="I944" s="576"/>
      <c r="J944" s="580"/>
      <c r="K944" s="569" t="str">
        <f t="shared" si="1"/>
        <v/>
      </c>
      <c r="L944" s="572"/>
      <c r="M944" s="173"/>
      <c r="N944" s="173"/>
      <c r="O944" s="173"/>
      <c r="P944" s="573"/>
      <c r="Q944" s="573"/>
      <c r="R944" s="173"/>
      <c r="S944" s="173"/>
      <c r="T944" s="173"/>
      <c r="U944" s="173"/>
      <c r="V944" s="173"/>
      <c r="W944" s="574"/>
      <c r="X944" s="575"/>
      <c r="Y944" s="28"/>
      <c r="Z944" s="543" t="str">
        <f t="array" ref="Z944">IF(LEN(AC944),lower(concatenate("bosvendor-",'2-Building'!B$4,"-",INDEX(D:D, MATCH(AC944, J:J, 0)),INDEX(E:E, MATCH(AC944, J:J, 0)))),"")</f>
        <v/>
      </c>
      <c r="AA944" s="28"/>
      <c r="AB944" s="28"/>
      <c r="AC944" s="28"/>
      <c r="AD944" s="28"/>
    </row>
    <row r="945" ht="30.0" customHeight="1">
      <c r="A945" s="488"/>
      <c r="B945" s="582"/>
      <c r="C945" s="256"/>
      <c r="D945" s="582"/>
      <c r="E945" s="488"/>
      <c r="F945" s="258"/>
      <c r="G945" s="173"/>
      <c r="H945" s="173"/>
      <c r="I945" s="576"/>
      <c r="J945" s="580"/>
      <c r="K945" s="569" t="str">
        <f t="shared" si="1"/>
        <v/>
      </c>
      <c r="L945" s="572"/>
      <c r="M945" s="173"/>
      <c r="N945" s="173"/>
      <c r="O945" s="173"/>
      <c r="P945" s="573"/>
      <c r="Q945" s="573"/>
      <c r="R945" s="173"/>
      <c r="S945" s="173"/>
      <c r="T945" s="173"/>
      <c r="U945" s="173"/>
      <c r="V945" s="173"/>
      <c r="W945" s="574"/>
      <c r="X945" s="575"/>
      <c r="Y945" s="28"/>
      <c r="Z945" s="543" t="str">
        <f t="array" ref="Z945">IF(LEN(AC945),lower(concatenate("bosvendor-",'2-Building'!B$4,"-",INDEX(D:D, MATCH(AC945, J:J, 0)),INDEX(E:E, MATCH(AC945, J:J, 0)))),"")</f>
        <v/>
      </c>
      <c r="AA945" s="28"/>
      <c r="AB945" s="28"/>
      <c r="AC945" s="28"/>
      <c r="AD945" s="28"/>
    </row>
    <row r="946" ht="30.0" customHeight="1">
      <c r="A946" s="488"/>
      <c r="B946" s="582"/>
      <c r="C946" s="256"/>
      <c r="D946" s="582"/>
      <c r="E946" s="488"/>
      <c r="F946" s="258"/>
      <c r="G946" s="173"/>
      <c r="H946" s="173"/>
      <c r="I946" s="576"/>
      <c r="J946" s="580"/>
      <c r="K946" s="569" t="str">
        <f t="shared" si="1"/>
        <v/>
      </c>
      <c r="L946" s="572"/>
      <c r="M946" s="173"/>
      <c r="N946" s="173"/>
      <c r="O946" s="173"/>
      <c r="P946" s="573"/>
      <c r="Q946" s="573"/>
      <c r="R946" s="173"/>
      <c r="S946" s="173"/>
      <c r="T946" s="173"/>
      <c r="U946" s="173"/>
      <c r="V946" s="173"/>
      <c r="W946" s="574"/>
      <c r="X946" s="575"/>
      <c r="Y946" s="28"/>
      <c r="Z946" s="543" t="str">
        <f t="array" ref="Z946">IF(LEN(AC946),lower(concatenate("bosvendor-",'2-Building'!B$4,"-",INDEX(D:D, MATCH(AC946, J:J, 0)),INDEX(E:E, MATCH(AC946, J:J, 0)))),"")</f>
        <v/>
      </c>
      <c r="AA946" s="28"/>
      <c r="AB946" s="28"/>
      <c r="AC946" s="28"/>
      <c r="AD946" s="28"/>
    </row>
    <row r="947" ht="30.0" customHeight="1">
      <c r="A947" s="488"/>
      <c r="B947" s="582"/>
      <c r="C947" s="256"/>
      <c r="D947" s="582"/>
      <c r="E947" s="488"/>
      <c r="F947" s="258"/>
      <c r="G947" s="173"/>
      <c r="H947" s="173"/>
      <c r="I947" s="576"/>
      <c r="J947" s="580"/>
      <c r="K947" s="569" t="str">
        <f t="shared" si="1"/>
        <v/>
      </c>
      <c r="L947" s="572"/>
      <c r="M947" s="173"/>
      <c r="N947" s="173"/>
      <c r="O947" s="173"/>
      <c r="P947" s="573"/>
      <c r="Q947" s="573"/>
      <c r="R947" s="173"/>
      <c r="S947" s="173"/>
      <c r="T947" s="173"/>
      <c r="U947" s="173"/>
      <c r="V947" s="173"/>
      <c r="W947" s="574"/>
      <c r="X947" s="575"/>
      <c r="Y947" s="28"/>
      <c r="Z947" s="543" t="str">
        <f t="array" ref="Z947">IF(LEN(AC947),lower(concatenate("bosvendor-",'2-Building'!B$4,"-",INDEX(D:D, MATCH(AC947, J:J, 0)),INDEX(E:E, MATCH(AC947, J:J, 0)))),"")</f>
        <v/>
      </c>
      <c r="AA947" s="28"/>
      <c r="AB947" s="28"/>
      <c r="AC947" s="28"/>
      <c r="AD947" s="28"/>
    </row>
    <row r="948" ht="30.0" customHeight="1">
      <c r="A948" s="488"/>
      <c r="B948" s="582"/>
      <c r="C948" s="256"/>
      <c r="D948" s="582"/>
      <c r="E948" s="488"/>
      <c r="F948" s="258"/>
      <c r="G948" s="173"/>
      <c r="H948" s="173"/>
      <c r="I948" s="576"/>
      <c r="J948" s="580"/>
      <c r="K948" s="569" t="str">
        <f t="shared" si="1"/>
        <v/>
      </c>
      <c r="L948" s="572"/>
      <c r="M948" s="173"/>
      <c r="N948" s="173"/>
      <c r="O948" s="173"/>
      <c r="P948" s="573"/>
      <c r="Q948" s="573"/>
      <c r="R948" s="173"/>
      <c r="S948" s="173"/>
      <c r="T948" s="173"/>
      <c r="U948" s="173"/>
      <c r="V948" s="173"/>
      <c r="W948" s="574"/>
      <c r="X948" s="575"/>
      <c r="Y948" s="28"/>
      <c r="Z948" s="543" t="str">
        <f t="array" ref="Z948">IF(LEN(AC948),lower(concatenate("bosvendor-",'2-Building'!B$4,"-",INDEX(D:D, MATCH(AC948, J:J, 0)),INDEX(E:E, MATCH(AC948, J:J, 0)))),"")</f>
        <v/>
      </c>
      <c r="AA948" s="28"/>
      <c r="AB948" s="28"/>
      <c r="AC948" s="28"/>
      <c r="AD948" s="28"/>
    </row>
    <row r="949" ht="30.0" customHeight="1">
      <c r="A949" s="488"/>
      <c r="B949" s="582"/>
      <c r="C949" s="256"/>
      <c r="D949" s="582"/>
      <c r="E949" s="488"/>
      <c r="F949" s="258"/>
      <c r="G949" s="173"/>
      <c r="H949" s="173"/>
      <c r="I949" s="576"/>
      <c r="J949" s="580"/>
      <c r="K949" s="569" t="str">
        <f t="shared" si="1"/>
        <v/>
      </c>
      <c r="L949" s="572"/>
      <c r="M949" s="173"/>
      <c r="N949" s="173"/>
      <c r="O949" s="173"/>
      <c r="P949" s="573"/>
      <c r="Q949" s="573"/>
      <c r="R949" s="173"/>
      <c r="S949" s="173"/>
      <c r="T949" s="173"/>
      <c r="U949" s="173"/>
      <c r="V949" s="173"/>
      <c r="W949" s="574"/>
      <c r="X949" s="575"/>
      <c r="Y949" s="28"/>
      <c r="Z949" s="543" t="str">
        <f t="array" ref="Z949">IF(LEN(AC949),lower(concatenate("bosvendor-",'2-Building'!B$4,"-",INDEX(D:D, MATCH(AC949, J:J, 0)),INDEX(E:E, MATCH(AC949, J:J, 0)))),"")</f>
        <v/>
      </c>
      <c r="AA949" s="28"/>
      <c r="AB949" s="28"/>
      <c r="AC949" s="28"/>
      <c r="AD949" s="28"/>
    </row>
    <row r="950" ht="30.0" customHeight="1">
      <c r="A950" s="488"/>
      <c r="B950" s="582"/>
      <c r="C950" s="256"/>
      <c r="D950" s="582"/>
      <c r="E950" s="488"/>
      <c r="F950" s="258"/>
      <c r="G950" s="173"/>
      <c r="H950" s="173"/>
      <c r="I950" s="576"/>
      <c r="J950" s="580"/>
      <c r="K950" s="569" t="str">
        <f t="shared" si="1"/>
        <v/>
      </c>
      <c r="L950" s="572"/>
      <c r="M950" s="173"/>
      <c r="N950" s="173"/>
      <c r="O950" s="173"/>
      <c r="P950" s="573"/>
      <c r="Q950" s="573"/>
      <c r="R950" s="173"/>
      <c r="S950" s="173"/>
      <c r="T950" s="173"/>
      <c r="U950" s="173"/>
      <c r="V950" s="173"/>
      <c r="W950" s="574"/>
      <c r="X950" s="575"/>
      <c r="Y950" s="28"/>
      <c r="Z950" s="543" t="str">
        <f t="array" ref="Z950">IF(LEN(AC950),lower(concatenate("bosvendor-",'2-Building'!B$4,"-",INDEX(D:D, MATCH(AC950, J:J, 0)),INDEX(E:E, MATCH(AC950, J:J, 0)))),"")</f>
        <v/>
      </c>
      <c r="AA950" s="28"/>
      <c r="AB950" s="28"/>
      <c r="AC950" s="28"/>
      <c r="AD950" s="28"/>
    </row>
    <row r="951" ht="30.0" customHeight="1">
      <c r="A951" s="488"/>
      <c r="B951" s="582"/>
      <c r="C951" s="256"/>
      <c r="D951" s="582"/>
      <c r="E951" s="488"/>
      <c r="F951" s="258"/>
      <c r="G951" s="173"/>
      <c r="H951" s="173"/>
      <c r="I951" s="576"/>
      <c r="J951" s="580"/>
      <c r="K951" s="569" t="str">
        <f t="shared" si="1"/>
        <v/>
      </c>
      <c r="L951" s="572"/>
      <c r="M951" s="173"/>
      <c r="N951" s="173"/>
      <c r="O951" s="173"/>
      <c r="P951" s="573"/>
      <c r="Q951" s="573"/>
      <c r="R951" s="173"/>
      <c r="S951" s="173"/>
      <c r="T951" s="173"/>
      <c r="U951" s="173"/>
      <c r="V951" s="173"/>
      <c r="W951" s="574"/>
      <c r="X951" s="575"/>
      <c r="Y951" s="28"/>
      <c r="Z951" s="543" t="str">
        <f t="array" ref="Z951">IF(LEN(AC951),lower(concatenate("bosvendor-",'2-Building'!B$4,"-",INDEX(D:D, MATCH(AC951, J:J, 0)),INDEX(E:E, MATCH(AC951, J:J, 0)))),"")</f>
        <v/>
      </c>
      <c r="AA951" s="28"/>
      <c r="AB951" s="28"/>
      <c r="AC951" s="28"/>
      <c r="AD951" s="28"/>
    </row>
    <row r="952" ht="30.0" customHeight="1">
      <c r="A952" s="488"/>
      <c r="B952" s="582"/>
      <c r="C952" s="256"/>
      <c r="D952" s="582"/>
      <c r="E952" s="488"/>
      <c r="F952" s="258"/>
      <c r="G952" s="173"/>
      <c r="H952" s="173"/>
      <c r="I952" s="576"/>
      <c r="J952" s="580"/>
      <c r="K952" s="569" t="str">
        <f t="shared" si="1"/>
        <v/>
      </c>
      <c r="L952" s="572"/>
      <c r="M952" s="173"/>
      <c r="N952" s="173"/>
      <c r="O952" s="173"/>
      <c r="P952" s="573"/>
      <c r="Q952" s="573"/>
      <c r="R952" s="173"/>
      <c r="S952" s="173"/>
      <c r="T952" s="173"/>
      <c r="U952" s="173"/>
      <c r="V952" s="173"/>
      <c r="W952" s="574"/>
      <c r="X952" s="575"/>
      <c r="Y952" s="28"/>
      <c r="Z952" s="543" t="str">
        <f t="array" ref="Z952">IF(LEN(AC952),lower(concatenate("bosvendor-",'2-Building'!B$4,"-",INDEX(D:D, MATCH(AC952, J:J, 0)),INDEX(E:E, MATCH(AC952, J:J, 0)))),"")</f>
        <v/>
      </c>
      <c r="AA952" s="28"/>
      <c r="AB952" s="28"/>
      <c r="AC952" s="28"/>
      <c r="AD952" s="28"/>
    </row>
    <row r="953" ht="30.0" customHeight="1">
      <c r="A953" s="488"/>
      <c r="B953" s="582"/>
      <c r="C953" s="256"/>
      <c r="D953" s="582"/>
      <c r="E953" s="488"/>
      <c r="F953" s="258"/>
      <c r="G953" s="173"/>
      <c r="H953" s="173"/>
      <c r="I953" s="576"/>
      <c r="J953" s="580"/>
      <c r="K953" s="569" t="str">
        <f t="shared" si="1"/>
        <v/>
      </c>
      <c r="L953" s="572"/>
      <c r="M953" s="173"/>
      <c r="N953" s="173"/>
      <c r="O953" s="173"/>
      <c r="P953" s="573"/>
      <c r="Q953" s="573"/>
      <c r="R953" s="173"/>
      <c r="S953" s="173"/>
      <c r="T953" s="173"/>
      <c r="U953" s="173"/>
      <c r="V953" s="173"/>
      <c r="W953" s="574"/>
      <c r="X953" s="575"/>
      <c r="Y953" s="28"/>
      <c r="Z953" s="543" t="str">
        <f t="array" ref="Z953">IF(LEN(AC953),lower(concatenate("bosvendor-",'2-Building'!B$4,"-",INDEX(D:D, MATCH(AC953, J:J, 0)),INDEX(E:E, MATCH(AC953, J:J, 0)))),"")</f>
        <v/>
      </c>
      <c r="AA953" s="28"/>
      <c r="AB953" s="28"/>
      <c r="AC953" s="28"/>
      <c r="AD953" s="28"/>
    </row>
    <row r="954" ht="30.0" customHeight="1">
      <c r="A954" s="488"/>
      <c r="B954" s="582"/>
      <c r="C954" s="256"/>
      <c r="D954" s="582"/>
      <c r="E954" s="488"/>
      <c r="F954" s="258"/>
      <c r="G954" s="173"/>
      <c r="H954" s="173"/>
      <c r="I954" s="576"/>
      <c r="J954" s="580"/>
      <c r="K954" s="569" t="str">
        <f t="shared" si="1"/>
        <v/>
      </c>
      <c r="L954" s="572"/>
      <c r="M954" s="173"/>
      <c r="N954" s="173"/>
      <c r="O954" s="173"/>
      <c r="P954" s="573"/>
      <c r="Q954" s="573"/>
      <c r="R954" s="173"/>
      <c r="S954" s="173"/>
      <c r="T954" s="173"/>
      <c r="U954" s="173"/>
      <c r="V954" s="173"/>
      <c r="W954" s="574"/>
      <c r="X954" s="575"/>
      <c r="Y954" s="28"/>
      <c r="Z954" s="543" t="str">
        <f t="array" ref="Z954">IF(LEN(AC954),lower(concatenate("bosvendor-",'2-Building'!B$4,"-",INDEX(D:D, MATCH(AC954, J:J, 0)),INDEX(E:E, MATCH(AC954, J:J, 0)))),"")</f>
        <v/>
      </c>
      <c r="AA954" s="28"/>
      <c r="AB954" s="28"/>
      <c r="AC954" s="28"/>
      <c r="AD954" s="28"/>
    </row>
    <row r="955" ht="30.0" customHeight="1">
      <c r="A955" s="488"/>
      <c r="B955" s="582"/>
      <c r="C955" s="256"/>
      <c r="D955" s="582"/>
      <c r="E955" s="488"/>
      <c r="F955" s="258"/>
      <c r="G955" s="173"/>
      <c r="H955" s="173"/>
      <c r="I955" s="576"/>
      <c r="J955" s="580"/>
      <c r="K955" s="569" t="str">
        <f t="shared" si="1"/>
        <v/>
      </c>
      <c r="L955" s="572"/>
      <c r="M955" s="173"/>
      <c r="N955" s="173"/>
      <c r="O955" s="173"/>
      <c r="P955" s="573"/>
      <c r="Q955" s="573"/>
      <c r="R955" s="173"/>
      <c r="S955" s="173"/>
      <c r="T955" s="173"/>
      <c r="U955" s="173"/>
      <c r="V955" s="173"/>
      <c r="W955" s="574"/>
      <c r="X955" s="575"/>
      <c r="Y955" s="28"/>
      <c r="Z955" s="543" t="str">
        <f t="array" ref="Z955">IF(LEN(AC955),lower(concatenate("bosvendor-",'2-Building'!B$4,"-",INDEX(D:D, MATCH(AC955, J:J, 0)),INDEX(E:E, MATCH(AC955, J:J, 0)))),"")</f>
        <v/>
      </c>
      <c r="AA955" s="28"/>
      <c r="AB955" s="28"/>
      <c r="AC955" s="28"/>
      <c r="AD955" s="28"/>
    </row>
    <row r="956" ht="30.0" customHeight="1">
      <c r="A956" s="488"/>
      <c r="B956" s="582"/>
      <c r="C956" s="256"/>
      <c r="D956" s="582"/>
      <c r="E956" s="488"/>
      <c r="F956" s="258"/>
      <c r="G956" s="173"/>
      <c r="H956" s="173"/>
      <c r="I956" s="576"/>
      <c r="J956" s="580"/>
      <c r="K956" s="569" t="str">
        <f t="shared" si="1"/>
        <v/>
      </c>
      <c r="L956" s="572"/>
      <c r="M956" s="173"/>
      <c r="N956" s="173"/>
      <c r="O956" s="173"/>
      <c r="P956" s="573"/>
      <c r="Q956" s="573"/>
      <c r="R956" s="173"/>
      <c r="S956" s="173"/>
      <c r="T956" s="173"/>
      <c r="U956" s="173"/>
      <c r="V956" s="173"/>
      <c r="W956" s="574"/>
      <c r="X956" s="575"/>
      <c r="Y956" s="28"/>
      <c r="Z956" s="543" t="str">
        <f t="array" ref="Z956">IF(LEN(AC956),lower(concatenate("bosvendor-",'2-Building'!B$4,"-",INDEX(D:D, MATCH(AC956, J:J, 0)),INDEX(E:E, MATCH(AC956, J:J, 0)))),"")</f>
        <v/>
      </c>
      <c r="AA956" s="28"/>
      <c r="AB956" s="28"/>
      <c r="AC956" s="28"/>
      <c r="AD956" s="28"/>
    </row>
    <row r="957" ht="30.0" customHeight="1">
      <c r="A957" s="488"/>
      <c r="B957" s="582"/>
      <c r="C957" s="256"/>
      <c r="D957" s="582"/>
      <c r="E957" s="488"/>
      <c r="F957" s="258"/>
      <c r="G957" s="173"/>
      <c r="H957" s="173"/>
      <c r="I957" s="576"/>
      <c r="J957" s="580"/>
      <c r="K957" s="569" t="str">
        <f t="shared" si="1"/>
        <v/>
      </c>
      <c r="L957" s="572"/>
      <c r="M957" s="173"/>
      <c r="N957" s="173"/>
      <c r="O957" s="173"/>
      <c r="P957" s="573"/>
      <c r="Q957" s="573"/>
      <c r="R957" s="173"/>
      <c r="S957" s="173"/>
      <c r="T957" s="173"/>
      <c r="U957" s="173"/>
      <c r="V957" s="173"/>
      <c r="W957" s="574"/>
      <c r="X957" s="575"/>
      <c r="Y957" s="28"/>
      <c r="Z957" s="543" t="str">
        <f t="array" ref="Z957">IF(LEN(AC957),lower(concatenate("bosvendor-",'2-Building'!B$4,"-",INDEX(D:D, MATCH(AC957, J:J, 0)),INDEX(E:E, MATCH(AC957, J:J, 0)))),"")</f>
        <v/>
      </c>
      <c r="AA957" s="28"/>
      <c r="AB957" s="28"/>
      <c r="AC957" s="28"/>
      <c r="AD957" s="28"/>
    </row>
    <row r="958" ht="30.0" customHeight="1">
      <c r="A958" s="488"/>
      <c r="B958" s="582"/>
      <c r="C958" s="256"/>
      <c r="D958" s="582"/>
      <c r="E958" s="488"/>
      <c r="F958" s="258"/>
      <c r="G958" s="173"/>
      <c r="H958" s="173"/>
      <c r="I958" s="576"/>
      <c r="J958" s="580"/>
      <c r="K958" s="569" t="str">
        <f t="shared" si="1"/>
        <v/>
      </c>
      <c r="L958" s="572"/>
      <c r="M958" s="173"/>
      <c r="N958" s="173"/>
      <c r="O958" s="173"/>
      <c r="P958" s="573"/>
      <c r="Q958" s="573"/>
      <c r="R958" s="173"/>
      <c r="S958" s="173"/>
      <c r="T958" s="173"/>
      <c r="U958" s="173"/>
      <c r="V958" s="173"/>
      <c r="W958" s="574"/>
      <c r="X958" s="575"/>
      <c r="Y958" s="28"/>
      <c r="Z958" s="543" t="str">
        <f t="array" ref="Z958">IF(LEN(AC958),lower(concatenate("bosvendor-",'2-Building'!B$4,"-",INDEX(D:D, MATCH(AC958, J:J, 0)),INDEX(E:E, MATCH(AC958, J:J, 0)))),"")</f>
        <v/>
      </c>
      <c r="AA958" s="28"/>
      <c r="AB958" s="28"/>
      <c r="AC958" s="28"/>
      <c r="AD958" s="28"/>
    </row>
    <row r="959" ht="30.0" customHeight="1">
      <c r="A959" s="488"/>
      <c r="B959" s="582"/>
      <c r="C959" s="256"/>
      <c r="D959" s="582"/>
      <c r="E959" s="488"/>
      <c r="F959" s="258"/>
      <c r="G959" s="173"/>
      <c r="H959" s="173"/>
      <c r="I959" s="576"/>
      <c r="J959" s="580"/>
      <c r="K959" s="569" t="str">
        <f t="shared" si="1"/>
        <v/>
      </c>
      <c r="L959" s="572"/>
      <c r="M959" s="173"/>
      <c r="N959" s="173"/>
      <c r="O959" s="173"/>
      <c r="P959" s="573"/>
      <c r="Q959" s="573"/>
      <c r="R959" s="173"/>
      <c r="S959" s="173"/>
      <c r="T959" s="173"/>
      <c r="U959" s="173"/>
      <c r="V959" s="173"/>
      <c r="W959" s="574"/>
      <c r="X959" s="575"/>
      <c r="Y959" s="28"/>
      <c r="Z959" s="543" t="str">
        <f t="array" ref="Z959">IF(LEN(AC959),lower(concatenate("bosvendor-",'2-Building'!B$4,"-",INDEX(D:D, MATCH(AC959, J:J, 0)),INDEX(E:E, MATCH(AC959, J:J, 0)))),"")</f>
        <v/>
      </c>
      <c r="AA959" s="28"/>
      <c r="AB959" s="28"/>
      <c r="AC959" s="28"/>
      <c r="AD959" s="28"/>
    </row>
    <row r="960" ht="30.0" customHeight="1">
      <c r="A960" s="488"/>
      <c r="B960" s="582"/>
      <c r="C960" s="256"/>
      <c r="D960" s="582"/>
      <c r="E960" s="488"/>
      <c r="F960" s="258"/>
      <c r="G960" s="173"/>
      <c r="H960" s="173"/>
      <c r="I960" s="576"/>
      <c r="J960" s="580"/>
      <c r="K960" s="569" t="str">
        <f t="shared" si="1"/>
        <v/>
      </c>
      <c r="L960" s="572"/>
      <c r="M960" s="173"/>
      <c r="N960" s="173"/>
      <c r="O960" s="173"/>
      <c r="P960" s="573"/>
      <c r="Q960" s="573"/>
      <c r="R960" s="173"/>
      <c r="S960" s="173"/>
      <c r="T960" s="173"/>
      <c r="U960" s="173"/>
      <c r="V960" s="173"/>
      <c r="W960" s="574"/>
      <c r="X960" s="575"/>
      <c r="Y960" s="28"/>
      <c r="Z960" s="543" t="str">
        <f t="array" ref="Z960">IF(LEN(AC960),lower(concatenate("bosvendor-",'2-Building'!B$4,"-",INDEX(D:D, MATCH(AC960, J:J, 0)),INDEX(E:E, MATCH(AC960, J:J, 0)))),"")</f>
        <v/>
      </c>
      <c r="AA960" s="28"/>
      <c r="AB960" s="28"/>
      <c r="AC960" s="28"/>
      <c r="AD960" s="28"/>
    </row>
    <row r="961" ht="30.0" customHeight="1">
      <c r="A961" s="488"/>
      <c r="B961" s="582"/>
      <c r="C961" s="256"/>
      <c r="D961" s="582"/>
      <c r="E961" s="488"/>
      <c r="F961" s="258"/>
      <c r="G961" s="173"/>
      <c r="H961" s="173"/>
      <c r="I961" s="576"/>
      <c r="J961" s="580"/>
      <c r="K961" s="569" t="str">
        <f t="shared" si="1"/>
        <v/>
      </c>
      <c r="L961" s="572"/>
      <c r="M961" s="173"/>
      <c r="N961" s="173"/>
      <c r="O961" s="173"/>
      <c r="P961" s="573"/>
      <c r="Q961" s="573"/>
      <c r="R961" s="173"/>
      <c r="S961" s="173"/>
      <c r="T961" s="173"/>
      <c r="U961" s="173"/>
      <c r="V961" s="173"/>
      <c r="W961" s="574"/>
      <c r="X961" s="575"/>
      <c r="Y961" s="28"/>
      <c r="Z961" s="543" t="str">
        <f t="array" ref="Z961">IF(LEN(AC961),lower(concatenate("bosvendor-",'2-Building'!B$4,"-",INDEX(D:D, MATCH(AC961, J:J, 0)),INDEX(E:E, MATCH(AC961, J:J, 0)))),"")</f>
        <v/>
      </c>
      <c r="AA961" s="28"/>
      <c r="AB961" s="28"/>
      <c r="AC961" s="28"/>
      <c r="AD961" s="28"/>
    </row>
    <row r="962" ht="30.0" customHeight="1">
      <c r="A962" s="488"/>
      <c r="B962" s="582"/>
      <c r="C962" s="256"/>
      <c r="D962" s="582"/>
      <c r="E962" s="488"/>
      <c r="F962" s="258"/>
      <c r="G962" s="173"/>
      <c r="H962" s="173"/>
      <c r="I962" s="576"/>
      <c r="J962" s="580"/>
      <c r="K962" s="569" t="str">
        <f t="shared" si="1"/>
        <v/>
      </c>
      <c r="L962" s="572"/>
      <c r="M962" s="173"/>
      <c r="N962" s="173"/>
      <c r="O962" s="173"/>
      <c r="P962" s="573"/>
      <c r="Q962" s="573"/>
      <c r="R962" s="173"/>
      <c r="S962" s="173"/>
      <c r="T962" s="173"/>
      <c r="U962" s="173"/>
      <c r="V962" s="173"/>
      <c r="W962" s="574"/>
      <c r="X962" s="575"/>
      <c r="Y962" s="28"/>
      <c r="Z962" s="543" t="str">
        <f t="array" ref="Z962">IF(LEN(AC962),lower(concatenate("bosvendor-",'2-Building'!B$4,"-",INDEX(D:D, MATCH(AC962, J:J, 0)),INDEX(E:E, MATCH(AC962, J:J, 0)))),"")</f>
        <v/>
      </c>
      <c r="AA962" s="28"/>
      <c r="AB962" s="28"/>
      <c r="AC962" s="28"/>
      <c r="AD962" s="28"/>
    </row>
    <row r="963" ht="30.0" customHeight="1">
      <c r="A963" s="488"/>
      <c r="B963" s="582"/>
      <c r="C963" s="256"/>
      <c r="D963" s="582"/>
      <c r="E963" s="488"/>
      <c r="F963" s="258"/>
      <c r="G963" s="173"/>
      <c r="H963" s="173"/>
      <c r="I963" s="576"/>
      <c r="J963" s="580"/>
      <c r="K963" s="569" t="str">
        <f t="shared" si="1"/>
        <v/>
      </c>
      <c r="L963" s="572"/>
      <c r="M963" s="173"/>
      <c r="N963" s="173"/>
      <c r="O963" s="173"/>
      <c r="P963" s="573"/>
      <c r="Q963" s="573"/>
      <c r="R963" s="173"/>
      <c r="S963" s="173"/>
      <c r="T963" s="173"/>
      <c r="U963" s="173"/>
      <c r="V963" s="173"/>
      <c r="W963" s="574"/>
      <c r="X963" s="575"/>
      <c r="Y963" s="28"/>
      <c r="Z963" s="543" t="str">
        <f t="array" ref="Z963">IF(LEN(AC963),lower(concatenate("bosvendor-",'2-Building'!B$4,"-",INDEX(D:D, MATCH(AC963, J:J, 0)),INDEX(E:E, MATCH(AC963, J:J, 0)))),"")</f>
        <v/>
      </c>
      <c r="AA963" s="28"/>
      <c r="AB963" s="28"/>
      <c r="AC963" s="28"/>
      <c r="AD963" s="28"/>
    </row>
    <row r="964" ht="30.0" customHeight="1">
      <c r="A964" s="488"/>
      <c r="B964" s="582"/>
      <c r="C964" s="256"/>
      <c r="D964" s="582"/>
      <c r="E964" s="488"/>
      <c r="F964" s="258"/>
      <c r="G964" s="173"/>
      <c r="H964" s="173"/>
      <c r="I964" s="576"/>
      <c r="J964" s="580"/>
      <c r="K964" s="569" t="str">
        <f t="shared" si="1"/>
        <v/>
      </c>
      <c r="L964" s="572"/>
      <c r="M964" s="173"/>
      <c r="N964" s="173"/>
      <c r="O964" s="173"/>
      <c r="P964" s="573"/>
      <c r="Q964" s="573"/>
      <c r="R964" s="173"/>
      <c r="S964" s="173"/>
      <c r="T964" s="173"/>
      <c r="U964" s="173"/>
      <c r="V964" s="173"/>
      <c r="W964" s="574"/>
      <c r="X964" s="575"/>
      <c r="Y964" s="28"/>
      <c r="Z964" s="543" t="str">
        <f t="array" ref="Z964">IF(LEN(AC964),lower(concatenate("bosvendor-",'2-Building'!B$4,"-",INDEX(D:D, MATCH(AC964, J:J, 0)),INDEX(E:E, MATCH(AC964, J:J, 0)))),"")</f>
        <v/>
      </c>
      <c r="AA964" s="28"/>
      <c r="AB964" s="28"/>
      <c r="AC964" s="28"/>
      <c r="AD964" s="28"/>
    </row>
    <row r="965" ht="30.0" customHeight="1">
      <c r="A965" s="488"/>
      <c r="B965" s="582"/>
      <c r="C965" s="256"/>
      <c r="D965" s="582"/>
      <c r="E965" s="488"/>
      <c r="F965" s="258"/>
      <c r="G965" s="173"/>
      <c r="H965" s="173"/>
      <c r="I965" s="576"/>
      <c r="J965" s="580"/>
      <c r="K965" s="569" t="str">
        <f t="shared" si="1"/>
        <v/>
      </c>
      <c r="L965" s="572"/>
      <c r="M965" s="173"/>
      <c r="N965" s="173"/>
      <c r="O965" s="173"/>
      <c r="P965" s="573"/>
      <c r="Q965" s="573"/>
      <c r="R965" s="173"/>
      <c r="S965" s="173"/>
      <c r="T965" s="173"/>
      <c r="U965" s="173"/>
      <c r="V965" s="173"/>
      <c r="W965" s="574"/>
      <c r="X965" s="575"/>
      <c r="Y965" s="28"/>
      <c r="Z965" s="543" t="str">
        <f t="array" ref="Z965">IF(LEN(AC965),lower(concatenate("bosvendor-",'2-Building'!B$4,"-",INDEX(D:D, MATCH(AC965, J:J, 0)),INDEX(E:E, MATCH(AC965, J:J, 0)))),"")</f>
        <v/>
      </c>
      <c r="AA965" s="28"/>
      <c r="AB965" s="28"/>
      <c r="AC965" s="28"/>
      <c r="AD965" s="28"/>
    </row>
    <row r="966" ht="30.0" customHeight="1">
      <c r="A966" s="488"/>
      <c r="B966" s="582"/>
      <c r="C966" s="256"/>
      <c r="D966" s="582"/>
      <c r="E966" s="488"/>
      <c r="F966" s="258"/>
      <c r="G966" s="173"/>
      <c r="H966" s="173"/>
      <c r="I966" s="576"/>
      <c r="J966" s="580"/>
      <c r="K966" s="569" t="str">
        <f t="shared" si="1"/>
        <v/>
      </c>
      <c r="L966" s="572"/>
      <c r="M966" s="173"/>
      <c r="N966" s="173"/>
      <c r="O966" s="173"/>
      <c r="P966" s="573"/>
      <c r="Q966" s="573"/>
      <c r="R966" s="173"/>
      <c r="S966" s="173"/>
      <c r="T966" s="173"/>
      <c r="U966" s="173"/>
      <c r="V966" s="173"/>
      <c r="W966" s="574"/>
      <c r="X966" s="575"/>
      <c r="Y966" s="28"/>
      <c r="Z966" s="543" t="str">
        <f t="array" ref="Z966">IF(LEN(AC966),lower(concatenate("bosvendor-",'2-Building'!B$4,"-",INDEX(D:D, MATCH(AC966, J:J, 0)),INDEX(E:E, MATCH(AC966, J:J, 0)))),"")</f>
        <v/>
      </c>
      <c r="AA966" s="28"/>
      <c r="AB966" s="28"/>
      <c r="AC966" s="28"/>
      <c r="AD966" s="28"/>
    </row>
    <row r="967" ht="30.0" customHeight="1">
      <c r="A967" s="488"/>
      <c r="B967" s="582"/>
      <c r="C967" s="256"/>
      <c r="D967" s="582"/>
      <c r="E967" s="488"/>
      <c r="F967" s="258"/>
      <c r="G967" s="173"/>
      <c r="H967" s="173"/>
      <c r="I967" s="576"/>
      <c r="J967" s="580"/>
      <c r="K967" s="569" t="str">
        <f t="shared" si="1"/>
        <v/>
      </c>
      <c r="L967" s="572"/>
      <c r="M967" s="173"/>
      <c r="N967" s="173"/>
      <c r="O967" s="173"/>
      <c r="P967" s="573"/>
      <c r="Q967" s="573"/>
      <c r="R967" s="173"/>
      <c r="S967" s="173"/>
      <c r="T967" s="173"/>
      <c r="U967" s="173"/>
      <c r="V967" s="173"/>
      <c r="W967" s="574"/>
      <c r="X967" s="575"/>
      <c r="Y967" s="28"/>
      <c r="Z967" s="543" t="str">
        <f t="array" ref="Z967">IF(LEN(AC967),lower(concatenate("bosvendor-",'2-Building'!B$4,"-",INDEX(D:D, MATCH(AC967, J:J, 0)),INDEX(E:E, MATCH(AC967, J:J, 0)))),"")</f>
        <v/>
      </c>
      <c r="AA967" s="28"/>
      <c r="AB967" s="28"/>
      <c r="AC967" s="28"/>
      <c r="AD967" s="28"/>
    </row>
    <row r="968" ht="30.0" customHeight="1">
      <c r="A968" s="488"/>
      <c r="B968" s="582"/>
      <c r="C968" s="256"/>
      <c r="D968" s="582"/>
      <c r="E968" s="488"/>
      <c r="F968" s="258"/>
      <c r="G968" s="173"/>
      <c r="H968" s="173"/>
      <c r="I968" s="576"/>
      <c r="J968" s="580"/>
      <c r="K968" s="569" t="str">
        <f t="shared" si="1"/>
        <v/>
      </c>
      <c r="L968" s="572"/>
      <c r="M968" s="173"/>
      <c r="N968" s="173"/>
      <c r="O968" s="173"/>
      <c r="P968" s="573"/>
      <c r="Q968" s="573"/>
      <c r="R968" s="173"/>
      <c r="S968" s="173"/>
      <c r="T968" s="173"/>
      <c r="U968" s="173"/>
      <c r="V968" s="173"/>
      <c r="W968" s="574"/>
      <c r="X968" s="575"/>
      <c r="Y968" s="28"/>
      <c r="Z968" s="543" t="str">
        <f t="array" ref="Z968">IF(LEN(AC968),lower(concatenate("bosvendor-",'2-Building'!B$4,"-",INDEX(D:D, MATCH(AC968, J:J, 0)),INDEX(E:E, MATCH(AC968, J:J, 0)))),"")</f>
        <v/>
      </c>
      <c r="AA968" s="28"/>
      <c r="AB968" s="28"/>
      <c r="AC968" s="28"/>
      <c r="AD968" s="28"/>
    </row>
    <row r="969" ht="30.0" customHeight="1">
      <c r="A969" s="488"/>
      <c r="B969" s="582"/>
      <c r="C969" s="256"/>
      <c r="D969" s="582"/>
      <c r="E969" s="488"/>
      <c r="F969" s="258"/>
      <c r="G969" s="173"/>
      <c r="H969" s="173"/>
      <c r="I969" s="576"/>
      <c r="J969" s="580"/>
      <c r="K969" s="569" t="str">
        <f t="shared" si="1"/>
        <v/>
      </c>
      <c r="L969" s="572"/>
      <c r="M969" s="173"/>
      <c r="N969" s="173"/>
      <c r="O969" s="173"/>
      <c r="P969" s="573"/>
      <c r="Q969" s="573"/>
      <c r="R969" s="173"/>
      <c r="S969" s="173"/>
      <c r="T969" s="173"/>
      <c r="U969" s="173"/>
      <c r="V969" s="173"/>
      <c r="W969" s="574"/>
      <c r="X969" s="575"/>
      <c r="Y969" s="28"/>
      <c r="Z969" s="543" t="str">
        <f t="array" ref="Z969">IF(LEN(AC969),lower(concatenate("bosvendor-",'2-Building'!B$4,"-",INDEX(D:D, MATCH(AC969, J:J, 0)),INDEX(E:E, MATCH(AC969, J:J, 0)))),"")</f>
        <v/>
      </c>
      <c r="AA969" s="28"/>
      <c r="AB969" s="28"/>
      <c r="AC969" s="28"/>
      <c r="AD969" s="28"/>
    </row>
    <row r="970" ht="30.0" customHeight="1">
      <c r="A970" s="488"/>
      <c r="B970" s="582"/>
      <c r="C970" s="256"/>
      <c r="D970" s="582"/>
      <c r="E970" s="488"/>
      <c r="F970" s="258"/>
      <c r="G970" s="173"/>
      <c r="H970" s="173"/>
      <c r="I970" s="576"/>
      <c r="J970" s="580"/>
      <c r="K970" s="569" t="str">
        <f t="shared" si="1"/>
        <v/>
      </c>
      <c r="L970" s="572"/>
      <c r="M970" s="173"/>
      <c r="N970" s="173"/>
      <c r="O970" s="173"/>
      <c r="P970" s="573"/>
      <c r="Q970" s="573"/>
      <c r="R970" s="173"/>
      <c r="S970" s="173"/>
      <c r="T970" s="173"/>
      <c r="U970" s="173"/>
      <c r="V970" s="173"/>
      <c r="W970" s="574"/>
      <c r="X970" s="575"/>
      <c r="Y970" s="28"/>
      <c r="Z970" s="543" t="str">
        <f t="array" ref="Z970">IF(LEN(AC970),lower(concatenate("bosvendor-",'2-Building'!B$4,"-",INDEX(D:D, MATCH(AC970, J:J, 0)),INDEX(E:E, MATCH(AC970, J:J, 0)))),"")</f>
        <v/>
      </c>
      <c r="AA970" s="28"/>
      <c r="AB970" s="28"/>
      <c r="AC970" s="28"/>
      <c r="AD970" s="28"/>
    </row>
    <row r="971" ht="30.0" customHeight="1">
      <c r="A971" s="488"/>
      <c r="B971" s="582"/>
      <c r="C971" s="256"/>
      <c r="D971" s="582"/>
      <c r="E971" s="488"/>
      <c r="F971" s="258"/>
      <c r="G971" s="173"/>
      <c r="H971" s="173"/>
      <c r="I971" s="576"/>
      <c r="J971" s="580"/>
      <c r="K971" s="569" t="str">
        <f t="shared" si="1"/>
        <v/>
      </c>
      <c r="L971" s="572"/>
      <c r="M971" s="173"/>
      <c r="N971" s="173"/>
      <c r="O971" s="173"/>
      <c r="P971" s="573"/>
      <c r="Q971" s="573"/>
      <c r="R971" s="173"/>
      <c r="S971" s="173"/>
      <c r="T971" s="173"/>
      <c r="U971" s="173"/>
      <c r="V971" s="173"/>
      <c r="W971" s="574"/>
      <c r="X971" s="575"/>
      <c r="Y971" s="28"/>
      <c r="Z971" s="543" t="str">
        <f t="array" ref="Z971">IF(LEN(AC971),lower(concatenate("bosvendor-",'2-Building'!B$4,"-",INDEX(D:D, MATCH(AC971, J:J, 0)),INDEX(E:E, MATCH(AC971, J:J, 0)))),"")</f>
        <v/>
      </c>
      <c r="AA971" s="28"/>
      <c r="AB971" s="28"/>
      <c r="AC971" s="28"/>
      <c r="AD971" s="28"/>
    </row>
    <row r="972" ht="30.0" customHeight="1">
      <c r="A972" s="488"/>
      <c r="B972" s="582"/>
      <c r="C972" s="256"/>
      <c r="D972" s="582"/>
      <c r="E972" s="488"/>
      <c r="F972" s="258"/>
      <c r="G972" s="173"/>
      <c r="H972" s="173"/>
      <c r="I972" s="576"/>
      <c r="J972" s="580"/>
      <c r="K972" s="569" t="str">
        <f t="shared" si="1"/>
        <v/>
      </c>
      <c r="L972" s="572"/>
      <c r="M972" s="173"/>
      <c r="N972" s="173"/>
      <c r="O972" s="173"/>
      <c r="P972" s="573"/>
      <c r="Q972" s="573"/>
      <c r="R972" s="173"/>
      <c r="S972" s="173"/>
      <c r="T972" s="173"/>
      <c r="U972" s="173"/>
      <c r="V972" s="173"/>
      <c r="W972" s="574"/>
      <c r="X972" s="575"/>
      <c r="Y972" s="28"/>
      <c r="Z972" s="543" t="str">
        <f t="array" ref="Z972">IF(LEN(AC972),lower(concatenate("bosvendor-",'2-Building'!B$4,"-",INDEX(D:D, MATCH(AC972, J:J, 0)),INDEX(E:E, MATCH(AC972, J:J, 0)))),"")</f>
        <v/>
      </c>
      <c r="AA972" s="28"/>
      <c r="AB972" s="28"/>
      <c r="AC972" s="28"/>
      <c r="AD972" s="28"/>
    </row>
    <row r="973" ht="30.0" customHeight="1">
      <c r="A973" s="488"/>
      <c r="B973" s="582"/>
      <c r="C973" s="256"/>
      <c r="D973" s="582"/>
      <c r="E973" s="488"/>
      <c r="F973" s="258"/>
      <c r="G973" s="173"/>
      <c r="H973" s="173"/>
      <c r="I973" s="576"/>
      <c r="J973" s="580"/>
      <c r="K973" s="569" t="str">
        <f t="shared" si="1"/>
        <v/>
      </c>
      <c r="L973" s="572"/>
      <c r="M973" s="173"/>
      <c r="N973" s="173"/>
      <c r="O973" s="173"/>
      <c r="P973" s="573"/>
      <c r="Q973" s="573"/>
      <c r="R973" s="173"/>
      <c r="S973" s="173"/>
      <c r="T973" s="173"/>
      <c r="U973" s="173"/>
      <c r="V973" s="173"/>
      <c r="W973" s="574"/>
      <c r="X973" s="575"/>
      <c r="Y973" s="28"/>
      <c r="Z973" s="543" t="str">
        <f t="array" ref="Z973">IF(LEN(AC973),lower(concatenate("bosvendor-",'2-Building'!B$4,"-",INDEX(D:D, MATCH(AC973, J:J, 0)),INDEX(E:E, MATCH(AC973, J:J, 0)))),"")</f>
        <v/>
      </c>
      <c r="AA973" s="28"/>
      <c r="AB973" s="28"/>
      <c r="AC973" s="28"/>
      <c r="AD973" s="28"/>
    </row>
    <row r="974" ht="30.0" customHeight="1">
      <c r="A974" s="488"/>
      <c r="B974" s="582"/>
      <c r="C974" s="256"/>
      <c r="D974" s="582"/>
      <c r="E974" s="488"/>
      <c r="F974" s="258"/>
      <c r="G974" s="173"/>
      <c r="H974" s="173"/>
      <c r="I974" s="576"/>
      <c r="J974" s="580"/>
      <c r="K974" s="569" t="str">
        <f t="shared" si="1"/>
        <v/>
      </c>
      <c r="L974" s="572"/>
      <c r="M974" s="173"/>
      <c r="N974" s="173"/>
      <c r="O974" s="173"/>
      <c r="P974" s="573"/>
      <c r="Q974" s="573"/>
      <c r="R974" s="173"/>
      <c r="S974" s="173"/>
      <c r="T974" s="173"/>
      <c r="U974" s="173"/>
      <c r="V974" s="173"/>
      <c r="W974" s="574"/>
      <c r="X974" s="575"/>
      <c r="Y974" s="28"/>
      <c r="Z974" s="543" t="str">
        <f t="array" ref="Z974">IF(LEN(AC974),lower(concatenate("bosvendor-",'2-Building'!B$4,"-",INDEX(D:D, MATCH(AC974, J:J, 0)),INDEX(E:E, MATCH(AC974, J:J, 0)))),"")</f>
        <v/>
      </c>
      <c r="AA974" s="28"/>
      <c r="AB974" s="28"/>
      <c r="AC974" s="28"/>
      <c r="AD974" s="28"/>
    </row>
    <row r="975" ht="30.0" customHeight="1">
      <c r="A975" s="488"/>
      <c r="B975" s="582"/>
      <c r="C975" s="256"/>
      <c r="D975" s="582"/>
      <c r="E975" s="488"/>
      <c r="F975" s="258"/>
      <c r="G975" s="173"/>
      <c r="H975" s="173"/>
      <c r="I975" s="576"/>
      <c r="J975" s="580"/>
      <c r="K975" s="569" t="str">
        <f t="shared" si="1"/>
        <v/>
      </c>
      <c r="L975" s="572"/>
      <c r="M975" s="173"/>
      <c r="N975" s="173"/>
      <c r="O975" s="173"/>
      <c r="P975" s="573"/>
      <c r="Q975" s="573"/>
      <c r="R975" s="173"/>
      <c r="S975" s="173"/>
      <c r="T975" s="173"/>
      <c r="U975" s="173"/>
      <c r="V975" s="173"/>
      <c r="W975" s="574"/>
      <c r="X975" s="575"/>
      <c r="Y975" s="28"/>
      <c r="Z975" s="543" t="str">
        <f t="array" ref="Z975">IF(LEN(AC975),lower(concatenate("bosvendor-",'2-Building'!B$4,"-",INDEX(D:D, MATCH(AC975, J:J, 0)),INDEX(E:E, MATCH(AC975, J:J, 0)))),"")</f>
        <v/>
      </c>
      <c r="AA975" s="28"/>
      <c r="AB975" s="28"/>
      <c r="AC975" s="28"/>
      <c r="AD975" s="28"/>
    </row>
    <row r="976" ht="30.0" customHeight="1">
      <c r="A976" s="488"/>
      <c r="B976" s="582"/>
      <c r="C976" s="256"/>
      <c r="D976" s="582"/>
      <c r="E976" s="488"/>
      <c r="F976" s="258"/>
      <c r="G976" s="173"/>
      <c r="H976" s="173"/>
      <c r="I976" s="576"/>
      <c r="J976" s="580"/>
      <c r="K976" s="569" t="str">
        <f t="shared" si="1"/>
        <v/>
      </c>
      <c r="L976" s="572"/>
      <c r="M976" s="173"/>
      <c r="N976" s="173"/>
      <c r="O976" s="173"/>
      <c r="P976" s="573"/>
      <c r="Q976" s="573"/>
      <c r="R976" s="173"/>
      <c r="S976" s="173"/>
      <c r="T976" s="173"/>
      <c r="U976" s="173"/>
      <c r="V976" s="173"/>
      <c r="W976" s="574"/>
      <c r="X976" s="575"/>
      <c r="Y976" s="28"/>
      <c r="Z976" s="543" t="str">
        <f t="array" ref="Z976">IF(LEN(AC976),lower(concatenate("bosvendor-",'2-Building'!B$4,"-",INDEX(D:D, MATCH(AC976, J:J, 0)),INDEX(E:E, MATCH(AC976, J:J, 0)))),"")</f>
        <v/>
      </c>
      <c r="AA976" s="28"/>
      <c r="AB976" s="28"/>
      <c r="AC976" s="28"/>
      <c r="AD976" s="28"/>
    </row>
    <row r="977" ht="30.0" customHeight="1">
      <c r="A977" s="488"/>
      <c r="B977" s="582"/>
      <c r="C977" s="256"/>
      <c r="D977" s="582"/>
      <c r="E977" s="488"/>
      <c r="F977" s="258"/>
      <c r="G977" s="173"/>
      <c r="H977" s="173"/>
      <c r="I977" s="576"/>
      <c r="J977" s="580"/>
      <c r="K977" s="569" t="str">
        <f t="shared" si="1"/>
        <v/>
      </c>
      <c r="L977" s="572"/>
      <c r="M977" s="173"/>
      <c r="N977" s="173"/>
      <c r="O977" s="173"/>
      <c r="P977" s="573"/>
      <c r="Q977" s="573"/>
      <c r="R977" s="173"/>
      <c r="S977" s="173"/>
      <c r="T977" s="173"/>
      <c r="U977" s="173"/>
      <c r="V977" s="173"/>
      <c r="W977" s="574"/>
      <c r="X977" s="575"/>
      <c r="Y977" s="28"/>
      <c r="Z977" s="543" t="str">
        <f t="array" ref="Z977">IF(LEN(AC977),lower(concatenate("bosvendor-",'2-Building'!B$4,"-",INDEX(D:D, MATCH(AC977, J:J, 0)),INDEX(E:E, MATCH(AC977, J:J, 0)))),"")</f>
        <v/>
      </c>
      <c r="AA977" s="28"/>
      <c r="AB977" s="28"/>
      <c r="AC977" s="28"/>
      <c r="AD977" s="28"/>
    </row>
    <row r="978" ht="30.0" customHeight="1">
      <c r="A978" s="488"/>
      <c r="B978" s="582"/>
      <c r="C978" s="256"/>
      <c r="D978" s="582"/>
      <c r="E978" s="488"/>
      <c r="F978" s="258"/>
      <c r="G978" s="173"/>
      <c r="H978" s="173"/>
      <c r="I978" s="576"/>
      <c r="J978" s="580"/>
      <c r="K978" s="569" t="str">
        <f t="shared" si="1"/>
        <v/>
      </c>
      <c r="L978" s="572"/>
      <c r="M978" s="173"/>
      <c r="N978" s="173"/>
      <c r="O978" s="173"/>
      <c r="P978" s="573"/>
      <c r="Q978" s="573"/>
      <c r="R978" s="173"/>
      <c r="S978" s="173"/>
      <c r="T978" s="173"/>
      <c r="U978" s="173"/>
      <c r="V978" s="173"/>
      <c r="W978" s="574"/>
      <c r="X978" s="575"/>
      <c r="Y978" s="28"/>
      <c r="Z978" s="543" t="str">
        <f t="array" ref="Z978">IF(LEN(AC978),lower(concatenate("bosvendor-",'2-Building'!B$4,"-",INDEX(D:D, MATCH(AC978, J:J, 0)),INDEX(E:E, MATCH(AC978, J:J, 0)))),"")</f>
        <v/>
      </c>
      <c r="AA978" s="28"/>
      <c r="AB978" s="28"/>
      <c r="AC978" s="28"/>
      <c r="AD978" s="28"/>
    </row>
    <row r="979" ht="30.0" customHeight="1">
      <c r="A979" s="488"/>
      <c r="B979" s="582"/>
      <c r="C979" s="256"/>
      <c r="D979" s="582"/>
      <c r="E979" s="488"/>
      <c r="F979" s="258"/>
      <c r="G979" s="173"/>
      <c r="H979" s="173"/>
      <c r="I979" s="576"/>
      <c r="J979" s="580"/>
      <c r="K979" s="569" t="str">
        <f t="shared" si="1"/>
        <v/>
      </c>
      <c r="L979" s="572"/>
      <c r="M979" s="173"/>
      <c r="N979" s="173"/>
      <c r="O979" s="173"/>
      <c r="P979" s="573"/>
      <c r="Q979" s="573"/>
      <c r="R979" s="173"/>
      <c r="S979" s="173"/>
      <c r="T979" s="173"/>
      <c r="U979" s="173"/>
      <c r="V979" s="173"/>
      <c r="W979" s="574"/>
      <c r="X979" s="575"/>
      <c r="Y979" s="28"/>
      <c r="Z979" s="543" t="str">
        <f t="array" ref="Z979">IF(LEN(AC979),lower(concatenate("bosvendor-",'2-Building'!B$4,"-",INDEX(D:D, MATCH(AC979, J:J, 0)),INDEX(E:E, MATCH(AC979, J:J, 0)))),"")</f>
        <v/>
      </c>
      <c r="AA979" s="28"/>
      <c r="AB979" s="28"/>
      <c r="AC979" s="28"/>
      <c r="AD979" s="28"/>
    </row>
    <row r="980" ht="30.0" customHeight="1">
      <c r="A980" s="488"/>
      <c r="B980" s="582"/>
      <c r="C980" s="256"/>
      <c r="D980" s="582"/>
      <c r="E980" s="488"/>
      <c r="F980" s="258"/>
      <c r="G980" s="173"/>
      <c r="H980" s="173"/>
      <c r="I980" s="576"/>
      <c r="J980" s="580"/>
      <c r="K980" s="569" t="str">
        <f t="shared" si="1"/>
        <v/>
      </c>
      <c r="L980" s="572"/>
      <c r="M980" s="173"/>
      <c r="N980" s="173"/>
      <c r="O980" s="173"/>
      <c r="P980" s="573"/>
      <c r="Q980" s="573"/>
      <c r="R980" s="173"/>
      <c r="S980" s="173"/>
      <c r="T980" s="173"/>
      <c r="U980" s="173"/>
      <c r="V980" s="173"/>
      <c r="W980" s="574"/>
      <c r="X980" s="575"/>
      <c r="Y980" s="28"/>
      <c r="Z980" s="543" t="str">
        <f t="array" ref="Z980">IF(LEN(AC980),lower(concatenate("bosvendor-",'2-Building'!B$4,"-",INDEX(D:D, MATCH(AC980, J:J, 0)),INDEX(E:E, MATCH(AC980, J:J, 0)))),"")</f>
        <v/>
      </c>
      <c r="AA980" s="28"/>
      <c r="AB980" s="28"/>
      <c r="AC980" s="28"/>
      <c r="AD980" s="28"/>
    </row>
    <row r="981" ht="30.0" customHeight="1">
      <c r="A981" s="488"/>
      <c r="B981" s="582"/>
      <c r="C981" s="256"/>
      <c r="D981" s="582"/>
      <c r="E981" s="488"/>
      <c r="F981" s="258"/>
      <c r="G981" s="173"/>
      <c r="H981" s="173"/>
      <c r="I981" s="576"/>
      <c r="J981" s="580"/>
      <c r="K981" s="569" t="str">
        <f t="shared" si="1"/>
        <v/>
      </c>
      <c r="L981" s="572"/>
      <c r="M981" s="173"/>
      <c r="N981" s="173"/>
      <c r="O981" s="173"/>
      <c r="P981" s="573"/>
      <c r="Q981" s="573"/>
      <c r="R981" s="173"/>
      <c r="S981" s="173"/>
      <c r="T981" s="173"/>
      <c r="U981" s="173"/>
      <c r="V981" s="173"/>
      <c r="W981" s="574"/>
      <c r="X981" s="575"/>
      <c r="Y981" s="28"/>
      <c r="Z981" s="543" t="str">
        <f t="array" ref="Z981">IF(LEN(AC981),lower(concatenate("bosvendor-",'2-Building'!B$4,"-",INDEX(D:D, MATCH(AC981, J:J, 0)),INDEX(E:E, MATCH(AC981, J:J, 0)))),"")</f>
        <v/>
      </c>
      <c r="AA981" s="28"/>
      <c r="AB981" s="28"/>
      <c r="AC981" s="28"/>
      <c r="AD981" s="28"/>
    </row>
    <row r="982" ht="30.0" customHeight="1">
      <c r="A982" s="488"/>
      <c r="B982" s="582"/>
      <c r="C982" s="256"/>
      <c r="D982" s="582"/>
      <c r="E982" s="488"/>
      <c r="F982" s="258"/>
      <c r="G982" s="173"/>
      <c r="H982" s="173"/>
      <c r="I982" s="576"/>
      <c r="J982" s="580"/>
      <c r="K982" s="569" t="str">
        <f t="shared" si="1"/>
        <v/>
      </c>
      <c r="L982" s="572"/>
      <c r="M982" s="173"/>
      <c r="N982" s="173"/>
      <c r="O982" s="173"/>
      <c r="P982" s="573"/>
      <c r="Q982" s="573"/>
      <c r="R982" s="173"/>
      <c r="S982" s="173"/>
      <c r="T982" s="173"/>
      <c r="U982" s="173"/>
      <c r="V982" s="173"/>
      <c r="W982" s="574"/>
      <c r="X982" s="575"/>
      <c r="Y982" s="28"/>
      <c r="Z982" s="543" t="str">
        <f t="array" ref="Z982">IF(LEN(AC982),lower(concatenate("bosvendor-",'2-Building'!B$4,"-",INDEX(D:D, MATCH(AC982, J:J, 0)),INDEX(E:E, MATCH(AC982, J:J, 0)))),"")</f>
        <v/>
      </c>
      <c r="AA982" s="28"/>
      <c r="AB982" s="28"/>
      <c r="AC982" s="28"/>
      <c r="AD982" s="28"/>
    </row>
    <row r="983" ht="30.0" customHeight="1">
      <c r="A983" s="488"/>
      <c r="B983" s="582"/>
      <c r="C983" s="256"/>
      <c r="D983" s="582"/>
      <c r="E983" s="488"/>
      <c r="F983" s="258"/>
      <c r="G983" s="173"/>
      <c r="H983" s="173"/>
      <c r="I983" s="576"/>
      <c r="J983" s="580"/>
      <c r="K983" s="569" t="str">
        <f t="shared" si="1"/>
        <v/>
      </c>
      <c r="L983" s="572"/>
      <c r="M983" s="173"/>
      <c r="N983" s="173"/>
      <c r="O983" s="173"/>
      <c r="P983" s="573"/>
      <c r="Q983" s="573"/>
      <c r="R983" s="173"/>
      <c r="S983" s="173"/>
      <c r="T983" s="173"/>
      <c r="U983" s="173"/>
      <c r="V983" s="173"/>
      <c r="W983" s="574"/>
      <c r="X983" s="575"/>
      <c r="Y983" s="28"/>
      <c r="Z983" s="543" t="str">
        <f t="array" ref="Z983">IF(LEN(AC983),lower(concatenate("bosvendor-",'2-Building'!B$4,"-",INDEX(D:D, MATCH(AC983, J:J, 0)),INDEX(E:E, MATCH(AC983, J:J, 0)))),"")</f>
        <v/>
      </c>
      <c r="AA983" s="28"/>
      <c r="AB983" s="28"/>
      <c r="AC983" s="28"/>
      <c r="AD983" s="28"/>
    </row>
    <row r="984" ht="30.0" customHeight="1">
      <c r="A984" s="488"/>
      <c r="B984" s="582"/>
      <c r="C984" s="256"/>
      <c r="D984" s="582"/>
      <c r="E984" s="488"/>
      <c r="F984" s="258"/>
      <c r="G984" s="173"/>
      <c r="H984" s="173"/>
      <c r="I984" s="576"/>
      <c r="J984" s="580"/>
      <c r="K984" s="569" t="str">
        <f t="shared" si="1"/>
        <v/>
      </c>
      <c r="L984" s="572"/>
      <c r="M984" s="173"/>
      <c r="N984" s="173"/>
      <c r="O984" s="173"/>
      <c r="P984" s="573"/>
      <c r="Q984" s="573"/>
      <c r="R984" s="173"/>
      <c r="S984" s="173"/>
      <c r="T984" s="173"/>
      <c r="U984" s="173"/>
      <c r="V984" s="173"/>
      <c r="W984" s="574"/>
      <c r="X984" s="575"/>
      <c r="Y984" s="28"/>
      <c r="Z984" s="543" t="str">
        <f t="array" ref="Z984">IF(LEN(AC984),lower(concatenate("bosvendor-",'2-Building'!B$4,"-",INDEX(D:D, MATCH(AC984, J:J, 0)),INDEX(E:E, MATCH(AC984, J:J, 0)))),"")</f>
        <v/>
      </c>
      <c r="AA984" s="28"/>
      <c r="AB984" s="28"/>
      <c r="AC984" s="28"/>
      <c r="AD984" s="28"/>
    </row>
    <row r="985" ht="30.0" customHeight="1">
      <c r="A985" s="488"/>
      <c r="B985" s="582"/>
      <c r="C985" s="256"/>
      <c r="D985" s="582"/>
      <c r="E985" s="488"/>
      <c r="F985" s="258"/>
      <c r="G985" s="173"/>
      <c r="H985" s="173"/>
      <c r="I985" s="576"/>
      <c r="J985" s="580"/>
      <c r="K985" s="569" t="str">
        <f t="shared" si="1"/>
        <v/>
      </c>
      <c r="L985" s="572"/>
      <c r="M985" s="173"/>
      <c r="N985" s="173"/>
      <c r="O985" s="173"/>
      <c r="P985" s="573"/>
      <c r="Q985" s="573"/>
      <c r="R985" s="173"/>
      <c r="S985" s="173"/>
      <c r="T985" s="173"/>
      <c r="U985" s="173"/>
      <c r="V985" s="173"/>
      <c r="W985" s="574"/>
      <c r="X985" s="575"/>
      <c r="Y985" s="28"/>
      <c r="Z985" s="543" t="str">
        <f t="array" ref="Z985">IF(LEN(AC985),lower(concatenate("bosvendor-",'2-Building'!B$4,"-",INDEX(D:D, MATCH(AC985, J:J, 0)),INDEX(E:E, MATCH(AC985, J:J, 0)))),"")</f>
        <v/>
      </c>
      <c r="AA985" s="28"/>
      <c r="AB985" s="28"/>
      <c r="AC985" s="28"/>
      <c r="AD985" s="28"/>
    </row>
    <row r="986" ht="30.0" customHeight="1">
      <c r="A986" s="488"/>
      <c r="B986" s="582"/>
      <c r="C986" s="256"/>
      <c r="D986" s="582"/>
      <c r="E986" s="488"/>
      <c r="F986" s="258"/>
      <c r="G986" s="173"/>
      <c r="H986" s="173"/>
      <c r="I986" s="576"/>
      <c r="J986" s="580"/>
      <c r="K986" s="569" t="str">
        <f t="shared" si="1"/>
        <v/>
      </c>
      <c r="L986" s="572"/>
      <c r="M986" s="173"/>
      <c r="N986" s="173"/>
      <c r="O986" s="173"/>
      <c r="P986" s="573"/>
      <c r="Q986" s="573"/>
      <c r="R986" s="173"/>
      <c r="S986" s="173"/>
      <c r="T986" s="173"/>
      <c r="U986" s="173"/>
      <c r="V986" s="173"/>
      <c r="W986" s="574"/>
      <c r="X986" s="575"/>
      <c r="Y986" s="28"/>
      <c r="Z986" s="543" t="str">
        <f t="array" ref="Z986">IF(LEN(AC986),lower(concatenate("bosvendor-",'2-Building'!B$4,"-",INDEX(D:D, MATCH(AC986, J:J, 0)),INDEX(E:E, MATCH(AC986, J:J, 0)))),"")</f>
        <v/>
      </c>
      <c r="AA986" s="28"/>
      <c r="AB986" s="28"/>
      <c r="AC986" s="28"/>
      <c r="AD986" s="28"/>
    </row>
    <row r="987" ht="30.0" customHeight="1">
      <c r="A987" s="488"/>
      <c r="B987" s="582"/>
      <c r="C987" s="256"/>
      <c r="D987" s="582"/>
      <c r="E987" s="488"/>
      <c r="F987" s="258"/>
      <c r="G987" s="173"/>
      <c r="H987" s="173"/>
      <c r="I987" s="576"/>
      <c r="J987" s="580"/>
      <c r="K987" s="569" t="str">
        <f t="shared" si="1"/>
        <v/>
      </c>
      <c r="L987" s="572"/>
      <c r="M987" s="173"/>
      <c r="N987" s="173"/>
      <c r="O987" s="173"/>
      <c r="P987" s="573"/>
      <c r="Q987" s="573"/>
      <c r="R987" s="173"/>
      <c r="S987" s="173"/>
      <c r="T987" s="173"/>
      <c r="U987" s="173"/>
      <c r="V987" s="173"/>
      <c r="W987" s="574"/>
      <c r="X987" s="575"/>
      <c r="Y987" s="28"/>
      <c r="Z987" s="543" t="str">
        <f t="array" ref="Z987">IF(LEN(AC987),lower(concatenate("bosvendor-",'2-Building'!B$4,"-",INDEX(D:D, MATCH(AC987, J:J, 0)),INDEX(E:E, MATCH(AC987, J:J, 0)))),"")</f>
        <v/>
      </c>
      <c r="AA987" s="28"/>
      <c r="AB987" s="28"/>
      <c r="AC987" s="28"/>
      <c r="AD987" s="28"/>
    </row>
    <row r="988" ht="30.0" customHeight="1">
      <c r="A988" s="488"/>
      <c r="B988" s="582"/>
      <c r="C988" s="256"/>
      <c r="D988" s="582"/>
      <c r="E988" s="488"/>
      <c r="F988" s="258"/>
      <c r="G988" s="173"/>
      <c r="H988" s="173"/>
      <c r="I988" s="576"/>
      <c r="J988" s="580"/>
      <c r="K988" s="569" t="str">
        <f t="shared" si="1"/>
        <v/>
      </c>
      <c r="L988" s="572"/>
      <c r="M988" s="173"/>
      <c r="N988" s="173"/>
      <c r="O988" s="173"/>
      <c r="P988" s="573"/>
      <c r="Q988" s="573"/>
      <c r="R988" s="173"/>
      <c r="S988" s="173"/>
      <c r="T988" s="173"/>
      <c r="U988" s="173"/>
      <c r="V988" s="173"/>
      <c r="W988" s="574"/>
      <c r="X988" s="575"/>
      <c r="Y988" s="28"/>
      <c r="Z988" s="543" t="str">
        <f t="array" ref="Z988">IF(LEN(AC988),lower(concatenate("bosvendor-",'2-Building'!B$4,"-",INDEX(D:D, MATCH(AC988, J:J, 0)),INDEX(E:E, MATCH(AC988, J:J, 0)))),"")</f>
        <v/>
      </c>
      <c r="AA988" s="28"/>
      <c r="AB988" s="28"/>
      <c r="AC988" s="28"/>
      <c r="AD988" s="28"/>
    </row>
    <row r="989" ht="30.0" customHeight="1">
      <c r="A989" s="488"/>
      <c r="B989" s="582"/>
      <c r="C989" s="256"/>
      <c r="D989" s="582"/>
      <c r="E989" s="488"/>
      <c r="F989" s="258"/>
      <c r="G989" s="173"/>
      <c r="H989" s="173"/>
      <c r="I989" s="576"/>
      <c r="J989" s="580"/>
      <c r="K989" s="569" t="str">
        <f t="shared" si="1"/>
        <v/>
      </c>
      <c r="L989" s="572"/>
      <c r="M989" s="173"/>
      <c r="N989" s="173"/>
      <c r="O989" s="173"/>
      <c r="P989" s="573"/>
      <c r="Q989" s="573"/>
      <c r="R989" s="173"/>
      <c r="S989" s="173"/>
      <c r="T989" s="173"/>
      <c r="U989" s="173"/>
      <c r="V989" s="173"/>
      <c r="W989" s="574"/>
      <c r="X989" s="575"/>
      <c r="Y989" s="28"/>
      <c r="Z989" s="543" t="str">
        <f t="array" ref="Z989">IF(LEN(AC989),lower(concatenate("bosvendor-",'2-Building'!B$4,"-",INDEX(D:D, MATCH(AC989, J:J, 0)),INDEX(E:E, MATCH(AC989, J:J, 0)))),"")</f>
        <v/>
      </c>
      <c r="AA989" s="28"/>
      <c r="AB989" s="28"/>
      <c r="AC989" s="28"/>
      <c r="AD989" s="28"/>
    </row>
    <row r="990" ht="30.0" customHeight="1">
      <c r="A990" s="488"/>
      <c r="B990" s="582"/>
      <c r="C990" s="256"/>
      <c r="D990" s="582"/>
      <c r="E990" s="488"/>
      <c r="F990" s="258"/>
      <c r="G990" s="173"/>
      <c r="H990" s="173"/>
      <c r="I990" s="576"/>
      <c r="J990" s="580"/>
      <c r="K990" s="569" t="str">
        <f t="shared" si="1"/>
        <v/>
      </c>
      <c r="L990" s="572"/>
      <c r="M990" s="173"/>
      <c r="N990" s="173"/>
      <c r="O990" s="173"/>
      <c r="P990" s="573"/>
      <c r="Q990" s="573"/>
      <c r="R990" s="173"/>
      <c r="S990" s="173"/>
      <c r="T990" s="173"/>
      <c r="U990" s="173"/>
      <c r="V990" s="173"/>
      <c r="W990" s="574"/>
      <c r="X990" s="575"/>
      <c r="Y990" s="28"/>
      <c r="Z990" s="543" t="str">
        <f t="array" ref="Z990">IF(LEN(AC990),lower(concatenate("bosvendor-",'2-Building'!B$4,"-",INDEX(D:D, MATCH(AC990, J:J, 0)),INDEX(E:E, MATCH(AC990, J:J, 0)))),"")</f>
        <v/>
      </c>
      <c r="AA990" s="28"/>
      <c r="AB990" s="28"/>
      <c r="AC990" s="28"/>
      <c r="AD990" s="28"/>
    </row>
    <row r="991" ht="30.0" customHeight="1">
      <c r="A991" s="488"/>
      <c r="B991" s="582"/>
      <c r="C991" s="256"/>
      <c r="D991" s="582"/>
      <c r="E991" s="488"/>
      <c r="F991" s="258"/>
      <c r="G991" s="173"/>
      <c r="H991" s="173"/>
      <c r="I991" s="576"/>
      <c r="J991" s="580"/>
      <c r="K991" s="569" t="str">
        <f t="shared" si="1"/>
        <v/>
      </c>
      <c r="L991" s="572"/>
      <c r="M991" s="173"/>
      <c r="N991" s="173"/>
      <c r="O991" s="173"/>
      <c r="P991" s="573"/>
      <c r="Q991" s="573"/>
      <c r="R991" s="173"/>
      <c r="S991" s="173"/>
      <c r="T991" s="173"/>
      <c r="U991" s="173"/>
      <c r="V991" s="173"/>
      <c r="W991" s="574"/>
      <c r="X991" s="575"/>
      <c r="Y991" s="28"/>
      <c r="Z991" s="543" t="str">
        <f t="array" ref="Z991">IF(LEN(AC991),lower(concatenate("bosvendor-",'2-Building'!B$4,"-",INDEX(D:D, MATCH(AC991, J:J, 0)),INDEX(E:E, MATCH(AC991, J:J, 0)))),"")</f>
        <v/>
      </c>
      <c r="AA991" s="28"/>
      <c r="AB991" s="28"/>
      <c r="AC991" s="28"/>
      <c r="AD991" s="28"/>
    </row>
    <row r="992" ht="30.0" customHeight="1">
      <c r="A992" s="488"/>
      <c r="B992" s="582"/>
      <c r="C992" s="256"/>
      <c r="D992" s="582"/>
      <c r="E992" s="488"/>
      <c r="F992" s="258"/>
      <c r="G992" s="173"/>
      <c r="H992" s="173"/>
      <c r="I992" s="576"/>
      <c r="J992" s="580"/>
      <c r="K992" s="569" t="str">
        <f t="shared" si="1"/>
        <v/>
      </c>
      <c r="L992" s="572"/>
      <c r="M992" s="173"/>
      <c r="N992" s="173"/>
      <c r="O992" s="173"/>
      <c r="P992" s="573"/>
      <c r="Q992" s="573"/>
      <c r="R992" s="173"/>
      <c r="S992" s="173"/>
      <c r="T992" s="173"/>
      <c r="U992" s="173"/>
      <c r="V992" s="173"/>
      <c r="W992" s="574"/>
      <c r="X992" s="575"/>
      <c r="Y992" s="28"/>
      <c r="Z992" s="543" t="str">
        <f t="array" ref="Z992">IF(LEN(AC992),lower(concatenate("bosvendor-",'2-Building'!B$4,"-",INDEX(D:D, MATCH(AC992, J:J, 0)),INDEX(E:E, MATCH(AC992, J:J, 0)))),"")</f>
        <v/>
      </c>
      <c r="AA992" s="28"/>
      <c r="AB992" s="28"/>
      <c r="AC992" s="28"/>
      <c r="AD992" s="28"/>
    </row>
    <row r="993" ht="30.0" customHeight="1">
      <c r="A993" s="488"/>
      <c r="B993" s="582"/>
      <c r="C993" s="256"/>
      <c r="D993" s="582"/>
      <c r="E993" s="488"/>
      <c r="F993" s="258"/>
      <c r="G993" s="173"/>
      <c r="H993" s="173"/>
      <c r="I993" s="576"/>
      <c r="J993" s="580"/>
      <c r="K993" s="569" t="str">
        <f t="shared" si="1"/>
        <v/>
      </c>
      <c r="L993" s="572"/>
      <c r="M993" s="173"/>
      <c r="N993" s="173"/>
      <c r="O993" s="173"/>
      <c r="P993" s="573"/>
      <c r="Q993" s="573"/>
      <c r="R993" s="173"/>
      <c r="S993" s="173"/>
      <c r="T993" s="173"/>
      <c r="U993" s="173"/>
      <c r="V993" s="173"/>
      <c r="W993" s="574"/>
      <c r="X993" s="575"/>
      <c r="Y993" s="28"/>
      <c r="Z993" s="543" t="str">
        <f t="array" ref="Z993">IF(LEN(AC993),lower(concatenate("bosvendor-",'2-Building'!B$4,"-",INDEX(D:D, MATCH(AC993, J:J, 0)),INDEX(E:E, MATCH(AC993, J:J, 0)))),"")</f>
        <v/>
      </c>
      <c r="AA993" s="28"/>
      <c r="AB993" s="28"/>
      <c r="AC993" s="28"/>
      <c r="AD993" s="28"/>
    </row>
    <row r="994" ht="30.0" customHeight="1">
      <c r="A994" s="488"/>
      <c r="B994" s="582"/>
      <c r="C994" s="256"/>
      <c r="D994" s="582"/>
      <c r="E994" s="488"/>
      <c r="F994" s="258"/>
      <c r="G994" s="173"/>
      <c r="H994" s="173"/>
      <c r="I994" s="576"/>
      <c r="J994" s="580"/>
      <c r="K994" s="569" t="str">
        <f t="shared" si="1"/>
        <v/>
      </c>
      <c r="L994" s="572"/>
      <c r="M994" s="173"/>
      <c r="N994" s="173"/>
      <c r="O994" s="173"/>
      <c r="P994" s="573"/>
      <c r="Q994" s="573"/>
      <c r="R994" s="173"/>
      <c r="S994" s="173"/>
      <c r="T994" s="173"/>
      <c r="U994" s="173"/>
      <c r="V994" s="173"/>
      <c r="W994" s="574"/>
      <c r="X994" s="575"/>
      <c r="Y994" s="28"/>
      <c r="Z994" s="543" t="str">
        <f t="array" ref="Z994">IF(LEN(AC994),lower(concatenate("bosvendor-",'2-Building'!B$4,"-",INDEX(D:D, MATCH(AC994, J:J, 0)),INDEX(E:E, MATCH(AC994, J:J, 0)))),"")</f>
        <v/>
      </c>
      <c r="AA994" s="28"/>
      <c r="AB994" s="28"/>
      <c r="AC994" s="28"/>
      <c r="AD994" s="28"/>
    </row>
    <row r="995" ht="30.0" customHeight="1">
      <c r="A995" s="488"/>
      <c r="B995" s="582"/>
      <c r="C995" s="256"/>
      <c r="D995" s="582"/>
      <c r="E995" s="488"/>
      <c r="F995" s="258"/>
      <c r="G995" s="173"/>
      <c r="H995" s="173"/>
      <c r="I995" s="576"/>
      <c r="J995" s="580"/>
      <c r="K995" s="569" t="str">
        <f t="shared" si="1"/>
        <v/>
      </c>
      <c r="L995" s="572"/>
      <c r="M995" s="173"/>
      <c r="N995" s="173"/>
      <c r="O995" s="173"/>
      <c r="P995" s="573"/>
      <c r="Q995" s="573"/>
      <c r="R995" s="173"/>
      <c r="S995" s="173"/>
      <c r="T995" s="173"/>
      <c r="U995" s="173"/>
      <c r="V995" s="173"/>
      <c r="W995" s="574"/>
      <c r="X995" s="575"/>
      <c r="Y995" s="28"/>
      <c r="Z995" s="543" t="str">
        <f t="array" ref="Z995">IF(LEN(AC995),lower(concatenate("bosvendor-",'2-Building'!B$4,"-",INDEX(D:D, MATCH(AC995, J:J, 0)),INDEX(E:E, MATCH(AC995, J:J, 0)))),"")</f>
        <v/>
      </c>
      <c r="AA995" s="28"/>
      <c r="AB995" s="28"/>
      <c r="AC995" s="28"/>
      <c r="AD995" s="28"/>
    </row>
    <row r="996" ht="30.0" customHeight="1">
      <c r="A996" s="488"/>
      <c r="B996" s="582"/>
      <c r="C996" s="256"/>
      <c r="D996" s="582"/>
      <c r="E996" s="488"/>
      <c r="F996" s="258"/>
      <c r="G996" s="173"/>
      <c r="H996" s="173"/>
      <c r="I996" s="576"/>
      <c r="J996" s="580"/>
      <c r="K996" s="569" t="str">
        <f t="shared" si="1"/>
        <v/>
      </c>
      <c r="L996" s="572"/>
      <c r="M996" s="173"/>
      <c r="N996" s="173"/>
      <c r="O996" s="173"/>
      <c r="P996" s="573"/>
      <c r="Q996" s="573"/>
      <c r="R996" s="173"/>
      <c r="S996" s="173"/>
      <c r="T996" s="173"/>
      <c r="U996" s="173"/>
      <c r="V996" s="173"/>
      <c r="W996" s="574"/>
      <c r="X996" s="575"/>
      <c r="Y996" s="28"/>
      <c r="Z996" s="543" t="str">
        <f t="array" ref="Z996">IF(LEN(AC996),lower(concatenate("bosvendor-",'2-Building'!B$4,"-",INDEX(D:D, MATCH(AC996, J:J, 0)),INDEX(E:E, MATCH(AC996, J:J, 0)))),"")</f>
        <v/>
      </c>
      <c r="AA996" s="28"/>
      <c r="AB996" s="28"/>
      <c r="AC996" s="28"/>
      <c r="AD996" s="28"/>
    </row>
    <row r="997" ht="30.0" customHeight="1">
      <c r="A997" s="488"/>
      <c r="B997" s="582"/>
      <c r="C997" s="256"/>
      <c r="D997" s="582"/>
      <c r="E997" s="488"/>
      <c r="F997" s="258"/>
      <c r="G997" s="173"/>
      <c r="H997" s="173"/>
      <c r="I997" s="576"/>
      <c r="J997" s="580"/>
      <c r="K997" s="569" t="str">
        <f t="shared" si="1"/>
        <v/>
      </c>
      <c r="L997" s="572"/>
      <c r="M997" s="173"/>
      <c r="N997" s="173"/>
      <c r="O997" s="173"/>
      <c r="P997" s="573"/>
      <c r="Q997" s="573"/>
      <c r="R997" s="173"/>
      <c r="S997" s="173"/>
      <c r="T997" s="173"/>
      <c r="U997" s="173"/>
      <c r="V997" s="173"/>
      <c r="W997" s="574"/>
      <c r="X997" s="575"/>
      <c r="Y997" s="28"/>
      <c r="Z997" s="543" t="str">
        <f t="array" ref="Z997">IF(LEN(AC997),lower(concatenate("bosvendor-",'2-Building'!B$4,"-",INDEX(D:D, MATCH(AC997, J:J, 0)),INDEX(E:E, MATCH(AC997, J:J, 0)))),"")</f>
        <v/>
      </c>
      <c r="AA997" s="28"/>
      <c r="AB997" s="28"/>
      <c r="AC997" s="28"/>
      <c r="AD997" s="28"/>
    </row>
    <row r="998" ht="30.0" customHeight="1">
      <c r="A998" s="488"/>
      <c r="B998" s="582"/>
      <c r="C998" s="256"/>
      <c r="D998" s="582"/>
      <c r="E998" s="488"/>
      <c r="F998" s="258"/>
      <c r="G998" s="173"/>
      <c r="H998" s="173"/>
      <c r="I998" s="576"/>
      <c r="J998" s="580"/>
      <c r="K998" s="569" t="str">
        <f t="shared" si="1"/>
        <v/>
      </c>
      <c r="L998" s="572"/>
      <c r="M998" s="173"/>
      <c r="N998" s="173"/>
      <c r="O998" s="173"/>
      <c r="P998" s="573"/>
      <c r="Q998" s="573"/>
      <c r="R998" s="173"/>
      <c r="S998" s="173"/>
      <c r="T998" s="173"/>
      <c r="U998" s="173"/>
      <c r="V998" s="173"/>
      <c r="W998" s="574"/>
      <c r="X998" s="575"/>
      <c r="Y998" s="28"/>
      <c r="Z998" s="543" t="str">
        <f t="array" ref="Z998">IF(LEN(AC998),lower(concatenate("bosvendor-",'2-Building'!B$4,"-",INDEX(D:D, MATCH(AC998, J:J, 0)),INDEX(E:E, MATCH(AC998, J:J, 0)))),"")</f>
        <v/>
      </c>
      <c r="AA998" s="28"/>
      <c r="AB998" s="28"/>
      <c r="AC998" s="28"/>
      <c r="AD998" s="28"/>
    </row>
    <row r="999" ht="30.0" customHeight="1">
      <c r="A999" s="488"/>
      <c r="B999" s="582"/>
      <c r="C999" s="256"/>
      <c r="D999" s="582"/>
      <c r="E999" s="488"/>
      <c r="F999" s="258"/>
      <c r="G999" s="173"/>
      <c r="H999" s="173"/>
      <c r="I999" s="576"/>
      <c r="J999" s="580"/>
      <c r="K999" s="569" t="str">
        <f t="shared" si="1"/>
        <v/>
      </c>
      <c r="L999" s="572"/>
      <c r="M999" s="173"/>
      <c r="N999" s="173"/>
      <c r="O999" s="173"/>
      <c r="P999" s="573"/>
      <c r="Q999" s="573"/>
      <c r="R999" s="173"/>
      <c r="S999" s="173"/>
      <c r="T999" s="173"/>
      <c r="U999" s="173"/>
      <c r="V999" s="173"/>
      <c r="W999" s="574"/>
      <c r="X999" s="575"/>
      <c r="Y999" s="28"/>
      <c r="Z999" s="543" t="str">
        <f t="array" ref="Z999">IF(LEN(AC999),lower(concatenate("bosvendor-",'2-Building'!B$4,"-",INDEX(D:D, MATCH(AC999, J:J, 0)),INDEX(E:E, MATCH(AC999, J:J, 0)))),"")</f>
        <v/>
      </c>
      <c r="AA999" s="28"/>
      <c r="AB999" s="28"/>
      <c r="AC999" s="28"/>
      <c r="AD999" s="28"/>
    </row>
    <row r="1000" ht="30.0" customHeight="1">
      <c r="A1000" s="488"/>
      <c r="B1000" s="582"/>
      <c r="C1000" s="256"/>
      <c r="D1000" s="582"/>
      <c r="E1000" s="488"/>
      <c r="F1000" s="258"/>
      <c r="G1000" s="173"/>
      <c r="H1000" s="173"/>
      <c r="I1000" s="576"/>
      <c r="J1000" s="580"/>
      <c r="K1000" s="569" t="str">
        <f t="shared" si="1"/>
        <v/>
      </c>
      <c r="L1000" s="572"/>
      <c r="M1000" s="173"/>
      <c r="N1000" s="173"/>
      <c r="O1000" s="173"/>
      <c r="P1000" s="573"/>
      <c r="Q1000" s="573"/>
      <c r="R1000" s="173"/>
      <c r="S1000" s="173"/>
      <c r="T1000" s="173"/>
      <c r="U1000" s="173"/>
      <c r="V1000" s="173"/>
      <c r="W1000" s="574"/>
      <c r="X1000" s="575"/>
      <c r="Y1000" s="28"/>
      <c r="Z1000" s="543" t="str">
        <f t="array" ref="Z1000">IF(LEN(AC1000),lower(concatenate("bosvendor-",'2-Building'!B$4,"-",INDEX(D:D, MATCH(AC1000, J:J, 0)),INDEX(E:E, MATCH(AC1000, J:J, 0)))),"")</f>
        <v/>
      </c>
      <c r="AA1000" s="28"/>
      <c r="AB1000" s="28"/>
      <c r="AC1000" s="28"/>
      <c r="AD1000" s="28"/>
    </row>
  </sheetData>
  <autoFilter ref="$A$4:$AD$99"/>
  <mergeCells count="8">
    <mergeCell ref="B1:H1"/>
    <mergeCell ref="J1:K1"/>
    <mergeCell ref="L1:P1"/>
    <mergeCell ref="Q1:W1"/>
    <mergeCell ref="B2:H2"/>
    <mergeCell ref="L2:N2"/>
    <mergeCell ref="O2:P2"/>
    <mergeCell ref="Q2:W2"/>
  </mergeCells>
  <conditionalFormatting sqref="B5:W1000">
    <cfRule type="containsBlanks" dxfId="0" priority="1">
      <formula>LEN(TRIM(B5))=0</formula>
    </cfRule>
  </conditionalFormatting>
  <conditionalFormatting sqref="J5:L1000 O5:O1000">
    <cfRule type="expression" dxfId="6" priority="2">
      <formula>AND(countif(J:J,J5)&gt;1,J5&lt;&gt;"N/A")</formula>
    </cfRule>
  </conditionalFormatting>
  <conditionalFormatting sqref="J5:J1000">
    <cfRule type="expression" dxfId="8" priority="3">
      <formula>NOT(OR(AND(ISNUMBER(SUMPRODUCT(FIND(MID(J5,ROW(INDIRECT("1:"&amp;LEN(J5))),1),":0123456789abcdefABCDEF"))),LEN(J5)=17,ISNUMBER(FIND(":",MID(J5,3,1))),ISNUMBER(FIND(":",MID(J5,6,1))),ISNUMBER(FIND(":",MID(J5,9,1))),ISNUMBER(FIND(":",MID(J5,12,1))),ISNUMBER(FIND(":",MID(J5,15,1)))),J5="N/A",J5="Not Verified"))</formula>
    </cfRule>
  </conditionalFormatting>
  <dataValidations>
    <dataValidation type="list" allowBlank="1" sqref="B5 B7:B1000">
      <formula1>'12-VLook'!$C$2:$C$500</formula1>
    </dataValidation>
    <dataValidation type="custom" allowBlank="1" showDropDown="1" showInputMessage="1" showErrorMessage="1" prompt="Enter MAC address in xx:xx:xx:xx:xx:xx format Or Not Verified." sqref="J5:J1000">
      <formula1>OR(AND(ISNUMBER(SUMPRODUCT(FIND(MID(J5,ROW(INDIRECT("1:"&amp;LEN(J5))),1),":0123456789abcdefABCDEF"))),LEN(J5)=17,ISNUMBER(FIND(":",MID(J5,3,1))),ISNUMBER(FIND(":",MID(J5,6,1))),ISNUMBER(FIND(":",MID(J5,9,1))),ISNUMBER(FIND(":",MID(J5,12,1))),ISNUMBER(FIND(":",MID(J5,15,1)))),J5="N/A",J5="Not Verified")</formula1>
    </dataValidation>
    <dataValidation type="list" allowBlank="1" sqref="AB5:AB19">
      <formula1>'12-VLook'!$N$2:$N$508</formula1>
    </dataValidation>
    <dataValidation type="custom" allowBlank="1" showDropDown="1" sqref="Q5:W1000">
      <formula1>OR(NOT(ISERROR(DATEVALUE(Q5))), AND(ISNUMBER(Q5), LEFT(CELL("format", Q5))="D"))</formula1>
    </dataValidation>
    <dataValidation type="list" allowBlank="1" sqref="F5:F1000">
      <formula1>'12-VLook'!$K$2:$K$200</formula1>
    </dataValidation>
    <dataValidation type="custom" allowBlank="1" showDropDown="1" showInputMessage="1" showErrorMessage="1" prompt="Please enter valid IP address" sqref="L5:P1000">
      <formula1>OR(AND((LEN(L5)-LEN(SUBSTITUTE(L5,".","")))=3,ISNUMBER(SUBSTITUTE(L5,".","")+0)),L5="N/A",L5="Not Verified")</formula1>
    </dataValidation>
    <dataValidation type="list" allowBlank="1" showErrorMessage="1" sqref="B6">
      <formula1>'12-VLook'!$C$2:$C$500</formula1>
    </dataValidation>
    <dataValidation type="list" allowBlank="1" sqref="D5:D1000">
      <formula1>'12-VLook'!$D$2:$D$500</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6.43"/>
    <col customWidth="1" min="6" max="6" width="55.0"/>
    <col customWidth="1" min="7" max="16" width="46.43"/>
  </cols>
  <sheetData>
    <row r="1" ht="30.0" customHeight="1">
      <c r="A1" s="583" t="str">
        <f>IFERROR(__xludf.DUMMYFUNCTION("importrange(""https://docs.google.com/spreadsheets/d/1w2T9TQY-WQO1DiuR4Tv9RcBN1Wn2Ehb7S-vjTu9zRaM/edit#gid=1567675851"",""VLook!A1:N"")"),"Communication Type")</f>
        <v>Communication Type</v>
      </c>
      <c r="B1" s="583" t="str">
        <f>IFERROR(__xludf.DUMMYFUNCTION("""COMPUTED_VALUE"""),"Protocol")</f>
        <v>Protocol</v>
      </c>
      <c r="C1" s="583" t="str">
        <f>IFERROR(__xludf.DUMMYFUNCTION("""COMPUTED_VALUE"""),"System")</f>
        <v>System</v>
      </c>
      <c r="D1" s="583" t="str">
        <f>IFERROR(__xludf.DUMMYFUNCTION("""COMPUTED_VALUE"""),"Manufacturer")</f>
        <v>Manufacturer</v>
      </c>
      <c r="E1" s="583" t="str">
        <f>IFERROR(__xludf.DUMMYFUNCTION("""COMPUTED_VALUE"""),"Manufacturer from LBAM")</f>
        <v>Manufacturer from LBAM</v>
      </c>
      <c r="F1" s="583" t="str">
        <f>IFERROR(__xludf.DUMMYFUNCTION("""COMPUTED_VALUE"""),"Model from LBAM")</f>
        <v>Model from LBAM</v>
      </c>
      <c r="G1" s="583" t="str">
        <f>IFERROR(__xludf.DUMMYFUNCTION("""COMPUTED_VALUE"""),"Switch Type")</f>
        <v>Switch Type</v>
      </c>
      <c r="H1" s="583" t="str">
        <f>IFERROR(__xludf.DUMMYFUNCTION("""COMPUTED_VALUE"""),"Device Risk Level")</f>
        <v>Device Risk Level</v>
      </c>
      <c r="I1" s="583" t="str">
        <f>IFERROR(__xludf.DUMMYFUNCTION("""COMPUTED_VALUE"""),"Qualified/Approved ")</f>
        <v>Qualified/Approved </v>
      </c>
      <c r="J1" s="584" t="str">
        <f>IFERROR(__xludf.DUMMYFUNCTION("""COMPUTED_VALUE"""),"Asset Type Abbreviation")</f>
        <v>Asset Type Abbreviation</v>
      </c>
      <c r="K1" s="585" t="str">
        <f>IFERROR(__xludf.DUMMYFUNCTION("""COMPUTED_VALUE"""),"Floor Number")</f>
        <v>Floor Number</v>
      </c>
      <c r="L1" s="584" t="str">
        <f>IFERROR(__xludf.DUMMYFUNCTION("""COMPUTED_VALUE"""),"Network Speed")</f>
        <v>Network Speed</v>
      </c>
      <c r="M1" s="583" t="str">
        <f>IFERROR(__xludf.DUMMYFUNCTION("""COMPUTED_VALUE"""),"Network Switch Manufacturer")</f>
        <v>Network Switch Manufacturer</v>
      </c>
      <c r="N1" s="583" t="str">
        <f>IFERROR(__xludf.DUMMYFUNCTION("""COMPUTED_VALUE"""),"Corphosting device type lookup")</f>
        <v>Corphosting device type lookup</v>
      </c>
      <c r="O1" s="583" t="s">
        <v>11233</v>
      </c>
      <c r="P1" s="583" t="s">
        <v>11234</v>
      </c>
    </row>
    <row r="2">
      <c r="A2" s="586" t="str">
        <f>IFERROR(__xludf.DUMMYFUNCTION("""COMPUTED_VALUE"""),"N/A")</f>
        <v>N/A</v>
      </c>
      <c r="B2" s="586" t="str">
        <f>IFERROR(__xludf.DUMMYFUNCTION("""COMPUTED_VALUE"""),"Arc-Net")</f>
        <v>Arc-Net</v>
      </c>
      <c r="C2" s="490" t="str">
        <f>IFERROR(__xludf.DUMMYFUNCTION("""COMPUTED_VALUE"""),"Access Control System")</f>
        <v>Access Control System</v>
      </c>
      <c r="D2" s="587" t="str">
        <f>IFERROR(__xludf.DUMMYFUNCTION("""COMPUTED_VALUE"""),"")</f>
        <v/>
      </c>
      <c r="E2" s="587" t="str">
        <f>IFERROR(__xludf.DUMMYFUNCTION("""COMPUTED_VALUE"""),"")</f>
        <v/>
      </c>
      <c r="F2" s="587" t="str">
        <f>IFERROR(__xludf.DUMMYFUNCTION("""COMPUTED_VALUE"""),"104TX")</f>
        <v>104TX</v>
      </c>
      <c r="G2" s="586" t="str">
        <f>IFERROR(__xludf.DUMMYFUNCTION("""COMPUTED_VALUE"""),"Firewall")</f>
        <v>Firewall</v>
      </c>
      <c r="H2" s="586" t="str">
        <f>IFERROR(__xludf.DUMMYFUNCTION("""COMPUTED_VALUE"""),"P0")</f>
        <v>P0</v>
      </c>
      <c r="I2" s="490" t="str">
        <f>IFERROR(__xludf.DUMMYFUNCTION("""COMPUTED_VALUE"""),"No")</f>
        <v>No</v>
      </c>
      <c r="J2" s="588" t="str">
        <f>IFERROR(__xludf.DUMMYFUNCTION("""COMPUTED_VALUE"""),"AAV")</f>
        <v>AAV</v>
      </c>
      <c r="K2" s="589" t="str">
        <f>IFERROR(__xludf.DUMMYFUNCTION("""COMPUTED_VALUE"""),"Not Verified")</f>
        <v>Not Verified</v>
      </c>
      <c r="L2" s="590" t="str">
        <f>IFERROR(__xludf.DUMMYFUNCTION("""COMPUTED_VALUE"""),"10Mb Half Duplex")</f>
        <v>10Mb Half Duplex</v>
      </c>
      <c r="M2" s="591" t="str">
        <f>IFERROR(__xludf.DUMMYFUNCTION("""COMPUTED_VALUE"""),"")</f>
        <v/>
      </c>
      <c r="N2" s="586" t="str">
        <f>IFERROR(__xludf.DUMMYFUNCTION("""COMPUTED_VALUE"""),"bos_acuity_nlightsep")</f>
        <v>bos_acuity_nlightsep</v>
      </c>
      <c r="O2" s="592" t="str">
        <f t="array" ref="O2:O30">SORT(unique('4-All Devices'!BG5:BG3882))</f>
        <v>-</v>
      </c>
      <c r="P2" s="586" t="s">
        <v>245</v>
      </c>
    </row>
    <row r="3">
      <c r="A3" s="586" t="str">
        <f>IFERROR(__xludf.DUMMYFUNCTION("""COMPUTED_VALUE"""),"Standalone")</f>
        <v>Standalone</v>
      </c>
      <c r="B3" s="490" t="str">
        <f>IFERROR(__xludf.DUMMYFUNCTION("""COMPUTED_VALUE"""),"BACnet Ethernet")</f>
        <v>BACnet Ethernet</v>
      </c>
      <c r="C3" s="490" t="str">
        <f>IFERROR(__xludf.DUMMYFUNCTION("""COMPUTED_VALUE"""),"Appliances")</f>
        <v>Appliances</v>
      </c>
      <c r="D3" s="593" t="str">
        <f>IFERROR(__xludf.DUMMYFUNCTION("""COMPUTED_VALUE"""),"2N")</f>
        <v>2N</v>
      </c>
      <c r="E3" s="587" t="str">
        <f>IFERROR(__xludf.DUMMYFUNCTION("""COMPUTED_VALUE"""),"")</f>
        <v/>
      </c>
      <c r="F3" s="587" t="str">
        <f>IFERROR(__xludf.DUMMYFUNCTION("""COMPUTED_VALUE"""),"710FX2")</f>
        <v>710FX2</v>
      </c>
      <c r="G3" s="586" t="str">
        <f>IFERROR(__xludf.DUMMYFUNCTION("""COMPUTED_VALUE"""),"Fully Managed Switch")</f>
        <v>Fully Managed Switch</v>
      </c>
      <c r="H3" s="586" t="str">
        <f>IFERROR(__xludf.DUMMYFUNCTION("""COMPUTED_VALUE"""),"P1")</f>
        <v>P1</v>
      </c>
      <c r="I3" s="586" t="str">
        <f>IFERROR(__xludf.DUMMYFUNCTION("""COMPUTED_VALUE"""),"BOS Qualified")</f>
        <v>BOS Qualified</v>
      </c>
      <c r="J3" s="594" t="str">
        <f>IFERROR(__xludf.DUMMYFUNCTION("""COMPUTED_VALUE"""),"ACP")</f>
        <v>ACP</v>
      </c>
      <c r="K3" s="589" t="str">
        <f>IFERROR(__xludf.DUMMYFUNCTION("""COMPUTED_VALUE"""),"P10")</f>
        <v>P10</v>
      </c>
      <c r="L3" s="594" t="str">
        <f>IFERROR(__xludf.DUMMYFUNCTION("""COMPUTED_VALUE"""),"100Mb Half Duplex")</f>
        <v>100Mb Half Duplex</v>
      </c>
      <c r="M3" s="595" t="str">
        <f>IFERROR(__xludf.DUMMYFUNCTION("""COMPUTED_VALUE"""),"")</f>
        <v/>
      </c>
      <c r="N3" s="586" t="str">
        <f>IFERROR(__xludf.DUMMYFUNCTION("""COMPUTED_VALUE"""),"bos_alc_gw1000")</f>
        <v>bos_alc_gw1000</v>
      </c>
      <c r="O3" s="586" t="s">
        <v>11235</v>
      </c>
      <c r="P3" s="586" t="s">
        <v>11236</v>
      </c>
    </row>
    <row r="4">
      <c r="A4" s="586" t="str">
        <f>IFERROR(__xludf.DUMMYFUNCTION("""COMPUTED_VALUE"""),"BUS (Non-RS485)")</f>
        <v>BUS (Non-RS485)</v>
      </c>
      <c r="B4" s="586" t="str">
        <f>IFERROR(__xludf.DUMMYFUNCTION("""COMPUTED_VALUE"""),"BACnet IP")</f>
        <v>BACnet IP</v>
      </c>
      <c r="C4" s="586" t="str">
        <f>IFERROR(__xludf.DUMMYFUNCTION("""COMPUTED_VALUE"""),"Architecture")</f>
        <v>Architecture</v>
      </c>
      <c r="D4" s="587" t="str">
        <f>IFERROR(__xludf.DUMMYFUNCTION("""COMPUTED_VALUE"""),"3COM")</f>
        <v>3COM</v>
      </c>
      <c r="E4" s="587" t="str">
        <f>IFERROR(__xludf.DUMMYFUNCTION("""COMPUTED_VALUE"""),"")</f>
        <v/>
      </c>
      <c r="F4" s="587" t="str">
        <f>IFERROR(__xludf.DUMMYFUNCTION("""COMPUTED_VALUE"""),"712FX4")</f>
        <v>712FX4</v>
      </c>
      <c r="G4" s="586" t="str">
        <f>IFERROR(__xludf.DUMMYFUNCTION("""COMPUTED_VALUE"""),"Hub")</f>
        <v>Hub</v>
      </c>
      <c r="H4" s="586" t="str">
        <f>IFERROR(__xludf.DUMMYFUNCTION("""COMPUTED_VALUE"""),"P2")</f>
        <v>P2</v>
      </c>
      <c r="I4" s="490" t="str">
        <f>IFERROR(__xludf.DUMMYFUNCTION("""COMPUTED_VALUE"""),"VSA Approved")</f>
        <v>VSA Approved</v>
      </c>
      <c r="J4" s="596" t="str">
        <f>IFERROR(__xludf.DUMMYFUNCTION("""COMPUTED_VALUE"""),"ACT")</f>
        <v>ACT</v>
      </c>
      <c r="K4" s="589" t="str">
        <f>IFERROR(__xludf.DUMMYFUNCTION("""COMPUTED_VALUE"""),"P9")</f>
        <v>P9</v>
      </c>
      <c r="L4" s="590" t="str">
        <f>IFERROR(__xludf.DUMMYFUNCTION("""COMPUTED_VALUE"""),"100Mb Full Duplex")</f>
        <v>100Mb Full Duplex</v>
      </c>
      <c r="M4" s="595" t="str">
        <f>IFERROR(__xludf.DUMMYFUNCTION("""COMPUTED_VALUE"""),"")</f>
        <v/>
      </c>
      <c r="N4" s="595" t="str">
        <f>IFERROR(__xludf.DUMMYFUNCTION("""COMPUTED_VALUE"""),"bos_alc_g5ce")</f>
        <v>bos_alc_g5ce</v>
      </c>
      <c r="O4" s="595" t="s">
        <v>506</v>
      </c>
      <c r="P4" s="595" t="str">
        <f t="array" ref="P4:P3472">Sort(UNIQUE('4-All Devices'!C5:C3882))</f>
        <v>BATT-1</v>
      </c>
    </row>
    <row r="5">
      <c r="A5" s="586" t="str">
        <f>IFERROR(__xludf.DUMMYFUNCTION("""COMPUTED_VALUE"""),"Serial")</f>
        <v>Serial</v>
      </c>
      <c r="B5" s="586" t="str">
        <f>IFERROR(__xludf.DUMMYFUNCTION("""COMPUTED_VALUE"""),"BACnet IP, BACnet MS/TP")</f>
        <v>BACnet IP, BACnet MS/TP</v>
      </c>
      <c r="C5" s="586" t="str">
        <f>IFERROR(__xludf.DUMMYFUNCTION("""COMPUTED_VALUE"""),"AV System")</f>
        <v>AV System</v>
      </c>
      <c r="D5" s="587" t="str">
        <f>IFERROR(__xludf.DUMMYFUNCTION("""COMPUTED_VALUE"""),"3M")</f>
        <v>3M</v>
      </c>
      <c r="E5" s="587" t="str">
        <f>IFERROR(__xludf.DUMMYFUNCTION("""COMPUTED_VALUE"""),"")</f>
        <v/>
      </c>
      <c r="F5" s="587" t="str">
        <f>IFERROR(__xludf.DUMMYFUNCTION("""COMPUTED_VALUE"""),"708TX")</f>
        <v>708TX</v>
      </c>
      <c r="G5" s="586" t="str">
        <f>IFERROR(__xludf.DUMMYFUNCTION("""COMPUTED_VALUE"""),"Modem")</f>
        <v>Modem</v>
      </c>
      <c r="H5" s="586" t="str">
        <f>IFERROR(__xludf.DUMMYFUNCTION("""COMPUTED_VALUE"""),"P3")</f>
        <v>P3</v>
      </c>
      <c r="I5" s="490" t="str">
        <f>IFERROR(__xludf.DUMMYFUNCTION("""COMPUTED_VALUE"""),"BOS and VSA")</f>
        <v>BOS and VSA</v>
      </c>
      <c r="J5" s="596" t="str">
        <f>IFERROR(__xludf.DUMMYFUNCTION("""COMPUTED_VALUE"""),"ACU")</f>
        <v>ACU</v>
      </c>
      <c r="K5" s="597" t="str">
        <f>IFERROR(__xludf.DUMMYFUNCTION("""COMPUTED_VALUE"""),"P8")</f>
        <v>P8</v>
      </c>
      <c r="L5" s="588" t="str">
        <f>IFERROR(__xludf.DUMMYFUNCTION("""COMPUTED_VALUE"""),"10/100 Mb Half/Full Duplex")</f>
        <v>10/100 Mb Half/Full Duplex</v>
      </c>
      <c r="M5" s="490" t="str">
        <f>IFERROR(__xludf.DUMMYFUNCTION("""COMPUTED_VALUE"""),"")</f>
        <v/>
      </c>
      <c r="N5" s="490" t="str">
        <f>IFERROR(__xludf.DUMMYFUNCTION("""COMPUTED_VALUE"""),"bos_alc_g5re")</f>
        <v>bos_alc_g5re</v>
      </c>
      <c r="O5" s="490" t="s">
        <v>509</v>
      </c>
      <c r="P5" s="490" t="s">
        <v>9075</v>
      </c>
    </row>
    <row r="6">
      <c r="A6" s="586" t="str">
        <f>IFERROR(__xludf.DUMMYFUNCTION("""COMPUTED_VALUE"""),"Cellular")</f>
        <v>Cellular</v>
      </c>
      <c r="B6" s="598" t="str">
        <f>IFERROR(__xludf.DUMMYFUNCTION("""COMPUTED_VALUE"""),"BACNet IP, KNX")</f>
        <v>BACNet IP, KNX</v>
      </c>
      <c r="C6" s="586" t="str">
        <f>IFERROR(__xludf.DUMMYFUNCTION("""COMPUTED_VALUE"""),"Building Management System")</f>
        <v>Building Management System</v>
      </c>
      <c r="D6" s="587" t="str">
        <f>IFERROR(__xludf.DUMMYFUNCTION("""COMPUTED_VALUE"""),"AAEON")</f>
        <v>AAEON</v>
      </c>
      <c r="E6" s="587" t="str">
        <f>IFERROR(__xludf.DUMMYFUNCTION("""COMPUTED_VALUE"""),"2N")</f>
        <v>2N</v>
      </c>
      <c r="F6" s="587" t="str">
        <f>IFERROR(__xludf.DUMMYFUNCTION("""COMPUTED_VALUE"""),"EASYGATE PRO")</f>
        <v>EASYGATE PRO</v>
      </c>
      <c r="G6" s="586" t="str">
        <f>IFERROR(__xludf.DUMMYFUNCTION("""COMPUTED_VALUE"""),"Non-POE Switch")</f>
        <v>Non-POE Switch</v>
      </c>
      <c r="H6" s="586" t="str">
        <f>IFERROR(__xludf.DUMMYFUNCTION("""COMPUTED_VALUE"""),"P4")</f>
        <v>P4</v>
      </c>
      <c r="I6" s="490"/>
      <c r="J6" s="594" t="str">
        <f>IFERROR(__xludf.DUMMYFUNCTION("""COMPUTED_VALUE"""),"ADY")</f>
        <v>ADY</v>
      </c>
      <c r="K6" s="597" t="str">
        <f>IFERROR(__xludf.DUMMYFUNCTION("""COMPUTED_VALUE"""),"P7")</f>
        <v>P7</v>
      </c>
      <c r="L6" s="588" t="str">
        <f>IFERROR(__xludf.DUMMYFUNCTION("""COMPUTED_VALUE"""),"10/100/1000Mb")</f>
        <v>10/100/1000Mb</v>
      </c>
      <c r="M6" s="490" t="str">
        <f>IFERROR(__xludf.DUMMYFUNCTION("""COMPUTED_VALUE"""),"2N")</f>
        <v>2N</v>
      </c>
      <c r="N6" s="490" t="str">
        <f>IFERROR(__xludf.DUMMYFUNCTION("""COMPUTED_VALUE"""),"bos_alc_of028nr")</f>
        <v>bos_alc_of028nr</v>
      </c>
      <c r="O6" s="490" t="s">
        <v>520</v>
      </c>
      <c r="P6" s="490" t="s">
        <v>9077</v>
      </c>
    </row>
    <row r="7">
      <c r="A7" s="586" t="str">
        <f>IFERROR(__xludf.DUMMYFUNCTION("""COMPUTED_VALUE"""),"Wireless (Non-IP)")</f>
        <v>Wireless (Non-IP)</v>
      </c>
      <c r="B7" s="599" t="str">
        <f>IFERROR(__xludf.DUMMYFUNCTION("""COMPUTED_VALUE"""),"Wireless (Non-IP)")</f>
        <v>Wireless (Non-IP)</v>
      </c>
      <c r="C7" s="490" t="str">
        <f>IFERROR(__xludf.DUMMYFUNCTION("""COMPUTED_VALUE"""),"Car Parking System")</f>
        <v>Car Parking System</v>
      </c>
      <c r="D7" s="593" t="str">
        <f>IFERROR(__xludf.DUMMYFUNCTION("""COMPUTED_VALUE"""),"ABB")</f>
        <v>ABB</v>
      </c>
      <c r="E7" s="587" t="str">
        <f>IFERROR(__xludf.DUMMYFUNCTION("""COMPUTED_VALUE"""),"3COM")</f>
        <v>3COM</v>
      </c>
      <c r="F7" s="587" t="str">
        <f>IFERROR(__xludf.DUMMYFUNCTION("""COMPUTED_VALUE"""),"CFSU05")</f>
        <v>CFSU05</v>
      </c>
      <c r="G7" s="586" t="str">
        <f>IFERROR(__xludf.DUMMYFUNCTION("""COMPUTED_VALUE"""),"POE Switch")</f>
        <v>POE Switch</v>
      </c>
      <c r="H7" s="586" t="str">
        <f>IFERROR(__xludf.DUMMYFUNCTION("""COMPUTED_VALUE"""),"P5")</f>
        <v>P5</v>
      </c>
      <c r="I7" s="490"/>
      <c r="J7" s="594" t="str">
        <f>IFERROR(__xludf.DUMMYFUNCTION("""COMPUTED_VALUE"""),"AHU")</f>
        <v>AHU</v>
      </c>
      <c r="K7" s="597" t="str">
        <f>IFERROR(__xludf.DUMMYFUNCTION("""COMPUTED_VALUE"""),"P6")</f>
        <v>P6</v>
      </c>
      <c r="L7" s="588" t="str">
        <f>IFERROR(__xludf.DUMMYFUNCTION("""COMPUTED_VALUE"""),"802.11 Up to 2Mb")</f>
        <v>802.11 Up to 2Mb</v>
      </c>
      <c r="M7" s="490" t="str">
        <f>IFERROR(__xludf.DUMMYFUNCTION("""COMPUTED_VALUE"""),"3COM")</f>
        <v>3COM</v>
      </c>
      <c r="N7" s="490" t="str">
        <f>IFERROR(__xludf.DUMMYFUNCTION("""COMPUTED_VALUE"""),"bos_alc_of141e2")</f>
        <v>bos_alc_of141e2</v>
      </c>
      <c r="O7" s="490" t="s">
        <v>521</v>
      </c>
      <c r="P7" s="490" t="s">
        <v>9079</v>
      </c>
    </row>
    <row r="8">
      <c r="A8" s="586" t="str">
        <f>IFERROR(__xludf.DUMMYFUNCTION("""COMPUTED_VALUE"""),"IP (Wired GEN BOS-IoT)")</f>
        <v>IP (Wired GEN BOS-IoT)</v>
      </c>
      <c r="B8" s="490" t="str">
        <f>IFERROR(__xludf.DUMMYFUNCTION("""COMPUTED_VALUE"""),"BACnet IP, LON, Modbus RTU")</f>
        <v>BACnet IP, LON, Modbus RTU</v>
      </c>
      <c r="C8" s="490" t="str">
        <f>IFERROR(__xludf.DUMMYFUNCTION("""COMPUTED_VALUE"""),"Digital Signage System")</f>
        <v>Digital Signage System</v>
      </c>
      <c r="D8" s="600" t="str">
        <f>IFERROR(__xludf.DUMMYFUNCTION("""COMPUTED_VALUE"""),"ACCLAIM")</f>
        <v>ACCLAIM</v>
      </c>
      <c r="E8" s="587" t="str">
        <f>IFERROR(__xludf.DUMMYFUNCTION("""COMPUTED_VALUE"""),"3M")</f>
        <v>3M</v>
      </c>
      <c r="F8" s="587" t="str">
        <f>IFERROR(__xludf.DUMMYFUNCTION("""COMPUTED_VALUE"""),"LLD SERIES")</f>
        <v>LLD SERIES</v>
      </c>
      <c r="G8" s="586" t="str">
        <f>IFERROR(__xludf.DUMMYFUNCTION("""COMPUTED_VALUE"""),"Smart Managed Switch")</f>
        <v>Smart Managed Switch</v>
      </c>
      <c r="H8" s="586"/>
      <c r="I8" s="490"/>
      <c r="J8" s="594" t="str">
        <f>IFERROR(__xludf.DUMMYFUNCTION("""COMPUTED_VALUE"""),"ANT")</f>
        <v>ANT</v>
      </c>
      <c r="K8" s="597" t="str">
        <f>IFERROR(__xludf.DUMMYFUNCTION("""COMPUTED_VALUE"""),"P5")</f>
        <v>P5</v>
      </c>
      <c r="L8" s="588" t="str">
        <f>IFERROR(__xludf.DUMMYFUNCTION("""COMPUTED_VALUE"""),"802.11b Up to 11Mb")</f>
        <v>802.11b Up to 11Mb</v>
      </c>
      <c r="M8" s="490" t="str">
        <f>IFERROR(__xludf.DUMMYFUNCTION("""COMPUTED_VALUE"""),"ADB ITALIA")</f>
        <v>ADB ITALIA</v>
      </c>
      <c r="N8" s="490" t="str">
        <f>IFERROR(__xludf.DUMMYFUNCTION("""COMPUTED_VALUE"""),"bos_alc_of1628")</f>
        <v>bos_alc_of1628</v>
      </c>
      <c r="O8" s="490" t="s">
        <v>11237</v>
      </c>
      <c r="P8" s="490" t="s">
        <v>9081</v>
      </c>
    </row>
    <row r="9">
      <c r="A9" s="586" t="str">
        <f>IFERROR(__xludf.DUMMYFUNCTION("""COMPUTED_VALUE"""),"IP (Wired GEN Infra)")</f>
        <v>IP (Wired GEN Infra)</v>
      </c>
      <c r="B9" s="490" t="str">
        <f>IFERROR(__xludf.DUMMYFUNCTION("""COMPUTED_VALUE"""),"BACnet IP, MBUS")</f>
        <v>BACnet IP, MBUS</v>
      </c>
      <c r="C9" s="490" t="str">
        <f>IFERROR(__xludf.DUMMYFUNCTION("""COMPUTED_VALUE"""),"Domestic Water System")</f>
        <v>Domestic Water System</v>
      </c>
      <c r="D9" s="600" t="str">
        <f>IFERROR(__xludf.DUMMYFUNCTION("""COMPUTED_VALUE"""),"ACCUENERGY")</f>
        <v>ACCUENERGY</v>
      </c>
      <c r="E9" s="587" t="str">
        <f>IFERROR(__xludf.DUMMYFUNCTION("""COMPUTED_VALUE"""),"AAEON")</f>
        <v>AAEON</v>
      </c>
      <c r="F9" s="587" t="str">
        <f>IFERROR(__xludf.DUMMYFUNCTION("""COMPUTED_VALUE"""),"BOXER-6405")</f>
        <v>BOXER-6405</v>
      </c>
      <c r="G9" s="586" t="str">
        <f>IFERROR(__xludf.DUMMYFUNCTION("""COMPUTED_VALUE"""),"Unmanaged Switch")</f>
        <v>Unmanaged Switch</v>
      </c>
      <c r="H9" s="586"/>
      <c r="I9" s="595"/>
      <c r="J9" s="588" t="str">
        <f>IFERROR(__xludf.DUMMYFUNCTION("""COMPUTED_VALUE"""),"AP")</f>
        <v>AP</v>
      </c>
      <c r="K9" s="601" t="str">
        <f>IFERROR(__xludf.DUMMYFUNCTION("""COMPUTED_VALUE"""),"P4")</f>
        <v>P4</v>
      </c>
      <c r="L9" s="590" t="str">
        <f>IFERROR(__xludf.DUMMYFUNCTION("""COMPUTED_VALUE"""),"802.11a Up to 54Mb")</f>
        <v>802.11a Up to 54Mb</v>
      </c>
      <c r="M9" s="595" t="str">
        <f>IFERROR(__xludf.DUMMYFUNCTION("""COMPUTED_VALUE"""),"ADTRAN")</f>
        <v>ADTRAN</v>
      </c>
      <c r="N9" s="595" t="str">
        <f>IFERROR(__xludf.DUMMYFUNCTION("""COMPUTED_VALUE"""),"bos_alc_of1628nr")</f>
        <v>bos_alc_of1628nr</v>
      </c>
      <c r="O9" s="595" t="s">
        <v>531</v>
      </c>
      <c r="P9" s="595" t="s">
        <v>9083</v>
      </c>
    </row>
    <row r="10">
      <c r="A10" s="586" t="str">
        <f>IFERROR(__xludf.DUMMYFUNCTION("""COMPUTED_VALUE"""),"IP (Wired GEN RUNT)")</f>
        <v>IP (Wired GEN RUNT)</v>
      </c>
      <c r="B10" s="490" t="str">
        <f>IFERROR(__xludf.DUMMYFUNCTION("""COMPUTED_VALUE"""),"BACnet IP, Modbus RTU")</f>
        <v>BACnet IP, Modbus RTU</v>
      </c>
      <c r="C10" s="490" t="str">
        <f>IFERROR(__xludf.DUMMYFUNCTION("""COMPUTED_VALUE"""),"Electrical Distribution System")</f>
        <v>Electrical Distribution System</v>
      </c>
      <c r="D10" s="600" t="str">
        <f>IFERROR(__xludf.DUMMYFUNCTION("""COMPUTED_VALUE"""),"ACER")</f>
        <v>ACER</v>
      </c>
      <c r="E10" s="587" t="str">
        <f>IFERROR(__xludf.DUMMYFUNCTION("""COMPUTED_VALUE"""),"ABB")</f>
        <v>ABB</v>
      </c>
      <c r="F10" s="587" t="str">
        <f>IFERROR(__xludf.DUMMYFUNCTION("""COMPUTED_VALUE"""),"IPR/S 2.1")</f>
        <v>IPR/S 2.1</v>
      </c>
      <c r="G10" s="586" t="str">
        <f>IFERROR(__xludf.DUMMYFUNCTION("""COMPUTED_VALUE"""),"Wired Router (GSM)")</f>
        <v>Wired Router (GSM)</v>
      </c>
      <c r="H10" s="586"/>
      <c r="I10" s="490"/>
      <c r="J10" s="588" t="str">
        <f>IFERROR(__xludf.DUMMYFUNCTION("""COMPUTED_VALUE"""),"AS")</f>
        <v>AS</v>
      </c>
      <c r="K10" s="597" t="str">
        <f>IFERROR(__xludf.DUMMYFUNCTION("""COMPUTED_VALUE"""),"P3")</f>
        <v>P3</v>
      </c>
      <c r="L10" s="588" t="str">
        <f>IFERROR(__xludf.DUMMYFUNCTION("""COMPUTED_VALUE"""),"802.11g Up to 54Mb")</f>
        <v>802.11g Up to 54Mb</v>
      </c>
      <c r="M10" s="490" t="str">
        <f>IFERROR(__xludf.DUMMYFUNCTION("""COMPUTED_VALUE"""),"ADVANTECH")</f>
        <v>ADVANTECH</v>
      </c>
      <c r="N10" s="490" t="str">
        <f>IFERROR(__xludf.DUMMYFUNCTION("""COMPUTED_VALUE"""),"bos_alc_of253ae2")</f>
        <v>bos_alc_of253ae2</v>
      </c>
      <c r="O10" s="490" t="s">
        <v>522</v>
      </c>
      <c r="P10" s="490" t="s">
        <v>9046</v>
      </c>
    </row>
    <row r="11">
      <c r="A11" s="586" t="str">
        <f>IFERROR(__xludf.DUMMYFUNCTION("""COMPUTED_VALUE"""),"IP (Wired GEN TEST)")</f>
        <v>IP (Wired GEN TEST)</v>
      </c>
      <c r="B11" s="598" t="str">
        <f>IFERROR(__xludf.DUMMYFUNCTION("""COMPUTED_VALUE"""),"BACnet IP, Modbus TCP")</f>
        <v>BACnet IP, Modbus TCP</v>
      </c>
      <c r="C11" s="586" t="str">
        <f>IFERROR(__xludf.DUMMYFUNCTION("""COMPUTED_VALUE"""),"Electrical Vehicle System")</f>
        <v>Electrical Vehicle System</v>
      </c>
      <c r="D11" s="587" t="str">
        <f>IFERROR(__xludf.DUMMYFUNCTION("""COMPUTED_VALUE"""),"ACQUISUITE")</f>
        <v>ACQUISUITE</v>
      </c>
      <c r="E11" s="587" t="str">
        <f>IFERROR(__xludf.DUMMYFUNCTION("""COMPUTED_VALUE"""),"ABB")</f>
        <v>ABB</v>
      </c>
      <c r="F11" s="587" t="str">
        <f>IFERROR(__xludf.DUMMYFUNCTION("""COMPUTED_VALUE"""),"IPS/S 2.1")</f>
        <v>IPS/S 2.1</v>
      </c>
      <c r="G11" s="586" t="str">
        <f>IFERROR(__xludf.DUMMYFUNCTION("""COMPUTED_VALUE"""),"Wired Router (Non GSM)")</f>
        <v>Wired Router (Non GSM)</v>
      </c>
      <c r="H11" s="586"/>
      <c r="I11" s="490"/>
      <c r="J11" s="594" t="str">
        <f>IFERROR(__xludf.DUMMYFUNCTION("""COMPUTED_VALUE"""),"ASHP")</f>
        <v>ASHP</v>
      </c>
      <c r="K11" s="597" t="str">
        <f>IFERROR(__xludf.DUMMYFUNCTION("""COMPUTED_VALUE"""),"P2")</f>
        <v>P2</v>
      </c>
      <c r="L11" s="588" t="str">
        <f>IFERROR(__xludf.DUMMYFUNCTION("""COMPUTED_VALUE"""),"802.11n Up to 600Mb")</f>
        <v>802.11n Up to 600Mb</v>
      </c>
      <c r="M11" s="490" t="str">
        <f>IFERROR(__xludf.DUMMYFUNCTION("""COMPUTED_VALUE"""),"ADVANTECH")</f>
        <v>ADVANTECH</v>
      </c>
      <c r="N11" s="490" t="str">
        <f>IFERROR(__xludf.DUMMYFUNCTION("""COMPUTED_VALUE"""),"bos_alc_of253te2")</f>
        <v>bos_alc_of253te2</v>
      </c>
      <c r="O11" s="490" t="s">
        <v>523</v>
      </c>
      <c r="P11" s="490" t="s">
        <v>9053</v>
      </c>
    </row>
    <row r="12">
      <c r="A12" s="586" t="str">
        <f>IFERROR(__xludf.DUMMYFUNCTION("""COMPUTED_VALUE"""),"IP (Wired GEN Guest)")</f>
        <v>IP (Wired GEN Guest)</v>
      </c>
      <c r="B12" s="595" t="str">
        <f>IFERROR(__xludf.DUMMYFUNCTION("""COMPUTED_VALUE"""),"BACnet IP, MQTT")</f>
        <v>BACnet IP, MQTT</v>
      </c>
      <c r="C12" s="586" t="str">
        <f>IFERROR(__xludf.DUMMYFUNCTION("""COMPUTED_VALUE"""),"Emergency Lighting System")</f>
        <v>Emergency Lighting System</v>
      </c>
      <c r="D12" s="587" t="str">
        <f>IFERROR(__xludf.DUMMYFUNCTION("""COMPUTED_VALUE"""),"ACUITY BRANDS")</f>
        <v>ACUITY BRANDS</v>
      </c>
      <c r="E12" s="587" t="str">
        <f>IFERROR(__xludf.DUMMYFUNCTION("""COMPUTED_VALUE"""),"ABB")</f>
        <v>ABB</v>
      </c>
      <c r="F12" s="587" t="str">
        <f>IFERROR(__xludf.DUMMYFUNCTION("""COMPUTED_VALUE"""),"PS/S 2.1")</f>
        <v>PS/S 2.1</v>
      </c>
      <c r="G12" s="586" t="str">
        <f>IFERROR(__xludf.DUMMYFUNCTION("""COMPUTED_VALUE"""),"Wireless Router (GSM)")</f>
        <v>Wireless Router (GSM)</v>
      </c>
      <c r="H12" s="586"/>
      <c r="I12" s="490"/>
      <c r="J12" s="588" t="str">
        <f>IFERROR(__xludf.DUMMYFUNCTION("""COMPUTED_VALUE"""),"ATS")</f>
        <v>ATS</v>
      </c>
      <c r="K12" s="597" t="str">
        <f>IFERROR(__xludf.DUMMYFUNCTION("""COMPUTED_VALUE"""),"P1")</f>
        <v>P1</v>
      </c>
      <c r="L12" s="588" t="str">
        <f>IFERROR(__xludf.DUMMYFUNCTION("""COMPUTED_VALUE"""),"N/A")</f>
        <v>N/A</v>
      </c>
      <c r="M12" s="490" t="str">
        <f>IFERROR(__xludf.DUMMYFUNCTION("""COMPUTED_VALUE"""),"ALLIED TELESIS")</f>
        <v>ALLIED TELESIS</v>
      </c>
      <c r="N12" s="490" t="str">
        <f>IFERROR(__xludf.DUMMYFUNCTION("""COMPUTED_VALUE"""),"bos_alc_of342e2")</f>
        <v>bos_alc_of342e2</v>
      </c>
      <c r="O12" s="490" t="s">
        <v>524</v>
      </c>
      <c r="P12" s="490" t="s">
        <v>692</v>
      </c>
    </row>
    <row r="13">
      <c r="A13" s="586" t="str">
        <f>IFERROR(__xludf.DUMMYFUNCTION("""COMPUTED_VALUE"""),"IP (Wired Unmanaged)")</f>
        <v>IP (Wired Unmanaged)</v>
      </c>
      <c r="B13" s="490" t="str">
        <f>IFERROR(__xludf.DUMMYFUNCTION("""COMPUTED_VALUE"""),"BACnet IP, ArcNet")</f>
        <v>BACnet IP, ArcNet</v>
      </c>
      <c r="C13" s="62" t="str">
        <f>IFERROR(__xludf.DUMMYFUNCTION("""COMPUTED_VALUE"""),"Emergency Power System")</f>
        <v>Emergency Power System</v>
      </c>
      <c r="D13" s="600" t="str">
        <f>IFERROR(__xludf.DUMMYFUNCTION("""COMPUTED_VALUE"""),"ACUITY CONTROLS")</f>
        <v>ACUITY CONTROLS</v>
      </c>
      <c r="E13" s="587" t="str">
        <f>IFERROR(__xludf.DUMMYFUNCTION("""COMPUTED_VALUE"""),"ABB")</f>
        <v>ABB</v>
      </c>
      <c r="F13" s="587" t="str">
        <f>IFERROR(__xludf.DUMMYFUNCTION("""COMPUTED_VALUE"""),"IPS/S3.1.1")</f>
        <v>IPS/S3.1.1</v>
      </c>
      <c r="G13" s="586" t="str">
        <f>IFERROR(__xludf.DUMMYFUNCTION("""COMPUTED_VALUE"""),"Wireless Router (Non GSM)")</f>
        <v>Wireless Router (Non GSM)</v>
      </c>
      <c r="H13" s="586"/>
      <c r="I13" s="490"/>
      <c r="J13" s="594" t="str">
        <f>IFERROR(__xludf.DUMMYFUNCTION("""COMPUTED_VALUE"""),"AV")</f>
        <v>AV</v>
      </c>
      <c r="K13" s="597" t="str">
        <f>IFERROR(__xludf.DUMMYFUNCTION("""COMPUTED_VALUE"""),"P0")</f>
        <v>P0</v>
      </c>
      <c r="L13" s="588" t="str">
        <f>IFERROR(__xludf.DUMMYFUNCTION("""COMPUTED_VALUE"""),"Not Verified")</f>
        <v>Not Verified</v>
      </c>
      <c r="M13" s="490" t="str">
        <f>IFERROR(__xludf.DUMMYFUNCTION("""COMPUTED_VALUE"""),"ALLIED TELESIS")</f>
        <v>ALLIED TELESIS</v>
      </c>
      <c r="N13" s="490" t="str">
        <f>IFERROR(__xludf.DUMMYFUNCTION("""COMPUTED_VALUE"""),"bos_alc_of561e2")</f>
        <v>bos_alc_of561e2</v>
      </c>
      <c r="O13" s="490" t="s">
        <v>11238</v>
      </c>
      <c r="P13" s="490" t="s">
        <v>814</v>
      </c>
    </row>
    <row r="14">
      <c r="A14" s="30" t="str">
        <f>IFERROR(__xludf.DUMMYFUNCTION("""COMPUTED_VALUE"""),"IP (Wireless GEN Guest)")</f>
        <v>IP (Wireless GEN Guest)</v>
      </c>
      <c r="B14" s="598" t="str">
        <f>IFERROR(__xludf.DUMMYFUNCTION("""COMPUTED_VALUE"""),"BACnet IP/LON/MSTP")</f>
        <v>BACnet IP/LON/MSTP</v>
      </c>
      <c r="C14" s="490" t="str">
        <f>IFERROR(__xludf.DUMMYFUNCTION("""COMPUTED_VALUE"""),"Energy Monitoring System")</f>
        <v>Energy Monitoring System</v>
      </c>
      <c r="D14" s="593" t="str">
        <f>IFERROR(__xludf.DUMMYFUNCTION("""COMPUTED_VALUE"""),"ADAPT IDEATIONS")</f>
        <v>ADAPT IDEATIONS</v>
      </c>
      <c r="E14" s="600" t="str">
        <f>IFERROR(__xludf.DUMMYFUNCTION("""COMPUTED_VALUE"""),"ABB")</f>
        <v>ABB</v>
      </c>
      <c r="F14" s="600" t="str">
        <f>IFERROR(__xludf.DUMMYFUNCTION("""COMPUTED_VALUE"""),"CMS-700")</f>
        <v>CMS-700</v>
      </c>
      <c r="G14" s="30"/>
      <c r="H14" s="30"/>
      <c r="I14" s="490"/>
      <c r="J14" s="588" t="str">
        <f>IFERROR(__xludf.DUMMYFUNCTION("""COMPUTED_VALUE"""),"AVEQ")</f>
        <v>AVEQ</v>
      </c>
      <c r="K14" s="597" t="str">
        <f>IFERROR(__xludf.DUMMYFUNCTION("""COMPUTED_VALUE"""),"B5")</f>
        <v>B5</v>
      </c>
      <c r="L14" s="588"/>
      <c r="M14" s="490" t="str">
        <f>IFERROR(__xludf.DUMMYFUNCTION("""COMPUTED_VALUE"""),"ALLIED TELESIS")</f>
        <v>ALLIED TELESIS</v>
      </c>
      <c r="N14" s="490" t="str">
        <f>IFERROR(__xludf.DUMMYFUNCTION("""COMPUTED_VALUE"""),"bos_alc_of561te2")</f>
        <v>bos_alc_of561te2</v>
      </c>
      <c r="O14" s="490" t="s">
        <v>519</v>
      </c>
      <c r="P14" s="490" t="s">
        <v>1946</v>
      </c>
    </row>
    <row r="15">
      <c r="A15" s="30" t="str">
        <f>IFERROR(__xludf.DUMMYFUNCTION("""COMPUTED_VALUE"""),"IP (Wireless Unmanaged)")</f>
        <v>IP (Wireless Unmanaged)</v>
      </c>
      <c r="B15" s="598" t="str">
        <f>IFERROR(__xludf.DUMMYFUNCTION("""COMPUTED_VALUE"""),"BACnet MS/TP")</f>
        <v>BACnet MS/TP</v>
      </c>
      <c r="C15" s="586" t="str">
        <f>IFERROR(__xludf.DUMMYFUNCTION("""COMPUTED_VALUE"""),"Environmental Sensing System")</f>
        <v>Environmental Sensing System</v>
      </c>
      <c r="D15" s="600" t="str">
        <f>IFERROR(__xludf.DUMMYFUNCTION("""COMPUTED_VALUE"""),"ADB ITALIA")</f>
        <v>ADB ITALIA</v>
      </c>
      <c r="E15" s="600" t="str">
        <f>IFERROR(__xludf.DUMMYFUNCTION("""COMPUTED_VALUE"""),"ABB")</f>
        <v>ABB</v>
      </c>
      <c r="F15" s="600" t="str">
        <f>IFERROR(__xludf.DUMMYFUNCTION("""COMPUTED_VALUE"""),"CMS-700")</f>
        <v>CMS-700</v>
      </c>
      <c r="G15" s="30"/>
      <c r="H15" s="30"/>
      <c r="I15" s="490"/>
      <c r="J15" s="588" t="str">
        <f>IFERROR(__xludf.DUMMYFUNCTION("""COMPUTED_VALUE"""),"AVR")</f>
        <v>AVR</v>
      </c>
      <c r="K15" s="597" t="str">
        <f>IFERROR(__xludf.DUMMYFUNCTION("""COMPUTED_VALUE"""),"B4")</f>
        <v>B4</v>
      </c>
      <c r="L15" s="588"/>
      <c r="M15" s="490" t="str">
        <f>IFERROR(__xludf.DUMMYFUNCTION("""COMPUTED_VALUE"""),"ALLIED TELESIS")</f>
        <v>ALLIED TELESIS</v>
      </c>
      <c r="N15" s="490" t="str">
        <f>IFERROR(__xludf.DUMMYFUNCTION("""COMPUTED_VALUE"""),"bos_alc_of683e2")</f>
        <v>bos_alc_of683e2</v>
      </c>
      <c r="O15" s="490" t="s">
        <v>526</v>
      </c>
      <c r="P15" s="490" t="s">
        <v>851</v>
      </c>
    </row>
    <row r="16">
      <c r="A16" s="586" t="str">
        <f>IFERROR(__xludf.DUMMYFUNCTION("""COMPUTED_VALUE"""),"Not Verified")</f>
        <v>Not Verified</v>
      </c>
      <c r="B16" s="599" t="str">
        <f>IFERROR(__xludf.DUMMYFUNCTION("""COMPUTED_VALUE"""),"BACnet, DALI")</f>
        <v>BACnet, DALI</v>
      </c>
      <c r="C16" s="490" t="str">
        <f>IFERROR(__xludf.DUMMYFUNCTION("""COMPUTED_VALUE"""),"Facade Management System")</f>
        <v>Facade Management System</v>
      </c>
      <c r="D16" s="593" t="str">
        <f>IFERROR(__xludf.DUMMYFUNCTION("""COMPUTED_VALUE"""),"ADFWEB")</f>
        <v>ADFWEB</v>
      </c>
      <c r="E16" s="587" t="str">
        <f>IFERROR(__xludf.DUMMYFUNCTION("""COMPUTED_VALUE"""),"ABB")</f>
        <v>ABB</v>
      </c>
      <c r="F16" s="587" t="str">
        <f>IFERROR(__xludf.DUMMYFUNCTION("""COMPUTED_VALUE"""),"INTERFACE MODULE")</f>
        <v>INTERFACE MODULE</v>
      </c>
      <c r="G16" s="586"/>
      <c r="H16" s="586"/>
      <c r="I16" s="490"/>
      <c r="J16" s="588" t="str">
        <f>IFERROR(__xludf.DUMMYFUNCTION("""COMPUTED_VALUE"""),"AW")</f>
        <v>AW</v>
      </c>
      <c r="K16" s="597" t="str">
        <f>IFERROR(__xludf.DUMMYFUNCTION("""COMPUTED_VALUE"""),"B3")</f>
        <v>B3</v>
      </c>
      <c r="L16" s="588"/>
      <c r="M16" s="490" t="str">
        <f>IFERROR(__xludf.DUMMYFUNCTION("""COMPUTED_VALUE"""),"AOPRE")</f>
        <v>AOPRE</v>
      </c>
      <c r="N16" s="490" t="str">
        <f>IFERROR(__xludf.DUMMYFUNCTION("""COMPUTED_VALUE"""),"bos_alc_of683te2")</f>
        <v>bos_alc_of683te2</v>
      </c>
      <c r="O16" s="490" t="s">
        <v>11239</v>
      </c>
      <c r="P16" s="490" t="s">
        <v>872</v>
      </c>
    </row>
    <row r="17">
      <c r="A17" s="490"/>
      <c r="B17" s="599" t="str">
        <f>IFERROR(__xludf.DUMMYFUNCTION("""COMPUTED_VALUE"""),"CAN")</f>
        <v>CAN</v>
      </c>
      <c r="C17" s="490" t="str">
        <f>IFERROR(__xludf.DUMMYFUNCTION("""COMPUTED_VALUE"""),"Fire Detection &amp; Alarm System")</f>
        <v>Fire Detection &amp; Alarm System</v>
      </c>
      <c r="D17" s="587" t="str">
        <f>IFERROR(__xludf.DUMMYFUNCTION("""COMPUTED_VALUE"""),"ADIDAS")</f>
        <v>ADIDAS</v>
      </c>
      <c r="E17" s="593" t="str">
        <f>IFERROR(__xludf.DUMMYFUNCTION("""COMPUTED_VALUE"""),"ABB")</f>
        <v>ABB</v>
      </c>
      <c r="F17" s="593" t="str">
        <f>IFERROR(__xludf.DUMMYFUNCTION("""COMPUTED_VALUE"""),"ACH550")</f>
        <v>ACH550</v>
      </c>
      <c r="G17" s="490"/>
      <c r="H17" s="490"/>
      <c r="I17" s="490"/>
      <c r="J17" s="588" t="str">
        <f>IFERROR(__xludf.DUMMYFUNCTION("""COMPUTED_VALUE"""),"AXCWP")</f>
        <v>AXCWP</v>
      </c>
      <c r="K17" s="597" t="str">
        <f>IFERROR(__xludf.DUMMYFUNCTION("""COMPUTED_VALUE"""),"B2")</f>
        <v>B2</v>
      </c>
      <c r="L17" s="588"/>
      <c r="M17" s="490" t="str">
        <f>IFERROR(__xludf.DUMMYFUNCTION("""COMPUTED_VALUE"""),"AOPRE")</f>
        <v>AOPRE</v>
      </c>
      <c r="N17" s="490" t="str">
        <f>IFERROR(__xludf.DUMMYFUNCTION("""COMPUTED_VALUE"""),"bos_alc_of683xte2")</f>
        <v>bos_alc_of683xte2</v>
      </c>
      <c r="O17" s="490" t="s">
        <v>527</v>
      </c>
      <c r="P17" s="490" t="s">
        <v>883</v>
      </c>
    </row>
    <row r="18">
      <c r="A18" s="586"/>
      <c r="B18" s="598" t="str">
        <f>IFERROR(__xludf.DUMMYFUNCTION("""COMPUTED_VALUE"""),"Cellular")</f>
        <v>Cellular</v>
      </c>
      <c r="C18" s="595" t="str">
        <f>IFERROR(__xludf.DUMMYFUNCTION("""COMPUTED_VALUE"""),"Fire Suppression System")</f>
        <v>Fire Suppression System</v>
      </c>
      <c r="D18" s="593" t="str">
        <f>IFERROR(__xludf.DUMMYFUNCTION("""COMPUTED_VALUE"""),"ADTRAN")</f>
        <v>ADTRAN</v>
      </c>
      <c r="E18" s="587" t="str">
        <f>IFERROR(__xludf.DUMMYFUNCTION("""COMPUTED_VALUE"""),"ABB")</f>
        <v>ABB</v>
      </c>
      <c r="F18" s="587" t="str">
        <f>IFERROR(__xludf.DUMMYFUNCTION("""COMPUTED_VALUE"""),"ATS022")</f>
        <v>ATS022</v>
      </c>
      <c r="G18" s="586"/>
      <c r="H18" s="586"/>
      <c r="I18" s="490"/>
      <c r="J18" s="588" t="str">
        <f>IFERROR(__xludf.DUMMYFUNCTION("""COMPUTED_VALUE"""),"BCN")</f>
        <v>BCN</v>
      </c>
      <c r="K18" s="597" t="str">
        <f>IFERROR(__xludf.DUMMYFUNCTION("""COMPUTED_VALUE"""),"B1")</f>
        <v>B1</v>
      </c>
      <c r="L18" s="588"/>
      <c r="M18" s="490" t="str">
        <f>IFERROR(__xludf.DUMMYFUNCTION("""COMPUTED_VALUE"""),"APC")</f>
        <v>APC</v>
      </c>
      <c r="N18" s="490" t="str">
        <f>IFERROR(__xludf.DUMMYFUNCTION("""COMPUTED_VALUE"""),"bos_alc_ofbbc")</f>
        <v>bos_alc_ofbbc</v>
      </c>
      <c r="O18" s="490" t="s">
        <v>11240</v>
      </c>
      <c r="P18" s="490" t="s">
        <v>861</v>
      </c>
    </row>
    <row r="19">
      <c r="A19" s="490"/>
      <c r="B19" s="586" t="str">
        <f>IFERROR(__xludf.DUMMYFUNCTION("""COMPUTED_VALUE"""),"DALI")</f>
        <v>DALI</v>
      </c>
      <c r="C19" s="490" t="str">
        <f>IFERROR(__xludf.DUMMYFUNCTION("""COMPUTED_VALUE"""),"Food System")</f>
        <v>Food System</v>
      </c>
      <c r="D19" s="593" t="str">
        <f>IFERROR(__xludf.DUMMYFUNCTION("""COMPUTED_VALUE"""),"ADVANTAGE CONTROLS")</f>
        <v>ADVANTAGE CONTROLS</v>
      </c>
      <c r="E19" s="593" t="str">
        <f>IFERROR(__xludf.DUMMYFUNCTION("""COMPUTED_VALUE"""),"ABB")</f>
        <v>ABB</v>
      </c>
      <c r="F19" s="593" t="str">
        <f>IFERROR(__xludf.DUMMYFUNCTION("""COMPUTED_VALUE"""),"ACS5550")</f>
        <v>ACS5550</v>
      </c>
      <c r="G19" s="490"/>
      <c r="H19" s="490"/>
      <c r="I19" s="490"/>
      <c r="J19" s="588" t="str">
        <f>IFERROR(__xludf.DUMMYFUNCTION("""COMPUTED_VALUE"""),"BDV")</f>
        <v>BDV</v>
      </c>
      <c r="K19" s="597" t="str">
        <f>IFERROR(__xludf.DUMMYFUNCTION("""COMPUTED_VALUE"""),"SB")</f>
        <v>SB</v>
      </c>
      <c r="L19" s="588"/>
      <c r="M19" s="490" t="str">
        <f>IFERROR(__xludf.DUMMYFUNCTION("""COMPUTED_VALUE"""),"APRESIA")</f>
        <v>APRESIA</v>
      </c>
      <c r="N19" s="490" t="str">
        <f>IFERROR(__xludf.DUMMYFUNCTION("""COMPUTED_VALUE"""),"bos_alc_ofbbca")</f>
        <v>bos_alc_ofbbca</v>
      </c>
      <c r="O19" s="490" t="s">
        <v>511</v>
      </c>
      <c r="P19" s="490" t="s">
        <v>1997</v>
      </c>
    </row>
    <row r="20">
      <c r="A20" s="30"/>
      <c r="B20" s="586" t="str">
        <f>IFERROR(__xludf.DUMMYFUNCTION("""COMPUTED_VALUE"""),"Dynet")</f>
        <v>Dynet</v>
      </c>
      <c r="C20" s="490" t="str">
        <f>IFERROR(__xludf.DUMMYFUNCTION("""COMPUTED_VALUE"""),"Fuel System")</f>
        <v>Fuel System</v>
      </c>
      <c r="D20" s="600" t="str">
        <f>IFERROR(__xludf.DUMMYFUNCTION("""COMPUTED_VALUE"""),"ADVANTECH")</f>
        <v>ADVANTECH</v>
      </c>
      <c r="E20" s="600" t="str">
        <f>IFERROR(__xludf.DUMMYFUNCTION("""COMPUTED_VALUE"""),"ABB")</f>
        <v>ABB</v>
      </c>
      <c r="F20" s="600" t="str">
        <f>IFERROR(__xludf.DUMMYFUNCTION("""COMPUTED_VALUE"""),"ACS 300")</f>
        <v>ACS 300</v>
      </c>
      <c r="G20" s="30"/>
      <c r="H20" s="30"/>
      <c r="I20" s="586"/>
      <c r="J20" s="588" t="str">
        <f>IFERROR(__xludf.DUMMYFUNCTION("""COMPUTED_VALUE"""),"BFP")</f>
        <v>BFP</v>
      </c>
      <c r="K20" s="589" t="str">
        <f>IFERROR(__xludf.DUMMYFUNCTION("""COMPUTED_VALUE"""),"BM")</f>
        <v>BM</v>
      </c>
      <c r="L20" s="594"/>
      <c r="M20" s="586" t="str">
        <f>IFERROR(__xludf.DUMMYFUNCTION("""COMPUTED_VALUE"""),"APRESIA")</f>
        <v>APRESIA</v>
      </c>
      <c r="N20" s="586" t="str">
        <f>IFERROR(__xludf.DUMMYFUNCTION("""COMPUTED_VALUE"""),"bos_alc_ofbbcnr")</f>
        <v>bos_alc_ofbbcnr</v>
      </c>
      <c r="O20" s="586" t="s">
        <v>513</v>
      </c>
      <c r="P20" s="586" t="s">
        <v>894</v>
      </c>
    </row>
    <row r="21">
      <c r="A21" s="30"/>
      <c r="B21" s="586" t="str">
        <f>IFERROR(__xludf.DUMMYFUNCTION("""COMPUTED_VALUE"""),"Dynet2")</f>
        <v>Dynet2</v>
      </c>
      <c r="C21" s="490" t="str">
        <f>IFERROR(__xludf.DUMMYFUNCTION("""COMPUTED_VALUE"""),"Health and Fitness System")</f>
        <v>Health and Fitness System</v>
      </c>
      <c r="D21" s="600" t="str">
        <f>IFERROR(__xludf.DUMMYFUNCTION("""COMPUTED_VALUE"""),"AERMEC")</f>
        <v>AERMEC</v>
      </c>
      <c r="E21" s="600" t="str">
        <f>IFERROR(__xludf.DUMMYFUNCTION("""COMPUTED_VALUE"""),"ABB")</f>
        <v>ABB</v>
      </c>
      <c r="F21" s="600" t="str">
        <f>IFERROR(__xludf.DUMMYFUNCTION("""COMPUTED_VALUE"""),"WATERMASTER FET121")</f>
        <v>WATERMASTER FET121</v>
      </c>
      <c r="G21" s="30"/>
      <c r="H21" s="30"/>
      <c r="I21" s="586"/>
      <c r="J21" s="588" t="str">
        <f>IFERROR(__xludf.DUMMYFUNCTION("""COMPUTED_VALUE"""),"BFV")</f>
        <v>BFV</v>
      </c>
      <c r="K21" s="589" t="str">
        <f>IFERROR(__xludf.DUMMYFUNCTION("""COMPUTED_VALUE"""),"LG")</f>
        <v>LG</v>
      </c>
      <c r="L21" s="594"/>
      <c r="M21" s="586" t="str">
        <f>IFERROR(__xludf.DUMMYFUNCTION("""COMPUTED_VALUE"""),"ARRIS")</f>
        <v>ARRIS</v>
      </c>
      <c r="N21" s="586" t="str">
        <f>IFERROR(__xludf.DUMMYFUNCTION("""COMPUTED_VALUE"""),"bos_alc_ofhi")</f>
        <v>bos_alc_ofhi</v>
      </c>
      <c r="O21" s="586" t="s">
        <v>528</v>
      </c>
      <c r="P21" s="586" t="s">
        <v>907</v>
      </c>
    </row>
    <row r="22">
      <c r="A22" s="490"/>
      <c r="B22" s="599" t="str">
        <f>IFERROR(__xludf.DUMMYFUNCTION("""COMPUTED_VALUE"""),"Ethernet TCP/IP")</f>
        <v>Ethernet TCP/IP</v>
      </c>
      <c r="C22" s="490" t="str">
        <f>IFERROR(__xludf.DUMMYFUNCTION("""COMPUTED_VALUE"""),"High Voltage Electrical System")</f>
        <v>High Voltage Electrical System</v>
      </c>
      <c r="D22" s="593" t="str">
        <f>IFERROR(__xludf.DUMMYFUNCTION("""COMPUTED_VALUE"""),"AES CORPORATION")</f>
        <v>AES CORPORATION</v>
      </c>
      <c r="E22" s="593" t="str">
        <f>IFERROR(__xludf.DUMMYFUNCTION("""COMPUTED_VALUE"""),"ABB")</f>
        <v>ABB</v>
      </c>
      <c r="F22" s="593" t="str">
        <f>IFERROR(__xludf.DUMMYFUNCTION("""COMPUTED_VALUE"""),"ACH580 SERIES")</f>
        <v>ACH580 SERIES</v>
      </c>
      <c r="G22" s="490"/>
      <c r="H22" s="490"/>
      <c r="I22" s="490"/>
      <c r="J22" s="589" t="str">
        <f>IFERROR(__xludf.DUMMYFUNCTION("""COMPUTED_VALUE"""),"BIOR")</f>
        <v>BIOR</v>
      </c>
      <c r="K22" s="597" t="str">
        <f>IFERROR(__xludf.DUMMYFUNCTION("""COMPUTED_VALUE"""),"Entresol")</f>
        <v>Entresol</v>
      </c>
      <c r="L22" s="588"/>
      <c r="M22" s="490" t="str">
        <f>IFERROR(__xludf.DUMMYFUNCTION("""COMPUTED_VALUE"""),"ASANTE TECHNOLOGIES")</f>
        <v>ASANTE TECHNOLOGIES</v>
      </c>
      <c r="N22" s="490" t="str">
        <f>IFERROR(__xludf.DUMMYFUNCTION("""COMPUTED_VALUE"""),"bos_alc_ofhia")</f>
        <v>bos_alc_ofhia</v>
      </c>
      <c r="O22" s="490" t="s">
        <v>11241</v>
      </c>
      <c r="P22" s="490" t="s">
        <v>927</v>
      </c>
    </row>
    <row r="23">
      <c r="A23" s="586"/>
      <c r="B23" s="599" t="str">
        <f>IFERROR(__xludf.DUMMYFUNCTION("""COMPUTED_VALUE"""),"Ethernet TCP/IP, BACnet IP")</f>
        <v>Ethernet TCP/IP, BACnet IP</v>
      </c>
      <c r="C23" s="490" t="str">
        <f>IFERROR(__xludf.DUMMYFUNCTION("""COMPUTED_VALUE"""),"HVAC System")</f>
        <v>HVAC System</v>
      </c>
      <c r="D23" s="587" t="str">
        <f>IFERROR(__xludf.DUMMYFUNCTION("""COMPUTED_VALUE"""),"AESPL")</f>
        <v>AESPL</v>
      </c>
      <c r="E23" s="587" t="str">
        <f>IFERROR(__xludf.DUMMYFUNCTION("""COMPUTED_VALUE"""),"ABB")</f>
        <v>ABB</v>
      </c>
      <c r="F23" s="587" t="str">
        <f>IFERROR(__xludf.DUMMYFUNCTION("""COMPUTED_VALUE"""),"DG/S2.64.1.1")</f>
        <v>DG/S2.64.1.1</v>
      </c>
      <c r="G23" s="586"/>
      <c r="H23" s="586"/>
      <c r="I23" s="490"/>
      <c r="J23" s="594" t="str">
        <f>IFERROR(__xludf.DUMMYFUNCTION("""COMPUTED_VALUE"""),"BLR")</f>
        <v>BLR</v>
      </c>
      <c r="K23" s="597" t="str">
        <f>IFERROR(__xludf.DUMMYFUNCTION("""COMPUTED_VALUE"""),"G")</f>
        <v>G</v>
      </c>
      <c r="L23" s="588"/>
      <c r="M23" s="490" t="str">
        <f>IFERROR(__xludf.DUMMYFUNCTION("""COMPUTED_VALUE"""),"ASKEY")</f>
        <v>ASKEY</v>
      </c>
      <c r="N23" s="490" t="str">
        <f>IFERROR(__xludf.DUMMYFUNCTION("""COMPUTED_VALUE"""),"bos_alc_xtlb")</f>
        <v>bos_alc_xtlb</v>
      </c>
      <c r="O23" s="490" t="s">
        <v>529</v>
      </c>
      <c r="P23" s="490" t="s">
        <v>733</v>
      </c>
    </row>
    <row r="24">
      <c r="A24" s="30"/>
      <c r="B24" s="490" t="str">
        <f>IFERROR(__xludf.DUMMYFUNCTION("""COMPUTED_VALUE"""),"Ethernet TCP/IP, BACnet IP/MST")</f>
        <v>Ethernet TCP/IP, BACnet IP/MST</v>
      </c>
      <c r="C24" s="586" t="str">
        <f>IFERROR(__xludf.DUMMYFUNCTION("""COMPUTED_VALUE"""),"HVAC Control System")</f>
        <v>HVAC Control System</v>
      </c>
      <c r="D24" s="593" t="str">
        <f>IFERROR(__xludf.DUMMYFUNCTION("""COMPUTED_VALUE"""),"AGNEXT")</f>
        <v>AGNEXT</v>
      </c>
      <c r="E24" s="600" t="str">
        <f>IFERROR(__xludf.DUMMYFUNCTION("""COMPUTED_VALUE"""),"ABB")</f>
        <v>ABB</v>
      </c>
      <c r="F24" s="600" t="str">
        <f>IFERROR(__xludf.DUMMYFUNCTION("""COMPUTED_VALUE"""),"6127/02-84")</f>
        <v>6127/02-84</v>
      </c>
      <c r="G24" s="30"/>
      <c r="H24" s="30"/>
      <c r="I24" s="490"/>
      <c r="J24" s="588" t="str">
        <f>IFERROR(__xludf.DUMMYFUNCTION("""COMPUTED_VALUE"""),"BLV")</f>
        <v>BLV</v>
      </c>
      <c r="K24" s="597" t="str">
        <f>IFERROR(__xludf.DUMMYFUNCTION("""COMPUTED_VALUE"""),"Dock")</f>
        <v>Dock</v>
      </c>
      <c r="L24" s="588"/>
      <c r="M24" s="490" t="str">
        <f>IFERROR(__xludf.DUMMYFUNCTION("""COMPUTED_VALUE"""),"ASUS")</f>
        <v>ASUS</v>
      </c>
      <c r="N24" s="490" t="str">
        <f>IFERROR(__xludf.DUMMYFUNCTION("""COMPUTED_VALUE"""),"bos_alerton_acm")</f>
        <v>bos_alerton_acm</v>
      </c>
      <c r="O24" s="490" t="s">
        <v>11242</v>
      </c>
      <c r="P24" s="490" t="s">
        <v>937</v>
      </c>
    </row>
    <row r="25">
      <c r="A25" s="490"/>
      <c r="B25" s="490" t="str">
        <f>IFERROR(__xludf.DUMMYFUNCTION("""COMPUTED_VALUE"""),"Ethernet TCP/IP, BACnet MS/TP")</f>
        <v>Ethernet TCP/IP, BACnet MS/TP</v>
      </c>
      <c r="C25" s="586" t="str">
        <f>IFERROR(__xludf.DUMMYFUNCTION("""COMPUTED_VALUE"""),"Industrial Process System")</f>
        <v>Industrial Process System</v>
      </c>
      <c r="D25" s="593" t="str">
        <f>IFERROR(__xludf.DUMMYFUNCTION("""COMPUTED_VALUE"""),"AIRCON")</f>
        <v>AIRCON</v>
      </c>
      <c r="E25" s="593" t="str">
        <f>IFERROR(__xludf.DUMMYFUNCTION("""COMPUTED_VALUE"""),"ABB")</f>
        <v>ABB</v>
      </c>
      <c r="F25" s="593" t="str">
        <f>IFERROR(__xludf.DUMMYFUNCTION("""COMPUTED_VALUE"""),"SA/S8.16.5.2")</f>
        <v>SA/S8.16.5.2</v>
      </c>
      <c r="G25" s="490"/>
      <c r="H25" s="490"/>
      <c r="I25" s="490"/>
      <c r="J25" s="588" t="str">
        <f>IFERROR(__xludf.DUMMYFUNCTION("""COMPUTED_VALUE"""),"BSP")</f>
        <v>BSP</v>
      </c>
      <c r="K25" s="597" t="str">
        <f>IFERROR(__xludf.DUMMYFUNCTION("""COMPUTED_VALUE"""),"UG")</f>
        <v>UG</v>
      </c>
      <c r="L25" s="588"/>
      <c r="M25" s="490" t="str">
        <f>IFERROR(__xludf.DUMMYFUNCTION("""COMPUTED_VALUE"""),"AT&amp;T")</f>
        <v>AT&amp;T</v>
      </c>
      <c r="N25" s="490" t="str">
        <f>IFERROR(__xludf.DUMMYFUNCTION("""COMPUTED_VALUE"""),"bos_alerton_vip363hoa")</f>
        <v>bos_alerton_vip363hoa</v>
      </c>
      <c r="O25" s="490" t="s">
        <v>525</v>
      </c>
      <c r="P25" s="490" t="s">
        <v>671</v>
      </c>
    </row>
    <row r="26">
      <c r="A26" s="490"/>
      <c r="B26" s="586" t="str">
        <f>IFERROR(__xludf.DUMMYFUNCTION("""COMPUTED_VALUE"""),"Ethernet TCP/IP, BACnet MS/TP, Modbus RTU")</f>
        <v>Ethernet TCP/IP, BACnet MS/TP, Modbus RTU</v>
      </c>
      <c r="C26" s="586" t="str">
        <f>IFERROR(__xludf.DUMMYFUNCTION("""COMPUTED_VALUE"""),"Information Technology System")</f>
        <v>Information Technology System</v>
      </c>
      <c r="D26" s="600" t="str">
        <f>IFERROR(__xludf.DUMMYFUNCTION("""COMPUTED_VALUE"""),"AIRTEL")</f>
        <v>AIRTEL</v>
      </c>
      <c r="E26" s="593" t="str">
        <f>IFERROR(__xludf.DUMMYFUNCTION("""COMPUTED_VALUE"""),"ABB")</f>
        <v>ABB</v>
      </c>
      <c r="F26" s="593" t="str">
        <f>IFERROR(__xludf.DUMMYFUNCTION("""COMPUTED_VALUE"""),"ACS310 DRIVE")</f>
        <v>ACS310 DRIVE</v>
      </c>
      <c r="G26" s="490"/>
      <c r="H26" s="490"/>
      <c r="I26" s="490"/>
      <c r="J26" s="588" t="str">
        <f>IFERROR(__xludf.DUMMYFUNCTION("""COMPUTED_VALUE"""),"BTKBS")</f>
        <v>BTKBS</v>
      </c>
      <c r="K26" s="597" t="str">
        <f>IFERROR(__xludf.DUMMYFUNCTION("""COMPUTED_VALUE"""),"M")</f>
        <v>M</v>
      </c>
      <c r="L26" s="588"/>
      <c r="M26" s="490" t="str">
        <f>IFERROR(__xludf.DUMMYFUNCTION("""COMPUTED_VALUE"""),"AT&amp;T")</f>
        <v>AT&amp;T</v>
      </c>
      <c r="N26" s="490" t="str">
        <f>IFERROR(__xludf.DUMMYFUNCTION("""COMPUTED_VALUE"""),"bos_alerton_vip363vav")</f>
        <v>bos_alerton_vip363vav</v>
      </c>
      <c r="O26" s="490" t="s">
        <v>530</v>
      </c>
      <c r="P26" s="490" t="s">
        <v>698</v>
      </c>
    </row>
    <row r="27">
      <c r="A27" s="490"/>
      <c r="B27" s="598" t="str">
        <f>IFERROR(__xludf.DUMMYFUNCTION("""COMPUTED_VALUE"""),"Ethernet TCP/IP, Cell, Zigbee")</f>
        <v>Ethernet TCP/IP, Cell, Zigbee</v>
      </c>
      <c r="C27" s="490" t="str">
        <f>IFERROR(__xludf.DUMMYFUNCTION("""COMPUTED_VALUE"""),"IoT System")</f>
        <v>IoT System</v>
      </c>
      <c r="D27" s="600" t="str">
        <f>IFERROR(__xludf.DUMMYFUNCTION("""COMPUTED_VALUE"""),"AIS-PRO")</f>
        <v>AIS-PRO</v>
      </c>
      <c r="E27" s="593" t="str">
        <f>IFERROR(__xludf.DUMMYFUNCTION("""COMPUTED_VALUE"""),"ABB")</f>
        <v>ABB</v>
      </c>
      <c r="F27" s="593" t="str">
        <f>IFERROR(__xludf.DUMMYFUNCTION("""COMPUTED_VALUE"""),"ACS560")</f>
        <v>ACS560</v>
      </c>
      <c r="G27" s="490"/>
      <c r="H27" s="490"/>
      <c r="I27" s="490"/>
      <c r="J27" s="588" t="str">
        <f>IFERROR(__xludf.DUMMYFUNCTION("""COMPUTED_VALUE"""),"BV")</f>
        <v>BV</v>
      </c>
      <c r="K27" s="597" t="str">
        <f>IFERROR(__xludf.DUMMYFUNCTION("""COMPUTED_VALUE"""),"Atrium")</f>
        <v>Atrium</v>
      </c>
      <c r="L27" s="588"/>
      <c r="M27" s="490" t="str">
        <f>IFERROR(__xludf.DUMMYFUNCTION("""COMPUTED_VALUE"""),"AT&amp;T")</f>
        <v>AT&amp;T</v>
      </c>
      <c r="N27" s="490" t="str">
        <f>IFERROR(__xludf.DUMMYFUNCTION("""COMPUTED_VALUE"""),"bos_barron_exitronix")</f>
        <v>bos_barron_exitronix</v>
      </c>
      <c r="O27" s="490" t="s">
        <v>11243</v>
      </c>
      <c r="P27" s="490" t="s">
        <v>703</v>
      </c>
    </row>
    <row r="28">
      <c r="A28" s="490"/>
      <c r="B28" s="490" t="str">
        <f>IFERROR(__xludf.DUMMYFUNCTION("""COMPUTED_VALUE"""),"Ethernet TCP/IP, Cellular")</f>
        <v>Ethernet TCP/IP, Cellular</v>
      </c>
      <c r="C28" s="586" t="str">
        <f>IFERROR(__xludf.DUMMYFUNCTION("""COMPUTED_VALUE"""),"Landscaping/Irrigation System")</f>
        <v>Landscaping/Irrigation System</v>
      </c>
      <c r="D28" s="593" t="str">
        <f>IFERROR(__xludf.DUMMYFUNCTION("""COMPUTED_VALUE"""),"ALC")</f>
        <v>ALC</v>
      </c>
      <c r="E28" s="593" t="str">
        <f>IFERROR(__xludf.DUMMYFUNCTION("""COMPUTED_VALUE"""),"ABB")</f>
        <v>ABB</v>
      </c>
      <c r="F28" s="593" t="str">
        <f>IFERROR(__xludf.DUMMYFUNCTION("""COMPUTED_VALUE"""),"PM5630")</f>
        <v>PM5630</v>
      </c>
      <c r="G28" s="490"/>
      <c r="H28" s="490"/>
      <c r="I28" s="490"/>
      <c r="J28" s="594" t="str">
        <f>IFERROR(__xludf.DUMMYFUNCTION("""COMPUTED_VALUE"""),"BYCD")</f>
        <v>BYCD</v>
      </c>
      <c r="K28" s="597" t="str">
        <f>IFERROR(__xludf.DUMMYFUNCTION("""COMPUTED_VALUE"""),"R")</f>
        <v>R</v>
      </c>
      <c r="L28" s="588"/>
      <c r="M28" s="490" t="str">
        <f>IFERROR(__xludf.DUMMYFUNCTION("""COMPUTED_VALUE"""),"AUTOMATIONDIRECT")</f>
        <v>AUTOMATIONDIRECT</v>
      </c>
      <c r="N28" s="490" t="str">
        <f>IFERROR(__xludf.DUMMYFUNCTION("""COMPUTED_VALUE"""),"bos_bitbox_bb200")</f>
        <v>bos_bitbox_bb200</v>
      </c>
      <c r="O28" s="490" t="s">
        <v>515</v>
      </c>
      <c r="P28" s="490" t="s">
        <v>708</v>
      </c>
    </row>
    <row r="29">
      <c r="A29" s="490"/>
      <c r="B29" s="598" t="str">
        <f>IFERROR(__xludf.DUMMYFUNCTION("""COMPUTED_VALUE"""),"Ethernet TCP/IP, Cylon RS485")</f>
        <v>Ethernet TCP/IP, Cylon RS485</v>
      </c>
      <c r="C29" s="490" t="str">
        <f>IFERROR(__xludf.DUMMYFUNCTION("""COMPUTED_VALUE"""),"Leak Detection System")</f>
        <v>Leak Detection System</v>
      </c>
      <c r="D29" s="587" t="str">
        <f>IFERROR(__xludf.DUMMYFUNCTION("""COMPUTED_VALUE"""),"ALERTON")</f>
        <v>ALERTON</v>
      </c>
      <c r="E29" s="593" t="str">
        <f>IFERROR(__xludf.DUMMYFUNCTION("""COMPUTED_VALUE"""),"ABB")</f>
        <v>ABB</v>
      </c>
      <c r="F29" s="593" t="str">
        <f>IFERROR(__xludf.DUMMYFUNCTION("""COMPUTED_VALUE"""),"SA/S12.16.5.2")</f>
        <v>SA/S12.16.5.2</v>
      </c>
      <c r="G29" s="490"/>
      <c r="H29" s="490"/>
      <c r="I29" s="490"/>
      <c r="J29" s="588" t="str">
        <f>IFERROR(__xludf.DUMMYFUNCTION("""COMPUTED_VALUE"""),"BYV")</f>
        <v>BYV</v>
      </c>
      <c r="K29" s="597" t="str">
        <f>IFERROR(__xludf.DUMMYFUNCTION("""COMPUTED_VALUE"""),"Roof")</f>
        <v>Roof</v>
      </c>
      <c r="L29" s="588"/>
      <c r="M29" s="490" t="str">
        <f>IFERROR(__xludf.DUMMYFUNCTION("""COMPUTED_VALUE"""),"AVM")</f>
        <v>AVM</v>
      </c>
      <c r="N29" s="490" t="str">
        <f>IFERROR(__xludf.DUMMYFUNCTION("""COMPUTED_VALUE"""),"bos_cleanrobotics_trashbot")</f>
        <v>bos_cleanrobotics_trashbot</v>
      </c>
      <c r="O29" s="490" t="s">
        <v>517</v>
      </c>
      <c r="P29" s="490" t="s">
        <v>715</v>
      </c>
    </row>
    <row r="30">
      <c r="A30" s="586"/>
      <c r="B30" s="586" t="str">
        <f>IFERROR(__xludf.DUMMYFUNCTION("""COMPUTED_VALUE"""),"Ethernet TCP/IP, DALI")</f>
        <v>Ethernet TCP/IP, DALI</v>
      </c>
      <c r="C30" s="490" t="str">
        <f>IFERROR(__xludf.DUMMYFUNCTION("""COMPUTED_VALUE"""),"Life Safety Protection System")</f>
        <v>Life Safety Protection System</v>
      </c>
      <c r="D30" s="593" t="str">
        <f>IFERROR(__xludf.DUMMYFUNCTION("""COMPUTED_VALUE"""),"ALLEN BRADLEY")</f>
        <v>ALLEN BRADLEY</v>
      </c>
      <c r="E30" s="587" t="str">
        <f>IFERROR(__xludf.DUMMYFUNCTION("""COMPUTED_VALUE"""),"ACCLAIM")</f>
        <v>ACCLAIM</v>
      </c>
      <c r="F30" s="587" t="str">
        <f>IFERROR(__xludf.DUMMYFUNCTION("""COMPUTED_VALUE"""),"ARTNET 8")</f>
        <v>ARTNET 8</v>
      </c>
      <c r="G30" s="586"/>
      <c r="H30" s="586"/>
      <c r="I30" s="490"/>
      <c r="J30" s="594" t="str">
        <f>IFERROR(__xludf.DUMMYFUNCTION("""COMPUTED_VALUE"""),"CAM")</f>
        <v>CAM</v>
      </c>
      <c r="K30" s="597" t="str">
        <f>IFERROR(__xludf.DUMMYFUNCTION("""COMPUTED_VALUE"""),"1")</f>
        <v>1</v>
      </c>
      <c r="L30" s="588"/>
      <c r="M30" s="490" t="str">
        <f>IFERROR(__xludf.DUMMYFUNCTION("""COMPUTED_VALUE"""),"AVOCENT")</f>
        <v>AVOCENT</v>
      </c>
      <c r="N30" s="490" t="str">
        <f>IFERROR(__xludf.DUMMYFUNCTION("""COMPUTED_VALUE"""),"bos_crd_hp_z2mini")</f>
        <v>bos_crd_hp_z2mini</v>
      </c>
      <c r="O30" s="490" t="s">
        <v>11244</v>
      </c>
      <c r="P30" s="490" t="s">
        <v>720</v>
      </c>
    </row>
    <row r="31">
      <c r="A31" s="490"/>
      <c r="B31" s="490" t="str">
        <f>IFERROR(__xludf.DUMMYFUNCTION("""COMPUTED_VALUE"""),"Ethernet TCP/IP, IEEE 802.15.4")</f>
        <v>Ethernet TCP/IP, IEEE 802.15.4</v>
      </c>
      <c r="C31" s="490" t="str">
        <f>IFERROR(__xludf.DUMMYFUNCTION("""COMPUTED_VALUE"""),"Lighting Control System")</f>
        <v>Lighting Control System</v>
      </c>
      <c r="D31" s="593" t="str">
        <f>IFERROR(__xludf.DUMMYFUNCTION("""COMPUTED_VALUE"""),"ALLIED TELESIS")</f>
        <v>ALLIED TELESIS</v>
      </c>
      <c r="E31" s="593" t="str">
        <f>IFERROR(__xludf.DUMMYFUNCTION("""COMPUTED_VALUE"""),"ACCUENERGY")</f>
        <v>ACCUENERGY</v>
      </c>
      <c r="F31" s="593" t="str">
        <f>IFERROR(__xludf.DUMMYFUNCTION("""COMPUTED_VALUE"""),"ACUVIM II SERIES")</f>
        <v>ACUVIM II SERIES</v>
      </c>
      <c r="G31" s="490"/>
      <c r="H31" s="490"/>
      <c r="I31" s="490"/>
      <c r="J31" s="594" t="str">
        <f>IFERROR(__xludf.DUMMYFUNCTION("""COMPUTED_VALUE"""),"CAST")</f>
        <v>CAST</v>
      </c>
      <c r="K31" s="597" t="str">
        <f>IFERROR(__xludf.DUMMYFUNCTION("""COMPUTED_VALUE"""),"2")</f>
        <v>2</v>
      </c>
      <c r="L31" s="588"/>
      <c r="M31" s="490" t="str">
        <f>IFERROR(__xludf.DUMMYFUNCTION("""COMPUTED_VALUE"""),"AVOCENT")</f>
        <v>AVOCENT</v>
      </c>
      <c r="N31" s="490" t="str">
        <f>IFERROR(__xludf.DUMMYFUNCTION("""COMPUTED_VALUE"""),"bos_crd_hp_z2minig9")</f>
        <v>bos_crd_hp_z2minig9</v>
      </c>
      <c r="O31" s="490"/>
      <c r="P31" s="490" t="s">
        <v>726</v>
      </c>
    </row>
    <row r="32">
      <c r="A32" s="30"/>
      <c r="B32" s="598" t="str">
        <f>IFERROR(__xludf.DUMMYFUNCTION("""COMPUTED_VALUE"""),"Ethernet TCP/IP, KNX")</f>
        <v>Ethernet TCP/IP, KNX</v>
      </c>
      <c r="C32" s="586" t="str">
        <f>IFERROR(__xludf.DUMMYFUNCTION("""COMPUTED_VALUE"""),"Low Voltage Electrical System")</f>
        <v>Low Voltage Electrical System</v>
      </c>
      <c r="D32" s="593" t="str">
        <f>IFERROR(__xludf.DUMMYFUNCTION("""COMPUTED_VALUE"""),"ALLWINNER")</f>
        <v>ALLWINNER</v>
      </c>
      <c r="E32" s="600" t="str">
        <f>IFERROR(__xludf.DUMMYFUNCTION("""COMPUTED_VALUE"""),"ACER")</f>
        <v>ACER</v>
      </c>
      <c r="F32" s="600" t="str">
        <f>IFERROR(__xludf.DUMMYFUNCTION("""COMPUTED_VALUE"""),"A515-51-563W")</f>
        <v>A515-51-563W</v>
      </c>
      <c r="G32" s="30"/>
      <c r="H32" s="30"/>
      <c r="I32" s="586"/>
      <c r="J32" s="594" t="str">
        <f>IFERROR(__xludf.DUMMYFUNCTION("""COMPUTED_VALUE"""),"CAV")</f>
        <v>CAV</v>
      </c>
      <c r="K32" s="589" t="str">
        <f>IFERROR(__xludf.DUMMYFUNCTION("""COMPUTED_VALUE"""),"3")</f>
        <v>3</v>
      </c>
      <c r="L32" s="594"/>
      <c r="M32" s="586" t="str">
        <f>IFERROR(__xludf.DUMMYFUNCTION("""COMPUTED_VALUE"""),"B&amp;B ELECTRONICS")</f>
        <v>B&amp;B ELECTRONICS</v>
      </c>
      <c r="N32" s="586" t="str">
        <f>IFERROR(__xludf.DUMMYFUNCTION("""COMPUTED_VALUE"""),"bos_crd_lenovo_p620")</f>
        <v>bos_crd_lenovo_p620</v>
      </c>
      <c r="O32" s="586"/>
      <c r="P32" s="586" t="s">
        <v>734</v>
      </c>
    </row>
    <row r="33">
      <c r="A33" s="490"/>
      <c r="B33" s="490" t="str">
        <f>IFERROR(__xludf.DUMMYFUNCTION("""COMPUTED_VALUE"""),"Ethernet TCP/IP, KNX, DMX")</f>
        <v>Ethernet TCP/IP, KNX, DMX</v>
      </c>
      <c r="C33" s="490" t="str">
        <f>IFERROR(__xludf.DUMMYFUNCTION("""COMPUTED_VALUE"""),"Renewable Power System")</f>
        <v>Renewable Power System</v>
      </c>
      <c r="D33" s="593" t="str">
        <f>IFERROR(__xludf.DUMMYFUNCTION("""COMPUTED_VALUE"""),"ALPTECH")</f>
        <v>ALPTECH</v>
      </c>
      <c r="E33" s="593" t="str">
        <f>IFERROR(__xludf.DUMMYFUNCTION("""COMPUTED_VALUE"""),"ACER")</f>
        <v>ACER</v>
      </c>
      <c r="F33" s="593" t="str">
        <f>IFERROR(__xludf.DUMMYFUNCTION("""COMPUTED_VALUE"""),"CXI3-4GKM")</f>
        <v>CXI3-4GKM</v>
      </c>
      <c r="G33" s="490"/>
      <c r="H33" s="490"/>
      <c r="I33" s="490"/>
      <c r="J33" s="594" t="str">
        <f>IFERROR(__xludf.DUMMYFUNCTION("""COMPUTED_VALUE"""),"CB")</f>
        <v>CB</v>
      </c>
      <c r="K33" s="597" t="str">
        <f>IFERROR(__xludf.DUMMYFUNCTION("""COMPUTED_VALUE"""),"4")</f>
        <v>4</v>
      </c>
      <c r="L33" s="588"/>
      <c r="M33" s="490" t="str">
        <f>IFERROR(__xludf.DUMMYFUNCTION("""COMPUTED_VALUE"""),"BLACK BOX")</f>
        <v>BLACK BOX</v>
      </c>
      <c r="N33" s="490" t="str">
        <f>IFERROR(__xludf.DUMMYFUNCTION("""COMPUTED_VALUE"""),"bos_crd_lenovo_thinkstationp520c")</f>
        <v>bos_crd_lenovo_thinkstationp520c</v>
      </c>
      <c r="O33" s="490"/>
      <c r="P33" s="490" t="s">
        <v>738</v>
      </c>
    </row>
    <row r="34">
      <c r="A34" s="586"/>
      <c r="B34" s="490" t="str">
        <f>IFERROR(__xludf.DUMMYFUNCTION("""COMPUTED_VALUE"""),"Ethernet TCP/IP, LON")</f>
        <v>Ethernet TCP/IP, LON</v>
      </c>
      <c r="C34" s="586" t="str">
        <f>IFERROR(__xludf.DUMMYFUNCTION("""COMPUTED_VALUE"""),"Pool &amp; Spa Packaged System")</f>
        <v>Pool &amp; Spa Packaged System</v>
      </c>
      <c r="D34" s="593" t="str">
        <f>IFERROR(__xludf.DUMMYFUNCTION("""COMPUTED_VALUE"""),"ALTO-SHAAM")</f>
        <v>ALTO-SHAAM</v>
      </c>
      <c r="E34" s="587" t="str">
        <f>IFERROR(__xludf.DUMMYFUNCTION("""COMPUTED_VALUE"""),"ACER")</f>
        <v>ACER</v>
      </c>
      <c r="F34" s="587" t="str">
        <f>IFERROR(__xludf.DUMMYFUNCTION("""COMPUTED_VALUE"""),"VERITON X2640G")</f>
        <v>VERITON X2640G</v>
      </c>
      <c r="G34" s="586"/>
      <c r="H34" s="586"/>
      <c r="I34" s="490"/>
      <c r="J34" s="594" t="str">
        <f>IFERROR(__xludf.DUMMYFUNCTION("""COMPUTED_VALUE"""),"CC")</f>
        <v>CC</v>
      </c>
      <c r="K34" s="597" t="str">
        <f>IFERROR(__xludf.DUMMYFUNCTION("""COMPUTED_VALUE"""),"5")</f>
        <v>5</v>
      </c>
      <c r="L34" s="83"/>
      <c r="M34" s="490" t="str">
        <f>IFERROR(__xludf.DUMMYFUNCTION("""COMPUTED_VALUE"""),"BLACK BOX")</f>
        <v>BLACK BOX</v>
      </c>
      <c r="N34" s="490" t="str">
        <f>IFERROR(__xludf.DUMMYFUNCTION("""COMPUTED_VALUE"""),"bos_daintree_wac60")</f>
        <v>bos_daintree_wac60</v>
      </c>
      <c r="O34" s="490"/>
      <c r="P34" s="490" t="s">
        <v>917</v>
      </c>
    </row>
    <row r="35">
      <c r="A35" s="586"/>
      <c r="B35" s="598" t="str">
        <f>IFERROR(__xludf.DUMMYFUNCTION("""COMPUTED_VALUE"""),"Ethernet TCP/IP, M-Net")</f>
        <v>Ethernet TCP/IP, M-Net</v>
      </c>
      <c r="C35" s="595" t="str">
        <f>IFERROR(__xludf.DUMMYFUNCTION("""COMPUTED_VALUE"""),"Security/CCTV System")</f>
        <v>Security/CCTV System</v>
      </c>
      <c r="D35" s="593" t="str">
        <f>IFERROR(__xludf.DUMMYFUNCTION("""COMPUTED_VALUE"""),"ALTUS")</f>
        <v>ALTUS</v>
      </c>
      <c r="E35" s="587" t="str">
        <f>IFERROR(__xludf.DUMMYFUNCTION("""COMPUTED_VALUE"""),"ACER")</f>
        <v>ACER</v>
      </c>
      <c r="F35" s="587" t="str">
        <f>IFERROR(__xludf.DUMMYFUNCTION("""COMPUTED_VALUE"""),"CHROMEBASE 24 CA24V-CT")</f>
        <v>CHROMEBASE 24 CA24V-CT</v>
      </c>
      <c r="G35" s="586"/>
      <c r="H35" s="586"/>
      <c r="I35" s="490"/>
      <c r="J35" s="588" t="str">
        <f>IFERROR(__xludf.DUMMYFUNCTION("""COMPUTED_VALUE"""),"CCCH")</f>
        <v>CCCH</v>
      </c>
      <c r="K35" s="597" t="str">
        <f>IFERROR(__xludf.DUMMYFUNCTION("""COMPUTED_VALUE"""),"6")</f>
        <v>6</v>
      </c>
      <c r="L35" s="588"/>
      <c r="M35" s="490" t="str">
        <f>IFERROR(__xludf.DUMMYFUNCTION("""COMPUTED_VALUE"""),"BUFFALO")</f>
        <v>BUFFALO</v>
      </c>
      <c r="N35" s="490" t="str">
        <f>IFERROR(__xludf.DUMMYFUNCTION("""COMPUTED_VALUE"""),"bos_danfoss_fc102")</f>
        <v>bos_danfoss_fc102</v>
      </c>
      <c r="O35" s="490"/>
      <c r="P35" s="490" t="s">
        <v>746</v>
      </c>
    </row>
    <row r="36">
      <c r="A36" s="586"/>
      <c r="B36" s="586" t="str">
        <f>IFERROR(__xludf.DUMMYFUNCTION("""COMPUTED_VALUE"""),"Ethernet TCP/IP, MBUS")</f>
        <v>Ethernet TCP/IP, MBUS</v>
      </c>
      <c r="C36" s="490" t="str">
        <f>IFERROR(__xludf.DUMMYFUNCTION("""COMPUTED_VALUE"""),"Sewage System")</f>
        <v>Sewage System</v>
      </c>
      <c r="D36" s="593" t="str">
        <f>IFERROR(__xludf.DUMMYFUNCTION("""COMPUTED_VALUE"""),"AMAZON")</f>
        <v>AMAZON</v>
      </c>
      <c r="E36" s="587" t="str">
        <f>IFERROR(__xludf.DUMMYFUNCTION("""COMPUTED_VALUE"""),"ACQUISUITE")</f>
        <v>ACQUISUITE</v>
      </c>
      <c r="F36" s="587" t="str">
        <f>IFERROR(__xludf.DUMMYFUNCTION("""COMPUTED_VALUE"""),"A8810")</f>
        <v>A8810</v>
      </c>
      <c r="G36" s="586"/>
      <c r="H36" s="586"/>
      <c r="I36" s="490"/>
      <c r="J36" s="594" t="str">
        <f>IFERROR(__xludf.DUMMYFUNCTION("""COMPUTED_VALUE"""),"CDS")</f>
        <v>CDS</v>
      </c>
      <c r="K36" s="597" t="str">
        <f>IFERROR(__xludf.DUMMYFUNCTION("""COMPUTED_VALUE"""),"7")</f>
        <v>7</v>
      </c>
      <c r="L36" s="588"/>
      <c r="M36" s="490" t="str">
        <f>IFERROR(__xludf.DUMMYFUNCTION("""COMPUTED_VALUE"""),"CHARGEPOINT")</f>
        <v>CHARGEPOINT</v>
      </c>
      <c r="N36" s="490" t="str">
        <f>IFERROR(__xludf.DUMMYFUNCTION("""COMPUTED_VALUE"""),"bos_dell_latitude5500")</f>
        <v>bos_dell_latitude5500</v>
      </c>
      <c r="O36" s="490"/>
      <c r="P36" s="490" t="s">
        <v>750</v>
      </c>
    </row>
    <row r="37">
      <c r="A37" s="490"/>
      <c r="B37" s="599" t="str">
        <f>IFERROR(__xludf.DUMMYFUNCTION("""COMPUTED_VALUE"""),"Ethernet TCP/IP, Modbus")</f>
        <v>Ethernet TCP/IP, Modbus</v>
      </c>
      <c r="C37" s="586" t="str">
        <f>IFERROR(__xludf.DUMMYFUNCTION("""COMPUTED_VALUE"""),"Space Utilisation System")</f>
        <v>Space Utilisation System</v>
      </c>
      <c r="D37" s="593" t="str">
        <f>IFERROR(__xludf.DUMMYFUNCTION("""COMPUTED_VALUE"""),"AMERICAN PANEL")</f>
        <v>AMERICAN PANEL</v>
      </c>
      <c r="E37" s="593" t="str">
        <f>IFERROR(__xludf.DUMMYFUNCTION("""COMPUTED_VALUE"""),"ACQUISUITE")</f>
        <v>ACQUISUITE</v>
      </c>
      <c r="F37" s="593" t="str">
        <f>IFERROR(__xludf.DUMMYFUNCTION("""COMPUTED_VALUE"""),"A8812")</f>
        <v>A8812</v>
      </c>
      <c r="G37" s="490"/>
      <c r="H37" s="490"/>
      <c r="I37" s="490"/>
      <c r="J37" s="588" t="str">
        <f>IFERROR(__xludf.DUMMYFUNCTION("""COMPUTED_VALUE"""),"CDU")</f>
        <v>CDU</v>
      </c>
      <c r="K37" s="597" t="str">
        <f>IFERROR(__xludf.DUMMYFUNCTION("""COMPUTED_VALUE"""),"8")</f>
        <v>8</v>
      </c>
      <c r="L37" s="588"/>
      <c r="M37" s="490" t="str">
        <f>IFERROR(__xludf.DUMMYFUNCTION("""COMPUTED_VALUE"""),"CISCO")</f>
        <v>CISCO</v>
      </c>
      <c r="N37" s="490" t="str">
        <f>IFERROR(__xludf.DUMMYFUNCTION("""COMPUTED_VALUE"""),"bos_dell_latitude5580")</f>
        <v>bos_dell_latitude5580</v>
      </c>
      <c r="O37" s="490"/>
      <c r="P37" s="490" t="s">
        <v>755</v>
      </c>
    </row>
    <row r="38">
      <c r="A38" s="490"/>
      <c r="B38" s="490" t="str">
        <f>IFERROR(__xludf.DUMMYFUNCTION("""COMPUTED_VALUE"""),"Ethernet TCP/IP, Modbus RTU")</f>
        <v>Ethernet TCP/IP, Modbus RTU</v>
      </c>
      <c r="C38" s="490" t="str">
        <f>IFERROR(__xludf.DUMMYFUNCTION("""COMPUTED_VALUE"""),"Transportation System")</f>
        <v>Transportation System</v>
      </c>
      <c r="D38" s="587" t="str">
        <f>IFERROR(__xludf.DUMMYFUNCTION("""COMPUTED_VALUE"""),"ANATEL")</f>
        <v>ANATEL</v>
      </c>
      <c r="E38" s="593" t="str">
        <f>IFERROR(__xludf.DUMMYFUNCTION("""COMPUTED_VALUE"""),"ACUITY BRANDS")</f>
        <v>ACUITY BRANDS</v>
      </c>
      <c r="F38" s="593" t="str">
        <f>IFERROR(__xludf.DUMMYFUNCTION("""COMPUTED_VALUE"""),"FRESCO")</f>
        <v>FRESCO</v>
      </c>
      <c r="G38" s="490"/>
      <c r="H38" s="490"/>
      <c r="I38" s="490"/>
      <c r="J38" s="588" t="str">
        <f>IFERROR(__xludf.DUMMYFUNCTION("""COMPUTED_VALUE"""),"CDWP")</f>
        <v>CDWP</v>
      </c>
      <c r="K38" s="597" t="str">
        <f>IFERROR(__xludf.DUMMYFUNCTION("""COMPUTED_VALUE"""),"9")</f>
        <v>9</v>
      </c>
      <c r="L38" s="588"/>
      <c r="M38" s="490" t="str">
        <f>IFERROR(__xludf.DUMMYFUNCTION("""COMPUTED_VALUE"""),"CISCO")</f>
        <v>CISCO</v>
      </c>
      <c r="N38" s="490" t="str">
        <f>IFERROR(__xludf.DUMMYFUNCTION("""COMPUTED_VALUE"""),"bos_dell_latitudee5570")</f>
        <v>bos_dell_latitudee5570</v>
      </c>
      <c r="O38" s="490"/>
      <c r="P38" s="490" t="s">
        <v>759</v>
      </c>
    </row>
    <row r="39">
      <c r="A39" s="586"/>
      <c r="B39" s="490" t="str">
        <f>IFERROR(__xludf.DUMMYFUNCTION("""COMPUTED_VALUE"""),"Ethernet TCP/IP, Prop Fieldbus")</f>
        <v>Ethernet TCP/IP, Prop Fieldbus</v>
      </c>
      <c r="C39" s="490" t="str">
        <f>IFERROR(__xludf.DUMMYFUNCTION("""COMPUTED_VALUE"""),"Waste Management System")</f>
        <v>Waste Management System</v>
      </c>
      <c r="D39" s="593" t="str">
        <f>IFERROR(__xludf.DUMMYFUNCTION("""COMPUTED_VALUE"""),"ANDEL")</f>
        <v>ANDEL</v>
      </c>
      <c r="E39" s="587" t="str">
        <f>IFERROR(__xludf.DUMMYFUNCTION("""COMPUTED_VALUE"""),"ACUITY BRANDS")</f>
        <v>ACUITY BRANDS</v>
      </c>
      <c r="F39" s="587" t="str">
        <f>IFERROR(__xludf.DUMMYFUNCTION("""COMPUTED_VALUE"""),"NGWY2")</f>
        <v>NGWY2</v>
      </c>
      <c r="G39" s="586"/>
      <c r="H39" s="586"/>
      <c r="I39" s="490"/>
      <c r="J39" s="594" t="str">
        <f>IFERROR(__xludf.DUMMYFUNCTION("""COMPUTED_VALUE"""),"CGDXO")</f>
        <v>CGDXO</v>
      </c>
      <c r="K39" s="597" t="str">
        <f>IFERROR(__xludf.DUMMYFUNCTION("""COMPUTED_VALUE"""),"10")</f>
        <v>10</v>
      </c>
      <c r="L39" s="588"/>
      <c r="M39" s="490" t="str">
        <f>IFERROR(__xludf.DUMMYFUNCTION("""COMPUTED_VALUE"""),"CISCO")</f>
        <v>CISCO</v>
      </c>
      <c r="N39" s="490" t="str">
        <f>IFERROR(__xludf.DUMMYFUNCTION("""COMPUTED_VALUE"""),"bos_dell_optiplex3020m")</f>
        <v>bos_dell_optiplex3020m</v>
      </c>
      <c r="O39" s="490"/>
      <c r="P39" s="490" t="s">
        <v>764</v>
      </c>
    </row>
    <row r="40">
      <c r="A40" s="490"/>
      <c r="B40" s="490" t="str">
        <f>IFERROR(__xludf.DUMMYFUNCTION("""COMPUTED_VALUE"""),"Ethernet TCP/IP, SNMP")</f>
        <v>Ethernet TCP/IP, SNMP</v>
      </c>
      <c r="C40" s="490" t="str">
        <f>IFERROR(__xludf.DUMMYFUNCTION("""COMPUTED_VALUE"""),"Other System")</f>
        <v>Other System</v>
      </c>
      <c r="D40" s="600" t="str">
        <f>IFERROR(__xludf.DUMMYFUNCTION("""COMPUTED_VALUE"""),"ANDOVER")</f>
        <v>ANDOVER</v>
      </c>
      <c r="E40" s="593" t="str">
        <f>IFERROR(__xludf.DUMMYFUNCTION("""COMPUTED_VALUE"""),"ACUITY BRANDS")</f>
        <v>ACUITY BRANDS</v>
      </c>
      <c r="F40" s="593" t="str">
        <f>IFERROR(__xludf.DUMMYFUNCTION("""COMPUTED_VALUE"""),"NGWY2 GFX")</f>
        <v>NGWY2 GFX</v>
      </c>
      <c r="G40" s="490"/>
      <c r="H40" s="490"/>
      <c r="I40" s="490"/>
      <c r="J40" s="594" t="str">
        <f>IFERROR(__xludf.DUMMYFUNCTION("""COMPUTED_VALUE"""),"CGW")</f>
        <v>CGW</v>
      </c>
      <c r="K40" s="597" t="str">
        <f>IFERROR(__xludf.DUMMYFUNCTION("""COMPUTED_VALUE"""),"11")</f>
        <v>11</v>
      </c>
      <c r="L40" s="588"/>
      <c r="M40" s="490" t="str">
        <f>IFERROR(__xludf.DUMMYFUNCTION("""COMPUTED_VALUE"""),"CISCO")</f>
        <v>CISCO</v>
      </c>
      <c r="N40" s="490" t="str">
        <f>IFERROR(__xludf.DUMMYFUNCTION("""COMPUTED_VALUE"""),"bos_dell_optiplex3070")</f>
        <v>bos_dell_optiplex3070</v>
      </c>
      <c r="O40" s="490"/>
      <c r="P40" s="490" t="s">
        <v>770</v>
      </c>
    </row>
    <row r="41">
      <c r="A41" s="490"/>
      <c r="B41" s="602" t="str">
        <f>IFERROR(__xludf.DUMMYFUNCTION("""COMPUTED_VALUE"""),"Ethernet TCP/IP, UDP/IP")</f>
        <v>Ethernet TCP/IP, UDP/IP</v>
      </c>
      <c r="C41" s="586"/>
      <c r="D41" s="593" t="str">
        <f>IFERROR(__xludf.DUMMYFUNCTION("""COMPUTED_VALUE"""),"ANDROID")</f>
        <v>ANDROID</v>
      </c>
      <c r="E41" s="593" t="str">
        <f>IFERROR(__xludf.DUMMYFUNCTION("""COMPUTED_VALUE"""),"ACUITY BRANDS")</f>
        <v>ACUITY BRANDS</v>
      </c>
      <c r="F41" s="593" t="str">
        <f>IFERROR(__xludf.DUMMYFUNCTION("""COMPUTED_VALUE"""),"RPOD MICRO")</f>
        <v>RPOD MICRO</v>
      </c>
      <c r="G41" s="490"/>
      <c r="H41" s="490"/>
      <c r="I41" s="490"/>
      <c r="J41" s="588" t="str">
        <f>IFERROR(__xludf.DUMMYFUNCTION("""COMPUTED_VALUE"""),"CH")</f>
        <v>CH</v>
      </c>
      <c r="K41" s="597" t="str">
        <f>IFERROR(__xludf.DUMMYFUNCTION("""COMPUTED_VALUE"""),"12")</f>
        <v>12</v>
      </c>
      <c r="L41" s="588"/>
      <c r="M41" s="490" t="str">
        <f>IFERROR(__xludf.DUMMYFUNCTION("""COMPUTED_VALUE"""),"CISCO")</f>
        <v>CISCO</v>
      </c>
      <c r="N41" s="490" t="str">
        <f>IFERROR(__xludf.DUMMYFUNCTION("""COMPUTED_VALUE"""),"bos_dell_optiplex3080")</f>
        <v>bos_dell_optiplex3080</v>
      </c>
      <c r="O41" s="490"/>
      <c r="P41" s="490" t="s">
        <v>774</v>
      </c>
    </row>
    <row r="42">
      <c r="A42" s="586"/>
      <c r="B42" s="490" t="str">
        <f>IFERROR(__xludf.DUMMYFUNCTION("""COMPUTED_VALUE"""),"Ethernet TCP/IP, Zigbee")</f>
        <v>Ethernet TCP/IP, Zigbee</v>
      </c>
      <c r="C42" s="586"/>
      <c r="D42" s="587" t="str">
        <f>IFERROR(__xludf.DUMMYFUNCTION("""COMPUTED_VALUE"""),"ANORD MARDIX")</f>
        <v>ANORD MARDIX</v>
      </c>
      <c r="E42" s="587" t="str">
        <f>IFERROR(__xludf.DUMMYFUNCTION("""COMPUTED_VALUE"""),"ACUITY CONTROLS")</f>
        <v>ACUITY CONTROLS</v>
      </c>
      <c r="F42" s="587" t="str">
        <f>IFERROR(__xludf.DUMMYFUNCTION("""COMPUTED_VALUE"""),"NLIGHT AIR ADAPTER")</f>
        <v>NLIGHT AIR ADAPTER</v>
      </c>
      <c r="G42" s="586"/>
      <c r="H42" s="586"/>
      <c r="I42" s="490"/>
      <c r="J42" s="588" t="str">
        <f>IFERROR(__xludf.DUMMYFUNCTION("""COMPUTED_VALUE"""),"CHB")</f>
        <v>CHB</v>
      </c>
      <c r="K42" s="597" t="str">
        <f>IFERROR(__xludf.DUMMYFUNCTION("""COMPUTED_VALUE"""),"13")</f>
        <v>13</v>
      </c>
      <c r="L42" s="588"/>
      <c r="M42" s="490" t="str">
        <f>IFERROR(__xludf.DUMMYFUNCTION("""COMPUTED_VALUE"""),"CISCO")</f>
        <v>CISCO</v>
      </c>
      <c r="N42" s="490" t="str">
        <f>IFERROR(__xludf.DUMMYFUNCTION("""COMPUTED_VALUE"""),"bos_dell_optiplex5050")</f>
        <v>bos_dell_optiplex5050</v>
      </c>
      <c r="O42" s="490"/>
      <c r="P42" s="490" t="s">
        <v>779</v>
      </c>
    </row>
    <row r="43">
      <c r="A43" s="586"/>
      <c r="B43" s="490" t="str">
        <f>IFERROR(__xludf.DUMMYFUNCTION("""COMPUTED_VALUE"""),"Ethernet UDP/IP")</f>
        <v>Ethernet UDP/IP</v>
      </c>
      <c r="C43" s="490"/>
      <c r="D43" s="587" t="str">
        <f>IFERROR(__xludf.DUMMYFUNCTION("""COMPUTED_VALUE"""),"ANSUL")</f>
        <v>ANSUL</v>
      </c>
      <c r="E43" s="587" t="str">
        <f>IFERROR(__xludf.DUMMYFUNCTION("""COMPUTED_VALUE"""),"ADAPT IDEATIONS")</f>
        <v>ADAPT IDEATIONS</v>
      </c>
      <c r="F43" s="587" t="str">
        <f>IFERROR(__xludf.DUMMYFUNCTION("""COMPUTED_VALUE"""),"KELVIN M300")</f>
        <v>KELVIN M300</v>
      </c>
      <c r="G43" s="586"/>
      <c r="H43" s="586"/>
      <c r="I43" s="490"/>
      <c r="J43" s="594" t="str">
        <f>IFERROR(__xludf.DUMMYFUNCTION("""COMPUTED_VALUE"""),"CHDU")</f>
        <v>CHDU</v>
      </c>
      <c r="K43" s="597" t="str">
        <f>IFERROR(__xludf.DUMMYFUNCTION("""COMPUTED_VALUE"""),"14")</f>
        <v>14</v>
      </c>
      <c r="L43" s="588"/>
      <c r="M43" s="490" t="str">
        <f>IFERROR(__xludf.DUMMYFUNCTION("""COMPUTED_VALUE"""),"CISCO")</f>
        <v>CISCO</v>
      </c>
      <c r="N43" s="490" t="str">
        <f>IFERROR(__xludf.DUMMYFUNCTION("""COMPUTED_VALUE"""),"bos_dell_optiplex7070")</f>
        <v>bos_dell_optiplex7070</v>
      </c>
      <c r="O43" s="490"/>
      <c r="P43" s="490" t="s">
        <v>783</v>
      </c>
    </row>
    <row r="44">
      <c r="A44" s="490"/>
      <c r="B44" s="598" t="str">
        <f>IFERROR(__xludf.DUMMYFUNCTION("""COMPUTED_VALUE"""),"IEEE 802.15.4")</f>
        <v>IEEE 802.15.4</v>
      </c>
      <c r="C44" s="30"/>
      <c r="D44" s="587" t="str">
        <f>IFERROR(__xludf.DUMMYFUNCTION("""COMPUTED_VALUE"""),"AO SMITH")</f>
        <v>AO SMITH</v>
      </c>
      <c r="E44" s="593" t="str">
        <f>IFERROR(__xludf.DUMMYFUNCTION("""COMPUTED_VALUE"""),"ADB ITALIA")</f>
        <v>ADB ITALIA</v>
      </c>
      <c r="F44" s="593" t="str">
        <f>IFERROR(__xludf.DUMMYFUNCTION("""COMPUTED_VALUE"""),"VT 5920")</f>
        <v>VT 5920</v>
      </c>
      <c r="G44" s="490"/>
      <c r="H44" s="490"/>
      <c r="I44" s="490"/>
      <c r="J44" s="588" t="str">
        <f>IFERROR(__xludf.DUMMYFUNCTION("""COMPUTED_VALUE"""),"CHWP")</f>
        <v>CHWP</v>
      </c>
      <c r="K44" s="597" t="str">
        <f>IFERROR(__xludf.DUMMYFUNCTION("""COMPUTED_VALUE"""),"15")</f>
        <v>15</v>
      </c>
      <c r="L44" s="588"/>
      <c r="M44" s="490" t="str">
        <f>IFERROR(__xludf.DUMMYFUNCTION("""COMPUTED_VALUE"""),"CISCO")</f>
        <v>CISCO</v>
      </c>
      <c r="N44" s="490" t="str">
        <f>IFERROR(__xludf.DUMMYFUNCTION("""COMPUTED_VALUE"""),"bos_dell_optiplex7080")</f>
        <v>bos_dell_optiplex7080</v>
      </c>
      <c r="O44" s="490"/>
      <c r="P44" s="490" t="s">
        <v>788</v>
      </c>
    </row>
    <row r="45">
      <c r="A45" s="30"/>
      <c r="B45" s="490" t="str">
        <f>IFERROR(__xludf.DUMMYFUNCTION("""COMPUTED_VALUE"""),"KNX")</f>
        <v>KNX</v>
      </c>
      <c r="C45" s="490"/>
      <c r="D45" s="593" t="str">
        <f>IFERROR(__xludf.DUMMYFUNCTION("""COMPUTED_VALUE"""),"AOPEN")</f>
        <v>AOPEN</v>
      </c>
      <c r="E45" s="600" t="str">
        <f>IFERROR(__xludf.DUMMYFUNCTION("""COMPUTED_VALUE"""),"ADFWEB")</f>
        <v>ADFWEB</v>
      </c>
      <c r="F45" s="600" t="str">
        <f>IFERROR(__xludf.DUMMYFUNCTION("""COMPUTED_VALUE"""),"HD67029-B2-485-40")</f>
        <v>HD67029-B2-485-40</v>
      </c>
      <c r="G45" s="30"/>
      <c r="H45" s="30"/>
      <c r="I45" s="586"/>
      <c r="J45" s="588" t="str">
        <f>IFERROR(__xludf.DUMMYFUNCTION("""COMPUTED_VALUE"""),"CHWV")</f>
        <v>CHWV</v>
      </c>
      <c r="K45" s="589" t="str">
        <f>IFERROR(__xludf.DUMMYFUNCTION("""COMPUTED_VALUE"""),"16")</f>
        <v>16</v>
      </c>
      <c r="L45" s="594"/>
      <c r="M45" s="586" t="str">
        <f>IFERROR(__xludf.DUMMYFUNCTION("""COMPUTED_VALUE"""),"CISCO")</f>
        <v>CISCO</v>
      </c>
      <c r="N45" s="586" t="str">
        <f>IFERROR(__xludf.DUMMYFUNCTION("""COMPUTED_VALUE"""),"bos_dell_poweredge_t340")</f>
        <v>bos_dell_poweredge_t340</v>
      </c>
      <c r="O45" s="586"/>
      <c r="P45" s="586" t="s">
        <v>958</v>
      </c>
    </row>
    <row r="46">
      <c r="A46" s="490"/>
      <c r="B46" s="490" t="str">
        <f>IFERROR(__xludf.DUMMYFUNCTION("""COMPUTED_VALUE"""),"LON")</f>
        <v>LON</v>
      </c>
      <c r="C46" s="30"/>
      <c r="D46" s="593" t="str">
        <f>IFERROR(__xludf.DUMMYFUNCTION("""COMPUTED_VALUE"""),"AOPRE")</f>
        <v>AOPRE</v>
      </c>
      <c r="E46" s="593" t="str">
        <f>IFERROR(__xludf.DUMMYFUNCTION("""COMPUTED_VALUE"""),"ADFWEB")</f>
        <v>ADFWEB</v>
      </c>
      <c r="F46" s="593" t="str">
        <f>IFERROR(__xludf.DUMMYFUNCTION("""COMPUTED_VALUE"""),"HD67056-B2-40")</f>
        <v>HD67056-B2-40</v>
      </c>
      <c r="G46" s="490"/>
      <c r="H46" s="490"/>
      <c r="I46" s="490"/>
      <c r="J46" s="594" t="str">
        <f>IFERROR(__xludf.DUMMYFUNCTION("""COMPUTED_VALUE"""),"CKV")</f>
        <v>CKV</v>
      </c>
      <c r="K46" s="597" t="str">
        <f>IFERROR(__xludf.DUMMYFUNCTION("""COMPUTED_VALUE"""),"17")</f>
        <v>17</v>
      </c>
      <c r="L46" s="588"/>
      <c r="M46" s="490" t="str">
        <f>IFERROR(__xludf.DUMMYFUNCTION("""COMPUTED_VALUE"""),"CISCO")</f>
        <v>CISCO</v>
      </c>
      <c r="N46" s="490" t="str">
        <f>IFERROR(__xludf.DUMMYFUNCTION("""COMPUTED_VALUE"""),"bos_dell_poweredger640")</f>
        <v>bos_dell_poweredger640</v>
      </c>
      <c r="O46" s="490"/>
      <c r="P46" s="490" t="s">
        <v>792</v>
      </c>
    </row>
    <row r="47">
      <c r="A47" s="30"/>
      <c r="B47" s="598" t="str">
        <f>IFERROR(__xludf.DUMMYFUNCTION("""COMPUTED_VALUE"""),"M-Net")</f>
        <v>M-Net</v>
      </c>
      <c r="C47" s="490"/>
      <c r="D47" s="593" t="str">
        <f>IFERROR(__xludf.DUMMYFUNCTION("""COMPUTED_VALUE"""),"APC")</f>
        <v>APC</v>
      </c>
      <c r="E47" s="600" t="str">
        <f>IFERROR(__xludf.DUMMYFUNCTION("""COMPUTED_VALUE"""),"ADFWEB")</f>
        <v>ADFWEB</v>
      </c>
      <c r="F47" s="600" t="str">
        <f>IFERROR(__xludf.DUMMYFUNCTION("""COMPUTED_VALUE"""),"HD67056-B2-80")</f>
        <v>HD67056-B2-80</v>
      </c>
      <c r="G47" s="30"/>
      <c r="H47" s="30"/>
      <c r="I47" s="586"/>
      <c r="J47" s="594" t="str">
        <f>IFERROR(__xludf.DUMMYFUNCTION("""COMPUTED_VALUE"""),"CMP")</f>
        <v>CMP</v>
      </c>
      <c r="K47" s="589" t="str">
        <f>IFERROR(__xludf.DUMMYFUNCTION("""COMPUTED_VALUE"""),"18")</f>
        <v>18</v>
      </c>
      <c r="L47" s="594"/>
      <c r="M47" s="586" t="str">
        <f>IFERROR(__xludf.DUMMYFUNCTION("""COMPUTED_VALUE"""),"CISCO")</f>
        <v>CISCO</v>
      </c>
      <c r="N47" s="586" t="str">
        <f>IFERROR(__xludf.DUMMYFUNCTION("""COMPUTED_VALUE"""),"bos_dell_precision3240")</f>
        <v>bos_dell_precision3240</v>
      </c>
      <c r="O47" s="586"/>
      <c r="P47" s="586" t="s">
        <v>798</v>
      </c>
    </row>
    <row r="48">
      <c r="A48" s="490"/>
      <c r="B48" s="586" t="str">
        <f>IFERROR(__xludf.DUMMYFUNCTION("""COMPUTED_VALUE"""),"Modbus RTU")</f>
        <v>Modbus RTU</v>
      </c>
      <c r="C48" s="490"/>
      <c r="D48" s="587" t="str">
        <f>IFERROR(__xludf.DUMMYFUNCTION("""COMPUTED_VALUE"""),"APPLE")</f>
        <v>APPLE</v>
      </c>
      <c r="E48" s="593" t="str">
        <f>IFERROR(__xludf.DUMMYFUNCTION("""COMPUTED_VALUE"""),"ADFWEB")</f>
        <v>ADFWEB</v>
      </c>
      <c r="F48" s="593" t="str">
        <f>IFERROR(__xludf.DUMMYFUNCTION("""COMPUTED_VALUE"""),"HD67044")</f>
        <v>HD67044</v>
      </c>
      <c r="G48" s="490"/>
      <c r="H48" s="490"/>
      <c r="I48" s="490"/>
      <c r="J48" s="594" t="str">
        <f>IFERROR(__xludf.DUMMYFUNCTION("""COMPUTED_VALUE"""),"CMS")</f>
        <v>CMS</v>
      </c>
      <c r="K48" s="597" t="str">
        <f>IFERROR(__xludf.DUMMYFUNCTION("""COMPUTED_VALUE"""),"19")</f>
        <v>19</v>
      </c>
      <c r="L48" s="588"/>
      <c r="M48" s="490" t="str">
        <f>IFERROR(__xludf.DUMMYFUNCTION("""COMPUTED_VALUE"""),"CISCO")</f>
        <v>CISCO</v>
      </c>
      <c r="N48" s="490" t="str">
        <f>IFERROR(__xludf.DUMMYFUNCTION("""COMPUTED_VALUE"""),"bos_dell_precision3630")</f>
        <v>bos_dell_precision3630</v>
      </c>
      <c r="O48" s="490"/>
      <c r="P48" s="490" t="s">
        <v>802</v>
      </c>
    </row>
    <row r="49">
      <c r="A49" s="490"/>
      <c r="B49" s="586" t="str">
        <f>IFERROR(__xludf.DUMMYFUNCTION("""COMPUTED_VALUE"""),"Modbus TCP")</f>
        <v>Modbus TCP</v>
      </c>
      <c r="C49" s="30"/>
      <c r="D49" s="593" t="str">
        <f>IFERROR(__xludf.DUMMYFUNCTION("""COMPUTED_VALUE"""),"APPLIED TECHNO")</f>
        <v>APPLIED TECHNO</v>
      </c>
      <c r="E49" s="593" t="str">
        <f>IFERROR(__xludf.DUMMYFUNCTION("""COMPUTED_VALUE"""),"ADFWEB")</f>
        <v>ADFWEB</v>
      </c>
      <c r="F49" s="593" t="str">
        <f>IFERROR(__xludf.DUMMYFUNCTION("""COMPUTED_VALUE"""),"HD67056-B2-160")</f>
        <v>HD67056-B2-160</v>
      </c>
      <c r="G49" s="490"/>
      <c r="H49" s="490"/>
      <c r="I49" s="490"/>
      <c r="J49" s="588" t="str">
        <f>IFERROR(__xludf.DUMMYFUNCTION("""COMPUTED_VALUE"""),"CNDO")</f>
        <v>CNDO</v>
      </c>
      <c r="K49" s="597" t="str">
        <f>IFERROR(__xludf.DUMMYFUNCTION("""COMPUTED_VALUE"""),"20")</f>
        <v>20</v>
      </c>
      <c r="L49" s="588"/>
      <c r="M49" s="490" t="str">
        <f>IFERROR(__xludf.DUMMYFUNCTION("""COMPUTED_VALUE"""),"CISCO")</f>
        <v>CISCO</v>
      </c>
      <c r="N49" s="490" t="str">
        <f>IFERROR(__xludf.DUMMYFUNCTION("""COMPUTED_VALUE"""),"bos_dell_precision7520")</f>
        <v>bos_dell_precision7520</v>
      </c>
      <c r="O49" s="490"/>
      <c r="P49" s="490" t="s">
        <v>809</v>
      </c>
    </row>
    <row r="50">
      <c r="A50" s="30"/>
      <c r="B50" s="490" t="str">
        <f>IFERROR(__xludf.DUMMYFUNCTION("""COMPUTED_VALUE"""),"Modbus TCP, MBUS")</f>
        <v>Modbus TCP, MBUS</v>
      </c>
      <c r="C50" s="30"/>
      <c r="D50" s="593" t="str">
        <f>IFERROR(__xludf.DUMMYFUNCTION("""COMPUTED_VALUE"""),"APRESIA")</f>
        <v>APRESIA</v>
      </c>
      <c r="E50" s="600" t="str">
        <f>IFERROR(__xludf.DUMMYFUNCTION("""COMPUTED_VALUE"""),"ADIDAS")</f>
        <v>ADIDAS</v>
      </c>
      <c r="F50" s="600" t="str">
        <f>IFERROR(__xludf.DUMMYFUNCTION("""COMPUTED_VALUE"""),"T-19X")</f>
        <v>T-19X</v>
      </c>
      <c r="G50" s="30"/>
      <c r="H50" s="30"/>
      <c r="I50" s="490"/>
      <c r="J50" s="588" t="str">
        <f>IFERROR(__xludf.DUMMYFUNCTION("""COMPUTED_VALUE"""),"CNP")</f>
        <v>CNP</v>
      </c>
      <c r="K50" s="597" t="str">
        <f>IFERROR(__xludf.DUMMYFUNCTION("""COMPUTED_VALUE"""),"21")</f>
        <v>21</v>
      </c>
      <c r="L50" s="83"/>
      <c r="M50" s="490" t="str">
        <f>IFERROR(__xludf.DUMMYFUNCTION("""COMPUTED_VALUE"""),"CISCO")</f>
        <v>CISCO</v>
      </c>
      <c r="N50" s="490" t="str">
        <f>IFERROR(__xludf.DUMMYFUNCTION("""COMPUTED_VALUE"""),"bos_dell_vostro3670")</f>
        <v>bos_dell_vostro3670</v>
      </c>
      <c r="O50" s="490"/>
      <c r="P50" s="490" t="s">
        <v>815</v>
      </c>
    </row>
    <row r="51">
      <c r="A51" s="30"/>
      <c r="B51" s="490" t="str">
        <f>IFERROR(__xludf.DUMMYFUNCTION("""COMPUTED_VALUE"""),"Modbus TCP, Modbus RTU, LON")</f>
        <v>Modbus TCP, Modbus RTU, LON</v>
      </c>
      <c r="C51" s="490"/>
      <c r="D51" s="593" t="str">
        <f>IFERROR(__xludf.DUMMYFUNCTION("""COMPUTED_VALUE"""),"AQUA FLO-PAK")</f>
        <v>AQUA FLO-PAK</v>
      </c>
      <c r="E51" s="600" t="str">
        <f>IFERROR(__xludf.DUMMYFUNCTION("""COMPUTED_VALUE"""),"ADTRAN")</f>
        <v>ADTRAN</v>
      </c>
      <c r="F51" s="600" t="str">
        <f>IFERROR(__xludf.DUMMYFUNCTION("""COMPUTED_VALUE"""),"NETVANTA 838T")</f>
        <v>NETVANTA 838T</v>
      </c>
      <c r="G51" s="30"/>
      <c r="H51" s="30"/>
      <c r="I51" s="490"/>
      <c r="J51" s="594" t="str">
        <f>IFERROR(__xludf.DUMMYFUNCTION("""COMPUTED_VALUE"""),"CNR")</f>
        <v>CNR</v>
      </c>
      <c r="K51" s="597" t="str">
        <f>IFERROR(__xludf.DUMMYFUNCTION("""COMPUTED_VALUE"""),"22")</f>
        <v>22</v>
      </c>
      <c r="L51" s="588"/>
      <c r="M51" s="490" t="str">
        <f>IFERROR(__xludf.DUMMYFUNCTION("""COMPUTED_VALUE"""),"CISCO")</f>
        <v>CISCO</v>
      </c>
      <c r="N51" s="490" t="str">
        <f>IFERROR(__xludf.DUMMYFUNCTION("""COMPUTED_VALUE"""),"bos_delmatic_ipbw6")</f>
        <v>bos_delmatic_ipbw6</v>
      </c>
      <c r="O51" s="490"/>
      <c r="P51" s="490" t="s">
        <v>819</v>
      </c>
    </row>
    <row r="52">
      <c r="A52" s="490"/>
      <c r="B52" s="490" t="str">
        <f>IFERROR(__xludf.DUMMYFUNCTION("""COMPUTED_VALUE"""),"Modbus TCP, Modbus RTU, M-Bus")</f>
        <v>Modbus TCP, Modbus RTU, M-Bus</v>
      </c>
      <c r="C52" s="490"/>
      <c r="D52" s="587" t="str">
        <f>IFERROR(__xludf.DUMMYFUNCTION("""COMPUTED_VALUE"""),"AQUA LIBRA")</f>
        <v>AQUA LIBRA</v>
      </c>
      <c r="E52" s="593" t="str">
        <f>IFERROR(__xludf.DUMMYFUNCTION("""COMPUTED_VALUE"""),"ADVANTAGE CONTROLS")</f>
        <v>ADVANTAGE CONTROLS</v>
      </c>
      <c r="F52" s="593" t="str">
        <f>IFERROR(__xludf.DUMMYFUNCTION("""COMPUTED_VALUE"""),"MEGATRON")</f>
        <v>MEGATRON</v>
      </c>
      <c r="G52" s="490"/>
      <c r="H52" s="490"/>
      <c r="I52" s="586"/>
      <c r="J52" s="594" t="str">
        <f>IFERROR(__xludf.DUMMYFUNCTION("""COMPUTED_VALUE"""),"CNTRL")</f>
        <v>CNTRL</v>
      </c>
      <c r="K52" s="589" t="str">
        <f>IFERROR(__xludf.DUMMYFUNCTION("""COMPUTED_VALUE"""),"23")</f>
        <v>23</v>
      </c>
      <c r="L52" s="594"/>
      <c r="M52" s="586" t="str">
        <f>IFERROR(__xludf.DUMMYFUNCTION("""COMPUTED_VALUE"""),"CISCO")</f>
        <v>CISCO</v>
      </c>
      <c r="N52" s="586" t="str">
        <f>IFERROR(__xludf.DUMMYFUNCTION("""COMPUTED_VALUE"""),"bos_delta_coppercube")</f>
        <v>bos_delta_coppercube</v>
      </c>
      <c r="O52" s="586"/>
      <c r="P52" s="586" t="s">
        <v>826</v>
      </c>
    </row>
    <row r="53">
      <c r="A53" s="490"/>
      <c r="B53" s="598" t="str">
        <f>IFERROR(__xludf.DUMMYFUNCTION("""COMPUTED_VALUE"""),"Modbus, BACnet, Ethernet TCP/IP")</f>
        <v>Modbus, BACnet, Ethernet TCP/IP</v>
      </c>
      <c r="C53" s="586"/>
      <c r="D53" s="593" t="str">
        <f>IFERROR(__xludf.DUMMYFUNCTION("""COMPUTED_VALUE"""),"AQUAGEN")</f>
        <v>AQUAGEN</v>
      </c>
      <c r="E53" s="593" t="str">
        <f>IFERROR(__xludf.DUMMYFUNCTION("""COMPUTED_VALUE"""),"ADVANTECH")</f>
        <v>ADVANTECH</v>
      </c>
      <c r="F53" s="593" t="str">
        <f>IFERROR(__xludf.DUMMYFUNCTION("""COMPUTED_VALUE"""),"EKI-2525")</f>
        <v>EKI-2525</v>
      </c>
      <c r="G53" s="490"/>
      <c r="H53" s="490"/>
      <c r="I53" s="490"/>
      <c r="J53" s="588" t="str">
        <f>IFERROR(__xludf.DUMMYFUNCTION("""COMPUTED_VALUE"""),"COIL")</f>
        <v>COIL</v>
      </c>
      <c r="K53" s="597" t="str">
        <f>IFERROR(__xludf.DUMMYFUNCTION("""COMPUTED_VALUE"""),"24")</f>
        <v>24</v>
      </c>
      <c r="L53" s="588"/>
      <c r="M53" s="490" t="str">
        <f>IFERROR(__xludf.DUMMYFUNCTION("""COMPUTED_VALUE"""),"CISCO")</f>
        <v>CISCO</v>
      </c>
      <c r="N53" s="490" t="str">
        <f>IFERROR(__xludf.DUMMYFUNCTION("""COMPUTED_VALUE"""),"bos_delta_ebcon2")</f>
        <v>bos_delta_ebcon2</v>
      </c>
      <c r="O53" s="490"/>
      <c r="P53" s="490" t="s">
        <v>830</v>
      </c>
    </row>
    <row r="54">
      <c r="A54" s="586"/>
      <c r="B54" s="598" t="str">
        <f>IFERROR(__xludf.DUMMYFUNCTION("""COMPUTED_VALUE"""),"N/A")</f>
        <v>N/A</v>
      </c>
      <c r="C54" s="490"/>
      <c r="D54" s="587" t="str">
        <f>IFERROR(__xludf.DUMMYFUNCTION("""COMPUTED_VALUE"""),"AQUARIO")</f>
        <v>AQUARIO</v>
      </c>
      <c r="E54" s="587" t="str">
        <f>IFERROR(__xludf.DUMMYFUNCTION("""COMPUTED_VALUE"""),"ADVANTECH")</f>
        <v>ADVANTECH</v>
      </c>
      <c r="F54" s="587" t="str">
        <f>IFERROR(__xludf.DUMMYFUNCTION("""COMPUTED_VALUE"""),"UNO-2178A-33E")</f>
        <v>UNO-2178A-33E</v>
      </c>
      <c r="G54" s="586"/>
      <c r="H54" s="586"/>
      <c r="I54" s="586"/>
      <c r="J54" s="588" t="str">
        <f>IFERROR(__xludf.DUMMYFUNCTION("""COMPUTED_VALUE"""),"COS")</f>
        <v>COS</v>
      </c>
      <c r="K54" s="589" t="str">
        <f>IFERROR(__xludf.DUMMYFUNCTION("""COMPUTED_VALUE"""),"25")</f>
        <v>25</v>
      </c>
      <c r="L54" s="594"/>
      <c r="M54" s="586" t="str">
        <f>IFERROR(__xludf.DUMMYFUNCTION("""COMPUTED_VALUE"""),"CISCO")</f>
        <v>CISCO</v>
      </c>
      <c r="N54" s="586" t="str">
        <f>IFERROR(__xludf.DUMMYFUNCTION("""COMPUTED_VALUE"""),"bos_delta_o3dincpu")</f>
        <v>bos_delta_o3dincpu</v>
      </c>
      <c r="O54" s="586"/>
      <c r="P54" s="586" t="s">
        <v>837</v>
      </c>
    </row>
    <row r="55">
      <c r="A55" s="490"/>
      <c r="B55" s="30" t="str">
        <f>IFERROR(__xludf.DUMMYFUNCTION("""COMPUTED_VALUE"""),"nLight Bus")</f>
        <v>nLight Bus</v>
      </c>
      <c r="C55" s="595"/>
      <c r="D55" s="593" t="str">
        <f>IFERROR(__xludf.DUMMYFUNCTION("""COMPUTED_VALUE"""),"ARCADE1UP")</f>
        <v>ARCADE1UP</v>
      </c>
      <c r="E55" s="593" t="str">
        <f>IFERROR(__xludf.DUMMYFUNCTION("""COMPUTED_VALUE"""),"ADVANTECH")</f>
        <v>ADVANTECH</v>
      </c>
      <c r="F55" s="593" t="str">
        <f>IFERROR(__xludf.DUMMYFUNCTION("""COMPUTED_VALUE"""),"UNO-3072LA")</f>
        <v>UNO-3072LA</v>
      </c>
      <c r="G55" s="490"/>
      <c r="H55" s="490"/>
      <c r="I55" s="490"/>
      <c r="J55" s="596" t="str">
        <f>IFERROR(__xludf.DUMMYFUNCTION("""COMPUTED_VALUE"""),"CP")</f>
        <v>CP</v>
      </c>
      <c r="K55" s="597" t="str">
        <f>IFERROR(__xludf.DUMMYFUNCTION("""COMPUTED_VALUE"""),"26")</f>
        <v>26</v>
      </c>
      <c r="L55" s="588"/>
      <c r="M55" s="490" t="str">
        <f>IFERROR(__xludf.DUMMYFUNCTION("""COMPUTED_VALUE"""),"CISCO")</f>
        <v>CISCO</v>
      </c>
      <c r="N55" s="490" t="str">
        <f>IFERROR(__xludf.DUMMYFUNCTION("""COMPUTED_VALUE"""),"bos_delta_o3dinsrc")</f>
        <v>bos_delta_o3dinsrc</v>
      </c>
      <c r="O55" s="490"/>
      <c r="P55" s="490" t="s">
        <v>841</v>
      </c>
    </row>
    <row r="56">
      <c r="A56" s="595"/>
      <c r="B56" s="490" t="str">
        <f>IFERROR(__xludf.DUMMYFUNCTION("""COMPUTED_VALUE"""),"Not Verified")</f>
        <v>Not Verified</v>
      </c>
      <c r="C56" s="490"/>
      <c r="D56" s="600" t="str">
        <f>IFERROR(__xludf.DUMMYFUNCTION("""COMPUTED_VALUE"""),"ARMARAC")</f>
        <v>ARMARAC</v>
      </c>
      <c r="E56" s="603" t="str">
        <f>IFERROR(__xludf.DUMMYFUNCTION("""COMPUTED_VALUE"""),"ADVANTECH")</f>
        <v>ADVANTECH</v>
      </c>
      <c r="F56" s="603" t="str">
        <f>IFERROR(__xludf.DUMMYFUNCTION("""COMPUTED_VALUE"""),"ARK-1123")</f>
        <v>ARK-1123</v>
      </c>
      <c r="G56" s="595"/>
      <c r="H56" s="595"/>
      <c r="I56" s="490"/>
      <c r="J56" s="588" t="str">
        <f>IFERROR(__xludf.DUMMYFUNCTION("""COMPUTED_VALUE"""),"CRAC")</f>
        <v>CRAC</v>
      </c>
      <c r="K56" s="597" t="str">
        <f>IFERROR(__xludf.DUMMYFUNCTION("""COMPUTED_VALUE"""),"27")</f>
        <v>27</v>
      </c>
      <c r="L56" s="588"/>
      <c r="M56" s="490" t="str">
        <f>IFERROR(__xludf.DUMMYFUNCTION("""COMPUTED_VALUE"""),"CISCO")</f>
        <v>CISCO</v>
      </c>
      <c r="N56" s="490" t="str">
        <f>IFERROR(__xludf.DUMMYFUNCTION("""COMPUTED_VALUE"""),"bos_densityio_entry")</f>
        <v>bos_densityio_entry</v>
      </c>
      <c r="O56" s="490"/>
      <c r="P56" s="490" t="s">
        <v>947</v>
      </c>
    </row>
    <row r="57">
      <c r="A57" s="490"/>
      <c r="B57" s="598" t="str">
        <f>IFERROR(__xludf.DUMMYFUNCTION("""COMPUTED_VALUE"""),"SNMP")</f>
        <v>SNMP</v>
      </c>
      <c r="C57" s="586"/>
      <c r="D57" s="593" t="str">
        <f>IFERROR(__xludf.DUMMYFUNCTION("""COMPUTED_VALUE"""),"ARRIS")</f>
        <v>ARRIS</v>
      </c>
      <c r="E57" s="593" t="str">
        <f>IFERROR(__xludf.DUMMYFUNCTION("""COMPUTED_VALUE"""),"ADVANTECH")</f>
        <v>ADVANTECH</v>
      </c>
      <c r="F57" s="593" t="str">
        <f>IFERROR(__xludf.DUMMYFUNCTION("""COMPUTED_VALUE"""),"EPC-U2117")</f>
        <v>EPC-U2117</v>
      </c>
      <c r="G57" s="490"/>
      <c r="H57" s="490"/>
      <c r="I57" s="490"/>
      <c r="J57" s="588" t="str">
        <f>IFERROR(__xludf.DUMMYFUNCTION("""COMPUTED_VALUE"""),"CRAH")</f>
        <v>CRAH</v>
      </c>
      <c r="K57" s="597" t="str">
        <f>IFERROR(__xludf.DUMMYFUNCTION("""COMPUTED_VALUE"""),"28")</f>
        <v>28</v>
      </c>
      <c r="L57" s="588"/>
      <c r="M57" s="490" t="str">
        <f>IFERROR(__xludf.DUMMYFUNCTION("""COMPUTED_VALUE"""),"CISCO")</f>
        <v>CISCO</v>
      </c>
      <c r="N57" s="490" t="str">
        <f>IFERROR(__xludf.DUMMYFUNCTION("""COMPUTED_VALUE"""),"bos_densityio_openarea")</f>
        <v>bos_densityio_openarea</v>
      </c>
      <c r="O57" s="490"/>
      <c r="P57" s="490" t="s">
        <v>845</v>
      </c>
    </row>
    <row r="58">
      <c r="A58" s="586"/>
      <c r="B58" s="490" t="str">
        <f>IFERROR(__xludf.DUMMYFUNCTION("""COMPUTED_VALUE"""),"ZigBee")</f>
        <v>ZigBee</v>
      </c>
      <c r="C58" s="30"/>
      <c r="D58" s="600" t="str">
        <f>IFERROR(__xludf.DUMMYFUNCTION("""COMPUTED_VALUE"""),"ARUBA")</f>
        <v>ARUBA</v>
      </c>
      <c r="E58" s="587" t="str">
        <f>IFERROR(__xludf.DUMMYFUNCTION("""COMPUTED_VALUE"""),"ADVANTECH")</f>
        <v>ADVANTECH</v>
      </c>
      <c r="F58" s="587" t="str">
        <f>IFERROR(__xludf.DUMMYFUNCTION("""COMPUTED_VALUE"""),"EPC-U2117")</f>
        <v>EPC-U2117</v>
      </c>
      <c r="G58" s="586"/>
      <c r="H58" s="586"/>
      <c r="I58" s="490"/>
      <c r="J58" s="594" t="str">
        <f>IFERROR(__xludf.DUMMYFUNCTION("""COMPUTED_VALUE"""),"CS")</f>
        <v>CS</v>
      </c>
      <c r="K58" s="597" t="str">
        <f>IFERROR(__xludf.DUMMYFUNCTION("""COMPUTED_VALUE"""),"29")</f>
        <v>29</v>
      </c>
      <c r="L58" s="588"/>
      <c r="M58" s="490" t="str">
        <f>IFERROR(__xludf.DUMMYFUNCTION("""COMPUTED_VALUE"""),"CISCO")</f>
        <v>CISCO</v>
      </c>
      <c r="N58" s="490" t="str">
        <f>IFERROR(__xludf.DUMMYFUNCTION("""COMPUTED_VALUE"""),"bos_dialog_smartserveriot")</f>
        <v>bos_dialog_smartserveriot</v>
      </c>
      <c r="O58" s="490"/>
      <c r="P58" s="490" t="s">
        <v>852</v>
      </c>
    </row>
    <row r="59">
      <c r="A59" s="30"/>
      <c r="B59" s="30"/>
      <c r="C59" s="30"/>
      <c r="D59" s="593" t="str">
        <f>IFERROR(__xludf.DUMMYFUNCTION("""COMPUTED_VALUE"""),"ASANTE")</f>
        <v>ASANTE</v>
      </c>
      <c r="E59" s="600" t="str">
        <f>IFERROR(__xludf.DUMMYFUNCTION("""COMPUTED_VALUE"""),"ADVANTECH")</f>
        <v>ADVANTECH</v>
      </c>
      <c r="F59" s="600" t="str">
        <f>IFERROR(__xludf.DUMMYFUNCTION("""COMPUTED_VALUE"""),"PPC-3151SW-P65AU")</f>
        <v>PPC-3151SW-P65AU</v>
      </c>
      <c r="G59" s="30"/>
      <c r="H59" s="30"/>
      <c r="I59" s="490"/>
      <c r="J59" s="594" t="str">
        <f>IFERROR(__xludf.DUMMYFUNCTION("""COMPUTED_VALUE"""),"CSG")</f>
        <v>CSG</v>
      </c>
      <c r="K59" s="597" t="str">
        <f>IFERROR(__xludf.DUMMYFUNCTION("""COMPUTED_VALUE"""),"30")</f>
        <v>30</v>
      </c>
      <c r="L59" s="588"/>
      <c r="M59" s="490" t="str">
        <f>IFERROR(__xludf.DUMMYFUNCTION("""COMPUTED_VALUE"""),"CISCO")</f>
        <v>CISCO</v>
      </c>
      <c r="N59" s="490" t="str">
        <f>IFERROR(__xludf.DUMMYFUNCTION("""COMPUTED_VALUE"""),"bos_distech_ecbos8")</f>
        <v>bos_distech_ecbos8</v>
      </c>
      <c r="O59" s="490"/>
      <c r="P59" s="490" t="s">
        <v>856</v>
      </c>
    </row>
    <row r="60">
      <c r="A60" s="30"/>
      <c r="B60" s="586"/>
      <c r="C60" s="586"/>
      <c r="D60" s="593" t="str">
        <f>IFERROR(__xludf.DUMMYFUNCTION("""COMPUTED_VALUE"""),"ASANTE TECHNOLOGIES")</f>
        <v>ASANTE TECHNOLOGIES</v>
      </c>
      <c r="E60" s="600" t="str">
        <f>IFERROR(__xludf.DUMMYFUNCTION("""COMPUTED_VALUE"""),"ADVANTECH")</f>
        <v>ADVANTECH</v>
      </c>
      <c r="F60" s="600" t="str">
        <f>IFERROR(__xludf.DUMMYFUNCTION("""COMPUTED_VALUE"""),"ADAM-6520L")</f>
        <v>ADAM-6520L</v>
      </c>
      <c r="G60" s="30"/>
      <c r="H60" s="30"/>
      <c r="I60" s="490"/>
      <c r="J60" s="594" t="str">
        <f>IFERROR(__xludf.DUMMYFUNCTION("""COMPUTED_VALUE"""),"CT")</f>
        <v>CT</v>
      </c>
      <c r="K60" s="597" t="str">
        <f>IFERROR(__xludf.DUMMYFUNCTION("""COMPUTED_VALUE"""),"31")</f>
        <v>31</v>
      </c>
      <c r="L60" s="588"/>
      <c r="M60" s="490" t="str">
        <f>IFERROR(__xludf.DUMMYFUNCTION("""COMPUTED_VALUE"""),"CISCO")</f>
        <v>CISCO</v>
      </c>
      <c r="N60" s="490" t="str">
        <f>IFERROR(__xludf.DUMMYFUNCTION("""COMPUTED_VALUE"""),"bos_distech_ecy303sep")</f>
        <v>bos_distech_ecy303sep</v>
      </c>
      <c r="O60" s="490"/>
      <c r="P60" s="490" t="s">
        <v>862</v>
      </c>
    </row>
    <row r="61">
      <c r="A61" s="586"/>
      <c r="B61" s="30"/>
      <c r="C61" s="30"/>
      <c r="D61" s="600" t="str">
        <f>IFERROR(__xludf.DUMMYFUNCTION("""COMPUTED_VALUE"""),"ASCO")</f>
        <v>ASCO</v>
      </c>
      <c r="E61" s="587" t="str">
        <f>IFERROR(__xludf.DUMMYFUNCTION("""COMPUTED_VALUE"""),"AERMEC")</f>
        <v>AERMEC</v>
      </c>
      <c r="F61" s="587" t="str">
        <f>IFERROR(__xludf.DUMMYFUNCTION("""COMPUTED_VALUE"""),"NYK SERIES HEAT PUMP")</f>
        <v>NYK SERIES HEAT PUMP</v>
      </c>
      <c r="G61" s="586"/>
      <c r="H61" s="586"/>
      <c r="I61" s="490"/>
      <c r="J61" s="588" t="str">
        <f>IFERROR(__xludf.DUMMYFUNCTION("""COMPUTED_VALUE"""),"CTF")</f>
        <v>CTF</v>
      </c>
      <c r="K61" s="597" t="str">
        <f>IFERROR(__xludf.DUMMYFUNCTION("""COMPUTED_VALUE"""),"32")</f>
        <v>32</v>
      </c>
      <c r="L61" s="588"/>
      <c r="M61" s="490" t="str">
        <f>IFERROR(__xludf.DUMMYFUNCTION("""COMPUTED_VALUE"""),"CISCO")</f>
        <v>CISCO</v>
      </c>
      <c r="N61" s="490" t="str">
        <f>IFERROR(__xludf.DUMMYFUNCTION("""COMPUTED_VALUE"""),"bos_distech_ecyptu")</f>
        <v>bos_distech_ecyptu</v>
      </c>
      <c r="O61" s="490"/>
      <c r="P61" s="490" t="s">
        <v>866</v>
      </c>
    </row>
    <row r="62">
      <c r="A62" s="30"/>
      <c r="B62" s="490"/>
      <c r="C62" s="490"/>
      <c r="D62" s="600" t="str">
        <f>IFERROR(__xludf.DUMMYFUNCTION("""COMPUTED_VALUE"""),"ASI")</f>
        <v>ASI</v>
      </c>
      <c r="E62" s="600" t="str">
        <f>IFERROR(__xludf.DUMMYFUNCTION("""COMPUTED_VALUE"""),"AES CORPORATION")</f>
        <v>AES CORPORATION</v>
      </c>
      <c r="F62" s="600" t="str">
        <f>IFERROR(__xludf.DUMMYFUNCTION("""COMPUTED_VALUE"""),"NETWORK- AES 7788F")</f>
        <v>NETWORK- AES 7788F</v>
      </c>
      <c r="G62" s="30"/>
      <c r="H62" s="30"/>
      <c r="I62" s="490"/>
      <c r="J62" s="588" t="str">
        <f>IFERROR(__xludf.DUMMYFUNCTION("""COMPUTED_VALUE"""),"CTFS")</f>
        <v>CTFS</v>
      </c>
      <c r="K62" s="597" t="str">
        <f>IFERROR(__xludf.DUMMYFUNCTION("""COMPUTED_VALUE"""),"33")</f>
        <v>33</v>
      </c>
      <c r="L62" s="588"/>
      <c r="M62" s="490" t="str">
        <f>IFERROR(__xludf.DUMMYFUNCTION("""COMPUTED_VALUE"""),"CISCO")</f>
        <v>CISCO</v>
      </c>
      <c r="N62" s="490" t="str">
        <f>IFERROR(__xludf.DUMMYFUNCTION("""COMPUTED_VALUE"""),"bos_distech_ecys1000esep")</f>
        <v>bos_distech_ecys1000esep</v>
      </c>
      <c r="O62" s="490"/>
      <c r="P62" s="490" t="s">
        <v>873</v>
      </c>
    </row>
    <row r="63">
      <c r="A63" s="490"/>
      <c r="B63" s="586"/>
      <c r="C63" s="586"/>
      <c r="D63" s="593" t="str">
        <f>IFERROR(__xludf.DUMMYFUNCTION("""COMPUTED_VALUE"""),"ASKEY")</f>
        <v>ASKEY</v>
      </c>
      <c r="E63" s="593" t="str">
        <f>IFERROR(__xludf.DUMMYFUNCTION("""COMPUTED_VALUE"""),"AESPL")</f>
        <v>AESPL</v>
      </c>
      <c r="F63" s="593" t="str">
        <f>IFERROR(__xludf.DUMMYFUNCTION("""COMPUTED_VALUE"""),"RO-1000LPH")</f>
        <v>RO-1000LPH</v>
      </c>
      <c r="G63" s="490"/>
      <c r="H63" s="490"/>
      <c r="I63" s="490"/>
      <c r="J63" s="588" t="str">
        <f>IFERROR(__xludf.DUMMYFUNCTION("""COMPUTED_VALUE"""),"CTRP")</f>
        <v>CTRP</v>
      </c>
      <c r="K63" s="597" t="str">
        <f>IFERROR(__xludf.DUMMYFUNCTION("""COMPUTED_VALUE"""),"34")</f>
        <v>34</v>
      </c>
      <c r="L63" s="588"/>
      <c r="M63" s="490" t="str">
        <f>IFERROR(__xludf.DUMMYFUNCTION("""COMPUTED_VALUE"""),"CISCO")</f>
        <v>CISCO</v>
      </c>
      <c r="N63" s="490" t="str">
        <f>IFERROR(__xludf.DUMMYFUNCTION("""COMPUTED_VALUE"""),"bos_distech_ecytu203sep")</f>
        <v>bos_distech_ecytu203sep</v>
      </c>
      <c r="O63" s="490"/>
      <c r="P63" s="490" t="s">
        <v>877</v>
      </c>
    </row>
    <row r="64">
      <c r="A64" s="586"/>
      <c r="B64" s="490"/>
      <c r="C64" s="490"/>
      <c r="D64" s="593" t="str">
        <f>IFERROR(__xludf.DUMMYFUNCTION("""COMPUTED_VALUE"""),"ASPEN")</f>
        <v>ASPEN</v>
      </c>
      <c r="E64" s="587" t="str">
        <f>IFERROR(__xludf.DUMMYFUNCTION("""COMPUTED_VALUE"""),"AGNEXT")</f>
        <v>AGNEXT</v>
      </c>
      <c r="F64" s="587" t="str">
        <f>IFERROR(__xludf.DUMMYFUNCTION("""COMPUTED_VALUE"""),"SENSENEXT")</f>
        <v>SENSENEXT</v>
      </c>
      <c r="G64" s="586"/>
      <c r="H64" s="586"/>
      <c r="I64" s="490"/>
      <c r="J64" s="588" t="str">
        <f>IFERROR(__xludf.DUMMYFUNCTION("""COMPUTED_VALUE"""),"CTSEPP")</f>
        <v>CTSEPP</v>
      </c>
      <c r="K64" s="597" t="str">
        <f>IFERROR(__xludf.DUMMYFUNCTION("""COMPUTED_VALUE"""),"35")</f>
        <v>35</v>
      </c>
      <c r="L64" s="588"/>
      <c r="M64" s="490" t="str">
        <f>IFERROR(__xludf.DUMMYFUNCTION("""COMPUTED_VALUE"""),"CISCO")</f>
        <v>CISCO</v>
      </c>
      <c r="N64" s="490" t="str">
        <f>IFERROR(__xludf.DUMMYFUNCTION("""COMPUTED_VALUE"""),"bos_distech_ecyvavsep")</f>
        <v>bos_distech_ecyvavsep</v>
      </c>
      <c r="O64" s="490"/>
      <c r="P64" s="490" t="s">
        <v>884</v>
      </c>
    </row>
    <row r="65">
      <c r="A65" s="490"/>
      <c r="B65" s="586"/>
      <c r="C65" s="586"/>
      <c r="D65" s="587" t="str">
        <f>IFERROR(__xludf.DUMMYFUNCTION("""COMPUTED_VALUE"""),"ASTER TECHNOLOGIES")</f>
        <v>ASTER TECHNOLOGIES</v>
      </c>
      <c r="E65" s="593" t="str">
        <f>IFERROR(__xludf.DUMMYFUNCTION("""COMPUTED_VALUE"""),"AIRCON")</f>
        <v>AIRCON</v>
      </c>
      <c r="F65" s="593" t="str">
        <f>IFERROR(__xludf.DUMMYFUNCTION("""COMPUTED_VALUE"""),"AC-2TT-V1")</f>
        <v>AC-2TT-V1</v>
      </c>
      <c r="G65" s="490"/>
      <c r="H65" s="490"/>
      <c r="I65" s="490"/>
      <c r="J65" s="588" t="str">
        <f>IFERROR(__xludf.DUMMYFUNCTION("""COMPUTED_VALUE"""),"CTSFLT")</f>
        <v>CTSFLT</v>
      </c>
      <c r="K65" s="597" t="str">
        <f>IFERROR(__xludf.DUMMYFUNCTION("""COMPUTED_VALUE"""),"36")</f>
        <v>36</v>
      </c>
      <c r="L65" s="588"/>
      <c r="M65" s="490" t="str">
        <f>IFERROR(__xludf.DUMMYFUNCTION("""COMPUTED_VALUE"""),"CISCO")</f>
        <v>CISCO</v>
      </c>
      <c r="N65" s="490" t="str">
        <f>IFERROR(__xludf.DUMMYFUNCTION("""COMPUTED_VALUE"""),"bos_draper_cnc")</f>
        <v>bos_draper_cnc</v>
      </c>
      <c r="O65" s="490"/>
      <c r="P65" s="490" t="s">
        <v>888</v>
      </c>
    </row>
    <row r="66">
      <c r="A66" s="586"/>
      <c r="B66" s="490"/>
      <c r="C66" s="490"/>
      <c r="D66" s="593" t="str">
        <f>IFERROR(__xludf.DUMMYFUNCTION("""COMPUTED_VALUE"""),"ASTORIA")</f>
        <v>ASTORIA</v>
      </c>
      <c r="E66" s="587" t="str">
        <f>IFERROR(__xludf.DUMMYFUNCTION("""COMPUTED_VALUE"""),"AIRTEL")</f>
        <v>AIRTEL</v>
      </c>
      <c r="F66" s="587" t="str">
        <f>IFERROR(__xludf.DUMMYFUNCTION("""COMPUTED_VALUE"""),"E5573S-606")</f>
        <v>E5573S-606</v>
      </c>
      <c r="G66" s="586"/>
      <c r="H66" s="586"/>
      <c r="I66" s="490"/>
      <c r="J66" s="588" t="str">
        <f>IFERROR(__xludf.DUMMYFUNCTION("""COMPUTED_VALUE"""),"CTSSEP")</f>
        <v>CTSSEP</v>
      </c>
      <c r="K66" s="597" t="str">
        <f>IFERROR(__xludf.DUMMYFUNCTION("""COMPUTED_VALUE"""),"37")</f>
        <v>37</v>
      </c>
      <c r="L66" s="588"/>
      <c r="M66" s="490" t="str">
        <f>IFERROR(__xludf.DUMMYFUNCTION("""COMPUTED_VALUE"""),"CISCO")</f>
        <v>CISCO</v>
      </c>
      <c r="N66" s="490" t="str">
        <f>IFERROR(__xludf.DUMMYFUNCTION("""COMPUTED_VALUE"""),"bos_easyio_fs20")</f>
        <v>bos_easyio_fs20</v>
      </c>
      <c r="O66" s="490"/>
      <c r="P66" s="490" t="s">
        <v>895</v>
      </c>
    </row>
    <row r="67">
      <c r="A67" s="490"/>
      <c r="B67" s="490"/>
      <c r="C67" s="490"/>
      <c r="D67" s="603" t="str">
        <f>IFERROR(__xludf.DUMMYFUNCTION("""COMPUTED_VALUE"""),"ASUS")</f>
        <v>ASUS</v>
      </c>
      <c r="E67" s="593" t="str">
        <f>IFERROR(__xludf.DUMMYFUNCTION("""COMPUTED_VALUE"""),"AIRTEL")</f>
        <v>AIRTEL</v>
      </c>
      <c r="F67" s="593" t="str">
        <f>IFERROR(__xludf.DUMMYFUNCTION("""COMPUTED_VALUE"""),"AMF-311WW")</f>
        <v>AMF-311WW</v>
      </c>
      <c r="G67" s="490"/>
      <c r="H67" s="490"/>
      <c r="I67" s="490"/>
      <c r="J67" s="588" t="str">
        <f>IFERROR(__xludf.DUMMYFUNCTION("""COMPUTED_VALUE"""),"CTSU")</f>
        <v>CTSU</v>
      </c>
      <c r="K67" s="597" t="str">
        <f>IFERROR(__xludf.DUMMYFUNCTION("""COMPUTED_VALUE"""),"38")</f>
        <v>38</v>
      </c>
      <c r="L67" s="588"/>
      <c r="M67" s="490" t="str">
        <f>IFERROR(__xludf.DUMMYFUNCTION("""COMPUTED_VALUE"""),"CISCO")</f>
        <v>CISCO</v>
      </c>
      <c r="N67" s="490" t="str">
        <f>IFERROR(__xludf.DUMMYFUNCTION("""COMPUTED_VALUE"""),"bos_easyio_fs32")</f>
        <v>bos_easyio_fs32</v>
      </c>
      <c r="O67" s="490"/>
      <c r="P67" s="490" t="s">
        <v>970</v>
      </c>
    </row>
    <row r="68">
      <c r="A68" s="490"/>
      <c r="B68" s="30"/>
      <c r="C68" s="30"/>
      <c r="D68" s="593" t="str">
        <f>IFERROR(__xludf.DUMMYFUNCTION("""COMPUTED_VALUE"""),"AT&amp;T")</f>
        <v>AT&amp;T</v>
      </c>
      <c r="E68" s="593" t="str">
        <f>IFERROR(__xludf.DUMMYFUNCTION("""COMPUTED_VALUE"""),"AIS-PRO")</f>
        <v>AIS-PRO</v>
      </c>
      <c r="F68" s="593" t="str">
        <f>IFERROR(__xludf.DUMMYFUNCTION("""COMPUTED_VALUE"""),"IPW10ID3S-H2-POE-PCT")</f>
        <v>IPW10ID3S-H2-POE-PCT</v>
      </c>
      <c r="G68" s="490"/>
      <c r="H68" s="490"/>
      <c r="I68" s="490"/>
      <c r="J68" s="594" t="str">
        <f>IFERROR(__xludf.DUMMYFUNCTION("""COMPUTED_VALUE"""),"CV")</f>
        <v>CV</v>
      </c>
      <c r="K68" s="597" t="str">
        <f>IFERROR(__xludf.DUMMYFUNCTION("""COMPUTED_VALUE"""),"39")</f>
        <v>39</v>
      </c>
      <c r="L68" s="588"/>
      <c r="M68" s="490" t="str">
        <f>IFERROR(__xludf.DUMMYFUNCTION("""COMPUTED_VALUE"""),"CISCO")</f>
        <v>CISCO</v>
      </c>
      <c r="N68" s="490" t="str">
        <f>IFERROR(__xludf.DUMMYFUNCTION("""COMPUTED_VALUE"""),"bos_easyio_fw08")</f>
        <v>bos_easyio_fw08</v>
      </c>
      <c r="O68" s="490"/>
      <c r="P68" s="490" t="s">
        <v>901</v>
      </c>
    </row>
    <row r="69">
      <c r="A69" s="30"/>
      <c r="B69" s="490"/>
      <c r="C69" s="490"/>
      <c r="D69" s="587" t="str">
        <f>IFERROR(__xludf.DUMMYFUNCTION("""COMPUTED_VALUE"""),"AT&amp;T BRANDED")</f>
        <v>AT&amp;T BRANDED</v>
      </c>
      <c r="E69" s="600" t="str">
        <f>IFERROR(__xludf.DUMMYFUNCTION("""COMPUTED_VALUE"""),"ALC")</f>
        <v>ALC</v>
      </c>
      <c r="F69" s="600" t="str">
        <f>IFERROR(__xludf.DUMMYFUNCTION("""COMPUTED_VALUE"""),"G5CE")</f>
        <v>G5CE</v>
      </c>
      <c r="G69" s="30"/>
      <c r="H69" s="30"/>
      <c r="I69" s="586"/>
      <c r="J69" s="588" t="str">
        <f>IFERROR(__xludf.DUMMYFUNCTION("""COMPUTED_VALUE"""),"DAC")</f>
        <v>DAC</v>
      </c>
      <c r="K69" s="589" t="str">
        <f>IFERROR(__xludf.DUMMYFUNCTION("""COMPUTED_VALUE"""),"40")</f>
        <v>40</v>
      </c>
      <c r="L69" s="594"/>
      <c r="M69" s="586" t="str">
        <f>IFERROR(__xludf.DUMMYFUNCTION("""COMPUTED_VALUE"""),"CISCO")</f>
        <v>CISCO</v>
      </c>
      <c r="N69" s="586" t="str">
        <f>IFERROR(__xludf.DUMMYFUNCTION("""COMPUTED_VALUE"""),"bos_easyio_fw08v")</f>
        <v>bos_easyio_fw08v</v>
      </c>
      <c r="O69" s="586"/>
      <c r="P69" s="586" t="s">
        <v>908</v>
      </c>
    </row>
    <row r="70">
      <c r="A70" s="490"/>
      <c r="B70" s="490"/>
      <c r="C70" s="490"/>
      <c r="D70" s="600" t="str">
        <f>IFERROR(__xludf.DUMMYFUNCTION("""COMPUTED_VALUE"""),"AUGURY")</f>
        <v>AUGURY</v>
      </c>
      <c r="E70" s="593" t="str">
        <f>IFERROR(__xludf.DUMMYFUNCTION("""COMPUTED_VALUE"""),"ALC")</f>
        <v>ALC</v>
      </c>
      <c r="F70" s="593" t="str">
        <f>IFERROR(__xludf.DUMMYFUNCTION("""COMPUTED_VALUE"""),"G5RE")</f>
        <v>G5RE</v>
      </c>
      <c r="G70" s="490"/>
      <c r="H70" s="490"/>
      <c r="I70" s="490"/>
      <c r="J70" s="594" t="str">
        <f>IFERROR(__xludf.DUMMYFUNCTION("""COMPUTED_VALUE"""),"DATA")</f>
        <v>DATA</v>
      </c>
      <c r="K70" s="597" t="str">
        <f>IFERROR(__xludf.DUMMYFUNCTION("""COMPUTED_VALUE"""),"41")</f>
        <v>41</v>
      </c>
      <c r="L70" s="588"/>
      <c r="M70" s="490" t="str">
        <f>IFERROR(__xludf.DUMMYFUNCTION("""COMPUTED_VALUE"""),"CONTEMPORARY CONTROLS")</f>
        <v>CONTEMPORARY CONTROLS</v>
      </c>
      <c r="N70" s="490" t="str">
        <f>IFERROR(__xludf.DUMMYFUNCTION("""COMPUTED_VALUE"""),"bos_easyio_fw08v3")</f>
        <v>bos_easyio_fw08v3</v>
      </c>
      <c r="O70" s="490"/>
      <c r="P70" s="490" t="s">
        <v>912</v>
      </c>
    </row>
    <row r="71">
      <c r="A71" s="490"/>
      <c r="B71" s="490"/>
      <c r="C71" s="490"/>
      <c r="D71" s="600" t="str">
        <f>IFERROR(__xludf.DUMMYFUNCTION("""COMPUTED_VALUE"""),"AUMADA")</f>
        <v>AUMADA</v>
      </c>
      <c r="E71" s="593" t="str">
        <f>IFERROR(__xludf.DUMMYFUNCTION("""COMPUTED_VALUE"""),"ALC")</f>
        <v>ALC</v>
      </c>
      <c r="F71" s="593" t="str">
        <f>IFERROR(__xludf.DUMMYFUNCTION("""COMPUTED_VALUE"""),"LGR1000")</f>
        <v>LGR1000</v>
      </c>
      <c r="G71" s="490"/>
      <c r="H71" s="490"/>
      <c r="I71" s="490"/>
      <c r="J71" s="594" t="str">
        <f>IFERROR(__xludf.DUMMYFUNCTION("""COMPUTED_VALUE"""),"DB")</f>
        <v>DB</v>
      </c>
      <c r="K71" s="597" t="str">
        <f>IFERROR(__xludf.DUMMYFUNCTION("""COMPUTED_VALUE"""),"42")</f>
        <v>42</v>
      </c>
      <c r="L71" s="588"/>
      <c r="M71" s="490" t="str">
        <f>IFERROR(__xludf.DUMMYFUNCTION("""COMPUTED_VALUE"""),"CONTEMPORARY CONTROLS")</f>
        <v>CONTEMPORARY CONTROLS</v>
      </c>
      <c r="N71" s="490" t="str">
        <f>IFERROR(__xludf.DUMMYFUNCTION("""COMPUTED_VALUE"""),"bos_easyio_fw08vv3")</f>
        <v>bos_easyio_fw08vv3</v>
      </c>
      <c r="O71" s="490"/>
      <c r="P71" s="490" t="s">
        <v>918</v>
      </c>
    </row>
    <row r="72">
      <c r="A72" s="490"/>
      <c r="B72" s="490"/>
      <c r="C72" s="490"/>
      <c r="D72" s="587" t="str">
        <f>IFERROR(__xludf.DUMMYFUNCTION("""COMPUTED_VALUE"""),"AUTOMATED LOGIC")</f>
        <v>AUTOMATED LOGIC</v>
      </c>
      <c r="E72" s="593" t="str">
        <f>IFERROR(__xludf.DUMMYFUNCTION("""COMPUTED_VALUE"""),"ALC")</f>
        <v>ALC</v>
      </c>
      <c r="F72" s="593" t="str">
        <f>IFERROR(__xludf.DUMMYFUNCTION("""COMPUTED_VALUE"""),"LGR25")</f>
        <v>LGR25</v>
      </c>
      <c r="G72" s="490"/>
      <c r="H72" s="490"/>
      <c r="I72" s="490"/>
      <c r="J72" s="588" t="str">
        <f>IFERROR(__xludf.DUMMYFUNCTION("""COMPUTED_VALUE"""),"DDC")</f>
        <v>DDC</v>
      </c>
      <c r="K72" s="597" t="str">
        <f>IFERROR(__xludf.DUMMYFUNCTION("""COMPUTED_VALUE"""),"43")</f>
        <v>43</v>
      </c>
      <c r="L72" s="588"/>
      <c r="M72" s="490" t="str">
        <f>IFERROR(__xludf.DUMMYFUNCTION("""COMPUTED_VALUE"""),"CONTEMPORARY CONTROLS")</f>
        <v>CONTEMPORARY CONTROLS</v>
      </c>
      <c r="N72" s="490" t="str">
        <f>IFERROR(__xludf.DUMMYFUNCTION("""COMPUTED_VALUE"""),"bos_easyio_fw14")</f>
        <v>bos_easyio_fw14</v>
      </c>
      <c r="O72" s="490"/>
      <c r="P72" s="490" t="s">
        <v>922</v>
      </c>
    </row>
    <row r="73">
      <c r="A73" s="490"/>
      <c r="B73" s="490"/>
      <c r="C73" s="490"/>
      <c r="D73" s="600" t="str">
        <f>IFERROR(__xludf.DUMMYFUNCTION("""COMPUTED_VALUE"""),"AUTOMATIONDIRECT")</f>
        <v>AUTOMATIONDIRECT</v>
      </c>
      <c r="E73" s="593" t="str">
        <f>IFERROR(__xludf.DUMMYFUNCTION("""COMPUTED_VALUE"""),"ALC")</f>
        <v>ALC</v>
      </c>
      <c r="F73" s="593" t="str">
        <f>IFERROR(__xludf.DUMMYFUNCTION("""COMPUTED_VALUE"""),"LGR250")</f>
        <v>LGR250</v>
      </c>
      <c r="G73" s="490"/>
      <c r="H73" s="490"/>
      <c r="I73" s="490"/>
      <c r="J73" s="588" t="str">
        <f>IFERROR(__xludf.DUMMYFUNCTION("""COMPUTED_VALUE"""),"DDR")</f>
        <v>DDR</v>
      </c>
      <c r="K73" s="597" t="str">
        <f>IFERROR(__xludf.DUMMYFUNCTION("""COMPUTED_VALUE"""),"44")</f>
        <v>44</v>
      </c>
      <c r="L73" s="588"/>
      <c r="M73" s="490" t="str">
        <f>IFERROR(__xludf.DUMMYFUNCTION("""COMPUTED_VALUE"""),"CONTEMPORARY CONTROLS")</f>
        <v>CONTEMPORARY CONTROLS</v>
      </c>
      <c r="N73" s="490" t="str">
        <f>IFERROR(__xludf.DUMMYFUNCTION("""COMPUTED_VALUE"""),"bos_easyio_fw14v3")</f>
        <v>bos_easyio_fw14v3</v>
      </c>
      <c r="O73" s="490"/>
      <c r="P73" s="490" t="s">
        <v>928</v>
      </c>
    </row>
    <row r="74">
      <c r="A74" s="490"/>
      <c r="B74" s="586"/>
      <c r="C74" s="586"/>
      <c r="D74" s="593" t="str">
        <f>IFERROR(__xludf.DUMMYFUNCTION("""COMPUTED_VALUE"""),"AVM")</f>
        <v>AVM</v>
      </c>
      <c r="E74" s="593" t="str">
        <f>IFERROR(__xludf.DUMMYFUNCTION("""COMPUTED_VALUE"""),"ALC")</f>
        <v>ALC</v>
      </c>
      <c r="F74" s="593" t="str">
        <f>IFERROR(__xludf.DUMMYFUNCTION("""COMPUTED_VALUE"""),"LGR1000")</f>
        <v>LGR1000</v>
      </c>
      <c r="G74" s="490"/>
      <c r="H74" s="490"/>
      <c r="I74" s="490"/>
      <c r="J74" s="588" t="str">
        <f>IFERROR(__xludf.DUMMYFUNCTION("""COMPUTED_VALUE"""),"DEA")</f>
        <v>DEA</v>
      </c>
      <c r="K74" s="597" t="str">
        <f>IFERROR(__xludf.DUMMYFUNCTION("""COMPUTED_VALUE"""),"45")</f>
        <v>45</v>
      </c>
      <c r="L74" s="588"/>
      <c r="M74" s="490" t="str">
        <f>IFERROR(__xludf.DUMMYFUNCTION("""COMPUTED_VALUE"""),"CONTEMPORARY CONTROLS")</f>
        <v>CONTEMPORARY CONTROLS</v>
      </c>
      <c r="N74" s="490" t="str">
        <f>IFERROR(__xludf.DUMMYFUNCTION("""COMPUTED_VALUE"""),"bos_easyio_fw28")</f>
        <v>bos_easyio_fw28</v>
      </c>
      <c r="O74" s="490"/>
      <c r="P74" s="490" t="s">
        <v>932</v>
      </c>
    </row>
    <row r="75">
      <c r="A75" s="586"/>
      <c r="B75" s="490"/>
      <c r="C75" s="490"/>
      <c r="D75" s="587" t="str">
        <f>IFERROR(__xludf.DUMMYFUNCTION("""COMPUTED_VALUE"""),"AVOCENT")</f>
        <v>AVOCENT</v>
      </c>
      <c r="E75" s="587" t="str">
        <f>IFERROR(__xludf.DUMMYFUNCTION("""COMPUTED_VALUE"""),"ALC")</f>
        <v>ALC</v>
      </c>
      <c r="F75" s="587" t="str">
        <f>IFERROR(__xludf.DUMMYFUNCTION("""COMPUTED_VALUE"""),"LGR25")</f>
        <v>LGR25</v>
      </c>
      <c r="G75" s="586"/>
      <c r="H75" s="586"/>
      <c r="I75" s="490"/>
      <c r="J75" s="588" t="str">
        <f>IFERROR(__xludf.DUMMYFUNCTION("""COMPUTED_VALUE"""),"DET")</f>
        <v>DET</v>
      </c>
      <c r="K75" s="597" t="str">
        <f>IFERROR(__xludf.DUMMYFUNCTION("""COMPUTED_VALUE"""),"46")</f>
        <v>46</v>
      </c>
      <c r="L75" s="588"/>
      <c r="M75" s="490" t="str">
        <f>IFERROR(__xludf.DUMMYFUNCTION("""COMPUTED_VALUE"""),"CONTEMPORARY CONTROLS")</f>
        <v>CONTEMPORARY CONTROLS</v>
      </c>
      <c r="N75" s="490" t="str">
        <f>IFERROR(__xludf.DUMMYFUNCTION("""COMPUTED_VALUE"""),"bos_easyio_shsystemview10")</f>
        <v>bos_easyio_shsystemview10</v>
      </c>
      <c r="O75" s="490"/>
      <c r="P75" s="490" t="s">
        <v>938</v>
      </c>
    </row>
    <row r="76">
      <c r="A76" s="490"/>
      <c r="B76" s="586"/>
      <c r="C76" s="586"/>
      <c r="D76" s="593" t="str">
        <f>IFERROR(__xludf.DUMMYFUNCTION("""COMPUTED_VALUE"""),"AWAIR")</f>
        <v>AWAIR</v>
      </c>
      <c r="E76" s="593" t="str">
        <f>IFERROR(__xludf.DUMMYFUNCTION("""COMPUTED_VALUE"""),"ALC")</f>
        <v>ALC</v>
      </c>
      <c r="F76" s="593" t="str">
        <f>IFERROR(__xludf.DUMMYFUNCTION("""COMPUTED_VALUE"""),"LGR250")</f>
        <v>LGR250</v>
      </c>
      <c r="G76" s="490"/>
      <c r="H76" s="490"/>
      <c r="I76" s="490"/>
      <c r="J76" s="594" t="str">
        <f>IFERROR(__xludf.DUMMYFUNCTION("""COMPUTED_VALUE"""),"DEWH")</f>
        <v>DEWH</v>
      </c>
      <c r="K76" s="597" t="str">
        <f>IFERROR(__xludf.DUMMYFUNCTION("""COMPUTED_VALUE"""),"47")</f>
        <v>47</v>
      </c>
      <c r="L76" s="588"/>
      <c r="M76" s="490" t="str">
        <f>IFERROR(__xludf.DUMMYFUNCTION("""COMPUTED_VALUE"""),"CONTEMPORARY CONTROLS")</f>
        <v>CONTEMPORARY CONTROLS</v>
      </c>
      <c r="N76" s="490" t="str">
        <f>IFERROR(__xludf.DUMMYFUNCTION("""COMPUTED_VALUE"""),"bos_enlighted_gateway")</f>
        <v>bos_enlighted_gateway</v>
      </c>
      <c r="O76" s="490"/>
      <c r="P76" s="490" t="s">
        <v>942</v>
      </c>
    </row>
    <row r="77">
      <c r="A77" s="586"/>
      <c r="B77" s="490"/>
      <c r="C77" s="490"/>
      <c r="D77" s="587" t="str">
        <f>IFERROR(__xludf.DUMMYFUNCTION("""COMPUTED_VALUE"""),"AXCESS")</f>
        <v>AXCESS</v>
      </c>
      <c r="E77" s="587" t="str">
        <f>IFERROR(__xludf.DUMMYFUNCTION("""COMPUTED_VALUE"""),"ALC")</f>
        <v>ALC</v>
      </c>
      <c r="F77" s="587" t="str">
        <f>IFERROR(__xludf.DUMMYFUNCTION("""COMPUTED_VALUE"""),"M880NX")</f>
        <v>M880NX</v>
      </c>
      <c r="G77" s="586"/>
      <c r="H77" s="586"/>
      <c r="I77" s="490"/>
      <c r="J77" s="588" t="str">
        <f>IFERROR(__xludf.DUMMYFUNCTION("""COMPUTED_VALUE"""),"DF")</f>
        <v>DF</v>
      </c>
      <c r="K77" s="597" t="str">
        <f>IFERROR(__xludf.DUMMYFUNCTION("""COMPUTED_VALUE"""),"48")</f>
        <v>48</v>
      </c>
      <c r="L77" s="588"/>
      <c r="M77" s="490" t="str">
        <f>IFERROR(__xludf.DUMMYFUNCTION("""COMPUTED_VALUE"""),"CONTEMPORARY CONTROLS")</f>
        <v>CONTEMPORARY CONTROLS</v>
      </c>
      <c r="N77" s="490" t="str">
        <f>IFERROR(__xludf.DUMMYFUNCTION("""COMPUTED_VALUE"""),"bos_eversys_ioventpay")</f>
        <v>bos_eversys_ioventpay</v>
      </c>
      <c r="O77" s="490"/>
      <c r="P77" s="490" t="s">
        <v>948</v>
      </c>
    </row>
    <row r="78">
      <c r="A78" s="490"/>
      <c r="B78" s="586"/>
      <c r="C78" s="586"/>
      <c r="D78" s="593" t="str">
        <f>IFERROR(__xludf.DUMMYFUNCTION("""COMPUTED_VALUE"""),"AXIOMTEK")</f>
        <v>AXIOMTEK</v>
      </c>
      <c r="E78" s="593" t="str">
        <f>IFERROR(__xludf.DUMMYFUNCTION("""COMPUTED_VALUE"""),"ALC")</f>
        <v>ALC</v>
      </c>
      <c r="F78" s="593" t="str">
        <f>IFERROR(__xludf.DUMMYFUNCTION("""COMPUTED_VALUE"""),"ME812ULGR")</f>
        <v>ME812ULGR</v>
      </c>
      <c r="G78" s="490"/>
      <c r="H78" s="490"/>
      <c r="I78" s="490"/>
      <c r="J78" s="588" t="str">
        <f>IFERROR(__xludf.DUMMYFUNCTION("""COMPUTED_VALUE"""),"DGA")</f>
        <v>DGA</v>
      </c>
      <c r="K78" s="597" t="str">
        <f>IFERROR(__xludf.DUMMYFUNCTION("""COMPUTED_VALUE"""),"49")</f>
        <v>49</v>
      </c>
      <c r="L78" s="588"/>
      <c r="M78" s="490" t="str">
        <f>IFERROR(__xludf.DUMMYFUNCTION("""COMPUTED_VALUE"""),"CONTEMPORARY CONTROLS")</f>
        <v>CONTEMPORARY CONTROLS</v>
      </c>
      <c r="N78" s="490" t="str">
        <f>IFERROR(__xludf.DUMMYFUNCTION("""COMPUTED_VALUE"""),"bos_hea_hp_z2mini")</f>
        <v>bos_hea_hp_z2mini</v>
      </c>
      <c r="O78" s="490"/>
      <c r="P78" s="490" t="s">
        <v>990</v>
      </c>
    </row>
    <row r="79">
      <c r="A79" s="586"/>
      <c r="B79" s="490"/>
      <c r="C79" s="490"/>
      <c r="D79" s="593" t="str">
        <f>IFERROR(__xludf.DUMMYFUNCTION("""COMPUTED_VALUE"""),"AZBIL")</f>
        <v>AZBIL</v>
      </c>
      <c r="E79" s="587" t="str">
        <f>IFERROR(__xludf.DUMMYFUNCTION("""COMPUTED_VALUE"""),"ALC")</f>
        <v>ALC</v>
      </c>
      <c r="F79" s="587" t="str">
        <f>IFERROR(__xludf.DUMMYFUNCTION("""COMPUTED_VALUE"""),"")</f>
        <v/>
      </c>
      <c r="G79" s="586"/>
      <c r="H79" s="586"/>
      <c r="I79" s="490"/>
      <c r="J79" s="588" t="str">
        <f>IFERROR(__xludf.DUMMYFUNCTION("""COMPUTED_VALUE"""),"DGWH")</f>
        <v>DGWH</v>
      </c>
      <c r="K79" s="597" t="str">
        <f>IFERROR(__xludf.DUMMYFUNCTION("""COMPUTED_VALUE"""),"50")</f>
        <v>50</v>
      </c>
      <c r="L79" s="588"/>
      <c r="M79" s="490" t="str">
        <f>IFERROR(__xludf.DUMMYFUNCTION("""COMPUTED_VALUE"""),"CONTEMPORARY CONTROLS")</f>
        <v>CONTEMPORARY CONTROLS</v>
      </c>
      <c r="N79" s="490" t="str">
        <f>IFERROR(__xludf.DUMMYFUNCTION("""COMPUTED_VALUE"""),"bos_hea_hp_z2minig9")</f>
        <v>bos_hea_hp_z2minig9</v>
      </c>
      <c r="O79" s="490"/>
      <c r="P79" s="490" t="s">
        <v>953</v>
      </c>
    </row>
    <row r="80">
      <c r="A80" s="490"/>
      <c r="B80" s="30"/>
      <c r="C80" s="30"/>
      <c r="D80" s="593" t="str">
        <f>IFERROR(__xludf.DUMMYFUNCTION("""COMPUTED_VALUE"""),"B METERS")</f>
        <v>B METERS</v>
      </c>
      <c r="E80" s="593" t="str">
        <f>IFERROR(__xludf.DUMMYFUNCTION("""COMPUTED_VALUE"""),"ALC")</f>
        <v>ALC</v>
      </c>
      <c r="F80" s="593" t="str">
        <f>IFERROR(__xludf.DUMMYFUNCTION("""COMPUTED_VALUE"""),"SE6104A")</f>
        <v>SE6104A</v>
      </c>
      <c r="G80" s="490"/>
      <c r="H80" s="490"/>
      <c r="I80" s="490"/>
      <c r="J80" s="594" t="str">
        <f>IFERROR(__xludf.DUMMYFUNCTION("""COMPUTED_VALUE"""),"DH")</f>
        <v>DH</v>
      </c>
      <c r="K80" s="597" t="str">
        <f>IFERROR(__xludf.DUMMYFUNCTION("""COMPUTED_VALUE"""),"51")</f>
        <v>51</v>
      </c>
      <c r="L80" s="588"/>
      <c r="M80" s="490" t="str">
        <f>IFERROR(__xludf.DUMMYFUNCTION("""COMPUTED_VALUE"""),"CONTEMPORARY CONTROLS")</f>
        <v>CONTEMPORARY CONTROLS</v>
      </c>
      <c r="N80" s="490" t="str">
        <f>IFERROR(__xludf.DUMMYFUNCTION("""COMPUTED_VALUE"""),"bos_hea_lenovo_p620")</f>
        <v>bos_hea_lenovo_p620</v>
      </c>
      <c r="O80" s="490"/>
      <c r="P80" s="490" t="s">
        <v>959</v>
      </c>
    </row>
    <row r="81">
      <c r="A81" s="30"/>
      <c r="B81" s="490"/>
      <c r="C81" s="490"/>
      <c r="D81" s="600" t="str">
        <f>IFERROR(__xludf.DUMMYFUNCTION("""COMPUTED_VALUE"""),"B&amp;B ELECTRONICS")</f>
        <v>B&amp;B ELECTRONICS</v>
      </c>
      <c r="E81" s="600" t="str">
        <f>IFERROR(__xludf.DUMMYFUNCTION("""COMPUTED_VALUE"""),"ALC")</f>
        <v>ALC</v>
      </c>
      <c r="F81" s="600" t="str">
        <f>IFERROR(__xludf.DUMMYFUNCTION("""COMPUTED_VALUE"""),"OFBBC")</f>
        <v>OFBBC</v>
      </c>
      <c r="G81" s="30"/>
      <c r="H81" s="30"/>
      <c r="I81" s="490"/>
      <c r="J81" s="588" t="str">
        <f>IFERROR(__xludf.DUMMYFUNCTION("""COMPUTED_VALUE"""),"DHUM")</f>
        <v>DHUM</v>
      </c>
      <c r="K81" s="597" t="str">
        <f>IFERROR(__xludf.DUMMYFUNCTION("""COMPUTED_VALUE"""),"52")</f>
        <v>52</v>
      </c>
      <c r="L81" s="588"/>
      <c r="M81" s="490" t="str">
        <f>IFERROR(__xludf.DUMMYFUNCTION("""COMPUTED_VALUE"""),"CRADLEPOINT")</f>
        <v>CRADLEPOINT</v>
      </c>
      <c r="N81" s="490" t="str">
        <f>IFERROR(__xludf.DUMMYFUNCTION("""COMPUTED_VALUE"""),"bos_hea_lenovo_thinkstationp520c")</f>
        <v>bos_hea_lenovo_thinkstationp520c</v>
      </c>
      <c r="O81" s="490"/>
      <c r="P81" s="490" t="s">
        <v>964</v>
      </c>
    </row>
    <row r="82">
      <c r="A82" s="490"/>
      <c r="B82" s="490"/>
      <c r="C82" s="490"/>
      <c r="D82" s="593" t="str">
        <f>IFERROR(__xludf.DUMMYFUNCTION("""COMPUTED_VALUE"""),"BACHARACH")</f>
        <v>BACHARACH</v>
      </c>
      <c r="E82" s="593" t="str">
        <f>IFERROR(__xludf.DUMMYFUNCTION("""COMPUTED_VALUE"""),"ALC")</f>
        <v>ALC</v>
      </c>
      <c r="F82" s="593" t="str">
        <f>IFERROR(__xludf.DUMMYFUNCTION("""COMPUTED_VALUE"""),"OF-1628-NR")</f>
        <v>OF-1628-NR</v>
      </c>
      <c r="G82" s="490"/>
      <c r="H82" s="490"/>
      <c r="I82" s="490"/>
      <c r="J82" s="594" t="str">
        <f>IFERROR(__xludf.DUMMYFUNCTION("""COMPUTED_VALUE"""),"DHWP")</f>
        <v>DHWP</v>
      </c>
      <c r="K82" s="597" t="str">
        <f>IFERROR(__xludf.DUMMYFUNCTION("""COMPUTED_VALUE"""),"53")</f>
        <v>53</v>
      </c>
      <c r="L82" s="588"/>
      <c r="M82" s="490" t="str">
        <f>IFERROR(__xludf.DUMMYFUNCTION("""COMPUTED_VALUE"""),"CRADLEPOINT")</f>
        <v>CRADLEPOINT</v>
      </c>
      <c r="N82" s="490" t="str">
        <f>IFERROR(__xludf.DUMMYFUNCTION("""COMPUTED_VALUE"""),"bos_hmi_hp_z2mini")</f>
        <v>bos_hmi_hp_z2mini</v>
      </c>
      <c r="O82" s="490"/>
      <c r="P82" s="490" t="s">
        <v>971</v>
      </c>
    </row>
    <row r="83">
      <c r="A83" s="490"/>
      <c r="B83" s="30"/>
      <c r="C83" s="30"/>
      <c r="D83" s="593" t="str">
        <f>IFERROR(__xludf.DUMMYFUNCTION("""COMPUTED_VALUE"""),"BADGER METER")</f>
        <v>BADGER METER</v>
      </c>
      <c r="E83" s="593" t="str">
        <f>IFERROR(__xludf.DUMMYFUNCTION("""COMPUTED_VALUE"""),"ALC")</f>
        <v>ALC</v>
      </c>
      <c r="F83" s="593" t="str">
        <f>IFERROR(__xludf.DUMMYFUNCTION("""COMPUTED_VALUE"""),"OF-1628-NR")</f>
        <v>OF-1628-NR</v>
      </c>
      <c r="G83" s="490"/>
      <c r="H83" s="490"/>
      <c r="I83" s="490"/>
      <c r="J83" s="594" t="str">
        <f>IFERROR(__xludf.DUMMYFUNCTION("""COMPUTED_VALUE"""),"DISP")</f>
        <v>DISP</v>
      </c>
      <c r="K83" s="597" t="str">
        <f>IFERROR(__xludf.DUMMYFUNCTION("""COMPUTED_VALUE"""),"54")</f>
        <v>54</v>
      </c>
      <c r="L83" s="588"/>
      <c r="M83" s="490" t="str">
        <f>IFERROR(__xludf.DUMMYFUNCTION("""COMPUTED_VALUE"""),"CRESTRON")</f>
        <v>CRESTRON</v>
      </c>
      <c r="N83" s="490" t="str">
        <f>IFERROR(__xludf.DUMMYFUNCTION("""COMPUTED_VALUE"""),"bos_hmi_hp_z2minig9")</f>
        <v>bos_hmi_hp_z2minig9</v>
      </c>
      <c r="O83" s="490"/>
      <c r="P83" s="490" t="s">
        <v>975</v>
      </c>
    </row>
    <row r="84">
      <c r="A84" s="30"/>
      <c r="B84" s="490"/>
      <c r="C84" s="490"/>
      <c r="D84" s="593" t="str">
        <f>IFERROR(__xludf.DUMMYFUNCTION("""COMPUTED_VALUE"""),"BARCOL-AIR")</f>
        <v>BARCOL-AIR</v>
      </c>
      <c r="E84" s="600" t="str">
        <f>IFERROR(__xludf.DUMMYFUNCTION("""COMPUTED_VALUE"""),"ALC")</f>
        <v>ALC</v>
      </c>
      <c r="F84" s="600" t="str">
        <f>IFERROR(__xludf.DUMMYFUNCTION("""COMPUTED_VALUE"""),"OFHI")</f>
        <v>OFHI</v>
      </c>
      <c r="G84" s="30"/>
      <c r="H84" s="30"/>
      <c r="I84" s="586"/>
      <c r="J84" s="594" t="str">
        <f>IFERROR(__xludf.DUMMYFUNCTION("""COMPUTED_VALUE"""),"DMP")</f>
        <v>DMP</v>
      </c>
      <c r="K84" s="589" t="str">
        <f>IFERROR(__xludf.DUMMYFUNCTION("""COMPUTED_VALUE"""),"55")</f>
        <v>55</v>
      </c>
      <c r="L84" s="594"/>
      <c r="M84" s="586" t="str">
        <f>IFERROR(__xludf.DUMMYFUNCTION("""COMPUTED_VALUE"""),"CROSSFIRE")</f>
        <v>CROSSFIRE</v>
      </c>
      <c r="N84" s="586" t="str">
        <f>IFERROR(__xludf.DUMMYFUNCTION("""COMPUTED_VALUE"""),"bos_hmi_lenovo_p620")</f>
        <v>bos_hmi_lenovo_p620</v>
      </c>
      <c r="O84" s="586"/>
      <c r="P84" s="586" t="s">
        <v>981</v>
      </c>
    </row>
    <row r="85">
      <c r="A85" s="490"/>
      <c r="B85" s="490"/>
      <c r="C85" s="490"/>
      <c r="D85" s="593" t="str">
        <f>IFERROR(__xludf.DUMMYFUNCTION("""COMPUTED_VALUE"""),"BARIX")</f>
        <v>BARIX</v>
      </c>
      <c r="E85" s="593" t="str">
        <f>IFERROR(__xludf.DUMMYFUNCTION("""COMPUTED_VALUE"""),"ALC")</f>
        <v>ALC</v>
      </c>
      <c r="F85" s="593" t="str">
        <f>IFERROR(__xludf.DUMMYFUNCTION("""COMPUTED_VALUE"""),"OF683T-E2")</f>
        <v>OF683T-E2</v>
      </c>
      <c r="G85" s="490"/>
      <c r="H85" s="490"/>
      <c r="I85" s="490"/>
      <c r="J85" s="588" t="str">
        <f>IFERROR(__xludf.DUMMYFUNCTION("""COMPUTED_VALUE"""),"DOAS")</f>
        <v>DOAS</v>
      </c>
      <c r="K85" s="597" t="str">
        <f>IFERROR(__xludf.DUMMYFUNCTION("""COMPUTED_VALUE"""),"56")</f>
        <v>56</v>
      </c>
      <c r="L85" s="588"/>
      <c r="M85" s="490" t="str">
        <f>IFERROR(__xludf.DUMMYFUNCTION("""COMPUTED_VALUE"""),"D-LINK")</f>
        <v>D-LINK</v>
      </c>
      <c r="N85" s="490" t="str">
        <f>IFERROR(__xludf.DUMMYFUNCTION("""COMPUTED_VALUE"""),"bos_hmi_lenovo_thinkstationp520c")</f>
        <v>bos_hmi_lenovo_thinkstationp520c</v>
      </c>
      <c r="O85" s="490"/>
      <c r="P85" s="490" t="s">
        <v>985</v>
      </c>
    </row>
    <row r="86">
      <c r="A86" s="490"/>
      <c r="B86" s="490"/>
      <c r="C86" s="490"/>
      <c r="D86" s="593" t="str">
        <f>IFERROR(__xludf.DUMMYFUNCTION("""COMPUTED_VALUE"""),"BASE-LINE")</f>
        <v>BASE-LINE</v>
      </c>
      <c r="E86" s="593" t="str">
        <f>IFERROR(__xludf.DUMMYFUNCTION("""COMPUTED_VALUE"""),"ALC")</f>
        <v>ALC</v>
      </c>
      <c r="F86" s="593" t="str">
        <f>IFERROR(__xludf.DUMMYFUNCTION("""COMPUTED_VALUE"""),"OF683-E2")</f>
        <v>OF683-E2</v>
      </c>
      <c r="G86" s="490"/>
      <c r="H86" s="490"/>
      <c r="I86" s="490"/>
      <c r="J86" s="588" t="str">
        <f>IFERROR(__xludf.DUMMYFUNCTION("""COMPUTED_VALUE"""),"DP")</f>
        <v>DP</v>
      </c>
      <c r="K86" s="597" t="str">
        <f>IFERROR(__xludf.DUMMYFUNCTION("""COMPUTED_VALUE"""),"57")</f>
        <v>57</v>
      </c>
      <c r="L86" s="588"/>
      <c r="M86" s="490" t="str">
        <f>IFERROR(__xludf.DUMMYFUNCTION("""COMPUTED_VALUE"""),"D-LINK")</f>
        <v>D-LINK</v>
      </c>
      <c r="N86" s="490" t="str">
        <f>IFERROR(__xludf.DUMMYFUNCTION("""COMPUTED_VALUE"""),"bos_honeywell_cp8000")</f>
        <v>bos_honeywell_cp8000</v>
      </c>
      <c r="O86" s="490"/>
      <c r="P86" s="490" t="s">
        <v>991</v>
      </c>
    </row>
    <row r="87">
      <c r="A87" s="490"/>
      <c r="B87" s="586"/>
      <c r="C87" s="586"/>
      <c r="D87" s="593" t="str">
        <f>IFERROR(__xludf.DUMMYFUNCTION("""COMPUTED_VALUE"""),"BAYLAN")</f>
        <v>BAYLAN</v>
      </c>
      <c r="E87" s="593" t="str">
        <f>IFERROR(__xludf.DUMMYFUNCTION("""COMPUTED_VALUE"""),"ALC")</f>
        <v>ALC</v>
      </c>
      <c r="F87" s="593" t="str">
        <f>IFERROR(__xludf.DUMMYFUNCTION("""COMPUTED_VALUE"""),"OF561T-E2")</f>
        <v>OF561T-E2</v>
      </c>
      <c r="G87" s="490"/>
      <c r="H87" s="490"/>
      <c r="I87" s="586"/>
      <c r="J87" s="596" t="str">
        <f>IFERROR(__xludf.DUMMYFUNCTION("""COMPUTED_VALUE"""),"DPOT")</f>
        <v>DPOT</v>
      </c>
      <c r="K87" s="589" t="str">
        <f>IFERROR(__xludf.DUMMYFUNCTION("""COMPUTED_VALUE"""),"58")</f>
        <v>58</v>
      </c>
      <c r="L87" s="594"/>
      <c r="M87" s="586" t="str">
        <f>IFERROR(__xludf.DUMMYFUNCTION("""COMPUTED_VALUE"""),"D-LINK")</f>
        <v>D-LINK</v>
      </c>
      <c r="N87" s="586" t="str">
        <f>IFERROR(__xludf.DUMMYFUNCTION("""COMPUTED_VALUE"""),"bos_honeywell_cpedge10")</f>
        <v>bos_honeywell_cpedge10</v>
      </c>
      <c r="O87" s="586"/>
      <c r="P87" s="586" t="s">
        <v>995</v>
      </c>
    </row>
    <row r="88">
      <c r="A88" s="586"/>
      <c r="B88" s="490"/>
      <c r="C88" s="490"/>
      <c r="D88" s="587" t="str">
        <f>IFERROR(__xludf.DUMMYFUNCTION("""COMPUTED_VALUE"""),"BB GPS RECIEVER")</f>
        <v>BB GPS RECIEVER</v>
      </c>
      <c r="E88" s="587" t="str">
        <f>IFERROR(__xludf.DUMMYFUNCTION("""COMPUTED_VALUE"""),"ALC")</f>
        <v>ALC</v>
      </c>
      <c r="F88" s="587" t="str">
        <f>IFERROR(__xludf.DUMMYFUNCTION("""COMPUTED_VALUE"""),"OF683XT-E2")</f>
        <v>OF683XT-E2</v>
      </c>
      <c r="G88" s="586"/>
      <c r="H88" s="586"/>
      <c r="I88" s="490"/>
      <c r="J88" s="594" t="str">
        <f>IFERROR(__xludf.DUMMYFUNCTION("""COMPUTED_VALUE"""),"DPSW")</f>
        <v>DPSW</v>
      </c>
      <c r="K88" s="597" t="str">
        <f>IFERROR(__xludf.DUMMYFUNCTION("""COMPUTED_VALUE"""),"59")</f>
        <v>59</v>
      </c>
      <c r="L88" s="83"/>
      <c r="M88" s="490" t="str">
        <f>IFERROR(__xludf.DUMMYFUNCTION("""COMPUTED_VALUE"""),"D-LINK")</f>
        <v>D-LINK</v>
      </c>
      <c r="N88" s="490" t="str">
        <f>IFERROR(__xludf.DUMMYFUNCTION("""COMPUTED_VALUE"""),"bos_hp_24_dp0007ng")</f>
        <v>bos_hp_24_dp0007ng</v>
      </c>
      <c r="O88" s="490"/>
      <c r="P88" s="490" t="s">
        <v>1001</v>
      </c>
    </row>
    <row r="89">
      <c r="A89" s="490"/>
      <c r="B89" s="490"/>
      <c r="C89" s="490"/>
      <c r="D89" s="593" t="str">
        <f>IFERROR(__xludf.DUMMYFUNCTION("""COMPUTED_VALUE"""),"BEAGLE BOARD")</f>
        <v>BEAGLE BOARD</v>
      </c>
      <c r="E89" s="593" t="str">
        <f>IFERROR(__xludf.DUMMYFUNCTION("""COMPUTED_VALUE"""),"ALC")</f>
        <v>ALC</v>
      </c>
      <c r="F89" s="593" t="str">
        <f>IFERROR(__xludf.DUMMYFUNCTION("""COMPUTED_VALUE"""),"OF253T-E2")</f>
        <v>OF253T-E2</v>
      </c>
      <c r="G89" s="490"/>
      <c r="H89" s="490"/>
      <c r="I89" s="586"/>
      <c r="J89" s="594" t="str">
        <f>IFERROR(__xludf.DUMMYFUNCTION("""COMPUTED_VALUE"""),"DPU")</f>
        <v>DPU</v>
      </c>
      <c r="K89" s="589" t="str">
        <f>IFERROR(__xludf.DUMMYFUNCTION("""COMPUTED_VALUE"""),"60")</f>
        <v>60</v>
      </c>
      <c r="L89" s="594"/>
      <c r="M89" s="586" t="str">
        <f>IFERROR(__xludf.DUMMYFUNCTION("""COMPUTED_VALUE"""),"D-LINK")</f>
        <v>D-LINK</v>
      </c>
      <c r="N89" s="586" t="str">
        <f>IFERROR(__xludf.DUMMYFUNCTION("""COMPUTED_VALUE"""),"bos_hp_elitedesk")</f>
        <v>bos_hp_elitedesk</v>
      </c>
      <c r="O89" s="586"/>
      <c r="P89" s="586" t="s">
        <v>1000</v>
      </c>
    </row>
    <row r="90">
      <c r="A90" s="490"/>
      <c r="B90" s="490"/>
      <c r="C90" s="490"/>
      <c r="D90" s="593" t="str">
        <f>IFERROR(__xludf.DUMMYFUNCTION("""COMPUTED_VALUE"""),"BEAMPRO")</f>
        <v>BEAMPRO</v>
      </c>
      <c r="E90" s="593" t="str">
        <f>IFERROR(__xludf.DUMMYFUNCTION("""COMPUTED_VALUE"""),"ALC")</f>
        <v>ALC</v>
      </c>
      <c r="F90" s="593" t="str">
        <f>IFERROR(__xludf.DUMMYFUNCTION("""COMPUTED_VALUE"""),"OF253A-E2")</f>
        <v>OF253A-E2</v>
      </c>
      <c r="G90" s="490"/>
      <c r="H90" s="490"/>
      <c r="I90" s="490"/>
      <c r="J90" s="594" t="str">
        <f>IFERROR(__xludf.DUMMYFUNCTION("""COMPUTED_VALUE"""),"DR")</f>
        <v>DR</v>
      </c>
      <c r="K90" s="597" t="str">
        <f>IFERROR(__xludf.DUMMYFUNCTION("""COMPUTED_VALUE"""),"61")</f>
        <v>61</v>
      </c>
      <c r="L90" s="588"/>
      <c r="M90" s="490" t="str">
        <f>IFERROR(__xludf.DUMMYFUNCTION("""COMPUTED_VALUE"""),"D-LINK")</f>
        <v>D-LINK</v>
      </c>
      <c r="N90" s="490" t="str">
        <f>IFERROR(__xludf.DUMMYFUNCTION("""COMPUTED_VALUE"""),"bos_hp_pavilionaio27")</f>
        <v>bos_hp_pavilionaio27</v>
      </c>
      <c r="O90" s="490"/>
      <c r="P90" s="490" t="s">
        <v>1005</v>
      </c>
    </row>
    <row r="91">
      <c r="A91" s="490"/>
      <c r="B91" s="490"/>
      <c r="C91" s="490"/>
      <c r="D91" s="587" t="str">
        <f>IFERROR(__xludf.DUMMYFUNCTION("""COMPUTED_VALUE"""),"BECKHOFF")</f>
        <v>BECKHOFF</v>
      </c>
      <c r="E91" s="593" t="str">
        <f>IFERROR(__xludf.DUMMYFUNCTION("""COMPUTED_VALUE"""),"ALC")</f>
        <v>ALC</v>
      </c>
      <c r="F91" s="593" t="str">
        <f>IFERROR(__xludf.DUMMYFUNCTION("""COMPUTED_VALUE"""),"OF561-E2")</f>
        <v>OF561-E2</v>
      </c>
      <c r="G91" s="490"/>
      <c r="H91" s="490"/>
      <c r="I91" s="490"/>
      <c r="J91" s="594" t="str">
        <f>IFERROR(__xludf.DUMMYFUNCTION("""COMPUTED_VALUE"""),"DS")</f>
        <v>DS</v>
      </c>
      <c r="K91" s="597" t="str">
        <f>IFERROR(__xludf.DUMMYFUNCTION("""COMPUTED_VALUE"""),"62")</f>
        <v>62</v>
      </c>
      <c r="L91" s="588"/>
      <c r="M91" s="490" t="str">
        <f>IFERROR(__xludf.DUMMYFUNCTION("""COMPUTED_VALUE"""),"D-LINK")</f>
        <v>D-LINK</v>
      </c>
      <c r="N91" s="490" t="str">
        <f>IFERROR(__xludf.DUMMYFUNCTION("""COMPUTED_VALUE"""),"bos_hp_probook440")</f>
        <v>bos_hp_probook440</v>
      </c>
      <c r="O91" s="490"/>
      <c r="P91" s="490" t="s">
        <v>1011</v>
      </c>
    </row>
    <row r="92">
      <c r="A92" s="490"/>
      <c r="B92" s="30"/>
      <c r="C92" s="30"/>
      <c r="D92" s="593" t="str">
        <f>IFERROR(__xludf.DUMMYFUNCTION("""COMPUTED_VALUE"""),"BEGHELLI")</f>
        <v>BEGHELLI</v>
      </c>
      <c r="E92" s="593" t="str">
        <f>IFERROR(__xludf.DUMMYFUNCTION("""COMPUTED_VALUE"""),"ALC")</f>
        <v>ALC</v>
      </c>
      <c r="F92" s="593" t="str">
        <f>IFERROR(__xludf.DUMMYFUNCTION("""COMPUTED_VALUE"""),"OF141-E2")</f>
        <v>OF141-E2</v>
      </c>
      <c r="G92" s="490"/>
      <c r="H92" s="490"/>
      <c r="I92" s="490"/>
      <c r="J92" s="594" t="str">
        <f>IFERROR(__xludf.DUMMYFUNCTION("""COMPUTED_VALUE"""),"DSCTF")</f>
        <v>DSCTF</v>
      </c>
      <c r="K92" s="597" t="str">
        <f>IFERROR(__xludf.DUMMYFUNCTION("""COMPUTED_VALUE"""),"63")</f>
        <v>63</v>
      </c>
      <c r="L92" s="588"/>
      <c r="M92" s="490" t="str">
        <f>IFERROR(__xludf.DUMMYFUNCTION("""COMPUTED_VALUE"""),"D-LINK")</f>
        <v>D-LINK</v>
      </c>
      <c r="N92" s="490" t="str">
        <f>IFERROR(__xludf.DUMMYFUNCTION("""COMPUTED_VALUE"""),"bos_hp_prodesk400g7mt")</f>
        <v>bos_hp_prodesk400g7mt</v>
      </c>
      <c r="O92" s="490"/>
      <c r="P92" s="490" t="s">
        <v>1015</v>
      </c>
    </row>
    <row r="93">
      <c r="A93" s="30"/>
      <c r="B93" s="586"/>
      <c r="C93" s="586"/>
      <c r="D93" s="587" t="str">
        <f>IFERROR(__xludf.DUMMYFUNCTION("""COMPUTED_VALUE"""),"BELIMO")</f>
        <v>BELIMO</v>
      </c>
      <c r="E93" s="600" t="str">
        <f>IFERROR(__xludf.DUMMYFUNCTION("""COMPUTED_VALUE"""),"ALC")</f>
        <v>ALC</v>
      </c>
      <c r="F93" s="600" t="str">
        <f>IFERROR(__xludf.DUMMYFUNCTION("""COMPUTED_VALUE"""),"OFBBC-NR")</f>
        <v>OFBBC-NR</v>
      </c>
      <c r="G93" s="30"/>
      <c r="H93" s="30"/>
      <c r="I93" s="490"/>
      <c r="J93" s="594" t="str">
        <f>IFERROR(__xludf.DUMMYFUNCTION("""COMPUTED_VALUE"""),"DSCTS")</f>
        <v>DSCTS</v>
      </c>
      <c r="K93" s="597" t="str">
        <f>IFERROR(__xludf.DUMMYFUNCTION("""COMPUTED_VALUE"""),"64")</f>
        <v>64</v>
      </c>
      <c r="L93" s="588"/>
      <c r="M93" s="490" t="str">
        <f>IFERROR(__xludf.DUMMYFUNCTION("""COMPUTED_VALUE"""),"D-LINK")</f>
        <v>D-LINK</v>
      </c>
      <c r="N93" s="490" t="str">
        <f>IFERROR(__xludf.DUMMYFUNCTION("""COMPUTED_VALUE"""),"bos_hp_prodesk600g5")</f>
        <v>bos_hp_prodesk600g5</v>
      </c>
      <c r="O93" s="490"/>
      <c r="P93" s="490" t="s">
        <v>1021</v>
      </c>
    </row>
    <row r="94">
      <c r="A94" s="586"/>
      <c r="B94" s="30"/>
      <c r="C94" s="30"/>
      <c r="D94" s="593" t="str">
        <f>IFERROR(__xludf.DUMMYFUNCTION("""COMPUTED_VALUE"""),"BEVI")</f>
        <v>BEVI</v>
      </c>
      <c r="E94" s="587" t="str">
        <f>IFERROR(__xludf.DUMMYFUNCTION("""COMPUTED_VALUE"""),"ALC")</f>
        <v>ALC</v>
      </c>
      <c r="F94" s="587" t="str">
        <f>IFERROR(__xludf.DUMMYFUNCTION("""COMPUTED_VALUE"""),"OF342-E2")</f>
        <v>OF342-E2</v>
      </c>
      <c r="G94" s="586"/>
      <c r="H94" s="586"/>
      <c r="I94" s="490"/>
      <c r="J94" s="594" t="str">
        <f>IFERROR(__xludf.DUMMYFUNCTION("""COMPUTED_VALUE"""),"DW")</f>
        <v>DW</v>
      </c>
      <c r="K94" s="597" t="str">
        <f>IFERROR(__xludf.DUMMYFUNCTION("""COMPUTED_VALUE"""),"65")</f>
        <v>65</v>
      </c>
      <c r="L94" s="588"/>
      <c r="M94" s="490" t="str">
        <f>IFERROR(__xludf.DUMMYFUNCTION("""COMPUTED_VALUE"""),"D-LINK")</f>
        <v>D-LINK</v>
      </c>
      <c r="N94" s="490" t="str">
        <f>IFERROR(__xludf.DUMMYFUNCTION("""COMPUTED_VALUE"""),"bos_hp_z2minig9")</f>
        <v>bos_hp_z2minig9</v>
      </c>
      <c r="O94" s="490"/>
      <c r="P94" s="490" t="s">
        <v>1025</v>
      </c>
    </row>
    <row r="95">
      <c r="A95" s="30"/>
      <c r="B95" s="490"/>
      <c r="C95" s="490"/>
      <c r="D95" s="600" t="str">
        <f>IFERROR(__xludf.DUMMYFUNCTION("""COMPUTED_VALUE"""),"BISINEER")</f>
        <v>BISINEER</v>
      </c>
      <c r="E95" s="600" t="str">
        <f>IFERROR(__xludf.DUMMYFUNCTION("""COMPUTED_VALUE"""),"ALC")</f>
        <v>ALC</v>
      </c>
      <c r="F95" s="600" t="str">
        <f>IFERROR(__xludf.DUMMYFUNCTION("""COMPUTED_VALUE"""),"OFBBC")</f>
        <v>OFBBC</v>
      </c>
      <c r="G95" s="30"/>
      <c r="H95" s="30"/>
      <c r="I95" s="490"/>
      <c r="J95" s="588" t="str">
        <f>IFERROR(__xludf.DUMMYFUNCTION("""COMPUTED_VALUE"""),"DWB")</f>
        <v>DWB</v>
      </c>
      <c r="K95" s="597" t="str">
        <f>IFERROR(__xludf.DUMMYFUNCTION("""COMPUTED_VALUE"""),"66")</f>
        <v>66</v>
      </c>
      <c r="L95" s="588"/>
      <c r="M95" s="490" t="str">
        <f>IFERROR(__xludf.DUMMYFUNCTION("""COMPUTED_VALUE"""),"D-LINK")</f>
        <v>D-LINK</v>
      </c>
      <c r="N95" s="490" t="str">
        <f>IFERROR(__xludf.DUMMYFUNCTION("""COMPUTED_VALUE"""),"bos_hp_z2towerg4")</f>
        <v>bos_hp_z2towerg4</v>
      </c>
      <c r="O95" s="490"/>
      <c r="P95" s="490" t="s">
        <v>1033</v>
      </c>
    </row>
    <row r="96">
      <c r="A96" s="490"/>
      <c r="B96" s="490"/>
      <c r="C96" s="490"/>
      <c r="D96" s="593" t="str">
        <f>IFERROR(__xludf.DUMMYFUNCTION("""COMPUTED_VALUE"""),"BITBOX USA")</f>
        <v>BITBOX USA</v>
      </c>
      <c r="E96" s="593" t="str">
        <f>IFERROR(__xludf.DUMMYFUNCTION("""COMPUTED_VALUE"""),"ALC")</f>
        <v>ALC</v>
      </c>
      <c r="F96" s="593" t="str">
        <f>IFERROR(__xludf.DUMMYFUNCTION("""COMPUTED_VALUE"""),"OFHI")</f>
        <v>OFHI</v>
      </c>
      <c r="G96" s="490"/>
      <c r="H96" s="490"/>
      <c r="I96" s="490"/>
      <c r="J96" s="588" t="str">
        <f>IFERROR(__xludf.DUMMYFUNCTION("""COMPUTED_VALUE"""),"DWBP")</f>
        <v>DWBP</v>
      </c>
      <c r="K96" s="597" t="str">
        <f>IFERROR(__xludf.DUMMYFUNCTION("""COMPUTED_VALUE"""),"67")</f>
        <v>67</v>
      </c>
      <c r="L96" s="588"/>
      <c r="M96" s="490" t="str">
        <f>IFERROR(__xludf.DUMMYFUNCTION("""COMPUTED_VALUE"""),"D-LINK")</f>
        <v>D-LINK</v>
      </c>
      <c r="N96" s="490" t="str">
        <f>IFERROR(__xludf.DUMMYFUNCTION("""COMPUTED_VALUE"""),"bos_inotec_cpsfusion")</f>
        <v>bos_inotec_cpsfusion</v>
      </c>
      <c r="O96" s="490"/>
      <c r="P96" s="490" t="s">
        <v>1037</v>
      </c>
    </row>
    <row r="97">
      <c r="A97" s="490"/>
      <c r="B97" s="490"/>
      <c r="C97" s="490"/>
      <c r="D97" s="593" t="str">
        <f>IFERROR(__xludf.DUMMYFUNCTION("""COMPUTED_VALUE"""),"BLACK BOX")</f>
        <v>BLACK BOX</v>
      </c>
      <c r="E97" s="593" t="str">
        <f>IFERROR(__xludf.DUMMYFUNCTION("""COMPUTED_VALUE"""),"ALC")</f>
        <v>ALC</v>
      </c>
      <c r="F97" s="593" t="str">
        <f>IFERROR(__xludf.DUMMYFUNCTION("""COMPUTED_VALUE"""),"OF028-NR")</f>
        <v>OF028-NR</v>
      </c>
      <c r="G97" s="490"/>
      <c r="H97" s="490"/>
      <c r="I97" s="490"/>
      <c r="J97" s="594" t="str">
        <f>IFERROR(__xludf.DUMMYFUNCTION("""COMPUTED_VALUE"""),"DWST")</f>
        <v>DWST</v>
      </c>
      <c r="K97" s="597" t="str">
        <f>IFERROR(__xludf.DUMMYFUNCTION("""COMPUTED_VALUE"""),"68")</f>
        <v>68</v>
      </c>
      <c r="L97" s="588"/>
      <c r="M97" s="490" t="str">
        <f>IFERROR(__xludf.DUMMYFUNCTION("""COMPUTED_VALUE"""),"D-LINK")</f>
        <v>D-LINK</v>
      </c>
      <c r="N97" s="490" t="str">
        <f>IFERROR(__xludf.DUMMYFUNCTION("""COMPUTED_VALUE"""),"bos_inotec_neafusion")</f>
        <v>bos_inotec_neafusion</v>
      </c>
      <c r="O97" s="490"/>
      <c r="P97" s="490" t="s">
        <v>1043</v>
      </c>
    </row>
    <row r="98">
      <c r="A98" s="490"/>
      <c r="B98" s="30"/>
      <c r="C98" s="30"/>
      <c r="D98" s="593" t="str">
        <f>IFERROR(__xludf.DUMMYFUNCTION("""COMPUTED_VALUE"""),"BLUE STAR")</f>
        <v>BLUE STAR</v>
      </c>
      <c r="E98" s="593" t="str">
        <f>IFERROR(__xludf.DUMMYFUNCTION("""COMPUTED_VALUE"""),"ALC")</f>
        <v>ALC</v>
      </c>
      <c r="F98" s="593" t="str">
        <f>IFERROR(__xludf.DUMMYFUNCTION("""COMPUTED_VALUE"""),"OF1628")</f>
        <v>OF1628</v>
      </c>
      <c r="G98" s="490"/>
      <c r="H98" s="490"/>
      <c r="I98" s="586"/>
      <c r="J98" s="588" t="str">
        <f>IFERROR(__xludf.DUMMYFUNCTION("""COMPUTED_VALUE"""),"DWTP")</f>
        <v>DWTP</v>
      </c>
      <c r="K98" s="589" t="str">
        <f>IFERROR(__xludf.DUMMYFUNCTION("""COMPUTED_VALUE"""),"69")</f>
        <v>69</v>
      </c>
      <c r="L98" s="594"/>
      <c r="M98" s="586" t="str">
        <f>IFERROR(__xludf.DUMMYFUNCTION("""COMPUTED_VALUE"""),"D-LINK")</f>
        <v>D-LINK</v>
      </c>
      <c r="N98" s="586" t="str">
        <f>IFERROR(__xludf.DUMMYFUNCTION("""COMPUTED_VALUE"""),"bos_jci_m4snc")</f>
        <v>bos_jci_m4snc</v>
      </c>
      <c r="O98" s="586"/>
      <c r="P98" s="586" t="s">
        <v>1047</v>
      </c>
    </row>
    <row r="99">
      <c r="A99" s="30"/>
      <c r="B99" s="490"/>
      <c r="C99" s="490"/>
      <c r="D99" s="593" t="str">
        <f>IFERROR(__xludf.DUMMYFUNCTION("""COMPUTED_VALUE"""),"BLUEROVER")</f>
        <v>BLUEROVER</v>
      </c>
      <c r="E99" s="600" t="str">
        <f>IFERROR(__xludf.DUMMYFUNCTION("""COMPUTED_VALUE"""),"ALC")</f>
        <v>ALC</v>
      </c>
      <c r="F99" s="600" t="str">
        <f>IFERROR(__xludf.DUMMYFUNCTION("""COMPUTED_VALUE"""),"OF1628-NR")</f>
        <v>OF1628-NR</v>
      </c>
      <c r="G99" s="30"/>
      <c r="H99" s="30"/>
      <c r="I99" s="586"/>
      <c r="J99" s="594" t="str">
        <f>IFERROR(__xludf.DUMMYFUNCTION("""COMPUTED_VALUE"""),"DWTT")</f>
        <v>DWTT</v>
      </c>
      <c r="K99" s="589" t="str">
        <f>IFERROR(__xludf.DUMMYFUNCTION("""COMPUTED_VALUE"""),"70")</f>
        <v>70</v>
      </c>
      <c r="L99" s="594"/>
      <c r="M99" s="586" t="str">
        <f>IFERROR(__xludf.DUMMYFUNCTION("""COMPUTED_VALUE"""),"D-LINK")</f>
        <v>D-LINK</v>
      </c>
      <c r="N99" s="586" t="str">
        <f>IFERROR(__xludf.DUMMYFUNCTION("""COMPUTED_VALUE"""),"bos_jci_m4sne")</f>
        <v>bos_jci_m4sne</v>
      </c>
      <c r="O99" s="586"/>
      <c r="P99" s="586" t="s">
        <v>1053</v>
      </c>
    </row>
    <row r="100">
      <c r="A100" s="490"/>
      <c r="B100" s="490"/>
      <c r="C100" s="490"/>
      <c r="D100" s="600" t="str">
        <f>IFERROR(__xludf.DUMMYFUNCTION("""COMPUTED_VALUE"""),"BOSCH")</f>
        <v>BOSCH</v>
      </c>
      <c r="E100" s="593" t="str">
        <f>IFERROR(__xludf.DUMMYFUNCTION("""COMPUTED_VALUE"""),"ALC")</f>
        <v>ALC</v>
      </c>
      <c r="F100" s="593" t="str">
        <f>IFERROR(__xludf.DUMMYFUNCTION("""COMPUTED_VALUE"""),"MEX88U")</f>
        <v>MEX88U</v>
      </c>
      <c r="G100" s="490"/>
      <c r="H100" s="490"/>
      <c r="I100" s="490"/>
      <c r="J100" s="588" t="str">
        <f>IFERROR(__xludf.DUMMYFUNCTION("""COMPUTED_VALUE"""),"DX")</f>
        <v>DX</v>
      </c>
      <c r="K100" s="597" t="str">
        <f>IFERROR(__xludf.DUMMYFUNCTION("""COMPUTED_VALUE"""),"71")</f>
        <v>71</v>
      </c>
      <c r="L100" s="83"/>
      <c r="M100" s="490" t="str">
        <f>IFERROR(__xludf.DUMMYFUNCTION("""COMPUTED_VALUE"""),"D-LINK")</f>
        <v>D-LINK</v>
      </c>
      <c r="N100" s="490" t="str">
        <f>IFERROR(__xludf.DUMMYFUNCTION("""COMPUTED_VALUE"""),"bos_jci_msnae")</f>
        <v>bos_jci_msnae</v>
      </c>
      <c r="O100" s="490"/>
      <c r="P100" s="490" t="s">
        <v>980</v>
      </c>
    </row>
    <row r="101">
      <c r="A101" s="490"/>
      <c r="B101" s="490"/>
      <c r="C101" s="490"/>
      <c r="D101" s="593" t="str">
        <f>IFERROR(__xludf.DUMMYFUNCTION("""COMPUTED_VALUE"""),"BOXC")</f>
        <v>BOXC</v>
      </c>
      <c r="E101" s="593" t="str">
        <f>IFERROR(__xludf.DUMMYFUNCTION("""COMPUTED_VALUE"""),"ALC")</f>
        <v>ALC</v>
      </c>
      <c r="F101" s="593" t="str">
        <f>IFERROR(__xludf.DUMMYFUNCTION("""COMPUTED_VALUE"""),"AAR")</f>
        <v>AAR</v>
      </c>
      <c r="G101" s="490"/>
      <c r="H101" s="490"/>
      <c r="I101" s="490"/>
      <c r="J101" s="594" t="str">
        <f>IFERROR(__xludf.DUMMYFUNCTION("""COMPUTED_VALUE"""),"DXO")</f>
        <v>DXO</v>
      </c>
      <c r="K101" s="597" t="str">
        <f>IFERROR(__xludf.DUMMYFUNCTION("""COMPUTED_VALUE"""),"72")</f>
        <v>72</v>
      </c>
      <c r="L101" s="588"/>
      <c r="M101" s="490" t="str">
        <f>IFERROR(__xludf.DUMMYFUNCTION("""COMPUTED_VALUE"""),"D-LINK")</f>
        <v>D-LINK</v>
      </c>
      <c r="N101" s="490" t="str">
        <f>IFERROR(__xludf.DUMMYFUNCTION("""COMPUTED_VALUE"""),"bos_kaiterra_senseedgemini")</f>
        <v>bos_kaiterra_senseedgemini</v>
      </c>
      <c r="O101" s="490"/>
      <c r="P101" s="490" t="s">
        <v>1057</v>
      </c>
    </row>
    <row r="102">
      <c r="A102" s="490"/>
      <c r="B102" s="490"/>
      <c r="C102" s="490"/>
      <c r="D102" s="593" t="str">
        <f>IFERROR(__xludf.DUMMYFUNCTION("""COMPUTED_VALUE"""),"BRIGHT SIGN")</f>
        <v>BRIGHT SIGN</v>
      </c>
      <c r="E102" s="593" t="str">
        <f>IFERROR(__xludf.DUMMYFUNCTION("""COMPUTED_VALUE"""),"ALC")</f>
        <v>ALC</v>
      </c>
      <c r="F102" s="593" t="str">
        <f>IFERROR(__xludf.DUMMYFUNCTION("""COMPUTED_VALUE"""),"ME-LGR200")</f>
        <v>ME-LGR200</v>
      </c>
      <c r="G102" s="490"/>
      <c r="H102" s="490"/>
      <c r="I102" s="490"/>
      <c r="J102" s="594" t="str">
        <f>IFERROR(__xludf.DUMMYFUNCTION("""COMPUTED_VALUE"""),"EAPPL")</f>
        <v>EAPPL</v>
      </c>
      <c r="K102" s="597" t="str">
        <f>IFERROR(__xludf.DUMMYFUNCTION("""COMPUTED_VALUE"""),"73")</f>
        <v>73</v>
      </c>
      <c r="L102" s="588"/>
      <c r="M102" s="490" t="str">
        <f>IFERROR(__xludf.DUMMYFUNCTION("""COMPUTED_VALUE"""),"D-LINK")</f>
        <v>D-LINK</v>
      </c>
      <c r="N102" s="490" t="str">
        <f>IFERROR(__xludf.DUMMYFUNCTION("""COMPUTED_VALUE"""),"bos_lenovo_p620")</f>
        <v>bos_lenovo_p620</v>
      </c>
      <c r="O102" s="490"/>
      <c r="P102" s="490" t="s">
        <v>1063</v>
      </c>
    </row>
    <row r="103">
      <c r="A103" s="490"/>
      <c r="B103" s="30"/>
      <c r="C103" s="30"/>
      <c r="D103" s="593" t="str">
        <f>IFERROR(__xludf.DUMMYFUNCTION("""COMPUTED_VALUE"""),"BROTHER")</f>
        <v>BROTHER</v>
      </c>
      <c r="E103" s="593" t="str">
        <f>IFERROR(__xludf.DUMMYFUNCTION("""COMPUTED_VALUE"""),"ALC")</f>
        <v>ALC</v>
      </c>
      <c r="F103" s="593" t="str">
        <f>IFERROR(__xludf.DUMMYFUNCTION("""COMPUTED_VALUE"""),"ME-LGR25")</f>
        <v>ME-LGR25</v>
      </c>
      <c r="G103" s="490"/>
      <c r="H103" s="490"/>
      <c r="I103" s="586"/>
      <c r="J103" s="594" t="str">
        <f>IFERROR(__xludf.DUMMYFUNCTION("""COMPUTED_VALUE"""),"EEW")</f>
        <v>EEW</v>
      </c>
      <c r="K103" s="589" t="str">
        <f>IFERROR(__xludf.DUMMYFUNCTION("""COMPUTED_VALUE"""),"74")</f>
        <v>74</v>
      </c>
      <c r="L103" s="594"/>
      <c r="M103" s="586" t="str">
        <f>IFERROR(__xludf.DUMMYFUNCTION("""COMPUTED_VALUE"""),"D-LINK")</f>
        <v>D-LINK</v>
      </c>
      <c r="N103" s="586" t="str">
        <f>IFERROR(__xludf.DUMMYFUNCTION("""COMPUTED_VALUE"""),"bos_lenovo_thinkpade480")</f>
        <v>bos_lenovo_thinkpade480</v>
      </c>
      <c r="O103" s="586"/>
      <c r="P103" s="586" t="s">
        <v>1067</v>
      </c>
    </row>
    <row r="104">
      <c r="A104" s="30"/>
      <c r="B104" s="586"/>
      <c r="C104" s="586"/>
      <c r="D104" s="587" t="str">
        <f>IFERROR(__xludf.DUMMYFUNCTION("""COMPUTED_VALUE"""),"BTICINO")</f>
        <v>BTICINO</v>
      </c>
      <c r="E104" s="600" t="str">
        <f>IFERROR(__xludf.DUMMYFUNCTION("""COMPUTED_VALUE"""),"ALC")</f>
        <v>ALC</v>
      </c>
      <c r="F104" s="600" t="str">
        <f>IFERROR(__xludf.DUMMYFUNCTION("""COMPUTED_VALUE"""),"OFBBC-A")</f>
        <v>OFBBC-A</v>
      </c>
      <c r="G104" s="30"/>
      <c r="H104" s="30"/>
      <c r="I104" s="490"/>
      <c r="J104" s="588" t="str">
        <f>IFERROR(__xludf.DUMMYFUNCTION("""COMPUTED_VALUE"""),"EF")</f>
        <v>EF</v>
      </c>
      <c r="K104" s="597" t="str">
        <f>IFERROR(__xludf.DUMMYFUNCTION("""COMPUTED_VALUE"""),"75")</f>
        <v>75</v>
      </c>
      <c r="L104" s="588"/>
      <c r="M104" s="490" t="str">
        <f>IFERROR(__xludf.DUMMYFUNCTION("""COMPUTED_VALUE"""),"D-LINK")</f>
        <v>D-LINK</v>
      </c>
      <c r="N104" s="490" t="str">
        <f>IFERROR(__xludf.DUMMYFUNCTION("""COMPUTED_VALUE"""),"bos_lenovo_thinkstationp520c")</f>
        <v>bos_lenovo_thinkstationp520c</v>
      </c>
      <c r="O104" s="490"/>
      <c r="P104" s="490" t="s">
        <v>1073</v>
      </c>
    </row>
    <row r="105">
      <c r="A105" s="586"/>
      <c r="B105" s="30"/>
      <c r="C105" s="30"/>
      <c r="D105" s="593" t="str">
        <f>IFERROR(__xludf.DUMMYFUNCTION("""COMPUTED_VALUE"""),"BUFFALO")</f>
        <v>BUFFALO</v>
      </c>
      <c r="E105" s="587" t="str">
        <f>IFERROR(__xludf.DUMMYFUNCTION("""COMPUTED_VALUE"""),"ALC")</f>
        <v>ALC</v>
      </c>
      <c r="F105" s="587" t="str">
        <f>IFERROR(__xludf.DUMMYFUNCTION("""COMPUTED_VALUE"""),"ZN341A")</f>
        <v>ZN341A</v>
      </c>
      <c r="G105" s="586"/>
      <c r="H105" s="586"/>
      <c r="I105" s="490"/>
      <c r="J105" s="594" t="str">
        <f>IFERROR(__xludf.DUMMYFUNCTION("""COMPUTED_VALUE"""),"EHT")</f>
        <v>EHT</v>
      </c>
      <c r="K105" s="597" t="str">
        <f>IFERROR(__xludf.DUMMYFUNCTION("""COMPUTED_VALUE"""),"76")</f>
        <v>76</v>
      </c>
      <c r="L105" s="588"/>
      <c r="M105" s="490" t="str">
        <f>IFERROR(__xludf.DUMMYFUNCTION("""COMPUTED_VALUE"""),"D-LINK")</f>
        <v>D-LINK</v>
      </c>
      <c r="N105" s="490" t="str">
        <f>IFERROR(__xludf.DUMMYFUNCTION("""COMPUTED_VALUE"""),"bos_lenovo_v50a")</f>
        <v>bos_lenovo_v50a</v>
      </c>
      <c r="O105" s="490"/>
      <c r="P105" s="490" t="s">
        <v>1077</v>
      </c>
    </row>
    <row r="106">
      <c r="A106" s="30"/>
      <c r="B106" s="490"/>
      <c r="C106" s="490"/>
      <c r="D106" s="593" t="str">
        <f>IFERROR(__xludf.DUMMYFUNCTION("""COMPUTED_VALUE"""),"BUNN")</f>
        <v>BUNN</v>
      </c>
      <c r="E106" s="600" t="str">
        <f>IFERROR(__xludf.DUMMYFUNCTION("""COMPUTED_VALUE"""),"ALC")</f>
        <v>ALC</v>
      </c>
      <c r="F106" s="600" t="str">
        <f>IFERROR(__xludf.DUMMYFUNCTION("""COMPUTED_VALUE"""),"OPTIFLEX INTEGRATOR")</f>
        <v>OPTIFLEX INTEGRATOR</v>
      </c>
      <c r="G106" s="30"/>
      <c r="H106" s="30"/>
      <c r="I106" s="490"/>
      <c r="J106" s="588" t="str">
        <f>IFERROR(__xludf.DUMMYFUNCTION("""COMPUTED_VALUE"""),"EKC")</f>
        <v>EKC</v>
      </c>
      <c r="K106" s="597" t="str">
        <f>IFERROR(__xludf.DUMMYFUNCTION("""COMPUTED_VALUE"""),"77")</f>
        <v>77</v>
      </c>
      <c r="L106" s="588"/>
      <c r="M106" s="490" t="str">
        <f>IFERROR(__xludf.DUMMYFUNCTION("""COMPUTED_VALUE"""),"D-LINK")</f>
        <v>D-LINK</v>
      </c>
      <c r="N106" s="490" t="str">
        <f>IFERROR(__xludf.DUMMYFUNCTION("""COMPUTED_VALUE"""),"bos_loytec_ldali")</f>
        <v>bos_loytec_ldali</v>
      </c>
      <c r="O106" s="490"/>
      <c r="P106" s="490" t="s">
        <v>1083</v>
      </c>
    </row>
    <row r="107">
      <c r="A107" s="490"/>
      <c r="B107" s="30"/>
      <c r="C107" s="30"/>
      <c r="D107" s="593" t="str">
        <f>IFERROR(__xludf.DUMMYFUNCTION("""COMPUTED_VALUE"""),"C SYSTEMS")</f>
        <v>C SYSTEMS</v>
      </c>
      <c r="E107" s="593" t="str">
        <f>IFERROR(__xludf.DUMMYFUNCTION("""COMPUTED_VALUE"""),"ALC")</f>
        <v>ALC</v>
      </c>
      <c r="F107" s="593" t="str">
        <f>IFERROR(__xludf.DUMMYFUNCTION("""COMPUTED_VALUE"""),"ZN551 ZONECONTROLLER")</f>
        <v>ZN551 ZONECONTROLLER</v>
      </c>
      <c r="G107" s="490"/>
      <c r="H107" s="490"/>
      <c r="I107" s="490"/>
      <c r="J107" s="588" t="str">
        <f>IFERROR(__xludf.DUMMYFUNCTION("""COMPUTED_VALUE"""),"ELC")</f>
        <v>ELC</v>
      </c>
      <c r="K107" s="597" t="str">
        <f>IFERROR(__xludf.DUMMYFUNCTION("""COMPUTED_VALUE"""),"78")</f>
        <v>78</v>
      </c>
      <c r="L107" s="588"/>
      <c r="M107" s="490" t="str">
        <f>IFERROR(__xludf.DUMMYFUNCTION("""COMPUTED_VALUE"""),"D-LINK")</f>
        <v>D-LINK</v>
      </c>
      <c r="N107" s="490" t="str">
        <f>IFERROR(__xludf.DUMMYFUNCTION("""COMPUTED_VALUE"""),"bos_loytec_lgate")</f>
        <v>bos_loytec_lgate</v>
      </c>
      <c r="O107" s="490"/>
      <c r="P107" s="490" t="s">
        <v>1087</v>
      </c>
    </row>
    <row r="108">
      <c r="A108" s="30"/>
      <c r="B108" s="30"/>
      <c r="C108" s="30"/>
      <c r="D108" s="593" t="str">
        <f>IFERROR(__xludf.DUMMYFUNCTION("""COMPUTED_VALUE"""),"CAFECTION")</f>
        <v>CAFECTION</v>
      </c>
      <c r="E108" s="600" t="str">
        <f>IFERROR(__xludf.DUMMYFUNCTION("""COMPUTED_VALUE"""),"ALC")</f>
        <v>ALC</v>
      </c>
      <c r="F108" s="600" t="str">
        <f>IFERROR(__xludf.DUMMYFUNCTION("""COMPUTED_VALUE"""),"SE CONTROLLER")</f>
        <v>SE CONTROLLER</v>
      </c>
      <c r="G108" s="30"/>
      <c r="H108" s="30"/>
      <c r="I108" s="490"/>
      <c r="J108" s="588" t="str">
        <f>IFERROR(__xludf.DUMMYFUNCTION("""COMPUTED_VALUE"""),"ELDM")</f>
        <v>ELDM</v>
      </c>
      <c r="K108" s="597" t="str">
        <f>IFERROR(__xludf.DUMMYFUNCTION("""COMPUTED_VALUE"""),"79")</f>
        <v>79</v>
      </c>
      <c r="L108" s="588"/>
      <c r="M108" s="490" t="str">
        <f>IFERROR(__xludf.DUMMYFUNCTION("""COMPUTED_VALUE"""),"D-LINK")</f>
        <v>D-LINK</v>
      </c>
      <c r="N108" s="490" t="str">
        <f>IFERROR(__xludf.DUMMYFUNCTION("""COMPUTED_VALUE"""),"bos_loytec_lgate952")</f>
        <v>bos_loytec_lgate952</v>
      </c>
      <c r="O108" s="490"/>
      <c r="P108" s="490" t="s">
        <v>1094</v>
      </c>
    </row>
    <row r="109">
      <c r="A109" s="30"/>
      <c r="B109" s="586"/>
      <c r="C109" s="586"/>
      <c r="D109" s="593" t="str">
        <f>IFERROR(__xludf.DUMMYFUNCTION("""COMPUTED_VALUE"""),"CALAMP")</f>
        <v>CALAMP</v>
      </c>
      <c r="E109" s="600" t="str">
        <f>IFERROR(__xludf.DUMMYFUNCTION("""COMPUTED_VALUE"""),"ALC")</f>
        <v>ALC</v>
      </c>
      <c r="F109" s="600" t="str">
        <f>IFERROR(__xludf.DUMMYFUNCTION("""COMPUTED_VALUE"""),"BACNET AAC SE563A")</f>
        <v>BACNET AAC SE563A</v>
      </c>
      <c r="G109" s="30"/>
      <c r="H109" s="30"/>
      <c r="I109" s="490"/>
      <c r="J109" s="594" t="str">
        <f>IFERROR(__xludf.DUMMYFUNCTION("""COMPUTED_VALUE"""),"ELI")</f>
        <v>ELI</v>
      </c>
      <c r="K109" s="597" t="str">
        <f>IFERROR(__xludf.DUMMYFUNCTION("""COMPUTED_VALUE"""),"80")</f>
        <v>80</v>
      </c>
      <c r="L109" s="588"/>
      <c r="M109" s="490" t="str">
        <f>IFERROR(__xludf.DUMMYFUNCTION("""COMPUTED_VALUE"""),"D-LINK")</f>
        <v>D-LINK</v>
      </c>
      <c r="N109" s="490" t="str">
        <f>IFERROR(__xludf.DUMMYFUNCTION("""COMPUTED_VALUE"""),"bos_loytec_linx153")</f>
        <v>bos_loytec_linx153</v>
      </c>
      <c r="O109" s="490"/>
      <c r="P109" s="490" t="s">
        <v>1098</v>
      </c>
    </row>
    <row r="110">
      <c r="A110" s="586"/>
      <c r="B110" s="490"/>
      <c r="C110" s="490"/>
      <c r="D110" s="593" t="str">
        <f>IFERROR(__xludf.DUMMYFUNCTION("""COMPUTED_VALUE"""),"CAMBRIDGE")</f>
        <v>CAMBRIDGE</v>
      </c>
      <c r="E110" s="587" t="str">
        <f>IFERROR(__xludf.DUMMYFUNCTION("""COMPUTED_VALUE"""),"ALERTON")</f>
        <v>ALERTON</v>
      </c>
      <c r="F110" s="587" t="str">
        <f>IFERROR(__xludf.DUMMYFUNCTION("""COMPUTED_VALUE"""),"ACM")</f>
        <v>ACM</v>
      </c>
      <c r="G110" s="586"/>
      <c r="H110" s="586"/>
      <c r="I110" s="490"/>
      <c r="J110" s="588" t="str">
        <f>IFERROR(__xludf.DUMMYFUNCTION("""COMPUTED_VALUE"""),"ELSW")</f>
        <v>ELSW</v>
      </c>
      <c r="K110" s="597" t="str">
        <f>IFERROR(__xludf.DUMMYFUNCTION("""COMPUTED_VALUE"""),"81")</f>
        <v>81</v>
      </c>
      <c r="L110" s="588"/>
      <c r="M110" s="490" t="str">
        <f>IFERROR(__xludf.DUMMYFUNCTION("""COMPUTED_VALUE"""),"D-LINK")</f>
        <v>D-LINK</v>
      </c>
      <c r="N110" s="490" t="str">
        <f>IFERROR(__xludf.DUMMYFUNCTION("""COMPUTED_VALUE"""),"bos_loytec_liob55x")</f>
        <v>bos_loytec_liob55x</v>
      </c>
      <c r="O110" s="490"/>
      <c r="P110" s="490" t="s">
        <v>1104</v>
      </c>
    </row>
    <row r="111">
      <c r="A111" s="490"/>
      <c r="B111" s="30"/>
      <c r="C111" s="30"/>
      <c r="D111" s="587" t="str">
        <f>IFERROR(__xludf.DUMMYFUNCTION("""COMPUTED_VALUE"""),"CAPTIVEAIRE")</f>
        <v>CAPTIVEAIRE</v>
      </c>
      <c r="E111" s="593" t="str">
        <f>IFERROR(__xludf.DUMMYFUNCTION("""COMPUTED_VALUE"""),"ALERTON")</f>
        <v>ALERTON</v>
      </c>
      <c r="F111" s="593" t="str">
        <f>IFERROR(__xludf.DUMMYFUNCTION("""COMPUTED_VALUE"""),"BCM-ETH")</f>
        <v>BCM-ETH</v>
      </c>
      <c r="G111" s="490"/>
      <c r="H111" s="490"/>
      <c r="I111" s="490"/>
      <c r="J111" s="588" t="str">
        <f>IFERROR(__xludf.DUMMYFUNCTION("""COMPUTED_VALUE"""),"ELTM")</f>
        <v>ELTM</v>
      </c>
      <c r="K111" s="597" t="str">
        <f>IFERROR(__xludf.DUMMYFUNCTION("""COMPUTED_VALUE"""),"82")</f>
        <v>82</v>
      </c>
      <c r="L111" s="588"/>
      <c r="M111" s="490" t="str">
        <f>IFERROR(__xludf.DUMMYFUNCTION("""COMPUTED_VALUE"""),"D-LINK")</f>
        <v>D-LINK</v>
      </c>
      <c r="N111" s="490" t="str">
        <f>IFERROR(__xludf.DUMMYFUNCTION("""COMPUTED_VALUE"""),"bos_loytec_liob58x")</f>
        <v>bos_loytec_liob58x</v>
      </c>
      <c r="O111" s="490"/>
      <c r="P111" s="490" t="s">
        <v>1020</v>
      </c>
    </row>
    <row r="112">
      <c r="A112" s="30"/>
      <c r="B112" s="490"/>
      <c r="C112" s="490"/>
      <c r="D112" s="600" t="str">
        <f>IFERROR(__xludf.DUMMYFUNCTION("""COMPUTED_VALUE"""),"CAREL")</f>
        <v>CAREL</v>
      </c>
      <c r="E112" s="600" t="str">
        <f>IFERROR(__xludf.DUMMYFUNCTION("""COMPUTED_VALUE"""),"ALERTON")</f>
        <v>ALERTON</v>
      </c>
      <c r="F112" s="600" t="str">
        <f>IFERROR(__xludf.DUMMYFUNCTION("""COMPUTED_VALUE"""),"")</f>
        <v/>
      </c>
      <c r="G112" s="30"/>
      <c r="H112" s="30"/>
      <c r="I112" s="490"/>
      <c r="J112" s="588" t="str">
        <f>IFERROR(__xludf.DUMMYFUNCTION("""COMPUTED_VALUE"""),"ELV")</f>
        <v>ELV</v>
      </c>
      <c r="K112" s="597" t="str">
        <f>IFERROR(__xludf.DUMMYFUNCTION("""COMPUTED_VALUE"""),"83")</f>
        <v>83</v>
      </c>
      <c r="L112" s="83"/>
      <c r="M112" s="490" t="str">
        <f>IFERROR(__xludf.DUMMYFUNCTION("""COMPUTED_VALUE"""),"D-LINK")</f>
        <v>D-LINK</v>
      </c>
      <c r="N112" s="490" t="str">
        <f>IFERROR(__xludf.DUMMYFUNCTION("""COMPUTED_VALUE"""),"bos_loytec_liob59x")</f>
        <v>bos_loytec_liob59x</v>
      </c>
      <c r="O112" s="490"/>
      <c r="P112" s="490" t="s">
        <v>1108</v>
      </c>
    </row>
    <row r="113">
      <c r="A113" s="490"/>
      <c r="B113" s="490"/>
      <c r="C113" s="490"/>
      <c r="D113" s="593" t="str">
        <f>IFERROR(__xludf.DUMMYFUNCTION("""COMPUTED_VALUE"""),"CARRIER")</f>
        <v>CARRIER</v>
      </c>
      <c r="E113" s="593" t="str">
        <f>IFERROR(__xludf.DUMMYFUNCTION("""COMPUTED_VALUE"""),"ALERTON")</f>
        <v>ALERTON</v>
      </c>
      <c r="F113" s="593" t="str">
        <f>IFERROR(__xludf.DUMMYFUNCTION("""COMPUTED_VALUE"""),"VLX")</f>
        <v>VLX</v>
      </c>
      <c r="G113" s="490"/>
      <c r="H113" s="490"/>
      <c r="I113" s="586"/>
      <c r="J113" s="588" t="str">
        <f>IFERROR(__xludf.DUMMYFUNCTION("""COMPUTED_VALUE"""),"EM")</f>
        <v>EM</v>
      </c>
      <c r="K113" s="589" t="str">
        <f>IFERROR(__xludf.DUMMYFUNCTION("""COMPUTED_VALUE"""),"84")</f>
        <v>84</v>
      </c>
      <c r="L113" s="594"/>
      <c r="M113" s="586" t="str">
        <f>IFERROR(__xludf.DUMMYFUNCTION("""COMPUTED_VALUE"""),"DAHUA")</f>
        <v>DAHUA</v>
      </c>
      <c r="N113" s="586" t="str">
        <f>IFERROR(__xludf.DUMMYFUNCTION("""COMPUTED_VALUE"""),"bos_loytec_lip")</f>
        <v>bos_loytec_lip</v>
      </c>
      <c r="O113" s="586"/>
      <c r="P113" s="586" t="s">
        <v>1114</v>
      </c>
    </row>
    <row r="114">
      <c r="A114" s="490"/>
      <c r="B114" s="490"/>
      <c r="C114" s="490"/>
      <c r="D114" s="593" t="str">
        <f>IFERROR(__xludf.DUMMYFUNCTION("""COMPUTED_VALUE"""),"CAT")</f>
        <v>CAT</v>
      </c>
      <c r="E114" s="593" t="str">
        <f>IFERROR(__xludf.DUMMYFUNCTION("""COMPUTED_VALUE"""),"ALERTON")</f>
        <v>ALERTON</v>
      </c>
      <c r="F114" s="593" t="str">
        <f>IFERROR(__xludf.DUMMYFUNCTION("""COMPUTED_VALUE"""),"VLX PLATINUM")</f>
        <v>VLX PLATINUM</v>
      </c>
      <c r="G114" s="490"/>
      <c r="H114" s="490"/>
      <c r="I114" s="490"/>
      <c r="J114" s="588" t="str">
        <f>IFERROR(__xludf.DUMMYFUNCTION("""COMPUTED_VALUE"""),"EMV")</f>
        <v>EMV</v>
      </c>
      <c r="K114" s="597" t="str">
        <f>IFERROR(__xludf.DUMMYFUNCTION("""COMPUTED_VALUE"""),"85")</f>
        <v>85</v>
      </c>
      <c r="L114" s="588"/>
      <c r="M114" s="490" t="str">
        <f>IFERROR(__xludf.DUMMYFUNCTION("""COMPUTED_VALUE"""),"DAHUA")</f>
        <v>DAHUA</v>
      </c>
      <c r="N114" s="490" t="str">
        <f>IFERROR(__xludf.DUMMYFUNCTION("""COMPUTED_VALUE"""),"bos_loytec_lip333ectc")</f>
        <v>bos_loytec_lip333ectc</v>
      </c>
      <c r="O114" s="490"/>
      <c r="P114" s="490" t="s">
        <v>1118</v>
      </c>
    </row>
    <row r="115">
      <c r="A115" s="490"/>
      <c r="B115" s="490"/>
      <c r="C115" s="490"/>
      <c r="D115" s="593" t="str">
        <f>IFERROR(__xludf.DUMMYFUNCTION("""COMPUTED_VALUE"""),"CHAI POINT")</f>
        <v>CHAI POINT</v>
      </c>
      <c r="E115" s="593" t="str">
        <f>IFERROR(__xludf.DUMMYFUNCTION("""COMPUTED_VALUE"""),"ALERTON")</f>
        <v>ALERTON</v>
      </c>
      <c r="F115" s="593" t="str">
        <f>IFERROR(__xludf.DUMMYFUNCTION("""COMPUTED_VALUE"""),"VIP-363-HOA")</f>
        <v>VIP-363-HOA</v>
      </c>
      <c r="G115" s="490"/>
      <c r="H115" s="490"/>
      <c r="I115" s="586"/>
      <c r="J115" s="588" t="str">
        <f>IFERROR(__xludf.DUMMYFUNCTION("""COMPUTED_VALUE"""),"EMWC")</f>
        <v>EMWC</v>
      </c>
      <c r="K115" s="589" t="str">
        <f>IFERROR(__xludf.DUMMYFUNCTION("""COMPUTED_VALUE"""),"86")</f>
        <v>86</v>
      </c>
      <c r="L115" s="594"/>
      <c r="M115" s="586" t="str">
        <f>IFERROR(__xludf.DUMMYFUNCTION("""COMPUTED_VALUE"""),"DELL")</f>
        <v>DELL</v>
      </c>
      <c r="N115" s="586" t="str">
        <f>IFERROR(__xludf.DUMMYFUNCTION("""COMPUTED_VALUE"""),"bos_loytec_lip33ectc")</f>
        <v>bos_loytec_lip33ectc</v>
      </c>
      <c r="O115" s="586"/>
      <c r="P115" s="586" t="s">
        <v>1124</v>
      </c>
    </row>
    <row r="116">
      <c r="A116" s="490"/>
      <c r="B116" s="490"/>
      <c r="C116" s="490"/>
      <c r="D116" s="593" t="str">
        <f>IFERROR(__xludf.DUMMYFUNCTION("""COMPUTED_VALUE"""),"CHARGEPOINT")</f>
        <v>CHARGEPOINT</v>
      </c>
      <c r="E116" s="593" t="str">
        <f>IFERROR(__xludf.DUMMYFUNCTION("""COMPUTED_VALUE"""),"ALERTON")</f>
        <v>ALERTON</v>
      </c>
      <c r="F116" s="593" t="str">
        <f>IFERROR(__xludf.DUMMYFUNCTION("""COMPUTED_VALUE"""),"VIP-363-VAV")</f>
        <v>VIP-363-VAV</v>
      </c>
      <c r="G116" s="490"/>
      <c r="H116" s="490"/>
      <c r="I116" s="490"/>
      <c r="J116" s="588" t="str">
        <f>IFERROR(__xludf.DUMMYFUNCTION("""COMPUTED_VALUE"""),"ENV")</f>
        <v>ENV</v>
      </c>
      <c r="K116" s="597" t="str">
        <f>IFERROR(__xludf.DUMMYFUNCTION("""COMPUTED_VALUE"""),"87")</f>
        <v>87</v>
      </c>
      <c r="L116" s="588"/>
      <c r="M116" s="490" t="str">
        <f>IFERROR(__xludf.DUMMYFUNCTION("""COMPUTED_VALUE"""),"DELL")</f>
        <v>DELL</v>
      </c>
      <c r="N116" s="490" t="str">
        <f>IFERROR(__xludf.DUMMYFUNCTION("""COMPUTED_VALUE"""),"bos_loytec_lpad7")</f>
        <v>bos_loytec_lpad7</v>
      </c>
      <c r="O116" s="490"/>
      <c r="P116" s="490" t="s">
        <v>1128</v>
      </c>
    </row>
    <row r="117">
      <c r="A117" s="490"/>
      <c r="B117" s="30"/>
      <c r="C117" s="30"/>
      <c r="D117" s="600" t="str">
        <f>IFERROR(__xludf.DUMMYFUNCTION("""COMPUTED_VALUE"""),"CHOWBOTICS")</f>
        <v>CHOWBOTICS</v>
      </c>
      <c r="E117" s="593" t="str">
        <f>IFERROR(__xludf.DUMMYFUNCTION("""COMPUTED_VALUE"""),"ALERTON")</f>
        <v>ALERTON</v>
      </c>
      <c r="F117" s="593" t="str">
        <f>IFERROR(__xludf.DUMMYFUNCTION("""COMPUTED_VALUE"""),"BACTALK FC VLC-1600")</f>
        <v>BACTALK FC VLC-1600</v>
      </c>
      <c r="G117" s="490"/>
      <c r="H117" s="490"/>
      <c r="I117" s="490"/>
      <c r="J117" s="597" t="str">
        <f>IFERROR(__xludf.DUMMYFUNCTION("""COMPUTED_VALUE"""),"EPOS")</f>
        <v>EPOS</v>
      </c>
      <c r="K117" s="597" t="str">
        <f>IFERROR(__xludf.DUMMYFUNCTION("""COMPUTED_VALUE"""),"88")</f>
        <v>88</v>
      </c>
      <c r="L117" s="83"/>
      <c r="M117" s="490" t="str">
        <f>IFERROR(__xludf.DUMMYFUNCTION("""COMPUTED_VALUE"""),"DELL")</f>
        <v>DELL</v>
      </c>
      <c r="N117" s="490" t="str">
        <f>IFERROR(__xludf.DUMMYFUNCTION("""COMPUTED_VALUE"""),"bos_loytec_lroc40x")</f>
        <v>bos_loytec_lroc40x</v>
      </c>
      <c r="O117" s="490"/>
      <c r="P117" s="490" t="s">
        <v>1134</v>
      </c>
    </row>
    <row r="118">
      <c r="A118" s="30"/>
      <c r="B118" s="490"/>
      <c r="C118" s="490"/>
      <c r="D118" s="593" t="str">
        <f>IFERROR(__xludf.DUMMYFUNCTION("""COMPUTED_VALUE"""),"CHR-NUMERIQUE")</f>
        <v>CHR-NUMERIQUE</v>
      </c>
      <c r="E118" s="600" t="str">
        <f>IFERROR(__xludf.DUMMYFUNCTION("""COMPUTED_VALUE"""),"ALERTON")</f>
        <v>ALERTON</v>
      </c>
      <c r="F118" s="600" t="str">
        <f>IFERROR(__xludf.DUMMYFUNCTION("""COMPUTED_VALUE"""),"BACTALK VLC-853")</f>
        <v>BACTALK VLC-853</v>
      </c>
      <c r="G118" s="30"/>
      <c r="H118" s="30"/>
      <c r="I118" s="490"/>
      <c r="J118" s="588" t="str">
        <f>IFERROR(__xludf.DUMMYFUNCTION("""COMPUTED_VALUE"""),"ESC")</f>
        <v>ESC</v>
      </c>
      <c r="K118" s="597" t="str">
        <f>IFERROR(__xludf.DUMMYFUNCTION("""COMPUTED_VALUE"""),"89")</f>
        <v>89</v>
      </c>
      <c r="L118" s="588"/>
      <c r="M118" s="490" t="str">
        <f>IFERROR(__xludf.DUMMYFUNCTION("""COMPUTED_VALUE"""),"DIGI")</f>
        <v>DIGI</v>
      </c>
      <c r="N118" s="490" t="str">
        <f>IFERROR(__xludf.DUMMYFUNCTION("""COMPUTED_VALUE"""),"bos_lutron_hjsx")</f>
        <v>bos_lutron_hjsx</v>
      </c>
      <c r="O118" s="490"/>
      <c r="P118" s="490" t="s">
        <v>1138</v>
      </c>
    </row>
    <row r="119">
      <c r="A119" s="490"/>
      <c r="B119" s="30"/>
      <c r="C119" s="30"/>
      <c r="D119" s="593" t="str">
        <f>IFERROR(__xludf.DUMMYFUNCTION("""COMPUTED_VALUE"""),"CHROMALOX")</f>
        <v>CHROMALOX</v>
      </c>
      <c r="E119" s="593" t="str">
        <f>IFERROR(__xludf.DUMMYFUNCTION("""COMPUTED_VALUE"""),"ALERTON")</f>
        <v>ALERTON</v>
      </c>
      <c r="F119" s="593" t="str">
        <f>IFERROR(__xludf.DUMMYFUNCTION("""COMPUTED_VALUE"""),"BACTALK VLC-1188")</f>
        <v>BACTALK VLC-1188</v>
      </c>
      <c r="G119" s="490"/>
      <c r="H119" s="490"/>
      <c r="I119" s="490"/>
      <c r="J119" s="594" t="str">
        <f>IFERROR(__xludf.DUMMYFUNCTION("""COMPUTED_VALUE"""),"EST")</f>
        <v>EST</v>
      </c>
      <c r="K119" s="597" t="str">
        <f>IFERROR(__xludf.DUMMYFUNCTION("""COMPUTED_VALUE"""),"90")</f>
        <v>90</v>
      </c>
      <c r="L119" s="588"/>
      <c r="M119" s="490" t="str">
        <f>IFERROR(__xludf.DUMMYFUNCTION("""COMPUTED_VALUE"""),"DIGI")</f>
        <v>DIGI</v>
      </c>
      <c r="N119" s="490" t="str">
        <f>IFERROR(__xludf.DUMMYFUNCTION("""COMPUTED_VALUE"""),"bos_lutron_hksx")</f>
        <v>bos_lutron_hksx</v>
      </c>
      <c r="O119" s="490"/>
      <c r="P119" s="490" t="s">
        <v>1144</v>
      </c>
    </row>
    <row r="120">
      <c r="A120" s="30"/>
      <c r="B120" s="490"/>
      <c r="C120" s="490"/>
      <c r="D120" s="593" t="str">
        <f>IFERROR(__xludf.DUMMYFUNCTION("""COMPUTED_VALUE"""),"CHROME")</f>
        <v>CHROME</v>
      </c>
      <c r="E120" s="600" t="str">
        <f>IFERROR(__xludf.DUMMYFUNCTION("""COMPUTED_VALUE"""),"ALLEN BRADLEY")</f>
        <v>ALLEN BRADLEY</v>
      </c>
      <c r="F120" s="600" t="str">
        <f>IFERROR(__xludf.DUMMYFUNCTION("""COMPUTED_VALUE"""),"1769-L32E")</f>
        <v>1769-L32E</v>
      </c>
      <c r="G120" s="30"/>
      <c r="H120" s="30"/>
      <c r="I120" s="490"/>
      <c r="J120" s="588" t="str">
        <f>IFERROR(__xludf.DUMMYFUNCTION("""COMPUTED_VALUE"""),"ET")</f>
        <v>ET</v>
      </c>
      <c r="K120" s="597" t="str">
        <f>IFERROR(__xludf.DUMMYFUNCTION("""COMPUTED_VALUE"""),"91")</f>
        <v>91</v>
      </c>
      <c r="L120" s="588"/>
      <c r="M120" s="490" t="str">
        <f>IFERROR(__xludf.DUMMYFUNCTION("""COMPUTED_VALUE"""),"DIGI")</f>
        <v>DIGI</v>
      </c>
      <c r="N120" s="490" t="str">
        <f>IFERROR(__xludf.DUMMYFUNCTION("""COMPUTED_VALUE"""),"bos_lutron_qp2")</f>
        <v>bos_lutron_qp2</v>
      </c>
      <c r="O120" s="490"/>
      <c r="P120" s="490" t="s">
        <v>1148</v>
      </c>
    </row>
    <row r="121">
      <c r="A121" s="490"/>
      <c r="B121" s="30"/>
      <c r="C121" s="30"/>
      <c r="D121" s="593" t="str">
        <f>IFERROR(__xludf.DUMMYFUNCTION("""COMPUTED_VALUE"""),"CHUWI")</f>
        <v>CHUWI</v>
      </c>
      <c r="E121" s="593" t="str">
        <f>IFERROR(__xludf.DUMMYFUNCTION("""COMPUTED_VALUE"""),"ALLEN BRADLEY")</f>
        <v>ALLEN BRADLEY</v>
      </c>
      <c r="F121" s="593" t="str">
        <f>IFERROR(__xludf.DUMMYFUNCTION("""COMPUTED_VALUE"""),"1734-AENT SERIES B")</f>
        <v>1734-AENT SERIES B</v>
      </c>
      <c r="G121" s="490"/>
      <c r="H121" s="490"/>
      <c r="I121" s="490"/>
      <c r="J121" s="594" t="str">
        <f>IFERROR(__xludf.DUMMYFUNCTION("""COMPUTED_VALUE"""),"ETS")</f>
        <v>ETS</v>
      </c>
      <c r="K121" s="597" t="str">
        <f>IFERROR(__xludf.DUMMYFUNCTION("""COMPUTED_VALUE"""),"92")</f>
        <v>92</v>
      </c>
      <c r="L121" s="588"/>
      <c r="M121" s="490" t="str">
        <f>IFERROR(__xludf.DUMMYFUNCTION("""COMPUTED_VALUE"""),"DIGISOL")</f>
        <v>DIGISOL</v>
      </c>
      <c r="N121" s="490" t="str">
        <f>IFERROR(__xludf.DUMMYFUNCTION("""COMPUTED_VALUE"""),"bos_lutron_qp3")</f>
        <v>bos_lutron_qp3</v>
      </c>
      <c r="O121" s="490"/>
      <c r="P121" s="490" t="s">
        <v>1156</v>
      </c>
    </row>
    <row r="122">
      <c r="A122" s="30"/>
      <c r="B122" s="30"/>
      <c r="C122" s="30"/>
      <c r="D122" s="593" t="str">
        <f>IFERROR(__xludf.DUMMYFUNCTION("""COMPUTED_VALUE"""),"CIAT")</f>
        <v>CIAT</v>
      </c>
      <c r="E122" s="600" t="str">
        <f>IFERROR(__xludf.DUMMYFUNCTION("""COMPUTED_VALUE"""),"ALLEN BRADLEY")</f>
        <v>ALLEN BRADLEY</v>
      </c>
      <c r="F122" s="600" t="str">
        <f>IFERROR(__xludf.DUMMYFUNCTION("""COMPUTED_VALUE"""),"POWERFLEX 525")</f>
        <v>POWERFLEX 525</v>
      </c>
      <c r="G122" s="30"/>
      <c r="H122" s="30"/>
      <c r="I122" s="490"/>
      <c r="J122" s="594" t="str">
        <f>IFERROR(__xludf.DUMMYFUNCTION("""COMPUTED_VALUE"""),"EUH")</f>
        <v>EUH</v>
      </c>
      <c r="K122" s="597" t="str">
        <f>IFERROR(__xludf.DUMMYFUNCTION("""COMPUTED_VALUE"""),"93")</f>
        <v>93</v>
      </c>
      <c r="L122" s="588"/>
      <c r="M122" s="490" t="str">
        <f>IFERROR(__xludf.DUMMYFUNCTION("""COMPUTED_VALUE"""),"DLINK")</f>
        <v>DLINK</v>
      </c>
      <c r="N122" s="490" t="str">
        <f>IFERROR(__xludf.DUMMYFUNCTION("""COMPUTED_VALUE"""),"bos_lutron_qp5xlpoe")</f>
        <v>bos_lutron_qp5xlpoe</v>
      </c>
      <c r="O122" s="490"/>
      <c r="P122" s="490" t="s">
        <v>1010</v>
      </c>
    </row>
    <row r="123">
      <c r="A123" s="30"/>
      <c r="B123" s="490"/>
      <c r="C123" s="490"/>
      <c r="D123" s="600" t="str">
        <f>IFERROR(__xludf.DUMMYFUNCTION("""COMPUTED_VALUE"""),"CISCO")</f>
        <v>CISCO</v>
      </c>
      <c r="E123" s="600" t="str">
        <f>IFERROR(__xludf.DUMMYFUNCTION("""COMPUTED_VALUE"""),"ALLIED TELESIS")</f>
        <v>ALLIED TELESIS</v>
      </c>
      <c r="F123" s="600" t="str">
        <f>IFERROR(__xludf.DUMMYFUNCTION("""COMPUTED_VALUE"""),"AT-FS708")</f>
        <v>AT-FS708</v>
      </c>
      <c r="G123" s="30"/>
      <c r="H123" s="30"/>
      <c r="I123" s="490"/>
      <c r="J123" s="594" t="str">
        <f>IFERROR(__xludf.DUMMYFUNCTION("""COMPUTED_VALUE"""),"EVCE")</f>
        <v>EVCE</v>
      </c>
      <c r="K123" s="597" t="str">
        <f>IFERROR(__xludf.DUMMYFUNCTION("""COMPUTED_VALUE"""),"94")</f>
        <v>94</v>
      </c>
      <c r="L123" s="588"/>
      <c r="M123" s="490" t="str">
        <f>IFERROR(__xludf.DUMMYFUNCTION("""COMPUTED_VALUE"""),"DLINK")</f>
        <v>DLINK</v>
      </c>
      <c r="N123" s="490" t="str">
        <f>IFERROR(__xludf.DUMMYFUNCTION("""COMPUTED_VALUE"""),"bos_lutron_qrf")</f>
        <v>bos_lutron_qrf</v>
      </c>
      <c r="O123" s="490"/>
      <c r="P123" s="490" t="s">
        <v>1160</v>
      </c>
    </row>
    <row r="124">
      <c r="A124" s="490"/>
      <c r="B124" s="586"/>
      <c r="C124" s="586"/>
      <c r="D124" s="593" t="str">
        <f>IFERROR(__xludf.DUMMYFUNCTION("""COMPUTED_VALUE"""),"CITEC")</f>
        <v>CITEC</v>
      </c>
      <c r="E124" s="593" t="str">
        <f>IFERROR(__xludf.DUMMYFUNCTION("""COMPUTED_VALUE"""),"ALLIED TELESIS")</f>
        <v>ALLIED TELESIS</v>
      </c>
      <c r="F124" s="593" t="str">
        <f>IFERROR(__xludf.DUMMYFUNCTION("""COMPUTED_VALUE"""),"AT-GS970M/18PS")</f>
        <v>AT-GS970M/18PS</v>
      </c>
      <c r="G124" s="490"/>
      <c r="H124" s="490"/>
      <c r="I124" s="490"/>
      <c r="J124" s="588" t="str">
        <f>IFERROR(__xludf.DUMMYFUNCTION("""COMPUTED_VALUE"""),"EVDP")</f>
        <v>EVDP</v>
      </c>
      <c r="K124" s="597" t="str">
        <f>IFERROR(__xludf.DUMMYFUNCTION("""COMPUTED_VALUE"""),"95")</f>
        <v>95</v>
      </c>
      <c r="L124" s="588"/>
      <c r="M124" s="490" t="str">
        <f>IFERROR(__xludf.DUMMYFUNCTION("""COMPUTED_VALUE"""),"DLINK")</f>
        <v>DLINK</v>
      </c>
      <c r="N124" s="490" t="str">
        <f>IFERROR(__xludf.DUMMYFUNCTION("""COMPUTED_VALUE"""),"bos_mechoshade_st50")</f>
        <v>bos_mechoshade_st50</v>
      </c>
      <c r="O124" s="490"/>
      <c r="P124" s="490" t="s">
        <v>1166</v>
      </c>
    </row>
    <row r="125">
      <c r="A125" s="586"/>
      <c r="B125" s="490"/>
      <c r="C125" s="490"/>
      <c r="D125" s="600" t="str">
        <f>IFERROR(__xludf.DUMMYFUNCTION("""COMPUTED_VALUE"""),"CLEAN ROBOTICS")</f>
        <v>CLEAN ROBOTICS</v>
      </c>
      <c r="E125" s="587" t="str">
        <f>IFERROR(__xludf.DUMMYFUNCTION("""COMPUTED_VALUE"""),"ALLIED TELESIS")</f>
        <v>ALLIED TELESIS</v>
      </c>
      <c r="F125" s="587" t="str">
        <f>IFERROR(__xludf.DUMMYFUNCTION("""COMPUTED_VALUE"""),"AT-GS970M/18PS")</f>
        <v>AT-GS970M/18PS</v>
      </c>
      <c r="G125" s="586"/>
      <c r="H125" s="586"/>
      <c r="I125" s="490"/>
      <c r="J125" s="594" t="str">
        <f>IFERROR(__xludf.DUMMYFUNCTION("""COMPUTED_VALUE"""),"EVP")</f>
        <v>EVP</v>
      </c>
      <c r="K125" s="597" t="str">
        <f>IFERROR(__xludf.DUMMYFUNCTION("""COMPUTED_VALUE"""),"96")</f>
        <v>96</v>
      </c>
      <c r="L125" s="588"/>
      <c r="M125" s="490" t="str">
        <f>IFERROR(__xludf.DUMMYFUNCTION("""COMPUTED_VALUE"""),"DLINK")</f>
        <v>DLINK</v>
      </c>
      <c r="N125" s="490" t="str">
        <f>IFERROR(__xludf.DUMMYFUNCTION("""COMPUTED_VALUE"""),"bos_melink_intellihoodsc")</f>
        <v>bos_melink_intellihoodsc</v>
      </c>
      <c r="O125" s="490"/>
      <c r="P125" s="490" t="s">
        <v>1170</v>
      </c>
    </row>
    <row r="126">
      <c r="A126" s="490"/>
      <c r="B126" s="490"/>
      <c r="C126" s="490"/>
      <c r="D126" s="587" t="str">
        <f>IFERROR(__xludf.DUMMYFUNCTION("""COMPUTED_VALUE"""),"CLEAN ROOMS INTL")</f>
        <v>CLEAN ROOMS INTL</v>
      </c>
      <c r="E126" s="593" t="str">
        <f>IFERROR(__xludf.DUMMYFUNCTION("""COMPUTED_VALUE"""),"ALLIED TELESIS")</f>
        <v>ALLIED TELESIS</v>
      </c>
      <c r="F126" s="593" t="str">
        <f>IFERROR(__xludf.DUMMYFUNCTION("""COMPUTED_VALUE"""),"AT-GS950/8")</f>
        <v>AT-GS950/8</v>
      </c>
      <c r="G126" s="490"/>
      <c r="H126" s="490"/>
      <c r="I126" s="490"/>
      <c r="J126" s="594" t="str">
        <f>IFERROR(__xludf.DUMMYFUNCTION("""COMPUTED_VALUE"""),"EWT")</f>
        <v>EWT</v>
      </c>
      <c r="K126" s="597" t="str">
        <f>IFERROR(__xludf.DUMMYFUNCTION("""COMPUTED_VALUE"""),"97")</f>
        <v>97</v>
      </c>
      <c r="L126" s="588"/>
      <c r="M126" s="490" t="str">
        <f>IFERROR(__xludf.DUMMYFUNCTION("""COMPUTED_VALUE"""),"DLINK")</f>
        <v>DLINK</v>
      </c>
      <c r="N126" s="490" t="str">
        <f>IFERROR(__xludf.DUMMYFUNCTION("""COMPUTED_VALUE"""),"bos_melitta_xt6")</f>
        <v>bos_melitta_xt6</v>
      </c>
      <c r="O126" s="490"/>
      <c r="P126" s="490" t="s">
        <v>1176</v>
      </c>
    </row>
    <row r="127">
      <c r="A127" s="490"/>
      <c r="B127" s="586"/>
      <c r="C127" s="586"/>
      <c r="D127" s="593" t="str">
        <f>IFERROR(__xludf.DUMMYFUNCTION("""COMPUTED_VALUE"""),"CLIMACOOL")</f>
        <v>CLIMACOOL</v>
      </c>
      <c r="E127" s="593" t="str">
        <f>IFERROR(__xludf.DUMMYFUNCTION("""COMPUTED_VALUE"""),"ALLWINNER")</f>
        <v>ALLWINNER</v>
      </c>
      <c r="F127" s="593" t="str">
        <f>IFERROR(__xludf.DUMMYFUNCTION("""COMPUTED_VALUE"""),"FINGER PRINT READER")</f>
        <v>FINGER PRINT READER</v>
      </c>
      <c r="G127" s="490"/>
      <c r="H127" s="490"/>
      <c r="I127" s="490"/>
      <c r="J127" s="594" t="str">
        <f>IFERROR(__xludf.DUMMYFUNCTION("""COMPUTED_VALUE"""),"EXD")</f>
        <v>EXD</v>
      </c>
      <c r="K127" s="597" t="str">
        <f>IFERROR(__xludf.DUMMYFUNCTION("""COMPUTED_VALUE"""),"98")</f>
        <v>98</v>
      </c>
      <c r="L127" s="588"/>
      <c r="M127" s="490" t="str">
        <f>IFERROR(__xludf.DUMMYFUNCTION("""COMPUTED_VALUE"""),"DLINK")</f>
        <v>DLINK</v>
      </c>
      <c r="N127" s="490" t="str">
        <f>IFERROR(__xludf.DUMMYFUNCTION("""COMPUTED_VALUE"""),"bos_mercator_matx")</f>
        <v>bos_mercator_matx</v>
      </c>
      <c r="O127" s="490"/>
      <c r="P127" s="490" t="s">
        <v>1180</v>
      </c>
    </row>
    <row r="128">
      <c r="A128" s="586"/>
      <c r="B128" s="586"/>
      <c r="C128" s="586"/>
      <c r="D128" s="600" t="str">
        <f>IFERROR(__xludf.DUMMYFUNCTION("""COMPUTED_VALUE"""),"CLIMAVENETA")</f>
        <v>CLIMAVENETA</v>
      </c>
      <c r="E128" s="587" t="str">
        <f>IFERROR(__xludf.DUMMYFUNCTION("""COMPUTED_VALUE"""),"ALPTECH")</f>
        <v>ALPTECH</v>
      </c>
      <c r="F128" s="587" t="str">
        <f>IFERROR(__xludf.DUMMYFUNCTION("""COMPUTED_VALUE"""),"P-S1903P")</f>
        <v>P-S1903P</v>
      </c>
      <c r="G128" s="586"/>
      <c r="H128" s="586"/>
      <c r="I128" s="490"/>
      <c r="J128" s="594" t="str">
        <f>IFERROR(__xludf.DUMMYFUNCTION("""COMPUTED_VALUE"""),"EXIT")</f>
        <v>EXIT</v>
      </c>
      <c r="K128" s="597" t="str">
        <f>IFERROR(__xludf.DUMMYFUNCTION("""COMPUTED_VALUE"""),"99")</f>
        <v>99</v>
      </c>
      <c r="L128" s="588"/>
      <c r="M128" s="490" t="str">
        <f>IFERROR(__xludf.DUMMYFUNCTION("""COMPUTED_VALUE"""),"DLINK")</f>
        <v>DLINK</v>
      </c>
      <c r="N128" s="490" t="str">
        <f>IFERROR(__xludf.DUMMYFUNCTION("""COMPUTED_VALUE"""),"bos_mgt_hp_z2mini")</f>
        <v>bos_mgt_hp_z2mini</v>
      </c>
      <c r="O128" s="490"/>
      <c r="P128" s="490" t="s">
        <v>1186</v>
      </c>
    </row>
    <row r="129">
      <c r="A129" s="586"/>
      <c r="B129" s="490"/>
      <c r="C129" s="490"/>
      <c r="D129" s="593" t="str">
        <f>IFERROR(__xludf.DUMMYFUNCTION("""COMPUTED_VALUE"""),"CLMBR")</f>
        <v>CLMBR</v>
      </c>
      <c r="E129" s="587" t="str">
        <f>IFERROR(__xludf.DUMMYFUNCTION("""COMPUTED_VALUE"""),"ALPTECH")</f>
        <v>ALPTECH</v>
      </c>
      <c r="F129" s="587" t="str">
        <f>IFERROR(__xludf.DUMMYFUNCTION("""COMPUTED_VALUE"""),"PRCH-715")</f>
        <v>PRCH-715</v>
      </c>
      <c r="G129" s="586"/>
      <c r="H129" s="586"/>
      <c r="I129" s="490"/>
      <c r="J129" s="588" t="str">
        <f>IFERROR(__xludf.DUMMYFUNCTION("""COMPUTED_VALUE"""),"FACP")</f>
        <v>FACP</v>
      </c>
      <c r="K129" s="597" t="str">
        <f>IFERROR(__xludf.DUMMYFUNCTION("""COMPUTED_VALUE"""),"100")</f>
        <v>100</v>
      </c>
      <c r="L129" s="588"/>
      <c r="M129" s="490" t="str">
        <f>IFERROR(__xludf.DUMMYFUNCTION("""COMPUTED_VALUE"""),"DRAYTEK")</f>
        <v>DRAYTEK</v>
      </c>
      <c r="N129" s="490" t="str">
        <f>IFERROR(__xludf.DUMMYFUNCTION("""COMPUTED_VALUE"""),"bos_mgt_hp_z2minig9")</f>
        <v>bos_mgt_hp_z2minig9</v>
      </c>
      <c r="O129" s="490"/>
      <c r="P129" s="490" t="s">
        <v>1190</v>
      </c>
    </row>
    <row r="130">
      <c r="A130" s="490"/>
      <c r="B130" s="30"/>
      <c r="C130" s="30"/>
      <c r="D130" s="593" t="str">
        <f>IFERROR(__xludf.DUMMYFUNCTION("""COMPUTED_VALUE"""),"COFFEE DAY")</f>
        <v>COFFEE DAY</v>
      </c>
      <c r="E130" s="593" t="str">
        <f>IFERROR(__xludf.DUMMYFUNCTION("""COMPUTED_VALUE"""),"ALTO-SHAAM")</f>
        <v>ALTO-SHAAM</v>
      </c>
      <c r="F130" s="593" t="str">
        <f>IFERROR(__xludf.DUMMYFUNCTION("""COMPUTED_VALUE"""),"")</f>
        <v/>
      </c>
      <c r="G130" s="490"/>
      <c r="H130" s="490"/>
      <c r="I130" s="490"/>
      <c r="J130" s="588" t="str">
        <f>IFERROR(__xludf.DUMMYFUNCTION("""COMPUTED_VALUE"""),"FAN")</f>
        <v>FAN</v>
      </c>
      <c r="K130" s="588"/>
      <c r="L130" s="588"/>
      <c r="M130" s="490" t="str">
        <f>IFERROR(__xludf.DUMMYFUNCTION("""COMPUTED_VALUE"""),"EATON")</f>
        <v>EATON</v>
      </c>
      <c r="N130" s="490" t="str">
        <f>IFERROR(__xludf.DUMMYFUNCTION("""COMPUTED_VALUE"""),"bos_mgt_lenovo_p620")</f>
        <v>bos_mgt_lenovo_p620</v>
      </c>
      <c r="O130" s="490"/>
      <c r="P130" s="490" t="s">
        <v>1196</v>
      </c>
    </row>
    <row r="131">
      <c r="A131" s="30"/>
      <c r="B131" s="490"/>
      <c r="C131" s="490"/>
      <c r="D131" s="593" t="str">
        <f>IFERROR(__xludf.DUMMYFUNCTION("""COMPUTED_VALUE"""),"COLMAC")</f>
        <v>COLMAC</v>
      </c>
      <c r="E131" s="600" t="str">
        <f>IFERROR(__xludf.DUMMYFUNCTION("""COMPUTED_VALUE"""),"ALTO-SHAAM")</f>
        <v>ALTO-SHAAM</v>
      </c>
      <c r="F131" s="600" t="str">
        <f>IFERROR(__xludf.DUMMYFUNCTION("""COMPUTED_VALUE"""),"CTP10-10E")</f>
        <v>CTP10-10E</v>
      </c>
      <c r="G131" s="30"/>
      <c r="H131" s="30"/>
      <c r="I131" s="490"/>
      <c r="J131" s="594" t="str">
        <f>IFERROR(__xludf.DUMMYFUNCTION("""COMPUTED_VALUE"""),"FCU")</f>
        <v>FCU</v>
      </c>
      <c r="K131" s="588"/>
      <c r="L131" s="588"/>
      <c r="M131" s="490" t="str">
        <f>IFERROR(__xludf.DUMMYFUNCTION("""COMPUTED_VALUE"""),"EIRCOM")</f>
        <v>EIRCOM</v>
      </c>
      <c r="N131" s="490" t="str">
        <f>IFERROR(__xludf.DUMMYFUNCTION("""COMPUTED_VALUE"""),"bos_mgt_lenovo_thinkstationp520c")</f>
        <v>bos_mgt_lenovo_thinkstationp520c</v>
      </c>
      <c r="O131" s="490"/>
      <c r="P131" s="490" t="s">
        <v>1200</v>
      </c>
    </row>
    <row r="132">
      <c r="A132" s="490"/>
      <c r="B132" s="30"/>
      <c r="C132" s="30"/>
      <c r="D132" s="593" t="str">
        <f>IFERROR(__xludf.DUMMYFUNCTION("""COMPUTED_VALUE"""),"COMBILENT")</f>
        <v>COMBILENT</v>
      </c>
      <c r="E132" s="593" t="str">
        <f>IFERROR(__xludf.DUMMYFUNCTION("""COMPUTED_VALUE"""),"ALTO-SHAAM")</f>
        <v>ALTO-SHAAM</v>
      </c>
      <c r="F132" s="593" t="str">
        <f>IFERROR(__xludf.DUMMYFUNCTION("""COMPUTED_VALUE"""),"CTP6-10E")</f>
        <v>CTP6-10E</v>
      </c>
      <c r="G132" s="490"/>
      <c r="H132" s="490"/>
      <c r="I132" s="490"/>
      <c r="J132" s="594" t="str">
        <f>IFERROR(__xludf.DUMMYFUNCTION("""COMPUTED_VALUE"""),"FCV")</f>
        <v>FCV</v>
      </c>
      <c r="K132" s="588"/>
      <c r="L132" s="588"/>
      <c r="M132" s="490" t="str">
        <f>IFERROR(__xludf.DUMMYFUNCTION("""COMPUTED_VALUE"""),"ELECOM")</f>
        <v>ELECOM</v>
      </c>
      <c r="N132" s="490" t="str">
        <f>IFERROR(__xludf.DUMMYFUNCTION("""COMPUTED_VALUE"""),"bos_minix_neoj50c4mini")</f>
        <v>bos_minix_neoj50c4mini</v>
      </c>
      <c r="O132" s="490"/>
      <c r="P132" s="490" t="s">
        <v>1206</v>
      </c>
    </row>
    <row r="133">
      <c r="A133" s="30"/>
      <c r="B133" s="30"/>
      <c r="C133" s="30"/>
      <c r="D133" s="593" t="str">
        <f>IFERROR(__xludf.DUMMYFUNCTION("""COMPUTED_VALUE"""),"COMFILE")</f>
        <v>COMFILE</v>
      </c>
      <c r="E133" s="600" t="str">
        <f>IFERROR(__xludf.DUMMYFUNCTION("""COMPUTED_VALUE"""),"ALTO-SHAAM")</f>
        <v>ALTO-SHAAM</v>
      </c>
      <c r="F133" s="600" t="str">
        <f>IFERROR(__xludf.DUMMYFUNCTION("""COMPUTED_VALUE"""),"CTP6-10G")</f>
        <v>CTP6-10G</v>
      </c>
      <c r="G133" s="30"/>
      <c r="H133" s="30"/>
      <c r="I133" s="490"/>
      <c r="J133" s="594" t="str">
        <f>IFERROR(__xludf.DUMMYFUNCTION("""COMPUTED_VALUE"""),"FD")</f>
        <v>FD</v>
      </c>
      <c r="K133" s="588"/>
      <c r="L133" s="588"/>
      <c r="M133" s="490" t="str">
        <f>IFERROR(__xludf.DUMMYFUNCTION("""COMPUTED_VALUE"""),"ENCORE")</f>
        <v>ENCORE</v>
      </c>
      <c r="N133" s="490" t="str">
        <f>IFERROR(__xludf.DUMMYFUNCTION("""COMPUTED_VALUE"""),"bos_miwa_bmsmodule")</f>
        <v>bos_miwa_bmsmodule</v>
      </c>
      <c r="O133" s="490"/>
      <c r="P133" s="490" t="s">
        <v>1855</v>
      </c>
    </row>
    <row r="134">
      <c r="A134" s="30"/>
      <c r="B134" s="490"/>
      <c r="C134" s="490"/>
      <c r="D134" s="593" t="str">
        <f>IFERROR(__xludf.DUMMYFUNCTION("""COMPUTED_VALUE"""),"COMPOLOGY")</f>
        <v>COMPOLOGY</v>
      </c>
      <c r="E134" s="600" t="str">
        <f>IFERROR(__xludf.DUMMYFUNCTION("""COMPUTED_VALUE"""),"ALTO-SHAAM")</f>
        <v>ALTO-SHAAM</v>
      </c>
      <c r="F134" s="600" t="str">
        <f>IFERROR(__xludf.DUMMYFUNCTION("""COMPUTED_VALUE"""),"CTP6-1DG")</f>
        <v>CTP6-1DG</v>
      </c>
      <c r="G134" s="30"/>
      <c r="H134" s="30"/>
      <c r="I134" s="490"/>
      <c r="J134" s="588" t="str">
        <f>IFERROR(__xludf.DUMMYFUNCTION("""COMPUTED_VALUE"""),"FDR")</f>
        <v>FDR</v>
      </c>
      <c r="K134" s="588"/>
      <c r="L134" s="588"/>
      <c r="M134" s="490" t="str">
        <f>IFERROR(__xludf.DUMMYFUNCTION("""COMPUTED_VALUE"""),"EWON")</f>
        <v>EWON</v>
      </c>
      <c r="N134" s="490" t="str">
        <f>IFERROR(__xludf.DUMMYFUNCTION("""COMPUTED_VALUE"""),"bos_nestle_refill")</f>
        <v>bos_nestle_refill</v>
      </c>
      <c r="O134" s="490"/>
      <c r="P134" s="490" t="s">
        <v>1032</v>
      </c>
    </row>
    <row r="135">
      <c r="A135" s="490"/>
      <c r="B135" s="490"/>
      <c r="C135" s="490"/>
      <c r="D135" s="600" t="str">
        <f>IFERROR(__xludf.DUMMYFUNCTION("""COMPUTED_VALUE"""),"COMPULAB")</f>
        <v>COMPULAB</v>
      </c>
      <c r="E135" s="593" t="str">
        <f>IFERROR(__xludf.DUMMYFUNCTION("""COMPUTED_VALUE"""),"ALTO-SHAAM")</f>
        <v>ALTO-SHAAM</v>
      </c>
      <c r="F135" s="593" t="str">
        <f>IFERROR(__xludf.DUMMYFUNCTION("""COMPUTED_VALUE"""),"CTP7-20E")</f>
        <v>CTP7-20E</v>
      </c>
      <c r="G135" s="490"/>
      <c r="H135" s="490"/>
      <c r="I135" s="490"/>
      <c r="J135" s="588" t="str">
        <f>IFERROR(__xludf.DUMMYFUNCTION("""COMPUTED_VALUE"""),"FHEX")</f>
        <v>FHEX</v>
      </c>
      <c r="K135" s="588"/>
      <c r="L135" s="588"/>
      <c r="M135" s="490" t="str">
        <f>IFERROR(__xludf.DUMMYFUNCTION("""COMPUTED_VALUE"""),"FRITZ!BOX")</f>
        <v>FRITZ!BOX</v>
      </c>
      <c r="N135" s="490" t="str">
        <f>IFERROR(__xludf.DUMMYFUNCTION("""COMPUTED_VALUE"""),"bos_nexus_primeg10mt")</f>
        <v>bos_nexus_primeg10mt</v>
      </c>
      <c r="O135" s="490"/>
      <c r="P135" s="490" t="s">
        <v>1210</v>
      </c>
    </row>
    <row r="136">
      <c r="A136" s="490"/>
      <c r="B136" s="490"/>
      <c r="C136" s="490"/>
      <c r="D136" s="593" t="str">
        <f>IFERROR(__xludf.DUMMYFUNCTION("""COMPUTED_VALUE"""),"COMPUTERLINK")</f>
        <v>COMPUTERLINK</v>
      </c>
      <c r="E136" s="593" t="str">
        <f>IFERROR(__xludf.DUMMYFUNCTION("""COMPUTED_VALUE"""),"ALTO-SHAAM")</f>
        <v>ALTO-SHAAM</v>
      </c>
      <c r="F136" s="593" t="str">
        <f>IFERROR(__xludf.DUMMYFUNCTION("""COMPUTED_VALUE"""),"CTP7-20E")</f>
        <v>CTP7-20E</v>
      </c>
      <c r="G136" s="490"/>
      <c r="H136" s="490"/>
      <c r="I136" s="490"/>
      <c r="J136" s="588" t="str">
        <f>IFERROR(__xludf.DUMMYFUNCTION("""COMPUTED_VALUE"""),"FHP")</f>
        <v>FHP</v>
      </c>
      <c r="K136" s="588"/>
      <c r="L136" s="588"/>
      <c r="M136" s="490" t="str">
        <f>IFERROR(__xludf.DUMMYFUNCTION("""COMPUTED_VALUE"""),"GLOBALSCALE")</f>
        <v>GLOBALSCALE</v>
      </c>
      <c r="N136" s="490" t="str">
        <f>IFERROR(__xludf.DUMMYFUNCTION("""COMPUTED_VALUE"""),"bos_nq_acuitybrands_frescotouchscreen")</f>
        <v>bos_nq_acuitybrands_frescotouchscreen</v>
      </c>
      <c r="O136" s="490"/>
      <c r="P136" s="490" t="s">
        <v>1217</v>
      </c>
    </row>
    <row r="137">
      <c r="A137" s="490"/>
      <c r="B137" s="490"/>
      <c r="C137" s="490"/>
      <c r="D137" s="600" t="str">
        <f>IFERROR(__xludf.DUMMYFUNCTION("""COMPUTED_VALUE"""),"CONCEPT")</f>
        <v>CONCEPT</v>
      </c>
      <c r="E137" s="593" t="str">
        <f>IFERROR(__xludf.DUMMYFUNCTION("""COMPUTED_VALUE"""),"ALTO-SHAAM")</f>
        <v>ALTO-SHAAM</v>
      </c>
      <c r="F137" s="593" t="str">
        <f>IFERROR(__xludf.DUMMYFUNCTION("""COMPUTED_VALUE"""),"CTP7-20G")</f>
        <v>CTP7-20G</v>
      </c>
      <c r="G137" s="490"/>
      <c r="H137" s="490"/>
      <c r="I137" s="490"/>
      <c r="J137" s="588" t="str">
        <f>IFERROR(__xludf.DUMMYFUNCTION("""COMPUTED_VALUE"""),"FHT")</f>
        <v>FHT</v>
      </c>
      <c r="K137" s="588"/>
      <c r="L137" s="588"/>
      <c r="M137" s="490" t="str">
        <f>IFERROR(__xludf.DUMMYFUNCTION("""COMPUTED_VALUE"""),"GOOGLE")</f>
        <v>GOOGLE</v>
      </c>
      <c r="N137" s="490" t="str">
        <f>IFERROR(__xludf.DUMMYFUNCTION("""COMPUTED_VALUE"""),"bos_nq_alc_me812ulgr")</f>
        <v>bos_nq_alc_me812ulgr</v>
      </c>
      <c r="O137" s="490"/>
      <c r="P137" s="490" t="s">
        <v>1221</v>
      </c>
    </row>
    <row r="138">
      <c r="A138" s="490"/>
      <c r="B138" s="490"/>
      <c r="C138" s="490"/>
      <c r="D138" s="593" t="str">
        <f>IFERROR(__xludf.DUMMYFUNCTION("""COMPUTED_VALUE"""),"CONCEPT 2")</f>
        <v>CONCEPT 2</v>
      </c>
      <c r="E138" s="593" t="str">
        <f>IFERROR(__xludf.DUMMYFUNCTION("""COMPUTED_VALUE"""),"ALTO-SHAAM")</f>
        <v>ALTO-SHAAM</v>
      </c>
      <c r="F138" s="593" t="str">
        <f>IFERROR(__xludf.DUMMYFUNCTION("""COMPUTED_VALUE"""),"CTP20-20G")</f>
        <v>CTP20-20G</v>
      </c>
      <c r="G138" s="490"/>
      <c r="H138" s="490"/>
      <c r="I138" s="490"/>
      <c r="J138" s="588" t="str">
        <f>IFERROR(__xludf.DUMMYFUNCTION("""COMPUTED_VALUE"""),"FLRB")</f>
        <v>FLRB</v>
      </c>
      <c r="K138" s="588"/>
      <c r="L138" s="588"/>
      <c r="M138" s="490" t="str">
        <f>IFERROR(__xludf.DUMMYFUNCTION("""COMPUTED_VALUE"""),"GOOGLE FIBER")</f>
        <v>GOOGLE FIBER</v>
      </c>
      <c r="N138" s="490" t="str">
        <f>IFERROR(__xludf.DUMMYFUNCTION("""COMPUTED_VALUE"""),"bos_nq_alc_mex88u")</f>
        <v>bos_nq_alc_mex88u</v>
      </c>
      <c r="O138" s="490"/>
      <c r="P138" s="490" t="s">
        <v>1227</v>
      </c>
    </row>
    <row r="139">
      <c r="A139" s="490"/>
      <c r="B139" s="490"/>
      <c r="C139" s="490"/>
      <c r="D139" s="600" t="str">
        <f>IFERROR(__xludf.DUMMYFUNCTION("""COMPUTED_VALUE"""),"CONCEPT2")</f>
        <v>CONCEPT2</v>
      </c>
      <c r="E139" s="593" t="str">
        <f>IFERROR(__xludf.DUMMYFUNCTION("""COMPUTED_VALUE"""),"ALTO-SHAAM")</f>
        <v>ALTO-SHAAM</v>
      </c>
      <c r="F139" s="593" t="str">
        <f>IFERROR(__xludf.DUMMYFUNCTION("""COMPUTED_VALUE"""),"QC3-100")</f>
        <v>QC3-100</v>
      </c>
      <c r="G139" s="490"/>
      <c r="H139" s="490"/>
      <c r="I139" s="490"/>
      <c r="J139" s="588" t="str">
        <f>IFERROR(__xludf.DUMMYFUNCTION("""COMPUTED_VALUE"""),"FLRDX")</f>
        <v>FLRDX</v>
      </c>
      <c r="K139" s="588"/>
      <c r="L139" s="588"/>
      <c r="M139" s="490" t="str">
        <f>IFERROR(__xludf.DUMMYFUNCTION("""COMPUTED_VALUE"""),"HELIX RT")</f>
        <v>HELIX RT</v>
      </c>
      <c r="N139" s="490" t="str">
        <f>IFERROR(__xludf.DUMMYFUNCTION("""COMPUTED_VALUE"""),"bos_nq_carel_pc01")</f>
        <v>bos_nq_carel_pc01</v>
      </c>
      <c r="O139" s="490"/>
      <c r="P139" s="490" t="s">
        <v>1231</v>
      </c>
    </row>
    <row r="140">
      <c r="A140" s="490"/>
      <c r="B140" s="490"/>
      <c r="C140" s="490"/>
      <c r="D140" s="593" t="str">
        <f>IFERROR(__xludf.DUMMYFUNCTION("""COMPUTED_VALUE"""),"CONIUGO GMBH")</f>
        <v>CONIUGO GMBH</v>
      </c>
      <c r="E140" s="593" t="str">
        <f>IFERROR(__xludf.DUMMYFUNCTION("""COMPUTED_VALUE"""),"ALTO-SHAAM")</f>
        <v>ALTO-SHAAM</v>
      </c>
      <c r="F140" s="593" t="str">
        <f>IFERROR(__xludf.DUMMYFUNCTION("""COMPUTED_VALUE"""),"CTP10-20G")</f>
        <v>CTP10-20G</v>
      </c>
      <c r="G140" s="490"/>
      <c r="H140" s="490"/>
      <c r="I140" s="490"/>
      <c r="J140" s="588" t="str">
        <f>IFERROR(__xludf.DUMMYFUNCTION("""COMPUTED_VALUE"""),"FLRQD")</f>
        <v>FLRQD</v>
      </c>
      <c r="K140" s="588"/>
      <c r="L140" s="588"/>
      <c r="M140" s="490" t="str">
        <f>IFERROR(__xludf.DUMMYFUNCTION("""COMPUTED_VALUE"""),"HIRSCHMANN")</f>
        <v>HIRSCHMANN</v>
      </c>
      <c r="N140" s="490" t="str">
        <f>IFERROR(__xludf.DUMMYFUNCTION("""COMPUTED_VALUE"""),"bos_nq_crestron_dinap3")</f>
        <v>bos_nq_crestron_dinap3</v>
      </c>
      <c r="O140" s="490"/>
      <c r="P140" s="490" t="s">
        <v>1237</v>
      </c>
    </row>
    <row r="141">
      <c r="A141" s="490"/>
      <c r="B141" s="490"/>
      <c r="C141" s="490"/>
      <c r="D141" s="593" t="str">
        <f>IFERROR(__xludf.DUMMYFUNCTION("""COMPUTED_VALUE"""),"CONNECTEDIO")</f>
        <v>CONNECTEDIO</v>
      </c>
      <c r="E141" s="593" t="str">
        <f>IFERROR(__xludf.DUMMYFUNCTION("""COMPUTED_VALUE"""),"ALTO-SHAAM")</f>
        <v>ALTO-SHAAM</v>
      </c>
      <c r="F141" s="593" t="str">
        <f>IFERROR(__xludf.DUMMYFUNCTION("""COMPUTED_VALUE"""),"CTP20-20E")</f>
        <v>CTP20-20E</v>
      </c>
      <c r="G141" s="490"/>
      <c r="H141" s="490"/>
      <c r="I141" s="490"/>
      <c r="J141" s="588" t="str">
        <f>IFERROR(__xludf.DUMMYFUNCTION("""COMPUTED_VALUE"""),"FLT")</f>
        <v>FLT</v>
      </c>
      <c r="K141" s="588"/>
      <c r="L141" s="588"/>
      <c r="M141" s="490" t="str">
        <f>IFERROR(__xludf.DUMMYFUNCTION("""COMPUTED_VALUE"""),"HIRSCHMANN")</f>
        <v>HIRSCHMANN</v>
      </c>
      <c r="N141" s="490" t="str">
        <f>IFERROR(__xludf.DUMMYFUNCTION("""COMPUTED_VALUE"""),"bos_nq_deltacontrols_coppercube")</f>
        <v>bos_nq_deltacontrols_coppercube</v>
      </c>
      <c r="O141" s="490"/>
      <c r="P141" s="490" t="s">
        <v>1241</v>
      </c>
    </row>
    <row r="142">
      <c r="A142" s="490"/>
      <c r="B142" s="490"/>
      <c r="C142" s="490"/>
      <c r="D142" s="587" t="str">
        <f>IFERROR(__xludf.DUMMYFUNCTION("""COMPUTED_VALUE"""),"CONSERVEIT")</f>
        <v>CONSERVEIT</v>
      </c>
      <c r="E142" s="593" t="str">
        <f>IFERROR(__xludf.DUMMYFUNCTION("""COMPUTED_VALUE"""),"ALTUS")</f>
        <v>ALTUS</v>
      </c>
      <c r="F142" s="593" t="str">
        <f>IFERROR(__xludf.DUMMYFUNCTION("""COMPUTED_VALUE"""),"XP300")</f>
        <v>XP300</v>
      </c>
      <c r="G142" s="490"/>
      <c r="H142" s="490"/>
      <c r="I142" s="490"/>
      <c r="J142" s="594" t="str">
        <f>IFERROR(__xludf.DUMMYFUNCTION("""COMPUTED_VALUE"""),"FM")</f>
        <v>FM</v>
      </c>
      <c r="K142" s="588"/>
      <c r="L142" s="588"/>
      <c r="M142" s="490" t="str">
        <f>IFERROR(__xludf.DUMMYFUNCTION("""COMPUTED_VALUE"""),"HIRSCHMANN")</f>
        <v>HIRSCHMANN</v>
      </c>
      <c r="N142" s="490" t="str">
        <f>IFERROR(__xludf.DUMMYFUNCTION("""COMPUTED_VALUE"""),"bos_nq_density_openarealongrange")</f>
        <v>bos_nq_density_openarealongrange</v>
      </c>
      <c r="O142" s="490"/>
      <c r="P142" s="490" t="s">
        <v>1247</v>
      </c>
    </row>
    <row r="143">
      <c r="A143" s="490"/>
      <c r="B143" s="490"/>
      <c r="C143" s="490"/>
      <c r="D143" s="593" t="str">
        <f>IFERROR(__xludf.DUMMYFUNCTION("""COMPUTED_VALUE"""),"CONTEMPORARY CONTROLS")</f>
        <v>CONTEMPORARY CONTROLS</v>
      </c>
      <c r="E143" s="593" t="str">
        <f>IFERROR(__xludf.DUMMYFUNCTION("""COMPUTED_VALUE"""),"AMAZON")</f>
        <v>AMAZON</v>
      </c>
      <c r="F143" s="593" t="str">
        <f>IFERROR(__xludf.DUMMYFUNCTION("""COMPUTED_VALUE"""),"FIRE 7(7TH GEN)")</f>
        <v>FIRE 7(7TH GEN)</v>
      </c>
      <c r="G143" s="490"/>
      <c r="H143" s="490"/>
      <c r="I143" s="490"/>
      <c r="J143" s="588" t="str">
        <f>IFERROR(__xludf.DUMMYFUNCTION("""COMPUTED_VALUE"""),"FODT")</f>
        <v>FODT</v>
      </c>
      <c r="K143" s="588"/>
      <c r="L143" s="588"/>
      <c r="M143" s="490" t="str">
        <f>IFERROR(__xludf.DUMMYFUNCTION("""COMPUTED_VALUE"""),"HIRSCHMANN")</f>
        <v>HIRSCHMANN</v>
      </c>
      <c r="N143" s="490" t="str">
        <f>IFERROR(__xludf.DUMMYFUNCTION("""COMPUTED_VALUE"""),"bos_nq_distech_ecyptu207")</f>
        <v>bos_nq_distech_ecyptu207</v>
      </c>
      <c r="O143" s="490"/>
      <c r="P143" s="490" t="s">
        <v>1251</v>
      </c>
    </row>
    <row r="144">
      <c r="A144" s="490"/>
      <c r="B144" s="490"/>
      <c r="C144" s="490"/>
      <c r="D144" s="593" t="str">
        <f>IFERROR(__xludf.DUMMYFUNCTION("""COMPUTED_VALUE"""),"CONTROL ID")</f>
        <v>CONTROL ID</v>
      </c>
      <c r="E144" s="593" t="str">
        <f>IFERROR(__xludf.DUMMYFUNCTION("""COMPUTED_VALUE"""),"AMAZON")</f>
        <v>AMAZON</v>
      </c>
      <c r="F144" s="593" t="str">
        <f>IFERROR(__xludf.DUMMYFUNCTION("""COMPUTED_VALUE"""),"FIRE HD 8 (7TH GEN)")</f>
        <v>FIRE HD 8 (7TH GEN)</v>
      </c>
      <c r="G144" s="490"/>
      <c r="H144" s="490"/>
      <c r="I144" s="490"/>
      <c r="J144" s="588" t="str">
        <f>IFERROR(__xludf.DUMMYFUNCTION("""COMPUTED_VALUE"""),"FOODEQ")</f>
        <v>FOODEQ</v>
      </c>
      <c r="K144" s="588"/>
      <c r="L144" s="588"/>
      <c r="M144" s="490" t="str">
        <f>IFERROR(__xludf.DUMMYFUNCTION("""COMPUTED_VALUE"""),"HIRSCHMANN")</f>
        <v>HIRSCHMANN</v>
      </c>
      <c r="N144" s="490" t="str">
        <f>IFERROR(__xludf.DUMMYFUNCTION("""COMPUTED_VALUE"""),"bos_nq_dynalite_pdeg")</f>
        <v>bos_nq_dynalite_pdeg</v>
      </c>
      <c r="O144" s="490"/>
      <c r="P144" s="490" t="s">
        <v>1257</v>
      </c>
    </row>
    <row r="145">
      <c r="A145" s="490"/>
      <c r="B145" s="490"/>
      <c r="C145" s="490"/>
      <c r="D145" s="593" t="str">
        <f>IFERROR(__xludf.DUMMYFUNCTION("""COMPUTED_VALUE"""),"CONTROL SOL INC")</f>
        <v>CONTROL SOL INC</v>
      </c>
      <c r="E145" s="593" t="str">
        <f>IFERROR(__xludf.DUMMYFUNCTION("""COMPUTED_VALUE"""),"AMAZON")</f>
        <v>AMAZON</v>
      </c>
      <c r="F145" s="593" t="str">
        <f>IFERROR(__xludf.DUMMYFUNCTION("""COMPUTED_VALUE"""),"FIRE HD 8 (8TH GEN)")</f>
        <v>FIRE HD 8 (8TH GEN)</v>
      </c>
      <c r="G145" s="490"/>
      <c r="H145" s="490"/>
      <c r="I145" s="586"/>
      <c r="J145" s="596" t="str">
        <f>IFERROR(__xludf.DUMMYFUNCTION("""COMPUTED_VALUE"""),"FOP")</f>
        <v>FOP</v>
      </c>
      <c r="K145" s="594"/>
      <c r="L145" s="594"/>
      <c r="M145" s="586" t="str">
        <f>IFERROR(__xludf.DUMMYFUNCTION("""COMPUTED_VALUE"""),"HIRSCHMANN")</f>
        <v>HIRSCHMANN</v>
      </c>
      <c r="N145" s="586" t="str">
        <f>IFERROR(__xludf.DUMMYFUNCTION("""COMPUTED_VALUE"""),"bos_nq_hp_poweredger240")</f>
        <v>bos_nq_hp_poweredger240</v>
      </c>
      <c r="O145" s="586"/>
      <c r="P145" s="586" t="s">
        <v>1052</v>
      </c>
    </row>
    <row r="146">
      <c r="A146" s="490"/>
      <c r="B146" s="490"/>
      <c r="C146" s="490"/>
      <c r="D146" s="587" t="str">
        <f>IFERROR(__xludf.DUMMYFUNCTION("""COMPUTED_VALUE"""),"CONVOTHERM")</f>
        <v>CONVOTHERM</v>
      </c>
      <c r="E146" s="593" t="str">
        <f>IFERROR(__xludf.DUMMYFUNCTION("""COMPUTED_VALUE"""),"AMERICAN PANEL")</f>
        <v>AMERICAN PANEL</v>
      </c>
      <c r="F146" s="593" t="str">
        <f>IFERROR(__xludf.DUMMYFUNCTION("""COMPUTED_VALUE"""),"HURRICHILL-AP24BCF300")</f>
        <v>HURRICHILL-AP24BCF300</v>
      </c>
      <c r="G146" s="490"/>
      <c r="H146" s="490"/>
      <c r="I146" s="490"/>
      <c r="J146" s="594" t="str">
        <f>IFERROR(__xludf.DUMMYFUNCTION("""COMPUTED_VALUE"""),"FOST")</f>
        <v>FOST</v>
      </c>
      <c r="K146" s="588"/>
      <c r="L146" s="588"/>
      <c r="M146" s="490" t="str">
        <f>IFERROR(__xludf.DUMMYFUNCTION("""COMPUTED_VALUE"""),"HIRSCHMANN")</f>
        <v>HIRSCHMANN</v>
      </c>
      <c r="N146" s="490" t="str">
        <f>IFERROR(__xludf.DUMMYFUNCTION("""COMPUTED_VALUE"""),"bos_nq_hp_prodesk400g7")</f>
        <v>bos_nq_hp_prodesk400g7</v>
      </c>
      <c r="O146" s="490"/>
      <c r="P146" s="490" t="s">
        <v>1261</v>
      </c>
    </row>
    <row r="147">
      <c r="A147" s="490"/>
      <c r="B147" s="490"/>
      <c r="C147" s="490"/>
      <c r="D147" s="587" t="str">
        <f>IFERROR(__xludf.DUMMYFUNCTION("""COMPUTED_VALUE"""),"COOL AUTOMATION")</f>
        <v>COOL AUTOMATION</v>
      </c>
      <c r="E147" s="593" t="str">
        <f>IFERROR(__xludf.DUMMYFUNCTION("""COMPUTED_VALUE"""),"AMERICAN PANEL")</f>
        <v>AMERICAN PANEL</v>
      </c>
      <c r="F147" s="593" t="str">
        <f>IFERROR(__xludf.DUMMYFUNCTION("""COMPUTED_VALUE"""),"AP12BCF110-3")</f>
        <v>AP12BCF110-3</v>
      </c>
      <c r="G147" s="490"/>
      <c r="H147" s="490"/>
      <c r="I147" s="490"/>
      <c r="J147" s="594" t="str">
        <f>IFERROR(__xludf.DUMMYFUNCTION("""COMPUTED_VALUE"""),"FPSW")</f>
        <v>FPSW</v>
      </c>
      <c r="K147" s="588"/>
      <c r="L147" s="588"/>
      <c r="M147" s="490" t="str">
        <f>IFERROR(__xludf.DUMMYFUNCTION("""COMPUTED_VALUE"""),"HIRSCHMANN")</f>
        <v>HIRSCHMANN</v>
      </c>
      <c r="N147" s="490" t="str">
        <f>IFERROR(__xludf.DUMMYFUNCTION("""COMPUTED_VALUE"""),"bos_nq_hp_proliantdl390")</f>
        <v>bos_nq_hp_proliantdl390</v>
      </c>
      <c r="O147" s="490"/>
      <c r="P147" s="490" t="s">
        <v>1267</v>
      </c>
    </row>
    <row r="148">
      <c r="A148" s="490"/>
      <c r="B148" s="490"/>
      <c r="C148" s="490"/>
      <c r="D148" s="593" t="str">
        <f>IFERROR(__xludf.DUMMYFUNCTION("""COMPUTED_VALUE"""),"COOL COMPACT")</f>
        <v>COOL COMPACT</v>
      </c>
      <c r="E148" s="593" t="str">
        <f>IFERROR(__xludf.DUMMYFUNCTION("""COMPUTED_VALUE"""),"AMERICAN PANEL")</f>
        <v>AMERICAN PANEL</v>
      </c>
      <c r="F148" s="593" t="str">
        <f>IFERROR(__xludf.DUMMYFUNCTION("""COMPUTED_VALUE"""),"AP20BCF200-3")</f>
        <v>AP20BCF200-3</v>
      </c>
      <c r="G148" s="490"/>
      <c r="H148" s="490"/>
      <c r="I148" s="490"/>
      <c r="J148" s="594" t="str">
        <f>IFERROR(__xludf.DUMMYFUNCTION("""COMPUTED_VALUE"""),"FR")</f>
        <v>FR</v>
      </c>
      <c r="K148" s="588"/>
      <c r="L148" s="588"/>
      <c r="M148" s="490" t="str">
        <f>IFERROR(__xludf.DUMMYFUNCTION("""COMPUTED_VALUE"""),"HIRSCHMANN")</f>
        <v>HIRSCHMANN</v>
      </c>
      <c r="N148" s="490" t="str">
        <f>IFERROR(__xludf.DUMMYFUNCTION("""COMPUTED_VALUE"""),"bos_nq_hp_z2minig4")</f>
        <v>bos_nq_hp_z2minig4</v>
      </c>
      <c r="O148" s="490"/>
      <c r="P148" s="490" t="s">
        <v>1271</v>
      </c>
    </row>
    <row r="149">
      <c r="A149" s="490"/>
      <c r="B149" s="490"/>
      <c r="C149" s="490"/>
      <c r="D149" s="593" t="str">
        <f>IFERROR(__xludf.DUMMYFUNCTION("""COMPUTED_VALUE"""),"COOPER")</f>
        <v>COOPER</v>
      </c>
      <c r="E149" s="593" t="str">
        <f>IFERROR(__xludf.DUMMYFUNCTION("""COMPUTED_VALUE"""),"AMERICAN PANEL")</f>
        <v>AMERICAN PANEL</v>
      </c>
      <c r="F149" s="593" t="str">
        <f>IFERROR(__xludf.DUMMYFUNCTION("""COMPUTED_VALUE"""),"IC+")</f>
        <v>IC+</v>
      </c>
      <c r="G149" s="490"/>
      <c r="H149" s="490"/>
      <c r="I149" s="490"/>
      <c r="J149" s="588" t="str">
        <f>IFERROR(__xludf.DUMMYFUNCTION("""COMPUTED_VALUE"""),"FRY")</f>
        <v>FRY</v>
      </c>
      <c r="K149" s="588"/>
      <c r="L149" s="588"/>
      <c r="M149" s="490" t="str">
        <f>IFERROR(__xludf.DUMMYFUNCTION("""COMPUTED_VALUE"""),"HIRSCHMANN")</f>
        <v>HIRSCHMANN</v>
      </c>
      <c r="N149" s="490" t="str">
        <f>IFERROR(__xludf.DUMMYFUNCTION("""COMPUTED_VALUE"""),"bos_nq_insignia_ns_pucge8")</f>
        <v>bos_nq_insignia_ns_pucge8</v>
      </c>
      <c r="O149" s="490"/>
      <c r="P149" s="490" t="s">
        <v>1278</v>
      </c>
    </row>
    <row r="150">
      <c r="A150" s="490"/>
      <c r="B150" s="490"/>
      <c r="C150" s="490"/>
      <c r="D150" s="600" t="str">
        <f>IFERROR(__xludf.DUMMYFUNCTION("""COMPUTED_VALUE"""),"COOPER ATKINS")</f>
        <v>COOPER ATKINS</v>
      </c>
      <c r="E150" s="593" t="str">
        <f>IFERROR(__xludf.DUMMYFUNCTION("""COMPUTED_VALUE"""),"ANATEL")</f>
        <v>ANATEL</v>
      </c>
      <c r="F150" s="593" t="str">
        <f>IFERROR(__xludf.DUMMYFUNCTION("""COMPUTED_VALUE"""),"TCP 485 WIFI LOG/02")</f>
        <v>TCP 485 WIFI LOG/02</v>
      </c>
      <c r="G150" s="490"/>
      <c r="H150" s="490"/>
      <c r="I150" s="490"/>
      <c r="J150" s="588" t="str">
        <f>IFERROR(__xludf.DUMMYFUNCTION("""COMPUTED_VALUE"""),"FRZ")</f>
        <v>FRZ</v>
      </c>
      <c r="K150" s="588"/>
      <c r="L150" s="588"/>
      <c r="M150" s="490" t="str">
        <f>IFERROR(__xludf.DUMMYFUNCTION("""COMPUTED_VALUE"""),"HP")</f>
        <v>HP</v>
      </c>
      <c r="N150" s="490" t="str">
        <f>IFERROR(__xludf.DUMMYFUNCTION("""COMPUTED_VALUE"""),"bos_nq_intesis_isibv6")</f>
        <v>bos_nq_intesis_isibv6</v>
      </c>
      <c r="O150" s="490"/>
      <c r="P150" s="490" t="s">
        <v>1282</v>
      </c>
    </row>
    <row r="151">
      <c r="A151" s="490"/>
      <c r="B151" s="490"/>
      <c r="C151" s="490"/>
      <c r="D151" s="593" t="str">
        <f>IFERROR(__xludf.DUMMYFUNCTION("""COMPUTED_VALUE"""),"CORE HEALTH &amp; FITNESS, LLC")</f>
        <v>CORE HEALTH &amp; FITNESS, LLC</v>
      </c>
      <c r="E151" s="593" t="str">
        <f>IFERROR(__xludf.DUMMYFUNCTION("""COMPUTED_VALUE"""),"ANDEL")</f>
        <v>ANDEL</v>
      </c>
      <c r="F151" s="593" t="str">
        <f>IFERROR(__xludf.DUMMYFUNCTION("""COMPUTED_VALUE"""),"FLOODLINE 24X SERIES")</f>
        <v>FLOODLINE 24X SERIES</v>
      </c>
      <c r="G151" s="490"/>
      <c r="H151" s="490"/>
      <c r="I151" s="490"/>
      <c r="J151" s="588" t="str">
        <f>IFERROR(__xludf.DUMMYFUNCTION("""COMPUTED_VALUE"""),"FV")</f>
        <v>FV</v>
      </c>
      <c r="K151" s="588"/>
      <c r="L151" s="588"/>
      <c r="M151" s="490" t="str">
        <f>IFERROR(__xludf.DUMMYFUNCTION("""COMPUTED_VALUE"""),"HP")</f>
        <v>HP</v>
      </c>
      <c r="N151" s="490" t="str">
        <f>IFERROR(__xludf.DUMMYFUNCTION("""COMPUTED_VALUE"""),"bos_nq_johnsoncontrols_msnae35102")</f>
        <v>bos_nq_johnsoncontrols_msnae35102</v>
      </c>
      <c r="O151" s="490"/>
      <c r="P151" s="490" t="s">
        <v>1288</v>
      </c>
    </row>
    <row r="152">
      <c r="A152" s="490"/>
      <c r="B152" s="490"/>
      <c r="C152" s="490"/>
      <c r="D152" s="600" t="str">
        <f>IFERROR(__xludf.DUMMYFUNCTION("""COMPUTED_VALUE"""),"COREHANDF")</f>
        <v>COREHANDF</v>
      </c>
      <c r="E152" s="593" t="str">
        <f>IFERROR(__xludf.DUMMYFUNCTION("""COMPUTED_VALUE"""),"ANDOVER")</f>
        <v>ANDOVER</v>
      </c>
      <c r="F152" s="593" t="str">
        <f>IFERROR(__xludf.DUMMYFUNCTION("""COMPUTED_VALUE"""),"NETCONTROLLER 9940")</f>
        <v>NETCONTROLLER 9940</v>
      </c>
      <c r="G152" s="490"/>
      <c r="H152" s="490"/>
      <c r="I152" s="490"/>
      <c r="J152" s="588" t="str">
        <f>IFERROR(__xludf.DUMMYFUNCTION("""COMPUTED_VALUE"""),"FW")</f>
        <v>FW</v>
      </c>
      <c r="K152" s="588"/>
      <c r="L152" s="588"/>
      <c r="M152" s="490" t="str">
        <f>IFERROR(__xludf.DUMMYFUNCTION("""COMPUTED_VALUE"""),"HP")</f>
        <v>HP</v>
      </c>
      <c r="N152" s="490" t="str">
        <f>IFERROR(__xludf.DUMMYFUNCTION("""COMPUTED_VALUE"""),"bos_nq_johnsoncontrols_msnce25600")</f>
        <v>bos_nq_johnsoncontrols_msnce25600</v>
      </c>
      <c r="O152" s="490"/>
      <c r="P152" s="490" t="s">
        <v>1292</v>
      </c>
    </row>
    <row r="153">
      <c r="A153" s="490"/>
      <c r="B153" s="490"/>
      <c r="C153" s="490"/>
      <c r="D153" s="600" t="str">
        <f>IFERROR(__xludf.DUMMYFUNCTION("""COMPUTED_VALUE"""),"CORRIGO")</f>
        <v>CORRIGO</v>
      </c>
      <c r="E153" s="593" t="str">
        <f>IFERROR(__xludf.DUMMYFUNCTION("""COMPUTED_VALUE"""),"ANDROID")</f>
        <v>ANDROID</v>
      </c>
      <c r="F153" s="593" t="str">
        <f>IFERROR(__xludf.DUMMYFUNCTION("""COMPUTED_VALUE"""),"SM-T510")</f>
        <v>SM-T510</v>
      </c>
      <c r="G153" s="490"/>
      <c r="H153" s="490"/>
      <c r="I153" s="490"/>
      <c r="J153" s="588" t="str">
        <f>IFERROR(__xludf.DUMMYFUNCTION("""COMPUTED_VALUE"""),"GASDET")</f>
        <v>GASDET</v>
      </c>
      <c r="K153" s="588"/>
      <c r="L153" s="588"/>
      <c r="M153" s="490" t="str">
        <f>IFERROR(__xludf.DUMMYFUNCTION("""COMPUTED_VALUE"""),"HPE")</f>
        <v>HPE</v>
      </c>
      <c r="N153" s="490" t="str">
        <f>IFERROR(__xludf.DUMMYFUNCTION("""COMPUTED_VALUE"""),"bos_nq_lanner_lec2580")</f>
        <v>bos_nq_lanner_lec2580</v>
      </c>
      <c r="O153" s="490"/>
      <c r="P153" s="490" t="s">
        <v>1298</v>
      </c>
    </row>
    <row r="154">
      <c r="A154" s="490"/>
      <c r="B154" s="490"/>
      <c r="C154" s="490"/>
      <c r="D154" s="593" t="str">
        <f>IFERROR(__xludf.DUMMYFUNCTION("""COMPUTED_VALUE"""),"COTRUST")</f>
        <v>COTRUST</v>
      </c>
      <c r="E154" s="593" t="str">
        <f>IFERROR(__xludf.DUMMYFUNCTION("""COMPUTED_VALUE"""),"ANORD MARDIX")</f>
        <v>ANORD MARDIX</v>
      </c>
      <c r="F154" s="593" t="str">
        <f>IFERROR(__xludf.DUMMYFUNCTION("""COMPUTED_VALUE"""),"CM01")</f>
        <v>CM01</v>
      </c>
      <c r="G154" s="490"/>
      <c r="H154" s="490"/>
      <c r="I154" s="490"/>
      <c r="J154" s="588" t="str">
        <f>IFERROR(__xludf.DUMMYFUNCTION("""COMPUTED_VALUE"""),"GEN")</f>
        <v>GEN</v>
      </c>
      <c r="K154" s="588"/>
      <c r="L154" s="588"/>
      <c r="M154" s="490" t="str">
        <f>IFERROR(__xludf.DUMMYFUNCTION("""COMPUTED_VALUE"""),"HPE")</f>
        <v>HPE</v>
      </c>
      <c r="N154" s="490" t="str">
        <f>IFERROR(__xludf.DUMMYFUNCTION("""COMPUTED_VALUE"""),"bos_nq_leanpath360benchscale")</f>
        <v>bos_nq_leanpath360benchscale</v>
      </c>
      <c r="O154" s="490"/>
      <c r="P154" s="490" t="s">
        <v>1302</v>
      </c>
    </row>
    <row r="155">
      <c r="A155" s="490"/>
      <c r="B155" s="490"/>
      <c r="C155" s="490"/>
      <c r="D155" s="593" t="str">
        <f>IFERROR(__xludf.DUMMYFUNCTION("""COMPUTED_VALUE"""),"CRADLEPOINT")</f>
        <v>CRADLEPOINT</v>
      </c>
      <c r="E155" s="593" t="str">
        <f>IFERROR(__xludf.DUMMYFUNCTION("""COMPUTED_VALUE"""),"ANSUL")</f>
        <v>ANSUL</v>
      </c>
      <c r="F155" s="593" t="str">
        <f>IFERROR(__xludf.DUMMYFUNCTION("""COMPUTED_VALUE"""),"R-102")</f>
        <v>R-102</v>
      </c>
      <c r="G155" s="490"/>
      <c r="H155" s="490"/>
      <c r="I155" s="490"/>
      <c r="J155" s="588" t="str">
        <f>IFERROR(__xludf.DUMMYFUNCTION("""COMPUTED_VALUE"""),"GI")</f>
        <v>GI</v>
      </c>
      <c r="K155" s="588"/>
      <c r="L155" s="588"/>
      <c r="M155" s="490" t="str">
        <f>IFERROR(__xludf.DUMMYFUNCTION("""COMPUTED_VALUE"""),"HPE")</f>
        <v>HPE</v>
      </c>
      <c r="N155" s="490" t="str">
        <f>IFERROR(__xludf.DUMMYFUNCTION("""COMPUTED_VALUE"""),"bos_nq_leanpath_leanpath360series2")</f>
        <v>bos_nq_leanpath_leanpath360series2</v>
      </c>
      <c r="O155" s="490"/>
      <c r="P155" s="490" t="s">
        <v>1308</v>
      </c>
    </row>
    <row r="156">
      <c r="A156" s="490"/>
      <c r="B156" s="490"/>
      <c r="C156" s="490"/>
      <c r="D156" s="593" t="str">
        <f>IFERROR(__xludf.DUMMYFUNCTION("""COMPUTED_VALUE"""),"CRESTRON")</f>
        <v>CRESTRON</v>
      </c>
      <c r="E156" s="593" t="str">
        <f>IFERROR(__xludf.DUMMYFUNCTION("""COMPUTED_VALUE"""),"AO SMITH")</f>
        <v>AO SMITH</v>
      </c>
      <c r="F156" s="593" t="str">
        <f>IFERROR(__xludf.DUMMYFUNCTION("""COMPUTED_VALUE"""),"BTH300")</f>
        <v>BTH300</v>
      </c>
      <c r="G156" s="490"/>
      <c r="H156" s="490"/>
      <c r="I156" s="490"/>
      <c r="J156" s="588" t="str">
        <f>IFERROR(__xludf.DUMMYFUNCTION("""COMPUTED_VALUE"""),"GLYPR")</f>
        <v>GLYPR</v>
      </c>
      <c r="K156" s="588"/>
      <c r="L156" s="588"/>
      <c r="M156" s="490" t="str">
        <f>IFERROR(__xludf.DUMMYFUNCTION("""COMPUTED_VALUE"""),"HPE")</f>
        <v>HPE</v>
      </c>
      <c r="N156" s="490" t="str">
        <f>IFERROR(__xludf.DUMMYFUNCTION("""COMPUTED_VALUE"""),"bos_nq_leanpath_leanpath360series3")</f>
        <v>bos_nq_leanpath_leanpath360series3</v>
      </c>
      <c r="O156" s="490"/>
      <c r="P156" s="490" t="s">
        <v>1062</v>
      </c>
    </row>
    <row r="157">
      <c r="A157" s="490"/>
      <c r="B157" s="490"/>
      <c r="C157" s="490"/>
      <c r="D157" s="593" t="str">
        <f>IFERROR(__xludf.DUMMYFUNCTION("""COMPUTED_VALUE"""),"CROSSFIRE")</f>
        <v>CROSSFIRE</v>
      </c>
      <c r="E157" s="593" t="str">
        <f>IFERROR(__xludf.DUMMYFUNCTION("""COMPUTED_VALUE"""),"AO SMITH")</f>
        <v>AO SMITH</v>
      </c>
      <c r="F157" s="593" t="str">
        <f>IFERROR(__xludf.DUMMYFUNCTION("""COMPUTED_VALUE"""),"BTH-400 300")</f>
        <v>BTH-400 300</v>
      </c>
      <c r="G157" s="490"/>
      <c r="H157" s="490"/>
      <c r="I157" s="490"/>
      <c r="J157" s="594" t="str">
        <f>IFERROR(__xludf.DUMMYFUNCTION("""COMPUTED_VALUE"""),"GM")</f>
        <v>GM</v>
      </c>
      <c r="K157" s="588"/>
      <c r="L157" s="588"/>
      <c r="M157" s="490" t="str">
        <f>IFERROR(__xludf.DUMMYFUNCTION("""COMPUTED_VALUE"""),"HUAWEI")</f>
        <v>HUAWEI</v>
      </c>
      <c r="N157" s="490" t="str">
        <f>IFERROR(__xludf.DUMMYFUNCTION("""COMPUTED_VALUE"""),"bos_nq_leanpath_zapstationseries2")</f>
        <v>bos_nq_leanpath_zapstationseries2</v>
      </c>
      <c r="O157" s="490"/>
      <c r="P157" s="490" t="s">
        <v>1312</v>
      </c>
    </row>
    <row r="158">
      <c r="A158" s="490"/>
      <c r="B158" s="490"/>
      <c r="C158" s="490"/>
      <c r="D158" s="593" t="str">
        <f>IFERROR(__xludf.DUMMYFUNCTION("""COMPUTED_VALUE"""),"CUMMINS")</f>
        <v>CUMMINS</v>
      </c>
      <c r="E158" s="593" t="str">
        <f>IFERROR(__xludf.DUMMYFUNCTION("""COMPUTED_VALUE"""),"AOPEN")</f>
        <v>AOPEN</v>
      </c>
      <c r="F158" s="593" t="str">
        <f>IFERROR(__xludf.DUMMYFUNCTION("""COMPUTED_VALUE"""),"ME4100")</f>
        <v>ME4100</v>
      </c>
      <c r="G158" s="490"/>
      <c r="H158" s="490"/>
      <c r="I158" s="586"/>
      <c r="J158" s="588" t="str">
        <f>IFERROR(__xludf.DUMMYFUNCTION("""COMPUTED_VALUE"""),"GMV")</f>
        <v>GMV</v>
      </c>
      <c r="K158" s="594"/>
      <c r="L158" s="594"/>
      <c r="M158" s="586" t="str">
        <f>IFERROR(__xludf.DUMMYFUNCTION("""COMPUTED_VALUE"""),"HUAWEI")</f>
        <v>HUAWEI</v>
      </c>
      <c r="N158" s="586" t="str">
        <f>IFERROR(__xludf.DUMMYFUNCTION("""COMPUTED_VALUE"""),"bos_nq_lg_pacp5a00")</f>
        <v>bos_nq_lg_pacp5a00</v>
      </c>
      <c r="O158" s="586"/>
      <c r="P158" s="586" t="s">
        <v>1318</v>
      </c>
    </row>
    <row r="159">
      <c r="A159" s="490"/>
      <c r="B159" s="490"/>
      <c r="C159" s="490"/>
      <c r="D159" s="593" t="str">
        <f>IFERROR(__xludf.DUMMYFUNCTION("""COMPUTED_VALUE"""),"CUSTOM")</f>
        <v>CUSTOM</v>
      </c>
      <c r="E159" s="593" t="str">
        <f>IFERROR(__xludf.DUMMYFUNCTION("""COMPUTED_VALUE"""),"AOPRE")</f>
        <v>AOPRE</v>
      </c>
      <c r="F159" s="593" t="str">
        <f>IFERROR(__xludf.DUMMYFUNCTION("""COMPUTED_VALUE"""),"D805F")</f>
        <v>D805F</v>
      </c>
      <c r="G159" s="490"/>
      <c r="H159" s="490"/>
      <c r="I159" s="490"/>
      <c r="J159" s="588" t="str">
        <f>IFERROR(__xludf.DUMMYFUNCTION("""COMPUTED_VALUE"""),"GSF")</f>
        <v>GSF</v>
      </c>
      <c r="K159" s="588"/>
      <c r="L159" s="588"/>
      <c r="M159" s="490" t="str">
        <f>IFERROR(__xludf.DUMMYFUNCTION("""COMPUTED_VALUE"""),"HUAWEI")</f>
        <v>HUAWEI</v>
      </c>
      <c r="N159" s="490" t="str">
        <f>IFERROR(__xludf.DUMMYFUNCTION("""COMPUTED_VALUE"""),"bos_nq_loytec_lvis3me12a1")</f>
        <v>bos_nq_loytec_lvis3me12a1</v>
      </c>
      <c r="O159" s="490"/>
      <c r="P159" s="490" t="s">
        <v>1322</v>
      </c>
    </row>
    <row r="160">
      <c r="A160" s="490"/>
      <c r="B160" s="490"/>
      <c r="C160" s="490"/>
      <c r="D160" s="593" t="str">
        <f>IFERROR(__xludf.DUMMYFUNCTION("""COMPUTED_VALUE"""),"CUSTOM BUILT PC")</f>
        <v>CUSTOM BUILT PC</v>
      </c>
      <c r="E160" s="593" t="str">
        <f>IFERROR(__xludf.DUMMYFUNCTION("""COMPUTED_VALUE"""),"AOPRE")</f>
        <v>AOPRE</v>
      </c>
      <c r="F160" s="593" t="str">
        <f>IFERROR(__xludf.DUMMYFUNCTION("""COMPUTED_VALUE"""),"D805F")</f>
        <v>D805F</v>
      </c>
      <c r="G160" s="490"/>
      <c r="H160" s="490"/>
      <c r="I160" s="490"/>
      <c r="J160" s="594" t="str">
        <f>IFERROR(__xludf.DUMMYFUNCTION("""COMPUTED_VALUE"""),"GSHP")</f>
        <v>GSHP</v>
      </c>
      <c r="K160" s="588"/>
      <c r="L160" s="588"/>
      <c r="M160" s="490" t="str">
        <f>IFERROR(__xludf.DUMMYFUNCTION("""COMPUTED_VALUE"""),"HUAWEI")</f>
        <v>HUAWEI</v>
      </c>
      <c r="N160" s="490" t="str">
        <f>IFERROR(__xludf.DUMMYFUNCTION("""COMPUTED_VALUE"""),"bos_nq_loytec_lvis3me7g1")</f>
        <v>bos_nq_loytec_lvis3me7g1</v>
      </c>
      <c r="O160" s="490"/>
      <c r="P160" s="490" t="s">
        <v>1328</v>
      </c>
    </row>
    <row r="161">
      <c r="A161" s="490"/>
      <c r="B161" s="490"/>
      <c r="C161" s="490"/>
      <c r="D161" s="593" t="str">
        <f>IFERROR(__xludf.DUMMYFUNCTION("""COMPUTED_VALUE"""),"CYBEX")</f>
        <v>CYBEX</v>
      </c>
      <c r="E161" s="593" t="str">
        <f>IFERROR(__xludf.DUMMYFUNCTION("""COMPUTED_VALUE"""),"APC")</f>
        <v>APC</v>
      </c>
      <c r="F161" s="593" t="str">
        <f>IFERROR(__xludf.DUMMYFUNCTION("""COMPUTED_VALUE"""),"BR1500G")</f>
        <v>BR1500G</v>
      </c>
      <c r="G161" s="490"/>
      <c r="H161" s="490"/>
      <c r="I161" s="586"/>
      <c r="J161" s="594" t="str">
        <f>IFERROR(__xludf.DUMMYFUNCTION("""COMPUTED_VALUE"""),"GTF")</f>
        <v>GTF</v>
      </c>
      <c r="K161" s="594"/>
      <c r="L161" s="594"/>
      <c r="M161" s="586" t="str">
        <f>IFERROR(__xludf.DUMMYFUNCTION("""COMPUTED_VALUE"""),"HUAWEI")</f>
        <v>HUAWEI</v>
      </c>
      <c r="N161" s="586" t="str">
        <f>IFERROR(__xludf.DUMMYFUNCTION("""COMPUTED_VALUE"""),"bos_nq_lutron_cz00544")</f>
        <v>bos_nq_lutron_cz00544</v>
      </c>
      <c r="O161" s="586"/>
      <c r="P161" s="586" t="s">
        <v>1332</v>
      </c>
    </row>
    <row r="162">
      <c r="A162" s="490"/>
      <c r="B162" s="490"/>
      <c r="C162" s="490"/>
      <c r="D162" s="593" t="str">
        <f>IFERROR(__xludf.DUMMYFUNCTION("""COMPUTED_VALUE"""),"CYLON")</f>
        <v>CYLON</v>
      </c>
      <c r="E162" s="593" t="str">
        <f>IFERROR(__xludf.DUMMYFUNCTION("""COMPUTED_VALUE"""),"APC")</f>
        <v>APC</v>
      </c>
      <c r="F162" s="593" t="str">
        <f>IFERROR(__xludf.DUMMYFUNCTION("""COMPUTED_VALUE"""),"SYMMETRA PX160KW")</f>
        <v>SYMMETRA PX160KW</v>
      </c>
      <c r="G162" s="490"/>
      <c r="H162" s="490"/>
      <c r="I162" s="490"/>
      <c r="J162" s="588" t="str">
        <f>IFERROR(__xludf.DUMMYFUNCTION("""COMPUTED_VALUE"""),"GUH")</f>
        <v>GUH</v>
      </c>
      <c r="K162" s="588"/>
      <c r="L162" s="588"/>
      <c r="M162" s="490" t="str">
        <f>IFERROR(__xludf.DUMMYFUNCTION("""COMPUTED_VALUE"""),"HUAWEI")</f>
        <v>HUAWEI</v>
      </c>
      <c r="N162" s="490" t="str">
        <f>IFERROR(__xludf.DUMMYFUNCTION("""COMPUTED_VALUE"""),"bos_nq_lutron_qp31pl100240")</f>
        <v>bos_nq_lutron_qp31pl100240</v>
      </c>
      <c r="O162" s="490"/>
      <c r="P162" s="490" t="s">
        <v>1339</v>
      </c>
    </row>
    <row r="163">
      <c r="A163" s="490"/>
      <c r="B163" s="490"/>
      <c r="C163" s="490"/>
      <c r="D163" s="593" t="str">
        <f>IFERROR(__xludf.DUMMYFUNCTION("""COMPUTED_VALUE"""),"D-LINK")</f>
        <v>D-LINK</v>
      </c>
      <c r="E163" s="593" t="str">
        <f>IFERROR(__xludf.DUMMYFUNCTION("""COMPUTED_VALUE"""),"APC")</f>
        <v>APC</v>
      </c>
      <c r="F163" s="593" t="str">
        <f>IFERROR(__xludf.DUMMYFUNCTION("""COMPUTED_VALUE"""),"SYMMETRA PX160KW")</f>
        <v>SYMMETRA PX160KW</v>
      </c>
      <c r="G163" s="490"/>
      <c r="H163" s="490"/>
      <c r="I163" s="490"/>
      <c r="J163" s="588" t="str">
        <f>IFERROR(__xludf.DUMMYFUNCTION("""COMPUTED_VALUE"""),"GV")</f>
        <v>GV</v>
      </c>
      <c r="K163" s="588"/>
      <c r="L163" s="588"/>
      <c r="M163" s="490" t="str">
        <f>IFERROR(__xludf.DUMMYFUNCTION("""COMPUTED_VALUE"""),"ICP DAS")</f>
        <v>ICP DAS</v>
      </c>
      <c r="N163" s="490" t="str">
        <f>IFERROR(__xludf.DUMMYFUNCTION("""COMPUTED_VALUE"""),"bos_nq_lutron_qs1pcpn8017")</f>
        <v>bos_nq_lutron_qs1pcpn8017</v>
      </c>
      <c r="O163" s="490"/>
      <c r="P163" s="490" t="s">
        <v>1343</v>
      </c>
    </row>
    <row r="164">
      <c r="A164" s="490"/>
      <c r="B164" s="490"/>
      <c r="C164" s="490"/>
      <c r="D164" s="593" t="str">
        <f>IFERROR(__xludf.DUMMYFUNCTION("""COMPUTED_VALUE"""),"DAHUA")</f>
        <v>DAHUA</v>
      </c>
      <c r="E164" s="593" t="str">
        <f>IFERROR(__xludf.DUMMYFUNCTION("""COMPUTED_VALUE"""),"APC")</f>
        <v>APC</v>
      </c>
      <c r="F164" s="593" t="str">
        <f>IFERROR(__xludf.DUMMYFUNCTION("""COMPUTED_VALUE"""),"SMART-UPS RT 20000")</f>
        <v>SMART-UPS RT 20000</v>
      </c>
      <c r="G164" s="490"/>
      <c r="H164" s="490"/>
      <c r="I164" s="490"/>
      <c r="J164" s="588" t="str">
        <f>IFERROR(__xludf.DUMMYFUNCTION("""COMPUTED_VALUE"""),"GYMEQ")</f>
        <v>GYMEQ</v>
      </c>
      <c r="K164" s="588"/>
      <c r="L164" s="588"/>
      <c r="M164" s="490" t="str">
        <f>IFERROR(__xludf.DUMMYFUNCTION("""COMPUTED_VALUE"""),"ICP DAS")</f>
        <v>ICP DAS</v>
      </c>
      <c r="N164" s="490" t="str">
        <f>IFERROR(__xludf.DUMMYFUNCTION("""COMPUTED_VALUE"""),"bos_nq_lutron_qsne2dald")</f>
        <v>bos_nq_lutron_qsne2dald</v>
      </c>
      <c r="O164" s="490"/>
      <c r="P164" s="490" t="s">
        <v>1348</v>
      </c>
    </row>
    <row r="165">
      <c r="A165" s="490"/>
      <c r="B165" s="490"/>
      <c r="C165" s="490"/>
      <c r="D165" s="593" t="str">
        <f>IFERROR(__xludf.DUMMYFUNCTION("""COMPUTED_VALUE"""),"DAIKIN")</f>
        <v>DAIKIN</v>
      </c>
      <c r="E165" s="593" t="str">
        <f>IFERROR(__xludf.DUMMYFUNCTION("""COMPUTED_VALUE"""),"APC")</f>
        <v>APC</v>
      </c>
      <c r="F165" s="593" t="str">
        <f>IFERROR(__xludf.DUMMYFUNCTION("""COMPUTED_VALUE"""),"AP9215RM")</f>
        <v>AP9215RM</v>
      </c>
      <c r="G165" s="490"/>
      <c r="H165" s="490"/>
      <c r="I165" s="586"/>
      <c r="J165" s="594" t="str">
        <f>IFERROR(__xludf.DUMMYFUNCTION("""COMPUTED_VALUE"""),"HC")</f>
        <v>HC</v>
      </c>
      <c r="K165" s="594"/>
      <c r="L165" s="594"/>
      <c r="M165" s="586" t="str">
        <f>IFERROR(__xludf.DUMMYFUNCTION("""COMPUTED_VALUE"""),"ICP DAS")</f>
        <v>ICP DAS</v>
      </c>
      <c r="N165" s="586" t="str">
        <f>IFERROR(__xludf.DUMMYFUNCTION("""COMPUTED_VALUE"""),"bos_nq_mitsubishi_pac_yg50eca")</f>
        <v>bos_nq_mitsubishi_pac_yg50eca</v>
      </c>
      <c r="O165" s="586"/>
      <c r="P165" s="586" t="s">
        <v>1352</v>
      </c>
    </row>
    <row r="166">
      <c r="A166" s="490"/>
      <c r="B166" s="490"/>
      <c r="C166" s="490"/>
      <c r="D166" s="593" t="str">
        <f>IFERROR(__xludf.DUMMYFUNCTION("""COMPUTED_VALUE"""),"DAINTREE")</f>
        <v>DAINTREE</v>
      </c>
      <c r="E166" s="593" t="str">
        <f>IFERROR(__xludf.DUMMYFUNCTION("""COMPUTED_VALUE"""),"APC")</f>
        <v>APC</v>
      </c>
      <c r="F166" s="593" t="str">
        <f>IFERROR(__xludf.DUMMYFUNCTION("""COMPUTED_VALUE"""),"AP9631")</f>
        <v>AP9631</v>
      </c>
      <c r="G166" s="490"/>
      <c r="H166" s="490"/>
      <c r="I166" s="586"/>
      <c r="J166" s="588" t="str">
        <f>IFERROR(__xludf.DUMMYFUNCTION("""COMPUTED_VALUE"""),"HLI")</f>
        <v>HLI</v>
      </c>
      <c r="K166" s="594"/>
      <c r="L166" s="594"/>
      <c r="M166" s="586" t="str">
        <f>IFERROR(__xludf.DUMMYFUNCTION("""COMPUTED_VALUE"""),"IIJ")</f>
        <v>IIJ</v>
      </c>
      <c r="N166" s="586" t="str">
        <f>IFERROR(__xludf.DUMMYFUNCTION("""COMPUTED_VALUE"""),"bos_nqm_nti_enviromux16d")</f>
        <v>bos_nqm_nti_enviromux16d</v>
      </c>
      <c r="O166" s="586"/>
      <c r="P166" s="586" t="s">
        <v>1358</v>
      </c>
    </row>
    <row r="167">
      <c r="A167" s="490"/>
      <c r="B167" s="490"/>
      <c r="C167" s="490"/>
      <c r="D167" s="593" t="str">
        <f>IFERROR(__xludf.DUMMYFUNCTION("""COMPUTED_VALUE"""),"DANFOSS")</f>
        <v>DANFOSS</v>
      </c>
      <c r="E167" s="593" t="str">
        <f>IFERROR(__xludf.DUMMYFUNCTION("""COMPUTED_VALUE"""),"APC")</f>
        <v>APC</v>
      </c>
      <c r="F167" s="593" t="str">
        <f>IFERROR(__xludf.DUMMYFUNCTION("""COMPUTED_VALUE""")," AP9631")</f>
        <v> AP9631</v>
      </c>
      <c r="G167" s="490"/>
      <c r="H167" s="490"/>
      <c r="I167" s="490"/>
      <c r="J167" s="594" t="str">
        <f>IFERROR(__xludf.DUMMYFUNCTION("""COMPUTED_VALUE"""),"HM")</f>
        <v>HM</v>
      </c>
      <c r="K167" s="588"/>
      <c r="L167" s="588"/>
      <c r="M167" s="490" t="str">
        <f>IFERROR(__xludf.DUMMYFUNCTION("""COMPUTED_VALUE"""),"INTELBRAS")</f>
        <v>INTELBRAS</v>
      </c>
      <c r="N167" s="490" t="str">
        <f>IFERROR(__xludf.DUMMYFUNCTION("""COMPUTED_VALUE"""),"bos_nq_obvius_a8810")</f>
        <v>bos_nq_obvius_a8810</v>
      </c>
      <c r="O167" s="490"/>
      <c r="P167" s="490" t="s">
        <v>1042</v>
      </c>
    </row>
    <row r="168">
      <c r="A168" s="490"/>
      <c r="B168" s="490"/>
      <c r="C168" s="490"/>
      <c r="D168" s="593" t="str">
        <f>IFERROR(__xludf.DUMMYFUNCTION("""COMPUTED_VALUE"""),"DATA AIRE")</f>
        <v>DATA AIRE</v>
      </c>
      <c r="E168" s="593" t="str">
        <f>IFERROR(__xludf.DUMMYFUNCTION("""COMPUTED_VALUE"""),"APC")</f>
        <v>APC</v>
      </c>
      <c r="F168" s="593" t="str">
        <f>IFERROR(__xludf.DUMMYFUNCTION("""COMPUTED_VALUE"""),"AP9631")</f>
        <v>AP9631</v>
      </c>
      <c r="G168" s="490"/>
      <c r="H168" s="490"/>
      <c r="I168" s="490"/>
      <c r="J168" s="588" t="str">
        <f>IFERROR(__xludf.DUMMYFUNCTION("""COMPUTED_VALUE"""),"HMV")</f>
        <v>HMV</v>
      </c>
      <c r="K168" s="588"/>
      <c r="L168" s="588"/>
      <c r="M168" s="490" t="str">
        <f>IFERROR(__xludf.DUMMYFUNCTION("""COMPUTED_VALUE"""),"IOGEAR")</f>
        <v>IOGEAR</v>
      </c>
      <c r="N168" s="490" t="str">
        <f>IFERROR(__xludf.DUMMYFUNCTION("""COMPUTED_VALUE"""),"bos_nq_precor_efx885")</f>
        <v>bos_nq_precor_efx885</v>
      </c>
      <c r="O168" s="490"/>
      <c r="P168" s="490" t="s">
        <v>1362</v>
      </c>
    </row>
    <row r="169">
      <c r="A169" s="490"/>
      <c r="B169" s="490"/>
      <c r="C169" s="490"/>
      <c r="D169" s="593" t="str">
        <f>IFERROR(__xludf.DUMMYFUNCTION("""COMPUTED_VALUE"""),"DE JONG DUKE")</f>
        <v>DE JONG DUKE</v>
      </c>
      <c r="E169" s="593" t="str">
        <f>IFERROR(__xludf.DUMMYFUNCTION("""COMPUTED_VALUE"""),"APC")</f>
        <v>APC</v>
      </c>
      <c r="F169" s="593" t="str">
        <f>IFERROR(__xludf.DUMMYFUNCTION("""COMPUTED_VALUE"""),"APC SRT5KXLI")</f>
        <v>APC SRT5KXLI</v>
      </c>
      <c r="G169" s="490"/>
      <c r="H169" s="490"/>
      <c r="I169" s="490"/>
      <c r="J169" s="588" t="str">
        <f>IFERROR(__xludf.DUMMYFUNCTION("""COMPUTED_VALUE"""),"HMI")</f>
        <v>HMI</v>
      </c>
      <c r="K169" s="588"/>
      <c r="L169" s="588"/>
      <c r="M169" s="490" t="str">
        <f>IFERROR(__xludf.DUMMYFUNCTION("""COMPUTED_VALUE"""),"IOGEAR")</f>
        <v>IOGEAR</v>
      </c>
      <c r="N169" s="490" t="str">
        <f>IFERROR(__xludf.DUMMYFUNCTION("""COMPUTED_VALUE"""),"bos_nq_precor_p80console")</f>
        <v>bos_nq_precor_p80console</v>
      </c>
      <c r="O169" s="490"/>
      <c r="P169" s="490" t="s">
        <v>1368</v>
      </c>
    </row>
    <row r="170">
      <c r="A170" s="490"/>
      <c r="B170" s="490"/>
      <c r="C170" s="490"/>
      <c r="D170" s="593" t="str">
        <f>IFERROR(__xludf.DUMMYFUNCTION("""COMPUTED_VALUE"""),"DEI")</f>
        <v>DEI</v>
      </c>
      <c r="E170" s="593" t="str">
        <f>IFERROR(__xludf.DUMMYFUNCTION("""COMPUTED_VALUE"""),"APC")</f>
        <v>APC</v>
      </c>
      <c r="F170" s="593" t="str">
        <f>IFERROR(__xludf.DUMMYFUNCTION("""COMPUTED_VALUE"""),"BACK UPS PRO 900")</f>
        <v>BACK UPS PRO 900</v>
      </c>
      <c r="G170" s="490"/>
      <c r="H170" s="490"/>
      <c r="I170" s="490"/>
      <c r="J170" s="594" t="str">
        <f>IFERROR(__xludf.DUMMYFUNCTION("""COMPUTED_VALUE"""),"HMS")</f>
        <v>HMS</v>
      </c>
      <c r="K170" s="588"/>
      <c r="L170" s="588"/>
      <c r="M170" s="490" t="str">
        <f>IFERROR(__xludf.DUMMYFUNCTION("""COMPUTED_VALUE"""),"KORENIX")</f>
        <v>KORENIX</v>
      </c>
      <c r="N170" s="490" t="str">
        <f>IFERROR(__xludf.DUMMYFUNCTION("""COMPUTED_VALUE"""),"bos_nq_precor_p82console")</f>
        <v>bos_nq_precor_p82console</v>
      </c>
      <c r="O170" s="490"/>
      <c r="P170" s="490" t="s">
        <v>1372</v>
      </c>
    </row>
    <row r="171">
      <c r="A171" s="490"/>
      <c r="B171" s="490"/>
      <c r="C171" s="490"/>
      <c r="D171" s="593" t="str">
        <f>IFERROR(__xludf.DUMMYFUNCTION("""COMPUTED_VALUE"""),"DELAB")</f>
        <v>DELAB</v>
      </c>
      <c r="E171" s="593" t="str">
        <f>IFERROR(__xludf.DUMMYFUNCTION("""COMPUTED_VALUE"""),"APC")</f>
        <v>APC</v>
      </c>
      <c r="F171" s="593" t="str">
        <f>IFERROR(__xludf.DUMMYFUNCTION("""COMPUTED_VALUE"""),"GALAXY 3500")</f>
        <v>GALAXY 3500</v>
      </c>
      <c r="G171" s="490"/>
      <c r="H171" s="490"/>
      <c r="I171" s="490"/>
      <c r="J171" s="588" t="str">
        <f>IFERROR(__xludf.DUMMYFUNCTION("""COMPUTED_VALUE"""),"HP")</f>
        <v>HP</v>
      </c>
      <c r="K171" s="588"/>
      <c r="L171" s="588"/>
      <c r="M171" s="490" t="str">
        <f>IFERROR(__xludf.DUMMYFUNCTION("""COMPUTED_VALUE"""),"KYLAND")</f>
        <v>KYLAND</v>
      </c>
      <c r="N171" s="490" t="str">
        <f>IFERROR(__xludf.DUMMYFUNCTION("""COMPUTED_VALUE"""),"bos_nq_precor_trm781")</f>
        <v>bos_nq_precor_trm781</v>
      </c>
      <c r="O171" s="490"/>
      <c r="P171" s="490" t="s">
        <v>1378</v>
      </c>
    </row>
    <row r="172">
      <c r="A172" s="490"/>
      <c r="B172" s="490"/>
      <c r="C172" s="490"/>
      <c r="D172" s="593" t="str">
        <f>IFERROR(__xludf.DUMMYFUNCTION("""COMPUTED_VALUE"""),"DELL")</f>
        <v>DELL</v>
      </c>
      <c r="E172" s="593" t="str">
        <f>IFERROR(__xludf.DUMMYFUNCTION("""COMPUTED_VALUE"""),"APC")</f>
        <v>APC</v>
      </c>
      <c r="F172" s="593" t="str">
        <f>IFERROR(__xludf.DUMMYFUNCTION("""COMPUTED_VALUE"""),"GALAXY 3500")</f>
        <v>GALAXY 3500</v>
      </c>
      <c r="G172" s="490"/>
      <c r="H172" s="490"/>
      <c r="I172" s="490"/>
      <c r="J172" s="594" t="str">
        <f>IFERROR(__xludf.DUMMYFUNCTION("""COMPUTED_VALUE"""),"HRU")</f>
        <v>HRU</v>
      </c>
      <c r="K172" s="588"/>
      <c r="L172" s="588"/>
      <c r="M172" s="490" t="str">
        <f>IFERROR(__xludf.DUMMYFUNCTION("""COMPUTED_VALUE"""),"LB-LINK")</f>
        <v>LB-LINK</v>
      </c>
      <c r="N172" s="490" t="str">
        <f>IFERROR(__xludf.DUMMYFUNCTION("""COMPUTED_VALUE"""),"bos_nq_precor_ubk885")</f>
        <v>bos_nq_precor_ubk885</v>
      </c>
      <c r="O172" s="490"/>
      <c r="P172" s="490" t="s">
        <v>1382</v>
      </c>
    </row>
    <row r="173">
      <c r="A173" s="490"/>
      <c r="B173" s="490"/>
      <c r="C173" s="490"/>
      <c r="D173" s="593" t="str">
        <f>IFERROR(__xludf.DUMMYFUNCTION("""COMPUTED_VALUE"""),"DELMATIC")</f>
        <v>DELMATIC</v>
      </c>
      <c r="E173" s="593" t="str">
        <f>IFERROR(__xludf.DUMMYFUNCTION("""COMPUTED_VALUE"""),"APC")</f>
        <v>APC</v>
      </c>
      <c r="F173" s="593" t="str">
        <f>IFERROR(__xludf.DUMMYFUNCTION("""COMPUTED_VALUE"""),"GALAXY 3500")</f>
        <v>GALAXY 3500</v>
      </c>
      <c r="G173" s="490"/>
      <c r="H173" s="490"/>
      <c r="I173" s="490"/>
      <c r="J173" s="588" t="str">
        <f>IFERROR(__xludf.DUMMYFUNCTION("""COMPUTED_VALUE"""),"HS")</f>
        <v>HS</v>
      </c>
      <c r="K173" s="588"/>
      <c r="L173" s="588"/>
      <c r="M173" s="604" t="str">
        <f>IFERROR(__xludf.DUMMYFUNCTION("""COMPUTED_VALUE"""),"LH.GD")</f>
        <v>LH.GD</v>
      </c>
      <c r="N173" s="490" t="str">
        <f>IFERROR(__xludf.DUMMYFUNCTION("""COMPUTED_VALUE"""),"bos_nq_realtek_cte1")</f>
        <v>bos_nq_realtek_cte1</v>
      </c>
      <c r="O173" s="490"/>
      <c r="P173" s="490" t="s">
        <v>1388</v>
      </c>
    </row>
    <row r="174">
      <c r="A174" s="490"/>
      <c r="B174" s="490"/>
      <c r="C174" s="490"/>
      <c r="D174" s="593" t="str">
        <f>IFERROR(__xludf.DUMMYFUNCTION("""COMPUTED_VALUE"""),"DELTA")</f>
        <v>DELTA</v>
      </c>
      <c r="E174" s="593" t="str">
        <f>IFERROR(__xludf.DUMMYFUNCTION("""COMPUTED_VALUE"""),"APC")</f>
        <v>APC</v>
      </c>
      <c r="F174" s="593" t="str">
        <f>IFERROR(__xludf.DUMMYFUNCTION("""COMPUTED_VALUE"""),"GALAXY 3500")</f>
        <v>GALAXY 3500</v>
      </c>
      <c r="G174" s="490"/>
      <c r="H174" s="490"/>
      <c r="I174" s="490"/>
      <c r="J174" s="588" t="str">
        <f>IFERROR(__xludf.DUMMYFUNCTION("""COMPUTED_VALUE"""),"HTB")</f>
        <v>HTB</v>
      </c>
      <c r="K174" s="588"/>
      <c r="L174" s="588"/>
      <c r="M174" s="490" t="str">
        <f>IFERROR(__xludf.DUMMYFUNCTION("""COMPUTED_VALUE"""),"LINKSYS")</f>
        <v>LINKSYS</v>
      </c>
      <c r="N174" s="490" t="str">
        <f>IFERROR(__xludf.DUMMYFUNCTION("""COMPUTED_VALUE"""),"bos_nq_samsung_dmsbnet")</f>
        <v>bos_nq_samsung_dmsbnet</v>
      </c>
      <c r="O174" s="490"/>
      <c r="P174" s="490" t="s">
        <v>1392</v>
      </c>
    </row>
    <row r="175">
      <c r="A175" s="490"/>
      <c r="B175" s="490"/>
      <c r="C175" s="490"/>
      <c r="D175" s="593" t="str">
        <f>IFERROR(__xludf.DUMMYFUNCTION("""COMPUTED_VALUE"""),"DELTA CONTROLS")</f>
        <v>DELTA CONTROLS</v>
      </c>
      <c r="E175" s="593" t="str">
        <f>IFERROR(__xludf.DUMMYFUNCTION("""COMPUTED_VALUE"""),"APC")</f>
        <v>APC</v>
      </c>
      <c r="F175" s="593" t="str">
        <f>IFERROR(__xludf.DUMMYFUNCTION("""COMPUTED_VALUE"""),"GALAXY 3500")</f>
        <v>GALAXY 3500</v>
      </c>
      <c r="G175" s="490"/>
      <c r="H175" s="490"/>
      <c r="I175" s="490"/>
      <c r="J175" s="588" t="str">
        <f>IFERROR(__xludf.DUMMYFUNCTION("""COMPUTED_VALUE"""),"HTCH")</f>
        <v>HTCH</v>
      </c>
      <c r="K175" s="588"/>
      <c r="L175" s="588"/>
      <c r="M175" s="490" t="str">
        <f>IFERROR(__xludf.DUMMYFUNCTION("""COMPUTED_VALUE"""),"LINKSYS")</f>
        <v>LINKSYS</v>
      </c>
      <c r="N175" s="490" t="str">
        <f>IFERROR(__xludf.DUMMYFUNCTION("""COMPUTED_VALUE"""),"bos_nq_schneider_ipiouio10smk")</f>
        <v>bos_nq_schneider_ipiouio10smk</v>
      </c>
      <c r="O175" s="490"/>
      <c r="P175" s="490" t="s">
        <v>1400</v>
      </c>
    </row>
    <row r="176">
      <c r="A176" s="490"/>
      <c r="B176" s="490"/>
      <c r="C176" s="490"/>
      <c r="D176" s="593" t="str">
        <f>IFERROR(__xludf.DUMMYFUNCTION("""COMPUTED_VALUE"""),"DELTA ELEC")</f>
        <v>DELTA ELEC</v>
      </c>
      <c r="E176" s="593" t="str">
        <f>IFERROR(__xludf.DUMMYFUNCTION("""COMPUTED_VALUE"""),"APC")</f>
        <v>APC</v>
      </c>
      <c r="F176" s="593" t="str">
        <f>IFERROR(__xludf.DUMMYFUNCTION("""COMPUTED_VALUE""")," MGE GALAXY 3500")</f>
        <v> MGE GALAXY 3500</v>
      </c>
      <c r="G176" s="490"/>
      <c r="H176" s="490"/>
      <c r="I176" s="490"/>
      <c r="J176" s="594" t="str">
        <f>IFERROR(__xludf.DUMMYFUNCTION("""COMPUTED_VALUE"""),"HTCHP")</f>
        <v>HTCHP</v>
      </c>
      <c r="K176" s="588"/>
      <c r="L176" s="588"/>
      <c r="M176" s="490" t="str">
        <f>IFERROR(__xludf.DUMMYFUNCTION("""COMPUTED_VALUE"""),"LINKSYS")</f>
        <v>LINKSYS</v>
      </c>
      <c r="N176" s="490" t="str">
        <f>IFERROR(__xludf.DUMMYFUNCTION("""COMPUTED_VALUE"""),"bos_nq_schneider_smartlinksib")</f>
        <v>bos_nq_schneider_smartlinksib</v>
      </c>
      <c r="O176" s="490"/>
      <c r="P176" s="490" t="s">
        <v>1404</v>
      </c>
    </row>
    <row r="177">
      <c r="A177" s="490"/>
      <c r="B177" s="490"/>
      <c r="C177" s="490"/>
      <c r="D177" s="593" t="str">
        <f>IFERROR(__xludf.DUMMYFUNCTION("""COMPUTED_VALUE"""),"DENCO")</f>
        <v>DENCO</v>
      </c>
      <c r="E177" s="593" t="str">
        <f>IFERROR(__xludf.DUMMYFUNCTION("""COMPUTED_VALUE"""),"APC")</f>
        <v>APC</v>
      </c>
      <c r="F177" s="593" t="str">
        <f>IFERROR(__xludf.DUMMYFUNCTION("""COMPUTED_VALUE"""),"GALAXY MGE 7000")</f>
        <v>GALAXY MGE 7000</v>
      </c>
      <c r="G177" s="490"/>
      <c r="H177" s="490"/>
      <c r="I177" s="490"/>
      <c r="J177" s="594" t="str">
        <f>IFERROR(__xludf.DUMMYFUNCTION("""COMPUTED_VALUE"""),"HTCWP")</f>
        <v>HTCWP</v>
      </c>
      <c r="K177" s="588"/>
      <c r="L177" s="588"/>
      <c r="M177" s="490" t="str">
        <f>IFERROR(__xludf.DUMMYFUNCTION("""COMPUTED_VALUE"""),"LINKSYS")</f>
        <v>LINKSYS</v>
      </c>
      <c r="N177" s="490" t="str">
        <f>IFERROR(__xludf.DUMMYFUNCTION("""COMPUTED_VALUE"""),"bos_nq_sma_ennexosdatamanagermedmmus10")</f>
        <v>bos_nq_sma_ennexosdatamanagermedmmus10</v>
      </c>
      <c r="O177" s="490"/>
      <c r="P177" s="490" t="s">
        <v>1410</v>
      </c>
    </row>
    <row r="178">
      <c r="A178" s="490"/>
      <c r="B178" s="490"/>
      <c r="C178" s="490"/>
      <c r="D178" s="593" t="str">
        <f>IFERROR(__xludf.DUMMYFUNCTION("""COMPUTED_VALUE"""),"DENON")</f>
        <v>DENON</v>
      </c>
      <c r="E178" s="593" t="str">
        <f>IFERROR(__xludf.DUMMYFUNCTION("""COMPUTED_VALUE"""),"APC")</f>
        <v>APC</v>
      </c>
      <c r="F178" s="593" t="str">
        <f>IFERROR(__xludf.DUMMYFUNCTION("""COMPUTED_VALUE"""),"MGE GALAXY PW")</f>
        <v>MGE GALAXY PW</v>
      </c>
      <c r="G178" s="490"/>
      <c r="H178" s="490"/>
      <c r="I178" s="490"/>
      <c r="J178" s="594" t="str">
        <f>IFERROR(__xludf.DUMMYFUNCTION("""COMPUTED_VALUE"""),"HTR")</f>
        <v>HTR</v>
      </c>
      <c r="K178" s="588"/>
      <c r="L178" s="588"/>
      <c r="M178" s="490" t="str">
        <f>IFERROR(__xludf.DUMMYFUNCTION("""COMPUTED_VALUE"""),"LINKSYS")</f>
        <v>LINKSYS</v>
      </c>
      <c r="N178" s="490" t="str">
        <f>IFERROR(__xludf.DUMMYFUNCTION("""COMPUTED_VALUE"""),"bos_nq_sma_stp24000tlus10")</f>
        <v>bos_nq_sma_stp24000tlus10</v>
      </c>
      <c r="O178" s="490"/>
      <c r="P178" s="490" t="s">
        <v>1072</v>
      </c>
    </row>
    <row r="179">
      <c r="A179" s="490"/>
      <c r="B179" s="490"/>
      <c r="C179" s="490"/>
      <c r="D179" s="593" t="str">
        <f>IFERROR(__xludf.DUMMYFUNCTION("""COMPUTED_VALUE"""),"DENSITY")</f>
        <v>DENSITY</v>
      </c>
      <c r="E179" s="593" t="str">
        <f>IFERROR(__xludf.DUMMYFUNCTION("""COMPUTED_VALUE"""),"APC")</f>
        <v>APC</v>
      </c>
      <c r="F179" s="593" t="str">
        <f>IFERROR(__xludf.DUMMYFUNCTION("""COMPUTED_VALUE"""),"MGE GALAXY PW")</f>
        <v>MGE GALAXY PW</v>
      </c>
      <c r="G179" s="490"/>
      <c r="H179" s="490"/>
      <c r="I179" s="490"/>
      <c r="J179" s="588" t="str">
        <f>IFERROR(__xludf.DUMMYFUNCTION("""COMPUTED_VALUE"""),"HUM")</f>
        <v>HUM</v>
      </c>
      <c r="K179" s="588"/>
      <c r="L179" s="588"/>
      <c r="M179" s="490" t="str">
        <f>IFERROR(__xludf.DUMMYFUNCTION("""COMPUTED_VALUE"""),"LINKSYS")</f>
        <v>LINKSYS</v>
      </c>
      <c r="N179" s="490" t="str">
        <f>IFERROR(__xludf.DUMMYFUNCTION("""COMPUTED_VALUE"""),"bos_nq_technogym_excitevario")</f>
        <v>bos_nq_technogym_excitevario</v>
      </c>
      <c r="O179" s="490"/>
      <c r="P179" s="490" t="s">
        <v>1414</v>
      </c>
    </row>
    <row r="180">
      <c r="A180" s="490"/>
      <c r="B180" s="490"/>
      <c r="C180" s="490"/>
      <c r="D180" s="593" t="str">
        <f>IFERROR(__xludf.DUMMYFUNCTION("""COMPUTED_VALUE"""),"DENT")</f>
        <v>DENT</v>
      </c>
      <c r="E180" s="593" t="str">
        <f>IFERROR(__xludf.DUMMYFUNCTION("""COMPUTED_VALUE"""),"APC")</f>
        <v>APC</v>
      </c>
      <c r="F180" s="593" t="str">
        <f>IFERROR(__xludf.DUMMYFUNCTION("""COMPUTED_VALUE"""),"MGE GALAXY PW")</f>
        <v>MGE GALAXY PW</v>
      </c>
      <c r="G180" s="490"/>
      <c r="H180" s="490"/>
      <c r="I180" s="586"/>
      <c r="J180" s="594" t="str">
        <f>IFERROR(__xludf.DUMMYFUNCTION("""COMPUTED_VALUE"""),"HVACCP")</f>
        <v>HVACCP</v>
      </c>
      <c r="K180" s="594"/>
      <c r="L180" s="594"/>
      <c r="M180" s="586" t="str">
        <f>IFERROR(__xludf.DUMMYFUNCTION("""COMPUTED_VALUE"""),"LUTRON")</f>
        <v>LUTRON</v>
      </c>
      <c r="N180" s="586" t="str">
        <f>IFERROR(__xludf.DUMMYFUNCTION("""COMPUTED_VALUE"""),"bos_nq_technogym_runnow700")</f>
        <v>bos_nq_technogym_runnow700</v>
      </c>
      <c r="O180" s="586"/>
      <c r="P180" s="586" t="s">
        <v>1420</v>
      </c>
    </row>
    <row r="181">
      <c r="A181" s="490"/>
      <c r="B181" s="490"/>
      <c r="C181" s="490"/>
      <c r="D181" s="593" t="str">
        <f>IFERROR(__xludf.DUMMYFUNCTION("""COMPUTED_VALUE"""),"DEOS")</f>
        <v>DEOS</v>
      </c>
      <c r="E181" s="593" t="str">
        <f>IFERROR(__xludf.DUMMYFUNCTION("""COMPUTED_VALUE"""),"APC")</f>
        <v>APC</v>
      </c>
      <c r="F181" s="593" t="str">
        <f>IFERROR(__xludf.DUMMYFUNCTION("""COMPUTED_VALUE"""),"MGE GALAXY PW")</f>
        <v>MGE GALAXY PW</v>
      </c>
      <c r="G181" s="490"/>
      <c r="H181" s="490"/>
      <c r="I181" s="490"/>
      <c r="J181" s="594" t="str">
        <f>IFERROR(__xludf.DUMMYFUNCTION("""COMPUTED_VALUE"""),"HVCPB")</f>
        <v>HVCPB</v>
      </c>
      <c r="K181" s="588"/>
      <c r="L181" s="588"/>
      <c r="M181" s="490" t="str">
        <f>IFERROR(__xludf.DUMMYFUNCTION("""COMPUTED_VALUE"""),"LUXUL")</f>
        <v>LUXUL</v>
      </c>
      <c r="N181" s="490" t="str">
        <f>IFERROR(__xludf.DUMMYFUNCTION("""COMPUTED_VALUE"""),"bos_nq_thinksystem_sr250")</f>
        <v>bos_nq_thinksystem_sr250</v>
      </c>
      <c r="O181" s="490"/>
      <c r="P181" s="490" t="s">
        <v>1424</v>
      </c>
    </row>
    <row r="182">
      <c r="A182" s="490"/>
      <c r="B182" s="490"/>
      <c r="C182" s="490"/>
      <c r="D182" s="593" t="str">
        <f>IFERROR(__xludf.DUMMYFUNCTION("""COMPUTED_VALUE"""),"DETEC SYSTEMS")</f>
        <v>DETEC SYSTEMS</v>
      </c>
      <c r="E182" s="593" t="str">
        <f>IFERROR(__xludf.DUMMYFUNCTION("""COMPUTED_VALUE"""),"APC")</f>
        <v>APC</v>
      </c>
      <c r="F182" s="593" t="str">
        <f>IFERROR(__xludf.DUMMYFUNCTION("""COMPUTED_VALUE"""),"MGE GALAXY PW")</f>
        <v>MGE GALAXY PW</v>
      </c>
      <c r="G182" s="490"/>
      <c r="H182" s="490"/>
      <c r="I182" s="490"/>
      <c r="J182" s="588" t="str">
        <f>IFERROR(__xludf.DUMMYFUNCTION("""COMPUTED_VALUE"""),"HVDP")</f>
        <v>HVDP</v>
      </c>
      <c r="K182" s="588"/>
      <c r="L182" s="588"/>
      <c r="M182" s="490" t="str">
        <f>IFERROR(__xludf.DUMMYFUNCTION("""COMPUTED_VALUE"""),"MERCURY")</f>
        <v>MERCURY</v>
      </c>
      <c r="N182" s="490" t="str">
        <f>IFERROR(__xludf.DUMMYFUNCTION("""COMPUTED_VALUE"""),"bos_nq_trend_iq4e")</f>
        <v>bos_nq_trend_iq4e</v>
      </c>
      <c r="O182" s="490"/>
      <c r="P182" s="490" t="s">
        <v>1430</v>
      </c>
    </row>
    <row r="183">
      <c r="A183" s="490"/>
      <c r="B183" s="490"/>
      <c r="C183" s="490"/>
      <c r="D183" s="593" t="str">
        <f>IFERROR(__xludf.DUMMYFUNCTION("""COMPUTED_VALUE"""),"DIALOG")</f>
        <v>DIALOG</v>
      </c>
      <c r="E183" s="593" t="str">
        <f>IFERROR(__xludf.DUMMYFUNCTION("""COMPUTED_VALUE"""),"APC")</f>
        <v>APC</v>
      </c>
      <c r="F183" s="593" t="str">
        <f>IFERROR(__xludf.DUMMYFUNCTION("""COMPUTED_VALUE"""),"MGE GALAXY PW")</f>
        <v>MGE GALAXY PW</v>
      </c>
      <c r="G183" s="490"/>
      <c r="H183" s="490"/>
      <c r="I183" s="490"/>
      <c r="J183" s="588" t="str">
        <f>IFERROR(__xludf.DUMMYFUNCTION("""COMPUTED_VALUE"""),"HVRF")</f>
        <v>HVRF</v>
      </c>
      <c r="K183" s="588"/>
      <c r="L183" s="588"/>
      <c r="M183" s="490" t="str">
        <f>IFERROR(__xludf.DUMMYFUNCTION("""COMPUTED_VALUE"""),"MICROTIK")</f>
        <v>MICROTIK</v>
      </c>
      <c r="N183" s="490" t="str">
        <f>IFERROR(__xludf.DUMMYFUNCTION("""COMPUTED_VALUE"""),"bos_nq_usbc_4in1_black")</f>
        <v>bos_nq_usbc_4in1_black</v>
      </c>
      <c r="O183" s="490"/>
      <c r="P183" s="490" t="s">
        <v>1434</v>
      </c>
    </row>
    <row r="184">
      <c r="A184" s="490"/>
      <c r="B184" s="490"/>
      <c r="C184" s="490"/>
      <c r="D184" s="593" t="str">
        <f>IFERROR(__xludf.DUMMYFUNCTION("""COMPUTED_VALUE"""),"DIEHL")</f>
        <v>DIEHL</v>
      </c>
      <c r="E184" s="593" t="str">
        <f>IFERROR(__xludf.DUMMYFUNCTION("""COMPUTED_VALUE"""),"APC")</f>
        <v>APC</v>
      </c>
      <c r="F184" s="593" t="str">
        <f>IFERROR(__xludf.DUMMYFUNCTION("""COMPUTED_VALUE"""),"MGE GALAXY PW'")</f>
        <v>MGE GALAXY PW'</v>
      </c>
      <c r="G184" s="490"/>
      <c r="H184" s="490"/>
      <c r="I184" s="490"/>
      <c r="J184" s="594" t="str">
        <f>IFERROR(__xludf.DUMMYFUNCTION("""COMPUTED_VALUE"""),"HVSB")</f>
        <v>HVSB</v>
      </c>
      <c r="K184" s="588"/>
      <c r="L184" s="83"/>
      <c r="M184" s="490" t="str">
        <f>IFERROR(__xludf.DUMMYFUNCTION("""COMPUTED_VALUE"""),"MIST")</f>
        <v>MIST</v>
      </c>
      <c r="N184" s="490" t="str">
        <f>IFERROR(__xludf.DUMMYFUNCTION("""COMPUTED_VALUE"""),"bos_nqm_adfweb_adfwebhd67044")</f>
        <v>bos_nqm_adfweb_adfwebhd67044</v>
      </c>
      <c r="O184" s="490"/>
      <c r="P184" s="490" t="s">
        <v>1440</v>
      </c>
    </row>
    <row r="185">
      <c r="A185" s="490"/>
      <c r="B185" s="490"/>
      <c r="C185" s="490"/>
      <c r="D185" s="593" t="str">
        <f>IFERROR(__xludf.DUMMYFUNCTION("""COMPUTED_VALUE"""),"DIGI")</f>
        <v>DIGI</v>
      </c>
      <c r="E185" s="593" t="str">
        <f>IFERROR(__xludf.DUMMYFUNCTION("""COMPUTED_VALUE"""),"APC")</f>
        <v>APC</v>
      </c>
      <c r="F185" s="593" t="str">
        <f>IFERROR(__xludf.DUMMYFUNCTION("""COMPUTED_VALUE"""),"MGE GALAXY 3500")</f>
        <v>MGE GALAXY 3500</v>
      </c>
      <c r="G185" s="490"/>
      <c r="H185" s="490"/>
      <c r="I185" s="586"/>
      <c r="J185" s="594" t="str">
        <f>IFERROR(__xludf.DUMMYFUNCTION("""COMPUTED_VALUE"""),"HWC")</f>
        <v>HWC</v>
      </c>
      <c r="K185" s="594"/>
      <c r="L185" s="594"/>
      <c r="M185" s="586" t="str">
        <f>IFERROR(__xludf.DUMMYFUNCTION("""COMPUTED_VALUE"""),"MOFI")</f>
        <v>MOFI</v>
      </c>
      <c r="N185" s="586" t="str">
        <f>IFERROR(__xludf.DUMMYFUNCTION("""COMPUTED_VALUE"""),"bos_nqm_daikin_dcm601a51")</f>
        <v>bos_nqm_daikin_dcm601a51</v>
      </c>
      <c r="O185" s="586"/>
      <c r="P185" s="586" t="s">
        <v>1444</v>
      </c>
    </row>
    <row r="186">
      <c r="A186" s="490"/>
      <c r="B186" s="490"/>
      <c r="C186" s="490"/>
      <c r="D186" s="593" t="str">
        <f>IFERROR(__xludf.DUMMYFUNCTION("""COMPUTED_VALUE"""),"DIGI-CONNECT")</f>
        <v>DIGI-CONNECT</v>
      </c>
      <c r="E186" s="593" t="str">
        <f>IFERROR(__xludf.DUMMYFUNCTION("""COMPUTED_VALUE"""),"APC")</f>
        <v>APC</v>
      </c>
      <c r="F186" s="593" t="str">
        <f>IFERROR(__xludf.DUMMYFUNCTION("""COMPUTED_VALUE"""),"MGE GALAXY 3500")</f>
        <v>MGE GALAXY 3500</v>
      </c>
      <c r="G186" s="490"/>
      <c r="H186" s="490"/>
      <c r="I186" s="490"/>
      <c r="J186" s="588" t="str">
        <f>IFERROR(__xludf.DUMMYFUNCTION("""COMPUTED_VALUE"""),"HWP")</f>
        <v>HWP</v>
      </c>
      <c r="K186" s="588"/>
      <c r="L186" s="588"/>
      <c r="M186" s="490" t="str">
        <f>IFERROR(__xludf.DUMMYFUNCTION("""COMPUTED_VALUE"""),"MOTOROLA")</f>
        <v>MOTOROLA</v>
      </c>
      <c r="N186" s="490" t="str">
        <f>IFERROR(__xludf.DUMMYFUNCTION("""COMPUTED_VALUE"""),"bos_nq_encelium_enecug4p3d")</f>
        <v>bos_nq_encelium_enecug4p3d</v>
      </c>
      <c r="O186" s="490"/>
      <c r="P186" s="490" t="s">
        <v>1449</v>
      </c>
    </row>
    <row r="187">
      <c r="A187" s="490"/>
      <c r="B187" s="490"/>
      <c r="C187" s="490"/>
      <c r="D187" s="593" t="str">
        <f>IFERROR(__xludf.DUMMYFUNCTION("""COMPUTED_VALUE"""),"DIGISOL")</f>
        <v>DIGISOL</v>
      </c>
      <c r="E187" s="593" t="str">
        <f>IFERROR(__xludf.DUMMYFUNCTION("""COMPUTED_VALUE"""),"APC")</f>
        <v>APC</v>
      </c>
      <c r="F187" s="593" t="str">
        <f>IFERROR(__xludf.DUMMYFUNCTION("""COMPUTED_VALUE"""),"MGE GALAXY 3500")</f>
        <v>MGE GALAXY 3500</v>
      </c>
      <c r="G187" s="490"/>
      <c r="H187" s="490"/>
      <c r="I187" s="490"/>
      <c r="J187" s="594" t="str">
        <f>IFERROR(__xludf.DUMMYFUNCTION("""COMPUTED_VALUE"""),"HWV")</f>
        <v>HWV</v>
      </c>
      <c r="K187" s="588"/>
      <c r="L187" s="588"/>
      <c r="M187" s="490" t="str">
        <f>IFERROR(__xludf.DUMMYFUNCTION("""COMPUTED_VALUE"""),"MOTOROLA")</f>
        <v>MOTOROLA</v>
      </c>
      <c r="N187" s="490" t="str">
        <f>IFERROR(__xludf.DUMMYFUNCTION("""COMPUTED_VALUE"""),"bos_nqm_essystem_vertex")</f>
        <v>bos_nqm_essystem_vertex</v>
      </c>
      <c r="O187" s="490"/>
      <c r="P187" s="490" t="s">
        <v>1452</v>
      </c>
    </row>
    <row r="188">
      <c r="A188" s="490"/>
      <c r="B188" s="490"/>
      <c r="C188" s="490"/>
      <c r="D188" s="593" t="str">
        <f>IFERROR(__xludf.DUMMYFUNCTION("""COMPUTED_VALUE"""),"DINGTALK")</f>
        <v>DINGTALK</v>
      </c>
      <c r="E188" s="593" t="str">
        <f>IFERROR(__xludf.DUMMYFUNCTION("""COMPUTED_VALUE"""),"APC")</f>
        <v>APC</v>
      </c>
      <c r="F188" s="593" t="str">
        <f>IFERROR(__xludf.DUMMYFUNCTION("""COMPUTED_VALUE"""),"MGE GALAXY 5000")</f>
        <v>MGE GALAXY 5000</v>
      </c>
      <c r="G188" s="490"/>
      <c r="H188" s="490"/>
      <c r="I188" s="490"/>
      <c r="J188" s="594" t="str">
        <f>IFERROR(__xludf.DUMMYFUNCTION("""COMPUTED_VALUE"""),"HX")</f>
        <v>HX</v>
      </c>
      <c r="K188" s="588"/>
      <c r="L188" s="588"/>
      <c r="M188" s="490" t="str">
        <f>IFERROR(__xludf.DUMMYFUNCTION("""COMPUTED_VALUE"""),"MOTOROLA")</f>
        <v>MOTOROLA</v>
      </c>
      <c r="N188" s="490" t="str">
        <f>IFERROR(__xludf.DUMMYFUNCTION("""COMPUTED_VALUE"""),"bos_nqm_helvar_digidim910router")</f>
        <v>bos_nqm_helvar_digidim910router</v>
      </c>
      <c r="O188" s="490"/>
      <c r="P188" s="490" t="s">
        <v>1460</v>
      </c>
    </row>
    <row r="189">
      <c r="A189" s="490"/>
      <c r="B189" s="490"/>
      <c r="C189" s="490"/>
      <c r="D189" s="593" t="str">
        <f>IFERROR(__xludf.DUMMYFUNCTION("""COMPUTED_VALUE"""),"DISH NETWORKS")</f>
        <v>DISH NETWORKS</v>
      </c>
      <c r="E189" s="593" t="str">
        <f>IFERROR(__xludf.DUMMYFUNCTION("""COMPUTED_VALUE"""),"APC")</f>
        <v>APC</v>
      </c>
      <c r="F189" s="593" t="str">
        <f>IFERROR(__xludf.DUMMYFUNCTION("""COMPUTED_VALUE"""),"SYMMETRA LX")</f>
        <v>SYMMETRA LX</v>
      </c>
      <c r="G189" s="490"/>
      <c r="H189" s="490"/>
      <c r="I189" s="490"/>
      <c r="J189" s="588" t="str">
        <f>IFERROR(__xludf.DUMMYFUNCTION("""COMPUTED_VALUE"""),"HXP")</f>
        <v>HXP</v>
      </c>
      <c r="K189" s="588"/>
      <c r="L189" s="588"/>
      <c r="M189" s="490" t="str">
        <f>IFERROR(__xludf.DUMMYFUNCTION("""COMPUTED_VALUE"""),"MOTOROLA")</f>
        <v>MOTOROLA</v>
      </c>
      <c r="N189" s="490" t="str">
        <f>IFERROR(__xludf.DUMMYFUNCTION("""COMPUTED_VALUE"""),"bos_nqm_mitsubishi_ae200")</f>
        <v>bos_nqm_mitsubishi_ae200</v>
      </c>
      <c r="O189" s="490"/>
      <c r="P189" s="490" t="s">
        <v>1082</v>
      </c>
    </row>
    <row r="190">
      <c r="A190" s="490"/>
      <c r="B190" s="490"/>
      <c r="C190" s="490"/>
      <c r="D190" s="593" t="str">
        <f>IFERROR(__xludf.DUMMYFUNCTION("""COMPUTED_VALUE"""),"DISTECH")</f>
        <v>DISTECH</v>
      </c>
      <c r="E190" s="593" t="str">
        <f>IFERROR(__xludf.DUMMYFUNCTION("""COMPUTED_VALUE"""),"APC")</f>
        <v>APC</v>
      </c>
      <c r="F190" s="593" t="str">
        <f>IFERROR(__xludf.DUMMYFUNCTION("""COMPUTED_VALUE"""),"")</f>
        <v/>
      </c>
      <c r="G190" s="490"/>
      <c r="H190" s="490"/>
      <c r="I190" s="490"/>
      <c r="J190" s="588" t="str">
        <f>IFERROR(__xludf.DUMMYFUNCTION("""COMPUTED_VALUE"""),"HYAC")</f>
        <v>HYAC</v>
      </c>
      <c r="K190" s="588"/>
      <c r="L190" s="83"/>
      <c r="M190" s="490" t="str">
        <f>IFERROR(__xludf.DUMMYFUNCTION("""COMPUTED_VALUE"""),"MOXA")</f>
        <v>MOXA</v>
      </c>
      <c r="N190" s="490" t="str">
        <f>IFERROR(__xludf.DUMMYFUNCTION("""COMPUTED_VALUE"""),"bos_nqm_mitsubishi_ag150")</f>
        <v>bos_nqm_mitsubishi_ag150</v>
      </c>
      <c r="O190" s="490"/>
      <c r="P190" s="490" t="s">
        <v>1464</v>
      </c>
    </row>
    <row r="191">
      <c r="A191" s="490"/>
      <c r="B191" s="490"/>
      <c r="C191" s="490"/>
      <c r="D191" s="593" t="str">
        <f>IFERROR(__xludf.DUMMYFUNCTION("""COMPUTED_VALUE"""),"DISTECHC")</f>
        <v>DISTECHC</v>
      </c>
      <c r="E191" s="593" t="str">
        <f>IFERROR(__xludf.DUMMYFUNCTION("""COMPUTED_VALUE"""),"APC")</f>
        <v>APC</v>
      </c>
      <c r="F191" s="593" t="str">
        <f>IFERROR(__xludf.DUMMYFUNCTION("""COMPUTED_VALUE"""),"")</f>
        <v/>
      </c>
      <c r="G191" s="490"/>
      <c r="H191" s="490"/>
      <c r="I191" s="490"/>
      <c r="J191" s="594" t="str">
        <f>IFERROR(__xludf.DUMMYFUNCTION("""COMPUTED_VALUE"""),"ICD")</f>
        <v>ICD</v>
      </c>
      <c r="K191" s="588"/>
      <c r="L191" s="588"/>
      <c r="M191" s="490" t="str">
        <f>IFERROR(__xludf.DUMMYFUNCTION("""COMPUTED_VALUE"""),"MOXA")</f>
        <v>MOXA</v>
      </c>
      <c r="N191" s="490" t="str">
        <f>IFERROR(__xludf.DUMMYFUNCTION("""COMPUTED_VALUE"""),"bos_nqm_siemens_simatics71200")</f>
        <v>bos_nqm_siemens_simatics71200</v>
      </c>
      <c r="O191" s="490"/>
      <c r="P191" s="490" t="s">
        <v>1471</v>
      </c>
    </row>
    <row r="192">
      <c r="A192" s="490"/>
      <c r="B192" s="490"/>
      <c r="C192" s="490"/>
      <c r="D192" s="593" t="str">
        <f>IFERROR(__xludf.DUMMYFUNCTION("""COMPUTED_VALUE"""),"DIVERSEY")</f>
        <v>DIVERSEY</v>
      </c>
      <c r="E192" s="593" t="str">
        <f>IFERROR(__xludf.DUMMYFUNCTION("""COMPUTED_VALUE"""),"APC")</f>
        <v>APC</v>
      </c>
      <c r="F192" s="593" t="str">
        <f>IFERROR(__xludf.DUMMYFUNCTION("""COMPUTED_VALUE"""),"")</f>
        <v/>
      </c>
      <c r="G192" s="490"/>
      <c r="H192" s="490"/>
      <c r="I192" s="490"/>
      <c r="J192" s="588" t="str">
        <f>IFERROR(__xludf.DUMMYFUNCTION("""COMPUTED_VALUE"""),"IDF")</f>
        <v>IDF</v>
      </c>
      <c r="K192" s="588"/>
      <c r="L192" s="588"/>
      <c r="M192" s="490" t="str">
        <f>IFERROR(__xludf.DUMMYFUNCTION("""COMPUTED_VALUE"""),"MOXA")</f>
        <v>MOXA</v>
      </c>
      <c r="N192" s="490" t="str">
        <f>IFERROR(__xludf.DUMMYFUNCTION("""COMPUTED_VALUE"""),"bos_nqm_sunfull_bac2004")</f>
        <v>bos_nqm_sunfull_bac2004</v>
      </c>
      <c r="O192" s="490"/>
      <c r="P192" s="490" t="s">
        <v>1475</v>
      </c>
    </row>
    <row r="193">
      <c r="A193" s="490"/>
      <c r="B193" s="490"/>
      <c r="C193" s="490"/>
      <c r="D193" s="593" t="str">
        <f>IFERROR(__xludf.DUMMYFUNCTION("""COMPUTED_VALUE"""),"DIXELL")</f>
        <v>DIXELL</v>
      </c>
      <c r="E193" s="593" t="str">
        <f>IFERROR(__xludf.DUMMYFUNCTION("""COMPUTED_VALUE"""),"APC")</f>
        <v>APC</v>
      </c>
      <c r="F193" s="593" t="str">
        <f>IFERROR(__xludf.DUMMYFUNCTION("""COMPUTED_VALUE"""),"SYMMETRA PX160KW")</f>
        <v>SYMMETRA PX160KW</v>
      </c>
      <c r="G193" s="490"/>
      <c r="H193" s="490"/>
      <c r="I193" s="490"/>
      <c r="J193" s="594" t="str">
        <f>IFERROR(__xludf.DUMMYFUNCTION("""COMPUTED_VALUE"""),"IISD")</f>
        <v>IISD</v>
      </c>
      <c r="K193" s="588"/>
      <c r="L193" s="588"/>
      <c r="M193" s="490" t="str">
        <f>IFERROR(__xludf.DUMMYFUNCTION("""COMPUTED_VALUE"""),"MOXA")</f>
        <v>MOXA</v>
      </c>
      <c r="N193" s="490" t="str">
        <f>IFERROR(__xludf.DUMMYFUNCTION("""COMPUTED_VALUE"""),"bos_prolojik_gn100")</f>
        <v>bos_prolojik_gn100</v>
      </c>
      <c r="O193" s="490"/>
      <c r="P193" s="490" t="s">
        <v>1482</v>
      </c>
    </row>
    <row r="194">
      <c r="A194" s="490"/>
      <c r="B194" s="490"/>
      <c r="C194" s="490"/>
      <c r="D194" s="593" t="str">
        <f>IFERROR(__xludf.DUMMYFUNCTION("""COMPUTED_VALUE"""),"DLINK")</f>
        <v>DLINK</v>
      </c>
      <c r="E194" s="593" t="str">
        <f>IFERROR(__xludf.DUMMYFUNCTION("""COMPUTED_VALUE"""),"APC")</f>
        <v>APC</v>
      </c>
      <c r="F194" s="593" t="str">
        <f>IFERROR(__xludf.DUMMYFUNCTION("""COMPUTED_VALUE"""),"SMART-UPS RT 20000")</f>
        <v>SMART-UPS RT 20000</v>
      </c>
      <c r="G194" s="490"/>
      <c r="H194" s="490"/>
      <c r="I194" s="586"/>
      <c r="J194" s="594" t="str">
        <f>IFERROR(__xludf.DUMMYFUNCTION("""COMPUTED_VALUE"""),"IM")</f>
        <v>IM</v>
      </c>
      <c r="K194" s="594"/>
      <c r="L194" s="594"/>
      <c r="M194" s="586" t="str">
        <f>IFERROR(__xludf.DUMMYFUNCTION("""COMPUTED_VALUE"""),"MOXA")</f>
        <v>MOXA</v>
      </c>
      <c r="N194" s="586" t="str">
        <f>IFERROR(__xludf.DUMMYFUNCTION("""COMPUTED_VALUE"""),"bos_qualification_device")</f>
        <v>bos_qualification_device</v>
      </c>
      <c r="O194" s="586"/>
      <c r="P194" s="586" t="s">
        <v>1486</v>
      </c>
    </row>
    <row r="195">
      <c r="A195" s="490"/>
      <c r="B195" s="490"/>
      <c r="C195" s="490"/>
      <c r="D195" s="593" t="str">
        <f>IFERROR(__xludf.DUMMYFUNCTION("""COMPUTED_VALUE"""),"DRAGINO")</f>
        <v>DRAGINO</v>
      </c>
      <c r="E195" s="593" t="str">
        <f>IFERROR(__xludf.DUMMYFUNCTION("""COMPUTED_VALUE"""),"APC")</f>
        <v>APC</v>
      </c>
      <c r="F195" s="593" t="str">
        <f>IFERROR(__xludf.DUMMYFUNCTION("""COMPUTED_VALUE"""),"SMART UPS 1500")</f>
        <v>SMART UPS 1500</v>
      </c>
      <c r="G195" s="490"/>
      <c r="H195" s="490"/>
      <c r="I195" s="490"/>
      <c r="J195" s="597" t="str">
        <f>IFERROR(__xludf.DUMMYFUNCTION("""COMPUTED_VALUE"""),"IRRC")</f>
        <v>IRRC</v>
      </c>
      <c r="K195" s="588"/>
      <c r="L195" s="588"/>
      <c r="M195" s="490" t="str">
        <f>IFERROR(__xludf.DUMMYFUNCTION("""COMPUTED_VALUE"""),"MOXA")</f>
        <v>MOXA</v>
      </c>
      <c r="N195" s="490" t="str">
        <f>IFERROR(__xludf.DUMMYFUNCTION("""COMPUTED_VALUE"""),"bos_rationalag_icombipro")</f>
        <v>bos_rationalag_icombipro</v>
      </c>
      <c r="O195" s="490"/>
      <c r="P195" s="490" t="s">
        <v>1493</v>
      </c>
    </row>
    <row r="196">
      <c r="A196" s="490"/>
      <c r="B196" s="490"/>
      <c r="C196" s="490"/>
      <c r="D196" s="593" t="str">
        <f>IFERROR(__xludf.DUMMYFUNCTION("""COMPUTED_VALUE"""),"DRAPER")</f>
        <v>DRAPER</v>
      </c>
      <c r="E196" s="593" t="str">
        <f>IFERROR(__xludf.DUMMYFUNCTION("""COMPUTED_VALUE"""),"APC")</f>
        <v>APC</v>
      </c>
      <c r="F196" s="593" t="str">
        <f>IFERROR(__xludf.DUMMYFUNCTION("""COMPUTED_VALUE"""),"SMART UPS 3000")</f>
        <v>SMART UPS 3000</v>
      </c>
      <c r="G196" s="490"/>
      <c r="H196" s="490"/>
      <c r="I196" s="586"/>
      <c r="J196" s="588" t="str">
        <f>IFERROR(__xludf.DUMMYFUNCTION("""COMPUTED_VALUE"""),"ISV")</f>
        <v>ISV</v>
      </c>
      <c r="K196" s="594"/>
      <c r="L196" s="594"/>
      <c r="M196" s="586" t="str">
        <f>IFERROR(__xludf.DUMMYFUNCTION("""COMPUTED_VALUE"""),"MOXA")</f>
        <v>MOXA</v>
      </c>
      <c r="N196" s="586" t="str">
        <f>IFERROR(__xludf.DUMMYFUNCTION("""COMPUTED_VALUE"""),"bos_saintgobain_sagesensor")</f>
        <v>bos_saintgobain_sagesensor</v>
      </c>
      <c r="O196" s="586"/>
      <c r="P196" s="586" t="s">
        <v>1497</v>
      </c>
    </row>
    <row r="197">
      <c r="A197" s="490"/>
      <c r="B197" s="490"/>
      <c r="C197" s="490"/>
      <c r="D197" s="593" t="str">
        <f>IFERROR(__xludf.DUMMYFUNCTION("""COMPUTED_VALUE"""),"DRAYTEK")</f>
        <v>DRAYTEK</v>
      </c>
      <c r="E197" s="593" t="str">
        <f>IFERROR(__xludf.DUMMYFUNCTION("""COMPUTED_VALUE"""),"APC")</f>
        <v>APC</v>
      </c>
      <c r="F197" s="593" t="str">
        <f>IFERROR(__xludf.DUMMYFUNCTION("""COMPUTED_VALUE"""),"SMART UPS 3000 RM XL")</f>
        <v>SMART UPS 3000 RM XL</v>
      </c>
      <c r="G197" s="490"/>
      <c r="H197" s="490"/>
      <c r="I197" s="490"/>
      <c r="J197" s="594" t="str">
        <f>IFERROR(__xludf.DUMMYFUNCTION("""COMPUTED_VALUE"""),"ITDP")</f>
        <v>ITDP</v>
      </c>
      <c r="K197" s="588"/>
      <c r="L197" s="588"/>
      <c r="M197" s="490" t="str">
        <f>IFERROR(__xludf.DUMMYFUNCTION("""COMPUTED_VALUE"""),"MOXA")</f>
        <v>MOXA</v>
      </c>
      <c r="N197" s="490" t="str">
        <f>IFERROR(__xludf.DUMMYFUNCTION("""COMPUTED_VALUE"""),"bos_saintgobain_sagewindow")</f>
        <v>bos_saintgobain_sagewindow</v>
      </c>
      <c r="O197" s="490"/>
      <c r="P197" s="490" t="s">
        <v>1504</v>
      </c>
    </row>
    <row r="198">
      <c r="A198" s="490"/>
      <c r="B198" s="490"/>
      <c r="C198" s="490"/>
      <c r="D198" s="593" t="str">
        <f>IFERROR(__xludf.DUMMYFUNCTION("""COMPUTED_VALUE"""),"DRISTEEM")</f>
        <v>DRISTEEM</v>
      </c>
      <c r="E198" s="593" t="str">
        <f>IFERROR(__xludf.DUMMYFUNCTION("""COMPUTED_VALUE"""),"APC")</f>
        <v>APC</v>
      </c>
      <c r="F198" s="593" t="str">
        <f>IFERROR(__xludf.DUMMYFUNCTION("""COMPUTED_VALUE"""),"SMART UPS RT 10000")</f>
        <v>SMART UPS RT 10000</v>
      </c>
      <c r="G198" s="490"/>
      <c r="H198" s="490"/>
      <c r="I198" s="490"/>
      <c r="J198" s="588" t="str">
        <f>IFERROR(__xludf.DUMMYFUNCTION("""COMPUTED_VALUE"""),"IWH")</f>
        <v>IWH</v>
      </c>
      <c r="K198" s="588"/>
      <c r="L198" s="588"/>
      <c r="M198" s="490" t="str">
        <f>IFERROR(__xludf.DUMMYFUNCTION("""COMPUTED_VALUE"""),"MOXA")</f>
        <v>MOXA</v>
      </c>
      <c r="N198" s="490" t="str">
        <f>IFERROR(__xludf.DUMMYFUNCTION("""COMPUTED_VALUE"""),"bos_sauter_ecos504
bos_sauter_ecos505")</f>
        <v>bos_sauter_ecos504
bos_sauter_ecos505</v>
      </c>
      <c r="O198" s="490"/>
      <c r="P198" s="490" t="s">
        <v>1508</v>
      </c>
    </row>
    <row r="199">
      <c r="A199" s="490"/>
      <c r="B199" s="490"/>
      <c r="C199" s="490"/>
      <c r="D199" s="593" t="str">
        <f>IFERROR(__xludf.DUMMYFUNCTION("""COMPUTED_VALUE"""),"DWYER")</f>
        <v>DWYER</v>
      </c>
      <c r="E199" s="593" t="str">
        <f>IFERROR(__xludf.DUMMYFUNCTION("""COMPUTED_VALUE"""),"APC")</f>
        <v>APC</v>
      </c>
      <c r="F199" s="593" t="str">
        <f>IFERROR(__xludf.DUMMYFUNCTION("""COMPUTED_VALUE"""),"SMART UPS RT 5000")</f>
        <v>SMART UPS RT 5000</v>
      </c>
      <c r="G199" s="490"/>
      <c r="H199" s="490"/>
      <c r="I199" s="490"/>
      <c r="J199" s="588" t="str">
        <f>IFERROR(__xludf.DUMMYFUNCTION("""COMPUTED_VALUE"""),"LB")</f>
        <v>LB</v>
      </c>
      <c r="K199" s="588"/>
      <c r="L199" s="588"/>
      <c r="M199" s="490" t="str">
        <f>IFERROR(__xludf.DUMMYFUNCTION("""COMPUTED_VALUE"""),"MOXA")</f>
        <v>MOXA</v>
      </c>
      <c r="N199" s="490" t="str">
        <f>IFERROR(__xludf.DUMMYFUNCTION("""COMPUTED_VALUE"""),"bos_sauter_eygt485f099")</f>
        <v>bos_sauter_eygt485f099</v>
      </c>
      <c r="O199" s="490"/>
      <c r="P199" s="490" t="s">
        <v>1515</v>
      </c>
    </row>
    <row r="200">
      <c r="A200" s="490"/>
      <c r="B200" s="490"/>
      <c r="C200" s="490"/>
      <c r="D200" s="593" t="str">
        <f>IFERROR(__xludf.DUMMYFUNCTION("""COMPUTED_VALUE"""),"DYNALITE")</f>
        <v>DYNALITE</v>
      </c>
      <c r="E200" s="593" t="str">
        <f>IFERROR(__xludf.DUMMYFUNCTION("""COMPUTED_VALUE"""),"APC")</f>
        <v>APC</v>
      </c>
      <c r="F200" s="593" t="str">
        <f>IFERROR(__xludf.DUMMYFUNCTION("""COMPUTED_VALUE"""),"SMART-UPS VT")</f>
        <v>SMART-UPS VT</v>
      </c>
      <c r="G200" s="490"/>
      <c r="H200" s="490"/>
      <c r="I200" s="490"/>
      <c r="J200" s="588" t="str">
        <f>IFERROR(__xludf.DUMMYFUNCTION("""COMPUTED_VALUE"""),"LBCN")</f>
        <v>LBCN</v>
      </c>
      <c r="K200" s="588"/>
      <c r="L200" s="588"/>
      <c r="M200" s="490" t="str">
        <f>IFERROR(__xludf.DUMMYFUNCTION("""COMPUTED_VALUE"""),"MOXA")</f>
        <v>MOXA</v>
      </c>
      <c r="N200" s="490" t="str">
        <f>IFERROR(__xludf.DUMMYFUNCTION("""COMPUTED_VALUE"""),"bos_sauter_eygt")</f>
        <v>bos_sauter_eygt</v>
      </c>
      <c r="O200" s="490"/>
      <c r="P200" s="490" t="s">
        <v>1093</v>
      </c>
    </row>
    <row r="201">
      <c r="A201" s="490"/>
      <c r="B201" s="490"/>
      <c r="C201" s="490"/>
      <c r="D201" s="593" t="str">
        <f>IFERROR(__xludf.DUMMYFUNCTION("""COMPUTED_VALUE"""),"DYNASONICS")</f>
        <v>DYNASONICS</v>
      </c>
      <c r="E201" s="593" t="str">
        <f>IFERROR(__xludf.DUMMYFUNCTION("""COMPUTED_VALUE"""),"APC")</f>
        <v>APC</v>
      </c>
      <c r="F201" s="593" t="str">
        <f>IFERROR(__xludf.DUMMYFUNCTION("""COMPUTED_VALUE"""),"SMART UPS X3000")</f>
        <v>SMART UPS X3000</v>
      </c>
      <c r="G201" s="490"/>
      <c r="H201" s="490"/>
      <c r="I201" s="490"/>
      <c r="J201" s="597" t="str">
        <f>IFERROR(__xludf.DUMMYFUNCTION("""COMPUTED_VALUE"""),"LCKR")</f>
        <v>LCKR</v>
      </c>
      <c r="K201" s="588"/>
      <c r="L201" s="588"/>
      <c r="M201" s="490" t="str">
        <f>IFERROR(__xludf.DUMMYFUNCTION("""COMPUTED_VALUE"""),"MRV")</f>
        <v>MRV</v>
      </c>
      <c r="N201" s="490" t="str">
        <f>IFERROR(__xludf.DUMMYFUNCTION("""COMPUTED_VALUE"""),"bos_sauter_modu525")</f>
        <v>bos_sauter_modu525</v>
      </c>
      <c r="O201" s="490"/>
      <c r="P201" s="490" t="s">
        <v>1519</v>
      </c>
    </row>
    <row r="202">
      <c r="A202" s="490"/>
      <c r="B202" s="490"/>
      <c r="C202" s="490"/>
      <c r="D202" s="593" t="str">
        <f>IFERROR(__xludf.DUMMYFUNCTION("""COMPUTED_VALUE"""),"E CUE")</f>
        <v>E CUE</v>
      </c>
      <c r="E202" s="593" t="str">
        <f>IFERROR(__xludf.DUMMYFUNCTION("""COMPUTED_VALUE"""),"APC")</f>
        <v>APC</v>
      </c>
      <c r="F202" s="593" t="str">
        <f>IFERROR(__xludf.DUMMYFUNCTION("""COMPUTED_VALUE"""),"")</f>
        <v/>
      </c>
      <c r="G202" s="490"/>
      <c r="H202" s="490"/>
      <c r="I202" s="490"/>
      <c r="J202" s="588" t="str">
        <f>IFERROR(__xludf.DUMMYFUNCTION("""COMPUTED_VALUE"""),"LCM")</f>
        <v>LCM</v>
      </c>
      <c r="K202" s="588"/>
      <c r="L202" s="588"/>
      <c r="M202" s="490" t="str">
        <f>IFERROR(__xludf.DUMMYFUNCTION("""COMPUTED_VALUE"""),"N-TRON")</f>
        <v>N-TRON</v>
      </c>
      <c r="N202" s="490" t="str">
        <f>IFERROR(__xludf.DUMMYFUNCTION("""COMPUTED_VALUE"""),"bos_schneider_ap9547")</f>
        <v>bos_schneider_ap9547</v>
      </c>
      <c r="O202" s="490"/>
      <c r="P202" s="490" t="s">
        <v>1526</v>
      </c>
    </row>
    <row r="203">
      <c r="A203" s="490"/>
      <c r="B203" s="490"/>
      <c r="C203" s="490"/>
      <c r="D203" s="593" t="str">
        <f>IFERROR(__xludf.DUMMYFUNCTION("""COMPUTED_VALUE"""),"EAP ELECTRIC")</f>
        <v>EAP ELECTRIC</v>
      </c>
      <c r="E203" s="593" t="str">
        <f>IFERROR(__xludf.DUMMYFUNCTION("""COMPUTED_VALUE"""),"APC")</f>
        <v>APC</v>
      </c>
      <c r="F203" s="593" t="str">
        <f>IFERROR(__xludf.DUMMYFUNCTION("""COMPUTED_VALUE"""),"SMART-UPS RT 20000")</f>
        <v>SMART-UPS RT 20000</v>
      </c>
      <c r="G203" s="490"/>
      <c r="H203" s="490"/>
      <c r="I203" s="490"/>
      <c r="J203" s="588" t="str">
        <f>IFERROR(__xludf.DUMMYFUNCTION("""COMPUTED_VALUE"""),"LCP")</f>
        <v>LCP</v>
      </c>
      <c r="K203" s="588"/>
      <c r="L203" s="588"/>
      <c r="M203" s="490" t="str">
        <f>IFERROR(__xludf.DUMMYFUNCTION("""COMPUTED_VALUE"""),"N-TRON")</f>
        <v>N-TRON</v>
      </c>
      <c r="N203" s="490" t="str">
        <f>IFERROR(__xludf.DUMMYFUNCTION("""COMPUTED_VALUE"""),"bos_schneider_ap9643")</f>
        <v>bos_schneider_ap9643</v>
      </c>
      <c r="O203" s="490"/>
      <c r="P203" s="490" t="s">
        <v>1530</v>
      </c>
    </row>
    <row r="204">
      <c r="A204" s="490"/>
      <c r="B204" s="490"/>
      <c r="C204" s="490"/>
      <c r="D204" s="593" t="str">
        <f>IFERROR(__xludf.DUMMYFUNCTION("""COMPUTED_VALUE"""),"EASTRON")</f>
        <v>EASTRON</v>
      </c>
      <c r="E204" s="593" t="str">
        <f>IFERROR(__xludf.DUMMYFUNCTION("""COMPUTED_VALUE"""),"APC")</f>
        <v>APC</v>
      </c>
      <c r="F204" s="593" t="str">
        <f>IFERROR(__xludf.DUMMYFUNCTION("""COMPUTED_VALUE"""),"SMART-UPS VT")</f>
        <v>SMART-UPS VT</v>
      </c>
      <c r="G204" s="490"/>
      <c r="H204" s="490"/>
      <c r="I204" s="490"/>
      <c r="J204" s="588" t="str">
        <f>IFERROR(__xludf.DUMMYFUNCTION("""COMPUTED_VALUE"""),"LCV")</f>
        <v>LCV</v>
      </c>
      <c r="K204" s="588"/>
      <c r="L204" s="588"/>
      <c r="M204" s="490" t="str">
        <f>IFERROR(__xludf.DUMMYFUNCTION("""COMPUTED_VALUE"""),"N-TRON")</f>
        <v>N-TRON</v>
      </c>
      <c r="N204" s="490" t="str">
        <f>IFERROR(__xludf.DUMMYFUNCTION("""COMPUTED_VALUE"""),"bos_schneider_ap9644")</f>
        <v>bos_schneider_ap9644</v>
      </c>
      <c r="O204" s="490"/>
      <c r="P204" s="490" t="s">
        <v>1535</v>
      </c>
    </row>
    <row r="205">
      <c r="A205" s="490"/>
      <c r="B205" s="490"/>
      <c r="C205" s="490"/>
      <c r="D205" s="593" t="str">
        <f>IFERROR(__xludf.DUMMYFUNCTION("""COMPUTED_VALUE"""),"EASYIO")</f>
        <v>EASYIO</v>
      </c>
      <c r="E205" s="593" t="str">
        <f>IFERROR(__xludf.DUMMYFUNCTION("""COMPUTED_VALUE"""),"APC")</f>
        <v>APC</v>
      </c>
      <c r="F205" s="593" t="str">
        <f>IFERROR(__xludf.DUMMYFUNCTION("""COMPUTED_VALUE"""),"SMART-UPS VT 30 KVA")</f>
        <v>SMART-UPS VT 30 KVA</v>
      </c>
      <c r="G205" s="490"/>
      <c r="H205" s="490"/>
      <c r="I205" s="490"/>
      <c r="J205" s="588" t="str">
        <f>IFERROR(__xludf.DUMMYFUNCTION("""COMPUTED_VALUE"""),"LDP")</f>
        <v>LDP</v>
      </c>
      <c r="K205" s="588"/>
      <c r="L205" s="588"/>
      <c r="M205" s="490" t="str">
        <f>IFERROR(__xludf.DUMMYFUNCTION("""COMPUTED_VALUE"""),"NEC")</f>
        <v>NEC</v>
      </c>
      <c r="N205" s="490" t="str">
        <f>IFERROR(__xludf.DUMMYFUNCTION("""COMPUTED_VALUE"""),"bos_schneider_asb")</f>
        <v>bos_schneider_asb</v>
      </c>
      <c r="O205" s="490"/>
      <c r="P205" s="490" t="s">
        <v>1540</v>
      </c>
    </row>
    <row r="206">
      <c r="A206" s="490"/>
      <c r="B206" s="490"/>
      <c r="C206" s="490"/>
      <c r="D206" s="593" t="str">
        <f>IFERROR(__xludf.DUMMYFUNCTION("""COMPUTED_VALUE"""),"EATON")</f>
        <v>EATON</v>
      </c>
      <c r="E206" s="593" t="str">
        <f>IFERROR(__xludf.DUMMYFUNCTION("""COMPUTED_VALUE"""),"APC")</f>
        <v>APC</v>
      </c>
      <c r="F206" s="593" t="str">
        <f>IFERROR(__xludf.DUMMYFUNCTION("""COMPUTED_VALUE"""),"SMMTRA 160K")</f>
        <v>SMMTRA 160K</v>
      </c>
      <c r="G206" s="490"/>
      <c r="H206" s="490"/>
      <c r="I206" s="490"/>
      <c r="J206" s="588" t="str">
        <f>IFERROR(__xludf.DUMMYFUNCTION("""COMPUTED_VALUE"""),"LDS")</f>
        <v>LDS</v>
      </c>
      <c r="K206" s="588"/>
      <c r="L206" s="588"/>
      <c r="M206" s="490" t="str">
        <f>IFERROR(__xludf.DUMMYFUNCTION("""COMPUTED_VALUE"""),"NELCO")</f>
        <v>NELCO</v>
      </c>
      <c r="N206" s="490" t="str">
        <f>IFERROR(__xludf.DUMMYFUNCTION("""COMPUTED_VALUE"""),"bos_schneider_asp")</f>
        <v>bos_schneider_asp</v>
      </c>
      <c r="O206" s="490"/>
      <c r="P206" s="490" t="s">
        <v>1545</v>
      </c>
    </row>
    <row r="207">
      <c r="A207" s="490"/>
      <c r="B207" s="490"/>
      <c r="C207" s="490"/>
      <c r="D207" s="593" t="str">
        <f>IFERROR(__xludf.DUMMYFUNCTION("""COMPUTED_VALUE"""),"EBM-PAPST")</f>
        <v>EBM-PAPST</v>
      </c>
      <c r="E207" s="593" t="str">
        <f>IFERROR(__xludf.DUMMYFUNCTION("""COMPUTED_VALUE"""),"APC")</f>
        <v>APC</v>
      </c>
      <c r="F207" s="593" t="str">
        <f>IFERROR(__xludf.DUMMYFUNCTION("""COMPUTED_VALUE"""),"SMR3000RM2UTW")</f>
        <v>SMR3000RM2UTW</v>
      </c>
      <c r="G207" s="490"/>
      <c r="H207" s="490"/>
      <c r="I207" s="490"/>
      <c r="J207" s="588" t="str">
        <f>IFERROR(__xludf.DUMMYFUNCTION("""COMPUTED_VALUE"""),"LER")</f>
        <v>LER</v>
      </c>
      <c r="K207" s="588"/>
      <c r="L207" s="588"/>
      <c r="M207" s="490" t="str">
        <f>IFERROR(__xludf.DUMMYFUNCTION("""COMPUTED_VALUE"""),"NETGEAR")</f>
        <v>NETGEAR</v>
      </c>
      <c r="N207" s="490" t="str">
        <f>IFERROR(__xludf.DUMMYFUNCTION("""COMPUTED_VALUE"""),"bos_schneider_pm8000")</f>
        <v>bos_schneider_pm8000</v>
      </c>
      <c r="O207" s="490"/>
      <c r="P207" s="490" t="s">
        <v>1550</v>
      </c>
    </row>
    <row r="208">
      <c r="A208" s="490"/>
      <c r="B208" s="490"/>
      <c r="C208" s="490"/>
      <c r="D208" s="593" t="str">
        <f>IFERROR(__xludf.DUMMYFUNCTION("""COMPUTED_VALUE"""),"ECOLAB")</f>
        <v>ECOLAB</v>
      </c>
      <c r="E208" s="593" t="str">
        <f>IFERROR(__xludf.DUMMYFUNCTION("""COMPUTED_VALUE"""),"APC")</f>
        <v>APC</v>
      </c>
      <c r="F208" s="593" t="str">
        <f>IFERROR(__xludf.DUMMYFUNCTION("""COMPUTED_VALUE"""),"SMX3000RMLV2UNC")</f>
        <v>SMX3000RMLV2UNC</v>
      </c>
      <c r="G208" s="490"/>
      <c r="H208" s="490"/>
      <c r="I208" s="586"/>
      <c r="J208" s="594" t="str">
        <f>IFERROR(__xludf.DUMMYFUNCTION("""COMPUTED_VALUE"""),"LKP")</f>
        <v>LKP</v>
      </c>
      <c r="K208" s="594"/>
      <c r="L208" s="594"/>
      <c r="M208" s="586" t="str">
        <f>IFERROR(__xludf.DUMMYFUNCTION("""COMPUTED_VALUE"""),"NETGEAR")</f>
        <v>NETGEAR</v>
      </c>
      <c r="N208" s="586" t="str">
        <f>IFERROR(__xludf.DUMMYFUNCTION("""COMPUTED_VALUE"""),"bos_schneider_spacelynk")</f>
        <v>bos_schneider_spacelynk</v>
      </c>
      <c r="O208" s="586"/>
      <c r="P208" s="586" t="s">
        <v>1554</v>
      </c>
    </row>
    <row r="209">
      <c r="A209" s="490"/>
      <c r="B209" s="490"/>
      <c r="C209" s="490"/>
      <c r="D209" s="593" t="str">
        <f>IFERROR(__xludf.DUMMYFUNCTION("""COMPUTED_VALUE"""),"EDINA")</f>
        <v>EDINA</v>
      </c>
      <c r="E209" s="593" t="str">
        <f>IFERROR(__xludf.DUMMYFUNCTION("""COMPUTED_VALUE"""),"APC")</f>
        <v>APC</v>
      </c>
      <c r="F209" s="593" t="str">
        <f>IFERROR(__xludf.DUMMYFUNCTION("""COMPUTED_VALUE"""),"SRT3000RMXLI")</f>
        <v>SRT3000RMXLI</v>
      </c>
      <c r="G209" s="490"/>
      <c r="H209" s="490"/>
      <c r="I209" s="490"/>
      <c r="J209" s="588" t="str">
        <f>IFERROR(__xludf.DUMMYFUNCTION("""COMPUTED_VALUE"""),"LMS")</f>
        <v>LMS</v>
      </c>
      <c r="K209" s="588"/>
      <c r="L209" s="588"/>
      <c r="M209" s="490" t="str">
        <f>IFERROR(__xludf.DUMMYFUNCTION("""COMPUTED_VALUE"""),"NETGEAR")</f>
        <v>NETGEAR</v>
      </c>
      <c r="N209" s="490" t="str">
        <f>IFERROR(__xludf.DUMMYFUNCTION("""COMPUTED_VALUE"""),"bos_siemens_pxc4")</f>
        <v>bos_siemens_pxc4</v>
      </c>
      <c r="O209" s="490"/>
      <c r="P209" s="490" t="s">
        <v>1559</v>
      </c>
    </row>
    <row r="210">
      <c r="A210" s="490"/>
      <c r="B210" s="490"/>
      <c r="C210" s="490"/>
      <c r="D210" s="593" t="str">
        <f>IFERROR(__xludf.DUMMYFUNCTION("""COMPUTED_VALUE"""),"EDPAC")</f>
        <v>EDPAC</v>
      </c>
      <c r="E210" s="593" t="str">
        <f>IFERROR(__xludf.DUMMYFUNCTION("""COMPUTED_VALUE"""),"APC")</f>
        <v>APC</v>
      </c>
      <c r="F210" s="593" t="str">
        <f>IFERROR(__xludf.DUMMYFUNCTION("""COMPUTED_VALUE"""),"SRT3000RMXLT")</f>
        <v>SRT3000RMXLT</v>
      </c>
      <c r="G210" s="490"/>
      <c r="H210" s="490"/>
      <c r="I210" s="490"/>
      <c r="J210" s="588" t="str">
        <f>IFERROR(__xludf.DUMMYFUNCTION("""COMPUTED_VALUE"""),"LPS")</f>
        <v>LPS</v>
      </c>
      <c r="K210" s="588"/>
      <c r="L210" s="588"/>
      <c r="M210" s="490" t="str">
        <f>IFERROR(__xludf.DUMMYFUNCTION("""COMPUTED_VALUE"""),"NETGEAR")</f>
        <v>NETGEAR</v>
      </c>
      <c r="N210" s="490" t="str">
        <f>IFERROR(__xludf.DUMMYFUNCTION("""COMPUTED_VALUE"""),"bos_siemens_pxc5")</f>
        <v>bos_siemens_pxc5</v>
      </c>
      <c r="O210" s="490"/>
      <c r="P210" s="490" t="s">
        <v>1563</v>
      </c>
    </row>
    <row r="211">
      <c r="A211" s="490"/>
      <c r="B211" s="490"/>
      <c r="C211" s="490"/>
      <c r="D211" s="593" t="str">
        <f>IFERROR(__xludf.DUMMYFUNCTION("""COMPUTED_VALUE"""),"EDWARDS (UTC)")</f>
        <v>EDWARDS (UTC)</v>
      </c>
      <c r="E211" s="593" t="str">
        <f>IFERROR(__xludf.DUMMYFUNCTION("""COMPUTED_VALUE"""),"APC")</f>
        <v>APC</v>
      </c>
      <c r="F211" s="593" t="str">
        <f>IFERROR(__xludf.DUMMYFUNCTION("""COMPUTED_VALUE"""),"SRT6KRMXLI")</f>
        <v>SRT6KRMXLI</v>
      </c>
      <c r="G211" s="490"/>
      <c r="H211" s="490"/>
      <c r="I211" s="490"/>
      <c r="J211" s="588" t="str">
        <f>IFERROR(__xludf.DUMMYFUNCTION("""COMPUTED_VALUE"""),"LT")</f>
        <v>LT</v>
      </c>
      <c r="K211" s="588"/>
      <c r="L211" s="588"/>
      <c r="M211" s="490" t="str">
        <f>IFERROR(__xludf.DUMMYFUNCTION("""COMPUTED_VALUE"""),"NETGEAR")</f>
        <v>NETGEAR</v>
      </c>
      <c r="N211" s="490" t="str">
        <f>IFERROR(__xludf.DUMMYFUNCTION("""COMPUTED_VALUE"""),"bos_signify_pddegs")</f>
        <v>bos_signify_pddegs</v>
      </c>
      <c r="O211" s="490"/>
      <c r="P211" s="490" t="s">
        <v>1113</v>
      </c>
    </row>
    <row r="212">
      <c r="A212" s="490"/>
      <c r="B212" s="490"/>
      <c r="C212" s="490"/>
      <c r="D212" s="593" t="str">
        <f>IFERROR(__xludf.DUMMYFUNCTION("""COMPUTED_VALUE"""),"EEMAX")</f>
        <v>EEMAX</v>
      </c>
      <c r="E212" s="593" t="str">
        <f>IFERROR(__xludf.DUMMYFUNCTION("""COMPUTED_VALUE"""),"APC")</f>
        <v>APC</v>
      </c>
      <c r="F212" s="593" t="str">
        <f>IFERROR(__xludf.DUMMYFUNCTION("""COMPUTED_VALUE"""),"SRT8KXLI")</f>
        <v>SRT8KXLI</v>
      </c>
      <c r="G212" s="490"/>
      <c r="H212" s="490"/>
      <c r="I212" s="490"/>
      <c r="J212" s="588" t="str">
        <f>IFERROR(__xludf.DUMMYFUNCTION("""COMPUTED_VALUE"""),"LTCDWP")</f>
        <v>LTCDWP</v>
      </c>
      <c r="K212" s="588"/>
      <c r="L212" s="588"/>
      <c r="M212" s="490" t="str">
        <f>IFERROR(__xludf.DUMMYFUNCTION("""COMPUTED_VALUE"""),"NETGEAR")</f>
        <v>NETGEAR</v>
      </c>
      <c r="N212" s="490" t="str">
        <f>IFERROR(__xludf.DUMMYFUNCTION("""COMPUTED_VALUE"""),"bos_socomec_netvision7")</f>
        <v>bos_socomec_netvision7</v>
      </c>
      <c r="O212" s="490"/>
      <c r="P212" s="490" t="s">
        <v>1568</v>
      </c>
    </row>
    <row r="213">
      <c r="A213" s="490"/>
      <c r="B213" s="490"/>
      <c r="C213" s="490"/>
      <c r="D213" s="593" t="str">
        <f>IFERROR(__xludf.DUMMYFUNCTION("""COMPUTED_VALUE"""),"EGRO")</f>
        <v>EGRO</v>
      </c>
      <c r="E213" s="593" t="str">
        <f>IFERROR(__xludf.DUMMYFUNCTION("""COMPUTED_VALUE"""),"APC")</f>
        <v>APC</v>
      </c>
      <c r="F213" s="593" t="str">
        <f>IFERROR(__xludf.DUMMYFUNCTION("""COMPUTED_VALUE"""),"SURT20KUXI-IN")</f>
        <v>SURT20KUXI-IN</v>
      </c>
      <c r="G213" s="490"/>
      <c r="H213" s="490"/>
      <c r="I213" s="490"/>
      <c r="J213" s="594" t="str">
        <f>IFERROR(__xludf.DUMMYFUNCTION("""COMPUTED_VALUE"""),"LTCH")</f>
        <v>LTCH</v>
      </c>
      <c r="K213" s="588"/>
      <c r="L213" s="588"/>
      <c r="M213" s="490" t="str">
        <f>IFERROR(__xludf.DUMMYFUNCTION("""COMPUTED_VALUE"""),"NETGEAR")</f>
        <v>NETGEAR</v>
      </c>
      <c r="N213" s="490" t="str">
        <f>IFERROR(__xludf.DUMMYFUNCTION("""COMPUTED_VALUE"""),"bos_srv_hp_z2mini")</f>
        <v>bos_srv_hp_z2mini</v>
      </c>
      <c r="O213" s="490"/>
      <c r="P213" s="490" t="s">
        <v>1573</v>
      </c>
    </row>
    <row r="214">
      <c r="A214" s="490"/>
      <c r="B214" s="490"/>
      <c r="C214" s="490"/>
      <c r="D214" s="593" t="str">
        <f>IFERROR(__xludf.DUMMYFUNCTION("""COMPUTED_VALUE"""),"EIJSINK")</f>
        <v>EIJSINK</v>
      </c>
      <c r="E214" s="593" t="str">
        <f>IFERROR(__xludf.DUMMYFUNCTION("""COMPUTED_VALUE"""),"APC")</f>
        <v>APC</v>
      </c>
      <c r="F214" s="593" t="str">
        <f>IFERROR(__xludf.DUMMYFUNCTION("""COMPUTED_VALUE"""),"SURT8000XL1")</f>
        <v>SURT8000XL1</v>
      </c>
      <c r="G214" s="490"/>
      <c r="H214" s="490"/>
      <c r="I214" s="490"/>
      <c r="J214" s="594" t="str">
        <f>IFERROR(__xludf.DUMMYFUNCTION("""COMPUTED_VALUE"""),"LTCHWP")</f>
        <v>LTCHWP</v>
      </c>
      <c r="K214" s="588"/>
      <c r="L214" s="588"/>
      <c r="M214" s="490" t="str">
        <f>IFERROR(__xludf.DUMMYFUNCTION("""COMPUTED_VALUE"""),"NETGEAR")</f>
        <v>NETGEAR</v>
      </c>
      <c r="N214" s="490" t="str">
        <f>IFERROR(__xludf.DUMMYFUNCTION("""COMPUTED_VALUE"""),"bos_srv_hp_z2minig9")</f>
        <v>bos_srv_hp_z2minig9</v>
      </c>
      <c r="O214" s="490"/>
      <c r="P214" s="490" t="s">
        <v>1580</v>
      </c>
    </row>
    <row r="215">
      <c r="A215" s="490"/>
      <c r="B215" s="490"/>
      <c r="C215" s="490"/>
      <c r="D215" s="593" t="str">
        <f>IFERROR(__xludf.DUMMYFUNCTION("""COMPUTED_VALUE"""),"EIRCOM")</f>
        <v>EIRCOM</v>
      </c>
      <c r="E215" s="593" t="str">
        <f>IFERROR(__xludf.DUMMYFUNCTION("""COMPUTED_VALUE"""),"APC")</f>
        <v>APC</v>
      </c>
      <c r="F215" s="593" t="str">
        <f>IFERROR(__xludf.DUMMYFUNCTION("""COMPUTED_VALUE"""),"SURT8000XL1")</f>
        <v>SURT8000XL1</v>
      </c>
      <c r="G215" s="490"/>
      <c r="H215" s="490"/>
      <c r="I215" s="490"/>
      <c r="J215" s="594" t="str">
        <f>IFERROR(__xludf.DUMMYFUNCTION("""COMPUTED_VALUE"""),"LTGW")</f>
        <v>LTGW</v>
      </c>
      <c r="K215" s="588"/>
      <c r="L215" s="588"/>
      <c r="M215" s="490" t="str">
        <f>IFERROR(__xludf.DUMMYFUNCTION("""COMPUTED_VALUE"""),"NETGEAR")</f>
        <v>NETGEAR</v>
      </c>
      <c r="N215" s="490" t="str">
        <f>IFERROR(__xludf.DUMMYFUNCTION("""COMPUTED_VALUE"""),"bos_srv_lenovo_p620")</f>
        <v>bos_srv_lenovo_p620</v>
      </c>
      <c r="O215" s="490"/>
      <c r="P215" s="490" t="s">
        <v>1585</v>
      </c>
    </row>
    <row r="216">
      <c r="A216" s="490"/>
      <c r="B216" s="490"/>
      <c r="C216" s="490"/>
      <c r="D216" s="593" t="str">
        <f>IFERROR(__xludf.DUMMYFUNCTION("""COMPUTED_VALUE"""),"EL-PIAST")</f>
        <v>EL-PIAST</v>
      </c>
      <c r="E216" s="593" t="str">
        <f>IFERROR(__xludf.DUMMYFUNCTION("""COMPUTED_VALUE"""),"APC")</f>
        <v>APC</v>
      </c>
      <c r="F216" s="593" t="str">
        <f>IFERROR(__xludf.DUMMYFUNCTION("""COMPUTED_VALUE"""),"SURTA3000RMXL3U")</f>
        <v>SURTA3000RMXL3U</v>
      </c>
      <c r="G216" s="490"/>
      <c r="H216" s="490"/>
      <c r="I216" s="490"/>
      <c r="J216" s="594" t="str">
        <f>IFERROR(__xludf.DUMMYFUNCTION("""COMPUTED_VALUE"""),"LTHWP")</f>
        <v>LTHWP</v>
      </c>
      <c r="K216" s="588"/>
      <c r="L216" s="588"/>
      <c r="M216" s="490" t="str">
        <f>IFERROR(__xludf.DUMMYFUNCTION("""COMPUTED_VALUE"""),"NETGEAR")</f>
        <v>NETGEAR</v>
      </c>
      <c r="N216" s="490" t="str">
        <f>IFERROR(__xludf.DUMMYFUNCTION("""COMPUTED_VALUE"""),"bos_srv_lenovo_thinkstationp520c")</f>
        <v>bos_srv_lenovo_thinkstationp520c</v>
      </c>
      <c r="O216" s="490"/>
      <c r="P216" s="490" t="s">
        <v>1589</v>
      </c>
    </row>
    <row r="217">
      <c r="A217" s="490"/>
      <c r="B217" s="490"/>
      <c r="C217" s="490"/>
      <c r="D217" s="593" t="str">
        <f>IFERROR(__xludf.DUMMYFUNCTION("""COMPUTED_VALUE"""),"ELECOM")</f>
        <v>ELECOM</v>
      </c>
      <c r="E217" s="593" t="str">
        <f>IFERROR(__xludf.DUMMYFUNCTION("""COMPUTED_VALUE"""),"APC")</f>
        <v>APC</v>
      </c>
      <c r="F217" s="593" t="str">
        <f>IFERROR(__xludf.DUMMYFUNCTION("""COMPUTED_VALUE"""),"SUVTP30KH4B4S")</f>
        <v>SUVTP30KH4B4S</v>
      </c>
      <c r="G217" s="490"/>
      <c r="H217" s="490"/>
      <c r="I217" s="490"/>
      <c r="J217" s="588" t="str">
        <f>IFERROR(__xludf.DUMMYFUNCTION("""COMPUTED_VALUE"""),"LTMTS")</f>
        <v>LTMTS</v>
      </c>
      <c r="K217" s="588"/>
      <c r="L217" s="588"/>
      <c r="M217" s="490" t="str">
        <f>IFERROR(__xludf.DUMMYFUNCTION("""COMPUTED_VALUE"""),"NETGEAR")</f>
        <v>NETGEAR</v>
      </c>
      <c r="N217" s="490" t="str">
        <f>IFERROR(__xludf.DUMMYFUNCTION("""COMPUTED_VALUE"""),"bos_srv_r240")</f>
        <v>bos_srv_r240</v>
      </c>
      <c r="O217" s="490"/>
      <c r="P217" s="490" t="s">
        <v>1594</v>
      </c>
    </row>
    <row r="218">
      <c r="A218" s="490"/>
      <c r="B218" s="490"/>
      <c r="C218" s="490"/>
      <c r="D218" s="593" t="str">
        <f>IFERROR(__xludf.DUMMYFUNCTION("""COMPUTED_VALUE"""),"ELITE GROUP")</f>
        <v>ELITE GROUP</v>
      </c>
      <c r="E218" s="593" t="str">
        <f>IFERROR(__xludf.DUMMYFUNCTION("""COMPUTED_VALUE"""),"APC")</f>
        <v>APC</v>
      </c>
      <c r="F218" s="593" t="str">
        <f>IFERROR(__xludf.DUMMYFUNCTION("""COMPUTED_VALUE"""),"SUVTPF10KB4H")</f>
        <v>SUVTPF10KB4H</v>
      </c>
      <c r="G218" s="490"/>
      <c r="H218" s="490"/>
      <c r="I218" s="586"/>
      <c r="J218" s="594" t="str">
        <f>IFERROR(__xludf.DUMMYFUNCTION("""COMPUTED_VALUE"""),"LVCPB")</f>
        <v>LVCPB</v>
      </c>
      <c r="K218" s="594"/>
      <c r="L218" s="594"/>
      <c r="M218" s="586" t="str">
        <f>IFERROR(__xludf.DUMMYFUNCTION("""COMPUTED_VALUE"""),"NETGEAR")</f>
        <v>NETGEAR</v>
      </c>
      <c r="N218" s="586" t="str">
        <f>IFERROR(__xludf.DUMMYFUNCTION("""COMPUTED_VALUE"""),"bos_srv_r340")</f>
        <v>bos_srv_r340</v>
      </c>
      <c r="O218" s="586"/>
      <c r="P218" s="586" t="s">
        <v>1598</v>
      </c>
    </row>
    <row r="219">
      <c r="A219" s="490"/>
      <c r="B219" s="490"/>
      <c r="C219" s="490"/>
      <c r="D219" s="593" t="str">
        <f>IFERROR(__xludf.DUMMYFUNCTION("""COMPUTED_VALUE"""),"ELKAY")</f>
        <v>ELKAY</v>
      </c>
      <c r="E219" s="593" t="str">
        <f>IFERROR(__xludf.DUMMYFUNCTION("""COMPUTED_VALUE"""),"APC")</f>
        <v>APC</v>
      </c>
      <c r="F219" s="593" t="str">
        <f>IFERROR(__xludf.DUMMYFUNCTION("""COMPUTED_VALUE"""),"SUVTPF20KB4H")</f>
        <v>SUVTPF20KB4H</v>
      </c>
      <c r="G219" s="490"/>
      <c r="H219" s="490"/>
      <c r="I219" s="586"/>
      <c r="J219" s="588" t="str">
        <f>IFERROR(__xludf.DUMMYFUNCTION("""COMPUTED_VALUE"""),"LVDP")</f>
        <v>LVDP</v>
      </c>
      <c r="K219" s="594"/>
      <c r="L219" s="594"/>
      <c r="M219" s="586" t="str">
        <f>IFERROR(__xludf.DUMMYFUNCTION("""COMPUTED_VALUE"""),"NETGEAR")</f>
        <v>NETGEAR</v>
      </c>
      <c r="N219" s="586" t="str">
        <f>IFERROR(__xludf.DUMMYFUNCTION("""COMPUTED_VALUE"""),"bos_steinel_hpd2ip")</f>
        <v>bos_steinel_hpd2ip</v>
      </c>
      <c r="O219" s="586"/>
      <c r="P219" s="586" t="s">
        <v>1603</v>
      </c>
    </row>
    <row r="220">
      <c r="A220" s="490"/>
      <c r="B220" s="490"/>
      <c r="C220" s="490"/>
      <c r="D220" s="593" t="str">
        <f>IFERROR(__xludf.DUMMYFUNCTION("""COMPUTED_VALUE"""),"ELMEASURE")</f>
        <v>ELMEASURE</v>
      </c>
      <c r="E220" s="593" t="str">
        <f>IFERROR(__xludf.DUMMYFUNCTION("""COMPUTED_VALUE"""),"APC")</f>
        <v>APC</v>
      </c>
      <c r="F220" s="593" t="str">
        <f>IFERROR(__xludf.DUMMYFUNCTION("""COMPUTED_VALUE"""),"SUVTPF30KB4H")</f>
        <v>SUVTPF30KB4H</v>
      </c>
      <c r="G220" s="490"/>
      <c r="H220" s="490"/>
      <c r="I220" s="490"/>
      <c r="J220" s="594" t="str">
        <f>IFERROR(__xludf.DUMMYFUNCTION("""COMPUTED_VALUE"""),"LVSB")</f>
        <v>LVSB</v>
      </c>
      <c r="K220" s="588"/>
      <c r="L220" s="83"/>
      <c r="M220" s="490" t="str">
        <f>IFERROR(__xludf.DUMMYFUNCTION("""COMPUTED_VALUE"""),"NETGEAR")</f>
        <v>NETGEAR</v>
      </c>
      <c r="N220" s="490" t="str">
        <f>IFERROR(__xludf.DUMMYFUNCTION("""COMPUTED_VALUE"""),"bos_thermoplan_bw4")</f>
        <v>bos_thermoplan_bw4</v>
      </c>
      <c r="O220" s="490"/>
      <c r="P220" s="490" t="s">
        <v>1608</v>
      </c>
    </row>
    <row r="221">
      <c r="A221" s="490"/>
      <c r="B221" s="490"/>
      <c r="C221" s="490"/>
      <c r="D221" s="593" t="str">
        <f>IFERROR(__xludf.DUMMYFUNCTION("""COMPUTED_VALUE"""),"ELNET")</f>
        <v>ELNET</v>
      </c>
      <c r="E221" s="593" t="str">
        <f>IFERROR(__xludf.DUMMYFUNCTION("""COMPUTED_VALUE"""),"APC")</f>
        <v>APC</v>
      </c>
      <c r="F221" s="593" t="str">
        <f>IFERROR(__xludf.DUMMYFUNCTION("""COMPUTED_VALUE"""),"SY100K100F")</f>
        <v>SY100K100F</v>
      </c>
      <c r="G221" s="490"/>
      <c r="H221" s="490"/>
      <c r="I221" s="490"/>
      <c r="J221" s="594" t="str">
        <f>IFERROR(__xludf.DUMMYFUNCTION("""COMPUTED_VALUE"""),"MAU")</f>
        <v>MAU</v>
      </c>
      <c r="K221" s="588"/>
      <c r="L221" s="588"/>
      <c r="M221" s="490" t="str">
        <f>IFERROR(__xludf.DUMMYFUNCTION("""COMPUTED_VALUE"""),"NETGEAR")</f>
        <v>NETGEAR</v>
      </c>
      <c r="N221" s="490" t="str">
        <f>IFERROR(__xludf.DUMMYFUNCTION("""COMPUTED_VALUE"""),"bos_trane_sc")</f>
        <v>bos_trane_sc</v>
      </c>
      <c r="O221" s="490"/>
      <c r="P221" s="490" t="s">
        <v>1123</v>
      </c>
    </row>
    <row r="222">
      <c r="A222" s="490"/>
      <c r="B222" s="490"/>
      <c r="C222" s="490"/>
      <c r="D222" s="593" t="str">
        <f>IFERROR(__xludf.DUMMYFUNCTION("""COMPUTED_VALUE"""),"ELO")</f>
        <v>ELO</v>
      </c>
      <c r="E222" s="593" t="str">
        <f>IFERROR(__xludf.DUMMYFUNCTION("""COMPUTED_VALUE"""),"APC")</f>
        <v>APC</v>
      </c>
      <c r="F222" s="593" t="str">
        <f>IFERROR(__xludf.DUMMYFUNCTION("""COMPUTED_VALUE"""),"SY160K160H")</f>
        <v>SY160K160H</v>
      </c>
      <c r="G222" s="490"/>
      <c r="H222" s="490"/>
      <c r="I222" s="490"/>
      <c r="J222" s="594" t="str">
        <f>IFERROR(__xludf.DUMMYFUNCTION("""COMPUTED_VALUE"""),"MCC")</f>
        <v>MCC</v>
      </c>
      <c r="K222" s="588"/>
      <c r="L222" s="588"/>
      <c r="M222" s="490" t="str">
        <f>IFERROR(__xludf.DUMMYFUNCTION("""COMPUTED_VALUE"""),"NETGEAR")</f>
        <v>NETGEAR</v>
      </c>
      <c r="N222" s="490" t="str">
        <f>IFERROR(__xludf.DUMMYFUNCTION("""COMPUTED_VALUE"""),"bos_trend_tonn8")</f>
        <v>bos_trend_tonn8</v>
      </c>
      <c r="O222" s="490"/>
      <c r="P222" s="490" t="s">
        <v>1103</v>
      </c>
    </row>
    <row r="223">
      <c r="A223" s="490"/>
      <c r="B223" s="490"/>
      <c r="C223" s="490"/>
      <c r="D223" s="593" t="str">
        <f>IFERROR(__xludf.DUMMYFUNCTION("""COMPUTED_VALUE"""),"ELOMA")</f>
        <v>ELOMA</v>
      </c>
      <c r="E223" s="593" t="str">
        <f>IFERROR(__xludf.DUMMYFUNCTION("""COMPUTED_VALUE"""),"APC")</f>
        <v>APC</v>
      </c>
      <c r="F223" s="593" t="str">
        <f>IFERROR(__xludf.DUMMYFUNCTION("""COMPUTED_VALUE"""),"SYA16K16RMP")</f>
        <v>SYA16K16RMP</v>
      </c>
      <c r="G223" s="490"/>
      <c r="H223" s="490"/>
      <c r="I223" s="490"/>
      <c r="J223" s="588" t="str">
        <f>IFERROR(__xludf.DUMMYFUNCTION("""COMPUTED_VALUE"""),"MDP")</f>
        <v>MDP</v>
      </c>
      <c r="K223" s="588"/>
      <c r="L223" s="588"/>
      <c r="M223" s="490" t="str">
        <f>IFERROR(__xludf.DUMMYFUNCTION("""COMPUTED_VALUE"""),"NETGEAR")</f>
        <v>NETGEAR</v>
      </c>
      <c r="N223" s="490" t="str">
        <f>IFERROR(__xludf.DUMMYFUNCTION("""COMPUTED_VALUE"""),"bos_tridium_jace8000")</f>
        <v>bos_tridium_jace8000</v>
      </c>
      <c r="O223" s="490"/>
      <c r="P223" s="490" t="s">
        <v>1862</v>
      </c>
    </row>
    <row r="224">
      <c r="A224" s="490"/>
      <c r="B224" s="490"/>
      <c r="C224" s="490"/>
      <c r="D224" s="593" t="str">
        <f>IFERROR(__xludf.DUMMYFUNCTION("""COMPUTED_VALUE"""),"ELSA SYSTEMS")</f>
        <v>ELSA SYSTEMS</v>
      </c>
      <c r="E224" s="593" t="str">
        <f>IFERROR(__xludf.DUMMYFUNCTION("""COMPUTED_VALUE"""),"APC")</f>
        <v>APC</v>
      </c>
      <c r="F224" s="593" t="str">
        <f>IFERROR(__xludf.DUMMYFUNCTION("""COMPUTED_VALUE"""),"SYAF16KBXRMT")</f>
        <v>SYAF16KBXRMT</v>
      </c>
      <c r="G224" s="490"/>
      <c r="H224" s="490"/>
      <c r="I224" s="490"/>
      <c r="J224" s="588" t="str">
        <f>IFERROR(__xludf.DUMMYFUNCTION("""COMPUTED_VALUE"""),"MDU")</f>
        <v>MDU</v>
      </c>
      <c r="K224" s="588"/>
      <c r="L224" s="588"/>
      <c r="M224" s="490" t="str">
        <f>IFERROR(__xludf.DUMMYFUNCTION("""COMPUTED_VALUE"""),"NETGEAR")</f>
        <v>NETGEAR</v>
      </c>
      <c r="N224" s="490" t="str">
        <f>IFERROR(__xludf.DUMMYFUNCTION("""COMPUTED_VALUE"""),"bos_tridium_niagaraedge10")</f>
        <v>bos_tridium_niagaraedge10</v>
      </c>
      <c r="O224" s="490"/>
      <c r="P224" s="490" t="s">
        <v>1143</v>
      </c>
    </row>
    <row r="225">
      <c r="A225" s="490"/>
      <c r="B225" s="490"/>
      <c r="C225" s="490"/>
      <c r="D225" s="593" t="str">
        <f>IFERROR(__xludf.DUMMYFUNCTION("""COMPUTED_VALUE"""),"EMBEDIA")</f>
        <v>EMBEDIA</v>
      </c>
      <c r="E225" s="593" t="str">
        <f>IFERROR(__xludf.DUMMYFUNCTION("""COMPUTED_VALUE"""),"APC")</f>
        <v>APC</v>
      </c>
      <c r="F225" s="593" t="str">
        <f>IFERROR(__xludf.DUMMYFUNCTION("""COMPUTED_VALUE"""),"SYAF16KRMT")</f>
        <v>SYAF16KRMT</v>
      </c>
      <c r="G225" s="490"/>
      <c r="H225" s="490"/>
      <c r="I225" s="586"/>
      <c r="J225" s="594" t="str">
        <f>IFERROR(__xludf.DUMMYFUNCTION("""COMPUTED_VALUE"""),"MFSD")</f>
        <v>MFSD</v>
      </c>
      <c r="K225" s="594"/>
      <c r="L225" s="594"/>
      <c r="M225" s="586" t="str">
        <f>IFERROR(__xludf.DUMMYFUNCTION("""COMPUTED_VALUE"""),"NETGEAR")</f>
        <v>NETGEAR</v>
      </c>
      <c r="N225" s="586" t="str">
        <f>IFERROR(__xludf.DUMMYFUNCTION("""COMPUTED_VALUE"""),"bos_ttk_fgbbox")</f>
        <v>bos_ttk_fgbbox</v>
      </c>
      <c r="O225" s="586"/>
      <c r="P225" s="586" t="s">
        <v>1133</v>
      </c>
    </row>
    <row r="226">
      <c r="A226" s="490"/>
      <c r="B226" s="490"/>
      <c r="C226" s="490"/>
      <c r="D226" s="593" t="str">
        <f>IFERROR(__xludf.DUMMYFUNCTION("""COMPUTED_VALUE"""),"EMCO ELECTRONICS")</f>
        <v>EMCO ELECTRONICS</v>
      </c>
      <c r="E226" s="593" t="str">
        <f>IFERROR(__xludf.DUMMYFUNCTION("""COMPUTED_VALUE"""),"APC")</f>
        <v>APC</v>
      </c>
      <c r="F226" s="593" t="str">
        <f>IFERROR(__xludf.DUMMYFUNCTION("""COMPUTED_VALUE"""),"SYCF160KH")</f>
        <v>SYCF160KH</v>
      </c>
      <c r="G226" s="490"/>
      <c r="H226" s="490"/>
      <c r="I226" s="490"/>
      <c r="J226" s="594" t="str">
        <f>IFERROR(__xludf.DUMMYFUNCTION("""COMPUTED_VALUE"""),"MMV")</f>
        <v>MMV</v>
      </c>
      <c r="K226" s="588"/>
      <c r="L226" s="588"/>
      <c r="M226" s="490" t="str">
        <f>IFERROR(__xludf.DUMMYFUNCTION("""COMPUTED_VALUE"""),"NETGEAR")</f>
        <v>NETGEAR</v>
      </c>
      <c r="N226" s="490" t="str">
        <f>IFERROR(__xludf.DUMMYFUNCTION("""COMPUTED_VALUE"""),"bos_ttk_fgnet")</f>
        <v>bos_ttk_fgnet</v>
      </c>
      <c r="O226" s="490"/>
      <c r="P226" s="490" t="s">
        <v>2282</v>
      </c>
    </row>
    <row r="227">
      <c r="A227" s="490"/>
      <c r="B227" s="490"/>
      <c r="C227" s="490"/>
      <c r="D227" s="593" t="str">
        <f>IFERROR(__xludf.DUMMYFUNCTION("""COMPUTED_VALUE"""),"EMERSON")</f>
        <v>EMERSON</v>
      </c>
      <c r="E227" s="593" t="str">
        <f>IFERROR(__xludf.DUMMYFUNCTION("""COMPUTED_VALUE"""),"APC")</f>
        <v>APC</v>
      </c>
      <c r="F227" s="593" t="str">
        <f>IFERROR(__xludf.DUMMYFUNCTION("""COMPUTED_VALUE"""),"SYCF48KH")</f>
        <v>SYCF48KH</v>
      </c>
      <c r="G227" s="490"/>
      <c r="H227" s="490"/>
      <c r="I227" s="490"/>
      <c r="J227" s="594" t="str">
        <f>IFERROR(__xludf.DUMMYFUNCTION("""COMPUTED_VALUE"""),"MOS")</f>
        <v>MOS</v>
      </c>
      <c r="K227" s="588"/>
      <c r="L227" s="588"/>
      <c r="M227" s="490" t="str">
        <f>IFERROR(__xludf.DUMMYFUNCTION("""COMPUTED_VALUE"""),"NETGEAR")</f>
        <v>NETGEAR</v>
      </c>
      <c r="N227" s="490" t="str">
        <f>IFERROR(__xludf.DUMMYFUNCTION("""COMPUTED_VALUE"""),"bos_ttk_fgrelay")</f>
        <v>bos_ttk_fgrelay</v>
      </c>
      <c r="O227" s="490"/>
      <c r="P227" s="490" t="s">
        <v>2305</v>
      </c>
    </row>
    <row r="228">
      <c r="A228" s="490"/>
      <c r="B228" s="490"/>
      <c r="C228" s="490"/>
      <c r="D228" s="593" t="str">
        <f>IFERROR(__xludf.DUMMYFUNCTION("""COMPUTED_VALUE"""),"EMS")</f>
        <v>EMS</v>
      </c>
      <c r="E228" s="593" t="str">
        <f>IFERROR(__xludf.DUMMYFUNCTION("""COMPUTED_VALUE"""),"APC")</f>
        <v>APC</v>
      </c>
      <c r="F228" s="593" t="str">
        <f>IFERROR(__xludf.DUMMYFUNCTION("""COMPUTED_VALUE"""),"SYCF80KH")</f>
        <v>SYCF80KH</v>
      </c>
      <c r="G228" s="490"/>
      <c r="H228" s="490"/>
      <c r="I228" s="490"/>
      <c r="J228" s="588" t="str">
        <f>IFERROR(__xludf.DUMMYFUNCTION("""COMPUTED_VALUE"""),"MPNL")</f>
        <v>MPNL</v>
      </c>
      <c r="K228" s="588"/>
      <c r="L228" s="588"/>
      <c r="M228" s="490" t="str">
        <f>IFERROR(__xludf.DUMMYFUNCTION("""COMPUTED_VALUE"""),"NETGEAR")</f>
        <v>NETGEAR</v>
      </c>
      <c r="N228" s="490" t="str">
        <f>IFERROR(__xludf.DUMMYFUNCTION("""COMPUTED_VALUE"""),"bos_unbranded_generic")</f>
        <v>bos_unbranded_generic</v>
      </c>
      <c r="O228" s="490"/>
      <c r="P228" s="490" t="s">
        <v>1175</v>
      </c>
    </row>
    <row r="229">
      <c r="A229" s="490"/>
      <c r="B229" s="490"/>
      <c r="C229" s="490"/>
      <c r="D229" s="593" t="str">
        <f>IFERROR(__xludf.DUMMYFUNCTION("""COMPUTED_VALUE"""),"EMU AG")</f>
        <v>EMU AG</v>
      </c>
      <c r="E229" s="593" t="str">
        <f>IFERROR(__xludf.DUMMYFUNCTION("""COMPUTED_VALUE"""),"APC")</f>
        <v>APC</v>
      </c>
      <c r="F229" s="593" t="str">
        <f>IFERROR(__xludf.DUMMYFUNCTION("""COMPUTED_VALUE"""),"SYHF6KT")</f>
        <v>SYHF6KT</v>
      </c>
      <c r="G229" s="490"/>
      <c r="H229" s="490"/>
      <c r="I229" s="490"/>
      <c r="J229" s="588" t="str">
        <f>IFERROR(__xludf.DUMMYFUNCTION("""COMPUTED_VALUE"""),"MSB")</f>
        <v>MSB</v>
      </c>
      <c r="K229" s="588"/>
      <c r="L229" s="588"/>
      <c r="M229" s="490" t="str">
        <f>IFERROR(__xludf.DUMMYFUNCTION("""COMPUTED_VALUE"""),"NETGEAR")</f>
        <v>NETGEAR</v>
      </c>
      <c r="N229" s="490" t="str">
        <f>IFERROR(__xludf.DUMMYFUNCTION("""COMPUTED_VALUE"""),"bos_vendor_device")</f>
        <v>bos_vendor_device</v>
      </c>
      <c r="O229" s="490"/>
      <c r="P229" s="490" t="s">
        <v>1185</v>
      </c>
    </row>
    <row r="230">
      <c r="A230" s="490"/>
      <c r="B230" s="490"/>
      <c r="C230" s="490"/>
      <c r="D230" s="593" t="str">
        <f>IFERROR(__xludf.DUMMYFUNCTION("""COMPUTED_VALUE"""),"ENCELIUM")</f>
        <v>ENCELIUM</v>
      </c>
      <c r="E230" s="593" t="str">
        <f>IFERROR(__xludf.DUMMYFUNCTION("""COMPUTED_VALUE"""),"APC")</f>
        <v>APC</v>
      </c>
      <c r="F230" s="593" t="str">
        <f>IFERROR(__xludf.DUMMYFUNCTION("""COMPUTED_VALUE"""),"SYMETTRA PX")</f>
        <v>SYMETTRA PX</v>
      </c>
      <c r="G230" s="490"/>
      <c r="H230" s="490"/>
      <c r="I230" s="490"/>
      <c r="J230" s="588" t="str">
        <f>IFERROR(__xludf.DUMMYFUNCTION("""COMPUTED_VALUE"""),"MSD")</f>
        <v>MSD</v>
      </c>
      <c r="K230" s="588"/>
      <c r="L230" s="588"/>
      <c r="M230" s="490" t="str">
        <f>IFERROR(__xludf.DUMMYFUNCTION("""COMPUTED_VALUE"""),"NETGEAR")</f>
        <v>NETGEAR</v>
      </c>
      <c r="N230" s="490" t="str">
        <f>IFERROR(__xludf.DUMMYFUNCTION("""COMPUTED_VALUE"""),"bos_verdigris_energydatagateway")</f>
        <v>bos_verdigris_energydatagateway</v>
      </c>
      <c r="O230" s="490"/>
      <c r="P230" s="490" t="s">
        <v>1165</v>
      </c>
    </row>
    <row r="231">
      <c r="A231" s="490"/>
      <c r="B231" s="490"/>
      <c r="C231" s="490"/>
      <c r="D231" s="593" t="str">
        <f>IFERROR(__xludf.DUMMYFUNCTION("""COMPUTED_VALUE"""),"ENCORE")</f>
        <v>ENCORE</v>
      </c>
      <c r="E231" s="593" t="str">
        <f>IFERROR(__xludf.DUMMYFUNCTION("""COMPUTED_VALUE"""),"APC")</f>
        <v>APC</v>
      </c>
      <c r="F231" s="593" t="str">
        <f>IFERROR(__xludf.DUMMYFUNCTION("""COMPUTED_VALUE"""),"SYMMETRA PX")</f>
        <v>SYMMETRA PX</v>
      </c>
      <c r="G231" s="490"/>
      <c r="H231" s="490"/>
      <c r="I231" s="490"/>
      <c r="J231" s="594" t="str">
        <f>IFERROR(__xludf.DUMMYFUNCTION("""COMPUTED_VALUE"""),"MTR")</f>
        <v>MTR</v>
      </c>
      <c r="K231" s="588"/>
      <c r="L231" s="588"/>
      <c r="M231" s="490" t="str">
        <f>IFERROR(__xludf.DUMMYFUNCTION("""COMPUTED_VALUE"""),"NETGEAR")</f>
        <v>NETGEAR</v>
      </c>
      <c r="N231" s="490" t="str">
        <f>IFERROR(__xludf.DUMMYFUNCTION("""COMPUTED_VALUE"""),"bos_vertiv_unitydp")</f>
        <v>bos_vertiv_unitydp</v>
      </c>
      <c r="O231" s="490"/>
      <c r="P231" s="490" t="s">
        <v>1205</v>
      </c>
    </row>
    <row r="232">
      <c r="A232" s="490"/>
      <c r="B232" s="490"/>
      <c r="C232" s="490"/>
      <c r="D232" s="593" t="str">
        <f>IFERROR(__xludf.DUMMYFUNCTION("""COMPUTED_VALUE"""),"ENDEAVOR")</f>
        <v>ENDEAVOR</v>
      </c>
      <c r="E232" s="593" t="str">
        <f>IFERROR(__xludf.DUMMYFUNCTION("""COMPUTED_VALUE"""),"APC")</f>
        <v>APC</v>
      </c>
      <c r="F232" s="593" t="str">
        <f>IFERROR(__xludf.DUMMYFUNCTION("""COMPUTED_VALUE"""),"SYMMETRA 160K")</f>
        <v>SYMMETRA 160K</v>
      </c>
      <c r="G232" s="490"/>
      <c r="H232" s="490"/>
      <c r="I232" s="490"/>
      <c r="J232" s="588" t="str">
        <f>IFERROR(__xludf.DUMMYFUNCTION("""COMPUTED_VALUE"""),"MTS")</f>
        <v>MTS</v>
      </c>
      <c r="K232" s="588"/>
      <c r="L232" s="588"/>
      <c r="M232" s="490" t="str">
        <f>IFERROR(__xludf.DUMMYFUNCTION("""COMPUTED_VALUE"""),"NETGEAR")</f>
        <v>NETGEAR</v>
      </c>
      <c r="N232" s="490" t="str">
        <f>IFERROR(__xludf.DUMMYFUNCTION("""COMPUTED_VALUE"""),"bos_vertiv_unitysnmp")</f>
        <v>bos_vertiv_unitysnmp</v>
      </c>
      <c r="O232" s="490"/>
      <c r="P232" s="490" t="s">
        <v>1195</v>
      </c>
    </row>
    <row r="233">
      <c r="A233" s="490"/>
      <c r="B233" s="490"/>
      <c r="C233" s="490"/>
      <c r="D233" s="593" t="str">
        <f>IFERROR(__xludf.DUMMYFUNCTION("""COMPUTED_VALUE"""),"ENEFFEN")</f>
        <v>ENEFFEN</v>
      </c>
      <c r="E233" s="593" t="str">
        <f>IFERROR(__xludf.DUMMYFUNCTION("""COMPUTED_VALUE"""),"APC")</f>
        <v>APC</v>
      </c>
      <c r="F233" s="593" t="str">
        <f>IFERROR(__xludf.DUMMYFUNCTION("""COMPUTED_VALUE"""),"SYMMETRA 16KVA")</f>
        <v>SYMMETRA 16KVA</v>
      </c>
      <c r="G233" s="490"/>
      <c r="H233" s="490"/>
      <c r="I233" s="490"/>
      <c r="J233" s="594" t="str">
        <f>IFERROR(__xludf.DUMMYFUNCTION("""COMPUTED_VALUE"""),"MUV")</f>
        <v>MUV</v>
      </c>
      <c r="K233" s="588"/>
      <c r="L233" s="588"/>
      <c r="M233" s="490" t="str">
        <f>IFERROR(__xludf.DUMMYFUNCTION("""COMPUTED_VALUE"""),"NETGEAR")</f>
        <v>NETGEAR</v>
      </c>
      <c r="N233" s="490" t="str">
        <f>IFERROR(__xludf.DUMMYFUNCTION("""COMPUTED_VALUE"""),"bos_view_cphel")</f>
        <v>bos_view_cphel</v>
      </c>
      <c r="O233" s="490"/>
      <c r="P233" s="490" t="s">
        <v>1155</v>
      </c>
    </row>
    <row r="234">
      <c r="A234" s="490"/>
      <c r="B234" s="490"/>
      <c r="C234" s="490"/>
      <c r="D234" s="593" t="str">
        <f>IFERROR(__xludf.DUMMYFUNCTION("""COMPUTED_VALUE"""),"ENLIGHTED")</f>
        <v>ENLIGHTED</v>
      </c>
      <c r="E234" s="593" t="str">
        <f>IFERROR(__xludf.DUMMYFUNCTION("""COMPUTED_VALUE"""),"APC")</f>
        <v>APC</v>
      </c>
      <c r="F234" s="593" t="str">
        <f>IFERROR(__xludf.DUMMYFUNCTION("""COMPUTED_VALUE"""),"SYMMETRA 48K")</f>
        <v>SYMMETRA 48K</v>
      </c>
      <c r="G234" s="490"/>
      <c r="H234" s="490"/>
      <c r="I234" s="490"/>
      <c r="J234" s="588" t="str">
        <f>IFERROR(__xludf.DUMMYFUNCTION("""COMPUTED_VALUE"""),"MVSB")</f>
        <v>MVSB</v>
      </c>
      <c r="K234" s="588"/>
      <c r="L234" s="588"/>
      <c r="M234" s="490" t="str">
        <f>IFERROR(__xludf.DUMMYFUNCTION("""COMPUTED_VALUE"""),"NETGEAR")</f>
        <v>NETGEAR</v>
      </c>
      <c r="N234" s="490" t="str">
        <f>IFERROR(__xludf.DUMMYFUNCTION("""COMPUTED_VALUE"""),"bos_view_fan")</f>
        <v>bos_view_fan</v>
      </c>
      <c r="O234" s="490"/>
      <c r="P234" s="490" t="s">
        <v>1872</v>
      </c>
    </row>
    <row r="235">
      <c r="A235" s="490"/>
      <c r="B235" s="490"/>
      <c r="C235" s="490"/>
      <c r="D235" s="593" t="str">
        <f>IFERROR(__xludf.DUMMYFUNCTION("""COMPUTED_VALUE"""),"ENVIROALERT")</f>
        <v>ENVIROALERT</v>
      </c>
      <c r="E235" s="593" t="str">
        <f>IFERROR(__xludf.DUMMYFUNCTION("""COMPUTED_VALUE"""),"APC")</f>
        <v>APC</v>
      </c>
      <c r="F235" s="593" t="str">
        <f>IFERROR(__xludf.DUMMYFUNCTION("""COMPUTED_VALUE"""),"SYMMETRA LX")</f>
        <v>SYMMETRA LX</v>
      </c>
      <c r="G235" s="490"/>
      <c r="H235" s="490"/>
      <c r="I235" s="490"/>
      <c r="J235" s="588" t="str">
        <f>IFERROR(__xludf.DUMMYFUNCTION("""COMPUTED_VALUE"""),"NDS")</f>
        <v>NDS</v>
      </c>
      <c r="K235" s="588"/>
      <c r="L235" s="588"/>
      <c r="M235" s="490" t="str">
        <f>IFERROR(__xludf.DUMMYFUNCTION("""COMPUTED_VALUE"""),"NETGEAR")</f>
        <v>NETGEAR</v>
      </c>
      <c r="N235" s="490" t="str">
        <f>IFERROR(__xludf.DUMMYFUNCTION("""COMPUTED_VALUE"""),"bos_view_gam")</f>
        <v>bos_view_gam</v>
      </c>
      <c r="O235" s="490"/>
      <c r="P235" s="490" t="s">
        <v>1236</v>
      </c>
    </row>
    <row r="236">
      <c r="A236" s="490"/>
      <c r="B236" s="490"/>
      <c r="C236" s="490"/>
      <c r="D236" s="593" t="str">
        <f>IFERROR(__xludf.DUMMYFUNCTION("""COMPUTED_VALUE"""),"EO CHARGING")</f>
        <v>EO CHARGING</v>
      </c>
      <c r="E236" s="593" t="str">
        <f>IFERROR(__xludf.DUMMYFUNCTION("""COMPUTED_VALUE"""),"APC")</f>
        <v>APC</v>
      </c>
      <c r="F236" s="593" t="str">
        <f>IFERROR(__xludf.DUMMYFUNCTION("""COMPUTED_VALUE"""),"SYMMETRA LX")</f>
        <v>SYMMETRA LX</v>
      </c>
      <c r="G236" s="490"/>
      <c r="H236" s="490"/>
      <c r="I236" s="490"/>
      <c r="J236" s="594" t="str">
        <f>IFERROR(__xludf.DUMMYFUNCTION("""COMPUTED_VALUE"""),"NVR")</f>
        <v>NVR</v>
      </c>
      <c r="K236" s="588"/>
      <c r="L236" s="588"/>
      <c r="M236" s="490" t="str">
        <f>IFERROR(__xludf.DUMMYFUNCTION("""COMPUTED_VALUE"""),"NETGEAR")</f>
        <v>NETGEAR</v>
      </c>
      <c r="N236" s="490" t="str">
        <f>IFERROR(__xludf.DUMMYFUNCTION("""COMPUTED_VALUE"""),"bos_view_nwc")</f>
        <v>bos_view_nwc</v>
      </c>
      <c r="O236" s="490"/>
      <c r="P236" s="490" t="s">
        <v>1246</v>
      </c>
    </row>
    <row r="237">
      <c r="A237" s="490"/>
      <c r="B237" s="490"/>
      <c r="C237" s="490"/>
      <c r="D237" s="593" t="str">
        <f>IFERROR(__xludf.DUMMYFUNCTION("""COMPUTED_VALUE"""),"EPAY SYSTEMS")</f>
        <v>EPAY SYSTEMS</v>
      </c>
      <c r="E237" s="593" t="str">
        <f>IFERROR(__xludf.DUMMYFUNCTION("""COMPUTED_VALUE"""),"APC")</f>
        <v>APC</v>
      </c>
      <c r="F237" s="593" t="str">
        <f>IFERROR(__xludf.DUMMYFUNCTION("""COMPUTED_VALUE"""),"SYMMETRA PX")</f>
        <v>SYMMETRA PX</v>
      </c>
      <c r="G237" s="490"/>
      <c r="H237" s="490"/>
      <c r="I237" s="490"/>
      <c r="J237" s="588" t="str">
        <f>IFERROR(__xludf.DUMMYFUNCTION("""COMPUTED_VALUE"""),"OI")</f>
        <v>OI</v>
      </c>
      <c r="K237" s="588"/>
      <c r="L237" s="588"/>
      <c r="M237" s="490" t="str">
        <f>IFERROR(__xludf.DUMMYFUNCTION("""COMPUTED_VALUE"""),"NETGEAR")</f>
        <v>NETGEAR</v>
      </c>
      <c r="N237" s="490" t="str">
        <f>IFERROR(__xludf.DUMMYFUNCTION("""COMPUTED_VALUE"""),"bos_view_senseeq")</f>
        <v>bos_view_senseeq</v>
      </c>
      <c r="O237" s="490"/>
      <c r="P237" s="490" t="s">
        <v>1226</v>
      </c>
    </row>
    <row r="238">
      <c r="A238" s="490"/>
      <c r="B238" s="490"/>
      <c r="C238" s="490"/>
      <c r="D238" s="593" t="str">
        <f>IFERROR(__xludf.DUMMYFUNCTION("""COMPUTED_VALUE"""),"EPILOG")</f>
        <v>EPILOG</v>
      </c>
      <c r="E238" s="593" t="str">
        <f>IFERROR(__xludf.DUMMYFUNCTION("""COMPUTED_VALUE"""),"APC")</f>
        <v>APC</v>
      </c>
      <c r="F238" s="593" t="str">
        <f>IFERROR(__xludf.DUMMYFUNCTION("""COMPUTED_VALUE"""),"SYMMETRA PX")</f>
        <v>SYMMETRA PX</v>
      </c>
      <c r="G238" s="490"/>
      <c r="H238" s="490"/>
      <c r="I238" s="490"/>
      <c r="J238" s="588" t="str">
        <f>IFERROR(__xludf.DUMMYFUNCTION("""COMPUTED_VALUE"""),"OUT")</f>
        <v>OUT</v>
      </c>
      <c r="K238" s="588"/>
      <c r="L238" s="588"/>
      <c r="M238" s="490" t="str">
        <f>IFERROR(__xludf.DUMMYFUNCTION("""COMPUTED_VALUE"""),"NETGEAR")</f>
        <v>NETGEAR</v>
      </c>
      <c r="N238" s="490" t="str">
        <f>IFERROR(__xludf.DUMMYFUNCTION("""COMPUTED_VALUE"""),"bos_view_sky")</f>
        <v>bos_view_sky</v>
      </c>
      <c r="O238" s="490"/>
      <c r="P238" s="490" t="s">
        <v>1266</v>
      </c>
    </row>
    <row r="239">
      <c r="A239" s="490"/>
      <c r="B239" s="490"/>
      <c r="C239" s="490"/>
      <c r="D239" s="593" t="str">
        <f>IFERROR(__xludf.DUMMYFUNCTION("""COMPUTED_VALUE"""),"EPS NEXT GEN")</f>
        <v>EPS NEXT GEN</v>
      </c>
      <c r="E239" s="593" t="str">
        <f>IFERROR(__xludf.DUMMYFUNCTION("""COMPUTED_VALUE"""),"APC")</f>
        <v>APC</v>
      </c>
      <c r="F239" s="593" t="str">
        <f>IFERROR(__xludf.DUMMYFUNCTION("""COMPUTED_VALUE"""),"SYMMETRA PX 100KW")</f>
        <v>SYMMETRA PX 100KW</v>
      </c>
      <c r="G239" s="490"/>
      <c r="H239" s="490"/>
      <c r="I239" s="490"/>
      <c r="J239" s="588" t="str">
        <f>IFERROR(__xludf.DUMMYFUNCTION("""COMPUTED_VALUE"""),"OVN")</f>
        <v>OVN</v>
      </c>
      <c r="K239" s="588"/>
      <c r="L239" s="588"/>
      <c r="M239" s="490" t="str">
        <f>IFERROR(__xludf.DUMMYFUNCTION("""COMPUTED_VALUE"""),"NETGEAR")</f>
        <v>NETGEAR</v>
      </c>
      <c r="N239" s="490" t="str">
        <f>IFERROR(__xludf.DUMMYFUNCTION("""COMPUTED_VALUE"""),"bos_vm_headend")</f>
        <v>bos_vm_headend</v>
      </c>
      <c r="O239" s="490"/>
      <c r="P239" s="490" t="s">
        <v>1256</v>
      </c>
    </row>
    <row r="240">
      <c r="A240" s="490"/>
      <c r="B240" s="490"/>
      <c r="C240" s="490"/>
      <c r="D240" s="593" t="str">
        <f>IFERROR(__xludf.DUMMYFUNCTION("""COMPUTED_VALUE"""),"EPSON")</f>
        <v>EPSON</v>
      </c>
      <c r="E240" s="593" t="str">
        <f>IFERROR(__xludf.DUMMYFUNCTION("""COMPUTED_VALUE"""),"APC")</f>
        <v>APC</v>
      </c>
      <c r="F240" s="593" t="str">
        <f>IFERROR(__xludf.DUMMYFUNCTION("""COMPUTED_VALUE"""),"SYMMETRA PX 100KW")</f>
        <v>SYMMETRA PX 100KW</v>
      </c>
      <c r="G240" s="490"/>
      <c r="H240" s="490"/>
      <c r="I240" s="490"/>
      <c r="J240" s="588" t="str">
        <f>IFERROR(__xludf.DUMMYFUNCTION("""COMPUTED_VALUE"""),"PA")</f>
        <v>PA</v>
      </c>
      <c r="K240" s="588"/>
      <c r="L240" s="588"/>
      <c r="M240" s="490" t="str">
        <f>IFERROR(__xludf.DUMMYFUNCTION("""COMPUTED_VALUE"""),"NETGEAR")</f>
        <v>NETGEAR</v>
      </c>
      <c r="N240" s="490" t="str">
        <f>IFERROR(__xludf.DUMMYFUNCTION("""COMPUTED_VALUE"""),"bos_vykon_jace8000")</f>
        <v>bos_vykon_jace8000</v>
      </c>
      <c r="O240" s="490"/>
      <c r="P240" s="490" t="s">
        <v>1297</v>
      </c>
    </row>
    <row r="241">
      <c r="A241" s="490"/>
      <c r="B241" s="490"/>
      <c r="C241" s="490"/>
      <c r="D241" s="593" t="str">
        <f>IFERROR(__xludf.DUMMYFUNCTION("""COMPUTED_VALUE"""),"ESSL")</f>
        <v>ESSL</v>
      </c>
      <c r="E241" s="593" t="str">
        <f>IFERROR(__xludf.DUMMYFUNCTION("""COMPUTED_VALUE"""),"APC")</f>
        <v>APC</v>
      </c>
      <c r="F241" s="593" t="str">
        <f>IFERROR(__xludf.DUMMYFUNCTION("""COMPUTED_VALUE"""),"SYMMETRA PX 100KW")</f>
        <v>SYMMETRA PX 100KW</v>
      </c>
      <c r="G241" s="490"/>
      <c r="H241" s="490"/>
      <c r="I241" s="490"/>
      <c r="J241" s="588" t="str">
        <f>IFERROR(__xludf.DUMMYFUNCTION("""COMPUTED_VALUE"""),"PAPS")</f>
        <v>PAPS</v>
      </c>
      <c r="K241" s="588"/>
      <c r="L241" s="588"/>
      <c r="M241" s="490" t="str">
        <f>IFERROR(__xludf.DUMMYFUNCTION("""COMPUTED_VALUE"""),"NETGEAR")</f>
        <v>NETGEAR</v>
      </c>
      <c r="N241" s="490" t="str">
        <f>IFERROR(__xludf.DUMMYFUNCTION("""COMPUTED_VALUE"""),"bos_wtec_smartdir")</f>
        <v>bos_wtec_smartdir</v>
      </c>
      <c r="O241" s="490"/>
      <c r="P241" s="490" t="s">
        <v>1307</v>
      </c>
    </row>
    <row r="242">
      <c r="A242" s="490"/>
      <c r="B242" s="490"/>
      <c r="C242" s="490"/>
      <c r="D242" s="593" t="str">
        <f>IFERROR(__xludf.DUMMYFUNCTION("""COMPUTED_VALUE"""),"EST3")</f>
        <v>EST3</v>
      </c>
      <c r="E242" s="593" t="str">
        <f>IFERROR(__xludf.DUMMYFUNCTION("""COMPUTED_VALUE"""),"APC")</f>
        <v>APC</v>
      </c>
      <c r="F242" s="593" t="str">
        <f>IFERROR(__xludf.DUMMYFUNCTION("""COMPUTED_VALUE"""),"SYMMETRA PX 100KW")</f>
        <v>SYMMETRA PX 100KW</v>
      </c>
      <c r="G242" s="490"/>
      <c r="H242" s="490"/>
      <c r="I242" s="490"/>
      <c r="J242" s="588" t="str">
        <f>IFERROR(__xludf.DUMMYFUNCTION("""COMPUTED_VALUE"""),"PCHWP")</f>
        <v>PCHWP</v>
      </c>
      <c r="K242" s="588"/>
      <c r="L242" s="588"/>
      <c r="M242" s="490" t="str">
        <f>IFERROR(__xludf.DUMMYFUNCTION("""COMPUTED_VALUE"""),"NETGEAR")</f>
        <v>NETGEAR</v>
      </c>
      <c r="N242" s="490" t="str">
        <f>IFERROR(__xludf.DUMMYFUNCTION("""COMPUTED_VALUE"""),"bos_wtec_smarteng")</f>
        <v>bos_wtec_smarteng</v>
      </c>
      <c r="O242" s="490"/>
      <c r="P242" s="490" t="s">
        <v>1287</v>
      </c>
    </row>
    <row r="243">
      <c r="A243" s="490"/>
      <c r="B243" s="490"/>
      <c r="C243" s="490"/>
      <c r="D243" s="593" t="str">
        <f>IFERROR(__xludf.DUMMYFUNCTION("""COMPUTED_VALUE"""),"ET-DETECT")</f>
        <v>ET-DETECT</v>
      </c>
      <c r="E243" s="593" t="str">
        <f>IFERROR(__xludf.DUMMYFUNCTION("""COMPUTED_VALUE"""),"APC")</f>
        <v>APC</v>
      </c>
      <c r="F243" s="593" t="str">
        <f>IFERROR(__xludf.DUMMYFUNCTION("""COMPUTED_VALUE"""),"SYMMETRA PX 160")</f>
        <v>SYMMETRA PX 160</v>
      </c>
      <c r="G243" s="490"/>
      <c r="H243" s="490"/>
      <c r="I243" s="490"/>
      <c r="J243" s="588" t="str">
        <f>IFERROR(__xludf.DUMMYFUNCTION("""COMPUTED_VALUE"""),"PCS")</f>
        <v>PCS</v>
      </c>
      <c r="K243" s="588"/>
      <c r="L243" s="588"/>
      <c r="M243" s="490" t="str">
        <f>IFERROR(__xludf.DUMMYFUNCTION("""COMPUTED_VALUE"""),"NETGEAR")</f>
        <v>NETGEAR</v>
      </c>
      <c r="N243" s="490" t="str">
        <f>IFERROR(__xludf.DUMMYFUNCTION("""COMPUTED_VALUE"""),"bos_xysense_area")</f>
        <v>bos_xysense_area</v>
      </c>
      <c r="O243" s="490"/>
      <c r="P243" s="490" t="s">
        <v>1377</v>
      </c>
    </row>
    <row r="244">
      <c r="A244" s="490"/>
      <c r="B244" s="490"/>
      <c r="C244" s="490"/>
      <c r="D244" s="593" t="str">
        <f>IFERROR(__xludf.DUMMYFUNCTION("""COMPUTED_VALUE"""),"ETC")</f>
        <v>ETC</v>
      </c>
      <c r="E244" s="593" t="str">
        <f>IFERROR(__xludf.DUMMYFUNCTION("""COMPUTED_VALUE"""),"APC")</f>
        <v>APC</v>
      </c>
      <c r="F244" s="593" t="str">
        <f>IFERROR(__xludf.DUMMYFUNCTION("""COMPUTED_VALUE"""),"SYMMETRA PX 160")</f>
        <v>SYMMETRA PX 160</v>
      </c>
      <c r="G244" s="490"/>
      <c r="H244" s="490"/>
      <c r="I244" s="490"/>
      <c r="J244" s="594" t="str">
        <f>IFERROR(__xludf.DUMMYFUNCTION("""COMPUTED_VALUE"""),"PCU")</f>
        <v>PCU</v>
      </c>
      <c r="K244" s="588"/>
      <c r="L244" s="588"/>
      <c r="M244" s="490" t="str">
        <f>IFERROR(__xludf.DUMMYFUNCTION("""COMPUTED_VALUE"""),"NETGEAR")</f>
        <v>NETGEAR</v>
      </c>
      <c r="N244" s="490" t="str">
        <f>IFERROR(__xludf.DUMMYFUNCTION("""COMPUTED_VALUE"""),"bos_zebra_fx9600rfidreader")</f>
        <v>bos_zebra_fx9600rfidreader</v>
      </c>
      <c r="O244" s="490"/>
      <c r="P244" s="490" t="s">
        <v>1357</v>
      </c>
    </row>
    <row r="245">
      <c r="A245" s="490"/>
      <c r="B245" s="490"/>
      <c r="C245" s="490"/>
      <c r="D245" s="593" t="str">
        <f>IFERROR(__xludf.DUMMYFUNCTION("""COMPUTED_VALUE"""),"EUROMAG")</f>
        <v>EUROMAG</v>
      </c>
      <c r="E245" s="593" t="str">
        <f>IFERROR(__xludf.DUMMYFUNCTION("""COMPUTED_VALUE"""),"APC")</f>
        <v>APC</v>
      </c>
      <c r="F245" s="593" t="str">
        <f>IFERROR(__xludf.DUMMYFUNCTION("""COMPUTED_VALUE"""),"SYMMETRA PX 160KVA/160KW")</f>
        <v>SYMMETRA PX 160KVA/160KW</v>
      </c>
      <c r="G245" s="490"/>
      <c r="H245" s="490"/>
      <c r="I245" s="586"/>
      <c r="J245" s="588" t="str">
        <f>IFERROR(__xludf.DUMMYFUNCTION("""COMPUTED_VALUE"""),"PCV")</f>
        <v>PCV</v>
      </c>
      <c r="K245" s="594"/>
      <c r="L245" s="594"/>
      <c r="M245" s="586" t="str">
        <f>IFERROR(__xludf.DUMMYFUNCTION("""COMPUTED_VALUE"""),"NETGEAR")</f>
        <v>NETGEAR</v>
      </c>
      <c r="N245" s="586" t="str">
        <f>IFERROR(__xludf.DUMMYFUNCTION("""COMPUTED_VALUE"""),"bos_nq_tyrell_ebms")</f>
        <v>bos_nq_tyrell_ebms</v>
      </c>
      <c r="O245" s="586"/>
      <c r="P245" s="586" t="s">
        <v>1879</v>
      </c>
    </row>
    <row r="246">
      <c r="A246" s="490"/>
      <c r="B246" s="490"/>
      <c r="C246" s="490"/>
      <c r="D246" s="593" t="str">
        <f>IFERROR(__xludf.DUMMYFUNCTION("""COMPUTED_VALUE"""),"EVCO")</f>
        <v>EVCO</v>
      </c>
      <c r="E246" s="593" t="str">
        <f>IFERROR(__xludf.DUMMYFUNCTION("""COMPUTED_VALUE"""),"APC")</f>
        <v>APC</v>
      </c>
      <c r="F246" s="593" t="str">
        <f>IFERROR(__xludf.DUMMYFUNCTION("""COMPUTED_VALUE"""),"SYMMETRA PX 160KVA/160KW")</f>
        <v>SYMMETRA PX 160KVA/160KW</v>
      </c>
      <c r="G246" s="490"/>
      <c r="H246" s="490"/>
      <c r="I246" s="490"/>
      <c r="J246" s="594" t="str">
        <f>IFERROR(__xludf.DUMMYFUNCTION("""COMPUTED_VALUE"""),"PCWP")</f>
        <v>PCWP</v>
      </c>
      <c r="K246" s="588"/>
      <c r="L246" s="588"/>
      <c r="M246" s="490" t="str">
        <f>IFERROR(__xludf.DUMMYFUNCTION("""COMPUTED_VALUE"""),"NETGEAR")</f>
        <v>NETGEAR</v>
      </c>
      <c r="N246" s="490" t="str">
        <f>IFERROR(__xludf.DUMMYFUNCTION("""COMPUTED_VALUE"""),"bos_nq_spareit_lps8ngateway")</f>
        <v>bos_nq_spareit_lps8ngateway</v>
      </c>
      <c r="O246" s="490"/>
      <c r="P246" s="490" t="s">
        <v>1367</v>
      </c>
    </row>
    <row r="247">
      <c r="A247" s="490"/>
      <c r="B247" s="490"/>
      <c r="C247" s="490"/>
      <c r="D247" s="593" t="str">
        <f>IFERROR(__xludf.DUMMYFUNCTION("""COMPUTED_VALUE"""),"EWON")</f>
        <v>EWON</v>
      </c>
      <c r="E247" s="593" t="str">
        <f>IFERROR(__xludf.DUMMYFUNCTION("""COMPUTED_VALUE"""),"APC")</f>
        <v>APC</v>
      </c>
      <c r="F247" s="593" t="str">
        <f>IFERROR(__xludf.DUMMYFUNCTION("""COMPUTED_VALUE"""),"SYMMETRA PX 160KW")</f>
        <v>SYMMETRA PX 160KW</v>
      </c>
      <c r="G247" s="490"/>
      <c r="H247" s="490"/>
      <c r="I247" s="490"/>
      <c r="J247" s="588" t="str">
        <f>IFERROR(__xludf.DUMMYFUNCTION("""COMPUTED_VALUE"""),"PDU")</f>
        <v>PDU</v>
      </c>
      <c r="K247" s="588"/>
      <c r="L247" s="588"/>
      <c r="M247" s="490" t="str">
        <f>IFERROR(__xludf.DUMMYFUNCTION("""COMPUTED_VALUE"""),"NETGEAR")</f>
        <v>NETGEAR</v>
      </c>
      <c r="N247" s="490" t="str">
        <f>IFERROR(__xludf.DUMMYFUNCTION("""COMPUTED_VALUE"""),"bos_nq_onlogic_cl200gateway")</f>
        <v>bos_nq_onlogic_cl200gateway</v>
      </c>
      <c r="O247" s="490"/>
      <c r="P247" s="490" t="s">
        <v>1387</v>
      </c>
    </row>
    <row r="248">
      <c r="A248" s="490"/>
      <c r="B248" s="490"/>
      <c r="C248" s="490"/>
      <c r="D248" s="593" t="str">
        <f>IFERROR(__xludf.DUMMYFUNCTION("""COMPUTED_VALUE"""),"EXICOM")</f>
        <v>EXICOM</v>
      </c>
      <c r="E248" s="593" t="str">
        <f>IFERROR(__xludf.DUMMYFUNCTION("""COMPUTED_VALUE"""),"APC")</f>
        <v>APC</v>
      </c>
      <c r="F248" s="593" t="str">
        <f>IFERROR(__xludf.DUMMYFUNCTION("""COMPUTED_VALUE"""),"SYMMETRA PX 40KW")</f>
        <v>SYMMETRA PX 40KW</v>
      </c>
      <c r="G248" s="490"/>
      <c r="H248" s="490"/>
      <c r="I248" s="586"/>
      <c r="J248" s="594" t="str">
        <f>IFERROR(__xludf.DUMMYFUNCTION("""COMPUTED_VALUE"""),"PFU")</f>
        <v>PFU</v>
      </c>
      <c r="K248" s="594"/>
      <c r="L248" s="594"/>
      <c r="M248" s="586" t="str">
        <f>IFERROR(__xludf.DUMMYFUNCTION("""COMPUTED_VALUE"""),"NETGEAR")</f>
        <v>NETGEAR</v>
      </c>
      <c r="N248" s="586" t="str">
        <f>IFERROR(__xludf.DUMMYFUNCTION("""COMPUTED_VALUE"""),"bos_nq_density_entrylongrange")</f>
        <v>bos_nq_density_entrylongrange</v>
      </c>
      <c r="O248" s="586"/>
      <c r="P248" s="586" t="s">
        <v>2556</v>
      </c>
    </row>
    <row r="249">
      <c r="A249" s="490"/>
      <c r="B249" s="490"/>
      <c r="C249" s="490"/>
      <c r="D249" s="593" t="str">
        <f>IFERROR(__xludf.DUMMYFUNCTION("""COMPUTED_VALUE"""),"EXITRONIX")</f>
        <v>EXITRONIX</v>
      </c>
      <c r="E249" s="593" t="str">
        <f>IFERROR(__xludf.DUMMYFUNCTION("""COMPUTED_VALUE"""),"APC")</f>
        <v>APC</v>
      </c>
      <c r="F249" s="593" t="str">
        <f>IFERROR(__xludf.DUMMYFUNCTION("""COMPUTED_VALUE"""),"SYMMETRA SYCF160KH")</f>
        <v>SYMMETRA SYCF160KH</v>
      </c>
      <c r="G249" s="490"/>
      <c r="H249" s="490"/>
      <c r="I249" s="586"/>
      <c r="J249" s="588" t="str">
        <f>IFERROR(__xludf.DUMMYFUNCTION("""COMPUTED_VALUE"""),"PHC")</f>
        <v>PHC</v>
      </c>
      <c r="K249" s="594"/>
      <c r="L249" s="594"/>
      <c r="M249" s="586" t="str">
        <f>IFERROR(__xludf.DUMMYFUNCTION("""COMPUTED_VALUE"""),"NETGEAR")</f>
        <v>NETGEAR</v>
      </c>
      <c r="N249" s="586" t="str">
        <f>IFERROR(__xludf.DUMMYFUNCTION("""COMPUTED_VALUE"""),"bos_nq_sicotronic_ze6000")</f>
        <v>bos_nq_sicotronic_ze6000</v>
      </c>
      <c r="O249" s="586"/>
      <c r="P249" s="586" t="s">
        <v>2567</v>
      </c>
    </row>
    <row r="250">
      <c r="A250" s="490"/>
      <c r="B250" s="490"/>
      <c r="C250" s="490"/>
      <c r="D250" s="593" t="str">
        <f>IFERROR(__xludf.DUMMYFUNCTION("""COMPUTED_VALUE"""),"EXODRAFT")</f>
        <v>EXODRAFT</v>
      </c>
      <c r="E250" s="593" t="str">
        <f>IFERROR(__xludf.DUMMYFUNCTION("""COMPUTED_VALUE"""),"APC")</f>
        <v>APC</v>
      </c>
      <c r="F250" s="593" t="str">
        <f>IFERROR(__xludf.DUMMYFUNCTION("""COMPUTED_VALUE"""),"GALAXY PW")</f>
        <v>GALAXY PW</v>
      </c>
      <c r="G250" s="490"/>
      <c r="H250" s="490"/>
      <c r="I250" s="490"/>
      <c r="J250" s="588" t="str">
        <f>IFERROR(__xludf.DUMMYFUNCTION("""COMPUTED_VALUE"""),"PHX")</f>
        <v>PHX</v>
      </c>
      <c r="K250" s="588"/>
      <c r="L250" s="588"/>
      <c r="M250" s="490" t="str">
        <f>IFERROR(__xludf.DUMMYFUNCTION("""COMPUTED_VALUE"""),"NETGEAR")</f>
        <v>NETGEAR</v>
      </c>
      <c r="N250" s="490" t="str">
        <f>IFERROR(__xludf.DUMMYFUNCTION("""COMPUTED_VALUE"""),"bos_nq_enlighted_em201")</f>
        <v>bos_nq_enlighted_em201</v>
      </c>
      <c r="O250" s="490"/>
      <c r="P250" s="490" t="s">
        <v>1419</v>
      </c>
    </row>
    <row r="251">
      <c r="A251" s="490"/>
      <c r="B251" s="490"/>
      <c r="C251" s="490"/>
      <c r="D251" s="593" t="str">
        <f>IFERROR(__xludf.DUMMYFUNCTION("""COMPUTED_VALUE"""),"EXOR")</f>
        <v>EXOR</v>
      </c>
      <c r="E251" s="593" t="str">
        <f>IFERROR(__xludf.DUMMYFUNCTION("""COMPUTED_VALUE"""),"APC")</f>
        <v>APC</v>
      </c>
      <c r="F251" s="593" t="str">
        <f>IFERROR(__xludf.DUMMYFUNCTION("""COMPUTED_VALUE"""),"GALAXY PW MGE 60")</f>
        <v>GALAXY PW MGE 60</v>
      </c>
      <c r="G251" s="490"/>
      <c r="H251" s="490"/>
      <c r="I251" s="490"/>
      <c r="J251" s="588" t="str">
        <f>IFERROR(__xludf.DUMMYFUNCTION("""COMPUTED_VALUE"""),"PLC")</f>
        <v>PLC</v>
      </c>
      <c r="K251" s="588"/>
      <c r="L251" s="588"/>
      <c r="M251" s="490" t="str">
        <f>IFERROR(__xludf.DUMMYFUNCTION("""COMPUTED_VALUE"""),"NETGEAR")</f>
        <v>NETGEAR</v>
      </c>
      <c r="N251" s="490" t="str">
        <f>IFERROR(__xludf.DUMMYFUNCTION("""COMPUTED_VALUE"""),"bos_nq_emerson_icomcontrolboard")</f>
        <v>bos_nq_emerson_icomcontrolboard</v>
      </c>
      <c r="O251" s="490"/>
      <c r="P251" s="490" t="s">
        <v>1429</v>
      </c>
    </row>
    <row r="252">
      <c r="A252" s="490"/>
      <c r="B252" s="490"/>
      <c r="C252" s="490"/>
      <c r="D252" s="593" t="str">
        <f>IFERROR(__xludf.DUMMYFUNCTION("""COMPUTED_VALUE"""),"EXOS")</f>
        <v>EXOS</v>
      </c>
      <c r="E252" s="593" t="str">
        <f>IFERROR(__xludf.DUMMYFUNCTION("""COMPUTED_VALUE"""),"APC")</f>
        <v>APC</v>
      </c>
      <c r="F252" s="593" t="str">
        <f>IFERROR(__xludf.DUMMYFUNCTION("""COMPUTED_VALUE"""),"GALAXY PW MGE 60")</f>
        <v>GALAXY PW MGE 60</v>
      </c>
      <c r="G252" s="490"/>
      <c r="H252" s="490"/>
      <c r="I252" s="490"/>
      <c r="J252" s="588" t="str">
        <f>IFERROR(__xludf.DUMMYFUNCTION("""COMPUTED_VALUE"""),"PMP")</f>
        <v>PMP</v>
      </c>
      <c r="K252" s="588"/>
      <c r="L252" s="588"/>
      <c r="M252" s="490" t="str">
        <f>IFERROR(__xludf.DUMMYFUNCTION("""COMPUTED_VALUE"""),"NETOPIA")</f>
        <v>NETOPIA</v>
      </c>
      <c r="N252" s="490" t="str">
        <f>IFERROR(__xludf.DUMMYFUNCTION("""COMPUTED_VALUE"""),"bos_nqm_daikin_dbacsbacnetgateway")</f>
        <v>bos_nqm_daikin_dbacsbacnetgateway</v>
      </c>
      <c r="O252" s="490"/>
      <c r="P252" s="490" t="s">
        <v>1409</v>
      </c>
    </row>
    <row r="253">
      <c r="A253" s="490"/>
      <c r="B253" s="490"/>
      <c r="C253" s="490"/>
      <c r="D253" s="593" t="str">
        <f>IFERROR(__xludf.DUMMYFUNCTION("""COMPUTED_VALUE"""),"EXPRESSO")</f>
        <v>EXPRESSO</v>
      </c>
      <c r="E253" s="593" t="str">
        <f>IFERROR(__xludf.DUMMYFUNCTION("""COMPUTED_VALUE"""),"APC")</f>
        <v>APC</v>
      </c>
      <c r="F253" s="593" t="str">
        <f>IFERROR(__xludf.DUMMYFUNCTION("""COMPUTED_VALUE"""),"MGE GALAXY 3500")</f>
        <v>MGE GALAXY 3500</v>
      </c>
      <c r="G253" s="490"/>
      <c r="H253" s="490"/>
      <c r="I253" s="490"/>
      <c r="J253" s="594" t="str">
        <f>IFERROR(__xludf.DUMMYFUNCTION("""COMPUTED_VALUE"""),"POEETS")</f>
        <v>POEETS</v>
      </c>
      <c r="K253" s="588"/>
      <c r="L253" s="588"/>
      <c r="M253" s="490" t="str">
        <f>IFERROR(__xludf.DUMMYFUNCTION("""COMPUTED_VALUE"""),"NOT VERIFIED")</f>
        <v>NOT VERIFIED</v>
      </c>
      <c r="N253" s="490" t="str">
        <f>IFERROR(__xludf.DUMMYFUNCTION("""COMPUTED_VALUE"""),"bos_nq_advantagecontrols_xscf3eh21")</f>
        <v>bos_nq_advantagecontrols_xscf3eh21</v>
      </c>
      <c r="O253" s="490"/>
      <c r="P253" s="490" t="s">
        <v>1448</v>
      </c>
    </row>
    <row r="254">
      <c r="A254" s="490"/>
      <c r="B254" s="490"/>
      <c r="C254" s="490"/>
      <c r="D254" s="593" t="str">
        <f>IFERROR(__xludf.DUMMYFUNCTION("""COMPUTED_VALUE"""),"EZVIZ")</f>
        <v>EZVIZ</v>
      </c>
      <c r="E254" s="593" t="str">
        <f>IFERROR(__xludf.DUMMYFUNCTION("""COMPUTED_VALUE"""),"APC")</f>
        <v>APC</v>
      </c>
      <c r="F254" s="593" t="str">
        <f>IFERROR(__xludf.DUMMYFUNCTION("""COMPUTED_VALUE"""),"SMART-UPS VT")</f>
        <v>SMART-UPS VT</v>
      </c>
      <c r="G254" s="490"/>
      <c r="H254" s="490"/>
      <c r="I254" s="490"/>
      <c r="J254" s="588" t="str">
        <f>IFERROR(__xludf.DUMMYFUNCTION("""COMPUTED_VALUE"""),"PP")</f>
        <v>PP</v>
      </c>
      <c r="K254" s="588"/>
      <c r="L254" s="588"/>
      <c r="M254" s="490" t="str">
        <f>IFERROR(__xludf.DUMMYFUNCTION("""COMPUTED_VALUE"""),"NTT")</f>
        <v>NTT</v>
      </c>
      <c r="N254" s="490" t="str">
        <f>IFERROR(__xludf.DUMMYFUNCTION("""COMPUTED_VALUE"""),"bos_lutron_arf2")</f>
        <v>bos_lutron_arf2</v>
      </c>
      <c r="O254" s="490"/>
      <c r="P254" s="490" t="s">
        <v>1439</v>
      </c>
    </row>
    <row r="255">
      <c r="A255" s="490"/>
      <c r="B255" s="490"/>
      <c r="C255" s="490"/>
      <c r="D255" s="593" t="str">
        <f>IFERROR(__xludf.DUMMYFUNCTION("""COMPUTED_VALUE"""),"FEC")</f>
        <v>FEC</v>
      </c>
      <c r="E255" s="593" t="str">
        <f>IFERROR(__xludf.DUMMYFUNCTION("""COMPUTED_VALUE"""),"APC")</f>
        <v>APC</v>
      </c>
      <c r="F255" s="593" t="str">
        <f>IFERROR(__xludf.DUMMYFUNCTION("""COMPUTED_VALUE"""),"SYMMETRA PX 40KW")</f>
        <v>SYMMETRA PX 40KW</v>
      </c>
      <c r="G255" s="490"/>
      <c r="H255" s="490"/>
      <c r="I255" s="490"/>
      <c r="J255" s="588" t="str">
        <f>IFERROR(__xludf.DUMMYFUNCTION("""COMPUTED_VALUE"""),"PRFV")</f>
        <v>PRFV</v>
      </c>
      <c r="K255" s="588"/>
      <c r="L255" s="588"/>
      <c r="M255" s="490" t="str">
        <f>IFERROR(__xludf.DUMMYFUNCTION("""COMPUTED_VALUE"""),"OPTCONNECT")</f>
        <v>OPTCONNECT</v>
      </c>
      <c r="N255" s="490" t="str">
        <f>IFERROR(__xludf.DUMMYFUNCTION("""COMPUTED_VALUE"""),"bos_nq_epaysystems_waltert11")</f>
        <v>bos_nq_epaysystems_waltert11</v>
      </c>
      <c r="O255" s="490"/>
      <c r="P255" s="490" t="s">
        <v>2638</v>
      </c>
    </row>
    <row r="256">
      <c r="A256" s="490"/>
      <c r="B256" s="490"/>
      <c r="C256" s="490"/>
      <c r="D256" s="593" t="str">
        <f>IFERROR(__xludf.DUMMYFUNCTION("""COMPUTED_VALUE"""),"FIELD SERVER")</f>
        <v>FIELD SERVER</v>
      </c>
      <c r="E256" s="593" t="str">
        <f>IFERROR(__xludf.DUMMYFUNCTION("""COMPUTED_VALUE"""),"APC")</f>
        <v>APC</v>
      </c>
      <c r="F256" s="593" t="str">
        <f>IFERROR(__xludf.DUMMYFUNCTION("""COMPUTED_VALUE"""),"SYMMETRA LX")</f>
        <v>SYMMETRA LX</v>
      </c>
      <c r="G256" s="490"/>
      <c r="H256" s="490"/>
      <c r="I256" s="490"/>
      <c r="J256" s="588" t="str">
        <f>IFERROR(__xludf.DUMMYFUNCTION("""COMPUTED_VALUE"""),"PRLD")</f>
        <v>PRLD</v>
      </c>
      <c r="K256" s="588"/>
      <c r="L256" s="588"/>
      <c r="M256" s="490" t="str">
        <f>IFERROR(__xludf.DUMMYFUNCTION("""COMPUTED_VALUE"""),"OPTCONNECT")</f>
        <v>OPTCONNECT</v>
      </c>
      <c r="N256" s="490" t="str">
        <f>IFERROR(__xludf.DUMMYFUNCTION("""COMPUTED_VALUE"""),"bos_nq_assaabloy_traka")</f>
        <v>bos_nq_assaabloy_traka</v>
      </c>
      <c r="O256" s="490"/>
      <c r="P256" s="490" t="s">
        <v>797</v>
      </c>
    </row>
    <row r="257">
      <c r="A257" s="490"/>
      <c r="B257" s="490"/>
      <c r="C257" s="490"/>
      <c r="D257" s="593" t="str">
        <f>IFERROR(__xludf.DUMMYFUNCTION("""COMPUTED_VALUE"""),"FLAKTGROUP")</f>
        <v>FLAKTGROUP</v>
      </c>
      <c r="E257" s="593" t="str">
        <f>IFERROR(__xludf.DUMMYFUNCTION("""COMPUTED_VALUE"""),"APC")</f>
        <v>APC</v>
      </c>
      <c r="F257" s="593" t="str">
        <f>IFERROR(__xludf.DUMMYFUNCTION("""COMPUTED_VALUE"""),"SYMMETRA PX")</f>
        <v>SYMMETRA PX</v>
      </c>
      <c r="G257" s="490"/>
      <c r="H257" s="490"/>
      <c r="I257" s="490"/>
      <c r="J257" s="589" t="str">
        <f>IFERROR(__xludf.DUMMYFUNCTION("""COMPUTED_VALUE"""),"PRNTR")</f>
        <v>PRNTR</v>
      </c>
      <c r="K257" s="588"/>
      <c r="L257" s="588"/>
      <c r="M257" s="490" t="str">
        <f>IFERROR(__xludf.DUMMYFUNCTION("""COMPUTED_VALUE"""),"OPTCONNECT")</f>
        <v>OPTCONNECT</v>
      </c>
      <c r="N257" s="490" t="str">
        <f>IFERROR(__xludf.DUMMYFUNCTION("""COMPUTED_VALUE"""),"bos_nq_lg_m4864p6b")</f>
        <v>bos_nq_lg_m4864p6b</v>
      </c>
      <c r="O257" s="490"/>
      <c r="P257" s="490" t="s">
        <v>1481</v>
      </c>
    </row>
    <row r="258">
      <c r="A258" s="490"/>
      <c r="B258" s="490"/>
      <c r="C258" s="490"/>
      <c r="D258" s="593" t="str">
        <f>IFERROR(__xludf.DUMMYFUNCTION("""COMPUTED_VALUE"""),"FLEXEM")</f>
        <v>FLEXEM</v>
      </c>
      <c r="E258" s="593" t="str">
        <f>IFERROR(__xludf.DUMMYFUNCTION("""COMPUTED_VALUE"""),"APC")</f>
        <v>APC</v>
      </c>
      <c r="F258" s="593" t="str">
        <f>IFERROR(__xludf.DUMMYFUNCTION("""COMPUTED_VALUE"""),"SYMMETRA PX 16KVA")</f>
        <v>SYMMETRA PX 16KVA</v>
      </c>
      <c r="G258" s="490"/>
      <c r="H258" s="490"/>
      <c r="I258" s="490"/>
      <c r="J258" s="588" t="str">
        <f>IFERROR(__xludf.DUMMYFUNCTION("""COMPUTED_VALUE"""),"PRV")</f>
        <v>PRV</v>
      </c>
      <c r="K258" s="588"/>
      <c r="L258" s="588"/>
      <c r="M258" s="490" t="str">
        <f>IFERROR(__xludf.DUMMYFUNCTION("""COMPUTED_VALUE"""),"OPTCONNECT")</f>
        <v>OPTCONNECT</v>
      </c>
      <c r="N258" s="490" t="str">
        <f>IFERROR(__xludf.DUMMYFUNCTION("""COMPUTED_VALUE"""),"bos_nq_siemens_climatixpol908")</f>
        <v>bos_nq_siemens_climatixpol908</v>
      </c>
      <c r="O258" s="490"/>
      <c r="P258" s="490" t="s">
        <v>1492</v>
      </c>
    </row>
    <row r="259">
      <c r="A259" s="490"/>
      <c r="B259" s="490"/>
      <c r="C259" s="490"/>
      <c r="D259" s="593" t="str">
        <f>IFERROR(__xludf.DUMMYFUNCTION("""COMPUTED_VALUE"""),"FLOWDIGITAL")</f>
        <v>FLOWDIGITAL</v>
      </c>
      <c r="E259" s="593" t="str">
        <f>IFERROR(__xludf.DUMMYFUNCTION("""COMPUTED_VALUE"""),"APC")</f>
        <v>APC</v>
      </c>
      <c r="F259" s="593" t="str">
        <f>IFERROR(__xludf.DUMMYFUNCTION("""COMPUTED_VALUE"""),"SYMMETRA PX 160")</f>
        <v>SYMMETRA PX 160</v>
      </c>
      <c r="G259" s="490"/>
      <c r="H259" s="490"/>
      <c r="I259" s="490"/>
      <c r="J259" s="594" t="str">
        <f>IFERROR(__xludf.DUMMYFUNCTION("""COMPUTED_VALUE"""),"PS")</f>
        <v>PS</v>
      </c>
      <c r="K259" s="588"/>
      <c r="L259" s="588"/>
      <c r="M259" s="490" t="str">
        <f>IFERROR(__xludf.DUMMYFUNCTION("""COMPUTED_VALUE"""),"OPTCONNECT")</f>
        <v>OPTCONNECT</v>
      </c>
      <c r="N259" s="490" t="str">
        <f>IFERROR(__xludf.DUMMYFUNCTION("""COMPUTED_VALUE"""),"bos_nqm_mitsubishi_bachd150")</f>
        <v>bos_nqm_mitsubishi_bachd150</v>
      </c>
      <c r="O259" s="490"/>
      <c r="P259" s="490" t="s">
        <v>1470</v>
      </c>
    </row>
    <row r="260">
      <c r="A260" s="490"/>
      <c r="B260" s="490"/>
      <c r="C260" s="490"/>
      <c r="D260" s="593" t="str">
        <f>IFERROR(__xludf.DUMMYFUNCTION("""COMPUTED_VALUE"""),"FLOWLINETW")</f>
        <v>FLOWLINETW</v>
      </c>
      <c r="E260" s="593" t="str">
        <f>IFERROR(__xludf.DUMMYFUNCTION("""COMPUTED_VALUE"""),"APC")</f>
        <v>APC</v>
      </c>
      <c r="F260" s="593" t="str">
        <f>IFERROR(__xludf.DUMMYFUNCTION("""COMPUTED_VALUE"""),"SYMMETRA 48K")</f>
        <v>SYMMETRA 48K</v>
      </c>
      <c r="G260" s="490"/>
      <c r="H260" s="490"/>
      <c r="I260" s="490"/>
      <c r="J260" s="588" t="str">
        <f>IFERROR(__xludf.DUMMYFUNCTION("""COMPUTED_VALUE"""),"PTZCAM")</f>
        <v>PTZCAM</v>
      </c>
      <c r="K260" s="588"/>
      <c r="L260" s="588"/>
      <c r="M260" s="490" t="str">
        <f>IFERROR(__xludf.DUMMYFUNCTION("""COMPUTED_VALUE"""),"OPTCONNECT")</f>
        <v>OPTCONNECT</v>
      </c>
      <c r="N260" s="490" t="str">
        <f>IFERROR(__xludf.DUMMYFUNCTION("""COMPUTED_VALUE"""),"bos_nq_philips_dynalitegateway")</f>
        <v>bos_nq_philips_dynalitegateway</v>
      </c>
      <c r="O260" s="490"/>
      <c r="P260" s="490" t="s">
        <v>2684</v>
      </c>
    </row>
    <row r="261">
      <c r="A261" s="490"/>
      <c r="B261" s="490"/>
      <c r="C261" s="490"/>
      <c r="D261" s="593" t="str">
        <f>IFERROR(__xludf.DUMMYFUNCTION("""COMPUTED_VALUE"""),"FLOWTECH")</f>
        <v>FLOWTECH</v>
      </c>
      <c r="E261" s="593" t="str">
        <f>IFERROR(__xludf.DUMMYFUNCTION("""COMPUTED_VALUE"""),"APC")</f>
        <v>APC</v>
      </c>
      <c r="F261" s="593" t="str">
        <f>IFERROR(__xludf.DUMMYFUNCTION("""COMPUTED_VALUE"""),"BR900MI")</f>
        <v>BR900MI</v>
      </c>
      <c r="G261" s="490"/>
      <c r="H261" s="490"/>
      <c r="I261" s="490"/>
      <c r="J261" s="594" t="str">
        <f>IFERROR(__xludf.DUMMYFUNCTION("""COMPUTED_VALUE"""),"PU")</f>
        <v>PU</v>
      </c>
      <c r="K261" s="588"/>
      <c r="L261" s="588"/>
      <c r="M261" s="490" t="str">
        <f>IFERROR(__xludf.DUMMYFUNCTION("""COMPUTED_VALUE"""),"PB PICOBOX")</f>
        <v>PB PICOBOX</v>
      </c>
      <c r="N261" s="490" t="str">
        <f>IFERROR(__xludf.DUMMYFUNCTION("""COMPUTED_VALUE"""),"bos_nq_tbs_3d")</f>
        <v>bos_nq_tbs_3d</v>
      </c>
      <c r="O261" s="490"/>
      <c r="P261" s="490" t="s">
        <v>2704</v>
      </c>
    </row>
    <row r="262">
      <c r="A262" s="490"/>
      <c r="B262" s="490"/>
      <c r="C262" s="490"/>
      <c r="D262" s="593" t="str">
        <f>IFERROR(__xludf.DUMMYFUNCTION("""COMPUTED_VALUE"""),"FLOWTHERM")</f>
        <v>FLOWTHERM</v>
      </c>
      <c r="E262" s="593" t="str">
        <f>IFERROR(__xludf.DUMMYFUNCTION("""COMPUTED_VALUE"""),"APC")</f>
        <v>APC</v>
      </c>
      <c r="F262" s="593" t="str">
        <f>IFERROR(__xludf.DUMMYFUNCTION("""COMPUTED_VALUE"""),"SRT10KXLI")</f>
        <v>SRT10KXLI</v>
      </c>
      <c r="G262" s="490"/>
      <c r="H262" s="490"/>
      <c r="I262" s="490"/>
      <c r="J262" s="588" t="str">
        <f>IFERROR(__xludf.DUMMYFUNCTION("""COMPUTED_VALUE"""),"PVACDS")</f>
        <v>PVACDS</v>
      </c>
      <c r="K262" s="588"/>
      <c r="L262" s="588"/>
      <c r="M262" s="490" t="str">
        <f>IFERROR(__xludf.DUMMYFUNCTION("""COMPUTED_VALUE"""),"PEPLINK")</f>
        <v>PEPLINK</v>
      </c>
      <c r="N262" s="490" t="str">
        <f>IFERROR(__xludf.DUMMYFUNCTION("""COMPUTED_VALUE"""),"bos_nq_trend_iq4nc")</f>
        <v>bos_nq_trend_iq4nc</v>
      </c>
      <c r="O262" s="490"/>
      <c r="P262" s="490" t="s">
        <v>2715</v>
      </c>
    </row>
    <row r="263">
      <c r="A263" s="490"/>
      <c r="B263" s="490"/>
      <c r="C263" s="490"/>
      <c r="D263" s="593" t="str">
        <f>IFERROR(__xludf.DUMMYFUNCTION("""COMPUTED_VALUE"""),"FLUIDWELL")</f>
        <v>FLUIDWELL</v>
      </c>
      <c r="E263" s="593" t="str">
        <f>IFERROR(__xludf.DUMMYFUNCTION("""COMPUTED_VALUE"""),"APC")</f>
        <v>APC</v>
      </c>
      <c r="F263" s="593" t="str">
        <f>IFERROR(__xludf.DUMMYFUNCTION("""COMPUTED_VALUE"""),"SRV3KI-AR")</f>
        <v>SRV3KI-AR</v>
      </c>
      <c r="G263" s="490"/>
      <c r="H263" s="490"/>
      <c r="I263" s="586"/>
      <c r="J263" s="594" t="str">
        <f>IFERROR(__xludf.DUMMYFUNCTION("""COMPUTED_VALUE"""),"PVDAS")</f>
        <v>PVDAS</v>
      </c>
      <c r="K263" s="594"/>
      <c r="L263" s="594"/>
      <c r="M263" s="586" t="str">
        <f>IFERROR(__xludf.DUMMYFUNCTION("""COMPUTED_VALUE"""),"PEPLINK")</f>
        <v>PEPLINK</v>
      </c>
      <c r="N263" s="586" t="str">
        <f>IFERROR(__xludf.DUMMYFUNCTION("""COMPUTED_VALUE"""),"bos_nq_tbs_2dmove")</f>
        <v>bos_nq_tbs_2dmove</v>
      </c>
      <c r="O263" s="586"/>
      <c r="P263" s="586" t="s">
        <v>2726</v>
      </c>
    </row>
    <row r="264">
      <c r="A264" s="490"/>
      <c r="B264" s="490"/>
      <c r="C264" s="490"/>
      <c r="D264" s="593" t="str">
        <f>IFERROR(__xludf.DUMMYFUNCTION("""COMPUTED_VALUE"""),"FLUTEC")</f>
        <v>FLUTEC</v>
      </c>
      <c r="E264" s="593" t="str">
        <f>IFERROR(__xludf.DUMMYFUNCTION("""COMPUTED_VALUE"""),"APC")</f>
        <v>APC</v>
      </c>
      <c r="F264" s="593" t="str">
        <f>IFERROR(__xludf.DUMMYFUNCTION("""COMPUTED_VALUE"""),"SRC3000XLI")</f>
        <v>SRC3000XLI</v>
      </c>
      <c r="G264" s="490"/>
      <c r="H264" s="490"/>
      <c r="I264" s="490"/>
      <c r="J264" s="588" t="str">
        <f>IFERROR(__xludf.DUMMYFUNCTION("""COMPUTED_VALUE"""),"PVDB")</f>
        <v>PVDB</v>
      </c>
      <c r="K264" s="588"/>
      <c r="L264" s="588"/>
      <c r="M264" s="490" t="str">
        <f>IFERROR(__xludf.DUMMYFUNCTION("""COMPUTED_VALUE"""),"PEPLINK")</f>
        <v>PEPLINK</v>
      </c>
      <c r="N264" s="490" t="str">
        <f>IFERROR(__xludf.DUMMYFUNCTION("""COMPUTED_VALUE"""),"bos_nq_schneider_homelynk")</f>
        <v>bos_nq_schneider_homelynk</v>
      </c>
      <c r="O264" s="490"/>
      <c r="P264" s="490" t="s">
        <v>808</v>
      </c>
    </row>
    <row r="265">
      <c r="A265" s="490"/>
      <c r="B265" s="490"/>
      <c r="C265" s="490"/>
      <c r="D265" s="593" t="str">
        <f>IFERROR(__xludf.DUMMYFUNCTION("""COMPUTED_VALUE"""),"FOUR FAITH")</f>
        <v>FOUR FAITH</v>
      </c>
      <c r="E265" s="593" t="str">
        <f>IFERROR(__xludf.DUMMYFUNCTION("""COMPUTED_VALUE"""),"APC")</f>
        <v>APC</v>
      </c>
      <c r="F265" s="593" t="str">
        <f>IFERROR(__xludf.DUMMYFUNCTION("""COMPUTED_VALUE"""),"AP9635CH")</f>
        <v>AP9635CH</v>
      </c>
      <c r="G265" s="490"/>
      <c r="H265" s="490"/>
      <c r="I265" s="490"/>
      <c r="J265" s="588" t="str">
        <f>IFERROR(__xludf.DUMMYFUNCTION("""COMPUTED_VALUE"""),"PVDCC")</f>
        <v>PVDCC</v>
      </c>
      <c r="K265" s="588"/>
      <c r="L265" s="588"/>
      <c r="M265" s="490" t="str">
        <f>IFERROR(__xludf.DUMMYFUNCTION("""COMPUTED_VALUE"""),"PEPLINK")</f>
        <v>PEPLINK</v>
      </c>
      <c r="N265" s="490" t="str">
        <f>IFERROR(__xludf.DUMMYFUNCTION("""COMPUTED_VALUE"""),"bos_nq_johnsoncontrols_msnce25660")</f>
        <v>bos_nq_johnsoncontrols_msnce25660</v>
      </c>
      <c r="O265" s="490"/>
      <c r="P265" s="490" t="s">
        <v>1915</v>
      </c>
    </row>
    <row r="266">
      <c r="A266" s="490"/>
      <c r="B266" s="490"/>
      <c r="C266" s="490"/>
      <c r="D266" s="593" t="str">
        <f>IFERROR(__xludf.DUMMYFUNCTION("""COMPUTED_VALUE"""),"FRANCE AIR")</f>
        <v>FRANCE AIR</v>
      </c>
      <c r="E266" s="593" t="str">
        <f>IFERROR(__xludf.DUMMYFUNCTION("""COMPUTED_VALUE"""),"APC")</f>
        <v>APC</v>
      </c>
      <c r="F266" s="593" t="str">
        <f>IFERROR(__xludf.DUMMYFUNCTION("""COMPUTED_VALUE"""),"SMART-UPS RT 15KVA")</f>
        <v>SMART-UPS RT 15KVA</v>
      </c>
      <c r="G266" s="490"/>
      <c r="H266" s="490"/>
      <c r="I266" s="490"/>
      <c r="J266" s="588" t="str">
        <f>IFERROR(__xludf.DUMMYFUNCTION("""COMPUTED_VALUE"""),"PVDCDS")</f>
        <v>PVDCDS</v>
      </c>
      <c r="K266" s="588"/>
      <c r="L266" s="588"/>
      <c r="M266" s="490" t="str">
        <f>IFERROR(__xludf.DUMMYFUNCTION("""COMPUTED_VALUE"""),"PEPLINK")</f>
        <v>PEPLINK</v>
      </c>
      <c r="N266" s="490" t="str">
        <f>IFERROR(__xludf.DUMMYFUNCTION("""COMPUTED_VALUE"""),"bos_nq_redlion_g304k200")</f>
        <v>bos_nq_redlion_g304k200</v>
      </c>
      <c r="O266" s="490"/>
      <c r="P266" s="490" t="s">
        <v>9266</v>
      </c>
    </row>
    <row r="267">
      <c r="A267" s="490"/>
      <c r="B267" s="490"/>
      <c r="C267" s="490"/>
      <c r="D267" s="593" t="str">
        <f>IFERROR(__xludf.DUMMYFUNCTION("""COMPUTED_VALUE"""),"FRANKE")</f>
        <v>FRANKE</v>
      </c>
      <c r="E267" s="593" t="str">
        <f>IFERROR(__xludf.DUMMYFUNCTION("""COMPUTED_VALUE"""),"APC")</f>
        <v>APC</v>
      </c>
      <c r="F267" s="593" t="str">
        <f>IFERROR(__xludf.DUMMYFUNCTION("""COMPUTED_VALUE"""),"SMART-UPS RT 15KVA")</f>
        <v>SMART-UPS RT 15KVA</v>
      </c>
      <c r="G267" s="490"/>
      <c r="H267" s="490"/>
      <c r="I267" s="490"/>
      <c r="J267" s="588" t="str">
        <f>IFERROR(__xludf.DUMMYFUNCTION("""COMPUTED_VALUE"""),"PVI")</f>
        <v>PVI</v>
      </c>
      <c r="K267" s="588"/>
      <c r="L267" s="588"/>
      <c r="M267" s="490" t="str">
        <f>IFERROR(__xludf.DUMMYFUNCTION("""COMPUTED_VALUE"""),"PHAROS")</f>
        <v>PHAROS</v>
      </c>
      <c r="N267" s="490" t="str">
        <f>IFERROR(__xludf.DUMMYFUNCTION("""COMPUTED_VALUE"""),"bos_barron_guardian_g3_gw")</f>
        <v>bos_barron_guardian_g3_gw</v>
      </c>
      <c r="O267" s="490"/>
      <c r="P267" s="490" t="s">
        <v>9272</v>
      </c>
    </row>
    <row r="268">
      <c r="A268" s="490"/>
      <c r="B268" s="490"/>
      <c r="C268" s="490"/>
      <c r="D268" s="593" t="str">
        <f>IFERROR(__xludf.DUMMYFUNCTION("""COMPUTED_VALUE"""),"FRESE")</f>
        <v>FRESE</v>
      </c>
      <c r="E268" s="593" t="str">
        <f>IFERROR(__xludf.DUMMYFUNCTION("""COMPUTED_VALUE"""),"APC")</f>
        <v>APC</v>
      </c>
      <c r="F268" s="593" t="str">
        <f>IFERROR(__xludf.DUMMYFUNCTION("""COMPUTED_VALUE"""),"SYMMETRA PX OG-9354A")</f>
        <v>SYMMETRA PX OG-9354A</v>
      </c>
      <c r="G268" s="490"/>
      <c r="H268" s="490"/>
      <c r="I268" s="490"/>
      <c r="J268" s="588" t="str">
        <f>IFERROR(__xludf.DUMMYFUNCTION("""COMPUTED_VALUE"""),"PVMC")</f>
        <v>PVMC</v>
      </c>
      <c r="K268" s="588"/>
      <c r="L268" s="588"/>
      <c r="M268" s="490" t="str">
        <f>IFERROR(__xludf.DUMMYFUNCTION("""COMPUTED_VALUE"""),"PHEONIX CONTACT")</f>
        <v>PHEONIX CONTACT</v>
      </c>
      <c r="N268" s="490" t="str">
        <f>IFERROR(__xludf.DUMMYFUNCTION("""COMPUTED_VALUE"""),"bos_nqm_redlion_g304k200")</f>
        <v>bos_nqm_redlion_g304k200</v>
      </c>
      <c r="O268" s="490"/>
      <c r="P268" s="490" t="s">
        <v>9275</v>
      </c>
    </row>
    <row r="269">
      <c r="A269" s="490"/>
      <c r="B269" s="490"/>
      <c r="C269" s="490"/>
      <c r="D269" s="593" t="str">
        <f>IFERROR(__xludf.DUMMYFUNCTION("""COMPUTED_VALUE"""),"FRESH &amp; HONEST")</f>
        <v>FRESH &amp; HONEST</v>
      </c>
      <c r="E269" s="593" t="str">
        <f>IFERROR(__xludf.DUMMYFUNCTION("""COMPUTED_VALUE"""),"APC")</f>
        <v>APC</v>
      </c>
      <c r="F269" s="593" t="str">
        <f>IFERROR(__xludf.DUMMYFUNCTION("""COMPUTED_VALUE"""),"SMART RT 15KVA 208")</f>
        <v>SMART RT 15KVA 208</v>
      </c>
      <c r="G269" s="490"/>
      <c r="H269" s="490"/>
      <c r="I269" s="490"/>
      <c r="J269" s="588" t="str">
        <f>IFERROR(__xludf.DUMMYFUNCTION("""COMPUTED_VALUE"""),"PVMLPE")</f>
        <v>PVMLPE</v>
      </c>
      <c r="K269" s="588"/>
      <c r="L269" s="588"/>
      <c r="M269" s="490" t="str">
        <f>IFERROR(__xludf.DUMMYFUNCTION("""COMPUTED_VALUE"""),"PHOENIX CONTACT")</f>
        <v>PHOENIX CONTACT</v>
      </c>
      <c r="N269" s="490" t="str">
        <f>IFERROR(__xludf.DUMMYFUNCTION("""COMPUTED_VALUE"""),"bos_nq_lg_pbacna000")</f>
        <v>bos_nq_lg_pbacna000</v>
      </c>
      <c r="O269" s="490"/>
      <c r="P269" s="490" t="s">
        <v>9277</v>
      </c>
    </row>
    <row r="270">
      <c r="A270" s="490"/>
      <c r="B270" s="490"/>
      <c r="C270" s="490"/>
      <c r="D270" s="593" t="str">
        <f>IFERROR(__xludf.DUMMYFUNCTION("""COMPUTED_VALUE"""),"FRITZ!BOX")</f>
        <v>FRITZ!BOX</v>
      </c>
      <c r="E270" s="593" t="str">
        <f>IFERROR(__xludf.DUMMYFUNCTION("""COMPUTED_VALUE"""),"APC")</f>
        <v>APC</v>
      </c>
      <c r="F270" s="593" t="str">
        <f>IFERROR(__xludf.DUMMYFUNCTION("""COMPUTED_VALUE"""),"SMART RT 15KVA 208")</f>
        <v>SMART RT 15KVA 208</v>
      </c>
      <c r="G270" s="490"/>
      <c r="H270" s="490"/>
      <c r="I270" s="490"/>
      <c r="J270" s="588" t="str">
        <f>IFERROR(__xludf.DUMMYFUNCTION("""COMPUTED_VALUE"""),"PVP")</f>
        <v>PVP</v>
      </c>
      <c r="K270" s="588"/>
      <c r="L270" s="588"/>
      <c r="M270" s="490" t="str">
        <f>IFERROR(__xludf.DUMMYFUNCTION("""COMPUTED_VALUE"""),"PHOENIX CONTACT")</f>
        <v>PHOENIX CONTACT</v>
      </c>
      <c r="N270" s="490" t="str">
        <f>IFERROR(__xludf.DUMMYFUNCTION("""COMPUTED_VALUE"""),"bos_nq_tria_gateway")</f>
        <v>bos_nq_tria_gateway</v>
      </c>
      <c r="O270" s="490"/>
      <c r="P270" s="490" t="s">
        <v>9280</v>
      </c>
    </row>
    <row r="271">
      <c r="A271" s="490"/>
      <c r="B271" s="490"/>
      <c r="C271" s="490"/>
      <c r="D271" s="593" t="str">
        <f>IFERROR(__xludf.DUMMYFUNCTION("""COMPUTED_VALUE"""),"FUJI ELECTRIC")</f>
        <v>FUJI ELECTRIC</v>
      </c>
      <c r="E271" s="593" t="str">
        <f>IFERROR(__xludf.DUMMYFUNCTION("""COMPUTED_VALUE"""),"APC")</f>
        <v>APC</v>
      </c>
      <c r="F271" s="593" t="str">
        <f>IFERROR(__xludf.DUMMYFUNCTION("""COMPUTED_VALUE"""),"AP9640")</f>
        <v>AP9640</v>
      </c>
      <c r="G271" s="490"/>
      <c r="H271" s="490"/>
      <c r="I271" s="490"/>
      <c r="J271" s="594" t="str">
        <f>IFERROR(__xludf.DUMMYFUNCTION("""COMPUTED_VALUE"""),"PVTXMR")</f>
        <v>PVTXMR</v>
      </c>
      <c r="K271" s="588"/>
      <c r="L271" s="588"/>
      <c r="M271" s="490" t="str">
        <f>IFERROR(__xludf.DUMMYFUNCTION("""COMPUTED_VALUE"""),"PHOENIX CONTACT")</f>
        <v>PHOENIX CONTACT</v>
      </c>
      <c r="N271" s="490" t="str">
        <f>IFERROR(__xludf.DUMMYFUNCTION("""COMPUTED_VALUE"""),"bos_nq_sclera_fw178140")</f>
        <v>bos_nq_sclera_fw178140</v>
      </c>
      <c r="O271" s="490"/>
      <c r="P271" s="490" t="s">
        <v>9282</v>
      </c>
    </row>
    <row r="272">
      <c r="A272" s="490"/>
      <c r="B272" s="490"/>
      <c r="C272" s="490"/>
      <c r="D272" s="593" t="str">
        <f>IFERROR(__xludf.DUMMYFUNCTION("""COMPUTED_VALUE"""),"FUJITSU")</f>
        <v>FUJITSU</v>
      </c>
      <c r="E272" s="593" t="str">
        <f>IFERROR(__xludf.DUMMYFUNCTION("""COMPUTED_VALUE"""),"APC")</f>
        <v>APC</v>
      </c>
      <c r="F272" s="593" t="str">
        <f>IFERROR(__xludf.DUMMYFUNCTION("""COMPUTED_VALUE"""),"AP9547")</f>
        <v>AP9547</v>
      </c>
      <c r="G272" s="490"/>
      <c r="H272" s="490"/>
      <c r="I272" s="490"/>
      <c r="J272" s="588" t="str">
        <f>IFERROR(__xludf.DUMMYFUNCTION("""COMPUTED_VALUE"""),"PWP")</f>
        <v>PWP</v>
      </c>
      <c r="K272" s="588"/>
      <c r="L272" s="588"/>
      <c r="M272" s="490" t="str">
        <f>IFERROR(__xludf.DUMMYFUNCTION("""COMPUTED_VALUE"""),"PHOENIX CONTACT")</f>
        <v>PHOENIX CONTACT</v>
      </c>
      <c r="N272" s="490" t="str">
        <f>IFERROR(__xludf.DUMMYFUNCTION("""COMPUTED_VALUE"""),"bos_delta_red5_edge_room")</f>
        <v>bos_delta_red5_edge_room</v>
      </c>
      <c r="O272" s="490"/>
      <c r="P272" s="490" t="s">
        <v>9285</v>
      </c>
    </row>
    <row r="273">
      <c r="A273" s="490"/>
      <c r="B273" s="490"/>
      <c r="C273" s="490"/>
      <c r="D273" s="593" t="str">
        <f>IFERROR(__xludf.DUMMYFUNCTION("""COMPUTED_VALUE"""),"FUNCTIONAL DEVICES")</f>
        <v>FUNCTIONAL DEVICES</v>
      </c>
      <c r="E273" s="593" t="str">
        <f>IFERROR(__xludf.DUMMYFUNCTION("""COMPUTED_VALUE"""),"APC")</f>
        <v>APC</v>
      </c>
      <c r="F273" s="593" t="str">
        <f>IFERROR(__xludf.DUMMYFUNCTION("""COMPUTED_VALUE"""),"AP9630 / 30CH")</f>
        <v>AP9630 / 30CH</v>
      </c>
      <c r="G273" s="490"/>
      <c r="H273" s="490"/>
      <c r="I273" s="490"/>
      <c r="J273" s="588" t="str">
        <f>IFERROR(__xludf.DUMMYFUNCTION("""COMPUTED_VALUE"""),"PWV")</f>
        <v>PWV</v>
      </c>
      <c r="K273" s="588"/>
      <c r="L273" s="588"/>
      <c r="M273" s="490" t="str">
        <f>IFERROR(__xludf.DUMMYFUNCTION("""COMPUTED_VALUE"""),"PHOENIX CONTACT")</f>
        <v>PHOENIX CONTACT</v>
      </c>
      <c r="N273" s="490" t="str">
        <f>IFERROR(__xludf.DUMMYFUNCTION("""COMPUTED_VALUE"""),"bos_delta_red5_plus_room")</f>
        <v>bos_delta_red5_plus_room</v>
      </c>
      <c r="O273" s="490"/>
      <c r="P273" s="490" t="s">
        <v>8069</v>
      </c>
    </row>
    <row r="274">
      <c r="A274" s="490"/>
      <c r="B274" s="490"/>
      <c r="C274" s="490"/>
      <c r="D274" s="593" t="str">
        <f>IFERROR(__xludf.DUMMYFUNCTION("""COMPUTED_VALUE"""),"FUSHI ICE MOUNTAIN")</f>
        <v>FUSHI ICE MOUNTAIN</v>
      </c>
      <c r="E274" s="593" t="str">
        <f>IFERROR(__xludf.DUMMYFUNCTION("""COMPUTED_VALUE"""),"APC")</f>
        <v>APC</v>
      </c>
      <c r="F274" s="593" t="str">
        <f>IFERROR(__xludf.DUMMYFUNCTION("""COMPUTED_VALUE"""),"AP9631/31CH")</f>
        <v>AP9631/31CH</v>
      </c>
      <c r="G274" s="490"/>
      <c r="H274" s="490"/>
      <c r="I274" s="490"/>
      <c r="J274" s="594" t="str">
        <f>IFERROR(__xludf.DUMMYFUNCTION("""COMPUTED_VALUE"""),"RAC")</f>
        <v>RAC</v>
      </c>
      <c r="K274" s="588"/>
      <c r="L274" s="588"/>
      <c r="M274" s="490" t="str">
        <f>IFERROR(__xludf.DUMMYFUNCTION("""COMPUTED_VALUE"""),"PHOENIX CONTACT")</f>
        <v>PHOENIX CONTACT</v>
      </c>
      <c r="N274" s="490" t="str">
        <f>IFERROR(__xludf.DUMMYFUNCTION("""COMPUTED_VALUE"""),"bos_distech_ecy303")</f>
        <v>bos_distech_ecy303</v>
      </c>
      <c r="O274" s="490"/>
      <c r="P274" s="490" t="s">
        <v>8095</v>
      </c>
    </row>
    <row r="275">
      <c r="A275" s="490"/>
      <c r="B275" s="490"/>
      <c r="C275" s="490"/>
      <c r="D275" s="593" t="str">
        <f>IFERROR(__xludf.DUMMYFUNCTION("""COMPUTED_VALUE"""),"GAGGIA")</f>
        <v>GAGGIA</v>
      </c>
      <c r="E275" s="593" t="str">
        <f>IFERROR(__xludf.DUMMYFUNCTION("""COMPUTED_VALUE"""),"APC")</f>
        <v>APC</v>
      </c>
      <c r="F275" s="593" t="str">
        <f>IFERROR(__xludf.DUMMYFUNCTION("""COMPUTED_VALUE"""),"AP9635/35CH")</f>
        <v>AP9635/35CH</v>
      </c>
      <c r="G275" s="490"/>
      <c r="H275" s="490"/>
      <c r="I275" s="490"/>
      <c r="J275" s="594" t="str">
        <f>IFERROR(__xludf.DUMMYFUNCTION("""COMPUTED_VALUE"""),"RCP")</f>
        <v>RCP</v>
      </c>
      <c r="K275" s="588"/>
      <c r="L275" s="588"/>
      <c r="M275" s="490" t="str">
        <f>IFERROR(__xludf.DUMMYFUNCTION("""COMPUTED_VALUE"""),"PHOENIX CONTACT")</f>
        <v>PHOENIX CONTACT</v>
      </c>
      <c r="N275" s="490" t="str">
        <f>IFERROR(__xludf.DUMMYFUNCTION("""COMPUTED_VALUE"""),"bos_moxa_uc8220t_lx")</f>
        <v>bos_moxa_uc8220t_lx</v>
      </c>
      <c r="O275" s="490"/>
      <c r="P275" s="490" t="s">
        <v>8277</v>
      </c>
    </row>
    <row r="276">
      <c r="A276" s="490"/>
      <c r="B276" s="490"/>
      <c r="C276" s="490"/>
      <c r="D276" s="593" t="str">
        <f>IFERROR(__xludf.DUMMYFUNCTION("""COMPUTED_VALUE"""),"GARRISON")</f>
        <v>GARRISON</v>
      </c>
      <c r="E276" s="593" t="str">
        <f>IFERROR(__xludf.DUMMYFUNCTION("""COMPUTED_VALUE"""),"APC")</f>
        <v>APC</v>
      </c>
      <c r="F276" s="593" t="str">
        <f>IFERROR(__xludf.DUMMYFUNCTION("""COMPUTED_VALUE"""),"AP9644")</f>
        <v>AP9644</v>
      </c>
      <c r="G276" s="490"/>
      <c r="H276" s="490"/>
      <c r="I276" s="490"/>
      <c r="J276" s="588" t="str">
        <f>IFERROR(__xludf.DUMMYFUNCTION("""COMPUTED_VALUE"""),"RCV")</f>
        <v>RCV</v>
      </c>
      <c r="K276" s="588"/>
      <c r="L276" s="588"/>
      <c r="M276" s="490" t="str">
        <f>IFERROR(__xludf.DUMMYFUNCTION("""COMPUTED_VALUE"""),"PHOENIX CONTACT")</f>
        <v>PHOENIX CONTACT</v>
      </c>
      <c r="N276" s="490" t="str">
        <f>IFERROR(__xludf.DUMMYFUNCTION("""COMPUTED_VALUE"""),"bos_nq_itdfoodsafety_preppaltabletpcf6apl")</f>
        <v>bos_nq_itdfoodsafety_preppaltabletpcf6apl</v>
      </c>
      <c r="O276" s="490"/>
      <c r="P276" s="490" t="s">
        <v>8279</v>
      </c>
    </row>
    <row r="277">
      <c r="A277" s="490"/>
      <c r="B277" s="490"/>
      <c r="C277" s="490"/>
      <c r="D277" s="593" t="str">
        <f>IFERROR(__xludf.DUMMYFUNCTION("""COMPUTED_VALUE"""),"GAYLORD")</f>
        <v>GAYLORD</v>
      </c>
      <c r="E277" s="593" t="str">
        <f>IFERROR(__xludf.DUMMYFUNCTION("""COMPUTED_VALUE"""),"APC")</f>
        <v>APC</v>
      </c>
      <c r="F277" s="593" t="str">
        <f>IFERROR(__xludf.DUMMYFUNCTION("""COMPUTED_VALUE"""),"AP9641")</f>
        <v>AP9641</v>
      </c>
      <c r="G277" s="490"/>
      <c r="H277" s="490"/>
      <c r="I277" s="490"/>
      <c r="J277" s="588" t="str">
        <f>IFERROR(__xludf.DUMMYFUNCTION("""COMPUTED_VALUE"""),"RECD")</f>
        <v>RECD</v>
      </c>
      <c r="K277" s="588"/>
      <c r="L277" s="83"/>
      <c r="M277" s="490" t="str">
        <f>IFERROR(__xludf.DUMMYFUNCTION("""COMPUTED_VALUE"""),"PICOBOX")</f>
        <v>PICOBOX</v>
      </c>
      <c r="N277" s="490" t="str">
        <f>IFERROR(__xludf.DUMMYFUNCTION("""COMPUTED_VALUE"""),"bos_nq_dell_poweredger230")</f>
        <v>bos_nq_dell_poweredger230</v>
      </c>
      <c r="O277" s="490"/>
      <c r="P277" s="490" t="s">
        <v>8281</v>
      </c>
    </row>
    <row r="278">
      <c r="A278" s="490"/>
      <c r="B278" s="490"/>
      <c r="C278" s="490"/>
      <c r="D278" s="593" t="str">
        <f>IFERROR(__xludf.DUMMYFUNCTION("""COMPUTED_VALUE"""),"GESYTEC")</f>
        <v>GESYTEC</v>
      </c>
      <c r="E278" s="593" t="str">
        <f>IFERROR(__xludf.DUMMYFUNCTION("""COMPUTED_VALUE"""),"APC")</f>
        <v>APC</v>
      </c>
      <c r="F278" s="593" t="str">
        <f>IFERROR(__xludf.DUMMYFUNCTION("""COMPUTED_VALUE"""),"AP9643")</f>
        <v>AP9643</v>
      </c>
      <c r="G278" s="490"/>
      <c r="H278" s="490"/>
      <c r="I278" s="490"/>
      <c r="J278" s="594" t="str">
        <f>IFERROR(__xludf.DUMMYFUNCTION("""COMPUTED_VALUE"""),"REF")</f>
        <v>REF</v>
      </c>
      <c r="K278" s="588"/>
      <c r="L278" s="588"/>
      <c r="M278" s="490" t="str">
        <f>IFERROR(__xludf.DUMMYFUNCTION("""COMPUTED_VALUE"""),"PLANET")</f>
        <v>PLANET</v>
      </c>
      <c r="N278" s="490" t="str">
        <f>IFERROR(__xludf.DUMMYFUNCTION("""COMPUTED_VALUE"""),"bos_nq_magnum_mcsmagnum")</f>
        <v>bos_nq_magnum_mcsmagnum</v>
      </c>
      <c r="O278" s="490"/>
      <c r="P278" s="490" t="s">
        <v>8283</v>
      </c>
    </row>
    <row r="279">
      <c r="A279" s="490"/>
      <c r="B279" s="490"/>
      <c r="C279" s="490"/>
      <c r="D279" s="593" t="str">
        <f>IFERROR(__xludf.DUMMYFUNCTION("""COMPUTED_VALUE"""),"GIADA")</f>
        <v>GIADA</v>
      </c>
      <c r="E279" s="593" t="str">
        <f>IFERROR(__xludf.DUMMYFUNCTION("""COMPUTED_VALUE"""),"APC")</f>
        <v>APC</v>
      </c>
      <c r="F279" s="593" t="str">
        <f>IFERROR(__xludf.DUMMYFUNCTION("""COMPUTED_VALUE"""),"BR1000MS")</f>
        <v>BR1000MS</v>
      </c>
      <c r="G279" s="490"/>
      <c r="H279" s="490"/>
      <c r="I279" s="490"/>
      <c r="J279" s="597" t="str">
        <f>IFERROR(__xludf.DUMMYFUNCTION("""COMPUTED_VALUE"""),"RFIDC")</f>
        <v>RFIDC</v>
      </c>
      <c r="K279" s="588"/>
      <c r="L279" s="588"/>
      <c r="M279" s="490" t="str">
        <f>IFERROR(__xludf.DUMMYFUNCTION("""COMPUTED_VALUE"""),"PLANET")</f>
        <v>PLANET</v>
      </c>
      <c r="N279" s="490" t="str">
        <f>IFERROR(__xludf.DUMMYFUNCTION("""COMPUTED_VALUE"""),"bos_distech_ecy_apex")</f>
        <v>bos_distech_ecy_apex</v>
      </c>
      <c r="O279" s="490"/>
      <c r="P279" s="490" t="s">
        <v>8285</v>
      </c>
    </row>
    <row r="280">
      <c r="A280" s="490"/>
      <c r="B280" s="490"/>
      <c r="C280" s="490"/>
      <c r="D280" s="593" t="str">
        <f>IFERROR(__xludf.DUMMYFUNCTION("""COMPUTED_VALUE"""),"GIGA-BYTE")</f>
        <v>GIGA-BYTE</v>
      </c>
      <c r="E280" s="593" t="str">
        <f>IFERROR(__xludf.DUMMYFUNCTION("""COMPUTED_VALUE"""),"APC")</f>
        <v>APC</v>
      </c>
      <c r="F280" s="593" t="str">
        <f>IFERROR(__xludf.DUMMYFUNCTION("""COMPUTED_VALUE"""),"OM-5103")</f>
        <v>OM-5103</v>
      </c>
      <c r="G280" s="490"/>
      <c r="H280" s="490"/>
      <c r="I280" s="490"/>
      <c r="J280" s="597" t="str">
        <f>IFERROR(__xludf.DUMMYFUNCTION("""COMPUTED_VALUE"""),"RFIDR")</f>
        <v>RFIDR</v>
      </c>
      <c r="K280" s="588"/>
      <c r="L280" s="588"/>
      <c r="M280" s="490" t="str">
        <f>IFERROR(__xludf.DUMMYFUNCTION("""COMPUTED_VALUE"""),"PLANET")</f>
        <v>PLANET</v>
      </c>
      <c r="N280" s="490" t="str">
        <f>IFERROR(__xludf.DUMMYFUNCTION("""COMPUTED_VALUE"""),"bos_distech_ecys1000")</f>
        <v>bos_distech_ecys1000</v>
      </c>
      <c r="O280" s="490"/>
      <c r="P280" s="490" t="s">
        <v>8289</v>
      </c>
    </row>
    <row r="281">
      <c r="A281" s="490"/>
      <c r="B281" s="490"/>
      <c r="C281" s="490"/>
      <c r="D281" s="593" t="str">
        <f>IFERROR(__xludf.DUMMYFUNCTION("""COMPUTED_VALUE"""),"GIGA-BYTE TECHNOLOGY CO")</f>
        <v>GIGA-BYTE TECHNOLOGY CO</v>
      </c>
      <c r="E281" s="593" t="str">
        <f>IFERROR(__xludf.DUMMYFUNCTION("""COMPUTED_VALUE"""),"APC")</f>
        <v>APC</v>
      </c>
      <c r="F281" s="593" t="str">
        <f>IFERROR(__xludf.DUMMYFUNCTION("""COMPUTED_VALUE"""),"UPS")</f>
        <v>UPS</v>
      </c>
      <c r="G281" s="490"/>
      <c r="H281" s="490"/>
      <c r="I281" s="490"/>
      <c r="J281" s="588" t="str">
        <f>IFERROR(__xludf.DUMMYFUNCTION("""COMPUTED_VALUE"""),"RHC")</f>
        <v>RHC</v>
      </c>
      <c r="K281" s="588"/>
      <c r="L281" s="588"/>
      <c r="M281" s="490" t="str">
        <f>IFERROR(__xludf.DUMMYFUNCTION("""COMPUTED_VALUE"""),"PLANET")</f>
        <v>PLANET</v>
      </c>
      <c r="N281" s="490" t="str">
        <f>IFERROR(__xludf.DUMMYFUNCTION("""COMPUTED_VALUE"""),"distech_ecy_vav")</f>
        <v>distech_ecy_vav</v>
      </c>
      <c r="O281" s="490"/>
      <c r="P281" s="490" t="s">
        <v>8291</v>
      </c>
    </row>
    <row r="282">
      <c r="A282" s="490"/>
      <c r="B282" s="490"/>
      <c r="C282" s="490"/>
      <c r="D282" s="593" t="str">
        <f>IFERROR(__xludf.DUMMYFUNCTION("""COMPUTED_VALUE"""),"GIRA")</f>
        <v>GIRA</v>
      </c>
      <c r="E282" s="593" t="str">
        <f>IFERROR(__xludf.DUMMYFUNCTION("""COMPUTED_VALUE"""),"APC")</f>
        <v>APC</v>
      </c>
      <c r="F282" s="593" t="str">
        <f>IFERROR(__xludf.DUMMYFUNCTION("""COMPUTED_VALUE"""),"BACK-UPS PRO 1000S")</f>
        <v>BACK-UPS PRO 1000S</v>
      </c>
      <c r="G282" s="490"/>
      <c r="H282" s="490"/>
      <c r="I282" s="490"/>
      <c r="J282" s="588" t="str">
        <f>IFERROR(__xludf.DUMMYFUNCTION("""COMPUTED_VALUE"""),"RIO")</f>
        <v>RIO</v>
      </c>
      <c r="K282" s="588"/>
      <c r="L282" s="588"/>
      <c r="M282" s="490" t="str">
        <f>IFERROR(__xludf.DUMMYFUNCTION("""COMPUTED_VALUE"""),"PLANET")</f>
        <v>PLANET</v>
      </c>
      <c r="N282" s="490" t="str">
        <f>IFERROR(__xludf.DUMMYFUNCTION("""COMPUTED_VALUE"""),"distech_ecy_tu203")</f>
        <v>distech_ecy_tu203</v>
      </c>
      <c r="O282" s="490"/>
      <c r="P282" s="490" t="s">
        <v>8293</v>
      </c>
    </row>
    <row r="283">
      <c r="A283" s="490"/>
      <c r="B283" s="490"/>
      <c r="C283" s="490"/>
      <c r="D283" s="593" t="str">
        <f>IFERROR(__xludf.DUMMYFUNCTION("""COMPUTED_VALUE"""),"GLAMOX")</f>
        <v>GLAMOX</v>
      </c>
      <c r="E283" s="593" t="str">
        <f>IFERROR(__xludf.DUMMYFUNCTION("""COMPUTED_VALUE"""),"APC")</f>
        <v>APC</v>
      </c>
      <c r="F283" s="593" t="str">
        <f>IFERROR(__xludf.DUMMYFUNCTION("""COMPUTED_VALUE"""),"SRT10KXLT")</f>
        <v>SRT10KXLT</v>
      </c>
      <c r="G283" s="490"/>
      <c r="H283" s="490"/>
      <c r="I283" s="490"/>
      <c r="J283" s="588" t="str">
        <f>IFERROR(__xludf.DUMMYFUNCTION("""COMPUTED_VALUE"""),"RLF")</f>
        <v>RLF</v>
      </c>
      <c r="K283" s="588"/>
      <c r="L283" s="588"/>
      <c r="M283" s="490" t="str">
        <f>IFERROR(__xludf.DUMMYFUNCTION("""COMPUTED_VALUE"""),"PLANET")</f>
        <v>PLANET</v>
      </c>
      <c r="N283" s="490" t="str">
        <f>IFERROR(__xludf.DUMMYFUNCTION("""COMPUTED_VALUE"""),"distech_ecy_ptu107")</f>
        <v>distech_ecy_ptu107</v>
      </c>
      <c r="O283" s="490"/>
      <c r="P283" s="490" t="s">
        <v>8295</v>
      </c>
    </row>
    <row r="284">
      <c r="A284" s="490"/>
      <c r="B284" s="490"/>
      <c r="C284" s="490"/>
      <c r="D284" s="593" t="str">
        <f>IFERROR(__xludf.DUMMYFUNCTION("""COMPUTED_VALUE"""),"GLOBAL CONTROL 5")</f>
        <v>GLOBAL CONTROL 5</v>
      </c>
      <c r="E284" s="593" t="str">
        <f>IFERROR(__xludf.DUMMYFUNCTION("""COMPUTED_VALUE"""),"APC")</f>
        <v>APC</v>
      </c>
      <c r="F284" s="593" t="str">
        <f>IFERROR(__xludf.DUMMYFUNCTION("""COMPUTED_VALUE"""),"SRT5KXLT")</f>
        <v>SRT5KXLT</v>
      </c>
      <c r="G284" s="490"/>
      <c r="H284" s="490"/>
      <c r="I284" s="490"/>
      <c r="J284" s="594" t="str">
        <f>IFERROR(__xludf.DUMMYFUNCTION("""COMPUTED_VALUE"""),"RO")</f>
        <v>RO</v>
      </c>
      <c r="K284" s="588"/>
      <c r="L284" s="588"/>
      <c r="M284" s="490" t="str">
        <f>IFERROR(__xludf.DUMMYFUNCTION("""COMPUTED_VALUE"""),"PLANET")</f>
        <v>PLANET</v>
      </c>
      <c r="N284" s="490" t="str">
        <f>IFERROR(__xludf.DUMMYFUNCTION("""COMPUTED_VALUE"""),"distech_ecy_ptu207")</f>
        <v>distech_ecy_ptu207</v>
      </c>
      <c r="O284" s="490"/>
      <c r="P284" s="490" t="s">
        <v>8297</v>
      </c>
    </row>
    <row r="285">
      <c r="A285" s="490"/>
      <c r="B285" s="490"/>
      <c r="C285" s="490"/>
      <c r="D285" s="593" t="str">
        <f>IFERROR(__xludf.DUMMYFUNCTION("""COMPUTED_VALUE"""),"GLOBAL VR")</f>
        <v>GLOBAL VR</v>
      </c>
      <c r="E285" s="593" t="str">
        <f>IFERROR(__xludf.DUMMYFUNCTION("""COMPUTED_VALUE"""),"APC")</f>
        <v>APC</v>
      </c>
      <c r="F285" s="593" t="str">
        <f>IFERROR(__xludf.DUMMYFUNCTION("""COMPUTED_VALUE"""),"SMX1500RM2UNC")</f>
        <v>SMX1500RM2UNC</v>
      </c>
      <c r="G285" s="490"/>
      <c r="H285" s="490"/>
      <c r="I285" s="490"/>
      <c r="J285" s="588" t="str">
        <f>IFERROR(__xludf.DUMMYFUNCTION("""COMPUTED_VALUE"""),"RP")</f>
        <v>RP</v>
      </c>
      <c r="K285" s="588"/>
      <c r="L285" s="588"/>
      <c r="M285" s="490" t="str">
        <f>IFERROR(__xludf.DUMMYFUNCTION("""COMPUTED_VALUE"""),"PLANET")</f>
        <v>PLANET</v>
      </c>
      <c r="N285" s="490" t="str">
        <f>IFERROR(__xludf.DUMMYFUNCTION("""COMPUTED_VALUE"""),"distech_ecy_ptu208")</f>
        <v>distech_ecy_ptu208</v>
      </c>
      <c r="O285" s="490"/>
      <c r="P285" s="490" t="s">
        <v>8097</v>
      </c>
    </row>
    <row r="286">
      <c r="A286" s="490"/>
      <c r="B286" s="490"/>
      <c r="C286" s="490"/>
      <c r="D286" s="593" t="str">
        <f>IFERROR(__xludf.DUMMYFUNCTION("""COMPUTED_VALUE"""),"GLOBALSCALE")</f>
        <v>GLOBALSCALE</v>
      </c>
      <c r="E286" s="593" t="str">
        <f>IFERROR(__xludf.DUMMYFUNCTION("""COMPUTED_VALUE"""),"APC")</f>
        <v>APC</v>
      </c>
      <c r="F286" s="593" t="str">
        <f>IFERROR(__xludf.DUMMYFUNCTION("""COMPUTED_VALUE"""),"SMART-UPS 5000VA")</f>
        <v>SMART-UPS 5000VA</v>
      </c>
      <c r="G286" s="490"/>
      <c r="H286" s="490"/>
      <c r="I286" s="490"/>
      <c r="J286" s="594" t="str">
        <f>IFERROR(__xludf.DUMMYFUNCTION("""COMPUTED_VALUE"""),"RRFLT")</f>
        <v>RRFLT</v>
      </c>
      <c r="K286" s="588"/>
      <c r="L286" s="588"/>
      <c r="M286" s="490" t="str">
        <f>IFERROR(__xludf.DUMMYFUNCTION("""COMPUTED_VALUE"""),"PLATHOME")</f>
        <v>PLATHOME</v>
      </c>
      <c r="N286" s="490" t="str">
        <f>IFERROR(__xludf.DUMMYFUNCTION("""COMPUTED_VALUE"""),"loytec_linx215")</f>
        <v>loytec_linx215</v>
      </c>
      <c r="O286" s="490"/>
      <c r="P286" s="490" t="s">
        <v>8299</v>
      </c>
    </row>
    <row r="287">
      <c r="A287" s="490"/>
      <c r="B287" s="490"/>
      <c r="C287" s="490"/>
      <c r="D287" s="593" t="str">
        <f>IFERROR(__xludf.DUMMYFUNCTION("""COMPUTED_VALUE"""),"GLORYSTAR")</f>
        <v>GLORYSTAR</v>
      </c>
      <c r="E287" s="593" t="str">
        <f>IFERROR(__xludf.DUMMYFUNCTION("""COMPUTED_VALUE"""),"APC")</f>
        <v>APC</v>
      </c>
      <c r="F287" s="593" t="str">
        <f>IFERROR(__xludf.DUMMYFUNCTION("""COMPUTED_VALUE"""),"SMART-UPS 8KVA/8KW")</f>
        <v>SMART-UPS 8KVA/8KW</v>
      </c>
      <c r="G287" s="490"/>
      <c r="H287" s="490"/>
      <c r="I287" s="490"/>
      <c r="J287" s="594" t="str">
        <f>IFERROR(__xludf.DUMMYFUNCTION("""COMPUTED_VALUE"""),"RTCD")</f>
        <v>RTCD</v>
      </c>
      <c r="K287" s="588"/>
      <c r="L287" s="588"/>
      <c r="M287" s="490" t="str">
        <f>IFERROR(__xludf.DUMMYFUNCTION("""COMPUTED_VALUE"""),"PLCOME")</f>
        <v>PLCOME</v>
      </c>
      <c r="N287" s="490" t="str">
        <f>IFERROR(__xludf.DUMMYFUNCTION("""COMPUTED_VALUE"""),"bos_tyrrell_iona_i")</f>
        <v>bos_tyrrell_iona_i</v>
      </c>
      <c r="O287" s="490"/>
      <c r="P287" s="490" t="s">
        <v>8301</v>
      </c>
    </row>
    <row r="288">
      <c r="A288" s="490"/>
      <c r="B288" s="490"/>
      <c r="C288" s="490"/>
      <c r="D288" s="593" t="str">
        <f>IFERROR(__xludf.DUMMYFUNCTION("""COMPUTED_VALUE"""),"GOOGLE")</f>
        <v>GOOGLE</v>
      </c>
      <c r="E288" s="593" t="str">
        <f>IFERROR(__xludf.DUMMYFUNCTION("""COMPUTED_VALUE"""),"APC")</f>
        <v>APC</v>
      </c>
      <c r="F288" s="593" t="str">
        <f>IFERROR(__xludf.DUMMYFUNCTION("""COMPUTED_VALUE"""),"AP9640")</f>
        <v>AP9640</v>
      </c>
      <c r="G288" s="490"/>
      <c r="H288" s="490"/>
      <c r="I288" s="490"/>
      <c r="J288" s="594" t="str">
        <f>IFERROR(__xludf.DUMMYFUNCTION("""COMPUTED_VALUE"""),"RTF")</f>
        <v>RTF</v>
      </c>
      <c r="K288" s="588"/>
      <c r="L288" s="588"/>
      <c r="M288" s="490" t="str">
        <f>IFERROR(__xludf.DUMMYFUNCTION("""COMPUTED_VALUE"""),"PRIVA")</f>
        <v>PRIVA</v>
      </c>
      <c r="N288" s="490" t="str">
        <f>IFERROR(__xludf.DUMMYFUNCTION("""COMPUTED_VALUE"""),"bos_nq_samsung_smt580")</f>
        <v>bos_nq_samsung_smt580</v>
      </c>
      <c r="O288" s="490"/>
      <c r="P288" s="490" t="s">
        <v>8303</v>
      </c>
    </row>
    <row r="289">
      <c r="A289" s="490"/>
      <c r="B289" s="490"/>
      <c r="C289" s="490"/>
      <c r="D289" s="593" t="str">
        <f>IFERROR(__xludf.DUMMYFUNCTION("""COMPUTED_VALUE"""),"GOOGLE FIBER")</f>
        <v>GOOGLE FIBER</v>
      </c>
      <c r="E289" s="593" t="str">
        <f>IFERROR(__xludf.DUMMYFUNCTION("""COMPUTED_VALUE"""),"APC")</f>
        <v>APC</v>
      </c>
      <c r="F289" s="593" t="str">
        <f>IFERROR(__xludf.DUMMYFUNCTION("""COMPUTED_VALUE"""),"SMART-UPS 750")</f>
        <v>SMART-UPS 750</v>
      </c>
      <c r="G289" s="490"/>
      <c r="H289" s="490"/>
      <c r="I289" s="490"/>
      <c r="J289" s="588" t="str">
        <f>IFERROR(__xludf.DUMMYFUNCTION("""COMPUTED_VALUE"""),"RTISD")</f>
        <v>RTISD</v>
      </c>
      <c r="K289" s="588"/>
      <c r="L289" s="588"/>
      <c r="M289" s="490" t="str">
        <f>IFERROR(__xludf.DUMMYFUNCTION("""COMPUTED_VALUE"""),"PRIVA")</f>
        <v>PRIVA</v>
      </c>
      <c r="N289" s="490" t="str">
        <f>IFERROR(__xludf.DUMMYFUNCTION("""COMPUTED_VALUE"""),"bos_nq_leviton_rpm16316")</f>
        <v>bos_nq_leviton_rpm16316</v>
      </c>
      <c r="O289" s="490"/>
      <c r="P289" s="490" t="s">
        <v>8305</v>
      </c>
    </row>
    <row r="290">
      <c r="A290" s="490"/>
      <c r="B290" s="490"/>
      <c r="C290" s="490"/>
      <c r="D290" s="593" t="str">
        <f>IFERROR(__xludf.DUMMYFUNCTION("""COMPUTED_VALUE"""),"GRACEPORT")</f>
        <v>GRACEPORT</v>
      </c>
      <c r="E290" s="593" t="str">
        <f>IFERROR(__xludf.DUMMYFUNCTION("""COMPUTED_VALUE"""),"APC")</f>
        <v>APC</v>
      </c>
      <c r="F290" s="593" t="str">
        <f>IFERROR(__xludf.DUMMYFUNCTION("""COMPUTED_VALUE"""),"AP9617")</f>
        <v>AP9617</v>
      </c>
      <c r="G290" s="490"/>
      <c r="H290" s="490"/>
      <c r="I290" s="490"/>
      <c r="J290" s="588" t="str">
        <f>IFERROR(__xludf.DUMMYFUNCTION("""COMPUTED_VALUE"""),"RTR")</f>
        <v>RTR</v>
      </c>
      <c r="K290" s="588"/>
      <c r="L290" s="588"/>
      <c r="M290" s="490" t="str">
        <f>IFERROR(__xludf.DUMMYFUNCTION("""COMPUTED_VALUE"""),"RED LION")</f>
        <v>RED LION</v>
      </c>
      <c r="N290" s="490" t="str">
        <f>IFERROR(__xludf.DUMMYFUNCTION("""COMPUTED_VALUE"""),"bos_nq_obvius_a8812")</f>
        <v>bos_nq_obvius_a8812</v>
      </c>
      <c r="O290" s="490"/>
      <c r="P290" s="490" t="s">
        <v>8307</v>
      </c>
    </row>
    <row r="291">
      <c r="A291" s="490"/>
      <c r="B291" s="490"/>
      <c r="C291" s="490"/>
      <c r="D291" s="593" t="str">
        <f>IFERROR(__xludf.DUMMYFUNCTION("""COMPUTED_VALUE"""),"GRAYWOLF")</f>
        <v>GRAYWOLF</v>
      </c>
      <c r="E291" s="593" t="str">
        <f>IFERROR(__xludf.DUMMYFUNCTION("""COMPUTED_VALUE"""),"APC")</f>
        <v>APC</v>
      </c>
      <c r="F291" s="593" t="str">
        <f>IFERROR(__xludf.DUMMYFUNCTION("""COMPUTED_VALUE"""),"SRYL15K15RMXLT")</f>
        <v>SRYL15K15RMXLT</v>
      </c>
      <c r="G291" s="490"/>
      <c r="H291" s="490"/>
      <c r="I291" s="490"/>
      <c r="J291" s="594" t="str">
        <f>IFERROR(__xludf.DUMMYFUNCTION("""COMPUTED_VALUE"""),"RTU")</f>
        <v>RTU</v>
      </c>
      <c r="K291" s="588"/>
      <c r="L291" s="588"/>
      <c r="M291" s="490" t="str">
        <f>IFERROR(__xludf.DUMMYFUNCTION("""COMPUTED_VALUE"""),"ROCKWELL")</f>
        <v>ROCKWELL</v>
      </c>
      <c r="N291" s="490" t="str">
        <f>IFERROR(__xludf.DUMMYFUNCTION("""COMPUTED_VALUE"""),"bos_nq_sauter_eyas525f001")</f>
        <v>bos_nq_sauter_eyas525f001</v>
      </c>
      <c r="O291" s="490"/>
      <c r="P291" s="490" t="s">
        <v>8309</v>
      </c>
    </row>
    <row r="292">
      <c r="A292" s="490"/>
      <c r="B292" s="490"/>
      <c r="C292" s="490"/>
      <c r="D292" s="593" t="str">
        <f>IFERROR(__xludf.DUMMYFUNCTION("""COMPUTED_VALUE"""),"GREASEMASTER")</f>
        <v>GREASEMASTER</v>
      </c>
      <c r="E292" s="593" t="str">
        <f>IFERROR(__xludf.DUMMYFUNCTION("""COMPUTED_VALUE"""),"APC")</f>
        <v>APC</v>
      </c>
      <c r="F292" s="593" t="str">
        <f>IFERROR(__xludf.DUMMYFUNCTION("""COMPUTED_VALUE"""),"SMART-UPS RT 15KVA")</f>
        <v>SMART-UPS RT 15KVA</v>
      </c>
      <c r="G292" s="490"/>
      <c r="H292" s="490"/>
      <c r="I292" s="490"/>
      <c r="J292" s="588" t="str">
        <f>IFERROR(__xludf.DUMMYFUNCTION("""COMPUTED_VALUE"""),"RTV")</f>
        <v>RTV</v>
      </c>
      <c r="K292" s="588"/>
      <c r="L292" s="588"/>
      <c r="M292" s="490" t="str">
        <f>IFERROR(__xludf.DUMMYFUNCTION("""COMPUTED_VALUE"""),"SCHNEIDER")</f>
        <v>SCHNEIDER</v>
      </c>
      <c r="N292" s="490" t="str">
        <f>IFERROR(__xludf.DUMMYFUNCTION("""COMPUTED_VALUE"""),"bos_nq_honeywell_puc8445")</f>
        <v>bos_nq_honeywell_puc8445</v>
      </c>
      <c r="O292" s="490"/>
      <c r="P292" s="490" t="s">
        <v>8311</v>
      </c>
    </row>
    <row r="293">
      <c r="A293" s="490"/>
      <c r="B293" s="490"/>
      <c r="C293" s="490"/>
      <c r="D293" s="593" t="str">
        <f>IFERROR(__xludf.DUMMYFUNCTION("""COMPUTED_VALUE"""),"GREENHECK")</f>
        <v>GREENHECK</v>
      </c>
      <c r="E293" s="593" t="str">
        <f>IFERROR(__xludf.DUMMYFUNCTION("""COMPUTED_VALUE"""),"APC")</f>
        <v>APC</v>
      </c>
      <c r="F293" s="593" t="str">
        <f>IFERROR(__xludf.DUMMYFUNCTION("""COMPUTED_VALUE"""),"RACK PDU AP7901")</f>
        <v>RACK PDU AP7901</v>
      </c>
      <c r="G293" s="490"/>
      <c r="H293" s="490"/>
      <c r="I293" s="490"/>
      <c r="J293" s="588" t="str">
        <f>IFERROR(__xludf.DUMMYFUNCTION("""COMPUTED_VALUE"""),"RWP")</f>
        <v>RWP</v>
      </c>
      <c r="K293" s="588"/>
      <c r="L293" s="588"/>
      <c r="M293" s="490" t="str">
        <f>IFERROR(__xludf.DUMMYFUNCTION("""COMPUTED_VALUE"""),"SECOMEA")</f>
        <v>SECOMEA</v>
      </c>
      <c r="N293" s="490" t="str">
        <f>IFERROR(__xludf.DUMMYFUNCTION("""COMPUTED_VALUE"""),"bos_tridonic_scenecom_evo")</f>
        <v>bos_tridonic_scenecom_evo</v>
      </c>
      <c r="O293" s="490"/>
      <c r="P293" s="490" t="s">
        <v>8313</v>
      </c>
    </row>
    <row r="294">
      <c r="A294" s="490"/>
      <c r="B294" s="490"/>
      <c r="C294" s="490"/>
      <c r="D294" s="593" t="str">
        <f>IFERROR(__xludf.DUMMYFUNCTION("""COMPUTED_VALUE"""),"GREYSTONE")</f>
        <v>GREYSTONE</v>
      </c>
      <c r="E294" s="593" t="str">
        <f>IFERROR(__xludf.DUMMYFUNCTION("""COMPUTED_VALUE"""),"APC")</f>
        <v>APC</v>
      </c>
      <c r="F294" s="593" t="str">
        <f>IFERROR(__xludf.DUMMYFUNCTION("""COMPUTED_VALUE"""),"DY802")</f>
        <v>DY802</v>
      </c>
      <c r="G294" s="490"/>
      <c r="H294" s="490"/>
      <c r="I294" s="490"/>
      <c r="J294" s="594" t="str">
        <f>IFERROR(__xludf.DUMMYFUNCTION("""COMPUTED_VALUE"""),"SB")</f>
        <v>SB</v>
      </c>
      <c r="K294" s="588"/>
      <c r="L294" s="588"/>
      <c r="M294" s="490" t="str">
        <f>IFERROR(__xludf.DUMMYFUNCTION("""COMPUTED_VALUE"""),"SIEMENS")</f>
        <v>SIEMENS</v>
      </c>
      <c r="N294" s="490" t="str">
        <f>IFERROR(__xludf.DUMMYFUNCTION("""COMPUTED_VALUE"""),"bos_nq_sierramonitoring_fsrouterbac1")</f>
        <v>bos_nq_sierramonitoring_fsrouterbac1</v>
      </c>
      <c r="O294" s="490"/>
      <c r="P294" s="490" t="s">
        <v>8315</v>
      </c>
    </row>
    <row r="295">
      <c r="A295" s="490"/>
      <c r="B295" s="490"/>
      <c r="C295" s="490"/>
      <c r="D295" s="593" t="str">
        <f>IFERROR(__xludf.DUMMYFUNCTION("""COMPUTED_VALUE"""),"GRIDCONNECT")</f>
        <v>GRIDCONNECT</v>
      </c>
      <c r="E295" s="593" t="str">
        <f>IFERROR(__xludf.DUMMYFUNCTION("""COMPUTED_VALUE"""),"APC")</f>
        <v>APC</v>
      </c>
      <c r="F295" s="593" t="str">
        <f>IFERROR(__xludf.DUMMYFUNCTION("""COMPUTED_VALUE"""),"AP9619")</f>
        <v>AP9619</v>
      </c>
      <c r="G295" s="490"/>
      <c r="H295" s="490"/>
      <c r="I295" s="490"/>
      <c r="J295" s="597" t="str">
        <f>IFERROR(__xludf.DUMMYFUNCTION("""COMPUTED_VALUE"""),"SCAN")</f>
        <v>SCAN</v>
      </c>
      <c r="K295" s="588"/>
      <c r="L295" s="588"/>
      <c r="M295" s="490" t="str">
        <f>IFERROR(__xludf.DUMMYFUNCTION("""COMPUTED_VALUE"""),"SIEMENS")</f>
        <v>SIEMENS</v>
      </c>
      <c r="N295" s="490" t="str">
        <f>IFERROR(__xludf.DUMMYFUNCTION("""COMPUTED_VALUE"""),"bos_sauter_modu680as")</f>
        <v>bos_sauter_modu680as</v>
      </c>
      <c r="O295" s="490"/>
      <c r="P295" s="490" t="s">
        <v>8317</v>
      </c>
    </row>
    <row r="296">
      <c r="A296" s="490"/>
      <c r="B296" s="490"/>
      <c r="C296" s="490"/>
      <c r="D296" s="593" t="str">
        <f>IFERROR(__xludf.DUMMYFUNCTION("""COMPUTED_VALUE"""),"GRUNDFOS")</f>
        <v>GRUNDFOS</v>
      </c>
      <c r="E296" s="593" t="str">
        <f>IFERROR(__xludf.DUMMYFUNCTION("""COMPUTED_VALUE"""),"APC")</f>
        <v>APC</v>
      </c>
      <c r="F296" s="593" t="str">
        <f>IFERROR(__xludf.DUMMYFUNCTION("""COMPUTED_VALUE"""),"0N-9582GVX")</f>
        <v>0N-9582GVX</v>
      </c>
      <c r="G296" s="490"/>
      <c r="H296" s="490"/>
      <c r="I296" s="490"/>
      <c r="J296" s="588" t="str">
        <f>IFERROR(__xludf.DUMMYFUNCTION("""COMPUTED_VALUE"""),"SCHWP")</f>
        <v>SCHWP</v>
      </c>
      <c r="K296" s="588"/>
      <c r="L296" s="588"/>
      <c r="M296" s="490" t="str">
        <f>IFERROR(__xludf.DUMMYFUNCTION("""COMPUTED_VALUE"""),"SIEMENS")</f>
        <v>SIEMENS</v>
      </c>
      <c r="N296" s="490" t="str">
        <f>IFERROR(__xludf.DUMMYFUNCTION("""COMPUTED_VALUE"""),"bos_solaredge_portia4")</f>
        <v>bos_solaredge_portia4</v>
      </c>
      <c r="O296" s="490"/>
      <c r="P296" s="490" t="s">
        <v>8099</v>
      </c>
    </row>
    <row r="297">
      <c r="A297" s="490"/>
      <c r="B297" s="490"/>
      <c r="C297" s="490"/>
      <c r="D297" s="593" t="str">
        <f>IFERROR(__xludf.DUMMYFUNCTION("""COMPUTED_VALUE"""),"GWS")</f>
        <v>GWS</v>
      </c>
      <c r="E297" s="593" t="str">
        <f>IFERROR(__xludf.DUMMYFUNCTION("""COMPUTED_VALUE"""),"APPLE")</f>
        <v>APPLE</v>
      </c>
      <c r="F297" s="593" t="str">
        <f>IFERROR(__xludf.DUMMYFUNCTION("""COMPUTED_VALUE"""),"")</f>
        <v/>
      </c>
      <c r="G297" s="490"/>
      <c r="H297" s="490"/>
      <c r="I297" s="586"/>
      <c r="J297" s="594" t="str">
        <f>IFERROR(__xludf.DUMMYFUNCTION("""COMPUTED_VALUE"""),"SCS")</f>
        <v>SCS</v>
      </c>
      <c r="K297" s="594"/>
      <c r="L297" s="594"/>
      <c r="M297" s="586" t="str">
        <f>IFERROR(__xludf.DUMMYFUNCTION("""COMPUTED_VALUE"""),"SIERRA")</f>
        <v>SIERRA</v>
      </c>
      <c r="N297" s="586" t="str">
        <f>IFERROR(__xludf.DUMMYFUNCTION("""COMPUTED_VALUE"""),"bos_nq_sony_cfi100a")</f>
        <v>bos_nq_sony_cfi100a</v>
      </c>
      <c r="O297" s="586"/>
      <c r="P297" s="586" t="s">
        <v>8319</v>
      </c>
    </row>
    <row r="298">
      <c r="A298" s="490"/>
      <c r="B298" s="490"/>
      <c r="C298" s="490"/>
      <c r="D298" s="593" t="str">
        <f>IFERROR(__xludf.DUMMYFUNCTION("""COMPUTED_VALUE"""),"H3C")</f>
        <v>H3C</v>
      </c>
      <c r="E298" s="593" t="str">
        <f>IFERROR(__xludf.DUMMYFUNCTION("""COMPUTED_VALUE"""),"APPLE")</f>
        <v>APPLE</v>
      </c>
      <c r="F298" s="593" t="str">
        <f>IFERROR(__xludf.DUMMYFUNCTION("""COMPUTED_VALUE"""),"A1893")</f>
        <v>A1893</v>
      </c>
      <c r="G298" s="490"/>
      <c r="H298" s="490"/>
      <c r="I298" s="490"/>
      <c r="J298" s="588" t="str">
        <f>IFERROR(__xludf.DUMMYFUNCTION("""COMPUTED_VALUE"""),"SD")</f>
        <v>SD</v>
      </c>
      <c r="K298" s="588"/>
      <c r="L298" s="588"/>
      <c r="M298" s="490" t="str">
        <f>IFERROR(__xludf.DUMMYFUNCTION("""COMPUTED_VALUE"""),"SIERRA")</f>
        <v>SIERRA</v>
      </c>
      <c r="N298" s="490" t="str">
        <f>IFERROR(__xludf.DUMMYFUNCTION("""COMPUTED_VALUE"""),"bos_nq_danfoss_aksm820")</f>
        <v>bos_nq_danfoss_aksm820</v>
      </c>
      <c r="O298" s="490"/>
      <c r="P298" s="490" t="s">
        <v>8321</v>
      </c>
    </row>
    <row r="299">
      <c r="A299" s="490"/>
      <c r="B299" s="490"/>
      <c r="C299" s="490"/>
      <c r="D299" s="593" t="str">
        <f>IFERROR(__xludf.DUMMYFUNCTION("""COMPUTED_VALUE"""),"HALTON")</f>
        <v>HALTON</v>
      </c>
      <c r="E299" s="593" t="str">
        <f>IFERROR(__xludf.DUMMYFUNCTION("""COMPUTED_VALUE"""),"APPLE")</f>
        <v>APPLE</v>
      </c>
      <c r="F299" s="593" t="str">
        <f>IFERROR(__xludf.DUMMYFUNCTION("""COMPUTED_VALUE"""),"IPAD AIR 2")</f>
        <v>IPAD AIR 2</v>
      </c>
      <c r="G299" s="490"/>
      <c r="H299" s="490"/>
      <c r="I299" s="490"/>
      <c r="J299" s="588" t="str">
        <f>IFERROR(__xludf.DUMMYFUNCTION("""COMPUTED_VALUE"""),"SDACT")</f>
        <v>SDACT</v>
      </c>
      <c r="K299" s="588"/>
      <c r="L299" s="588"/>
      <c r="M299" s="490" t="str">
        <f>IFERROR(__xludf.DUMMYFUNCTION("""COMPUTED_VALUE"""),"SMARTSENSE")</f>
        <v>SMARTSENSE</v>
      </c>
      <c r="N299" s="490" t="str">
        <f>IFERROR(__xludf.DUMMYFUNCTION("""COMPUTED_VALUE"""),"bos_smartq_imin_d3")</f>
        <v>bos_smartq_imin_d3</v>
      </c>
      <c r="O299" s="490"/>
      <c r="P299" s="490" t="s">
        <v>8323</v>
      </c>
    </row>
    <row r="300">
      <c r="A300" s="490"/>
      <c r="B300" s="490"/>
      <c r="C300" s="490"/>
      <c r="D300" s="593" t="str">
        <f>IFERROR(__xludf.DUMMYFUNCTION("""COMPUTED_VALUE"""),"HANBIT")</f>
        <v>HANBIT</v>
      </c>
      <c r="E300" s="593" t="str">
        <f>IFERROR(__xludf.DUMMYFUNCTION("""COMPUTED_VALUE"""),"APPLE")</f>
        <v>APPLE</v>
      </c>
      <c r="F300" s="593" t="str">
        <f>IFERROR(__xludf.DUMMYFUNCTION("""COMPUTED_VALUE"""),"AIRPORT")</f>
        <v>AIRPORT</v>
      </c>
      <c r="G300" s="490"/>
      <c r="H300" s="490"/>
      <c r="I300" s="490"/>
      <c r="J300" s="588" t="str">
        <f>IFERROR(__xludf.DUMMYFUNCTION("""COMPUTED_VALUE"""),"SDC")</f>
        <v>SDC</v>
      </c>
      <c r="K300" s="588"/>
      <c r="L300" s="588"/>
      <c r="M300" s="490" t="str">
        <f>IFERROR(__xludf.DUMMYFUNCTION("""COMPUTED_VALUE"""),"SPECTRA")</f>
        <v>SPECTRA</v>
      </c>
      <c r="N300" s="490" t="str">
        <f>IFERROR(__xludf.DUMMYFUNCTION("""COMPUTED_VALUE"""),"bos_nqm_mitsubushi_ew50j")</f>
        <v>bos_nqm_mitsubushi_ew50j</v>
      </c>
      <c r="O300" s="490"/>
      <c r="P300" s="490" t="s">
        <v>8325</v>
      </c>
    </row>
    <row r="301">
      <c r="A301" s="490"/>
      <c r="B301" s="490"/>
      <c r="C301" s="490"/>
      <c r="D301" s="593" t="str">
        <f>IFERROR(__xludf.DUMMYFUNCTION("""COMPUTED_VALUE"""),"HANVON")</f>
        <v>HANVON</v>
      </c>
      <c r="E301" s="593" t="str">
        <f>IFERROR(__xludf.DUMMYFUNCTION("""COMPUTED_VALUE"""),"APPLE")</f>
        <v>APPLE</v>
      </c>
      <c r="F301" s="593" t="str">
        <f>IFERROR(__xludf.DUMMYFUNCTION("""COMPUTED_VALUE"""),"IPAD")</f>
        <v>IPAD</v>
      </c>
      <c r="G301" s="490"/>
      <c r="H301" s="490"/>
      <c r="I301" s="490"/>
      <c r="J301" s="588" t="str">
        <f>IFERROR(__xludf.DUMMYFUNCTION("""COMPUTED_VALUE"""),"SDKP")</f>
        <v>SDKP</v>
      </c>
      <c r="K301" s="588"/>
      <c r="L301" s="588"/>
      <c r="M301" s="490" t="str">
        <f>IFERROR(__xludf.DUMMYFUNCTION("""COMPUTED_VALUE"""),"SWISSCOM")</f>
        <v>SWISSCOM</v>
      </c>
      <c r="N301" s="490" t="str">
        <f>IFERROR(__xludf.DUMMYFUNCTION("""COMPUTED_VALUE"""),"bos_nq_ionair_veritasnet")</f>
        <v>bos_nq_ionair_veritasnet</v>
      </c>
      <c r="O301" s="490"/>
      <c r="P301" s="490" t="s">
        <v>8327</v>
      </c>
    </row>
    <row r="302">
      <c r="A302" s="490"/>
      <c r="B302" s="490"/>
      <c r="C302" s="490"/>
      <c r="D302" s="593" t="str">
        <f>IFERROR(__xludf.DUMMYFUNCTION("""COMPUTED_VALUE"""),"HARDKERNEL CO.")</f>
        <v>HARDKERNEL CO.</v>
      </c>
      <c r="E302" s="593" t="str">
        <f>IFERROR(__xludf.DUMMYFUNCTION("""COMPUTED_VALUE"""),"APPLE")</f>
        <v>APPLE</v>
      </c>
      <c r="F302" s="593" t="str">
        <f>IFERROR(__xludf.DUMMYFUNCTION("""COMPUTED_VALUE"""),"IPAD (6TH GENERATION)")</f>
        <v>IPAD (6TH GENERATION)</v>
      </c>
      <c r="G302" s="490"/>
      <c r="H302" s="490"/>
      <c r="I302" s="490"/>
      <c r="J302" s="588" t="str">
        <f>IFERROR(__xludf.DUMMYFUNCTION("""COMPUTED_VALUE"""),"SDNC")</f>
        <v>SDNC</v>
      </c>
      <c r="K302" s="588"/>
      <c r="L302" s="588"/>
      <c r="M302" s="490" t="str">
        <f>IFERROR(__xludf.DUMMYFUNCTION("""COMPUTED_VALUE"""),"SYXTHSENSE&amp;PRODUAL")</f>
        <v>SYXTHSENSE&amp;PRODUAL</v>
      </c>
      <c r="N302" s="490" t="str">
        <f>IFERROR(__xludf.DUMMYFUNCTION("""COMPUTED_VALUE"""),"bos_nqm_helvar_905")</f>
        <v>bos_nqm_helvar_905</v>
      </c>
      <c r="O302" s="490"/>
      <c r="P302" s="490" t="s">
        <v>8329</v>
      </c>
    </row>
    <row r="303">
      <c r="A303" s="490"/>
      <c r="B303" s="490"/>
      <c r="C303" s="490"/>
      <c r="D303" s="593" t="str">
        <f>IFERROR(__xludf.DUMMYFUNCTION("""COMPUTED_VALUE"""),"HELIX RT")</f>
        <v>HELIX RT</v>
      </c>
      <c r="E303" s="593" t="str">
        <f>IFERROR(__xludf.DUMMYFUNCTION("""COMPUTED_VALUE"""),"APPLE")</f>
        <v>APPLE</v>
      </c>
      <c r="F303" s="593" t="str">
        <f>IFERROR(__xludf.DUMMYFUNCTION("""COMPUTED_VALUE"""),"IPAD AIR 2")</f>
        <v>IPAD AIR 2</v>
      </c>
      <c r="G303" s="490"/>
      <c r="H303" s="490"/>
      <c r="I303" s="490"/>
      <c r="J303" s="588" t="str">
        <f>IFERROR(__xludf.DUMMYFUNCTION("""COMPUTED_VALUE"""),"SEF")</f>
        <v>SEF</v>
      </c>
      <c r="K303" s="588"/>
      <c r="L303" s="83"/>
      <c r="M303" s="490" t="str">
        <f>IFERROR(__xludf.DUMMYFUNCTION("""COMPUTED_VALUE"""),"T-LINK")</f>
        <v>T-LINK</v>
      </c>
      <c r="N303" s="490" t="str">
        <f>IFERROR(__xludf.DUMMYFUNCTION("""COMPUTED_VALUE"""),"bos_nqm_helvar_920router")</f>
        <v>bos_nqm_helvar_920router</v>
      </c>
      <c r="O303" s="490"/>
      <c r="P303" s="490" t="s">
        <v>8331</v>
      </c>
    </row>
    <row r="304">
      <c r="A304" s="490"/>
      <c r="B304" s="490"/>
      <c r="C304" s="490"/>
      <c r="D304" s="593" t="str">
        <f>IFERROR(__xludf.DUMMYFUNCTION("""COMPUTED_VALUE"""),"HELVAR")</f>
        <v>HELVAR</v>
      </c>
      <c r="E304" s="593" t="str">
        <f>IFERROR(__xludf.DUMMYFUNCTION("""COMPUTED_VALUE"""),"APPLE")</f>
        <v>APPLE</v>
      </c>
      <c r="F304" s="593" t="str">
        <f>IFERROR(__xludf.DUMMYFUNCTION("""COMPUTED_VALUE""")," IPAD AIR 2")</f>
        <v> IPAD AIR 2</v>
      </c>
      <c r="G304" s="490"/>
      <c r="H304" s="490"/>
      <c r="I304" s="490"/>
      <c r="J304" s="588" t="str">
        <f>IFERROR(__xludf.DUMMYFUNCTION("""COMPUTED_VALUE"""),"SEP")</f>
        <v>SEP</v>
      </c>
      <c r="K304" s="588"/>
      <c r="L304" s="588"/>
      <c r="M304" s="490" t="str">
        <f>IFERROR(__xludf.DUMMYFUNCTION("""COMPUTED_VALUE"""),"TELEGARTNER")</f>
        <v>TELEGARTNER</v>
      </c>
      <c r="N304" s="490" t="str">
        <f>IFERROR(__xludf.DUMMYFUNCTION("""COMPUTED_VALUE"""),"bos_nq_sony_playstation4")</f>
        <v>bos_nq_sony_playstation4</v>
      </c>
      <c r="O304" s="490"/>
      <c r="P304" s="490" t="s">
        <v>8333</v>
      </c>
    </row>
    <row r="305">
      <c r="A305" s="490"/>
      <c r="B305" s="490"/>
      <c r="C305" s="490"/>
      <c r="D305" s="593" t="str">
        <f>IFERROR(__xludf.DUMMYFUNCTION("""COMPUTED_VALUE"""),"HID GLOBAL CORPORATIOIN")</f>
        <v>HID GLOBAL CORPORATIOIN</v>
      </c>
      <c r="E305" s="593" t="str">
        <f>IFERROR(__xludf.DUMMYFUNCTION("""COMPUTED_VALUE"""),"APPLE")</f>
        <v>APPLE</v>
      </c>
      <c r="F305" s="593" t="str">
        <f>IFERROR(__xludf.DUMMYFUNCTION("""COMPUTED_VALUE"""),"IPOD")</f>
        <v>IPOD</v>
      </c>
      <c r="G305" s="490"/>
      <c r="H305" s="490"/>
      <c r="I305" s="490"/>
      <c r="J305" s="588" t="str">
        <f>IFERROR(__xludf.DUMMYFUNCTION("""COMPUTED_VALUE"""),"SEPP")</f>
        <v>SEPP</v>
      </c>
      <c r="K305" s="588"/>
      <c r="L305" s="588"/>
      <c r="M305" s="490" t="str">
        <f>IFERROR(__xludf.DUMMYFUNCTION("""COMPUTED_VALUE"""),"TELTONIKA")</f>
        <v>TELTONIKA</v>
      </c>
      <c r="N305" s="490" t="str">
        <f>IFERROR(__xludf.DUMMYFUNCTION("""COMPUTED_VALUE"""),"bos_nqm_sony_ps2")</f>
        <v>bos_nqm_sony_ps2</v>
      </c>
      <c r="O305" s="490"/>
      <c r="P305" s="490" t="s">
        <v>8335</v>
      </c>
    </row>
    <row r="306">
      <c r="A306" s="490"/>
      <c r="B306" s="490"/>
      <c r="C306" s="490"/>
      <c r="D306" s="593" t="str">
        <f>IFERROR(__xludf.DUMMYFUNCTION("""COMPUTED_VALUE"""),"HIKVISION")</f>
        <v>HIKVISION</v>
      </c>
      <c r="E306" s="593" t="str">
        <f>IFERROR(__xludf.DUMMYFUNCTION("""COMPUTED_VALUE"""),"APPLE")</f>
        <v>APPLE</v>
      </c>
      <c r="F306" s="593" t="str">
        <f>IFERROR(__xludf.DUMMYFUNCTION("""COMPUTED_VALUE"""),"MAC MINI")</f>
        <v>MAC MINI</v>
      </c>
      <c r="G306" s="490"/>
      <c r="H306" s="490"/>
      <c r="I306" s="490"/>
      <c r="J306" s="588" t="str">
        <f>IFERROR(__xludf.DUMMYFUNCTION("""COMPUTED_VALUE"""),"SF")</f>
        <v>SF</v>
      </c>
      <c r="K306" s="588"/>
      <c r="L306" s="588"/>
      <c r="M306" s="490" t="str">
        <f>IFERROR(__xludf.DUMMYFUNCTION("""COMPUTED_VALUE"""),"TEMPALERT")</f>
        <v>TEMPALERT</v>
      </c>
      <c r="N306" s="490" t="str">
        <f>IFERROR(__xludf.DUMMYFUNCTION("""COMPUTED_VALUE"""),"bos_nq_nintendo_wii")</f>
        <v>bos_nq_nintendo_wii</v>
      </c>
      <c r="O306" s="490"/>
      <c r="P306" s="490" t="s">
        <v>8337</v>
      </c>
    </row>
    <row r="307">
      <c r="A307" s="490"/>
      <c r="B307" s="490"/>
      <c r="C307" s="490"/>
      <c r="D307" s="593" t="str">
        <f>IFERROR(__xludf.DUMMYFUNCTION("""COMPUTED_VALUE"""),"HIRSCHMANN")</f>
        <v>HIRSCHMANN</v>
      </c>
      <c r="E307" s="593" t="str">
        <f>IFERROR(__xludf.DUMMYFUNCTION("""COMPUTED_VALUE"""),"APPLE")</f>
        <v>APPLE</v>
      </c>
      <c r="F307" s="593" t="str">
        <f>IFERROR(__xludf.DUMMYFUNCTION("""COMPUTED_VALUE"""),"MAC PRO")</f>
        <v>MAC PRO</v>
      </c>
      <c r="G307" s="490"/>
      <c r="H307" s="490"/>
      <c r="I307" s="490"/>
      <c r="J307" s="588" t="str">
        <f>IFERROR(__xludf.DUMMYFUNCTION("""COMPUTED_VALUE"""),"SGV")</f>
        <v>SGV</v>
      </c>
      <c r="K307" s="588"/>
      <c r="L307" s="588"/>
      <c r="M307" s="490" t="str">
        <f>IFERROR(__xludf.DUMMYFUNCTION("""COMPUTED_VALUE"""),"TEMPALERT")</f>
        <v>TEMPALERT</v>
      </c>
      <c r="N307" s="490" t="str">
        <f>IFERROR(__xludf.DUMMYFUNCTION("""COMPUTED_VALUE"""),"bos_nq_imin_d3504")</f>
        <v>bos_nq_imin_d3504</v>
      </c>
      <c r="O307" s="490"/>
      <c r="P307" s="490" t="s">
        <v>8101</v>
      </c>
    </row>
    <row r="308">
      <c r="A308" s="490"/>
      <c r="B308" s="490"/>
      <c r="C308" s="490"/>
      <c r="D308" s="593" t="str">
        <f>IFERROR(__xludf.DUMMYFUNCTION("""COMPUTED_VALUE"""),"HITACHI")</f>
        <v>HITACHI</v>
      </c>
      <c r="E308" s="593" t="str">
        <f>IFERROR(__xludf.DUMMYFUNCTION("""COMPUTED_VALUE"""),"APPLE")</f>
        <v>APPLE</v>
      </c>
      <c r="F308" s="593" t="str">
        <f>IFERROR(__xludf.DUMMYFUNCTION("""COMPUTED_VALUE""")," I PAD GEN 5")</f>
        <v> I PAD GEN 5</v>
      </c>
      <c r="G308" s="490"/>
      <c r="H308" s="490"/>
      <c r="I308" s="490"/>
      <c r="J308" s="594" t="str">
        <f>IFERROR(__xludf.DUMMYFUNCTION("""COMPUTED_VALUE"""),"SHCP")</f>
        <v>SHCP</v>
      </c>
      <c r="K308" s="588"/>
      <c r="L308" s="588"/>
      <c r="M308" s="490" t="str">
        <f>IFERROR(__xludf.DUMMYFUNCTION("""COMPUTED_VALUE"""),"TP-LINK")</f>
        <v>TP-LINK</v>
      </c>
      <c r="N308" s="490" t="str">
        <f>IFERROR(__xludf.DUMMYFUNCTION("""COMPUTED_VALUE"""),"bos_nq_leanpath_360benchscale")</f>
        <v>bos_nq_leanpath_360benchscale</v>
      </c>
      <c r="O308" s="490"/>
      <c r="P308" s="490" t="s">
        <v>8339</v>
      </c>
    </row>
    <row r="309">
      <c r="A309" s="490"/>
      <c r="B309" s="490"/>
      <c r="C309" s="490"/>
      <c r="D309" s="593" t="str">
        <f>IFERROR(__xludf.DUMMYFUNCTION("""COMPUTED_VALUE"""),"HMS NETWORKS")</f>
        <v>HMS NETWORKS</v>
      </c>
      <c r="E309" s="593" t="str">
        <f>IFERROR(__xludf.DUMMYFUNCTION("""COMPUTED_VALUE"""),"APPLE")</f>
        <v>APPLE</v>
      </c>
      <c r="F309" s="593" t="str">
        <f>IFERROR(__xludf.DUMMYFUNCTION("""COMPUTED_VALUE"""),"I PAD GEN 6")</f>
        <v>I PAD GEN 6</v>
      </c>
      <c r="G309" s="490"/>
      <c r="H309" s="490"/>
      <c r="I309" s="490"/>
      <c r="J309" s="588" t="str">
        <f>IFERROR(__xludf.DUMMYFUNCTION("""COMPUTED_VALUE"""),"SHWP")</f>
        <v>SHWP</v>
      </c>
      <c r="K309" s="588"/>
      <c r="L309" s="588"/>
      <c r="M309" s="490" t="str">
        <f>IFERROR(__xludf.DUMMYFUNCTION("""COMPUTED_VALUE"""),"TP-LINK")</f>
        <v>TP-LINK</v>
      </c>
      <c r="N309" s="490" t="str">
        <f>IFERROR(__xludf.DUMMYFUNCTION("""COMPUTED_VALUE"""),"bos_nq_gira_g1poe")</f>
        <v>bos_nq_gira_g1poe</v>
      </c>
      <c r="O309" s="490"/>
      <c r="P309" s="490" t="s">
        <v>8343</v>
      </c>
    </row>
    <row r="310">
      <c r="A310" s="490"/>
      <c r="B310" s="490"/>
      <c r="C310" s="490"/>
      <c r="D310" s="593" t="str">
        <f>IFERROR(__xludf.DUMMYFUNCTION("""COMPUTED_VALUE"""),"HOBART")</f>
        <v>HOBART</v>
      </c>
      <c r="E310" s="593" t="str">
        <f>IFERROR(__xludf.DUMMYFUNCTION("""COMPUTED_VALUE"""),"APPLE")</f>
        <v>APPLE</v>
      </c>
      <c r="F310" s="593" t="str">
        <f>IFERROR(__xludf.DUMMYFUNCTION("""COMPUTED_VALUE"""),"I PAD GEN 6")</f>
        <v>I PAD GEN 6</v>
      </c>
      <c r="G310" s="490"/>
      <c r="H310" s="490"/>
      <c r="I310" s="490"/>
      <c r="J310" s="588" t="str">
        <f>IFERROR(__xludf.DUMMYFUNCTION("""COMPUTED_VALUE"""),"SLCR")</f>
        <v>SLCR</v>
      </c>
      <c r="K310" s="588"/>
      <c r="L310" s="588"/>
      <c r="M310" s="490" t="str">
        <f>IFERROR(__xludf.DUMMYFUNCTION("""COMPUTED_VALUE"""),"TP-LINK")</f>
        <v>TP-LINK</v>
      </c>
      <c r="N310" s="490" t="str">
        <f>IFERROR(__xludf.DUMMYFUNCTION("""COMPUTED_VALUE"""),"bos_nq_matrix_touchc")</f>
        <v>bos_nq_matrix_touchc</v>
      </c>
      <c r="O310" s="490"/>
      <c r="P310" s="490" t="s">
        <v>8345</v>
      </c>
    </row>
    <row r="311">
      <c r="A311" s="490"/>
      <c r="B311" s="490"/>
      <c r="C311" s="490"/>
      <c r="D311" s="593" t="str">
        <f>IFERROR(__xludf.DUMMYFUNCTION("""COMPUTED_VALUE"""),"HOCHIKI AMERICA CORP")</f>
        <v>HOCHIKI AMERICA CORP</v>
      </c>
      <c r="E311" s="593" t="str">
        <f>IFERROR(__xludf.DUMMYFUNCTION("""COMPUTED_VALUE"""),"APPLE")</f>
        <v>APPLE</v>
      </c>
      <c r="F311" s="593" t="str">
        <f>IFERROR(__xludf.DUMMYFUNCTION("""COMPUTED_VALUE""")," I PAD GEN 6")</f>
        <v> I PAD GEN 6</v>
      </c>
      <c r="G311" s="490"/>
      <c r="H311" s="490"/>
      <c r="I311" s="490"/>
      <c r="J311" s="588" t="str">
        <f>IFERROR(__xludf.DUMMYFUNCTION("""COMPUTED_VALUE"""),"SMPP")</f>
        <v>SMPP</v>
      </c>
      <c r="K311" s="588"/>
      <c r="L311" s="588"/>
      <c r="M311" s="490" t="str">
        <f>IFERROR(__xludf.DUMMYFUNCTION("""COMPUTED_VALUE"""),"TP-LINK")</f>
        <v>TP-LINK</v>
      </c>
      <c r="N311" s="490" t="str">
        <f>IFERROR(__xludf.DUMMYFUNCTION("""COMPUTED_VALUE"""),"bos_delta_red5_edge")</f>
        <v>bos_delta_red5_edge</v>
      </c>
      <c r="O311" s="490"/>
      <c r="P311" s="490" t="s">
        <v>8348</v>
      </c>
    </row>
    <row r="312">
      <c r="A312" s="490"/>
      <c r="B312" s="490"/>
      <c r="C312" s="490"/>
      <c r="D312" s="593" t="str">
        <f>IFERROR(__xludf.DUMMYFUNCTION("""COMPUTED_VALUE"""),"HONEYWELL")</f>
        <v>HONEYWELL</v>
      </c>
      <c r="E312" s="593" t="str">
        <f>IFERROR(__xludf.DUMMYFUNCTION("""COMPUTED_VALUE"""),"APPLE")</f>
        <v>APPLE</v>
      </c>
      <c r="F312" s="593" t="str">
        <f>IFERROR(__xludf.DUMMYFUNCTION("""COMPUTED_VALUE"""),"MR7F2X/A")</f>
        <v>MR7F2X/A</v>
      </c>
      <c r="G312" s="490"/>
      <c r="H312" s="490"/>
      <c r="I312" s="586"/>
      <c r="J312" s="588" t="str">
        <f>IFERROR(__xludf.DUMMYFUNCTION("""COMPUTED_VALUE"""),"SNV")</f>
        <v>SNV</v>
      </c>
      <c r="K312" s="594"/>
      <c r="L312" s="594"/>
      <c r="M312" s="586" t="str">
        <f>IFERROR(__xludf.DUMMYFUNCTION("""COMPUTED_VALUE"""),"TP-LINK")</f>
        <v>TP-LINK</v>
      </c>
      <c r="N312" s="586" t="str">
        <f>IFERROR(__xludf.DUMMYFUNCTION("""COMPUTED_VALUE"""),"bos_delta_red5_plus")</f>
        <v>bos_delta_red5_plus</v>
      </c>
      <c r="O312" s="586"/>
      <c r="P312" s="586" t="s">
        <v>8350</v>
      </c>
    </row>
    <row r="313">
      <c r="A313" s="490"/>
      <c r="B313" s="490"/>
      <c r="C313" s="490"/>
      <c r="D313" s="593" t="str">
        <f>IFERROR(__xludf.DUMMYFUNCTION("""COMPUTED_VALUE"""),"HOOC")</f>
        <v>HOOC</v>
      </c>
      <c r="E313" s="593" t="str">
        <f>IFERROR(__xludf.DUMMYFUNCTION("""COMPUTED_VALUE"""),"APPLE")</f>
        <v>APPLE</v>
      </c>
      <c r="F313" s="593" t="str">
        <f>IFERROR(__xludf.DUMMYFUNCTION("""COMPUTED_VALUE"""),"MK473X/A")</f>
        <v>MK473X/A</v>
      </c>
      <c r="G313" s="490"/>
      <c r="H313" s="490"/>
      <c r="I313" s="490"/>
      <c r="J313" s="588" t="str">
        <f>IFERROR(__xludf.DUMMYFUNCTION("""COMPUTED_VALUE"""),"SOI")</f>
        <v>SOI</v>
      </c>
      <c r="K313" s="588"/>
      <c r="L313" s="588"/>
      <c r="M313" s="490" t="str">
        <f>IFERROR(__xludf.DUMMYFUNCTION("""COMPUTED_VALUE"""),"TP-LINK")</f>
        <v>TP-LINK</v>
      </c>
      <c r="N313" s="490" t="str">
        <f>IFERROR(__xludf.DUMMYFUNCTION("""COMPUTED_VALUE"""),"bos_nq_ukg_intouchdxg2")</f>
        <v>bos_nq_ukg_intouchdxg2</v>
      </c>
      <c r="O313" s="490"/>
      <c r="P313" s="490" t="s">
        <v>8353</v>
      </c>
    </row>
    <row r="314">
      <c r="A314" s="490"/>
      <c r="B314" s="490"/>
      <c r="C314" s="490"/>
      <c r="D314" s="593" t="str">
        <f>IFERROR(__xludf.DUMMYFUNCTION("""COMPUTED_VALUE"""),"HP")</f>
        <v>HP</v>
      </c>
      <c r="E314" s="593" t="str">
        <f>IFERROR(__xludf.DUMMYFUNCTION("""COMPUTED_VALUE"""),"APPLE")</f>
        <v>APPLE</v>
      </c>
      <c r="F314" s="593" t="str">
        <f>IFERROR(__xludf.DUMMYFUNCTION("""COMPUTED_VALUE"""),"IPAD (9TH GENERATION)")</f>
        <v>IPAD (9TH GENERATION)</v>
      </c>
      <c r="G314" s="490"/>
      <c r="H314" s="490"/>
      <c r="I314" s="490"/>
      <c r="J314" s="588" t="str">
        <f>IFERROR(__xludf.DUMMYFUNCTION("""COMPUTED_VALUE"""),"SP")</f>
        <v>SP</v>
      </c>
      <c r="K314" s="588"/>
      <c r="L314" s="588"/>
      <c r="M314" s="490" t="str">
        <f>IFERROR(__xludf.DUMMYFUNCTION("""COMPUTED_VALUE"""),"TP-LINK")</f>
        <v>TP-LINK</v>
      </c>
      <c r="N314" s="490" t="str">
        <f>IFERROR(__xludf.DUMMYFUNCTION("""COMPUTED_VALUE"""),"bos_nq_detecsystems_dx250")</f>
        <v>bos_nq_detecsystems_dx250</v>
      </c>
      <c r="O314" s="490"/>
      <c r="P314" s="490" t="s">
        <v>8355</v>
      </c>
    </row>
    <row r="315">
      <c r="A315" s="490"/>
      <c r="B315" s="490"/>
      <c r="C315" s="490"/>
      <c r="D315" s="593" t="str">
        <f>IFERROR(__xludf.DUMMYFUNCTION("""COMPUTED_VALUE"""),"HPE")</f>
        <v>HPE</v>
      </c>
      <c r="E315" s="593" t="str">
        <f>IFERROR(__xludf.DUMMYFUNCTION("""COMPUTED_VALUE"""),"APPLIED TECHNO")</f>
        <v>APPLIED TECHNO</v>
      </c>
      <c r="F315" s="593" t="str">
        <f>IFERROR(__xludf.DUMMYFUNCTION("""COMPUTED_VALUE"""),"SYSTEM 109T")</f>
        <v>SYSTEM 109T</v>
      </c>
      <c r="G315" s="490"/>
      <c r="H315" s="490"/>
      <c r="I315" s="490"/>
      <c r="J315" s="588" t="str">
        <f>IFERROR(__xludf.DUMMYFUNCTION("""COMPUTED_VALUE"""),"SPF")</f>
        <v>SPF</v>
      </c>
      <c r="K315" s="588"/>
      <c r="L315" s="588"/>
      <c r="M315" s="490" t="str">
        <f>IFERROR(__xludf.DUMMYFUNCTION("""COMPUTED_VALUE"""),"TP-LINK")</f>
        <v>TP-LINK</v>
      </c>
      <c r="N315" s="490" t="str">
        <f>IFERROR(__xludf.DUMMYFUNCTION("""COMPUTED_VALUE"""),"bos_nq_draper_ipgateway")</f>
        <v>bos_nq_draper_ipgateway</v>
      </c>
      <c r="O315" s="490"/>
      <c r="P315" s="490" t="s">
        <v>8358</v>
      </c>
    </row>
    <row r="316">
      <c r="A316" s="490"/>
      <c r="B316" s="490"/>
      <c r="C316" s="490"/>
      <c r="D316" s="593" t="str">
        <f>IFERROR(__xludf.DUMMYFUNCTION("""COMPUTED_VALUE"""),"HRW")</f>
        <v>HRW</v>
      </c>
      <c r="E316" s="593" t="str">
        <f>IFERROR(__xludf.DUMMYFUNCTION("""COMPUTED_VALUE"""),"APRESIA")</f>
        <v>APRESIA</v>
      </c>
      <c r="F316" s="593" t="str">
        <f>IFERROR(__xludf.DUMMYFUNCTION("""COMPUTED_VALUE"""),"APLFB116SS")</f>
        <v>APLFB116SS</v>
      </c>
      <c r="G316" s="490"/>
      <c r="H316" s="490"/>
      <c r="I316" s="490"/>
      <c r="J316" s="588" t="str">
        <f>IFERROR(__xludf.DUMMYFUNCTION("""COMPUTED_VALUE"""),"SPH")</f>
        <v>SPH</v>
      </c>
      <c r="K316" s="588"/>
      <c r="L316" s="588"/>
      <c r="M316" s="490" t="str">
        <f>IFERROR(__xludf.DUMMYFUNCTION("""COMPUTED_VALUE"""),"TP-LINK")</f>
        <v>TP-LINK</v>
      </c>
      <c r="N316" s="490" t="str">
        <f>IFERROR(__xludf.DUMMYFUNCTION("""COMPUTED_VALUE"""),"bos_nqm_redlion_g307k200")</f>
        <v>bos_nqm_redlion_g307k200</v>
      </c>
      <c r="O316" s="490"/>
      <c r="P316" s="490" t="s">
        <v>8360</v>
      </c>
    </row>
    <row r="317">
      <c r="A317" s="490"/>
      <c r="B317" s="490"/>
      <c r="C317" s="490"/>
      <c r="D317" s="593" t="str">
        <f>IFERROR(__xludf.DUMMYFUNCTION("""COMPUTED_VALUE"""),"HTC")</f>
        <v>HTC</v>
      </c>
      <c r="E317" s="593" t="str">
        <f>IFERROR(__xludf.DUMMYFUNCTION("""COMPUTED_VALUE"""),"APRESIA")</f>
        <v>APRESIA</v>
      </c>
      <c r="F317" s="593" t="str">
        <f>IFERROR(__xludf.DUMMYFUNCTION("""COMPUTED_VALUE"""),"APLGB108SS")</f>
        <v>APLGB108SS</v>
      </c>
      <c r="G317" s="490"/>
      <c r="H317" s="490"/>
      <c r="I317" s="490"/>
      <c r="J317" s="588" t="str">
        <f>IFERROR(__xludf.DUMMYFUNCTION("""COMPUTED_VALUE"""),"SPRV")</f>
        <v>SPRV</v>
      </c>
      <c r="K317" s="588"/>
      <c r="L317" s="588"/>
      <c r="M317" s="490" t="str">
        <f>IFERROR(__xludf.DUMMYFUNCTION("""COMPUTED_VALUE"""),"TP-LINK")</f>
        <v>TP-LINK</v>
      </c>
      <c r="N317" s="490" t="str">
        <f>IFERROR(__xludf.DUMMYFUNCTION("""COMPUTED_VALUE"""),"bos_nq_distech_horyzonc7")</f>
        <v>bos_nq_distech_horyzonc7</v>
      </c>
      <c r="O317" s="490"/>
      <c r="P317" s="490" t="s">
        <v>8362</v>
      </c>
    </row>
    <row r="318">
      <c r="A318" s="490"/>
      <c r="B318" s="490"/>
      <c r="C318" s="490"/>
      <c r="D318" s="593" t="str">
        <f>IFERROR(__xludf.DUMMYFUNCTION("""COMPUTED_VALUE"""),"HUAWEI")</f>
        <v>HUAWEI</v>
      </c>
      <c r="E318" s="593" t="str">
        <f>IFERROR(__xludf.DUMMYFUNCTION("""COMPUTED_VALUE"""),"AQUA FLO-PAK")</f>
        <v>AQUA FLO-PAK</v>
      </c>
      <c r="F318" s="593" t="str">
        <f>IFERROR(__xludf.DUMMYFUNCTION("""COMPUTED_VALUE"""),"DAP 27B4")</f>
        <v>DAP 27B4</v>
      </c>
      <c r="G318" s="490"/>
      <c r="H318" s="490"/>
      <c r="I318" s="490"/>
      <c r="J318" s="588" t="str">
        <f>IFERROR(__xludf.DUMMYFUNCTION("""COMPUTED_VALUE"""),"SPS")</f>
        <v>SPS</v>
      </c>
      <c r="K318" s="588"/>
      <c r="L318" s="588"/>
      <c r="M318" s="490" t="str">
        <f>IFERROR(__xludf.DUMMYFUNCTION("""COMPUTED_VALUE"""),"TP-LINK")</f>
        <v>TP-LINK</v>
      </c>
      <c r="N318" s="490" t="str">
        <f>IFERROR(__xludf.DUMMYFUNCTION("""COMPUTED_VALUE"""),"bos_nq_deltacontrols_ebmgr")</f>
        <v>bos_nq_deltacontrols_ebmgr</v>
      </c>
      <c r="O318" s="490"/>
      <c r="P318" s="490" t="s">
        <v>8103</v>
      </c>
    </row>
    <row r="319">
      <c r="A319" s="490"/>
      <c r="B319" s="490"/>
      <c r="C319" s="490"/>
      <c r="D319" s="593" t="str">
        <f>IFERROR(__xludf.DUMMYFUNCTION("""COMPUTED_VALUE"""),"HUNTER")</f>
        <v>HUNTER</v>
      </c>
      <c r="E319" s="593" t="str">
        <f>IFERROR(__xludf.DUMMYFUNCTION("""COMPUTED_VALUE"""),"AQUA LIBRA")</f>
        <v>AQUA LIBRA</v>
      </c>
      <c r="F319" s="593" t="str">
        <f>IFERROR(__xludf.DUMMYFUNCTION("""COMPUTED_VALUE"""),"ARM PLAYER AP3566-02")</f>
        <v>ARM PLAYER AP3566-02</v>
      </c>
      <c r="G319" s="490"/>
      <c r="H319" s="490"/>
      <c r="I319" s="490"/>
      <c r="J319" s="588" t="str">
        <f>IFERROR(__xludf.DUMMYFUNCTION("""COMPUTED_VALUE"""),"SPT")</f>
        <v>SPT</v>
      </c>
      <c r="K319" s="588"/>
      <c r="L319" s="588"/>
      <c r="M319" s="490" t="str">
        <f>IFERROR(__xludf.DUMMYFUNCTION("""COMPUTED_VALUE"""),"TP-LINK")</f>
        <v>TP-LINK</v>
      </c>
      <c r="N319" s="490" t="str">
        <f>IFERROR(__xludf.DUMMYFUNCTION("""COMPUTED_VALUE"""),"bos_nqm_protosense_beamer1")</f>
        <v>bos_nqm_protosense_beamer1</v>
      </c>
      <c r="O319" s="490"/>
      <c r="P319" s="490" t="s">
        <v>8364</v>
      </c>
    </row>
    <row r="320">
      <c r="A320" s="490"/>
      <c r="B320" s="490"/>
      <c r="C320" s="490"/>
      <c r="D320" s="593" t="str">
        <f>IFERROR(__xludf.DUMMYFUNCTION("""COMPUTED_VALUE"""),"HUUBAP")</f>
        <v>HUUBAP</v>
      </c>
      <c r="E320" s="593" t="str">
        <f>IFERROR(__xludf.DUMMYFUNCTION("""COMPUTED_VALUE"""),"AQUAGEN")</f>
        <v>AQUAGEN</v>
      </c>
      <c r="F320" s="593" t="str">
        <f>IFERROR(__xludf.DUMMYFUNCTION("""COMPUTED_VALUE"""),"UWM-220 DN-50-DN500")</f>
        <v>UWM-220 DN-50-DN500</v>
      </c>
      <c r="G320" s="490"/>
      <c r="H320" s="490"/>
      <c r="I320" s="490"/>
      <c r="J320" s="588" t="str">
        <f>IFERROR(__xludf.DUMMYFUNCTION("""COMPUTED_VALUE"""),"SPV")</f>
        <v>SPV</v>
      </c>
      <c r="K320" s="588"/>
      <c r="L320" s="588"/>
      <c r="M320" s="490" t="str">
        <f>IFERROR(__xludf.DUMMYFUNCTION("""COMPUTED_VALUE"""),"TP-LINK")</f>
        <v>TP-LINK</v>
      </c>
      <c r="N320" s="490" t="str">
        <f>IFERROR(__xludf.DUMMYFUNCTION("""COMPUTED_VALUE"""),"bos_checkit_hub")</f>
        <v>bos_checkit_hub</v>
      </c>
      <c r="O320" s="490"/>
      <c r="P320" s="490" t="s">
        <v>8366</v>
      </c>
    </row>
    <row r="321">
      <c r="A321" s="490"/>
      <c r="B321" s="490"/>
      <c r="C321" s="490"/>
      <c r="D321" s="593" t="str">
        <f>IFERROR(__xludf.DUMMYFUNCTION("""COMPUTED_VALUE"""),"HYDRELIS")</f>
        <v>HYDRELIS</v>
      </c>
      <c r="E321" s="593" t="str">
        <f>IFERROR(__xludf.DUMMYFUNCTION("""COMPUTED_VALUE"""),"AQUARIO")</f>
        <v>AQUARIO</v>
      </c>
      <c r="F321" s="593" t="str">
        <f>IFERROR(__xludf.DUMMYFUNCTION("""COMPUTED_VALUE"""),"MD-4000")</f>
        <v>MD-4000</v>
      </c>
      <c r="G321" s="490"/>
      <c r="H321" s="490"/>
      <c r="I321" s="490"/>
      <c r="J321" s="594" t="str">
        <f>IFERROR(__xludf.DUMMYFUNCTION("""COMPUTED_VALUE"""),"SSFLT")</f>
        <v>SSFLT</v>
      </c>
      <c r="K321" s="588"/>
      <c r="L321" s="588"/>
      <c r="M321" s="490" t="str">
        <f>IFERROR(__xludf.DUMMYFUNCTION("""COMPUTED_VALUE"""),"TP-LINK")</f>
        <v>TP-LINK</v>
      </c>
      <c r="N321" s="490" t="str">
        <f>IFERROR(__xludf.DUMMYFUNCTION("""COMPUTED_VALUE"""),"bos_siemens_pxc5_e24")</f>
        <v>bos_siemens_pxc5_e24</v>
      </c>
      <c r="O321" s="490"/>
      <c r="P321" s="490" t="s">
        <v>8368</v>
      </c>
    </row>
    <row r="322">
      <c r="A322" s="490"/>
      <c r="B322" s="490"/>
      <c r="C322" s="490"/>
      <c r="D322" s="593" t="str">
        <f>IFERROR(__xludf.DUMMYFUNCTION("""COMPUTED_VALUE"""),"HYDROPOINT")</f>
        <v>HYDROPOINT</v>
      </c>
      <c r="E322" s="593" t="str">
        <f>IFERROR(__xludf.DUMMYFUNCTION("""COMPUTED_VALUE"""),"ARCADE1UP")</f>
        <v>ARCADE1UP</v>
      </c>
      <c r="F322" s="593" t="str">
        <f>IFERROR(__xludf.DUMMYFUNCTION("""COMPUTED_VALUE"""),"INFINITY GAME TABLE")</f>
        <v>INFINITY GAME TABLE</v>
      </c>
      <c r="G322" s="490"/>
      <c r="H322" s="490"/>
      <c r="I322" s="490"/>
      <c r="J322" s="594" t="str">
        <f>IFERROR(__xludf.DUMMYFUNCTION("""COMPUTED_VALUE"""),"SSP")</f>
        <v>SSP</v>
      </c>
      <c r="K322" s="588"/>
      <c r="L322" s="588"/>
      <c r="M322" s="490" t="str">
        <f>IFERROR(__xludf.DUMMYFUNCTION("""COMPUTED_VALUE"""),"TP-LINK")</f>
        <v>TP-LINK</v>
      </c>
      <c r="N322" s="490" t="str">
        <f>IFERROR(__xludf.DUMMYFUNCTION("""COMPUTED_VALUE"""),"bos_siemens_pxc7_e400")</f>
        <v>bos_siemens_pxc7_e400</v>
      </c>
      <c r="O322" s="490"/>
      <c r="P322" s="490" t="s">
        <v>8370</v>
      </c>
    </row>
    <row r="323">
      <c r="A323" s="490"/>
      <c r="B323" s="490"/>
      <c r="C323" s="490"/>
      <c r="D323" s="593" t="str">
        <f>IFERROR(__xludf.DUMMYFUNCTION("""COMPUTED_VALUE"""),"HYDROW")</f>
        <v>HYDROW</v>
      </c>
      <c r="E323" s="593" t="str">
        <f>IFERROR(__xludf.DUMMYFUNCTION("""COMPUTED_VALUE"""),"ARMARAC")</f>
        <v>ARMARAC</v>
      </c>
      <c r="F323" s="593" t="str">
        <f>IFERROR(__xludf.DUMMYFUNCTION("""COMPUTED_VALUE"""),"MX-800")</f>
        <v>MX-800</v>
      </c>
      <c r="G323" s="490"/>
      <c r="H323" s="490"/>
      <c r="I323" s="490"/>
      <c r="J323" s="596" t="str">
        <f>IFERROR(__xludf.DUMMYFUNCTION("""COMPUTED_VALUE"""),"STE")</f>
        <v>STE</v>
      </c>
      <c r="K323" s="588"/>
      <c r="L323" s="588"/>
      <c r="M323" s="490" t="str">
        <f>IFERROR(__xludf.DUMMYFUNCTION("""COMPUTED_VALUE"""),"TP-LINK")</f>
        <v>TP-LINK</v>
      </c>
      <c r="N323" s="490" t="str">
        <f>IFERROR(__xludf.DUMMYFUNCTION("""COMPUTED_VALUE"""),"bos_nqm_adfweb_hd67056b2160")</f>
        <v>bos_nqm_adfweb_hd67056b2160</v>
      </c>
      <c r="O323" s="490"/>
      <c r="P323" s="490" t="s">
        <v>8372</v>
      </c>
    </row>
    <row r="324">
      <c r="A324" s="490"/>
      <c r="B324" s="490"/>
      <c r="C324" s="490"/>
      <c r="D324" s="593" t="str">
        <f>IFERROR(__xludf.DUMMYFUNCTION("""COMPUTED_VALUE"""),"ICC")</f>
        <v>ICC</v>
      </c>
      <c r="E324" s="593" t="str">
        <f>IFERROR(__xludf.DUMMYFUNCTION("""COMPUTED_VALUE"""),"ARRIS")</f>
        <v>ARRIS</v>
      </c>
      <c r="F324" s="593" t="str">
        <f>IFERROR(__xludf.DUMMYFUNCTION("""COMPUTED_VALUE"""),"NVG510")</f>
        <v>NVG510</v>
      </c>
      <c r="G324" s="490"/>
      <c r="H324" s="490"/>
      <c r="I324" s="586"/>
      <c r="J324" s="594" t="str">
        <f>IFERROR(__xludf.DUMMYFUNCTION("""COMPUTED_VALUE"""),"STS")</f>
        <v>STS</v>
      </c>
      <c r="K324" s="594"/>
      <c r="L324" s="594"/>
      <c r="M324" s="586" t="str">
        <f>IFERROR(__xludf.DUMMYFUNCTION("""COMPUTED_VALUE"""),"TP-LINK")</f>
        <v>TP-LINK</v>
      </c>
      <c r="N324" s="586" t="str">
        <f>IFERROR(__xludf.DUMMYFUNCTION("""COMPUTED_VALUE"""),"bos_nq_sierramonitoring_fpcn380717")</f>
        <v>bos_nq_sierramonitoring_fpcn380717</v>
      </c>
      <c r="O324" s="586"/>
      <c r="P324" s="586" t="s">
        <v>8374</v>
      </c>
    </row>
    <row r="325">
      <c r="A325" s="490"/>
      <c r="B325" s="490"/>
      <c r="C325" s="490"/>
      <c r="D325" s="593" t="str">
        <f>IFERROR(__xludf.DUMMYFUNCTION("""COMPUTED_VALUE"""),"ICP")</f>
        <v>ICP</v>
      </c>
      <c r="E325" s="593" t="str">
        <f>IFERROR(__xludf.DUMMYFUNCTION("""COMPUTED_VALUE"""),"ARRIS")</f>
        <v>ARRIS</v>
      </c>
      <c r="F325" s="593" t="str">
        <f>IFERROR(__xludf.DUMMYFUNCTION("""COMPUTED_VALUE"""),"DG1670A")</f>
        <v>DG1670A</v>
      </c>
      <c r="G325" s="490"/>
      <c r="H325" s="490"/>
      <c r="I325" s="490"/>
      <c r="J325" s="594" t="str">
        <f>IFERROR(__xludf.DUMMYFUNCTION("""COMPUTED_VALUE"""),"SWACT")</f>
        <v>SWACT</v>
      </c>
      <c r="K325" s="588"/>
      <c r="L325" s="588"/>
      <c r="M325" s="490" t="str">
        <f>IFERROR(__xludf.DUMMYFUNCTION("""COMPUTED_VALUE"""),"TP-LINK")</f>
        <v>TP-LINK</v>
      </c>
      <c r="N325" s="490" t="str">
        <f>IFERROR(__xludf.DUMMYFUNCTION("""COMPUTED_VALUE"""),"bos_nq_dell_precision7875")</f>
        <v>bos_nq_dell_precision7875</v>
      </c>
      <c r="O325" s="490"/>
      <c r="P325" s="490" t="s">
        <v>8377</v>
      </c>
    </row>
    <row r="326">
      <c r="A326" s="490"/>
      <c r="B326" s="490"/>
      <c r="C326" s="490"/>
      <c r="D326" s="593" t="str">
        <f>IFERROR(__xludf.DUMMYFUNCTION("""COMPUTED_VALUE"""),"ICP DAS")</f>
        <v>ICP DAS</v>
      </c>
      <c r="E326" s="593" t="str">
        <f>IFERROR(__xludf.DUMMYFUNCTION("""COMPUTED_VALUE"""),"ARUBA")</f>
        <v>ARUBA</v>
      </c>
      <c r="F326" s="593" t="str">
        <f>IFERROR(__xludf.DUMMYFUNCTION("""COMPUTED_VALUE"""),"AP-225")</f>
        <v>AP-225</v>
      </c>
      <c r="G326" s="490"/>
      <c r="H326" s="490"/>
      <c r="I326" s="490"/>
      <c r="J326" s="588" t="str">
        <f>IFERROR(__xludf.DUMMYFUNCTION("""COMPUTED_VALUE"""),"SWGR")</f>
        <v>SWGR</v>
      </c>
      <c r="K326" s="588"/>
      <c r="L326" s="588"/>
      <c r="M326" s="490" t="str">
        <f>IFERROR(__xludf.DUMMYFUNCTION("""COMPUTED_VALUE"""),"TP-LINK")</f>
        <v>TP-LINK</v>
      </c>
      <c r="N326" s="490" t="str">
        <f>IFERROR(__xludf.DUMMYFUNCTION("""COMPUTED_VALUE"""),"bos_nqm_adfweb_hd67056b240")</f>
        <v>bos_nqm_adfweb_hd67056b240</v>
      </c>
      <c r="O326" s="490"/>
      <c r="P326" s="490" t="s">
        <v>8379</v>
      </c>
    </row>
    <row r="327">
      <c r="A327" s="490"/>
      <c r="B327" s="490"/>
      <c r="C327" s="490"/>
      <c r="D327" s="593" t="str">
        <f>IFERROR(__xludf.DUMMYFUNCTION("""COMPUTED_VALUE"""),"IDEC")</f>
        <v>IDEC</v>
      </c>
      <c r="E327" s="593" t="str">
        <f>IFERROR(__xludf.DUMMYFUNCTION("""COMPUTED_VALUE"""),"ARUBA")</f>
        <v>ARUBA</v>
      </c>
      <c r="F327" s="593" t="str">
        <f>IFERROR(__xludf.DUMMYFUNCTION("""COMPUTED_VALUE"""),"AP125")</f>
        <v>AP125</v>
      </c>
      <c r="G327" s="490"/>
      <c r="H327" s="490"/>
      <c r="I327" s="490"/>
      <c r="J327" s="588" t="str">
        <f>IFERROR(__xludf.DUMMYFUNCTION("""COMPUTED_VALUE"""),"TC")</f>
        <v>TC</v>
      </c>
      <c r="K327" s="588"/>
      <c r="L327" s="83"/>
      <c r="M327" s="490" t="str">
        <f>IFERROR(__xludf.DUMMYFUNCTION("""COMPUTED_VALUE"""),"TP-LINK")</f>
        <v>TP-LINK</v>
      </c>
      <c r="N327" s="490" t="str">
        <f>IFERROR(__xludf.DUMMYFUNCTION("""COMPUTED_VALUE"""),"bos_schneider_spacelogic_mpc")</f>
        <v>bos_schneider_spacelogic_mpc</v>
      </c>
      <c r="O327" s="490"/>
      <c r="P327" s="490" t="s">
        <v>8381</v>
      </c>
    </row>
    <row r="328">
      <c r="A328" s="490"/>
      <c r="B328" s="490"/>
      <c r="C328" s="490"/>
      <c r="D328" s="593" t="str">
        <f>IFERROR(__xludf.DUMMYFUNCTION("""COMPUTED_VALUE"""),"IIJ")</f>
        <v>IIJ</v>
      </c>
      <c r="E328" s="593" t="str">
        <f>IFERROR(__xludf.DUMMYFUNCTION("""COMPUTED_VALUE"""),"ASANTE")</f>
        <v>ASANTE</v>
      </c>
      <c r="F328" s="593" t="str">
        <f>IFERROR(__xludf.DUMMYFUNCTION("""COMPUTED_VALUE"""),"FS5005")</f>
        <v>FS5005</v>
      </c>
      <c r="G328" s="490"/>
      <c r="H328" s="490"/>
      <c r="I328" s="490"/>
      <c r="J328" s="588" t="str">
        <f>IFERROR(__xludf.DUMMYFUNCTION("""COMPUTED_VALUE"""),"TCV")</f>
        <v>TCV</v>
      </c>
      <c r="K328" s="588"/>
      <c r="L328" s="588"/>
      <c r="M328" s="490" t="str">
        <f>IFERROR(__xludf.DUMMYFUNCTION("""COMPUTED_VALUE"""),"TP-LINK")</f>
        <v>TP-LINK</v>
      </c>
      <c r="N328" s="490" t="str">
        <f>IFERROR(__xludf.DUMMYFUNCTION("""COMPUTED_VALUE"""),"bos_schneider_spacelogic_rpc")</f>
        <v>bos_schneider_spacelogic_rpc</v>
      </c>
      <c r="O328" s="490"/>
      <c r="P328" s="490" t="s">
        <v>8383</v>
      </c>
    </row>
    <row r="329">
      <c r="A329" s="490"/>
      <c r="B329" s="490"/>
      <c r="C329" s="490"/>
      <c r="D329" s="593" t="str">
        <f>IFERROR(__xludf.DUMMYFUNCTION("""COMPUTED_VALUE"""),"IIPL/PLUGLIGHTING")</f>
        <v>IIPL/PLUGLIGHTING</v>
      </c>
      <c r="E329" s="593" t="str">
        <f>IFERROR(__xludf.DUMMYFUNCTION("""COMPUTED_VALUE"""),"ASANTE TECHNOLOGIES")</f>
        <v>ASANTE TECHNOLOGIES</v>
      </c>
      <c r="F329" s="593" t="str">
        <f>IFERROR(__xludf.DUMMYFUNCTION("""COMPUTED_VALUE"""),"FS5005")</f>
        <v>FS5005</v>
      </c>
      <c r="G329" s="490"/>
      <c r="H329" s="490"/>
      <c r="I329" s="490"/>
      <c r="J329" s="588" t="str">
        <f>IFERROR(__xludf.DUMMYFUNCTION("""COMPUTED_VALUE"""),"TF")</f>
        <v>TF</v>
      </c>
      <c r="K329" s="588"/>
      <c r="L329" s="588"/>
      <c r="M329" s="490" t="str">
        <f>IFERROR(__xludf.DUMMYFUNCTION("""COMPUTED_VALUE"""),"TP-LINK")</f>
        <v>TP-LINK</v>
      </c>
      <c r="N329" s="490" t="str">
        <f>IFERROR(__xludf.DUMMYFUNCTION("""COMPUTED_VALUE"""),"bos_nq_hp_g1i")</f>
        <v>bos_nq_hp_g1i</v>
      </c>
      <c r="O329" s="490"/>
      <c r="P329" s="490" t="s">
        <v>8105</v>
      </c>
    </row>
    <row r="330">
      <c r="A330" s="490"/>
      <c r="B330" s="490"/>
      <c r="C330" s="490"/>
      <c r="D330" s="593" t="str">
        <f>IFERROR(__xludf.DUMMYFUNCTION("""COMPUTED_VALUE"""),"ILIGHT")</f>
        <v>ILIGHT</v>
      </c>
      <c r="E330" s="593" t="str">
        <f>IFERROR(__xludf.DUMMYFUNCTION("""COMPUTED_VALUE"""),"ASCO")</f>
        <v>ASCO</v>
      </c>
      <c r="F330" s="593" t="str">
        <f>IFERROR(__xludf.DUMMYFUNCTION("""COMPUTED_VALUE"""),"SERIES 230 ATS")</f>
        <v>SERIES 230 ATS</v>
      </c>
      <c r="G330" s="490"/>
      <c r="H330" s="490"/>
      <c r="I330" s="490"/>
      <c r="J330" s="588" t="str">
        <f>IFERROR(__xludf.DUMMYFUNCTION("""COMPUTED_VALUE"""),"TK")</f>
        <v>TK</v>
      </c>
      <c r="K330" s="588"/>
      <c r="L330" s="588"/>
      <c r="M330" s="490" t="str">
        <f>IFERROR(__xludf.DUMMYFUNCTION("""COMPUTED_VALUE"""),"TP-LINK")</f>
        <v>TP-LINK</v>
      </c>
      <c r="N330" s="490"/>
      <c r="O330" s="490"/>
      <c r="P330" s="490" t="s">
        <v>8385</v>
      </c>
    </row>
    <row r="331">
      <c r="A331" s="490"/>
      <c r="B331" s="490"/>
      <c r="C331" s="490"/>
      <c r="D331" s="593" t="str">
        <f>IFERROR(__xludf.DUMMYFUNCTION("""COMPUTED_VALUE"""),"IMI")</f>
        <v>IMI</v>
      </c>
      <c r="E331" s="593" t="str">
        <f>IFERROR(__xludf.DUMMYFUNCTION("""COMPUTED_VALUE"""),"ASI")</f>
        <v>ASI</v>
      </c>
      <c r="F331" s="593" t="str">
        <f>IFERROR(__xludf.DUMMYFUNCTION("""COMPUTED_VALUE"""),"ASIC/3-9540")</f>
        <v>ASIC/3-9540</v>
      </c>
      <c r="G331" s="490"/>
      <c r="H331" s="490"/>
      <c r="I331" s="490"/>
      <c r="J331" s="588" t="str">
        <f>IFERROR(__xludf.DUMMYFUNCTION("""COMPUTED_VALUE"""),"TMUP")</f>
        <v>TMUP</v>
      </c>
      <c r="K331" s="588"/>
      <c r="L331" s="588"/>
      <c r="M331" s="490" t="str">
        <f>IFERROR(__xludf.DUMMYFUNCTION("""COMPUTED_VALUE"""),"TP-LINK")</f>
        <v>TP-LINK</v>
      </c>
      <c r="N331" s="490"/>
      <c r="O331" s="490"/>
      <c r="P331" s="490" t="s">
        <v>8388</v>
      </c>
    </row>
    <row r="332">
      <c r="A332" s="490"/>
      <c r="B332" s="490"/>
      <c r="C332" s="490"/>
      <c r="D332" s="593" t="str">
        <f>IFERROR(__xludf.DUMMYFUNCTION("""COMPUTED_VALUE"""),"IMIN")</f>
        <v>IMIN</v>
      </c>
      <c r="E332" s="593" t="str">
        <f>IFERROR(__xludf.DUMMYFUNCTION("""COMPUTED_VALUE"""),"ASI")</f>
        <v>ASI</v>
      </c>
      <c r="F332" s="593" t="str">
        <f>IFERROR(__xludf.DUMMYFUNCTION("""COMPUTED_VALUE"""),"DAK-1121C")</f>
        <v>DAK-1121C</v>
      </c>
      <c r="G332" s="490"/>
      <c r="H332" s="490"/>
      <c r="I332" s="490"/>
      <c r="J332" s="588" t="str">
        <f>IFERROR(__xludf.DUMMYFUNCTION("""COMPUTED_VALUE"""),"TMUV")</f>
        <v>TMUV</v>
      </c>
      <c r="K332" s="588"/>
      <c r="L332" s="588"/>
      <c r="M332" s="490" t="str">
        <f>IFERROR(__xludf.DUMMYFUNCTION("""COMPUTED_VALUE"""),"TP-LINK")</f>
        <v>TP-LINK</v>
      </c>
      <c r="N332" s="490"/>
      <c r="O332" s="490"/>
      <c r="P332" s="490" t="s">
        <v>8391</v>
      </c>
    </row>
    <row r="333">
      <c r="A333" s="490"/>
      <c r="B333" s="490"/>
      <c r="C333" s="490"/>
      <c r="D333" s="593" t="str">
        <f>IFERROR(__xludf.DUMMYFUNCTION("""COMPUTED_VALUE"""),"INFILEX")</f>
        <v>INFILEX</v>
      </c>
      <c r="E333" s="593" t="str">
        <f>IFERROR(__xludf.DUMMYFUNCTION("""COMPUTED_VALUE"""),"ASI")</f>
        <v>ASI</v>
      </c>
      <c r="F333" s="593" t="str">
        <f>IFERROR(__xludf.DUMMYFUNCTION("""COMPUTED_VALUE"""),"ASIS/1-4802")</f>
        <v>ASIS/1-4802</v>
      </c>
      <c r="G333" s="490"/>
      <c r="H333" s="490"/>
      <c r="I333" s="490"/>
      <c r="J333" s="588" t="str">
        <f>IFERROR(__xludf.DUMMYFUNCTION("""COMPUTED_VALUE"""),"TMV")</f>
        <v>TMV</v>
      </c>
      <c r="K333" s="588"/>
      <c r="L333" s="588"/>
      <c r="M333" s="490" t="str">
        <f>IFERROR(__xludf.DUMMYFUNCTION("""COMPUTED_VALUE"""),"TP-LINK")</f>
        <v>TP-LINK</v>
      </c>
      <c r="N333" s="490"/>
      <c r="O333" s="490"/>
      <c r="P333" s="490" t="s">
        <v>8393</v>
      </c>
    </row>
    <row r="334">
      <c r="A334" s="490"/>
      <c r="B334" s="490"/>
      <c r="C334" s="490"/>
      <c r="D334" s="593" t="str">
        <f>IFERROR(__xludf.DUMMYFUNCTION("""COMPUTED_VALUE"""),"INFOR")</f>
        <v>INFOR</v>
      </c>
      <c r="E334" s="593" t="str">
        <f>IFERROR(__xludf.DUMMYFUNCTION("""COMPUTED_VALUE"""),"ASKEY")</f>
        <v>ASKEY</v>
      </c>
      <c r="F334" s="593" t="str">
        <f>IFERROR(__xludf.DUMMYFUNCTION("""COMPUTED_VALUE"""),"INTERNET-BOX")</f>
        <v>INTERNET-BOX</v>
      </c>
      <c r="G334" s="490"/>
      <c r="H334" s="490"/>
      <c r="I334" s="490"/>
      <c r="J334" s="588" t="str">
        <f>IFERROR(__xludf.DUMMYFUNCTION("""COMPUTED_VALUE"""),"TP")</f>
        <v>TP</v>
      </c>
      <c r="K334" s="588"/>
      <c r="L334" s="588"/>
      <c r="M334" s="490" t="str">
        <f>IFERROR(__xludf.DUMMYFUNCTION("""COMPUTED_VALUE"""),"TP-LINK")</f>
        <v>TP-LINK</v>
      </c>
      <c r="N334" s="490"/>
      <c r="O334" s="490"/>
      <c r="P334" s="490" t="s">
        <v>8396</v>
      </c>
    </row>
    <row r="335">
      <c r="A335" s="490"/>
      <c r="B335" s="490"/>
      <c r="C335" s="490"/>
      <c r="D335" s="593" t="str">
        <f>IFERROR(__xludf.DUMMYFUNCTION("""COMPUTED_VALUE"""),"INGENICO")</f>
        <v>INGENICO</v>
      </c>
      <c r="E335" s="593" t="str">
        <f>IFERROR(__xludf.DUMMYFUNCTION("""COMPUTED_VALUE"""),"ASKEY")</f>
        <v>ASKEY</v>
      </c>
      <c r="F335" s="593" t="str">
        <f>IFERROR(__xludf.DUMMYFUNCTION("""COMPUTED_VALUE"""),"INTERNET-BOX LIGHT")</f>
        <v>INTERNET-BOX LIGHT</v>
      </c>
      <c r="G335" s="490"/>
      <c r="H335" s="490"/>
      <c r="I335" s="490"/>
      <c r="J335" s="588" t="str">
        <f>IFERROR(__xludf.DUMMYFUNCTION("""COMPUTED_VALUE"""),"TPE")</f>
        <v>TPE</v>
      </c>
      <c r="K335" s="588"/>
      <c r="L335" s="588"/>
      <c r="M335" s="490" t="str">
        <f>IFERROR(__xludf.DUMMYFUNCTION("""COMPUTED_VALUE"""),"TP-LINK")</f>
        <v>TP-LINK</v>
      </c>
      <c r="N335" s="490"/>
      <c r="O335" s="490"/>
      <c r="P335" s="490" t="s">
        <v>8398</v>
      </c>
    </row>
    <row r="336">
      <c r="A336" s="490"/>
      <c r="B336" s="490"/>
      <c r="C336" s="490"/>
      <c r="D336" s="593" t="str">
        <f>IFERROR(__xludf.DUMMYFUNCTION("""COMPUTED_VALUE"""),"INITIATIVE ENG")</f>
        <v>INITIATIVE ENG</v>
      </c>
      <c r="E336" s="593" t="str">
        <f>IFERROR(__xludf.DUMMYFUNCTION("""COMPUTED_VALUE"""),"ASPEN")</f>
        <v>ASPEN</v>
      </c>
      <c r="F336" s="593" t="str">
        <f>IFERROR(__xludf.DUMMYFUNCTION("""COMPUTED_VALUE"""),"FP3349")</f>
        <v>FP3349</v>
      </c>
      <c r="G336" s="490"/>
      <c r="H336" s="490"/>
      <c r="I336" s="490"/>
      <c r="J336" s="588" t="str">
        <f>IFERROR(__xludf.DUMMYFUNCTION("""COMPUTED_VALUE"""),"TPS")</f>
        <v>TPS</v>
      </c>
      <c r="K336" s="588"/>
      <c r="L336" s="588"/>
      <c r="M336" s="490" t="str">
        <f>IFERROR(__xludf.DUMMYFUNCTION("""COMPUTED_VALUE"""),"TP-LINK")</f>
        <v>TP-LINK</v>
      </c>
      <c r="N336" s="490"/>
      <c r="O336" s="490"/>
      <c r="P336" s="490" t="s">
        <v>8401</v>
      </c>
    </row>
    <row r="337">
      <c r="A337" s="490"/>
      <c r="B337" s="490"/>
      <c r="C337" s="490"/>
      <c r="D337" s="593" t="str">
        <f>IFERROR(__xludf.DUMMYFUNCTION("""COMPUTED_VALUE"""),"INNOTECH")</f>
        <v>INNOTECH</v>
      </c>
      <c r="E337" s="593" t="str">
        <f>IFERROR(__xludf.DUMMYFUNCTION("""COMPUTED_VALUE"""),"ASPEN")</f>
        <v>ASPEN</v>
      </c>
      <c r="F337" s="593" t="str">
        <f>IFERROR(__xludf.DUMMYFUNCTION("""COMPUTED_VALUE"""),"HI FLOW 2LTR")</f>
        <v>HI FLOW 2LTR</v>
      </c>
      <c r="G337" s="490"/>
      <c r="H337" s="490"/>
      <c r="I337" s="490"/>
      <c r="J337" s="588" t="str">
        <f>IFERROR(__xludf.DUMMYFUNCTION("""COMPUTED_VALUE"""),"TRH")</f>
        <v>TRH</v>
      </c>
      <c r="K337" s="588"/>
      <c r="L337" s="588"/>
      <c r="M337" s="490" t="str">
        <f>IFERROR(__xludf.DUMMYFUNCTION("""COMPUTED_VALUE"""),"TP-LINK")</f>
        <v>TP-LINK</v>
      </c>
      <c r="N337" s="490"/>
      <c r="O337" s="490"/>
      <c r="P337" s="490" t="s">
        <v>8403</v>
      </c>
    </row>
    <row r="338">
      <c r="A338" s="490"/>
      <c r="B338" s="490"/>
      <c r="C338" s="490"/>
      <c r="D338" s="593" t="str">
        <f>IFERROR(__xludf.DUMMYFUNCTION("""COMPUTED_VALUE"""),"INOSENT")</f>
        <v>INOSENT</v>
      </c>
      <c r="E338" s="593" t="str">
        <f>IFERROR(__xludf.DUMMYFUNCTION("""COMPUTED_VALUE"""),"ASTER TECHNOLOGIES")</f>
        <v>ASTER TECHNOLOGIES</v>
      </c>
      <c r="F338" s="593" t="str">
        <f>IFERROR(__xludf.DUMMYFUNCTION("""COMPUTED_VALUE"""),"FT-650")</f>
        <v>FT-650</v>
      </c>
      <c r="G338" s="490"/>
      <c r="H338" s="490"/>
      <c r="I338" s="490"/>
      <c r="J338" s="588" t="str">
        <f>IFERROR(__xludf.DUMMYFUNCTION("""COMPUTED_VALUE"""),"TRHC")</f>
        <v>TRHC</v>
      </c>
      <c r="K338" s="588"/>
      <c r="L338" s="588"/>
      <c r="M338" s="490" t="str">
        <f>IFERROR(__xludf.DUMMYFUNCTION("""COMPUTED_VALUE"""),"TP-LINK")</f>
        <v>TP-LINK</v>
      </c>
      <c r="N338" s="490"/>
      <c r="O338" s="490"/>
      <c r="P338" s="490" t="s">
        <v>8405</v>
      </c>
    </row>
    <row r="339">
      <c r="A339" s="490"/>
      <c r="B339" s="490"/>
      <c r="C339" s="490"/>
      <c r="D339" s="593" t="str">
        <f>IFERROR(__xludf.DUMMYFUNCTION("""COMPUTED_VALUE"""),"INOTEC")</f>
        <v>INOTEC</v>
      </c>
      <c r="E339" s="593" t="str">
        <f>IFERROR(__xludf.DUMMYFUNCTION("""COMPUTED_VALUE"""),"ASTER TECHNOLOGIES")</f>
        <v>ASTER TECHNOLOGIES</v>
      </c>
      <c r="F339" s="593" t="str">
        <f>IFERROR(__xludf.DUMMYFUNCTION("""COMPUTED_VALUE"""),"CT-650")</f>
        <v>CT-650</v>
      </c>
      <c r="G339" s="490"/>
      <c r="H339" s="490"/>
      <c r="I339" s="490"/>
      <c r="J339" s="588" t="str">
        <f>IFERROR(__xludf.DUMMYFUNCTION("""COMPUTED_VALUE"""),"TRP")</f>
        <v>TRP</v>
      </c>
      <c r="K339" s="588"/>
      <c r="L339" s="588"/>
      <c r="M339" s="490" t="str">
        <f>IFERROR(__xludf.DUMMYFUNCTION("""COMPUTED_VALUE"""),"TP-LINK")</f>
        <v>TP-LINK</v>
      </c>
      <c r="N339" s="490"/>
      <c r="O339" s="490"/>
      <c r="P339" s="490" t="s">
        <v>8407</v>
      </c>
    </row>
    <row r="340">
      <c r="A340" s="490"/>
      <c r="B340" s="490"/>
      <c r="C340" s="490"/>
      <c r="D340" s="593" t="str">
        <f>IFERROR(__xludf.DUMMYFUNCTION("""COMPUTED_VALUE"""),"INSTAGO")</f>
        <v>INSTAGO</v>
      </c>
      <c r="E340" s="593" t="str">
        <f>IFERROR(__xludf.DUMMYFUNCTION("""COMPUTED_VALUE"""),"ASTER TECHNOLOGIES")</f>
        <v>ASTER TECHNOLOGIES</v>
      </c>
      <c r="F340" s="593" t="str">
        <f>IFERROR(__xludf.DUMMYFUNCTION("""COMPUTED_VALUE"""),"PH/ORP MTR")</f>
        <v>PH/ORP MTR</v>
      </c>
      <c r="G340" s="490"/>
      <c r="H340" s="490"/>
      <c r="I340" s="490"/>
      <c r="J340" s="588" t="str">
        <f>IFERROR(__xludf.DUMMYFUNCTION("""COMPUTED_VALUE"""),"TST")</f>
        <v>TST</v>
      </c>
      <c r="K340" s="588"/>
      <c r="L340" s="588"/>
      <c r="M340" s="490" t="str">
        <f>IFERROR(__xludf.DUMMYFUNCTION("""COMPUTED_VALUE"""),"TP-LINK")</f>
        <v>TP-LINK</v>
      </c>
      <c r="N340" s="490"/>
      <c r="O340" s="490"/>
      <c r="P340" s="490" t="s">
        <v>8107</v>
      </c>
    </row>
    <row r="341">
      <c r="A341" s="490"/>
      <c r="B341" s="490"/>
      <c r="C341" s="490"/>
      <c r="D341" s="593" t="str">
        <f>IFERROR(__xludf.DUMMYFUNCTION("""COMPUTED_VALUE"""),"INSTAPIO")</f>
        <v>INSTAPIO</v>
      </c>
      <c r="E341" s="593" t="str">
        <f>IFERROR(__xludf.DUMMYFUNCTION("""COMPUTED_VALUE"""),"ASTORIA")</f>
        <v>ASTORIA</v>
      </c>
      <c r="F341" s="593" t="str">
        <f>IFERROR(__xludf.DUMMYFUNCTION("""COMPUTED_VALUE"""),"STORM COFFEE MACHINE")</f>
        <v>STORM COFFEE MACHINE</v>
      </c>
      <c r="G341" s="490"/>
      <c r="H341" s="490"/>
      <c r="I341" s="490"/>
      <c r="J341" s="588" t="str">
        <f>IFERROR(__xludf.DUMMYFUNCTION("""COMPUTED_VALUE"""),"TSTAT")</f>
        <v>TSTAT</v>
      </c>
      <c r="K341" s="588"/>
      <c r="L341" s="588"/>
      <c r="M341" s="490" t="str">
        <f>IFERROR(__xludf.DUMMYFUNCTION("""COMPUTED_VALUE"""),"TP-LINK")</f>
        <v>TP-LINK</v>
      </c>
      <c r="N341" s="490"/>
      <c r="O341" s="490"/>
      <c r="P341" s="490" t="s">
        <v>8410</v>
      </c>
    </row>
    <row r="342">
      <c r="A342" s="490"/>
      <c r="B342" s="490"/>
      <c r="C342" s="490"/>
      <c r="D342" s="593" t="str">
        <f>IFERROR(__xludf.DUMMYFUNCTION("""COMPUTED_VALUE"""),"INTEGRA")</f>
        <v>INTEGRA</v>
      </c>
      <c r="E342" s="593" t="str">
        <f>IFERROR(__xludf.DUMMYFUNCTION("""COMPUTED_VALUE"""),"ASUS")</f>
        <v>ASUS</v>
      </c>
      <c r="F342" s="593" t="str">
        <f>IFERROR(__xludf.DUMMYFUNCTION("""COMPUTED_VALUE"""),"4G-N12")</f>
        <v>4G-N12</v>
      </c>
      <c r="G342" s="490"/>
      <c r="H342" s="490"/>
      <c r="I342" s="490"/>
      <c r="J342" s="594" t="str">
        <f>IFERROR(__xludf.DUMMYFUNCTION("""COMPUTED_VALUE"""),"TW")</f>
        <v>TW</v>
      </c>
      <c r="K342" s="588"/>
      <c r="L342" s="588"/>
      <c r="M342" s="490" t="str">
        <f>IFERROR(__xludf.DUMMYFUNCTION("""COMPUTED_VALUE"""),"TP-LINK")</f>
        <v>TP-LINK</v>
      </c>
      <c r="N342" s="490"/>
      <c r="O342" s="490"/>
      <c r="P342" s="490" t="s">
        <v>8412</v>
      </c>
    </row>
    <row r="343">
      <c r="A343" s="490"/>
      <c r="B343" s="490"/>
      <c r="C343" s="490"/>
      <c r="D343" s="593" t="str">
        <f>IFERROR(__xludf.DUMMYFUNCTION("""COMPUTED_VALUE"""),"INTEL")</f>
        <v>INTEL</v>
      </c>
      <c r="E343" s="593" t="str">
        <f>IFERROR(__xludf.DUMMYFUNCTION("""COMPUTED_VALUE"""),"ASUS")</f>
        <v>ASUS</v>
      </c>
      <c r="F343" s="593" t="str">
        <f>IFERROR(__xludf.DUMMYFUNCTION("""COMPUTED_VALUE"""),"")</f>
        <v/>
      </c>
      <c r="G343" s="490"/>
      <c r="H343" s="490"/>
      <c r="I343" s="490"/>
      <c r="J343" s="588" t="str">
        <f>IFERROR(__xludf.DUMMYFUNCTION("""COMPUTED_VALUE"""),"TXMR")</f>
        <v>TXMR</v>
      </c>
      <c r="K343" s="588"/>
      <c r="L343" s="588"/>
      <c r="M343" s="490" t="str">
        <f>IFERROR(__xludf.DUMMYFUNCTION("""COMPUTED_VALUE"""),"TP-LINK")</f>
        <v>TP-LINK</v>
      </c>
      <c r="N343" s="490"/>
      <c r="O343" s="490"/>
      <c r="P343" s="490" t="s">
        <v>8414</v>
      </c>
    </row>
    <row r="344">
      <c r="A344" s="490"/>
      <c r="B344" s="490"/>
      <c r="C344" s="490"/>
      <c r="D344" s="593" t="str">
        <f>IFERROR(__xludf.DUMMYFUNCTION("""COMPUTED_VALUE"""),"INTELBRAS")</f>
        <v>INTELBRAS</v>
      </c>
      <c r="E344" s="593" t="str">
        <f>IFERROR(__xludf.DUMMYFUNCTION("""COMPUTED_VALUE"""),"ASUS")</f>
        <v>ASUS</v>
      </c>
      <c r="F344" s="593" t="str">
        <f>IFERROR(__xludf.DUMMYFUNCTION("""COMPUTED_VALUE"""),"7255-NOW")</f>
        <v>7255-NOW</v>
      </c>
      <c r="G344" s="490"/>
      <c r="H344" s="490"/>
      <c r="I344" s="490"/>
      <c r="J344" s="588" t="str">
        <f>IFERROR(__xludf.DUMMYFUNCTION("""COMPUTED_VALUE"""),"UH")</f>
        <v>UH</v>
      </c>
      <c r="K344" s="588"/>
      <c r="L344" s="588"/>
      <c r="M344" s="490" t="str">
        <f>IFERROR(__xludf.DUMMYFUNCTION("""COMPUTED_VALUE"""),"TP-LINK")</f>
        <v>TP-LINK</v>
      </c>
      <c r="N344" s="490"/>
      <c r="O344" s="490"/>
      <c r="P344" s="490" t="s">
        <v>8417</v>
      </c>
    </row>
    <row r="345">
      <c r="A345" s="490"/>
      <c r="B345" s="490"/>
      <c r="C345" s="490"/>
      <c r="D345" s="593" t="str">
        <f>IFERROR(__xludf.DUMMYFUNCTION("""COMPUTED_VALUE"""),"INTELLIHOOD")</f>
        <v>INTELLIHOOD</v>
      </c>
      <c r="E345" s="593" t="str">
        <f>IFERROR(__xludf.DUMMYFUNCTION("""COMPUTED_VALUE"""),"ASUS")</f>
        <v>ASUS</v>
      </c>
      <c r="F345" s="593" t="str">
        <f>IFERROR(__xludf.DUMMYFUNCTION("""COMPUTED_VALUE"""),"7265 NGW")</f>
        <v>7265 NGW</v>
      </c>
      <c r="G345" s="490"/>
      <c r="H345" s="490"/>
      <c r="I345" s="490"/>
      <c r="J345" s="594" t="str">
        <f>IFERROR(__xludf.DUMMYFUNCTION("""COMPUTED_VALUE"""),"UPS")</f>
        <v>UPS</v>
      </c>
      <c r="K345" s="588"/>
      <c r="L345" s="588"/>
      <c r="M345" s="490" t="str">
        <f>IFERROR(__xludf.DUMMYFUNCTION("""COMPUTED_VALUE"""),"TP-LINK")</f>
        <v>TP-LINK</v>
      </c>
      <c r="N345" s="490"/>
      <c r="O345" s="490"/>
      <c r="P345" s="490" t="s">
        <v>8419</v>
      </c>
    </row>
    <row r="346">
      <c r="A346" s="490"/>
      <c r="B346" s="490"/>
      <c r="C346" s="490"/>
      <c r="D346" s="593" t="str">
        <f>IFERROR(__xludf.DUMMYFUNCTION("""COMPUTED_VALUE"""),"INTERRA")</f>
        <v>INTERRA</v>
      </c>
      <c r="E346" s="593" t="str">
        <f>IFERROR(__xludf.DUMMYFUNCTION("""COMPUTED_VALUE"""),"ASUS")</f>
        <v>ASUS</v>
      </c>
      <c r="F346" s="593" t="str">
        <f>IFERROR(__xludf.DUMMYFUNCTION("""COMPUTED_VALUE"""),"A407U")</f>
        <v>A407U</v>
      </c>
      <c r="G346" s="490"/>
      <c r="H346" s="490"/>
      <c r="I346" s="490"/>
      <c r="J346" s="594" t="str">
        <f>IFERROR(__xludf.DUMMYFUNCTION("""COMPUTED_VALUE"""),"UPSB")</f>
        <v>UPSB</v>
      </c>
      <c r="K346" s="588"/>
      <c r="L346" s="588"/>
      <c r="M346" s="490" t="str">
        <f>IFERROR(__xludf.DUMMYFUNCTION("""COMPUTED_VALUE"""),"TP-LINK")</f>
        <v>TP-LINK</v>
      </c>
      <c r="N346" s="490"/>
      <c r="O346" s="490"/>
      <c r="P346" s="490" t="s">
        <v>8421</v>
      </c>
    </row>
    <row r="347">
      <c r="A347" s="490"/>
      <c r="B347" s="490"/>
      <c r="C347" s="490"/>
      <c r="D347" s="593" t="str">
        <f>IFERROR(__xludf.DUMMYFUNCTION("""COMPUTED_VALUE"""),"INTESIS")</f>
        <v>INTESIS</v>
      </c>
      <c r="E347" s="593" t="str">
        <f>IFERROR(__xludf.DUMMYFUNCTION("""COMPUTED_VALUE"""),"ASUS")</f>
        <v>ASUS</v>
      </c>
      <c r="F347" s="593" t="str">
        <f>IFERROR(__xludf.DUMMYFUNCTION("""COMPUTED_VALUE"""),"A4110")</f>
        <v>A4110</v>
      </c>
      <c r="G347" s="490"/>
      <c r="H347" s="490"/>
      <c r="I347" s="490"/>
      <c r="J347" s="588" t="str">
        <f>IFERROR(__xludf.DUMMYFUNCTION("""COMPUTED_VALUE"""),"VAV")</f>
        <v>VAV</v>
      </c>
      <c r="K347" s="588"/>
      <c r="L347" s="83"/>
      <c r="M347" s="490" t="str">
        <f>IFERROR(__xludf.DUMMYFUNCTION("""COMPUTED_VALUE"""),"TPLINK")</f>
        <v>TPLINK</v>
      </c>
      <c r="N347" s="490"/>
      <c r="O347" s="490"/>
      <c r="P347" s="490" t="s">
        <v>8424</v>
      </c>
    </row>
    <row r="348">
      <c r="A348" s="490"/>
      <c r="B348" s="490"/>
      <c r="C348" s="490"/>
      <c r="D348" s="593" t="str">
        <f>IFERROR(__xludf.DUMMYFUNCTION("""COMPUTED_VALUE"""),"IOGEAR")</f>
        <v>IOGEAR</v>
      </c>
      <c r="E348" s="593" t="str">
        <f>IFERROR(__xludf.DUMMYFUNCTION("""COMPUTED_VALUE"""),"ASUS")</f>
        <v>ASUS</v>
      </c>
      <c r="F348" s="593" t="str">
        <f>IFERROR(__xludf.DUMMYFUNCTION("""COMPUTED_VALUE"""),"CHROMEBOOK FLIP C302CA.")</f>
        <v>CHROMEBOOK FLIP C302CA.</v>
      </c>
      <c r="G348" s="490"/>
      <c r="H348" s="490"/>
      <c r="I348" s="490"/>
      <c r="J348" s="594" t="str">
        <f>IFERROR(__xludf.DUMMYFUNCTION("""COMPUTED_VALUE"""),"VAVCTR")</f>
        <v>VAVCTR</v>
      </c>
      <c r="K348" s="588"/>
      <c r="L348" s="588"/>
      <c r="M348" s="490" t="str">
        <f>IFERROR(__xludf.DUMMYFUNCTION("""COMPUTED_VALUE"""),"TPLINK")</f>
        <v>TPLINK</v>
      </c>
      <c r="N348" s="490"/>
      <c r="O348" s="490"/>
      <c r="P348" s="490" t="s">
        <v>8426</v>
      </c>
    </row>
    <row r="349">
      <c r="A349" s="490"/>
      <c r="B349" s="490"/>
      <c r="C349" s="490"/>
      <c r="D349" s="593" t="str">
        <f>IFERROR(__xludf.DUMMYFUNCTION("""COMPUTED_VALUE"""),"IONAIR")</f>
        <v>IONAIR</v>
      </c>
      <c r="E349" s="593" t="str">
        <f>IFERROR(__xludf.DUMMYFUNCTION("""COMPUTED_VALUE"""),"ASUS")</f>
        <v>ASUS</v>
      </c>
      <c r="F349" s="593" t="str">
        <f>IFERROR(__xludf.DUMMYFUNCTION("""COMPUTED_VALUE"""),"BM6820")</f>
        <v>BM6820</v>
      </c>
      <c r="G349" s="490"/>
      <c r="H349" s="490"/>
      <c r="I349" s="490"/>
      <c r="J349" s="588" t="str">
        <f>IFERROR(__xludf.DUMMYFUNCTION("""COMPUTED_VALUE"""),"VCD")</f>
        <v>VCD</v>
      </c>
      <c r="K349" s="588"/>
      <c r="L349" s="588"/>
      <c r="M349" s="490" t="str">
        <f>IFERROR(__xludf.DUMMYFUNCTION("""COMPUTED_VALUE"""),"TRANSITION NETWORKS")</f>
        <v>TRANSITION NETWORKS</v>
      </c>
      <c r="N349" s="490"/>
      <c r="O349" s="490"/>
      <c r="P349" s="490" t="s">
        <v>8428</v>
      </c>
    </row>
    <row r="350">
      <c r="A350" s="490"/>
      <c r="B350" s="490"/>
      <c r="C350" s="490"/>
      <c r="D350" s="593" t="str">
        <f>IFERROR(__xludf.DUMMYFUNCTION("""COMPUTED_VALUE"""),"IOVENT")</f>
        <v>IOVENT</v>
      </c>
      <c r="E350" s="593" t="str">
        <f>IFERROR(__xludf.DUMMYFUNCTION("""COMPUTED_VALUE"""),"ASUS")</f>
        <v>ASUS</v>
      </c>
      <c r="F350" s="593" t="str">
        <f>IFERROR(__xludf.DUMMYFUNCTION("""COMPUTED_VALUE"""),"BM6820")</f>
        <v>BM6820</v>
      </c>
      <c r="G350" s="490"/>
      <c r="H350" s="490"/>
      <c r="I350" s="490"/>
      <c r="J350" s="594" t="str">
        <f>IFERROR(__xludf.DUMMYFUNCTION("""COMPUTED_VALUE"""),"VCP")</f>
        <v>VCP</v>
      </c>
      <c r="K350" s="588"/>
      <c r="L350" s="588"/>
      <c r="M350" s="490" t="str">
        <f>IFERROR(__xludf.DUMMYFUNCTION("""COMPUTED_VALUE"""),"TRENDNET")</f>
        <v>TRENDNET</v>
      </c>
      <c r="N350" s="490"/>
      <c r="O350" s="490"/>
      <c r="P350" s="490" t="s">
        <v>8430</v>
      </c>
    </row>
    <row r="351">
      <c r="A351" s="490"/>
      <c r="B351" s="490"/>
      <c r="C351" s="490"/>
      <c r="D351" s="593" t="str">
        <f>IFERROR(__xludf.DUMMYFUNCTION("""COMPUTED_VALUE"""),"IRINOX")</f>
        <v>IRINOX</v>
      </c>
      <c r="E351" s="593" t="str">
        <f>IFERROR(__xludf.DUMMYFUNCTION("""COMPUTED_VALUE"""),"ASUS")</f>
        <v>ASUS</v>
      </c>
      <c r="F351" s="593" t="str">
        <f>IFERROR(__xludf.DUMMYFUNCTION("""COMPUTED_VALUE"""),"ASUS C302CA")</f>
        <v>ASUS C302CA</v>
      </c>
      <c r="G351" s="490"/>
      <c r="H351" s="490"/>
      <c r="I351" s="490"/>
      <c r="J351" s="588" t="str">
        <f>IFERROR(__xludf.DUMMYFUNCTION("""COMPUTED_VALUE"""),"VDW")</f>
        <v>VDW</v>
      </c>
      <c r="K351" s="588"/>
      <c r="L351" s="588"/>
      <c r="M351" s="490" t="str">
        <f>IFERROR(__xludf.DUMMYFUNCTION("""COMPUTED_VALUE"""),"TRENDNET")</f>
        <v>TRENDNET</v>
      </c>
      <c r="N351" s="490"/>
      <c r="O351" s="490"/>
      <c r="P351" s="490" t="s">
        <v>8109</v>
      </c>
    </row>
    <row r="352">
      <c r="A352" s="490"/>
      <c r="B352" s="490"/>
      <c r="C352" s="490"/>
      <c r="D352" s="593" t="str">
        <f>IFERROR(__xludf.DUMMYFUNCTION("""COMPUTED_VALUE"""),"ISMA")</f>
        <v>ISMA</v>
      </c>
      <c r="E352" s="593" t="str">
        <f>IFERROR(__xludf.DUMMYFUNCTION("""COMPUTED_VALUE"""),"ASUS")</f>
        <v>ASUS</v>
      </c>
      <c r="F352" s="593" t="str">
        <f>IFERROR(__xludf.DUMMYFUNCTION("""COMPUTED_VALUE"""),"CHROMEBOOK FLIP C302CA.")</f>
        <v>CHROMEBOOK FLIP C302CA.</v>
      </c>
      <c r="G352" s="490"/>
      <c r="H352" s="490"/>
      <c r="I352" s="490"/>
      <c r="J352" s="588" t="str">
        <f>IFERROR(__xludf.DUMMYFUNCTION("""COMPUTED_VALUE"""),"VFD")</f>
        <v>VFD</v>
      </c>
      <c r="K352" s="588"/>
      <c r="L352" s="588"/>
      <c r="M352" s="490" t="str">
        <f>IFERROR(__xludf.DUMMYFUNCTION("""COMPUTED_VALUE"""),"TRENDNET")</f>
        <v>TRENDNET</v>
      </c>
      <c r="N352" s="490"/>
      <c r="O352" s="490"/>
      <c r="P352" s="490" t="s">
        <v>8433</v>
      </c>
    </row>
    <row r="353">
      <c r="A353" s="490"/>
      <c r="B353" s="490"/>
      <c r="C353" s="490"/>
      <c r="D353" s="593" t="str">
        <f>IFERROR(__xludf.DUMMYFUNCTION("""COMPUTED_VALUE"""),"ITD FOOD SAFETY")</f>
        <v>ITD FOOD SAFETY</v>
      </c>
      <c r="E353" s="593" t="str">
        <f>IFERROR(__xludf.DUMMYFUNCTION("""COMPUTED_VALUE"""),"ASUS")</f>
        <v>ASUS</v>
      </c>
      <c r="F353" s="593" t="str">
        <f>IFERROR(__xludf.DUMMYFUNCTION("""COMPUTED_VALUE"""),"CHROME BIT")</f>
        <v>CHROME BIT</v>
      </c>
      <c r="G353" s="490"/>
      <c r="H353" s="490"/>
      <c r="I353" s="490"/>
      <c r="J353" s="594" t="str">
        <f>IFERROR(__xludf.DUMMYFUNCTION("""COMPUTED_VALUE"""),"VLV")</f>
        <v>VLV</v>
      </c>
      <c r="K353" s="588"/>
      <c r="L353" s="588"/>
      <c r="M353" s="490" t="str">
        <f>IFERROR(__xludf.DUMMYFUNCTION("""COMPUTED_VALUE"""),"TRENDNET")</f>
        <v>TRENDNET</v>
      </c>
      <c r="N353" s="490"/>
      <c r="O353" s="490"/>
      <c r="P353" s="490" t="s">
        <v>8435</v>
      </c>
    </row>
    <row r="354">
      <c r="A354" s="490"/>
      <c r="B354" s="490"/>
      <c r="C354" s="490"/>
      <c r="D354" s="593" t="str">
        <f>IFERROR(__xludf.DUMMYFUNCTION("""COMPUTED_VALUE"""),"ITRON")</f>
        <v>ITRON</v>
      </c>
      <c r="E354" s="593" t="str">
        <f>IFERROR(__xludf.DUMMYFUNCTION("""COMPUTED_VALUE"""),"ASUS")</f>
        <v>ASUS</v>
      </c>
      <c r="F354" s="593" t="str">
        <f>IFERROR(__xludf.DUMMYFUNCTION("""COMPUTED_VALUE"""),"CHROMEBOX")</f>
        <v>CHROMEBOX</v>
      </c>
      <c r="G354" s="490"/>
      <c r="H354" s="490"/>
      <c r="I354" s="490"/>
      <c r="J354" s="594" t="str">
        <f>IFERROR(__xludf.DUMMYFUNCTION("""COMPUTED_VALUE"""),"VRF")</f>
        <v>VRF</v>
      </c>
      <c r="K354" s="588"/>
      <c r="L354" s="588"/>
      <c r="M354" s="490" t="str">
        <f>IFERROR(__xludf.DUMMYFUNCTION("""COMPUTED_VALUE"""),"UBIQUITI")</f>
        <v>UBIQUITI</v>
      </c>
      <c r="N354" s="490"/>
      <c r="O354" s="490"/>
      <c r="P354" s="490" t="s">
        <v>8438</v>
      </c>
    </row>
    <row r="355">
      <c r="A355" s="490"/>
      <c r="B355" s="490"/>
      <c r="C355" s="490"/>
      <c r="D355" s="593" t="str">
        <f>IFERROR(__xludf.DUMMYFUNCTION("""COMPUTED_VALUE"""),"JANITZA")</f>
        <v>JANITZA</v>
      </c>
      <c r="E355" s="593" t="str">
        <f>IFERROR(__xludf.DUMMYFUNCTION("""COMPUTED_VALUE"""),"ASUS")</f>
        <v>ASUS</v>
      </c>
      <c r="F355" s="593" t="str">
        <f>IFERROR(__xludf.DUMMYFUNCTION("""COMPUTED_VALUE"""),"CS10")</f>
        <v>CS10</v>
      </c>
      <c r="G355" s="490"/>
      <c r="H355" s="490"/>
      <c r="I355" s="490"/>
      <c r="J355" s="594" t="str">
        <f>IFERROR(__xludf.DUMMYFUNCTION("""COMPUTED_VALUE"""),"VRV")</f>
        <v>VRV</v>
      </c>
      <c r="K355" s="588"/>
      <c r="L355" s="588"/>
      <c r="M355" s="490" t="str">
        <f>IFERROR(__xludf.DUMMYFUNCTION("""COMPUTED_VALUE"""),"UBIQUITI")</f>
        <v>UBIQUITI</v>
      </c>
      <c r="N355" s="490"/>
      <c r="O355" s="490"/>
      <c r="P355" s="490" t="s">
        <v>8440</v>
      </c>
    </row>
    <row r="356">
      <c r="A356" s="490"/>
      <c r="B356" s="490"/>
      <c r="C356" s="490"/>
      <c r="D356" s="593" t="str">
        <f>IFERROR(__xludf.DUMMYFUNCTION("""COMPUTED_VALUE"""),"JETINNO")</f>
        <v>JETINNO</v>
      </c>
      <c r="E356" s="593" t="str">
        <f>IFERROR(__xludf.DUMMYFUNCTION("""COMPUTED_VALUE"""),"ASUS")</f>
        <v>ASUS</v>
      </c>
      <c r="F356" s="593" t="str">
        <f>IFERROR(__xludf.DUMMYFUNCTION("""COMPUTED_VALUE"""),"CS10")</f>
        <v>CS10</v>
      </c>
      <c r="G356" s="490"/>
      <c r="H356" s="490"/>
      <c r="I356" s="490"/>
      <c r="J356" s="588" t="str">
        <f>IFERROR(__xludf.DUMMYFUNCTION("""COMPUTED_VALUE"""),"VSD")</f>
        <v>VSD</v>
      </c>
      <c r="K356" s="588"/>
      <c r="L356" s="588"/>
      <c r="M356" s="490" t="str">
        <f>IFERROR(__xludf.DUMMYFUNCTION("""COMPUTED_VALUE"""),"UBIQUITI")</f>
        <v>UBIQUITI</v>
      </c>
      <c r="N356" s="490"/>
      <c r="O356" s="490"/>
      <c r="P356" s="490" t="s">
        <v>8443</v>
      </c>
    </row>
    <row r="357">
      <c r="A357" s="490"/>
      <c r="B357" s="490"/>
      <c r="C357" s="490"/>
      <c r="D357" s="593" t="str">
        <f>IFERROR(__xludf.DUMMYFUNCTION("""COMPUTED_VALUE"""),"JETSREAM")</f>
        <v>JETSREAM</v>
      </c>
      <c r="E357" s="593" t="str">
        <f>IFERROR(__xludf.DUMMYFUNCTION("""COMPUTED_VALUE"""),"ASUS")</f>
        <v>ASUS</v>
      </c>
      <c r="F357" s="593" t="str">
        <f>IFERROR(__xludf.DUMMYFUNCTION("""COMPUTED_VALUE"""),"CS10")</f>
        <v>CS10</v>
      </c>
      <c r="G357" s="490"/>
      <c r="H357" s="490"/>
      <c r="I357" s="490"/>
      <c r="J357" s="596" t="str">
        <f>IFERROR(__xludf.DUMMYFUNCTION("""COMPUTED_VALUE"""),"VSFLT")</f>
        <v>VSFLT</v>
      </c>
      <c r="K357" s="588"/>
      <c r="L357" s="588"/>
      <c r="M357" s="490" t="str">
        <f>IFERROR(__xludf.DUMMYFUNCTION("""COMPUTED_VALUE"""),"UBIQUITI")</f>
        <v>UBIQUITI</v>
      </c>
      <c r="N357" s="490"/>
      <c r="O357" s="490"/>
      <c r="P357" s="490" t="s">
        <v>8446</v>
      </c>
    </row>
    <row r="358">
      <c r="A358" s="490"/>
      <c r="B358" s="490"/>
      <c r="C358" s="490"/>
      <c r="D358" s="593" t="str">
        <f>IFERROR(__xludf.DUMMYFUNCTION("""COMPUTED_VALUE"""),"JETWAY")</f>
        <v>JETWAY</v>
      </c>
      <c r="E358" s="593" t="str">
        <f>IFERROR(__xludf.DUMMYFUNCTION("""COMPUTED_VALUE"""),"ASUS")</f>
        <v>ASUS</v>
      </c>
      <c r="F358" s="593" t="str">
        <f>IFERROR(__xludf.DUMMYFUNCTION("""COMPUTED_VALUE"""),"CHROMEBOX")</f>
        <v>CHROMEBOX</v>
      </c>
      <c r="G358" s="490"/>
      <c r="H358" s="490"/>
      <c r="I358" s="490"/>
      <c r="J358" s="596" t="str">
        <f>IFERROR(__xludf.DUMMYFUNCTION("""COMPUTED_VALUE"""),"VVT")</f>
        <v>VVT</v>
      </c>
      <c r="K358" s="588"/>
      <c r="L358" s="588"/>
      <c r="M358" s="490" t="str">
        <f>IFERROR(__xludf.DUMMYFUNCTION("""COMPUTED_VALUE"""),"UBIQUITI")</f>
        <v>UBIQUITI</v>
      </c>
      <c r="N358" s="490"/>
      <c r="O358" s="490"/>
      <c r="P358" s="490" t="s">
        <v>8449</v>
      </c>
    </row>
    <row r="359">
      <c r="A359" s="490"/>
      <c r="B359" s="490"/>
      <c r="C359" s="490"/>
      <c r="D359" s="593" t="str">
        <f>IFERROR(__xludf.DUMMYFUNCTION("""COMPUTED_VALUE"""),"JINAN USR IOT")</f>
        <v>JINAN USR IOT</v>
      </c>
      <c r="E359" s="593" t="str">
        <f>IFERROR(__xludf.DUMMYFUNCTION("""COMPUTED_VALUE"""),"ASUS")</f>
        <v>ASUS</v>
      </c>
      <c r="F359" s="593" t="str">
        <f>IFERROR(__xludf.DUMMYFUNCTION("""COMPUTED_VALUE"""),"CHROMEBOX 3 CN65")</f>
        <v>CHROMEBOX 3 CN65</v>
      </c>
      <c r="G359" s="490"/>
      <c r="H359" s="490"/>
      <c r="I359" s="490"/>
      <c r="J359" s="594" t="str">
        <f>IFERROR(__xludf.DUMMYFUNCTION("""COMPUTED_VALUE"""),"VVTB")</f>
        <v>VVTB</v>
      </c>
      <c r="K359" s="588"/>
      <c r="L359" s="588"/>
      <c r="M359" s="490" t="str">
        <f>IFERROR(__xludf.DUMMYFUNCTION("""COMPUTED_VALUE"""),"UBIQUITI")</f>
        <v>UBIQUITI</v>
      </c>
      <c r="N359" s="490"/>
      <c r="O359" s="490"/>
      <c r="P359" s="490" t="s">
        <v>8451</v>
      </c>
    </row>
    <row r="360">
      <c r="A360" s="490"/>
      <c r="B360" s="490"/>
      <c r="C360" s="490"/>
      <c r="D360" s="593" t="str">
        <f>IFERROR(__xludf.DUMMYFUNCTION("""COMPUTED_VALUE"""),"JINHER")</f>
        <v>JINHER</v>
      </c>
      <c r="E360" s="593" t="str">
        <f>IFERROR(__xludf.DUMMYFUNCTION("""COMPUTED_VALUE"""),"ASUS")</f>
        <v>ASUS</v>
      </c>
      <c r="F360" s="593" t="str">
        <f>IFERROR(__xludf.DUMMYFUNCTION("""COMPUTED_VALUE"""),"CHROMEBOX CN60")</f>
        <v>CHROMEBOX CN60</v>
      </c>
      <c r="G360" s="490"/>
      <c r="H360" s="490"/>
      <c r="I360" s="490"/>
      <c r="J360" s="588" t="str">
        <f>IFERROR(__xludf.DUMMYFUNCTION("""COMPUTED_VALUE"""),"WANT")</f>
        <v>WANT</v>
      </c>
      <c r="K360" s="588"/>
      <c r="L360" s="588"/>
      <c r="M360" s="490" t="str">
        <f>IFERROR(__xludf.DUMMYFUNCTION("""COMPUTED_VALUE"""),"UBIQUITI")</f>
        <v>UBIQUITI</v>
      </c>
      <c r="N360" s="490"/>
      <c r="O360" s="490"/>
      <c r="P360" s="490" t="s">
        <v>8454</v>
      </c>
    </row>
    <row r="361">
      <c r="A361" s="490"/>
      <c r="B361" s="490"/>
      <c r="C361" s="490"/>
      <c r="D361" s="593" t="str">
        <f>IFERROR(__xludf.DUMMYFUNCTION("""COMPUTED_VALUE"""),"JIO")</f>
        <v>JIO</v>
      </c>
      <c r="E361" s="593" t="str">
        <f>IFERROR(__xludf.DUMMYFUNCTION("""COMPUTED_VALUE"""),"ASUS")</f>
        <v>ASUS</v>
      </c>
      <c r="F361" s="593" t="str">
        <f>IFERROR(__xludf.DUMMYFUNCTION("""COMPUTED_VALUE"""),"CHROMEBOOK TABLET CT100")</f>
        <v>CHROMEBOOK TABLET CT100</v>
      </c>
      <c r="G361" s="490"/>
      <c r="H361" s="490"/>
      <c r="I361" s="490"/>
      <c r="J361" s="588" t="str">
        <f>IFERROR(__xludf.DUMMYFUNCTION("""COMPUTED_VALUE"""),"WAP")</f>
        <v>WAP</v>
      </c>
      <c r="K361" s="588"/>
      <c r="L361" s="588"/>
      <c r="M361" s="490" t="str">
        <f>IFERROR(__xludf.DUMMYFUNCTION("""COMPUTED_VALUE"""),"VERIZON")</f>
        <v>VERIZON</v>
      </c>
      <c r="N361" s="490"/>
      <c r="O361" s="490"/>
      <c r="P361" s="490" t="s">
        <v>8456</v>
      </c>
    </row>
    <row r="362">
      <c r="A362" s="490"/>
      <c r="B362" s="490"/>
      <c r="C362" s="490"/>
      <c r="D362" s="593" t="str">
        <f>IFERROR(__xludf.DUMMYFUNCTION("""COMPUTED_VALUE"""),"JOHNSON CONTROLS")</f>
        <v>JOHNSON CONTROLS</v>
      </c>
      <c r="E362" s="593" t="str">
        <f>IFERROR(__xludf.DUMMYFUNCTION("""COMPUTED_VALUE"""),"ASUS")</f>
        <v>ASUS</v>
      </c>
      <c r="F362" s="593" t="str">
        <f>IFERROR(__xludf.DUMMYFUNCTION("""COMPUTED_VALUE"""),"CUSTOM")</f>
        <v>CUSTOM</v>
      </c>
      <c r="G362" s="490"/>
      <c r="H362" s="490"/>
      <c r="I362" s="490"/>
      <c r="J362" s="588" t="str">
        <f>IFERROR(__xludf.DUMMYFUNCTION("""COMPUTED_VALUE"""),"WCR")</f>
        <v>WCR</v>
      </c>
      <c r="K362" s="588"/>
      <c r="L362" s="588"/>
      <c r="M362" s="490" t="str">
        <f>IFERROR(__xludf.DUMMYFUNCTION("""COMPUTED_VALUE"""),"WAGO")</f>
        <v>WAGO</v>
      </c>
      <c r="N362" s="490"/>
      <c r="O362" s="490"/>
      <c r="P362" s="490" t="s">
        <v>8111</v>
      </c>
    </row>
    <row r="363">
      <c r="A363" s="490"/>
      <c r="B363" s="490"/>
      <c r="C363" s="490"/>
      <c r="D363" s="593" t="str">
        <f>IFERROR(__xludf.DUMMYFUNCTION("""COMPUTED_VALUE"""),"JOHNSON HEALTH TECH")</f>
        <v>JOHNSON HEALTH TECH</v>
      </c>
      <c r="E363" s="593" t="str">
        <f>IFERROR(__xludf.DUMMYFUNCTION("""COMPUTED_VALUE"""),"ASUS")</f>
        <v>ASUS</v>
      </c>
      <c r="F363" s="593" t="str">
        <f>IFERROR(__xludf.DUMMYFUNCTION("""COMPUTED_VALUE"""),"E203M")</f>
        <v>E203M</v>
      </c>
      <c r="G363" s="490"/>
      <c r="H363" s="490"/>
      <c r="I363" s="490"/>
      <c r="J363" s="596" t="str">
        <f>IFERROR(__xludf.DUMMYFUNCTION("""COMPUTED_VALUE"""),"WD")</f>
        <v>WD</v>
      </c>
      <c r="K363" s="588"/>
      <c r="L363" s="588"/>
      <c r="M363" s="490" t="str">
        <f>IFERROR(__xludf.DUMMYFUNCTION("""COMPUTED_VALUE"""),"WAGO")</f>
        <v>WAGO</v>
      </c>
      <c r="N363" s="490"/>
      <c r="O363" s="490"/>
      <c r="P363" s="490" t="s">
        <v>8458</v>
      </c>
    </row>
    <row r="364">
      <c r="A364" s="490"/>
      <c r="B364" s="490"/>
      <c r="C364" s="490"/>
      <c r="D364" s="593" t="str">
        <f>IFERROR(__xludf.DUMMYFUNCTION("""COMPUTED_VALUE"""),"JSBS")</f>
        <v>JSBS</v>
      </c>
      <c r="E364" s="593" t="str">
        <f>IFERROR(__xludf.DUMMYFUNCTION("""COMPUTED_VALUE"""),"ASUS")</f>
        <v>ASUS</v>
      </c>
      <c r="F364" s="593" t="str">
        <f>IFERROR(__xludf.DUMMYFUNCTION("""COMPUTED_VALUE"""),"E203M")</f>
        <v>E203M</v>
      </c>
      <c r="G364" s="490"/>
      <c r="H364" s="490"/>
      <c r="I364" s="490"/>
      <c r="J364" s="594" t="str">
        <f>IFERROR(__xludf.DUMMYFUNCTION("""COMPUTED_VALUE"""),"WDO")</f>
        <v>WDO</v>
      </c>
      <c r="K364" s="588"/>
      <c r="L364" s="588"/>
      <c r="M364" s="490" t="str">
        <f>IFERROR(__xludf.DUMMYFUNCTION("""COMPUTED_VALUE"""),"WAGO")</f>
        <v>WAGO</v>
      </c>
      <c r="N364" s="490"/>
      <c r="O364" s="490"/>
      <c r="P364" s="490" t="s">
        <v>8460</v>
      </c>
    </row>
    <row r="365">
      <c r="A365" s="490"/>
      <c r="B365" s="490"/>
      <c r="C365" s="490"/>
      <c r="D365" s="593" t="str">
        <f>IFERROR(__xludf.DUMMYFUNCTION("""COMPUTED_VALUE"""),"JUICE BAR")</f>
        <v>JUICE BAR</v>
      </c>
      <c r="E365" s="593" t="str">
        <f>IFERROR(__xludf.DUMMYFUNCTION("""COMPUTED_VALUE"""),"ASUS")</f>
        <v>ASUS</v>
      </c>
      <c r="F365" s="593" t="str">
        <f>IFERROR(__xludf.DUMMYFUNCTION("""COMPUTED_VALUE"""),"NEXUS 7")</f>
        <v>NEXUS 7</v>
      </c>
      <c r="G365" s="490"/>
      <c r="H365" s="490"/>
      <c r="I365" s="490"/>
      <c r="J365" s="588" t="str">
        <f>IFERROR(__xludf.DUMMYFUNCTION("""COMPUTED_VALUE"""),"WDR")</f>
        <v>WDR</v>
      </c>
      <c r="K365" s="588"/>
      <c r="L365" s="588"/>
      <c r="M365" s="490" t="str">
        <f>IFERROR(__xludf.DUMMYFUNCTION("""COMPUTED_VALUE"""),"WEATHERTRAK")</f>
        <v>WEATHERTRAK</v>
      </c>
      <c r="N365" s="490"/>
      <c r="O365" s="490"/>
      <c r="P365" s="490" t="s">
        <v>8462</v>
      </c>
    </row>
    <row r="366">
      <c r="A366" s="490"/>
      <c r="B366" s="490"/>
      <c r="C366" s="490"/>
      <c r="D366" s="593" t="str">
        <f>IFERROR(__xludf.DUMMYFUNCTION("""COMPUTED_VALUE"""),"JUNG")</f>
        <v>JUNG</v>
      </c>
      <c r="E366" s="593" t="str">
        <f>IFERROR(__xludf.DUMMYFUNCTION("""COMPUTED_VALUE"""),"ASUS")</f>
        <v>ASUS</v>
      </c>
      <c r="F366" s="593" t="str">
        <f>IFERROR(__xludf.DUMMYFUNCTION("""COMPUTED_VALUE"""),"NEXUS 7")</f>
        <v>NEXUS 7</v>
      </c>
      <c r="G366" s="490"/>
      <c r="H366" s="490"/>
      <c r="I366" s="490"/>
      <c r="J366" s="588" t="str">
        <f>IFERROR(__xludf.DUMMYFUNCTION("""COMPUTED_VALUE"""),"WHAV")</f>
        <v>WHAV</v>
      </c>
      <c r="K366" s="588"/>
      <c r="L366" s="588"/>
      <c r="M366" s="490" t="str">
        <f>IFERROR(__xludf.DUMMYFUNCTION("""COMPUTED_VALUE"""),"WEIDMUELLER")</f>
        <v>WEIDMUELLER</v>
      </c>
      <c r="N366" s="490"/>
      <c r="O366" s="490"/>
      <c r="P366" s="490" t="s">
        <v>8464</v>
      </c>
    </row>
    <row r="367">
      <c r="A367" s="490"/>
      <c r="B367" s="490"/>
      <c r="C367" s="490"/>
      <c r="D367" s="593" t="str">
        <f>IFERROR(__xludf.DUMMYFUNCTION("""COMPUTED_VALUE"""),"KAITERRA")</f>
        <v>KAITERRA</v>
      </c>
      <c r="E367" s="593" t="str">
        <f>IFERROR(__xludf.DUMMYFUNCTION("""COMPUTED_VALUE"""),"ASUS")</f>
        <v>ASUS</v>
      </c>
      <c r="F367" s="593" t="str">
        <f>IFERROR(__xludf.DUMMYFUNCTION("""COMPUTED_VALUE"""),"TRANSFORMER BOOK")</f>
        <v>TRANSFORMER BOOK</v>
      </c>
      <c r="G367" s="490"/>
      <c r="H367" s="490"/>
      <c r="I367" s="490"/>
      <c r="J367" s="588" t="str">
        <f>IFERROR(__xludf.DUMMYFUNCTION("""COMPUTED_VALUE"""),"WM")</f>
        <v>WM</v>
      </c>
      <c r="K367" s="588"/>
      <c r="L367" s="588"/>
      <c r="M367" s="490" t="str">
        <f>IFERROR(__xludf.DUMMYFUNCTION("""COMPUTED_VALUE"""),"WEIDMULLER")</f>
        <v>WEIDMULLER</v>
      </c>
      <c r="N367" s="490"/>
      <c r="O367" s="490"/>
      <c r="P367" s="490" t="s">
        <v>8467</v>
      </c>
    </row>
    <row r="368">
      <c r="A368" s="490"/>
      <c r="B368" s="490"/>
      <c r="C368" s="490"/>
      <c r="D368" s="593" t="str">
        <f>IFERROR(__xludf.DUMMYFUNCTION("""COMPUTED_VALUE"""),"KAMPMANN")</f>
        <v>KAMPMANN</v>
      </c>
      <c r="E368" s="593" t="str">
        <f>IFERROR(__xludf.DUMMYFUNCTION("""COMPUTED_VALUE"""),"ASUS")</f>
        <v>ASUS</v>
      </c>
      <c r="F368" s="593" t="str">
        <f>IFERROR(__xludf.DUMMYFUNCTION("""COMPUTED_VALUE"""),"TRANSFORMER BOOK")</f>
        <v>TRANSFORMER BOOK</v>
      </c>
      <c r="G368" s="490"/>
      <c r="H368" s="490"/>
      <c r="I368" s="490"/>
      <c r="J368" s="588" t="str">
        <f>IFERROR(__xludf.DUMMYFUNCTION("""COMPUTED_VALUE"""),"WMV")</f>
        <v>WMV</v>
      </c>
      <c r="K368" s="588"/>
      <c r="L368" s="588"/>
      <c r="M368" s="490" t="str">
        <f>IFERROR(__xludf.DUMMYFUNCTION("""COMPUTED_VALUE"""),"WEIDMULLER")</f>
        <v>WEIDMULLER</v>
      </c>
      <c r="N368" s="490"/>
      <c r="O368" s="490"/>
      <c r="P368" s="490" t="s">
        <v>8469</v>
      </c>
    </row>
    <row r="369">
      <c r="A369" s="490"/>
      <c r="B369" s="490"/>
      <c r="C369" s="490"/>
      <c r="D369" s="593" t="str">
        <f>IFERROR(__xludf.DUMMYFUNCTION("""COMPUTED_VALUE"""),"KAMSTRUP")</f>
        <v>KAMSTRUP</v>
      </c>
      <c r="E369" s="593" t="str">
        <f>IFERROR(__xludf.DUMMYFUNCTION("""COMPUTED_VALUE"""),"ASUS")</f>
        <v>ASUS</v>
      </c>
      <c r="F369" s="593" t="str">
        <f>IFERROR(__xludf.DUMMYFUNCTION("""COMPUTED_VALUE"""),"V241IC")</f>
        <v>V241IC</v>
      </c>
      <c r="G369" s="490"/>
      <c r="H369" s="490"/>
      <c r="I369" s="490"/>
      <c r="J369" s="588" t="str">
        <f>IFERROR(__xludf.DUMMYFUNCTION("""COMPUTED_VALUE"""),"WMS")</f>
        <v>WMS</v>
      </c>
      <c r="K369" s="588"/>
      <c r="L369" s="588"/>
      <c r="M369" s="490" t="str">
        <f>IFERROR(__xludf.DUMMYFUNCTION("""COMPUTED_VALUE"""),"WEIDMULLER")</f>
        <v>WEIDMULLER</v>
      </c>
      <c r="N369" s="490"/>
      <c r="O369" s="490"/>
      <c r="P369" s="490" t="s">
        <v>8471</v>
      </c>
    </row>
    <row r="370">
      <c r="A370" s="490"/>
      <c r="B370" s="490"/>
      <c r="C370" s="490"/>
      <c r="D370" s="593" t="str">
        <f>IFERROR(__xludf.DUMMYFUNCTION("""COMPUTED_VALUE"""),"KEISER")</f>
        <v>KEISER</v>
      </c>
      <c r="E370" s="593" t="str">
        <f>IFERROR(__xludf.DUMMYFUNCTION("""COMPUTED_VALUE"""),"ASUS")</f>
        <v>ASUS</v>
      </c>
      <c r="F370" s="593" t="str">
        <f>IFERROR(__xludf.DUMMYFUNCTION("""COMPUTED_VALUE"""),"V241IC")</f>
        <v>V241IC</v>
      </c>
      <c r="G370" s="490"/>
      <c r="H370" s="490"/>
      <c r="I370" s="490"/>
      <c r="J370" s="588" t="str">
        <f>IFERROR(__xludf.DUMMYFUNCTION("""COMPUTED_VALUE"""),"WRTR")</f>
        <v>WRTR</v>
      </c>
      <c r="K370" s="588"/>
      <c r="L370" s="588"/>
      <c r="M370" s="490" t="str">
        <f>IFERROR(__xludf.DUMMYFUNCTION("""COMPUTED_VALUE"""),"WEIDMULLER")</f>
        <v>WEIDMULLER</v>
      </c>
      <c r="N370" s="490"/>
      <c r="O370" s="490"/>
      <c r="P370" s="490" t="s">
        <v>8473</v>
      </c>
    </row>
    <row r="371">
      <c r="A371" s="490"/>
      <c r="B371" s="490"/>
      <c r="C371" s="490"/>
      <c r="D371" s="593" t="str">
        <f>IFERROR(__xludf.DUMMYFUNCTION("""COMPUTED_VALUE"""),"KEURIG")</f>
        <v>KEURIG</v>
      </c>
      <c r="E371" s="593" t="str">
        <f>IFERROR(__xludf.DUMMYFUNCTION("""COMPUTED_VALUE"""),"ASUS")</f>
        <v>ASUS</v>
      </c>
      <c r="F371" s="593" t="str">
        <f>IFERROR(__xludf.DUMMYFUNCTION("""COMPUTED_VALUE"""),"VIVO AIO V221|C")</f>
        <v>VIVO AIO V221|C</v>
      </c>
      <c r="G371" s="490"/>
      <c r="H371" s="490"/>
      <c r="I371" s="490"/>
      <c r="J371" s="588" t="str">
        <f>IFERROR(__xludf.DUMMYFUNCTION("""COMPUTED_VALUE"""),"WSR")</f>
        <v>WSR</v>
      </c>
      <c r="K371" s="588"/>
      <c r="L371" s="588"/>
      <c r="M371" s="490" t="str">
        <f>IFERROR(__xludf.DUMMYFUNCTION("""COMPUTED_VALUE"""),"WESTELL")</f>
        <v>WESTELL</v>
      </c>
      <c r="N371" s="490"/>
      <c r="O371" s="490"/>
      <c r="P371" s="490" t="s">
        <v>8476</v>
      </c>
    </row>
    <row r="372">
      <c r="A372" s="490"/>
      <c r="B372" s="490"/>
      <c r="C372" s="490"/>
      <c r="D372" s="593" t="str">
        <f>IFERROR(__xludf.DUMMYFUNCTION("""COMPUTED_VALUE"""),"KEYSIGHT")</f>
        <v>KEYSIGHT</v>
      </c>
      <c r="E372" s="593" t="str">
        <f>IFERROR(__xludf.DUMMYFUNCTION("""COMPUTED_VALUE"""),"ASUS")</f>
        <v>ASUS</v>
      </c>
      <c r="F372" s="593" t="str">
        <f>IFERROR(__xludf.DUMMYFUNCTION("""COMPUTED_VALUE"""),"TRANSFORMER MINI")</f>
        <v>TRANSFORMER MINI</v>
      </c>
      <c r="G372" s="490"/>
      <c r="H372" s="490"/>
      <c r="I372" s="490"/>
      <c r="J372" s="588" t="str">
        <f>IFERROR(__xludf.DUMMYFUNCTION("""COMPUTED_VALUE"""),"WST")</f>
        <v>WST</v>
      </c>
      <c r="K372" s="588"/>
      <c r="L372" s="588"/>
      <c r="M372" s="490" t="str">
        <f>IFERROR(__xludf.DUMMYFUNCTION("""COMPUTED_VALUE"""),"WESTERMO")</f>
        <v>WESTERMO</v>
      </c>
      <c r="N372" s="490"/>
      <c r="O372" s="490"/>
      <c r="P372" s="490" t="s">
        <v>8478</v>
      </c>
    </row>
    <row r="373">
      <c r="A373" s="490"/>
      <c r="B373" s="490"/>
      <c r="C373" s="490"/>
      <c r="D373" s="593" t="str">
        <f>IFERROR(__xludf.DUMMYFUNCTION("""COMPUTED_VALUE"""),"KIDDE FIRE SYSTEM")</f>
        <v>KIDDE FIRE SYSTEM</v>
      </c>
      <c r="E373" s="593" t="str">
        <f>IFERROR(__xludf.DUMMYFUNCTION("""COMPUTED_VALUE"""),"ASUS")</f>
        <v>ASUS</v>
      </c>
      <c r="F373" s="593" t="str">
        <f>IFERROR(__xludf.DUMMYFUNCTION("""COMPUTED_VALUE"""),"TRANSFORMER MINI")</f>
        <v>TRANSFORMER MINI</v>
      </c>
      <c r="G373" s="490"/>
      <c r="H373" s="490"/>
      <c r="I373" s="490"/>
      <c r="J373" s="588" t="str">
        <f>IFERROR(__xludf.DUMMYFUNCTION("""COMPUTED_VALUE"""),"WWP")</f>
        <v>WWP</v>
      </c>
      <c r="K373" s="588"/>
      <c r="L373" s="588"/>
      <c r="M373" s="490" t="str">
        <f>IFERROR(__xludf.DUMMYFUNCTION("""COMPUTED_VALUE"""),"YAMAHA")</f>
        <v>YAMAHA</v>
      </c>
      <c r="N373" s="490"/>
      <c r="O373" s="490"/>
      <c r="P373" s="490" t="s">
        <v>8114</v>
      </c>
    </row>
    <row r="374">
      <c r="A374" s="490"/>
      <c r="B374" s="490"/>
      <c r="C374" s="490"/>
      <c r="D374" s="593" t="str">
        <f>IFERROR(__xludf.DUMMYFUNCTION("""COMPUTED_VALUE"""),"KIKOS")</f>
        <v>KIKOS</v>
      </c>
      <c r="E374" s="593" t="str">
        <f>IFERROR(__xludf.DUMMYFUNCTION("""COMPUTED_VALUE"""),"ASUS")</f>
        <v>ASUS</v>
      </c>
      <c r="F374" s="593" t="str">
        <f>IFERROR(__xludf.DUMMYFUNCTION("""COMPUTED_VALUE"""),"ROG STRIX GL10CS")</f>
        <v>ROG STRIX GL10CS</v>
      </c>
      <c r="G374" s="490"/>
      <c r="H374" s="490"/>
      <c r="I374" s="490"/>
      <c r="J374" s="588"/>
      <c r="K374" s="588"/>
      <c r="L374" s="588"/>
      <c r="M374" s="490" t="str">
        <f>IFERROR(__xludf.DUMMYFUNCTION("""COMPUTED_VALUE"""),"YAMAHA")</f>
        <v>YAMAHA</v>
      </c>
      <c r="N374" s="490"/>
      <c r="O374" s="490"/>
      <c r="P374" s="490" t="s">
        <v>8480</v>
      </c>
    </row>
    <row r="375">
      <c r="A375" s="490"/>
      <c r="B375" s="490"/>
      <c r="C375" s="490"/>
      <c r="D375" s="593" t="str">
        <f>IFERROR(__xludf.DUMMYFUNCTION("""COMPUTED_VALUE"""),"KINETIC")</f>
        <v>KINETIC</v>
      </c>
      <c r="E375" s="593" t="str">
        <f>IFERROR(__xludf.DUMMYFUNCTION("""COMPUTED_VALUE"""),"ASUS")</f>
        <v>ASUS</v>
      </c>
      <c r="F375" s="593" t="str">
        <f>IFERROR(__xludf.DUMMYFUNCTION("""COMPUTED_VALUE"""),"ROG STRIX GL10CS")</f>
        <v>ROG STRIX GL10CS</v>
      </c>
      <c r="G375" s="490"/>
      <c r="H375" s="490"/>
      <c r="I375" s="490"/>
      <c r="J375" s="588"/>
      <c r="K375" s="588"/>
      <c r="L375" s="588"/>
      <c r="M375" s="490" t="str">
        <f>IFERROR(__xludf.DUMMYFUNCTION("""COMPUTED_VALUE"""),"ZYXEL")</f>
        <v>ZYXEL</v>
      </c>
      <c r="N375" s="490"/>
      <c r="O375" s="490"/>
      <c r="P375" s="490" t="s">
        <v>8482</v>
      </c>
    </row>
    <row r="376">
      <c r="A376" s="490"/>
      <c r="B376" s="490"/>
      <c r="C376" s="490"/>
      <c r="D376" s="593" t="str">
        <f>IFERROR(__xludf.DUMMYFUNCTION("""COMPUTED_VALUE"""),"KMC CONTROLS")</f>
        <v>KMC CONTROLS</v>
      </c>
      <c r="E376" s="593" t="str">
        <f>IFERROR(__xludf.DUMMYFUNCTION("""COMPUTED_VALUE"""),"ASUS")</f>
        <v>ASUS</v>
      </c>
      <c r="F376" s="593" t="str">
        <f>IFERROR(__xludf.DUMMYFUNCTION("""COMPUTED_VALUE"""),"VP247")</f>
        <v>VP247</v>
      </c>
      <c r="G376" s="490"/>
      <c r="H376" s="490"/>
      <c r="I376" s="490"/>
      <c r="J376" s="588"/>
      <c r="K376" s="588"/>
      <c r="L376" s="588"/>
      <c r="M376" s="490" t="str">
        <f>IFERROR(__xludf.DUMMYFUNCTION("""COMPUTED_VALUE"""),"ZYXEL")</f>
        <v>ZYXEL</v>
      </c>
      <c r="N376" s="490"/>
      <c r="O376" s="490"/>
      <c r="P376" s="490" t="s">
        <v>8484</v>
      </c>
    </row>
    <row r="377">
      <c r="A377" s="490"/>
      <c r="B377" s="490"/>
      <c r="C377" s="490"/>
      <c r="D377" s="593" t="str">
        <f>IFERROR(__xludf.DUMMYFUNCTION("""COMPUTED_VALUE"""),"KONAMI")</f>
        <v>KONAMI</v>
      </c>
      <c r="E377" s="593" t="str">
        <f>IFERROR(__xludf.DUMMYFUNCTION("""COMPUTED_VALUE"""),"ASUS")</f>
        <v>ASUS</v>
      </c>
      <c r="F377" s="593" t="str">
        <f>IFERROR(__xludf.DUMMYFUNCTION("""COMPUTED_VALUE"""),"CHROMEBOX CN62")</f>
        <v>CHROMEBOX CN62</v>
      </c>
      <c r="G377" s="490"/>
      <c r="H377" s="490"/>
      <c r="I377" s="490"/>
      <c r="J377" s="588"/>
      <c r="K377" s="588"/>
      <c r="L377" s="588"/>
      <c r="M377" s="490" t="str">
        <f>IFERROR(__xludf.DUMMYFUNCTION("""COMPUTED_VALUE"""),"ZYXEL")</f>
        <v>ZYXEL</v>
      </c>
      <c r="N377" s="490"/>
      <c r="O377" s="490"/>
      <c r="P377" s="490" t="s">
        <v>8486</v>
      </c>
    </row>
    <row r="378">
      <c r="A378" s="490"/>
      <c r="B378" s="490"/>
      <c r="C378" s="490"/>
      <c r="D378" s="593" t="str">
        <f>IFERROR(__xludf.DUMMYFUNCTION("""COMPUTED_VALUE"""),"KONE")</f>
        <v>KONE</v>
      </c>
      <c r="E378" s="593" t="str">
        <f>IFERROR(__xludf.DUMMYFUNCTION("""COMPUTED_VALUE"""),"ASUS")</f>
        <v>ASUS</v>
      </c>
      <c r="F378" s="593" t="str">
        <f>IFERROR(__xludf.DUMMYFUNCTION("""COMPUTED_VALUE"""),"EXPERTBOOK B1400C")</f>
        <v>EXPERTBOOK B1400C</v>
      </c>
      <c r="G378" s="490"/>
      <c r="H378" s="490"/>
      <c r="I378" s="490"/>
      <c r="J378" s="588"/>
      <c r="K378" s="588"/>
      <c r="L378" s="588"/>
      <c r="M378" s="490" t="str">
        <f>IFERROR(__xludf.DUMMYFUNCTION("""COMPUTED_VALUE"""),"ZYXEL")</f>
        <v>ZYXEL</v>
      </c>
      <c r="N378" s="490"/>
      <c r="O378" s="490"/>
      <c r="P378" s="490" t="s">
        <v>8488</v>
      </c>
    </row>
    <row r="379">
      <c r="A379" s="490"/>
      <c r="B379" s="490"/>
      <c r="C379" s="490"/>
      <c r="D379" s="593" t="str">
        <f>IFERROR(__xludf.DUMMYFUNCTION("""COMPUTED_VALUE"""),"KOOLAIR")</f>
        <v>KOOLAIR</v>
      </c>
      <c r="E379" s="593" t="str">
        <f>IFERROR(__xludf.DUMMYFUNCTION("""COMPUTED_VALUE"""),"AT&amp;T")</f>
        <v>AT&amp;T</v>
      </c>
      <c r="F379" s="593" t="str">
        <f>IFERROR(__xludf.DUMMYFUNCTION("""COMPUTED_VALUE"""),"PACE 5268AC FXN")</f>
        <v>PACE 5268AC FXN</v>
      </c>
      <c r="G379" s="490"/>
      <c r="H379" s="490"/>
      <c r="I379" s="490"/>
      <c r="J379" s="588"/>
      <c r="K379" s="588"/>
      <c r="L379" s="588"/>
      <c r="M379" s="490" t="str">
        <f>IFERROR(__xludf.DUMMYFUNCTION("""COMPUTED_VALUE"""),"ZYXEL")</f>
        <v>ZYXEL</v>
      </c>
      <c r="N379" s="490"/>
      <c r="O379" s="490"/>
      <c r="P379" s="490" t="s">
        <v>8490</v>
      </c>
    </row>
    <row r="380">
      <c r="A380" s="490"/>
      <c r="B380" s="490"/>
      <c r="C380" s="490"/>
      <c r="D380" s="593" t="str">
        <f>IFERROR(__xludf.DUMMYFUNCTION("""COMPUTED_VALUE"""),"KORENIX")</f>
        <v>KORENIX</v>
      </c>
      <c r="E380" s="593" t="str">
        <f>IFERROR(__xludf.DUMMYFUNCTION("""COMPUTED_VALUE"""),"AT&amp;T")</f>
        <v>AT&amp;T</v>
      </c>
      <c r="F380" s="593" t="str">
        <f>IFERROR(__xludf.DUMMYFUNCTION("""COMPUTED_VALUE"""),"NO MODEL LISTED")</f>
        <v>NO MODEL LISTED</v>
      </c>
      <c r="G380" s="490"/>
      <c r="H380" s="490"/>
      <c r="I380" s="490"/>
      <c r="J380" s="588"/>
      <c r="K380" s="588"/>
      <c r="L380" s="588"/>
      <c r="M380" s="490"/>
      <c r="N380" s="490"/>
      <c r="O380" s="490"/>
      <c r="P380" s="490" t="s">
        <v>8492</v>
      </c>
    </row>
    <row r="381">
      <c r="A381" s="490"/>
      <c r="B381" s="490"/>
      <c r="C381" s="490"/>
      <c r="D381" s="593" t="str">
        <f>IFERROR(__xludf.DUMMYFUNCTION("""COMPUTED_VALUE"""),"KREA")</f>
        <v>KREA</v>
      </c>
      <c r="E381" s="593" t="str">
        <f>IFERROR(__xludf.DUMMYFUNCTION("""COMPUTED_VALUE"""),"AT&amp;T")</f>
        <v>AT&amp;T</v>
      </c>
      <c r="F381" s="593" t="str">
        <f>IFERROR(__xludf.DUMMYFUNCTION("""COMPUTED_VALUE"""),"NVG510")</f>
        <v>NVG510</v>
      </c>
      <c r="G381" s="490"/>
      <c r="H381" s="490"/>
      <c r="I381" s="490"/>
      <c r="J381" s="588"/>
      <c r="K381" s="588"/>
      <c r="L381" s="588"/>
      <c r="M381" s="490"/>
      <c r="N381" s="490"/>
      <c r="O381" s="490"/>
      <c r="P381" s="490" t="s">
        <v>8494</v>
      </c>
    </row>
    <row r="382">
      <c r="A382" s="490"/>
      <c r="B382" s="490"/>
      <c r="C382" s="490"/>
      <c r="D382" s="593" t="str">
        <f>IFERROR(__xludf.DUMMYFUNCTION("""COMPUTED_VALUE"""),"KROHNE")</f>
        <v>KROHNE</v>
      </c>
      <c r="E382" s="593" t="str">
        <f>IFERROR(__xludf.DUMMYFUNCTION("""COMPUTED_VALUE"""),"AT&amp;T BRANDED")</f>
        <v>AT&amp;T BRANDED</v>
      </c>
      <c r="F382" s="593" t="str">
        <f>IFERROR(__xludf.DUMMYFUNCTION("""COMPUTED_VALUE"""),"NOT VERIFIED")</f>
        <v>NOT VERIFIED</v>
      </c>
      <c r="G382" s="490"/>
      <c r="H382" s="490"/>
      <c r="I382" s="490"/>
      <c r="J382" s="588"/>
      <c r="K382" s="588"/>
      <c r="L382" s="588"/>
      <c r="M382" s="490"/>
      <c r="N382" s="490"/>
      <c r="O382" s="490"/>
      <c r="P382" s="490" t="s">
        <v>8496</v>
      </c>
    </row>
    <row r="383">
      <c r="A383" s="490"/>
      <c r="B383" s="490"/>
      <c r="C383" s="490"/>
      <c r="D383" s="593" t="str">
        <f>IFERROR(__xludf.DUMMYFUNCTION("""COMPUTED_VALUE"""),"KRONOS")</f>
        <v>KRONOS</v>
      </c>
      <c r="E383" s="593" t="str">
        <f>IFERROR(__xludf.DUMMYFUNCTION("""COMPUTED_VALUE"""),"AUGURY")</f>
        <v>AUGURY</v>
      </c>
      <c r="F383" s="593" t="str">
        <f>IFERROR(__xludf.DUMMYFUNCTION("""COMPUTED_VALUE"""),"HALO")</f>
        <v>HALO</v>
      </c>
      <c r="G383" s="490"/>
      <c r="H383" s="490"/>
      <c r="I383" s="490"/>
      <c r="J383" s="588"/>
      <c r="K383" s="588"/>
      <c r="L383" s="588"/>
      <c r="M383" s="490"/>
      <c r="N383" s="490"/>
      <c r="O383" s="490"/>
      <c r="P383" s="490" t="s">
        <v>8498</v>
      </c>
    </row>
    <row r="384">
      <c r="A384" s="490"/>
      <c r="B384" s="490"/>
      <c r="C384" s="490"/>
      <c r="D384" s="593" t="str">
        <f>IFERROR(__xludf.DUMMYFUNCTION("""COMPUTED_VALUE"""),"KRONOS/ADP")</f>
        <v>KRONOS/ADP</v>
      </c>
      <c r="E384" s="593" t="str">
        <f>IFERROR(__xludf.DUMMYFUNCTION("""COMPUTED_VALUE"""),"AUGURY")</f>
        <v>AUGURY</v>
      </c>
      <c r="F384" s="593" t="str">
        <f>IFERROR(__xludf.DUMMYFUNCTION("""COMPUTED_VALUE""")," HALO")</f>
        <v> HALO</v>
      </c>
      <c r="G384" s="490"/>
      <c r="H384" s="490"/>
      <c r="I384" s="490"/>
      <c r="J384" s="588"/>
      <c r="K384" s="588"/>
      <c r="L384" s="588"/>
      <c r="M384" s="490"/>
      <c r="N384" s="490"/>
      <c r="O384" s="490"/>
      <c r="P384" s="490" t="s">
        <v>8077</v>
      </c>
    </row>
    <row r="385">
      <c r="A385" s="490"/>
      <c r="B385" s="490"/>
      <c r="C385" s="490"/>
      <c r="D385" s="593" t="str">
        <f>IFERROR(__xludf.DUMMYFUNCTION("""COMPUTED_VALUE"""),"KRUGER")</f>
        <v>KRUGER</v>
      </c>
      <c r="E385" s="593" t="str">
        <f>IFERROR(__xludf.DUMMYFUNCTION("""COMPUTED_VALUE"""),"AUGURY")</f>
        <v>AUGURY</v>
      </c>
      <c r="F385" s="593" t="str">
        <f>IFERROR(__xludf.DUMMYFUNCTION("""COMPUTED_VALUE"""),"HALO")</f>
        <v>HALO</v>
      </c>
      <c r="G385" s="490"/>
      <c r="H385" s="490"/>
      <c r="I385" s="490"/>
      <c r="J385" s="588"/>
      <c r="K385" s="588"/>
      <c r="L385" s="588"/>
      <c r="M385" s="490"/>
      <c r="N385" s="490"/>
      <c r="O385" s="490"/>
      <c r="P385" s="490" t="s">
        <v>8116</v>
      </c>
    </row>
    <row r="386">
      <c r="A386" s="490"/>
      <c r="B386" s="490"/>
      <c r="C386" s="490"/>
      <c r="D386" s="593" t="str">
        <f>IFERROR(__xludf.DUMMYFUNCTION("""COMPUTED_VALUE"""),"KSENIA")</f>
        <v>KSENIA</v>
      </c>
      <c r="E386" s="593" t="str">
        <f>IFERROR(__xludf.DUMMYFUNCTION("""COMPUTED_VALUE"""),"AUGURY")</f>
        <v>AUGURY</v>
      </c>
      <c r="F386" s="593" t="str">
        <f>IFERROR(__xludf.DUMMYFUNCTION("""COMPUTED_VALUE"""),"HALO")</f>
        <v>HALO</v>
      </c>
      <c r="G386" s="490"/>
      <c r="H386" s="490"/>
      <c r="I386" s="490"/>
      <c r="J386" s="588"/>
      <c r="K386" s="588"/>
      <c r="L386" s="588"/>
      <c r="M386" s="490"/>
      <c r="N386" s="490"/>
      <c r="O386" s="490"/>
      <c r="P386" s="490" t="s">
        <v>8500</v>
      </c>
    </row>
    <row r="387">
      <c r="A387" s="490"/>
      <c r="B387" s="490"/>
      <c r="C387" s="490"/>
      <c r="D387" s="593" t="str">
        <f>IFERROR(__xludf.DUMMYFUNCTION("""COMPUTED_VALUE"""),"KYLAND")</f>
        <v>KYLAND</v>
      </c>
      <c r="E387" s="593" t="str">
        <f>IFERROR(__xludf.DUMMYFUNCTION("""COMPUTED_VALUE"""),"AUGURY")</f>
        <v>AUGURY</v>
      </c>
      <c r="F387" s="593" t="str">
        <f>IFERROR(__xludf.DUMMYFUNCTION("""COMPUTED_VALUE"""),"HALO")</f>
        <v>HALO</v>
      </c>
      <c r="G387" s="490"/>
      <c r="H387" s="490"/>
      <c r="I387" s="490"/>
      <c r="J387" s="588"/>
      <c r="K387" s="588"/>
      <c r="L387" s="588"/>
      <c r="M387" s="490"/>
      <c r="N387" s="490"/>
      <c r="O387" s="490"/>
      <c r="P387" s="490" t="s">
        <v>8578</v>
      </c>
    </row>
    <row r="388">
      <c r="A388" s="490"/>
      <c r="B388" s="490"/>
      <c r="C388" s="490"/>
      <c r="D388" s="593" t="str">
        <f>IFERROR(__xludf.DUMMYFUNCTION("""COMPUTED_VALUE"""),"LA CIMBALI")</f>
        <v>LA CIMBALI</v>
      </c>
      <c r="E388" s="593" t="str">
        <f>IFERROR(__xludf.DUMMYFUNCTION("""COMPUTED_VALUE"""),"AUGURY")</f>
        <v>AUGURY</v>
      </c>
      <c r="F388" s="593" t="str">
        <f>IFERROR(__xludf.DUMMYFUNCTION("""COMPUTED_VALUE"""),"PEPLINK")</f>
        <v>PEPLINK</v>
      </c>
      <c r="G388" s="490"/>
      <c r="H388" s="490"/>
      <c r="I388" s="490"/>
      <c r="J388" s="588"/>
      <c r="K388" s="588"/>
      <c r="L388" s="588"/>
      <c r="M388" s="490"/>
      <c r="N388" s="490"/>
      <c r="O388" s="490"/>
      <c r="P388" s="490" t="s">
        <v>8582</v>
      </c>
    </row>
    <row r="389">
      <c r="A389" s="490"/>
      <c r="B389" s="490"/>
      <c r="C389" s="490"/>
      <c r="D389" s="593" t="str">
        <f>IFERROR(__xludf.DUMMYFUNCTION("""COMPUTED_VALUE"""),"LANBIT")</f>
        <v>LANBIT</v>
      </c>
      <c r="E389" s="593" t="str">
        <f>IFERROR(__xludf.DUMMYFUNCTION("""COMPUTED_VALUE"""),"AUGURY")</f>
        <v>AUGURY</v>
      </c>
      <c r="F389" s="593" t="str">
        <f>IFERROR(__xludf.DUMMYFUNCTION("""COMPUTED_VALUE"""),"PEPLINK")</f>
        <v>PEPLINK</v>
      </c>
      <c r="G389" s="490"/>
      <c r="H389" s="490"/>
      <c r="I389" s="490"/>
      <c r="J389" s="588"/>
      <c r="K389" s="588"/>
      <c r="L389" s="588"/>
      <c r="M389" s="490"/>
      <c r="N389" s="490"/>
      <c r="O389" s="490"/>
      <c r="P389" s="490" t="s">
        <v>8584</v>
      </c>
    </row>
    <row r="390">
      <c r="A390" s="490"/>
      <c r="B390" s="490"/>
      <c r="C390" s="490"/>
      <c r="D390" s="593" t="str">
        <f>IFERROR(__xludf.DUMMYFUNCTION("""COMPUTED_VALUE"""),"LANDIS+GYR")</f>
        <v>LANDIS+GYR</v>
      </c>
      <c r="E390" s="593" t="str">
        <f>IFERROR(__xludf.DUMMYFUNCTION("""COMPUTED_VALUE"""),"AUGURY")</f>
        <v>AUGURY</v>
      </c>
      <c r="F390" s="593" t="str">
        <f>IFERROR(__xludf.DUMMYFUNCTION("""COMPUTED_VALUE"""),"TEW-AO57")</f>
        <v>TEW-AO57</v>
      </c>
      <c r="G390" s="490"/>
      <c r="H390" s="490"/>
      <c r="I390" s="490"/>
      <c r="J390" s="588"/>
      <c r="K390" s="588"/>
      <c r="L390" s="588"/>
      <c r="M390" s="490"/>
      <c r="N390" s="490"/>
      <c r="O390" s="490"/>
      <c r="P390" s="490" t="s">
        <v>8586</v>
      </c>
    </row>
    <row r="391">
      <c r="A391" s="490"/>
      <c r="B391" s="490"/>
      <c r="C391" s="490"/>
      <c r="D391" s="593" t="str">
        <f>IFERROR(__xludf.DUMMYFUNCTION("""COMPUTED_VALUE"""),"LANDISGY")</f>
        <v>LANDISGY</v>
      </c>
      <c r="E391" s="593" t="str">
        <f>IFERROR(__xludf.DUMMYFUNCTION("""COMPUTED_VALUE"""),"AUMADA")</f>
        <v>AUMADA</v>
      </c>
      <c r="F391" s="593" t="str">
        <f>IFERROR(__xludf.DUMMYFUNCTION("""COMPUTED_VALUE"""),"WIZARD WI135TWB15-S2")</f>
        <v>WIZARD WI135TWB15-S2</v>
      </c>
      <c r="G391" s="490"/>
      <c r="H391" s="490"/>
      <c r="I391" s="490"/>
      <c r="J391" s="588"/>
      <c r="K391" s="588"/>
      <c r="L391" s="588"/>
      <c r="M391" s="490"/>
      <c r="N391" s="490"/>
      <c r="O391" s="490"/>
      <c r="P391" s="490" t="s">
        <v>8588</v>
      </c>
    </row>
    <row r="392">
      <c r="A392" s="490"/>
      <c r="B392" s="490"/>
      <c r="C392" s="490"/>
      <c r="D392" s="593" t="str">
        <f>IFERROR(__xludf.DUMMYFUNCTION("""COMPUTED_VALUE"""),"LANTRONIX")</f>
        <v>LANTRONIX</v>
      </c>
      <c r="E392" s="593" t="str">
        <f>IFERROR(__xludf.DUMMYFUNCTION("""COMPUTED_VALUE"""),"AUMADA")</f>
        <v>AUMADA</v>
      </c>
      <c r="F392" s="593" t="str">
        <f>IFERROR(__xludf.DUMMYFUNCTION("""COMPUTED_VALUE"""),"WIZARD WI-55TWB8-S2")</f>
        <v>WIZARD WI-55TWB8-S2</v>
      </c>
      <c r="G392" s="490"/>
      <c r="H392" s="490"/>
      <c r="I392" s="490"/>
      <c r="J392" s="588"/>
      <c r="K392" s="588"/>
      <c r="L392" s="588"/>
      <c r="M392" s="490"/>
      <c r="N392" s="490"/>
      <c r="O392" s="490"/>
      <c r="P392" s="490" t="s">
        <v>8590</v>
      </c>
    </row>
    <row r="393">
      <c r="A393" s="490"/>
      <c r="B393" s="490"/>
      <c r="C393" s="490"/>
      <c r="D393" s="593" t="str">
        <f>IFERROR(__xludf.DUMMYFUNCTION("""COMPUTED_VALUE"""),"LB-LINK")</f>
        <v>LB-LINK</v>
      </c>
      <c r="E393" s="593" t="str">
        <f>IFERROR(__xludf.DUMMYFUNCTION("""COMPUTED_VALUE"""),"AUTOMATED LOGIC")</f>
        <v>AUTOMATED LOGIC</v>
      </c>
      <c r="F393" s="593" t="str">
        <f>IFERROR(__xludf.DUMMYFUNCTION("""COMPUTED_VALUE"""),"ZS2PL-HCM-ALC")</f>
        <v>ZS2PL-HCM-ALC</v>
      </c>
      <c r="G393" s="490"/>
      <c r="H393" s="490"/>
      <c r="I393" s="490"/>
      <c r="J393" s="588"/>
      <c r="K393" s="588"/>
      <c r="L393" s="588"/>
      <c r="M393" s="490"/>
      <c r="N393" s="490"/>
      <c r="O393" s="490"/>
      <c r="P393" s="490" t="s">
        <v>8592</v>
      </c>
    </row>
    <row r="394">
      <c r="A394" s="490"/>
      <c r="B394" s="490"/>
      <c r="C394" s="490"/>
      <c r="D394" s="593" t="str">
        <f>IFERROR(__xludf.DUMMYFUNCTION("""COMPUTED_VALUE"""),"LDE")</f>
        <v>LDE</v>
      </c>
      <c r="E394" s="593" t="str">
        <f>IFERROR(__xludf.DUMMYFUNCTION("""COMPUTED_VALUE"""),"AUTOMATED LOGIC")</f>
        <v>AUTOMATED LOGIC</v>
      </c>
      <c r="F394" s="593" t="str">
        <f>IFERROR(__xludf.DUMMYFUNCTION("""COMPUTED_VALUE"""),"ZS2PL-ALC")</f>
        <v>ZS2PL-ALC</v>
      </c>
      <c r="G394" s="490"/>
      <c r="H394" s="490"/>
      <c r="I394" s="490"/>
      <c r="J394" s="588"/>
      <c r="K394" s="588"/>
      <c r="L394" s="588"/>
      <c r="M394" s="490"/>
      <c r="N394" s="490"/>
      <c r="O394" s="490"/>
      <c r="P394" s="490" t="s">
        <v>8594</v>
      </c>
    </row>
    <row r="395">
      <c r="A395" s="490"/>
      <c r="B395" s="490"/>
      <c r="C395" s="490"/>
      <c r="D395" s="593" t="str">
        <f>IFERROR(__xludf.DUMMYFUNCTION("""COMPUTED_VALUE"""),"LEANPATH")</f>
        <v>LEANPATH</v>
      </c>
      <c r="E395" s="593" t="str">
        <f>IFERROR(__xludf.DUMMYFUNCTION("""COMPUTED_VALUE"""),"AUTOMATED LOGIC")</f>
        <v>AUTOMATED LOGIC</v>
      </c>
      <c r="F395" s="593" t="str">
        <f>IFERROR(__xludf.DUMMYFUNCTION("""COMPUTED_VALUE"""),"FIO812U")</f>
        <v>FIO812U</v>
      </c>
      <c r="G395" s="490"/>
      <c r="H395" s="490"/>
      <c r="I395" s="490"/>
      <c r="J395" s="588"/>
      <c r="K395" s="588"/>
      <c r="L395" s="588"/>
      <c r="M395" s="490"/>
      <c r="N395" s="490"/>
      <c r="O395" s="490"/>
      <c r="P395" s="490" t="s">
        <v>8596</v>
      </c>
    </row>
    <row r="396">
      <c r="A396" s="490"/>
      <c r="B396" s="490"/>
      <c r="C396" s="490"/>
      <c r="D396" s="593" t="str">
        <f>IFERROR(__xludf.DUMMYFUNCTION("""COMPUTED_VALUE"""),"LEGRAND")</f>
        <v>LEGRAND</v>
      </c>
      <c r="E396" s="593" t="str">
        <f>IFERROR(__xludf.DUMMYFUNCTION("""COMPUTED_VALUE"""),"AUTOMATED LOGIC")</f>
        <v>AUTOMATED LOGIC</v>
      </c>
      <c r="F396" s="593" t="str">
        <f>IFERROR(__xludf.DUMMYFUNCTION("""COMPUTED_VALUE"""),"FIO012U")</f>
        <v>FIO012U</v>
      </c>
      <c r="G396" s="490"/>
      <c r="H396" s="490"/>
      <c r="I396" s="490"/>
      <c r="J396" s="588"/>
      <c r="K396" s="588"/>
      <c r="L396" s="588"/>
      <c r="M396" s="490"/>
      <c r="N396" s="490"/>
      <c r="O396" s="490"/>
      <c r="P396" s="490" t="s">
        <v>8118</v>
      </c>
    </row>
    <row r="397">
      <c r="A397" s="490"/>
      <c r="B397" s="490"/>
      <c r="C397" s="490"/>
      <c r="D397" s="593" t="str">
        <f>IFERROR(__xludf.DUMMYFUNCTION("""COMPUTED_VALUE"""),"LEMCA ILUMINACAO")</f>
        <v>LEMCA ILUMINACAO</v>
      </c>
      <c r="E397" s="593" t="str">
        <f>IFERROR(__xludf.DUMMYFUNCTION("""COMPUTED_VALUE"""),"AUTOMATED LOGIC")</f>
        <v>AUTOMATED LOGIC</v>
      </c>
      <c r="F397" s="593" t="str">
        <f>IFERROR(__xludf.DUMMYFUNCTION("""COMPUTED_VALUE"""),"FIO48U")</f>
        <v>FIO48U</v>
      </c>
      <c r="G397" s="490"/>
      <c r="H397" s="490"/>
      <c r="I397" s="490"/>
      <c r="J397" s="588"/>
      <c r="K397" s="588"/>
      <c r="L397" s="588"/>
      <c r="M397" s="490"/>
      <c r="N397" s="490"/>
      <c r="O397" s="490"/>
      <c r="P397" s="490" t="s">
        <v>8598</v>
      </c>
    </row>
    <row r="398">
      <c r="A398" s="490"/>
      <c r="B398" s="490"/>
      <c r="C398" s="490"/>
      <c r="D398" s="593" t="str">
        <f>IFERROR(__xludf.DUMMYFUNCTION("""COMPUTED_VALUE"""),"LENOVO")</f>
        <v>LENOVO</v>
      </c>
      <c r="E398" s="593" t="str">
        <f>IFERROR(__xludf.DUMMYFUNCTION("""COMPUTED_VALUE"""),"AUTOMATED LOGIC")</f>
        <v>AUTOMATED LOGIC</v>
      </c>
      <c r="F398" s="593" t="str">
        <f>IFERROR(__xludf.DUMMYFUNCTION("""COMPUTED_VALUE"""),"ZS2-ALC")</f>
        <v>ZS2-ALC</v>
      </c>
      <c r="G398" s="490"/>
      <c r="H398" s="490"/>
      <c r="I398" s="490"/>
      <c r="J398" s="588"/>
      <c r="K398" s="588"/>
      <c r="L398" s="588"/>
      <c r="M398" s="490"/>
      <c r="N398" s="490"/>
      <c r="O398" s="490"/>
      <c r="P398" s="490" t="s">
        <v>8600</v>
      </c>
    </row>
    <row r="399">
      <c r="A399" s="490"/>
      <c r="B399" s="490"/>
      <c r="C399" s="490"/>
      <c r="D399" s="490" t="str">
        <f>IFERROR(__xludf.DUMMYFUNCTION("""COMPUTED_VALUE"""),"LES MILLS")</f>
        <v>LES MILLS</v>
      </c>
      <c r="E399" s="593" t="str">
        <f>IFERROR(__xludf.DUMMYFUNCTION("""COMPUTED_VALUE"""),"AUTOMATIONDIRECT")</f>
        <v>AUTOMATIONDIRECT</v>
      </c>
      <c r="F399" s="593" t="str">
        <f>IFERROR(__xludf.DUMMYFUNCTION("""COMPUTED_VALUE"""),"C-MORE EA9")</f>
        <v>C-MORE EA9</v>
      </c>
      <c r="G399" s="490"/>
      <c r="H399" s="490"/>
      <c r="I399" s="490"/>
      <c r="J399" s="588"/>
      <c r="K399" s="588"/>
      <c r="L399" s="588"/>
      <c r="M399" s="490"/>
      <c r="N399" s="490"/>
      <c r="O399" s="490"/>
      <c r="P399" s="490" t="s">
        <v>8602</v>
      </c>
    </row>
    <row r="400">
      <c r="A400" s="490"/>
      <c r="B400" s="490"/>
      <c r="C400" s="490"/>
      <c r="D400" s="490" t="str">
        <f>IFERROR(__xludf.DUMMYFUNCTION("""COMPUTED_VALUE"""),"LEVELONE")</f>
        <v>LEVELONE</v>
      </c>
      <c r="E400" s="593" t="str">
        <f>IFERROR(__xludf.DUMMYFUNCTION("""COMPUTED_VALUE"""),"AUTOMATIONDIRECT")</f>
        <v>AUTOMATIONDIRECT</v>
      </c>
      <c r="F400" s="593" t="str">
        <f>IFERROR(__xludf.DUMMYFUNCTION("""COMPUTED_VALUE"""),"SE-SW5U-SC")</f>
        <v>SE-SW5U-SC</v>
      </c>
      <c r="G400" s="490"/>
      <c r="H400" s="490"/>
      <c r="I400" s="490"/>
      <c r="J400" s="588"/>
      <c r="K400" s="588"/>
      <c r="L400" s="588"/>
      <c r="M400" s="490"/>
      <c r="N400" s="490"/>
      <c r="O400" s="490"/>
      <c r="P400" s="490" t="s">
        <v>8604</v>
      </c>
    </row>
    <row r="401">
      <c r="A401" s="490"/>
      <c r="B401" s="490"/>
      <c r="C401" s="490"/>
      <c r="D401" s="490" t="str">
        <f>IFERROR(__xludf.DUMMYFUNCTION("""COMPUTED_VALUE"""),"LEVITON")</f>
        <v>LEVITON</v>
      </c>
      <c r="E401" s="593" t="str">
        <f>IFERROR(__xludf.DUMMYFUNCTION("""COMPUTED_VALUE"""),"AVM")</f>
        <v>AVM</v>
      </c>
      <c r="F401" s="593" t="str">
        <f>IFERROR(__xludf.DUMMYFUNCTION("""COMPUTED_VALUE"""),"FRITZ!BOX 7490")</f>
        <v>FRITZ!BOX 7490</v>
      </c>
      <c r="G401" s="490"/>
      <c r="H401" s="490"/>
      <c r="I401" s="490"/>
      <c r="J401" s="588"/>
      <c r="K401" s="588"/>
      <c r="L401" s="588"/>
      <c r="M401" s="490"/>
      <c r="N401" s="490"/>
      <c r="O401" s="490"/>
      <c r="P401" s="490" t="s">
        <v>8606</v>
      </c>
    </row>
    <row r="402">
      <c r="A402" s="490"/>
      <c r="B402" s="490"/>
      <c r="C402" s="490"/>
      <c r="D402" s="490" t="str">
        <f>IFERROR(__xludf.DUMMYFUNCTION("""COMPUTED_VALUE"""),"LG")</f>
        <v>LG</v>
      </c>
      <c r="E402" s="593" t="str">
        <f>IFERROR(__xludf.DUMMYFUNCTION("""COMPUTED_VALUE"""),"AVOCENT")</f>
        <v>AVOCENT</v>
      </c>
      <c r="F402" s="593" t="str">
        <f>IFERROR(__xludf.DUMMYFUNCTION("""COMPUTED_VALUE"""),"ACS 5048")</f>
        <v>ACS 5048</v>
      </c>
      <c r="G402" s="490"/>
      <c r="H402" s="490"/>
      <c r="I402" s="490"/>
      <c r="J402" s="588"/>
      <c r="K402" s="588"/>
      <c r="L402" s="588"/>
      <c r="M402" s="490"/>
      <c r="N402" s="490"/>
      <c r="O402" s="490"/>
      <c r="P402" s="490" t="s">
        <v>8608</v>
      </c>
    </row>
    <row r="403">
      <c r="A403" s="490"/>
      <c r="B403" s="490"/>
      <c r="C403" s="490"/>
      <c r="D403" s="604" t="str">
        <f>IFERROR(__xludf.DUMMYFUNCTION("""COMPUTED_VALUE"""),"LH.GD")</f>
        <v>LH.GD</v>
      </c>
      <c r="E403" s="593" t="str">
        <f>IFERROR(__xludf.DUMMYFUNCTION("""COMPUTED_VALUE"""),"AVOCENT")</f>
        <v>AVOCENT</v>
      </c>
      <c r="F403" s="593" t="str">
        <f>IFERROR(__xludf.DUMMYFUNCTION("""COMPUTED_VALUE"""),"ACS 5048 CYCLADES")</f>
        <v>ACS 5048 CYCLADES</v>
      </c>
      <c r="G403" s="490"/>
      <c r="H403" s="490"/>
      <c r="I403" s="490"/>
      <c r="J403" s="588"/>
      <c r="K403" s="588"/>
      <c r="L403" s="588"/>
      <c r="M403" s="490"/>
      <c r="N403" s="490"/>
      <c r="O403" s="490"/>
      <c r="P403" s="490" t="s">
        <v>8610</v>
      </c>
    </row>
    <row r="404">
      <c r="A404" s="490"/>
      <c r="B404" s="490"/>
      <c r="C404" s="490"/>
      <c r="D404" s="490" t="str">
        <f>IFERROR(__xludf.DUMMYFUNCTION("""COMPUTED_VALUE"""),"LIEBERT")</f>
        <v>LIEBERT</v>
      </c>
      <c r="E404" s="593" t="str">
        <f>IFERROR(__xludf.DUMMYFUNCTION("""COMPUTED_VALUE"""),"AWAIR")</f>
        <v>AWAIR</v>
      </c>
      <c r="F404" s="593" t="str">
        <f>IFERROR(__xludf.DUMMYFUNCTION("""COMPUTED_VALUE"""),"OMNI")</f>
        <v>OMNI</v>
      </c>
      <c r="G404" s="490"/>
      <c r="H404" s="490"/>
      <c r="I404" s="490"/>
      <c r="J404" s="588"/>
      <c r="K404" s="588"/>
      <c r="L404" s="588"/>
      <c r="M404" s="490"/>
      <c r="N404" s="490"/>
      <c r="O404" s="490"/>
      <c r="P404" s="490" t="s">
        <v>8612</v>
      </c>
    </row>
    <row r="405">
      <c r="A405" s="490"/>
      <c r="B405" s="490"/>
      <c r="C405" s="490"/>
      <c r="D405" s="490" t="str">
        <f>IFERROR(__xludf.DUMMYFUNCTION("""COMPUTED_VALUE"""),"LIFE FITNESS")</f>
        <v>LIFE FITNESS</v>
      </c>
      <c r="E405" s="593" t="str">
        <f>IFERROR(__xludf.DUMMYFUNCTION("""COMPUTED_VALUE"""),"AXCESS")</f>
        <v>AXCESS</v>
      </c>
      <c r="F405" s="593" t="str">
        <f>IFERROR(__xludf.DUMMYFUNCTION("""COMPUTED_VALUE"""),"AT-132-AT")</f>
        <v>AT-132-AT</v>
      </c>
      <c r="G405" s="490"/>
      <c r="H405" s="490"/>
      <c r="I405" s="490"/>
      <c r="J405" s="588"/>
      <c r="K405" s="588"/>
      <c r="L405" s="588"/>
      <c r="M405" s="490"/>
      <c r="N405" s="490"/>
      <c r="O405" s="490"/>
      <c r="P405" s="490" t="s">
        <v>8614</v>
      </c>
    </row>
    <row r="406">
      <c r="A406" s="490"/>
      <c r="B406" s="490"/>
      <c r="C406" s="490"/>
      <c r="D406" s="490" t="str">
        <f>IFERROR(__xludf.DUMMYFUNCTION("""COMPUTED_VALUE"""),"LIGHTING CONTROLS")</f>
        <v>LIGHTING CONTROLS</v>
      </c>
      <c r="E406" s="593" t="str">
        <f>IFERROR(__xludf.DUMMYFUNCTION("""COMPUTED_VALUE"""),"AXIOMTEK")</f>
        <v>AXIOMTEK</v>
      </c>
      <c r="F406" s="593" t="str">
        <f>IFERROR(__xludf.DUMMYFUNCTION("""COMPUTED_VALUE"""),"ICO300")</f>
        <v>ICO300</v>
      </c>
      <c r="G406" s="490"/>
      <c r="H406" s="490"/>
      <c r="I406" s="490"/>
      <c r="J406" s="588"/>
      <c r="K406" s="588"/>
      <c r="L406" s="588"/>
      <c r="M406" s="490"/>
      <c r="N406" s="490"/>
      <c r="O406" s="490"/>
      <c r="P406" s="490" t="s">
        <v>8616</v>
      </c>
    </row>
    <row r="407">
      <c r="A407" s="490"/>
      <c r="B407" s="490"/>
      <c r="C407" s="490"/>
      <c r="D407" s="490" t="str">
        <f>IFERROR(__xludf.DUMMYFUNCTION("""COMPUTED_VALUE"""),"LIGHTSOURCE")</f>
        <v>LIGHTSOURCE</v>
      </c>
      <c r="E407" s="593" t="str">
        <f>IFERROR(__xludf.DUMMYFUNCTION("""COMPUTED_VALUE"""),"AXIOMTEK")</f>
        <v>AXIOMTEK</v>
      </c>
      <c r="F407" s="593" t="str">
        <f>IFERROR(__xludf.DUMMYFUNCTION("""COMPUTED_VALUE"""),"ICO310-N3160-PD-DC")</f>
        <v>ICO310-N3160-PD-DC</v>
      </c>
      <c r="G407" s="490"/>
      <c r="H407" s="490"/>
      <c r="I407" s="490"/>
      <c r="J407" s="588"/>
      <c r="K407" s="588"/>
      <c r="L407" s="588"/>
      <c r="M407" s="490"/>
      <c r="N407" s="490"/>
      <c r="O407" s="490"/>
      <c r="P407" s="490" t="s">
        <v>8120</v>
      </c>
    </row>
    <row r="408">
      <c r="A408" s="490"/>
      <c r="B408" s="490"/>
      <c r="C408" s="490"/>
      <c r="D408" s="490" t="str">
        <f>IFERROR(__xludf.DUMMYFUNCTION("""COMPUTED_VALUE"""),"LINKSYS")</f>
        <v>LINKSYS</v>
      </c>
      <c r="E408" s="593" t="str">
        <f>IFERROR(__xludf.DUMMYFUNCTION("""COMPUTED_VALUE"""),"AZBIL")</f>
        <v>AZBIL</v>
      </c>
      <c r="F408" s="593" t="str">
        <f>IFERROR(__xludf.DUMMYFUNCTION("""COMPUTED_VALUE"""),"BCY44100M")</f>
        <v>BCY44100M</v>
      </c>
      <c r="G408" s="490"/>
      <c r="H408" s="490"/>
      <c r="I408" s="490"/>
      <c r="J408" s="588"/>
      <c r="K408" s="588"/>
      <c r="L408" s="588"/>
      <c r="M408" s="490"/>
      <c r="N408" s="490"/>
      <c r="O408" s="490"/>
      <c r="P408" s="490" t="s">
        <v>8618</v>
      </c>
    </row>
    <row r="409">
      <c r="A409" s="490"/>
      <c r="B409" s="490"/>
      <c r="C409" s="490"/>
      <c r="D409" s="490" t="str">
        <f>IFERROR(__xludf.DUMMYFUNCTION("""COMPUTED_VALUE"""),"LM GATEWAY")</f>
        <v>LM GATEWAY</v>
      </c>
      <c r="E409" s="593" t="str">
        <f>IFERROR(__xludf.DUMMYFUNCTION("""COMPUTED_VALUE"""),"AZBIL")</f>
        <v>AZBIL</v>
      </c>
      <c r="F409" s="593" t="str">
        <f>IFERROR(__xludf.DUMMYFUNCTION("""COMPUTED_VALUE"""),"BCY44100M")</f>
        <v>BCY44100M</v>
      </c>
      <c r="G409" s="490"/>
      <c r="H409" s="490"/>
      <c r="I409" s="490"/>
      <c r="J409" s="588"/>
      <c r="K409" s="588"/>
      <c r="L409" s="588"/>
      <c r="M409" s="490"/>
      <c r="N409" s="490"/>
      <c r="O409" s="490"/>
      <c r="P409" s="490" t="s">
        <v>8620</v>
      </c>
    </row>
    <row r="410">
      <c r="A410" s="490"/>
      <c r="B410" s="490"/>
      <c r="C410" s="490"/>
      <c r="D410" s="490" t="str">
        <f>IFERROR(__xludf.DUMMYFUNCTION("""COMPUTED_VALUE"""),"LOCHINVAR")</f>
        <v>LOCHINVAR</v>
      </c>
      <c r="E410" s="593" t="str">
        <f>IFERROR(__xludf.DUMMYFUNCTION("""COMPUTED_VALUE"""),"AZBIL")</f>
        <v>AZBIL</v>
      </c>
      <c r="F410" s="593" t="str">
        <f>IFERROR(__xludf.DUMMYFUNCTION("""COMPUTED_VALUE"""),"BCY45301M")</f>
        <v>BCY45301M</v>
      </c>
      <c r="G410" s="490"/>
      <c r="H410" s="490"/>
      <c r="I410" s="490"/>
      <c r="J410" s="588"/>
      <c r="K410" s="588"/>
      <c r="L410" s="588"/>
      <c r="M410" s="490"/>
      <c r="N410" s="490"/>
      <c r="O410" s="490"/>
      <c r="P410" s="490" t="s">
        <v>8622</v>
      </c>
    </row>
    <row r="411">
      <c r="A411" s="490"/>
      <c r="B411" s="490"/>
      <c r="C411" s="490"/>
      <c r="D411" s="490" t="str">
        <f>IFERROR(__xludf.DUMMYFUNCTION("""COMPUTED_VALUE"""),"LOGISON")</f>
        <v>LOGISON</v>
      </c>
      <c r="E411" s="593" t="str">
        <f>IFERROR(__xludf.DUMMYFUNCTION("""COMPUTED_VALUE"""),"B METERS")</f>
        <v>B METERS</v>
      </c>
      <c r="F411" s="593" t="str">
        <f>IFERROR(__xludf.DUMMYFUNCTION("""COMPUTED_VALUE"""),"IWM-MB3")</f>
        <v>IWM-MB3</v>
      </c>
      <c r="G411" s="490"/>
      <c r="H411" s="490"/>
      <c r="I411" s="490"/>
      <c r="J411" s="588"/>
      <c r="K411" s="588"/>
      <c r="L411" s="588"/>
      <c r="M411" s="490"/>
      <c r="N411" s="490"/>
      <c r="O411" s="490"/>
      <c r="P411" s="490" t="s">
        <v>8624</v>
      </c>
    </row>
    <row r="412">
      <c r="A412" s="490"/>
      <c r="B412" s="490"/>
      <c r="C412" s="490"/>
      <c r="D412" s="490" t="str">
        <f>IFERROR(__xludf.DUMMYFUNCTION("""COMPUTED_VALUE"""),"LOGITECH")</f>
        <v>LOGITECH</v>
      </c>
      <c r="E412" s="593" t="str">
        <f>IFERROR(__xludf.DUMMYFUNCTION("""COMPUTED_VALUE"""),"B METERS")</f>
        <v>B METERS</v>
      </c>
      <c r="F412" s="593" t="str">
        <f>IFERROR(__xludf.DUMMYFUNCTION("""COMPUTED_VALUE"""),"COLD WATER METER")</f>
        <v>COLD WATER METER</v>
      </c>
      <c r="G412" s="490"/>
      <c r="H412" s="490"/>
      <c r="I412" s="490"/>
      <c r="J412" s="588"/>
      <c r="K412" s="588"/>
      <c r="L412" s="588"/>
      <c r="M412" s="490"/>
      <c r="N412" s="490"/>
      <c r="O412" s="490"/>
      <c r="P412" s="490" t="s">
        <v>8626</v>
      </c>
    </row>
    <row r="413">
      <c r="A413" s="490"/>
      <c r="B413" s="490"/>
      <c r="C413" s="490"/>
      <c r="D413" s="490" t="str">
        <f>IFERROR(__xludf.DUMMYFUNCTION("""COMPUTED_VALUE"""),"LOREN COOK")</f>
        <v>LOREN COOK</v>
      </c>
      <c r="E413" s="593" t="str">
        <f>IFERROR(__xludf.DUMMYFUNCTION("""COMPUTED_VALUE"""),"B METERS")</f>
        <v>B METERS</v>
      </c>
      <c r="F413" s="593" t="str">
        <f>IFERROR(__xludf.DUMMYFUNCTION("""COMPUTED_VALUE"""),"GSD8-RFM")</f>
        <v>GSD8-RFM</v>
      </c>
      <c r="G413" s="490"/>
      <c r="H413" s="490"/>
      <c r="I413" s="490"/>
      <c r="J413" s="588"/>
      <c r="K413" s="588"/>
      <c r="L413" s="588"/>
      <c r="M413" s="490"/>
      <c r="N413" s="490"/>
      <c r="O413" s="490"/>
      <c r="P413" s="490" t="s">
        <v>8628</v>
      </c>
    </row>
    <row r="414">
      <c r="A414" s="490"/>
      <c r="B414" s="490"/>
      <c r="C414" s="490"/>
      <c r="D414" s="490" t="str">
        <f>IFERROR(__xludf.DUMMYFUNCTION("""COMPUTED_VALUE"""),"LOYTEC")</f>
        <v>LOYTEC</v>
      </c>
      <c r="E414" s="593" t="str">
        <f>IFERROR(__xludf.DUMMYFUNCTION("""COMPUTED_VALUE"""),"B METERS")</f>
        <v>B METERS</v>
      </c>
      <c r="F414" s="593" t="str">
        <f>IFERROR(__xludf.DUMMYFUNCTION("""COMPUTED_VALUE"""),"WDE-K50")</f>
        <v>WDE-K50</v>
      </c>
      <c r="G414" s="490"/>
      <c r="H414" s="490"/>
      <c r="I414" s="490"/>
      <c r="J414" s="588"/>
      <c r="K414" s="588"/>
      <c r="L414" s="588"/>
      <c r="M414" s="490"/>
      <c r="N414" s="490"/>
      <c r="O414" s="490"/>
      <c r="P414" s="490" t="s">
        <v>8630</v>
      </c>
    </row>
    <row r="415">
      <c r="A415" s="490"/>
      <c r="B415" s="490"/>
      <c r="C415" s="490"/>
      <c r="D415" s="490" t="str">
        <f>IFERROR(__xludf.DUMMYFUNCTION("""COMPUTED_VALUE"""),"LOYTECH ELECTRONICS")</f>
        <v>LOYTECH ELECTRONICS</v>
      </c>
      <c r="E415" s="593" t="str">
        <f>IFERROR(__xludf.DUMMYFUNCTION("""COMPUTED_VALUE"""),"B&amp;B ELECTRONICS")</f>
        <v>B&amp;B ELECTRONICS</v>
      </c>
      <c r="F415" s="593" t="str">
        <f>IFERROR(__xludf.DUMMYFUNCTION("""COMPUTED_VALUE"""),"VESR901")</f>
        <v>VESR901</v>
      </c>
      <c r="G415" s="490"/>
      <c r="H415" s="490"/>
      <c r="I415" s="490"/>
      <c r="J415" s="588"/>
      <c r="K415" s="588"/>
      <c r="L415" s="588"/>
      <c r="M415" s="490"/>
      <c r="N415" s="490"/>
      <c r="O415" s="490"/>
      <c r="P415" s="490" t="s">
        <v>8632</v>
      </c>
    </row>
    <row r="416">
      <c r="A416" s="490"/>
      <c r="B416" s="490"/>
      <c r="C416" s="490"/>
      <c r="D416" s="490" t="str">
        <f>IFERROR(__xludf.DUMMYFUNCTION("""COMPUTED_VALUE"""),"LUFFT")</f>
        <v>LUFFT</v>
      </c>
      <c r="E416" s="593" t="str">
        <f>IFERROR(__xludf.DUMMYFUNCTION("""COMPUTED_VALUE"""),"B&amp;B ELECTRONICS")</f>
        <v>B&amp;B ELECTRONICS</v>
      </c>
      <c r="F416" s="593" t="str">
        <f>IFERROR(__xludf.DUMMYFUNCTION("""COMPUTED_VALUE"""),"ESW105")</f>
        <v>ESW105</v>
      </c>
      <c r="G416" s="490"/>
      <c r="H416" s="490"/>
      <c r="I416" s="490"/>
      <c r="J416" s="588"/>
      <c r="K416" s="588"/>
      <c r="L416" s="588"/>
      <c r="M416" s="490"/>
      <c r="N416" s="490"/>
      <c r="O416" s="490"/>
      <c r="P416" s="490" t="s">
        <v>8634</v>
      </c>
    </row>
    <row r="417">
      <c r="A417" s="490"/>
      <c r="B417" s="490"/>
      <c r="C417" s="490"/>
      <c r="D417" s="490" t="str">
        <f>IFERROR(__xludf.DUMMYFUNCTION("""COMPUTED_VALUE"""),"LUMICENTER")</f>
        <v>LUMICENTER</v>
      </c>
      <c r="E417" s="593" t="str">
        <f>IFERROR(__xludf.DUMMYFUNCTION("""COMPUTED_VALUE"""),"BACHARACH")</f>
        <v>BACHARACH</v>
      </c>
      <c r="F417" s="593" t="str">
        <f>IFERROR(__xludf.DUMMYFUNCTION("""COMPUTED_VALUE"""),"MGS-250")</f>
        <v>MGS-250</v>
      </c>
      <c r="G417" s="490"/>
      <c r="H417" s="490"/>
      <c r="I417" s="490"/>
      <c r="J417" s="588"/>
      <c r="K417" s="588"/>
      <c r="L417" s="588"/>
      <c r="M417" s="490"/>
      <c r="N417" s="490"/>
      <c r="O417" s="490"/>
      <c r="P417" s="490" t="s">
        <v>8636</v>
      </c>
    </row>
    <row r="418">
      <c r="A418" s="490"/>
      <c r="B418" s="490"/>
      <c r="C418" s="490"/>
      <c r="D418" s="490" t="str">
        <f>IFERROR(__xludf.DUMMYFUNCTION("""COMPUTED_VALUE"""),"LUMINI")</f>
        <v>LUMINI</v>
      </c>
      <c r="E418" s="593" t="str">
        <f>IFERROR(__xludf.DUMMYFUNCTION("""COMPUTED_VALUE"""),"BACHARACH")</f>
        <v>BACHARACH</v>
      </c>
      <c r="F418" s="593" t="str">
        <f>IFERROR(__xludf.DUMMYFUNCTION("""COMPUTED_VALUE"""),"MGS-150")</f>
        <v>MGS-150</v>
      </c>
      <c r="G418" s="490"/>
      <c r="H418" s="490"/>
      <c r="I418" s="490"/>
      <c r="J418" s="588"/>
      <c r="K418" s="588"/>
      <c r="L418" s="588"/>
      <c r="M418" s="490"/>
      <c r="N418" s="490"/>
      <c r="O418" s="490"/>
      <c r="P418" s="490" t="s">
        <v>8122</v>
      </c>
    </row>
    <row r="419">
      <c r="A419" s="490"/>
      <c r="B419" s="490"/>
      <c r="C419" s="490"/>
      <c r="D419" s="490" t="str">
        <f>IFERROR(__xludf.DUMMYFUNCTION("""COMPUTED_VALUE"""),"LUMYN GATEWAY")</f>
        <v>LUMYN GATEWAY</v>
      </c>
      <c r="E419" s="593" t="str">
        <f>IFERROR(__xludf.DUMMYFUNCTION("""COMPUTED_VALUE"""),"BACHARACH")</f>
        <v>BACHARACH</v>
      </c>
      <c r="F419" s="593" t="str">
        <f>IFERROR(__xludf.DUMMYFUNCTION("""COMPUTED_VALUE"""),"MVR-300 GAS DETECTOR")</f>
        <v>MVR-300 GAS DETECTOR</v>
      </c>
      <c r="G419" s="490"/>
      <c r="H419" s="490"/>
      <c r="I419" s="490"/>
      <c r="J419" s="588"/>
      <c r="K419" s="588"/>
      <c r="L419" s="588"/>
      <c r="M419" s="490"/>
      <c r="N419" s="490"/>
      <c r="O419" s="490"/>
      <c r="P419" s="490" t="s">
        <v>8638</v>
      </c>
    </row>
    <row r="420">
      <c r="A420" s="490"/>
      <c r="B420" s="490"/>
      <c r="C420" s="490"/>
      <c r="D420" s="490" t="str">
        <f>IFERROR(__xludf.DUMMYFUNCTION("""COMPUTED_VALUE"""),"LUTRON")</f>
        <v>LUTRON</v>
      </c>
      <c r="E420" s="593" t="str">
        <f>IFERROR(__xludf.DUMMYFUNCTION("""COMPUTED_VALUE"""),"BADGER METER")</f>
        <v>BADGER METER</v>
      </c>
      <c r="F420" s="593" t="str">
        <f>IFERROR(__xludf.DUMMYFUNCTION("""COMPUTED_VALUE"""),"MODMAG M2000")</f>
        <v>MODMAG M2000</v>
      </c>
      <c r="G420" s="490"/>
      <c r="H420" s="490"/>
      <c r="I420" s="490"/>
      <c r="J420" s="588"/>
      <c r="K420" s="588"/>
      <c r="L420" s="588"/>
      <c r="M420" s="490"/>
      <c r="N420" s="490"/>
      <c r="O420" s="490"/>
      <c r="P420" s="490" t="s">
        <v>8640</v>
      </c>
    </row>
    <row r="421">
      <c r="A421" s="490"/>
      <c r="B421" s="490"/>
      <c r="C421" s="490"/>
      <c r="D421" s="490" t="str">
        <f>IFERROR(__xludf.DUMMYFUNCTION("""COMPUTED_VALUE"""),"LUXION")</f>
        <v>LUXION</v>
      </c>
      <c r="E421" s="593" t="str">
        <f>IFERROR(__xludf.DUMMYFUNCTION("""COMPUTED_VALUE"""),"BADGER METER")</f>
        <v>BADGER METER</v>
      </c>
      <c r="F421" s="593" t="str">
        <f>IFERROR(__xludf.DUMMYFUNCTION("""COMPUTED_VALUE"""),"MODMAG M1000")</f>
        <v>MODMAG M1000</v>
      </c>
      <c r="G421" s="490"/>
      <c r="H421" s="490"/>
      <c r="I421" s="490"/>
      <c r="J421" s="588"/>
      <c r="K421" s="588"/>
      <c r="L421" s="588"/>
      <c r="M421" s="490"/>
      <c r="N421" s="490"/>
      <c r="O421" s="490"/>
      <c r="P421" s="490" t="s">
        <v>8642</v>
      </c>
    </row>
    <row r="422">
      <c r="A422" s="490"/>
      <c r="B422" s="490"/>
      <c r="C422" s="490"/>
      <c r="D422" s="490" t="str">
        <f>IFERROR(__xludf.DUMMYFUNCTION("""COMPUTED_VALUE"""),"LUXPRO")</f>
        <v>LUXPRO</v>
      </c>
      <c r="E422" s="593" t="str">
        <f>IFERROR(__xludf.DUMMYFUNCTION("""COMPUTED_VALUE"""),"BARCOL-AIR")</f>
        <v>BARCOL-AIR</v>
      </c>
      <c r="F422" s="593" t="str">
        <f>IFERROR(__xludf.DUMMYFUNCTION("""COMPUTED_VALUE"""),"CIRCULAR VAV NB TYPE")</f>
        <v>CIRCULAR VAV NB TYPE</v>
      </c>
      <c r="G422" s="490"/>
      <c r="H422" s="490"/>
      <c r="I422" s="490"/>
      <c r="J422" s="588"/>
      <c r="K422" s="588"/>
      <c r="L422" s="588"/>
      <c r="M422" s="490"/>
      <c r="N422" s="490"/>
      <c r="O422" s="490"/>
      <c r="P422" s="490" t="s">
        <v>8644</v>
      </c>
    </row>
    <row r="423">
      <c r="A423" s="490"/>
      <c r="B423" s="490"/>
      <c r="C423" s="490"/>
      <c r="D423" s="490" t="str">
        <f>IFERROR(__xludf.DUMMYFUNCTION("""COMPUTED_VALUE"""),"LUXUL")</f>
        <v>LUXUL</v>
      </c>
      <c r="E423" s="593" t="str">
        <f>IFERROR(__xludf.DUMMYFUNCTION("""COMPUTED_VALUE"""),"BARIX")</f>
        <v>BARIX</v>
      </c>
      <c r="F423" s="593" t="str">
        <f>IFERROR(__xludf.DUMMYFUNCTION("""COMPUTED_VALUE"""),"BARIONET 50")</f>
        <v>BARIONET 50</v>
      </c>
      <c r="G423" s="490"/>
      <c r="H423" s="490"/>
      <c r="I423" s="490"/>
      <c r="J423" s="588"/>
      <c r="K423" s="588"/>
      <c r="L423" s="588"/>
      <c r="M423" s="490"/>
      <c r="N423" s="490"/>
      <c r="O423" s="490"/>
      <c r="P423" s="490" t="s">
        <v>8646</v>
      </c>
    </row>
    <row r="424">
      <c r="A424" s="490"/>
      <c r="B424" s="490"/>
      <c r="C424" s="490"/>
      <c r="D424" s="490" t="str">
        <f>IFERROR(__xludf.DUMMYFUNCTION("""COMPUTED_VALUE"""),"LYNXSPRING")</f>
        <v>LYNXSPRING</v>
      </c>
      <c r="E424" s="593" t="str">
        <f>IFERROR(__xludf.DUMMYFUNCTION("""COMPUTED_VALUE"""),"BASE-LINE")</f>
        <v>BASE-LINE</v>
      </c>
      <c r="F424" s="593" t="str">
        <f>IFERROR(__xludf.DUMMYFUNCTION("""COMPUTED_VALUE"""),"AG-1000")</f>
        <v>AG-1000</v>
      </c>
      <c r="G424" s="490"/>
      <c r="H424" s="490"/>
      <c r="I424" s="490"/>
      <c r="J424" s="588"/>
      <c r="K424" s="588"/>
      <c r="L424" s="588"/>
      <c r="M424" s="490"/>
      <c r="N424" s="490"/>
      <c r="O424" s="490"/>
      <c r="P424" s="490" t="s">
        <v>8648</v>
      </c>
    </row>
    <row r="425">
      <c r="A425" s="490"/>
      <c r="B425" s="490"/>
      <c r="C425" s="490"/>
      <c r="D425" s="490" t="str">
        <f>IFERROR(__xludf.DUMMYFUNCTION("""COMPUTED_VALUE"""),"M2I CORPORATION")</f>
        <v>M2I CORPORATION</v>
      </c>
      <c r="E425" s="593" t="str">
        <f>IFERROR(__xludf.DUMMYFUNCTION("""COMPUTED_VALUE"""),"BASE-LINE")</f>
        <v>BASE-LINE</v>
      </c>
      <c r="F425" s="593" t="str">
        <f>IFERROR(__xludf.DUMMYFUNCTION("""COMPUTED_VALUE"""),"AG-3200")</f>
        <v>AG-3200</v>
      </c>
      <c r="G425" s="490"/>
      <c r="H425" s="490"/>
      <c r="I425" s="490"/>
      <c r="J425" s="588"/>
      <c r="K425" s="588"/>
      <c r="L425" s="588"/>
      <c r="M425" s="490"/>
      <c r="N425" s="490"/>
      <c r="O425" s="490"/>
      <c r="P425" s="490" t="s">
        <v>8650</v>
      </c>
    </row>
    <row r="426">
      <c r="A426" s="490"/>
      <c r="B426" s="490"/>
      <c r="C426" s="490"/>
      <c r="D426" s="490" t="str">
        <f>IFERROR(__xludf.DUMMYFUNCTION("""COMPUTED_VALUE"""),"MACURCO")</f>
        <v>MACURCO</v>
      </c>
      <c r="E426" s="593" t="str">
        <f>IFERROR(__xludf.DUMMYFUNCTION("""COMPUTED_VALUE"""),"BASE-LINE")</f>
        <v>BASE-LINE</v>
      </c>
      <c r="F426" s="593" t="str">
        <f>IFERROR(__xludf.DUMMYFUNCTION("""COMPUTED_VALUE"""),"BL-CM3G CELL MODEM")</f>
        <v>BL-CM3G CELL MODEM</v>
      </c>
      <c r="G426" s="490"/>
      <c r="H426" s="490"/>
      <c r="I426" s="490"/>
      <c r="J426" s="588"/>
      <c r="K426" s="588"/>
      <c r="L426" s="588"/>
      <c r="M426" s="490"/>
      <c r="N426" s="490"/>
      <c r="O426" s="490"/>
      <c r="P426" s="490" t="s">
        <v>8652</v>
      </c>
    </row>
    <row r="427">
      <c r="A427" s="490"/>
      <c r="B427" s="490"/>
      <c r="C427" s="490"/>
      <c r="D427" s="490" t="str">
        <f>IFERROR(__xludf.DUMMYFUNCTION("""COMPUTED_VALUE"""),"MAESTRO")</f>
        <v>MAESTRO</v>
      </c>
      <c r="E427" s="593" t="str">
        <f>IFERROR(__xludf.DUMMYFUNCTION("""COMPUTED_VALUE"""),"BASE-LINE")</f>
        <v>BASE-LINE</v>
      </c>
      <c r="F427" s="593" t="str">
        <f>IFERROR(__xludf.DUMMYFUNCTION("""COMPUTED_VALUE"""),"3200")</f>
        <v>3200</v>
      </c>
      <c r="G427" s="490"/>
      <c r="H427" s="490"/>
      <c r="I427" s="490"/>
      <c r="J427" s="588"/>
      <c r="K427" s="588"/>
      <c r="L427" s="588"/>
      <c r="M427" s="490"/>
      <c r="N427" s="490"/>
      <c r="O427" s="490"/>
      <c r="P427" s="490" t="s">
        <v>8654</v>
      </c>
    </row>
    <row r="428">
      <c r="A428" s="490"/>
      <c r="B428" s="490"/>
      <c r="C428" s="490"/>
      <c r="D428" s="490" t="str">
        <f>IFERROR(__xludf.DUMMYFUNCTION("""COMPUTED_VALUE"""),"MAGNUM")</f>
        <v>MAGNUM</v>
      </c>
      <c r="E428" s="593" t="str">
        <f>IFERROR(__xludf.DUMMYFUNCTION("""COMPUTED_VALUE"""),"BASE-LINE")</f>
        <v>BASE-LINE</v>
      </c>
      <c r="F428" s="593" t="str">
        <f>IFERROR(__xludf.DUMMYFUNCTION("""COMPUTED_VALUE"""),"3200")</f>
        <v>3200</v>
      </c>
      <c r="G428" s="490"/>
      <c r="H428" s="490"/>
      <c r="I428" s="490"/>
      <c r="J428" s="588"/>
      <c r="K428" s="588"/>
      <c r="L428" s="588"/>
      <c r="M428" s="490"/>
      <c r="N428" s="490"/>
      <c r="O428" s="490"/>
      <c r="P428" s="490" t="s">
        <v>8656</v>
      </c>
    </row>
    <row r="429">
      <c r="A429" s="490"/>
      <c r="B429" s="490"/>
      <c r="C429" s="490"/>
      <c r="D429" s="490" t="str">
        <f>IFERROR(__xludf.DUMMYFUNCTION("""COMPUTED_VALUE"""),"MAILSECURE")</f>
        <v>MAILSECURE</v>
      </c>
      <c r="E429" s="593" t="str">
        <f>IFERROR(__xludf.DUMMYFUNCTION("""COMPUTED_VALUE"""),"BAYLAN")</f>
        <v>BAYLAN</v>
      </c>
      <c r="F429" s="593" t="str">
        <f>IFERROR(__xludf.DUMMYFUNCTION("""COMPUTED_VALUE"""),"TK-2S")</f>
        <v>TK-2S</v>
      </c>
      <c r="G429" s="490"/>
      <c r="H429" s="490"/>
      <c r="I429" s="490"/>
      <c r="J429" s="588"/>
      <c r="K429" s="588"/>
      <c r="L429" s="588"/>
      <c r="M429" s="490"/>
      <c r="N429" s="490"/>
      <c r="O429" s="490"/>
      <c r="P429" s="490" t="s">
        <v>8124</v>
      </c>
    </row>
    <row r="430">
      <c r="A430" s="490"/>
      <c r="B430" s="490"/>
      <c r="C430" s="490"/>
      <c r="D430" s="490" t="str">
        <f>IFERROR(__xludf.DUMMYFUNCTION("""COMPUTED_VALUE"""),"MAPLE SYSTEMS")</f>
        <v>MAPLE SYSTEMS</v>
      </c>
      <c r="E430" s="593" t="str">
        <f>IFERROR(__xludf.DUMMYFUNCTION("""COMPUTED_VALUE"""),"BAYLAN")</f>
        <v>BAYLAN</v>
      </c>
      <c r="F430" s="593" t="str">
        <f>IFERROR(__xludf.DUMMYFUNCTION("""COMPUTED_VALUE"""),"TK-26")</f>
        <v>TK-26</v>
      </c>
      <c r="G430" s="490"/>
      <c r="H430" s="490"/>
      <c r="I430" s="490"/>
      <c r="J430" s="588"/>
      <c r="K430" s="588"/>
      <c r="L430" s="588"/>
      <c r="M430" s="490"/>
      <c r="N430" s="490"/>
      <c r="O430" s="490"/>
      <c r="P430" s="490" t="s">
        <v>8658</v>
      </c>
    </row>
    <row r="431">
      <c r="A431" s="490"/>
      <c r="B431" s="490"/>
      <c r="C431" s="490"/>
      <c r="D431" s="490" t="str">
        <f>IFERROR(__xludf.DUMMYFUNCTION("""COMPUTED_VALUE"""),"MAPRO")</f>
        <v>MAPRO</v>
      </c>
      <c r="E431" s="593" t="str">
        <f>IFERROR(__xludf.DUMMYFUNCTION("""COMPUTED_VALUE"""),"BAYLAN")</f>
        <v>BAYLAN</v>
      </c>
      <c r="F431" s="593" t="str">
        <f>IFERROR(__xludf.DUMMYFUNCTION("""COMPUTED_VALUE"""),"TK-3S")</f>
        <v>TK-3S</v>
      </c>
      <c r="G431" s="490"/>
      <c r="H431" s="490"/>
      <c r="I431" s="490"/>
      <c r="J431" s="588"/>
      <c r="K431" s="588"/>
      <c r="L431" s="588"/>
      <c r="M431" s="490"/>
      <c r="N431" s="490"/>
      <c r="O431" s="490"/>
      <c r="P431" s="490" t="s">
        <v>8660</v>
      </c>
    </row>
    <row r="432">
      <c r="A432" s="490"/>
      <c r="B432" s="490"/>
      <c r="C432" s="490"/>
      <c r="D432" s="490" t="str">
        <f>IFERROR(__xludf.DUMMYFUNCTION("""COMPUTED_VALUE"""),"MARANTZ")</f>
        <v>MARANTZ</v>
      </c>
      <c r="E432" s="593" t="str">
        <f>IFERROR(__xludf.DUMMYFUNCTION("""COMPUTED_VALUE"""),"BAYLAN")</f>
        <v>BAYLAN</v>
      </c>
      <c r="F432" s="593" t="str">
        <f>IFERROR(__xludf.DUMMYFUNCTION("""COMPUTED_VALUE"""),"TK-3C")</f>
        <v>TK-3C</v>
      </c>
      <c r="G432" s="490"/>
      <c r="H432" s="490"/>
      <c r="I432" s="490"/>
      <c r="J432" s="588"/>
      <c r="K432" s="588"/>
      <c r="L432" s="588"/>
      <c r="M432" s="490"/>
      <c r="N432" s="490"/>
      <c r="O432" s="490"/>
      <c r="P432" s="490" t="s">
        <v>8662</v>
      </c>
    </row>
    <row r="433">
      <c r="A433" s="490"/>
      <c r="B433" s="490"/>
      <c r="C433" s="490"/>
      <c r="D433" s="490" t="str">
        <f>IFERROR(__xludf.DUMMYFUNCTION("""COMPUTED_VALUE"""),"MARSHALL")</f>
        <v>MARSHALL</v>
      </c>
      <c r="E433" s="593" t="str">
        <f>IFERROR(__xludf.DUMMYFUNCTION("""COMPUTED_VALUE"""),"BB GPS RECIEVER")</f>
        <v>BB GPS RECIEVER</v>
      </c>
      <c r="F433" s="593" t="str">
        <f>IFERROR(__xludf.DUMMYFUNCTION("""COMPUTED_VALUE"""),"BB GPS RECIEVER")</f>
        <v>BB GPS RECIEVER</v>
      </c>
      <c r="G433" s="490"/>
      <c r="H433" s="490"/>
      <c r="I433" s="490"/>
      <c r="J433" s="588"/>
      <c r="K433" s="588"/>
      <c r="L433" s="588"/>
      <c r="M433" s="490"/>
      <c r="N433" s="490"/>
      <c r="O433" s="490"/>
      <c r="P433" s="490" t="s">
        <v>8664</v>
      </c>
    </row>
    <row r="434">
      <c r="A434" s="490"/>
      <c r="B434" s="490"/>
      <c r="C434" s="490"/>
      <c r="D434" s="490" t="str">
        <f>IFERROR(__xludf.DUMMYFUNCTION("""COMPUTED_VALUE"""),"MASER")</f>
        <v>MASER</v>
      </c>
      <c r="E434" s="593" t="str">
        <f>IFERROR(__xludf.DUMMYFUNCTION("""COMPUTED_VALUE"""),"BEAGLE BOARD")</f>
        <v>BEAGLE BOARD</v>
      </c>
      <c r="F434" s="593" t="str">
        <f>IFERROR(__xludf.DUMMYFUNCTION("""COMPUTED_VALUE"""),"BLACK REV C")</f>
        <v>BLACK REV C</v>
      </c>
      <c r="G434" s="490"/>
      <c r="H434" s="490"/>
      <c r="I434" s="490"/>
      <c r="J434" s="588"/>
      <c r="K434" s="588"/>
      <c r="L434" s="588"/>
      <c r="M434" s="490"/>
      <c r="N434" s="490"/>
      <c r="O434" s="490"/>
      <c r="P434" s="490" t="s">
        <v>8666</v>
      </c>
    </row>
    <row r="435">
      <c r="A435" s="490"/>
      <c r="B435" s="490"/>
      <c r="C435" s="490"/>
      <c r="D435" s="490" t="str">
        <f>IFERROR(__xludf.DUMMYFUNCTION("""COMPUTED_VALUE"""),"MATRIX")</f>
        <v>MATRIX</v>
      </c>
      <c r="E435" s="593" t="str">
        <f>IFERROR(__xludf.DUMMYFUNCTION("""COMPUTED_VALUE"""),"BEAMPRO")</f>
        <v>BEAMPRO</v>
      </c>
      <c r="F435" s="593" t="str">
        <f>IFERROR(__xludf.DUMMYFUNCTION("""COMPUTED_VALUE"""),"3200")</f>
        <v>3200</v>
      </c>
      <c r="G435" s="490"/>
      <c r="H435" s="490"/>
      <c r="I435" s="490"/>
      <c r="J435" s="588"/>
      <c r="K435" s="588"/>
      <c r="L435" s="588"/>
      <c r="M435" s="490"/>
      <c r="N435" s="490"/>
      <c r="O435" s="490"/>
      <c r="P435" s="490" t="s">
        <v>8668</v>
      </c>
    </row>
    <row r="436">
      <c r="A436" s="490"/>
      <c r="B436" s="490"/>
      <c r="C436" s="490"/>
      <c r="D436" s="490" t="str">
        <f>IFERROR(__xludf.DUMMYFUNCTION("""COMPUTED_VALUE"""),"MAXTANG")</f>
        <v>MAXTANG</v>
      </c>
      <c r="E436" s="593" t="str">
        <f>IFERROR(__xludf.DUMMYFUNCTION("""COMPUTED_VALUE"""),"BECKHOFF")</f>
        <v>BECKHOFF</v>
      </c>
      <c r="F436" s="593" t="str">
        <f>IFERROR(__xludf.DUMMYFUNCTION("""COMPUTED_VALUE"""),"CX5120-0115")</f>
        <v>CX5120-0115</v>
      </c>
      <c r="G436" s="490"/>
      <c r="H436" s="490"/>
      <c r="I436" s="490"/>
      <c r="J436" s="588"/>
      <c r="K436" s="588"/>
      <c r="L436" s="588"/>
      <c r="M436" s="490"/>
      <c r="N436" s="490"/>
      <c r="O436" s="490"/>
      <c r="P436" s="490" t="s">
        <v>8670</v>
      </c>
    </row>
    <row r="437">
      <c r="A437" s="490"/>
      <c r="B437" s="490"/>
      <c r="C437" s="490"/>
      <c r="D437" s="490" t="str">
        <f>IFERROR(__xludf.DUMMYFUNCTION("""COMPUTED_VALUE"""),"MAZZER")</f>
        <v>MAZZER</v>
      </c>
      <c r="E437" s="593" t="str">
        <f>IFERROR(__xludf.DUMMYFUNCTION("""COMPUTED_VALUE"""),"BECKHOFF")</f>
        <v>BECKHOFF</v>
      </c>
      <c r="F437" s="593" t="str">
        <f>IFERROR(__xludf.DUMMYFUNCTION("""COMPUTED_VALUE"""),"CP3918-0000")</f>
        <v>CP3918-0000</v>
      </c>
      <c r="G437" s="490"/>
      <c r="H437" s="490"/>
      <c r="I437" s="490"/>
      <c r="J437" s="588"/>
      <c r="K437" s="588"/>
      <c r="L437" s="588"/>
      <c r="M437" s="490"/>
      <c r="N437" s="490"/>
      <c r="O437" s="490"/>
      <c r="P437" s="490" t="s">
        <v>8672</v>
      </c>
    </row>
    <row r="438">
      <c r="A438" s="490"/>
      <c r="B438" s="490"/>
      <c r="C438" s="490"/>
      <c r="D438" s="490" t="str">
        <f>IFERROR(__xludf.DUMMYFUNCTION("""COMPUTED_VALUE"""),"MBOX")</f>
        <v>MBOX</v>
      </c>
      <c r="E438" s="593" t="str">
        <f>IFERROR(__xludf.DUMMYFUNCTION("""COMPUTED_VALUE"""),"BECKHOFF")</f>
        <v>BECKHOFF</v>
      </c>
      <c r="F438" s="593" t="str">
        <f>IFERROR(__xludf.DUMMYFUNCTION("""COMPUTED_VALUE"""),"CP3918-0000")</f>
        <v>CP3918-0000</v>
      </c>
      <c r="G438" s="490"/>
      <c r="H438" s="490"/>
      <c r="I438" s="490"/>
      <c r="J438" s="588"/>
      <c r="K438" s="588"/>
      <c r="L438" s="588"/>
      <c r="M438" s="490"/>
      <c r="N438" s="490"/>
      <c r="O438" s="490"/>
      <c r="P438" s="490" t="s">
        <v>8674</v>
      </c>
    </row>
    <row r="439">
      <c r="A439" s="490"/>
      <c r="B439" s="490"/>
      <c r="C439" s="490"/>
      <c r="D439" s="490" t="str">
        <f>IFERROR(__xludf.DUMMYFUNCTION("""COMPUTED_VALUE"""),"MBS GMBH")</f>
        <v>MBS GMBH</v>
      </c>
      <c r="E439" s="593" t="str">
        <f>IFERROR(__xludf.DUMMYFUNCTION("""COMPUTED_VALUE"""),"BECKHOFF")</f>
        <v>BECKHOFF</v>
      </c>
      <c r="F439" s="593" t="str">
        <f>IFERROR(__xludf.DUMMYFUNCTION("""COMPUTED_VALUE"""),"C6920-0050")</f>
        <v>C6920-0050</v>
      </c>
      <c r="G439" s="490"/>
      <c r="H439" s="490"/>
      <c r="I439" s="490"/>
      <c r="J439" s="588"/>
      <c r="K439" s="588"/>
      <c r="L439" s="588"/>
      <c r="M439" s="490"/>
      <c r="N439" s="490"/>
      <c r="O439" s="490"/>
      <c r="P439" s="490" t="s">
        <v>8676</v>
      </c>
    </row>
    <row r="440">
      <c r="A440" s="490"/>
      <c r="B440" s="490"/>
      <c r="C440" s="490"/>
      <c r="D440" s="490" t="str">
        <f>IFERROR(__xludf.DUMMYFUNCTION("""COMPUTED_VALUE"""),"MCS")</f>
        <v>MCS</v>
      </c>
      <c r="E440" s="593" t="str">
        <f>IFERROR(__xludf.DUMMYFUNCTION("""COMPUTED_VALUE"""),"BECKHOFF")</f>
        <v>BECKHOFF</v>
      </c>
      <c r="F440" s="593" t="str">
        <f>IFERROR(__xludf.DUMMYFUNCTION("""COMPUTED_VALUE"""),"C6920-0050")</f>
        <v>C6920-0050</v>
      </c>
      <c r="G440" s="490"/>
      <c r="H440" s="490"/>
      <c r="I440" s="490"/>
      <c r="J440" s="588"/>
      <c r="K440" s="588"/>
      <c r="L440" s="588"/>
      <c r="M440" s="490"/>
      <c r="N440" s="490"/>
      <c r="O440" s="490"/>
      <c r="P440" s="490" t="s">
        <v>8126</v>
      </c>
    </row>
    <row r="441">
      <c r="A441" s="490"/>
      <c r="B441" s="490"/>
      <c r="C441" s="490"/>
      <c r="D441" s="490" t="str">
        <f>IFERROR(__xludf.DUMMYFUNCTION("""COMPUTED_VALUE"""),"MECHOSHADE")</f>
        <v>MECHOSHADE</v>
      </c>
      <c r="E441" s="593" t="str">
        <f>IFERROR(__xludf.DUMMYFUNCTION("""COMPUTED_VALUE"""),"BECKHOFF")</f>
        <v>BECKHOFF</v>
      </c>
      <c r="F441" s="593" t="str">
        <f>IFERROR(__xludf.DUMMYFUNCTION("""COMPUTED_VALUE"""),"CX8091")</f>
        <v>CX8091</v>
      </c>
      <c r="G441" s="490"/>
      <c r="H441" s="490"/>
      <c r="I441" s="490"/>
      <c r="J441" s="588"/>
      <c r="K441" s="588"/>
      <c r="L441" s="588"/>
      <c r="M441" s="490"/>
      <c r="N441" s="490"/>
      <c r="O441" s="490"/>
      <c r="P441" s="490" t="s">
        <v>8678</v>
      </c>
    </row>
    <row r="442">
      <c r="A442" s="490"/>
      <c r="B442" s="490"/>
      <c r="C442" s="490"/>
      <c r="D442" s="490" t="str">
        <f>IFERROR(__xludf.DUMMYFUNCTION("""COMPUTED_VALUE"""),"MEGSINE")</f>
        <v>MEGSINE</v>
      </c>
      <c r="E442" s="593" t="str">
        <f>IFERROR(__xludf.DUMMYFUNCTION("""COMPUTED_VALUE"""),"BECKHOFF")</f>
        <v>BECKHOFF</v>
      </c>
      <c r="F442" s="593" t="str">
        <f>IFERROR(__xludf.DUMMYFUNCTION("""COMPUTED_VALUE"""),"CX8091")</f>
        <v>CX8091</v>
      </c>
      <c r="G442" s="490"/>
      <c r="H442" s="490"/>
      <c r="I442" s="490"/>
      <c r="J442" s="588"/>
      <c r="K442" s="588"/>
      <c r="L442" s="588"/>
      <c r="M442" s="490"/>
      <c r="N442" s="490"/>
      <c r="O442" s="490"/>
      <c r="P442" s="490" t="s">
        <v>8680</v>
      </c>
    </row>
    <row r="443">
      <c r="A443" s="490"/>
      <c r="B443" s="490"/>
      <c r="C443" s="490"/>
      <c r="D443" s="490" t="str">
        <f>IFERROR(__xludf.DUMMYFUNCTION("""COMPUTED_VALUE"""),"MELINK")</f>
        <v>MELINK</v>
      </c>
      <c r="E443" s="593" t="str">
        <f>IFERROR(__xludf.DUMMYFUNCTION("""COMPUTED_VALUE"""),"BECKHOFF")</f>
        <v>BECKHOFF</v>
      </c>
      <c r="F443" s="593" t="str">
        <f>IFERROR(__xludf.DUMMYFUNCTION("""COMPUTED_VALUE"""),"CU8801-0000")</f>
        <v>CU8801-0000</v>
      </c>
      <c r="G443" s="490"/>
      <c r="H443" s="490"/>
      <c r="I443" s="490"/>
      <c r="J443" s="588"/>
      <c r="K443" s="588"/>
      <c r="L443" s="588"/>
      <c r="M443" s="490"/>
      <c r="N443" s="490"/>
      <c r="O443" s="490"/>
      <c r="P443" s="490" t="s">
        <v>8682</v>
      </c>
    </row>
    <row r="444">
      <c r="A444" s="490"/>
      <c r="B444" s="490"/>
      <c r="C444" s="490"/>
      <c r="D444" s="490" t="str">
        <f>IFERROR(__xludf.DUMMYFUNCTION("""COMPUTED_VALUE"""),"MELITTA")</f>
        <v>MELITTA</v>
      </c>
      <c r="E444" s="593" t="str">
        <f>IFERROR(__xludf.DUMMYFUNCTION("""COMPUTED_VALUE"""),"BECKHOFF")</f>
        <v>BECKHOFF</v>
      </c>
      <c r="F444" s="593" t="str">
        <f>IFERROR(__xludf.DUMMYFUNCTION("""COMPUTED_VALUE"""),"CU8801-0000")</f>
        <v>CU8801-0000</v>
      </c>
      <c r="G444" s="490"/>
      <c r="H444" s="490"/>
      <c r="I444" s="490"/>
      <c r="J444" s="588"/>
      <c r="K444" s="588"/>
      <c r="L444" s="588"/>
      <c r="M444" s="490"/>
      <c r="N444" s="490"/>
      <c r="O444" s="490"/>
      <c r="P444" s="490" t="s">
        <v>8684</v>
      </c>
    </row>
    <row r="445">
      <c r="A445" s="490"/>
      <c r="B445" s="490"/>
      <c r="C445" s="490"/>
      <c r="D445" s="490" t="str">
        <f>IFERROR(__xludf.DUMMYFUNCTION("""COMPUTED_VALUE"""),"MERCATOR")</f>
        <v>MERCATOR</v>
      </c>
      <c r="E445" s="593" t="str">
        <f>IFERROR(__xludf.DUMMYFUNCTION("""COMPUTED_VALUE"""),"BECKHOFF")</f>
        <v>BECKHOFF</v>
      </c>
      <c r="F445" s="593" t="str">
        <f>IFERROR(__xludf.DUMMYFUNCTION("""COMPUTED_VALUE"""),"BK9100")</f>
        <v>BK9100</v>
      </c>
      <c r="G445" s="490"/>
      <c r="H445" s="490"/>
      <c r="I445" s="490"/>
      <c r="J445" s="588"/>
      <c r="K445" s="588"/>
      <c r="L445" s="588"/>
      <c r="M445" s="490"/>
      <c r="N445" s="490"/>
      <c r="O445" s="490"/>
      <c r="P445" s="490" t="s">
        <v>8686</v>
      </c>
    </row>
    <row r="446">
      <c r="A446" s="490"/>
      <c r="B446" s="490"/>
      <c r="C446" s="490"/>
      <c r="D446" s="490" t="str">
        <f>IFERROR(__xludf.DUMMYFUNCTION("""COMPUTED_VALUE"""),"MERCURY")</f>
        <v>MERCURY</v>
      </c>
      <c r="E446" s="593" t="str">
        <f>IFERROR(__xludf.DUMMYFUNCTION("""COMPUTED_VALUE"""),"BECKHOFF")</f>
        <v>BECKHOFF</v>
      </c>
      <c r="F446" s="593" t="str">
        <f>IFERROR(__xludf.DUMMYFUNCTION("""COMPUTED_VALUE"""),"BK9100")</f>
        <v>BK9100</v>
      </c>
      <c r="G446" s="490"/>
      <c r="H446" s="490"/>
      <c r="I446" s="490"/>
      <c r="J446" s="588"/>
      <c r="K446" s="588"/>
      <c r="L446" s="588"/>
      <c r="M446" s="490"/>
      <c r="N446" s="490"/>
      <c r="O446" s="490"/>
      <c r="P446" s="490" t="s">
        <v>8688</v>
      </c>
    </row>
    <row r="447">
      <c r="A447" s="490"/>
      <c r="B447" s="490"/>
      <c r="C447" s="490"/>
      <c r="D447" s="490" t="str">
        <f>IFERROR(__xludf.DUMMYFUNCTION("""COMPUTED_VALUE"""),"MERTEN")</f>
        <v>MERTEN</v>
      </c>
      <c r="E447" s="593" t="str">
        <f>IFERROR(__xludf.DUMMYFUNCTION("""COMPUTED_VALUE"""),"BECKHOFF")</f>
        <v>BECKHOFF</v>
      </c>
      <c r="F447" s="593" t="str">
        <f>IFERROR(__xludf.DUMMYFUNCTION("""COMPUTED_VALUE"""),"CU2008")</f>
        <v>CU2008</v>
      </c>
      <c r="G447" s="490"/>
      <c r="H447" s="490"/>
      <c r="I447" s="490"/>
      <c r="J447" s="588"/>
      <c r="K447" s="588"/>
      <c r="L447" s="588"/>
      <c r="M447" s="490"/>
      <c r="N447" s="490"/>
      <c r="O447" s="490"/>
      <c r="P447" s="490" t="s">
        <v>8690</v>
      </c>
    </row>
    <row r="448">
      <c r="A448" s="490"/>
      <c r="B448" s="490"/>
      <c r="C448" s="490"/>
      <c r="D448" s="490" t="str">
        <f>IFERROR(__xludf.DUMMYFUNCTION("""COMPUTED_VALUE"""),"META")</f>
        <v>META</v>
      </c>
      <c r="E448" s="593" t="str">
        <f>IFERROR(__xludf.DUMMYFUNCTION("""COMPUTED_VALUE"""),"BECKHOFF")</f>
        <v>BECKHOFF</v>
      </c>
      <c r="F448" s="593" t="str">
        <f>IFERROR(__xludf.DUMMYFUNCTION("""COMPUTED_VALUE"""),"CU2008")</f>
        <v>CU2008</v>
      </c>
      <c r="G448" s="490"/>
      <c r="H448" s="490"/>
      <c r="I448" s="490"/>
      <c r="J448" s="588"/>
      <c r="K448" s="588"/>
      <c r="L448" s="588"/>
      <c r="M448" s="490"/>
      <c r="N448" s="490"/>
      <c r="O448" s="490"/>
      <c r="P448" s="490" t="s">
        <v>8692</v>
      </c>
    </row>
    <row r="449">
      <c r="A449" s="490"/>
      <c r="B449" s="490"/>
      <c r="C449" s="490"/>
      <c r="D449" s="490" t="str">
        <f>IFERROR(__xludf.DUMMYFUNCTION("""COMPUTED_VALUE"""),"METOS")</f>
        <v>METOS</v>
      </c>
      <c r="E449" s="593" t="str">
        <f>IFERROR(__xludf.DUMMYFUNCTION("""COMPUTED_VALUE"""),"BEGHELLI")</f>
        <v>BEGHELLI</v>
      </c>
      <c r="F449" s="593" t="str">
        <f>IFERROR(__xludf.DUMMYFUNCTION("""COMPUTED_VALUE"""),"LOGICA S")</f>
        <v>LOGICA S</v>
      </c>
      <c r="G449" s="490"/>
      <c r="H449" s="490"/>
      <c r="I449" s="490"/>
      <c r="J449" s="588"/>
      <c r="K449" s="588"/>
      <c r="L449" s="588"/>
      <c r="M449" s="490"/>
      <c r="N449" s="490"/>
      <c r="O449" s="490"/>
      <c r="P449" s="490" t="s">
        <v>8694</v>
      </c>
    </row>
    <row r="450">
      <c r="A450" s="490"/>
      <c r="B450" s="490"/>
      <c r="C450" s="490"/>
      <c r="D450" s="490" t="str">
        <f>IFERROR(__xludf.DUMMYFUNCTION("""COMPUTED_VALUE"""),"METRASENS")</f>
        <v>METRASENS</v>
      </c>
      <c r="E450" s="593" t="str">
        <f>IFERROR(__xludf.DUMMYFUNCTION("""COMPUTED_VALUE"""),"BELIMO")</f>
        <v>BELIMO</v>
      </c>
      <c r="F450" s="593" t="str">
        <f>IFERROR(__xludf.DUMMYFUNCTION("""COMPUTED_VALUE"""),"EV-15R-BAC")</f>
        <v>EV-15R-BAC</v>
      </c>
      <c r="G450" s="490"/>
      <c r="H450" s="490"/>
      <c r="I450" s="490"/>
      <c r="J450" s="588"/>
      <c r="K450" s="588"/>
      <c r="L450" s="588"/>
      <c r="M450" s="490"/>
      <c r="N450" s="490"/>
      <c r="O450" s="490"/>
      <c r="P450" s="490" t="s">
        <v>8696</v>
      </c>
    </row>
    <row r="451">
      <c r="A451" s="490"/>
      <c r="B451" s="490"/>
      <c r="C451" s="490"/>
      <c r="D451" s="490" t="str">
        <f>IFERROR(__xludf.DUMMYFUNCTION("""COMPUTED_VALUE"""),"MGE")</f>
        <v>MGE</v>
      </c>
      <c r="E451" s="593" t="str">
        <f>IFERROR(__xludf.DUMMYFUNCTION("""COMPUTED_VALUE"""),"BELIMO")</f>
        <v>BELIMO</v>
      </c>
      <c r="F451" s="593" t="str">
        <f>IFERROR(__xludf.DUMMYFUNCTION("""COMPUTED_VALUE"""),"EV015R+BAC")</f>
        <v>EV015R+BAC</v>
      </c>
      <c r="G451" s="490"/>
      <c r="H451" s="490"/>
      <c r="I451" s="490"/>
      <c r="J451" s="588"/>
      <c r="K451" s="588"/>
      <c r="L451" s="588"/>
      <c r="M451" s="490"/>
      <c r="N451" s="490"/>
      <c r="O451" s="490"/>
      <c r="P451" s="490" t="s">
        <v>8128</v>
      </c>
    </row>
    <row r="452">
      <c r="A452" s="490"/>
      <c r="B452" s="490"/>
      <c r="C452" s="490"/>
      <c r="D452" s="490" t="str">
        <f>IFERROR(__xludf.DUMMYFUNCTION("""COMPUTED_VALUE"""),"MICRO STAR")</f>
        <v>MICRO STAR</v>
      </c>
      <c r="E452" s="593" t="str">
        <f>IFERROR(__xludf.DUMMYFUNCTION("""COMPUTED_VALUE"""),"BELIMO")</f>
        <v>BELIMO</v>
      </c>
      <c r="F452" s="593" t="str">
        <f>IFERROR(__xludf.DUMMYFUNCTION("""COMPUTED_VALUE"""),"EV025R+BAC")</f>
        <v>EV025R+BAC</v>
      </c>
      <c r="G452" s="490"/>
      <c r="H452" s="490"/>
      <c r="I452" s="490"/>
      <c r="J452" s="588"/>
      <c r="K452" s="588"/>
      <c r="L452" s="588"/>
      <c r="M452" s="490"/>
      <c r="N452" s="490"/>
      <c r="O452" s="490"/>
      <c r="P452" s="490" t="s">
        <v>8698</v>
      </c>
    </row>
    <row r="453">
      <c r="A453" s="490"/>
      <c r="B453" s="490"/>
      <c r="C453" s="490"/>
      <c r="D453" s="490" t="str">
        <f>IFERROR(__xludf.DUMMYFUNCTION("""COMPUTED_VALUE"""),"MICROS SYSTEMS")</f>
        <v>MICROS SYSTEMS</v>
      </c>
      <c r="E453" s="593" t="str">
        <f>IFERROR(__xludf.DUMMYFUNCTION("""COMPUTED_VALUE"""),"BELIMO")</f>
        <v>BELIMO</v>
      </c>
      <c r="F453" s="593" t="str">
        <f>IFERROR(__xludf.DUMMYFUNCTION("""COMPUTED_VALUE"""),"EV050R+BAC")</f>
        <v>EV050R+BAC</v>
      </c>
      <c r="G453" s="490"/>
      <c r="H453" s="490"/>
      <c r="I453" s="490"/>
      <c r="J453" s="588"/>
      <c r="K453" s="588"/>
      <c r="L453" s="588"/>
      <c r="M453" s="490"/>
      <c r="N453" s="490"/>
      <c r="O453" s="490"/>
      <c r="P453" s="490" t="s">
        <v>8700</v>
      </c>
    </row>
    <row r="454">
      <c r="A454" s="490"/>
      <c r="B454" s="490"/>
      <c r="C454" s="490"/>
      <c r="D454" s="490" t="str">
        <f>IFERROR(__xludf.DUMMYFUNCTION("""COMPUTED_VALUE"""),"MICROSOFT")</f>
        <v>MICROSOFT</v>
      </c>
      <c r="E454" s="593" t="str">
        <f>IFERROR(__xludf.DUMMYFUNCTION("""COMPUTED_VALUE"""),"BELIMO")</f>
        <v>BELIMO</v>
      </c>
      <c r="F454" s="593" t="str">
        <f>IFERROR(__xludf.DUMMYFUNCTION("""COMPUTED_VALUE"""),"EVO32R BAC")</f>
        <v>EVO32R BAC</v>
      </c>
      <c r="G454" s="490"/>
      <c r="H454" s="490"/>
      <c r="I454" s="490"/>
      <c r="J454" s="588"/>
      <c r="K454" s="588"/>
      <c r="L454" s="588"/>
      <c r="M454" s="490"/>
      <c r="N454" s="490"/>
      <c r="O454" s="490"/>
      <c r="P454" s="490" t="s">
        <v>8702</v>
      </c>
    </row>
    <row r="455">
      <c r="A455" s="490"/>
      <c r="B455" s="490"/>
      <c r="C455" s="490"/>
      <c r="D455" s="490" t="str">
        <f>IFERROR(__xludf.DUMMYFUNCTION("""COMPUTED_VALUE"""),"MICROTIK")</f>
        <v>MICROTIK</v>
      </c>
      <c r="E455" s="593" t="str">
        <f>IFERROR(__xludf.DUMMYFUNCTION("""COMPUTED_VALUE"""),"BELIMO")</f>
        <v>BELIMO</v>
      </c>
      <c r="F455" s="593" t="str">
        <f>IFERROR(__xludf.DUMMYFUNCTION("""COMPUTED_VALUE"""),"VRUD3BAC")</f>
        <v>VRUD3BAC</v>
      </c>
      <c r="G455" s="490"/>
      <c r="H455" s="490"/>
      <c r="I455" s="490"/>
      <c r="J455" s="588"/>
      <c r="K455" s="588"/>
      <c r="L455" s="588"/>
      <c r="M455" s="490"/>
      <c r="N455" s="490"/>
      <c r="O455" s="490"/>
      <c r="P455" s="490" t="s">
        <v>8704</v>
      </c>
    </row>
    <row r="456">
      <c r="A456" s="490"/>
      <c r="B456" s="490"/>
      <c r="C456" s="490"/>
      <c r="D456" s="490" t="str">
        <f>IFERROR(__xludf.DUMMYFUNCTION("""COMPUTED_VALUE"""),"MICROTOUCH")</f>
        <v>MICROTOUCH</v>
      </c>
      <c r="E456" s="593" t="str">
        <f>IFERROR(__xludf.DUMMYFUNCTION("""COMPUTED_VALUE"""),"BELIMO")</f>
        <v>BELIMO</v>
      </c>
      <c r="F456" s="593" t="str">
        <f>IFERROR(__xludf.DUMMYFUNCTION("""COMPUTED_VALUE"""),"VRUD3BAC")</f>
        <v>VRUD3BAC</v>
      </c>
      <c r="G456" s="490"/>
      <c r="H456" s="490"/>
      <c r="I456" s="490"/>
      <c r="J456" s="588"/>
      <c r="K456" s="588"/>
      <c r="L456" s="588"/>
      <c r="M456" s="490"/>
      <c r="N456" s="490"/>
      <c r="O456" s="490"/>
      <c r="P456" s="490" t="s">
        <v>8706</v>
      </c>
    </row>
    <row r="457">
      <c r="A457" s="490"/>
      <c r="B457" s="490"/>
      <c r="C457" s="490"/>
      <c r="D457" s="490" t="str">
        <f>IFERROR(__xludf.DUMMYFUNCTION("""COMPUTED_VALUE"""),"MIDEA")</f>
        <v>MIDEA</v>
      </c>
      <c r="E457" s="593" t="str">
        <f>IFERROR(__xludf.DUMMYFUNCTION("""COMPUTED_VALUE"""),"BELIMO")</f>
        <v>BELIMO</v>
      </c>
      <c r="F457" s="593" t="str">
        <f>IFERROR(__xludf.DUMMYFUNCTION("""COMPUTED_VALUE"""),"22PE-1UG")</f>
        <v>22PE-1UG</v>
      </c>
      <c r="G457" s="490"/>
      <c r="H457" s="490"/>
      <c r="I457" s="490"/>
      <c r="J457" s="588"/>
      <c r="K457" s="588"/>
      <c r="L457" s="588"/>
      <c r="M457" s="490"/>
      <c r="N457" s="490"/>
      <c r="O457" s="490"/>
      <c r="P457" s="490" t="s">
        <v>8708</v>
      </c>
    </row>
    <row r="458">
      <c r="A458" s="490"/>
      <c r="B458" s="490"/>
      <c r="C458" s="490"/>
      <c r="D458" s="490" t="str">
        <f>IFERROR(__xludf.DUMMYFUNCTION("""COMPUTED_VALUE"""),"MIKRO")</f>
        <v>MIKRO</v>
      </c>
      <c r="E458" s="593" t="str">
        <f>IFERROR(__xludf.DUMMYFUNCTION("""COMPUTED_VALUE"""),"BELIMO")</f>
        <v>BELIMO</v>
      </c>
      <c r="F458" s="593" t="str">
        <f>IFERROR(__xludf.DUMMYFUNCTION("""COMPUTED_VALUE"""),"22PE-1UF")</f>
        <v>22PE-1UF</v>
      </c>
      <c r="G458" s="490"/>
      <c r="H458" s="490"/>
      <c r="I458" s="490"/>
      <c r="J458" s="588"/>
      <c r="K458" s="588"/>
      <c r="L458" s="588"/>
      <c r="M458" s="490"/>
      <c r="N458" s="490"/>
      <c r="O458" s="490"/>
      <c r="P458" s="490" t="s">
        <v>8710</v>
      </c>
    </row>
    <row r="459">
      <c r="A459" s="490"/>
      <c r="B459" s="490"/>
      <c r="C459" s="490"/>
      <c r="D459" s="490" t="str">
        <f>IFERROR(__xludf.DUMMYFUNCTION("""COMPUTED_VALUE"""),"MIMO")</f>
        <v>MIMO</v>
      </c>
      <c r="E459" s="593" t="str">
        <f>IFERROR(__xludf.DUMMYFUNCTION("""COMPUTED_VALUE"""),"BELIMO")</f>
        <v>BELIMO</v>
      </c>
      <c r="F459" s="593" t="str">
        <f>IFERROR(__xludf.DUMMYFUNCTION("""COMPUTED_VALUE"""),"6-WAY EPIV")</f>
        <v>6-WAY EPIV</v>
      </c>
      <c r="G459" s="490"/>
      <c r="H459" s="490"/>
      <c r="I459" s="490"/>
      <c r="J459" s="588"/>
      <c r="K459" s="588"/>
      <c r="L459" s="588"/>
      <c r="M459" s="490"/>
      <c r="N459" s="490"/>
      <c r="O459" s="490"/>
      <c r="P459" s="490" t="s">
        <v>8712</v>
      </c>
    </row>
    <row r="460">
      <c r="A460" s="490"/>
      <c r="B460" s="490"/>
      <c r="C460" s="490"/>
      <c r="D460" s="490" t="str">
        <f>IFERROR(__xludf.DUMMYFUNCTION("""COMPUTED_VALUE"""),"MINIX")</f>
        <v>MINIX</v>
      </c>
      <c r="E460" s="593" t="str">
        <f>IFERROR(__xludf.DUMMYFUNCTION("""COMPUTED_VALUE"""),"BELIMO")</f>
        <v>BELIMO</v>
      </c>
      <c r="F460" s="593" t="str">
        <f>IFERROR(__xludf.DUMMYFUNCTION("""COMPUTED_VALUE"""),"LMV-BAC-001")</f>
        <v>LMV-BAC-001</v>
      </c>
      <c r="G460" s="490"/>
      <c r="H460" s="490"/>
      <c r="I460" s="490"/>
      <c r="J460" s="588"/>
      <c r="K460" s="588"/>
      <c r="L460" s="588"/>
      <c r="M460" s="490"/>
      <c r="N460" s="490"/>
      <c r="O460" s="490"/>
      <c r="P460" s="490" t="s">
        <v>8714</v>
      </c>
    </row>
    <row r="461">
      <c r="A461" s="490"/>
      <c r="B461" s="490"/>
      <c r="C461" s="490"/>
      <c r="D461" s="490" t="str">
        <f>IFERROR(__xludf.DUMMYFUNCTION("""COMPUTED_VALUE"""),"MINUTEMAN")</f>
        <v>MINUTEMAN</v>
      </c>
      <c r="E461" s="593" t="str">
        <f>IFERROR(__xludf.DUMMYFUNCTION("""COMPUTED_VALUE"""),"BELIMO")</f>
        <v>BELIMO</v>
      </c>
      <c r="F461" s="593" t="str">
        <f>IFERROR(__xludf.DUMMYFUNCTION("""COMPUTED_VALUE"""),"EV-BAC")</f>
        <v>EV-BAC</v>
      </c>
      <c r="G461" s="490"/>
      <c r="H461" s="490"/>
      <c r="I461" s="490"/>
      <c r="J461" s="588"/>
      <c r="K461" s="588"/>
      <c r="L461" s="588"/>
      <c r="M461" s="490"/>
      <c r="N461" s="490"/>
      <c r="O461" s="490"/>
      <c r="P461" s="490" t="s">
        <v>8716</v>
      </c>
    </row>
    <row r="462">
      <c r="A462" s="490"/>
      <c r="B462" s="490"/>
      <c r="C462" s="490"/>
      <c r="D462" s="490" t="str">
        <f>IFERROR(__xludf.DUMMYFUNCTION("""COMPUTED_VALUE"""),"MIST")</f>
        <v>MIST</v>
      </c>
      <c r="E462" s="593" t="str">
        <f>IFERROR(__xludf.DUMMYFUNCTION("""COMPUTED_VALUE"""),"BELIMO")</f>
        <v>BELIMO</v>
      </c>
      <c r="F462" s="593" t="str">
        <f>IFERROR(__xludf.DUMMYFUNCTION("""COMPUTED_VALUE"""),"DAMPER ACTUATOR")</f>
        <v>DAMPER ACTUATOR</v>
      </c>
      <c r="G462" s="490"/>
      <c r="H462" s="490"/>
      <c r="I462" s="490"/>
      <c r="J462" s="588"/>
      <c r="K462" s="588"/>
      <c r="L462" s="588"/>
      <c r="M462" s="490"/>
      <c r="N462" s="490"/>
      <c r="O462" s="490"/>
      <c r="P462" s="490" t="s">
        <v>8130</v>
      </c>
    </row>
    <row r="463">
      <c r="A463" s="490"/>
      <c r="B463" s="490"/>
      <c r="C463" s="490"/>
      <c r="D463" s="490" t="str">
        <f>IFERROR(__xludf.DUMMYFUNCTION("""COMPUTED_VALUE"""),"MITSUBISHI")</f>
        <v>MITSUBISHI</v>
      </c>
      <c r="E463" s="593" t="str">
        <f>IFERROR(__xludf.DUMMYFUNCTION("""COMPUTED_VALUE"""),"BELIMO")</f>
        <v>BELIMO</v>
      </c>
      <c r="F463" s="593" t="str">
        <f>IFERROR(__xludf.DUMMYFUNCTION("""COMPUTED_VALUE"""),"ENERGY VALVE")</f>
        <v>ENERGY VALVE</v>
      </c>
      <c r="G463" s="490"/>
      <c r="H463" s="490"/>
      <c r="I463" s="490"/>
      <c r="J463" s="588"/>
      <c r="K463" s="588"/>
      <c r="L463" s="588"/>
      <c r="M463" s="490"/>
      <c r="N463" s="490"/>
      <c r="O463" s="490"/>
      <c r="P463" s="490" t="s">
        <v>8718</v>
      </c>
    </row>
    <row r="464">
      <c r="A464" s="490"/>
      <c r="B464" s="490"/>
      <c r="C464" s="490"/>
      <c r="D464" s="490" t="str">
        <f>IFERROR(__xludf.DUMMYFUNCTION("""COMPUTED_VALUE"""),"MITSUBISHI ELECTRIC")</f>
        <v>MITSUBISHI ELECTRIC</v>
      </c>
      <c r="E464" s="593" t="str">
        <f>IFERROR(__xludf.DUMMYFUNCTION("""COMPUTED_VALUE"""),"BELIMO")</f>
        <v>BELIMO</v>
      </c>
      <c r="F464" s="593" t="str">
        <f>IFERROR(__xludf.DUMMYFUNCTION("""COMPUTED_VALUE"""),"CQ24-BAC")</f>
        <v>CQ24-BAC</v>
      </c>
      <c r="G464" s="490"/>
      <c r="H464" s="490"/>
      <c r="I464" s="490"/>
      <c r="J464" s="588"/>
      <c r="K464" s="588"/>
      <c r="L464" s="588"/>
      <c r="M464" s="490"/>
      <c r="N464" s="490"/>
      <c r="O464" s="490"/>
      <c r="P464" s="490" t="s">
        <v>8720</v>
      </c>
    </row>
    <row r="465">
      <c r="A465" s="490"/>
      <c r="B465" s="490"/>
      <c r="C465" s="490"/>
      <c r="D465" s="490" t="str">
        <f>IFERROR(__xludf.DUMMYFUNCTION("""COMPUTED_VALUE"""),"MITSUBUSHI")</f>
        <v>MITSUBUSHI</v>
      </c>
      <c r="E465" s="593" t="str">
        <f>IFERROR(__xludf.DUMMYFUNCTION("""COMPUTED_VALUE"""),"BEVI")</f>
        <v>BEVI</v>
      </c>
      <c r="F465" s="593" t="str">
        <f>IFERROR(__xludf.DUMMYFUNCTION("""COMPUTED_VALUE"""),"STANDUP_V1.5")</f>
        <v>STANDUP_V1.5</v>
      </c>
      <c r="G465" s="490"/>
      <c r="H465" s="490"/>
      <c r="I465" s="490"/>
      <c r="J465" s="588"/>
      <c r="K465" s="588"/>
      <c r="L465" s="588"/>
      <c r="M465" s="490"/>
      <c r="N465" s="490"/>
      <c r="O465" s="490"/>
      <c r="P465" s="490" t="s">
        <v>8722</v>
      </c>
    </row>
    <row r="466">
      <c r="A466" s="490"/>
      <c r="B466" s="490"/>
      <c r="C466" s="490"/>
      <c r="D466" s="490" t="str">
        <f>IFERROR(__xludf.DUMMYFUNCTION("""COMPUTED_VALUE"""),"MIWA")</f>
        <v>MIWA</v>
      </c>
      <c r="E466" s="593" t="str">
        <f>IFERROR(__xludf.DUMMYFUNCTION("""COMPUTED_VALUE"""),"BEVI")</f>
        <v>BEVI</v>
      </c>
      <c r="F466" s="593" t="str">
        <f>IFERROR(__xludf.DUMMYFUNCTION("""COMPUTED_VALUE"""),"COUNTERTOP")</f>
        <v>COUNTERTOP</v>
      </c>
      <c r="G466" s="490"/>
      <c r="H466" s="490"/>
      <c r="I466" s="490"/>
      <c r="J466" s="588"/>
      <c r="K466" s="588"/>
      <c r="L466" s="588"/>
      <c r="M466" s="490"/>
      <c r="N466" s="490"/>
      <c r="O466" s="490"/>
      <c r="P466" s="490" t="s">
        <v>8724</v>
      </c>
    </row>
    <row r="467">
      <c r="A467" s="490"/>
      <c r="B467" s="490"/>
      <c r="C467" s="490"/>
      <c r="D467" s="490" t="str">
        <f>IFERROR(__xludf.DUMMYFUNCTION("""COMPUTED_VALUE"""),"MKN")</f>
        <v>MKN</v>
      </c>
      <c r="E467" s="593" t="str">
        <f>IFERROR(__xludf.DUMMYFUNCTION("""COMPUTED_VALUE"""),"BEVI")</f>
        <v>BEVI</v>
      </c>
      <c r="F467" s="593" t="str">
        <f>IFERROR(__xludf.DUMMYFUNCTION("""COMPUTED_VALUE"""),"V1.0 STANDUP BEVI")</f>
        <v>V1.0 STANDUP BEVI</v>
      </c>
      <c r="G467" s="490"/>
      <c r="H467" s="490"/>
      <c r="I467" s="490"/>
      <c r="J467" s="588"/>
      <c r="K467" s="588"/>
      <c r="L467" s="588"/>
      <c r="M467" s="490"/>
      <c r="N467" s="490"/>
      <c r="O467" s="490"/>
      <c r="P467" s="490" t="s">
        <v>8726</v>
      </c>
    </row>
    <row r="468">
      <c r="A468" s="490"/>
      <c r="B468" s="490"/>
      <c r="C468" s="490"/>
      <c r="D468" s="490" t="str">
        <f>IFERROR(__xludf.DUMMYFUNCTION("""COMPUTED_VALUE"""),"MODE LIGHTING")</f>
        <v>MODE LIGHTING</v>
      </c>
      <c r="E468" s="593" t="str">
        <f>IFERROR(__xludf.DUMMYFUNCTION("""COMPUTED_VALUE"""),"BEVI")</f>
        <v>BEVI</v>
      </c>
      <c r="F468" s="593" t="str">
        <f>IFERROR(__xludf.DUMMYFUNCTION("""COMPUTED_VALUE""")," V1.0 STANDUP BEVI")</f>
        <v> V1.0 STANDUP BEVI</v>
      </c>
      <c r="G468" s="490"/>
      <c r="H468" s="490"/>
      <c r="I468" s="490"/>
      <c r="J468" s="588"/>
      <c r="K468" s="588"/>
      <c r="L468" s="588"/>
      <c r="M468" s="490"/>
      <c r="N468" s="490"/>
      <c r="O468" s="490"/>
      <c r="P468" s="490" t="s">
        <v>8728</v>
      </c>
    </row>
    <row r="469">
      <c r="A469" s="490"/>
      <c r="B469" s="490"/>
      <c r="C469" s="490"/>
      <c r="D469" s="490" t="str">
        <f>IFERROR(__xludf.DUMMYFUNCTION("""COMPUTED_VALUE"""),"MOFI")</f>
        <v>MOFI</v>
      </c>
      <c r="E469" s="593" t="str">
        <f>IFERROR(__xludf.DUMMYFUNCTION("""COMPUTED_VALUE"""),"BEVI")</f>
        <v>BEVI</v>
      </c>
      <c r="F469" s="593" t="str">
        <f>IFERROR(__xludf.DUMMYFUNCTION("""COMPUTED_VALUE"""),"COUNTERTOP")</f>
        <v>COUNTERTOP</v>
      </c>
      <c r="G469" s="490"/>
      <c r="H469" s="490"/>
      <c r="I469" s="490"/>
      <c r="J469" s="588"/>
      <c r="K469" s="588"/>
      <c r="L469" s="588"/>
      <c r="M469" s="490"/>
      <c r="N469" s="490"/>
      <c r="O469" s="490"/>
      <c r="P469" s="490" t="s">
        <v>8730</v>
      </c>
    </row>
    <row r="470">
      <c r="A470" s="490"/>
      <c r="B470" s="490"/>
      <c r="C470" s="490"/>
      <c r="D470" s="490" t="str">
        <f>IFERROR(__xludf.DUMMYFUNCTION("""COMPUTED_VALUE"""),"MOFI NETWORK")</f>
        <v>MOFI NETWORK</v>
      </c>
      <c r="E470" s="593" t="str">
        <f>IFERROR(__xludf.DUMMYFUNCTION("""COMPUTED_VALUE"""),"BEVI")</f>
        <v>BEVI</v>
      </c>
      <c r="F470" s="593" t="str">
        <f>IFERROR(__xludf.DUMMYFUNCTION("""COMPUTED_VALUE"""),"COUNTERTOP")</f>
        <v>COUNTERTOP</v>
      </c>
      <c r="G470" s="490"/>
      <c r="H470" s="490"/>
      <c r="I470" s="490"/>
      <c r="J470" s="588"/>
      <c r="K470" s="588"/>
      <c r="L470" s="588"/>
      <c r="M470" s="490"/>
      <c r="N470" s="490"/>
      <c r="O470" s="490"/>
      <c r="P470" s="490" t="s">
        <v>8732</v>
      </c>
    </row>
    <row r="471">
      <c r="A471" s="490"/>
      <c r="B471" s="490"/>
      <c r="C471" s="490"/>
      <c r="D471" s="490" t="str">
        <f>IFERROR(__xludf.DUMMYFUNCTION("""COMPUTED_VALUE"""),"MONARCH")</f>
        <v>MONARCH</v>
      </c>
      <c r="E471" s="593" t="str">
        <f>IFERROR(__xludf.DUMMYFUNCTION("""COMPUTED_VALUE"""),"BEVI")</f>
        <v>BEVI</v>
      </c>
      <c r="F471" s="593" t="str">
        <f>IFERROR(__xludf.DUMMYFUNCTION("""COMPUTED_VALUE"""),"COUNTERTOP")</f>
        <v>COUNTERTOP</v>
      </c>
      <c r="G471" s="490"/>
      <c r="H471" s="490"/>
      <c r="I471" s="490"/>
      <c r="J471" s="588"/>
      <c r="K471" s="588"/>
      <c r="L471" s="588"/>
      <c r="M471" s="490"/>
      <c r="N471" s="490"/>
      <c r="O471" s="490"/>
      <c r="P471" s="490" t="s">
        <v>8734</v>
      </c>
    </row>
    <row r="472">
      <c r="A472" s="490"/>
      <c r="B472" s="490"/>
      <c r="C472" s="490"/>
      <c r="D472" s="490" t="str">
        <f>IFERROR(__xludf.DUMMYFUNCTION("""COMPUTED_VALUE"""),"MONIKA")</f>
        <v>MONIKA</v>
      </c>
      <c r="E472" s="593" t="str">
        <f>IFERROR(__xludf.DUMMYFUNCTION("""COMPUTED_VALUE"""),"BEVI")</f>
        <v>BEVI</v>
      </c>
      <c r="F472" s="593" t="str">
        <f>IFERROR(__xludf.DUMMYFUNCTION("""COMPUTED_VALUE"""),"V1.0 STANDUP BEVI")</f>
        <v>V1.0 STANDUP BEVI</v>
      </c>
      <c r="G472" s="490"/>
      <c r="H472" s="490"/>
      <c r="I472" s="490"/>
      <c r="J472" s="588"/>
      <c r="K472" s="588"/>
      <c r="L472" s="588"/>
      <c r="M472" s="490"/>
      <c r="N472" s="490"/>
      <c r="O472" s="490"/>
      <c r="P472" s="490" t="s">
        <v>8736</v>
      </c>
    </row>
    <row r="473">
      <c r="A473" s="490"/>
      <c r="B473" s="490"/>
      <c r="C473" s="490"/>
      <c r="D473" s="490" t="str">
        <f>IFERROR(__xludf.DUMMYFUNCTION("""COMPUTED_VALUE"""),"MONNIT")</f>
        <v>MONNIT</v>
      </c>
      <c r="E473" s="593" t="str">
        <f>IFERROR(__xludf.DUMMYFUNCTION("""COMPUTED_VALUE"""),"BEVI")</f>
        <v>BEVI</v>
      </c>
      <c r="F473" s="593" t="str">
        <f>IFERROR(__xludf.DUMMYFUNCTION("""COMPUTED_VALUE"""),"STANDUP_V1.5")</f>
        <v>STANDUP_V1.5</v>
      </c>
      <c r="G473" s="490"/>
      <c r="H473" s="490"/>
      <c r="I473" s="490"/>
      <c r="J473" s="588"/>
      <c r="K473" s="588"/>
      <c r="L473" s="588"/>
      <c r="M473" s="490"/>
      <c r="N473" s="490"/>
      <c r="O473" s="490"/>
      <c r="P473" s="490" t="s">
        <v>8132</v>
      </c>
    </row>
    <row r="474">
      <c r="A474" s="490"/>
      <c r="B474" s="490"/>
      <c r="C474" s="490"/>
      <c r="D474" s="490" t="str">
        <f>IFERROR(__xludf.DUMMYFUNCTION("""COMPUTED_VALUE"""),"MORLEY")</f>
        <v>MORLEY</v>
      </c>
      <c r="E474" s="593" t="str">
        <f>IFERROR(__xludf.DUMMYFUNCTION("""COMPUTED_VALUE"""),"BEVI")</f>
        <v>BEVI</v>
      </c>
      <c r="F474" s="593" t="str">
        <f>IFERROR(__xludf.DUMMYFUNCTION("""COMPUTED_VALUE"""),"V1.0 STANDUP BEVI")</f>
        <v>V1.0 STANDUP BEVI</v>
      </c>
      <c r="G474" s="490"/>
      <c r="H474" s="490"/>
      <c r="I474" s="490"/>
      <c r="J474" s="588"/>
      <c r="K474" s="588"/>
      <c r="L474" s="588"/>
      <c r="M474" s="490"/>
      <c r="N474" s="490"/>
      <c r="O474" s="490"/>
      <c r="P474" s="490" t="s">
        <v>8738</v>
      </c>
    </row>
    <row r="475">
      <c r="A475" s="490"/>
      <c r="B475" s="490"/>
      <c r="C475" s="490"/>
      <c r="D475" s="490" t="str">
        <f>IFERROR(__xludf.DUMMYFUNCTION("""COMPUTED_VALUE"""),"MORSE WATCHMEN")</f>
        <v>MORSE WATCHMEN</v>
      </c>
      <c r="E475" s="593" t="str">
        <f>IFERROR(__xludf.DUMMYFUNCTION("""COMPUTED_VALUE"""),"BEVI")</f>
        <v>BEVI</v>
      </c>
      <c r="F475" s="593" t="str">
        <f>IFERROR(__xludf.DUMMYFUNCTION("""COMPUTED_VALUE"""),"STANDUP_V1.5")</f>
        <v>STANDUP_V1.5</v>
      </c>
      <c r="G475" s="490"/>
      <c r="H475" s="490"/>
      <c r="I475" s="490"/>
      <c r="J475" s="588"/>
      <c r="K475" s="588"/>
      <c r="L475" s="588"/>
      <c r="M475" s="490"/>
      <c r="N475" s="490"/>
      <c r="O475" s="490"/>
      <c r="P475" s="490" t="s">
        <v>8740</v>
      </c>
    </row>
    <row r="476">
      <c r="A476" s="490"/>
      <c r="B476" s="490"/>
      <c r="C476" s="490"/>
      <c r="D476" s="490" t="str">
        <f>IFERROR(__xludf.DUMMYFUNCTION("""COMPUTED_VALUE"""),"MOTOROLA")</f>
        <v>MOTOROLA</v>
      </c>
      <c r="E476" s="593" t="str">
        <f>IFERROR(__xludf.DUMMYFUNCTION("""COMPUTED_VALUE"""),"BEVI")</f>
        <v>BEVI</v>
      </c>
      <c r="F476" s="593" t="str">
        <f>IFERROR(__xludf.DUMMYFUNCTION("""COMPUTED_VALUE"""),"STANDUP 2.0")</f>
        <v>STANDUP 2.0</v>
      </c>
      <c r="G476" s="490"/>
      <c r="H476" s="490"/>
      <c r="I476" s="490"/>
      <c r="J476" s="588"/>
      <c r="K476" s="588"/>
      <c r="L476" s="588"/>
      <c r="M476" s="490"/>
      <c r="N476" s="490"/>
      <c r="O476" s="490"/>
      <c r="P476" s="490" t="s">
        <v>8742</v>
      </c>
    </row>
    <row r="477">
      <c r="A477" s="490"/>
      <c r="B477" s="490"/>
      <c r="C477" s="490"/>
      <c r="D477" s="490" t="str">
        <f>IFERROR(__xludf.DUMMYFUNCTION("""COMPUTED_VALUE"""),"MOXA")</f>
        <v>MOXA</v>
      </c>
      <c r="E477" s="593" t="str">
        <f>IFERROR(__xludf.DUMMYFUNCTION("""COMPUTED_VALUE"""),"BISINEER")</f>
        <v>BISINEER</v>
      </c>
      <c r="F477" s="593" t="str">
        <f>IFERROR(__xludf.DUMMYFUNCTION("""COMPUTED_VALUE"""),"REVERSE OSMOSIS")</f>
        <v>REVERSE OSMOSIS</v>
      </c>
      <c r="G477" s="490"/>
      <c r="H477" s="490"/>
      <c r="I477" s="490"/>
      <c r="J477" s="588"/>
      <c r="K477" s="588"/>
      <c r="L477" s="588"/>
      <c r="M477" s="490"/>
      <c r="N477" s="490"/>
      <c r="O477" s="490"/>
      <c r="P477" s="490" t="s">
        <v>8746</v>
      </c>
    </row>
    <row r="478">
      <c r="A478" s="490"/>
      <c r="B478" s="490"/>
      <c r="C478" s="490"/>
      <c r="D478" s="490" t="str">
        <f>IFERROR(__xludf.DUMMYFUNCTION("""COMPUTED_VALUE"""),"MRV")</f>
        <v>MRV</v>
      </c>
      <c r="E478" s="593" t="str">
        <f>IFERROR(__xludf.DUMMYFUNCTION("""COMPUTED_VALUE"""),"BITBOX USA")</f>
        <v>BITBOX USA</v>
      </c>
      <c r="F478" s="593" t="str">
        <f>IFERROR(__xludf.DUMMYFUNCTION("""COMPUTED_VALUE"""),"BB120")</f>
        <v>BB120</v>
      </c>
      <c r="G478" s="490"/>
      <c r="H478" s="490"/>
      <c r="I478" s="490"/>
      <c r="J478" s="588"/>
      <c r="K478" s="588"/>
      <c r="L478" s="588"/>
      <c r="M478" s="490"/>
      <c r="N478" s="490"/>
      <c r="O478" s="490"/>
      <c r="P478" s="490" t="s">
        <v>8748</v>
      </c>
    </row>
    <row r="479">
      <c r="A479" s="490"/>
      <c r="B479" s="490"/>
      <c r="C479" s="490"/>
      <c r="D479" s="490" t="str">
        <f>IFERROR(__xludf.DUMMYFUNCTION("""COMPUTED_VALUE"""),"MSA (SMC)")</f>
        <v>MSA (SMC)</v>
      </c>
      <c r="E479" s="593" t="str">
        <f>IFERROR(__xludf.DUMMYFUNCTION("""COMPUTED_VALUE"""),"BITBOX USA")</f>
        <v>BITBOX USA</v>
      </c>
      <c r="F479" s="593" t="str">
        <f>IFERROR(__xludf.DUMMYFUNCTION("""COMPUTED_VALUE"""),"BBCA01")</f>
        <v>BBCA01</v>
      </c>
      <c r="G479" s="490"/>
      <c r="H479" s="490"/>
      <c r="I479" s="490"/>
      <c r="J479" s="588"/>
      <c r="K479" s="588"/>
      <c r="L479" s="588"/>
      <c r="M479" s="490"/>
      <c r="N479" s="490"/>
      <c r="O479" s="490"/>
      <c r="P479" s="490" t="s">
        <v>8750</v>
      </c>
    </row>
    <row r="480">
      <c r="A480" s="490"/>
      <c r="B480" s="490"/>
      <c r="C480" s="490"/>
      <c r="D480" s="490" t="str">
        <f>IFERROR(__xludf.DUMMYFUNCTION("""COMPUTED_VALUE"""),"MSI")</f>
        <v>MSI</v>
      </c>
      <c r="E480" s="593" t="str">
        <f>IFERROR(__xludf.DUMMYFUNCTION("""COMPUTED_VALUE"""),"BITBOX USA")</f>
        <v>BITBOX USA</v>
      </c>
      <c r="F480" s="593" t="str">
        <f>IFERROR(__xludf.DUMMYFUNCTION("""COMPUTED_VALUE"""),"BB200")</f>
        <v>BB200</v>
      </c>
      <c r="G480" s="490"/>
      <c r="H480" s="490"/>
      <c r="I480" s="490"/>
      <c r="J480" s="588"/>
      <c r="K480" s="588"/>
      <c r="L480" s="588"/>
      <c r="M480" s="490"/>
      <c r="N480" s="490"/>
      <c r="O480" s="490"/>
      <c r="P480" s="490" t="s">
        <v>8752</v>
      </c>
    </row>
    <row r="481">
      <c r="A481" s="490"/>
      <c r="B481" s="490"/>
      <c r="C481" s="490"/>
      <c r="D481" s="490" t="str">
        <f>IFERROR(__xludf.DUMMYFUNCTION("""COMPUTED_VALUE"""),"MUZ")</f>
        <v>MUZ</v>
      </c>
      <c r="E481" s="593" t="str">
        <f>IFERROR(__xludf.DUMMYFUNCTION("""COMPUTED_VALUE"""),"BITBOX USA")</f>
        <v>BITBOX USA</v>
      </c>
      <c r="F481" s="593" t="str">
        <f>IFERROR(__xludf.DUMMYFUNCTION("""COMPUTED_VALUE"""),"BB200")</f>
        <v>BB200</v>
      </c>
      <c r="G481" s="490"/>
      <c r="H481" s="490"/>
      <c r="I481" s="490"/>
      <c r="J481" s="588"/>
      <c r="K481" s="588"/>
      <c r="L481" s="588"/>
      <c r="M481" s="490"/>
      <c r="N481" s="490"/>
      <c r="O481" s="490"/>
      <c r="P481" s="490" t="s">
        <v>8754</v>
      </c>
    </row>
    <row r="482">
      <c r="A482" s="490"/>
      <c r="B482" s="490"/>
      <c r="C482" s="490"/>
      <c r="D482" s="490" t="str">
        <f>IFERROR(__xludf.DUMMYFUNCTION("""COMPUTED_VALUE"""),"N-TRON")</f>
        <v>N-TRON</v>
      </c>
      <c r="E482" s="593" t="str">
        <f>IFERROR(__xludf.DUMMYFUNCTION("""COMPUTED_VALUE"""),"BLACK BOX")</f>
        <v>BLACK BOX</v>
      </c>
      <c r="F482" s="593" t="str">
        <f>IFERROR(__xludf.DUMMYFUNCTION("""COMPUTED_VALUE"""),"LBS209AE-R2")</f>
        <v>LBS209AE-R2</v>
      </c>
      <c r="G482" s="490"/>
      <c r="H482" s="490"/>
      <c r="I482" s="490"/>
      <c r="J482" s="588"/>
      <c r="K482" s="588"/>
      <c r="L482" s="588"/>
      <c r="M482" s="490"/>
      <c r="N482" s="490"/>
      <c r="O482" s="490"/>
      <c r="P482" s="490" t="s">
        <v>8757</v>
      </c>
    </row>
    <row r="483">
      <c r="A483" s="490"/>
      <c r="B483" s="490"/>
      <c r="C483" s="490"/>
      <c r="D483" s="490" t="str">
        <f>IFERROR(__xludf.DUMMYFUNCTION("""COMPUTED_VALUE"""),"NA")</f>
        <v>NA</v>
      </c>
      <c r="E483" s="593" t="str">
        <f>IFERROR(__xludf.DUMMYFUNCTION("""COMPUTED_VALUE"""),"BLACK BOX")</f>
        <v>BLACK BOX</v>
      </c>
      <c r="F483" s="593" t="str">
        <f>IFERROR(__xludf.DUMMYFUNCTION("""COMPUTED_VALUE"""),"UNMANAGED SWITCH")</f>
        <v>UNMANAGED SWITCH</v>
      </c>
      <c r="G483" s="490"/>
      <c r="H483" s="490"/>
      <c r="I483" s="490"/>
      <c r="J483" s="588"/>
      <c r="K483" s="588"/>
      <c r="L483" s="588"/>
      <c r="M483" s="490"/>
      <c r="N483" s="490"/>
      <c r="O483" s="490"/>
      <c r="P483" s="490" t="s">
        <v>8759</v>
      </c>
    </row>
    <row r="484">
      <c r="A484" s="490"/>
      <c r="B484" s="490"/>
      <c r="C484" s="490"/>
      <c r="D484" s="490" t="str">
        <f>IFERROR(__xludf.DUMMYFUNCTION("""COMPUTED_VALUE"""),"NALCO")</f>
        <v>NALCO</v>
      </c>
      <c r="E484" s="593" t="str">
        <f>IFERROR(__xludf.DUMMYFUNCTION("""COMPUTED_VALUE"""),"BLUE STAR")</f>
        <v>BLUE STAR</v>
      </c>
      <c r="F484" s="593" t="str">
        <f>IFERROR(__xludf.DUMMYFUNCTION("""COMPUTED_VALUE"""),"DSAI-601R3A")</f>
        <v>DSAI-601R3A</v>
      </c>
      <c r="G484" s="490"/>
      <c r="H484" s="490"/>
      <c r="I484" s="490"/>
      <c r="J484" s="588"/>
      <c r="K484" s="588"/>
      <c r="L484" s="588"/>
      <c r="M484" s="490"/>
      <c r="N484" s="490"/>
      <c r="O484" s="490"/>
      <c r="P484" s="490" t="s">
        <v>8134</v>
      </c>
    </row>
    <row r="485">
      <c r="A485" s="490"/>
      <c r="B485" s="490"/>
      <c r="C485" s="490"/>
      <c r="D485" s="490" t="str">
        <f>IFERROR(__xludf.DUMMYFUNCTION("""COMPUTED_VALUE"""),"NEC")</f>
        <v>NEC</v>
      </c>
      <c r="E485" s="593" t="str">
        <f>IFERROR(__xludf.DUMMYFUNCTION("""COMPUTED_VALUE"""),"BLUE STAR")</f>
        <v>BLUE STAR</v>
      </c>
      <c r="F485" s="593" t="str">
        <f>IFERROR(__xludf.DUMMYFUNCTION("""COMPUTED_VALUE"""),"DSD-72")</f>
        <v>DSD-72</v>
      </c>
      <c r="G485" s="490"/>
      <c r="H485" s="490"/>
      <c r="I485" s="490"/>
      <c r="J485" s="588"/>
      <c r="K485" s="588"/>
      <c r="L485" s="588"/>
      <c r="M485" s="490"/>
      <c r="N485" s="490"/>
      <c r="O485" s="490"/>
      <c r="P485" s="490" t="s">
        <v>8761</v>
      </c>
    </row>
    <row r="486">
      <c r="A486" s="490"/>
      <c r="B486" s="490"/>
      <c r="C486" s="490"/>
      <c r="D486" s="490" t="str">
        <f>IFERROR(__xludf.DUMMYFUNCTION("""COMPUTED_VALUE"""),"NECTA")</f>
        <v>NECTA</v>
      </c>
      <c r="E486" s="593" t="str">
        <f>IFERROR(__xludf.DUMMYFUNCTION("""COMPUTED_VALUE"""),"BLUE STAR")</f>
        <v>BLUE STAR</v>
      </c>
      <c r="F486" s="593" t="str">
        <f>IFERROR(__xludf.DUMMYFUNCTION("""COMPUTED_VALUE"""),"IVRFB")</f>
        <v>IVRFB</v>
      </c>
      <c r="G486" s="490"/>
      <c r="H486" s="490"/>
      <c r="I486" s="490"/>
      <c r="J486" s="588"/>
      <c r="K486" s="588"/>
      <c r="L486" s="588"/>
      <c r="M486" s="490"/>
      <c r="N486" s="490"/>
      <c r="O486" s="490"/>
      <c r="P486" s="490" t="s">
        <v>8763</v>
      </c>
    </row>
    <row r="487">
      <c r="A487" s="490"/>
      <c r="B487" s="490"/>
      <c r="C487" s="490"/>
      <c r="D487" s="490" t="str">
        <f>IFERROR(__xludf.DUMMYFUNCTION("""COMPUTED_VALUE"""),"NELCO")</f>
        <v>NELCO</v>
      </c>
      <c r="E487" s="593" t="str">
        <f>IFERROR(__xludf.DUMMYFUNCTION("""COMPUTED_VALUE"""),"BLUE STAR")</f>
        <v>BLUE STAR</v>
      </c>
      <c r="F487" s="593" t="str">
        <f>IFERROR(__xludf.DUMMYFUNCTION("""COMPUTED_VALUE"""),"IVRFB.20TCN")</f>
        <v>IVRFB.20TCN</v>
      </c>
      <c r="G487" s="490"/>
      <c r="H487" s="490"/>
      <c r="I487" s="490"/>
      <c r="J487" s="588"/>
      <c r="K487" s="588"/>
      <c r="L487" s="588"/>
      <c r="M487" s="490"/>
      <c r="N487" s="490"/>
      <c r="O487" s="490"/>
      <c r="P487" s="490" t="s">
        <v>8765</v>
      </c>
    </row>
    <row r="488">
      <c r="A488" s="490"/>
      <c r="B488" s="490"/>
      <c r="C488" s="490"/>
      <c r="D488" s="490" t="str">
        <f>IFERROR(__xludf.DUMMYFUNCTION("""COMPUTED_VALUE"""),"NEPTRONIC")</f>
        <v>NEPTRONIC</v>
      </c>
      <c r="E488" s="593" t="str">
        <f>IFERROR(__xludf.DUMMYFUNCTION("""COMPUTED_VALUE"""),"BLUE STAR")</f>
        <v>BLUE STAR</v>
      </c>
      <c r="F488" s="593" t="str">
        <f>IFERROR(__xludf.DUMMYFUNCTION("""COMPUTED_VALUE"""),"IVRFB.10TCN")</f>
        <v>IVRFB.10TCN</v>
      </c>
      <c r="G488" s="490"/>
      <c r="H488" s="490"/>
      <c r="I488" s="490"/>
      <c r="J488" s="588"/>
      <c r="K488" s="588"/>
      <c r="L488" s="588"/>
      <c r="M488" s="490"/>
      <c r="N488" s="490"/>
      <c r="O488" s="490"/>
      <c r="P488" s="490" t="s">
        <v>8767</v>
      </c>
    </row>
    <row r="489">
      <c r="A489" s="490"/>
      <c r="B489" s="490"/>
      <c r="C489" s="490"/>
      <c r="D489" s="490" t="str">
        <f>IFERROR(__xludf.DUMMYFUNCTION("""COMPUTED_VALUE"""),"NESCAFE")</f>
        <v>NESCAFE</v>
      </c>
      <c r="E489" s="593" t="str">
        <f>IFERROR(__xludf.DUMMYFUNCTION("""COMPUTED_VALUE"""),"BLUEROVER")</f>
        <v>BLUEROVER</v>
      </c>
      <c r="F489" s="593" t="str">
        <f>IFERROR(__xludf.DUMMYFUNCTION("""COMPUTED_VALUE"""),"NADD")</f>
        <v>NADD</v>
      </c>
      <c r="G489" s="490"/>
      <c r="H489" s="490"/>
      <c r="I489" s="490"/>
      <c r="J489" s="588"/>
      <c r="K489" s="588"/>
      <c r="L489" s="588"/>
      <c r="M489" s="490"/>
      <c r="N489" s="490"/>
      <c r="O489" s="490"/>
      <c r="P489" s="490" t="s">
        <v>8769</v>
      </c>
    </row>
    <row r="490">
      <c r="A490" s="490"/>
      <c r="B490" s="490"/>
      <c r="C490" s="490"/>
      <c r="D490" s="490" t="str">
        <f>IFERROR(__xludf.DUMMYFUNCTION("""COMPUTED_VALUE"""),"NESPRESSO")</f>
        <v>NESPRESSO</v>
      </c>
      <c r="E490" s="593" t="str">
        <f>IFERROR(__xludf.DUMMYFUNCTION("""COMPUTED_VALUE"""),"BOSCH")</f>
        <v>BOSCH</v>
      </c>
      <c r="F490" s="593" t="str">
        <f>IFERROR(__xludf.DUMMYFUNCTION("""COMPUTED_VALUE"""),"FPA 5000")</f>
        <v>FPA 5000</v>
      </c>
      <c r="G490" s="490"/>
      <c r="H490" s="490"/>
      <c r="I490" s="490"/>
      <c r="J490" s="588"/>
      <c r="K490" s="588"/>
      <c r="L490" s="588"/>
      <c r="M490" s="490"/>
      <c r="N490" s="490"/>
      <c r="O490" s="490"/>
      <c r="P490" s="490" t="s">
        <v>8771</v>
      </c>
    </row>
    <row r="491">
      <c r="A491" s="490"/>
      <c r="B491" s="490"/>
      <c r="C491" s="490"/>
      <c r="D491" s="490" t="str">
        <f>IFERROR(__xludf.DUMMYFUNCTION("""COMPUTED_VALUE"""),"NEST")</f>
        <v>NEST</v>
      </c>
      <c r="E491" s="593" t="str">
        <f>IFERROR(__xludf.DUMMYFUNCTION("""COMPUTED_VALUE"""),"BOSCH")</f>
        <v>BOSCH</v>
      </c>
      <c r="F491" s="593" t="str">
        <f>IFERROR(__xludf.DUMMYFUNCTION("""COMPUTED_VALUE"""),"MPC-1300-C")</f>
        <v>MPC-1300-C</v>
      </c>
      <c r="G491" s="490"/>
      <c r="H491" s="490"/>
      <c r="I491" s="490"/>
      <c r="J491" s="588"/>
      <c r="K491" s="588"/>
      <c r="L491" s="588"/>
      <c r="M491" s="490"/>
      <c r="N491" s="490"/>
      <c r="O491" s="490"/>
      <c r="P491" s="490" t="s">
        <v>8773</v>
      </c>
    </row>
    <row r="492">
      <c r="A492" s="490"/>
      <c r="B492" s="490"/>
      <c r="C492" s="490"/>
      <c r="D492" s="490" t="str">
        <f>IFERROR(__xludf.DUMMYFUNCTION("""COMPUTED_VALUE"""),"NESTLE WATERS")</f>
        <v>NESTLE WATERS</v>
      </c>
      <c r="E492" s="593" t="str">
        <f>IFERROR(__xludf.DUMMYFUNCTION("""COMPUTED_VALUE"""),"BOSCH")</f>
        <v>BOSCH</v>
      </c>
      <c r="F492" s="593" t="str">
        <f>IFERROR(__xludf.DUMMYFUNCTION("""COMPUTED_VALUE"""),"PRS-NCO3")</f>
        <v>PRS-NCO3</v>
      </c>
      <c r="G492" s="490"/>
      <c r="H492" s="490"/>
      <c r="I492" s="490"/>
      <c r="J492" s="588"/>
      <c r="K492" s="588"/>
      <c r="L492" s="588"/>
      <c r="M492" s="490"/>
      <c r="N492" s="490"/>
      <c r="O492" s="490"/>
      <c r="P492" s="490" t="s">
        <v>8775</v>
      </c>
    </row>
    <row r="493">
      <c r="A493" s="490"/>
      <c r="B493" s="490"/>
      <c r="C493" s="490"/>
      <c r="D493" s="490" t="str">
        <f>IFERROR(__xludf.DUMMYFUNCTION("""COMPUTED_VALUE"""),"NETFON")</f>
        <v>NETFON</v>
      </c>
      <c r="E493" s="593" t="str">
        <f>IFERROR(__xludf.DUMMYFUNCTION("""COMPUTED_VALUE"""),"BOSCH")</f>
        <v>BOSCH</v>
      </c>
      <c r="F493" s="593" t="str">
        <f>IFERROR(__xludf.DUMMYFUNCTION("""COMPUTED_VALUE"""),"PRS-NCO3")</f>
        <v>PRS-NCO3</v>
      </c>
      <c r="G493" s="490"/>
      <c r="H493" s="490"/>
      <c r="I493" s="490"/>
      <c r="J493" s="588"/>
      <c r="K493" s="588"/>
      <c r="L493" s="588"/>
      <c r="M493" s="490"/>
      <c r="N493" s="490"/>
      <c r="O493" s="490"/>
      <c r="P493" s="490" t="s">
        <v>8777</v>
      </c>
    </row>
    <row r="494">
      <c r="A494" s="490"/>
      <c r="B494" s="490"/>
      <c r="C494" s="490"/>
      <c r="D494" s="490" t="str">
        <f>IFERROR(__xludf.DUMMYFUNCTION("""COMPUTED_VALUE"""),"NETGEAR")</f>
        <v>NETGEAR</v>
      </c>
      <c r="E494" s="593" t="str">
        <f>IFERROR(__xludf.DUMMYFUNCTION("""COMPUTED_VALUE"""),"BOSCH")</f>
        <v>BOSCH</v>
      </c>
      <c r="F494" s="593" t="str">
        <f>IFERROR(__xludf.DUMMYFUNCTION("""COMPUTED_VALUE"""),"ANALOG FIRE PANEL")</f>
        <v>ANALOG FIRE PANEL</v>
      </c>
      <c r="G494" s="490"/>
      <c r="H494" s="490"/>
      <c r="I494" s="490"/>
      <c r="J494" s="588"/>
      <c r="K494" s="588"/>
      <c r="L494" s="588"/>
      <c r="M494" s="490"/>
      <c r="N494" s="490"/>
      <c r="O494" s="490"/>
      <c r="P494" s="490" t="s">
        <v>8779</v>
      </c>
    </row>
    <row r="495">
      <c r="A495" s="490"/>
      <c r="B495" s="490"/>
      <c r="C495" s="490"/>
      <c r="D495" s="490" t="str">
        <f>IFERROR(__xludf.DUMMYFUNCTION("""COMPUTED_VALUE"""),"NETHIX")</f>
        <v>NETHIX</v>
      </c>
      <c r="E495" s="593" t="str">
        <f>IFERROR(__xludf.DUMMYFUNCTION("""COMPUTED_VALUE"""),"BOXC")</f>
        <v>BOXC</v>
      </c>
      <c r="F495" s="593" t="str">
        <f>IFERROR(__xludf.DUMMYFUNCTION("""COMPUTED_VALUE"""),"BOXC V2.2")</f>
        <v>BOXC V2.2</v>
      </c>
      <c r="G495" s="490"/>
      <c r="H495" s="490"/>
      <c r="I495" s="490"/>
      <c r="J495" s="588"/>
      <c r="K495" s="588"/>
      <c r="L495" s="588"/>
      <c r="M495" s="490"/>
      <c r="N495" s="490"/>
      <c r="O495" s="490"/>
      <c r="P495" s="490" t="s">
        <v>8080</v>
      </c>
    </row>
    <row r="496">
      <c r="A496" s="490"/>
      <c r="B496" s="490"/>
      <c r="C496" s="490"/>
      <c r="D496" s="490" t="str">
        <f>IFERROR(__xludf.DUMMYFUNCTION("""COMPUTED_VALUE"""),"NETOPIA")</f>
        <v>NETOPIA</v>
      </c>
      <c r="E496" s="593" t="str">
        <f>IFERROR(__xludf.DUMMYFUNCTION("""COMPUTED_VALUE"""),"BRIGHT SIGN")</f>
        <v>BRIGHT SIGN</v>
      </c>
      <c r="F496" s="593" t="str">
        <f>IFERROR(__xludf.DUMMYFUNCTION("""COMPUTED_VALUE"""),"XT1144")</f>
        <v>XT1144</v>
      </c>
      <c r="G496" s="490"/>
      <c r="H496" s="490"/>
      <c r="I496" s="490"/>
      <c r="J496" s="588"/>
      <c r="K496" s="588"/>
      <c r="L496" s="588"/>
      <c r="M496" s="490"/>
      <c r="N496" s="490"/>
      <c r="O496" s="490"/>
      <c r="P496" s="490" t="s">
        <v>8136</v>
      </c>
    </row>
    <row r="497">
      <c r="A497" s="490"/>
      <c r="B497" s="490"/>
      <c r="C497" s="490"/>
      <c r="D497" s="490" t="str">
        <f>IFERROR(__xludf.DUMMYFUNCTION("""COMPUTED_VALUE"""),"NETPULSE")</f>
        <v>NETPULSE</v>
      </c>
      <c r="E497" s="593" t="str">
        <f>IFERROR(__xludf.DUMMYFUNCTION("""COMPUTED_VALUE"""),"BRIGHT SIGN")</f>
        <v>BRIGHT SIGN</v>
      </c>
      <c r="F497" s="593" t="str">
        <f>IFERROR(__xludf.DUMMYFUNCTION("""COMPUTED_VALUE"""),"XT3")</f>
        <v>XT3</v>
      </c>
      <c r="G497" s="490"/>
      <c r="H497" s="490"/>
      <c r="I497" s="490"/>
      <c r="J497" s="588"/>
      <c r="K497" s="588"/>
      <c r="L497" s="588"/>
      <c r="M497" s="490"/>
      <c r="N497" s="490"/>
      <c r="O497" s="490"/>
      <c r="P497" s="490" t="s">
        <v>8781</v>
      </c>
    </row>
    <row r="498">
      <c r="A498" s="490"/>
      <c r="B498" s="490"/>
      <c r="C498" s="490"/>
      <c r="D498" s="490" t="str">
        <f>IFERROR(__xludf.DUMMYFUNCTION("""COMPUTED_VALUE"""),"NEXUS")</f>
        <v>NEXUS</v>
      </c>
      <c r="E498" s="593" t="str">
        <f>IFERROR(__xludf.DUMMYFUNCTION("""COMPUTED_VALUE"""),"BROTHER")</f>
        <v>BROTHER</v>
      </c>
      <c r="F498" s="593" t="str">
        <f>IFERROR(__xludf.DUMMYFUNCTION("""COMPUTED_VALUE"""),"MFC-J885DW")</f>
        <v>MFC-J885DW</v>
      </c>
      <c r="G498" s="490"/>
      <c r="H498" s="490"/>
      <c r="I498" s="490"/>
      <c r="J498" s="588"/>
      <c r="K498" s="588"/>
      <c r="L498" s="588"/>
      <c r="M498" s="490"/>
      <c r="N498" s="490"/>
      <c r="O498" s="490"/>
      <c r="P498" s="490" t="s">
        <v>8783</v>
      </c>
    </row>
    <row r="499">
      <c r="A499" s="490"/>
      <c r="B499" s="490"/>
      <c r="C499" s="490"/>
      <c r="D499" s="490" t="str">
        <f>IFERROR(__xludf.DUMMYFUNCTION("""COMPUTED_VALUE"""),"NIAGARA")</f>
        <v>NIAGARA</v>
      </c>
      <c r="E499" s="593" t="str">
        <f>IFERROR(__xludf.DUMMYFUNCTION("""COMPUTED_VALUE"""),"BTICINO")</f>
        <v>BTICINO</v>
      </c>
      <c r="F499" s="593" t="str">
        <f>IFERROR(__xludf.DUMMYFUNCTION("""COMPUTED_VALUE"""),"MYHOME SCREEN")</f>
        <v>MYHOME SCREEN</v>
      </c>
      <c r="G499" s="490"/>
      <c r="H499" s="490"/>
      <c r="I499" s="490"/>
      <c r="J499" s="588"/>
      <c r="K499" s="588"/>
      <c r="L499" s="588"/>
      <c r="M499" s="490"/>
      <c r="N499" s="490"/>
      <c r="O499" s="490"/>
      <c r="P499" s="490" t="s">
        <v>8785</v>
      </c>
    </row>
    <row r="500">
      <c r="A500" s="490"/>
      <c r="B500" s="490"/>
      <c r="C500" s="490"/>
      <c r="D500" s="490" t="str">
        <f>IFERROR(__xludf.DUMMYFUNCTION("""COMPUTED_VALUE"""),"NICOTRA")</f>
        <v>NICOTRA</v>
      </c>
      <c r="E500" s="593" t="str">
        <f>IFERROR(__xludf.DUMMYFUNCTION("""COMPUTED_VALUE"""),"BUFFALO")</f>
        <v>BUFFALO</v>
      </c>
      <c r="F500" s="593" t="str">
        <f>IFERROR(__xludf.DUMMYFUNCTION("""COMPUTED_VALUE"""),"LSW3-GT-5NS (D1)")</f>
        <v>LSW3-GT-5NS (D1)</v>
      </c>
      <c r="G500" s="490"/>
      <c r="H500" s="490"/>
      <c r="I500" s="490"/>
      <c r="J500" s="588"/>
      <c r="K500" s="588"/>
      <c r="L500" s="588"/>
      <c r="M500" s="490"/>
      <c r="N500" s="490"/>
      <c r="O500" s="490"/>
      <c r="P500" s="490" t="s">
        <v>8787</v>
      </c>
    </row>
    <row r="501">
      <c r="A501" s="490"/>
      <c r="B501" s="490"/>
      <c r="C501" s="490"/>
      <c r="D501" s="490" t="str">
        <f>IFERROR(__xludf.DUMMYFUNCTION("""COMPUTED_VALUE"""),"NIDEC")</f>
        <v>NIDEC</v>
      </c>
      <c r="E501" s="593" t="str">
        <f>IFERROR(__xludf.DUMMYFUNCTION("""COMPUTED_VALUE"""),"BUNN")</f>
        <v>BUNN</v>
      </c>
      <c r="F501" s="593" t="str">
        <f>IFERROR(__xludf.DUMMYFUNCTION("""COMPUTED_VALUE"""),"SURE IMMERSION 312")</f>
        <v>SURE IMMERSION 312</v>
      </c>
      <c r="G501" s="490"/>
      <c r="H501" s="490"/>
      <c r="I501" s="490"/>
      <c r="J501" s="588"/>
      <c r="K501" s="588"/>
      <c r="L501" s="588"/>
      <c r="M501" s="490"/>
      <c r="N501" s="490"/>
      <c r="O501" s="490"/>
      <c r="P501" s="490" t="s">
        <v>8789</v>
      </c>
    </row>
    <row r="502">
      <c r="A502" s="490"/>
      <c r="B502" s="490"/>
      <c r="C502" s="490"/>
      <c r="D502" s="490" t="str">
        <f>IFERROR(__xludf.DUMMYFUNCTION("""COMPUTED_VALUE"""),"NINTENDO")</f>
        <v>NINTENDO</v>
      </c>
      <c r="E502" s="593" t="str">
        <f>IFERROR(__xludf.DUMMYFUNCTION("""COMPUTED_VALUE"""),"C SYSTEMS")</f>
        <v>C SYSTEMS</v>
      </c>
      <c r="F502" s="593" t="str">
        <f>IFERROR(__xludf.DUMMYFUNCTION("""COMPUTED_VALUE"""),"AWLD2400")</f>
        <v>AWLD2400</v>
      </c>
      <c r="G502" s="490"/>
      <c r="H502" s="490"/>
      <c r="I502" s="490"/>
      <c r="J502" s="588"/>
      <c r="K502" s="588"/>
      <c r="L502" s="588"/>
      <c r="M502" s="490"/>
      <c r="N502" s="490"/>
      <c r="O502" s="490"/>
      <c r="P502" s="490" t="s">
        <v>8791</v>
      </c>
    </row>
    <row r="503">
      <c r="A503" s="490"/>
      <c r="B503" s="490"/>
      <c r="C503" s="490"/>
      <c r="D503" s="490" t="str">
        <f>IFERROR(__xludf.DUMMYFUNCTION("""COMPUTED_VALUE"""),"NIXPLAY")</f>
        <v>NIXPLAY</v>
      </c>
      <c r="E503" s="593" t="str">
        <f>IFERROR(__xludf.DUMMYFUNCTION("""COMPUTED_VALUE"""),"C SYSTEMS")</f>
        <v>C SYSTEMS</v>
      </c>
      <c r="F503" s="593" t="str">
        <f>IFERROR(__xludf.DUMMYFUNCTION("""COMPUTED_VALUE"""),"AWLDM32")</f>
        <v>AWLDM32</v>
      </c>
      <c r="G503" s="490"/>
      <c r="H503" s="490"/>
      <c r="I503" s="490"/>
      <c r="J503" s="588"/>
      <c r="K503" s="490"/>
      <c r="L503" s="490"/>
      <c r="M503" s="490"/>
      <c r="N503" s="490"/>
      <c r="O503" s="490"/>
      <c r="P503" s="490" t="s">
        <v>8793</v>
      </c>
    </row>
    <row r="504">
      <c r="A504" s="490"/>
      <c r="B504" s="490"/>
      <c r="C504" s="490"/>
      <c r="D504" s="490" t="str">
        <f>IFERROR(__xludf.DUMMYFUNCTION("""COMPUTED_VALUE"""),"NLIGHT")</f>
        <v>NLIGHT</v>
      </c>
      <c r="E504" s="593" t="str">
        <f>IFERROR(__xludf.DUMMYFUNCTION("""COMPUTED_VALUE"""),"C SYSTEMS")</f>
        <v>C SYSTEMS</v>
      </c>
      <c r="F504" s="593" t="str">
        <f>IFERROR(__xludf.DUMMYFUNCTION("""COMPUTED_VALUE"""),"WLD2400")</f>
        <v>WLD2400</v>
      </c>
      <c r="G504" s="490"/>
      <c r="H504" s="490"/>
      <c r="I504" s="490"/>
      <c r="J504" s="588"/>
      <c r="K504" s="490"/>
      <c r="L504" s="490"/>
      <c r="M504" s="490"/>
      <c r="N504" s="490"/>
      <c r="O504" s="490"/>
      <c r="P504" s="490" t="s">
        <v>8795</v>
      </c>
    </row>
    <row r="505">
      <c r="A505" s="490"/>
      <c r="B505" s="490"/>
      <c r="C505" s="490"/>
      <c r="D505" s="490" t="str">
        <f>IFERROR(__xludf.DUMMYFUNCTION("""COMPUTED_VALUE"""),"NLIGHT ECLYPSE")</f>
        <v>NLIGHT ECLYPSE</v>
      </c>
      <c r="E505" s="593" t="str">
        <f>IFERROR(__xludf.DUMMYFUNCTION("""COMPUTED_VALUE"""),"C SYSTEMS")</f>
        <v>C SYSTEMS</v>
      </c>
      <c r="F505" s="593" t="str">
        <f>IFERROR(__xludf.DUMMYFUNCTION("""COMPUTED_VALUE"""),"URRS-12T")</f>
        <v>URRS-12T</v>
      </c>
      <c r="G505" s="490"/>
      <c r="H505" s="490"/>
      <c r="I505" s="490"/>
      <c r="J505" s="588"/>
      <c r="K505" s="490"/>
      <c r="L505" s="490"/>
      <c r="M505" s="490"/>
      <c r="N505" s="490"/>
      <c r="O505" s="490"/>
      <c r="P505" s="490" t="s">
        <v>8797</v>
      </c>
    </row>
    <row r="506">
      <c r="A506" s="490"/>
      <c r="B506" s="490"/>
      <c r="C506" s="490"/>
      <c r="D506" s="490" t="str">
        <f>IFERROR(__xludf.DUMMYFUNCTION("""COMPUTED_VALUE"""),"NLIGHT SYSTEM")</f>
        <v>NLIGHT SYSTEM</v>
      </c>
      <c r="E506" s="593" t="str">
        <f>IFERROR(__xludf.DUMMYFUNCTION("""COMPUTED_VALUE"""),"C SYSTEMS")</f>
        <v>C SYSTEMS</v>
      </c>
      <c r="F506" s="593" t="str">
        <f>IFERROR(__xludf.DUMMYFUNCTION("""COMPUTED_VALUE"""),"URRS-24T")</f>
        <v>URRS-24T</v>
      </c>
      <c r="G506" s="490"/>
      <c r="H506" s="490"/>
      <c r="I506" s="490"/>
      <c r="J506" s="588"/>
      <c r="K506" s="490"/>
      <c r="L506" s="490"/>
      <c r="M506" s="490"/>
      <c r="N506" s="490"/>
      <c r="O506" s="490"/>
      <c r="P506" s="490" t="s">
        <v>8799</v>
      </c>
    </row>
    <row r="507">
      <c r="A507" s="490"/>
      <c r="B507" s="490"/>
      <c r="C507" s="490"/>
      <c r="D507" s="490" t="str">
        <f>IFERROR(__xludf.DUMMYFUNCTION("""COMPUTED_VALUE"""),"NOT VERIFIED")</f>
        <v>NOT VERIFIED</v>
      </c>
      <c r="E507" s="593" t="str">
        <f>IFERROR(__xludf.DUMMYFUNCTION("""COMPUTED_VALUE"""),"CAFECTION")</f>
        <v>CAFECTION</v>
      </c>
      <c r="F507" s="593" t="str">
        <f>IFERROR(__xludf.DUMMYFUNCTION("""COMPUTED_VALUE"""),"ENCORE 29")</f>
        <v>ENCORE 29</v>
      </c>
      <c r="G507" s="490"/>
      <c r="H507" s="490"/>
      <c r="I507" s="490"/>
      <c r="J507" s="588"/>
      <c r="K507" s="490"/>
      <c r="L507" s="490"/>
      <c r="M507" s="490"/>
      <c r="N507" s="490"/>
      <c r="O507" s="490"/>
      <c r="P507" s="490" t="s">
        <v>8138</v>
      </c>
    </row>
    <row r="508">
      <c r="A508" s="490"/>
      <c r="B508" s="490"/>
      <c r="C508" s="490"/>
      <c r="D508" s="490" t="str">
        <f>IFERROR(__xludf.DUMMYFUNCTION("""COMPUTED_VALUE"""),"NOTIFACT")</f>
        <v>NOTIFACT</v>
      </c>
      <c r="E508" s="593" t="str">
        <f>IFERROR(__xludf.DUMMYFUNCTION("""COMPUTED_VALUE"""),"CAFECTION")</f>
        <v>CAFECTION</v>
      </c>
      <c r="F508" s="593" t="str">
        <f>IFERROR(__xludf.DUMMYFUNCTION("""COMPUTED_VALUE"""),"ENCORE 29")</f>
        <v>ENCORE 29</v>
      </c>
      <c r="G508" s="490"/>
      <c r="H508" s="490"/>
      <c r="I508" s="490"/>
      <c r="J508" s="588"/>
      <c r="K508" s="490"/>
      <c r="L508" s="490"/>
      <c r="M508" s="490"/>
      <c r="N508" s="490"/>
      <c r="O508" s="490"/>
      <c r="P508" s="490" t="s">
        <v>8801</v>
      </c>
    </row>
    <row r="509">
      <c r="A509" s="490"/>
      <c r="B509" s="490"/>
      <c r="C509" s="490"/>
      <c r="D509" s="490" t="str">
        <f>IFERROR(__xludf.DUMMYFUNCTION("""COMPUTED_VALUE"""),"NOTIFIER")</f>
        <v>NOTIFIER</v>
      </c>
      <c r="E509" s="593" t="str">
        <f>IFERROR(__xludf.DUMMYFUNCTION("""COMPUTED_VALUE"""),"CAFECTION")</f>
        <v>CAFECTION</v>
      </c>
      <c r="F509" s="593" t="str">
        <f>IFERROR(__xludf.DUMMYFUNCTION("""COMPUTED_VALUE"""),"TOTAL 1")</f>
        <v>TOTAL 1</v>
      </c>
      <c r="G509" s="490"/>
      <c r="H509" s="490"/>
      <c r="I509" s="490"/>
      <c r="J509" s="588"/>
      <c r="K509" s="490"/>
      <c r="L509" s="490"/>
      <c r="M509" s="490"/>
      <c r="N509" s="490"/>
      <c r="O509" s="490"/>
      <c r="P509" s="490" t="s">
        <v>8803</v>
      </c>
    </row>
    <row r="510">
      <c r="A510" s="490"/>
      <c r="B510" s="490"/>
      <c r="C510" s="490"/>
      <c r="D510" s="490" t="str">
        <f>IFERROR(__xludf.DUMMYFUNCTION("""COMPUTED_VALUE"""),"NOVASOLAR")</f>
        <v>NOVASOLAR</v>
      </c>
      <c r="E510" s="593" t="str">
        <f>IFERROR(__xludf.DUMMYFUNCTION("""COMPUTED_VALUE"""),"CAFECTION")</f>
        <v>CAFECTION</v>
      </c>
      <c r="F510" s="593" t="str">
        <f>IFERROR(__xludf.DUMMYFUNCTION("""COMPUTED_VALUE"""),"TOTAL LITE")</f>
        <v>TOTAL LITE</v>
      </c>
      <c r="G510" s="490"/>
      <c r="H510" s="490"/>
      <c r="I510" s="490"/>
      <c r="J510" s="588"/>
      <c r="K510" s="490"/>
      <c r="L510" s="490"/>
      <c r="M510" s="490"/>
      <c r="N510" s="490"/>
      <c r="O510" s="490"/>
      <c r="P510" s="490" t="s">
        <v>8805</v>
      </c>
    </row>
    <row r="511">
      <c r="A511" s="490"/>
      <c r="B511" s="490"/>
      <c r="C511" s="490"/>
      <c r="D511" s="490" t="str">
        <f>IFERROR(__xludf.DUMMYFUNCTION("""COMPUTED_VALUE"""),"NOVASTAR")</f>
        <v>NOVASTAR</v>
      </c>
      <c r="E511" s="593" t="str">
        <f>IFERROR(__xludf.DUMMYFUNCTION("""COMPUTED_VALUE"""),"CAFECTION")</f>
        <v>CAFECTION</v>
      </c>
      <c r="F511" s="593" t="str">
        <f>IFERROR(__xludf.DUMMYFUNCTION("""COMPUTED_VALUE"""),"EMBLEM")</f>
        <v>EMBLEM</v>
      </c>
      <c r="G511" s="490"/>
      <c r="H511" s="490"/>
      <c r="I511" s="490"/>
      <c r="J511" s="588"/>
      <c r="K511" s="490"/>
      <c r="L511" s="490"/>
      <c r="M511" s="490"/>
      <c r="N511" s="490"/>
      <c r="O511" s="490"/>
      <c r="P511" s="490" t="s">
        <v>8807</v>
      </c>
    </row>
    <row r="512">
      <c r="A512" s="490"/>
      <c r="B512" s="490"/>
      <c r="C512" s="490"/>
      <c r="D512" s="490" t="str">
        <f>IFERROR(__xludf.DUMMYFUNCTION("""COMPUTED_VALUE"""),"NOVATECH PC")</f>
        <v>NOVATECH PC</v>
      </c>
      <c r="E512" s="593" t="str">
        <f>IFERROR(__xludf.DUMMYFUNCTION("""COMPUTED_VALUE"""),"CALAMP")</f>
        <v>CALAMP</v>
      </c>
      <c r="F512" s="593" t="str">
        <f>IFERROR(__xludf.DUMMYFUNCTION("""COMPUTED_VALUE"""),"VANGUARD 5530")</f>
        <v>VANGUARD 5530</v>
      </c>
      <c r="G512" s="490"/>
      <c r="H512" s="490"/>
      <c r="I512" s="490"/>
      <c r="J512" s="588"/>
      <c r="K512" s="490"/>
      <c r="L512" s="490"/>
      <c r="M512" s="490"/>
      <c r="N512" s="490"/>
      <c r="O512" s="490"/>
      <c r="P512" s="490" t="s">
        <v>8809</v>
      </c>
    </row>
    <row r="513">
      <c r="A513" s="490"/>
      <c r="B513" s="490"/>
      <c r="C513" s="490"/>
      <c r="D513" s="490" t="str">
        <f>IFERROR(__xludf.DUMMYFUNCTION("""COMPUTED_VALUE"""),"NTI")</f>
        <v>NTI</v>
      </c>
      <c r="E513" s="593" t="str">
        <f>IFERROR(__xludf.DUMMYFUNCTION("""COMPUTED_VALUE"""),"CAMBRIDGE")</f>
        <v>CAMBRIDGE</v>
      </c>
      <c r="F513" s="593" t="str">
        <f>IFERROR(__xludf.DUMMYFUNCTION("""COMPUTED_VALUE"""),"QT 600")</f>
        <v>QT 600</v>
      </c>
      <c r="G513" s="490"/>
      <c r="H513" s="490"/>
      <c r="I513" s="490"/>
      <c r="J513" s="588"/>
      <c r="K513" s="490"/>
      <c r="L513" s="490"/>
      <c r="M513" s="490"/>
      <c r="N513" s="490"/>
      <c r="O513" s="490"/>
      <c r="P513" s="490" t="s">
        <v>8811</v>
      </c>
    </row>
    <row r="514">
      <c r="A514" s="490"/>
      <c r="B514" s="490"/>
      <c r="C514" s="490"/>
      <c r="D514" s="490" t="str">
        <f>IFERROR(__xludf.DUMMYFUNCTION("""COMPUTED_VALUE"""),"NTT")</f>
        <v>NTT</v>
      </c>
      <c r="E514" s="593" t="str">
        <f>IFERROR(__xludf.DUMMYFUNCTION("""COMPUTED_VALUE"""),"CAPTIVEAIRE")</f>
        <v>CAPTIVEAIRE</v>
      </c>
      <c r="F514" s="593" t="str">
        <f>IFERROR(__xludf.DUMMYFUNCTION("""COMPUTED_VALUE"""),"DU180HFA")</f>
        <v>DU180HFA</v>
      </c>
      <c r="G514" s="490"/>
      <c r="H514" s="490"/>
      <c r="I514" s="490"/>
      <c r="J514" s="588"/>
      <c r="K514" s="490"/>
      <c r="L514" s="490"/>
      <c r="M514" s="490"/>
      <c r="N514" s="490"/>
      <c r="O514" s="490"/>
      <c r="P514" s="490" t="s">
        <v>8813</v>
      </c>
    </row>
    <row r="515">
      <c r="A515" s="490"/>
      <c r="B515" s="490"/>
      <c r="C515" s="490"/>
      <c r="D515" s="490" t="str">
        <f>IFERROR(__xludf.DUMMYFUNCTION("""COMPUTED_VALUE"""),"NVIDIA")</f>
        <v>NVIDIA</v>
      </c>
      <c r="E515" s="593" t="str">
        <f>IFERROR(__xludf.DUMMYFUNCTION("""COMPUTED_VALUE"""),"CAPTIVEAIRE")</f>
        <v>CAPTIVEAIRE</v>
      </c>
      <c r="F515" s="593" t="str">
        <f>IFERROR(__xludf.DUMMYFUNCTION("""COMPUTED_VALUE"""),"DU85HFA")</f>
        <v>DU85HFA</v>
      </c>
      <c r="G515" s="490"/>
      <c r="H515" s="490"/>
      <c r="I515" s="490"/>
      <c r="J515" s="588"/>
      <c r="K515" s="490"/>
      <c r="L515" s="490"/>
      <c r="M515" s="490"/>
      <c r="N515" s="490"/>
      <c r="O515" s="490"/>
      <c r="P515" s="490" t="s">
        <v>8815</v>
      </c>
    </row>
    <row r="516">
      <c r="A516" s="490"/>
      <c r="B516" s="490"/>
      <c r="C516" s="490"/>
      <c r="D516" s="490" t="str">
        <f>IFERROR(__xludf.DUMMYFUNCTION("""COMPUTED_VALUE"""),"NVIDIA CORP")</f>
        <v>NVIDIA CORP</v>
      </c>
      <c r="E516" s="593" t="str">
        <f>IFERROR(__xludf.DUMMYFUNCTION("""COMPUTED_VALUE"""),"CAPTIVEAIRE")</f>
        <v>CAPTIVEAIRE</v>
      </c>
      <c r="F516" s="593" t="str">
        <f>IFERROR(__xludf.DUMMYFUNCTION("""COMPUTED_VALUE"""),"DU50HFA")</f>
        <v>DU50HFA</v>
      </c>
      <c r="G516" s="490"/>
      <c r="H516" s="490"/>
      <c r="I516" s="490"/>
      <c r="J516" s="588"/>
      <c r="K516" s="490"/>
      <c r="L516" s="490"/>
      <c r="M516" s="490"/>
      <c r="N516" s="490"/>
      <c r="O516" s="490"/>
      <c r="P516" s="490" t="s">
        <v>8817</v>
      </c>
    </row>
    <row r="517">
      <c r="A517" s="490"/>
      <c r="B517" s="490"/>
      <c r="C517" s="490"/>
      <c r="D517" s="490" t="str">
        <f>IFERROR(__xludf.DUMMYFUNCTION("""COMPUTED_VALUE"""),"O/M")</f>
        <v>O/M</v>
      </c>
      <c r="E517" s="593" t="str">
        <f>IFERROR(__xludf.DUMMYFUNCTION("""COMPUTED_VALUE"""),"CAPTIVEAIRE")</f>
        <v>CAPTIVEAIRE</v>
      </c>
      <c r="F517" s="593" t="str">
        <f>IFERROR(__xludf.DUMMYFUNCTION("""COMPUTED_VALUE"""),"CASRTU4")</f>
        <v>CASRTU4</v>
      </c>
      <c r="G517" s="490"/>
      <c r="H517" s="490"/>
      <c r="I517" s="490"/>
      <c r="J517" s="588"/>
      <c r="K517" s="490"/>
      <c r="L517" s="490"/>
      <c r="M517" s="490"/>
      <c r="N517" s="490"/>
      <c r="O517" s="490"/>
      <c r="P517" s="490" t="s">
        <v>8819</v>
      </c>
    </row>
    <row r="518">
      <c r="A518" s="490"/>
      <c r="B518" s="490"/>
      <c r="C518" s="490"/>
      <c r="D518" s="490" t="str">
        <f>IFERROR(__xludf.DUMMYFUNCTION("""COMPUTED_VALUE"""),"OBVIUS")</f>
        <v>OBVIUS</v>
      </c>
      <c r="E518" s="593" t="str">
        <f>IFERROR(__xludf.DUMMYFUNCTION("""COMPUTED_VALUE"""),"CAPTIVEAIRE")</f>
        <v>CAPTIVEAIRE</v>
      </c>
      <c r="F518" s="593" t="str">
        <f>IFERROR(__xludf.DUMMYFUNCTION("""COMPUTED_VALUE"""),"DCV")</f>
        <v>DCV</v>
      </c>
      <c r="G518" s="490"/>
      <c r="H518" s="490"/>
      <c r="I518" s="490"/>
      <c r="J518" s="588"/>
      <c r="K518" s="490"/>
      <c r="L518" s="490"/>
      <c r="M518" s="490"/>
      <c r="N518" s="490"/>
      <c r="O518" s="490"/>
      <c r="P518" s="490" t="s">
        <v>8140</v>
      </c>
    </row>
    <row r="519">
      <c r="A519" s="490"/>
      <c r="B519" s="490"/>
      <c r="C519" s="490"/>
      <c r="D519" s="490" t="str">
        <f>IFERROR(__xludf.DUMMYFUNCTION("""COMPUTED_VALUE"""),"OCTANE FITNESS")</f>
        <v>OCTANE FITNESS</v>
      </c>
      <c r="E519" s="593" t="str">
        <f>IFERROR(__xludf.DUMMYFUNCTION("""COMPUTED_VALUE"""),"CAREL")</f>
        <v>CAREL</v>
      </c>
      <c r="F519" s="593" t="str">
        <f>IFERROR(__xludf.DUMMYFUNCTION("""COMPUTED_VALUE"""),"PCO5 CONTROLLER")</f>
        <v>PCO5 CONTROLLER</v>
      </c>
      <c r="G519" s="490"/>
      <c r="H519" s="490"/>
      <c r="I519" s="490"/>
      <c r="J519" s="588"/>
      <c r="K519" s="490"/>
      <c r="L519" s="490"/>
      <c r="M519" s="490"/>
      <c r="N519" s="490"/>
      <c r="O519" s="490"/>
      <c r="P519" s="490" t="s">
        <v>8821</v>
      </c>
    </row>
    <row r="520">
      <c r="A520" s="490"/>
      <c r="B520" s="490"/>
      <c r="C520" s="490"/>
      <c r="D520" s="490" t="str">
        <f>IFERROR(__xludf.DUMMYFUNCTION("""COMPUTED_VALUE"""),"OEM")</f>
        <v>OEM</v>
      </c>
      <c r="E520" s="593" t="str">
        <f>IFERROR(__xludf.DUMMYFUNCTION("""COMPUTED_VALUE"""),"CAREL")</f>
        <v>CAREL</v>
      </c>
      <c r="F520" s="593" t="str">
        <f>IFERROR(__xludf.DUMMYFUNCTION("""COMPUTED_VALUE"""),"PCO5 CONTROLLER")</f>
        <v>PCO5 CONTROLLER</v>
      </c>
      <c r="G520" s="490"/>
      <c r="H520" s="490"/>
      <c r="I520" s="490"/>
      <c r="J520" s="588"/>
      <c r="K520" s="490"/>
      <c r="L520" s="490"/>
      <c r="M520" s="490"/>
      <c r="N520" s="490"/>
      <c r="O520" s="490"/>
      <c r="P520" s="490" t="s">
        <v>8823</v>
      </c>
    </row>
    <row r="521">
      <c r="A521" s="490"/>
      <c r="B521" s="490"/>
      <c r="C521" s="490"/>
      <c r="D521" s="490" t="str">
        <f>IFERROR(__xludf.DUMMYFUNCTION("""COMPUTED_VALUE"""),"OKAYA")</f>
        <v>OKAYA</v>
      </c>
      <c r="E521" s="593" t="str">
        <f>IFERROR(__xludf.DUMMYFUNCTION("""COMPUTED_VALUE"""),"CAREL")</f>
        <v>CAREL</v>
      </c>
      <c r="F521" s="593" t="str">
        <f>IFERROR(__xludf.DUMMYFUNCTION("""COMPUTED_VALUE"""),"PCO")</f>
        <v>PCO</v>
      </c>
      <c r="G521" s="490"/>
      <c r="H521" s="490"/>
      <c r="I521" s="490"/>
      <c r="J521" s="588"/>
      <c r="K521" s="490"/>
      <c r="L521" s="490"/>
      <c r="M521" s="490"/>
      <c r="N521" s="490"/>
      <c r="O521" s="490"/>
      <c r="P521" s="490" t="s">
        <v>8825</v>
      </c>
    </row>
    <row r="522">
      <c r="A522" s="490"/>
      <c r="B522" s="490"/>
      <c r="C522" s="490"/>
      <c r="D522" s="490" t="str">
        <f>IFERROR(__xludf.DUMMYFUNCTION("""COMPUTED_VALUE"""),"OMICRON")</f>
        <v>OMICRON</v>
      </c>
      <c r="E522" s="593" t="str">
        <f>IFERROR(__xludf.DUMMYFUNCTION("""COMPUTED_VALUE"""),"CAREL")</f>
        <v>CAREL</v>
      </c>
      <c r="F522" s="593" t="str">
        <f>IFERROR(__xludf.DUMMYFUNCTION("""COMPUTED_VALUE"""),"CAREL PCO")</f>
        <v>CAREL PCO</v>
      </c>
      <c r="G522" s="490"/>
      <c r="H522" s="490"/>
      <c r="I522" s="490"/>
      <c r="J522" s="588"/>
      <c r="K522" s="490"/>
      <c r="L522" s="490"/>
      <c r="M522" s="490"/>
      <c r="N522" s="490"/>
      <c r="O522" s="490"/>
      <c r="P522" s="490" t="s">
        <v>8827</v>
      </c>
    </row>
    <row r="523">
      <c r="A523" s="490"/>
      <c r="B523" s="490"/>
      <c r="C523" s="490"/>
      <c r="D523" s="490" t="str">
        <f>IFERROR(__xludf.DUMMYFUNCTION("""COMPUTED_VALUE"""),"OMICRON SENSING")</f>
        <v>OMICRON SENSING</v>
      </c>
      <c r="E523" s="593" t="str">
        <f>IFERROR(__xludf.DUMMYFUNCTION("""COMPUTED_VALUE"""),"CAREL")</f>
        <v>CAREL</v>
      </c>
      <c r="F523" s="593" t="str">
        <f>IFERROR(__xludf.DUMMYFUNCTION("""COMPUTED_VALUE"""),"PCO1")</f>
        <v>PCO1</v>
      </c>
      <c r="G523" s="490"/>
      <c r="H523" s="490"/>
      <c r="I523" s="490"/>
      <c r="J523" s="588"/>
      <c r="K523" s="490"/>
      <c r="L523" s="490"/>
      <c r="M523" s="490"/>
      <c r="N523" s="490"/>
      <c r="O523" s="490"/>
      <c r="P523" s="490" t="s">
        <v>8829</v>
      </c>
    </row>
    <row r="524">
      <c r="A524" s="490"/>
      <c r="B524" s="490"/>
      <c r="C524" s="490"/>
      <c r="D524" s="490" t="str">
        <f>IFERROR(__xludf.DUMMYFUNCTION("""COMPUTED_VALUE"""),"ONICON")</f>
        <v>ONICON</v>
      </c>
      <c r="E524" s="593" t="str">
        <f>IFERROR(__xludf.DUMMYFUNCTION("""COMPUTED_VALUE"""),"CAREL")</f>
        <v>CAREL</v>
      </c>
      <c r="F524" s="593" t="str">
        <f>IFERROR(__xludf.DUMMYFUNCTION("""COMPUTED_VALUE"""),"C.PCO")</f>
        <v>C.PCO</v>
      </c>
      <c r="G524" s="490"/>
      <c r="H524" s="490"/>
      <c r="I524" s="490"/>
      <c r="J524" s="588"/>
      <c r="K524" s="490"/>
      <c r="L524" s="490"/>
      <c r="M524" s="490"/>
      <c r="N524" s="490"/>
      <c r="O524" s="490"/>
      <c r="P524" s="490" t="s">
        <v>8831</v>
      </c>
    </row>
    <row r="525">
      <c r="A525" s="490"/>
      <c r="B525" s="490"/>
      <c r="C525" s="490"/>
      <c r="D525" s="490" t="str">
        <f>IFERROR(__xludf.DUMMYFUNCTION("""COMPUTED_VALUE"""),"ONLOGIC")</f>
        <v>ONLOGIC</v>
      </c>
      <c r="E525" s="593" t="str">
        <f>IFERROR(__xludf.DUMMYFUNCTION("""COMPUTED_VALUE"""),"CAREL")</f>
        <v>CAREL</v>
      </c>
      <c r="F525" s="593" t="str">
        <f>IFERROR(__xludf.DUMMYFUNCTION("""COMPUTED_VALUE"""),"C.PCO")</f>
        <v>C.PCO</v>
      </c>
      <c r="G525" s="490"/>
      <c r="H525" s="490"/>
      <c r="I525" s="490"/>
      <c r="J525" s="588"/>
      <c r="K525" s="490"/>
      <c r="L525" s="490"/>
      <c r="M525" s="490"/>
      <c r="N525" s="490"/>
      <c r="O525" s="490"/>
      <c r="P525" s="490" t="s">
        <v>8833</v>
      </c>
    </row>
    <row r="526">
      <c r="A526" s="490"/>
      <c r="B526" s="490"/>
      <c r="C526" s="490"/>
      <c r="D526" s="490" t="str">
        <f>IFERROR(__xludf.DUMMYFUNCTION("""COMPUTED_VALUE"""),"OPEN SOURCE SOLUTIONS")</f>
        <v>OPEN SOURCE SOLUTIONS</v>
      </c>
      <c r="E526" s="593" t="str">
        <f>IFERROR(__xludf.DUMMYFUNCTION("""COMPUTED_VALUE"""),"CAREL")</f>
        <v>CAREL</v>
      </c>
      <c r="F526" s="593" t="str">
        <f>IFERROR(__xludf.DUMMYFUNCTION("""COMPUTED_VALUE"""),"PCOWEB")</f>
        <v>PCOWEB</v>
      </c>
      <c r="G526" s="490"/>
      <c r="H526" s="490"/>
      <c r="I526" s="490"/>
      <c r="J526" s="588"/>
      <c r="K526" s="490"/>
      <c r="L526" s="490"/>
      <c r="M526" s="490"/>
      <c r="N526" s="490"/>
      <c r="O526" s="490"/>
      <c r="P526" s="490" t="s">
        <v>8835</v>
      </c>
    </row>
    <row r="527">
      <c r="A527" s="490"/>
      <c r="B527" s="490"/>
      <c r="C527" s="490"/>
      <c r="D527" s="490" t="str">
        <f>IFERROR(__xludf.DUMMYFUNCTION("""COMPUTED_VALUE"""),"OPTCONNECT")</f>
        <v>OPTCONNECT</v>
      </c>
      <c r="E527" s="593" t="str">
        <f>IFERROR(__xludf.DUMMYFUNCTION("""COMPUTED_VALUE"""),"CAREL")</f>
        <v>CAREL</v>
      </c>
      <c r="F527" s="593" t="str">
        <f>IFERROR(__xludf.DUMMYFUNCTION("""COMPUTED_VALUE"""),"PCO1000WB0")</f>
        <v>PCO1000WB0</v>
      </c>
      <c r="G527" s="490"/>
      <c r="H527" s="490"/>
      <c r="I527" s="490"/>
      <c r="J527" s="588"/>
      <c r="K527" s="490"/>
      <c r="L527" s="490"/>
      <c r="M527" s="490"/>
      <c r="N527" s="490"/>
      <c r="O527" s="490"/>
      <c r="P527" s="490" t="s">
        <v>8837</v>
      </c>
    </row>
    <row r="528">
      <c r="A528" s="490"/>
      <c r="B528" s="490"/>
      <c r="C528" s="490"/>
      <c r="D528" s="490" t="str">
        <f>IFERROR(__xludf.DUMMYFUNCTION("""COMPUTED_VALUE"""),"ORACLE MICROS SYSTEMS")</f>
        <v>ORACLE MICROS SYSTEMS</v>
      </c>
      <c r="E528" s="593" t="str">
        <f>IFERROR(__xludf.DUMMYFUNCTION("""COMPUTED_VALUE"""),"CAREL")</f>
        <v>CAREL</v>
      </c>
      <c r="F528" s="593" t="str">
        <f>IFERROR(__xludf.DUMMYFUNCTION("""COMPUTED_VALUE"""),"PCO5")</f>
        <v>PCO5</v>
      </c>
      <c r="G528" s="490"/>
      <c r="H528" s="490"/>
      <c r="I528" s="490"/>
      <c r="J528" s="588"/>
      <c r="K528" s="490"/>
      <c r="L528" s="490"/>
      <c r="M528" s="490"/>
      <c r="N528" s="490"/>
      <c r="O528" s="490"/>
      <c r="P528" s="490" t="s">
        <v>8839</v>
      </c>
    </row>
    <row r="529">
      <c r="A529" s="490"/>
      <c r="B529" s="490"/>
      <c r="C529" s="490"/>
      <c r="D529" s="490" t="str">
        <f>IFERROR(__xludf.DUMMYFUNCTION("""COMPUTED_VALUE"""),"OTIS")</f>
        <v>OTIS</v>
      </c>
      <c r="E529" s="593" t="str">
        <f>IFERROR(__xludf.DUMMYFUNCTION("""COMPUTED_VALUE"""),"CAREL")</f>
        <v>CAREL</v>
      </c>
      <c r="F529" s="593" t="str">
        <f>IFERROR(__xludf.DUMMYFUNCTION("""COMPUTED_VALUE"""),"PCO5+")</f>
        <v>PCO5+</v>
      </c>
      <c r="G529" s="490"/>
      <c r="H529" s="490"/>
      <c r="I529" s="490"/>
      <c r="J529" s="588"/>
      <c r="K529" s="490"/>
      <c r="L529" s="490"/>
      <c r="M529" s="490"/>
      <c r="N529" s="490"/>
      <c r="O529" s="490"/>
      <c r="P529" s="490" t="s">
        <v>8142</v>
      </c>
    </row>
    <row r="530">
      <c r="A530" s="490"/>
      <c r="B530" s="490"/>
      <c r="C530" s="490"/>
      <c r="D530" s="490" t="str">
        <f>IFERROR(__xludf.DUMMYFUNCTION("""COMPUTED_VALUE"""),"OURCOOLHOUSE")</f>
        <v>OURCOOLHOUSE</v>
      </c>
      <c r="E530" s="593" t="str">
        <f>IFERROR(__xludf.DUMMYFUNCTION("""COMPUTED_VALUE"""),"CAREL")</f>
        <v>CAREL</v>
      </c>
      <c r="F530" s="593" t="str">
        <f>IFERROR(__xludf.DUMMYFUNCTION("""COMPUTED_VALUE"""),"UPC3")</f>
        <v>UPC3</v>
      </c>
      <c r="G530" s="490"/>
      <c r="H530" s="490"/>
      <c r="I530" s="490"/>
      <c r="J530" s="588"/>
      <c r="K530" s="490"/>
      <c r="L530" s="490"/>
      <c r="M530" s="490"/>
      <c r="N530" s="490"/>
      <c r="O530" s="490"/>
      <c r="P530" s="490" t="s">
        <v>8841</v>
      </c>
    </row>
    <row r="531">
      <c r="A531" s="490"/>
      <c r="B531" s="490"/>
      <c r="C531" s="490"/>
      <c r="D531" s="490" t="str">
        <f>IFERROR(__xludf.DUMMYFUNCTION("""COMPUTED_VALUE"""),"OUT OF ORDER")</f>
        <v>OUT OF ORDER</v>
      </c>
      <c r="E531" s="593" t="str">
        <f>IFERROR(__xludf.DUMMYFUNCTION("""COMPUTED_VALUE"""),"CAREL")</f>
        <v>CAREL</v>
      </c>
      <c r="F531" s="593" t="str">
        <f>IFERROR(__xludf.DUMMYFUNCTION("""COMPUTED_VALUE"""),"PCOD000WD0")</f>
        <v>PCOD000WD0</v>
      </c>
      <c r="G531" s="490"/>
      <c r="H531" s="490"/>
      <c r="I531" s="490"/>
      <c r="J531" s="588"/>
      <c r="K531" s="490"/>
      <c r="L531" s="490"/>
      <c r="M531" s="490"/>
      <c r="N531" s="490"/>
      <c r="O531" s="490"/>
      <c r="P531" s="490" t="s">
        <v>8843</v>
      </c>
    </row>
    <row r="532">
      <c r="A532" s="490"/>
      <c r="B532" s="490"/>
      <c r="C532" s="490"/>
      <c r="D532" s="490" t="str">
        <f>IFERROR(__xludf.DUMMYFUNCTION("""COMPUTED_VALUE"""),"OVERCLOCKERS UK")</f>
        <v>OVERCLOCKERS UK</v>
      </c>
      <c r="E532" s="593" t="str">
        <f>IFERROR(__xludf.DUMMYFUNCTION("""COMPUTED_VALUE"""),"CAREL")</f>
        <v>CAREL</v>
      </c>
      <c r="F532" s="593" t="str">
        <f>IFERROR(__xludf.DUMMYFUNCTION("""COMPUTED_VALUE"""),"W3000")</f>
        <v>W3000</v>
      </c>
      <c r="G532" s="490"/>
      <c r="H532" s="490"/>
      <c r="I532" s="490"/>
      <c r="J532" s="588"/>
      <c r="K532" s="490"/>
      <c r="L532" s="490"/>
      <c r="M532" s="490"/>
      <c r="N532" s="490"/>
      <c r="O532" s="490"/>
      <c r="P532" s="490" t="s">
        <v>8845</v>
      </c>
    </row>
    <row r="533">
      <c r="A533" s="490"/>
      <c r="B533" s="490"/>
      <c r="C533" s="490"/>
      <c r="D533" s="490" t="str">
        <f>IFERROR(__xludf.DUMMYFUNCTION("""COMPUTED_VALUE"""),"PANAMETRICS")</f>
        <v>PANAMETRICS</v>
      </c>
      <c r="E533" s="593" t="str">
        <f>IFERROR(__xludf.DUMMYFUNCTION("""COMPUTED_VALUE"""),"CAREL")</f>
        <v>CAREL</v>
      </c>
      <c r="F533" s="593" t="str">
        <f>IFERROR(__xludf.DUMMYFUNCTION("""COMPUTED_VALUE"""),"MANAGER 3000")</f>
        <v>MANAGER 3000</v>
      </c>
      <c r="G533" s="490"/>
      <c r="H533" s="490"/>
      <c r="I533" s="490"/>
      <c r="J533" s="588"/>
      <c r="K533" s="490"/>
      <c r="L533" s="490"/>
      <c r="M533" s="490"/>
      <c r="N533" s="490"/>
      <c r="O533" s="490"/>
      <c r="P533" s="490" t="s">
        <v>8847</v>
      </c>
    </row>
    <row r="534">
      <c r="A534" s="490"/>
      <c r="B534" s="490"/>
      <c r="C534" s="490"/>
      <c r="D534" s="490" t="str">
        <f>IFERROR(__xludf.DUMMYFUNCTION("""COMPUTED_VALUE"""),"PANASONIC")</f>
        <v>PANASONIC</v>
      </c>
      <c r="E534" s="593" t="str">
        <f>IFERROR(__xludf.DUMMYFUNCTION("""COMPUTED_VALUE"""),"CAREL")</f>
        <v>CAREL</v>
      </c>
      <c r="F534" s="593" t="str">
        <f>IFERROR(__xludf.DUMMYFUNCTION("""COMPUTED_VALUE"""),"PGDN")</f>
        <v>PGDN</v>
      </c>
      <c r="G534" s="490"/>
      <c r="H534" s="490"/>
      <c r="I534" s="490"/>
      <c r="J534" s="588"/>
      <c r="K534" s="490"/>
      <c r="L534" s="490"/>
      <c r="M534" s="490"/>
      <c r="N534" s="490"/>
      <c r="O534" s="490"/>
      <c r="P534" s="490" t="s">
        <v>8849</v>
      </c>
    </row>
    <row r="535">
      <c r="A535" s="490"/>
      <c r="B535" s="490"/>
      <c r="C535" s="490"/>
      <c r="D535" s="490" t="str">
        <f>IFERROR(__xludf.DUMMYFUNCTION("""COMPUTED_VALUE"""),"PAR")</f>
        <v>PAR</v>
      </c>
      <c r="E535" s="593" t="str">
        <f>IFERROR(__xludf.DUMMYFUNCTION("""COMPUTED_VALUE"""),"CAREL")</f>
        <v>CAREL</v>
      </c>
      <c r="F535" s="593" t="str">
        <f>IFERROR(__xludf.DUMMYFUNCTION("""COMPUTED_VALUE"""),"CP CO-MINI")</f>
        <v>CP CO-MINI</v>
      </c>
      <c r="G535" s="490"/>
      <c r="H535" s="490"/>
      <c r="I535" s="490"/>
      <c r="J535" s="588"/>
      <c r="K535" s="490"/>
      <c r="L535" s="490"/>
      <c r="M535" s="490"/>
      <c r="N535" s="490"/>
      <c r="O535" s="490"/>
      <c r="P535" s="490" t="s">
        <v>8851</v>
      </c>
    </row>
    <row r="536">
      <c r="A536" s="490"/>
      <c r="B536" s="490"/>
      <c r="C536" s="490"/>
      <c r="D536" s="490" t="str">
        <f>IFERROR(__xludf.DUMMYFUNCTION("""COMPUTED_VALUE"""),"PARADOX")</f>
        <v>PARADOX</v>
      </c>
      <c r="E536" s="593" t="str">
        <f>IFERROR(__xludf.DUMMYFUNCTION("""COMPUTED_VALUE"""),"CARRIER")</f>
        <v>CARRIER</v>
      </c>
      <c r="F536" s="593" t="str">
        <f>IFERROR(__xludf.DUMMYFUNCTION("""COMPUTED_VALUE"""),"BMS-IFBN640TLE")</f>
        <v>BMS-IFBN640TLE</v>
      </c>
      <c r="G536" s="490"/>
      <c r="H536" s="490"/>
      <c r="I536" s="490"/>
      <c r="J536" s="588"/>
      <c r="K536" s="490"/>
      <c r="L536" s="490"/>
      <c r="M536" s="490"/>
      <c r="N536" s="490"/>
      <c r="O536" s="490"/>
      <c r="P536" s="490" t="s">
        <v>8853</v>
      </c>
    </row>
    <row r="537">
      <c r="A537" s="490"/>
      <c r="B537" s="490"/>
      <c r="C537" s="490"/>
      <c r="D537" s="490" t="str">
        <f>IFERROR(__xludf.DUMMYFUNCTION("""COMPUTED_VALUE"""),"PB PICOBOX")</f>
        <v>PB PICOBOX</v>
      </c>
      <c r="E537" s="593" t="str">
        <f>IFERROR(__xludf.DUMMYFUNCTION("""COMPUTED_VALUE"""),"CARRIER")</f>
        <v>CARRIER</v>
      </c>
      <c r="F537" s="593" t="str">
        <f>IFERROR(__xludf.DUMMYFUNCTION("""COMPUTED_VALUE"""),"30XAXW TOUCHPILOT")</f>
        <v>30XAXW TOUCHPILOT</v>
      </c>
      <c r="G537" s="490"/>
      <c r="H537" s="490"/>
      <c r="I537" s="490"/>
      <c r="J537" s="588"/>
      <c r="K537" s="490"/>
      <c r="L537" s="490"/>
      <c r="M537" s="490"/>
      <c r="N537" s="490"/>
      <c r="O537" s="490"/>
      <c r="P537" s="490" t="s">
        <v>8855</v>
      </c>
    </row>
    <row r="538">
      <c r="A538" s="490"/>
      <c r="B538" s="490"/>
      <c r="C538" s="490"/>
      <c r="D538" s="490" t="str">
        <f>IFERROR(__xludf.DUMMYFUNCTION("""COMPUTED_VALUE"""),"PEGATRON")</f>
        <v>PEGATRON</v>
      </c>
      <c r="E538" s="593" t="str">
        <f>IFERROR(__xludf.DUMMYFUNCTION("""COMPUTED_VALUE"""),"CARRIER")</f>
        <v>CARRIER</v>
      </c>
      <c r="F538" s="593" t="str">
        <f>IFERROR(__xludf.DUMMYFUNCTION("""COMPUTED_VALUE"""),"NW-BCN-CM")</f>
        <v>NW-BCN-CM</v>
      </c>
      <c r="G538" s="490"/>
      <c r="H538" s="490"/>
      <c r="I538" s="490"/>
      <c r="J538" s="588"/>
      <c r="K538" s="490"/>
      <c r="L538" s="490"/>
      <c r="M538" s="490"/>
      <c r="N538" s="490"/>
      <c r="O538" s="490"/>
      <c r="P538" s="490" t="s">
        <v>8857</v>
      </c>
    </row>
    <row r="539">
      <c r="A539" s="490"/>
      <c r="B539" s="490"/>
      <c r="C539" s="490"/>
      <c r="D539" s="490" t="str">
        <f>IFERROR(__xludf.DUMMYFUNCTION("""COMPUTED_VALUE"""),"PELOTON")</f>
        <v>PELOTON</v>
      </c>
      <c r="E539" s="593" t="str">
        <f>IFERROR(__xludf.DUMMYFUNCTION("""COMPUTED_VALUE"""),"CARRIER")</f>
        <v>CARRIER</v>
      </c>
      <c r="F539" s="593" t="str">
        <f>IFERROR(__xludf.DUMMYFUNCTION("""COMPUTED_VALUE"""),"CCU CONTROLLER")</f>
        <v>CCU CONTROLLER</v>
      </c>
      <c r="G539" s="490"/>
      <c r="H539" s="490"/>
      <c r="I539" s="490"/>
      <c r="J539" s="588"/>
      <c r="K539" s="490"/>
      <c r="L539" s="490"/>
      <c r="M539" s="490"/>
      <c r="N539" s="490"/>
      <c r="O539" s="490"/>
      <c r="P539" s="490" t="s">
        <v>8859</v>
      </c>
    </row>
    <row r="540">
      <c r="A540" s="490"/>
      <c r="B540" s="490"/>
      <c r="C540" s="490"/>
      <c r="D540" s="490" t="str">
        <f>IFERROR(__xludf.DUMMYFUNCTION("""COMPUTED_VALUE"""),"PEPLINK")</f>
        <v>PEPLINK</v>
      </c>
      <c r="E540" s="593" t="str">
        <f>IFERROR(__xludf.DUMMYFUNCTION("""COMPUTED_VALUE"""),"CARRIER")</f>
        <v>CARRIER</v>
      </c>
      <c r="F540" s="593" t="str">
        <f>IFERROR(__xludf.DUMMYFUNCTION("""COMPUTED_VALUE"""),"AQUASNAP 30RBY")</f>
        <v>AQUASNAP 30RBY</v>
      </c>
      <c r="G540" s="490"/>
      <c r="H540" s="490"/>
      <c r="I540" s="490"/>
      <c r="J540" s="588"/>
      <c r="K540" s="490"/>
      <c r="L540" s="490"/>
      <c r="M540" s="490"/>
      <c r="N540" s="490"/>
      <c r="O540" s="490"/>
      <c r="P540" s="490" t="s">
        <v>8144</v>
      </c>
    </row>
    <row r="541">
      <c r="A541" s="490"/>
      <c r="B541" s="490"/>
      <c r="C541" s="490"/>
      <c r="D541" s="490" t="str">
        <f>IFERROR(__xludf.DUMMYFUNCTION("""COMPUTED_VALUE"""),"PETRA")</f>
        <v>PETRA</v>
      </c>
      <c r="E541" s="593" t="str">
        <f>IFERROR(__xludf.DUMMYFUNCTION("""COMPUTED_VALUE"""),"CARRIER")</f>
        <v>CARRIER</v>
      </c>
      <c r="F541" s="593" t="str">
        <f>IFERROR(__xludf.DUMMYFUNCTION("""COMPUTED_VALUE"""),"AIROVISION 39CP AHU")</f>
        <v>AIROVISION 39CP AHU</v>
      </c>
      <c r="G541" s="490"/>
      <c r="H541" s="490"/>
      <c r="I541" s="490"/>
      <c r="J541" s="588"/>
      <c r="K541" s="490"/>
      <c r="L541" s="490"/>
      <c r="M541" s="490"/>
      <c r="N541" s="490"/>
      <c r="O541" s="490"/>
      <c r="P541" s="490" t="s">
        <v>8861</v>
      </c>
    </row>
    <row r="542">
      <c r="A542" s="490"/>
      <c r="B542" s="490"/>
      <c r="C542" s="490"/>
      <c r="D542" s="490" t="str">
        <f>IFERROR(__xludf.DUMMYFUNCTION("""COMPUTED_VALUE"""),"PHAROS")</f>
        <v>PHAROS</v>
      </c>
      <c r="E542" s="593" t="str">
        <f>IFERROR(__xludf.DUMMYFUNCTION("""COMPUTED_VALUE"""),"CAT")</f>
        <v>CAT</v>
      </c>
      <c r="F542" s="593" t="str">
        <f>IFERROR(__xludf.DUMMYFUNCTION("""COMPUTED_VALUE"""),"PL444")</f>
        <v>PL444</v>
      </c>
      <c r="G542" s="490"/>
      <c r="H542" s="490"/>
      <c r="I542" s="490"/>
      <c r="J542" s="588"/>
      <c r="K542" s="490"/>
      <c r="L542" s="490"/>
      <c r="M542" s="490"/>
      <c r="N542" s="490"/>
      <c r="O542" s="490"/>
      <c r="P542" s="490" t="s">
        <v>8863</v>
      </c>
    </row>
    <row r="543">
      <c r="A543" s="490"/>
      <c r="B543" s="490"/>
      <c r="C543" s="490"/>
      <c r="D543" s="490" t="str">
        <f>IFERROR(__xludf.DUMMYFUNCTION("""COMPUTED_VALUE"""),"PHEONIX CONTACT")</f>
        <v>PHEONIX CONTACT</v>
      </c>
      <c r="E543" s="593" t="str">
        <f>IFERROR(__xludf.DUMMYFUNCTION("""COMPUTED_VALUE"""),"CHAI POINT")</f>
        <v>CHAI POINT</v>
      </c>
      <c r="F543" s="593" t="str">
        <f>IFERROR(__xludf.DUMMYFUNCTION("""COMPUTED_VALUE"""),"BOX C")</f>
        <v>BOX C</v>
      </c>
      <c r="G543" s="490"/>
      <c r="H543" s="490"/>
      <c r="I543" s="490"/>
      <c r="J543" s="588"/>
      <c r="K543" s="490"/>
      <c r="L543" s="490"/>
      <c r="M543" s="490"/>
      <c r="N543" s="490"/>
      <c r="O543" s="490"/>
      <c r="P543" s="490" t="s">
        <v>8865</v>
      </c>
    </row>
    <row r="544">
      <c r="A544" s="490"/>
      <c r="B544" s="490"/>
      <c r="C544" s="490"/>
      <c r="D544" s="490" t="str">
        <f>IFERROR(__xludf.DUMMYFUNCTION("""COMPUTED_VALUE"""),"PHILIPS")</f>
        <v>PHILIPS</v>
      </c>
      <c r="E544" s="593" t="str">
        <f>IFERROR(__xludf.DUMMYFUNCTION("""COMPUTED_VALUE"""),"CHARGEPOINT")</f>
        <v>CHARGEPOINT</v>
      </c>
      <c r="F544" s="593" t="str">
        <f>IFERROR(__xludf.DUMMYFUNCTION("""COMPUTED_VALUE"""),"N/A")</f>
        <v>N/A</v>
      </c>
      <c r="G544" s="490"/>
      <c r="H544" s="490"/>
      <c r="I544" s="490"/>
      <c r="J544" s="588"/>
      <c r="K544" s="490"/>
      <c r="L544" s="490"/>
      <c r="M544" s="490"/>
      <c r="N544" s="490"/>
      <c r="O544" s="490"/>
      <c r="P544" s="490" t="s">
        <v>8867</v>
      </c>
    </row>
    <row r="545">
      <c r="A545" s="490"/>
      <c r="B545" s="490"/>
      <c r="C545" s="490"/>
      <c r="D545" s="490" t="str">
        <f>IFERROR(__xludf.DUMMYFUNCTION("""COMPUTED_VALUE"""),"PHILPS")</f>
        <v>PHILPS</v>
      </c>
      <c r="E545" s="593" t="str">
        <f>IFERROR(__xludf.DUMMYFUNCTION("""COMPUTED_VALUE"""),"CHARGEPOINT")</f>
        <v>CHARGEPOINT</v>
      </c>
      <c r="F545" s="593" t="str">
        <f>IFERROR(__xludf.DUMMYFUNCTION("""COMPUTED_VALUE"""),"CP EXPRESS 250")</f>
        <v>CP EXPRESS 250</v>
      </c>
      <c r="G545" s="490"/>
      <c r="H545" s="490"/>
      <c r="I545" s="490"/>
      <c r="J545" s="588"/>
      <c r="K545" s="490"/>
      <c r="L545" s="490"/>
      <c r="M545" s="490"/>
      <c r="N545" s="490"/>
      <c r="O545" s="490"/>
      <c r="P545" s="490" t="s">
        <v>8869</v>
      </c>
    </row>
    <row r="546">
      <c r="A546" s="490"/>
      <c r="B546" s="490"/>
      <c r="C546" s="490"/>
      <c r="D546" s="490" t="str">
        <f>IFERROR(__xludf.DUMMYFUNCTION("""COMPUTED_VALUE"""),"PHOENIX CONTACT")</f>
        <v>PHOENIX CONTACT</v>
      </c>
      <c r="E546" s="593" t="str">
        <f>IFERROR(__xludf.DUMMYFUNCTION("""COMPUTED_VALUE"""),"CHARGEPOINT")</f>
        <v>CHARGEPOINT</v>
      </c>
      <c r="F546" s="593" t="str">
        <f>IFERROR(__xludf.DUMMYFUNCTION("""COMPUTED_VALUE"""),"CT2020-HD-CCR")</f>
        <v>CT2020-HD-CCR</v>
      </c>
      <c r="G546" s="490"/>
      <c r="H546" s="490"/>
      <c r="I546" s="490"/>
      <c r="J546" s="588"/>
      <c r="K546" s="490"/>
      <c r="L546" s="490"/>
      <c r="M546" s="490"/>
      <c r="N546" s="490"/>
      <c r="O546" s="490"/>
      <c r="P546" s="490" t="s">
        <v>8871</v>
      </c>
    </row>
    <row r="547">
      <c r="A547" s="490"/>
      <c r="B547" s="490"/>
      <c r="C547" s="490"/>
      <c r="D547" s="490" t="str">
        <f>IFERROR(__xludf.DUMMYFUNCTION("""COMPUTED_VALUE"""),"PHOENIX CONTROLS")</f>
        <v>PHOENIX CONTROLS</v>
      </c>
      <c r="E547" s="593" t="str">
        <f>IFERROR(__xludf.DUMMYFUNCTION("""COMPUTED_VALUE"""),"CHARGEPOINT")</f>
        <v>CHARGEPOINT</v>
      </c>
      <c r="F547" s="593" t="str">
        <f>IFERROR(__xludf.DUMMYFUNCTION("""COMPUTED_VALUE"""),"CT2020-HD-GW1-CCR")</f>
        <v>CT2020-HD-GW1-CCR</v>
      </c>
      <c r="G547" s="490"/>
      <c r="H547" s="490"/>
      <c r="I547" s="490"/>
      <c r="J547" s="588"/>
      <c r="K547" s="490"/>
      <c r="L547" s="490"/>
      <c r="M547" s="490"/>
      <c r="N547" s="490"/>
      <c r="O547" s="490"/>
      <c r="P547" s="490" t="s">
        <v>8873</v>
      </c>
    </row>
    <row r="548">
      <c r="A548" s="490"/>
      <c r="B548" s="490"/>
      <c r="C548" s="490"/>
      <c r="D548" s="490" t="str">
        <f>IFERROR(__xludf.DUMMYFUNCTION("""COMPUTED_VALUE"""),"PICOBOX")</f>
        <v>PICOBOX</v>
      </c>
      <c r="E548" s="593" t="str">
        <f>IFERROR(__xludf.DUMMYFUNCTION("""COMPUTED_VALUE"""),"CHARGEPOINT")</f>
        <v>CHARGEPOINT</v>
      </c>
      <c r="F548" s="593" t="str">
        <f>IFERROR(__xludf.DUMMYFUNCTION("""COMPUTED_VALUE"""),"CT2025-HD")</f>
        <v>CT2025-HD</v>
      </c>
      <c r="G548" s="490"/>
      <c r="H548" s="490"/>
      <c r="I548" s="490"/>
      <c r="J548" s="588"/>
      <c r="K548" s="490"/>
      <c r="L548" s="490"/>
      <c r="M548" s="490"/>
      <c r="N548" s="490"/>
      <c r="O548" s="490"/>
      <c r="P548" s="490" t="s">
        <v>8875</v>
      </c>
    </row>
    <row r="549">
      <c r="A549" s="490"/>
      <c r="B549" s="490"/>
      <c r="C549" s="490"/>
      <c r="D549" s="490" t="str">
        <f>IFERROR(__xludf.DUMMYFUNCTION("""COMPUTED_VALUE"""),"PIERO INFINITY CONTROL")</f>
        <v>PIERO INFINITY CONTROL</v>
      </c>
      <c r="E549" s="593" t="str">
        <f>IFERROR(__xludf.DUMMYFUNCTION("""COMPUTED_VALUE"""),"CHARGEPOINT")</f>
        <v>CHARGEPOINT</v>
      </c>
      <c r="F549" s="593" t="str">
        <f>IFERROR(__xludf.DUMMYFUNCTION("""COMPUTED_VALUE"""),"CT2025-HD-GW1")</f>
        <v>CT2025-HD-GW1</v>
      </c>
      <c r="G549" s="490"/>
      <c r="H549" s="490"/>
      <c r="I549" s="490"/>
      <c r="J549" s="588"/>
      <c r="K549" s="490"/>
      <c r="L549" s="490"/>
      <c r="M549" s="490"/>
      <c r="N549" s="490"/>
      <c r="O549" s="490"/>
      <c r="P549" s="490" t="s">
        <v>8877</v>
      </c>
    </row>
    <row r="550">
      <c r="A550" s="490"/>
      <c r="B550" s="490"/>
      <c r="C550" s="490"/>
      <c r="D550" s="490" t="str">
        <f>IFERROR(__xludf.DUMMYFUNCTION("""COMPUTED_VALUE"""),"PIONEER")</f>
        <v>PIONEER</v>
      </c>
      <c r="E550" s="593" t="str">
        <f>IFERROR(__xludf.DUMMYFUNCTION("""COMPUTED_VALUE"""),"CHARGEPOINT")</f>
        <v>CHARGEPOINT</v>
      </c>
      <c r="F550" s="593" t="str">
        <f>IFERROR(__xludf.DUMMYFUNCTION("""COMPUTED_VALUE"""),"CT4010-HD")</f>
        <v>CT4010-HD</v>
      </c>
      <c r="G550" s="490"/>
      <c r="H550" s="490"/>
      <c r="I550" s="490"/>
      <c r="J550" s="588"/>
      <c r="K550" s="490"/>
      <c r="L550" s="490"/>
      <c r="M550" s="490"/>
      <c r="N550" s="490"/>
      <c r="O550" s="490"/>
      <c r="P550" s="490" t="s">
        <v>8879</v>
      </c>
    </row>
    <row r="551">
      <c r="A551" s="490"/>
      <c r="B551" s="490"/>
      <c r="C551" s="490"/>
      <c r="D551" s="490" t="str">
        <f>IFERROR(__xludf.DUMMYFUNCTION("""COMPUTED_VALUE"""),"PLANAR")</f>
        <v>PLANAR</v>
      </c>
      <c r="E551" s="593" t="str">
        <f>IFERROR(__xludf.DUMMYFUNCTION("""COMPUTED_VALUE"""),"CHARGEPOINT")</f>
        <v>CHARGEPOINT</v>
      </c>
      <c r="F551" s="593" t="str">
        <f>IFERROR(__xludf.DUMMYFUNCTION("""COMPUTED_VALUE"""),"CT4010-HD-GW")</f>
        <v>CT4010-HD-GW</v>
      </c>
      <c r="G551" s="490"/>
      <c r="H551" s="490"/>
      <c r="I551" s="490"/>
      <c r="J551" s="588"/>
      <c r="K551" s="490"/>
      <c r="L551" s="490"/>
      <c r="M551" s="490"/>
      <c r="N551" s="490"/>
      <c r="O551" s="490"/>
      <c r="P551" s="490" t="s">
        <v>8146</v>
      </c>
    </row>
    <row r="552">
      <c r="A552" s="490"/>
      <c r="B552" s="490"/>
      <c r="C552" s="490"/>
      <c r="D552" s="490" t="str">
        <f>IFERROR(__xludf.DUMMYFUNCTION("""COMPUTED_VALUE"""),"PLANET")</f>
        <v>PLANET</v>
      </c>
      <c r="E552" s="593" t="str">
        <f>IFERROR(__xludf.DUMMYFUNCTION("""COMPUTED_VALUE"""),"CHARGEPOINT")</f>
        <v>CHARGEPOINT</v>
      </c>
      <c r="F552" s="593" t="str">
        <f>IFERROR(__xludf.DUMMYFUNCTION("""COMPUTED_VALUE"""),"CT4020-HD")</f>
        <v>CT4020-HD</v>
      </c>
      <c r="G552" s="490"/>
      <c r="H552" s="490"/>
      <c r="I552" s="490"/>
      <c r="J552" s="588"/>
      <c r="K552" s="490"/>
      <c r="L552" s="490"/>
      <c r="M552" s="490"/>
      <c r="N552" s="490"/>
      <c r="O552" s="490"/>
      <c r="P552" s="490" t="s">
        <v>8881</v>
      </c>
    </row>
    <row r="553">
      <c r="A553" s="490"/>
      <c r="B553" s="490"/>
      <c r="C553" s="490"/>
      <c r="D553" s="490" t="str">
        <f>IFERROR(__xludf.DUMMYFUNCTION("""COMPUTED_VALUE"""),"PLATHOME")</f>
        <v>PLATHOME</v>
      </c>
      <c r="E553" s="593" t="str">
        <f>IFERROR(__xludf.DUMMYFUNCTION("""COMPUTED_VALUE"""),"CHARGEPOINT")</f>
        <v>CHARGEPOINT</v>
      </c>
      <c r="F553" s="593" t="str">
        <f>IFERROR(__xludf.DUMMYFUNCTION("""COMPUTED_VALUE"""),"CT4020-HD-GW")</f>
        <v>CT4020-HD-GW</v>
      </c>
      <c r="G553" s="490"/>
      <c r="H553" s="490"/>
      <c r="I553" s="490"/>
      <c r="J553" s="588"/>
      <c r="K553" s="490"/>
      <c r="L553" s="490"/>
      <c r="M553" s="490"/>
      <c r="N553" s="490"/>
      <c r="O553" s="490"/>
      <c r="P553" s="490" t="s">
        <v>8883</v>
      </c>
    </row>
    <row r="554">
      <c r="A554" s="490"/>
      <c r="B554" s="490"/>
      <c r="C554" s="490"/>
      <c r="D554" s="490" t="str">
        <f>IFERROR(__xludf.DUMMYFUNCTION("""COMPUTED_VALUE"""),"PLCOME")</f>
        <v>PLCOME</v>
      </c>
      <c r="E554" s="593" t="str">
        <f>IFERROR(__xludf.DUMMYFUNCTION("""COMPUTED_VALUE"""),"CHARGEPOINT")</f>
        <v>CHARGEPOINT</v>
      </c>
      <c r="F554" s="593" t="str">
        <f>IFERROR(__xludf.DUMMYFUNCTION("""COMPUTED_VALUE"""),"CT4025-HD")</f>
        <v>CT4025-HD</v>
      </c>
      <c r="G554" s="490"/>
      <c r="H554" s="490"/>
      <c r="I554" s="490"/>
      <c r="J554" s="588"/>
      <c r="K554" s="490"/>
      <c r="L554" s="490"/>
      <c r="M554" s="490"/>
      <c r="N554" s="490"/>
      <c r="O554" s="490"/>
      <c r="P554" s="490" t="s">
        <v>8885</v>
      </c>
    </row>
    <row r="555">
      <c r="A555" s="490"/>
      <c r="B555" s="490"/>
      <c r="C555" s="490"/>
      <c r="D555" s="490" t="str">
        <f>IFERROR(__xludf.DUMMYFUNCTION("""COMPUTED_VALUE"""),"POWER KNOT")</f>
        <v>POWER KNOT</v>
      </c>
      <c r="E555" s="593" t="str">
        <f>IFERROR(__xludf.DUMMYFUNCTION("""COMPUTED_VALUE"""),"CHARGEPOINT")</f>
        <v>CHARGEPOINT</v>
      </c>
      <c r="F555" s="593" t="str">
        <f>IFERROR(__xludf.DUMMYFUNCTION("""COMPUTED_VALUE"""),"CT4025-HD-GW")</f>
        <v>CT4025-HD-GW</v>
      </c>
      <c r="G555" s="490"/>
      <c r="H555" s="490"/>
      <c r="I555" s="490"/>
      <c r="J555" s="588"/>
      <c r="K555" s="490"/>
      <c r="L555" s="490"/>
      <c r="M555" s="490"/>
      <c r="N555" s="490"/>
      <c r="O555" s="490"/>
      <c r="P555" s="490" t="s">
        <v>8887</v>
      </c>
    </row>
    <row r="556">
      <c r="A556" s="490"/>
      <c r="B556" s="490"/>
      <c r="C556" s="490"/>
      <c r="D556" s="490" t="str">
        <f>IFERROR(__xludf.DUMMYFUNCTION("""COMPUTED_VALUE"""),"POWERSMITHS")</f>
        <v>POWERSMITHS</v>
      </c>
      <c r="E556" s="593" t="str">
        <f>IFERROR(__xludf.DUMMYFUNCTION("""COMPUTED_VALUE"""),"CHARGEPOINT")</f>
        <v>CHARGEPOINT</v>
      </c>
      <c r="F556" s="593" t="str">
        <f>IFERROR(__xludf.DUMMYFUNCTION("""COMPUTED_VALUE"""),"CT4110-HD")</f>
        <v>CT4110-HD</v>
      </c>
      <c r="G556" s="490"/>
      <c r="H556" s="490"/>
      <c r="I556" s="490"/>
      <c r="J556" s="588"/>
      <c r="K556" s="490"/>
      <c r="L556" s="490"/>
      <c r="M556" s="490"/>
      <c r="N556" s="490"/>
      <c r="O556" s="490"/>
      <c r="P556" s="490" t="s">
        <v>8889</v>
      </c>
    </row>
    <row r="557">
      <c r="A557" s="490"/>
      <c r="B557" s="490"/>
      <c r="C557" s="490"/>
      <c r="D557" s="490" t="str">
        <f>IFERROR(__xludf.DUMMYFUNCTION("""COMPUTED_VALUE"""),"POWOGAZ")</f>
        <v>POWOGAZ</v>
      </c>
      <c r="E557" s="593" t="str">
        <f>IFERROR(__xludf.DUMMYFUNCTION("""COMPUTED_VALUE"""),"CHARGEPOINT")</f>
        <v>CHARGEPOINT</v>
      </c>
      <c r="F557" s="593" t="str">
        <f>IFERROR(__xludf.DUMMYFUNCTION("""COMPUTED_VALUE"""),"CT500-CDMA")</f>
        <v>CT500-CDMA</v>
      </c>
      <c r="G557" s="490"/>
      <c r="H557" s="490"/>
      <c r="I557" s="490"/>
      <c r="J557" s="588"/>
      <c r="K557" s="490"/>
      <c r="L557" s="490"/>
      <c r="M557" s="490"/>
      <c r="N557" s="490"/>
      <c r="O557" s="490"/>
      <c r="P557" s="490" t="s">
        <v>8891</v>
      </c>
    </row>
    <row r="558">
      <c r="A558" s="490"/>
      <c r="B558" s="490"/>
      <c r="C558" s="490"/>
      <c r="D558" s="490" t="str">
        <f>IFERROR(__xludf.DUMMYFUNCTION("""COMPUTED_VALUE"""),"PRANA AIR")</f>
        <v>PRANA AIR</v>
      </c>
      <c r="E558" s="593" t="str">
        <f>IFERROR(__xludf.DUMMYFUNCTION("""COMPUTED_VALUE"""),"CHARGEPOINT")</f>
        <v>CHARGEPOINT</v>
      </c>
      <c r="F558" s="593" t="str">
        <f>IFERROR(__xludf.DUMMYFUNCTION("""COMPUTED_VALUE"""),"CT500")</f>
        <v>CT500</v>
      </c>
      <c r="G558" s="490"/>
      <c r="H558" s="490"/>
      <c r="I558" s="490"/>
      <c r="J558" s="588"/>
      <c r="K558" s="490"/>
      <c r="L558" s="490"/>
      <c r="M558" s="490"/>
      <c r="N558" s="490"/>
      <c r="O558" s="490"/>
      <c r="P558" s="490" t="s">
        <v>8893</v>
      </c>
    </row>
    <row r="559">
      <c r="A559" s="490"/>
      <c r="B559" s="490"/>
      <c r="C559" s="490"/>
      <c r="D559" s="490" t="str">
        <f>IFERROR(__xludf.DUMMYFUNCTION("""COMPUTED_VALUE"""),"PRECOR")</f>
        <v>PRECOR</v>
      </c>
      <c r="E559" s="593" t="str">
        <f>IFERROR(__xludf.DUMMYFUNCTION("""COMPUTED_VALUE"""),"CHARGEPOINT")</f>
        <v>CHARGEPOINT</v>
      </c>
      <c r="F559" s="593" t="str">
        <f>IFERROR(__xludf.DUMMYFUNCTION("""COMPUTED_VALUE"""),"CT600")</f>
        <v>CT600</v>
      </c>
      <c r="G559" s="490"/>
      <c r="H559" s="490"/>
      <c r="I559" s="490"/>
      <c r="J559" s="588"/>
      <c r="K559" s="490"/>
      <c r="L559" s="490"/>
      <c r="M559" s="490"/>
      <c r="N559" s="490"/>
      <c r="O559" s="490"/>
      <c r="P559" s="490" t="s">
        <v>8895</v>
      </c>
    </row>
    <row r="560">
      <c r="A560" s="490"/>
      <c r="B560" s="490"/>
      <c r="C560" s="490"/>
      <c r="D560" s="490" t="str">
        <f>IFERROR(__xludf.DUMMYFUNCTION("""COMPUTED_VALUE"""),"PRIMLECO")</f>
        <v>PRIMLECO</v>
      </c>
      <c r="E560" s="593" t="str">
        <f>IFERROR(__xludf.DUMMYFUNCTION("""COMPUTED_VALUE"""),"CHARGEPOINT")</f>
        <v>CHARGEPOINT</v>
      </c>
      <c r="F560" s="593" t="str">
        <f>IFERROR(__xludf.DUMMYFUNCTION("""COMPUTED_VALUE"""),"CT600")</f>
        <v>CT600</v>
      </c>
      <c r="G560" s="490"/>
      <c r="H560" s="490"/>
      <c r="I560" s="490"/>
      <c r="J560" s="588"/>
      <c r="K560" s="490"/>
      <c r="L560" s="490"/>
      <c r="M560" s="490"/>
      <c r="N560" s="490"/>
      <c r="O560" s="490"/>
      <c r="P560" s="490" t="s">
        <v>8897</v>
      </c>
    </row>
    <row r="561">
      <c r="A561" s="490"/>
      <c r="B561" s="490"/>
      <c r="C561" s="490"/>
      <c r="D561" s="490" t="str">
        <f>IFERROR(__xludf.DUMMYFUNCTION("""COMPUTED_VALUE"""),"PRIVA")</f>
        <v>PRIVA</v>
      </c>
      <c r="E561" s="593" t="str">
        <f>IFERROR(__xludf.DUMMYFUNCTION("""COMPUTED_VALUE"""),"CHARGEPOINT")</f>
        <v>CHARGEPOINT</v>
      </c>
      <c r="F561" s="593" t="str">
        <f>IFERROR(__xludf.DUMMYFUNCTION("""COMPUTED_VALUE"""),"CT600")</f>
        <v>CT600</v>
      </c>
      <c r="G561" s="490"/>
      <c r="H561" s="490"/>
      <c r="I561" s="490"/>
      <c r="J561" s="588"/>
      <c r="K561" s="490"/>
      <c r="L561" s="490"/>
      <c r="M561" s="490"/>
      <c r="N561" s="490"/>
      <c r="O561" s="490"/>
      <c r="P561" s="490" t="s">
        <v>8899</v>
      </c>
    </row>
    <row r="562">
      <c r="A562" s="490"/>
      <c r="B562" s="490"/>
      <c r="C562" s="490"/>
      <c r="D562" s="490" t="str">
        <f>IFERROR(__xludf.DUMMYFUNCTION("""COMPUTED_VALUE"""),"PROCON")</f>
        <v>PROCON</v>
      </c>
      <c r="E562" s="593" t="str">
        <f>IFERROR(__xludf.DUMMYFUNCTION("""COMPUTED_VALUE"""),"CHARGEPOINT")</f>
        <v>CHARGEPOINT</v>
      </c>
      <c r="F562" s="593" t="str">
        <f>IFERROR(__xludf.DUMMYFUNCTION("""COMPUTED_VALUE"""),"CT600")</f>
        <v>CT600</v>
      </c>
      <c r="G562" s="490"/>
      <c r="H562" s="490"/>
      <c r="I562" s="490"/>
      <c r="J562" s="588"/>
      <c r="K562" s="490"/>
      <c r="L562" s="490"/>
      <c r="M562" s="490"/>
      <c r="N562" s="490"/>
      <c r="O562" s="490"/>
      <c r="P562" s="490" t="s">
        <v>8148</v>
      </c>
    </row>
    <row r="563">
      <c r="A563" s="490"/>
      <c r="B563" s="490"/>
      <c r="C563" s="490"/>
      <c r="D563" s="490" t="str">
        <f>IFERROR(__xludf.DUMMYFUNCTION("""COMPUTED_VALUE"""),"PRODUAL")</f>
        <v>PRODUAL</v>
      </c>
      <c r="E563" s="593" t="str">
        <f>IFERROR(__xludf.DUMMYFUNCTION("""COMPUTED_VALUE"""),"CHARGEPOINT")</f>
        <v>CHARGEPOINT</v>
      </c>
      <c r="F563" s="593" t="str">
        <f>IFERROR(__xludf.DUMMYFUNCTION("""COMPUTED_VALUE"""),"CT600")</f>
        <v>CT600</v>
      </c>
      <c r="G563" s="490"/>
      <c r="H563" s="490"/>
      <c r="I563" s="490"/>
      <c r="J563" s="588"/>
      <c r="K563" s="490"/>
      <c r="L563" s="490"/>
      <c r="M563" s="490"/>
      <c r="N563" s="490"/>
      <c r="O563" s="490"/>
      <c r="P563" s="490" t="s">
        <v>8901</v>
      </c>
    </row>
    <row r="564">
      <c r="A564" s="490"/>
      <c r="B564" s="490"/>
      <c r="C564" s="490"/>
      <c r="D564" s="490" t="str">
        <f>IFERROR(__xludf.DUMMYFUNCTION("""COMPUTED_VALUE"""),"PROGRAM ELEC")</f>
        <v>PROGRAM ELEC</v>
      </c>
      <c r="E564" s="593" t="str">
        <f>IFERROR(__xludf.DUMMYFUNCTION("""COMPUTED_VALUE"""),"CHARGEPOINT")</f>
        <v>CHARGEPOINT</v>
      </c>
      <c r="F564" s="593" t="str">
        <f>IFERROR(__xludf.DUMMYFUNCTION("""COMPUTED_VALUE"""),"NSQC442E")</f>
        <v>NSQC442E</v>
      </c>
      <c r="G564" s="490"/>
      <c r="H564" s="490"/>
      <c r="I564" s="490"/>
      <c r="J564" s="588"/>
      <c r="K564" s="490"/>
      <c r="L564" s="490"/>
      <c r="M564" s="490"/>
      <c r="N564" s="490"/>
      <c r="O564" s="490"/>
      <c r="P564" s="490" t="s">
        <v>8903</v>
      </c>
    </row>
    <row r="565">
      <c r="A565" s="490"/>
      <c r="B565" s="490"/>
      <c r="C565" s="490"/>
      <c r="D565" s="490" t="str">
        <f>IFERROR(__xludf.DUMMYFUNCTION("""COMPUTED_VALUE"""),"PROTOCONVERT")</f>
        <v>PROTOCONVERT</v>
      </c>
      <c r="E565" s="593" t="str">
        <f>IFERROR(__xludf.DUMMYFUNCTION("""COMPUTED_VALUE"""),"CHARGEPOINT")</f>
        <v>CHARGEPOINT</v>
      </c>
      <c r="F565" s="593" t="str">
        <f>IFERROR(__xludf.DUMMYFUNCTION("""COMPUTED_VALUE"""),"CPE250")</f>
        <v>CPE250</v>
      </c>
      <c r="G565" s="490"/>
      <c r="H565" s="490"/>
      <c r="I565" s="490"/>
      <c r="J565" s="588"/>
      <c r="K565" s="490"/>
      <c r="L565" s="490"/>
      <c r="M565" s="490"/>
      <c r="N565" s="490"/>
      <c r="O565" s="490"/>
      <c r="P565" s="490" t="s">
        <v>8905</v>
      </c>
    </row>
    <row r="566">
      <c r="A566" s="490"/>
      <c r="B566" s="490"/>
      <c r="C566" s="490"/>
      <c r="D566" s="490" t="str">
        <f>IFERROR(__xludf.DUMMYFUNCTION("""COMPUTED_VALUE"""),"PROTOSENSE")</f>
        <v>PROTOSENSE</v>
      </c>
      <c r="E566" s="593" t="str">
        <f>IFERROR(__xludf.DUMMYFUNCTION("""COMPUTED_VALUE"""),"CHARGEPOINT")</f>
        <v>CHARGEPOINT</v>
      </c>
      <c r="F566" s="593" t="str">
        <f>IFERROR(__xludf.DUMMYFUNCTION("""COMPUTED_VALUE"""),"CPE250")</f>
        <v>CPE250</v>
      </c>
      <c r="G566" s="490"/>
      <c r="H566" s="490"/>
      <c r="I566" s="490"/>
      <c r="J566" s="588"/>
      <c r="K566" s="490"/>
      <c r="L566" s="490"/>
      <c r="M566" s="490"/>
      <c r="N566" s="490"/>
      <c r="O566" s="490"/>
      <c r="P566" s="490" t="s">
        <v>8907</v>
      </c>
    </row>
    <row r="567">
      <c r="A567" s="490"/>
      <c r="B567" s="490"/>
      <c r="C567" s="490"/>
      <c r="D567" s="490" t="str">
        <f>IFERROR(__xludf.DUMMYFUNCTION("""COMPUTED_VALUE"""),"PRP SOLUTIONS")</f>
        <v>PRP SOLUTIONS</v>
      </c>
      <c r="E567" s="593" t="str">
        <f>IFERROR(__xludf.DUMMYFUNCTION("""COMPUTED_VALUE"""),"CHARGEPOINT")</f>
        <v>CHARGEPOINT</v>
      </c>
      <c r="F567" s="593" t="str">
        <f>IFERROR(__xludf.DUMMYFUNCTION("""COMPUTED_VALUE"""),"CT4010-HD2-GW-LTE")</f>
        <v>CT4010-HD2-GW-LTE</v>
      </c>
      <c r="G567" s="490"/>
      <c r="H567" s="490"/>
      <c r="I567" s="490"/>
      <c r="J567" s="588"/>
      <c r="K567" s="490"/>
      <c r="L567" s="490"/>
      <c r="M567" s="490"/>
      <c r="N567" s="490"/>
      <c r="O567" s="490"/>
      <c r="P567" s="490" t="s">
        <v>8909</v>
      </c>
    </row>
    <row r="568">
      <c r="A568" s="490"/>
      <c r="B568" s="490"/>
      <c r="C568" s="490"/>
      <c r="D568" s="490" t="str">
        <f>IFERROR(__xludf.DUMMYFUNCTION("""COMPUTED_VALUE"""),"PSS")</f>
        <v>PSS</v>
      </c>
      <c r="E568" s="593" t="str">
        <f>IFERROR(__xludf.DUMMYFUNCTION("""COMPUTED_VALUE"""),"CHARGEPOINT")</f>
        <v>CHARGEPOINT</v>
      </c>
      <c r="F568" s="593" t="str">
        <f>IFERROR(__xludf.DUMMYFUNCTION("""COMPUTED_VALUE"""),"CT4020-HD2-GW-LTE")</f>
        <v>CT4020-HD2-GW-LTE</v>
      </c>
      <c r="G568" s="490"/>
      <c r="H568" s="490"/>
      <c r="I568" s="490"/>
      <c r="J568" s="588"/>
      <c r="K568" s="490"/>
      <c r="L568" s="490"/>
      <c r="M568" s="490"/>
      <c r="N568" s="490"/>
      <c r="O568" s="490"/>
      <c r="P568" s="490" t="s">
        <v>8911</v>
      </c>
    </row>
    <row r="569">
      <c r="A569" s="490"/>
      <c r="B569" s="490"/>
      <c r="C569" s="490"/>
      <c r="D569" s="490" t="str">
        <f>IFERROR(__xludf.DUMMYFUNCTION("""COMPUTED_VALUE"""),"PUNTOLUCE")</f>
        <v>PUNTOLUCE</v>
      </c>
      <c r="E569" s="593" t="str">
        <f>IFERROR(__xludf.DUMMYFUNCTION("""COMPUTED_VALUE"""),"CHARGEPOINT")</f>
        <v>CHARGEPOINT</v>
      </c>
      <c r="F569" s="593" t="str">
        <f>IFERROR(__xludf.DUMMYFUNCTION("""COMPUTED_VALUE"""),"CT4025-HD2-GW-LTE")</f>
        <v>CT4025-HD2-GW-LTE</v>
      </c>
      <c r="G569" s="490"/>
      <c r="H569" s="490"/>
      <c r="I569" s="490"/>
      <c r="J569" s="588"/>
      <c r="K569" s="490"/>
      <c r="L569" s="490"/>
      <c r="M569" s="490"/>
      <c r="N569" s="490"/>
      <c r="O569" s="490"/>
      <c r="P569" s="490" t="s">
        <v>8913</v>
      </c>
    </row>
    <row r="570">
      <c r="A570" s="490"/>
      <c r="B570" s="490"/>
      <c r="C570" s="490"/>
      <c r="D570" s="490" t="str">
        <f>IFERROR(__xludf.DUMMYFUNCTION("""COMPUTED_VALUE"""),"PUSR")</f>
        <v>PUSR</v>
      </c>
      <c r="E570" s="593" t="str">
        <f>IFERROR(__xludf.DUMMYFUNCTION("""COMPUTED_VALUE"""),"CHARGEPOINT")</f>
        <v>CHARGEPOINT</v>
      </c>
      <c r="F570" s="593" t="str">
        <f>IFERROR(__xludf.DUMMYFUNCTION("""COMPUTED_VALUE"""),"CT4011-GW1")</f>
        <v>CT4011-GW1</v>
      </c>
      <c r="G570" s="490"/>
      <c r="H570" s="490"/>
      <c r="I570" s="490"/>
      <c r="J570" s="588"/>
      <c r="K570" s="490"/>
      <c r="L570" s="490"/>
      <c r="M570" s="490"/>
      <c r="N570" s="490"/>
      <c r="O570" s="490"/>
      <c r="P570" s="490" t="s">
        <v>8915</v>
      </c>
    </row>
    <row r="571">
      <c r="A571" s="490"/>
      <c r="B571" s="490"/>
      <c r="C571" s="490"/>
      <c r="D571" s="490" t="str">
        <f>IFERROR(__xludf.DUMMYFUNCTION("""COMPUTED_VALUE"""),"PVI")</f>
        <v>PVI</v>
      </c>
      <c r="E571" s="593" t="str">
        <f>IFERROR(__xludf.DUMMYFUNCTION("""COMPUTED_VALUE"""),"CHOWBOTICS")</f>
        <v>CHOWBOTICS</v>
      </c>
      <c r="F571" s="593" t="str">
        <f>IFERROR(__xludf.DUMMYFUNCTION("""COMPUTED_VALUE"""),"SALLY 2.0")</f>
        <v>SALLY 2.0</v>
      </c>
      <c r="G571" s="490"/>
      <c r="H571" s="490"/>
      <c r="I571" s="490"/>
      <c r="J571" s="588"/>
      <c r="K571" s="490"/>
      <c r="L571" s="490"/>
      <c r="M571" s="490"/>
      <c r="N571" s="490"/>
      <c r="O571" s="490"/>
      <c r="P571" s="490" t="s">
        <v>8917</v>
      </c>
    </row>
    <row r="572">
      <c r="A572" s="490"/>
      <c r="B572" s="490"/>
      <c r="C572" s="490"/>
      <c r="D572" s="490" t="str">
        <f>IFERROR(__xludf.DUMMYFUNCTION("""COMPUTED_VALUE"""),"PVR CONTROLS")</f>
        <v>PVR CONTROLS</v>
      </c>
      <c r="E572" s="593" t="str">
        <f>IFERROR(__xludf.DUMMYFUNCTION("""COMPUTED_VALUE"""),"CHR-NUMERIQUE")</f>
        <v>CHR-NUMERIQUE</v>
      </c>
      <c r="F572" s="593" t="str">
        <f>IFERROR(__xludf.DUMMYFUNCTION("""COMPUTED_VALUE"""),"EPACK PRO")</f>
        <v>EPACK PRO</v>
      </c>
      <c r="G572" s="490"/>
      <c r="H572" s="490"/>
      <c r="I572" s="490"/>
      <c r="J572" s="588"/>
      <c r="K572" s="490"/>
      <c r="L572" s="490"/>
      <c r="M572" s="490"/>
      <c r="N572" s="490"/>
      <c r="O572" s="490"/>
      <c r="P572" s="490" t="s">
        <v>8919</v>
      </c>
    </row>
    <row r="573">
      <c r="A573" s="490"/>
      <c r="B573" s="490"/>
      <c r="C573" s="490"/>
      <c r="D573" s="490" t="str">
        <f>IFERROR(__xludf.DUMMYFUNCTION("""COMPUTED_VALUE"""),"QUANTA COMPUTER")</f>
        <v>QUANTA COMPUTER</v>
      </c>
      <c r="E573" s="593" t="str">
        <f>IFERROR(__xludf.DUMMYFUNCTION("""COMPUTED_VALUE"""),"CHROMALOX")</f>
        <v>CHROMALOX</v>
      </c>
      <c r="F573" s="593" t="str">
        <f>IFERROR(__xludf.DUMMYFUNCTION("""COMPUTED_VALUE"""),"INTELLITRACE CTC1")</f>
        <v>INTELLITRACE CTC1</v>
      </c>
      <c r="G573" s="490"/>
      <c r="H573" s="490"/>
      <c r="I573" s="490"/>
      <c r="J573" s="588"/>
      <c r="K573" s="490"/>
      <c r="L573" s="490"/>
      <c r="M573" s="490"/>
      <c r="N573" s="490"/>
      <c r="O573" s="490"/>
      <c r="P573" s="490" t="s">
        <v>8150</v>
      </c>
    </row>
    <row r="574">
      <c r="A574" s="490"/>
      <c r="B574" s="490"/>
      <c r="C574" s="490"/>
      <c r="D574" s="490" t="str">
        <f>IFERROR(__xludf.DUMMYFUNCTION("""COMPUTED_VALUE"""),"RADIX")</f>
        <v>RADIX</v>
      </c>
      <c r="E574" s="593" t="str">
        <f>IFERROR(__xludf.DUMMYFUNCTION("""COMPUTED_VALUE"""),"CHROME")</f>
        <v>CHROME</v>
      </c>
      <c r="F574" s="593" t="str">
        <f>IFERROR(__xludf.DUMMYFUNCTION("""COMPUTED_VALUE"""),"CHROMEBOOK")</f>
        <v>CHROMEBOOK</v>
      </c>
      <c r="G574" s="490"/>
      <c r="H574" s="490"/>
      <c r="I574" s="490"/>
      <c r="J574" s="588"/>
      <c r="K574" s="490"/>
      <c r="L574" s="490"/>
      <c r="M574" s="490"/>
      <c r="N574" s="490"/>
      <c r="O574" s="490"/>
      <c r="P574" s="490" t="s">
        <v>8921</v>
      </c>
    </row>
    <row r="575">
      <c r="A575" s="490"/>
      <c r="B575" s="490"/>
      <c r="C575" s="490"/>
      <c r="D575" s="490" t="str">
        <f>IFERROR(__xludf.DUMMYFUNCTION("""COMPUTED_VALUE"""),"RADIXIOT")</f>
        <v>RADIXIOT</v>
      </c>
      <c r="E575" s="593" t="str">
        <f>IFERROR(__xludf.DUMMYFUNCTION("""COMPUTED_VALUE"""),"CHUWI")</f>
        <v>CHUWI</v>
      </c>
      <c r="F575" s="593" t="str">
        <f>IFERROR(__xludf.DUMMYFUNCTION("""COMPUTED_VALUE"""),"HIPAD 11")</f>
        <v>HIPAD 11</v>
      </c>
      <c r="G575" s="490"/>
      <c r="H575" s="490"/>
      <c r="I575" s="490"/>
      <c r="J575" s="588"/>
      <c r="K575" s="490"/>
      <c r="L575" s="490"/>
      <c r="M575" s="490"/>
      <c r="N575" s="490"/>
      <c r="O575" s="490"/>
      <c r="P575" s="490" t="s">
        <v>8923</v>
      </c>
    </row>
    <row r="576">
      <c r="A576" s="490"/>
      <c r="B576" s="490"/>
      <c r="C576" s="490"/>
      <c r="D576" s="490" t="str">
        <f>IFERROR(__xludf.DUMMYFUNCTION("""COMPUTED_VALUE"""),"RAINFOREST AUTOMATION")</f>
        <v>RAINFOREST AUTOMATION</v>
      </c>
      <c r="E576" s="593" t="str">
        <f>IFERROR(__xludf.DUMMYFUNCTION("""COMPUTED_VALUE"""),"CIAT")</f>
        <v>CIAT</v>
      </c>
      <c r="F576" s="593" t="str">
        <f>IFERROR(__xludf.DUMMYFUNCTION("""COMPUTED_VALUE"""),"EXPAIR")</f>
        <v>EXPAIR</v>
      </c>
      <c r="G576" s="490"/>
      <c r="H576" s="490"/>
      <c r="I576" s="490"/>
      <c r="J576" s="588"/>
      <c r="K576" s="490"/>
      <c r="L576" s="490"/>
      <c r="M576" s="490"/>
      <c r="N576" s="490"/>
      <c r="O576" s="490"/>
      <c r="P576" s="490" t="s">
        <v>8925</v>
      </c>
    </row>
    <row r="577">
      <c r="A577" s="490"/>
      <c r="B577" s="490"/>
      <c r="C577" s="490"/>
      <c r="D577" s="490" t="str">
        <f>IFERROR(__xludf.DUMMYFUNCTION("""COMPUTED_VALUE"""),"RAKWIRELESS")</f>
        <v>RAKWIRELESS</v>
      </c>
      <c r="E577" s="593" t="str">
        <f>IFERROR(__xludf.DUMMYFUNCTION("""COMPUTED_VALUE"""),"CISCO")</f>
        <v>CISCO</v>
      </c>
      <c r="F577" s="593" t="str">
        <f>IFERROR(__xludf.DUMMYFUNCTION("""COMPUTED_VALUE"""),"CATALYST 3560")</f>
        <v>CATALYST 3560</v>
      </c>
      <c r="G577" s="490"/>
      <c r="H577" s="490"/>
      <c r="I577" s="490"/>
      <c r="J577" s="588"/>
      <c r="K577" s="490"/>
      <c r="L577" s="490"/>
      <c r="M577" s="490"/>
      <c r="N577" s="490"/>
      <c r="O577" s="490"/>
      <c r="P577" s="490" t="s">
        <v>8927</v>
      </c>
    </row>
    <row r="578">
      <c r="A578" s="490"/>
      <c r="B578" s="490"/>
      <c r="C578" s="490"/>
      <c r="D578" s="490" t="str">
        <f>IFERROR(__xludf.DUMMYFUNCTION("""COMPUTED_VALUE"""),"RARITAN")</f>
        <v>RARITAN</v>
      </c>
      <c r="E578" s="593" t="str">
        <f>IFERROR(__xludf.DUMMYFUNCTION("""COMPUTED_VALUE"""),"CISCO")</f>
        <v>CISCO</v>
      </c>
      <c r="F578" s="593" t="str">
        <f>IFERROR(__xludf.DUMMYFUNCTION("""COMPUTED_VALUE"""),"CATALYST 3650")</f>
        <v>CATALYST 3650</v>
      </c>
      <c r="G578" s="490"/>
      <c r="H578" s="490"/>
      <c r="I578" s="490"/>
      <c r="J578" s="588"/>
      <c r="K578" s="490"/>
      <c r="L578" s="490"/>
      <c r="M578" s="490"/>
      <c r="N578" s="490"/>
      <c r="O578" s="490"/>
      <c r="P578" s="490" t="s">
        <v>8929</v>
      </c>
    </row>
    <row r="579">
      <c r="A579" s="490"/>
      <c r="B579" s="490"/>
      <c r="C579" s="490"/>
      <c r="D579" s="490" t="str">
        <f>IFERROR(__xludf.DUMMYFUNCTION("""COMPUTED_VALUE"""),"RASPBERRY PI")</f>
        <v>RASPBERRY PI</v>
      </c>
      <c r="E579" s="593" t="str">
        <f>IFERROR(__xludf.DUMMYFUNCTION("""COMPUTED_VALUE"""),"CISCO")</f>
        <v>CISCO</v>
      </c>
      <c r="F579" s="593" t="str">
        <f>IFERROR(__xludf.DUMMYFUNCTION("""COMPUTED_VALUE"""),"CATALYST 3650")</f>
        <v>CATALYST 3650</v>
      </c>
      <c r="G579" s="490"/>
      <c r="H579" s="490"/>
      <c r="I579" s="490"/>
      <c r="J579" s="588"/>
      <c r="K579" s="490"/>
      <c r="L579" s="490"/>
      <c r="M579" s="490"/>
      <c r="N579" s="490"/>
      <c r="O579" s="490"/>
      <c r="P579" s="490" t="s">
        <v>8931</v>
      </c>
    </row>
    <row r="580">
      <c r="A580" s="490"/>
      <c r="B580" s="490"/>
      <c r="C580" s="490"/>
      <c r="D580" s="490" t="str">
        <f>IFERROR(__xludf.DUMMYFUNCTION("""COMPUTED_VALUE"""),"RATIONAL")</f>
        <v>RATIONAL</v>
      </c>
      <c r="E580" s="593" t="str">
        <f>IFERROR(__xludf.DUMMYFUNCTION("""COMPUTED_VALUE"""),"CISCO")</f>
        <v>CISCO</v>
      </c>
      <c r="F580" s="593" t="str">
        <f>IFERROR(__xludf.DUMMYFUNCTION("""COMPUTED_VALUE"""),"CATALYST 4510R+E")</f>
        <v>CATALYST 4510R+E</v>
      </c>
      <c r="G580" s="490"/>
      <c r="H580" s="490"/>
      <c r="I580" s="490"/>
      <c r="J580" s="588"/>
      <c r="K580" s="490"/>
      <c r="L580" s="490"/>
      <c r="M580" s="490"/>
      <c r="N580" s="490"/>
      <c r="O580" s="490"/>
      <c r="P580" s="490" t="s">
        <v>8933</v>
      </c>
    </row>
    <row r="581">
      <c r="A581" s="490"/>
      <c r="B581" s="490"/>
      <c r="C581" s="490"/>
      <c r="D581" s="490" t="str">
        <f>IFERROR(__xludf.DUMMYFUNCTION("""COMPUTED_VALUE"""),"RAVEL ELECTRONICS")</f>
        <v>RAVEL ELECTRONICS</v>
      </c>
      <c r="E581" s="593" t="str">
        <f>IFERROR(__xludf.DUMMYFUNCTION("""COMPUTED_VALUE"""),"CISCO")</f>
        <v>CISCO</v>
      </c>
      <c r="F581" s="593" t="str">
        <f>IFERROR(__xludf.DUMMYFUNCTION("""COMPUTED_VALUE"""),"CISCO")</f>
        <v>CISCO</v>
      </c>
      <c r="G581" s="490"/>
      <c r="H581" s="490"/>
      <c r="I581" s="490"/>
      <c r="J581" s="588"/>
      <c r="K581" s="490"/>
      <c r="L581" s="490"/>
      <c r="M581" s="490"/>
      <c r="N581" s="490"/>
      <c r="O581" s="490"/>
      <c r="P581" s="490" t="s">
        <v>8935</v>
      </c>
    </row>
    <row r="582">
      <c r="A582" s="490"/>
      <c r="B582" s="490"/>
      <c r="C582" s="490"/>
      <c r="D582" s="490" t="str">
        <f>IFERROR(__xludf.DUMMYFUNCTION("""COMPUTED_VALUE"""),"RAYCHEM")</f>
        <v>RAYCHEM</v>
      </c>
      <c r="E582" s="593" t="str">
        <f>IFERROR(__xludf.DUMMYFUNCTION("""COMPUTED_VALUE"""),"CISCO")</f>
        <v>CISCO</v>
      </c>
      <c r="F582" s="593" t="str">
        <f>IFERROR(__xludf.DUMMYFUNCTION("""COMPUTED_VALUE"""),"SG95-16")</f>
        <v>SG95-16</v>
      </c>
      <c r="G582" s="490"/>
      <c r="H582" s="490"/>
      <c r="I582" s="490"/>
      <c r="J582" s="588"/>
      <c r="K582" s="490"/>
      <c r="L582" s="490"/>
      <c r="M582" s="490"/>
      <c r="N582" s="490"/>
      <c r="O582" s="490"/>
      <c r="P582" s="490" t="s">
        <v>8937</v>
      </c>
    </row>
    <row r="583">
      <c r="A583" s="490"/>
      <c r="B583" s="490"/>
      <c r="C583" s="490"/>
      <c r="D583" s="490" t="str">
        <f>IFERROR(__xludf.DUMMYFUNCTION("""COMPUTED_VALUE"""),"RAYPAK")</f>
        <v>RAYPAK</v>
      </c>
      <c r="E583" s="593" t="str">
        <f>IFERROR(__xludf.DUMMYFUNCTION("""COMPUTED_VALUE"""),"CISCO")</f>
        <v>CISCO</v>
      </c>
      <c r="F583" s="593" t="str">
        <f>IFERROR(__xludf.DUMMYFUNCTION("""COMPUTED_VALUE"""),"SF95D")</f>
        <v>SF95D</v>
      </c>
      <c r="G583" s="490"/>
      <c r="H583" s="490"/>
      <c r="I583" s="490"/>
      <c r="J583" s="588"/>
      <c r="K583" s="490"/>
      <c r="L583" s="490"/>
      <c r="M583" s="490"/>
      <c r="N583" s="490"/>
      <c r="O583" s="490"/>
      <c r="P583" s="490" t="s">
        <v>8939</v>
      </c>
    </row>
    <row r="584">
      <c r="A584" s="490"/>
      <c r="B584" s="490"/>
      <c r="C584" s="490"/>
      <c r="D584" s="490" t="str">
        <f>IFERROR(__xludf.DUMMYFUNCTION("""COMPUTED_VALUE"""),"RED LION")</f>
        <v>RED LION</v>
      </c>
      <c r="E584" s="593" t="str">
        <f>IFERROR(__xludf.DUMMYFUNCTION("""COMPUTED_VALUE"""),"CISCO")</f>
        <v>CISCO</v>
      </c>
      <c r="F584" s="593" t="str">
        <f>IFERROR(__xludf.DUMMYFUNCTION("""COMPUTED_VALUE"""),"MERAKI MX100")</f>
        <v>MERAKI MX100</v>
      </c>
      <c r="G584" s="490"/>
      <c r="H584" s="490"/>
      <c r="I584" s="490"/>
      <c r="J584" s="588"/>
      <c r="K584" s="490"/>
      <c r="L584" s="490"/>
      <c r="M584" s="490"/>
      <c r="N584" s="490"/>
      <c r="O584" s="490"/>
      <c r="P584" s="490" t="s">
        <v>8152</v>
      </c>
    </row>
    <row r="585">
      <c r="A585" s="490"/>
      <c r="B585" s="490"/>
      <c r="C585" s="490"/>
      <c r="D585" s="490" t="str">
        <f>IFERROR(__xludf.DUMMYFUNCTION("""COMPUTED_VALUE"""),"RELAY GMBH")</f>
        <v>RELAY GMBH</v>
      </c>
      <c r="E585" s="593" t="str">
        <f>IFERROR(__xludf.DUMMYFUNCTION("""COMPUTED_VALUE"""),"CISCO")</f>
        <v>CISCO</v>
      </c>
      <c r="F585" s="593" t="str">
        <f>IFERROR(__xludf.DUMMYFUNCTION("""COMPUTED_VALUE"""),"SPA112 2-PORT PHONE ADAPTER")</f>
        <v>SPA112 2-PORT PHONE ADAPTER</v>
      </c>
      <c r="G585" s="490"/>
      <c r="H585" s="490"/>
      <c r="I585" s="490"/>
      <c r="J585" s="588"/>
      <c r="K585" s="490"/>
      <c r="L585" s="490"/>
      <c r="M585" s="490"/>
      <c r="N585" s="490"/>
      <c r="O585" s="490"/>
      <c r="P585" s="490" t="s">
        <v>8941</v>
      </c>
    </row>
    <row r="586">
      <c r="A586" s="490"/>
      <c r="B586" s="490"/>
      <c r="C586" s="490"/>
      <c r="D586" s="490" t="str">
        <f>IFERROR(__xludf.DUMMYFUNCTION("""COMPUTED_VALUE"""),"RENU ELECTRONICS")</f>
        <v>RENU ELECTRONICS</v>
      </c>
      <c r="E586" s="593" t="str">
        <f>IFERROR(__xludf.DUMMYFUNCTION("""COMPUTED_VALUE"""),"CISCO")</f>
        <v>CISCO</v>
      </c>
      <c r="F586" s="593" t="str">
        <f>IFERROR(__xludf.DUMMYFUNCTION("""COMPUTED_VALUE"""),"SPA112 2-PORT PHONE ADAPTER")</f>
        <v>SPA112 2-PORT PHONE ADAPTER</v>
      </c>
      <c r="G586" s="490"/>
      <c r="H586" s="490"/>
      <c r="I586" s="490"/>
      <c r="J586" s="588"/>
      <c r="K586" s="490"/>
      <c r="L586" s="490"/>
      <c r="M586" s="490"/>
      <c r="N586" s="490"/>
      <c r="O586" s="490"/>
      <c r="P586" s="490" t="s">
        <v>8943</v>
      </c>
    </row>
    <row r="587">
      <c r="A587" s="490"/>
      <c r="B587" s="490"/>
      <c r="C587" s="490"/>
      <c r="D587" s="490" t="str">
        <f>IFERROR(__xludf.DUMMYFUNCTION("""COMPUTED_VALUE"""),"RESI")</f>
        <v>RESI</v>
      </c>
      <c r="E587" s="593" t="str">
        <f>IFERROR(__xludf.DUMMYFUNCTION("""COMPUTED_VALUE"""),"CISCO")</f>
        <v>CISCO</v>
      </c>
      <c r="F587" s="593" t="str">
        <f>IFERROR(__xludf.DUMMYFUNCTION("""COMPUTED_VALUE"""),"SF-100D-05")</f>
        <v>SF-100D-05</v>
      </c>
      <c r="G587" s="490"/>
      <c r="H587" s="490"/>
      <c r="I587" s="490"/>
      <c r="J587" s="588"/>
      <c r="K587" s="490"/>
      <c r="L587" s="490"/>
      <c r="M587" s="490"/>
      <c r="N587" s="490"/>
      <c r="O587" s="490"/>
      <c r="P587" s="490" t="s">
        <v>8945</v>
      </c>
    </row>
    <row r="588">
      <c r="A588" s="490"/>
      <c r="B588" s="490"/>
      <c r="C588" s="490"/>
      <c r="D588" s="490" t="str">
        <f>IFERROR(__xludf.DUMMYFUNCTION("""COMPUTED_VALUE"""),"RESOURCE DM")</f>
        <v>RESOURCE DM</v>
      </c>
      <c r="E588" s="593" t="str">
        <f>IFERROR(__xludf.DUMMYFUNCTION("""COMPUTED_VALUE"""),"CISCO")</f>
        <v>CISCO</v>
      </c>
      <c r="F588" s="593" t="str">
        <f>IFERROR(__xludf.DUMMYFUNCTION("""COMPUTED_VALUE"""),"SF-100D-05")</f>
        <v>SF-100D-05</v>
      </c>
      <c r="G588" s="490"/>
      <c r="H588" s="490"/>
      <c r="I588" s="490"/>
      <c r="J588" s="588"/>
      <c r="K588" s="490"/>
      <c r="L588" s="490"/>
      <c r="M588" s="490"/>
      <c r="N588" s="490"/>
      <c r="O588" s="490"/>
      <c r="P588" s="490" t="s">
        <v>8947</v>
      </c>
    </row>
    <row r="589">
      <c r="A589" s="490"/>
      <c r="B589" s="490"/>
      <c r="C589" s="490"/>
      <c r="D589" s="490" t="str">
        <f>IFERROR(__xludf.DUMMYFUNCTION("""COMPUTED_VALUE"""),"RF CODE")</f>
        <v>RF CODE</v>
      </c>
      <c r="E589" s="593" t="str">
        <f>IFERROR(__xludf.DUMMYFUNCTION("""COMPUTED_VALUE"""),"CISCO")</f>
        <v>CISCO</v>
      </c>
      <c r="F589" s="593" t="str">
        <f>IFERROR(__xludf.DUMMYFUNCTION("""COMPUTED_VALUE"""),"SF102-24")</f>
        <v>SF102-24</v>
      </c>
      <c r="G589" s="490"/>
      <c r="H589" s="490"/>
      <c r="I589" s="490"/>
      <c r="J589" s="588"/>
      <c r="K589" s="490"/>
      <c r="L589" s="490"/>
      <c r="M589" s="490"/>
      <c r="N589" s="490"/>
      <c r="O589" s="490"/>
      <c r="P589" s="490" t="s">
        <v>8949</v>
      </c>
    </row>
    <row r="590">
      <c r="A590" s="490"/>
      <c r="B590" s="490"/>
      <c r="C590" s="490"/>
      <c r="D590" s="490" t="str">
        <f>IFERROR(__xludf.DUMMYFUNCTION("""COMPUTED_VALUE"""),"RICOH")</f>
        <v>RICOH</v>
      </c>
      <c r="E590" s="593" t="str">
        <f>IFERROR(__xludf.DUMMYFUNCTION("""COMPUTED_VALUE"""),"CISCO")</f>
        <v>CISCO</v>
      </c>
      <c r="F590" s="593" t="str">
        <f>IFERROR(__xludf.DUMMYFUNCTION("""COMPUTED_VALUE"""),"SF200-24")</f>
        <v>SF200-24</v>
      </c>
      <c r="G590" s="490"/>
      <c r="H590" s="490"/>
      <c r="I590" s="490"/>
      <c r="J590" s="588"/>
      <c r="K590" s="490"/>
      <c r="L590" s="490"/>
      <c r="M590" s="490"/>
      <c r="N590" s="490"/>
      <c r="O590" s="490"/>
      <c r="P590" s="490" t="s">
        <v>8951</v>
      </c>
    </row>
    <row r="591">
      <c r="A591" s="490"/>
      <c r="B591" s="490"/>
      <c r="C591" s="490"/>
      <c r="D591" s="490" t="str">
        <f>IFERROR(__xludf.DUMMYFUNCTION("""COMPUTED_VALUE"""),"RIELLO")</f>
        <v>RIELLO</v>
      </c>
      <c r="E591" s="593" t="str">
        <f>IFERROR(__xludf.DUMMYFUNCTION("""COMPUTED_VALUE"""),"CISCO")</f>
        <v>CISCO</v>
      </c>
      <c r="F591" s="593" t="str">
        <f>IFERROR(__xludf.DUMMYFUNCTION("""COMPUTED_VALUE"""),"SF300-24")</f>
        <v>SF300-24</v>
      </c>
      <c r="G591" s="490"/>
      <c r="H591" s="490"/>
      <c r="I591" s="490"/>
      <c r="J591" s="588"/>
      <c r="K591" s="490"/>
      <c r="L591" s="490"/>
      <c r="M591" s="490"/>
      <c r="N591" s="490"/>
      <c r="O591" s="490"/>
      <c r="P591" s="490" t="s">
        <v>8154</v>
      </c>
    </row>
    <row r="592">
      <c r="A592" s="490"/>
      <c r="B592" s="490"/>
      <c r="C592" s="490"/>
      <c r="D592" s="490" t="str">
        <f>IFERROR(__xludf.DUMMYFUNCTION("""COMPUTED_VALUE"""),"RING")</f>
        <v>RING</v>
      </c>
      <c r="E592" s="593" t="str">
        <f>IFERROR(__xludf.DUMMYFUNCTION("""COMPUTED_VALUE"""),"CISCO")</f>
        <v>CISCO</v>
      </c>
      <c r="F592" s="593" t="str">
        <f>IFERROR(__xludf.DUMMYFUNCTION("""COMPUTED_VALUE"""),"SF90D-08")</f>
        <v>SF90D-08</v>
      </c>
      <c r="G592" s="490"/>
      <c r="H592" s="490"/>
      <c r="I592" s="490"/>
      <c r="J592" s="588"/>
      <c r="K592" s="490"/>
      <c r="L592" s="490"/>
      <c r="M592" s="490"/>
      <c r="N592" s="490"/>
      <c r="O592" s="490"/>
      <c r="P592" s="490" t="s">
        <v>8082</v>
      </c>
    </row>
    <row r="593">
      <c r="A593" s="490"/>
      <c r="B593" s="490"/>
      <c r="C593" s="490"/>
      <c r="D593" s="490" t="str">
        <f>IFERROR(__xludf.DUMMYFUNCTION("""COMPUTED_VALUE"""),"RIPPLES")</f>
        <v>RIPPLES</v>
      </c>
      <c r="E593" s="593" t="str">
        <f>IFERROR(__xludf.DUMMYFUNCTION("""COMPUTED_VALUE"""),"CISCO")</f>
        <v>CISCO</v>
      </c>
      <c r="F593" s="593" t="str">
        <f>IFERROR(__xludf.DUMMYFUNCTION("""COMPUTED_VALUE"""),"SF90D-16")</f>
        <v>SF90D-16</v>
      </c>
      <c r="G593" s="490"/>
      <c r="H593" s="490"/>
      <c r="I593" s="490"/>
      <c r="J593" s="588"/>
      <c r="K593" s="490"/>
      <c r="L593" s="490"/>
      <c r="M593" s="490"/>
      <c r="N593" s="490"/>
      <c r="O593" s="490"/>
      <c r="P593" s="490" t="s">
        <v>8157</v>
      </c>
    </row>
    <row r="594">
      <c r="A594" s="490"/>
      <c r="B594" s="490"/>
      <c r="C594" s="490"/>
      <c r="D594" s="490" t="str">
        <f>IFERROR(__xludf.DUMMYFUNCTION("""COMPUTED_VALUE"""),"RLE")</f>
        <v>RLE</v>
      </c>
      <c r="E594" s="593" t="str">
        <f>IFERROR(__xludf.DUMMYFUNCTION("""COMPUTED_VALUE"""),"CISCO")</f>
        <v>CISCO</v>
      </c>
      <c r="F594" s="593" t="str">
        <f>IFERROR(__xludf.DUMMYFUNCTION("""COMPUTED_VALUE"""),"SF95D-08")</f>
        <v>SF95D-08</v>
      </c>
      <c r="G594" s="490"/>
      <c r="H594" s="490"/>
      <c r="I594" s="490"/>
      <c r="J594" s="588"/>
      <c r="K594" s="490"/>
      <c r="L594" s="490"/>
      <c r="M594" s="490"/>
      <c r="N594" s="490"/>
      <c r="O594" s="490"/>
      <c r="P594" s="490" t="s">
        <v>8159</v>
      </c>
    </row>
    <row r="595">
      <c r="A595" s="490"/>
      <c r="B595" s="490"/>
      <c r="C595" s="490"/>
      <c r="D595" s="490" t="str">
        <f>IFERROR(__xludf.DUMMYFUNCTION("""COMPUTED_VALUE"""),"ROCKWELL")</f>
        <v>ROCKWELL</v>
      </c>
      <c r="E595" s="593" t="str">
        <f>IFERROR(__xludf.DUMMYFUNCTION("""COMPUTED_VALUE"""),"CISCO")</f>
        <v>CISCO</v>
      </c>
      <c r="F595" s="593" t="str">
        <f>IFERROR(__xludf.DUMMYFUNCTION("""COMPUTED_VALUE"""),"SF95D-16")</f>
        <v>SF95D-16</v>
      </c>
      <c r="G595" s="490"/>
      <c r="H595" s="490"/>
      <c r="I595" s="490"/>
      <c r="J595" s="588"/>
      <c r="K595" s="490"/>
      <c r="L595" s="490"/>
      <c r="M595" s="490"/>
      <c r="N595" s="490"/>
      <c r="O595" s="490"/>
      <c r="P595" s="490" t="s">
        <v>8161</v>
      </c>
    </row>
    <row r="596">
      <c r="A596" s="490"/>
      <c r="B596" s="490"/>
      <c r="C596" s="490"/>
      <c r="D596" s="490" t="str">
        <f>IFERROR(__xludf.DUMMYFUNCTION("""COMPUTED_VALUE"""),"ROKU")</f>
        <v>ROKU</v>
      </c>
      <c r="E596" s="593" t="str">
        <f>IFERROR(__xludf.DUMMYFUNCTION("""COMPUTED_VALUE"""),"CISCO")</f>
        <v>CISCO</v>
      </c>
      <c r="F596" s="593" t="str">
        <f>IFERROR(__xludf.DUMMYFUNCTION("""COMPUTED_VALUE"""),"SG250-26")</f>
        <v>SG250-26</v>
      </c>
      <c r="G596" s="490"/>
      <c r="H596" s="490"/>
      <c r="I596" s="490"/>
      <c r="J596" s="588"/>
      <c r="K596" s="490"/>
      <c r="L596" s="490"/>
      <c r="M596" s="490"/>
      <c r="N596" s="490"/>
      <c r="O596" s="490"/>
      <c r="P596" s="490" t="s">
        <v>8163</v>
      </c>
    </row>
    <row r="597">
      <c r="A597" s="490"/>
      <c r="B597" s="490"/>
      <c r="C597" s="490"/>
      <c r="D597" s="490" t="str">
        <f>IFERROR(__xludf.DUMMYFUNCTION("""COMPUTED_VALUE"""),"ROSEMOUNT")</f>
        <v>ROSEMOUNT</v>
      </c>
      <c r="E597" s="593" t="str">
        <f>IFERROR(__xludf.DUMMYFUNCTION("""COMPUTED_VALUE"""),"CISCO")</f>
        <v>CISCO</v>
      </c>
      <c r="F597" s="593" t="str">
        <f>IFERROR(__xludf.DUMMYFUNCTION("""COMPUTED_VALUE"""),"SG300-10")</f>
        <v>SG300-10</v>
      </c>
      <c r="G597" s="490"/>
      <c r="H597" s="490"/>
      <c r="I597" s="490"/>
      <c r="J597" s="588"/>
      <c r="K597" s="490"/>
      <c r="L597" s="490"/>
      <c r="M597" s="490"/>
      <c r="N597" s="490"/>
      <c r="O597" s="490"/>
      <c r="P597" s="490" t="s">
        <v>8165</v>
      </c>
    </row>
    <row r="598">
      <c r="A598" s="490"/>
      <c r="B598" s="490"/>
      <c r="C598" s="490"/>
      <c r="D598" s="490" t="str">
        <f>IFERROR(__xludf.DUMMYFUNCTION("""COMPUTED_VALUE"""),"RRT")</f>
        <v>RRT</v>
      </c>
      <c r="E598" s="593" t="str">
        <f>IFERROR(__xludf.DUMMYFUNCTION("""COMPUTED_VALUE"""),"CISCO")</f>
        <v>CISCO</v>
      </c>
      <c r="F598" s="593" t="str">
        <f>IFERROR(__xludf.DUMMYFUNCTION("""COMPUTED_VALUE"""),"SG300-10SFP")</f>
        <v>SG300-10SFP</v>
      </c>
      <c r="G598" s="490"/>
      <c r="H598" s="490"/>
      <c r="I598" s="490"/>
      <c r="J598" s="588"/>
      <c r="K598" s="490"/>
      <c r="L598" s="490"/>
      <c r="M598" s="490"/>
      <c r="N598" s="490"/>
      <c r="O598" s="490"/>
      <c r="P598" s="490" t="s">
        <v>8167</v>
      </c>
    </row>
    <row r="599">
      <c r="A599" s="490"/>
      <c r="B599" s="490"/>
      <c r="C599" s="490"/>
      <c r="D599" s="490" t="str">
        <f>IFERROR(__xludf.DUMMYFUNCTION("""COMPUTED_VALUE"""),"RSCAT")</f>
        <v>RSCAT</v>
      </c>
      <c r="E599" s="593" t="str">
        <f>IFERROR(__xludf.DUMMYFUNCTION("""COMPUTED_VALUE"""),"CISCO")</f>
        <v>CISCO</v>
      </c>
      <c r="F599" s="593" t="str">
        <f>IFERROR(__xludf.DUMMYFUNCTION("""COMPUTED_VALUE"""),"SG300-28")</f>
        <v>SG300-28</v>
      </c>
      <c r="G599" s="490"/>
      <c r="H599" s="490"/>
      <c r="I599" s="490"/>
      <c r="J599" s="588"/>
      <c r="K599" s="490"/>
      <c r="L599" s="490"/>
      <c r="M599" s="490"/>
      <c r="N599" s="490"/>
      <c r="O599" s="490"/>
      <c r="P599" s="490" t="s">
        <v>8169</v>
      </c>
    </row>
    <row r="600">
      <c r="A600" s="490"/>
      <c r="B600" s="490"/>
      <c r="C600" s="490"/>
      <c r="D600" s="490" t="str">
        <f>IFERROR(__xludf.DUMMYFUNCTION("""COMPUTED_VALUE"""),"RTA")</f>
        <v>RTA</v>
      </c>
      <c r="E600" s="593" t="str">
        <f>IFERROR(__xludf.DUMMYFUNCTION("""COMPUTED_VALUE"""),"CISCO")</f>
        <v>CISCO</v>
      </c>
      <c r="F600" s="593" t="str">
        <f>IFERROR(__xludf.DUMMYFUNCTION("""COMPUTED_VALUE"""),"SG350-28")</f>
        <v>SG350-28</v>
      </c>
      <c r="G600" s="490"/>
      <c r="H600" s="490"/>
      <c r="I600" s="490"/>
      <c r="J600" s="588"/>
      <c r="K600" s="490"/>
      <c r="L600" s="490"/>
      <c r="M600" s="490"/>
      <c r="N600" s="490"/>
      <c r="O600" s="490"/>
      <c r="P600" s="490" t="s">
        <v>8171</v>
      </c>
    </row>
    <row r="601">
      <c r="A601" s="490"/>
      <c r="B601" s="490"/>
      <c r="C601" s="490"/>
      <c r="D601" s="490" t="str">
        <f>IFERROR(__xludf.DUMMYFUNCTION("""COMPUTED_VALUE"""),"S+S REGELTECHNIK")</f>
        <v>S+S REGELTECHNIK</v>
      </c>
      <c r="E601" s="593" t="str">
        <f>IFERROR(__xludf.DUMMYFUNCTION("""COMPUTED_VALUE"""),"CISCO")</f>
        <v>CISCO</v>
      </c>
      <c r="F601" s="593" t="str">
        <f>IFERROR(__xludf.DUMMYFUNCTION("""COMPUTED_VALUE"""),"SG95D-08")</f>
        <v>SG95D-08</v>
      </c>
      <c r="G601" s="490"/>
      <c r="H601" s="490"/>
      <c r="I601" s="490"/>
      <c r="J601" s="588"/>
      <c r="K601" s="490"/>
      <c r="L601" s="490"/>
      <c r="M601" s="490"/>
      <c r="N601" s="490"/>
      <c r="O601" s="490"/>
      <c r="P601" s="490" t="s">
        <v>8173</v>
      </c>
    </row>
    <row r="602">
      <c r="A602" s="490"/>
      <c r="B602" s="490"/>
      <c r="C602" s="490"/>
      <c r="D602" s="490" t="str">
        <f>IFERROR(__xludf.DUMMYFUNCTION("""COMPUTED_VALUE"""),"SAFESCAN")</f>
        <v>SAFESCAN</v>
      </c>
      <c r="E602" s="593" t="str">
        <f>IFERROR(__xludf.DUMMYFUNCTION("""COMPUTED_VALUE"""),"CISCO")</f>
        <v>CISCO</v>
      </c>
      <c r="F602" s="593" t="str">
        <f>IFERROR(__xludf.DUMMYFUNCTION("""COMPUTED_VALUE"""),"SPA112 2-PORT PHONE ADAPTER")</f>
        <v>SPA112 2-PORT PHONE ADAPTER</v>
      </c>
      <c r="G602" s="490"/>
      <c r="H602" s="490"/>
      <c r="I602" s="490"/>
      <c r="J602" s="588"/>
      <c r="K602" s="490"/>
      <c r="L602" s="490"/>
      <c r="M602" s="490"/>
      <c r="N602" s="490"/>
      <c r="O602" s="490"/>
      <c r="P602" s="490" t="s">
        <v>8175</v>
      </c>
    </row>
    <row r="603">
      <c r="A603" s="490"/>
      <c r="B603" s="490"/>
      <c r="C603" s="490"/>
      <c r="D603" s="490" t="str">
        <f>IFERROR(__xludf.DUMMYFUNCTION("""COMPUTED_VALUE"""),"SAIA BURGESS")</f>
        <v>SAIA BURGESS</v>
      </c>
      <c r="E603" s="593" t="str">
        <f>IFERROR(__xludf.DUMMYFUNCTION("""COMPUTED_VALUE"""),"CISCO")</f>
        <v>CISCO</v>
      </c>
      <c r="F603" s="593" t="str">
        <f>IFERROR(__xludf.DUMMYFUNCTION("""COMPUTED_VALUE"""),"SWITCHE90C5A")</f>
        <v>SWITCHE90C5A</v>
      </c>
      <c r="G603" s="490"/>
      <c r="H603" s="490"/>
      <c r="I603" s="490"/>
      <c r="J603" s="588"/>
      <c r="K603" s="490"/>
      <c r="L603" s="490"/>
      <c r="M603" s="490"/>
      <c r="N603" s="490"/>
      <c r="O603" s="490"/>
      <c r="P603" s="490" t="s">
        <v>8084</v>
      </c>
    </row>
    <row r="604">
      <c r="A604" s="490"/>
      <c r="B604" s="490"/>
      <c r="C604" s="490"/>
      <c r="D604" s="490" t="str">
        <f>IFERROR(__xludf.DUMMYFUNCTION("""COMPUTED_VALUE"""),"SAINT GOBAIN")</f>
        <v>SAINT GOBAIN</v>
      </c>
      <c r="E604" s="593" t="str">
        <f>IFERROR(__xludf.DUMMYFUNCTION("""COMPUTED_VALUE"""),"CISCO")</f>
        <v>CISCO</v>
      </c>
      <c r="F604" s="593" t="str">
        <f>IFERROR(__xludf.DUMMYFUNCTION("""COMPUTED_VALUE"""),"WC-C2960X-48TS-IN")</f>
        <v>WC-C2960X-48TS-IN</v>
      </c>
      <c r="G604" s="490"/>
      <c r="H604" s="490"/>
      <c r="I604" s="490"/>
      <c r="J604" s="588"/>
      <c r="K604" s="490"/>
      <c r="L604" s="490"/>
      <c r="M604" s="490"/>
      <c r="N604" s="490"/>
      <c r="O604" s="490"/>
      <c r="P604" s="490" t="s">
        <v>8177</v>
      </c>
    </row>
    <row r="605">
      <c r="A605" s="490"/>
      <c r="B605" s="490"/>
      <c r="C605" s="490"/>
      <c r="D605" s="490" t="str">
        <f>IFERROR(__xludf.DUMMYFUNCTION("""COMPUTED_VALUE"""),"SAKKARAH")</f>
        <v>SAKKARAH</v>
      </c>
      <c r="E605" s="593" t="str">
        <f>IFERROR(__xludf.DUMMYFUNCTION("""COMPUTED_VALUE"""),"CISCO")</f>
        <v>CISCO</v>
      </c>
      <c r="F605" s="593" t="str">
        <f>IFERROR(__xludf.DUMMYFUNCTION("""COMPUTED_VALUE"""),"SG95-24")</f>
        <v>SG95-24</v>
      </c>
      <c r="G605" s="490"/>
      <c r="H605" s="490"/>
      <c r="I605" s="490"/>
      <c r="J605" s="588"/>
      <c r="K605" s="490"/>
      <c r="L605" s="490"/>
      <c r="M605" s="490"/>
      <c r="N605" s="490"/>
      <c r="O605" s="490"/>
      <c r="P605" s="490" t="s">
        <v>8502</v>
      </c>
    </row>
    <row r="606">
      <c r="A606" s="490"/>
      <c r="B606" s="490"/>
      <c r="C606" s="490"/>
      <c r="D606" s="490" t="str">
        <f>IFERROR(__xludf.DUMMYFUNCTION("""COMPUTED_VALUE"""),"SAMSUNG")</f>
        <v>SAMSUNG</v>
      </c>
      <c r="E606" s="593" t="str">
        <f>IFERROR(__xludf.DUMMYFUNCTION("""COMPUTED_VALUE"""),"CISCO")</f>
        <v>CISCO</v>
      </c>
      <c r="F606" s="593" t="str">
        <f>IFERROR(__xludf.DUMMYFUNCTION("""COMPUTED_VALUE"""),"SG 100D-08")</f>
        <v>SG 100D-08</v>
      </c>
      <c r="G606" s="490"/>
      <c r="H606" s="490"/>
      <c r="I606" s="490"/>
      <c r="J606" s="588"/>
      <c r="K606" s="490"/>
      <c r="L606" s="490"/>
      <c r="M606" s="490"/>
      <c r="N606" s="490"/>
      <c r="O606" s="490"/>
      <c r="P606" s="490" t="s">
        <v>8505</v>
      </c>
    </row>
    <row r="607">
      <c r="A607" s="490"/>
      <c r="B607" s="490"/>
      <c r="C607" s="490"/>
      <c r="D607" s="490" t="str">
        <f>IFERROR(__xludf.DUMMYFUNCTION("""COMPUTED_VALUE"""),"SAN TELEQUIP")</f>
        <v>SAN TELEQUIP</v>
      </c>
      <c r="E607" s="593" t="str">
        <f>IFERROR(__xludf.DUMMYFUNCTION("""COMPUTED_VALUE"""),"CISCO")</f>
        <v>CISCO</v>
      </c>
      <c r="F607" s="593" t="str">
        <f>IFERROR(__xludf.DUMMYFUNCTION("""COMPUTED_VALUE"""),"3850-24-POE")</f>
        <v>3850-24-POE</v>
      </c>
      <c r="G607" s="490"/>
      <c r="H607" s="490"/>
      <c r="I607" s="490"/>
      <c r="J607" s="588"/>
      <c r="K607" s="490"/>
      <c r="L607" s="490"/>
      <c r="M607" s="490"/>
      <c r="N607" s="490"/>
      <c r="O607" s="490"/>
      <c r="P607" s="490" t="s">
        <v>8507</v>
      </c>
    </row>
    <row r="608">
      <c r="A608" s="490"/>
      <c r="B608" s="490"/>
      <c r="C608" s="490"/>
      <c r="D608" s="490" t="str">
        <f>IFERROR(__xludf.DUMMYFUNCTION("""COMPUTED_VALUE"""),"SAN TELEQUIP PVT. LTD")</f>
        <v>SAN TELEQUIP PVT. LTD</v>
      </c>
      <c r="E608" s="593" t="str">
        <f>IFERROR(__xludf.DUMMYFUNCTION("""COMPUTED_VALUE"""),"CISCO")</f>
        <v>CISCO</v>
      </c>
      <c r="F608" s="593" t="str">
        <f>IFERROR(__xludf.DUMMYFUNCTION("""COMPUTED_VALUE"""),"WS-UPOE-12VPSPL")</f>
        <v>WS-UPOE-12VPSPL</v>
      </c>
      <c r="G608" s="490"/>
      <c r="H608" s="490"/>
      <c r="I608" s="490"/>
      <c r="J608" s="588"/>
      <c r="K608" s="490"/>
      <c r="L608" s="490"/>
      <c r="M608" s="490"/>
      <c r="N608" s="490"/>
      <c r="O608" s="490"/>
      <c r="P608" s="490" t="s">
        <v>8509</v>
      </c>
    </row>
    <row r="609">
      <c r="A609" s="490"/>
      <c r="B609" s="490"/>
      <c r="C609" s="490"/>
      <c r="D609" s="490" t="str">
        <f>IFERROR(__xludf.DUMMYFUNCTION("""COMPUTED_VALUE"""),"SATEC")</f>
        <v>SATEC</v>
      </c>
      <c r="E609" s="593" t="str">
        <f>IFERROR(__xludf.DUMMYFUNCTION("""COMPUTED_VALUE"""),"CISCO")</f>
        <v>CISCO</v>
      </c>
      <c r="F609" s="593" t="str">
        <f>IFERROR(__xludf.DUMMYFUNCTION("""COMPUTED_VALUE"""),"CATALYST 2960-XR")</f>
        <v>CATALYST 2960-XR</v>
      </c>
      <c r="G609" s="490"/>
      <c r="H609" s="490"/>
      <c r="I609" s="490"/>
      <c r="J609" s="588"/>
      <c r="K609" s="490"/>
      <c r="L609" s="490"/>
      <c r="M609" s="490"/>
      <c r="N609" s="490"/>
      <c r="O609" s="490"/>
      <c r="P609" s="490" t="s">
        <v>8511</v>
      </c>
    </row>
    <row r="610">
      <c r="A610" s="490"/>
      <c r="B610" s="490"/>
      <c r="C610" s="490"/>
      <c r="D610" s="490" t="str">
        <f>IFERROR(__xludf.DUMMYFUNCTION("""COMPUTED_VALUE"""),"SATO")</f>
        <v>SATO</v>
      </c>
      <c r="E610" s="593" t="str">
        <f>IFERROR(__xludf.DUMMYFUNCTION("""COMPUTED_VALUE"""),"CISCO")</f>
        <v>CISCO</v>
      </c>
      <c r="F610" s="593" t="str">
        <f>IFERROR(__xludf.DUMMYFUNCTION("""COMPUTED_VALUE"""),"SF110D-05")</f>
        <v>SF110D-05</v>
      </c>
      <c r="G610" s="490"/>
      <c r="H610" s="490"/>
      <c r="I610" s="490"/>
      <c r="J610" s="588"/>
      <c r="K610" s="490"/>
      <c r="L610" s="490"/>
      <c r="M610" s="490"/>
      <c r="N610" s="490"/>
      <c r="O610" s="490"/>
      <c r="P610" s="490" t="s">
        <v>8513</v>
      </c>
    </row>
    <row r="611">
      <c r="A611" s="490"/>
      <c r="B611" s="490"/>
      <c r="C611" s="490"/>
      <c r="D611" s="490" t="str">
        <f>IFERROR(__xludf.DUMMYFUNCTION("""COMPUTED_VALUE"""),"SAUNTER")</f>
        <v>SAUNTER</v>
      </c>
      <c r="E611" s="593" t="str">
        <f>IFERROR(__xludf.DUMMYFUNCTION("""COMPUTED_VALUE"""),"CISCO")</f>
        <v>CISCO</v>
      </c>
      <c r="F611" s="593" t="str">
        <f>IFERROR(__xludf.DUMMYFUNCTION("""COMPUTED_VALUE"""),"BUILDING MEDIATOR")</f>
        <v>BUILDING MEDIATOR</v>
      </c>
      <c r="G611" s="490"/>
      <c r="H611" s="490"/>
      <c r="I611" s="490"/>
      <c r="J611" s="588"/>
      <c r="K611" s="490"/>
      <c r="L611" s="490"/>
      <c r="M611" s="490"/>
      <c r="N611" s="490"/>
      <c r="O611" s="490"/>
      <c r="P611" s="490" t="s">
        <v>8515</v>
      </c>
    </row>
    <row r="612">
      <c r="A612" s="490"/>
      <c r="B612" s="490"/>
      <c r="C612" s="490"/>
      <c r="D612" s="490" t="str">
        <f>IFERROR(__xludf.DUMMYFUNCTION("""COMPUTED_VALUE"""),"SAUTER")</f>
        <v>SAUTER</v>
      </c>
      <c r="E612" s="593" t="str">
        <f>IFERROR(__xludf.DUMMYFUNCTION("""COMPUTED_VALUE"""),"CITEC")</f>
        <v>CITEC</v>
      </c>
      <c r="F612" s="593" t="str">
        <f>IFERROR(__xludf.DUMMYFUNCTION("""COMPUTED_VALUE"""),"ESD SERIES DX SYSTEM")</f>
        <v>ESD SERIES DX SYSTEM</v>
      </c>
      <c r="G612" s="490"/>
      <c r="H612" s="490"/>
      <c r="I612" s="490"/>
      <c r="J612" s="588"/>
      <c r="K612" s="490"/>
      <c r="L612" s="490"/>
      <c r="M612" s="490"/>
      <c r="N612" s="490"/>
      <c r="O612" s="490"/>
      <c r="P612" s="490" t="s">
        <v>8517</v>
      </c>
    </row>
    <row r="613">
      <c r="A613" s="490"/>
      <c r="B613" s="490"/>
      <c r="C613" s="490"/>
      <c r="D613" s="490" t="str">
        <f>IFERROR(__xludf.DUMMYFUNCTION("""COMPUTED_VALUE"""),"SAVARIA")</f>
        <v>SAVARIA</v>
      </c>
      <c r="E613" s="593" t="str">
        <f>IFERROR(__xludf.DUMMYFUNCTION("""COMPUTED_VALUE"""),"CLEAN ROBOTICS")</f>
        <v>CLEAN ROBOTICS</v>
      </c>
      <c r="F613" s="593" t="str">
        <f>IFERROR(__xludf.DUMMYFUNCTION("""COMPUTED_VALUE"""),"ZERO")</f>
        <v>ZERO</v>
      </c>
      <c r="G613" s="490"/>
      <c r="H613" s="490"/>
      <c r="I613" s="490"/>
      <c r="J613" s="588"/>
      <c r="K613" s="490"/>
      <c r="L613" s="490"/>
      <c r="M613" s="490"/>
      <c r="N613" s="490"/>
      <c r="O613" s="490"/>
      <c r="P613" s="490" t="s">
        <v>8520</v>
      </c>
    </row>
    <row r="614">
      <c r="A614" s="490"/>
      <c r="B614" s="490"/>
      <c r="C614" s="490"/>
      <c r="D614" s="490" t="str">
        <f>IFERROR(__xludf.DUMMYFUNCTION("""COMPUTED_VALUE"""),"SCHAERER")</f>
        <v>SCHAERER</v>
      </c>
      <c r="E614" s="593" t="str">
        <f>IFERROR(__xludf.DUMMYFUNCTION("""COMPUTED_VALUE"""),"CLEAN ROOMS INTL")</f>
        <v>CLEAN ROOMS INTL</v>
      </c>
      <c r="F614" s="593" t="str">
        <f>IFERROR(__xludf.DUMMYFUNCTION("""COMPUTED_VALUE"""),"SAM MS 3S NCR")</f>
        <v>SAM MS 3S NCR</v>
      </c>
      <c r="G614" s="490"/>
      <c r="H614" s="490"/>
      <c r="I614" s="490"/>
      <c r="J614" s="588"/>
      <c r="K614" s="490"/>
      <c r="L614" s="490"/>
      <c r="M614" s="490"/>
      <c r="N614" s="490"/>
      <c r="O614" s="490"/>
      <c r="P614" s="490" t="s">
        <v>8179</v>
      </c>
    </row>
    <row r="615">
      <c r="A615" s="490"/>
      <c r="B615" s="490"/>
      <c r="C615" s="490"/>
      <c r="D615" s="490" t="str">
        <f>IFERROR(__xludf.DUMMYFUNCTION("""COMPUTED_VALUE"""),"SCHNEIDER")</f>
        <v>SCHNEIDER</v>
      </c>
      <c r="E615" s="593" t="str">
        <f>IFERROR(__xludf.DUMMYFUNCTION("""COMPUTED_VALUE"""),"CLEAN ROOMS INTL")</f>
        <v>CLEAN ROOMS INTL</v>
      </c>
      <c r="F615" s="593" t="str">
        <f>IFERROR(__xludf.DUMMYFUNCTION("""COMPUTED_VALUE"""),"SAM24 MS 3S NCR")</f>
        <v>SAM24 MS 3S NCR</v>
      </c>
      <c r="G615" s="490"/>
      <c r="H615" s="490"/>
      <c r="I615" s="490"/>
      <c r="J615" s="588"/>
      <c r="K615" s="490"/>
      <c r="L615" s="490"/>
      <c r="M615" s="490"/>
      <c r="N615" s="490"/>
      <c r="O615" s="490"/>
      <c r="P615" s="490" t="s">
        <v>8522</v>
      </c>
    </row>
    <row r="616">
      <c r="A616" s="490"/>
      <c r="B616" s="490"/>
      <c r="C616" s="490"/>
      <c r="D616" s="490" t="str">
        <f>IFERROR(__xludf.DUMMYFUNCTION("""COMPUTED_VALUE"""),"SCHNEIDER ELECTRIC")</f>
        <v>SCHNEIDER ELECTRIC</v>
      </c>
      <c r="E616" s="593" t="str">
        <f>IFERROR(__xludf.DUMMYFUNCTION("""COMPUTED_VALUE"""),"CLIMACOOL")</f>
        <v>CLIMACOOL</v>
      </c>
      <c r="F616" s="593" t="str">
        <f>IFERROR(__xludf.DUMMYFUNCTION("""COMPUTED_VALUE"""),"UCA070")</f>
        <v>UCA070</v>
      </c>
      <c r="G616" s="490"/>
      <c r="H616" s="490"/>
      <c r="I616" s="490"/>
      <c r="J616" s="588"/>
      <c r="K616" s="490"/>
      <c r="L616" s="490"/>
      <c r="M616" s="490"/>
      <c r="N616" s="490"/>
      <c r="O616" s="490"/>
      <c r="P616" s="490" t="s">
        <v>8524</v>
      </c>
    </row>
    <row r="617">
      <c r="A617" s="490"/>
      <c r="B617" s="490"/>
      <c r="C617" s="490"/>
      <c r="D617" s="490" t="str">
        <f>IFERROR(__xludf.DUMMYFUNCTION("""COMPUTED_VALUE"""),"SDMO")</f>
        <v>SDMO</v>
      </c>
      <c r="E617" s="593" t="str">
        <f>IFERROR(__xludf.DUMMYFUNCTION("""COMPUTED_VALUE"""),"CLIMAVENETA")</f>
        <v>CLIMAVENETA</v>
      </c>
      <c r="F617" s="593" t="str">
        <f>IFERROR(__xludf.DUMMYFUNCTION("""COMPUTED_VALUE"""),"ACCURATE I-ADU")</f>
        <v>ACCURATE I-ADU</v>
      </c>
      <c r="G617" s="490"/>
      <c r="H617" s="490"/>
      <c r="I617" s="490"/>
      <c r="J617" s="588"/>
      <c r="K617" s="490"/>
      <c r="L617" s="490"/>
      <c r="M617" s="490"/>
      <c r="N617" s="490"/>
      <c r="O617" s="490"/>
      <c r="P617" s="490" t="s">
        <v>8526</v>
      </c>
    </row>
    <row r="618">
      <c r="A618" s="490"/>
      <c r="B618" s="490"/>
      <c r="C618" s="490"/>
      <c r="D618" s="490" t="str">
        <f>IFERROR(__xludf.DUMMYFUNCTION("""COMPUTED_VALUE"""),"SE ADAPTOLUX")</f>
        <v>SE ADAPTOLUX</v>
      </c>
      <c r="E618" s="593" t="str">
        <f>IFERROR(__xludf.DUMMYFUNCTION("""COMPUTED_VALUE"""),"CLIMAVENETA")</f>
        <v>CLIMAVENETA</v>
      </c>
      <c r="F618" s="593" t="str">
        <f>IFERROR(__xludf.DUMMYFUNCTION("""COMPUTED_VALUE"""),"ACCURATE I-AXO")</f>
        <v>ACCURATE I-AXO</v>
      </c>
      <c r="G618" s="490"/>
      <c r="H618" s="490"/>
      <c r="I618" s="490"/>
      <c r="J618" s="588"/>
      <c r="K618" s="490"/>
      <c r="L618" s="490"/>
      <c r="M618" s="490"/>
      <c r="N618" s="490"/>
      <c r="O618" s="490"/>
      <c r="P618" s="490" t="s">
        <v>8528</v>
      </c>
    </row>
    <row r="619">
      <c r="A619" s="490"/>
      <c r="B619" s="490"/>
      <c r="C619" s="490"/>
      <c r="D619" s="490" t="str">
        <f>IFERROR(__xludf.DUMMYFUNCTION("""COMPUTED_VALUE"""),"SEAGA")</f>
        <v>SEAGA</v>
      </c>
      <c r="E619" s="593" t="str">
        <f>IFERROR(__xludf.DUMMYFUNCTION("""COMPUTED_VALUE"""),"CLMBR")</f>
        <v>CLMBR</v>
      </c>
      <c r="F619" s="593" t="str">
        <f>IFERROR(__xludf.DUMMYFUNCTION("""COMPUTED_VALUE"""),"CLCN21")</f>
        <v>CLCN21</v>
      </c>
      <c r="G619" s="490"/>
      <c r="H619" s="490"/>
      <c r="I619" s="490"/>
      <c r="J619" s="588"/>
      <c r="K619" s="490"/>
      <c r="L619" s="490"/>
      <c r="M619" s="490"/>
      <c r="N619" s="490"/>
      <c r="O619" s="490"/>
      <c r="P619" s="490" t="s">
        <v>8531</v>
      </c>
    </row>
    <row r="620">
      <c r="A620" s="490"/>
      <c r="B620" s="490"/>
      <c r="C620" s="490"/>
      <c r="D620" s="490" t="str">
        <f>IFERROR(__xludf.DUMMYFUNCTION("""COMPUTED_VALUE"""),"SECOMEA")</f>
        <v>SECOMEA</v>
      </c>
      <c r="E620" s="593" t="str">
        <f>IFERROR(__xludf.DUMMYFUNCTION("""COMPUTED_VALUE"""),"COFFEE DAY")</f>
        <v>COFFEE DAY</v>
      </c>
      <c r="F620" s="593" t="str">
        <f>IFERROR(__xludf.DUMMYFUNCTION("""COMPUTED_VALUE"""),"INDUS+")</f>
        <v>INDUS+</v>
      </c>
      <c r="G620" s="490"/>
      <c r="H620" s="490"/>
      <c r="I620" s="490"/>
      <c r="J620" s="588"/>
      <c r="K620" s="490"/>
      <c r="L620" s="490"/>
      <c r="M620" s="490"/>
      <c r="N620" s="490"/>
      <c r="O620" s="490"/>
      <c r="P620" s="490" t="s">
        <v>8533</v>
      </c>
    </row>
    <row r="621">
      <c r="A621" s="490"/>
      <c r="B621" s="490"/>
      <c r="C621" s="490"/>
      <c r="D621" s="490" t="str">
        <f>IFERROR(__xludf.DUMMYFUNCTION("""COMPUTED_VALUE"""),"SECURITON")</f>
        <v>SECURITON</v>
      </c>
      <c r="E621" s="593" t="str">
        <f>IFERROR(__xludf.DUMMYFUNCTION("""COMPUTED_VALUE"""),"COLMAC")</f>
        <v>COLMAC</v>
      </c>
      <c r="F621" s="593" t="str">
        <f>IFERROR(__xludf.DUMMYFUNCTION("""COMPUTED_VALUE"""),"CXS CONTROLLER")</f>
        <v>CXS CONTROLLER</v>
      </c>
      <c r="G621" s="490"/>
      <c r="H621" s="490"/>
      <c r="I621" s="490"/>
      <c r="J621" s="588"/>
      <c r="K621" s="490"/>
      <c r="L621" s="490"/>
      <c r="M621" s="490"/>
      <c r="N621" s="490"/>
      <c r="O621" s="490"/>
      <c r="P621" s="490" t="s">
        <v>8535</v>
      </c>
    </row>
    <row r="622">
      <c r="A622" s="490"/>
      <c r="B622" s="490"/>
      <c r="C622" s="490"/>
      <c r="D622" s="490" t="str">
        <f>IFERROR(__xludf.DUMMYFUNCTION("""COMPUTED_VALUE"""),"SEL")</f>
        <v>SEL</v>
      </c>
      <c r="E622" s="593" t="str">
        <f>IFERROR(__xludf.DUMMYFUNCTION("""COMPUTED_VALUE"""),"COMBILENT")</f>
        <v>COMBILENT</v>
      </c>
      <c r="F622" s="593" t="str">
        <f>IFERROR(__xludf.DUMMYFUNCTION("""COMPUTED_VALUE"""),"DSCP10725")</f>
        <v>DSCP10725</v>
      </c>
      <c r="G622" s="490"/>
      <c r="H622" s="490"/>
      <c r="I622" s="490"/>
      <c r="J622" s="588"/>
      <c r="K622" s="490"/>
      <c r="L622" s="490"/>
      <c r="M622" s="490"/>
      <c r="N622" s="490"/>
      <c r="O622" s="490"/>
      <c r="P622" s="490" t="s">
        <v>8537</v>
      </c>
    </row>
    <row r="623">
      <c r="A623" s="490"/>
      <c r="B623" s="490"/>
      <c r="C623" s="490"/>
      <c r="D623" s="490" t="str">
        <f>IFERROR(__xludf.DUMMYFUNCTION("""COMPUTED_VALUE"""),"SELEC CONTROLS")</f>
        <v>SELEC CONTROLS</v>
      </c>
      <c r="E623" s="593" t="str">
        <f>IFERROR(__xludf.DUMMYFUNCTION("""COMPUTED_VALUE"""),"COMFILE")</f>
        <v>COMFILE</v>
      </c>
      <c r="F623" s="593" t="str">
        <f>IFERROR(__xludf.DUMMYFUNCTION("""COMPUTED_VALUE"""),"CPCV5-070WR")</f>
        <v>CPCV5-070WR</v>
      </c>
      <c r="G623" s="490"/>
      <c r="H623" s="490"/>
      <c r="I623" s="490"/>
      <c r="J623" s="588"/>
      <c r="K623" s="490"/>
      <c r="L623" s="490"/>
      <c r="M623" s="490"/>
      <c r="N623" s="490"/>
      <c r="O623" s="490"/>
      <c r="P623" s="490" t="s">
        <v>8539</v>
      </c>
    </row>
    <row r="624">
      <c r="A624" s="490"/>
      <c r="B624" s="490"/>
      <c r="C624" s="490"/>
      <c r="D624" s="490" t="str">
        <f>IFERROR(__xludf.DUMMYFUNCTION("""COMPUTED_VALUE"""),"SENSAPHONE")</f>
        <v>SENSAPHONE</v>
      </c>
      <c r="E624" s="593" t="str">
        <f>IFERROR(__xludf.DUMMYFUNCTION("""COMPUTED_VALUE"""),"COMPOLOGY")</f>
        <v>COMPOLOGY</v>
      </c>
      <c r="F624" s="593" t="str">
        <f>IFERROR(__xludf.DUMMYFUNCTION("""COMPUTED_VALUE"""),"NOT VERIFIED")</f>
        <v>NOT VERIFIED</v>
      </c>
      <c r="G624" s="490"/>
      <c r="H624" s="490"/>
      <c r="I624" s="490"/>
      <c r="J624" s="588"/>
      <c r="K624" s="490"/>
      <c r="L624" s="490"/>
      <c r="M624" s="490"/>
      <c r="N624" s="490"/>
      <c r="O624" s="490"/>
      <c r="P624" s="490" t="s">
        <v>8542</v>
      </c>
    </row>
    <row r="625">
      <c r="A625" s="490"/>
      <c r="B625" s="490"/>
      <c r="C625" s="490"/>
      <c r="D625" s="490" t="str">
        <f>IFERROR(__xludf.DUMMYFUNCTION("""COMPUTED_VALUE"""),"SENVA")</f>
        <v>SENVA</v>
      </c>
      <c r="E625" s="593" t="str">
        <f>IFERROR(__xludf.DUMMYFUNCTION("""COMPUTED_VALUE"""),"COMPOLOGY")</f>
        <v>COMPOLOGY</v>
      </c>
      <c r="F625" s="593" t="str">
        <f>IFERROR(__xludf.DUMMYFUNCTION("""COMPUTED_VALUE"""),"R12")</f>
        <v>R12</v>
      </c>
      <c r="G625" s="490"/>
      <c r="H625" s="490"/>
      <c r="I625" s="490"/>
      <c r="J625" s="588"/>
      <c r="K625" s="490"/>
      <c r="L625" s="490"/>
      <c r="M625" s="490"/>
      <c r="N625" s="490"/>
      <c r="O625" s="490"/>
      <c r="P625" s="490" t="s">
        <v>8181</v>
      </c>
    </row>
    <row r="626">
      <c r="A626" s="490"/>
      <c r="B626" s="490"/>
      <c r="C626" s="490"/>
      <c r="D626" s="490" t="str">
        <f>IFERROR(__xludf.DUMMYFUNCTION("""COMPUTED_VALUE"""),"SFACE900")</f>
        <v>SFACE900</v>
      </c>
      <c r="E626" s="593" t="str">
        <f>IFERROR(__xludf.DUMMYFUNCTION("""COMPUTED_VALUE"""),"COMPOLOGY")</f>
        <v>COMPOLOGY</v>
      </c>
      <c r="F626" s="593" t="str">
        <f>IFERROR(__xludf.DUMMYFUNCTION("""COMPUTED_VALUE"""),"REFUSE")</f>
        <v>REFUSE</v>
      </c>
      <c r="G626" s="490"/>
      <c r="H626" s="490"/>
      <c r="I626" s="490"/>
      <c r="J626" s="588"/>
      <c r="K626" s="490"/>
      <c r="L626" s="490"/>
      <c r="M626" s="490"/>
      <c r="N626" s="490"/>
      <c r="O626" s="490"/>
      <c r="P626" s="490" t="s">
        <v>8544</v>
      </c>
    </row>
    <row r="627">
      <c r="A627" s="490"/>
      <c r="B627" s="490"/>
      <c r="C627" s="490"/>
      <c r="D627" s="490" t="str">
        <f>IFERROR(__xludf.DUMMYFUNCTION("""COMPUTED_VALUE"""),"SHARP")</f>
        <v>SHARP</v>
      </c>
      <c r="E627" s="593" t="str">
        <f>IFERROR(__xludf.DUMMYFUNCTION("""COMPUTED_VALUE"""),"COMPOLOGY")</f>
        <v>COMPOLOGY</v>
      </c>
      <c r="F627" s="593" t="str">
        <f>IFERROR(__xludf.DUMMYFUNCTION("""COMPUTED_VALUE"""),"R13")</f>
        <v>R13</v>
      </c>
      <c r="G627" s="490"/>
      <c r="H627" s="490"/>
      <c r="I627" s="490"/>
      <c r="J627" s="588"/>
      <c r="K627" s="490"/>
      <c r="L627" s="490"/>
      <c r="M627" s="490"/>
      <c r="N627" s="490"/>
      <c r="O627" s="490"/>
      <c r="P627" s="490" t="s">
        <v>8546</v>
      </c>
    </row>
    <row r="628">
      <c r="A628" s="490"/>
      <c r="B628" s="490"/>
      <c r="C628" s="490"/>
      <c r="D628" s="490" t="str">
        <f>IFERROR(__xludf.DUMMYFUNCTION("""COMPUTED_VALUE"""),"SHENITECH")</f>
        <v>SHENITECH</v>
      </c>
      <c r="E628" s="593" t="str">
        <f>IFERROR(__xludf.DUMMYFUNCTION("""COMPUTED_VALUE"""),"COMPOLOGY")</f>
        <v>COMPOLOGY</v>
      </c>
      <c r="F628" s="593" t="str">
        <f>IFERROR(__xludf.DUMMYFUNCTION("""COMPUTED_VALUE"""),"R13")</f>
        <v>R13</v>
      </c>
      <c r="G628" s="490"/>
      <c r="H628" s="490"/>
      <c r="I628" s="490"/>
      <c r="J628" s="588"/>
      <c r="K628" s="490"/>
      <c r="L628" s="490"/>
      <c r="M628" s="490"/>
      <c r="N628" s="490"/>
      <c r="O628" s="490"/>
      <c r="P628" s="490" t="s">
        <v>8548</v>
      </c>
    </row>
    <row r="629">
      <c r="A629" s="490"/>
      <c r="B629" s="490"/>
      <c r="C629" s="490"/>
      <c r="D629" s="490" t="str">
        <f>IFERROR(__xludf.DUMMYFUNCTION("""COMPUTED_VALUE"""),"SHENZEN SHI FANG COMMUNICATION")</f>
        <v>SHENZEN SHI FANG COMMUNICATION</v>
      </c>
      <c r="E629" s="593" t="str">
        <f>IFERROR(__xludf.DUMMYFUNCTION("""COMPUTED_VALUE"""),"COMPULAB")</f>
        <v>COMPULAB</v>
      </c>
      <c r="F629" s="593" t="str">
        <f>IFERROR(__xludf.DUMMYFUNCTION("""COMPUTED_VALUE"""),"NOT VERIFIED")</f>
        <v>NOT VERIFIED</v>
      </c>
      <c r="G629" s="490"/>
      <c r="H629" s="490"/>
      <c r="I629" s="490"/>
      <c r="J629" s="588"/>
      <c r="K629" s="490"/>
      <c r="L629" s="490"/>
      <c r="M629" s="490"/>
      <c r="N629" s="490"/>
      <c r="O629" s="490"/>
      <c r="P629" s="490" t="s">
        <v>8550</v>
      </c>
    </row>
    <row r="630">
      <c r="A630" s="490"/>
      <c r="B630" s="490"/>
      <c r="C630" s="490"/>
      <c r="D630" s="490" t="str">
        <f>IFERROR(__xludf.DUMMYFUNCTION("""COMPUTED_VALUE"""),"SHINWOO")</f>
        <v>SHINWOO</v>
      </c>
      <c r="E630" s="593" t="str">
        <f>IFERROR(__xludf.DUMMYFUNCTION("""COMPUTED_VALUE"""),"COMPUTERLINK")</f>
        <v>COMPUTERLINK</v>
      </c>
      <c r="F630" s="593" t="str">
        <f>IFERROR(__xludf.DUMMYFUNCTION("""COMPUTED_VALUE"""),"CUSTOM")</f>
        <v>CUSTOM</v>
      </c>
      <c r="G630" s="490"/>
      <c r="H630" s="490"/>
      <c r="I630" s="490"/>
      <c r="J630" s="588"/>
      <c r="K630" s="490"/>
      <c r="L630" s="490"/>
      <c r="M630" s="490"/>
      <c r="N630" s="490"/>
      <c r="O630" s="490"/>
      <c r="P630" s="490" t="s">
        <v>8552</v>
      </c>
    </row>
    <row r="631">
      <c r="A631" s="490"/>
      <c r="B631" s="490"/>
      <c r="C631" s="490"/>
      <c r="D631" s="490" t="str">
        <f>IFERROR(__xludf.DUMMYFUNCTION("""COMPUTED_VALUE"""),"SICOTRONIC")</f>
        <v>SICOTRONIC</v>
      </c>
      <c r="E631" s="593" t="str">
        <f>IFERROR(__xludf.DUMMYFUNCTION("""COMPUTED_VALUE"""),"CONCEPT")</f>
        <v>CONCEPT</v>
      </c>
      <c r="F631" s="593" t="str">
        <f>IFERROR(__xludf.DUMMYFUNCTION("""COMPUTED_VALUE"""),"ROWERG WITH PM5")</f>
        <v>ROWERG WITH PM5</v>
      </c>
      <c r="G631" s="490"/>
      <c r="H631" s="490"/>
      <c r="I631" s="490"/>
      <c r="J631" s="588"/>
      <c r="K631" s="490"/>
      <c r="L631" s="490"/>
      <c r="M631" s="490"/>
      <c r="N631" s="490"/>
      <c r="O631" s="490"/>
      <c r="P631" s="490" t="s">
        <v>8554</v>
      </c>
    </row>
    <row r="632">
      <c r="A632" s="490"/>
      <c r="B632" s="490"/>
      <c r="C632" s="490"/>
      <c r="D632" s="490" t="str">
        <f>IFERROR(__xludf.DUMMYFUNCTION("""COMPUTED_VALUE"""),"SIDEWALK LABS")</f>
        <v>SIDEWALK LABS</v>
      </c>
      <c r="E632" s="593" t="str">
        <f>IFERROR(__xludf.DUMMYFUNCTION("""COMPUTED_VALUE"""),"CONCEPT")</f>
        <v>CONCEPT</v>
      </c>
      <c r="F632" s="593" t="str">
        <f>IFERROR(__xludf.DUMMYFUNCTION("""COMPUTED_VALUE"""),"CONCEPT2")</f>
        <v>CONCEPT2</v>
      </c>
      <c r="G632" s="490"/>
      <c r="H632" s="490"/>
      <c r="I632" s="490"/>
      <c r="J632" s="588"/>
      <c r="K632" s="490"/>
      <c r="L632" s="490"/>
      <c r="M632" s="490"/>
      <c r="N632" s="490"/>
      <c r="O632" s="490"/>
      <c r="P632" s="490" t="s">
        <v>8556</v>
      </c>
    </row>
    <row r="633">
      <c r="A633" s="490"/>
      <c r="B633" s="490"/>
      <c r="C633" s="490"/>
      <c r="D633" s="490" t="str">
        <f>IFERROR(__xludf.DUMMYFUNCTION("""COMPUTED_VALUE"""),"SIEMENS")</f>
        <v>SIEMENS</v>
      </c>
      <c r="E633" s="593" t="str">
        <f>IFERROR(__xludf.DUMMYFUNCTION("""COMPUTED_VALUE"""),"CONCEPT 2")</f>
        <v>CONCEPT 2</v>
      </c>
      <c r="F633" s="593" t="str">
        <f>IFERROR(__xludf.DUMMYFUNCTION("""COMPUTED_VALUE"""),"E")</f>
        <v>E</v>
      </c>
      <c r="G633" s="490"/>
      <c r="H633" s="490"/>
      <c r="I633" s="490"/>
      <c r="J633" s="588"/>
      <c r="K633" s="490"/>
      <c r="L633" s="490"/>
      <c r="M633" s="490"/>
      <c r="N633" s="490"/>
      <c r="O633" s="490"/>
      <c r="P633" s="490" t="s">
        <v>8558</v>
      </c>
    </row>
    <row r="634">
      <c r="A634" s="490"/>
      <c r="B634" s="490"/>
      <c r="C634" s="490"/>
      <c r="D634" s="490" t="str">
        <f>IFERROR(__xludf.DUMMYFUNCTION("""COMPUTED_VALUE"""),"SIERRA")</f>
        <v>SIERRA</v>
      </c>
      <c r="E634" s="593" t="str">
        <f>IFERROR(__xludf.DUMMYFUNCTION("""COMPUTED_VALUE"""),"CONCEPT 2")</f>
        <v>CONCEPT 2</v>
      </c>
      <c r="F634" s="593" t="str">
        <f>IFERROR(__xludf.DUMMYFUNCTION("""COMPUTED_VALUE"""),"E")</f>
        <v>E</v>
      </c>
      <c r="G634" s="490"/>
      <c r="H634" s="490"/>
      <c r="I634" s="490"/>
      <c r="J634" s="588"/>
      <c r="K634" s="490"/>
      <c r="L634" s="490"/>
      <c r="M634" s="490"/>
      <c r="N634" s="490"/>
      <c r="O634" s="490"/>
      <c r="P634" s="490" t="s">
        <v>8561</v>
      </c>
    </row>
    <row r="635">
      <c r="A635" s="490"/>
      <c r="B635" s="490"/>
      <c r="C635" s="490"/>
      <c r="D635" s="490" t="str">
        <f>IFERROR(__xludf.DUMMYFUNCTION("""COMPUTED_VALUE"""),"SIERRA MONITOR")</f>
        <v>SIERRA MONITOR</v>
      </c>
      <c r="E635" s="593" t="str">
        <f>IFERROR(__xludf.DUMMYFUNCTION("""COMPUTED_VALUE"""),"CONCEPT2")</f>
        <v>CONCEPT2</v>
      </c>
      <c r="F635" s="593" t="str">
        <f>IFERROR(__xludf.DUMMYFUNCTION("""COMPUTED_VALUE"""),"MODEL E - PM4")</f>
        <v>MODEL E - PM4</v>
      </c>
      <c r="G635" s="490"/>
      <c r="H635" s="490"/>
      <c r="I635" s="490"/>
      <c r="J635" s="588"/>
      <c r="K635" s="490"/>
      <c r="L635" s="490"/>
      <c r="M635" s="490"/>
      <c r="N635" s="490"/>
      <c r="O635" s="490"/>
      <c r="P635" s="490" t="s">
        <v>8563</v>
      </c>
    </row>
    <row r="636">
      <c r="A636" s="490"/>
      <c r="B636" s="490"/>
      <c r="C636" s="490"/>
      <c r="D636" s="490" t="str">
        <f>IFERROR(__xludf.DUMMYFUNCTION("""COMPUTED_VALUE"""),"SIERRA MONITORING")</f>
        <v>SIERRA MONITORING</v>
      </c>
      <c r="E636" s="593" t="str">
        <f>IFERROR(__xludf.DUMMYFUNCTION("""COMPUTED_VALUE"""),"CONCEPT2")</f>
        <v>CONCEPT2</v>
      </c>
      <c r="F636" s="593" t="str">
        <f>IFERROR(__xludf.DUMMYFUNCTION("""COMPUTED_VALUE"""),"PM4")</f>
        <v>PM4</v>
      </c>
      <c r="G636" s="490"/>
      <c r="H636" s="490"/>
      <c r="I636" s="490"/>
      <c r="J636" s="588"/>
      <c r="K636" s="490"/>
      <c r="L636" s="490"/>
      <c r="M636" s="490"/>
      <c r="N636" s="490"/>
      <c r="O636" s="490"/>
      <c r="P636" s="490" t="s">
        <v>8183</v>
      </c>
    </row>
    <row r="637">
      <c r="A637" s="490"/>
      <c r="B637" s="490"/>
      <c r="C637" s="490"/>
      <c r="D637" s="490" t="str">
        <f>IFERROR(__xludf.DUMMYFUNCTION("""COMPUTED_VALUE"""),"SIGNIFI")</f>
        <v>SIGNIFI</v>
      </c>
      <c r="E637" s="593" t="str">
        <f>IFERROR(__xludf.DUMMYFUNCTION("""COMPUTED_VALUE"""),"CONCEPT2")</f>
        <v>CONCEPT2</v>
      </c>
      <c r="F637" s="593" t="str">
        <f>IFERROR(__xludf.DUMMYFUNCTION("""COMPUTED_VALUE"""),"PM5")</f>
        <v>PM5</v>
      </c>
      <c r="G637" s="490"/>
      <c r="H637" s="490"/>
      <c r="I637" s="490"/>
      <c r="J637" s="588"/>
      <c r="K637" s="490"/>
      <c r="L637" s="490"/>
      <c r="M637" s="490"/>
      <c r="N637" s="490"/>
      <c r="O637" s="490"/>
      <c r="P637" s="490" t="s">
        <v>8565</v>
      </c>
    </row>
    <row r="638">
      <c r="A638" s="490"/>
      <c r="B638" s="490"/>
      <c r="C638" s="490"/>
      <c r="D638" s="490" t="str">
        <f>IFERROR(__xludf.DUMMYFUNCTION("""COMPUTED_VALUE"""),"SIKLU")</f>
        <v>SIKLU</v>
      </c>
      <c r="E638" s="593" t="str">
        <f>IFERROR(__xludf.DUMMYFUNCTION("""COMPUTED_VALUE"""),"CONCEPT2")</f>
        <v>CONCEPT2</v>
      </c>
      <c r="F638" s="593" t="str">
        <f>IFERROR(__xludf.DUMMYFUNCTION("""COMPUTED_VALUE"""),"SKIERG")</f>
        <v>SKIERG</v>
      </c>
      <c r="G638" s="490"/>
      <c r="H638" s="490"/>
      <c r="I638" s="490"/>
      <c r="J638" s="588"/>
      <c r="K638" s="490"/>
      <c r="L638" s="490"/>
      <c r="M638" s="490"/>
      <c r="N638" s="490"/>
      <c r="O638" s="490"/>
      <c r="P638" s="490" t="s">
        <v>8567</v>
      </c>
    </row>
    <row r="639">
      <c r="A639" s="490"/>
      <c r="B639" s="490"/>
      <c r="C639" s="490"/>
      <c r="D639" s="490" t="str">
        <f>IFERROR(__xludf.DUMMYFUNCTION("""COMPUTED_VALUE"""),"SIMBADDA")</f>
        <v>SIMBADDA</v>
      </c>
      <c r="E639" s="593" t="str">
        <f>IFERROR(__xludf.DUMMYFUNCTION("""COMPUTED_VALUE"""),"CONCEPT2")</f>
        <v>CONCEPT2</v>
      </c>
      <c r="F639" s="593" t="str">
        <f>IFERROR(__xludf.DUMMYFUNCTION("""COMPUTED_VALUE"""),"CONCEPT 2 PMS")</f>
        <v>CONCEPT 2 PMS</v>
      </c>
      <c r="G639" s="490"/>
      <c r="H639" s="490"/>
      <c r="I639" s="490"/>
      <c r="J639" s="588"/>
      <c r="K639" s="490"/>
      <c r="L639" s="490"/>
      <c r="M639" s="490"/>
      <c r="N639" s="490"/>
      <c r="O639" s="490"/>
      <c r="P639" s="490" t="s">
        <v>8569</v>
      </c>
    </row>
    <row r="640">
      <c r="A640" s="490"/>
      <c r="B640" s="490"/>
      <c r="C640" s="490"/>
      <c r="D640" s="490" t="str">
        <f>IFERROR(__xludf.DUMMYFUNCTION("""COMPUTED_VALUE"""),"SIMPLYNUC")</f>
        <v>SIMPLYNUC</v>
      </c>
      <c r="E640" s="593" t="str">
        <f>IFERROR(__xludf.DUMMYFUNCTION("""COMPUTED_VALUE"""),"CONIUGO GMBH")</f>
        <v>CONIUGO GMBH</v>
      </c>
      <c r="F640" s="593" t="str">
        <f>IFERROR(__xludf.DUMMYFUNCTION("""COMPUTED_VALUE"""),"LTE MODEM LAN HT")</f>
        <v>LTE MODEM LAN HT</v>
      </c>
      <c r="G640" s="490"/>
      <c r="H640" s="490"/>
      <c r="I640" s="490"/>
      <c r="J640" s="588"/>
      <c r="K640" s="490"/>
      <c r="L640" s="490"/>
      <c r="M640" s="490"/>
      <c r="N640" s="490"/>
      <c r="O640" s="490"/>
      <c r="P640" s="490" t="s">
        <v>8571</v>
      </c>
    </row>
    <row r="641">
      <c r="A641" s="490"/>
      <c r="B641" s="490"/>
      <c r="C641" s="490"/>
      <c r="D641" s="490" t="str">
        <f>IFERROR(__xludf.DUMMYFUNCTION("""COMPUTED_VALUE"""),"SMA")</f>
        <v>SMA</v>
      </c>
      <c r="E641" s="593" t="str">
        <f>IFERROR(__xludf.DUMMYFUNCTION("""COMPUTED_VALUE"""),"CONNECTEDIO")</f>
        <v>CONNECTEDIO</v>
      </c>
      <c r="F641" s="593" t="str">
        <f>IFERROR(__xludf.DUMMYFUNCTION("""COMPUTED_VALUE"""),"EMUROUTER ER1000T-NA")</f>
        <v>EMUROUTER ER1000T-NA</v>
      </c>
      <c r="G641" s="490"/>
      <c r="H641" s="490"/>
      <c r="I641" s="490"/>
      <c r="J641" s="588"/>
      <c r="K641" s="490"/>
      <c r="L641" s="490"/>
      <c r="M641" s="490"/>
      <c r="N641" s="490"/>
      <c r="O641" s="490"/>
      <c r="P641" s="490" t="s">
        <v>8574</v>
      </c>
    </row>
    <row r="642">
      <c r="A642" s="490"/>
      <c r="B642" s="490"/>
      <c r="C642" s="490"/>
      <c r="D642" s="490" t="str">
        <f>IFERROR(__xludf.DUMMYFUNCTION("""COMPUTED_VALUE"""),"SMARTBUILD")</f>
        <v>SMARTBUILD</v>
      </c>
      <c r="E642" s="593" t="str">
        <f>IFERROR(__xludf.DUMMYFUNCTION("""COMPUTED_VALUE"""),"CONNECTEDIO")</f>
        <v>CONNECTEDIO</v>
      </c>
      <c r="F642" s="593" t="str">
        <f>IFERROR(__xludf.DUMMYFUNCTION("""COMPUTED_VALUE"""),"EMUROUTER ER1000T-NA")</f>
        <v>EMUROUTER ER1000T-NA</v>
      </c>
      <c r="G642" s="490"/>
      <c r="H642" s="490"/>
      <c r="I642" s="490"/>
      <c r="J642" s="588"/>
      <c r="K642" s="490"/>
      <c r="L642" s="490"/>
      <c r="M642" s="490"/>
      <c r="N642" s="490"/>
      <c r="O642" s="490"/>
      <c r="P642" s="490" t="s">
        <v>8576</v>
      </c>
    </row>
    <row r="643">
      <c r="A643" s="490"/>
      <c r="B643" s="490"/>
      <c r="C643" s="490"/>
      <c r="D643" s="490" t="str">
        <f>IFERROR(__xludf.DUMMYFUNCTION("""COMPUTED_VALUE"""),"SMARTSENSE")</f>
        <v>SMARTSENSE</v>
      </c>
      <c r="E643" s="593" t="str">
        <f>IFERROR(__xludf.DUMMYFUNCTION("""COMPUTED_VALUE"""),"CONSERVEIT")</f>
        <v>CONSERVEIT</v>
      </c>
      <c r="F643" s="593" t="str">
        <f>IFERROR(__xludf.DUMMYFUNCTION("""COMPUTED_VALUE"""),"JACE 8000")</f>
        <v>JACE 8000</v>
      </c>
      <c r="G643" s="490"/>
      <c r="H643" s="490"/>
      <c r="I643" s="490"/>
      <c r="J643" s="588"/>
      <c r="K643" s="490"/>
      <c r="L643" s="490"/>
      <c r="M643" s="490"/>
      <c r="N643" s="490"/>
      <c r="O643" s="490"/>
      <c r="P643" s="490" t="s">
        <v>8185</v>
      </c>
    </row>
    <row r="644">
      <c r="A644" s="490"/>
      <c r="B644" s="490"/>
      <c r="C644" s="490"/>
      <c r="D644" s="490" t="str">
        <f>IFERROR(__xludf.DUMMYFUNCTION("""COMPUTED_VALUE"""),"SMSEAGLE")</f>
        <v>SMSEAGLE</v>
      </c>
      <c r="E644" s="593" t="str">
        <f>IFERROR(__xludf.DUMMYFUNCTION("""COMPUTED_VALUE"""),"CONTEMPORARY CONTROLS")</f>
        <v>CONTEMPORARY CONTROLS</v>
      </c>
      <c r="F644" s="593" t="str">
        <f>IFERROR(__xludf.DUMMYFUNCTION("""COMPUTED_VALUE"""),"BAS")</f>
        <v>BAS</v>
      </c>
      <c r="G644" s="490"/>
      <c r="H644" s="490"/>
      <c r="I644" s="490"/>
      <c r="J644" s="588"/>
      <c r="K644" s="490"/>
      <c r="L644" s="490"/>
      <c r="M644" s="490"/>
      <c r="N644" s="490"/>
      <c r="O644" s="490"/>
      <c r="P644" s="490" t="s">
        <v>8187</v>
      </c>
    </row>
    <row r="645">
      <c r="A645" s="490"/>
      <c r="B645" s="490"/>
      <c r="C645" s="490"/>
      <c r="D645" s="490" t="str">
        <f>IFERROR(__xludf.DUMMYFUNCTION("""COMPUTED_VALUE"""),"SOCOMEC")</f>
        <v>SOCOMEC</v>
      </c>
      <c r="E645" s="593" t="str">
        <f>IFERROR(__xludf.DUMMYFUNCTION("""COMPUTED_VALUE"""),"CONTEMPORARY CONTROLS")</f>
        <v>CONTEMPORARY CONTROLS</v>
      </c>
      <c r="F645" s="593" t="str">
        <f>IFERROR(__xludf.DUMMYFUNCTION("""COMPUTED_VALUE"""),"CTRLINK")</f>
        <v>CTRLINK</v>
      </c>
      <c r="G645" s="490"/>
      <c r="H645" s="490"/>
      <c r="I645" s="490"/>
      <c r="J645" s="588"/>
      <c r="K645" s="490"/>
      <c r="L645" s="490"/>
      <c r="M645" s="490"/>
      <c r="N645" s="490"/>
      <c r="O645" s="490"/>
      <c r="P645" s="490" t="s">
        <v>8189</v>
      </c>
    </row>
    <row r="646">
      <c r="A646" s="490"/>
      <c r="B646" s="490"/>
      <c r="C646" s="490"/>
      <c r="D646" s="490" t="str">
        <f>IFERROR(__xludf.DUMMYFUNCTION("""COMPUTED_VALUE"""),"SOLAREDGE")</f>
        <v>SOLAREDGE</v>
      </c>
      <c r="E646" s="593" t="str">
        <f>IFERROR(__xludf.DUMMYFUNCTION("""COMPUTED_VALUE"""),"CONTEMPORARY CONTROLS")</f>
        <v>CONTEMPORARY CONTROLS</v>
      </c>
      <c r="F646" s="593" t="str">
        <f>IFERROR(__xludf.DUMMYFUNCTION("""COMPUTED_VALUE"""),"EIBA5")</f>
        <v>EIBA5</v>
      </c>
      <c r="G646" s="490"/>
      <c r="H646" s="490"/>
      <c r="I646" s="490"/>
      <c r="J646" s="588"/>
      <c r="K646" s="490"/>
      <c r="L646" s="490"/>
      <c r="M646" s="490"/>
      <c r="N646" s="490"/>
      <c r="O646" s="490"/>
      <c r="P646" s="490" t="s">
        <v>8191</v>
      </c>
    </row>
    <row r="647">
      <c r="A647" s="490"/>
      <c r="B647" s="490"/>
      <c r="C647" s="490"/>
      <c r="D647" s="490" t="str">
        <f>IFERROR(__xludf.DUMMYFUNCTION("""COMPUTED_VALUE"""),"SOMFY")</f>
        <v>SOMFY</v>
      </c>
      <c r="E647" s="593" t="str">
        <f>IFERROR(__xludf.DUMMYFUNCTION("""COMPUTED_VALUE"""),"CONTEMPORARY CONTROLS")</f>
        <v>CONTEMPORARY CONTROLS</v>
      </c>
      <c r="F647" s="593" t="str">
        <f>IFERROR(__xludf.DUMMYFUNCTION("""COMPUTED_VALUE"""),"EIS-4")</f>
        <v>EIS-4</v>
      </c>
      <c r="G647" s="490"/>
      <c r="H647" s="490"/>
      <c r="I647" s="490"/>
      <c r="J647" s="588"/>
      <c r="K647" s="490"/>
      <c r="L647" s="490"/>
      <c r="M647" s="490"/>
      <c r="N647" s="490"/>
      <c r="O647" s="490"/>
      <c r="P647" s="490" t="s">
        <v>8193</v>
      </c>
    </row>
    <row r="648">
      <c r="A648" s="490"/>
      <c r="B648" s="490"/>
      <c r="C648" s="490"/>
      <c r="D648" s="490" t="str">
        <f>IFERROR(__xludf.DUMMYFUNCTION("""COMPUTED_VALUE"""),"SONCCI")</f>
        <v>SONCCI</v>
      </c>
      <c r="E648" s="593" t="str">
        <f>IFERROR(__xludf.DUMMYFUNCTION("""COMPUTED_VALUE"""),"CONTEMPORARY CONTROLS")</f>
        <v>CONTEMPORARY CONTROLS</v>
      </c>
      <c r="F648" s="593" t="str">
        <f>IFERROR(__xludf.DUMMYFUNCTION("""COMPUTED_VALUE"""),"EIS6-100T")</f>
        <v>EIS6-100T</v>
      </c>
      <c r="G648" s="490"/>
      <c r="H648" s="490"/>
      <c r="I648" s="490"/>
      <c r="J648" s="588"/>
      <c r="K648" s="490"/>
      <c r="L648" s="490"/>
      <c r="M648" s="490"/>
      <c r="N648" s="490"/>
      <c r="O648" s="490"/>
      <c r="P648" s="490" t="s">
        <v>8195</v>
      </c>
    </row>
    <row r="649">
      <c r="A649" s="490"/>
      <c r="B649" s="490"/>
      <c r="C649" s="490"/>
      <c r="D649" s="490" t="str">
        <f>IFERROR(__xludf.DUMMYFUNCTION("""COMPUTED_VALUE"""),"SONOS")</f>
        <v>SONOS</v>
      </c>
      <c r="E649" s="593" t="str">
        <f>IFERROR(__xludf.DUMMYFUNCTION("""COMPUTED_VALUE"""),"CONTEMPORARY CONTROLS")</f>
        <v>CONTEMPORARY CONTROLS</v>
      </c>
      <c r="F649" s="593" t="str">
        <f>IFERROR(__xludf.DUMMYFUNCTION("""COMPUTED_VALUE"""),"EISK8-100T")</f>
        <v>EISK8-100T</v>
      </c>
      <c r="G649" s="490"/>
      <c r="H649" s="490"/>
      <c r="I649" s="490"/>
      <c r="J649" s="588"/>
      <c r="K649" s="490"/>
      <c r="L649" s="490"/>
      <c r="M649" s="490"/>
      <c r="N649" s="490"/>
      <c r="O649" s="490"/>
      <c r="P649" s="490" t="s">
        <v>8086</v>
      </c>
    </row>
    <row r="650">
      <c r="A650" s="490"/>
      <c r="B650" s="490"/>
      <c r="C650" s="490"/>
      <c r="D650" s="490" t="str">
        <f>IFERROR(__xludf.DUMMYFUNCTION("""COMPUTED_VALUE"""),"SONTEX")</f>
        <v>SONTEX</v>
      </c>
      <c r="E650" s="593" t="str">
        <f>IFERROR(__xludf.DUMMYFUNCTION("""COMPUTED_VALUE"""),"CONTEMPORARY CONTROLS")</f>
        <v>CONTEMPORARY CONTROLS</v>
      </c>
      <c r="F650" s="593" t="str">
        <f>IFERROR(__xludf.DUMMYFUNCTION("""COMPUTED_VALUE"""),"EISK5")</f>
        <v>EISK5</v>
      </c>
      <c r="G650" s="490"/>
      <c r="H650" s="490"/>
      <c r="I650" s="490"/>
      <c r="J650" s="588"/>
      <c r="K650" s="490"/>
      <c r="L650" s="490"/>
      <c r="M650" s="490"/>
      <c r="N650" s="490"/>
      <c r="O650" s="490"/>
      <c r="P650" s="490" t="s">
        <v>8197</v>
      </c>
    </row>
    <row r="651">
      <c r="A651" s="490"/>
      <c r="B651" s="490"/>
      <c r="C651" s="490"/>
      <c r="D651" s="490" t="str">
        <f>IFERROR(__xludf.DUMMYFUNCTION("""COMPUTED_VALUE"""),"SONY")</f>
        <v>SONY</v>
      </c>
      <c r="E651" s="593" t="str">
        <f>IFERROR(__xludf.DUMMYFUNCTION("""COMPUTED_VALUE"""),"CONTEMPORARY CONTROLS")</f>
        <v>CONTEMPORARY CONTROLS</v>
      </c>
      <c r="F651" s="593" t="str">
        <f>IFERROR(__xludf.DUMMYFUNCTION("""COMPUTED_VALUE"""),"EISK5-GT")</f>
        <v>EISK5-GT</v>
      </c>
      <c r="G651" s="490"/>
      <c r="H651" s="490"/>
      <c r="I651" s="490"/>
      <c r="J651" s="588"/>
      <c r="K651" s="490"/>
      <c r="L651" s="490"/>
      <c r="M651" s="490"/>
      <c r="N651" s="490"/>
      <c r="O651" s="490"/>
      <c r="P651" s="490" t="s">
        <v>8199</v>
      </c>
    </row>
    <row r="652">
      <c r="A652" s="490"/>
      <c r="B652" s="490"/>
      <c r="C652" s="490"/>
      <c r="D652" s="490" t="str">
        <f>IFERROR(__xludf.DUMMYFUNCTION("""COMPUTED_VALUE"""),"SPARE-IT")</f>
        <v>SPARE-IT</v>
      </c>
      <c r="E652" s="593" t="str">
        <f>IFERROR(__xludf.DUMMYFUNCTION("""COMPUTED_VALUE"""),"CONTEMPORARY CONTROLS")</f>
        <v>CONTEMPORARY CONTROLS</v>
      </c>
      <c r="F652" s="593" t="str">
        <f>IFERROR(__xludf.DUMMYFUNCTION("""COMPUTED_VALUE"""),"EISK5-GT")</f>
        <v>EISK5-GT</v>
      </c>
      <c r="G652" s="490"/>
      <c r="H652" s="490"/>
      <c r="I652" s="490"/>
      <c r="J652" s="588"/>
      <c r="K652" s="490"/>
      <c r="L652" s="490"/>
      <c r="M652" s="490"/>
      <c r="N652" s="490"/>
      <c r="O652" s="490"/>
      <c r="P652" s="490" t="s">
        <v>8201</v>
      </c>
    </row>
    <row r="653">
      <c r="A653" s="490"/>
      <c r="B653" s="490"/>
      <c r="C653" s="490"/>
      <c r="D653" s="490" t="str">
        <f>IFERROR(__xludf.DUMMYFUNCTION("""COMPUTED_VALUE"""),"SPECTRA")</f>
        <v>SPECTRA</v>
      </c>
      <c r="E653" s="593" t="str">
        <f>IFERROR(__xludf.DUMMYFUNCTION("""COMPUTED_VALUE"""),"CONTEMPORARY CONTROLS")</f>
        <v>CONTEMPORARY CONTROLS</v>
      </c>
      <c r="F653" s="593" t="str">
        <f>IFERROR(__xludf.DUMMYFUNCTION("""COMPUTED_VALUE"""),"EISK5-GT")</f>
        <v>EISK5-GT</v>
      </c>
      <c r="G653" s="490"/>
      <c r="H653" s="490"/>
      <c r="I653" s="490"/>
      <c r="J653" s="588"/>
      <c r="K653" s="490"/>
      <c r="L653" s="490"/>
      <c r="M653" s="490"/>
      <c r="N653" s="490"/>
      <c r="O653" s="490"/>
      <c r="P653" s="490" t="s">
        <v>8203</v>
      </c>
    </row>
    <row r="654">
      <c r="A654" s="490"/>
      <c r="B654" s="490"/>
      <c r="C654" s="490"/>
      <c r="D654" s="490" t="str">
        <f>IFERROR(__xludf.DUMMYFUNCTION("""COMPUTED_VALUE"""),"SPEECH PRIVACY SYSTEMS")</f>
        <v>SPEECH PRIVACY SYSTEMS</v>
      </c>
      <c r="E654" s="593" t="str">
        <f>IFERROR(__xludf.DUMMYFUNCTION("""COMPUTED_VALUE"""),"CONTEMPORARY CONTROLS")</f>
        <v>CONTEMPORARY CONTROLS</v>
      </c>
      <c r="F654" s="593" t="str">
        <f>IFERROR(__xludf.DUMMYFUNCTION("""COMPUTED_VALUE"""),"BASGLX-M1")</f>
        <v>BASGLX-M1</v>
      </c>
      <c r="G654" s="490"/>
      <c r="H654" s="490"/>
      <c r="I654" s="490"/>
      <c r="J654" s="588"/>
      <c r="K654" s="490"/>
      <c r="L654" s="490"/>
      <c r="M654" s="490"/>
      <c r="N654" s="490"/>
      <c r="O654" s="490"/>
      <c r="P654" s="490" t="s">
        <v>8205</v>
      </c>
    </row>
    <row r="655">
      <c r="A655" s="490"/>
      <c r="B655" s="490"/>
      <c r="C655" s="490"/>
      <c r="D655" s="490" t="str">
        <f>IFERROR(__xludf.DUMMYFUNCTION("""COMPUTED_VALUE"""),"SPIIO")</f>
        <v>SPIIO</v>
      </c>
      <c r="E655" s="593" t="str">
        <f>IFERROR(__xludf.DUMMYFUNCTION("""COMPUTED_VALUE"""),"CONTEMPORARY CONTROLS")</f>
        <v>CONTEMPORARY CONTROLS</v>
      </c>
      <c r="F655" s="593" t="str">
        <f>IFERROR(__xludf.DUMMYFUNCTION("""COMPUTED_VALUE"""),"BASGATEWAYLX")</f>
        <v>BASGATEWAYLX</v>
      </c>
      <c r="G655" s="490"/>
      <c r="H655" s="490"/>
      <c r="I655" s="490"/>
      <c r="J655" s="588"/>
      <c r="K655" s="490"/>
      <c r="L655" s="490"/>
      <c r="M655" s="490"/>
      <c r="N655" s="490"/>
      <c r="O655" s="490"/>
      <c r="P655" s="490" t="s">
        <v>8207</v>
      </c>
    </row>
    <row r="656">
      <c r="A656" s="490"/>
      <c r="B656" s="490"/>
      <c r="C656" s="490"/>
      <c r="D656" s="490" t="str">
        <f>IFERROR(__xludf.DUMMYFUNCTION("""COMPUTED_VALUE"""),"SPIRE METERING")</f>
        <v>SPIRE METERING</v>
      </c>
      <c r="E656" s="593" t="str">
        <f>IFERROR(__xludf.DUMMYFUNCTION("""COMPUTED_VALUE"""),"CONTEMPORARY CONTROLS")</f>
        <v>CONTEMPORARY CONTROLS</v>
      </c>
      <c r="F656" s="593" t="str">
        <f>IFERROR(__xludf.DUMMYFUNCTION("""COMPUTED_VALUE"""),"BASROUTERLX")</f>
        <v>BASROUTERLX</v>
      </c>
      <c r="G656" s="490"/>
      <c r="H656" s="490"/>
      <c r="I656" s="490"/>
      <c r="J656" s="588"/>
      <c r="K656" s="490"/>
      <c r="L656" s="490"/>
      <c r="M656" s="490"/>
      <c r="N656" s="490"/>
      <c r="O656" s="490"/>
      <c r="P656" s="490" t="s">
        <v>8209</v>
      </c>
    </row>
    <row r="657">
      <c r="A657" s="490"/>
      <c r="B657" s="490"/>
      <c r="C657" s="490"/>
      <c r="D657" s="490" t="str">
        <f>IFERROR(__xludf.DUMMYFUNCTION("""COMPUTED_VALUE"""),"SPX COOLING")</f>
        <v>SPX COOLING</v>
      </c>
      <c r="E657" s="593" t="str">
        <f>IFERROR(__xludf.DUMMYFUNCTION("""COMPUTED_VALUE"""),"CONTEMPORARY CONTROLS")</f>
        <v>CONTEMPORARY CONTROLS</v>
      </c>
      <c r="F657" s="593" t="str">
        <f>IFERROR(__xludf.DUMMYFUNCTION("""COMPUTED_VALUE"""),"SKORPION EISK5-GT")</f>
        <v>SKORPION EISK5-GT</v>
      </c>
      <c r="G657" s="490"/>
      <c r="H657" s="490"/>
      <c r="I657" s="490"/>
      <c r="J657" s="588"/>
      <c r="K657" s="490"/>
      <c r="L657" s="490"/>
      <c r="M657" s="490"/>
      <c r="N657" s="490"/>
      <c r="O657" s="490"/>
      <c r="P657" s="490" t="s">
        <v>8211</v>
      </c>
    </row>
    <row r="658">
      <c r="A658" s="490"/>
      <c r="B658" s="490"/>
      <c r="C658" s="490"/>
      <c r="D658" s="490" t="str">
        <f>IFERROR(__xludf.DUMMYFUNCTION("""COMPUTED_VALUE"""),"SQUARE D")</f>
        <v>SQUARE D</v>
      </c>
      <c r="E658" s="593" t="str">
        <f>IFERROR(__xludf.DUMMYFUNCTION("""COMPUTED_VALUE"""),"CONTEMPORARY CONTROLS")</f>
        <v>CONTEMPORARY CONTROLS</v>
      </c>
      <c r="F658" s="593" t="str">
        <f>IFERROR(__xludf.DUMMYFUNCTION("""COMPUTED_VALUE"""),"BASRT-B")</f>
        <v>BASRT-B</v>
      </c>
      <c r="G658" s="490"/>
      <c r="H658" s="490"/>
      <c r="I658" s="490"/>
      <c r="J658" s="588"/>
      <c r="K658" s="490"/>
      <c r="L658" s="490"/>
      <c r="M658" s="490"/>
      <c r="N658" s="490"/>
      <c r="O658" s="490"/>
      <c r="P658" s="490" t="s">
        <v>8213</v>
      </c>
    </row>
    <row r="659">
      <c r="A659" s="490"/>
      <c r="B659" s="490"/>
      <c r="C659" s="490"/>
      <c r="D659" s="490" t="str">
        <f>IFERROR(__xludf.DUMMYFUNCTION("""COMPUTED_VALUE"""),"SQUNZN")</f>
        <v>SQUNZN</v>
      </c>
      <c r="E659" s="593" t="str">
        <f>IFERROR(__xludf.DUMMYFUNCTION("""COMPUTED_VALUE"""),"CONTROL ID")</f>
        <v>CONTROL ID</v>
      </c>
      <c r="F659" s="593" t="str">
        <f>IFERROR(__xludf.DUMMYFUNCTION("""COMPUTED_VALUE"""),"REP IDCLASS")</f>
        <v>REP IDCLASS</v>
      </c>
      <c r="G659" s="490"/>
      <c r="H659" s="490"/>
      <c r="I659" s="490"/>
      <c r="J659" s="588"/>
      <c r="K659" s="490"/>
      <c r="L659" s="490"/>
      <c r="M659" s="490"/>
      <c r="N659" s="490"/>
      <c r="O659" s="490"/>
      <c r="P659" s="490" t="s">
        <v>8215</v>
      </c>
    </row>
    <row r="660">
      <c r="A660" s="490"/>
      <c r="B660" s="490"/>
      <c r="C660" s="490"/>
      <c r="D660" s="490" t="str">
        <f>IFERROR(__xludf.DUMMYFUNCTION("""COMPUTED_VALUE"""),"STAR ELECTRONIC")</f>
        <v>STAR ELECTRONIC</v>
      </c>
      <c r="E660" s="593" t="str">
        <f>IFERROR(__xludf.DUMMYFUNCTION("""COMPUTED_VALUE"""),"CONTROL SOL INC")</f>
        <v>CONTROL SOL INC</v>
      </c>
      <c r="F660" s="593" t="str">
        <f>IFERROR(__xludf.DUMMYFUNCTION("""COMPUTED_VALUE"""),"BABEL BUSTER 2")</f>
        <v>BABEL BUSTER 2</v>
      </c>
      <c r="G660" s="490"/>
      <c r="H660" s="490"/>
      <c r="I660" s="490"/>
      <c r="J660" s="588"/>
      <c r="K660" s="490"/>
      <c r="L660" s="490"/>
      <c r="M660" s="490"/>
      <c r="N660" s="490"/>
      <c r="O660" s="490"/>
      <c r="P660" s="490" t="s">
        <v>8089</v>
      </c>
    </row>
    <row r="661">
      <c r="A661" s="490"/>
      <c r="B661" s="490"/>
      <c r="C661" s="490"/>
      <c r="D661" s="490" t="str">
        <f>IFERROR(__xludf.DUMMYFUNCTION("""COMPUTED_VALUE"""),"STARLINE POWER")</f>
        <v>STARLINE POWER</v>
      </c>
      <c r="E661" s="593" t="str">
        <f>IFERROR(__xludf.DUMMYFUNCTION("""COMPUTED_VALUE"""),"CONVOTHERM")</f>
        <v>CONVOTHERM</v>
      </c>
      <c r="F661" s="593" t="str">
        <f>IFERROR(__xludf.DUMMYFUNCTION("""COMPUTED_VALUE"""),"COMBI STEAMER")</f>
        <v>COMBI STEAMER</v>
      </c>
      <c r="G661" s="490"/>
      <c r="H661" s="490"/>
      <c r="I661" s="490"/>
      <c r="J661" s="588"/>
      <c r="K661" s="490"/>
      <c r="L661" s="490"/>
      <c r="M661" s="490"/>
      <c r="N661" s="490"/>
      <c r="O661" s="490"/>
      <c r="P661" s="490" t="s">
        <v>8217</v>
      </c>
    </row>
    <row r="662">
      <c r="A662" s="490"/>
      <c r="B662" s="490"/>
      <c r="C662" s="490"/>
      <c r="D662" s="490" t="str">
        <f>IFERROR(__xludf.DUMMYFUNCTION("""COMPUTED_VALUE"""),"STEINEL")</f>
        <v>STEINEL</v>
      </c>
      <c r="E662" s="593" t="str">
        <f>IFERROR(__xludf.DUMMYFUNCTION("""COMPUTED_VALUE"""),"COOL AUTOMATION")</f>
        <v>COOL AUTOMATION</v>
      </c>
      <c r="F662" s="593" t="str">
        <f>IFERROR(__xludf.DUMMYFUNCTION("""COMPUTED_VALUE"""),"COOLMASTERNET")</f>
        <v>COOLMASTERNET</v>
      </c>
      <c r="G662" s="490"/>
      <c r="H662" s="490"/>
      <c r="I662" s="490"/>
      <c r="J662" s="588"/>
      <c r="K662" s="490"/>
      <c r="L662" s="490"/>
      <c r="M662" s="490"/>
      <c r="N662" s="490"/>
      <c r="O662" s="490"/>
      <c r="P662" s="490" t="s">
        <v>8219</v>
      </c>
    </row>
    <row r="663">
      <c r="A663" s="490"/>
      <c r="B663" s="490"/>
      <c r="C663" s="490"/>
      <c r="D663" s="490" t="str">
        <f>IFERROR(__xludf.DUMMYFUNCTION("""COMPUTED_VALUE"""),"STONEU")</f>
        <v>STONEU</v>
      </c>
      <c r="E663" s="593" t="str">
        <f>IFERROR(__xludf.DUMMYFUNCTION("""COMPUTED_VALUE"""),"COOL AUTOMATION")</f>
        <v>COOL AUTOMATION</v>
      </c>
      <c r="F663" s="593" t="str">
        <f>IFERROR(__xludf.DUMMYFUNCTION("""COMPUTED_VALUE"""),"COOLMASTERPRO")</f>
        <v>COOLMASTERPRO</v>
      </c>
      <c r="G663" s="490"/>
      <c r="H663" s="490"/>
      <c r="I663" s="490"/>
      <c r="J663" s="588"/>
      <c r="K663" s="490"/>
      <c r="L663" s="490"/>
      <c r="M663" s="490"/>
      <c r="N663" s="490"/>
      <c r="O663" s="490"/>
      <c r="P663" s="490" t="s">
        <v>8221</v>
      </c>
    </row>
    <row r="664">
      <c r="A664" s="490"/>
      <c r="B664" s="490"/>
      <c r="C664" s="490"/>
      <c r="D664" s="490" t="str">
        <f>IFERROR(__xludf.DUMMYFUNCTION("""COMPUTED_VALUE"""),"STONEU TECH")</f>
        <v>STONEU TECH</v>
      </c>
      <c r="E664" s="593" t="str">
        <f>IFERROR(__xludf.DUMMYFUNCTION("""COMPUTED_VALUE"""),"COOL COMPACT")</f>
        <v>COOL COMPACT</v>
      </c>
      <c r="F664" s="593" t="str">
        <f>IFERROR(__xludf.DUMMYFUNCTION("""COMPUTED_VALUE"""),"VINTOS")</f>
        <v>VINTOS</v>
      </c>
      <c r="G664" s="490"/>
      <c r="H664" s="490"/>
      <c r="I664" s="490"/>
      <c r="J664" s="588"/>
      <c r="K664" s="490"/>
      <c r="L664" s="490"/>
      <c r="M664" s="490"/>
      <c r="N664" s="490"/>
      <c r="O664" s="490"/>
      <c r="P664" s="490" t="s">
        <v>8223</v>
      </c>
    </row>
    <row r="665">
      <c r="A665" s="490"/>
      <c r="B665" s="490"/>
      <c r="C665" s="490"/>
      <c r="D665" s="490" t="str">
        <f>IFERROR(__xludf.DUMMYFUNCTION("""COMPUTED_VALUE"""),"STULZ")</f>
        <v>STULZ</v>
      </c>
      <c r="E665" s="593" t="str">
        <f>IFERROR(__xludf.DUMMYFUNCTION("""COMPUTED_VALUE"""),"COOPER")</f>
        <v>COOPER</v>
      </c>
      <c r="F665" s="593" t="str">
        <f>IFERROR(__xludf.DUMMYFUNCTION("""COMPUTED_VALUE"""),"CKM 18")</f>
        <v>CKM 18</v>
      </c>
      <c r="G665" s="490"/>
      <c r="H665" s="490"/>
      <c r="I665" s="490"/>
      <c r="J665" s="588"/>
      <c r="K665" s="490"/>
      <c r="L665" s="490"/>
      <c r="M665" s="490"/>
      <c r="N665" s="490"/>
      <c r="O665" s="490"/>
      <c r="P665" s="490" t="s">
        <v>8225</v>
      </c>
    </row>
    <row r="666">
      <c r="A666" s="490"/>
      <c r="B666" s="490"/>
      <c r="C666" s="490"/>
      <c r="D666" s="490" t="str">
        <f>IFERROR(__xludf.DUMMYFUNCTION("""COMPUTED_VALUE"""),"SUBZERO")</f>
        <v>SUBZERO</v>
      </c>
      <c r="E666" s="593" t="str">
        <f>IFERROR(__xludf.DUMMYFUNCTION("""COMPUTED_VALUE"""),"COOPER ATKINS")</f>
        <v>COOPER ATKINS</v>
      </c>
      <c r="F666" s="593" t="str">
        <f>IFERROR(__xludf.DUMMYFUNCTION("""COMPUTED_VALUE"""),"15501")</f>
        <v>15501</v>
      </c>
      <c r="G666" s="490"/>
      <c r="H666" s="490"/>
      <c r="I666" s="490"/>
      <c r="J666" s="588"/>
      <c r="K666" s="490"/>
      <c r="L666" s="490"/>
      <c r="M666" s="490"/>
      <c r="N666" s="490"/>
      <c r="O666" s="490"/>
      <c r="P666" s="490" t="s">
        <v>8227</v>
      </c>
    </row>
    <row r="667">
      <c r="A667" s="490"/>
      <c r="B667" s="490"/>
      <c r="C667" s="490"/>
      <c r="D667" s="490" t="str">
        <f>IFERROR(__xludf.DUMMYFUNCTION("""COMPUTED_VALUE"""),"SUITABLE TECHNOLOGIES")</f>
        <v>SUITABLE TECHNOLOGIES</v>
      </c>
      <c r="E667" s="593" t="str">
        <f>IFERROR(__xludf.DUMMYFUNCTION("""COMPUTED_VALUE"""),"CORE HEALTH &amp; FITNESS, LLC")</f>
        <v>CORE HEALTH &amp; FITNESS, LLC</v>
      </c>
      <c r="F667" s="593" t="str">
        <f>IFERROR(__xludf.DUMMYFUNCTION("""COMPUTED_VALUE"""),"HIIT CONSOLE")</f>
        <v>HIIT CONSOLE</v>
      </c>
      <c r="G667" s="490"/>
      <c r="H667" s="490"/>
      <c r="I667" s="490"/>
      <c r="J667" s="588"/>
      <c r="K667" s="490"/>
      <c r="L667" s="490"/>
      <c r="M667" s="490"/>
      <c r="N667" s="490"/>
      <c r="O667" s="490"/>
      <c r="P667" s="490" t="s">
        <v>8229</v>
      </c>
    </row>
    <row r="668">
      <c r="A668" s="490"/>
      <c r="B668" s="490"/>
      <c r="C668" s="490"/>
      <c r="D668" s="490" t="str">
        <f>IFERROR(__xludf.DUMMYFUNCTION("""COMPUTED_VALUE"""),"SUNFULL")</f>
        <v>SUNFULL</v>
      </c>
      <c r="E668" s="593" t="str">
        <f>IFERROR(__xludf.DUMMYFUNCTION("""COMPUTED_VALUE"""),"COREHANDF")</f>
        <v>COREHANDF</v>
      </c>
      <c r="F668" s="593" t="str">
        <f>IFERROR(__xludf.DUMMYFUNCTION("""COMPUTED_VALUE"""),"STAIRMASTER 8")</f>
        <v>STAIRMASTER 8</v>
      </c>
      <c r="G668" s="490"/>
      <c r="H668" s="490"/>
      <c r="I668" s="490"/>
      <c r="J668" s="588"/>
      <c r="K668" s="490"/>
      <c r="L668" s="490"/>
      <c r="M668" s="490"/>
      <c r="N668" s="490"/>
      <c r="O668" s="490"/>
      <c r="P668" s="490" t="s">
        <v>8231</v>
      </c>
    </row>
    <row r="669">
      <c r="A669" s="490"/>
      <c r="B669" s="490"/>
      <c r="C669" s="490"/>
      <c r="D669" s="490" t="str">
        <f>IFERROR(__xludf.DUMMYFUNCTION("""COMPUTED_VALUE"""),"SUNLUX TECH")</f>
        <v>SUNLUX TECH</v>
      </c>
      <c r="E669" s="593" t="str">
        <f>IFERROR(__xludf.DUMMYFUNCTION("""COMPUTED_VALUE"""),"COREHANDF")</f>
        <v>COREHANDF</v>
      </c>
      <c r="F669" s="593" t="str">
        <f>IFERROR(__xludf.DUMMYFUNCTION("""COMPUTED_VALUE"""),"STAIRMASTER 10G")</f>
        <v>STAIRMASTER 10G</v>
      </c>
      <c r="G669" s="490"/>
      <c r="H669" s="490"/>
      <c r="I669" s="490"/>
      <c r="J669" s="588"/>
      <c r="K669" s="490"/>
      <c r="L669" s="490"/>
      <c r="M669" s="490"/>
      <c r="N669" s="490"/>
      <c r="O669" s="490"/>
      <c r="P669" s="490" t="s">
        <v>8233</v>
      </c>
    </row>
    <row r="670">
      <c r="A670" s="490"/>
      <c r="B670" s="490"/>
      <c r="C670" s="490"/>
      <c r="D670" s="490" t="str">
        <f>IFERROR(__xludf.DUMMYFUNCTION("""COMPUTED_VALUE"""),"SUPER MICRO")</f>
        <v>SUPER MICRO</v>
      </c>
      <c r="E670" s="593" t="str">
        <f>IFERROR(__xludf.DUMMYFUNCTION("""COMPUTED_VALUE"""),"CORRIGO")</f>
        <v>CORRIGO</v>
      </c>
      <c r="F670" s="593" t="str">
        <f>IFERROR(__xludf.DUMMYFUNCTION("""COMPUTED_VALUE"""),"E151DW-3")</f>
        <v>E151DW-3</v>
      </c>
      <c r="G670" s="490"/>
      <c r="H670" s="490"/>
      <c r="I670" s="490"/>
      <c r="J670" s="588"/>
      <c r="K670" s="490"/>
      <c r="L670" s="490"/>
      <c r="M670" s="490"/>
      <c r="N670" s="490"/>
      <c r="O670" s="490"/>
      <c r="P670" s="490" t="s">
        <v>8235</v>
      </c>
    </row>
    <row r="671">
      <c r="A671" s="490"/>
      <c r="B671" s="490"/>
      <c r="C671" s="490"/>
      <c r="D671" s="490" t="str">
        <f>IFERROR(__xludf.DUMMYFUNCTION("""COMPUTED_VALUE"""),"SUPERIOR REX")</f>
        <v>SUPERIOR REX</v>
      </c>
      <c r="E671" s="593" t="str">
        <f>IFERROR(__xludf.DUMMYFUNCTION("""COMPUTED_VALUE"""),"COTRUST")</f>
        <v>COTRUST</v>
      </c>
      <c r="F671" s="593" t="str">
        <f>IFERROR(__xludf.DUMMYFUNCTION("""COMPUTED_VALUE"""),"H35-00")</f>
        <v>H35-00</v>
      </c>
      <c r="G671" s="490"/>
      <c r="H671" s="490"/>
      <c r="I671" s="490"/>
      <c r="J671" s="588"/>
      <c r="K671" s="490"/>
      <c r="L671" s="490"/>
      <c r="M671" s="490"/>
      <c r="N671" s="490"/>
      <c r="O671" s="490"/>
      <c r="P671" s="490" t="s">
        <v>8091</v>
      </c>
    </row>
    <row r="672">
      <c r="A672" s="490"/>
      <c r="B672" s="490"/>
      <c r="C672" s="490"/>
      <c r="D672" s="490" t="str">
        <f>IFERROR(__xludf.DUMMYFUNCTION("""COMPUTED_VALUE"""),"SUPERMICRO")</f>
        <v>SUPERMICRO</v>
      </c>
      <c r="E672" s="593" t="str">
        <f>IFERROR(__xludf.DUMMYFUNCTION("""COMPUTED_VALUE"""),"CRADLEPOINT")</f>
        <v>CRADLEPOINT</v>
      </c>
      <c r="F672" s="593" t="str">
        <f>IFERROR(__xludf.DUMMYFUNCTION("""COMPUTED_VALUE"""),"COR IBR600B")</f>
        <v>COR IBR600B</v>
      </c>
      <c r="G672" s="490"/>
      <c r="H672" s="490"/>
      <c r="I672" s="490"/>
      <c r="J672" s="588"/>
      <c r="K672" s="490"/>
      <c r="L672" s="490"/>
      <c r="M672" s="490"/>
      <c r="N672" s="490"/>
      <c r="O672" s="490"/>
      <c r="P672" s="490" t="s">
        <v>8237</v>
      </c>
    </row>
    <row r="673">
      <c r="A673" s="490"/>
      <c r="B673" s="490"/>
      <c r="C673" s="490"/>
      <c r="D673" s="490" t="str">
        <f>IFERROR(__xludf.DUMMYFUNCTION("""COMPUTED_VALUE"""),"SUPREMA")</f>
        <v>SUPREMA</v>
      </c>
      <c r="E673" s="593" t="str">
        <f>IFERROR(__xludf.DUMMYFUNCTION("""COMPUTED_VALUE"""),"CRADLEPOINT")</f>
        <v>CRADLEPOINT</v>
      </c>
      <c r="F673" s="593" t="str">
        <f>IFERROR(__xludf.DUMMYFUNCTION("""COMPUTED_VALUE"""),"MBR95")</f>
        <v>MBR95</v>
      </c>
      <c r="G673" s="490"/>
      <c r="H673" s="490"/>
      <c r="I673" s="490"/>
      <c r="J673" s="588"/>
      <c r="K673" s="490"/>
      <c r="L673" s="490"/>
      <c r="M673" s="490"/>
      <c r="N673" s="490"/>
      <c r="O673" s="490"/>
      <c r="P673" s="490" t="s">
        <v>8239</v>
      </c>
    </row>
    <row r="674">
      <c r="A674" s="490"/>
      <c r="B674" s="490"/>
      <c r="C674" s="490"/>
      <c r="D674" s="490" t="str">
        <f>IFERROR(__xludf.DUMMYFUNCTION("""COMPUTED_VALUE"""),"SWEGON")</f>
        <v>SWEGON</v>
      </c>
      <c r="E674" s="593" t="str">
        <f>IFERROR(__xludf.DUMMYFUNCTION("""COMPUTED_VALUE"""),"CRADLEPOINT")</f>
        <v>CRADLEPOINT</v>
      </c>
      <c r="F674" s="593" t="str">
        <f>IFERROR(__xludf.DUMMYFUNCTION("""COMPUTED_VALUE"""),"N/A")</f>
        <v>N/A</v>
      </c>
      <c r="G674" s="490"/>
      <c r="H674" s="490"/>
      <c r="I674" s="490"/>
      <c r="J674" s="588"/>
      <c r="K674" s="490"/>
      <c r="L674" s="490"/>
      <c r="M674" s="490"/>
      <c r="N674" s="490"/>
      <c r="O674" s="490"/>
      <c r="P674" s="490" t="s">
        <v>8241</v>
      </c>
    </row>
    <row r="675">
      <c r="A675" s="490"/>
      <c r="B675" s="490"/>
      <c r="C675" s="490"/>
      <c r="D675" s="490" t="str">
        <f>IFERROR(__xludf.DUMMYFUNCTION("""COMPUTED_VALUE"""),"SWISSCOM")</f>
        <v>SWISSCOM</v>
      </c>
      <c r="E675" s="593" t="str">
        <f>IFERROR(__xludf.DUMMYFUNCTION("""COMPUTED_VALUE"""),"CRESTRON")</f>
        <v>CRESTRON</v>
      </c>
      <c r="F675" s="593" t="str">
        <f>IFERROR(__xludf.DUMMYFUNCTION("""COMPUTED_VALUE"""),"CEN-SW-POE-5")</f>
        <v>CEN-SW-POE-5</v>
      </c>
      <c r="G675" s="490"/>
      <c r="H675" s="490"/>
      <c r="I675" s="490"/>
      <c r="J675" s="588"/>
      <c r="K675" s="490"/>
      <c r="L675" s="490"/>
      <c r="M675" s="490"/>
      <c r="N675" s="490"/>
      <c r="O675" s="490"/>
      <c r="P675" s="490" t="s">
        <v>8243</v>
      </c>
    </row>
    <row r="676">
      <c r="A676" s="490"/>
      <c r="B676" s="490"/>
      <c r="C676" s="490"/>
      <c r="D676" s="490" t="str">
        <f>IFERROR(__xludf.DUMMYFUNCTION("""COMPUTED_VALUE"""),"SYNAPSYS")</f>
        <v>SYNAPSYS</v>
      </c>
      <c r="E676" s="593" t="str">
        <f>IFERROR(__xludf.DUMMYFUNCTION("""COMPUTED_VALUE"""),"CRESTRON")</f>
        <v>CRESTRON</v>
      </c>
      <c r="F676" s="593" t="str">
        <f>IFERROR(__xludf.DUMMYFUNCTION("""COMPUTED_VALUE"""),"PRO3 3-SERIES")</f>
        <v>PRO3 3-SERIES</v>
      </c>
      <c r="G676" s="490"/>
      <c r="H676" s="490"/>
      <c r="I676" s="490"/>
      <c r="J676" s="588"/>
      <c r="K676" s="490"/>
      <c r="L676" s="490"/>
      <c r="M676" s="490"/>
      <c r="N676" s="490"/>
      <c r="O676" s="490"/>
      <c r="P676" s="490" t="s">
        <v>8245</v>
      </c>
    </row>
    <row r="677">
      <c r="A677" s="490"/>
      <c r="B677" s="490"/>
      <c r="C677" s="490"/>
      <c r="D677" s="490" t="str">
        <f>IFERROR(__xludf.DUMMYFUNCTION("""COMPUTED_VALUE"""),"SYNEL")</f>
        <v>SYNEL</v>
      </c>
      <c r="E677" s="593" t="str">
        <f>IFERROR(__xludf.DUMMYFUNCTION("""COMPUTED_VALUE"""),"CRESTRON")</f>
        <v>CRESTRON</v>
      </c>
      <c r="F677" s="593" t="str">
        <f>IFERROR(__xludf.DUMMYFUNCTION("""COMPUTED_VALUE"""),"DIN-AP3")</f>
        <v>DIN-AP3</v>
      </c>
      <c r="G677" s="490"/>
      <c r="H677" s="490"/>
      <c r="I677" s="490"/>
      <c r="J677" s="588"/>
      <c r="K677" s="490"/>
      <c r="L677" s="490"/>
      <c r="M677" s="490"/>
      <c r="N677" s="490"/>
      <c r="O677" s="490"/>
      <c r="P677" s="490" t="s">
        <v>8247</v>
      </c>
    </row>
    <row r="678">
      <c r="A678" s="490"/>
      <c r="B678" s="490"/>
      <c r="C678" s="490"/>
      <c r="D678" s="490" t="str">
        <f>IFERROR(__xludf.DUMMYFUNCTION("""COMPUTED_VALUE"""),"SYNEX")</f>
        <v>SYNEX</v>
      </c>
      <c r="E678" s="593" t="str">
        <f>IFERROR(__xludf.DUMMYFUNCTION("""COMPUTED_VALUE"""),"CRESTRON")</f>
        <v>CRESTRON</v>
      </c>
      <c r="F678" s="593" t="str">
        <f>IFERROR(__xludf.DUMMYFUNCTION("""COMPUTED_VALUE"""),"DIN-DALI-2")</f>
        <v>DIN-DALI-2</v>
      </c>
      <c r="G678" s="490"/>
      <c r="H678" s="490"/>
      <c r="I678" s="490"/>
      <c r="J678" s="588"/>
      <c r="K678" s="490"/>
      <c r="L678" s="490"/>
      <c r="M678" s="490"/>
      <c r="N678" s="490"/>
      <c r="O678" s="490"/>
      <c r="P678" s="490" t="s">
        <v>8249</v>
      </c>
    </row>
    <row r="679">
      <c r="A679" s="490"/>
      <c r="B679" s="490"/>
      <c r="C679" s="490"/>
      <c r="D679" s="490" t="str">
        <f>IFERROR(__xludf.DUMMYFUNCTION("""COMPUTED_VALUE"""),"SYNOLOGY")</f>
        <v>SYNOLOGY</v>
      </c>
      <c r="E679" s="593" t="str">
        <f>IFERROR(__xludf.DUMMYFUNCTION("""COMPUTED_VALUE"""),"CRESTRON")</f>
        <v>CRESTRON</v>
      </c>
      <c r="F679" s="593" t="str">
        <f>IFERROR(__xludf.DUMMYFUNCTION("""COMPUTED_VALUE"""),"DM-MD8X8")</f>
        <v>DM-MD8X8</v>
      </c>
      <c r="G679" s="490"/>
      <c r="H679" s="490"/>
      <c r="I679" s="490"/>
      <c r="J679" s="588"/>
      <c r="K679" s="490"/>
      <c r="L679" s="490"/>
      <c r="M679" s="490"/>
      <c r="N679" s="490"/>
      <c r="O679" s="490"/>
      <c r="P679" s="490" t="s">
        <v>8251</v>
      </c>
    </row>
    <row r="680">
      <c r="A680" s="490"/>
      <c r="B680" s="490"/>
      <c r="C680" s="490"/>
      <c r="D680" s="490" t="str">
        <f>IFERROR(__xludf.DUMMYFUNCTION("""COMPUTED_VALUE"""),"SYSTEMAIR")</f>
        <v>SYSTEMAIR</v>
      </c>
      <c r="E680" s="593" t="str">
        <f>IFERROR(__xludf.DUMMYFUNCTION("""COMPUTED_VALUE"""),"CRESTRON")</f>
        <v>CRESTRON</v>
      </c>
      <c r="F680" s="593" t="str">
        <f>IFERROR(__xludf.DUMMYFUNCTION("""COMPUTED_VALUE"""),"DVPHD")</f>
        <v>DVPHD</v>
      </c>
      <c r="G680" s="490"/>
      <c r="H680" s="490"/>
      <c r="I680" s="490"/>
      <c r="J680" s="588"/>
      <c r="K680" s="490"/>
      <c r="L680" s="490"/>
      <c r="M680" s="490"/>
      <c r="N680" s="490"/>
      <c r="O680" s="490"/>
      <c r="P680" s="490" t="s">
        <v>8253</v>
      </c>
    </row>
    <row r="681">
      <c r="A681" s="490"/>
      <c r="B681" s="490"/>
      <c r="C681" s="490"/>
      <c r="D681" s="490" t="str">
        <f>IFERROR(__xludf.DUMMYFUNCTION("""COMPUTED_VALUE"""),"SYXTHSENSE&amp;PRODUAL")</f>
        <v>SYXTHSENSE&amp;PRODUAL</v>
      </c>
      <c r="E681" s="593" t="str">
        <f>IFERROR(__xludf.DUMMYFUNCTION("""COMPUTED_VALUE"""),"CRESTRON")</f>
        <v>CRESTRON</v>
      </c>
      <c r="F681" s="593" t="str">
        <f>IFERROR(__xludf.DUMMYFUNCTION("""COMPUTED_VALUE"""),"TSA-1052")</f>
        <v>TSA-1052</v>
      </c>
      <c r="G681" s="490"/>
      <c r="H681" s="490"/>
      <c r="I681" s="490"/>
      <c r="J681" s="588"/>
      <c r="K681" s="490"/>
      <c r="L681" s="490"/>
      <c r="M681" s="490"/>
      <c r="N681" s="490"/>
      <c r="O681" s="490"/>
      <c r="P681" s="490" t="s">
        <v>8255</v>
      </c>
    </row>
    <row r="682">
      <c r="A682" s="490"/>
      <c r="B682" s="490"/>
      <c r="C682" s="490"/>
      <c r="D682" s="490" t="str">
        <f>IFERROR(__xludf.DUMMYFUNCTION("""COMPUTED_VALUE"""),"T-LINK")</f>
        <v>T-LINK</v>
      </c>
      <c r="E682" s="593" t="str">
        <f>IFERROR(__xludf.DUMMYFUNCTION("""COMPUTED_VALUE"""),"CRESTRON")</f>
        <v>CRESTRON</v>
      </c>
      <c r="F682" s="593" t="str">
        <f>IFERROR(__xludf.DUMMYFUNCTION("""COMPUTED_VALUE"""),"TSS-7-B-S")</f>
        <v>TSS-7-B-S</v>
      </c>
      <c r="G682" s="490"/>
      <c r="H682" s="490"/>
      <c r="I682" s="490"/>
      <c r="J682" s="588"/>
      <c r="K682" s="490"/>
      <c r="L682" s="490"/>
      <c r="M682" s="490"/>
      <c r="N682" s="490"/>
      <c r="O682" s="490"/>
      <c r="P682" s="490" t="s">
        <v>8093</v>
      </c>
    </row>
    <row r="683">
      <c r="A683" s="490"/>
      <c r="B683" s="490"/>
      <c r="C683" s="490"/>
      <c r="D683" s="490" t="str">
        <f>IFERROR(__xludf.DUMMYFUNCTION("""COMPUTED_VALUE"""),"TACO")</f>
        <v>TACO</v>
      </c>
      <c r="E683" s="593" t="str">
        <f>IFERROR(__xludf.DUMMYFUNCTION("""COMPUTED_VALUE"""),"CRESTRON")</f>
        <v>CRESTRON</v>
      </c>
      <c r="F683" s="593" t="str">
        <f>IFERROR(__xludf.DUMMYFUNCTION("""COMPUTED_VALUE"""),"TSW-752")</f>
        <v>TSW-752</v>
      </c>
      <c r="G683" s="490"/>
      <c r="H683" s="490"/>
      <c r="I683" s="490"/>
      <c r="J683" s="588"/>
      <c r="K683" s="490"/>
      <c r="L683" s="490"/>
      <c r="M683" s="490"/>
      <c r="N683" s="490"/>
      <c r="O683" s="490"/>
      <c r="P683" s="490" t="s">
        <v>8257</v>
      </c>
    </row>
    <row r="684">
      <c r="A684" s="490"/>
      <c r="B684" s="490"/>
      <c r="C684" s="490"/>
      <c r="D684" s="490" t="str">
        <f>IFERROR(__xludf.DUMMYFUNCTION("""COMPUTED_VALUE"""),"TAS GMBH &amp; CO. KG")</f>
        <v>TAS GMBH &amp; CO. KG</v>
      </c>
      <c r="E684" s="593" t="str">
        <f>IFERROR(__xludf.DUMMYFUNCTION("""COMPUTED_VALUE"""),"CROSSFIRE")</f>
        <v>CROSSFIRE</v>
      </c>
      <c r="F684" s="593" t="str">
        <f>IFERROR(__xludf.DUMMYFUNCTION("""COMPUTED_VALUE"""),"EU - E")</f>
        <v>EU - E</v>
      </c>
      <c r="G684" s="490"/>
      <c r="H684" s="490"/>
      <c r="I684" s="490"/>
      <c r="J684" s="588"/>
      <c r="K684" s="490"/>
      <c r="L684" s="490"/>
      <c r="M684" s="490"/>
      <c r="N684" s="490"/>
      <c r="O684" s="490"/>
      <c r="P684" s="490" t="s">
        <v>8259</v>
      </c>
    </row>
    <row r="685">
      <c r="A685" s="490"/>
      <c r="B685" s="490"/>
      <c r="C685" s="490"/>
      <c r="D685" s="490" t="str">
        <f>IFERROR(__xludf.DUMMYFUNCTION("""COMPUTED_VALUE"""),"TATA")</f>
        <v>TATA</v>
      </c>
      <c r="E685" s="593" t="str">
        <f>IFERROR(__xludf.DUMMYFUNCTION("""COMPUTED_VALUE"""),"CUMMINS")</f>
        <v>CUMMINS</v>
      </c>
      <c r="F685" s="593" t="str">
        <f>IFERROR(__xludf.DUMMYFUNCTION("""COMPUTED_VALUE"""),"CUSTOM")</f>
        <v>CUSTOM</v>
      </c>
      <c r="G685" s="490"/>
      <c r="H685" s="490"/>
      <c r="I685" s="490"/>
      <c r="J685" s="588"/>
      <c r="K685" s="490"/>
      <c r="L685" s="490"/>
      <c r="M685" s="490"/>
      <c r="N685" s="490"/>
      <c r="O685" s="490"/>
      <c r="P685" s="490" t="s">
        <v>8261</v>
      </c>
    </row>
    <row r="686">
      <c r="A686" s="490"/>
      <c r="B686" s="490"/>
      <c r="C686" s="490"/>
      <c r="D686" s="490" t="str">
        <f>IFERROR(__xludf.DUMMYFUNCTION("""COMPUTED_VALUE"""),"TBS")</f>
        <v>TBS</v>
      </c>
      <c r="E686" s="593" t="str">
        <f>IFERROR(__xludf.DUMMYFUNCTION("""COMPUTED_VALUE"""),"CUMMINS")</f>
        <v>CUMMINS</v>
      </c>
      <c r="F686" s="593" t="str">
        <f>IFERROR(__xludf.DUMMYFUNCTION("""COMPUTED_VALUE"""),"CUSTOM")</f>
        <v>CUSTOM</v>
      </c>
      <c r="G686" s="490"/>
      <c r="H686" s="490"/>
      <c r="I686" s="490"/>
      <c r="J686" s="588"/>
      <c r="K686" s="490"/>
      <c r="L686" s="490"/>
      <c r="M686" s="490"/>
      <c r="N686" s="490"/>
      <c r="O686" s="490"/>
      <c r="P686" s="490" t="s">
        <v>8263</v>
      </c>
    </row>
    <row r="687">
      <c r="A687" s="490"/>
      <c r="B687" s="490"/>
      <c r="C687" s="490"/>
      <c r="D687" s="490" t="str">
        <f>IFERROR(__xludf.DUMMYFUNCTION("""COMPUTED_VALUE"""),"TBS SWITZERLAND")</f>
        <v>TBS SWITZERLAND</v>
      </c>
      <c r="E687" s="593" t="str">
        <f>IFERROR(__xludf.DUMMYFUNCTION("""COMPUTED_VALUE"""),"CUMMINS")</f>
        <v>CUMMINS</v>
      </c>
      <c r="F687" s="593" t="str">
        <f>IFERROR(__xludf.DUMMYFUNCTION("""COMPUTED_VALUE"""),"COMMAND CONTROLLER")</f>
        <v>COMMAND CONTROLLER</v>
      </c>
      <c r="G687" s="490"/>
      <c r="H687" s="490"/>
      <c r="I687" s="490"/>
      <c r="J687" s="588"/>
      <c r="K687" s="490"/>
      <c r="L687" s="490"/>
      <c r="M687" s="490"/>
      <c r="N687" s="490"/>
      <c r="O687" s="490"/>
      <c r="P687" s="490" t="s">
        <v>8265</v>
      </c>
    </row>
    <row r="688">
      <c r="A688" s="490"/>
      <c r="B688" s="490"/>
      <c r="C688" s="490"/>
      <c r="D688" s="490" t="str">
        <f>IFERROR(__xludf.DUMMYFUNCTION("""COMPUTED_VALUE"""),"TCL")</f>
        <v>TCL</v>
      </c>
      <c r="E688" s="593" t="str">
        <f>IFERROR(__xludf.DUMMYFUNCTION("""COMPUTED_VALUE"""),"CUMMINS")</f>
        <v>CUMMINS</v>
      </c>
      <c r="F688" s="593" t="str">
        <f>IFERROR(__xludf.DUMMYFUNCTION("""COMPUTED_VALUE"""),"COMMAND CONTROLLER")</f>
        <v>COMMAND CONTROLLER</v>
      </c>
      <c r="G688" s="490"/>
      <c r="H688" s="490"/>
      <c r="I688" s="490"/>
      <c r="J688" s="588"/>
      <c r="K688" s="490"/>
      <c r="L688" s="490"/>
      <c r="M688" s="490"/>
      <c r="N688" s="490"/>
      <c r="O688" s="490"/>
      <c r="P688" s="490" t="s">
        <v>8267</v>
      </c>
    </row>
    <row r="689">
      <c r="A689" s="490"/>
      <c r="B689" s="490"/>
      <c r="C689" s="490"/>
      <c r="D689" s="490" t="str">
        <f>IFERROR(__xludf.DUMMYFUNCTION("""COMPUTED_VALUE"""),"TCT VENTURES")</f>
        <v>TCT VENTURES</v>
      </c>
      <c r="E689" s="593" t="str">
        <f>IFERROR(__xludf.DUMMYFUNCTION("""COMPUTED_VALUE"""),"CUMMINS")</f>
        <v>CUMMINS</v>
      </c>
      <c r="F689" s="593" t="str">
        <f>IFERROR(__xludf.DUMMYFUNCTION("""COMPUTED_VALUE"""),"OTPC")</f>
        <v>OTPC</v>
      </c>
      <c r="G689" s="490"/>
      <c r="H689" s="490"/>
      <c r="I689" s="490"/>
      <c r="J689" s="588"/>
      <c r="K689" s="490"/>
      <c r="L689" s="490"/>
      <c r="M689" s="490"/>
      <c r="N689" s="490"/>
      <c r="O689" s="490"/>
      <c r="P689" s="490" t="s">
        <v>8269</v>
      </c>
    </row>
    <row r="690">
      <c r="A690" s="490"/>
      <c r="B690" s="490"/>
      <c r="C690" s="490"/>
      <c r="D690" s="490" t="str">
        <f>IFERROR(__xludf.DUMMYFUNCTION("""COMPUTED_VALUE"""),"TEABOT")</f>
        <v>TEABOT</v>
      </c>
      <c r="E690" s="593" t="str">
        <f>IFERROR(__xludf.DUMMYFUNCTION("""COMPUTED_VALUE"""),"CUMMINS")</f>
        <v>CUMMINS</v>
      </c>
      <c r="F690" s="593" t="str">
        <f>IFERROR(__xludf.DUMMYFUNCTION("""COMPUTED_VALUE"""),"DFEK 500KW GENERATOR")</f>
        <v>DFEK 500KW GENERATOR</v>
      </c>
      <c r="G690" s="490"/>
      <c r="H690" s="490"/>
      <c r="I690" s="490"/>
      <c r="J690" s="588"/>
      <c r="K690" s="490"/>
      <c r="L690" s="490"/>
      <c r="M690" s="490"/>
      <c r="N690" s="490"/>
      <c r="O690" s="490"/>
      <c r="P690" s="490" t="s">
        <v>8271</v>
      </c>
    </row>
    <row r="691">
      <c r="A691" s="490"/>
      <c r="B691" s="490"/>
      <c r="C691" s="490"/>
      <c r="D691" s="490" t="str">
        <f>IFERROR(__xludf.DUMMYFUNCTION("""COMPUTED_VALUE"""),"TECHNICOLOR")</f>
        <v>TECHNICOLOR</v>
      </c>
      <c r="E691" s="593" t="str">
        <f>IFERROR(__xludf.DUMMYFUNCTION("""COMPUTED_VALUE"""),"CUSTOM")</f>
        <v>CUSTOM</v>
      </c>
      <c r="F691" s="593" t="str">
        <f>IFERROR(__xludf.DUMMYFUNCTION("""COMPUTED_VALUE"""),"PC")</f>
        <v>PC</v>
      </c>
      <c r="G691" s="490"/>
      <c r="H691" s="490"/>
      <c r="I691" s="490"/>
      <c r="J691" s="588"/>
      <c r="K691" s="490"/>
      <c r="L691" s="490"/>
      <c r="M691" s="490"/>
      <c r="N691" s="490"/>
      <c r="O691" s="490"/>
      <c r="P691" s="490" t="s">
        <v>8273</v>
      </c>
    </row>
    <row r="692">
      <c r="A692" s="490"/>
      <c r="B692" s="490"/>
      <c r="C692" s="490"/>
      <c r="D692" s="490" t="str">
        <f>IFERROR(__xludf.DUMMYFUNCTION("""COMPUTED_VALUE"""),"TECHNOGYM")</f>
        <v>TECHNOGYM</v>
      </c>
      <c r="E692" s="593" t="str">
        <f>IFERROR(__xludf.DUMMYFUNCTION("""COMPUTED_VALUE"""),"CUSTOM BUILT PC")</f>
        <v>CUSTOM BUILT PC</v>
      </c>
      <c r="F692" s="593" t="str">
        <f>IFERROR(__xludf.DUMMYFUNCTION("""COMPUTED_VALUE"""),"ASUS ROG STRIX")</f>
        <v>ASUS ROG STRIX</v>
      </c>
      <c r="G692" s="490"/>
      <c r="H692" s="490"/>
      <c r="I692" s="490"/>
      <c r="J692" s="588"/>
      <c r="K692" s="490"/>
      <c r="L692" s="490"/>
      <c r="M692" s="490"/>
      <c r="N692" s="490"/>
      <c r="O692" s="490"/>
      <c r="P692" s="490" t="s">
        <v>8275</v>
      </c>
    </row>
    <row r="693">
      <c r="A693" s="490"/>
      <c r="B693" s="490"/>
      <c r="C693" s="490"/>
      <c r="D693" s="490" t="str">
        <f>IFERROR(__xludf.DUMMYFUNCTION("""COMPUTED_VALUE"""),"TELEGARTNER")</f>
        <v>TELEGARTNER</v>
      </c>
      <c r="E693" s="593" t="str">
        <f>IFERROR(__xludf.DUMMYFUNCTION("""COMPUTED_VALUE"""),"CUSTOM BUILT PC")</f>
        <v>CUSTOM BUILT PC</v>
      </c>
      <c r="F693" s="593" t="str">
        <f>IFERROR(__xludf.DUMMYFUNCTION("""COMPUTED_VALUE"""),"CUSTOM")</f>
        <v>CUSTOM</v>
      </c>
      <c r="G693" s="490"/>
      <c r="H693" s="490"/>
      <c r="I693" s="490"/>
      <c r="J693" s="588"/>
      <c r="K693" s="490"/>
      <c r="L693" s="490"/>
      <c r="M693" s="490"/>
      <c r="N693" s="490"/>
      <c r="O693" s="490"/>
      <c r="P693" s="490" t="s">
        <v>9442</v>
      </c>
    </row>
    <row r="694">
      <c r="A694" s="490"/>
      <c r="B694" s="490"/>
      <c r="C694" s="490"/>
      <c r="D694" s="490" t="str">
        <f>IFERROR(__xludf.DUMMYFUNCTION("""COMPUTED_VALUE"""),"TELEZYGOLOGY")</f>
        <v>TELEZYGOLOGY</v>
      </c>
      <c r="E694" s="593" t="str">
        <f>IFERROR(__xludf.DUMMYFUNCTION("""COMPUTED_VALUE"""),"CYBEX")</f>
        <v>CYBEX</v>
      </c>
      <c r="F694" s="593" t="str">
        <f>IFERROR(__xludf.DUMMYFUNCTION("""COMPUTED_VALUE"""),"770R RECUMBENT BIKE")</f>
        <v>770R RECUMBENT BIKE</v>
      </c>
      <c r="G694" s="490"/>
      <c r="H694" s="490"/>
      <c r="I694" s="490"/>
      <c r="J694" s="588"/>
      <c r="K694" s="490"/>
      <c r="L694" s="490"/>
      <c r="M694" s="490"/>
      <c r="N694" s="490"/>
      <c r="O694" s="490"/>
      <c r="P694" s="490" t="s">
        <v>9471</v>
      </c>
    </row>
    <row r="695">
      <c r="A695" s="490"/>
      <c r="B695" s="490"/>
      <c r="C695" s="490"/>
      <c r="D695" s="490" t="str">
        <f>IFERROR(__xludf.DUMMYFUNCTION("""COMPUTED_VALUE"""),"TELIT CINTERION")</f>
        <v>TELIT CINTERION</v>
      </c>
      <c r="E695" s="593" t="str">
        <f>IFERROR(__xludf.DUMMYFUNCTION("""COMPUTED_VALUE"""),"CYLON")</f>
        <v>CYLON</v>
      </c>
      <c r="F695" s="593" t="str">
        <f>IFERROR(__xludf.DUMMYFUNCTION("""COMPUTED_VALUE"""),"COMMAND CENTRE")</f>
        <v>COMMAND CENTRE</v>
      </c>
      <c r="G695" s="490"/>
      <c r="H695" s="490"/>
      <c r="I695" s="490"/>
      <c r="J695" s="588"/>
      <c r="K695" s="490"/>
      <c r="L695" s="490"/>
      <c r="M695" s="490"/>
      <c r="N695" s="490"/>
      <c r="O695" s="490"/>
      <c r="P695" s="490" t="s">
        <v>9745</v>
      </c>
    </row>
    <row r="696">
      <c r="A696" s="490"/>
      <c r="B696" s="490"/>
      <c r="C696" s="490"/>
      <c r="D696" s="490" t="str">
        <f>IFERROR(__xludf.DUMMYFUNCTION("""COMPUTED_VALUE"""),"TELTONIKA")</f>
        <v>TELTONIKA</v>
      </c>
      <c r="E696" s="593" t="str">
        <f>IFERROR(__xludf.DUMMYFUNCTION("""COMPUTED_VALUE"""),"CYLON")</f>
        <v>CYLON</v>
      </c>
      <c r="F696" s="593" t="str">
        <f>IFERROR(__xludf.DUMMYFUNCTION("""COMPUTED_VALUE"""),"UC32.NETK/WEB/MOD")</f>
        <v>UC32.NETK/WEB/MOD</v>
      </c>
      <c r="G696" s="490"/>
      <c r="H696" s="490"/>
      <c r="I696" s="490"/>
      <c r="J696" s="588"/>
      <c r="K696" s="490"/>
      <c r="L696" s="490"/>
      <c r="M696" s="490"/>
      <c r="N696" s="490"/>
      <c r="O696" s="490"/>
      <c r="P696" s="490" t="s">
        <v>9748</v>
      </c>
    </row>
    <row r="697">
      <c r="A697" s="490"/>
      <c r="B697" s="490"/>
      <c r="C697" s="490"/>
      <c r="D697" s="490" t="str">
        <f>IFERROR(__xludf.DUMMYFUNCTION("""COMPUTED_VALUE"""),"TEMCO CONTROLS")</f>
        <v>TEMCO CONTROLS</v>
      </c>
      <c r="E697" s="593" t="str">
        <f>IFERROR(__xludf.DUMMYFUNCTION("""COMPUTED_VALUE"""),"CYLON")</f>
        <v>CYLON</v>
      </c>
      <c r="F697" s="593" t="str">
        <f>IFERROR(__xludf.DUMMYFUNCTION("""COMPUTED_VALUE"""),"INTEGRA IT-8000")</f>
        <v>INTEGRA IT-8000</v>
      </c>
      <c r="G697" s="490"/>
      <c r="H697" s="490"/>
      <c r="I697" s="490"/>
      <c r="J697" s="588"/>
      <c r="K697" s="490"/>
      <c r="L697" s="490"/>
      <c r="M697" s="490"/>
      <c r="N697" s="490"/>
      <c r="O697" s="490"/>
      <c r="P697" s="490" t="s">
        <v>9751</v>
      </c>
    </row>
    <row r="698">
      <c r="A698" s="490"/>
      <c r="B698" s="490"/>
      <c r="C698" s="490"/>
      <c r="D698" s="490" t="str">
        <f>IFERROR(__xludf.DUMMYFUNCTION("""COMPUTED_VALUE"""),"TEMPALERT")</f>
        <v>TEMPALERT</v>
      </c>
      <c r="E698" s="593" t="str">
        <f>IFERROR(__xludf.DUMMYFUNCTION("""COMPUTED_VALUE"""),"CYLON")</f>
        <v>CYLON</v>
      </c>
      <c r="F698" s="593" t="str">
        <f>IFERROR(__xludf.DUMMYFUNCTION("""COMPUTED_VALUE"""),"INTEGRA IT-8000")</f>
        <v>INTEGRA IT-8000</v>
      </c>
      <c r="G698" s="490"/>
      <c r="H698" s="490"/>
      <c r="I698" s="490"/>
      <c r="J698" s="588"/>
      <c r="K698" s="490"/>
      <c r="L698" s="490"/>
      <c r="M698" s="490"/>
      <c r="N698" s="490"/>
      <c r="O698" s="490"/>
      <c r="P698" s="490" t="s">
        <v>9754</v>
      </c>
    </row>
    <row r="699">
      <c r="A699" s="490"/>
      <c r="B699" s="490"/>
      <c r="C699" s="490"/>
      <c r="D699" s="490" t="str">
        <f>IFERROR(__xludf.DUMMYFUNCTION("""COMPUTED_VALUE"""),"TEMPERZONE")</f>
        <v>TEMPERZONE</v>
      </c>
      <c r="E699" s="593" t="str">
        <f>IFERROR(__xludf.DUMMYFUNCTION("""COMPUTED_VALUE"""),"CYLON")</f>
        <v>CYLON</v>
      </c>
      <c r="F699" s="593" t="str">
        <f>IFERROR(__xludf.DUMMYFUNCTION("""COMPUTED_VALUE"""),"UC32.NETK")</f>
        <v>UC32.NETK</v>
      </c>
      <c r="G699" s="490"/>
      <c r="H699" s="490"/>
      <c r="I699" s="490"/>
      <c r="J699" s="588"/>
      <c r="K699" s="490"/>
      <c r="L699" s="490"/>
      <c r="M699" s="490"/>
      <c r="N699" s="490"/>
      <c r="O699" s="490"/>
      <c r="P699" s="490" t="s">
        <v>9758</v>
      </c>
    </row>
    <row r="700">
      <c r="A700" s="490"/>
      <c r="B700" s="490"/>
      <c r="C700" s="490"/>
      <c r="D700" s="490" t="str">
        <f>IFERROR(__xludf.DUMMYFUNCTION("""COMPUTED_VALUE"""),"TEMPMASTER")</f>
        <v>TEMPMASTER</v>
      </c>
      <c r="E700" s="593" t="str">
        <f>IFERROR(__xludf.DUMMYFUNCTION("""COMPUTED_VALUE"""),"CYLON")</f>
        <v>CYLON</v>
      </c>
      <c r="F700" s="593" t="str">
        <f>IFERROR(__xludf.DUMMYFUNCTION("""COMPUTED_VALUE"""),"UC32.NETK")</f>
        <v>UC32.NETK</v>
      </c>
      <c r="G700" s="490"/>
      <c r="H700" s="490"/>
      <c r="I700" s="490"/>
      <c r="J700" s="588"/>
      <c r="K700" s="490"/>
      <c r="L700" s="490"/>
      <c r="M700" s="490"/>
      <c r="N700" s="490"/>
      <c r="O700" s="490"/>
      <c r="P700" s="490" t="s">
        <v>9761</v>
      </c>
    </row>
    <row r="701">
      <c r="A701" s="490"/>
      <c r="B701" s="490"/>
      <c r="C701" s="490"/>
      <c r="D701" s="490" t="str">
        <f>IFERROR(__xludf.DUMMYFUNCTION("""COMPUTED_VALUE"""),"TENDA")</f>
        <v>TENDA</v>
      </c>
      <c r="E701" s="593" t="str">
        <f>IFERROR(__xludf.DUMMYFUNCTION("""COMPUTED_VALUE"""),"CYLON")</f>
        <v>CYLON</v>
      </c>
      <c r="F701" s="593" t="str">
        <f>IFERROR(__xludf.DUMMYFUNCTION("""COMPUTED_VALUE"""),"UC32.NETK")</f>
        <v>UC32.NETK</v>
      </c>
      <c r="G701" s="490"/>
      <c r="H701" s="490"/>
      <c r="I701" s="490"/>
      <c r="J701" s="588"/>
      <c r="K701" s="490"/>
      <c r="L701" s="490"/>
      <c r="M701" s="490"/>
      <c r="N701" s="490"/>
      <c r="O701" s="490"/>
      <c r="P701" s="490" t="s">
        <v>9764</v>
      </c>
    </row>
    <row r="702">
      <c r="A702" s="490"/>
      <c r="B702" s="490"/>
      <c r="C702" s="490"/>
      <c r="D702" s="490" t="str">
        <f>IFERROR(__xludf.DUMMYFUNCTION("""COMPUTED_VALUE"""),"TERRA")</f>
        <v>TERRA</v>
      </c>
      <c r="E702" s="593" t="str">
        <f>IFERROR(__xludf.DUMMYFUNCTION("""COMPUTED_VALUE"""),"CYLON")</f>
        <v>CYLON</v>
      </c>
      <c r="F702" s="593" t="str">
        <f>IFERROR(__xludf.DUMMYFUNCTION("""COMPUTED_VALUE"""),"UC32.NETK")</f>
        <v>UC32.NETK</v>
      </c>
      <c r="G702" s="490"/>
      <c r="H702" s="490"/>
      <c r="I702" s="490"/>
      <c r="J702" s="588"/>
      <c r="K702" s="490"/>
      <c r="L702" s="490"/>
      <c r="M702" s="490"/>
      <c r="N702" s="490"/>
      <c r="O702" s="490"/>
      <c r="P702" s="490" t="s">
        <v>9767</v>
      </c>
    </row>
    <row r="703">
      <c r="A703" s="490"/>
      <c r="B703" s="490"/>
      <c r="C703" s="490"/>
      <c r="D703" s="490" t="str">
        <f>IFERROR(__xludf.DUMMYFUNCTION("""COMPUTED_VALUE"""),"TESTO")</f>
        <v>TESTO</v>
      </c>
      <c r="E703" s="593" t="str">
        <f>IFERROR(__xludf.DUMMYFUNCTION("""COMPUTED_VALUE"""),"CYLON")</f>
        <v>CYLON</v>
      </c>
      <c r="F703" s="593" t="str">
        <f>IFERROR(__xludf.DUMMYFUNCTION("""COMPUTED_VALUE"""),"UC32.NETK")</f>
        <v>UC32.NETK</v>
      </c>
      <c r="G703" s="490"/>
      <c r="H703" s="490"/>
      <c r="I703" s="490"/>
      <c r="J703" s="588"/>
      <c r="K703" s="490"/>
      <c r="L703" s="490"/>
      <c r="M703" s="490"/>
      <c r="N703" s="490"/>
      <c r="O703" s="490"/>
      <c r="P703" s="490" t="s">
        <v>9770</v>
      </c>
    </row>
    <row r="704">
      <c r="A704" s="490"/>
      <c r="B704" s="490"/>
      <c r="C704" s="490"/>
      <c r="D704" s="490" t="str">
        <f>IFERROR(__xludf.DUMMYFUNCTION("""COMPUTED_VALUE"""),"THEBEN")</f>
        <v>THEBEN</v>
      </c>
      <c r="E704" s="593" t="str">
        <f>IFERROR(__xludf.DUMMYFUNCTION("""COMPUTED_VALUE"""),"CYLON")</f>
        <v>CYLON</v>
      </c>
      <c r="F704" s="593" t="str">
        <f>IFERROR(__xludf.DUMMYFUNCTION("""COMPUTED_VALUE"""),"UC32.NETK/WEB/MOD")</f>
        <v>UC32.NETK/WEB/MOD</v>
      </c>
      <c r="G704" s="490"/>
      <c r="H704" s="490"/>
      <c r="I704" s="490"/>
      <c r="J704" s="588"/>
      <c r="K704" s="490"/>
      <c r="L704" s="490"/>
      <c r="M704" s="490"/>
      <c r="N704" s="490"/>
      <c r="O704" s="490"/>
      <c r="P704" s="490" t="s">
        <v>9773</v>
      </c>
    </row>
    <row r="705">
      <c r="A705" s="490"/>
      <c r="B705" s="490"/>
      <c r="C705" s="490"/>
      <c r="D705" s="490" t="str">
        <f>IFERROR(__xludf.DUMMYFUNCTION("""COMPUTED_VALUE"""),"THERMOKON")</f>
        <v>THERMOKON</v>
      </c>
      <c r="E705" s="593" t="str">
        <f>IFERROR(__xludf.DUMMYFUNCTION("""COMPUTED_VALUE"""),"CYLON")</f>
        <v>CYLON</v>
      </c>
      <c r="F705" s="593" t="str">
        <f>IFERROR(__xludf.DUMMYFUNCTION("""COMPUTED_VALUE"""),"UC32.NETK/WEB/MOD")</f>
        <v>UC32.NETK/WEB/MOD</v>
      </c>
      <c r="G705" s="490"/>
      <c r="H705" s="490"/>
      <c r="I705" s="490"/>
      <c r="J705" s="588"/>
      <c r="K705" s="490"/>
      <c r="L705" s="490"/>
      <c r="M705" s="490"/>
      <c r="N705" s="490"/>
      <c r="O705" s="490"/>
      <c r="P705" s="490" t="s">
        <v>9474</v>
      </c>
    </row>
    <row r="706">
      <c r="A706" s="490"/>
      <c r="B706" s="490"/>
      <c r="C706" s="490"/>
      <c r="D706" s="490" t="str">
        <f>IFERROR(__xludf.DUMMYFUNCTION("""COMPUTED_VALUE"""),"THERMOPLAN")</f>
        <v>THERMOPLAN</v>
      </c>
      <c r="E706" s="593" t="str">
        <f>IFERROR(__xludf.DUMMYFUNCTION("""COMPUTED_VALUE"""),"CYLON")</f>
        <v>CYLON</v>
      </c>
      <c r="F706" s="593" t="str">
        <f>IFERROR(__xludf.DUMMYFUNCTION("""COMPUTED_VALUE"""),"UC32NETK/ELC/WEB/MOD")</f>
        <v>UC32NETK/ELC/WEB/MOD</v>
      </c>
      <c r="G706" s="490"/>
      <c r="H706" s="490"/>
      <c r="I706" s="490"/>
      <c r="J706" s="588"/>
      <c r="K706" s="490"/>
      <c r="L706" s="490"/>
      <c r="M706" s="490"/>
      <c r="N706" s="490"/>
      <c r="O706" s="490"/>
      <c r="P706" s="490" t="s">
        <v>9776</v>
      </c>
    </row>
    <row r="707">
      <c r="A707" s="490"/>
      <c r="B707" s="490"/>
      <c r="C707" s="490"/>
      <c r="D707" s="490" t="str">
        <f>IFERROR(__xludf.DUMMYFUNCTION("""COMPUTED_VALUE"""),"THITTANIX")</f>
        <v>THITTANIX</v>
      </c>
      <c r="E707" s="593" t="str">
        <f>IFERROR(__xludf.DUMMYFUNCTION("""COMPUTED_VALUE"""),"D-LINK")</f>
        <v>D-LINK</v>
      </c>
      <c r="F707" s="593" t="str">
        <f>IFERROR(__xludf.DUMMYFUNCTION("""COMPUTED_VALUE"""),"DES 1008A")</f>
        <v>DES 1008A</v>
      </c>
      <c r="G707" s="490"/>
      <c r="H707" s="490"/>
      <c r="I707" s="490"/>
      <c r="J707" s="588"/>
      <c r="K707" s="490"/>
      <c r="L707" s="490"/>
      <c r="M707" s="490"/>
      <c r="N707" s="490"/>
      <c r="O707" s="490"/>
      <c r="P707" s="490" t="s">
        <v>9779</v>
      </c>
    </row>
    <row r="708">
      <c r="A708" s="490"/>
      <c r="B708" s="490"/>
      <c r="C708" s="490"/>
      <c r="D708" s="490" t="str">
        <f>IFERROR(__xludf.DUMMYFUNCTION("""COMPUTED_VALUE"""),"TIME MACHINE KK")</f>
        <v>TIME MACHINE KK</v>
      </c>
      <c r="E708" s="593" t="str">
        <f>IFERROR(__xludf.DUMMYFUNCTION("""COMPUTED_VALUE"""),"D-LINK")</f>
        <v>D-LINK</v>
      </c>
      <c r="F708" s="593" t="str">
        <f>IFERROR(__xludf.DUMMYFUNCTION("""COMPUTED_VALUE"""),"DES 1008C")</f>
        <v>DES 1008C</v>
      </c>
      <c r="G708" s="490"/>
      <c r="H708" s="490"/>
      <c r="I708" s="490"/>
      <c r="J708" s="588"/>
      <c r="K708" s="490"/>
      <c r="L708" s="490"/>
      <c r="M708" s="490"/>
      <c r="N708" s="490"/>
      <c r="O708" s="490"/>
      <c r="P708" s="490" t="s">
        <v>9783</v>
      </c>
    </row>
    <row r="709">
      <c r="A709" s="490"/>
      <c r="B709" s="490"/>
      <c r="C709" s="490"/>
      <c r="D709" s="490" t="str">
        <f>IFERROR(__xludf.DUMMYFUNCTION("""COMPUTED_VALUE"""),"TIMELINK")</f>
        <v>TIMELINK</v>
      </c>
      <c r="E709" s="593" t="str">
        <f>IFERROR(__xludf.DUMMYFUNCTION("""COMPUTED_VALUE"""),"D-LINK")</f>
        <v>D-LINK</v>
      </c>
      <c r="F709" s="593" t="str">
        <f>IFERROR(__xludf.DUMMYFUNCTION("""COMPUTED_VALUE"""),"DES-1005A")</f>
        <v>DES-1005A</v>
      </c>
      <c r="G709" s="490"/>
      <c r="H709" s="490"/>
      <c r="I709" s="490"/>
      <c r="J709" s="588"/>
      <c r="K709" s="490"/>
      <c r="L709" s="490"/>
      <c r="M709" s="490"/>
      <c r="N709" s="490"/>
      <c r="O709" s="490"/>
      <c r="P709" s="490" t="s">
        <v>9786</v>
      </c>
    </row>
    <row r="710">
      <c r="A710" s="490"/>
      <c r="B710" s="490"/>
      <c r="C710" s="490"/>
      <c r="D710" s="490" t="str">
        <f>IFERROR(__xludf.DUMMYFUNCTION("""COMPUTED_VALUE"""),"TITUS")</f>
        <v>TITUS</v>
      </c>
      <c r="E710" s="593" t="str">
        <f>IFERROR(__xludf.DUMMYFUNCTION("""COMPUTED_VALUE"""),"D-LINK")</f>
        <v>D-LINK</v>
      </c>
      <c r="F710" s="593" t="str">
        <f>IFERROR(__xludf.DUMMYFUNCTION("""COMPUTED_VALUE"""),"DES-1005C")</f>
        <v>DES-1005C</v>
      </c>
      <c r="G710" s="490"/>
      <c r="H710" s="490"/>
      <c r="I710" s="490"/>
      <c r="J710" s="588"/>
      <c r="K710" s="490"/>
      <c r="L710" s="490"/>
      <c r="M710" s="490"/>
      <c r="N710" s="490"/>
      <c r="O710" s="490"/>
      <c r="P710" s="490" t="s">
        <v>9789</v>
      </c>
    </row>
    <row r="711">
      <c r="A711" s="490"/>
      <c r="B711" s="490"/>
      <c r="C711" s="490"/>
      <c r="D711" s="490" t="str">
        <f>IFERROR(__xludf.DUMMYFUNCTION("""COMPUTED_VALUE"""),"TIVO")</f>
        <v>TIVO</v>
      </c>
      <c r="E711" s="593" t="str">
        <f>IFERROR(__xludf.DUMMYFUNCTION("""COMPUTED_VALUE"""),"D-LINK")</f>
        <v>D-LINK</v>
      </c>
      <c r="F711" s="593" t="str">
        <f>IFERROR(__xludf.DUMMYFUNCTION("""COMPUTED_VALUE"""),"DES-1005E")</f>
        <v>DES-1005E</v>
      </c>
      <c r="G711" s="490"/>
      <c r="H711" s="490"/>
      <c r="I711" s="490"/>
      <c r="J711" s="588"/>
      <c r="K711" s="490"/>
      <c r="L711" s="490"/>
      <c r="M711" s="490"/>
      <c r="N711" s="490"/>
      <c r="O711" s="490"/>
      <c r="P711" s="490" t="s">
        <v>9792</v>
      </c>
    </row>
    <row r="712">
      <c r="A712" s="490"/>
      <c r="B712" s="490"/>
      <c r="C712" s="490"/>
      <c r="D712" s="490" t="str">
        <f>IFERROR(__xludf.DUMMYFUNCTION("""COMPUTED_VALUE"""),"TONGDY")</f>
        <v>TONGDY</v>
      </c>
      <c r="E712" s="593" t="str">
        <f>IFERROR(__xludf.DUMMYFUNCTION("""COMPUTED_VALUE"""),"D-LINK")</f>
        <v>D-LINK</v>
      </c>
      <c r="F712" s="593" t="str">
        <f>IFERROR(__xludf.DUMMYFUNCTION("""COMPUTED_VALUE"""),"DES-1008A")</f>
        <v>DES-1008A</v>
      </c>
      <c r="G712" s="490"/>
      <c r="H712" s="490"/>
      <c r="I712" s="490"/>
      <c r="J712" s="588"/>
      <c r="K712" s="490"/>
      <c r="L712" s="490"/>
      <c r="M712" s="490"/>
      <c r="N712" s="490"/>
      <c r="O712" s="490"/>
      <c r="P712" s="490" t="s">
        <v>9795</v>
      </c>
    </row>
    <row r="713">
      <c r="A713" s="490"/>
      <c r="B713" s="490"/>
      <c r="C713" s="490"/>
      <c r="D713" s="490" t="str">
        <f>IFERROR(__xludf.DUMMYFUNCTION("""COMPUTED_VALUE"""),"TOSHIBA")</f>
        <v>TOSHIBA</v>
      </c>
      <c r="E713" s="593" t="str">
        <f>IFERROR(__xludf.DUMMYFUNCTION("""COMPUTED_VALUE"""),"D-LINK")</f>
        <v>D-LINK</v>
      </c>
      <c r="F713" s="593" t="str">
        <f>IFERROR(__xludf.DUMMYFUNCTION("""COMPUTED_VALUE"""),"DES-1016A")</f>
        <v>DES-1016A</v>
      </c>
      <c r="G713" s="490"/>
      <c r="H713" s="490"/>
      <c r="I713" s="490"/>
      <c r="J713" s="588"/>
      <c r="K713" s="490"/>
      <c r="L713" s="490"/>
      <c r="M713" s="490"/>
      <c r="N713" s="490"/>
      <c r="O713" s="490"/>
      <c r="P713" s="490" t="s">
        <v>9798</v>
      </c>
    </row>
    <row r="714">
      <c r="A714" s="490"/>
      <c r="B714" s="490"/>
      <c r="C714" s="490"/>
      <c r="D714" s="490" t="str">
        <f>IFERROR(__xludf.DUMMYFUNCTION("""COMPUTED_VALUE"""),"TP-LINK")</f>
        <v>TP-LINK</v>
      </c>
      <c r="E714" s="593" t="str">
        <f>IFERROR(__xludf.DUMMYFUNCTION("""COMPUTED_VALUE"""),"D-LINK")</f>
        <v>D-LINK</v>
      </c>
      <c r="F714" s="593" t="str">
        <f>IFERROR(__xludf.DUMMYFUNCTION("""COMPUTED_VALUE"""),"DGS-1016C")</f>
        <v>DGS-1016C</v>
      </c>
      <c r="G714" s="490"/>
      <c r="H714" s="490"/>
      <c r="I714" s="490"/>
      <c r="J714" s="588"/>
      <c r="K714" s="490"/>
      <c r="L714" s="490"/>
      <c r="M714" s="490"/>
      <c r="N714" s="490"/>
      <c r="O714" s="490"/>
      <c r="P714" s="490" t="s">
        <v>9802</v>
      </c>
    </row>
    <row r="715">
      <c r="A715" s="490"/>
      <c r="B715" s="490"/>
      <c r="C715" s="490"/>
      <c r="D715" s="490" t="str">
        <f>IFERROR(__xludf.DUMMYFUNCTION("""COMPUTED_VALUE"""),"TPLINK")</f>
        <v>TPLINK</v>
      </c>
      <c r="E715" s="593" t="str">
        <f>IFERROR(__xludf.DUMMYFUNCTION("""COMPUTED_VALUE"""),"D-LINK")</f>
        <v>D-LINK</v>
      </c>
      <c r="F715" s="593" t="str">
        <f>IFERROR(__xludf.DUMMYFUNCTION("""COMPUTED_VALUE"""),"DES-1016D")</f>
        <v>DES-1016D</v>
      </c>
      <c r="G715" s="490"/>
      <c r="H715" s="490"/>
      <c r="I715" s="490"/>
      <c r="J715" s="588"/>
      <c r="K715" s="490"/>
      <c r="L715" s="490"/>
      <c r="M715" s="490"/>
      <c r="N715" s="490"/>
      <c r="O715" s="490"/>
      <c r="P715" s="490" t="s">
        <v>9805</v>
      </c>
    </row>
    <row r="716">
      <c r="A716" s="490"/>
      <c r="B716" s="490"/>
      <c r="C716" s="490"/>
      <c r="D716" s="490" t="str">
        <f>IFERROR(__xludf.DUMMYFUNCTION("""COMPUTED_VALUE"""),"TRAKA")</f>
        <v>TRAKA</v>
      </c>
      <c r="E716" s="593" t="str">
        <f>IFERROR(__xludf.DUMMYFUNCTION("""COMPUTED_VALUE"""),"D-LINK")</f>
        <v>D-LINK</v>
      </c>
      <c r="F716" s="593" t="str">
        <f>IFERROR(__xludf.DUMMYFUNCTION("""COMPUTED_VALUE"""),"DES-1024D")</f>
        <v>DES-1024D</v>
      </c>
      <c r="G716" s="490"/>
      <c r="H716" s="490"/>
      <c r="I716" s="490"/>
      <c r="J716" s="588"/>
      <c r="K716" s="490"/>
      <c r="L716" s="490"/>
      <c r="M716" s="490"/>
      <c r="N716" s="490"/>
      <c r="O716" s="490"/>
      <c r="P716" s="490" t="s">
        <v>9477</v>
      </c>
    </row>
    <row r="717">
      <c r="A717" s="490"/>
      <c r="B717" s="490"/>
      <c r="C717" s="490"/>
      <c r="D717" s="490" t="str">
        <f>IFERROR(__xludf.DUMMYFUNCTION("""COMPUTED_VALUE"""),"TRANE")</f>
        <v>TRANE</v>
      </c>
      <c r="E717" s="593" t="str">
        <f>IFERROR(__xludf.DUMMYFUNCTION("""COMPUTED_VALUE"""),"D-LINK")</f>
        <v>D-LINK</v>
      </c>
      <c r="F717" s="593" t="str">
        <f>IFERROR(__xludf.DUMMYFUNCTION("""COMPUTED_VALUE"""),"DES-105")</f>
        <v>DES-105</v>
      </c>
      <c r="G717" s="490"/>
      <c r="H717" s="490"/>
      <c r="I717" s="490"/>
      <c r="J717" s="588"/>
      <c r="K717" s="490"/>
      <c r="L717" s="490"/>
      <c r="M717" s="490"/>
      <c r="N717" s="490"/>
      <c r="O717" s="490"/>
      <c r="P717" s="490" t="s">
        <v>9808</v>
      </c>
    </row>
    <row r="718">
      <c r="A718" s="490"/>
      <c r="B718" s="490"/>
      <c r="C718" s="490"/>
      <c r="D718" s="490" t="str">
        <f>IFERROR(__xludf.DUMMYFUNCTION("""COMPUTED_VALUE"""),"TRANSACT")</f>
        <v>TRANSACT</v>
      </c>
      <c r="E718" s="593" t="str">
        <f>IFERROR(__xludf.DUMMYFUNCTION("""COMPUTED_VALUE"""),"D-LINK")</f>
        <v>D-LINK</v>
      </c>
      <c r="F718" s="593" t="str">
        <f>IFERROR(__xludf.DUMMYFUNCTION("""COMPUTED_VALUE"""),"DES-1100-24")</f>
        <v>DES-1100-24</v>
      </c>
      <c r="G718" s="490"/>
      <c r="H718" s="490"/>
      <c r="I718" s="490"/>
      <c r="J718" s="588"/>
      <c r="K718" s="490"/>
      <c r="L718" s="490"/>
      <c r="M718" s="490"/>
      <c r="N718" s="490"/>
      <c r="O718" s="490"/>
      <c r="P718" s="490" t="s">
        <v>9811</v>
      </c>
    </row>
    <row r="719">
      <c r="A719" s="490"/>
      <c r="B719" s="490"/>
      <c r="C719" s="490"/>
      <c r="D719" s="490" t="str">
        <f>IFERROR(__xludf.DUMMYFUNCTION("""COMPUTED_VALUE"""),"TRANSITION NETWORKS")</f>
        <v>TRANSITION NETWORKS</v>
      </c>
      <c r="E719" s="593" t="str">
        <f>IFERROR(__xludf.DUMMYFUNCTION("""COMPUTED_VALUE"""),"D-LINK")</f>
        <v>D-LINK</v>
      </c>
      <c r="F719" s="593" t="str">
        <f>IFERROR(__xludf.DUMMYFUNCTION("""COMPUTED_VALUE"""),"DES1024C")</f>
        <v>DES1024C</v>
      </c>
      <c r="G719" s="490"/>
      <c r="H719" s="490"/>
      <c r="I719" s="490"/>
      <c r="J719" s="588"/>
      <c r="K719" s="490"/>
      <c r="L719" s="490"/>
      <c r="M719" s="490"/>
      <c r="N719" s="490"/>
      <c r="O719" s="490"/>
      <c r="P719" s="490" t="s">
        <v>9814</v>
      </c>
    </row>
    <row r="720">
      <c r="A720" s="490"/>
      <c r="B720" s="490"/>
      <c r="C720" s="490"/>
      <c r="D720" s="490" t="str">
        <f>IFERROR(__xludf.DUMMYFUNCTION("""COMPUTED_VALUE"""),"TRAXON E:CUE")</f>
        <v>TRAXON E:CUE</v>
      </c>
      <c r="E720" s="593" t="str">
        <f>IFERROR(__xludf.DUMMYFUNCTION("""COMPUTED_VALUE"""),"D-LINK")</f>
        <v>D-LINK</v>
      </c>
      <c r="F720" s="593" t="str">
        <f>IFERROR(__xludf.DUMMYFUNCTION("""COMPUTED_VALUE"""),"DGS 1016A")</f>
        <v>DGS 1016A</v>
      </c>
      <c r="G720" s="490"/>
      <c r="H720" s="490"/>
      <c r="I720" s="490"/>
      <c r="J720" s="588"/>
      <c r="K720" s="490"/>
      <c r="L720" s="490"/>
      <c r="M720" s="490"/>
      <c r="N720" s="490"/>
      <c r="O720" s="490"/>
      <c r="P720" s="490" t="s">
        <v>9817</v>
      </c>
    </row>
    <row r="721">
      <c r="A721" s="490"/>
      <c r="B721" s="490"/>
      <c r="C721" s="490"/>
      <c r="D721" s="490" t="str">
        <f>IFERROR(__xludf.DUMMYFUNCTION("""COMPUTED_VALUE"""),"TREND")</f>
        <v>TREND</v>
      </c>
      <c r="E721" s="593" t="str">
        <f>IFERROR(__xludf.DUMMYFUNCTION("""COMPUTED_VALUE"""),"D-LINK")</f>
        <v>D-LINK</v>
      </c>
      <c r="F721" s="593" t="str">
        <f>IFERROR(__xludf.DUMMYFUNCTION("""COMPUTED_VALUE"""),"DGS-1005A")</f>
        <v>DGS-1005A</v>
      </c>
      <c r="G721" s="490"/>
      <c r="H721" s="490"/>
      <c r="I721" s="490"/>
      <c r="J721" s="588"/>
      <c r="K721" s="490"/>
      <c r="L721" s="490"/>
      <c r="M721" s="490"/>
      <c r="N721" s="490"/>
      <c r="O721" s="490"/>
      <c r="P721" s="490" t="s">
        <v>9820</v>
      </c>
    </row>
    <row r="722">
      <c r="A722" s="490"/>
      <c r="B722" s="490"/>
      <c r="C722" s="490"/>
      <c r="D722" s="490" t="str">
        <f>IFERROR(__xludf.DUMMYFUNCTION("""COMPUTED_VALUE"""),"TRENDNET")</f>
        <v>TRENDNET</v>
      </c>
      <c r="E722" s="593" t="str">
        <f>IFERROR(__xludf.DUMMYFUNCTION("""COMPUTED_VALUE"""),"D-LINK")</f>
        <v>D-LINK</v>
      </c>
      <c r="F722" s="593" t="str">
        <f>IFERROR(__xludf.DUMMYFUNCTION("""COMPUTED_VALUE"""),"DGS-1008A")</f>
        <v>DGS-1008A</v>
      </c>
      <c r="G722" s="490"/>
      <c r="H722" s="490"/>
      <c r="I722" s="490"/>
      <c r="J722" s="588"/>
      <c r="K722" s="490"/>
      <c r="L722" s="490"/>
      <c r="M722" s="490"/>
      <c r="N722" s="490"/>
      <c r="O722" s="490"/>
      <c r="P722" s="490" t="s">
        <v>9823</v>
      </c>
    </row>
    <row r="723">
      <c r="A723" s="490"/>
      <c r="B723" s="490"/>
      <c r="C723" s="490"/>
      <c r="D723" s="490" t="str">
        <f>IFERROR(__xludf.DUMMYFUNCTION("""COMPUTED_VALUE"""),"TRIACTA")</f>
        <v>TRIACTA</v>
      </c>
      <c r="E723" s="593" t="str">
        <f>IFERROR(__xludf.DUMMYFUNCTION("""COMPUTED_VALUE"""),"D-LINK")</f>
        <v>D-LINK</v>
      </c>
      <c r="F723" s="593" t="str">
        <f>IFERROR(__xludf.DUMMYFUNCTION("""COMPUTED_VALUE"""),"DGS-1024D")</f>
        <v>DGS-1024D</v>
      </c>
      <c r="G723" s="490"/>
      <c r="H723" s="490"/>
      <c r="I723" s="490"/>
      <c r="J723" s="588"/>
      <c r="K723" s="490"/>
      <c r="L723" s="490"/>
      <c r="M723" s="490"/>
      <c r="N723" s="490"/>
      <c r="O723" s="490"/>
      <c r="P723" s="490" t="s">
        <v>9826</v>
      </c>
    </row>
    <row r="724">
      <c r="A724" s="490"/>
      <c r="B724" s="490"/>
      <c r="C724" s="490"/>
      <c r="D724" s="490" t="str">
        <f>IFERROR(__xludf.DUMMYFUNCTION("""COMPUTED_VALUE"""),"TRIDIUM")</f>
        <v>TRIDIUM</v>
      </c>
      <c r="E724" s="593" t="str">
        <f>IFERROR(__xludf.DUMMYFUNCTION("""COMPUTED_VALUE"""),"D-LINK")</f>
        <v>D-LINK</v>
      </c>
      <c r="F724" s="593" t="str">
        <f>IFERROR(__xludf.DUMMYFUNCTION("""COMPUTED_VALUE"""),"DGS-1210-20")</f>
        <v>DGS-1210-20</v>
      </c>
      <c r="G724" s="490"/>
      <c r="H724" s="490"/>
      <c r="I724" s="490"/>
      <c r="J724" s="588"/>
      <c r="K724" s="490"/>
      <c r="L724" s="490"/>
      <c r="M724" s="490"/>
      <c r="N724" s="490"/>
      <c r="O724" s="490"/>
      <c r="P724" s="490" t="s">
        <v>9829</v>
      </c>
    </row>
    <row r="725">
      <c r="A725" s="490"/>
      <c r="B725" s="490"/>
      <c r="C725" s="490"/>
      <c r="D725" s="490" t="str">
        <f>IFERROR(__xludf.DUMMYFUNCTION("""COMPUTED_VALUE"""),"TROX")</f>
        <v>TROX</v>
      </c>
      <c r="E725" s="593" t="str">
        <f>IFERROR(__xludf.DUMMYFUNCTION("""COMPUTED_VALUE"""),"D-LINK")</f>
        <v>D-LINK</v>
      </c>
      <c r="F725" s="593" t="str">
        <f>IFERROR(__xludf.DUMMYFUNCTION("""COMPUTED_VALUE"""),"DGS-1210-28")</f>
        <v>DGS-1210-28</v>
      </c>
      <c r="G725" s="490"/>
      <c r="H725" s="490"/>
      <c r="I725" s="490"/>
      <c r="J725" s="588"/>
      <c r="K725" s="490"/>
      <c r="L725" s="490"/>
      <c r="M725" s="490"/>
      <c r="N725" s="490"/>
      <c r="O725" s="490"/>
      <c r="P725" s="490" t="s">
        <v>9832</v>
      </c>
    </row>
    <row r="726">
      <c r="A726" s="490"/>
      <c r="B726" s="490"/>
      <c r="C726" s="490"/>
      <c r="D726" s="490" t="str">
        <f>IFERROR(__xludf.DUMMYFUNCTION("""COMPUTED_VALUE"""),"TTK")</f>
        <v>TTK</v>
      </c>
      <c r="E726" s="593" t="str">
        <f>IFERROR(__xludf.DUMMYFUNCTION("""COMPUTED_VALUE"""),"D-LINK")</f>
        <v>D-LINK</v>
      </c>
      <c r="F726" s="593" t="str">
        <f>IFERROR(__xludf.DUMMYFUNCTION("""COMPUTED_VALUE"""),"DGS-1210-52")</f>
        <v>DGS-1210-52</v>
      </c>
      <c r="G726" s="490"/>
      <c r="H726" s="490"/>
      <c r="I726" s="490"/>
      <c r="J726" s="588"/>
      <c r="K726" s="490"/>
      <c r="L726" s="490"/>
      <c r="M726" s="490"/>
      <c r="N726" s="490"/>
      <c r="O726" s="490"/>
      <c r="P726" s="490" t="s">
        <v>9835</v>
      </c>
    </row>
    <row r="727">
      <c r="A727" s="490"/>
      <c r="B727" s="490"/>
      <c r="C727" s="490"/>
      <c r="D727" s="490" t="str">
        <f>IFERROR(__xludf.DUMMYFUNCTION("""COMPUTED_VALUE"""),"TTK SAS")</f>
        <v>TTK SAS</v>
      </c>
      <c r="E727" s="593" t="str">
        <f>IFERROR(__xludf.DUMMYFUNCTION("""COMPUTED_VALUE"""),"D-LINK")</f>
        <v>D-LINK</v>
      </c>
      <c r="F727" s="593" t="str">
        <f>IFERROR(__xludf.DUMMYFUNCTION("""COMPUTED_VALUE"""),"DWR-921")</f>
        <v>DWR-921</v>
      </c>
      <c r="G727" s="490"/>
      <c r="H727" s="490"/>
      <c r="I727" s="490"/>
      <c r="J727" s="588"/>
      <c r="K727" s="490"/>
      <c r="L727" s="490"/>
      <c r="M727" s="490"/>
      <c r="N727" s="490"/>
      <c r="O727" s="490"/>
      <c r="P727" s="490" t="s">
        <v>9480</v>
      </c>
    </row>
    <row r="728">
      <c r="A728" s="490"/>
      <c r="B728" s="490"/>
      <c r="C728" s="490"/>
      <c r="D728" s="490" t="str">
        <f>IFERROR(__xludf.DUMMYFUNCTION("""COMPUTED_VALUE"""),"TURBOCHEF")</f>
        <v>TURBOCHEF</v>
      </c>
      <c r="E728" s="593" t="str">
        <f>IFERROR(__xludf.DUMMYFUNCTION("""COMPUTED_VALUE"""),"D-LINK")</f>
        <v>D-LINK</v>
      </c>
      <c r="F728" s="593" t="str">
        <f>IFERROR(__xludf.DUMMYFUNCTION("""COMPUTED_VALUE"""),"DWR-921")</f>
        <v>DWR-921</v>
      </c>
      <c r="G728" s="490"/>
      <c r="H728" s="490"/>
      <c r="I728" s="490"/>
      <c r="J728" s="588"/>
      <c r="K728" s="490"/>
      <c r="L728" s="490"/>
      <c r="M728" s="490"/>
      <c r="N728" s="490"/>
      <c r="O728" s="490"/>
      <c r="P728" s="490" t="s">
        <v>9839</v>
      </c>
    </row>
    <row r="729">
      <c r="A729" s="490"/>
      <c r="B729" s="490"/>
      <c r="C729" s="490"/>
      <c r="D729" s="490" t="str">
        <f>IFERROR(__xludf.DUMMYFUNCTION("""COMPUTED_VALUE"""),"TYRELL")</f>
        <v>TYRELL</v>
      </c>
      <c r="E729" s="593" t="str">
        <f>IFERROR(__xludf.DUMMYFUNCTION("""COMPUTED_VALUE"""),"D-LINK")</f>
        <v>D-LINK</v>
      </c>
      <c r="F729" s="593" t="str">
        <f>IFERROR(__xludf.DUMMYFUNCTION("""COMPUTED_VALUE"""),"DAP-2553")</f>
        <v>DAP-2553</v>
      </c>
      <c r="G729" s="490"/>
      <c r="H729" s="490"/>
      <c r="I729" s="490"/>
      <c r="J729" s="588"/>
      <c r="K729" s="490"/>
      <c r="L729" s="490"/>
      <c r="M729" s="490"/>
      <c r="N729" s="490"/>
      <c r="O729" s="490"/>
      <c r="P729" s="490" t="s">
        <v>9842</v>
      </c>
    </row>
    <row r="730">
      <c r="A730" s="490"/>
      <c r="B730" s="490"/>
      <c r="C730" s="490"/>
      <c r="D730" s="490" t="str">
        <f>IFERROR(__xludf.DUMMYFUNCTION("""COMPUTED_VALUE"""),"TZ")</f>
        <v>TZ</v>
      </c>
      <c r="E730" s="593" t="str">
        <f>IFERROR(__xludf.DUMMYFUNCTION("""COMPUTED_VALUE"""),"D-LINK")</f>
        <v>D-LINK</v>
      </c>
      <c r="F730" s="593" t="str">
        <f>IFERROR(__xludf.DUMMYFUNCTION("""COMPUTED_VALUE"""),"DGS-108")</f>
        <v>DGS-108</v>
      </c>
      <c r="G730" s="490"/>
      <c r="H730" s="490"/>
      <c r="I730" s="490"/>
      <c r="J730" s="588"/>
      <c r="K730" s="490"/>
      <c r="L730" s="490"/>
      <c r="M730" s="490"/>
      <c r="N730" s="490"/>
      <c r="O730" s="490"/>
      <c r="P730" s="490" t="s">
        <v>9845</v>
      </c>
    </row>
    <row r="731">
      <c r="A731" s="490"/>
      <c r="B731" s="490"/>
      <c r="C731" s="490"/>
      <c r="D731" s="490" t="str">
        <f>IFERROR(__xludf.DUMMYFUNCTION("""COMPUTED_VALUE"""),"UBIQUITI")</f>
        <v>UBIQUITI</v>
      </c>
      <c r="E731" s="593" t="str">
        <f>IFERROR(__xludf.DUMMYFUNCTION("""COMPUTED_VALUE"""),"D-LINK")</f>
        <v>D-LINK</v>
      </c>
      <c r="F731" s="593" t="str">
        <f>IFERROR(__xludf.DUMMYFUNCTION("""COMPUTED_VALUE"""),"DGS-108")</f>
        <v>DGS-108</v>
      </c>
      <c r="G731" s="490"/>
      <c r="H731" s="490"/>
      <c r="I731" s="490"/>
      <c r="J731" s="588"/>
      <c r="K731" s="490"/>
      <c r="L731" s="490"/>
      <c r="M731" s="490"/>
      <c r="N731" s="490"/>
      <c r="O731" s="490"/>
      <c r="P731" s="490" t="s">
        <v>9848</v>
      </c>
    </row>
    <row r="732">
      <c r="A732" s="490"/>
      <c r="B732" s="490"/>
      <c r="C732" s="490"/>
      <c r="D732" s="490" t="str">
        <f>IFERROR(__xludf.DUMMYFUNCTION("""COMPUTED_VALUE"""),"UGE")</f>
        <v>UGE</v>
      </c>
      <c r="E732" s="593" t="str">
        <f>IFERROR(__xludf.DUMMYFUNCTION("""COMPUTED_VALUE"""),"D-LINK")</f>
        <v>D-LINK</v>
      </c>
      <c r="F732" s="593" t="str">
        <f>IFERROR(__xludf.DUMMYFUNCTION("""COMPUTED_VALUE"""),"10-PORT GIGABIT SMART SWITCH")</f>
        <v>10-PORT GIGABIT SMART SWITCH</v>
      </c>
      <c r="G732" s="490"/>
      <c r="H732" s="490"/>
      <c r="I732" s="490"/>
      <c r="J732" s="588"/>
      <c r="K732" s="490"/>
      <c r="L732" s="490"/>
      <c r="M732" s="490"/>
      <c r="N732" s="490"/>
      <c r="O732" s="490"/>
      <c r="P732" s="490" t="s">
        <v>9851</v>
      </c>
    </row>
    <row r="733">
      <c r="A733" s="490"/>
      <c r="B733" s="490"/>
      <c r="C733" s="490"/>
      <c r="D733" s="490" t="str">
        <f>IFERROR(__xludf.DUMMYFUNCTION("""COMPUTED_VALUE"""),"UKG")</f>
        <v>UKG</v>
      </c>
      <c r="E733" s="593" t="str">
        <f>IFERROR(__xludf.DUMMYFUNCTION("""COMPUTED_VALUE"""),"D-LINK")</f>
        <v>D-LINK</v>
      </c>
      <c r="F733" s="593" t="str">
        <f>IFERROR(__xludf.DUMMYFUNCTION("""COMPUTED_VALUE"""),"** D-LINK DXS121012SC")</f>
        <v>** D-LINK DXS121012SC</v>
      </c>
      <c r="G733" s="490"/>
      <c r="H733" s="490"/>
      <c r="I733" s="490"/>
      <c r="J733" s="588"/>
      <c r="K733" s="490"/>
      <c r="L733" s="490"/>
      <c r="M733" s="490"/>
      <c r="N733" s="490"/>
      <c r="O733" s="490"/>
      <c r="P733" s="490" t="s">
        <v>9854</v>
      </c>
    </row>
    <row r="734">
      <c r="A734" s="490"/>
      <c r="B734" s="490"/>
      <c r="C734" s="490"/>
      <c r="D734" s="490" t="str">
        <f>IFERROR(__xludf.DUMMYFUNCTION("""COMPUTED_VALUE"""),"ULTIMAKER")</f>
        <v>ULTIMAKER</v>
      </c>
      <c r="E734" s="593" t="str">
        <f>IFERROR(__xludf.DUMMYFUNCTION("""COMPUTED_VALUE"""),"D-LINK")</f>
        <v>D-LINK</v>
      </c>
      <c r="F734" s="593" t="str">
        <f>IFERROR(__xludf.DUMMYFUNCTION("""COMPUTED_VALUE"""),"DXS-1210-12SC")</f>
        <v>DXS-1210-12SC</v>
      </c>
      <c r="G734" s="490"/>
      <c r="H734" s="490"/>
      <c r="I734" s="490"/>
      <c r="J734" s="588"/>
      <c r="K734" s="490"/>
      <c r="L734" s="490"/>
      <c r="M734" s="490"/>
      <c r="N734" s="490"/>
      <c r="O734" s="490"/>
      <c r="P734" s="490" t="s">
        <v>9857</v>
      </c>
    </row>
    <row r="735">
      <c r="A735" s="490"/>
      <c r="B735" s="490"/>
      <c r="C735" s="490"/>
      <c r="D735" s="490" t="str">
        <f>IFERROR(__xludf.DUMMYFUNCTION("""COMPUTED_VALUE"""),"UMIDIGI")</f>
        <v>UMIDIGI</v>
      </c>
      <c r="E735" s="593" t="str">
        <f>IFERROR(__xludf.DUMMYFUNCTION("""COMPUTED_VALUE"""),"D-LINK")</f>
        <v>D-LINK</v>
      </c>
      <c r="F735" s="593" t="str">
        <f>IFERROR(__xludf.DUMMYFUNCTION("""COMPUTED_VALUE"""),"** DAP-1522")</f>
        <v>** DAP-1522</v>
      </c>
      <c r="G735" s="490"/>
      <c r="H735" s="490"/>
      <c r="I735" s="490"/>
      <c r="J735" s="588"/>
      <c r="K735" s="490"/>
      <c r="L735" s="490"/>
      <c r="M735" s="490"/>
      <c r="N735" s="490"/>
      <c r="O735" s="490"/>
      <c r="P735" s="490" t="s">
        <v>9860</v>
      </c>
    </row>
    <row r="736">
      <c r="A736" s="490"/>
      <c r="B736" s="490"/>
      <c r="C736" s="490"/>
      <c r="D736" s="490" t="str">
        <f>IFERROR(__xludf.DUMMYFUNCTION("""COMPUTED_VALUE"""),"UNITED TECHNOLOGIES (UTC)")</f>
        <v>UNITED TECHNOLOGIES (UTC)</v>
      </c>
      <c r="E736" s="593" t="str">
        <f>IFERROR(__xludf.DUMMYFUNCTION("""COMPUTED_VALUE"""),"DAHUA")</f>
        <v>DAHUA</v>
      </c>
      <c r="F736" s="593" t="str">
        <f>IFERROR(__xludf.DUMMYFUNCTION("""COMPUTED_VALUE"""),"DH-PFS3110")</f>
        <v>DH-PFS3110</v>
      </c>
      <c r="G736" s="490"/>
      <c r="H736" s="490"/>
      <c r="I736" s="490"/>
      <c r="J736" s="588"/>
      <c r="K736" s="490"/>
      <c r="L736" s="490"/>
      <c r="M736" s="490"/>
      <c r="N736" s="490"/>
      <c r="O736" s="490"/>
      <c r="P736" s="490" t="s">
        <v>9863</v>
      </c>
    </row>
    <row r="737">
      <c r="A737" s="490"/>
      <c r="B737" s="490"/>
      <c r="C737" s="490"/>
      <c r="D737" s="490" t="str">
        <f>IFERROR(__xludf.DUMMYFUNCTION("""COMPUTED_VALUE"""),"UNKNOWN")</f>
        <v>UNKNOWN</v>
      </c>
      <c r="E737" s="593" t="str">
        <f>IFERROR(__xludf.DUMMYFUNCTION("""COMPUTED_VALUE"""),"DAHUA")</f>
        <v>DAHUA</v>
      </c>
      <c r="F737" s="593" t="str">
        <f>IFERROR(__xludf.DUMMYFUNCTION("""COMPUTED_VALUE"""),"DH-PFS3106-4T")</f>
        <v>DH-PFS3106-4T</v>
      </c>
      <c r="G737" s="490"/>
      <c r="H737" s="490"/>
      <c r="I737" s="490"/>
      <c r="J737" s="588"/>
      <c r="K737" s="490"/>
      <c r="L737" s="490"/>
      <c r="M737" s="490"/>
      <c r="N737" s="490"/>
      <c r="O737" s="490"/>
      <c r="P737" s="490" t="s">
        <v>9866</v>
      </c>
    </row>
    <row r="738">
      <c r="A738" s="490"/>
      <c r="B738" s="490"/>
      <c r="C738" s="490"/>
      <c r="D738" s="490" t="str">
        <f>IFERROR(__xludf.DUMMYFUNCTION("""COMPUTED_VALUE"""),"USR IOT")</f>
        <v>USR IOT</v>
      </c>
      <c r="E738" s="593" t="str">
        <f>IFERROR(__xludf.DUMMYFUNCTION("""COMPUTED_VALUE"""),"DAIKIN")</f>
        <v>DAIKIN</v>
      </c>
      <c r="F738" s="593" t="str">
        <f>IFERROR(__xludf.DUMMYFUNCTION("""COMPUTED_VALUE"""),"ARC452A6")</f>
        <v>ARC452A6</v>
      </c>
      <c r="G738" s="490"/>
      <c r="H738" s="490"/>
      <c r="I738" s="490"/>
      <c r="J738" s="588"/>
      <c r="K738" s="490"/>
      <c r="L738" s="490"/>
      <c r="M738" s="490"/>
      <c r="N738" s="490"/>
      <c r="O738" s="490"/>
      <c r="P738" s="490" t="s">
        <v>9483</v>
      </c>
    </row>
    <row r="739">
      <c r="A739" s="490"/>
      <c r="B739" s="490"/>
      <c r="C739" s="490"/>
      <c r="D739" s="490" t="str">
        <f>IFERROR(__xludf.DUMMYFUNCTION("""COMPUTED_VALUE"""),"USYSTEMS")</f>
        <v>USYSTEMS</v>
      </c>
      <c r="E739" s="593" t="str">
        <f>IFERROR(__xludf.DUMMYFUNCTION("""COMPUTED_VALUE"""),"DAIKIN")</f>
        <v>DAIKIN</v>
      </c>
      <c r="F739" s="593" t="str">
        <f>IFERROR(__xludf.DUMMYFUNCTION("""COMPUTED_VALUE"""),"DMS502B51")</f>
        <v>DMS502B51</v>
      </c>
      <c r="G739" s="490"/>
      <c r="H739" s="490"/>
      <c r="I739" s="490"/>
      <c r="J739" s="588"/>
      <c r="K739" s="490"/>
      <c r="L739" s="490"/>
      <c r="M739" s="490"/>
      <c r="N739" s="490"/>
      <c r="O739" s="490"/>
      <c r="P739" s="490" t="s">
        <v>9869</v>
      </c>
    </row>
    <row r="740">
      <c r="A740" s="490"/>
      <c r="B740" s="490"/>
      <c r="C740" s="490"/>
      <c r="D740" s="490" t="str">
        <f>IFERROR(__xludf.DUMMYFUNCTION("""COMPUTED_VALUE"""),"VAISALA")</f>
        <v>VAISALA</v>
      </c>
      <c r="E740" s="593" t="str">
        <f>IFERROR(__xludf.DUMMYFUNCTION("""COMPUTED_VALUE"""),"DAIKIN")</f>
        <v>DAIKIN</v>
      </c>
      <c r="F740" s="593" t="str">
        <f>IFERROR(__xludf.DUMMYFUNCTION("""COMPUTED_VALUE"""),"DMS502B51")</f>
        <v>DMS502B51</v>
      </c>
      <c r="G740" s="490"/>
      <c r="H740" s="490"/>
      <c r="I740" s="490"/>
      <c r="J740" s="588"/>
      <c r="K740" s="490"/>
      <c r="L740" s="490"/>
      <c r="M740" s="490"/>
      <c r="N740" s="490"/>
      <c r="O740" s="490"/>
      <c r="P740" s="490" t="s">
        <v>9872</v>
      </c>
    </row>
    <row r="741">
      <c r="A741" s="490"/>
      <c r="B741" s="490"/>
      <c r="C741" s="490"/>
      <c r="D741" s="490" t="str">
        <f>IFERROR(__xludf.DUMMYFUNCTION("""COMPUTED_VALUE"""),"VALENT")</f>
        <v>VALENT</v>
      </c>
      <c r="E741" s="593" t="str">
        <f>IFERROR(__xludf.DUMMYFUNCTION("""COMPUTED_VALUE"""),"DAIKIN")</f>
        <v>DAIKIN</v>
      </c>
      <c r="F741" s="593" t="str">
        <f>IFERROR(__xludf.DUMMYFUNCTION("""COMPUTED_VALUE"""),"DCM601A51")</f>
        <v>DCM601A51</v>
      </c>
      <c r="G741" s="490"/>
      <c r="H741" s="490"/>
      <c r="I741" s="490"/>
      <c r="J741" s="588"/>
      <c r="K741" s="490"/>
      <c r="L741" s="490"/>
      <c r="M741" s="490"/>
      <c r="N741" s="490"/>
      <c r="O741" s="490"/>
      <c r="P741" s="490" t="s">
        <v>9875</v>
      </c>
    </row>
    <row r="742">
      <c r="A742" s="490"/>
      <c r="B742" s="490"/>
      <c r="C742" s="490"/>
      <c r="D742" s="490" t="str">
        <f>IFERROR(__xludf.DUMMYFUNCTION("""COMPUTED_VALUE"""),"VANTAGE")</f>
        <v>VANTAGE</v>
      </c>
      <c r="E742" s="593" t="str">
        <f>IFERROR(__xludf.DUMMYFUNCTION("""COMPUTED_VALUE"""),"DAIKIN")</f>
        <v>DAIKIN</v>
      </c>
      <c r="F742" s="593" t="str">
        <f>IFERROR(__xludf.DUMMYFUNCTION("""COMPUTED_VALUE"""),"DMS502")</f>
        <v>DMS502</v>
      </c>
      <c r="G742" s="490"/>
      <c r="H742" s="490"/>
      <c r="I742" s="490"/>
      <c r="J742" s="588"/>
      <c r="K742" s="490"/>
      <c r="L742" s="490"/>
      <c r="M742" s="490"/>
      <c r="N742" s="490"/>
      <c r="O742" s="490"/>
      <c r="P742" s="490" t="s">
        <v>9878</v>
      </c>
    </row>
    <row r="743">
      <c r="A743" s="490"/>
      <c r="B743" s="490"/>
      <c r="C743" s="490"/>
      <c r="D743" s="490" t="str">
        <f>IFERROR(__xludf.DUMMYFUNCTION("""COMPUTED_VALUE"""),"VENDIMAN")</f>
        <v>VENDIMAN</v>
      </c>
      <c r="E743" s="593" t="str">
        <f>IFERROR(__xludf.DUMMYFUNCTION("""COMPUTED_VALUE"""),"DAIKIN")</f>
        <v>DAIKIN</v>
      </c>
      <c r="F743" s="593" t="str">
        <f>IFERROR(__xludf.DUMMYFUNCTION("""COMPUTED_VALUE"""),"DMS502B51")</f>
        <v>DMS502B51</v>
      </c>
      <c r="G743" s="490"/>
      <c r="H743" s="490"/>
      <c r="I743" s="490"/>
      <c r="J743" s="588"/>
      <c r="K743" s="490"/>
      <c r="L743" s="490"/>
      <c r="M743" s="490"/>
      <c r="N743" s="490"/>
      <c r="O743" s="490"/>
      <c r="P743" s="490" t="s">
        <v>9881</v>
      </c>
    </row>
    <row r="744">
      <c r="A744" s="490"/>
      <c r="B744" s="490"/>
      <c r="C744" s="490"/>
      <c r="D744" s="490" t="str">
        <f>IFERROR(__xludf.DUMMYFUNCTION("""COMPUTED_VALUE"""),"VENTO CONNECT")</f>
        <v>VENTO CONNECT</v>
      </c>
      <c r="E744" s="593" t="str">
        <f>IFERROR(__xludf.DUMMYFUNCTION("""COMPUTED_VALUE"""),"DAIKIN")</f>
        <v>DAIKIN</v>
      </c>
      <c r="F744" s="593" t="str">
        <f>IFERROR(__xludf.DUMMYFUNCTION("""COMPUTED_VALUE"""),"DMS502B71")</f>
        <v>DMS502B71</v>
      </c>
      <c r="G744" s="490"/>
      <c r="H744" s="490"/>
      <c r="I744" s="490"/>
      <c r="J744" s="588"/>
      <c r="K744" s="490"/>
      <c r="L744" s="490"/>
      <c r="M744" s="490"/>
      <c r="N744" s="490"/>
      <c r="O744" s="490"/>
      <c r="P744" s="490" t="s">
        <v>9884</v>
      </c>
    </row>
    <row r="745">
      <c r="A745" s="490"/>
      <c r="B745" s="490"/>
      <c r="C745" s="490"/>
      <c r="D745" s="490" t="str">
        <f>IFERROR(__xludf.DUMMYFUNCTION("""COMPUTED_VALUE"""),"VENTURER")</f>
        <v>VENTURER</v>
      </c>
      <c r="E745" s="593" t="str">
        <f>IFERROR(__xludf.DUMMYFUNCTION("""COMPUTED_VALUE"""),"DAIKIN")</f>
        <v>DAIKIN</v>
      </c>
      <c r="F745" s="593" t="str">
        <f>IFERROR(__xludf.DUMMYFUNCTION("""COMPUTED_VALUE"""),"ITOUCH CONTROLLER")</f>
        <v>ITOUCH CONTROLLER</v>
      </c>
      <c r="G745" s="490"/>
      <c r="H745" s="490"/>
      <c r="I745" s="490"/>
      <c r="J745" s="588"/>
      <c r="K745" s="490"/>
      <c r="L745" s="490"/>
      <c r="M745" s="490"/>
      <c r="N745" s="490"/>
      <c r="O745" s="490"/>
      <c r="P745" s="490" t="s">
        <v>9887</v>
      </c>
    </row>
    <row r="746">
      <c r="A746" s="490"/>
      <c r="B746" s="490"/>
      <c r="C746" s="490"/>
      <c r="D746" s="490" t="str">
        <f>IFERROR(__xludf.DUMMYFUNCTION("""COMPUTED_VALUE"""),"VERDIGRIS")</f>
        <v>VERDIGRIS</v>
      </c>
      <c r="E746" s="593" t="str">
        <f>IFERROR(__xludf.DUMMYFUNCTION("""COMPUTED_VALUE"""),"DAIKIN")</f>
        <v>DAIKIN</v>
      </c>
      <c r="F746" s="593" t="str">
        <f>IFERROR(__xludf.DUMMYFUNCTION("""COMPUTED_VALUE"""),"ITOUCH MANAGER")</f>
        <v>ITOUCH MANAGER</v>
      </c>
      <c r="G746" s="490"/>
      <c r="H746" s="490"/>
      <c r="I746" s="490"/>
      <c r="J746" s="588"/>
      <c r="K746" s="490"/>
      <c r="L746" s="490"/>
      <c r="M746" s="490"/>
      <c r="N746" s="490"/>
      <c r="O746" s="490"/>
      <c r="P746" s="490" t="s">
        <v>9890</v>
      </c>
    </row>
    <row r="747">
      <c r="A747" s="490"/>
      <c r="B747" s="490"/>
      <c r="C747" s="490"/>
      <c r="D747" s="490" t="str">
        <f>IFERROR(__xludf.DUMMYFUNCTION("""COMPUTED_VALUE"""),"VERIS")</f>
        <v>VERIS</v>
      </c>
      <c r="E747" s="593" t="str">
        <f>IFERROR(__xludf.DUMMYFUNCTION("""COMPUTED_VALUE"""),"DAIKIN")</f>
        <v>DAIKIN</v>
      </c>
      <c r="F747" s="593" t="str">
        <f>IFERROR(__xludf.DUMMYFUNCTION("""COMPUTED_VALUE"""),"ITOUCH MONITOR")</f>
        <v>ITOUCH MONITOR</v>
      </c>
      <c r="G747" s="490"/>
      <c r="H747" s="490"/>
      <c r="I747" s="490"/>
      <c r="J747" s="588"/>
      <c r="K747" s="490"/>
      <c r="L747" s="490"/>
      <c r="M747" s="490"/>
      <c r="N747" s="490"/>
      <c r="O747" s="490"/>
      <c r="P747" s="490" t="s">
        <v>9893</v>
      </c>
    </row>
    <row r="748">
      <c r="A748" s="490"/>
      <c r="B748" s="490"/>
      <c r="C748" s="490"/>
      <c r="D748" s="490" t="str">
        <f>IFERROR(__xludf.DUMMYFUNCTION("""COMPUTED_VALUE"""),"VERIS INDUSTRIES")</f>
        <v>VERIS INDUSTRIES</v>
      </c>
      <c r="E748" s="593" t="str">
        <f>IFERROR(__xludf.DUMMYFUNCTION("""COMPUTED_VALUE"""),"DAIKIN")</f>
        <v>DAIKIN</v>
      </c>
      <c r="F748" s="593" t="str">
        <f>IFERROR(__xludf.DUMMYFUNCTION("""COMPUTED_VALUE"""),"MASTERSTATION III DBACS")</f>
        <v>MASTERSTATION III DBACS</v>
      </c>
      <c r="G748" s="490"/>
      <c r="H748" s="490"/>
      <c r="I748" s="490"/>
      <c r="J748" s="588"/>
      <c r="K748" s="490"/>
      <c r="L748" s="490"/>
      <c r="M748" s="490"/>
      <c r="N748" s="490"/>
      <c r="O748" s="490"/>
      <c r="P748" s="490" t="s">
        <v>9896</v>
      </c>
    </row>
    <row r="749">
      <c r="A749" s="490"/>
      <c r="B749" s="490"/>
      <c r="C749" s="490"/>
      <c r="D749" s="490" t="str">
        <f>IFERROR(__xludf.DUMMYFUNCTION("""COMPUTED_VALUE"""),"VERIZON")</f>
        <v>VERIZON</v>
      </c>
      <c r="E749" s="593" t="str">
        <f>IFERROR(__xludf.DUMMYFUNCTION("""COMPUTED_VALUE"""),"DAIKIN")</f>
        <v>DAIKIN</v>
      </c>
      <c r="F749" s="593" t="str">
        <f>IFERROR(__xludf.DUMMYFUNCTION("""COMPUTED_VALUE"""),"NOT VERIFIED")</f>
        <v>NOT VERIFIED</v>
      </c>
      <c r="G749" s="490"/>
      <c r="H749" s="490"/>
      <c r="I749" s="490"/>
      <c r="J749" s="588"/>
      <c r="K749" s="490"/>
      <c r="L749" s="490"/>
      <c r="M749" s="490"/>
      <c r="N749" s="490"/>
      <c r="O749" s="490"/>
      <c r="P749" s="490" t="s">
        <v>9486</v>
      </c>
    </row>
    <row r="750">
      <c r="A750" s="490"/>
      <c r="B750" s="490"/>
      <c r="C750" s="490"/>
      <c r="D750" s="490" t="str">
        <f>IFERROR(__xludf.DUMMYFUNCTION("""COMPUTED_VALUE"""),"VERTIV")</f>
        <v>VERTIV</v>
      </c>
      <c r="E750" s="593" t="str">
        <f>IFERROR(__xludf.DUMMYFUNCTION("""COMPUTED_VALUE"""),"DAIKIN")</f>
        <v>DAIKIN</v>
      </c>
      <c r="F750" s="593" t="str">
        <f>IFERROR(__xludf.DUMMYFUNCTION("""COMPUTED_VALUE"""),"DCM 601 A71")</f>
        <v>DCM 601 A71</v>
      </c>
      <c r="G750" s="490"/>
      <c r="H750" s="490"/>
      <c r="I750" s="490"/>
      <c r="J750" s="588"/>
      <c r="K750" s="490"/>
      <c r="L750" s="490"/>
      <c r="M750" s="490"/>
      <c r="N750" s="490"/>
      <c r="O750" s="490"/>
      <c r="P750" s="490" t="s">
        <v>9900</v>
      </c>
    </row>
    <row r="751">
      <c r="A751" s="490"/>
      <c r="B751" s="490"/>
      <c r="C751" s="490"/>
      <c r="D751" s="490" t="str">
        <f>IFERROR(__xludf.DUMMYFUNCTION("""COMPUTED_VALUE"""),"VIABOT")</f>
        <v>VIABOT</v>
      </c>
      <c r="E751" s="593" t="str">
        <f>IFERROR(__xludf.DUMMYFUNCTION("""COMPUTED_VALUE"""),"DAIKIN")</f>
        <v>DAIKIN</v>
      </c>
      <c r="F751" s="593" t="str">
        <f>IFERROR(__xludf.DUMMYFUNCTION("""COMPUTED_VALUE"""),"DCS601C51")</f>
        <v>DCS601C51</v>
      </c>
      <c r="G751" s="490"/>
      <c r="H751" s="490"/>
      <c r="I751" s="490"/>
      <c r="J751" s="588"/>
      <c r="K751" s="490"/>
      <c r="L751" s="490"/>
      <c r="M751" s="490"/>
      <c r="N751" s="490"/>
      <c r="O751" s="490"/>
      <c r="P751" s="490" t="s">
        <v>9903</v>
      </c>
    </row>
    <row r="752">
      <c r="A752" s="490"/>
      <c r="B752" s="490"/>
      <c r="C752" s="490"/>
      <c r="D752" s="490" t="str">
        <f>IFERROR(__xludf.DUMMYFUNCTION("""COMPUTED_VALUE"""),"VIEW INC")</f>
        <v>VIEW INC</v>
      </c>
      <c r="E752" s="593" t="str">
        <f>IFERROR(__xludf.DUMMYFUNCTION("""COMPUTED_VALUE"""),"DAIKIN")</f>
        <v>DAIKIN</v>
      </c>
      <c r="F752" s="593" t="str">
        <f>IFERROR(__xludf.DUMMYFUNCTION("""COMPUTED_VALUE"""),"DTA116A51")</f>
        <v>DTA116A51</v>
      </c>
      <c r="G752" s="490"/>
      <c r="H752" s="490"/>
      <c r="I752" s="490"/>
      <c r="J752" s="588"/>
      <c r="K752" s="490"/>
      <c r="L752" s="490"/>
      <c r="M752" s="490"/>
      <c r="N752" s="490"/>
      <c r="O752" s="490"/>
      <c r="P752" s="490" t="s">
        <v>9906</v>
      </c>
    </row>
    <row r="753">
      <c r="A753" s="490"/>
      <c r="B753" s="490"/>
      <c r="C753" s="490"/>
      <c r="D753" s="490" t="str">
        <f>IFERROR(__xludf.DUMMYFUNCTION("""COMPUTED_VALUE"""),"VIEW SONIC")</f>
        <v>VIEW SONIC</v>
      </c>
      <c r="E753" s="593" t="str">
        <f>IFERROR(__xludf.DUMMYFUNCTION("""COMPUTED_VALUE"""),"DAIKIN")</f>
        <v>DAIKIN</v>
      </c>
      <c r="F753" s="593" t="str">
        <f>IFERROR(__xludf.DUMMYFUNCTION("""COMPUTED_VALUE"""),"FXAQ24PVJU")</f>
        <v>FXAQ24PVJU</v>
      </c>
      <c r="G753" s="490"/>
      <c r="H753" s="490"/>
      <c r="I753" s="490"/>
      <c r="J753" s="588"/>
      <c r="K753" s="490"/>
      <c r="L753" s="490"/>
      <c r="M753" s="490"/>
      <c r="N753" s="490"/>
      <c r="O753" s="490"/>
      <c r="P753" s="490" t="s">
        <v>9910</v>
      </c>
    </row>
    <row r="754">
      <c r="A754" s="490"/>
      <c r="B754" s="490"/>
      <c r="C754" s="490"/>
      <c r="D754" s="490" t="str">
        <f>IFERROR(__xludf.DUMMYFUNCTION("""COMPUTED_VALUE"""),"VIGILANCE")</f>
        <v>VIGILANCE</v>
      </c>
      <c r="E754" s="593" t="str">
        <f>IFERROR(__xludf.DUMMYFUNCTION("""COMPUTED_VALUE"""),"DAIKIN")</f>
        <v>DAIKIN</v>
      </c>
      <c r="F754" s="593" t="str">
        <f>IFERROR(__xludf.DUMMYFUNCTION("""COMPUTED_VALUE"""),"FXMQ72MVJU")</f>
        <v>FXMQ72MVJU</v>
      </c>
      <c r="G754" s="490"/>
      <c r="H754" s="490"/>
      <c r="I754" s="490"/>
      <c r="J754" s="588"/>
      <c r="K754" s="490"/>
      <c r="L754" s="490"/>
      <c r="M754" s="490"/>
      <c r="N754" s="490"/>
      <c r="O754" s="490"/>
      <c r="P754" s="490" t="s">
        <v>9913</v>
      </c>
    </row>
    <row r="755">
      <c r="A755" s="490"/>
      <c r="B755" s="490"/>
      <c r="C755" s="490"/>
      <c r="D755" s="490" t="str">
        <f>IFERROR(__xludf.DUMMYFUNCTION("""COMPUTED_VALUE"""),"VIRRY")</f>
        <v>VIRRY</v>
      </c>
      <c r="E755" s="593" t="str">
        <f>IFERROR(__xludf.DUMMYFUNCTION("""COMPUTED_VALUE"""),"DAIKIN")</f>
        <v>DAIKIN</v>
      </c>
      <c r="F755" s="593" t="str">
        <f>IFERROR(__xludf.DUMMYFUNCTION("""COMPUTED_VALUE"""),"FWW200VC")</f>
        <v>FWW200VC</v>
      </c>
      <c r="G755" s="490"/>
      <c r="H755" s="490"/>
      <c r="I755" s="490"/>
      <c r="J755" s="588"/>
      <c r="K755" s="490"/>
      <c r="L755" s="490"/>
      <c r="M755" s="490"/>
      <c r="N755" s="490"/>
      <c r="O755" s="490"/>
      <c r="P755" s="490" t="s">
        <v>9916</v>
      </c>
    </row>
    <row r="756">
      <c r="A756" s="490"/>
      <c r="B756" s="490"/>
      <c r="C756" s="490"/>
      <c r="D756" s="490" t="str">
        <f>IFERROR(__xludf.DUMMYFUNCTION("""COMPUTED_VALUE"""),"VISAM")</f>
        <v>VISAM</v>
      </c>
      <c r="E756" s="593" t="str">
        <f>IFERROR(__xludf.DUMMYFUNCTION("""COMPUTED_VALUE"""),"DAIKIN")</f>
        <v>DAIKIN</v>
      </c>
      <c r="F756" s="593" t="str">
        <f>IFERROR(__xludf.DUMMYFUNCTION("""COMPUTED_VALUE"""),"FWW400VC")</f>
        <v>FWW400VC</v>
      </c>
      <c r="G756" s="490"/>
      <c r="H756" s="490"/>
      <c r="I756" s="490"/>
      <c r="J756" s="588"/>
      <c r="K756" s="490"/>
      <c r="L756" s="490"/>
      <c r="M756" s="490"/>
      <c r="N756" s="490"/>
      <c r="O756" s="490"/>
      <c r="P756" s="490" t="s">
        <v>9919</v>
      </c>
    </row>
    <row r="757">
      <c r="A757" s="490"/>
      <c r="B757" s="490"/>
      <c r="C757" s="490"/>
      <c r="D757" s="490" t="str">
        <f>IFERROR(__xludf.DUMMYFUNCTION("""COMPUTED_VALUE"""),"VIVREAU")</f>
        <v>VIVREAU</v>
      </c>
      <c r="E757" s="593" t="str">
        <f>IFERROR(__xludf.DUMMYFUNCTION("""COMPUTED_VALUE"""),"DAIKIN")</f>
        <v>DAIKIN</v>
      </c>
      <c r="F757" s="593" t="str">
        <f>IFERROR(__xludf.DUMMYFUNCTION("""COMPUTED_VALUE"""),"FWW300VC")</f>
        <v>FWW300VC</v>
      </c>
      <c r="G757" s="490"/>
      <c r="H757" s="490"/>
      <c r="I757" s="490"/>
      <c r="J757" s="588"/>
      <c r="K757" s="490"/>
      <c r="L757" s="490"/>
      <c r="M757" s="490"/>
      <c r="N757" s="490"/>
      <c r="O757" s="490"/>
      <c r="P757" s="490" t="s">
        <v>9922</v>
      </c>
    </row>
    <row r="758">
      <c r="A758" s="490"/>
      <c r="B758" s="490"/>
      <c r="C758" s="490"/>
      <c r="D758" s="490" t="str">
        <f>IFERROR(__xludf.DUMMYFUNCTION("""COMPUTED_VALUE"""),"VIZIO")</f>
        <v>VIZIO</v>
      </c>
      <c r="E758" s="593" t="str">
        <f>IFERROR(__xludf.DUMMYFUNCTION("""COMPUTED_VALUE"""),"DAIKIN")</f>
        <v>DAIKIN</v>
      </c>
      <c r="F758" s="593" t="str">
        <f>IFERROR(__xludf.DUMMYFUNCTION("""COMPUTED_VALUE"""),"FWW800VC")</f>
        <v>FWW800VC</v>
      </c>
      <c r="G758" s="490"/>
      <c r="H758" s="490"/>
      <c r="I758" s="490"/>
      <c r="J758" s="588"/>
      <c r="K758" s="490"/>
      <c r="L758" s="490"/>
      <c r="M758" s="490"/>
      <c r="N758" s="490"/>
      <c r="O758" s="490"/>
      <c r="P758" s="490" t="s">
        <v>9925</v>
      </c>
    </row>
    <row r="759">
      <c r="A759" s="490"/>
      <c r="B759" s="490"/>
      <c r="C759" s="490"/>
      <c r="D759" s="490" t="str">
        <f>IFERROR(__xludf.DUMMYFUNCTION("""COMPUTED_VALUE"""),"VKI")</f>
        <v>VKI</v>
      </c>
      <c r="E759" s="593" t="str">
        <f>IFERROR(__xludf.DUMMYFUNCTION("""COMPUTED_VALUE"""),"DAIKIN")</f>
        <v>DAIKIN</v>
      </c>
      <c r="F759" s="593" t="str">
        <f>IFERROR(__xludf.DUMMYFUNCTION("""COMPUTED_VALUE"""),"FWW600VC")</f>
        <v>FWW600VC</v>
      </c>
      <c r="G759" s="490"/>
      <c r="H759" s="490"/>
      <c r="I759" s="490"/>
      <c r="J759" s="588"/>
      <c r="K759" s="490"/>
      <c r="L759" s="490"/>
      <c r="M759" s="490"/>
      <c r="N759" s="490"/>
      <c r="O759" s="490"/>
      <c r="P759" s="490" t="s">
        <v>9928</v>
      </c>
    </row>
    <row r="760">
      <c r="A760" s="490"/>
      <c r="B760" s="490"/>
      <c r="C760" s="490"/>
      <c r="D760" s="490" t="str">
        <f>IFERROR(__xludf.DUMMYFUNCTION("""COMPUTED_VALUE"""),"VSI")</f>
        <v>VSI</v>
      </c>
      <c r="E760" s="593" t="str">
        <f>IFERROR(__xludf.DUMMYFUNCTION("""COMPUTED_VALUE"""),"DAIKIN")</f>
        <v>DAIKIN</v>
      </c>
      <c r="F760" s="593" t="str">
        <f>IFERROR(__xludf.DUMMYFUNCTION("""COMPUTED_VALUE"""),"RXYQ16PRY6")</f>
        <v>RXYQ16PRY6</v>
      </c>
      <c r="G760" s="490"/>
      <c r="H760" s="490"/>
      <c r="I760" s="490"/>
      <c r="J760" s="588"/>
      <c r="K760" s="490"/>
      <c r="L760" s="490"/>
      <c r="M760" s="490"/>
      <c r="N760" s="490"/>
      <c r="O760" s="490"/>
      <c r="P760" s="490" t="s">
        <v>9489</v>
      </c>
    </row>
    <row r="761">
      <c r="A761" s="490"/>
      <c r="B761" s="490"/>
      <c r="C761" s="490"/>
      <c r="D761" s="490" t="str">
        <f>IFERROR(__xludf.DUMMYFUNCTION("""COMPUTED_VALUE"""),"VYKON")</f>
        <v>VYKON</v>
      </c>
      <c r="E761" s="593" t="str">
        <f>IFERROR(__xludf.DUMMYFUNCTION("""COMPUTED_VALUE"""),"DAIKIN")</f>
        <v>DAIKIN</v>
      </c>
      <c r="F761" s="593" t="str">
        <f>IFERROR(__xludf.DUMMYFUNCTION("""COMPUTED_VALUE"""),"RXYQ14PRY6")</f>
        <v>RXYQ14PRY6</v>
      </c>
      <c r="G761" s="490"/>
      <c r="H761" s="490"/>
      <c r="I761" s="490"/>
      <c r="J761" s="588"/>
      <c r="K761" s="490"/>
      <c r="L761" s="490"/>
      <c r="M761" s="490"/>
      <c r="N761" s="490"/>
      <c r="O761" s="490"/>
      <c r="P761" s="490" t="s">
        <v>9931</v>
      </c>
    </row>
    <row r="762">
      <c r="A762" s="490"/>
      <c r="B762" s="490"/>
      <c r="C762" s="490"/>
      <c r="D762" s="490" t="str">
        <f>IFERROR(__xludf.DUMMYFUNCTION("""COMPUTED_VALUE"""),"WAGO")</f>
        <v>WAGO</v>
      </c>
      <c r="E762" s="593" t="str">
        <f>IFERROR(__xludf.DUMMYFUNCTION("""COMPUTED_VALUE"""),"DAIKIN")</f>
        <v>DAIKIN</v>
      </c>
      <c r="F762" s="593" t="str">
        <f>IFERROR(__xludf.DUMMYFUNCTION("""COMPUTED_VALUE"""),"FXMQ48PBVJU")</f>
        <v>FXMQ48PBVJU</v>
      </c>
      <c r="G762" s="490"/>
      <c r="H762" s="490"/>
      <c r="I762" s="490"/>
      <c r="J762" s="588"/>
      <c r="K762" s="490"/>
      <c r="L762" s="490"/>
      <c r="M762" s="490"/>
      <c r="N762" s="490"/>
      <c r="O762" s="490"/>
      <c r="P762" s="490" t="s">
        <v>9934</v>
      </c>
    </row>
    <row r="763">
      <c r="A763" s="490"/>
      <c r="B763" s="490"/>
      <c r="C763" s="490"/>
      <c r="D763" s="490" t="str">
        <f>IFERROR(__xludf.DUMMYFUNCTION("""COMPUTED_VALUE"""),"WALCHEM")</f>
        <v>WALCHEM</v>
      </c>
      <c r="E763" s="593" t="str">
        <f>IFERROR(__xludf.DUMMYFUNCTION("""COMPUTED_VALUE"""),"DAIKIN")</f>
        <v>DAIKIN</v>
      </c>
      <c r="F763" s="593" t="str">
        <f>IFERROR(__xludf.DUMMYFUNCTION("""COMPUTED_VALUE"""),"DKN PLUS INTERFACE")</f>
        <v>DKN PLUS INTERFACE</v>
      </c>
      <c r="G763" s="490"/>
      <c r="H763" s="490"/>
      <c r="I763" s="490"/>
      <c r="J763" s="588"/>
      <c r="K763" s="490"/>
      <c r="L763" s="490"/>
      <c r="M763" s="490"/>
      <c r="N763" s="490"/>
      <c r="O763" s="490"/>
      <c r="P763" s="490" t="s">
        <v>9937</v>
      </c>
    </row>
    <row r="764">
      <c r="A764" s="490"/>
      <c r="B764" s="490"/>
      <c r="C764" s="490"/>
      <c r="D764" s="490" t="str">
        <f>IFERROR(__xludf.DUMMYFUNCTION("""COMPUTED_VALUE"""),"WATTBIKE")</f>
        <v>WATTBIKE</v>
      </c>
      <c r="E764" s="593" t="str">
        <f>IFERROR(__xludf.DUMMYFUNCTION("""COMPUTED_VALUE"""),"DAIKIN")</f>
        <v>DAIKIN</v>
      </c>
      <c r="F764" s="593" t="str">
        <f>IFERROR(__xludf.DUMMYFUNCTION("""COMPUTED_VALUE"""),"WCCW5036")</f>
        <v>WCCW5036</v>
      </c>
      <c r="G764" s="490"/>
      <c r="H764" s="490"/>
      <c r="I764" s="490"/>
      <c r="J764" s="588"/>
      <c r="K764" s="490"/>
      <c r="L764" s="490"/>
      <c r="M764" s="490"/>
      <c r="N764" s="490"/>
      <c r="O764" s="490"/>
      <c r="P764" s="490" t="s">
        <v>9940</v>
      </c>
    </row>
    <row r="765">
      <c r="A765" s="490"/>
      <c r="B765" s="490"/>
      <c r="C765" s="490"/>
      <c r="D765" s="490" t="str">
        <f>IFERROR(__xludf.DUMMYFUNCTION("""COMPUTED_VALUE"""),"WATTMASTER CONTROLS")</f>
        <v>WATTMASTER CONTROLS</v>
      </c>
      <c r="E765" s="593" t="str">
        <f>IFERROR(__xludf.DUMMYFUNCTION("""COMPUTED_VALUE"""),"DAIKIN")</f>
        <v>DAIKIN</v>
      </c>
      <c r="F765" s="593" t="str">
        <f>IFERROR(__xludf.DUMMYFUNCTION("""COMPUTED_VALUE"""),"RXYQ12PRY6")</f>
        <v>RXYQ12PRY6</v>
      </c>
      <c r="G765" s="490"/>
      <c r="H765" s="490"/>
      <c r="I765" s="490"/>
      <c r="J765" s="588"/>
      <c r="K765" s="490"/>
      <c r="L765" s="490"/>
      <c r="M765" s="490"/>
      <c r="N765" s="490"/>
      <c r="O765" s="490"/>
      <c r="P765" s="490" t="s">
        <v>9943</v>
      </c>
    </row>
    <row r="766">
      <c r="A766" s="490"/>
      <c r="B766" s="490"/>
      <c r="C766" s="490"/>
      <c r="D766" s="490" t="str">
        <f>IFERROR(__xludf.DUMMYFUNCTION("""COMPUTED_VALUE"""),"WATTSTOPPER")</f>
        <v>WATTSTOPPER</v>
      </c>
      <c r="E766" s="593" t="str">
        <f>IFERROR(__xludf.DUMMYFUNCTION("""COMPUTED_VALUE"""),"DAIKIN")</f>
        <v>DAIKIN</v>
      </c>
      <c r="F766" s="593" t="str">
        <f>IFERROR(__xludf.DUMMYFUNCTION("""COMPUTED_VALUE"""),"RXYQ10PRY6")</f>
        <v>RXYQ10PRY6</v>
      </c>
      <c r="G766" s="490"/>
      <c r="H766" s="490"/>
      <c r="I766" s="490"/>
      <c r="J766" s="588"/>
      <c r="K766" s="490"/>
      <c r="L766" s="490"/>
      <c r="M766" s="490"/>
      <c r="N766" s="490"/>
      <c r="O766" s="490"/>
      <c r="P766" s="490" t="s">
        <v>9946</v>
      </c>
    </row>
    <row r="767">
      <c r="A767" s="490"/>
      <c r="B767" s="490"/>
      <c r="C767" s="490"/>
      <c r="D767" s="490" t="str">
        <f>IFERROR(__xludf.DUMMYFUNCTION("""COMPUTED_VALUE"""),"WEATHERMATIC")</f>
        <v>WEATHERMATIC</v>
      </c>
      <c r="E767" s="593" t="str">
        <f>IFERROR(__xludf.DUMMYFUNCTION("""COMPUTED_VALUE"""),"DAIKIN")</f>
        <v>DAIKIN</v>
      </c>
      <c r="F767" s="593" t="str">
        <f>IFERROR(__xludf.DUMMYFUNCTION("""COMPUTED_VALUE"""),"RSUQ4AVM")</f>
        <v>RSUQ4AVM</v>
      </c>
      <c r="G767" s="490"/>
      <c r="H767" s="490"/>
      <c r="I767" s="490"/>
      <c r="J767" s="588"/>
      <c r="K767" s="490"/>
      <c r="L767" s="490"/>
      <c r="M767" s="490"/>
      <c r="N767" s="490"/>
      <c r="O767" s="490"/>
      <c r="P767" s="490" t="s">
        <v>9949</v>
      </c>
    </row>
    <row r="768">
      <c r="A768" s="490"/>
      <c r="B768" s="490"/>
      <c r="C768" s="490"/>
      <c r="D768" s="490" t="str">
        <f>IFERROR(__xludf.DUMMYFUNCTION("""COMPUTED_VALUE"""),"WEATHERTRAK")</f>
        <v>WEATHERTRAK</v>
      </c>
      <c r="E768" s="593" t="str">
        <f>IFERROR(__xludf.DUMMYFUNCTION("""COMPUTED_VALUE"""),"DAIKIN")</f>
        <v>DAIKIN</v>
      </c>
      <c r="F768" s="593" t="str">
        <f>IFERROR(__xludf.DUMMYFUNCTION("""COMPUTED_VALUE"""),"FXFQ50AVM")</f>
        <v>FXFQ50AVM</v>
      </c>
      <c r="G768" s="490"/>
      <c r="H768" s="490"/>
      <c r="I768" s="490"/>
      <c r="J768" s="588"/>
      <c r="K768" s="490"/>
      <c r="L768" s="490"/>
      <c r="M768" s="490"/>
      <c r="N768" s="490"/>
      <c r="O768" s="490"/>
      <c r="P768" s="490" t="s">
        <v>9952</v>
      </c>
    </row>
    <row r="769">
      <c r="A769" s="490"/>
      <c r="B769" s="490"/>
      <c r="C769" s="490"/>
      <c r="D769" s="490" t="str">
        <f>IFERROR(__xludf.DUMMYFUNCTION("""COMPUTED_VALUE"""),"WEBCTRL")</f>
        <v>WEBCTRL</v>
      </c>
      <c r="E769" s="593" t="str">
        <f>IFERROR(__xludf.DUMMYFUNCTION("""COMPUTED_VALUE"""),"DAIKIN")</f>
        <v>DAIKIN</v>
      </c>
      <c r="F769" s="593" t="str">
        <f>IFERROR(__xludf.DUMMYFUNCTION("""COMPUTED_VALUE"""),"FXMQ100PAVE")</f>
        <v>FXMQ100PAVE</v>
      </c>
      <c r="G769" s="490"/>
      <c r="H769" s="490"/>
      <c r="I769" s="490"/>
      <c r="J769" s="588"/>
      <c r="K769" s="490"/>
      <c r="L769" s="490"/>
      <c r="M769" s="490"/>
      <c r="N769" s="490"/>
      <c r="O769" s="490"/>
      <c r="P769" s="490" t="s">
        <v>9956</v>
      </c>
    </row>
    <row r="770">
      <c r="A770" s="490"/>
      <c r="B770" s="490"/>
      <c r="C770" s="490"/>
      <c r="D770" s="490" t="str">
        <f>IFERROR(__xludf.DUMMYFUNCTION("""COMPUTED_VALUE"""),"WEGOT")</f>
        <v>WEGOT</v>
      </c>
      <c r="E770" s="593" t="str">
        <f>IFERROR(__xludf.DUMMYFUNCTION("""COMPUTED_VALUE"""),"DAIKIN")</f>
        <v>DAIKIN</v>
      </c>
      <c r="F770" s="593" t="str">
        <f>IFERROR(__xludf.DUMMYFUNCTION("""COMPUTED_VALUE"""),"FCFC60AV1MF")</f>
        <v>FCFC60AV1MF</v>
      </c>
      <c r="G770" s="490"/>
      <c r="H770" s="490"/>
      <c r="I770" s="490"/>
      <c r="J770" s="588"/>
      <c r="K770" s="490"/>
      <c r="L770" s="490"/>
      <c r="M770" s="490"/>
      <c r="N770" s="490"/>
      <c r="O770" s="490"/>
      <c r="P770" s="490" t="s">
        <v>9959</v>
      </c>
    </row>
    <row r="771">
      <c r="A771" s="490"/>
      <c r="B771" s="490"/>
      <c r="C771" s="490"/>
      <c r="D771" s="490" t="str">
        <f>IFERROR(__xludf.DUMMYFUNCTION("""COMPUTED_VALUE"""),"WEIDMUELLER")</f>
        <v>WEIDMUELLER</v>
      </c>
      <c r="E771" s="593" t="str">
        <f>IFERROR(__xludf.DUMMYFUNCTION("""COMPUTED_VALUE"""),"DAIKIN")</f>
        <v>DAIKIN</v>
      </c>
      <c r="F771" s="593" t="str">
        <f>IFERROR(__xludf.DUMMYFUNCTION("""COMPUTED_VALUE"""),"FXMQ-NVE")</f>
        <v>FXMQ-NVE</v>
      </c>
      <c r="G771" s="490"/>
      <c r="H771" s="490"/>
      <c r="I771" s="490"/>
      <c r="J771" s="588"/>
      <c r="K771" s="490"/>
      <c r="L771" s="490"/>
      <c r="M771" s="490"/>
      <c r="N771" s="490"/>
      <c r="O771" s="490"/>
      <c r="P771" s="490" t="s">
        <v>9492</v>
      </c>
    </row>
    <row r="772">
      <c r="A772" s="490"/>
      <c r="B772" s="490"/>
      <c r="C772" s="490"/>
      <c r="D772" s="490" t="str">
        <f>IFERROR(__xludf.DUMMYFUNCTION("""COMPUTED_VALUE"""),"WEIDMULLER")</f>
        <v>WEIDMULLER</v>
      </c>
      <c r="E772" s="593" t="str">
        <f>IFERROR(__xludf.DUMMYFUNCTION("""COMPUTED_VALUE"""),"DAIKIN")</f>
        <v>DAIKIN</v>
      </c>
      <c r="F772" s="593" t="str">
        <f>IFERROR(__xludf.DUMMYFUNCTION("""COMPUTED_VALUE"""),"RXQ10ARY6")</f>
        <v>RXQ10ARY6</v>
      </c>
      <c r="G772" s="490"/>
      <c r="H772" s="490"/>
      <c r="I772" s="490"/>
      <c r="J772" s="588"/>
      <c r="K772" s="490"/>
      <c r="L772" s="490"/>
      <c r="M772" s="490"/>
      <c r="N772" s="490"/>
      <c r="O772" s="490"/>
      <c r="P772" s="490" t="s">
        <v>9962</v>
      </c>
    </row>
    <row r="773">
      <c r="A773" s="490"/>
      <c r="B773" s="490"/>
      <c r="C773" s="490"/>
      <c r="D773" s="490" t="str">
        <f>IFERROR(__xludf.DUMMYFUNCTION("""COMPUTED_VALUE"""),"WEINTEK")</f>
        <v>WEINTEK</v>
      </c>
      <c r="E773" s="593" t="str">
        <f>IFERROR(__xludf.DUMMYFUNCTION("""COMPUTED_VALUE"""),"DAIKIN")</f>
        <v>DAIKIN</v>
      </c>
      <c r="F773" s="593" t="str">
        <f>IFERROR(__xludf.DUMMYFUNCTION("""COMPUTED_VALUE"""),"MINI CHILLER")</f>
        <v>MINI CHILLER</v>
      </c>
      <c r="G773" s="490"/>
      <c r="H773" s="490"/>
      <c r="I773" s="490"/>
      <c r="J773" s="588"/>
      <c r="K773" s="490"/>
      <c r="L773" s="490"/>
      <c r="M773" s="490"/>
      <c r="N773" s="490"/>
      <c r="O773" s="490"/>
      <c r="P773" s="490" t="s">
        <v>9965</v>
      </c>
    </row>
    <row r="774">
      <c r="A774" s="490"/>
      <c r="B774" s="490"/>
      <c r="C774" s="490"/>
      <c r="D774" s="490" t="str">
        <f>IFERROR(__xludf.DUMMYFUNCTION("""COMPUTED_VALUE"""),"WEINZIERL")</f>
        <v>WEINZIERL</v>
      </c>
      <c r="E774" s="593" t="str">
        <f>IFERROR(__xludf.DUMMYFUNCTION("""COMPUTED_VALUE"""),"DAIKIN")</f>
        <v>DAIKIN</v>
      </c>
      <c r="F774" s="593" t="str">
        <f>IFERROR(__xludf.DUMMYFUNCTION("""COMPUTED_VALUE"""),"POLARA 3.0T IDU")</f>
        <v>POLARA 3.0T IDU</v>
      </c>
      <c r="G774" s="490"/>
      <c r="H774" s="490"/>
      <c r="I774" s="490"/>
      <c r="J774" s="588"/>
      <c r="K774" s="490"/>
      <c r="L774" s="490"/>
      <c r="M774" s="490"/>
      <c r="N774" s="490"/>
      <c r="O774" s="490"/>
      <c r="P774" s="490" t="s">
        <v>9968</v>
      </c>
    </row>
    <row r="775">
      <c r="A775" s="490"/>
      <c r="B775" s="490"/>
      <c r="C775" s="490"/>
      <c r="D775" s="490" t="str">
        <f>IFERROR(__xludf.DUMMYFUNCTION("""COMPUTED_VALUE"""),"WESTELL")</f>
        <v>WESTELL</v>
      </c>
      <c r="E775" s="593" t="str">
        <f>IFERROR(__xludf.DUMMYFUNCTION("""COMPUTED_VALUE"""),"DAIKIN")</f>
        <v>DAIKIN</v>
      </c>
      <c r="F775" s="593" t="str">
        <f>IFERROR(__xludf.DUMMYFUNCTION("""COMPUTED_VALUE"""),"FXFSQ100ARV16")</f>
        <v>FXFSQ100ARV16</v>
      </c>
      <c r="G775" s="490"/>
      <c r="H775" s="490"/>
      <c r="I775" s="490"/>
      <c r="J775" s="588"/>
      <c r="K775" s="490"/>
      <c r="L775" s="490"/>
      <c r="M775" s="490"/>
      <c r="N775" s="490"/>
      <c r="O775" s="490"/>
      <c r="P775" s="490" t="s">
        <v>9971</v>
      </c>
    </row>
    <row r="776">
      <c r="A776" s="490"/>
      <c r="B776" s="490"/>
      <c r="C776" s="490"/>
      <c r="D776" s="490" t="str">
        <f>IFERROR(__xludf.DUMMYFUNCTION("""COMPUTED_VALUE"""),"WESTERMO")</f>
        <v>WESTERMO</v>
      </c>
      <c r="E776" s="593" t="str">
        <f>IFERROR(__xludf.DUMMYFUNCTION("""COMPUTED_VALUE"""),"DAIKIN")</f>
        <v>DAIKIN</v>
      </c>
      <c r="F776" s="593" t="str">
        <f>IFERROR(__xludf.DUMMYFUNCTION("""COMPUTED_VALUE"""),"FXFSQ125ARV16")</f>
        <v>FXFSQ125ARV16</v>
      </c>
      <c r="G776" s="490"/>
      <c r="H776" s="490"/>
      <c r="I776" s="490"/>
      <c r="J776" s="588"/>
      <c r="K776" s="490"/>
      <c r="L776" s="490"/>
      <c r="M776" s="490"/>
      <c r="N776" s="490"/>
      <c r="O776" s="490"/>
      <c r="P776" s="490" t="s">
        <v>9975</v>
      </c>
    </row>
    <row r="777">
      <c r="A777" s="490"/>
      <c r="B777" s="490"/>
      <c r="C777" s="490"/>
      <c r="D777" s="490" t="str">
        <f>IFERROR(__xludf.DUMMYFUNCTION("""COMPUTED_VALUE"""),"WETEK")</f>
        <v>WETEK</v>
      </c>
      <c r="E777" s="593" t="str">
        <f>IFERROR(__xludf.DUMMYFUNCTION("""COMPUTED_VALUE"""),"DAIKIN")</f>
        <v>DAIKIN</v>
      </c>
      <c r="F777" s="593" t="str">
        <f>IFERROR(__xludf.DUMMYFUNCTION("""COMPUTED_VALUE"""),"TRAILBLAZER AGZ CHILLER")</f>
        <v>TRAILBLAZER AGZ CHILLER</v>
      </c>
      <c r="G777" s="490"/>
      <c r="H777" s="490"/>
      <c r="I777" s="490"/>
      <c r="J777" s="588"/>
      <c r="K777" s="490"/>
      <c r="L777" s="490"/>
      <c r="M777" s="490"/>
      <c r="N777" s="490"/>
      <c r="O777" s="490"/>
      <c r="P777" s="490" t="s">
        <v>9978</v>
      </c>
    </row>
    <row r="778">
      <c r="A778" s="490"/>
      <c r="B778" s="490"/>
      <c r="C778" s="490"/>
      <c r="D778" s="490" t="str">
        <f>IFERROR(__xludf.DUMMYFUNCTION("""COMPUTED_VALUE"""),"WILO")</f>
        <v>WILO</v>
      </c>
      <c r="E778" s="593" t="str">
        <f>IFERROR(__xludf.DUMMYFUNCTION("""COMPUTED_VALUE"""),"DAIKIN")</f>
        <v>DAIKIN</v>
      </c>
      <c r="F778" s="593" t="str">
        <f>IFERROR(__xludf.DUMMYFUNCTION("""COMPUTED_VALUE"""),"VRV-IV S HEAT PUMP")</f>
        <v>VRV-IV S HEAT PUMP</v>
      </c>
      <c r="G778" s="490"/>
      <c r="H778" s="490"/>
      <c r="I778" s="490"/>
      <c r="J778" s="588"/>
      <c r="K778" s="490"/>
      <c r="L778" s="490"/>
      <c r="M778" s="490"/>
      <c r="N778" s="490"/>
      <c r="O778" s="490"/>
      <c r="P778" s="490" t="s">
        <v>9981</v>
      </c>
    </row>
    <row r="779">
      <c r="A779" s="490"/>
      <c r="B779" s="490"/>
      <c r="C779" s="490"/>
      <c r="D779" s="490" t="str">
        <f>IFERROR(__xludf.DUMMYFUNCTION("""COMPUTED_VALUE"""),"WINLAND ELECTRONICS")</f>
        <v>WINLAND ELECTRONICS</v>
      </c>
      <c r="E779" s="593" t="str">
        <f>IFERROR(__xludf.DUMMYFUNCTION("""COMPUTED_VALUE"""),"DAIKIN")</f>
        <v>DAIKIN</v>
      </c>
      <c r="F779" s="593" t="str">
        <f>IFERROR(__xludf.DUMMYFUNCTION("""COMPUTED_VALUE"""),"AGZ-E SCROLL CHILLER")</f>
        <v>AGZ-E SCROLL CHILLER</v>
      </c>
      <c r="G779" s="490"/>
      <c r="H779" s="490"/>
      <c r="I779" s="490"/>
      <c r="J779" s="588"/>
      <c r="K779" s="490"/>
      <c r="L779" s="490"/>
      <c r="M779" s="490"/>
      <c r="N779" s="490"/>
      <c r="O779" s="490"/>
      <c r="P779" s="490" t="s">
        <v>9984</v>
      </c>
    </row>
    <row r="780">
      <c r="A780" s="490"/>
      <c r="B780" s="490"/>
      <c r="C780" s="490"/>
      <c r="D780" s="490" t="str">
        <f>IFERROR(__xludf.DUMMYFUNCTION("""COMPUTED_VALUE"""),"WINTERHALTER")</f>
        <v>WINTERHALTER</v>
      </c>
      <c r="E780" s="593" t="str">
        <f>IFERROR(__xludf.DUMMYFUNCTION("""COMPUTED_VALUE"""),"DAIKIN")</f>
        <v>DAIKIN</v>
      </c>
      <c r="F780" s="593" t="str">
        <f>IFERROR(__xludf.DUMMYFUNCTION("""COMPUTED_VALUE"""),"FUW CABINET AHU")</f>
        <v>FUW CABINET AHU</v>
      </c>
      <c r="G780" s="490"/>
      <c r="H780" s="490"/>
      <c r="I780" s="490"/>
      <c r="J780" s="588"/>
      <c r="K780" s="490"/>
      <c r="L780" s="490"/>
      <c r="M780" s="490"/>
      <c r="N780" s="490"/>
      <c r="O780" s="490"/>
      <c r="P780" s="490" t="s">
        <v>9987</v>
      </c>
    </row>
    <row r="781">
      <c r="A781" s="490"/>
      <c r="B781" s="490"/>
      <c r="C781" s="490"/>
      <c r="D781" s="490" t="str">
        <f>IFERROR(__xludf.DUMMYFUNCTION("""COMPUTED_VALUE"""),"WITTENBORG")</f>
        <v>WITTENBORG</v>
      </c>
      <c r="E781" s="593" t="str">
        <f>IFERROR(__xludf.DUMMYFUNCTION("""COMPUTED_VALUE"""),"DAIKIN")</f>
        <v>DAIKIN</v>
      </c>
      <c r="F781" s="593" t="str">
        <f>IFERROR(__xludf.DUMMYFUNCTION("""COMPUTED_VALUE"""),"FWW-DA")</f>
        <v>FWW-DA</v>
      </c>
      <c r="G781" s="490"/>
      <c r="H781" s="490"/>
      <c r="I781" s="490"/>
      <c r="J781" s="588"/>
      <c r="K781" s="490"/>
      <c r="L781" s="490"/>
      <c r="M781" s="490"/>
      <c r="N781" s="490"/>
      <c r="O781" s="490"/>
      <c r="P781" s="490" t="s">
        <v>9990</v>
      </c>
    </row>
    <row r="782">
      <c r="A782" s="490"/>
      <c r="B782" s="490"/>
      <c r="C782" s="490"/>
      <c r="D782" s="490" t="str">
        <f>IFERROR(__xludf.DUMMYFUNCTION("""COMPUTED_VALUE"""),"WMF")</f>
        <v>WMF</v>
      </c>
      <c r="E782" s="593" t="str">
        <f>IFERROR(__xludf.DUMMYFUNCTION("""COMPUTED_VALUE"""),"DAIKIN")</f>
        <v>DAIKIN</v>
      </c>
      <c r="F782" s="593" t="str">
        <f>IFERROR(__xludf.DUMMYFUNCTION("""COMPUTED_VALUE"""),"MICROTECH 4 (MT4)")</f>
        <v>MICROTECH 4 (MT4)</v>
      </c>
      <c r="G782" s="490"/>
      <c r="H782" s="490"/>
      <c r="I782" s="490"/>
      <c r="J782" s="588"/>
      <c r="K782" s="490"/>
      <c r="L782" s="490"/>
      <c r="M782" s="490"/>
      <c r="N782" s="490"/>
      <c r="O782" s="490"/>
      <c r="P782" s="490" t="s">
        <v>9495</v>
      </c>
    </row>
    <row r="783">
      <c r="A783" s="490"/>
      <c r="B783" s="490"/>
      <c r="C783" s="490"/>
      <c r="D783" s="490" t="str">
        <f>IFERROR(__xludf.DUMMYFUNCTION("""COMPUTED_VALUE"""),"WOODWARD")</f>
        <v>WOODWARD</v>
      </c>
      <c r="E783" s="593" t="str">
        <f>IFERROR(__xludf.DUMMYFUNCTION("""COMPUTED_VALUE"""),"DAINTREE")</f>
        <v>DAINTREE</v>
      </c>
      <c r="F783" s="593" t="str">
        <f>IFERROR(__xludf.DUMMYFUNCTION("""COMPUTED_VALUE"""),"WAC60")</f>
        <v>WAC60</v>
      </c>
      <c r="G783" s="490"/>
      <c r="H783" s="490"/>
      <c r="I783" s="490"/>
      <c r="J783" s="588"/>
      <c r="K783" s="490"/>
      <c r="L783" s="490"/>
      <c r="M783" s="490"/>
      <c r="N783" s="490"/>
      <c r="O783" s="490"/>
      <c r="P783" s="490" t="s">
        <v>9994</v>
      </c>
    </row>
    <row r="784">
      <c r="A784" s="490"/>
      <c r="B784" s="490"/>
      <c r="C784" s="490"/>
      <c r="D784" s="490" t="str">
        <f>IFERROR(__xludf.DUMMYFUNCTION("""COMPUTED_VALUE"""),"WOODWAY")</f>
        <v>WOODWAY</v>
      </c>
      <c r="E784" s="593" t="str">
        <f>IFERROR(__xludf.DUMMYFUNCTION("""COMPUTED_VALUE"""),"DANFOSS")</f>
        <v>DANFOSS</v>
      </c>
      <c r="F784" s="593" t="str">
        <f>IFERROR(__xludf.DUMMYFUNCTION("""COMPUTED_VALUE"""),"AK-SM 820")</f>
        <v>AK-SM 820</v>
      </c>
      <c r="G784" s="490"/>
      <c r="H784" s="490"/>
      <c r="I784" s="490"/>
      <c r="J784" s="588"/>
      <c r="K784" s="490"/>
      <c r="L784" s="490"/>
      <c r="M784" s="490"/>
      <c r="N784" s="490"/>
      <c r="O784" s="490"/>
      <c r="P784" s="490" t="s">
        <v>9997</v>
      </c>
    </row>
    <row r="785">
      <c r="A785" s="490"/>
      <c r="B785" s="490"/>
      <c r="C785" s="490"/>
      <c r="D785" s="490" t="str">
        <f>IFERROR(__xludf.DUMMYFUNCTION("""COMPUTED_VALUE"""),"WTEC")</f>
        <v>WTEC</v>
      </c>
      <c r="E785" s="593" t="str">
        <f>IFERROR(__xludf.DUMMYFUNCTION("""COMPUTED_VALUE"""),"DANFOSS")</f>
        <v>DANFOSS</v>
      </c>
      <c r="F785" s="593" t="str">
        <f>IFERROR(__xludf.DUMMYFUNCTION("""COMPUTED_VALUE"""),"FC 102")</f>
        <v>FC 102</v>
      </c>
      <c r="G785" s="490"/>
      <c r="H785" s="490"/>
      <c r="I785" s="490"/>
      <c r="J785" s="588"/>
      <c r="K785" s="490"/>
      <c r="L785" s="490"/>
      <c r="M785" s="490"/>
      <c r="N785" s="490"/>
      <c r="O785" s="490"/>
      <c r="P785" s="490" t="s">
        <v>10000</v>
      </c>
    </row>
    <row r="786">
      <c r="A786" s="490"/>
      <c r="B786" s="490"/>
      <c r="C786" s="490"/>
      <c r="D786" s="490" t="str">
        <f>IFERROR(__xludf.DUMMYFUNCTION("""COMPUTED_VALUE"""),"XBOX")</f>
        <v>XBOX</v>
      </c>
      <c r="E786" s="593" t="str">
        <f>IFERROR(__xludf.DUMMYFUNCTION("""COMPUTED_VALUE"""),"DANFOSS")</f>
        <v>DANFOSS</v>
      </c>
      <c r="F786" s="593" t="str">
        <f>IFERROR(__xludf.DUMMYFUNCTION("""COMPUTED_VALUE"""),"132F0058")</f>
        <v>132F0058</v>
      </c>
      <c r="G786" s="490"/>
      <c r="H786" s="490"/>
      <c r="I786" s="490"/>
      <c r="J786" s="588"/>
      <c r="K786" s="490"/>
      <c r="L786" s="490"/>
      <c r="M786" s="490"/>
      <c r="N786" s="490"/>
      <c r="O786" s="490"/>
      <c r="P786" s="490" t="s">
        <v>10003</v>
      </c>
    </row>
    <row r="787">
      <c r="A787" s="490"/>
      <c r="B787" s="490"/>
      <c r="C787" s="490"/>
      <c r="D787" s="490" t="str">
        <f>IFERROR(__xludf.DUMMYFUNCTION("""COMPUTED_VALUE"""),"XIAOMI")</f>
        <v>XIAOMI</v>
      </c>
      <c r="E787" s="593" t="str">
        <f>IFERROR(__xludf.DUMMYFUNCTION("""COMPUTED_VALUE"""),"DANFOSS")</f>
        <v>DANFOSS</v>
      </c>
      <c r="F787" s="593" t="str">
        <f>IFERROR(__xludf.DUMMYFUNCTION("""COMPUTED_VALUE"""),"FC 101")</f>
        <v>FC 101</v>
      </c>
      <c r="G787" s="490"/>
      <c r="H787" s="490"/>
      <c r="I787" s="490"/>
      <c r="J787" s="588"/>
      <c r="K787" s="490"/>
      <c r="L787" s="490"/>
      <c r="M787" s="490"/>
      <c r="N787" s="490"/>
      <c r="O787" s="490"/>
      <c r="P787" s="490" t="s">
        <v>10006</v>
      </c>
    </row>
    <row r="788">
      <c r="A788" s="490"/>
      <c r="B788" s="490"/>
      <c r="C788" s="490"/>
      <c r="D788" s="490" t="str">
        <f>IFERROR(__xludf.DUMMYFUNCTION("""COMPUTED_VALUE"""),"XORO")</f>
        <v>XORO</v>
      </c>
      <c r="E788" s="593" t="str">
        <f>IFERROR(__xludf.DUMMYFUNCTION("""COMPUTED_VALUE"""),"DANFOSS")</f>
        <v>DANFOSS</v>
      </c>
      <c r="F788" s="593" t="str">
        <f>IFERROR(__xludf.DUMMYFUNCTION("""COMPUTED_VALUE"""),"FC 51")</f>
        <v>FC 51</v>
      </c>
      <c r="G788" s="490"/>
      <c r="H788" s="490"/>
      <c r="I788" s="490"/>
      <c r="J788" s="588"/>
      <c r="K788" s="490"/>
      <c r="L788" s="490"/>
      <c r="M788" s="490"/>
      <c r="N788" s="490"/>
      <c r="O788" s="490"/>
      <c r="P788" s="490" t="s">
        <v>10009</v>
      </c>
    </row>
    <row r="789">
      <c r="A789" s="490"/>
      <c r="B789" s="490"/>
      <c r="C789" s="490"/>
      <c r="D789" s="490" t="str">
        <f>IFERROR(__xludf.DUMMYFUNCTION("""COMPUTED_VALUE"""),"XTRALIS")</f>
        <v>XTRALIS</v>
      </c>
      <c r="E789" s="593" t="str">
        <f>IFERROR(__xludf.DUMMYFUNCTION("""COMPUTED_VALUE"""),"DATA AIRE")</f>
        <v>DATA AIRE</v>
      </c>
      <c r="F789" s="593" t="str">
        <f>IFERROR(__xludf.DUMMYFUNCTION("""COMPUTED_VALUE"""),"DAPW-0512-P")</f>
        <v>DAPW-0512-P</v>
      </c>
      <c r="G789" s="490"/>
      <c r="H789" s="490"/>
      <c r="I789" s="490"/>
      <c r="J789" s="588"/>
      <c r="K789" s="490"/>
      <c r="L789" s="490"/>
      <c r="M789" s="490"/>
      <c r="N789" s="490"/>
      <c r="O789" s="490"/>
      <c r="P789" s="490" t="s">
        <v>10013</v>
      </c>
    </row>
    <row r="790">
      <c r="A790" s="490"/>
      <c r="B790" s="490"/>
      <c r="C790" s="490"/>
      <c r="D790" s="490" t="str">
        <f>IFERROR(__xludf.DUMMYFUNCTION("""COMPUTED_VALUE"""),"XYLEM")</f>
        <v>XYLEM</v>
      </c>
      <c r="E790" s="593" t="str">
        <f>IFERROR(__xludf.DUMMYFUNCTION("""COMPUTED_VALUE"""),"DE JONG DUKE")</f>
        <v>DE JONG DUKE</v>
      </c>
      <c r="F790" s="593" t="str">
        <f>IFERROR(__xludf.DUMMYFUNCTION("""COMPUTED_VALUE"""),"VIRTU")</f>
        <v>VIRTU</v>
      </c>
      <c r="G790" s="490"/>
      <c r="H790" s="490"/>
      <c r="I790" s="490"/>
      <c r="J790" s="588"/>
      <c r="K790" s="490"/>
      <c r="L790" s="490"/>
      <c r="M790" s="490"/>
      <c r="N790" s="490"/>
      <c r="O790" s="490"/>
      <c r="P790" s="490" t="s">
        <v>10016</v>
      </c>
    </row>
    <row r="791">
      <c r="A791" s="490"/>
      <c r="B791" s="490"/>
      <c r="C791" s="490"/>
      <c r="D791" s="490" t="str">
        <f>IFERROR(__xludf.DUMMYFUNCTION("""COMPUTED_VALUE"""),"YAMAHA")</f>
        <v>YAMAHA</v>
      </c>
      <c r="E791" s="593" t="str">
        <f>IFERROR(__xludf.DUMMYFUNCTION("""COMPUTED_VALUE"""),"DE JONG DUKE")</f>
        <v>DE JONG DUKE</v>
      </c>
      <c r="F791" s="593" t="str">
        <f>IFERROR(__xludf.DUMMYFUNCTION("""COMPUTED_VALUE"""),"VIRTU")</f>
        <v>VIRTU</v>
      </c>
      <c r="G791" s="490"/>
      <c r="H791" s="490"/>
      <c r="I791" s="490"/>
      <c r="J791" s="588"/>
      <c r="K791" s="490"/>
      <c r="L791" s="490"/>
      <c r="M791" s="490"/>
      <c r="N791" s="490"/>
      <c r="O791" s="490"/>
      <c r="P791" s="490" t="s">
        <v>10019</v>
      </c>
    </row>
    <row r="792">
      <c r="A792" s="490"/>
      <c r="B792" s="490"/>
      <c r="C792" s="490"/>
      <c r="D792" s="490" t="str">
        <f>IFERROR(__xludf.DUMMYFUNCTION("""COMPUTED_VALUE"""),"YAP ENG")</f>
        <v>YAP ENG</v>
      </c>
      <c r="E792" s="593" t="str">
        <f>IFERROR(__xludf.DUMMYFUNCTION("""COMPUTED_VALUE"""),"DEI")</f>
        <v>DEI</v>
      </c>
      <c r="F792" s="593" t="str">
        <f>IFERROR(__xludf.DUMMYFUNCTION("""COMPUTED_VALUE"""),"RTU101-C")</f>
        <v>RTU101-C</v>
      </c>
      <c r="G792" s="490"/>
      <c r="H792" s="490"/>
      <c r="I792" s="490"/>
      <c r="J792" s="588"/>
      <c r="K792" s="490"/>
      <c r="L792" s="490"/>
      <c r="M792" s="490"/>
      <c r="N792" s="490"/>
      <c r="O792" s="490"/>
      <c r="P792" s="490" t="s">
        <v>10022</v>
      </c>
    </row>
    <row r="793">
      <c r="A793" s="490"/>
      <c r="B793" s="490"/>
      <c r="C793" s="490"/>
      <c r="D793" s="490" t="str">
        <f>IFERROR(__xludf.DUMMYFUNCTION("""COMPUTED_VALUE"""),"YASKAWA")</f>
        <v>YASKAWA</v>
      </c>
      <c r="E793" s="593" t="str">
        <f>IFERROR(__xludf.DUMMYFUNCTION("""COMPUTED_VALUE"""),"DELAB")</f>
        <v>DELAB</v>
      </c>
      <c r="F793" s="593" t="str">
        <f>IFERROR(__xludf.DUMMYFUNCTION("""COMPUTED_VALUE"""),"PQM-1000S")</f>
        <v>PQM-1000S</v>
      </c>
      <c r="G793" s="490"/>
      <c r="H793" s="490"/>
      <c r="I793" s="490"/>
      <c r="J793" s="588"/>
      <c r="K793" s="490"/>
      <c r="L793" s="490"/>
      <c r="M793" s="490"/>
      <c r="N793" s="490"/>
      <c r="O793" s="490"/>
      <c r="P793" s="490" t="s">
        <v>9498</v>
      </c>
    </row>
    <row r="794">
      <c r="A794" s="490"/>
      <c r="B794" s="490"/>
      <c r="C794" s="490"/>
      <c r="D794" s="490" t="str">
        <f>IFERROR(__xludf.DUMMYFUNCTION("""COMPUTED_VALUE"""),"YEELIGHT")</f>
        <v>YEELIGHT</v>
      </c>
      <c r="E794" s="593" t="str">
        <f>IFERROR(__xludf.DUMMYFUNCTION("""COMPUTED_VALUE"""),"DELL")</f>
        <v>DELL</v>
      </c>
      <c r="F794" s="593" t="str">
        <f>IFERROR(__xludf.DUMMYFUNCTION("""COMPUTED_VALUE"""),"POWERCONNECT 5324")</f>
        <v>POWERCONNECT 5324</v>
      </c>
      <c r="G794" s="490"/>
      <c r="H794" s="490"/>
      <c r="I794" s="490"/>
      <c r="J794" s="588"/>
      <c r="K794" s="490"/>
      <c r="L794" s="490"/>
      <c r="M794" s="490"/>
      <c r="N794" s="490"/>
      <c r="O794" s="490"/>
      <c r="P794" s="490" t="s">
        <v>10025</v>
      </c>
    </row>
    <row r="795">
      <c r="A795" s="490"/>
      <c r="B795" s="490"/>
      <c r="C795" s="490"/>
      <c r="D795" s="490" t="str">
        <f>IFERROR(__xludf.DUMMYFUNCTION("""COMPUTED_VALUE"""),"YES.")</f>
        <v>YES.</v>
      </c>
      <c r="E795" s="593" t="str">
        <f>IFERROR(__xludf.DUMMYFUNCTION("""COMPUTED_VALUE"""),"DELL")</f>
        <v>DELL</v>
      </c>
      <c r="F795" s="593" t="str">
        <f>IFERROR(__xludf.DUMMYFUNCTION("""COMPUTED_VALUE"""),"TZ300")</f>
        <v>TZ300</v>
      </c>
      <c r="G795" s="490"/>
      <c r="H795" s="490"/>
      <c r="I795" s="490"/>
      <c r="J795" s="588"/>
      <c r="K795" s="490"/>
      <c r="L795" s="490"/>
      <c r="M795" s="490"/>
      <c r="N795" s="490"/>
      <c r="O795" s="490"/>
      <c r="P795" s="490" t="s">
        <v>10028</v>
      </c>
    </row>
    <row r="796">
      <c r="A796" s="490"/>
      <c r="B796" s="490"/>
      <c r="C796" s="490"/>
      <c r="D796" s="490" t="str">
        <f>IFERROR(__xludf.DUMMYFUNCTION("""COMPUTED_VALUE"""),"YORK")</f>
        <v>YORK</v>
      </c>
      <c r="E796" s="593" t="str">
        <f>IFERROR(__xludf.DUMMYFUNCTION("""COMPUTED_VALUE"""),"DELL")</f>
        <v>DELL</v>
      </c>
      <c r="F796" s="593" t="str">
        <f>IFERROR(__xludf.DUMMYFUNCTION("""COMPUTED_VALUE"""),"X1026")</f>
        <v>X1026</v>
      </c>
      <c r="G796" s="490"/>
      <c r="H796" s="490"/>
      <c r="I796" s="490"/>
      <c r="J796" s="588"/>
      <c r="K796" s="490"/>
      <c r="L796" s="490"/>
      <c r="M796" s="490"/>
      <c r="N796" s="490"/>
      <c r="O796" s="490"/>
      <c r="P796" s="490" t="s">
        <v>10031</v>
      </c>
    </row>
    <row r="797">
      <c r="A797" s="490"/>
      <c r="B797" s="490"/>
      <c r="C797" s="490"/>
      <c r="D797" s="490" t="str">
        <f>IFERROR(__xludf.DUMMYFUNCTION("""COMPUTED_VALUE"""),"YUNHUI")</f>
        <v>YUNHUI</v>
      </c>
      <c r="E797" s="593" t="str">
        <f>IFERROR(__xludf.DUMMYFUNCTION("""COMPUTED_VALUE"""),"DELL")</f>
        <v>DELL</v>
      </c>
      <c r="F797" s="593" t="str">
        <f>IFERROR(__xludf.DUMMYFUNCTION("""COMPUTED_VALUE"""),"CHROMEBOOK 7310")</f>
        <v>CHROMEBOOK 7310</v>
      </c>
      <c r="G797" s="490"/>
      <c r="H797" s="490"/>
      <c r="I797" s="490"/>
      <c r="J797" s="588"/>
      <c r="K797" s="490"/>
      <c r="L797" s="490"/>
      <c r="M797" s="490"/>
      <c r="N797" s="490"/>
      <c r="O797" s="490"/>
      <c r="P797" s="490" t="s">
        <v>10034</v>
      </c>
    </row>
    <row r="798">
      <c r="A798" s="490"/>
      <c r="B798" s="490"/>
      <c r="C798" s="490"/>
      <c r="D798" s="490" t="str">
        <f>IFERROR(__xludf.DUMMYFUNCTION("""COMPUTED_VALUE"""),"YUTAKA")</f>
        <v>YUTAKA</v>
      </c>
      <c r="E798" s="593" t="str">
        <f>IFERROR(__xludf.DUMMYFUNCTION("""COMPUTED_VALUE"""),"DELL")</f>
        <v>DELL</v>
      </c>
      <c r="F798" s="593" t="str">
        <f>IFERROR(__xludf.DUMMYFUNCTION("""COMPUTED_VALUE"""),"CHROMEBOOK 13")</f>
        <v>CHROMEBOOK 13</v>
      </c>
      <c r="G798" s="490"/>
      <c r="H798" s="490"/>
      <c r="I798" s="490"/>
      <c r="J798" s="588"/>
      <c r="K798" s="490"/>
      <c r="L798" s="490"/>
      <c r="M798" s="490"/>
      <c r="N798" s="490"/>
      <c r="O798" s="490"/>
      <c r="P798" s="490" t="s">
        <v>10037</v>
      </c>
    </row>
    <row r="799">
      <c r="A799" s="490"/>
      <c r="B799" s="490"/>
      <c r="C799" s="490"/>
      <c r="D799" s="490" t="str">
        <f>IFERROR(__xludf.DUMMYFUNCTION("""COMPUTED_VALUE"""),"ZAN COMPUTE")</f>
        <v>ZAN COMPUTE</v>
      </c>
      <c r="E799" s="593" t="str">
        <f>IFERROR(__xludf.DUMMYFUNCTION("""COMPUTED_VALUE"""),"DELL")</f>
        <v>DELL</v>
      </c>
      <c r="F799" s="593" t="str">
        <f>IFERROR(__xludf.DUMMYFUNCTION("""COMPUTED_VALUE"""),"CHROMEBOOK 13")</f>
        <v>CHROMEBOOK 13</v>
      </c>
      <c r="G799" s="490"/>
      <c r="H799" s="490"/>
      <c r="I799" s="490"/>
      <c r="J799" s="588"/>
      <c r="K799" s="490"/>
      <c r="L799" s="490"/>
      <c r="M799" s="490"/>
      <c r="N799" s="490"/>
      <c r="O799" s="490"/>
      <c r="P799" s="490" t="s">
        <v>10040</v>
      </c>
    </row>
    <row r="800">
      <c r="A800" s="490"/>
      <c r="B800" s="490"/>
      <c r="C800" s="490"/>
      <c r="D800" s="490" t="str">
        <f>IFERROR(__xludf.DUMMYFUNCTION("""COMPUTED_VALUE"""),"ZEBRA")</f>
        <v>ZEBRA</v>
      </c>
      <c r="E800" s="593" t="str">
        <f>IFERROR(__xludf.DUMMYFUNCTION("""COMPUTED_VALUE"""),"DELL")</f>
        <v>DELL</v>
      </c>
      <c r="F800" s="593" t="str">
        <f>IFERROR(__xludf.DUMMYFUNCTION("""COMPUTED_VALUE"""),"CHROMEBOOK13 P66G")</f>
        <v>CHROMEBOOK13 P66G</v>
      </c>
      <c r="G800" s="490"/>
      <c r="H800" s="490"/>
      <c r="I800" s="490"/>
      <c r="J800" s="588"/>
      <c r="K800" s="490"/>
      <c r="L800" s="490"/>
      <c r="M800" s="490"/>
      <c r="N800" s="490"/>
      <c r="O800" s="490"/>
      <c r="P800" s="490" t="s">
        <v>10043</v>
      </c>
    </row>
    <row r="801">
      <c r="A801" s="490"/>
      <c r="B801" s="490"/>
      <c r="C801" s="490"/>
      <c r="D801" s="490" t="str">
        <f>IFERROR(__xludf.DUMMYFUNCTION("""COMPUTED_VALUE"""),"ZECO AIRCON")</f>
        <v>ZECO AIRCON</v>
      </c>
      <c r="E801" s="593" t="str">
        <f>IFERROR(__xludf.DUMMYFUNCTION("""COMPUTED_VALUE"""),"DELL")</f>
        <v>DELL</v>
      </c>
      <c r="F801" s="593" t="str">
        <f>IFERROR(__xludf.DUMMYFUNCTION("""COMPUTED_VALUE"""),"INSPIRON")</f>
        <v>INSPIRON</v>
      </c>
      <c r="G801" s="490"/>
      <c r="H801" s="490"/>
      <c r="I801" s="490"/>
      <c r="J801" s="588"/>
      <c r="K801" s="490"/>
      <c r="L801" s="490"/>
      <c r="M801" s="490"/>
      <c r="N801" s="490"/>
      <c r="O801" s="490"/>
      <c r="P801" s="490" t="s">
        <v>10047</v>
      </c>
    </row>
    <row r="802">
      <c r="A802" s="490"/>
      <c r="B802" s="490"/>
      <c r="C802" s="490"/>
      <c r="D802" s="490" t="str">
        <f>IFERROR(__xludf.DUMMYFUNCTION("""COMPUTED_VALUE"""),"ZIEGLER")</f>
        <v>ZIEGLER</v>
      </c>
      <c r="E802" s="593" t="str">
        <f>IFERROR(__xludf.DUMMYFUNCTION("""COMPUTED_VALUE"""),"DELL")</f>
        <v>DELL</v>
      </c>
      <c r="F802" s="593" t="str">
        <f>IFERROR(__xludf.DUMMYFUNCTION("""COMPUTED_VALUE"""),"INSPIRON 2 IN 1 14""")</f>
        <v>INSPIRON 2 IN 1 14"</v>
      </c>
      <c r="G802" s="490"/>
      <c r="H802" s="490"/>
      <c r="I802" s="490"/>
      <c r="J802" s="588"/>
      <c r="K802" s="490"/>
      <c r="L802" s="490"/>
      <c r="M802" s="490"/>
      <c r="N802" s="490"/>
      <c r="O802" s="490"/>
      <c r="P802" s="490" t="s">
        <v>10050</v>
      </c>
    </row>
    <row r="803">
      <c r="A803" s="490"/>
      <c r="B803" s="490"/>
      <c r="C803" s="490"/>
      <c r="D803" s="490" t="str">
        <f>IFERROR(__xludf.DUMMYFUNCTION("""COMPUTED_VALUE"""),"ZIEHL")</f>
        <v>ZIEHL</v>
      </c>
      <c r="E803" s="593" t="str">
        <f>IFERROR(__xludf.DUMMYFUNCTION("""COMPUTED_VALUE"""),"DELL")</f>
        <v>DELL</v>
      </c>
      <c r="F803" s="593" t="str">
        <f>IFERROR(__xludf.DUMMYFUNCTION("""COMPUTED_VALUE"""),"INSPIRON 3470")</f>
        <v>INSPIRON 3470</v>
      </c>
      <c r="G803" s="490"/>
      <c r="H803" s="490"/>
      <c r="I803" s="490"/>
      <c r="J803" s="588"/>
      <c r="K803" s="490"/>
      <c r="L803" s="490"/>
      <c r="M803" s="490"/>
      <c r="N803" s="490"/>
      <c r="O803" s="490"/>
      <c r="P803" s="490" t="s">
        <v>10053</v>
      </c>
    </row>
    <row r="804">
      <c r="A804" s="490"/>
      <c r="B804" s="490"/>
      <c r="C804" s="490"/>
      <c r="D804" s="490" t="str">
        <f>IFERROR(__xludf.DUMMYFUNCTION("""COMPUTED_VALUE"""),"ZIEHL-ABEGG")</f>
        <v>ZIEHL-ABEGG</v>
      </c>
      <c r="E804" s="593" t="str">
        <f>IFERROR(__xludf.DUMMYFUNCTION("""COMPUTED_VALUE"""),"DELL")</f>
        <v>DELL</v>
      </c>
      <c r="F804" s="593" t="str">
        <f>IFERROR(__xludf.DUMMYFUNCTION("""COMPUTED_VALUE"""),"INSPIRON 3650")</f>
        <v>INSPIRON 3650</v>
      </c>
      <c r="G804" s="490"/>
      <c r="H804" s="490"/>
      <c r="I804" s="490"/>
      <c r="J804" s="588"/>
      <c r="K804" s="490"/>
      <c r="L804" s="490"/>
      <c r="M804" s="490"/>
      <c r="N804" s="490"/>
      <c r="O804" s="490"/>
      <c r="P804" s="490" t="s">
        <v>9447</v>
      </c>
    </row>
    <row r="805">
      <c r="A805" s="490"/>
      <c r="B805" s="490"/>
      <c r="C805" s="490"/>
      <c r="D805" s="490" t="str">
        <f>IFERROR(__xludf.DUMMYFUNCTION("""COMPUTED_VALUE"""),"ZIP")</f>
        <v>ZIP</v>
      </c>
      <c r="E805" s="593" t="str">
        <f>IFERROR(__xludf.DUMMYFUNCTION("""COMPUTED_VALUE"""),"DELL")</f>
        <v>DELL</v>
      </c>
      <c r="F805" s="593" t="str">
        <f>IFERROR(__xludf.DUMMYFUNCTION("""COMPUTED_VALUE"""),"INSPIRON 3847")</f>
        <v>INSPIRON 3847</v>
      </c>
      <c r="G805" s="490"/>
      <c r="H805" s="490"/>
      <c r="I805" s="490"/>
      <c r="J805" s="588"/>
      <c r="K805" s="490"/>
      <c r="L805" s="490"/>
      <c r="M805" s="490"/>
      <c r="N805" s="490"/>
      <c r="O805" s="490"/>
      <c r="P805" s="490" t="s">
        <v>9501</v>
      </c>
    </row>
    <row r="806">
      <c r="A806" s="490"/>
      <c r="B806" s="490"/>
      <c r="C806" s="490"/>
      <c r="D806" s="490" t="str">
        <f>IFERROR(__xludf.DUMMYFUNCTION("""COMPUTED_VALUE"""),"ZIP ASSIST")</f>
        <v>ZIP ASSIST</v>
      </c>
      <c r="E806" s="593" t="str">
        <f>IFERROR(__xludf.DUMMYFUNCTION("""COMPUTED_VALUE"""),"DELL")</f>
        <v>DELL</v>
      </c>
      <c r="F806" s="593" t="str">
        <f>IFERROR(__xludf.DUMMYFUNCTION("""COMPUTED_VALUE"""),"LATITUDE 3470")</f>
        <v>LATITUDE 3470</v>
      </c>
      <c r="G806" s="490"/>
      <c r="H806" s="490"/>
      <c r="I806" s="490"/>
      <c r="J806" s="588"/>
      <c r="K806" s="490"/>
      <c r="L806" s="490"/>
      <c r="M806" s="490"/>
      <c r="N806" s="490"/>
      <c r="O806" s="490"/>
      <c r="P806" s="490" t="s">
        <v>10056</v>
      </c>
    </row>
    <row r="807">
      <c r="A807" s="490"/>
      <c r="B807" s="490"/>
      <c r="C807" s="490"/>
      <c r="D807" s="490" t="str">
        <f>IFERROR(__xludf.DUMMYFUNCTION("""COMPUTED_VALUE"""),"ZKTECO")</f>
        <v>ZKTECO</v>
      </c>
      <c r="E807" s="593" t="str">
        <f>IFERROR(__xludf.DUMMYFUNCTION("""COMPUTED_VALUE"""),"DELL")</f>
        <v>DELL</v>
      </c>
      <c r="F807" s="593" t="str">
        <f>IFERROR(__xludf.DUMMYFUNCTION("""COMPUTED_VALUE"""),"NOT VERIFIED")</f>
        <v>NOT VERIFIED</v>
      </c>
      <c r="G807" s="490"/>
      <c r="H807" s="490"/>
      <c r="I807" s="490"/>
      <c r="J807" s="588"/>
      <c r="K807" s="490"/>
      <c r="L807" s="490"/>
      <c r="M807" s="490"/>
      <c r="N807" s="490"/>
      <c r="O807" s="490"/>
      <c r="P807" s="490" t="s">
        <v>10059</v>
      </c>
    </row>
    <row r="808">
      <c r="A808" s="490"/>
      <c r="B808" s="490"/>
      <c r="C808" s="490"/>
      <c r="D808" s="490" t="str">
        <f>IFERROR(__xludf.DUMMYFUNCTION("""COMPUTED_VALUE"""),"ZOTAC")</f>
        <v>ZOTAC</v>
      </c>
      <c r="E808" s="593" t="str">
        <f>IFERROR(__xludf.DUMMYFUNCTION("""COMPUTED_VALUE"""),"DELL")</f>
        <v>DELL</v>
      </c>
      <c r="F808" s="593" t="str">
        <f>IFERROR(__xludf.DUMMYFUNCTION("""COMPUTED_VALUE"""),"OPTIPLEX")</f>
        <v>OPTIPLEX</v>
      </c>
      <c r="G808" s="490"/>
      <c r="H808" s="490"/>
      <c r="I808" s="490"/>
      <c r="J808" s="588"/>
      <c r="K808" s="490"/>
      <c r="L808" s="490"/>
      <c r="M808" s="490"/>
      <c r="N808" s="490"/>
      <c r="O808" s="490"/>
      <c r="P808" s="490" t="s">
        <v>10062</v>
      </c>
    </row>
    <row r="809">
      <c r="A809" s="490"/>
      <c r="B809" s="490"/>
      <c r="C809" s="490"/>
      <c r="D809" s="490" t="str">
        <f>IFERROR(__xludf.DUMMYFUNCTION("""COMPUTED_VALUE"""),"ZTE")</f>
        <v>ZTE</v>
      </c>
      <c r="E809" s="593" t="str">
        <f>IFERROR(__xludf.DUMMYFUNCTION("""COMPUTED_VALUE"""),"DELL")</f>
        <v>DELL</v>
      </c>
      <c r="F809" s="593" t="str">
        <f>IFERROR(__xludf.DUMMYFUNCTION("""COMPUTED_VALUE"""),"OPTIPLEX 3020")</f>
        <v>OPTIPLEX 3020</v>
      </c>
      <c r="G809" s="490"/>
      <c r="H809" s="490"/>
      <c r="I809" s="490"/>
      <c r="J809" s="588"/>
      <c r="K809" s="490"/>
      <c r="L809" s="490"/>
      <c r="M809" s="490"/>
      <c r="N809" s="490"/>
      <c r="O809" s="490"/>
      <c r="P809" s="490" t="s">
        <v>10065</v>
      </c>
    </row>
    <row r="810">
      <c r="A810" s="490"/>
      <c r="B810" s="490"/>
      <c r="C810" s="490"/>
      <c r="D810" s="490" t="str">
        <f>IFERROR(__xludf.DUMMYFUNCTION("""COMPUTED_VALUE"""),"ZUMTOBEL")</f>
        <v>ZUMTOBEL</v>
      </c>
      <c r="E810" s="593" t="str">
        <f>IFERROR(__xludf.DUMMYFUNCTION("""COMPUTED_VALUE"""),"DELL")</f>
        <v>DELL</v>
      </c>
      <c r="F810" s="593" t="str">
        <f>IFERROR(__xludf.DUMMYFUNCTION("""COMPUTED_VALUE"""),"OPTIPLEX 3030 AIO SERIES")</f>
        <v>OPTIPLEX 3030 AIO SERIES</v>
      </c>
      <c r="G810" s="490"/>
      <c r="H810" s="490"/>
      <c r="I810" s="490"/>
      <c r="J810" s="588"/>
      <c r="K810" s="490"/>
      <c r="L810" s="490"/>
      <c r="M810" s="490"/>
      <c r="N810" s="490"/>
      <c r="O810" s="490"/>
      <c r="P810" s="490" t="s">
        <v>10068</v>
      </c>
    </row>
    <row r="811">
      <c r="A811" s="490"/>
      <c r="B811" s="490"/>
      <c r="C811" s="490"/>
      <c r="D811" s="490" t="str">
        <f>IFERROR(__xludf.DUMMYFUNCTION("""COMPUTED_VALUE"""),"ZYXEL")</f>
        <v>ZYXEL</v>
      </c>
      <c r="E811" s="593" t="str">
        <f>IFERROR(__xludf.DUMMYFUNCTION("""COMPUTED_VALUE"""),"DELL")</f>
        <v>DELL</v>
      </c>
      <c r="F811" s="593" t="str">
        <f>IFERROR(__xludf.DUMMYFUNCTION("""COMPUTED_VALUE"""),"OPTIPLEX 3050")</f>
        <v>OPTIPLEX 3050</v>
      </c>
      <c r="G811" s="490"/>
      <c r="H811" s="490"/>
      <c r="I811" s="490"/>
      <c r="J811" s="588"/>
      <c r="K811" s="490"/>
      <c r="L811" s="490"/>
      <c r="M811" s="490"/>
      <c r="N811" s="490"/>
      <c r="O811" s="490"/>
      <c r="P811" s="490" t="s">
        <v>10071</v>
      </c>
    </row>
    <row r="812">
      <c r="A812" s="490"/>
      <c r="B812" s="490"/>
      <c r="C812" s="490"/>
      <c r="D812" s="490"/>
      <c r="E812" s="593" t="str">
        <f>IFERROR(__xludf.DUMMYFUNCTION("""COMPUTED_VALUE"""),"DELL")</f>
        <v>DELL</v>
      </c>
      <c r="F812" s="593" t="str">
        <f>IFERROR(__xludf.DUMMYFUNCTION("""COMPUTED_VALUE"""),"OPTIPLEX 380")</f>
        <v>OPTIPLEX 380</v>
      </c>
      <c r="G812" s="490"/>
      <c r="H812" s="490"/>
      <c r="I812" s="490"/>
      <c r="J812" s="588"/>
      <c r="K812" s="490"/>
      <c r="L812" s="490"/>
      <c r="M812" s="490"/>
      <c r="N812" s="490"/>
      <c r="O812" s="490"/>
      <c r="P812" s="490" t="s">
        <v>10075</v>
      </c>
    </row>
    <row r="813">
      <c r="A813" s="490"/>
      <c r="B813" s="490"/>
      <c r="C813" s="490"/>
      <c r="D813" s="490"/>
      <c r="E813" s="593" t="str">
        <f>IFERROR(__xludf.DUMMYFUNCTION("""COMPUTED_VALUE"""),"DELL")</f>
        <v>DELL</v>
      </c>
      <c r="F813" s="593" t="str">
        <f>IFERROR(__xludf.DUMMYFUNCTION("""COMPUTED_VALUE"""),"OPTIPLEX 390")</f>
        <v>OPTIPLEX 390</v>
      </c>
      <c r="G813" s="490"/>
      <c r="H813" s="490"/>
      <c r="I813" s="490"/>
      <c r="J813" s="588"/>
      <c r="K813" s="490"/>
      <c r="L813" s="490"/>
      <c r="M813" s="490"/>
      <c r="N813" s="490"/>
      <c r="O813" s="490"/>
      <c r="P813" s="490" t="s">
        <v>10078</v>
      </c>
    </row>
    <row r="814">
      <c r="A814" s="490"/>
      <c r="B814" s="490"/>
      <c r="C814" s="490"/>
      <c r="D814" s="490"/>
      <c r="E814" s="593" t="str">
        <f>IFERROR(__xludf.DUMMYFUNCTION("""COMPUTED_VALUE"""),"DELL")</f>
        <v>DELL</v>
      </c>
      <c r="F814" s="593" t="str">
        <f>IFERROR(__xludf.DUMMYFUNCTION("""COMPUTED_VALUE"""),"OPTIPLEX 5050")</f>
        <v>OPTIPLEX 5050</v>
      </c>
      <c r="G814" s="490"/>
      <c r="H814" s="490"/>
      <c r="I814" s="490"/>
      <c r="J814" s="588"/>
      <c r="K814" s="490"/>
      <c r="L814" s="490"/>
      <c r="M814" s="490"/>
      <c r="N814" s="490"/>
      <c r="O814" s="490"/>
      <c r="P814" s="490" t="s">
        <v>10081</v>
      </c>
    </row>
    <row r="815">
      <c r="A815" s="490"/>
      <c r="B815" s="490"/>
      <c r="C815" s="490"/>
      <c r="D815" s="490"/>
      <c r="E815" s="593" t="str">
        <f>IFERROR(__xludf.DUMMYFUNCTION("""COMPUTED_VALUE"""),"DELL")</f>
        <v>DELL</v>
      </c>
      <c r="F815" s="593" t="str">
        <f>IFERROR(__xludf.DUMMYFUNCTION("""COMPUTED_VALUE"""),"OPTIPLEX 7010")</f>
        <v>OPTIPLEX 7010</v>
      </c>
      <c r="G815" s="490"/>
      <c r="H815" s="490"/>
      <c r="I815" s="490"/>
      <c r="J815" s="588"/>
      <c r="K815" s="490"/>
      <c r="L815" s="490"/>
      <c r="M815" s="490"/>
      <c r="N815" s="490"/>
      <c r="O815" s="490"/>
      <c r="P815" s="490" t="s">
        <v>10084</v>
      </c>
    </row>
    <row r="816">
      <c r="A816" s="490"/>
      <c r="B816" s="490"/>
      <c r="C816" s="490"/>
      <c r="D816" s="490"/>
      <c r="E816" s="593" t="str">
        <f>IFERROR(__xludf.DUMMYFUNCTION("""COMPUTED_VALUE"""),"DELL")</f>
        <v>DELL</v>
      </c>
      <c r="F816" s="593" t="str">
        <f>IFERROR(__xludf.DUMMYFUNCTION("""COMPUTED_VALUE"""),"OPTIPLEX 3020")</f>
        <v>OPTIPLEX 3020</v>
      </c>
      <c r="G816" s="490"/>
      <c r="H816" s="490"/>
      <c r="I816" s="490"/>
      <c r="J816" s="588"/>
      <c r="K816" s="490"/>
      <c r="L816" s="490"/>
      <c r="M816" s="490"/>
      <c r="N816" s="490"/>
      <c r="O816" s="490"/>
      <c r="P816" s="490" t="s">
        <v>9504</v>
      </c>
    </row>
    <row r="817">
      <c r="A817" s="490"/>
      <c r="B817" s="490"/>
      <c r="C817" s="490"/>
      <c r="D817" s="490"/>
      <c r="E817" s="593" t="str">
        <f>IFERROR(__xludf.DUMMYFUNCTION("""COMPUTED_VALUE"""),"DELL")</f>
        <v>DELL</v>
      </c>
      <c r="F817" s="593" t="str">
        <f>IFERROR(__xludf.DUMMYFUNCTION("""COMPUTED_VALUE"""),"POWER EDGE R430")</f>
        <v>POWER EDGE R430</v>
      </c>
      <c r="G817" s="490"/>
      <c r="H817" s="490"/>
      <c r="I817" s="490"/>
      <c r="J817" s="588"/>
      <c r="K817" s="490"/>
      <c r="L817" s="490"/>
      <c r="M817" s="490"/>
      <c r="N817" s="490"/>
      <c r="O817" s="490"/>
      <c r="P817" s="490" t="s">
        <v>10087</v>
      </c>
    </row>
    <row r="818">
      <c r="A818" s="490"/>
      <c r="B818" s="490"/>
      <c r="C818" s="490"/>
      <c r="D818" s="490"/>
      <c r="E818" s="593" t="str">
        <f>IFERROR(__xludf.DUMMYFUNCTION("""COMPUTED_VALUE"""),"DELL")</f>
        <v>DELL</v>
      </c>
      <c r="F818" s="593" t="str">
        <f>IFERROR(__xludf.DUMMYFUNCTION("""COMPUTED_VALUE"""),"POWER EDGE R340")</f>
        <v>POWER EDGE R340</v>
      </c>
      <c r="G818" s="490"/>
      <c r="H818" s="490"/>
      <c r="I818" s="490"/>
      <c r="J818" s="588"/>
      <c r="K818" s="490"/>
      <c r="L818" s="490"/>
      <c r="M818" s="490"/>
      <c r="N818" s="490"/>
      <c r="O818" s="490"/>
      <c r="P818" s="490" t="s">
        <v>10090</v>
      </c>
    </row>
    <row r="819">
      <c r="A819" s="490"/>
      <c r="B819" s="490"/>
      <c r="C819" s="490"/>
      <c r="D819" s="490"/>
      <c r="E819" s="593" t="str">
        <f>IFERROR(__xludf.DUMMYFUNCTION("""COMPUTED_VALUE"""),"DELL")</f>
        <v>DELL</v>
      </c>
      <c r="F819" s="593" t="str">
        <f>IFERROR(__xludf.DUMMYFUNCTION("""COMPUTED_VALUE"""),"POWEREDGE")</f>
        <v>POWEREDGE</v>
      </c>
      <c r="G819" s="490"/>
      <c r="H819" s="490"/>
      <c r="I819" s="490"/>
      <c r="J819" s="588"/>
      <c r="K819" s="490"/>
      <c r="L819" s="490"/>
      <c r="M819" s="490"/>
      <c r="N819" s="490"/>
      <c r="O819" s="490"/>
      <c r="P819" s="490" t="s">
        <v>10094</v>
      </c>
    </row>
    <row r="820">
      <c r="A820" s="490"/>
      <c r="B820" s="490"/>
      <c r="C820" s="490"/>
      <c r="D820" s="490"/>
      <c r="E820" s="593" t="str">
        <f>IFERROR(__xludf.DUMMYFUNCTION("""COMPUTED_VALUE"""),"DELL")</f>
        <v>DELL</v>
      </c>
      <c r="F820" s="593" t="str">
        <f>IFERROR(__xludf.DUMMYFUNCTION("""COMPUTED_VALUE"""),"POWEREDGE 12230")</f>
        <v>POWEREDGE 12230</v>
      </c>
      <c r="G820" s="490"/>
      <c r="H820" s="490"/>
      <c r="I820" s="490"/>
      <c r="J820" s="588"/>
      <c r="K820" s="490"/>
      <c r="L820" s="490"/>
      <c r="M820" s="490"/>
      <c r="N820" s="490"/>
      <c r="O820" s="490"/>
      <c r="P820" s="490" t="s">
        <v>10097</v>
      </c>
    </row>
    <row r="821">
      <c r="A821" s="490"/>
      <c r="B821" s="490"/>
      <c r="C821" s="490"/>
      <c r="D821" s="490"/>
      <c r="E821" s="593" t="str">
        <f>IFERROR(__xludf.DUMMYFUNCTION("""COMPUTED_VALUE"""),"DELL")</f>
        <v>DELL</v>
      </c>
      <c r="F821" s="593" t="str">
        <f>IFERROR(__xludf.DUMMYFUNCTION("""COMPUTED_VALUE"""),"POWEREDGE 2950")</f>
        <v>POWEREDGE 2950</v>
      </c>
      <c r="G821" s="490"/>
      <c r="H821" s="490"/>
      <c r="I821" s="490"/>
      <c r="J821" s="588"/>
      <c r="K821" s="490"/>
      <c r="L821" s="490"/>
      <c r="M821" s="490"/>
      <c r="N821" s="490"/>
      <c r="O821" s="490"/>
      <c r="P821" s="490" t="s">
        <v>10100</v>
      </c>
    </row>
    <row r="822">
      <c r="A822" s="490"/>
      <c r="B822" s="490"/>
      <c r="C822" s="490"/>
      <c r="D822" s="490"/>
      <c r="E822" s="593" t="str">
        <f>IFERROR(__xludf.DUMMYFUNCTION("""COMPUTED_VALUE"""),"DELL")</f>
        <v>DELL</v>
      </c>
      <c r="F822" s="593" t="str">
        <f>IFERROR(__xludf.DUMMYFUNCTION("""COMPUTED_VALUE"""),"POWEREDGE R220")</f>
        <v>POWEREDGE R220</v>
      </c>
      <c r="G822" s="490"/>
      <c r="H822" s="490"/>
      <c r="I822" s="490"/>
      <c r="J822" s="588"/>
      <c r="K822" s="490"/>
      <c r="L822" s="490"/>
      <c r="M822" s="490"/>
      <c r="N822" s="490"/>
      <c r="O822" s="490"/>
      <c r="P822" s="490" t="s">
        <v>10103</v>
      </c>
    </row>
    <row r="823">
      <c r="A823" s="490"/>
      <c r="B823" s="490"/>
      <c r="C823" s="490"/>
      <c r="D823" s="490"/>
      <c r="E823" s="593" t="str">
        <f>IFERROR(__xludf.DUMMYFUNCTION("""COMPUTED_VALUE"""),"DELL")</f>
        <v>DELL</v>
      </c>
      <c r="F823" s="593" t="str">
        <f>IFERROR(__xludf.DUMMYFUNCTION("""COMPUTED_VALUE"""),"POWEREDGE R230")</f>
        <v>POWEREDGE R230</v>
      </c>
      <c r="G823" s="490"/>
      <c r="H823" s="490"/>
      <c r="I823" s="490"/>
      <c r="J823" s="588"/>
      <c r="K823" s="490"/>
      <c r="L823" s="490"/>
      <c r="M823" s="490"/>
      <c r="N823" s="490"/>
      <c r="O823" s="490"/>
      <c r="P823" s="490" t="s">
        <v>10106</v>
      </c>
    </row>
    <row r="824">
      <c r="A824" s="490"/>
      <c r="B824" s="490"/>
      <c r="C824" s="490"/>
      <c r="D824" s="490"/>
      <c r="E824" s="593" t="str">
        <f>IFERROR(__xludf.DUMMYFUNCTION("""COMPUTED_VALUE"""),"DELL")</f>
        <v>DELL</v>
      </c>
      <c r="F824" s="593" t="str">
        <f>IFERROR(__xludf.DUMMYFUNCTION("""COMPUTED_VALUE"""),"POWEREDGE R430")</f>
        <v>POWEREDGE R430</v>
      </c>
      <c r="G824" s="490"/>
      <c r="H824" s="490"/>
      <c r="I824" s="490"/>
      <c r="J824" s="588"/>
      <c r="K824" s="490"/>
      <c r="L824" s="490"/>
      <c r="M824" s="490"/>
      <c r="N824" s="490"/>
      <c r="O824" s="490"/>
      <c r="P824" s="490" t="s">
        <v>10109</v>
      </c>
    </row>
    <row r="825">
      <c r="A825" s="490"/>
      <c r="B825" s="490"/>
      <c r="C825" s="490"/>
      <c r="D825" s="490"/>
      <c r="E825" s="593" t="str">
        <f>IFERROR(__xludf.DUMMYFUNCTION("""COMPUTED_VALUE"""),"DELL")</f>
        <v>DELL</v>
      </c>
      <c r="F825" s="593" t="str">
        <f>IFERROR(__xludf.DUMMYFUNCTION("""COMPUTED_VALUE"""),"POWEREDGE T430")</f>
        <v>POWEREDGE T430</v>
      </c>
      <c r="G825" s="490"/>
      <c r="H825" s="490"/>
      <c r="I825" s="490"/>
      <c r="J825" s="588"/>
      <c r="K825" s="490"/>
      <c r="L825" s="490"/>
      <c r="M825" s="490"/>
      <c r="N825" s="490"/>
      <c r="O825" s="490"/>
      <c r="P825" s="490" t="s">
        <v>10112</v>
      </c>
    </row>
    <row r="826">
      <c r="A826" s="490"/>
      <c r="B826" s="490"/>
      <c r="C826" s="490"/>
      <c r="D826" s="490"/>
      <c r="E826" s="593" t="str">
        <f>IFERROR(__xludf.DUMMYFUNCTION("""COMPUTED_VALUE"""),"DELL")</f>
        <v>DELL</v>
      </c>
      <c r="F826" s="593" t="str">
        <f>IFERROR(__xludf.DUMMYFUNCTION("""COMPUTED_VALUE"""),"POWEREDGE T20")</f>
        <v>POWEREDGE T20</v>
      </c>
      <c r="G826" s="490"/>
      <c r="H826" s="490"/>
      <c r="I826" s="490"/>
      <c r="J826" s="588"/>
      <c r="K826" s="490"/>
      <c r="L826" s="490"/>
      <c r="M826" s="490"/>
      <c r="N826" s="490"/>
      <c r="O826" s="490"/>
      <c r="P826" s="490" t="s">
        <v>10115</v>
      </c>
    </row>
    <row r="827">
      <c r="A827" s="490"/>
      <c r="B827" s="490"/>
      <c r="C827" s="490"/>
      <c r="D827" s="490"/>
      <c r="E827" s="593" t="str">
        <f>IFERROR(__xludf.DUMMYFUNCTION("""COMPUTED_VALUE"""),"DELL")</f>
        <v>DELL</v>
      </c>
      <c r="F827" s="593" t="str">
        <f>IFERROR(__xludf.DUMMYFUNCTION("""COMPUTED_VALUE"""),"PRECISION 3520")</f>
        <v>PRECISION 3520</v>
      </c>
      <c r="G827" s="490"/>
      <c r="H827" s="490"/>
      <c r="I827" s="490"/>
      <c r="J827" s="588"/>
      <c r="K827" s="490"/>
      <c r="L827" s="490"/>
      <c r="M827" s="490"/>
      <c r="N827" s="490"/>
      <c r="O827" s="490"/>
      <c r="P827" s="490" t="s">
        <v>9507</v>
      </c>
    </row>
    <row r="828">
      <c r="A828" s="490"/>
      <c r="B828" s="490"/>
      <c r="C828" s="490"/>
      <c r="D828" s="490"/>
      <c r="E828" s="593" t="str">
        <f>IFERROR(__xludf.DUMMYFUNCTION("""COMPUTED_VALUE"""),"DELL")</f>
        <v>DELL</v>
      </c>
      <c r="F828" s="593" t="str">
        <f>IFERROR(__xludf.DUMMYFUNCTION("""COMPUTED_VALUE"""),"PRECISION T1700")</f>
        <v>PRECISION T1700</v>
      </c>
      <c r="G828" s="490"/>
      <c r="H828" s="490"/>
      <c r="I828" s="490"/>
      <c r="J828" s="588"/>
      <c r="K828" s="490"/>
      <c r="L828" s="490"/>
      <c r="M828" s="490"/>
      <c r="N828" s="490"/>
      <c r="O828" s="490"/>
      <c r="P828" s="490" t="s">
        <v>10118</v>
      </c>
    </row>
    <row r="829">
      <c r="A829" s="490"/>
      <c r="B829" s="490"/>
      <c r="C829" s="490"/>
      <c r="D829" s="490"/>
      <c r="E829" s="593" t="str">
        <f>IFERROR(__xludf.DUMMYFUNCTION("""COMPUTED_VALUE"""),"DELL")</f>
        <v>DELL</v>
      </c>
      <c r="F829" s="593" t="str">
        <f>IFERROR(__xludf.DUMMYFUNCTION("""COMPUTED_VALUE"""),"PRECISION T5600")</f>
        <v>PRECISION T5600</v>
      </c>
      <c r="G829" s="490"/>
      <c r="H829" s="490"/>
      <c r="I829" s="490"/>
      <c r="J829" s="588"/>
      <c r="K829" s="490"/>
      <c r="L829" s="490"/>
      <c r="M829" s="490"/>
      <c r="N829" s="490"/>
      <c r="O829" s="490"/>
      <c r="P829" s="490" t="s">
        <v>10121</v>
      </c>
    </row>
    <row r="830">
      <c r="A830" s="490"/>
      <c r="B830" s="490"/>
      <c r="C830" s="490"/>
      <c r="D830" s="490"/>
      <c r="E830" s="593" t="str">
        <f>IFERROR(__xludf.DUMMYFUNCTION("""COMPUTED_VALUE"""),"DELL")</f>
        <v>DELL</v>
      </c>
      <c r="F830" s="593" t="str">
        <f>IFERROR(__xludf.DUMMYFUNCTION("""COMPUTED_VALUE"""),"PRESICION T3600")</f>
        <v>PRESICION T3600</v>
      </c>
      <c r="G830" s="490"/>
      <c r="H830" s="490"/>
      <c r="I830" s="490"/>
      <c r="J830" s="588"/>
      <c r="K830" s="490"/>
      <c r="L830" s="490"/>
      <c r="M830" s="490"/>
      <c r="N830" s="490"/>
      <c r="O830" s="490"/>
      <c r="P830" s="490" t="s">
        <v>10124</v>
      </c>
    </row>
    <row r="831">
      <c r="A831" s="490"/>
      <c r="B831" s="490"/>
      <c r="C831" s="490"/>
      <c r="D831" s="490"/>
      <c r="E831" s="593" t="str">
        <f>IFERROR(__xludf.DUMMYFUNCTION("""COMPUTED_VALUE"""),"DELL")</f>
        <v>DELL</v>
      </c>
      <c r="F831" s="593" t="str">
        <f>IFERROR(__xludf.DUMMYFUNCTION("""COMPUTED_VALUE"""),"SERVER POWER EDGE T630")</f>
        <v>SERVER POWER EDGE T630</v>
      </c>
      <c r="G831" s="490"/>
      <c r="H831" s="490"/>
      <c r="I831" s="490"/>
      <c r="J831" s="588"/>
      <c r="K831" s="490"/>
      <c r="L831" s="490"/>
      <c r="M831" s="490"/>
      <c r="N831" s="490"/>
      <c r="O831" s="490"/>
      <c r="P831" s="490" t="s">
        <v>10127</v>
      </c>
    </row>
    <row r="832">
      <c r="A832" s="490"/>
      <c r="B832" s="490"/>
      <c r="C832" s="490"/>
      <c r="D832" s="490"/>
      <c r="E832" s="593" t="str">
        <f>IFERROR(__xludf.DUMMYFUNCTION("""COMPUTED_VALUE"""),"DELL")</f>
        <v>DELL</v>
      </c>
      <c r="F832" s="593" t="str">
        <f>IFERROR(__xludf.DUMMYFUNCTION("""COMPUTED_VALUE"""),"SMA 200")</f>
        <v>SMA 200</v>
      </c>
      <c r="G832" s="490"/>
      <c r="H832" s="490"/>
      <c r="I832" s="490"/>
      <c r="J832" s="588"/>
      <c r="K832" s="490"/>
      <c r="L832" s="490"/>
      <c r="M832" s="490"/>
      <c r="N832" s="490"/>
      <c r="O832" s="490"/>
      <c r="P832" s="490" t="s">
        <v>10131</v>
      </c>
    </row>
    <row r="833">
      <c r="A833" s="490"/>
      <c r="B833" s="490"/>
      <c r="C833" s="490"/>
      <c r="D833" s="490"/>
      <c r="E833" s="593" t="str">
        <f>IFERROR(__xludf.DUMMYFUNCTION("""COMPUTED_VALUE"""),"DELL")</f>
        <v>DELL</v>
      </c>
      <c r="F833" s="593" t="str">
        <f>IFERROR(__xludf.DUMMYFUNCTION("""COMPUTED_VALUE"""),"T1700")</f>
        <v>T1700</v>
      </c>
      <c r="G833" s="490"/>
      <c r="H833" s="490"/>
      <c r="I833" s="490"/>
      <c r="J833" s="588"/>
      <c r="K833" s="490"/>
      <c r="L833" s="490"/>
      <c r="M833" s="490"/>
      <c r="N833" s="490"/>
      <c r="O833" s="490"/>
      <c r="P833" s="490" t="s">
        <v>10134</v>
      </c>
    </row>
    <row r="834">
      <c r="A834" s="490"/>
      <c r="B834" s="490"/>
      <c r="C834" s="490"/>
      <c r="D834" s="490"/>
      <c r="E834" s="593" t="str">
        <f>IFERROR(__xludf.DUMMYFUNCTION("""COMPUTED_VALUE"""),"DELL")</f>
        <v>DELL</v>
      </c>
      <c r="F834" s="593" t="str">
        <f>IFERROR(__xludf.DUMMYFUNCTION("""COMPUTED_VALUE"""),"T30 POWER EDGE")</f>
        <v>T30 POWER EDGE</v>
      </c>
      <c r="G834" s="490"/>
      <c r="H834" s="490"/>
      <c r="I834" s="490"/>
      <c r="J834" s="588"/>
      <c r="K834" s="490"/>
      <c r="L834" s="490"/>
      <c r="M834" s="490"/>
      <c r="N834" s="490"/>
      <c r="O834" s="490"/>
      <c r="P834" s="490" t="s">
        <v>10137</v>
      </c>
    </row>
    <row r="835">
      <c r="A835" s="490"/>
      <c r="B835" s="490"/>
      <c r="C835" s="490"/>
      <c r="D835" s="490"/>
      <c r="E835" s="593" t="str">
        <f>IFERROR(__xludf.DUMMYFUNCTION("""COMPUTED_VALUE"""),"DELL")</f>
        <v>DELL</v>
      </c>
      <c r="F835" s="593" t="str">
        <f>IFERROR(__xludf.DUMMYFUNCTION("""COMPUTED_VALUE"""),"T320")</f>
        <v>T320</v>
      </c>
      <c r="G835" s="490"/>
      <c r="H835" s="490"/>
      <c r="I835" s="490"/>
      <c r="J835" s="588"/>
      <c r="K835" s="490"/>
      <c r="L835" s="490"/>
      <c r="M835" s="490"/>
      <c r="N835" s="490"/>
      <c r="O835" s="490"/>
      <c r="P835" s="490" t="s">
        <v>10140</v>
      </c>
    </row>
    <row r="836">
      <c r="A836" s="490"/>
      <c r="B836" s="490"/>
      <c r="C836" s="490"/>
      <c r="D836" s="490"/>
      <c r="E836" s="593" t="str">
        <f>IFERROR(__xludf.DUMMYFUNCTION("""COMPUTED_VALUE"""),"DELL")</f>
        <v>DELL</v>
      </c>
      <c r="F836" s="593" t="str">
        <f>IFERROR(__xludf.DUMMYFUNCTION("""COMPUTED_VALUE"""),"VOSTRO")</f>
        <v>VOSTRO</v>
      </c>
      <c r="G836" s="490"/>
      <c r="H836" s="490"/>
      <c r="I836" s="490"/>
      <c r="J836" s="588"/>
      <c r="K836" s="490"/>
      <c r="L836" s="490"/>
      <c r="M836" s="490"/>
      <c r="N836" s="490"/>
      <c r="O836" s="490"/>
      <c r="P836" s="490" t="s">
        <v>10143</v>
      </c>
    </row>
    <row r="837">
      <c r="A837" s="490"/>
      <c r="B837" s="490"/>
      <c r="C837" s="490"/>
      <c r="D837" s="490"/>
      <c r="E837" s="593" t="str">
        <f>IFERROR(__xludf.DUMMYFUNCTION("""COMPUTED_VALUE"""),"DELL")</f>
        <v>DELL</v>
      </c>
      <c r="F837" s="593" t="str">
        <f>IFERROR(__xludf.DUMMYFUNCTION("""COMPUTED_VALUE"""),"VOSTRO 3558")</f>
        <v>VOSTRO 3558</v>
      </c>
      <c r="G837" s="490"/>
      <c r="H837" s="490"/>
      <c r="I837" s="490"/>
      <c r="J837" s="588"/>
      <c r="K837" s="490"/>
      <c r="L837" s="490"/>
      <c r="M837" s="490"/>
      <c r="N837" s="490"/>
      <c r="O837" s="490"/>
      <c r="P837" s="490" t="s">
        <v>10146</v>
      </c>
    </row>
    <row r="838">
      <c r="A838" s="490"/>
      <c r="B838" s="490"/>
      <c r="C838" s="490"/>
      <c r="D838" s="490"/>
      <c r="E838" s="593" t="str">
        <f>IFERROR(__xludf.DUMMYFUNCTION("""COMPUTED_VALUE"""),"DELL")</f>
        <v>DELL</v>
      </c>
      <c r="F838" s="593" t="str">
        <f>IFERROR(__xludf.DUMMYFUNCTION("""COMPUTED_VALUE"""),"W18B")</f>
        <v>W18B</v>
      </c>
      <c r="G838" s="490"/>
      <c r="H838" s="490"/>
      <c r="I838" s="490"/>
      <c r="J838" s="588"/>
      <c r="K838" s="490"/>
      <c r="L838" s="490"/>
      <c r="M838" s="490"/>
      <c r="N838" s="490"/>
      <c r="O838" s="490"/>
      <c r="P838" s="490" t="s">
        <v>9510</v>
      </c>
    </row>
    <row r="839">
      <c r="A839" s="490"/>
      <c r="B839" s="490"/>
      <c r="C839" s="490"/>
      <c r="D839" s="490"/>
      <c r="E839" s="593" t="str">
        <f>IFERROR(__xludf.DUMMYFUNCTION("""COMPUTED_VALUE"""),"DELL")</f>
        <v>DELL</v>
      </c>
      <c r="F839" s="593" t="str">
        <f>IFERROR(__xludf.DUMMYFUNCTION("""COMPUTED_VALUE"""),"WINDOWS SERVER 2008 R2")</f>
        <v>WINDOWS SERVER 2008 R2</v>
      </c>
      <c r="G839" s="490"/>
      <c r="H839" s="490"/>
      <c r="I839" s="490"/>
      <c r="J839" s="588"/>
      <c r="K839" s="490"/>
      <c r="L839" s="490"/>
      <c r="M839" s="490"/>
      <c r="N839" s="490"/>
      <c r="O839" s="490"/>
      <c r="P839" s="490" t="s">
        <v>10149</v>
      </c>
    </row>
    <row r="840">
      <c r="A840" s="490"/>
      <c r="B840" s="490"/>
      <c r="C840" s="490"/>
      <c r="D840" s="490"/>
      <c r="E840" s="593" t="str">
        <f>IFERROR(__xludf.DUMMYFUNCTION("""COMPUTED_VALUE"""),"DELL")</f>
        <v>DELL</v>
      </c>
      <c r="F840" s="593" t="str">
        <f>IFERROR(__xludf.DUMMYFUNCTION("""COMPUTED_VALUE"""),"PRECISION 5280")</f>
        <v>PRECISION 5280</v>
      </c>
      <c r="G840" s="490"/>
      <c r="H840" s="490"/>
      <c r="I840" s="490"/>
      <c r="J840" s="588"/>
      <c r="K840" s="490"/>
      <c r="L840" s="490"/>
      <c r="M840" s="490"/>
      <c r="N840" s="490"/>
      <c r="O840" s="490"/>
      <c r="P840" s="490" t="s">
        <v>10152</v>
      </c>
    </row>
    <row r="841">
      <c r="A841" s="490"/>
      <c r="B841" s="490"/>
      <c r="C841" s="490"/>
      <c r="D841" s="490"/>
      <c r="E841" s="593" t="str">
        <f>IFERROR(__xludf.DUMMYFUNCTION("""COMPUTED_VALUE"""),"DELL")</f>
        <v>DELL</v>
      </c>
      <c r="F841" s="593" t="str">
        <f>IFERROR(__xludf.DUMMYFUNCTION("""COMPUTED_VALUE"""),"PRECISION T3630")</f>
        <v>PRECISION T3630</v>
      </c>
      <c r="G841" s="490"/>
      <c r="H841" s="490"/>
      <c r="I841" s="490"/>
      <c r="J841" s="588"/>
      <c r="K841" s="490"/>
      <c r="L841" s="490"/>
      <c r="M841" s="490"/>
      <c r="N841" s="490"/>
      <c r="O841" s="490"/>
      <c r="P841" s="490" t="s">
        <v>10155</v>
      </c>
    </row>
    <row r="842">
      <c r="A842" s="490"/>
      <c r="B842" s="490"/>
      <c r="C842" s="490"/>
      <c r="D842" s="490"/>
      <c r="E842" s="593" t="str">
        <f>IFERROR(__xludf.DUMMYFUNCTION("""COMPUTED_VALUE"""),"DELL")</f>
        <v>DELL</v>
      </c>
      <c r="F842" s="593" t="str">
        <f>IFERROR(__xludf.DUMMYFUNCTION("""COMPUTED_VALUE"""),"POWEREDGE R240")</f>
        <v>POWEREDGE R240</v>
      </c>
      <c r="G842" s="490"/>
      <c r="H842" s="490"/>
      <c r="I842" s="490"/>
      <c r="J842" s="588"/>
      <c r="K842" s="490"/>
      <c r="L842" s="490"/>
      <c r="M842" s="490"/>
      <c r="N842" s="490"/>
      <c r="O842" s="490"/>
      <c r="P842" s="490" t="s">
        <v>10158</v>
      </c>
    </row>
    <row r="843">
      <c r="A843" s="490"/>
      <c r="B843" s="490"/>
      <c r="C843" s="490"/>
      <c r="D843" s="490"/>
      <c r="E843" s="593" t="str">
        <f>IFERROR(__xludf.DUMMYFUNCTION("""COMPUTED_VALUE"""),"DELL")</f>
        <v>DELL</v>
      </c>
      <c r="F843" s="593" t="str">
        <f>IFERROR(__xludf.DUMMYFUNCTION("""COMPUTED_VALUE"""),"PRECISION 3431")</f>
        <v>PRECISION 3431</v>
      </c>
      <c r="G843" s="490"/>
      <c r="H843" s="490"/>
      <c r="I843" s="490"/>
      <c r="J843" s="588"/>
      <c r="K843" s="490"/>
      <c r="L843" s="490"/>
      <c r="M843" s="490"/>
      <c r="N843" s="490"/>
      <c r="O843" s="490"/>
      <c r="P843" s="490" t="s">
        <v>10161</v>
      </c>
    </row>
    <row r="844">
      <c r="A844" s="490"/>
      <c r="B844" s="490"/>
      <c r="C844" s="490"/>
      <c r="D844" s="490"/>
      <c r="E844" s="593" t="str">
        <f>IFERROR(__xludf.DUMMYFUNCTION("""COMPUTED_VALUE"""),"DELL")</f>
        <v>DELL</v>
      </c>
      <c r="F844" s="593" t="str">
        <f>IFERROR(__xludf.DUMMYFUNCTION("""COMPUTED_VALUE"""),"D11S004")</f>
        <v>D11S004</v>
      </c>
      <c r="G844" s="490"/>
      <c r="H844" s="490"/>
      <c r="I844" s="490"/>
      <c r="J844" s="588"/>
      <c r="K844" s="490"/>
      <c r="L844" s="490"/>
      <c r="M844" s="490"/>
      <c r="N844" s="490"/>
      <c r="O844" s="490"/>
      <c r="P844" s="490" t="s">
        <v>10164</v>
      </c>
    </row>
    <row r="845">
      <c r="A845" s="490"/>
      <c r="B845" s="490"/>
      <c r="C845" s="490"/>
      <c r="D845" s="490"/>
      <c r="E845" s="593" t="str">
        <f>IFERROR(__xludf.DUMMYFUNCTION("""COMPUTED_VALUE"""),"DELL")</f>
        <v>DELL</v>
      </c>
      <c r="F845" s="593" t="str">
        <f>IFERROR(__xludf.DUMMYFUNCTION("""COMPUTED_VALUE"""),"D11S004")</f>
        <v>D11S004</v>
      </c>
      <c r="G845" s="490"/>
      <c r="H845" s="490"/>
      <c r="I845" s="490"/>
      <c r="J845" s="588"/>
      <c r="K845" s="490"/>
      <c r="L845" s="490"/>
      <c r="M845" s="490"/>
      <c r="N845" s="490"/>
      <c r="O845" s="490"/>
      <c r="P845" s="490" t="s">
        <v>10168</v>
      </c>
    </row>
    <row r="846">
      <c r="A846" s="490"/>
      <c r="B846" s="490"/>
      <c r="C846" s="490"/>
      <c r="D846" s="490"/>
      <c r="E846" s="593" t="str">
        <f>IFERROR(__xludf.DUMMYFUNCTION("""COMPUTED_VALUE"""),"DELL")</f>
        <v>DELL</v>
      </c>
      <c r="F846" s="593" t="str">
        <f>IFERROR(__xludf.DUMMYFUNCTION("""COMPUTED_VALUE"""),"POWEREDGE T340")</f>
        <v>POWEREDGE T340</v>
      </c>
      <c r="G846" s="490"/>
      <c r="H846" s="490"/>
      <c r="I846" s="490"/>
      <c r="J846" s="588"/>
      <c r="K846" s="490"/>
      <c r="L846" s="490"/>
      <c r="M846" s="490"/>
      <c r="N846" s="490"/>
      <c r="O846" s="490"/>
      <c r="P846" s="490" t="s">
        <v>10171</v>
      </c>
    </row>
    <row r="847">
      <c r="A847" s="490"/>
      <c r="B847" s="490"/>
      <c r="C847" s="490"/>
      <c r="D847" s="490"/>
      <c r="E847" s="593" t="str">
        <f>IFERROR(__xludf.DUMMYFUNCTION("""COMPUTED_VALUE"""),"DELL")</f>
        <v>DELL</v>
      </c>
      <c r="F847" s="593" t="str">
        <f>IFERROR(__xludf.DUMMYFUNCTION("""COMPUTED_VALUE"""),"POWEREDGE T440")</f>
        <v>POWEREDGE T440</v>
      </c>
      <c r="G847" s="490"/>
      <c r="H847" s="490"/>
      <c r="I847" s="490"/>
      <c r="J847" s="588"/>
      <c r="K847" s="490"/>
      <c r="L847" s="490"/>
      <c r="M847" s="490"/>
      <c r="N847" s="490"/>
      <c r="O847" s="490"/>
      <c r="P847" s="490" t="s">
        <v>10174</v>
      </c>
    </row>
    <row r="848">
      <c r="A848" s="490"/>
      <c r="B848" s="490"/>
      <c r="C848" s="490"/>
      <c r="D848" s="490"/>
      <c r="E848" s="593" t="str">
        <f>IFERROR(__xludf.DUMMYFUNCTION("""COMPUTED_VALUE"""),"DELL")</f>
        <v>DELL</v>
      </c>
      <c r="F848" s="593" t="str">
        <f>IFERROR(__xludf.DUMMYFUNCTION("""COMPUTED_VALUE"""),"OPTIPLEX 7080")</f>
        <v>OPTIPLEX 7080</v>
      </c>
      <c r="G848" s="490"/>
      <c r="H848" s="490"/>
      <c r="I848" s="490"/>
      <c r="J848" s="588"/>
      <c r="K848" s="490"/>
      <c r="L848" s="490"/>
      <c r="M848" s="490"/>
      <c r="N848" s="490"/>
      <c r="O848" s="490"/>
      <c r="P848" s="490" t="s">
        <v>10177</v>
      </c>
    </row>
    <row r="849">
      <c r="A849" s="490"/>
      <c r="B849" s="490"/>
      <c r="C849" s="490"/>
      <c r="D849" s="490"/>
      <c r="E849" s="593" t="str">
        <f>IFERROR(__xludf.DUMMYFUNCTION("""COMPUTED_VALUE"""),"DELL")</f>
        <v>DELL</v>
      </c>
      <c r="F849" s="593" t="str">
        <f>IFERROR(__xludf.DUMMYFUNCTION("""COMPUTED_VALUE"""),"OPTIPLEX 3070")</f>
        <v>OPTIPLEX 3070</v>
      </c>
      <c r="G849" s="490"/>
      <c r="H849" s="490"/>
      <c r="I849" s="490"/>
      <c r="J849" s="588"/>
      <c r="K849" s="490"/>
      <c r="L849" s="490"/>
      <c r="M849" s="490"/>
      <c r="N849" s="490"/>
      <c r="O849" s="490"/>
      <c r="P849" s="490" t="s">
        <v>9513</v>
      </c>
    </row>
    <row r="850">
      <c r="A850" s="490"/>
      <c r="B850" s="490"/>
      <c r="C850" s="490"/>
      <c r="D850" s="490"/>
      <c r="E850" s="593" t="str">
        <f>IFERROR(__xludf.DUMMYFUNCTION("""COMPUTED_VALUE"""),"DELL")</f>
        <v>DELL</v>
      </c>
      <c r="F850" s="593" t="str">
        <f>IFERROR(__xludf.DUMMYFUNCTION("""COMPUTED_VALUE"""),"OPTIPLEX 3080")</f>
        <v>OPTIPLEX 3080</v>
      </c>
      <c r="G850" s="490"/>
      <c r="H850" s="490"/>
      <c r="I850" s="490"/>
      <c r="J850" s="588"/>
      <c r="K850" s="490"/>
      <c r="L850" s="490"/>
      <c r="M850" s="490"/>
      <c r="N850" s="490"/>
      <c r="O850" s="490"/>
      <c r="P850" s="490" t="s">
        <v>10180</v>
      </c>
    </row>
    <row r="851">
      <c r="A851" s="490"/>
      <c r="B851" s="490"/>
      <c r="C851" s="490"/>
      <c r="D851" s="490"/>
      <c r="E851" s="593" t="str">
        <f>IFERROR(__xludf.DUMMYFUNCTION("""COMPUTED_VALUE"""),"DELL")</f>
        <v>DELL</v>
      </c>
      <c r="F851" s="593" t="str">
        <f>IFERROR(__xludf.DUMMYFUNCTION("""COMPUTED_VALUE"""),"VOSTRO 3470")</f>
        <v>VOSTRO 3470</v>
      </c>
      <c r="G851" s="490"/>
      <c r="H851" s="490"/>
      <c r="I851" s="490"/>
      <c r="J851" s="588"/>
      <c r="K851" s="490"/>
      <c r="L851" s="490"/>
      <c r="M851" s="490"/>
      <c r="N851" s="490"/>
      <c r="O851" s="490"/>
      <c r="P851" s="490" t="s">
        <v>10183</v>
      </c>
    </row>
    <row r="852">
      <c r="A852" s="490"/>
      <c r="B852" s="490"/>
      <c r="C852" s="490"/>
      <c r="D852" s="490"/>
      <c r="E852" s="593" t="str">
        <f>IFERROR(__xludf.DUMMYFUNCTION("""COMPUTED_VALUE"""),"DELL")</f>
        <v>DELL</v>
      </c>
      <c r="F852" s="593" t="str">
        <f>IFERROR(__xludf.DUMMYFUNCTION("""COMPUTED_VALUE"""),"WINDOWS SERVER")</f>
        <v>WINDOWS SERVER</v>
      </c>
      <c r="G852" s="490"/>
      <c r="H852" s="490"/>
      <c r="I852" s="490"/>
      <c r="J852" s="588"/>
      <c r="K852" s="490"/>
      <c r="L852" s="490"/>
      <c r="M852" s="490"/>
      <c r="N852" s="490"/>
      <c r="O852" s="490"/>
      <c r="P852" s="490" t="s">
        <v>10186</v>
      </c>
    </row>
    <row r="853">
      <c r="A853" s="490"/>
      <c r="B853" s="490"/>
      <c r="C853" s="490"/>
      <c r="D853" s="490"/>
      <c r="E853" s="593" t="str">
        <f>IFERROR(__xludf.DUMMYFUNCTION("""COMPUTED_VALUE"""),"DELL")</f>
        <v>DELL</v>
      </c>
      <c r="F853" s="593" t="str">
        <f>IFERROR(__xludf.DUMMYFUNCTION("""COMPUTED_VALUE"""),"WINDOWS SERVER")</f>
        <v>WINDOWS SERVER</v>
      </c>
      <c r="G853" s="490"/>
      <c r="H853" s="490"/>
      <c r="I853" s="490"/>
      <c r="J853" s="588"/>
      <c r="K853" s="490"/>
      <c r="L853" s="490"/>
      <c r="M853" s="490"/>
      <c r="N853" s="490"/>
      <c r="O853" s="490"/>
      <c r="P853" s="490" t="s">
        <v>10189</v>
      </c>
    </row>
    <row r="854">
      <c r="A854" s="490"/>
      <c r="B854" s="490"/>
      <c r="C854" s="490"/>
      <c r="D854" s="490"/>
      <c r="E854" s="593" t="str">
        <f>IFERROR(__xludf.DUMMYFUNCTION("""COMPUTED_VALUE"""),"DELL")</f>
        <v>DELL</v>
      </c>
      <c r="F854" s="593" t="str">
        <f>IFERROR(__xludf.DUMMYFUNCTION("""COMPUTED_VALUE"""),"VOSTRO 3471")</f>
        <v>VOSTRO 3471</v>
      </c>
      <c r="G854" s="490"/>
      <c r="H854" s="490"/>
      <c r="I854" s="490"/>
      <c r="J854" s="588"/>
      <c r="K854" s="490"/>
      <c r="L854" s="490"/>
      <c r="M854" s="490"/>
      <c r="N854" s="490"/>
      <c r="O854" s="490"/>
      <c r="P854" s="490" t="s">
        <v>10192</v>
      </c>
    </row>
    <row r="855">
      <c r="A855" s="490"/>
      <c r="B855" s="490"/>
      <c r="C855" s="490"/>
      <c r="D855" s="490"/>
      <c r="E855" s="593" t="str">
        <f>IFERROR(__xludf.DUMMYFUNCTION("""COMPUTED_VALUE"""),"DELL")</f>
        <v>DELL</v>
      </c>
      <c r="F855" s="593" t="str">
        <f>IFERROR(__xludf.DUMMYFUNCTION("""COMPUTED_VALUE"""),"POWEREDGE T40")</f>
        <v>POWEREDGE T40</v>
      </c>
      <c r="G855" s="490"/>
      <c r="H855" s="490"/>
      <c r="I855" s="490"/>
      <c r="J855" s="588"/>
      <c r="K855" s="490"/>
      <c r="L855" s="490"/>
      <c r="M855" s="490"/>
      <c r="N855" s="490"/>
      <c r="O855" s="490"/>
      <c r="P855" s="490" t="s">
        <v>10195</v>
      </c>
    </row>
    <row r="856">
      <c r="A856" s="490"/>
      <c r="B856" s="490"/>
      <c r="C856" s="490"/>
      <c r="D856" s="490"/>
      <c r="E856" s="593" t="str">
        <f>IFERROR(__xludf.DUMMYFUNCTION("""COMPUTED_VALUE"""),"DELL")</f>
        <v>DELL</v>
      </c>
      <c r="F856" s="593" t="str">
        <f>IFERROR(__xludf.DUMMYFUNCTION("""COMPUTED_VALUE"""),"POWEREDGE R440")</f>
        <v>POWEREDGE R440</v>
      </c>
      <c r="G856" s="490"/>
      <c r="H856" s="490"/>
      <c r="I856" s="490"/>
      <c r="J856" s="588"/>
      <c r="K856" s="490"/>
      <c r="L856" s="490"/>
      <c r="M856" s="490"/>
      <c r="N856" s="490"/>
      <c r="O856" s="490"/>
      <c r="P856" s="490" t="s">
        <v>10198</v>
      </c>
    </row>
    <row r="857">
      <c r="A857" s="490"/>
      <c r="B857" s="490"/>
      <c r="C857" s="490"/>
      <c r="D857" s="490"/>
      <c r="E857" s="593" t="str">
        <f>IFERROR(__xludf.DUMMYFUNCTION("""COMPUTED_VALUE"""),"DELL")</f>
        <v>DELL</v>
      </c>
      <c r="F857" s="593" t="str">
        <f>IFERROR(__xludf.DUMMYFUNCTION("""COMPUTED_VALUE"""),"PRECISION 3660 TOWER")</f>
        <v>PRECISION 3660 TOWER</v>
      </c>
      <c r="G857" s="490"/>
      <c r="H857" s="490"/>
      <c r="I857" s="490"/>
      <c r="J857" s="588"/>
      <c r="K857" s="490"/>
      <c r="L857" s="490"/>
      <c r="M857" s="490"/>
      <c r="N857" s="490"/>
      <c r="O857" s="490"/>
      <c r="P857" s="490" t="s">
        <v>10201</v>
      </c>
    </row>
    <row r="858">
      <c r="A858" s="490"/>
      <c r="B858" s="490"/>
      <c r="C858" s="490"/>
      <c r="D858" s="490"/>
      <c r="E858" s="593" t="str">
        <f>IFERROR(__xludf.DUMMYFUNCTION("""COMPUTED_VALUE"""),"DELL")</f>
        <v>DELL</v>
      </c>
      <c r="F858" s="593" t="str">
        <f>IFERROR(__xludf.DUMMYFUNCTION("""COMPUTED_VALUE"""),"OPTIPLEX 5080")</f>
        <v>OPTIPLEX 5080</v>
      </c>
      <c r="G858" s="490"/>
      <c r="H858" s="490"/>
      <c r="I858" s="490"/>
      <c r="J858" s="588"/>
      <c r="K858" s="490"/>
      <c r="L858" s="490"/>
      <c r="M858" s="490"/>
      <c r="N858" s="490"/>
      <c r="O858" s="490"/>
      <c r="P858" s="490" t="s">
        <v>10205</v>
      </c>
    </row>
    <row r="859">
      <c r="A859" s="490"/>
      <c r="B859" s="490"/>
      <c r="C859" s="490"/>
      <c r="D859" s="490"/>
      <c r="E859" s="593" t="str">
        <f>IFERROR(__xludf.DUMMYFUNCTION("""COMPUTED_VALUE"""),"DELL")</f>
        <v>DELL</v>
      </c>
      <c r="F859" s="593" t="str">
        <f>IFERROR(__xludf.DUMMYFUNCTION("""COMPUTED_VALUE"""),"PRECISION 3640 TOWER")</f>
        <v>PRECISION 3640 TOWER</v>
      </c>
      <c r="G859" s="490"/>
      <c r="H859" s="490"/>
      <c r="I859" s="490"/>
      <c r="J859" s="588"/>
      <c r="K859" s="490"/>
      <c r="L859" s="490"/>
      <c r="M859" s="490"/>
      <c r="N859" s="490"/>
      <c r="O859" s="490"/>
      <c r="P859" s="490" t="s">
        <v>10208</v>
      </c>
    </row>
    <row r="860">
      <c r="A860" s="490"/>
      <c r="B860" s="490"/>
      <c r="C860" s="490"/>
      <c r="D860" s="490"/>
      <c r="E860" s="593" t="str">
        <f>IFERROR(__xludf.DUMMYFUNCTION("""COMPUTED_VALUE"""),"DELL")</f>
        <v>DELL</v>
      </c>
      <c r="F860" s="593" t="str">
        <f>IFERROR(__xludf.DUMMYFUNCTION("""COMPUTED_VALUE"""),"POWEREDGE R540")</f>
        <v>POWEREDGE R540</v>
      </c>
      <c r="G860" s="490"/>
      <c r="H860" s="490"/>
      <c r="I860" s="490"/>
      <c r="J860" s="588"/>
      <c r="K860" s="490"/>
      <c r="L860" s="490"/>
      <c r="M860" s="490"/>
      <c r="N860" s="490"/>
      <c r="O860" s="490"/>
      <c r="P860" s="490" t="s">
        <v>9516</v>
      </c>
    </row>
    <row r="861">
      <c r="A861" s="490"/>
      <c r="B861" s="490"/>
      <c r="C861" s="490"/>
      <c r="D861" s="490"/>
      <c r="E861" s="593" t="str">
        <f>IFERROR(__xludf.DUMMYFUNCTION("""COMPUTED_VALUE"""),"DELL")</f>
        <v>DELL</v>
      </c>
      <c r="F861" s="593" t="str">
        <f>IFERROR(__xludf.DUMMYFUNCTION("""COMPUTED_VALUE"""),"PRECISION 3650 TOWER")</f>
        <v>PRECISION 3650 TOWER</v>
      </c>
      <c r="G861" s="490"/>
      <c r="H861" s="490"/>
      <c r="I861" s="490"/>
      <c r="J861" s="588"/>
      <c r="K861" s="490"/>
      <c r="L861" s="490"/>
      <c r="M861" s="490"/>
      <c r="N861" s="490"/>
      <c r="O861" s="490"/>
      <c r="P861" s="490" t="s">
        <v>10211</v>
      </c>
    </row>
    <row r="862">
      <c r="A862" s="490"/>
      <c r="B862" s="490"/>
      <c r="C862" s="490"/>
      <c r="D862" s="490"/>
      <c r="E862" s="593" t="str">
        <f>IFERROR(__xludf.DUMMYFUNCTION("""COMPUTED_VALUE"""),"DELL")</f>
        <v>DELL</v>
      </c>
      <c r="F862" s="593" t="str">
        <f>IFERROR(__xludf.DUMMYFUNCTION("""COMPUTED_VALUE"""),"VOSTRO 3681")</f>
        <v>VOSTRO 3681</v>
      </c>
      <c r="G862" s="490"/>
      <c r="H862" s="490"/>
      <c r="I862" s="490"/>
      <c r="J862" s="588"/>
      <c r="K862" s="490"/>
      <c r="L862" s="490"/>
      <c r="M862" s="490"/>
      <c r="N862" s="490"/>
      <c r="O862" s="490"/>
      <c r="P862" s="490" t="s">
        <v>10214</v>
      </c>
    </row>
    <row r="863">
      <c r="A863" s="490"/>
      <c r="B863" s="490"/>
      <c r="C863" s="490"/>
      <c r="D863" s="490"/>
      <c r="E863" s="593" t="str">
        <f>IFERROR(__xludf.DUMMYFUNCTION("""COMPUTED_VALUE"""),"DELL")</f>
        <v>DELL</v>
      </c>
      <c r="F863" s="593" t="str">
        <f>IFERROR(__xludf.DUMMYFUNCTION("""COMPUTED_VALUE"""),"OPTIPLEX 5000")</f>
        <v>OPTIPLEX 5000</v>
      </c>
      <c r="G863" s="490"/>
      <c r="H863" s="490"/>
      <c r="I863" s="490"/>
      <c r="J863" s="588"/>
      <c r="K863" s="490"/>
      <c r="L863" s="490"/>
      <c r="M863" s="490"/>
      <c r="N863" s="490"/>
      <c r="O863" s="490"/>
      <c r="P863" s="490" t="s">
        <v>10217</v>
      </c>
    </row>
    <row r="864">
      <c r="A864" s="490"/>
      <c r="B864" s="490"/>
      <c r="C864" s="490"/>
      <c r="D864" s="490"/>
      <c r="E864" s="593" t="str">
        <f>IFERROR(__xludf.DUMMYFUNCTION("""COMPUTED_VALUE"""),"DELL")</f>
        <v>DELL</v>
      </c>
      <c r="F864" s="593" t="str">
        <f>IFERROR(__xludf.DUMMYFUNCTION("""COMPUTED_VALUE"""),"POWEREDGE R250")</f>
        <v>POWEREDGE R250</v>
      </c>
      <c r="G864" s="490"/>
      <c r="H864" s="490"/>
      <c r="I864" s="490"/>
      <c r="J864" s="588"/>
      <c r="K864" s="490"/>
      <c r="L864" s="490"/>
      <c r="M864" s="490"/>
      <c r="N864" s="490"/>
      <c r="O864" s="490"/>
      <c r="P864" s="490" t="s">
        <v>10220</v>
      </c>
    </row>
    <row r="865">
      <c r="A865" s="490"/>
      <c r="B865" s="490"/>
      <c r="C865" s="490"/>
      <c r="D865" s="490"/>
      <c r="E865" s="593" t="str">
        <f>IFERROR(__xludf.DUMMYFUNCTION("""COMPUTED_VALUE"""),"DELL")</f>
        <v>DELL</v>
      </c>
      <c r="F865" s="593" t="str">
        <f>IFERROR(__xludf.DUMMYFUNCTION("""COMPUTED_VALUE"""),"PRECISION 3240")</f>
        <v>PRECISION 3240</v>
      </c>
      <c r="G865" s="490"/>
      <c r="H865" s="490"/>
      <c r="I865" s="490"/>
      <c r="J865" s="588"/>
      <c r="K865" s="490"/>
      <c r="L865" s="490"/>
      <c r="M865" s="490"/>
      <c r="N865" s="490"/>
      <c r="O865" s="490"/>
      <c r="P865" s="490" t="s">
        <v>10224</v>
      </c>
    </row>
    <row r="866">
      <c r="A866" s="490"/>
      <c r="B866" s="490"/>
      <c r="C866" s="490"/>
      <c r="D866" s="490"/>
      <c r="E866" s="593" t="str">
        <f>IFERROR(__xludf.DUMMYFUNCTION("""COMPUTED_VALUE"""),"DELL")</f>
        <v>DELL</v>
      </c>
      <c r="F866" s="593" t="str">
        <f>IFERROR(__xludf.DUMMYFUNCTION("""COMPUTED_VALUE"""),"INSPIRON 3910")</f>
        <v>INSPIRON 3910</v>
      </c>
      <c r="G866" s="490"/>
      <c r="H866" s="490"/>
      <c r="I866" s="490"/>
      <c r="J866" s="588"/>
      <c r="K866" s="490"/>
      <c r="L866" s="490"/>
      <c r="M866" s="490"/>
      <c r="N866" s="490"/>
      <c r="O866" s="490"/>
      <c r="P866" s="490" t="s">
        <v>10227</v>
      </c>
    </row>
    <row r="867">
      <c r="A867" s="490"/>
      <c r="B867" s="490"/>
      <c r="C867" s="490"/>
      <c r="D867" s="490"/>
      <c r="E867" s="593" t="str">
        <f>IFERROR(__xludf.DUMMYFUNCTION("""COMPUTED_VALUE"""),"DELL")</f>
        <v>DELL</v>
      </c>
      <c r="F867" s="593" t="str">
        <f>IFERROR(__xludf.DUMMYFUNCTION("""COMPUTED_VALUE"""),"INSPIRON 3268")</f>
        <v>INSPIRON 3268</v>
      </c>
      <c r="G867" s="490"/>
      <c r="H867" s="490"/>
      <c r="I867" s="490"/>
      <c r="J867" s="588"/>
      <c r="K867" s="490"/>
      <c r="L867" s="490"/>
      <c r="M867" s="490"/>
      <c r="N867" s="490"/>
      <c r="O867" s="490"/>
      <c r="P867" s="490" t="s">
        <v>10230</v>
      </c>
    </row>
    <row r="868">
      <c r="A868" s="490"/>
      <c r="B868" s="490"/>
      <c r="C868" s="490"/>
      <c r="D868" s="490"/>
      <c r="E868" s="593" t="str">
        <f>IFERROR(__xludf.DUMMYFUNCTION("""COMPUTED_VALUE"""),"DELL")</f>
        <v>DELL</v>
      </c>
      <c r="F868" s="593" t="str">
        <f>IFERROR(__xludf.DUMMYFUNCTION("""COMPUTED_VALUE"""),"OPTIPLEX 7090")</f>
        <v>OPTIPLEX 7090</v>
      </c>
      <c r="G868" s="490"/>
      <c r="H868" s="490"/>
      <c r="I868" s="490"/>
      <c r="J868" s="588"/>
      <c r="K868" s="490"/>
      <c r="L868" s="490"/>
      <c r="M868" s="490"/>
      <c r="N868" s="490"/>
      <c r="O868" s="490"/>
      <c r="P868" s="490" t="s">
        <v>10233</v>
      </c>
    </row>
    <row r="869">
      <c r="A869" s="490"/>
      <c r="B869" s="490"/>
      <c r="C869" s="490"/>
      <c r="D869" s="490"/>
      <c r="E869" s="593" t="str">
        <f>IFERROR(__xludf.DUMMYFUNCTION("""COMPUTED_VALUE"""),"DELL")</f>
        <v>DELL</v>
      </c>
      <c r="F869" s="593" t="str">
        <f>IFERROR(__xludf.DUMMYFUNCTION("""COMPUTED_VALUE"""),"OPTIPLEX 5090")</f>
        <v>OPTIPLEX 5090</v>
      </c>
      <c r="G869" s="490"/>
      <c r="H869" s="490"/>
      <c r="I869" s="490"/>
      <c r="J869" s="588"/>
      <c r="K869" s="490"/>
      <c r="L869" s="490"/>
      <c r="M869" s="490"/>
      <c r="N869" s="490"/>
      <c r="O869" s="490"/>
      <c r="P869" s="490" t="s">
        <v>10236</v>
      </c>
    </row>
    <row r="870">
      <c r="A870" s="490"/>
      <c r="B870" s="490"/>
      <c r="C870" s="490"/>
      <c r="D870" s="490"/>
      <c r="E870" s="593" t="str">
        <f>IFERROR(__xludf.DUMMYFUNCTION("""COMPUTED_VALUE"""),"DELL")</f>
        <v>DELL</v>
      </c>
      <c r="F870" s="593" t="str">
        <f>IFERROR(__xludf.DUMMYFUNCTION("""COMPUTED_VALUE"""),"POWEREDGE T550")</f>
        <v>POWEREDGE T550</v>
      </c>
      <c r="G870" s="490"/>
      <c r="H870" s="490"/>
      <c r="I870" s="490"/>
      <c r="J870" s="588"/>
      <c r="K870" s="490"/>
      <c r="L870" s="490"/>
      <c r="M870" s="490"/>
      <c r="N870" s="490"/>
      <c r="O870" s="490"/>
      <c r="P870" s="490" t="s">
        <v>10239</v>
      </c>
    </row>
    <row r="871">
      <c r="A871" s="490"/>
      <c r="B871" s="490"/>
      <c r="C871" s="490"/>
      <c r="D871" s="490"/>
      <c r="E871" s="593" t="str">
        <f>IFERROR(__xludf.DUMMYFUNCTION("""COMPUTED_VALUE"""),"DELL")</f>
        <v>DELL</v>
      </c>
      <c r="F871" s="593" t="str">
        <f>IFERROR(__xludf.DUMMYFUNCTION("""COMPUTED_VALUE"""),"POWEREDGE R350")</f>
        <v>POWEREDGE R350</v>
      </c>
      <c r="G871" s="490"/>
      <c r="H871" s="490"/>
      <c r="I871" s="490"/>
      <c r="J871" s="588"/>
      <c r="K871" s="490"/>
      <c r="L871" s="490"/>
      <c r="M871" s="490"/>
      <c r="N871" s="490"/>
      <c r="O871" s="490"/>
      <c r="P871" s="490" t="s">
        <v>9519</v>
      </c>
    </row>
    <row r="872">
      <c r="A872" s="490"/>
      <c r="B872" s="490"/>
      <c r="C872" s="490"/>
      <c r="D872" s="490"/>
      <c r="E872" s="593" t="str">
        <f>IFERROR(__xludf.DUMMYFUNCTION("""COMPUTED_VALUE"""),"DELL")</f>
        <v>DELL</v>
      </c>
      <c r="F872" s="593" t="str">
        <f>IFERROR(__xludf.DUMMYFUNCTION("""COMPUTED_VALUE"""),"VOSTRO 3710")</f>
        <v>VOSTRO 3710</v>
      </c>
      <c r="G872" s="490"/>
      <c r="H872" s="490"/>
      <c r="I872" s="490"/>
      <c r="J872" s="588"/>
      <c r="K872" s="490"/>
      <c r="L872" s="490"/>
      <c r="M872" s="490"/>
      <c r="N872" s="490"/>
      <c r="O872" s="490"/>
      <c r="P872" s="490" t="s">
        <v>10242</v>
      </c>
    </row>
    <row r="873">
      <c r="A873" s="490"/>
      <c r="B873" s="490"/>
      <c r="C873" s="490"/>
      <c r="D873" s="490"/>
      <c r="E873" s="593" t="str">
        <f>IFERROR(__xludf.DUMMYFUNCTION("""COMPUTED_VALUE"""),"DELL")</f>
        <v>DELL</v>
      </c>
      <c r="F873" s="593" t="str">
        <f>IFERROR(__xludf.DUMMYFUNCTION("""COMPUTED_VALUE"""),"LATITUDE 5430")</f>
        <v>LATITUDE 5430</v>
      </c>
      <c r="G873" s="490"/>
      <c r="H873" s="490"/>
      <c r="I873" s="490"/>
      <c r="J873" s="588"/>
      <c r="K873" s="490"/>
      <c r="L873" s="490"/>
      <c r="M873" s="490"/>
      <c r="N873" s="490"/>
      <c r="O873" s="490"/>
      <c r="P873" s="490" t="s">
        <v>10245</v>
      </c>
    </row>
    <row r="874">
      <c r="A874" s="490"/>
      <c r="B874" s="490"/>
      <c r="C874" s="490"/>
      <c r="D874" s="490"/>
      <c r="E874" s="593" t="str">
        <f>IFERROR(__xludf.DUMMYFUNCTION("""COMPUTED_VALUE"""),"DELL")</f>
        <v>DELL</v>
      </c>
      <c r="F874" s="593" t="str">
        <f>IFERROR(__xludf.DUMMYFUNCTION("""COMPUTED_VALUE"""),"PRECISION 3930 RACK")</f>
        <v>PRECISION 3930 RACK</v>
      </c>
      <c r="G874" s="490"/>
      <c r="H874" s="490"/>
      <c r="I874" s="490"/>
      <c r="J874" s="588"/>
      <c r="K874" s="490"/>
      <c r="L874" s="490"/>
      <c r="M874" s="490"/>
      <c r="N874" s="490"/>
      <c r="O874" s="490"/>
      <c r="P874" s="490" t="s">
        <v>10248</v>
      </c>
    </row>
    <row r="875">
      <c r="A875" s="490"/>
      <c r="B875" s="490"/>
      <c r="C875" s="490"/>
      <c r="D875" s="490"/>
      <c r="E875" s="593" t="str">
        <f>IFERROR(__xludf.DUMMYFUNCTION("""COMPUTED_VALUE"""),"DELL")</f>
        <v>DELL</v>
      </c>
      <c r="F875" s="593" t="str">
        <f>IFERROR(__xludf.DUMMYFUNCTION("""COMPUTED_VALUE"""),"OPTIPLEX 7070")</f>
        <v>OPTIPLEX 7070</v>
      </c>
      <c r="G875" s="490"/>
      <c r="H875" s="490"/>
      <c r="I875" s="490"/>
      <c r="J875" s="588"/>
      <c r="K875" s="490"/>
      <c r="L875" s="490"/>
      <c r="M875" s="490"/>
      <c r="N875" s="490"/>
      <c r="O875" s="490"/>
      <c r="P875" s="490" t="s">
        <v>10251</v>
      </c>
    </row>
    <row r="876">
      <c r="A876" s="490"/>
      <c r="B876" s="490"/>
      <c r="C876" s="490"/>
      <c r="D876" s="490"/>
      <c r="E876" s="593" t="str">
        <f>IFERROR(__xludf.DUMMYFUNCTION("""COMPUTED_VALUE"""),"DELMATIC")</f>
        <v>DELMATIC</v>
      </c>
      <c r="F876" s="593" t="str">
        <f>IFERROR(__xludf.DUMMYFUNCTION("""COMPUTED_VALUE"""),"IPDBW6")</f>
        <v>IPDBW6</v>
      </c>
      <c r="G876" s="490"/>
      <c r="H876" s="490"/>
      <c r="I876" s="490"/>
      <c r="J876" s="588"/>
      <c r="K876" s="490"/>
      <c r="L876" s="490"/>
      <c r="M876" s="490"/>
      <c r="N876" s="490"/>
      <c r="O876" s="490"/>
      <c r="P876" s="490" t="s">
        <v>10254</v>
      </c>
    </row>
    <row r="877">
      <c r="A877" s="490"/>
      <c r="B877" s="490"/>
      <c r="C877" s="490"/>
      <c r="D877" s="490"/>
      <c r="E877" s="593" t="str">
        <f>IFERROR(__xludf.DUMMYFUNCTION("""COMPUTED_VALUE"""),"DELMATIC")</f>
        <v>DELMATIC</v>
      </c>
      <c r="F877" s="593" t="str">
        <f>IFERROR(__xludf.DUMMYFUNCTION("""COMPUTED_VALUE"""),"IPDBW6")</f>
        <v>IPDBW6</v>
      </c>
      <c r="G877" s="490"/>
      <c r="H877" s="490"/>
      <c r="I877" s="490"/>
      <c r="J877" s="588"/>
      <c r="K877" s="490"/>
      <c r="L877" s="490"/>
      <c r="M877" s="490"/>
      <c r="N877" s="490"/>
      <c r="O877" s="490"/>
      <c r="P877" s="490" t="s">
        <v>10257</v>
      </c>
    </row>
    <row r="878">
      <c r="A878" s="490"/>
      <c r="B878" s="490"/>
      <c r="C878" s="490"/>
      <c r="D878" s="490"/>
      <c r="E878" s="593" t="str">
        <f>IFERROR(__xludf.DUMMYFUNCTION("""COMPUTED_VALUE"""),"DELMATIC")</f>
        <v>DELMATIC</v>
      </c>
      <c r="F878" s="593" t="str">
        <f>IFERROR(__xludf.DUMMYFUNCTION("""COMPUTED_VALUE"""),"123C2 DALI 5 GANG")</f>
        <v>123C2 DALI 5 GANG</v>
      </c>
      <c r="G878" s="490"/>
      <c r="H878" s="490"/>
      <c r="I878" s="490"/>
      <c r="J878" s="588"/>
      <c r="K878" s="490"/>
      <c r="L878" s="490"/>
      <c r="M878" s="490"/>
      <c r="N878" s="490"/>
      <c r="O878" s="490"/>
      <c r="P878" s="490" t="s">
        <v>10260</v>
      </c>
    </row>
    <row r="879">
      <c r="A879" s="490"/>
      <c r="B879" s="490"/>
      <c r="C879" s="490"/>
      <c r="D879" s="490"/>
      <c r="E879" s="593" t="str">
        <f>IFERROR(__xludf.DUMMYFUNCTION("""COMPUTED_VALUE"""),"DELMATIC")</f>
        <v>DELMATIC</v>
      </c>
      <c r="F879" s="593" t="str">
        <f>IFERROR(__xludf.DUMMYFUNCTION("""COMPUTED_VALUE"""),"164B1-GFO")</f>
        <v>164B1-GFO</v>
      </c>
      <c r="G879" s="490"/>
      <c r="H879" s="490"/>
      <c r="I879" s="490"/>
      <c r="J879" s="588"/>
      <c r="K879" s="490"/>
      <c r="L879" s="490"/>
      <c r="M879" s="490"/>
      <c r="N879" s="490"/>
      <c r="O879" s="490"/>
      <c r="P879" s="490" t="s">
        <v>10263</v>
      </c>
    </row>
    <row r="880">
      <c r="A880" s="490"/>
      <c r="B880" s="490"/>
      <c r="C880" s="490"/>
      <c r="D880" s="490"/>
      <c r="E880" s="593" t="str">
        <f>IFERROR(__xludf.DUMMYFUNCTION("""COMPUTED_VALUE"""),"DELMATIC")</f>
        <v>DELMATIC</v>
      </c>
      <c r="F880" s="593" t="str">
        <f>IFERROR(__xludf.DUMMYFUNCTION("""COMPUTED_VALUE"""),"164B1")</f>
        <v>164B1</v>
      </c>
      <c r="G880" s="490"/>
      <c r="H880" s="490"/>
      <c r="I880" s="490"/>
      <c r="J880" s="588"/>
      <c r="K880" s="490"/>
      <c r="L880" s="490"/>
      <c r="M880" s="490"/>
      <c r="N880" s="490"/>
      <c r="O880" s="490"/>
      <c r="P880" s="490" t="s">
        <v>10266</v>
      </c>
    </row>
    <row r="881">
      <c r="A881" s="490"/>
      <c r="B881" s="490"/>
      <c r="C881" s="490"/>
      <c r="D881" s="490"/>
      <c r="E881" s="593" t="str">
        <f>IFERROR(__xludf.DUMMYFUNCTION("""COMPUTED_VALUE"""),"DELMATIC")</f>
        <v>DELMATIC</v>
      </c>
      <c r="F881" s="593" t="str">
        <f>IFERROR(__xludf.DUMMYFUNCTION("""COMPUTED_VALUE"""),"202A1")</f>
        <v>202A1</v>
      </c>
      <c r="G881" s="490"/>
      <c r="H881" s="490"/>
      <c r="I881" s="490"/>
      <c r="J881" s="588"/>
      <c r="K881" s="490"/>
      <c r="L881" s="490"/>
      <c r="M881" s="490"/>
      <c r="N881" s="490"/>
      <c r="O881" s="490"/>
      <c r="P881" s="490" t="s">
        <v>10269</v>
      </c>
    </row>
    <row r="882">
      <c r="A882" s="490"/>
      <c r="B882" s="490"/>
      <c r="C882" s="490"/>
      <c r="D882" s="490"/>
      <c r="E882" s="593" t="str">
        <f>IFERROR(__xludf.DUMMYFUNCTION("""COMPUTED_VALUE"""),"DELMATIC")</f>
        <v>DELMATIC</v>
      </c>
      <c r="F882" s="593" t="str">
        <f>IFERROR(__xludf.DUMMYFUNCTION("""COMPUTED_VALUE"""),"119D2 DALI-2 SWITCH")</f>
        <v>119D2 DALI-2 SWITCH</v>
      </c>
      <c r="G882" s="490"/>
      <c r="H882" s="490"/>
      <c r="I882" s="490"/>
      <c r="J882" s="588"/>
      <c r="K882" s="490"/>
      <c r="L882" s="490"/>
      <c r="M882" s="490"/>
      <c r="N882" s="490"/>
      <c r="O882" s="490"/>
      <c r="P882" s="490" t="s">
        <v>9522</v>
      </c>
    </row>
    <row r="883">
      <c r="A883" s="490"/>
      <c r="B883" s="490"/>
      <c r="C883" s="490"/>
      <c r="D883" s="490"/>
      <c r="E883" s="593" t="str">
        <f>IFERROR(__xludf.DUMMYFUNCTION("""COMPUTED_VALUE"""),"DELMATIC")</f>
        <v>DELMATIC</v>
      </c>
      <c r="F883" s="593" t="str">
        <f>IFERROR(__xludf.DUMMYFUNCTION("""COMPUTED_VALUE"""),"164D2_SM MULTISENSOR")</f>
        <v>164D2_SM MULTISENSOR</v>
      </c>
      <c r="G883" s="490"/>
      <c r="H883" s="490"/>
      <c r="I883" s="490"/>
      <c r="J883" s="588"/>
      <c r="K883" s="490"/>
      <c r="L883" s="490"/>
      <c r="M883" s="490"/>
      <c r="N883" s="490"/>
      <c r="O883" s="490"/>
      <c r="P883" s="490" t="s">
        <v>10272</v>
      </c>
    </row>
    <row r="884">
      <c r="A884" s="490"/>
      <c r="B884" s="490"/>
      <c r="C884" s="490"/>
      <c r="D884" s="490"/>
      <c r="E884" s="593" t="str">
        <f>IFERROR(__xludf.DUMMYFUNCTION("""COMPUTED_VALUE"""),"DELTA")</f>
        <v>DELTA</v>
      </c>
      <c r="F884" s="593" t="str">
        <f>IFERROR(__xludf.DUMMYFUNCTION("""COMPUTED_VALUE"""),"DELTA DAC 1146E")</f>
        <v>DELTA DAC 1146E</v>
      </c>
      <c r="G884" s="490"/>
      <c r="H884" s="490"/>
      <c r="I884" s="490"/>
      <c r="J884" s="588"/>
      <c r="K884" s="490"/>
      <c r="L884" s="490"/>
      <c r="M884" s="490"/>
      <c r="N884" s="490"/>
      <c r="O884" s="490"/>
      <c r="P884" s="490" t="s">
        <v>10275</v>
      </c>
    </row>
    <row r="885">
      <c r="A885" s="490"/>
      <c r="B885" s="490"/>
      <c r="C885" s="490"/>
      <c r="D885" s="490"/>
      <c r="E885" s="593" t="str">
        <f>IFERROR(__xludf.DUMMYFUNCTION("""COMPUTED_VALUE"""),"DELTA")</f>
        <v>DELTA</v>
      </c>
      <c r="F885" s="593" t="str">
        <f>IFERROR(__xludf.DUMMYFUNCTION("""COMPUTED_VALUE"""),"O3-DIN-SRC")</f>
        <v>O3-DIN-SRC</v>
      </c>
      <c r="G885" s="490"/>
      <c r="H885" s="490"/>
      <c r="I885" s="490"/>
      <c r="J885" s="588"/>
      <c r="K885" s="490"/>
      <c r="L885" s="490"/>
      <c r="M885" s="490"/>
      <c r="N885" s="490"/>
      <c r="O885" s="490"/>
      <c r="P885" s="490" t="s">
        <v>10279</v>
      </c>
    </row>
    <row r="886">
      <c r="A886" s="490"/>
      <c r="B886" s="490"/>
      <c r="C886" s="490"/>
      <c r="D886" s="490"/>
      <c r="E886" s="593" t="str">
        <f>IFERROR(__xludf.DUMMYFUNCTION("""COMPUTED_VALUE"""),"DELTA")</f>
        <v>DELTA</v>
      </c>
      <c r="F886" s="593" t="str">
        <f>IFERROR(__xludf.DUMMYFUNCTION("""COMPUTED_VALUE"""),"E-BCON-2")</f>
        <v>E-BCON-2</v>
      </c>
      <c r="G886" s="490"/>
      <c r="H886" s="490"/>
      <c r="I886" s="490"/>
      <c r="J886" s="588"/>
      <c r="K886" s="490"/>
      <c r="L886" s="490"/>
      <c r="M886" s="490"/>
      <c r="N886" s="490"/>
      <c r="O886" s="490"/>
      <c r="P886" s="490" t="s">
        <v>10282</v>
      </c>
    </row>
    <row r="887">
      <c r="A887" s="490"/>
      <c r="B887" s="490"/>
      <c r="C887" s="490"/>
      <c r="D887" s="490"/>
      <c r="E887" s="593" t="str">
        <f>IFERROR(__xludf.DUMMYFUNCTION("""COMPUTED_VALUE"""),"DELTA")</f>
        <v>DELTA</v>
      </c>
      <c r="F887" s="593" t="str">
        <f>IFERROR(__xludf.DUMMYFUNCTION("""COMPUTED_VALUE"""),"E-BCON-2")</f>
        <v>E-BCON-2</v>
      </c>
      <c r="G887" s="490"/>
      <c r="H887" s="490"/>
      <c r="I887" s="490"/>
      <c r="J887" s="588"/>
      <c r="K887" s="490"/>
      <c r="L887" s="490"/>
      <c r="M887" s="490"/>
      <c r="N887" s="490"/>
      <c r="O887" s="490"/>
      <c r="P887" s="490" t="s">
        <v>10285</v>
      </c>
    </row>
    <row r="888">
      <c r="A888" s="490"/>
      <c r="B888" s="490"/>
      <c r="C888" s="490"/>
      <c r="D888" s="490"/>
      <c r="E888" s="593" t="str">
        <f>IFERROR(__xludf.DUMMYFUNCTION("""COMPUTED_VALUE"""),"DELTA")</f>
        <v>DELTA</v>
      </c>
      <c r="F888" s="593" t="str">
        <f>IFERROR(__xludf.DUMMYFUNCTION("""COMPUTED_VALUE"""),"DPH 60KVA-LV")</f>
        <v>DPH 60KVA-LV</v>
      </c>
      <c r="G888" s="490"/>
      <c r="H888" s="490"/>
      <c r="I888" s="490"/>
      <c r="J888" s="588"/>
      <c r="K888" s="490"/>
      <c r="L888" s="490"/>
      <c r="M888" s="490"/>
      <c r="N888" s="490"/>
      <c r="O888" s="490"/>
      <c r="P888" s="490" t="s">
        <v>10288</v>
      </c>
    </row>
    <row r="889">
      <c r="A889" s="490"/>
      <c r="B889" s="490"/>
      <c r="C889" s="490"/>
      <c r="D889" s="490"/>
      <c r="E889" s="593" t="str">
        <f>IFERROR(__xludf.DUMMYFUNCTION("""COMPUTED_VALUE"""),"DELTA")</f>
        <v>DELTA</v>
      </c>
      <c r="F889" s="593" t="str">
        <f>IFERROR(__xludf.DUMMYFUNCTION("""COMPUTED_VALUE"""),"AS SERIES PLC")</f>
        <v>AS SERIES PLC</v>
      </c>
      <c r="G889" s="490"/>
      <c r="H889" s="490"/>
      <c r="I889" s="490"/>
      <c r="J889" s="588"/>
      <c r="K889" s="490"/>
      <c r="L889" s="490"/>
      <c r="M889" s="490"/>
      <c r="N889" s="490"/>
      <c r="O889" s="490"/>
      <c r="P889" s="490" t="s">
        <v>10291</v>
      </c>
    </row>
    <row r="890">
      <c r="A890" s="490"/>
      <c r="B890" s="490"/>
      <c r="C890" s="490"/>
      <c r="D890" s="490"/>
      <c r="E890" s="593" t="str">
        <f>IFERROR(__xludf.DUMMYFUNCTION("""COMPUTED_VALUE"""),"DELTA")</f>
        <v>DELTA</v>
      </c>
      <c r="F890" s="593" t="str">
        <f>IFERROR(__xludf.DUMMYFUNCTION("""COMPUTED_VALUE"""),"DOP-100 ADVANCED HMI")</f>
        <v>DOP-100 ADVANCED HMI</v>
      </c>
      <c r="G890" s="490"/>
      <c r="H890" s="490"/>
      <c r="I890" s="490"/>
      <c r="J890" s="588"/>
      <c r="K890" s="490"/>
      <c r="L890" s="490"/>
      <c r="M890" s="490"/>
      <c r="N890" s="490"/>
      <c r="O890" s="490"/>
      <c r="P890" s="490" t="s">
        <v>10294</v>
      </c>
    </row>
    <row r="891">
      <c r="A891" s="490"/>
      <c r="B891" s="490"/>
      <c r="C891" s="490"/>
      <c r="D891" s="490"/>
      <c r="E891" s="593" t="str">
        <f>IFERROR(__xludf.DUMMYFUNCTION("""COMPUTED_VALUE"""),"DELTA CONTROLS")</f>
        <v>DELTA CONTROLS</v>
      </c>
      <c r="F891" s="593" t="str">
        <f>IFERROR(__xludf.DUMMYFUNCTION("""COMPUTED_VALUE"""),"COPPERCUBE")</f>
        <v>COPPERCUBE</v>
      </c>
      <c r="G891" s="490"/>
      <c r="H891" s="490"/>
      <c r="I891" s="490"/>
      <c r="J891" s="588"/>
      <c r="K891" s="490"/>
      <c r="L891" s="490"/>
      <c r="M891" s="490"/>
      <c r="N891" s="490"/>
      <c r="O891" s="490"/>
      <c r="P891" s="490" t="s">
        <v>10298</v>
      </c>
    </row>
    <row r="892">
      <c r="A892" s="490"/>
      <c r="B892" s="490"/>
      <c r="C892" s="490"/>
      <c r="D892" s="490"/>
      <c r="E892" s="593" t="str">
        <f>IFERROR(__xludf.DUMMYFUNCTION("""COMPUTED_VALUE"""),"DELTA CONTROLS")</f>
        <v>DELTA CONTROLS</v>
      </c>
      <c r="F892" s="593" t="str">
        <f>IFERROR(__xludf.DUMMYFUNCTION("""COMPUTED_VALUE"""),"DSM-RTR")</f>
        <v>DSM-RTR</v>
      </c>
      <c r="G892" s="490"/>
      <c r="H892" s="490"/>
      <c r="I892" s="490"/>
      <c r="J892" s="588"/>
      <c r="K892" s="490"/>
      <c r="L892" s="490"/>
      <c r="M892" s="490"/>
      <c r="N892" s="490"/>
      <c r="O892" s="490"/>
      <c r="P892" s="490" t="s">
        <v>10301</v>
      </c>
    </row>
    <row r="893">
      <c r="A893" s="490"/>
      <c r="B893" s="490"/>
      <c r="C893" s="490"/>
      <c r="D893" s="490"/>
      <c r="E893" s="593" t="str">
        <f>IFERROR(__xludf.DUMMYFUNCTION("""COMPUTED_VALUE"""),"DELTA CONTROLS")</f>
        <v>DELTA CONTROLS</v>
      </c>
      <c r="F893" s="593" t="str">
        <f>IFERROR(__xludf.DUMMYFUNCTION("""COMPUTED_VALUE"""),"EBMGR")</f>
        <v>EBMGR</v>
      </c>
      <c r="G893" s="490"/>
      <c r="H893" s="490"/>
      <c r="I893" s="490"/>
      <c r="J893" s="588"/>
      <c r="K893" s="490"/>
      <c r="L893" s="490"/>
      <c r="M893" s="490"/>
      <c r="N893" s="490"/>
      <c r="O893" s="490"/>
      <c r="P893" s="490" t="s">
        <v>9525</v>
      </c>
    </row>
    <row r="894">
      <c r="A894" s="490"/>
      <c r="B894" s="490"/>
      <c r="C894" s="490"/>
      <c r="D894" s="490"/>
      <c r="E894" s="593" t="str">
        <f>IFERROR(__xludf.DUMMYFUNCTION("""COMPUTED_VALUE"""),"DELTA CONTROLS")</f>
        <v>DELTA CONTROLS</v>
      </c>
      <c r="F894" s="593" t="str">
        <f>IFERROR(__xludf.DUMMYFUNCTION("""COMPUTED_VALUE"""),"COPPERCUBE ECORE")</f>
        <v>COPPERCUBE ECORE</v>
      </c>
      <c r="G894" s="490"/>
      <c r="H894" s="490"/>
      <c r="I894" s="490"/>
      <c r="J894" s="588"/>
      <c r="K894" s="490"/>
      <c r="L894" s="490"/>
      <c r="M894" s="490"/>
      <c r="N894" s="490"/>
      <c r="O894" s="490"/>
      <c r="P894" s="490" t="s">
        <v>10304</v>
      </c>
    </row>
    <row r="895">
      <c r="A895" s="490"/>
      <c r="B895" s="490"/>
      <c r="C895" s="490"/>
      <c r="D895" s="490"/>
      <c r="E895" s="593" t="str">
        <f>IFERROR(__xludf.DUMMYFUNCTION("""COMPUTED_VALUE"""),"DELTA CONTROLS")</f>
        <v>DELTA CONTROLS</v>
      </c>
      <c r="F895" s="593" t="str">
        <f>IFERROR(__xludf.DUMMYFUNCTION("""COMPUTED_VALUE"""),"GES324NT")</f>
        <v>GES324NT</v>
      </c>
      <c r="G895" s="490"/>
      <c r="H895" s="490"/>
      <c r="I895" s="490"/>
      <c r="J895" s="588"/>
      <c r="K895" s="490"/>
      <c r="L895" s="490"/>
      <c r="M895" s="490"/>
      <c r="N895" s="490"/>
      <c r="O895" s="490"/>
      <c r="P895" s="490" t="s">
        <v>10307</v>
      </c>
    </row>
    <row r="896">
      <c r="A896" s="490"/>
      <c r="B896" s="490"/>
      <c r="C896" s="490"/>
      <c r="D896" s="490"/>
      <c r="E896" s="593" t="str">
        <f>IFERROR(__xludf.DUMMYFUNCTION("""COMPUTED_VALUE"""),"DELTA CONTROLS")</f>
        <v>DELTA CONTROLS</v>
      </c>
      <c r="F896" s="593" t="str">
        <f>IFERROR(__xludf.DUMMYFUNCTION("""COMPUTED_VALUE"""),"NT SERIES")</f>
        <v>NT SERIES</v>
      </c>
      <c r="G896" s="490"/>
      <c r="H896" s="490"/>
      <c r="I896" s="490"/>
      <c r="J896" s="588"/>
      <c r="K896" s="490"/>
      <c r="L896" s="490"/>
      <c r="M896" s="490"/>
      <c r="N896" s="490"/>
      <c r="O896" s="490"/>
      <c r="P896" s="490" t="s">
        <v>10310</v>
      </c>
    </row>
    <row r="897">
      <c r="A897" s="490"/>
      <c r="B897" s="490"/>
      <c r="C897" s="490"/>
      <c r="D897" s="490"/>
      <c r="E897" s="593" t="str">
        <f>IFERROR(__xludf.DUMMYFUNCTION("""COMPUTED_VALUE"""),"DELTA CONTROLS")</f>
        <v>DELTA CONTROLS</v>
      </c>
      <c r="F897" s="593" t="str">
        <f>IFERROR(__xludf.DUMMYFUNCTION("""COMPUTED_VALUE"""),"O3-DIN-CPU")</f>
        <v>O3-DIN-CPU</v>
      </c>
      <c r="G897" s="490"/>
      <c r="H897" s="490"/>
      <c r="I897" s="490"/>
      <c r="J897" s="588"/>
      <c r="K897" s="490"/>
      <c r="L897" s="490"/>
      <c r="M897" s="490"/>
      <c r="N897" s="490"/>
      <c r="O897" s="490"/>
      <c r="P897" s="490" t="s">
        <v>10313</v>
      </c>
    </row>
    <row r="898">
      <c r="A898" s="490"/>
      <c r="B898" s="490"/>
      <c r="C898" s="490"/>
      <c r="D898" s="490"/>
      <c r="E898" s="593" t="str">
        <f>IFERROR(__xludf.DUMMYFUNCTION("""COMPUTED_VALUE"""),"DELTA CONTROLS")</f>
        <v>DELTA CONTROLS</v>
      </c>
      <c r="F898" s="593" t="str">
        <f>IFERROR(__xludf.DUMMYFUNCTION("""COMPUTED_VALUE"""),"EBCON-2")</f>
        <v>EBCON-2</v>
      </c>
      <c r="G898" s="490"/>
      <c r="H898" s="490"/>
      <c r="I898" s="490"/>
      <c r="J898" s="588"/>
      <c r="K898" s="490"/>
      <c r="L898" s="490"/>
      <c r="M898" s="490"/>
      <c r="N898" s="490"/>
      <c r="O898" s="490"/>
      <c r="P898" s="490" t="s">
        <v>10317</v>
      </c>
    </row>
    <row r="899">
      <c r="A899" s="490"/>
      <c r="B899" s="490"/>
      <c r="C899" s="490"/>
      <c r="D899" s="490"/>
      <c r="E899" s="593" t="str">
        <f>IFERROR(__xludf.DUMMYFUNCTION("""COMPUTED_VALUE"""),"DELTA CONTROLS")</f>
        <v>DELTA CONTROLS</v>
      </c>
      <c r="F899" s="593" t="str">
        <f>IFERROR(__xludf.DUMMYFUNCTION("""COMPUTED_VALUE"""),"O3-SENSE-00")</f>
        <v>O3-SENSE-00</v>
      </c>
      <c r="G899" s="490"/>
      <c r="H899" s="490"/>
      <c r="I899" s="490"/>
      <c r="J899" s="588"/>
      <c r="K899" s="490"/>
      <c r="L899" s="490"/>
      <c r="M899" s="490"/>
      <c r="N899" s="490"/>
      <c r="O899" s="490"/>
      <c r="P899" s="490" t="s">
        <v>10320</v>
      </c>
    </row>
    <row r="900">
      <c r="A900" s="490"/>
      <c r="B900" s="490"/>
      <c r="C900" s="490"/>
      <c r="D900" s="490"/>
      <c r="E900" s="593" t="str">
        <f>IFERROR(__xludf.DUMMYFUNCTION("""COMPUTED_VALUE"""),"DELTA CONTROLS")</f>
        <v>DELTA CONTROLS</v>
      </c>
      <c r="F900" s="593" t="str">
        <f>IFERROR(__xludf.DUMMYFUNCTION("""COMPUTED_VALUE"""),"EZV-440")</f>
        <v>EZV-440</v>
      </c>
      <c r="G900" s="490"/>
      <c r="H900" s="490"/>
      <c r="I900" s="490"/>
      <c r="J900" s="588"/>
      <c r="K900" s="490"/>
      <c r="L900" s="490"/>
      <c r="M900" s="490"/>
      <c r="N900" s="490"/>
      <c r="O900" s="490"/>
      <c r="P900" s="490" t="s">
        <v>10323</v>
      </c>
    </row>
    <row r="901">
      <c r="A901" s="490"/>
      <c r="B901" s="490"/>
      <c r="C901" s="490"/>
      <c r="D901" s="490"/>
      <c r="E901" s="593" t="str">
        <f>IFERROR(__xludf.DUMMYFUNCTION("""COMPUTED_VALUE"""),"DELTA CONTROLS")</f>
        <v>DELTA CONTROLS</v>
      </c>
      <c r="F901" s="593" t="str">
        <f>IFERROR(__xludf.DUMMYFUNCTION("""COMPUTED_VALUE"""),"DAC 1180E")</f>
        <v>DAC 1180E</v>
      </c>
      <c r="G901" s="490"/>
      <c r="H901" s="490"/>
      <c r="I901" s="490"/>
      <c r="J901" s="588"/>
      <c r="K901" s="490"/>
      <c r="L901" s="490"/>
      <c r="M901" s="490"/>
      <c r="N901" s="490"/>
      <c r="O901" s="490"/>
      <c r="P901" s="490" t="s">
        <v>10326</v>
      </c>
    </row>
    <row r="902">
      <c r="A902" s="490"/>
      <c r="B902" s="490"/>
      <c r="C902" s="490"/>
      <c r="D902" s="490"/>
      <c r="E902" s="593" t="str">
        <f>IFERROR(__xludf.DUMMYFUNCTION("""COMPUTED_VALUE"""),"DELTA CONTROLS")</f>
        <v>DELTA CONTROLS</v>
      </c>
      <c r="F902" s="593" t="str">
        <f>IFERROR(__xludf.DUMMYFUNCTION("""COMPUTED_VALUE"""),"RED5 SERIES")</f>
        <v>RED5 SERIES</v>
      </c>
      <c r="G902" s="490"/>
      <c r="H902" s="490"/>
      <c r="I902" s="490"/>
      <c r="J902" s="588"/>
      <c r="K902" s="490"/>
      <c r="L902" s="490"/>
      <c r="M902" s="490"/>
      <c r="N902" s="490"/>
      <c r="O902" s="490"/>
      <c r="P902" s="490" t="s">
        <v>10329</v>
      </c>
    </row>
    <row r="903">
      <c r="A903" s="490"/>
      <c r="B903" s="490"/>
      <c r="C903" s="490"/>
      <c r="D903" s="490"/>
      <c r="E903" s="593" t="str">
        <f>IFERROR(__xludf.DUMMYFUNCTION("""COMPUTED_VALUE"""),"DELTA CONTROLS")</f>
        <v>DELTA CONTROLS</v>
      </c>
      <c r="F903" s="593" t="str">
        <f>IFERROR(__xludf.DUMMYFUNCTION("""COMPUTED_VALUE"""),"ENTELIZONE")</f>
        <v>ENTELIZONE</v>
      </c>
      <c r="G903" s="490"/>
      <c r="H903" s="490"/>
      <c r="I903" s="490"/>
      <c r="J903" s="588"/>
      <c r="K903" s="490"/>
      <c r="L903" s="490"/>
      <c r="M903" s="490"/>
      <c r="N903" s="490"/>
      <c r="O903" s="490"/>
      <c r="P903" s="490" t="s">
        <v>10332</v>
      </c>
    </row>
    <row r="904">
      <c r="A904" s="490"/>
      <c r="B904" s="490"/>
      <c r="C904" s="490"/>
      <c r="D904" s="490"/>
      <c r="E904" s="593" t="str">
        <f>IFERROR(__xludf.DUMMYFUNCTION("""COMPUTED_VALUE"""),"DELTA CONTROLS")</f>
        <v>DELTA CONTROLS</v>
      </c>
      <c r="F904" s="593" t="str">
        <f>IFERROR(__xludf.DUMMYFUNCTION("""COMPUTED_VALUE"""),"FIELD MODULE DFM-400")</f>
        <v>FIELD MODULE DFM-400</v>
      </c>
      <c r="G904" s="490"/>
      <c r="H904" s="490"/>
      <c r="I904" s="490"/>
      <c r="J904" s="588"/>
      <c r="K904" s="490"/>
      <c r="L904" s="490"/>
      <c r="M904" s="490"/>
      <c r="N904" s="490"/>
      <c r="O904" s="490"/>
      <c r="P904" s="490" t="s">
        <v>9528</v>
      </c>
    </row>
    <row r="905">
      <c r="A905" s="490"/>
      <c r="B905" s="490"/>
      <c r="C905" s="490"/>
      <c r="D905" s="490"/>
      <c r="E905" s="593" t="str">
        <f>IFERROR(__xludf.DUMMYFUNCTION("""COMPUTED_VALUE"""),"DELTA CONTROLS")</f>
        <v>DELTA CONTROLS</v>
      </c>
      <c r="F905" s="593" t="str">
        <f>IFERROR(__xludf.DUMMYFUNCTION("""COMPUTED_VALUE"""),"FIELD MODULE DFM-440")</f>
        <v>FIELD MODULE DFM-440</v>
      </c>
      <c r="G905" s="490"/>
      <c r="H905" s="490"/>
      <c r="I905" s="490"/>
      <c r="J905" s="588"/>
      <c r="K905" s="490"/>
      <c r="L905" s="490"/>
      <c r="M905" s="490"/>
      <c r="N905" s="490"/>
      <c r="O905" s="490"/>
      <c r="P905" s="490" t="s">
        <v>10335</v>
      </c>
    </row>
    <row r="906">
      <c r="A906" s="490"/>
      <c r="B906" s="490"/>
      <c r="C906" s="490"/>
      <c r="D906" s="490"/>
      <c r="E906" s="593" t="str">
        <f>IFERROR(__xludf.DUMMYFUNCTION("""COMPUTED_VALUE"""),"DELTA ELEC")</f>
        <v>DELTA ELEC</v>
      </c>
      <c r="F906" s="593" t="str">
        <f>IFERROR(__xludf.DUMMYFUNCTION("""COMPUTED_VALUE"""),"GES264NT")</f>
        <v>GES264NT</v>
      </c>
      <c r="G906" s="490"/>
      <c r="H906" s="490"/>
      <c r="I906" s="490"/>
      <c r="J906" s="588"/>
      <c r="K906" s="490"/>
      <c r="L906" s="490"/>
      <c r="M906" s="490"/>
      <c r="N906" s="490"/>
      <c r="O906" s="490"/>
      <c r="P906" s="490" t="s">
        <v>10338</v>
      </c>
    </row>
    <row r="907">
      <c r="A907" s="490"/>
      <c r="B907" s="490"/>
      <c r="C907" s="490"/>
      <c r="D907" s="490"/>
      <c r="E907" s="593" t="str">
        <f>IFERROR(__xludf.DUMMYFUNCTION("""COMPUTED_VALUE"""),"DENCO")</f>
        <v>DENCO</v>
      </c>
      <c r="F907" s="593" t="str">
        <f>IFERROR(__xludf.DUMMYFUNCTION("""COMPUTED_VALUE"""),"DENCO C3-05")</f>
        <v>DENCO C3-05</v>
      </c>
      <c r="G907" s="490"/>
      <c r="H907" s="490"/>
      <c r="I907" s="490"/>
      <c r="J907" s="588"/>
      <c r="K907" s="490"/>
      <c r="L907" s="490"/>
      <c r="M907" s="490"/>
      <c r="N907" s="490"/>
      <c r="O907" s="490"/>
      <c r="P907" s="490" t="s">
        <v>10341</v>
      </c>
    </row>
    <row r="908">
      <c r="A908" s="490"/>
      <c r="B908" s="490"/>
      <c r="C908" s="490"/>
      <c r="D908" s="490"/>
      <c r="E908" s="593" t="str">
        <f>IFERROR(__xludf.DUMMYFUNCTION("""COMPUTED_VALUE"""),"DENCO")</f>
        <v>DENCO</v>
      </c>
      <c r="F908" s="593" t="str">
        <f>IFERROR(__xludf.DUMMYFUNCTION("""COMPUTED_VALUE"""),"C3-05")</f>
        <v>C3-05</v>
      </c>
      <c r="G908" s="490"/>
      <c r="H908" s="490"/>
      <c r="I908" s="490"/>
      <c r="J908" s="588"/>
      <c r="K908" s="490"/>
      <c r="L908" s="490"/>
      <c r="M908" s="490"/>
      <c r="N908" s="490"/>
      <c r="O908" s="490"/>
      <c r="P908" s="490" t="s">
        <v>10344</v>
      </c>
    </row>
    <row r="909">
      <c r="A909" s="490"/>
      <c r="B909" s="490"/>
      <c r="C909" s="490"/>
      <c r="D909" s="490"/>
      <c r="E909" s="593" t="str">
        <f>IFERROR(__xludf.DUMMYFUNCTION("""COMPUTED_VALUE"""),"DENCO")</f>
        <v>DENCO</v>
      </c>
      <c r="F909" s="593" t="str">
        <f>IFERROR(__xludf.DUMMYFUNCTION("""COMPUTED_VALUE"""),"C3-05")</f>
        <v>C3-05</v>
      </c>
      <c r="G909" s="490"/>
      <c r="H909" s="490"/>
      <c r="I909" s="490"/>
      <c r="J909" s="588"/>
      <c r="K909" s="490"/>
      <c r="L909" s="490"/>
      <c r="M909" s="490"/>
      <c r="N909" s="490"/>
      <c r="O909" s="490"/>
      <c r="P909" s="490" t="s">
        <v>10347</v>
      </c>
    </row>
    <row r="910">
      <c r="A910" s="490"/>
      <c r="B910" s="490"/>
      <c r="C910" s="490"/>
      <c r="D910" s="490"/>
      <c r="E910" s="593" t="str">
        <f>IFERROR(__xludf.DUMMYFUNCTION("""COMPUTED_VALUE"""),"DENON")</f>
        <v>DENON</v>
      </c>
      <c r="F910" s="593" t="str">
        <f>IFERROR(__xludf.DUMMYFUNCTION("""COMPUTED_VALUE"""),"AVR-X1600H")</f>
        <v>AVR-X1600H</v>
      </c>
      <c r="G910" s="490"/>
      <c r="H910" s="490"/>
      <c r="I910" s="490"/>
      <c r="J910" s="588"/>
      <c r="K910" s="490"/>
      <c r="L910" s="490"/>
      <c r="M910" s="490"/>
      <c r="N910" s="490"/>
      <c r="O910" s="490"/>
      <c r="P910" s="490" t="s">
        <v>10350</v>
      </c>
    </row>
    <row r="911">
      <c r="A911" s="490"/>
      <c r="B911" s="490"/>
      <c r="C911" s="490"/>
      <c r="D911" s="490"/>
      <c r="E911" s="593" t="str">
        <f>IFERROR(__xludf.DUMMYFUNCTION("""COMPUTED_VALUE"""),"DENSITY")</f>
        <v>DENSITY</v>
      </c>
      <c r="F911" s="593" t="str">
        <f>IFERROR(__xludf.DUMMYFUNCTION("""COMPUTED_VALUE"""),"S5")</f>
        <v>S5</v>
      </c>
      <c r="G911" s="490"/>
      <c r="H911" s="490"/>
      <c r="I911" s="490"/>
      <c r="J911" s="588"/>
      <c r="K911" s="490"/>
      <c r="L911" s="490"/>
      <c r="M911" s="490"/>
      <c r="N911" s="490"/>
      <c r="O911" s="490"/>
      <c r="P911" s="490" t="s">
        <v>10353</v>
      </c>
    </row>
    <row r="912">
      <c r="A912" s="490"/>
      <c r="B912" s="490"/>
      <c r="C912" s="490"/>
      <c r="D912" s="490"/>
      <c r="E912" s="593" t="str">
        <f>IFERROR(__xludf.DUMMYFUNCTION("""COMPUTED_VALUE"""),"DENSITY")</f>
        <v>DENSITY</v>
      </c>
      <c r="F912" s="593" t="str">
        <f>IFERROR(__xludf.DUMMYFUNCTION("""COMPUTED_VALUE"""),"OA-1")</f>
        <v>OA-1</v>
      </c>
      <c r="G912" s="490"/>
      <c r="H912" s="490"/>
      <c r="I912" s="490"/>
      <c r="J912" s="588"/>
      <c r="K912" s="490"/>
      <c r="L912" s="490"/>
      <c r="M912" s="490"/>
      <c r="N912" s="490"/>
      <c r="O912" s="490"/>
      <c r="P912" s="490" t="s">
        <v>10356</v>
      </c>
    </row>
    <row r="913">
      <c r="A913" s="490"/>
      <c r="B913" s="490"/>
      <c r="C913" s="490"/>
      <c r="D913" s="490"/>
      <c r="E913" s="593" t="str">
        <f>IFERROR(__xludf.DUMMYFUNCTION("""COMPUTED_VALUE"""),"DENSITY")</f>
        <v>DENSITY</v>
      </c>
      <c r="F913" s="593" t="str">
        <f>IFERROR(__xludf.DUMMYFUNCTION("""COMPUTED_VALUE"""),"ENTRY LONG RANGE")</f>
        <v>ENTRY LONG RANGE</v>
      </c>
      <c r="G913" s="490"/>
      <c r="H913" s="490"/>
      <c r="I913" s="490"/>
      <c r="J913" s="588"/>
      <c r="K913" s="490"/>
      <c r="L913" s="490"/>
      <c r="M913" s="490"/>
      <c r="N913" s="490"/>
      <c r="O913" s="490"/>
      <c r="P913" s="490" t="s">
        <v>10359</v>
      </c>
    </row>
    <row r="914">
      <c r="A914" s="490"/>
      <c r="B914" s="490"/>
      <c r="C914" s="490"/>
      <c r="D914" s="490"/>
      <c r="E914" s="593" t="str">
        <f>IFERROR(__xludf.DUMMYFUNCTION("""COMPUTED_VALUE"""),"DENT")</f>
        <v>DENT</v>
      </c>
      <c r="F914" s="593" t="str">
        <f>IFERROR(__xludf.DUMMYFUNCTION("""COMPUTED_VALUE"""),"POWERSCOUT 48 HD")</f>
        <v>POWERSCOUT 48 HD</v>
      </c>
      <c r="G914" s="490"/>
      <c r="H914" s="490"/>
      <c r="I914" s="490"/>
      <c r="J914" s="588"/>
      <c r="K914" s="490"/>
      <c r="L914" s="490"/>
      <c r="M914" s="490"/>
      <c r="N914" s="490"/>
      <c r="O914" s="490"/>
      <c r="P914" s="490" t="s">
        <v>10362</v>
      </c>
    </row>
    <row r="915">
      <c r="A915" s="490"/>
      <c r="B915" s="490"/>
      <c r="C915" s="490"/>
      <c r="D915" s="490"/>
      <c r="E915" s="593" t="str">
        <f>IFERROR(__xludf.DUMMYFUNCTION("""COMPUTED_VALUE"""),"DENT")</f>
        <v>DENT</v>
      </c>
      <c r="F915" s="593" t="str">
        <f>IFERROR(__xludf.DUMMYFUNCTION("""COMPUTED_VALUE"""),"POWERSCOUT 12 HD")</f>
        <v>POWERSCOUT 12 HD</v>
      </c>
      <c r="G915" s="490"/>
      <c r="H915" s="490"/>
      <c r="I915" s="490"/>
      <c r="J915" s="588"/>
      <c r="K915" s="490"/>
      <c r="L915" s="490"/>
      <c r="M915" s="490"/>
      <c r="N915" s="490"/>
      <c r="O915" s="490"/>
      <c r="P915" s="490" t="s">
        <v>9450</v>
      </c>
    </row>
    <row r="916">
      <c r="A916" s="490"/>
      <c r="B916" s="490"/>
      <c r="C916" s="490"/>
      <c r="D916" s="490"/>
      <c r="E916" s="593" t="str">
        <f>IFERROR(__xludf.DUMMYFUNCTION("""COMPUTED_VALUE"""),"DENT")</f>
        <v>DENT</v>
      </c>
      <c r="F916" s="593" t="str">
        <f>IFERROR(__xludf.DUMMYFUNCTION("""COMPUTED_VALUE"""),"POWERSCOUT 24 HD")</f>
        <v>POWERSCOUT 24 HD</v>
      </c>
      <c r="G916" s="490"/>
      <c r="H916" s="490"/>
      <c r="I916" s="490"/>
      <c r="J916" s="588"/>
      <c r="K916" s="490"/>
      <c r="L916" s="490"/>
      <c r="M916" s="490"/>
      <c r="N916" s="490"/>
      <c r="O916" s="490"/>
      <c r="P916" s="490" t="s">
        <v>9531</v>
      </c>
    </row>
    <row r="917">
      <c r="A917" s="490"/>
      <c r="B917" s="490"/>
      <c r="C917" s="490"/>
      <c r="D917" s="490"/>
      <c r="E917" s="593" t="str">
        <f>IFERROR(__xludf.DUMMYFUNCTION("""COMPUTED_VALUE"""),"DENT")</f>
        <v>DENT</v>
      </c>
      <c r="F917" s="593" t="str">
        <f>IFERROR(__xludf.DUMMYFUNCTION("""COMPUTED_VALUE"""),"POWERSCOUT 3 HD")</f>
        <v>POWERSCOUT 3 HD</v>
      </c>
      <c r="G917" s="490"/>
      <c r="H917" s="490"/>
      <c r="I917" s="490"/>
      <c r="J917" s="588"/>
      <c r="K917" s="490"/>
      <c r="L917" s="490"/>
      <c r="M917" s="490"/>
      <c r="N917" s="490"/>
      <c r="O917" s="490"/>
      <c r="P917" s="490" t="s">
        <v>10365</v>
      </c>
    </row>
    <row r="918">
      <c r="A918" s="490"/>
      <c r="B918" s="490"/>
      <c r="C918" s="490"/>
      <c r="D918" s="490"/>
      <c r="E918" s="593" t="str">
        <f>IFERROR(__xludf.DUMMYFUNCTION("""COMPUTED_VALUE"""),"DEOS")</f>
        <v>DEOS</v>
      </c>
      <c r="F918" s="593" t="str">
        <f>IFERROR(__xludf.DUMMYFUNCTION("""COMPUTED_VALUE"""),"DSS-CERMC SERIES")</f>
        <v>DSS-CERMC SERIES</v>
      </c>
      <c r="G918" s="490"/>
      <c r="H918" s="490"/>
      <c r="I918" s="490"/>
      <c r="J918" s="588"/>
      <c r="K918" s="490"/>
      <c r="L918" s="490"/>
      <c r="M918" s="490"/>
      <c r="N918" s="490"/>
      <c r="O918" s="490"/>
      <c r="P918" s="490" t="s">
        <v>10368</v>
      </c>
    </row>
    <row r="919">
      <c r="A919" s="490"/>
      <c r="B919" s="490"/>
      <c r="C919" s="490"/>
      <c r="D919" s="490"/>
      <c r="E919" s="593" t="str">
        <f>IFERROR(__xludf.DUMMYFUNCTION("""COMPUTED_VALUE"""),"DEOS")</f>
        <v>DEOS</v>
      </c>
      <c r="F919" s="593" t="str">
        <f>IFERROR(__xludf.DUMMYFUNCTION("""COMPUTED_VALUE"""),"HUMIDITY TRANSMITTER")</f>
        <v>HUMIDITY TRANSMITTER</v>
      </c>
      <c r="G919" s="490"/>
      <c r="H919" s="490"/>
      <c r="I919" s="490"/>
      <c r="J919" s="588"/>
      <c r="K919" s="490"/>
      <c r="L919" s="490"/>
      <c r="M919" s="490"/>
      <c r="N919" s="490"/>
      <c r="O919" s="490"/>
      <c r="P919" s="490" t="s">
        <v>10371</v>
      </c>
    </row>
    <row r="920">
      <c r="A920" s="490"/>
      <c r="B920" s="490"/>
      <c r="C920" s="490"/>
      <c r="D920" s="490"/>
      <c r="E920" s="593" t="str">
        <f>IFERROR(__xludf.DUMMYFUNCTION("""COMPUTED_VALUE"""),"DEOS")</f>
        <v>DEOS</v>
      </c>
      <c r="F920" s="593" t="str">
        <f>IFERROR(__xludf.DUMMYFUNCTION("""COMPUTED_VALUE"""),"DSS-CMD5B1 SERIES")</f>
        <v>DSS-CMD5B1 SERIES</v>
      </c>
      <c r="G920" s="490"/>
      <c r="H920" s="490"/>
      <c r="I920" s="490"/>
      <c r="J920" s="588"/>
      <c r="K920" s="490"/>
      <c r="L920" s="490"/>
      <c r="M920" s="490"/>
      <c r="N920" s="490"/>
      <c r="O920" s="490"/>
      <c r="P920" s="490" t="s">
        <v>10374</v>
      </c>
    </row>
    <row r="921">
      <c r="A921" s="490"/>
      <c r="B921" s="490"/>
      <c r="C921" s="490"/>
      <c r="D921" s="490"/>
      <c r="E921" s="593" t="str">
        <f>IFERROR(__xludf.DUMMYFUNCTION("""COMPUTED_VALUE"""),"DETEC SYSTEMS")</f>
        <v>DETEC SYSTEMS</v>
      </c>
      <c r="F921" s="593" t="str">
        <f>IFERROR(__xludf.DUMMYFUNCTION("""COMPUTED_VALUE"""),"DX250 FMS")</f>
        <v>DX250 FMS</v>
      </c>
      <c r="G921" s="490"/>
      <c r="H921" s="490"/>
      <c r="I921" s="490"/>
      <c r="J921" s="588"/>
      <c r="K921" s="490"/>
      <c r="L921" s="490"/>
      <c r="M921" s="490"/>
      <c r="N921" s="490"/>
      <c r="O921" s="490"/>
      <c r="P921" s="490" t="s">
        <v>10377</v>
      </c>
    </row>
    <row r="922">
      <c r="A922" s="490"/>
      <c r="B922" s="490"/>
      <c r="C922" s="490"/>
      <c r="D922" s="490"/>
      <c r="E922" s="593" t="str">
        <f>IFERROR(__xludf.DUMMYFUNCTION("""COMPUTED_VALUE"""),"DIALOG")</f>
        <v>DIALOG</v>
      </c>
      <c r="F922" s="593" t="str">
        <f>IFERROR(__xludf.DUMMYFUNCTION("""COMPUTED_VALUE"""),"72201R-240")</f>
        <v>72201R-240</v>
      </c>
      <c r="G922" s="490"/>
      <c r="H922" s="490"/>
      <c r="I922" s="490"/>
      <c r="J922" s="588"/>
      <c r="K922" s="490"/>
      <c r="L922" s="490"/>
      <c r="M922" s="490"/>
      <c r="N922" s="490"/>
      <c r="O922" s="490"/>
      <c r="P922" s="490" t="s">
        <v>10380</v>
      </c>
    </row>
    <row r="923">
      <c r="A923" s="490"/>
      <c r="B923" s="490"/>
      <c r="C923" s="490"/>
      <c r="D923" s="490"/>
      <c r="E923" s="593" t="str">
        <f>IFERROR(__xludf.DUMMYFUNCTION("""COMPUTED_VALUE"""),"DIEHL")</f>
        <v>DIEHL</v>
      </c>
      <c r="F923" s="593" t="str">
        <f>IFERROR(__xludf.DUMMYFUNCTION("""COMPUTED_VALUE"""),"SHARKY 775")</f>
        <v>SHARKY 775</v>
      </c>
      <c r="G923" s="490"/>
      <c r="H923" s="490"/>
      <c r="I923" s="490"/>
      <c r="J923" s="588"/>
      <c r="K923" s="490"/>
      <c r="L923" s="490"/>
      <c r="M923" s="490"/>
      <c r="N923" s="490"/>
      <c r="O923" s="490"/>
      <c r="P923" s="490" t="s">
        <v>10383</v>
      </c>
    </row>
    <row r="924">
      <c r="A924" s="490"/>
      <c r="B924" s="490"/>
      <c r="C924" s="490"/>
      <c r="D924" s="490"/>
      <c r="E924" s="593" t="str">
        <f>IFERROR(__xludf.DUMMYFUNCTION("""COMPUTED_VALUE"""),"DIEHL")</f>
        <v>DIEHL</v>
      </c>
      <c r="F924" s="593" t="str">
        <f>IFERROR(__xludf.DUMMYFUNCTION("""COMPUTED_VALUE"""),"HYDRUS ULTRASONIC METER")</f>
        <v>HYDRUS ULTRASONIC METER</v>
      </c>
      <c r="G924" s="490"/>
      <c r="H924" s="490"/>
      <c r="I924" s="490"/>
      <c r="J924" s="588"/>
      <c r="K924" s="490"/>
      <c r="L924" s="490"/>
      <c r="M924" s="490"/>
      <c r="N924" s="490"/>
      <c r="O924" s="490"/>
      <c r="P924" s="490" t="s">
        <v>10386</v>
      </c>
    </row>
    <row r="925">
      <c r="A925" s="490"/>
      <c r="B925" s="490"/>
      <c r="C925" s="490"/>
      <c r="D925" s="490"/>
      <c r="E925" s="593" t="str">
        <f>IFERROR(__xludf.DUMMYFUNCTION("""COMPUTED_VALUE"""),"DIGI")</f>
        <v>DIGI</v>
      </c>
      <c r="F925" s="593" t="str">
        <f>IFERROR(__xludf.DUMMYFUNCTION("""COMPUTED_VALUE"""),"CONNECTPORT X4")</f>
        <v>CONNECTPORT X4</v>
      </c>
      <c r="G925" s="490"/>
      <c r="H925" s="490"/>
      <c r="I925" s="490"/>
      <c r="J925" s="588"/>
      <c r="K925" s="490"/>
      <c r="L925" s="490"/>
      <c r="M925" s="490"/>
      <c r="N925" s="490"/>
      <c r="O925" s="490"/>
      <c r="P925" s="490" t="s">
        <v>10389</v>
      </c>
    </row>
    <row r="926">
      <c r="A926" s="490"/>
      <c r="B926" s="490"/>
      <c r="C926" s="490"/>
      <c r="D926" s="490"/>
      <c r="E926" s="593" t="str">
        <f>IFERROR(__xludf.DUMMYFUNCTION("""COMPUTED_VALUE"""),"DIGI")</f>
        <v>DIGI</v>
      </c>
      <c r="F926" s="593" t="str">
        <f>IFERROR(__xludf.DUMMYFUNCTION("""COMPUTED_VALUE"""),"CONNECTPORT X4")</f>
        <v>CONNECTPORT X4</v>
      </c>
      <c r="G926" s="490"/>
      <c r="H926" s="490"/>
      <c r="I926" s="490"/>
      <c r="J926" s="588"/>
      <c r="K926" s="490"/>
      <c r="L926" s="490"/>
      <c r="M926" s="490"/>
      <c r="N926" s="490"/>
      <c r="O926" s="490"/>
      <c r="P926" s="490" t="s">
        <v>10392</v>
      </c>
    </row>
    <row r="927">
      <c r="A927" s="490"/>
      <c r="B927" s="490"/>
      <c r="C927" s="490"/>
      <c r="D927" s="490"/>
      <c r="E927" s="593" t="str">
        <f>IFERROR(__xludf.DUMMYFUNCTION("""COMPUTED_VALUE"""),"DIGI")</f>
        <v>DIGI</v>
      </c>
      <c r="F927" s="593" t="str">
        <f>IFERROR(__xludf.DUMMYFUNCTION("""COMPUTED_VALUE"""),"TRANSPORT W21")</f>
        <v>TRANSPORT W21</v>
      </c>
      <c r="G927" s="490"/>
      <c r="H927" s="490"/>
      <c r="I927" s="490"/>
      <c r="J927" s="588"/>
      <c r="K927" s="490"/>
      <c r="L927" s="490"/>
      <c r="M927" s="490"/>
      <c r="N927" s="490"/>
      <c r="O927" s="490"/>
      <c r="P927" s="490" t="s">
        <v>9534</v>
      </c>
    </row>
    <row r="928">
      <c r="A928" s="490"/>
      <c r="B928" s="490"/>
      <c r="C928" s="490"/>
      <c r="D928" s="490"/>
      <c r="E928" s="593" t="str">
        <f>IFERROR(__xludf.DUMMYFUNCTION("""COMPUTED_VALUE"""),"DIGI")</f>
        <v>DIGI</v>
      </c>
      <c r="F928" s="593" t="str">
        <f>IFERROR(__xludf.DUMMYFUNCTION("""COMPUTED_VALUE"""),"CELLULAR GATEWAY")</f>
        <v>CELLULAR GATEWAY</v>
      </c>
      <c r="G928" s="490"/>
      <c r="H928" s="490"/>
      <c r="I928" s="490"/>
      <c r="J928" s="588"/>
      <c r="K928" s="490"/>
      <c r="L928" s="490"/>
      <c r="M928" s="490"/>
      <c r="N928" s="490"/>
      <c r="O928" s="490"/>
      <c r="P928" s="490" t="s">
        <v>10395</v>
      </c>
    </row>
    <row r="929">
      <c r="A929" s="490"/>
      <c r="B929" s="490"/>
      <c r="C929" s="490"/>
      <c r="D929" s="490"/>
      <c r="E929" s="593" t="str">
        <f>IFERROR(__xludf.DUMMYFUNCTION("""COMPUTED_VALUE"""),"DIGI")</f>
        <v>DIGI</v>
      </c>
      <c r="F929" s="593" t="str">
        <f>IFERROR(__xludf.DUMMYFUNCTION("""COMPUTED_VALUE"""),"CONNECT PORT X4")</f>
        <v>CONNECT PORT X4</v>
      </c>
      <c r="G929" s="490"/>
      <c r="H929" s="490"/>
      <c r="I929" s="490"/>
      <c r="J929" s="588"/>
      <c r="K929" s="490"/>
      <c r="L929" s="490"/>
      <c r="M929" s="490"/>
      <c r="N929" s="490"/>
      <c r="O929" s="490"/>
      <c r="P929" s="490" t="s">
        <v>10398</v>
      </c>
    </row>
    <row r="930">
      <c r="A930" s="490"/>
      <c r="B930" s="490"/>
      <c r="C930" s="490"/>
      <c r="D930" s="490"/>
      <c r="E930" s="593" t="str">
        <f>IFERROR(__xludf.DUMMYFUNCTION("""COMPUTED_VALUE"""),"DIGI")</f>
        <v>DIGI</v>
      </c>
      <c r="F930" s="593" t="str">
        <f>IFERROR(__xludf.DUMMYFUNCTION("""COMPUTED_VALUE"""),"DIGI CONNECTPORT X4 GATEWAY")</f>
        <v>DIGI CONNECTPORT X4 GATEWAY</v>
      </c>
      <c r="G930" s="490"/>
      <c r="H930" s="490"/>
      <c r="I930" s="490"/>
      <c r="J930" s="588"/>
      <c r="K930" s="490"/>
      <c r="L930" s="490"/>
      <c r="M930" s="490"/>
      <c r="N930" s="490"/>
      <c r="O930" s="490"/>
      <c r="P930" s="490" t="s">
        <v>10401</v>
      </c>
    </row>
    <row r="931">
      <c r="A931" s="490"/>
      <c r="B931" s="490"/>
      <c r="C931" s="490"/>
      <c r="D931" s="490"/>
      <c r="E931" s="593" t="str">
        <f>IFERROR(__xludf.DUMMYFUNCTION("""COMPUTED_VALUE"""),"DIGI")</f>
        <v>DIGI</v>
      </c>
      <c r="F931" s="593" t="str">
        <f>IFERROR(__xludf.DUMMYFUNCTION("""COMPUTED_VALUE"""),"CONNECTPORTX4")</f>
        <v>CONNECTPORTX4</v>
      </c>
      <c r="G931" s="490"/>
      <c r="H931" s="490"/>
      <c r="I931" s="490"/>
      <c r="J931" s="588"/>
      <c r="K931" s="490"/>
      <c r="L931" s="490"/>
      <c r="M931" s="490"/>
      <c r="N931" s="490"/>
      <c r="O931" s="490"/>
      <c r="P931" s="490" t="s">
        <v>10404</v>
      </c>
    </row>
    <row r="932">
      <c r="A932" s="490"/>
      <c r="B932" s="490"/>
      <c r="C932" s="490"/>
      <c r="D932" s="490"/>
      <c r="E932" s="593" t="str">
        <f>IFERROR(__xludf.DUMMYFUNCTION("""COMPUTED_VALUE"""),"DIGI")</f>
        <v>DIGI</v>
      </c>
      <c r="F932" s="593" t="str">
        <f>IFERROR(__xludf.DUMMYFUNCTION("""COMPUTED_VALUE"""),"DIGIMESH 2.4")</f>
        <v>DIGIMESH 2.4</v>
      </c>
      <c r="G932" s="490"/>
      <c r="H932" s="490"/>
      <c r="I932" s="490"/>
      <c r="J932" s="588"/>
      <c r="K932" s="490"/>
      <c r="L932" s="490"/>
      <c r="M932" s="490"/>
      <c r="N932" s="490"/>
      <c r="O932" s="490"/>
      <c r="P932" s="490" t="s">
        <v>10408</v>
      </c>
    </row>
    <row r="933">
      <c r="A933" s="490"/>
      <c r="B933" s="490"/>
      <c r="C933" s="490"/>
      <c r="D933" s="490"/>
      <c r="E933" s="593" t="str">
        <f>IFERROR(__xludf.DUMMYFUNCTION("""COMPUTED_VALUE"""),"DIGI")</f>
        <v>DIGI</v>
      </c>
      <c r="F933" s="593" t="str">
        <f>IFERROR(__xludf.DUMMYFUNCTION("""COMPUTED_VALUE"""),"TM-ZP300-S")</f>
        <v>TM-ZP300-S</v>
      </c>
      <c r="G933" s="490"/>
      <c r="H933" s="490"/>
      <c r="I933" s="490"/>
      <c r="J933" s="588"/>
      <c r="K933" s="490"/>
      <c r="L933" s="490"/>
      <c r="M933" s="490"/>
      <c r="N933" s="490"/>
      <c r="O933" s="490"/>
      <c r="P933" s="490" t="s">
        <v>10411</v>
      </c>
    </row>
    <row r="934">
      <c r="A934" s="490"/>
      <c r="B934" s="490"/>
      <c r="C934" s="490"/>
      <c r="D934" s="490"/>
      <c r="E934" s="593" t="str">
        <f>IFERROR(__xludf.DUMMYFUNCTION("""COMPUTED_VALUE"""),"DIGI")</f>
        <v>DIGI</v>
      </c>
      <c r="F934" s="593" t="str">
        <f>IFERROR(__xludf.DUMMYFUNCTION("""COMPUTED_VALUE"""),"WR21")</f>
        <v>WR21</v>
      </c>
      <c r="G934" s="490"/>
      <c r="H934" s="490"/>
      <c r="I934" s="490"/>
      <c r="J934" s="588"/>
      <c r="K934" s="490"/>
      <c r="L934" s="490"/>
      <c r="M934" s="490"/>
      <c r="N934" s="490"/>
      <c r="O934" s="490"/>
      <c r="P934" s="490" t="s">
        <v>10414</v>
      </c>
    </row>
    <row r="935">
      <c r="A935" s="490"/>
      <c r="B935" s="490"/>
      <c r="C935" s="490"/>
      <c r="D935" s="490"/>
      <c r="E935" s="593" t="str">
        <f>IFERROR(__xludf.DUMMYFUNCTION("""COMPUTED_VALUE"""),"DIGI-CONNECT")</f>
        <v>DIGI-CONNECT</v>
      </c>
      <c r="F935" s="593" t="str">
        <f>IFERROR(__xludf.DUMMYFUNCTION("""COMPUTED_VALUE"""),"CONNECTPORT X4")</f>
        <v>CONNECTPORT X4</v>
      </c>
      <c r="G935" s="490"/>
      <c r="H935" s="490"/>
      <c r="I935" s="490"/>
      <c r="J935" s="588"/>
      <c r="K935" s="490"/>
      <c r="L935" s="490"/>
      <c r="M935" s="490"/>
      <c r="N935" s="490"/>
      <c r="O935" s="490"/>
      <c r="P935" s="490" t="s">
        <v>10417</v>
      </c>
    </row>
    <row r="936">
      <c r="A936" s="490"/>
      <c r="B936" s="490"/>
      <c r="C936" s="490"/>
      <c r="D936" s="490"/>
      <c r="E936" s="593" t="str">
        <f>IFERROR(__xludf.DUMMYFUNCTION("""COMPUTED_VALUE"""),"DIGI-CONNECT")</f>
        <v>DIGI-CONNECT</v>
      </c>
      <c r="F936" s="593" t="str">
        <f>IFERROR(__xludf.DUMMYFUNCTION("""COMPUTED_VALUE"""),"XBEE")</f>
        <v>XBEE</v>
      </c>
      <c r="G936" s="490"/>
      <c r="H936" s="490"/>
      <c r="I936" s="490"/>
      <c r="J936" s="588"/>
      <c r="K936" s="490"/>
      <c r="L936" s="490"/>
      <c r="M936" s="490"/>
      <c r="N936" s="490"/>
      <c r="O936" s="490"/>
      <c r="P936" s="490" t="s">
        <v>10420</v>
      </c>
    </row>
    <row r="937">
      <c r="A937" s="490"/>
      <c r="B937" s="490"/>
      <c r="C937" s="490"/>
      <c r="D937" s="490"/>
      <c r="E937" s="593" t="str">
        <f>IFERROR(__xludf.DUMMYFUNCTION("""COMPUTED_VALUE"""),"DIGISOL")</f>
        <v>DIGISOL</v>
      </c>
      <c r="F937" s="593" t="str">
        <f>IFERROR(__xludf.DUMMYFUNCTION("""COMPUTED_VALUE"""),"DG-GS1008DG")</f>
        <v>DG-GS1008DG</v>
      </c>
      <c r="G937" s="490"/>
      <c r="H937" s="490"/>
      <c r="I937" s="490"/>
      <c r="J937" s="588"/>
      <c r="K937" s="490"/>
      <c r="L937" s="490"/>
      <c r="M937" s="490"/>
      <c r="N937" s="490"/>
      <c r="O937" s="490"/>
      <c r="P937" s="490" t="s">
        <v>10423</v>
      </c>
    </row>
    <row r="938">
      <c r="A938" s="490"/>
      <c r="B938" s="490"/>
      <c r="C938" s="490"/>
      <c r="D938" s="490"/>
      <c r="E938" s="593" t="str">
        <f>IFERROR(__xludf.DUMMYFUNCTION("""COMPUTED_VALUE"""),"DINGTALK")</f>
        <v>DINGTALK</v>
      </c>
      <c r="F938" s="593" t="str">
        <f>IFERROR(__xludf.DUMMYFUNCTION("""COMPUTED_VALUE"""),"M2 FACE RECOGNITION")</f>
        <v>M2 FACE RECOGNITION</v>
      </c>
      <c r="G938" s="490"/>
      <c r="H938" s="490"/>
      <c r="I938" s="490"/>
      <c r="J938" s="588"/>
      <c r="K938" s="490"/>
      <c r="L938" s="490"/>
      <c r="M938" s="490"/>
      <c r="N938" s="490"/>
      <c r="O938" s="490"/>
      <c r="P938" s="490" t="s">
        <v>9537</v>
      </c>
    </row>
    <row r="939">
      <c r="A939" s="490"/>
      <c r="B939" s="490"/>
      <c r="C939" s="490"/>
      <c r="D939" s="490"/>
      <c r="E939" s="593" t="str">
        <f>IFERROR(__xludf.DUMMYFUNCTION("""COMPUTED_VALUE"""),"DISH NETWORKS")</f>
        <v>DISH NETWORKS</v>
      </c>
      <c r="F939" s="593" t="str">
        <f>IFERROR(__xludf.DUMMYFUNCTION("""COMPUTED_VALUE"""),"HOPPER 3")</f>
        <v>HOPPER 3</v>
      </c>
      <c r="G939" s="490"/>
      <c r="H939" s="490"/>
      <c r="I939" s="490"/>
      <c r="J939" s="588"/>
      <c r="K939" s="490"/>
      <c r="L939" s="490"/>
      <c r="M939" s="490"/>
      <c r="N939" s="490"/>
      <c r="O939" s="490"/>
      <c r="P939" s="490" t="s">
        <v>10426</v>
      </c>
    </row>
    <row r="940">
      <c r="A940" s="490"/>
      <c r="B940" s="490"/>
      <c r="C940" s="490"/>
      <c r="D940" s="490"/>
      <c r="E940" s="593" t="str">
        <f>IFERROR(__xludf.DUMMYFUNCTION("""COMPUTED_VALUE"""),"DISH NETWORKS")</f>
        <v>DISH NETWORKS</v>
      </c>
      <c r="F940" s="593" t="str">
        <f>IFERROR(__xludf.DUMMYFUNCTION("""COMPUTED_VALUE"""),"VIP211K")</f>
        <v>VIP211K</v>
      </c>
      <c r="G940" s="490"/>
      <c r="H940" s="490"/>
      <c r="I940" s="490"/>
      <c r="J940" s="588"/>
      <c r="K940" s="490"/>
      <c r="L940" s="490"/>
      <c r="M940" s="490"/>
      <c r="N940" s="490"/>
      <c r="O940" s="490"/>
      <c r="P940" s="490" t="s">
        <v>10429</v>
      </c>
    </row>
    <row r="941">
      <c r="A941" s="490"/>
      <c r="B941" s="490"/>
      <c r="C941" s="490"/>
      <c r="D941" s="490"/>
      <c r="E941" s="593" t="str">
        <f>IFERROR(__xludf.DUMMYFUNCTION("""COMPUTED_VALUE"""),"DISH NETWORKS")</f>
        <v>DISH NETWORKS</v>
      </c>
      <c r="F941" s="593" t="str">
        <f>IFERROR(__xludf.DUMMYFUNCTION("""COMPUTED_VALUE"""),"WALLY")</f>
        <v>WALLY</v>
      </c>
      <c r="G941" s="490"/>
      <c r="H941" s="490"/>
      <c r="I941" s="490"/>
      <c r="J941" s="588"/>
      <c r="K941" s="490"/>
      <c r="L941" s="490"/>
      <c r="M941" s="490"/>
      <c r="N941" s="490"/>
      <c r="O941" s="490"/>
      <c r="P941" s="490" t="s">
        <v>10432</v>
      </c>
    </row>
    <row r="942">
      <c r="A942" s="490"/>
      <c r="B942" s="490"/>
      <c r="C942" s="490"/>
      <c r="D942" s="490"/>
      <c r="E942" s="593" t="str">
        <f>IFERROR(__xludf.DUMMYFUNCTION("""COMPUTED_VALUE"""),"DISTECH")</f>
        <v>DISTECH</v>
      </c>
      <c r="F942" s="593" t="str">
        <f>IFERROR(__xludf.DUMMYFUNCTION("""COMPUTED_VALUE"""),"EC-BOS-8")</f>
        <v>EC-BOS-8</v>
      </c>
      <c r="G942" s="490"/>
      <c r="H942" s="490"/>
      <c r="I942" s="490"/>
      <c r="J942" s="588"/>
      <c r="K942" s="490"/>
      <c r="L942" s="490"/>
      <c r="M942" s="490"/>
      <c r="N942" s="490"/>
      <c r="O942" s="490"/>
      <c r="P942" s="490" t="s">
        <v>10435</v>
      </c>
    </row>
    <row r="943">
      <c r="A943" s="490"/>
      <c r="B943" s="490"/>
      <c r="C943" s="490"/>
      <c r="D943" s="490"/>
      <c r="E943" s="593" t="str">
        <f>IFERROR(__xludf.DUMMYFUNCTION("""COMPUTED_VALUE"""),"DISTECH")</f>
        <v>DISTECH</v>
      </c>
      <c r="F943" s="593" t="str">
        <f>IFERROR(__xludf.DUMMYFUNCTION("""COMPUTED_VALUE"""),"ECY-PTU107")</f>
        <v>ECY-PTU107</v>
      </c>
      <c r="G943" s="490"/>
      <c r="H943" s="490"/>
      <c r="I943" s="490"/>
      <c r="J943" s="588"/>
      <c r="K943" s="490"/>
      <c r="L943" s="490"/>
      <c r="M943" s="490"/>
      <c r="N943" s="490"/>
      <c r="O943" s="490"/>
      <c r="P943" s="490" t="s">
        <v>10438</v>
      </c>
    </row>
    <row r="944">
      <c r="A944" s="490"/>
      <c r="B944" s="490"/>
      <c r="C944" s="490"/>
      <c r="D944" s="490"/>
      <c r="E944" s="593" t="str">
        <f>IFERROR(__xludf.DUMMYFUNCTION("""COMPUTED_VALUE"""),"DISTECH")</f>
        <v>DISTECH</v>
      </c>
      <c r="F944" s="593" t="str">
        <f>IFERROR(__xludf.DUMMYFUNCTION("""COMPUTED_VALUE"""),"ECY-PTU-208")</f>
        <v>ECY-PTU-208</v>
      </c>
      <c r="G944" s="490"/>
      <c r="H944" s="490"/>
      <c r="I944" s="490"/>
      <c r="J944" s="588"/>
      <c r="K944" s="490"/>
      <c r="L944" s="490"/>
      <c r="M944" s="490"/>
      <c r="N944" s="490"/>
      <c r="O944" s="490"/>
      <c r="P944" s="490" t="s">
        <v>10441</v>
      </c>
    </row>
    <row r="945">
      <c r="A945" s="490"/>
      <c r="B945" s="490"/>
      <c r="C945" s="490"/>
      <c r="D945" s="490"/>
      <c r="E945" s="593" t="str">
        <f>IFERROR(__xludf.DUMMYFUNCTION("""COMPUTED_VALUE"""),"DISTECH")</f>
        <v>DISTECH</v>
      </c>
      <c r="F945" s="593" t="str">
        <f>IFERROR(__xludf.DUMMYFUNCTION("""COMPUTED_VALUE"""),"ECY-PTU-207")</f>
        <v>ECY-PTU-207</v>
      </c>
      <c r="G945" s="490"/>
      <c r="H945" s="490"/>
      <c r="I945" s="490"/>
      <c r="J945" s="588"/>
      <c r="K945" s="490"/>
      <c r="L945" s="490"/>
      <c r="M945" s="490"/>
      <c r="N945" s="490"/>
      <c r="O945" s="490"/>
      <c r="P945" s="490" t="s">
        <v>10444</v>
      </c>
    </row>
    <row r="946">
      <c r="A946" s="490"/>
      <c r="B946" s="490"/>
      <c r="C946" s="490"/>
      <c r="D946" s="490"/>
      <c r="E946" s="593" t="str">
        <f>IFERROR(__xludf.DUMMYFUNCTION("""COMPUTED_VALUE"""),"DISTECH")</f>
        <v>DISTECH</v>
      </c>
      <c r="F946" s="593" t="str">
        <f>IFERROR(__xludf.DUMMYFUNCTION("""COMPUTED_VALUE"""),"ECY-S1000")</f>
        <v>ECY-S1000</v>
      </c>
      <c r="G946" s="490"/>
      <c r="H946" s="490"/>
      <c r="I946" s="490"/>
      <c r="J946" s="588"/>
      <c r="K946" s="490"/>
      <c r="L946" s="490"/>
      <c r="M946" s="490"/>
      <c r="N946" s="490"/>
      <c r="O946" s="490"/>
      <c r="P946" s="490" t="s">
        <v>10447</v>
      </c>
    </row>
    <row r="947">
      <c r="A947" s="490"/>
      <c r="B947" s="490"/>
      <c r="C947" s="490"/>
      <c r="D947" s="490"/>
      <c r="E947" s="593" t="str">
        <f>IFERROR(__xludf.DUMMYFUNCTION("""COMPUTED_VALUE"""),"DISTECH")</f>
        <v>DISTECH</v>
      </c>
      <c r="F947" s="593" t="str">
        <f>IFERROR(__xludf.DUMMYFUNCTION("""COMPUTED_VALUE"""),"ECY-303-SEP")</f>
        <v>ECY-303-SEP</v>
      </c>
      <c r="G947" s="490"/>
      <c r="H947" s="490"/>
      <c r="I947" s="490"/>
      <c r="J947" s="588"/>
      <c r="K947" s="490"/>
      <c r="L947" s="490"/>
      <c r="M947" s="490"/>
      <c r="N947" s="490"/>
      <c r="O947" s="490"/>
      <c r="P947" s="490" t="s">
        <v>10450</v>
      </c>
    </row>
    <row r="948">
      <c r="A948" s="490"/>
      <c r="B948" s="490"/>
      <c r="C948" s="490"/>
      <c r="D948" s="490"/>
      <c r="E948" s="593" t="str">
        <f>IFERROR(__xludf.DUMMYFUNCTION("""COMPUTED_VALUE"""),"DISTECH")</f>
        <v>DISTECH</v>
      </c>
      <c r="F948" s="593" t="str">
        <f>IFERROR(__xludf.DUMMYFUNCTION("""COMPUTED_VALUE"""),"ECY-S1000E-SEP")</f>
        <v>ECY-S1000E-SEP</v>
      </c>
      <c r="G948" s="490"/>
      <c r="H948" s="490"/>
      <c r="I948" s="490"/>
      <c r="J948" s="588"/>
      <c r="K948" s="490"/>
      <c r="L948" s="490"/>
      <c r="M948" s="490"/>
      <c r="N948" s="490"/>
      <c r="O948" s="490"/>
      <c r="P948" s="490" t="s">
        <v>10453</v>
      </c>
    </row>
    <row r="949">
      <c r="A949" s="490"/>
      <c r="B949" s="490"/>
      <c r="C949" s="490"/>
      <c r="D949" s="490"/>
      <c r="E949" s="593" t="str">
        <f>IFERROR(__xludf.DUMMYFUNCTION("""COMPUTED_VALUE"""),"DISTECH")</f>
        <v>DISTECH</v>
      </c>
      <c r="F949" s="593" t="str">
        <f>IFERROR(__xludf.DUMMYFUNCTION("""COMPUTED_VALUE"""),"ECY-VAV-SEP")</f>
        <v>ECY-VAV-SEP</v>
      </c>
      <c r="G949" s="490"/>
      <c r="H949" s="490"/>
      <c r="I949" s="490"/>
      <c r="J949" s="588"/>
      <c r="K949" s="490"/>
      <c r="L949" s="490"/>
      <c r="M949" s="490"/>
      <c r="N949" s="490"/>
      <c r="O949" s="490"/>
      <c r="P949" s="490" t="s">
        <v>9540</v>
      </c>
    </row>
    <row r="950">
      <c r="A950" s="490"/>
      <c r="B950" s="490"/>
      <c r="C950" s="490"/>
      <c r="D950" s="490"/>
      <c r="E950" s="593" t="str">
        <f>IFERROR(__xludf.DUMMYFUNCTION("""COMPUTED_VALUE"""),"DISTECH")</f>
        <v>DISTECH</v>
      </c>
      <c r="F950" s="593" t="str">
        <f>IFERROR(__xludf.DUMMYFUNCTION("""COMPUTED_VALUE"""),"ECY-TU-203-SEP")</f>
        <v>ECY-TU-203-SEP</v>
      </c>
      <c r="G950" s="490"/>
      <c r="H950" s="490"/>
      <c r="I950" s="490"/>
      <c r="J950" s="588"/>
      <c r="K950" s="490"/>
      <c r="L950" s="490"/>
      <c r="M950" s="490"/>
      <c r="N950" s="490"/>
      <c r="O950" s="490"/>
      <c r="P950" s="490" t="s">
        <v>10456</v>
      </c>
    </row>
    <row r="951">
      <c r="A951" s="490"/>
      <c r="B951" s="490"/>
      <c r="C951" s="490"/>
      <c r="D951" s="490"/>
      <c r="E951" s="593" t="str">
        <f>IFERROR(__xludf.DUMMYFUNCTION("""COMPUTED_VALUE"""),"DISTECH")</f>
        <v>DISTECH</v>
      </c>
      <c r="F951" s="593" t="str">
        <f>IFERROR(__xludf.DUMMYFUNCTION("""COMPUTED_VALUE"""),"EC-BOS-2AX")</f>
        <v>EC-BOS-2AX</v>
      </c>
      <c r="G951" s="490"/>
      <c r="H951" s="490"/>
      <c r="I951" s="490"/>
      <c r="J951" s="588"/>
      <c r="K951" s="490"/>
      <c r="L951" s="490"/>
      <c r="M951" s="490"/>
      <c r="N951" s="490"/>
      <c r="O951" s="490"/>
      <c r="P951" s="490" t="s">
        <v>10459</v>
      </c>
    </row>
    <row r="952">
      <c r="A952" s="490"/>
      <c r="B952" s="490"/>
      <c r="C952" s="490"/>
      <c r="D952" s="490"/>
      <c r="E952" s="593" t="str">
        <f>IFERROR(__xludf.DUMMYFUNCTION("""COMPUTED_VALUE"""),"DISTECH")</f>
        <v>DISTECH</v>
      </c>
      <c r="F952" s="593" t="str">
        <f>IFERROR(__xludf.DUMMYFUNCTION("""COMPUTED_VALUE"""),"EC-BOS-6AX")</f>
        <v>EC-BOS-6AX</v>
      </c>
      <c r="G952" s="490"/>
      <c r="H952" s="490"/>
      <c r="I952" s="490"/>
      <c r="J952" s="588"/>
      <c r="K952" s="490"/>
      <c r="L952" s="490"/>
      <c r="M952" s="490"/>
      <c r="N952" s="490"/>
      <c r="O952" s="490"/>
      <c r="P952" s="490" t="s">
        <v>10462</v>
      </c>
    </row>
    <row r="953">
      <c r="A953" s="490"/>
      <c r="B953" s="490"/>
      <c r="C953" s="490"/>
      <c r="D953" s="490"/>
      <c r="E953" s="593" t="str">
        <f>IFERROR(__xludf.DUMMYFUNCTION("""COMPUTED_VALUE"""),"DISTECH")</f>
        <v>DISTECH</v>
      </c>
      <c r="F953" s="593" t="str">
        <f>IFERROR(__xludf.DUMMYFUNCTION("""COMPUTED_VALUE"""),"ECBPTU207")</f>
        <v>ECBPTU207</v>
      </c>
      <c r="G953" s="490"/>
      <c r="H953" s="490"/>
      <c r="I953" s="490"/>
      <c r="J953" s="588"/>
      <c r="K953" s="490"/>
      <c r="L953" s="490"/>
      <c r="M953" s="490"/>
      <c r="N953" s="490"/>
      <c r="O953" s="490"/>
      <c r="P953" s="490" t="s">
        <v>10465</v>
      </c>
    </row>
    <row r="954">
      <c r="A954" s="490"/>
      <c r="B954" s="490"/>
      <c r="C954" s="490"/>
      <c r="D954" s="490"/>
      <c r="E954" s="593" t="str">
        <f>IFERROR(__xludf.DUMMYFUNCTION("""COMPUTED_VALUE"""),"DISTECH")</f>
        <v>DISTECH</v>
      </c>
      <c r="F954" s="593" t="str">
        <f>IFERROR(__xludf.DUMMYFUNCTION("""COMPUTED_VALUE"""),"ECBPTU207")</f>
        <v>ECBPTU207</v>
      </c>
      <c r="G954" s="490"/>
      <c r="H954" s="490"/>
      <c r="I954" s="490"/>
      <c r="J954" s="588"/>
      <c r="K954" s="490"/>
      <c r="L954" s="490"/>
      <c r="M954" s="490"/>
      <c r="N954" s="490"/>
      <c r="O954" s="490"/>
      <c r="P954" s="490" t="s">
        <v>10468</v>
      </c>
    </row>
    <row r="955">
      <c r="A955" s="490"/>
      <c r="B955" s="490"/>
      <c r="C955" s="490"/>
      <c r="D955" s="490"/>
      <c r="E955" s="593" t="str">
        <f>IFERROR(__xludf.DUMMYFUNCTION("""COMPUTED_VALUE"""),"DISTECH")</f>
        <v>DISTECH</v>
      </c>
      <c r="F955" s="593" t="str">
        <f>IFERROR(__xludf.DUMMYFUNCTION("""COMPUTED_VALUE"""),"EC-SMART-COMFORT")</f>
        <v>EC-SMART-COMFORT</v>
      </c>
      <c r="G955" s="490"/>
      <c r="H955" s="490"/>
      <c r="I955" s="490"/>
      <c r="J955" s="588"/>
      <c r="K955" s="490"/>
      <c r="L955" s="490"/>
      <c r="M955" s="490"/>
      <c r="N955" s="490"/>
      <c r="O955" s="490"/>
      <c r="P955" s="490" t="s">
        <v>10471</v>
      </c>
    </row>
    <row r="956">
      <c r="A956" s="490"/>
      <c r="B956" s="490"/>
      <c r="C956" s="490"/>
      <c r="D956" s="490"/>
      <c r="E956" s="593" t="str">
        <f>IFERROR(__xludf.DUMMYFUNCTION("""COMPUTED_VALUE"""),"DISTECH")</f>
        <v>DISTECH</v>
      </c>
      <c r="F956" s="593" t="str">
        <f>IFERROR(__xludf.DUMMYFUNCTION("""COMPUTED_VALUE"""),"EC-SMART-COMFORT")</f>
        <v>EC-SMART-COMFORT</v>
      </c>
      <c r="G956" s="490"/>
      <c r="H956" s="490"/>
      <c r="I956" s="490"/>
      <c r="J956" s="588"/>
      <c r="K956" s="490"/>
      <c r="L956" s="490"/>
      <c r="M956" s="490"/>
      <c r="N956" s="490"/>
      <c r="O956" s="490"/>
      <c r="P956" s="490" t="s">
        <v>10474</v>
      </c>
    </row>
    <row r="957">
      <c r="A957" s="490"/>
      <c r="B957" s="490"/>
      <c r="C957" s="490"/>
      <c r="D957" s="490"/>
      <c r="E957" s="593" t="str">
        <f>IFERROR(__xludf.DUMMYFUNCTION("""COMPUTED_VALUE"""),"DISTECH")</f>
        <v>DISTECH</v>
      </c>
      <c r="F957" s="593" t="str">
        <f>IFERROR(__xludf.DUMMYFUNCTION("""COMPUTED_VALUE"""),"ALLURE UNITOUCH-W-CH")</f>
        <v>ALLURE UNITOUCH-W-CH</v>
      </c>
      <c r="G957" s="490"/>
      <c r="H957" s="490"/>
      <c r="I957" s="490"/>
      <c r="J957" s="588"/>
      <c r="K957" s="490"/>
      <c r="L957" s="490"/>
      <c r="M957" s="490"/>
      <c r="N957" s="490"/>
      <c r="O957" s="490"/>
      <c r="P957" s="490" t="s">
        <v>10477</v>
      </c>
    </row>
    <row r="958">
      <c r="A958" s="490"/>
      <c r="B958" s="490"/>
      <c r="C958" s="490"/>
      <c r="D958" s="490"/>
      <c r="E958" s="593" t="str">
        <f>IFERROR(__xludf.DUMMYFUNCTION("""COMPUTED_VALUE"""),"DISTECH")</f>
        <v>DISTECH</v>
      </c>
      <c r="F958" s="593" t="str">
        <f>IFERROR(__xludf.DUMMYFUNCTION("""COMPUTED_VALUE"""),"EC-SMART-VUE")</f>
        <v>EC-SMART-VUE</v>
      </c>
      <c r="G958" s="490"/>
      <c r="H958" s="490"/>
      <c r="I958" s="490"/>
      <c r="J958" s="588"/>
      <c r="K958" s="490"/>
      <c r="L958" s="490"/>
      <c r="M958" s="490"/>
      <c r="N958" s="490"/>
      <c r="O958" s="490"/>
      <c r="P958" s="490" t="s">
        <v>10480</v>
      </c>
    </row>
    <row r="959">
      <c r="A959" s="490"/>
      <c r="B959" s="490"/>
      <c r="C959" s="490"/>
      <c r="D959" s="490"/>
      <c r="E959" s="593" t="str">
        <f>IFERROR(__xludf.DUMMYFUNCTION("""COMPUTED_VALUE"""),"DISTECH")</f>
        <v>DISTECH</v>
      </c>
      <c r="F959" s="593" t="str">
        <f>IFERROR(__xludf.DUMMYFUNCTION("""COMPUTED_VALUE"""),"ECY-TU-203")</f>
        <v>ECY-TU-203</v>
      </c>
      <c r="G959" s="490"/>
      <c r="H959" s="490"/>
      <c r="I959" s="490"/>
      <c r="J959" s="588"/>
      <c r="K959" s="490"/>
      <c r="L959" s="490"/>
      <c r="M959" s="490"/>
      <c r="N959" s="490"/>
      <c r="O959" s="490"/>
      <c r="P959" s="490" t="s">
        <v>10483</v>
      </c>
    </row>
    <row r="960">
      <c r="A960" s="490"/>
      <c r="B960" s="490"/>
      <c r="C960" s="490"/>
      <c r="D960" s="490"/>
      <c r="E960" s="593" t="str">
        <f>IFERROR(__xludf.DUMMYFUNCTION("""COMPUTED_VALUE"""),"DISTECH")</f>
        <v>DISTECH</v>
      </c>
      <c r="F960" s="593" t="str">
        <f>IFERROR(__xludf.DUMMYFUNCTION("""COMPUTED_VALUE"""),"ECB-VAV")</f>
        <v>ECB-VAV</v>
      </c>
      <c r="G960" s="490"/>
      <c r="H960" s="490"/>
      <c r="I960" s="490"/>
      <c r="J960" s="588"/>
      <c r="K960" s="490"/>
      <c r="L960" s="490"/>
      <c r="M960" s="490"/>
      <c r="N960" s="490"/>
      <c r="O960" s="490"/>
      <c r="P960" s="490" t="s">
        <v>9543</v>
      </c>
    </row>
    <row r="961">
      <c r="A961" s="490"/>
      <c r="B961" s="490"/>
      <c r="C961" s="490"/>
      <c r="D961" s="490"/>
      <c r="E961" s="593" t="str">
        <f>IFERROR(__xludf.DUMMYFUNCTION("""COMPUTED_VALUE"""),"DISTECH")</f>
        <v>DISTECH</v>
      </c>
      <c r="F961" s="593" t="str">
        <f>IFERROR(__xludf.DUMMYFUNCTION("""COMPUTED_VALUE"""),"ECB-203")</f>
        <v>ECB-203</v>
      </c>
      <c r="G961" s="490"/>
      <c r="H961" s="490"/>
      <c r="I961" s="490"/>
      <c r="J961" s="588"/>
      <c r="K961" s="490"/>
      <c r="L961" s="490"/>
      <c r="M961" s="490"/>
      <c r="N961" s="490"/>
      <c r="O961" s="490"/>
      <c r="P961" s="490" t="s">
        <v>10486</v>
      </c>
    </row>
    <row r="962">
      <c r="A962" s="490"/>
      <c r="B962" s="490"/>
      <c r="C962" s="490"/>
      <c r="D962" s="490"/>
      <c r="E962" s="593" t="str">
        <f>IFERROR(__xludf.DUMMYFUNCTION("""COMPUTED_VALUE"""),"DISTECH")</f>
        <v>DISTECH</v>
      </c>
      <c r="F962" s="593" t="str">
        <f>IFERROR(__xludf.DUMMYFUNCTION("""COMPUTED_VALUE"""),"ECX-LIGHT-4DALI")</f>
        <v>ECX-LIGHT-4DALI</v>
      </c>
      <c r="G962" s="490"/>
      <c r="H962" s="490"/>
      <c r="I962" s="490"/>
      <c r="J962" s="588"/>
      <c r="K962" s="490"/>
      <c r="L962" s="490"/>
      <c r="M962" s="490"/>
      <c r="N962" s="490"/>
      <c r="O962" s="490"/>
      <c r="P962" s="490" t="s">
        <v>10489</v>
      </c>
    </row>
    <row r="963">
      <c r="A963" s="490"/>
      <c r="B963" s="490"/>
      <c r="C963" s="490"/>
      <c r="D963" s="490"/>
      <c r="E963" s="593" t="str">
        <f>IFERROR(__xludf.DUMMYFUNCTION("""COMPUTED_VALUE"""),"DISTECH")</f>
        <v>DISTECH</v>
      </c>
      <c r="F963" s="593" t="str">
        <f>IFERROR(__xludf.DUMMYFUNCTION("""COMPUTED_VALUE"""),"ECX-BLIND SERIES")</f>
        <v>ECX-BLIND SERIES</v>
      </c>
      <c r="G963" s="490"/>
      <c r="H963" s="490"/>
      <c r="I963" s="490"/>
      <c r="J963" s="588"/>
      <c r="K963" s="490"/>
      <c r="L963" s="490"/>
      <c r="M963" s="490"/>
      <c r="N963" s="490"/>
      <c r="O963" s="490"/>
      <c r="P963" s="490" t="s">
        <v>10492</v>
      </c>
    </row>
    <row r="964">
      <c r="A964" s="490"/>
      <c r="B964" s="490"/>
      <c r="C964" s="490"/>
      <c r="D964" s="490"/>
      <c r="E964" s="593" t="str">
        <f>IFERROR(__xludf.DUMMYFUNCTION("""COMPUTED_VALUE"""),"DISTECH")</f>
        <v>DISTECH</v>
      </c>
      <c r="F964" s="593" t="str">
        <f>IFERROR(__xludf.DUMMYFUNCTION("""COMPUTED_VALUE"""),"EC-MULTI-SENSOR-BLE")</f>
        <v>EC-MULTI-SENSOR-BLE</v>
      </c>
      <c r="G964" s="490"/>
      <c r="H964" s="490"/>
      <c r="I964" s="490"/>
      <c r="J964" s="588"/>
      <c r="K964" s="490"/>
      <c r="L964" s="490"/>
      <c r="M964" s="490"/>
      <c r="N964" s="490"/>
      <c r="O964" s="490"/>
      <c r="P964" s="490" t="s">
        <v>10495</v>
      </c>
    </row>
    <row r="965">
      <c r="A965" s="490"/>
      <c r="B965" s="490"/>
      <c r="C965" s="490"/>
      <c r="D965" s="490"/>
      <c r="E965" s="593" t="str">
        <f>IFERROR(__xludf.DUMMYFUNCTION("""COMPUTED_VALUE"""),"DISTECH")</f>
        <v>DISTECH</v>
      </c>
      <c r="F965" s="593" t="str">
        <f>IFERROR(__xludf.DUMMYFUNCTION("""COMPUTED_VALUE"""),"ECX-DISPLAY")</f>
        <v>ECX-DISPLAY</v>
      </c>
      <c r="G965" s="490"/>
      <c r="H965" s="490"/>
      <c r="I965" s="490"/>
      <c r="J965" s="588"/>
      <c r="K965" s="490"/>
      <c r="L965" s="490"/>
      <c r="M965" s="490"/>
      <c r="N965" s="490"/>
      <c r="O965" s="490"/>
      <c r="P965" s="490" t="s">
        <v>10499</v>
      </c>
    </row>
    <row r="966">
      <c r="A966" s="490"/>
      <c r="B966" s="490"/>
      <c r="C966" s="490"/>
      <c r="D966" s="490"/>
      <c r="E966" s="593" t="str">
        <f>IFERROR(__xludf.DUMMYFUNCTION("""COMPUTED_VALUE"""),"DISTECH")</f>
        <v>DISTECH</v>
      </c>
      <c r="F966" s="593" t="str">
        <f>IFERROR(__xludf.DUMMYFUNCTION("""COMPUTED_VALUE"""),"EC-SMART-AIR")</f>
        <v>EC-SMART-AIR</v>
      </c>
      <c r="G966" s="490"/>
      <c r="H966" s="490"/>
      <c r="I966" s="490"/>
      <c r="J966" s="588"/>
      <c r="K966" s="490"/>
      <c r="L966" s="490"/>
      <c r="M966" s="490"/>
      <c r="N966" s="490"/>
      <c r="O966" s="490"/>
      <c r="P966" s="490" t="s">
        <v>10502</v>
      </c>
    </row>
    <row r="967">
      <c r="A967" s="490"/>
      <c r="B967" s="490"/>
      <c r="C967" s="490"/>
      <c r="D967" s="490"/>
      <c r="E967" s="593" t="str">
        <f>IFERROR(__xludf.DUMMYFUNCTION("""COMPUTED_VALUE"""),"DISTECH")</f>
        <v>DISTECH</v>
      </c>
      <c r="F967" s="593" t="str">
        <f>IFERROR(__xludf.DUMMYFUNCTION("""COMPUTED_VALUE"""),"ECLYPSE APEX")</f>
        <v>ECLYPSE APEX</v>
      </c>
      <c r="G967" s="490"/>
      <c r="H967" s="490"/>
      <c r="I967" s="490"/>
      <c r="J967" s="588"/>
      <c r="K967" s="490"/>
      <c r="L967" s="490"/>
      <c r="M967" s="490"/>
      <c r="N967" s="490"/>
      <c r="O967" s="490"/>
      <c r="P967" s="490" t="s">
        <v>10505</v>
      </c>
    </row>
    <row r="968">
      <c r="A968" s="490"/>
      <c r="B968" s="490"/>
      <c r="C968" s="490"/>
      <c r="D968" s="490"/>
      <c r="E968" s="593" t="str">
        <f>IFERROR(__xludf.DUMMYFUNCTION("""COMPUTED_VALUE"""),"DISTECH")</f>
        <v>DISTECH</v>
      </c>
      <c r="F968" s="593" t="str">
        <f>IFERROR(__xludf.DUMMYFUNCTION("""COMPUTED_VALUE"""),"ECB-103")</f>
        <v>ECB-103</v>
      </c>
      <c r="G968" s="490"/>
      <c r="H968" s="490"/>
      <c r="I968" s="490"/>
      <c r="J968" s="588"/>
      <c r="K968" s="490"/>
      <c r="L968" s="490"/>
      <c r="M968" s="490"/>
      <c r="N968" s="490"/>
      <c r="O968" s="490"/>
      <c r="P968" s="490" t="s">
        <v>10508</v>
      </c>
    </row>
    <row r="969">
      <c r="A969" s="490"/>
      <c r="B969" s="490"/>
      <c r="C969" s="490"/>
      <c r="D969" s="490"/>
      <c r="E969" s="593" t="str">
        <f>IFERROR(__xludf.DUMMYFUNCTION("""COMPUTED_VALUE"""),"DISTECH")</f>
        <v>DISTECH</v>
      </c>
      <c r="F969" s="593" t="str">
        <f>IFERROR(__xludf.DUMMYFUNCTION("""COMPUTED_VALUE"""),"HORYZON-C7")</f>
        <v>HORYZON-C7</v>
      </c>
      <c r="G969" s="490"/>
      <c r="H969" s="490"/>
      <c r="I969" s="490"/>
      <c r="J969" s="588"/>
      <c r="K969" s="490"/>
      <c r="L969" s="490"/>
      <c r="M969" s="490"/>
      <c r="N969" s="490"/>
      <c r="O969" s="490"/>
      <c r="P969" s="490" t="s">
        <v>10511</v>
      </c>
    </row>
    <row r="970">
      <c r="A970" s="490"/>
      <c r="B970" s="490"/>
      <c r="C970" s="490"/>
      <c r="D970" s="490"/>
      <c r="E970" s="593" t="str">
        <f>IFERROR(__xludf.DUMMYFUNCTION("""COMPUTED_VALUE"""),"DISTECHC")</f>
        <v>DISTECHC</v>
      </c>
      <c r="F970" s="593" t="str">
        <f>IFERROR(__xludf.DUMMYFUNCTION("""COMPUTED_VALUE"""),"ECY-PTU207")</f>
        <v>ECY-PTU207</v>
      </c>
      <c r="G970" s="490"/>
      <c r="H970" s="490"/>
      <c r="I970" s="490"/>
      <c r="J970" s="588"/>
      <c r="K970" s="490"/>
      <c r="L970" s="490"/>
      <c r="M970" s="490"/>
      <c r="N970" s="490"/>
      <c r="O970" s="490"/>
      <c r="P970" s="490" t="s">
        <v>10514</v>
      </c>
    </row>
    <row r="971">
      <c r="A971" s="490"/>
      <c r="B971" s="490"/>
      <c r="C971" s="490"/>
      <c r="D971" s="490"/>
      <c r="E971" s="593" t="str">
        <f>IFERROR(__xludf.DUMMYFUNCTION("""COMPUTED_VALUE"""),"DIVERSEY")</f>
        <v>DIVERSEY</v>
      </c>
      <c r="F971" s="593" t="str">
        <f>IFERROR(__xludf.DUMMYFUNCTION("""COMPUTED_VALUE"""),"3.1 SUMA CNTRLR")</f>
        <v>3.1 SUMA CNTRLR</v>
      </c>
      <c r="G971" s="490"/>
      <c r="H971" s="490"/>
      <c r="I971" s="490"/>
      <c r="J971" s="588"/>
      <c r="K971" s="490"/>
      <c r="L971" s="490"/>
      <c r="M971" s="490"/>
      <c r="N971" s="490"/>
      <c r="O971" s="490"/>
      <c r="P971" s="490" t="s">
        <v>9546</v>
      </c>
    </row>
    <row r="972">
      <c r="A972" s="490"/>
      <c r="B972" s="490"/>
      <c r="C972" s="490"/>
      <c r="D972" s="490"/>
      <c r="E972" s="593" t="str">
        <f>IFERROR(__xludf.DUMMYFUNCTION("""COMPUTED_VALUE"""),"DIVERSEY")</f>
        <v>DIVERSEY</v>
      </c>
      <c r="F972" s="593" t="str">
        <f>IFERROR(__xludf.DUMMYFUNCTION("""COMPUTED_VALUE"""),"3.1 SUMA CONTROLLER")</f>
        <v>3.1 SUMA CONTROLLER</v>
      </c>
      <c r="G972" s="490"/>
      <c r="H972" s="490"/>
      <c r="I972" s="490"/>
      <c r="J972" s="588"/>
      <c r="K972" s="490"/>
      <c r="L972" s="490"/>
      <c r="M972" s="490"/>
      <c r="N972" s="490"/>
      <c r="O972" s="490"/>
      <c r="P972" s="490" t="s">
        <v>10517</v>
      </c>
    </row>
    <row r="973">
      <c r="A973" s="490"/>
      <c r="B973" s="490"/>
      <c r="C973" s="490"/>
      <c r="D973" s="490"/>
      <c r="E973" s="593" t="str">
        <f>IFERROR(__xludf.DUMMYFUNCTION("""COMPUTED_VALUE"""),"DIVERSEY")</f>
        <v>DIVERSEY</v>
      </c>
      <c r="F973" s="593" t="str">
        <f>IFERROR(__xludf.DUMMYFUNCTION("""COMPUTED_VALUE"""),"HOBART CL54ER")</f>
        <v>HOBART CL54ER</v>
      </c>
      <c r="G973" s="490"/>
      <c r="H973" s="490"/>
      <c r="I973" s="490"/>
      <c r="J973" s="588"/>
      <c r="K973" s="490"/>
      <c r="L973" s="490"/>
      <c r="M973" s="490"/>
      <c r="N973" s="490"/>
      <c r="O973" s="490"/>
      <c r="P973" s="490" t="s">
        <v>10520</v>
      </c>
    </row>
    <row r="974">
      <c r="A974" s="490"/>
      <c r="B974" s="490"/>
      <c r="C974" s="490"/>
      <c r="D974" s="490"/>
      <c r="E974" s="593" t="str">
        <f>IFERROR(__xludf.DUMMYFUNCTION("""COMPUTED_VALUE"""),"DIVERSEY")</f>
        <v>DIVERSEY</v>
      </c>
      <c r="F974" s="593" t="str">
        <f>IFERROR(__xludf.DUMMYFUNCTION("""COMPUTED_VALUE"""),"HOBART CLPS76ER")</f>
        <v>HOBART CLPS76ER</v>
      </c>
      <c r="G974" s="490"/>
      <c r="H974" s="490"/>
      <c r="I974" s="490"/>
      <c r="J974" s="588"/>
      <c r="K974" s="490"/>
      <c r="L974" s="490"/>
      <c r="M974" s="490"/>
      <c r="N974" s="490"/>
      <c r="O974" s="490"/>
      <c r="P974" s="490" t="s">
        <v>10523</v>
      </c>
    </row>
    <row r="975">
      <c r="A975" s="490"/>
      <c r="B975" s="490"/>
      <c r="C975" s="490"/>
      <c r="D975" s="490"/>
      <c r="E975" s="593" t="str">
        <f>IFERROR(__xludf.DUMMYFUNCTION("""COMPUTED_VALUE"""),"DIVERSEY")</f>
        <v>DIVERSEY</v>
      </c>
      <c r="F975" s="593" t="str">
        <f>IFERROR(__xludf.DUMMYFUNCTION("""COMPUTED_VALUE"""),"HOBART CLPS86ER")</f>
        <v>HOBART CLPS86ER</v>
      </c>
      <c r="G975" s="490"/>
      <c r="H975" s="490"/>
      <c r="I975" s="490"/>
      <c r="J975" s="588"/>
      <c r="K975" s="490"/>
      <c r="L975" s="490"/>
      <c r="M975" s="490"/>
      <c r="N975" s="490"/>
      <c r="O975" s="490"/>
      <c r="P975" s="490" t="s">
        <v>10526</v>
      </c>
    </row>
    <row r="976">
      <c r="A976" s="490"/>
      <c r="B976" s="490"/>
      <c r="C976" s="490"/>
      <c r="D976" s="490"/>
      <c r="E976" s="593" t="str">
        <f>IFERROR(__xludf.DUMMYFUNCTION("""COMPUTED_VALUE"""),"DIVERSEY")</f>
        <v>DIVERSEY</v>
      </c>
      <c r="F976" s="593" t="str">
        <f>IFERROR(__xludf.DUMMYFUNCTION("""COMPUTED_VALUE"""),"SC-2-4")</f>
        <v>SC-2-4</v>
      </c>
      <c r="G976" s="490"/>
      <c r="H976" s="490"/>
      <c r="I976" s="490"/>
      <c r="J976" s="588"/>
      <c r="K976" s="490"/>
      <c r="L976" s="490"/>
      <c r="M976" s="490"/>
      <c r="N976" s="490"/>
      <c r="O976" s="490"/>
      <c r="P976" s="490" t="s">
        <v>10529</v>
      </c>
    </row>
    <row r="977">
      <c r="A977" s="490"/>
      <c r="B977" s="490"/>
      <c r="C977" s="490"/>
      <c r="D977" s="490"/>
      <c r="E977" s="593" t="str">
        <f>IFERROR(__xludf.DUMMYFUNCTION("""COMPUTED_VALUE"""),"DIXELL")</f>
        <v>DIXELL</v>
      </c>
      <c r="F977" s="593" t="str">
        <f>IFERROR(__xludf.DUMMYFUNCTION("""COMPUTED_VALUE"""),"IPRO.GENIUS")</f>
        <v>IPRO.GENIUS</v>
      </c>
      <c r="G977" s="490"/>
      <c r="H977" s="490"/>
      <c r="I977" s="490"/>
      <c r="J977" s="588"/>
      <c r="K977" s="490"/>
      <c r="L977" s="490"/>
      <c r="M977" s="490"/>
      <c r="N977" s="490"/>
      <c r="O977" s="490"/>
      <c r="P977" s="490" t="s">
        <v>10532</v>
      </c>
    </row>
    <row r="978">
      <c r="A978" s="490"/>
      <c r="B978" s="490"/>
      <c r="C978" s="490"/>
      <c r="D978" s="490"/>
      <c r="E978" s="593" t="str">
        <f>IFERROR(__xludf.DUMMYFUNCTION("""COMPUTED_VALUE"""),"DLINK")</f>
        <v>DLINK</v>
      </c>
      <c r="F978" s="593" t="str">
        <f>IFERROR(__xludf.DUMMYFUNCTION("""COMPUTED_VALUE"""),"DAP-2553")</f>
        <v>DAP-2553</v>
      </c>
      <c r="G978" s="490"/>
      <c r="H978" s="490"/>
      <c r="I978" s="490"/>
      <c r="J978" s="588"/>
      <c r="K978" s="490"/>
      <c r="L978" s="490"/>
      <c r="M978" s="490"/>
      <c r="N978" s="490"/>
      <c r="O978" s="490"/>
      <c r="P978" s="490" t="s">
        <v>10535</v>
      </c>
    </row>
    <row r="979">
      <c r="A979" s="490"/>
      <c r="B979" s="490"/>
      <c r="C979" s="490"/>
      <c r="D979" s="490"/>
      <c r="E979" s="593" t="str">
        <f>IFERROR(__xludf.DUMMYFUNCTION("""COMPUTED_VALUE"""),"DLINK")</f>
        <v>DLINK</v>
      </c>
      <c r="F979" s="593" t="str">
        <f>IFERROR(__xludf.DUMMYFUNCTION("""COMPUTED_VALUE"""),"DES 1005C")</f>
        <v>DES 1005C</v>
      </c>
      <c r="G979" s="490"/>
      <c r="H979" s="490"/>
      <c r="I979" s="490"/>
      <c r="J979" s="588"/>
      <c r="K979" s="490"/>
      <c r="L979" s="490"/>
      <c r="M979" s="490"/>
      <c r="N979" s="490"/>
      <c r="O979" s="490"/>
      <c r="P979" s="490" t="s">
        <v>10538</v>
      </c>
    </row>
    <row r="980">
      <c r="A980" s="490"/>
      <c r="B980" s="490"/>
      <c r="C980" s="490"/>
      <c r="D980" s="490"/>
      <c r="E980" s="593" t="str">
        <f>IFERROR(__xludf.DUMMYFUNCTION("""COMPUTED_VALUE"""),"DLINK")</f>
        <v>DLINK</v>
      </c>
      <c r="F980" s="593" t="str">
        <f>IFERROR(__xludf.DUMMYFUNCTION("""COMPUTED_VALUE"""),"DES-1008C")</f>
        <v>DES-1008C</v>
      </c>
      <c r="G980" s="490"/>
      <c r="H980" s="490"/>
      <c r="I980" s="490"/>
      <c r="J980" s="588"/>
      <c r="K980" s="490"/>
      <c r="L980" s="490"/>
      <c r="M980" s="490"/>
      <c r="N980" s="490"/>
      <c r="O980" s="490"/>
      <c r="P980" s="490" t="s">
        <v>10541</v>
      </c>
    </row>
    <row r="981">
      <c r="A981" s="490"/>
      <c r="B981" s="490"/>
      <c r="C981" s="490"/>
      <c r="D981" s="490"/>
      <c r="E981" s="593" t="str">
        <f>IFERROR(__xludf.DUMMYFUNCTION("""COMPUTED_VALUE"""),"DLINK")</f>
        <v>DLINK</v>
      </c>
      <c r="F981" s="593" t="str">
        <f>IFERROR(__xludf.DUMMYFUNCTION("""COMPUTED_VALUE"""),"DES-1008D")</f>
        <v>DES-1008D</v>
      </c>
      <c r="G981" s="490"/>
      <c r="H981" s="490"/>
      <c r="I981" s="490"/>
      <c r="J981" s="588"/>
      <c r="K981" s="490"/>
      <c r="L981" s="490"/>
      <c r="M981" s="490"/>
      <c r="N981" s="490"/>
      <c r="O981" s="490"/>
      <c r="P981" s="490" t="s">
        <v>10544</v>
      </c>
    </row>
    <row r="982">
      <c r="A982" s="490"/>
      <c r="B982" s="490"/>
      <c r="C982" s="490"/>
      <c r="D982" s="490"/>
      <c r="E982" s="593" t="str">
        <f>IFERROR(__xludf.DUMMYFUNCTION("""COMPUTED_VALUE"""),"DLINK")</f>
        <v>DLINK</v>
      </c>
      <c r="F982" s="593" t="str">
        <f>IFERROR(__xludf.DUMMYFUNCTION("""COMPUTED_VALUE"""),"DES-105")</f>
        <v>DES-105</v>
      </c>
      <c r="G982" s="490"/>
      <c r="H982" s="490"/>
      <c r="I982" s="490"/>
      <c r="J982" s="588"/>
      <c r="K982" s="490"/>
      <c r="L982" s="490"/>
      <c r="M982" s="490"/>
      <c r="N982" s="490"/>
      <c r="O982" s="490"/>
      <c r="P982" s="490" t="s">
        <v>9549</v>
      </c>
    </row>
    <row r="983">
      <c r="A983" s="490"/>
      <c r="B983" s="490"/>
      <c r="C983" s="490"/>
      <c r="D983" s="490"/>
      <c r="E983" s="593" t="str">
        <f>IFERROR(__xludf.DUMMYFUNCTION("""COMPUTED_VALUE"""),"DLINK")</f>
        <v>DLINK</v>
      </c>
      <c r="F983" s="593" t="str">
        <f>IFERROR(__xludf.DUMMYFUNCTION("""COMPUTED_VALUE"""),"DES1105")</f>
        <v>DES1105</v>
      </c>
      <c r="G983" s="490"/>
      <c r="H983" s="490"/>
      <c r="I983" s="490"/>
      <c r="J983" s="588"/>
      <c r="K983" s="490"/>
      <c r="L983" s="490"/>
      <c r="M983" s="490"/>
      <c r="N983" s="490"/>
      <c r="O983" s="490"/>
      <c r="P983" s="490" t="s">
        <v>10547</v>
      </c>
    </row>
    <row r="984">
      <c r="A984" s="490"/>
      <c r="B984" s="490"/>
      <c r="C984" s="490"/>
      <c r="D984" s="490"/>
      <c r="E984" s="593" t="str">
        <f>IFERROR(__xludf.DUMMYFUNCTION("""COMPUTED_VALUE"""),"DLINK")</f>
        <v>DLINK</v>
      </c>
      <c r="F984" s="593" t="str">
        <f>IFERROR(__xludf.DUMMYFUNCTION("""COMPUTED_VALUE"""),"DGS-1210-28")</f>
        <v>DGS-1210-28</v>
      </c>
      <c r="G984" s="490"/>
      <c r="H984" s="490"/>
      <c r="I984" s="490"/>
      <c r="J984" s="588"/>
      <c r="K984" s="490"/>
      <c r="L984" s="490"/>
      <c r="M984" s="490"/>
      <c r="N984" s="490"/>
      <c r="O984" s="490"/>
      <c r="P984" s="490" t="s">
        <v>10550</v>
      </c>
    </row>
    <row r="985">
      <c r="A985" s="490"/>
      <c r="B985" s="490"/>
      <c r="C985" s="490"/>
      <c r="D985" s="490"/>
      <c r="E985" s="593" t="str">
        <f>IFERROR(__xludf.DUMMYFUNCTION("""COMPUTED_VALUE"""),"DRAGINO")</f>
        <v>DRAGINO</v>
      </c>
      <c r="F985" s="593" t="str">
        <f>IFERROR(__xludf.DUMMYFUNCTION("""COMPUTED_VALUE"""),"LPS8N LORAWAN GW")</f>
        <v>LPS8N LORAWAN GW</v>
      </c>
      <c r="G985" s="490"/>
      <c r="H985" s="490"/>
      <c r="I985" s="490"/>
      <c r="J985" s="588"/>
      <c r="K985" s="490"/>
      <c r="L985" s="490"/>
      <c r="M985" s="490"/>
      <c r="N985" s="490"/>
      <c r="O985" s="490"/>
      <c r="P985" s="490" t="s">
        <v>10553</v>
      </c>
    </row>
    <row r="986">
      <c r="A986" s="490"/>
      <c r="B986" s="490"/>
      <c r="C986" s="490"/>
      <c r="D986" s="490"/>
      <c r="E986" s="593" t="str">
        <f>IFERROR(__xludf.DUMMYFUNCTION("""COMPUTED_VALUE"""),"DRAPER")</f>
        <v>DRAPER</v>
      </c>
      <c r="F986" s="593" t="str">
        <f>IFERROR(__xludf.DUMMYFUNCTION("""COMPUTED_VALUE"""),"2")</f>
        <v>2</v>
      </c>
      <c r="G986" s="490"/>
      <c r="H986" s="490"/>
      <c r="I986" s="490"/>
      <c r="J986" s="588"/>
      <c r="K986" s="490"/>
      <c r="L986" s="490"/>
      <c r="M986" s="490"/>
      <c r="N986" s="490"/>
      <c r="O986" s="490"/>
      <c r="P986" s="490" t="s">
        <v>10556</v>
      </c>
    </row>
    <row r="987">
      <c r="A987" s="490"/>
      <c r="B987" s="490"/>
      <c r="C987" s="490"/>
      <c r="D987" s="490"/>
      <c r="E987" s="593" t="str">
        <f>IFERROR(__xludf.DUMMYFUNCTION("""COMPUTED_VALUE"""),"DRAPER")</f>
        <v>DRAPER</v>
      </c>
      <c r="F987" s="593" t="str">
        <f>IFERROR(__xludf.DUMMYFUNCTION("""COMPUTED_VALUE"""),"IPG")</f>
        <v>IPG</v>
      </c>
      <c r="G987" s="490"/>
      <c r="H987" s="490"/>
      <c r="I987" s="490"/>
      <c r="J987" s="588"/>
      <c r="K987" s="490"/>
      <c r="L987" s="490"/>
      <c r="M987" s="490"/>
      <c r="N987" s="490"/>
      <c r="O987" s="490"/>
      <c r="P987" s="490" t="s">
        <v>10559</v>
      </c>
    </row>
    <row r="988">
      <c r="A988" s="490"/>
      <c r="B988" s="490"/>
      <c r="C988" s="490"/>
      <c r="D988" s="490"/>
      <c r="E988" s="593" t="str">
        <f>IFERROR(__xludf.DUMMYFUNCTION("""COMPUTED_VALUE"""),"DRAPER")</f>
        <v>DRAPER</v>
      </c>
      <c r="F988" s="593" t="str">
        <f>IFERROR(__xludf.DUMMYFUNCTION("""COMPUTED_VALUE"""),"CNC")</f>
        <v>CNC</v>
      </c>
      <c r="G988" s="490"/>
      <c r="H988" s="490"/>
      <c r="I988" s="490"/>
      <c r="J988" s="588"/>
      <c r="K988" s="490"/>
      <c r="L988" s="490"/>
      <c r="M988" s="490"/>
      <c r="N988" s="490"/>
      <c r="O988" s="490"/>
      <c r="P988" s="490" t="s">
        <v>10562</v>
      </c>
    </row>
    <row r="989">
      <c r="A989" s="490"/>
      <c r="B989" s="490"/>
      <c r="C989" s="490"/>
      <c r="D989" s="490"/>
      <c r="E989" s="593" t="str">
        <f>IFERROR(__xludf.DUMMYFUNCTION("""COMPUTED_VALUE"""),"DRAYTEK")</f>
        <v>DRAYTEK</v>
      </c>
      <c r="F989" s="593" t="str">
        <f>IFERROR(__xludf.DUMMYFUNCTION("""COMPUTED_VALUE"""),"VIGOR2860LN")</f>
        <v>VIGOR2860LN</v>
      </c>
      <c r="G989" s="490"/>
      <c r="H989" s="490"/>
      <c r="I989" s="490"/>
      <c r="J989" s="588"/>
      <c r="K989" s="490"/>
      <c r="L989" s="490"/>
      <c r="M989" s="490"/>
      <c r="N989" s="490"/>
      <c r="O989" s="490"/>
      <c r="P989" s="490" t="s">
        <v>10565</v>
      </c>
    </row>
    <row r="990">
      <c r="A990" s="490"/>
      <c r="B990" s="490"/>
      <c r="C990" s="490"/>
      <c r="D990" s="490"/>
      <c r="E990" s="593" t="str">
        <f>IFERROR(__xludf.DUMMYFUNCTION("""COMPUTED_VALUE"""),"DRISTEEM")</f>
        <v>DRISTEEM</v>
      </c>
      <c r="F990" s="593" t="str">
        <f>IFERROR(__xludf.DUMMYFUNCTION("""COMPUTED_VALUE"""),"VAPOR LOGIC V5")</f>
        <v>VAPOR LOGIC V5</v>
      </c>
      <c r="G990" s="490"/>
      <c r="H990" s="490"/>
      <c r="I990" s="490"/>
      <c r="J990" s="588"/>
      <c r="K990" s="490"/>
      <c r="L990" s="490"/>
      <c r="M990" s="490"/>
      <c r="N990" s="490"/>
      <c r="O990" s="490"/>
      <c r="P990" s="490" t="s">
        <v>10568</v>
      </c>
    </row>
    <row r="991">
      <c r="A991" s="490"/>
      <c r="B991" s="490"/>
      <c r="C991" s="490"/>
      <c r="D991" s="490"/>
      <c r="E991" s="593" t="str">
        <f>IFERROR(__xludf.DUMMYFUNCTION("""COMPUTED_VALUE"""),"DRISTEEM")</f>
        <v>DRISTEEM</v>
      </c>
      <c r="F991" s="593" t="str">
        <f>IFERROR(__xludf.DUMMYFUNCTION("""COMPUTED_VALUE"""),"VAPOR LOGIC V6")</f>
        <v>VAPOR LOGIC V6</v>
      </c>
      <c r="G991" s="490"/>
      <c r="H991" s="490"/>
      <c r="I991" s="490"/>
      <c r="J991" s="588"/>
      <c r="K991" s="490"/>
      <c r="L991" s="490"/>
      <c r="M991" s="490"/>
      <c r="N991" s="490"/>
      <c r="O991" s="490"/>
      <c r="P991" s="490" t="s">
        <v>10572</v>
      </c>
    </row>
    <row r="992">
      <c r="A992" s="490"/>
      <c r="B992" s="490"/>
      <c r="C992" s="490"/>
      <c r="D992" s="490"/>
      <c r="E992" s="593" t="str">
        <f>IFERROR(__xludf.DUMMYFUNCTION("""COMPUTED_VALUE"""),"DWYER")</f>
        <v>DWYER</v>
      </c>
      <c r="F992" s="593" t="str">
        <f>IFERROR(__xludf.DUMMYFUNCTION("""COMPUTED_VALUE"""),"TE-NND-B")</f>
        <v>TE-NND-B</v>
      </c>
      <c r="G992" s="490"/>
      <c r="H992" s="490"/>
      <c r="I992" s="490"/>
      <c r="J992" s="588"/>
      <c r="K992" s="490"/>
      <c r="L992" s="490"/>
      <c r="M992" s="490"/>
      <c r="N992" s="490"/>
      <c r="O992" s="490"/>
      <c r="P992" s="490" t="s">
        <v>10575</v>
      </c>
    </row>
    <row r="993">
      <c r="A993" s="490"/>
      <c r="B993" s="490"/>
      <c r="C993" s="490"/>
      <c r="D993" s="490"/>
      <c r="E993" s="593" t="str">
        <f>IFERROR(__xludf.DUMMYFUNCTION("""COMPUTED_VALUE"""),"DWYER")</f>
        <v>DWYER</v>
      </c>
      <c r="F993" s="593" t="str">
        <f>IFERROR(__xludf.DUMMYFUNCTION("""COMPUTED_VALUE"""),"TE-END-B")</f>
        <v>TE-END-B</v>
      </c>
      <c r="G993" s="490"/>
      <c r="H993" s="490"/>
      <c r="I993" s="490"/>
      <c r="J993" s="588"/>
      <c r="K993" s="490"/>
      <c r="L993" s="490"/>
      <c r="M993" s="490"/>
      <c r="N993" s="490"/>
      <c r="O993" s="490"/>
      <c r="P993" s="490" t="s">
        <v>9552</v>
      </c>
    </row>
    <row r="994">
      <c r="A994" s="490"/>
      <c r="B994" s="490"/>
      <c r="C994" s="490"/>
      <c r="D994" s="490"/>
      <c r="E994" s="593" t="str">
        <f>IFERROR(__xludf.DUMMYFUNCTION("""COMPUTED_VALUE"""),"DWYER")</f>
        <v>DWYER</v>
      </c>
      <c r="F994" s="593" t="str">
        <f>IFERROR(__xludf.DUMMYFUNCTION("""COMPUTED_VALUE"""),"TE-DFG")</f>
        <v>TE-DFG</v>
      </c>
      <c r="G994" s="490"/>
      <c r="H994" s="490"/>
      <c r="I994" s="490"/>
      <c r="J994" s="588"/>
      <c r="K994" s="490"/>
      <c r="L994" s="490"/>
      <c r="M994" s="490"/>
      <c r="N994" s="490"/>
      <c r="O994" s="490"/>
      <c r="P994" s="490" t="s">
        <v>10578</v>
      </c>
    </row>
    <row r="995">
      <c r="A995" s="490"/>
      <c r="B995" s="490"/>
      <c r="C995" s="490"/>
      <c r="D995" s="490"/>
      <c r="E995" s="593" t="str">
        <f>IFERROR(__xludf.DUMMYFUNCTION("""COMPUTED_VALUE"""),"DWYER")</f>
        <v>DWYER</v>
      </c>
      <c r="F995" s="593" t="str">
        <f>IFERROR(__xludf.DUMMYFUNCTION("""COMPUTED_VALUE"""),"SERIES RHP-W")</f>
        <v>SERIES RHP-W</v>
      </c>
      <c r="G995" s="490"/>
      <c r="H995" s="490"/>
      <c r="I995" s="490"/>
      <c r="J995" s="588"/>
      <c r="K995" s="490"/>
      <c r="L995" s="490"/>
      <c r="M995" s="490"/>
      <c r="N995" s="490"/>
      <c r="O995" s="490"/>
      <c r="P995" s="490" t="s">
        <v>10581</v>
      </c>
    </row>
    <row r="996">
      <c r="A996" s="490"/>
      <c r="B996" s="490"/>
      <c r="C996" s="490"/>
      <c r="D996" s="490"/>
      <c r="E996" s="593" t="str">
        <f>IFERROR(__xludf.DUMMYFUNCTION("""COMPUTED_VALUE"""),"DWYER")</f>
        <v>DWYER</v>
      </c>
      <c r="F996" s="593" t="str">
        <f>IFERROR(__xludf.DUMMYFUNCTION("""COMPUTED_VALUE"""),"SERIES CDT")</f>
        <v>SERIES CDT</v>
      </c>
      <c r="G996" s="490"/>
      <c r="H996" s="490"/>
      <c r="I996" s="490"/>
      <c r="J996" s="588"/>
      <c r="K996" s="490"/>
      <c r="L996" s="490"/>
      <c r="M996" s="490"/>
      <c r="N996" s="490"/>
      <c r="O996" s="490"/>
      <c r="P996" s="490" t="s">
        <v>10584</v>
      </c>
    </row>
    <row r="997">
      <c r="A997" s="490"/>
      <c r="B997" s="490"/>
      <c r="C997" s="490"/>
      <c r="D997" s="490"/>
      <c r="E997" s="593" t="str">
        <f>IFERROR(__xludf.DUMMYFUNCTION("""COMPUTED_VALUE"""),"DYNALITE")</f>
        <v>DYNALITE</v>
      </c>
      <c r="F997" s="593" t="str">
        <f>IFERROR(__xludf.DUMMYFUNCTION("""COMPUTED_VALUE"""),"PDEG")</f>
        <v>PDEG</v>
      </c>
      <c r="G997" s="490"/>
      <c r="H997" s="490"/>
      <c r="I997" s="490"/>
      <c r="J997" s="588"/>
      <c r="K997" s="490"/>
      <c r="L997" s="490"/>
      <c r="M997" s="490"/>
      <c r="N997" s="490"/>
      <c r="O997" s="490"/>
      <c r="P997" s="490" t="s">
        <v>10587</v>
      </c>
    </row>
    <row r="998">
      <c r="A998" s="490"/>
      <c r="B998" s="490"/>
      <c r="C998" s="490"/>
      <c r="D998" s="490"/>
      <c r="E998" s="593" t="str">
        <f>IFERROR(__xludf.DUMMYFUNCTION("""COMPUTED_VALUE"""),"DYNALITE")</f>
        <v>DYNALITE</v>
      </c>
      <c r="F998" s="593" t="str">
        <f>IFERROR(__xludf.DUMMYFUNCTION("""COMPUTED_VALUE"""),"PDDEG-S")</f>
        <v>PDDEG-S</v>
      </c>
      <c r="G998" s="490"/>
      <c r="H998" s="490"/>
      <c r="I998" s="490"/>
      <c r="J998" s="588"/>
      <c r="K998" s="490"/>
      <c r="L998" s="490"/>
      <c r="M998" s="490"/>
      <c r="N998" s="490"/>
      <c r="O998" s="490"/>
      <c r="P998" s="490" t="s">
        <v>10590</v>
      </c>
    </row>
    <row r="999">
      <c r="A999" s="490"/>
      <c r="B999" s="490"/>
      <c r="C999" s="490"/>
      <c r="D999" s="490"/>
      <c r="E999" s="593" t="str">
        <f>IFERROR(__xludf.DUMMYFUNCTION("""COMPUTED_VALUE"""),"DYNASONICS")</f>
        <v>DYNASONICS</v>
      </c>
      <c r="F999" s="593" t="str">
        <f>IFERROR(__xludf.DUMMYFUNCTION("""COMPUTED_VALUE"""),"TFX-5000")</f>
        <v>TFX-5000</v>
      </c>
      <c r="G999" s="490"/>
      <c r="H999" s="490"/>
      <c r="I999" s="490"/>
      <c r="J999" s="588"/>
      <c r="K999" s="490"/>
      <c r="L999" s="490"/>
      <c r="M999" s="490"/>
      <c r="N999" s="490"/>
      <c r="O999" s="490"/>
      <c r="P999" s="490" t="s">
        <v>10593</v>
      </c>
    </row>
    <row r="1000">
      <c r="A1000" s="490"/>
      <c r="B1000" s="490"/>
      <c r="C1000" s="490"/>
      <c r="D1000" s="490"/>
      <c r="E1000" s="593" t="str">
        <f>IFERROR(__xludf.DUMMYFUNCTION("""COMPUTED_VALUE"""),"E CUE")</f>
        <v>E CUE</v>
      </c>
      <c r="F1000" s="593" t="str">
        <f>IFERROR(__xludf.DUMMYFUNCTION("""COMPUTED_VALUE"""),"BUTLER PRO")</f>
        <v>BUTLER PRO</v>
      </c>
      <c r="G1000" s="490"/>
      <c r="H1000" s="490"/>
      <c r="I1000" s="490"/>
      <c r="J1000" s="588"/>
      <c r="K1000" s="490"/>
      <c r="L1000" s="490"/>
      <c r="M1000" s="490"/>
      <c r="N1000" s="490"/>
      <c r="O1000" s="490"/>
      <c r="P1000" s="490" t="s">
        <v>10596</v>
      </c>
    </row>
    <row r="1001">
      <c r="A1001" s="490"/>
      <c r="B1001" s="490"/>
      <c r="C1001" s="490"/>
      <c r="D1001" s="490"/>
      <c r="E1001" s="593" t="str">
        <f>IFERROR(__xludf.DUMMYFUNCTION("""COMPUTED_VALUE"""),"E CUE")</f>
        <v>E CUE</v>
      </c>
      <c r="F1001" s="593" t="str">
        <f>IFERROR(__xludf.DUMMYFUNCTION("""COMPUTED_VALUE"""),"BUTLER XT2")</f>
        <v>BUTLER XT2</v>
      </c>
      <c r="G1001" s="490"/>
      <c r="H1001" s="490"/>
      <c r="I1001" s="490"/>
      <c r="J1001" s="588"/>
      <c r="K1001" s="490"/>
      <c r="L1001" s="490"/>
      <c r="M1001" s="490"/>
      <c r="N1001" s="490"/>
      <c r="O1001" s="490"/>
      <c r="P1001" s="490" t="s">
        <v>10599</v>
      </c>
    </row>
    <row r="1002">
      <c r="A1002" s="490"/>
      <c r="B1002" s="490"/>
      <c r="C1002" s="490"/>
      <c r="D1002" s="490"/>
      <c r="E1002" s="593" t="str">
        <f>IFERROR(__xludf.DUMMYFUNCTION("""COMPUTED_VALUE"""),"E CUE")</f>
        <v>E CUE</v>
      </c>
      <c r="F1002" s="593" t="str">
        <f>IFERROR(__xludf.DUMMYFUNCTION("""COMPUTED_VALUE"""),"LCE2")</f>
        <v>LCE2</v>
      </c>
      <c r="G1002" s="490"/>
      <c r="H1002" s="490"/>
      <c r="I1002" s="490"/>
      <c r="J1002" s="588"/>
      <c r="K1002" s="490"/>
      <c r="L1002" s="490"/>
      <c r="M1002" s="490"/>
      <c r="N1002" s="490"/>
      <c r="O1002" s="490"/>
      <c r="P1002" s="490" t="s">
        <v>10602</v>
      </c>
    </row>
    <row r="1003">
      <c r="A1003" s="490"/>
      <c r="B1003" s="490"/>
      <c r="C1003" s="490"/>
      <c r="D1003" s="490"/>
      <c r="E1003" s="593" t="str">
        <f>IFERROR(__xludf.DUMMYFUNCTION("""COMPUTED_VALUE"""),"EAP ELECTRIC")</f>
        <v>EAP ELECTRIC</v>
      </c>
      <c r="F1003" s="593" t="str">
        <f>IFERROR(__xludf.DUMMYFUNCTION("""COMPUTED_VALUE"""),"FB4DI.2DO-R")</f>
        <v>FB4DI.2DO-R</v>
      </c>
      <c r="G1003" s="490"/>
      <c r="H1003" s="490"/>
      <c r="I1003" s="490"/>
      <c r="J1003" s="588"/>
      <c r="K1003" s="490"/>
      <c r="L1003" s="490"/>
      <c r="M1003" s="490"/>
      <c r="N1003" s="490"/>
      <c r="O1003" s="490"/>
      <c r="P1003" s="490" t="s">
        <v>10605</v>
      </c>
    </row>
    <row r="1004">
      <c r="A1004" s="490"/>
      <c r="B1004" s="490"/>
      <c r="C1004" s="490"/>
      <c r="D1004" s="490"/>
      <c r="E1004" s="593" t="str">
        <f>IFERROR(__xludf.DUMMYFUNCTION("""COMPUTED_VALUE"""),"EAP ELECTRIC")</f>
        <v>EAP ELECTRIC</v>
      </c>
      <c r="F1004" s="593" t="str">
        <f>IFERROR(__xludf.DUMMYFUNCTION("""COMPUTED_VALUE"""),"FB2DI.6AI-U.6AO-U")</f>
        <v>FB2DI.6AI-U.6AO-U</v>
      </c>
      <c r="G1004" s="490"/>
      <c r="H1004" s="490"/>
      <c r="I1004" s="490"/>
      <c r="J1004" s="588"/>
      <c r="K1004" s="490"/>
      <c r="L1004" s="490"/>
      <c r="M1004" s="490"/>
      <c r="N1004" s="490"/>
      <c r="O1004" s="490"/>
      <c r="P1004" s="490" t="s">
        <v>9555</v>
      </c>
    </row>
    <row r="1005">
      <c r="A1005" s="490"/>
      <c r="B1005" s="490"/>
      <c r="C1005" s="490"/>
      <c r="D1005" s="490"/>
      <c r="E1005" s="593" t="str">
        <f>IFERROR(__xludf.DUMMYFUNCTION("""COMPUTED_VALUE"""),"EASTRON")</f>
        <v>EASTRON</v>
      </c>
      <c r="F1005" s="593" t="str">
        <f>IFERROR(__xludf.DUMMYFUNCTION("""COMPUTED_VALUE"""),"SDM630MCT-ML")</f>
        <v>SDM630MCT-ML</v>
      </c>
      <c r="G1005" s="490"/>
      <c r="H1005" s="490"/>
      <c r="I1005" s="490"/>
      <c r="J1005" s="588"/>
      <c r="K1005" s="490"/>
      <c r="L1005" s="490"/>
      <c r="M1005" s="490"/>
      <c r="N1005" s="490"/>
      <c r="O1005" s="490"/>
      <c r="P1005" s="490" t="s">
        <v>10608</v>
      </c>
    </row>
    <row r="1006">
      <c r="A1006" s="490"/>
      <c r="B1006" s="490"/>
      <c r="C1006" s="490"/>
      <c r="D1006" s="490"/>
      <c r="E1006" s="593" t="str">
        <f>IFERROR(__xludf.DUMMYFUNCTION("""COMPUTED_VALUE"""),"EASTRON")</f>
        <v>EASTRON</v>
      </c>
      <c r="F1006" s="593" t="str">
        <f>IFERROR(__xludf.DUMMYFUNCTION("""COMPUTED_VALUE"""),"SMART X 96-1")</f>
        <v>SMART X 96-1</v>
      </c>
      <c r="G1006" s="490"/>
      <c r="H1006" s="490"/>
      <c r="I1006" s="490"/>
      <c r="J1006" s="588"/>
      <c r="K1006" s="490"/>
      <c r="L1006" s="490"/>
      <c r="M1006" s="490"/>
      <c r="N1006" s="490"/>
      <c r="O1006" s="490"/>
      <c r="P1006" s="490" t="s">
        <v>10611</v>
      </c>
    </row>
    <row r="1007">
      <c r="A1007" s="490"/>
      <c r="B1007" s="490"/>
      <c r="C1007" s="490"/>
      <c r="D1007" s="490"/>
      <c r="E1007" s="593" t="str">
        <f>IFERROR(__xludf.DUMMYFUNCTION("""COMPUTED_VALUE"""),"EASYIO")</f>
        <v>EASYIO</v>
      </c>
      <c r="F1007" s="593" t="str">
        <f>IFERROR(__xludf.DUMMYFUNCTION("""COMPUTED_VALUE"""),"30P")</f>
        <v>30P</v>
      </c>
      <c r="G1007" s="490"/>
      <c r="H1007" s="490"/>
      <c r="I1007" s="490"/>
      <c r="J1007" s="588"/>
      <c r="K1007" s="490"/>
      <c r="L1007" s="490"/>
      <c r="M1007" s="490"/>
      <c r="N1007" s="490"/>
      <c r="O1007" s="490"/>
      <c r="P1007" s="490" t="s">
        <v>10614</v>
      </c>
    </row>
    <row r="1008">
      <c r="A1008" s="490"/>
      <c r="B1008" s="490"/>
      <c r="C1008" s="490"/>
      <c r="D1008" s="490"/>
      <c r="E1008" s="593" t="str">
        <f>IFERROR(__xludf.DUMMYFUNCTION("""COMPUTED_VALUE"""),"EASYIO")</f>
        <v>EASYIO</v>
      </c>
      <c r="F1008" s="593" t="str">
        <f>IFERROR(__xludf.DUMMYFUNCTION("""COMPUTED_VALUE"""),"FG-20+")</f>
        <v>FG-20+</v>
      </c>
      <c r="G1008" s="490"/>
      <c r="H1008" s="490"/>
      <c r="I1008" s="490"/>
      <c r="J1008" s="588"/>
      <c r="K1008" s="490"/>
      <c r="L1008" s="490"/>
      <c r="M1008" s="490"/>
      <c r="N1008" s="490"/>
      <c r="O1008" s="490"/>
      <c r="P1008" s="490" t="s">
        <v>10617</v>
      </c>
    </row>
    <row r="1009">
      <c r="A1009" s="490"/>
      <c r="B1009" s="490"/>
      <c r="C1009" s="490"/>
      <c r="D1009" s="490"/>
      <c r="E1009" s="593" t="str">
        <f>IFERROR(__xludf.DUMMYFUNCTION("""COMPUTED_VALUE"""),"EASYIO")</f>
        <v>EASYIO</v>
      </c>
      <c r="F1009" s="593" t="str">
        <f>IFERROR(__xludf.DUMMYFUNCTION("""COMPUTED_VALUE"""),"FG-32+")</f>
        <v>FG-32+</v>
      </c>
      <c r="G1009" s="490"/>
      <c r="H1009" s="490"/>
      <c r="I1009" s="490"/>
      <c r="J1009" s="588"/>
      <c r="K1009" s="490"/>
      <c r="L1009" s="490"/>
      <c r="M1009" s="490"/>
      <c r="N1009" s="490"/>
      <c r="O1009" s="490"/>
      <c r="P1009" s="490" t="s">
        <v>10620</v>
      </c>
    </row>
    <row r="1010">
      <c r="A1010" s="490"/>
      <c r="B1010" s="490"/>
      <c r="C1010" s="490"/>
      <c r="D1010" s="490"/>
      <c r="E1010" s="593" t="str">
        <f>IFERROR(__xludf.DUMMYFUNCTION("""COMPUTED_VALUE"""),"EASYIO")</f>
        <v>EASYIO</v>
      </c>
      <c r="F1010" s="593" t="str">
        <f>IFERROR(__xludf.DUMMYFUNCTION("""COMPUTED_VALUE"""),"J-600E")</f>
        <v>J-600E</v>
      </c>
      <c r="G1010" s="490"/>
      <c r="H1010" s="490"/>
      <c r="I1010" s="490"/>
      <c r="J1010" s="588"/>
      <c r="K1010" s="490"/>
      <c r="L1010" s="490"/>
      <c r="M1010" s="490"/>
      <c r="N1010" s="490"/>
      <c r="O1010" s="490"/>
      <c r="P1010" s="490" t="s">
        <v>10623</v>
      </c>
    </row>
    <row r="1011">
      <c r="A1011" s="490"/>
      <c r="B1011" s="490"/>
      <c r="C1011" s="490"/>
      <c r="D1011" s="490"/>
      <c r="E1011" s="593" t="str">
        <f>IFERROR(__xludf.DUMMYFUNCTION("""COMPUTED_VALUE"""),"EASYIO")</f>
        <v>EASYIO</v>
      </c>
      <c r="F1011" s="593" t="str">
        <f>IFERROR(__xludf.DUMMYFUNCTION("""COMPUTED_VALUE"""),"FS-32")</f>
        <v>FS-32</v>
      </c>
      <c r="G1011" s="490"/>
      <c r="H1011" s="490"/>
      <c r="I1011" s="490"/>
      <c r="J1011" s="588"/>
      <c r="K1011" s="490"/>
      <c r="L1011" s="490"/>
      <c r="M1011" s="490"/>
      <c r="N1011" s="490"/>
      <c r="O1011" s="490"/>
      <c r="P1011" s="490" t="s">
        <v>10627</v>
      </c>
    </row>
    <row r="1012">
      <c r="A1012" s="490"/>
      <c r="B1012" s="490"/>
      <c r="C1012" s="490"/>
      <c r="D1012" s="490"/>
      <c r="E1012" s="593" t="str">
        <f>IFERROR(__xludf.DUMMYFUNCTION("""COMPUTED_VALUE"""),"EASYIO")</f>
        <v>EASYIO</v>
      </c>
      <c r="F1012" s="593" t="str">
        <f>IFERROR(__xludf.DUMMYFUNCTION("""COMPUTED_VALUE"""),"FW-14")</f>
        <v>FW-14</v>
      </c>
      <c r="G1012" s="490"/>
      <c r="H1012" s="490"/>
      <c r="I1012" s="490"/>
      <c r="J1012" s="588"/>
      <c r="K1012" s="490"/>
      <c r="L1012" s="490"/>
      <c r="M1012" s="490"/>
      <c r="N1012" s="490"/>
      <c r="O1012" s="490"/>
      <c r="P1012" s="490" t="s">
        <v>10630</v>
      </c>
    </row>
    <row r="1013">
      <c r="A1013" s="490"/>
      <c r="B1013" s="490"/>
      <c r="C1013" s="490"/>
      <c r="D1013" s="490"/>
      <c r="E1013" s="593" t="str">
        <f>IFERROR(__xludf.DUMMYFUNCTION("""COMPUTED_VALUE"""),"EASYIO")</f>
        <v>EASYIO</v>
      </c>
      <c r="F1013" s="593" t="str">
        <f>IFERROR(__xludf.DUMMYFUNCTION("""COMPUTED_VALUE"""),"FW-08V")</f>
        <v>FW-08V</v>
      </c>
      <c r="G1013" s="490"/>
      <c r="H1013" s="490"/>
      <c r="I1013" s="490"/>
      <c r="J1013" s="588"/>
      <c r="K1013" s="490"/>
      <c r="L1013" s="490"/>
      <c r="M1013" s="490"/>
      <c r="N1013" s="490"/>
      <c r="O1013" s="490"/>
      <c r="P1013" s="490" t="s">
        <v>10633</v>
      </c>
    </row>
    <row r="1014">
      <c r="A1014" s="490"/>
      <c r="B1014" s="490"/>
      <c r="C1014" s="490"/>
      <c r="D1014" s="490"/>
      <c r="E1014" s="593" t="str">
        <f>IFERROR(__xludf.DUMMYFUNCTION("""COMPUTED_VALUE"""),"EASYIO")</f>
        <v>EASYIO</v>
      </c>
      <c r="F1014" s="593" t="str">
        <f>IFERROR(__xludf.DUMMYFUNCTION("""COMPUTED_VALUE"""),"FS-32")</f>
        <v>FS-32</v>
      </c>
      <c r="G1014" s="490"/>
      <c r="H1014" s="490"/>
      <c r="I1014" s="490"/>
      <c r="J1014" s="588"/>
      <c r="K1014" s="490"/>
      <c r="L1014" s="490"/>
      <c r="M1014" s="490"/>
      <c r="N1014" s="490"/>
      <c r="O1014" s="490"/>
      <c r="P1014" s="490" t="s">
        <v>10636</v>
      </c>
    </row>
    <row r="1015">
      <c r="A1015" s="490"/>
      <c r="B1015" s="490"/>
      <c r="C1015" s="490"/>
      <c r="D1015" s="490"/>
      <c r="E1015" s="593" t="str">
        <f>IFERROR(__xludf.DUMMYFUNCTION("""COMPUTED_VALUE"""),"EASYIO")</f>
        <v>EASYIO</v>
      </c>
      <c r="F1015" s="593" t="str">
        <f>IFERROR(__xludf.DUMMYFUNCTION("""COMPUTED_VALUE"""),"FW-14 V3")</f>
        <v>FW-14 V3</v>
      </c>
      <c r="G1015" s="490"/>
      <c r="H1015" s="490"/>
      <c r="I1015" s="490"/>
      <c r="J1015" s="588"/>
      <c r="K1015" s="490"/>
      <c r="L1015" s="490"/>
      <c r="M1015" s="490"/>
      <c r="N1015" s="490"/>
      <c r="O1015" s="490"/>
      <c r="P1015" s="490" t="s">
        <v>9558</v>
      </c>
    </row>
    <row r="1016">
      <c r="A1016" s="490"/>
      <c r="B1016" s="490"/>
      <c r="C1016" s="490"/>
      <c r="D1016" s="490"/>
      <c r="E1016" s="593" t="str">
        <f>IFERROR(__xludf.DUMMYFUNCTION("""COMPUTED_VALUE"""),"EASYIO")</f>
        <v>EASYIO</v>
      </c>
      <c r="F1016" s="593" t="str">
        <f>IFERROR(__xludf.DUMMYFUNCTION("""COMPUTED_VALUE"""),"FW-08")</f>
        <v>FW-08</v>
      </c>
      <c r="G1016" s="490"/>
      <c r="H1016" s="490"/>
      <c r="I1016" s="490"/>
      <c r="J1016" s="588"/>
      <c r="K1016" s="490"/>
      <c r="L1016" s="490"/>
      <c r="M1016" s="490"/>
      <c r="N1016" s="490"/>
      <c r="O1016" s="490"/>
      <c r="P1016" s="490" t="s">
        <v>10639</v>
      </c>
    </row>
    <row r="1017">
      <c r="A1017" s="490"/>
      <c r="B1017" s="490"/>
      <c r="C1017" s="490"/>
      <c r="D1017" s="490"/>
      <c r="E1017" s="593" t="str">
        <f>IFERROR(__xludf.DUMMYFUNCTION("""COMPUTED_VALUE"""),"EASYIO")</f>
        <v>EASYIO</v>
      </c>
      <c r="F1017" s="593" t="str">
        <f>IFERROR(__xludf.DUMMYFUNCTION("""COMPUTED_VALUE"""),"FW-08 V3")</f>
        <v>FW-08 V3</v>
      </c>
      <c r="G1017" s="490"/>
      <c r="H1017" s="490"/>
      <c r="I1017" s="490"/>
      <c r="J1017" s="588"/>
      <c r="K1017" s="490"/>
      <c r="L1017" s="490"/>
      <c r="M1017" s="490"/>
      <c r="N1017" s="490"/>
      <c r="O1017" s="490"/>
      <c r="P1017" s="490" t="s">
        <v>10642</v>
      </c>
    </row>
    <row r="1018">
      <c r="A1018" s="490"/>
      <c r="B1018" s="490"/>
      <c r="C1018" s="490"/>
      <c r="D1018" s="490"/>
      <c r="E1018" s="593" t="str">
        <f>IFERROR(__xludf.DUMMYFUNCTION("""COMPUTED_VALUE"""),"EASYIO")</f>
        <v>EASYIO</v>
      </c>
      <c r="F1018" s="593" t="str">
        <f>IFERROR(__xludf.DUMMYFUNCTION("""COMPUTED_VALUE"""),"FW-08V V3")</f>
        <v>FW-08V V3</v>
      </c>
      <c r="G1018" s="490"/>
      <c r="H1018" s="490"/>
      <c r="I1018" s="490"/>
      <c r="J1018" s="588"/>
      <c r="K1018" s="490"/>
      <c r="L1018" s="490"/>
      <c r="M1018" s="490"/>
      <c r="N1018" s="490"/>
      <c r="O1018" s="490"/>
      <c r="P1018" s="490" t="s">
        <v>10646</v>
      </c>
    </row>
    <row r="1019">
      <c r="A1019" s="490"/>
      <c r="B1019" s="490"/>
      <c r="C1019" s="490"/>
      <c r="D1019" s="490"/>
      <c r="E1019" s="593" t="str">
        <f>IFERROR(__xludf.DUMMYFUNCTION("""COMPUTED_VALUE"""),"EASYIO")</f>
        <v>EASYIO</v>
      </c>
      <c r="F1019" s="593" t="str">
        <f>IFERROR(__xludf.DUMMYFUNCTION("""COMPUTED_VALUE"""),"FS-20")</f>
        <v>FS-20</v>
      </c>
      <c r="G1019" s="490"/>
      <c r="H1019" s="490"/>
      <c r="I1019" s="490"/>
      <c r="J1019" s="588"/>
      <c r="K1019" s="490"/>
      <c r="L1019" s="490"/>
      <c r="M1019" s="490"/>
      <c r="N1019" s="490"/>
      <c r="O1019" s="490"/>
      <c r="P1019" s="490" t="s">
        <v>10649</v>
      </c>
    </row>
    <row r="1020">
      <c r="A1020" s="490"/>
      <c r="B1020" s="490"/>
      <c r="C1020" s="490"/>
      <c r="D1020" s="490"/>
      <c r="E1020" s="593" t="str">
        <f>IFERROR(__xludf.DUMMYFUNCTION("""COMPUTED_VALUE"""),"EASYIO")</f>
        <v>EASYIO</v>
      </c>
      <c r="F1020" s="593" t="str">
        <f>IFERROR(__xludf.DUMMYFUNCTION("""COMPUTED_VALUE"""),"FW-28")</f>
        <v>FW-28</v>
      </c>
      <c r="G1020" s="490"/>
      <c r="H1020" s="490"/>
      <c r="I1020" s="490"/>
      <c r="J1020" s="588"/>
      <c r="K1020" s="490"/>
      <c r="L1020" s="490"/>
      <c r="M1020" s="490"/>
      <c r="N1020" s="490"/>
      <c r="O1020" s="490"/>
      <c r="P1020" s="490" t="s">
        <v>10652</v>
      </c>
    </row>
    <row r="1021">
      <c r="A1021" s="490"/>
      <c r="B1021" s="490"/>
      <c r="C1021" s="490"/>
      <c r="D1021" s="490"/>
      <c r="E1021" s="593" t="str">
        <f>IFERROR(__xludf.DUMMYFUNCTION("""COMPUTED_VALUE"""),"EASYIO")</f>
        <v>EASYIO</v>
      </c>
      <c r="F1021" s="593" t="str">
        <f>IFERROR(__xludf.DUMMYFUNCTION("""COMPUTED_VALUE"""),"FC-20")</f>
        <v>FC-20</v>
      </c>
      <c r="G1021" s="490"/>
      <c r="H1021" s="490"/>
      <c r="I1021" s="490"/>
      <c r="J1021" s="588"/>
      <c r="K1021" s="490"/>
      <c r="L1021" s="490"/>
      <c r="M1021" s="490"/>
      <c r="N1021" s="490"/>
      <c r="O1021" s="490"/>
      <c r="P1021" s="490" t="s">
        <v>10655</v>
      </c>
    </row>
    <row r="1022">
      <c r="A1022" s="490"/>
      <c r="B1022" s="490"/>
      <c r="C1022" s="490"/>
      <c r="D1022" s="490"/>
      <c r="E1022" s="593" t="str">
        <f>IFERROR(__xludf.DUMMYFUNCTION("""COMPUTED_VALUE"""),"EASYIO")</f>
        <v>EASYIO</v>
      </c>
      <c r="F1022" s="593" t="str">
        <f>IFERROR(__xludf.DUMMYFUNCTION("""COMPUTED_VALUE"""),"FD-20I")</f>
        <v>FD-20I</v>
      </c>
      <c r="G1022" s="490"/>
      <c r="H1022" s="490"/>
      <c r="I1022" s="490"/>
      <c r="J1022" s="588"/>
      <c r="K1022" s="490"/>
      <c r="L1022" s="490"/>
      <c r="M1022" s="490"/>
      <c r="N1022" s="490"/>
      <c r="O1022" s="490"/>
      <c r="P1022" s="490" t="s">
        <v>10658</v>
      </c>
    </row>
    <row r="1023">
      <c r="A1023" s="490"/>
      <c r="B1023" s="490"/>
      <c r="C1023" s="490"/>
      <c r="D1023" s="490"/>
      <c r="E1023" s="593" t="str">
        <f>IFERROR(__xludf.DUMMYFUNCTION("""COMPUTED_VALUE"""),"EATON")</f>
        <v>EATON</v>
      </c>
      <c r="F1023" s="593" t="str">
        <f>IFERROR(__xludf.DUMMYFUNCTION("""COMPUTED_VALUE"""),"PXES4P")</f>
        <v>PXES4P</v>
      </c>
      <c r="G1023" s="490"/>
      <c r="H1023" s="490"/>
      <c r="I1023" s="490"/>
      <c r="J1023" s="588"/>
      <c r="K1023" s="490"/>
      <c r="L1023" s="490"/>
      <c r="M1023" s="490"/>
      <c r="N1023" s="490"/>
      <c r="O1023" s="490"/>
      <c r="P1023" s="490" t="s">
        <v>10661</v>
      </c>
    </row>
    <row r="1024">
      <c r="A1024" s="490"/>
      <c r="B1024" s="490"/>
      <c r="C1024" s="490"/>
      <c r="D1024" s="490"/>
      <c r="E1024" s="593" t="str">
        <f>IFERROR(__xludf.DUMMYFUNCTION("""COMPUTED_VALUE"""),"EATON")</f>
        <v>EATON</v>
      </c>
      <c r="F1024" s="593" t="str">
        <f>IFERROR(__xludf.DUMMYFUNCTION("""COMPUTED_VALUE"""),"118 ITM")</f>
        <v>118 ITM</v>
      </c>
      <c r="G1024" s="490"/>
      <c r="H1024" s="490"/>
      <c r="I1024" s="490"/>
      <c r="J1024" s="588"/>
      <c r="K1024" s="490"/>
      <c r="L1024" s="490"/>
      <c r="M1024" s="490"/>
      <c r="N1024" s="490"/>
      <c r="O1024" s="490"/>
      <c r="P1024" s="490" t="s">
        <v>10664</v>
      </c>
    </row>
    <row r="1025">
      <c r="A1025" s="490"/>
      <c r="B1025" s="490"/>
      <c r="C1025" s="490"/>
      <c r="D1025" s="490"/>
      <c r="E1025" s="593" t="str">
        <f>IFERROR(__xludf.DUMMYFUNCTION("""COMPUTED_VALUE"""),"EATON")</f>
        <v>EATON</v>
      </c>
      <c r="F1025" s="593" t="str">
        <f>IFERROR(__xludf.DUMMYFUNCTION("""COMPUTED_VALUE"""),"5PX")</f>
        <v>5PX</v>
      </c>
      <c r="G1025" s="490"/>
      <c r="H1025" s="490"/>
      <c r="I1025" s="490"/>
      <c r="J1025" s="588"/>
      <c r="K1025" s="490"/>
      <c r="L1025" s="490"/>
      <c r="M1025" s="490"/>
      <c r="N1025" s="490"/>
      <c r="O1025" s="490"/>
      <c r="P1025" s="490" t="s">
        <v>10667</v>
      </c>
    </row>
    <row r="1026">
      <c r="A1026" s="490"/>
      <c r="B1026" s="490"/>
      <c r="C1026" s="490"/>
      <c r="D1026" s="490"/>
      <c r="E1026" s="593" t="str">
        <f>IFERROR(__xludf.DUMMYFUNCTION("""COMPUTED_VALUE"""),"EATON")</f>
        <v>EATON</v>
      </c>
      <c r="F1026" s="593" t="str">
        <f>IFERROR(__xludf.DUMMYFUNCTION("""COMPUTED_VALUE"""),"5PX2200IRT")</f>
        <v>5PX2200IRT</v>
      </c>
      <c r="G1026" s="490"/>
      <c r="H1026" s="490"/>
      <c r="I1026" s="490"/>
      <c r="J1026" s="588"/>
      <c r="K1026" s="490"/>
      <c r="L1026" s="490"/>
      <c r="M1026" s="490"/>
      <c r="N1026" s="490"/>
      <c r="O1026" s="490"/>
      <c r="P1026" s="490" t="s">
        <v>9453</v>
      </c>
    </row>
    <row r="1027">
      <c r="A1027" s="490"/>
      <c r="B1027" s="490"/>
      <c r="C1027" s="490"/>
      <c r="D1027" s="490"/>
      <c r="E1027" s="593" t="str">
        <f>IFERROR(__xludf.DUMMYFUNCTION("""COMPUTED_VALUE"""),"EATON")</f>
        <v>EATON</v>
      </c>
      <c r="F1027" s="593" t="str">
        <f>IFERROR(__xludf.DUMMYFUNCTION("""COMPUTED_VALUE"""),"93E-40-D-MBS")</f>
        <v>93E-40-D-MBS</v>
      </c>
      <c r="G1027" s="490"/>
      <c r="H1027" s="490"/>
      <c r="I1027" s="490"/>
      <c r="J1027" s="588"/>
      <c r="K1027" s="490"/>
      <c r="L1027" s="490"/>
      <c r="M1027" s="490"/>
      <c r="N1027" s="490"/>
      <c r="O1027" s="490"/>
      <c r="P1027" s="490" t="s">
        <v>9561</v>
      </c>
    </row>
    <row r="1028">
      <c r="A1028" s="490"/>
      <c r="B1028" s="490"/>
      <c r="C1028" s="490"/>
      <c r="D1028" s="490"/>
      <c r="E1028" s="593" t="str">
        <f>IFERROR(__xludf.DUMMYFUNCTION("""COMPUTED_VALUE"""),"EATON")</f>
        <v>EATON</v>
      </c>
      <c r="F1028" s="593" t="str">
        <f>IFERROR(__xludf.DUMMYFUNCTION("""COMPUTED_VALUE"""),"93E100DMBSBFHE")</f>
        <v>93E100DMBSBFHE</v>
      </c>
      <c r="G1028" s="490"/>
      <c r="H1028" s="490"/>
      <c r="I1028" s="490"/>
      <c r="J1028" s="588"/>
      <c r="K1028" s="490"/>
      <c r="L1028" s="490"/>
      <c r="M1028" s="490"/>
      <c r="N1028" s="490"/>
      <c r="O1028" s="490"/>
      <c r="P1028" s="490" t="s">
        <v>10670</v>
      </c>
    </row>
    <row r="1029">
      <c r="A1029" s="490"/>
      <c r="B1029" s="490"/>
      <c r="C1029" s="490"/>
      <c r="D1029" s="490"/>
      <c r="E1029" s="593" t="str">
        <f>IFERROR(__xludf.DUMMYFUNCTION("""COMPUTED_VALUE"""),"EATON")</f>
        <v>EATON</v>
      </c>
      <c r="F1029" s="593" t="str">
        <f>IFERROR(__xludf.DUMMYFUNCTION("""COMPUTED_VALUE"""),"93E20BMBS")</f>
        <v>93E20BMBS</v>
      </c>
      <c r="G1029" s="490"/>
      <c r="H1029" s="490"/>
      <c r="I1029" s="490"/>
      <c r="J1029" s="588"/>
      <c r="K1029" s="490"/>
      <c r="L1029" s="490"/>
      <c r="M1029" s="490"/>
      <c r="N1029" s="490"/>
      <c r="O1029" s="490"/>
      <c r="P1029" s="490" t="s">
        <v>10673</v>
      </c>
    </row>
    <row r="1030">
      <c r="A1030" s="490"/>
      <c r="B1030" s="490"/>
      <c r="C1030" s="490"/>
      <c r="D1030" s="490"/>
      <c r="E1030" s="593" t="str">
        <f>IFERROR(__xludf.DUMMYFUNCTION("""COMPUTED_VALUE"""),"EATON")</f>
        <v>EATON</v>
      </c>
      <c r="F1030" s="593" t="str">
        <f>IFERROR(__xludf.DUMMYFUNCTION("""COMPUTED_VALUE"""),"9PX 8KVA SPLITPHASE")</f>
        <v>9PX 8KVA SPLITPHASE</v>
      </c>
      <c r="G1030" s="490"/>
      <c r="H1030" s="490"/>
      <c r="I1030" s="490"/>
      <c r="J1030" s="588"/>
      <c r="K1030" s="490"/>
      <c r="L1030" s="490"/>
      <c r="M1030" s="490"/>
      <c r="N1030" s="490"/>
      <c r="O1030" s="490"/>
      <c r="P1030" s="490" t="s">
        <v>10676</v>
      </c>
    </row>
    <row r="1031">
      <c r="A1031" s="490"/>
      <c r="B1031" s="490"/>
      <c r="C1031" s="490"/>
      <c r="D1031" s="490"/>
      <c r="E1031" s="593" t="str">
        <f>IFERROR(__xludf.DUMMYFUNCTION("""COMPUTED_VALUE"""),"EATON")</f>
        <v>EATON</v>
      </c>
      <c r="F1031" s="593" t="str">
        <f>IFERROR(__xludf.DUMMYFUNCTION("""COMPUTED_VALUE"""),"BLADE UPS")</f>
        <v>BLADE UPS</v>
      </c>
      <c r="G1031" s="490"/>
      <c r="H1031" s="490"/>
      <c r="I1031" s="490"/>
      <c r="J1031" s="588"/>
      <c r="K1031" s="490"/>
      <c r="L1031" s="490"/>
      <c r="M1031" s="490"/>
      <c r="N1031" s="490"/>
      <c r="O1031" s="490"/>
      <c r="P1031" s="490" t="s">
        <v>10679</v>
      </c>
    </row>
    <row r="1032">
      <c r="A1032" s="490"/>
      <c r="B1032" s="490"/>
      <c r="C1032" s="490"/>
      <c r="D1032" s="490"/>
      <c r="E1032" s="593" t="str">
        <f>IFERROR(__xludf.DUMMYFUNCTION("""COMPUTED_VALUE"""),"EATON")</f>
        <v>EATON</v>
      </c>
      <c r="F1032" s="593" t="str">
        <f>IFERROR(__xludf.DUMMYFUNCTION("""COMPUTED_VALUE"""),"BLADE UPS")</f>
        <v>BLADE UPS</v>
      </c>
      <c r="G1032" s="490"/>
      <c r="H1032" s="490"/>
      <c r="I1032" s="490"/>
      <c r="J1032" s="588"/>
      <c r="K1032" s="490"/>
      <c r="L1032" s="490"/>
      <c r="M1032" s="490"/>
      <c r="N1032" s="490"/>
      <c r="O1032" s="490"/>
      <c r="P1032" s="490" t="s">
        <v>10682</v>
      </c>
    </row>
    <row r="1033">
      <c r="A1033" s="490"/>
      <c r="B1033" s="490"/>
      <c r="C1033" s="490"/>
      <c r="D1033" s="490"/>
      <c r="E1033" s="593" t="str">
        <f>IFERROR(__xludf.DUMMYFUNCTION("""COMPUTED_VALUE"""),"EATON")</f>
        <v>EATON</v>
      </c>
      <c r="F1033" s="593" t="str">
        <f>IFERROR(__xludf.DUMMYFUNCTION("""COMPUTED_VALUE"""),"EX3000")</f>
        <v>EX3000</v>
      </c>
      <c r="G1033" s="490"/>
      <c r="H1033" s="490"/>
      <c r="I1033" s="490"/>
      <c r="J1033" s="588"/>
      <c r="K1033" s="490"/>
      <c r="L1033" s="490"/>
      <c r="M1033" s="490"/>
      <c r="N1033" s="490"/>
      <c r="O1033" s="490"/>
      <c r="P1033" s="490" t="s">
        <v>10685</v>
      </c>
    </row>
    <row r="1034">
      <c r="A1034" s="490"/>
      <c r="B1034" s="490"/>
      <c r="C1034" s="490"/>
      <c r="D1034" s="490"/>
      <c r="E1034" s="593" t="str">
        <f>IFERROR(__xludf.DUMMYFUNCTION("""COMPUTED_VALUE"""),"EATON")</f>
        <v>EATON</v>
      </c>
      <c r="F1034" s="593" t="str">
        <f>IFERROR(__xludf.DUMMYFUNCTION("""COMPUTED_VALUE"""),"HKD 65K")</f>
        <v>HKD 65K</v>
      </c>
      <c r="G1034" s="490"/>
      <c r="H1034" s="490"/>
      <c r="I1034" s="490"/>
      <c r="J1034" s="588"/>
      <c r="K1034" s="490"/>
      <c r="L1034" s="490"/>
      <c r="M1034" s="490"/>
      <c r="N1034" s="490"/>
      <c r="O1034" s="490"/>
      <c r="P1034" s="490" t="s">
        <v>10688</v>
      </c>
    </row>
    <row r="1035">
      <c r="A1035" s="490"/>
      <c r="B1035" s="490"/>
      <c r="C1035" s="490"/>
      <c r="D1035" s="490"/>
      <c r="E1035" s="593" t="str">
        <f>IFERROR(__xludf.DUMMYFUNCTION("""COMPUTED_VALUE"""),"EATON")</f>
        <v>EATON</v>
      </c>
      <c r="F1035" s="593" t="str">
        <f>IFERROR(__xludf.DUMMYFUNCTION("""COMPUTED_VALUE"""),"HMIVU06CUNB1")</f>
        <v>HMIVU06CUNB1</v>
      </c>
      <c r="G1035" s="490"/>
      <c r="H1035" s="490"/>
      <c r="I1035" s="490"/>
      <c r="J1035" s="588"/>
      <c r="K1035" s="490"/>
      <c r="L1035" s="490"/>
      <c r="M1035" s="490"/>
      <c r="N1035" s="490"/>
      <c r="O1035" s="490"/>
      <c r="P1035" s="490" t="s">
        <v>10691</v>
      </c>
    </row>
    <row r="1036">
      <c r="A1036" s="490"/>
      <c r="B1036" s="490"/>
      <c r="C1036" s="490"/>
      <c r="D1036" s="490"/>
      <c r="E1036" s="593" t="str">
        <f>IFERROR(__xludf.DUMMYFUNCTION("""COMPUTED_VALUE"""),"EATON")</f>
        <v>EATON</v>
      </c>
      <c r="F1036" s="593" t="str">
        <f>IFERROR(__xludf.DUMMYFUNCTION("""COMPUTED_VALUE"""),"IQ 250/260")</f>
        <v>IQ 250/260</v>
      </c>
      <c r="G1036" s="490"/>
      <c r="H1036" s="490"/>
      <c r="I1036" s="490"/>
      <c r="J1036" s="588"/>
      <c r="K1036" s="490"/>
      <c r="L1036" s="490"/>
      <c r="M1036" s="490"/>
      <c r="N1036" s="490"/>
      <c r="O1036" s="490"/>
      <c r="P1036" s="490" t="s">
        <v>10694</v>
      </c>
    </row>
    <row r="1037">
      <c r="A1037" s="490"/>
      <c r="B1037" s="490"/>
      <c r="C1037" s="490"/>
      <c r="D1037" s="490"/>
      <c r="E1037" s="593" t="str">
        <f>IFERROR(__xludf.DUMMYFUNCTION("""COMPUTED_VALUE"""),"EATON")</f>
        <v>EATON</v>
      </c>
      <c r="F1037" s="593" t="str">
        <f>IFERROR(__xludf.DUMMYFUNCTION("""COMPUTED_VALUE"""),"MAGNUM SB")</f>
        <v>MAGNUM SB</v>
      </c>
      <c r="G1037" s="490"/>
      <c r="H1037" s="490"/>
      <c r="I1037" s="490"/>
      <c r="J1037" s="588"/>
      <c r="K1037" s="490"/>
      <c r="L1037" s="490"/>
      <c r="M1037" s="490"/>
      <c r="N1037" s="490"/>
      <c r="O1037" s="490"/>
      <c r="P1037" s="490" t="s">
        <v>10697</v>
      </c>
    </row>
    <row r="1038">
      <c r="A1038" s="490"/>
      <c r="B1038" s="490"/>
      <c r="C1038" s="490"/>
      <c r="D1038" s="490"/>
      <c r="E1038" s="593" t="str">
        <f>IFERROR(__xludf.DUMMYFUNCTION("""COMPUTED_VALUE"""),"EATON")</f>
        <v>EATON</v>
      </c>
      <c r="F1038" s="593" t="str">
        <f>IFERROR(__xludf.DUMMYFUNCTION("""COMPUTED_VALUE"""),"NGH-C")</f>
        <v>NGH-C</v>
      </c>
      <c r="G1038" s="490"/>
      <c r="H1038" s="490"/>
      <c r="I1038" s="490"/>
      <c r="J1038" s="588"/>
      <c r="K1038" s="490"/>
      <c r="L1038" s="490"/>
      <c r="M1038" s="490"/>
      <c r="N1038" s="490"/>
      <c r="O1038" s="490"/>
      <c r="P1038" s="490" t="s">
        <v>9564</v>
      </c>
    </row>
    <row r="1039">
      <c r="A1039" s="490"/>
      <c r="B1039" s="490"/>
      <c r="C1039" s="490"/>
      <c r="D1039" s="490"/>
      <c r="E1039" s="593" t="str">
        <f>IFERROR(__xludf.DUMMYFUNCTION("""COMPUTED_VALUE"""),"EATON")</f>
        <v>EATON</v>
      </c>
      <c r="F1039" s="593" t="str">
        <f>IFERROR(__xludf.DUMMYFUNCTION("""COMPUTED_VALUE"""),"NOT VERIFIED")</f>
        <v>NOT VERIFIED</v>
      </c>
      <c r="G1039" s="490"/>
      <c r="H1039" s="490"/>
      <c r="I1039" s="490"/>
      <c r="J1039" s="588"/>
      <c r="K1039" s="490"/>
      <c r="L1039" s="490"/>
      <c r="M1039" s="490"/>
      <c r="N1039" s="490"/>
      <c r="O1039" s="490"/>
      <c r="P1039" s="490" t="s">
        <v>10700</v>
      </c>
    </row>
    <row r="1040">
      <c r="A1040" s="490"/>
      <c r="B1040" s="490"/>
      <c r="C1040" s="490"/>
      <c r="D1040" s="490"/>
      <c r="E1040" s="593" t="str">
        <f>IFERROR(__xludf.DUMMYFUNCTION("""COMPUTED_VALUE"""),"EATON")</f>
        <v>EATON</v>
      </c>
      <c r="F1040" s="593" t="str">
        <f>IFERROR(__xludf.DUMMYFUNCTION("""COMPUTED_VALUE"""),"POWER METER")</f>
        <v>POWER METER</v>
      </c>
      <c r="G1040" s="490"/>
      <c r="H1040" s="490"/>
      <c r="I1040" s="490"/>
      <c r="J1040" s="588"/>
      <c r="K1040" s="490"/>
      <c r="L1040" s="490"/>
      <c r="M1040" s="490"/>
      <c r="N1040" s="490"/>
      <c r="O1040" s="490"/>
      <c r="P1040" s="490" t="s">
        <v>10703</v>
      </c>
    </row>
    <row r="1041">
      <c r="A1041" s="490"/>
      <c r="B1041" s="490"/>
      <c r="C1041" s="490"/>
      <c r="D1041" s="490"/>
      <c r="E1041" s="593" t="str">
        <f>IFERROR(__xludf.DUMMYFUNCTION("""COMPUTED_VALUE"""),"EATON")</f>
        <v>EATON</v>
      </c>
      <c r="F1041" s="593" t="str">
        <f>IFERROR(__xludf.DUMMYFUNCTION("""COMPUTED_VALUE"""),"POWERWAVE 9355")</f>
        <v>POWERWAVE 9355</v>
      </c>
      <c r="G1041" s="490"/>
      <c r="H1041" s="490"/>
      <c r="I1041" s="490"/>
      <c r="J1041" s="588"/>
      <c r="K1041" s="490"/>
      <c r="L1041" s="490"/>
      <c r="M1041" s="490"/>
      <c r="N1041" s="490"/>
      <c r="O1041" s="490"/>
      <c r="P1041" s="490" t="s">
        <v>10706</v>
      </c>
    </row>
    <row r="1042">
      <c r="A1042" s="490"/>
      <c r="B1042" s="490"/>
      <c r="C1042" s="490"/>
      <c r="D1042" s="490"/>
      <c r="E1042" s="593" t="str">
        <f>IFERROR(__xludf.DUMMYFUNCTION("""COMPUTED_VALUE"""),"EATON")</f>
        <v>EATON</v>
      </c>
      <c r="F1042" s="593" t="str">
        <f>IFERROR(__xludf.DUMMYFUNCTION("""COMPUTED_VALUE"""),"POWERXPERT GATEWAY 900")</f>
        <v>POWERXPERT GATEWAY 900</v>
      </c>
      <c r="G1042" s="490"/>
      <c r="H1042" s="490"/>
      <c r="I1042" s="490"/>
      <c r="J1042" s="588"/>
      <c r="K1042" s="490"/>
      <c r="L1042" s="490"/>
      <c r="M1042" s="490"/>
      <c r="N1042" s="490"/>
      <c r="O1042" s="490"/>
      <c r="P1042" s="490" t="s">
        <v>10709</v>
      </c>
    </row>
    <row r="1043">
      <c r="A1043" s="490"/>
      <c r="B1043" s="490"/>
      <c r="C1043" s="490"/>
      <c r="D1043" s="490"/>
      <c r="E1043" s="593" t="str">
        <f>IFERROR(__xludf.DUMMYFUNCTION("""COMPUTED_VALUE"""),"EATON")</f>
        <v>EATON</v>
      </c>
      <c r="F1043" s="593" t="str">
        <f>IFERROR(__xludf.DUMMYFUNCTION("""COMPUTED_VALUE"""),"PXMP-MB")</f>
        <v>PXMP-MB</v>
      </c>
      <c r="G1043" s="490"/>
      <c r="H1043" s="490"/>
      <c r="I1043" s="490"/>
      <c r="J1043" s="588"/>
      <c r="K1043" s="490"/>
      <c r="L1043" s="490"/>
      <c r="M1043" s="490"/>
      <c r="N1043" s="490"/>
      <c r="O1043" s="490"/>
      <c r="P1043" s="490" t="s">
        <v>10712</v>
      </c>
    </row>
    <row r="1044">
      <c r="A1044" s="490"/>
      <c r="B1044" s="490"/>
      <c r="C1044" s="490"/>
      <c r="D1044" s="490"/>
      <c r="E1044" s="593" t="str">
        <f>IFERROR(__xludf.DUMMYFUNCTION("""COMPUTED_VALUE"""),"EATON")</f>
        <v>EATON</v>
      </c>
      <c r="F1044" s="593" t="str">
        <f>IFERROR(__xludf.DUMMYFUNCTION("""COMPUTED_VALUE"""),"SPX 2200")</f>
        <v>SPX 2200</v>
      </c>
      <c r="G1044" s="490"/>
      <c r="H1044" s="490"/>
      <c r="I1044" s="490"/>
      <c r="J1044" s="588"/>
      <c r="K1044" s="490"/>
      <c r="L1044" s="490"/>
      <c r="M1044" s="490"/>
      <c r="N1044" s="490"/>
      <c r="O1044" s="490"/>
      <c r="P1044" s="490" t="s">
        <v>10715</v>
      </c>
    </row>
    <row r="1045">
      <c r="A1045" s="490"/>
      <c r="B1045" s="490"/>
      <c r="C1045" s="490"/>
      <c r="D1045" s="490"/>
      <c r="E1045" s="593" t="str">
        <f>IFERROR(__xludf.DUMMYFUNCTION("""COMPUTED_VALUE"""),"EATON")</f>
        <v>EATON</v>
      </c>
      <c r="F1045" s="593" t="str">
        <f>IFERROR(__xludf.DUMMYFUNCTION("""COMPUTED_VALUE"""),"UNIPOWER")</f>
        <v>UNIPOWER</v>
      </c>
      <c r="G1045" s="490"/>
      <c r="H1045" s="490"/>
      <c r="I1045" s="490"/>
      <c r="J1045" s="588"/>
      <c r="K1045" s="490"/>
      <c r="L1045" s="490"/>
      <c r="M1045" s="490"/>
      <c r="N1045" s="490"/>
      <c r="O1045" s="490"/>
      <c r="P1045" s="490" t="s">
        <v>10718</v>
      </c>
    </row>
    <row r="1046">
      <c r="A1046" s="490"/>
      <c r="B1046" s="490"/>
      <c r="C1046" s="490"/>
      <c r="D1046" s="490"/>
      <c r="E1046" s="593" t="str">
        <f>IFERROR(__xludf.DUMMYFUNCTION("""COMPUTED_VALUE"""),"EATON")</f>
        <v>EATON</v>
      </c>
      <c r="F1046" s="593" t="str">
        <f>IFERROR(__xludf.DUMMYFUNCTION("""COMPUTED_VALUE"""),"UNKNOWN")</f>
        <v>UNKNOWN</v>
      </c>
      <c r="G1046" s="490"/>
      <c r="H1046" s="490"/>
      <c r="I1046" s="490"/>
      <c r="J1046" s="588"/>
      <c r="K1046" s="490"/>
      <c r="L1046" s="490"/>
      <c r="M1046" s="490"/>
      <c r="N1046" s="490"/>
      <c r="O1046" s="490"/>
      <c r="P1046" s="490" t="s">
        <v>10721</v>
      </c>
    </row>
    <row r="1047">
      <c r="A1047" s="490"/>
      <c r="B1047" s="490"/>
      <c r="C1047" s="490"/>
      <c r="D1047" s="490"/>
      <c r="E1047" s="593" t="str">
        <f>IFERROR(__xludf.DUMMYFUNCTION("""COMPUTED_VALUE"""),"EATON")</f>
        <v>EATON</v>
      </c>
      <c r="F1047" s="593" t="str">
        <f>IFERROR(__xludf.DUMMYFUNCTION("""COMPUTED_VALUE"""),"93PR")</f>
        <v>93PR</v>
      </c>
      <c r="G1047" s="490"/>
      <c r="H1047" s="490"/>
      <c r="I1047" s="490"/>
      <c r="J1047" s="588"/>
      <c r="K1047" s="490"/>
      <c r="L1047" s="490"/>
      <c r="M1047" s="490"/>
      <c r="N1047" s="490"/>
      <c r="O1047" s="490"/>
      <c r="P1047" s="490" t="s">
        <v>10724</v>
      </c>
    </row>
    <row r="1048">
      <c r="A1048" s="490"/>
      <c r="B1048" s="490"/>
      <c r="C1048" s="490"/>
      <c r="D1048" s="490"/>
      <c r="E1048" s="593" t="str">
        <f>IFERROR(__xludf.DUMMYFUNCTION("""COMPUTED_VALUE"""),"EATON")</f>
        <v>EATON</v>
      </c>
      <c r="F1048" s="593" t="str">
        <f>IFERROR(__xludf.DUMMYFUNCTION("""COMPUTED_VALUE"""),"93PS")</f>
        <v>93PS</v>
      </c>
      <c r="G1048" s="490"/>
      <c r="H1048" s="490"/>
      <c r="I1048" s="490"/>
      <c r="J1048" s="588"/>
      <c r="K1048" s="490"/>
      <c r="L1048" s="490"/>
      <c r="M1048" s="490"/>
      <c r="N1048" s="490"/>
      <c r="O1048" s="490"/>
      <c r="P1048" s="490" t="s">
        <v>10727</v>
      </c>
    </row>
    <row r="1049">
      <c r="A1049" s="490"/>
      <c r="B1049" s="490"/>
      <c r="C1049" s="490"/>
      <c r="D1049" s="490"/>
      <c r="E1049" s="593" t="str">
        <f>IFERROR(__xludf.DUMMYFUNCTION("""COMPUTED_VALUE"""),"EATON")</f>
        <v>EATON</v>
      </c>
      <c r="F1049" s="593" t="str">
        <f>IFERROR(__xludf.DUMMYFUNCTION("""COMPUTED_VALUE"""),"9SX")</f>
        <v>9SX</v>
      </c>
      <c r="G1049" s="490"/>
      <c r="H1049" s="490"/>
      <c r="I1049" s="490"/>
      <c r="J1049" s="588"/>
      <c r="K1049" s="490"/>
      <c r="L1049" s="490"/>
      <c r="M1049" s="490"/>
      <c r="N1049" s="490"/>
      <c r="O1049" s="490"/>
      <c r="P1049" s="490" t="s">
        <v>9567</v>
      </c>
    </row>
    <row r="1050">
      <c r="A1050" s="490"/>
      <c r="B1050" s="490"/>
      <c r="C1050" s="490"/>
      <c r="D1050" s="490"/>
      <c r="E1050" s="593" t="str">
        <f>IFERROR(__xludf.DUMMYFUNCTION("""COMPUTED_VALUE"""),"EATON")</f>
        <v>EATON</v>
      </c>
      <c r="F1050" s="593" t="str">
        <f>IFERROR(__xludf.DUMMYFUNCTION("""COMPUTED_VALUE"""),"9PX")</f>
        <v>9PX</v>
      </c>
      <c r="G1050" s="490"/>
      <c r="H1050" s="490"/>
      <c r="I1050" s="490"/>
      <c r="J1050" s="588"/>
      <c r="K1050" s="490"/>
      <c r="L1050" s="490"/>
      <c r="M1050" s="490"/>
      <c r="N1050" s="490"/>
      <c r="O1050" s="490"/>
      <c r="P1050" s="490" t="s">
        <v>10730</v>
      </c>
    </row>
    <row r="1051">
      <c r="A1051" s="490"/>
      <c r="B1051" s="490"/>
      <c r="C1051" s="490"/>
      <c r="D1051" s="490"/>
      <c r="E1051" s="593" t="str">
        <f>IFERROR(__xludf.DUMMYFUNCTION("""COMPUTED_VALUE"""),"EATON")</f>
        <v>EATON</v>
      </c>
      <c r="F1051" s="593" t="str">
        <f>IFERROR(__xludf.DUMMYFUNCTION("""COMPUTED_VALUE"""),"5E850UI")</f>
        <v>5E850UI</v>
      </c>
      <c r="G1051" s="490"/>
      <c r="H1051" s="490"/>
      <c r="I1051" s="490"/>
      <c r="J1051" s="588"/>
      <c r="K1051" s="490"/>
      <c r="L1051" s="490"/>
      <c r="M1051" s="490"/>
      <c r="N1051" s="490"/>
      <c r="O1051" s="490"/>
      <c r="P1051" s="490" t="s">
        <v>9570</v>
      </c>
    </row>
    <row r="1052">
      <c r="A1052" s="490"/>
      <c r="B1052" s="490"/>
      <c r="C1052" s="490"/>
      <c r="D1052" s="490"/>
      <c r="E1052" s="593" t="str">
        <f>IFERROR(__xludf.DUMMYFUNCTION("""COMPUTED_VALUE"""),"EATON")</f>
        <v>EATON</v>
      </c>
      <c r="F1052" s="593" t="str">
        <f>IFERROR(__xludf.DUMMYFUNCTION("""COMPUTED_VALUE"""),"93E")</f>
        <v>93E</v>
      </c>
      <c r="G1052" s="490"/>
      <c r="H1052" s="490"/>
      <c r="I1052" s="490"/>
      <c r="J1052" s="588"/>
      <c r="K1052" s="490"/>
      <c r="L1052" s="490"/>
      <c r="M1052" s="490"/>
      <c r="N1052" s="490"/>
      <c r="O1052" s="490"/>
      <c r="P1052" s="490" t="s">
        <v>9573</v>
      </c>
    </row>
    <row r="1053">
      <c r="A1053" s="490"/>
      <c r="B1053" s="490"/>
      <c r="C1053" s="490"/>
      <c r="D1053" s="490"/>
      <c r="E1053" s="593" t="str">
        <f>IFERROR(__xludf.DUMMYFUNCTION("""COMPUTED_VALUE"""),"EATON")</f>
        <v>EATON</v>
      </c>
      <c r="F1053" s="593" t="str">
        <f>IFERROR(__xludf.DUMMYFUNCTION("""COMPUTED_VALUE"""),"NETWORK-M2")</f>
        <v>NETWORK-M2</v>
      </c>
      <c r="G1053" s="490"/>
      <c r="H1053" s="490"/>
      <c r="I1053" s="490"/>
      <c r="J1053" s="588"/>
      <c r="K1053" s="490"/>
      <c r="L1053" s="490"/>
      <c r="M1053" s="490"/>
      <c r="N1053" s="490"/>
      <c r="O1053" s="490"/>
      <c r="P1053" s="490" t="s">
        <v>9576</v>
      </c>
    </row>
    <row r="1054">
      <c r="A1054" s="490"/>
      <c r="B1054" s="490"/>
      <c r="C1054" s="490"/>
      <c r="D1054" s="490"/>
      <c r="E1054" s="593" t="str">
        <f>IFERROR(__xludf.DUMMYFUNCTION("""COMPUTED_VALUE"""),"EATON")</f>
        <v>EATON</v>
      </c>
      <c r="F1054" s="593" t="str">
        <f>IFERROR(__xludf.DUMMYFUNCTION("""COMPUTED_VALUE"""),"POWER XPERT GATEWAY")</f>
        <v>POWER XPERT GATEWAY</v>
      </c>
      <c r="G1054" s="490"/>
      <c r="H1054" s="490"/>
      <c r="I1054" s="490"/>
      <c r="J1054" s="588"/>
      <c r="K1054" s="490"/>
      <c r="L1054" s="490"/>
      <c r="M1054" s="490"/>
      <c r="N1054" s="490"/>
      <c r="O1054" s="490"/>
      <c r="P1054" s="490" t="s">
        <v>9579</v>
      </c>
    </row>
    <row r="1055">
      <c r="A1055" s="490"/>
      <c r="B1055" s="490"/>
      <c r="C1055" s="490"/>
      <c r="D1055" s="490"/>
      <c r="E1055" s="593" t="str">
        <f>IFERROR(__xludf.DUMMYFUNCTION("""COMPUTED_VALUE"""),"EATON")</f>
        <v>EATON</v>
      </c>
      <c r="F1055" s="593" t="str">
        <f>IFERROR(__xludf.DUMMYFUNCTION("""COMPUTED_VALUE"""),"NETWORK MS")</f>
        <v>NETWORK MS</v>
      </c>
      <c r="G1055" s="490"/>
      <c r="H1055" s="490"/>
      <c r="I1055" s="490"/>
      <c r="J1055" s="588"/>
      <c r="K1055" s="490"/>
      <c r="L1055" s="490"/>
      <c r="M1055" s="490"/>
      <c r="N1055" s="490"/>
      <c r="O1055" s="490"/>
      <c r="P1055" s="490" t="s">
        <v>9582</v>
      </c>
    </row>
    <row r="1056">
      <c r="A1056" s="490"/>
      <c r="B1056" s="490"/>
      <c r="C1056" s="490"/>
      <c r="D1056" s="490"/>
      <c r="E1056" s="593" t="str">
        <f>IFERROR(__xludf.DUMMYFUNCTION("""COMPUTED_VALUE"""),"EATON")</f>
        <v>EATON</v>
      </c>
      <c r="F1056" s="593" t="str">
        <f>IFERROR(__xludf.DUMMYFUNCTION("""COMPUTED_VALUE"""),"INDGW-M2")</f>
        <v>INDGW-M2</v>
      </c>
      <c r="G1056" s="490"/>
      <c r="H1056" s="490"/>
      <c r="I1056" s="490"/>
      <c r="J1056" s="588"/>
      <c r="K1056" s="490"/>
      <c r="L1056" s="490"/>
      <c r="M1056" s="490"/>
      <c r="N1056" s="490"/>
      <c r="O1056" s="490"/>
      <c r="P1056" s="490" t="s">
        <v>9585</v>
      </c>
    </row>
    <row r="1057">
      <c r="A1057" s="490"/>
      <c r="B1057" s="490"/>
      <c r="C1057" s="490"/>
      <c r="D1057" s="490"/>
      <c r="E1057" s="593" t="str">
        <f>IFERROR(__xludf.DUMMYFUNCTION("""COMPUTED_VALUE"""),"EATON")</f>
        <v>EATON</v>
      </c>
      <c r="F1057" s="593" t="str">
        <f>IFERROR(__xludf.DUMMYFUNCTION("""COMPUTED_VALUE"""),"3S550")</f>
        <v>3S550</v>
      </c>
      <c r="G1057" s="490"/>
      <c r="H1057" s="490"/>
      <c r="I1057" s="490"/>
      <c r="J1057" s="588"/>
      <c r="K1057" s="490"/>
      <c r="L1057" s="490"/>
      <c r="M1057" s="490"/>
      <c r="N1057" s="490"/>
      <c r="O1057" s="490"/>
      <c r="P1057" s="490" t="s">
        <v>9588</v>
      </c>
    </row>
    <row r="1058">
      <c r="A1058" s="490"/>
      <c r="B1058" s="490"/>
      <c r="C1058" s="490"/>
      <c r="D1058" s="490"/>
      <c r="E1058" s="593" t="str">
        <f>IFERROR(__xludf.DUMMYFUNCTION("""COMPUTED_VALUE"""),"EATON")</f>
        <v>EATON</v>
      </c>
      <c r="F1058" s="593" t="str">
        <f>IFERROR(__xludf.DUMMYFUNCTION("""COMPUTED_VALUE"""),"POWER XPERT")</f>
        <v>POWER XPERT</v>
      </c>
      <c r="G1058" s="490"/>
      <c r="H1058" s="490"/>
      <c r="I1058" s="490"/>
      <c r="J1058" s="588"/>
      <c r="K1058" s="490"/>
      <c r="L1058" s="490"/>
      <c r="M1058" s="490"/>
      <c r="N1058" s="490"/>
      <c r="O1058" s="490"/>
      <c r="P1058" s="490" t="s">
        <v>9456</v>
      </c>
    </row>
    <row r="1059">
      <c r="A1059" s="490"/>
      <c r="B1059" s="490"/>
      <c r="C1059" s="490"/>
      <c r="D1059" s="490"/>
      <c r="E1059" s="593" t="str">
        <f>IFERROR(__xludf.DUMMYFUNCTION("""COMPUTED_VALUE"""),"EBM-PAPST")</f>
        <v>EBM-PAPST</v>
      </c>
      <c r="F1059" s="593" t="str">
        <f>IFERROR(__xludf.DUMMYFUNCTION("""COMPUTED_VALUE"""),"R3G630-RB32-03 FAN")</f>
        <v>R3G630-RB32-03 FAN</v>
      </c>
      <c r="G1059" s="490"/>
      <c r="H1059" s="490"/>
      <c r="I1059" s="490"/>
      <c r="J1059" s="588"/>
      <c r="K1059" s="490"/>
      <c r="L1059" s="490"/>
      <c r="M1059" s="490"/>
      <c r="N1059" s="490"/>
      <c r="O1059" s="490"/>
      <c r="P1059" s="490" t="s">
        <v>9591</v>
      </c>
    </row>
    <row r="1060">
      <c r="A1060" s="490"/>
      <c r="B1060" s="490"/>
      <c r="C1060" s="490"/>
      <c r="D1060" s="490"/>
      <c r="E1060" s="593" t="str">
        <f>IFERROR(__xludf.DUMMYFUNCTION("""COMPUTED_VALUE"""),"ECOLAB")</f>
        <v>ECOLAB</v>
      </c>
      <c r="F1060" s="593" t="str">
        <f>IFERROR(__xludf.DUMMYFUNCTION("""COMPUTED_VALUE"""),"3D TRASAR")</f>
        <v>3D TRASAR</v>
      </c>
      <c r="G1060" s="490"/>
      <c r="H1060" s="490"/>
      <c r="I1060" s="490"/>
      <c r="J1060" s="588"/>
      <c r="K1060" s="490"/>
      <c r="L1060" s="490"/>
      <c r="M1060" s="490"/>
      <c r="N1060" s="490"/>
      <c r="O1060" s="490"/>
      <c r="P1060" s="490" t="s">
        <v>9595</v>
      </c>
    </row>
    <row r="1061">
      <c r="A1061" s="490"/>
      <c r="B1061" s="490"/>
      <c r="C1061" s="490"/>
      <c r="D1061" s="490"/>
      <c r="E1061" s="593" t="str">
        <f>IFERROR(__xludf.DUMMYFUNCTION("""COMPUTED_VALUE"""),"EDINA")</f>
        <v>EDINA</v>
      </c>
      <c r="F1061" s="593" t="str">
        <f>IFERROR(__xludf.DUMMYFUNCTION("""COMPUTED_VALUE"""),"INTELLYSIS BOX")</f>
        <v>INTELLYSIS BOX</v>
      </c>
      <c r="G1061" s="490"/>
      <c r="H1061" s="490"/>
      <c r="I1061" s="490"/>
      <c r="J1061" s="588"/>
      <c r="K1061" s="490"/>
      <c r="L1061" s="490"/>
      <c r="M1061" s="490"/>
      <c r="N1061" s="490"/>
      <c r="O1061" s="490"/>
      <c r="P1061" s="490" t="s">
        <v>9598</v>
      </c>
    </row>
    <row r="1062">
      <c r="A1062" s="490"/>
      <c r="B1062" s="490"/>
      <c r="C1062" s="490"/>
      <c r="D1062" s="490"/>
      <c r="E1062" s="593" t="str">
        <f>IFERROR(__xludf.DUMMYFUNCTION("""COMPUTED_VALUE"""),"EDPAC")</f>
        <v>EDPAC</v>
      </c>
      <c r="F1062" s="593" t="str">
        <f>IFERROR(__xludf.DUMMYFUNCTION("""COMPUTED_VALUE"""),"E-20S")</f>
        <v>E-20S</v>
      </c>
      <c r="G1062" s="490"/>
      <c r="H1062" s="490"/>
      <c r="I1062" s="490"/>
      <c r="J1062" s="588"/>
      <c r="K1062" s="490"/>
      <c r="L1062" s="490"/>
      <c r="M1062" s="490"/>
      <c r="N1062" s="490"/>
      <c r="O1062" s="490"/>
      <c r="P1062" s="490" t="s">
        <v>9601</v>
      </c>
    </row>
    <row r="1063">
      <c r="A1063" s="490"/>
      <c r="B1063" s="490"/>
      <c r="C1063" s="490"/>
      <c r="D1063" s="490"/>
      <c r="E1063" s="593" t="str">
        <f>IFERROR(__xludf.DUMMYFUNCTION("""COMPUTED_VALUE"""),"EDPAC")</f>
        <v>EDPAC</v>
      </c>
      <c r="F1063" s="593" t="str">
        <f>IFERROR(__xludf.DUMMYFUNCTION("""COMPUTED_VALUE"""),"E-140S")</f>
        <v>E-140S</v>
      </c>
      <c r="G1063" s="490"/>
      <c r="H1063" s="490"/>
      <c r="I1063" s="490"/>
      <c r="J1063" s="588"/>
      <c r="K1063" s="490"/>
      <c r="L1063" s="490"/>
      <c r="M1063" s="490"/>
      <c r="N1063" s="490"/>
      <c r="O1063" s="490"/>
      <c r="P1063" s="490" t="s">
        <v>9604</v>
      </c>
    </row>
    <row r="1064">
      <c r="A1064" s="490"/>
      <c r="B1064" s="490"/>
      <c r="C1064" s="490"/>
      <c r="D1064" s="490"/>
      <c r="E1064" s="593" t="str">
        <f>IFERROR(__xludf.DUMMYFUNCTION("""COMPUTED_VALUE"""),"EDPAC")</f>
        <v>EDPAC</v>
      </c>
      <c r="F1064" s="593" t="str">
        <f>IFERROR(__xludf.DUMMYFUNCTION("""COMPUTED_VALUE"""),"E-30S")</f>
        <v>E-30S</v>
      </c>
      <c r="G1064" s="490"/>
      <c r="H1064" s="490"/>
      <c r="I1064" s="490"/>
      <c r="J1064" s="588"/>
      <c r="K1064" s="490"/>
      <c r="L1064" s="490"/>
      <c r="M1064" s="490"/>
      <c r="N1064" s="490"/>
      <c r="O1064" s="490"/>
      <c r="P1064" s="490" t="s">
        <v>9607</v>
      </c>
    </row>
    <row r="1065">
      <c r="A1065" s="490"/>
      <c r="B1065" s="490"/>
      <c r="C1065" s="490"/>
      <c r="D1065" s="490"/>
      <c r="E1065" s="593" t="str">
        <f>IFERROR(__xludf.DUMMYFUNCTION("""COMPUTED_VALUE"""),"EDPAC")</f>
        <v>EDPAC</v>
      </c>
      <c r="F1065" s="593" t="str">
        <f>IFERROR(__xludf.DUMMYFUNCTION("""COMPUTED_VALUE"""),"E-40S")</f>
        <v>E-40S</v>
      </c>
      <c r="G1065" s="490"/>
      <c r="H1065" s="490"/>
      <c r="I1065" s="490"/>
      <c r="J1065" s="588"/>
      <c r="K1065" s="490"/>
      <c r="L1065" s="490"/>
      <c r="M1065" s="490"/>
      <c r="N1065" s="490"/>
      <c r="O1065" s="490"/>
      <c r="P1065" s="490" t="s">
        <v>9610</v>
      </c>
    </row>
    <row r="1066">
      <c r="A1066" s="490"/>
      <c r="B1066" s="490"/>
      <c r="C1066" s="490"/>
      <c r="D1066" s="490"/>
      <c r="E1066" s="593" t="str">
        <f>IFERROR(__xludf.DUMMYFUNCTION("""COMPUTED_VALUE"""),"EDPAC")</f>
        <v>EDPAC</v>
      </c>
      <c r="F1066" s="593" t="str">
        <f>IFERROR(__xludf.DUMMYFUNCTION("""COMPUTED_VALUE"""),"E-105S")</f>
        <v>E-105S</v>
      </c>
      <c r="G1066" s="490"/>
      <c r="H1066" s="490"/>
      <c r="I1066" s="490"/>
      <c r="J1066" s="588"/>
      <c r="K1066" s="490"/>
      <c r="L1066" s="490"/>
      <c r="M1066" s="490"/>
      <c r="N1066" s="490"/>
      <c r="O1066" s="490"/>
      <c r="P1066" s="490" t="s">
        <v>9613</v>
      </c>
    </row>
    <row r="1067">
      <c r="A1067" s="490"/>
      <c r="B1067" s="490"/>
      <c r="C1067" s="490"/>
      <c r="D1067" s="490"/>
      <c r="E1067" s="593" t="str">
        <f>IFERROR(__xludf.DUMMYFUNCTION("""COMPUTED_VALUE"""),"EDPAC")</f>
        <v>EDPAC</v>
      </c>
      <c r="F1067" s="593" t="str">
        <f>IFERROR(__xludf.DUMMYFUNCTION("""COMPUTED_VALUE"""),"E-10S")</f>
        <v>E-10S</v>
      </c>
      <c r="G1067" s="490"/>
      <c r="H1067" s="490"/>
      <c r="I1067" s="490"/>
      <c r="J1067" s="588"/>
      <c r="K1067" s="490"/>
      <c r="L1067" s="490"/>
      <c r="M1067" s="490"/>
      <c r="N1067" s="490"/>
      <c r="O1067" s="490"/>
      <c r="P1067" s="490" t="s">
        <v>9616</v>
      </c>
    </row>
    <row r="1068">
      <c r="A1068" s="490"/>
      <c r="B1068" s="490"/>
      <c r="C1068" s="490"/>
      <c r="D1068" s="490"/>
      <c r="E1068" s="593" t="str">
        <f>IFERROR(__xludf.DUMMYFUNCTION("""COMPUTED_VALUE"""),"EDWARDS (UTC)")</f>
        <v>EDWARDS (UTC)</v>
      </c>
      <c r="F1068" s="593" t="str">
        <f>IFERROR(__xludf.DUMMYFUNCTION("""COMPUTED_VALUE"""),"EST 3")</f>
        <v>EST 3</v>
      </c>
      <c r="G1068" s="490"/>
      <c r="H1068" s="490"/>
      <c r="I1068" s="490"/>
      <c r="J1068" s="588"/>
      <c r="K1068" s="490"/>
      <c r="L1068" s="490"/>
      <c r="M1068" s="490"/>
      <c r="N1068" s="490"/>
      <c r="O1068" s="490"/>
      <c r="P1068" s="490" t="s">
        <v>9619</v>
      </c>
    </row>
    <row r="1069">
      <c r="A1069" s="490"/>
      <c r="B1069" s="490"/>
      <c r="C1069" s="490"/>
      <c r="D1069" s="490"/>
      <c r="E1069" s="593" t="str">
        <f>IFERROR(__xludf.DUMMYFUNCTION("""COMPUTED_VALUE"""),"EDWARDS (UTC)")</f>
        <v>EDWARDS (UTC)</v>
      </c>
      <c r="F1069" s="593" t="str">
        <f>IFERROR(__xludf.DUMMYFUNCTION("""COMPUTED_VALUE"""),"PROTONODE")</f>
        <v>PROTONODE</v>
      </c>
      <c r="G1069" s="490"/>
      <c r="H1069" s="490"/>
      <c r="I1069" s="490"/>
      <c r="J1069" s="588"/>
      <c r="K1069" s="490"/>
      <c r="L1069" s="490"/>
      <c r="M1069" s="490"/>
      <c r="N1069" s="490"/>
      <c r="O1069" s="490"/>
      <c r="P1069" s="490" t="s">
        <v>9459</v>
      </c>
    </row>
    <row r="1070">
      <c r="A1070" s="490"/>
      <c r="B1070" s="490"/>
      <c r="C1070" s="490"/>
      <c r="D1070" s="490"/>
      <c r="E1070" s="593" t="str">
        <f>IFERROR(__xludf.DUMMYFUNCTION("""COMPUTED_VALUE"""),"EEMAX")</f>
        <v>EEMAX</v>
      </c>
      <c r="F1070" s="593" t="str">
        <f>IFERROR(__xludf.DUMMYFUNCTION("""COMPUTED_VALUE"""),"ACCUMIX II")</f>
        <v>ACCUMIX II</v>
      </c>
      <c r="G1070" s="490"/>
      <c r="H1070" s="490"/>
      <c r="I1070" s="490"/>
      <c r="J1070" s="588"/>
      <c r="K1070" s="490"/>
      <c r="L1070" s="490"/>
      <c r="M1070" s="490"/>
      <c r="N1070" s="490"/>
      <c r="O1070" s="490"/>
      <c r="P1070" s="490" t="s">
        <v>9622</v>
      </c>
    </row>
    <row r="1071">
      <c r="A1071" s="490"/>
      <c r="B1071" s="490"/>
      <c r="C1071" s="490"/>
      <c r="D1071" s="490"/>
      <c r="E1071" s="593" t="str">
        <f>IFERROR(__xludf.DUMMYFUNCTION("""COMPUTED_VALUE"""),"EGRO")</f>
        <v>EGRO</v>
      </c>
      <c r="F1071" s="593" t="str">
        <f>IFERROR(__xludf.DUMMYFUNCTION("""COMPUTED_VALUE"""),"NEXT QUICK MILK")</f>
        <v>NEXT QUICK MILK</v>
      </c>
      <c r="G1071" s="490"/>
      <c r="H1071" s="490"/>
      <c r="I1071" s="490"/>
      <c r="J1071" s="588"/>
      <c r="K1071" s="490"/>
      <c r="L1071" s="490"/>
      <c r="M1071" s="490"/>
      <c r="N1071" s="490"/>
      <c r="O1071" s="490"/>
      <c r="P1071" s="490" t="s">
        <v>9625</v>
      </c>
    </row>
    <row r="1072">
      <c r="A1072" s="490"/>
      <c r="B1072" s="490"/>
      <c r="C1072" s="490"/>
      <c r="D1072" s="490"/>
      <c r="E1072" s="593" t="str">
        <f>IFERROR(__xludf.DUMMYFUNCTION("""COMPUTED_VALUE"""),"EGRO")</f>
        <v>EGRO</v>
      </c>
      <c r="F1072" s="593" t="str">
        <f>IFERROR(__xludf.DUMMYFUNCTION("""COMPUTED_VALUE"""),"NEXT QUICK MILK")</f>
        <v>NEXT QUICK MILK</v>
      </c>
      <c r="G1072" s="490"/>
      <c r="H1072" s="490"/>
      <c r="I1072" s="490"/>
      <c r="J1072" s="588"/>
      <c r="K1072" s="490"/>
      <c r="L1072" s="490"/>
      <c r="M1072" s="490"/>
      <c r="N1072" s="490"/>
      <c r="O1072" s="490"/>
      <c r="P1072" s="490" t="s">
        <v>9628</v>
      </c>
    </row>
    <row r="1073">
      <c r="A1073" s="490"/>
      <c r="B1073" s="490"/>
      <c r="C1073" s="490"/>
      <c r="D1073" s="490"/>
      <c r="E1073" s="593" t="str">
        <f>IFERROR(__xludf.DUMMYFUNCTION("""COMPUTED_VALUE"""),"EIJSINK")</f>
        <v>EIJSINK</v>
      </c>
      <c r="F1073" s="593" t="str">
        <f>IFERROR(__xludf.DUMMYFUNCTION("""COMPUTED_VALUE"""),"TIME ATTENDANCE")</f>
        <v>TIME ATTENDANCE</v>
      </c>
      <c r="G1073" s="490"/>
      <c r="H1073" s="490"/>
      <c r="I1073" s="490"/>
      <c r="J1073" s="588"/>
      <c r="K1073" s="490"/>
      <c r="L1073" s="490"/>
      <c r="M1073" s="490"/>
      <c r="N1073" s="490"/>
      <c r="O1073" s="490"/>
      <c r="P1073" s="490" t="s">
        <v>9631</v>
      </c>
    </row>
    <row r="1074">
      <c r="A1074" s="490"/>
      <c r="B1074" s="490"/>
      <c r="C1074" s="490"/>
      <c r="D1074" s="490"/>
      <c r="E1074" s="593" t="str">
        <f>IFERROR(__xludf.DUMMYFUNCTION("""COMPUTED_VALUE"""),"EIRCOM")</f>
        <v>EIRCOM</v>
      </c>
      <c r="F1074" s="593" t="str">
        <f>IFERROR(__xludf.DUMMYFUNCTION("""COMPUTED_VALUE"""),"EIRCOM")</f>
        <v>EIRCOM</v>
      </c>
      <c r="G1074" s="490"/>
      <c r="H1074" s="490"/>
      <c r="I1074" s="490"/>
      <c r="J1074" s="588"/>
      <c r="K1074" s="490"/>
      <c r="L1074" s="490"/>
      <c r="M1074" s="490"/>
      <c r="N1074" s="490"/>
      <c r="O1074" s="490"/>
      <c r="P1074" s="490" t="s">
        <v>9634</v>
      </c>
    </row>
    <row r="1075">
      <c r="A1075" s="490"/>
      <c r="B1075" s="490"/>
      <c r="C1075" s="490"/>
      <c r="D1075" s="490"/>
      <c r="E1075" s="593" t="str">
        <f>IFERROR(__xludf.DUMMYFUNCTION("""COMPUTED_VALUE"""),"EL-PIAST")</f>
        <v>EL-PIAST</v>
      </c>
      <c r="F1075" s="593" t="str">
        <f>IFERROR(__xludf.DUMMYFUNCTION("""COMPUTED_VALUE"""),"ELP11R32L")</f>
        <v>ELP11R32L</v>
      </c>
      <c r="G1075" s="490"/>
      <c r="H1075" s="490"/>
      <c r="I1075" s="490"/>
      <c r="J1075" s="588"/>
      <c r="K1075" s="490"/>
      <c r="L1075" s="490"/>
      <c r="M1075" s="490"/>
      <c r="N1075" s="490"/>
      <c r="O1075" s="490"/>
      <c r="P1075" s="490" t="s">
        <v>9637</v>
      </c>
    </row>
    <row r="1076">
      <c r="A1076" s="490"/>
      <c r="B1076" s="490"/>
      <c r="C1076" s="490"/>
      <c r="D1076" s="490"/>
      <c r="E1076" s="593" t="str">
        <f>IFERROR(__xludf.DUMMYFUNCTION("""COMPUTED_VALUE"""),"ELECOM")</f>
        <v>ELECOM</v>
      </c>
      <c r="F1076" s="593" t="str">
        <f>IFERROR(__xludf.DUMMYFUNCTION("""COMPUTED_VALUE"""),"EHC-F05PA-W")</f>
        <v>EHC-F05PA-W</v>
      </c>
      <c r="G1076" s="490"/>
      <c r="H1076" s="490"/>
      <c r="I1076" s="490"/>
      <c r="J1076" s="588"/>
      <c r="K1076" s="490"/>
      <c r="L1076" s="490"/>
      <c r="M1076" s="490"/>
      <c r="N1076" s="490"/>
      <c r="O1076" s="490"/>
      <c r="P1076" s="490" t="s">
        <v>9640</v>
      </c>
    </row>
    <row r="1077">
      <c r="A1077" s="490"/>
      <c r="B1077" s="490"/>
      <c r="C1077" s="490"/>
      <c r="D1077" s="490"/>
      <c r="E1077" s="593" t="str">
        <f>IFERROR(__xludf.DUMMYFUNCTION("""COMPUTED_VALUE"""),"ELITE GROUP")</f>
        <v>ELITE GROUP</v>
      </c>
      <c r="F1077" s="593" t="str">
        <f>IFERROR(__xludf.DUMMYFUNCTION("""COMPUTED_VALUE"""),"NOT VERIFIED")</f>
        <v>NOT VERIFIED</v>
      </c>
      <c r="G1077" s="490"/>
      <c r="H1077" s="490"/>
      <c r="I1077" s="490"/>
      <c r="J1077" s="588"/>
      <c r="K1077" s="490"/>
      <c r="L1077" s="490"/>
      <c r="M1077" s="490"/>
      <c r="N1077" s="490"/>
      <c r="O1077" s="490"/>
      <c r="P1077" s="490" t="s">
        <v>9643</v>
      </c>
    </row>
    <row r="1078">
      <c r="A1078" s="490"/>
      <c r="B1078" s="490"/>
      <c r="C1078" s="490"/>
      <c r="D1078" s="490"/>
      <c r="E1078" s="593" t="str">
        <f>IFERROR(__xludf.DUMMYFUNCTION("""COMPUTED_VALUE"""),"ELKAY")</f>
        <v>ELKAY</v>
      </c>
      <c r="F1078" s="593" t="str">
        <f>IFERROR(__xludf.DUMMYFUNCTION("""COMPUTED_VALUE"""),"G529")</f>
        <v>G529</v>
      </c>
      <c r="G1078" s="490"/>
      <c r="H1078" s="490"/>
      <c r="I1078" s="490"/>
      <c r="J1078" s="588"/>
      <c r="K1078" s="490"/>
      <c r="L1078" s="490"/>
      <c r="M1078" s="490"/>
      <c r="N1078" s="490"/>
      <c r="O1078" s="490"/>
      <c r="P1078" s="490" t="s">
        <v>9646</v>
      </c>
    </row>
    <row r="1079">
      <c r="A1079" s="490"/>
      <c r="B1079" s="490"/>
      <c r="C1079" s="490"/>
      <c r="D1079" s="490"/>
      <c r="E1079" s="593" t="str">
        <f>IFERROR(__xludf.DUMMYFUNCTION("""COMPUTED_VALUE"""),"ELKAY")</f>
        <v>ELKAY</v>
      </c>
      <c r="F1079" s="593" t="str">
        <f>IFERROR(__xludf.DUMMYFUNCTION("""COMPUTED_VALUE"""),"G529")</f>
        <v>G529</v>
      </c>
      <c r="G1079" s="490"/>
      <c r="H1079" s="490"/>
      <c r="I1079" s="490"/>
      <c r="J1079" s="588"/>
      <c r="K1079" s="490"/>
      <c r="L1079" s="490"/>
      <c r="M1079" s="490"/>
      <c r="N1079" s="490"/>
      <c r="O1079" s="490"/>
      <c r="P1079" s="490" t="s">
        <v>9649</v>
      </c>
    </row>
    <row r="1080">
      <c r="A1080" s="490"/>
      <c r="B1080" s="490"/>
      <c r="C1080" s="490"/>
      <c r="D1080" s="490"/>
      <c r="E1080" s="593" t="str">
        <f>IFERROR(__xludf.DUMMYFUNCTION("""COMPUTED_VALUE"""),"ELKAY")</f>
        <v>ELKAY</v>
      </c>
      <c r="F1080" s="593" t="str">
        <f>IFERROR(__xludf.DUMMYFUNCTION("""COMPUTED_VALUE"""),"SMARTWELL")</f>
        <v>SMARTWELL</v>
      </c>
      <c r="G1080" s="490"/>
      <c r="H1080" s="490"/>
      <c r="I1080" s="490"/>
      <c r="J1080" s="588"/>
      <c r="K1080" s="490"/>
      <c r="L1080" s="490"/>
      <c r="M1080" s="490"/>
      <c r="N1080" s="490"/>
      <c r="O1080" s="490"/>
      <c r="P1080" s="490" t="s">
        <v>9462</v>
      </c>
    </row>
    <row r="1081">
      <c r="A1081" s="490"/>
      <c r="B1081" s="490"/>
      <c r="C1081" s="490"/>
      <c r="D1081" s="490"/>
      <c r="E1081" s="593" t="str">
        <f>IFERROR(__xludf.DUMMYFUNCTION("""COMPUTED_VALUE"""),"ELKAY")</f>
        <v>ELKAY</v>
      </c>
      <c r="F1081" s="593" t="str">
        <f>IFERROR(__xludf.DUMMYFUNCTION("""COMPUTED_VALUE"""),"SMARTWELL")</f>
        <v>SMARTWELL</v>
      </c>
      <c r="G1081" s="490"/>
      <c r="H1081" s="490"/>
      <c r="I1081" s="490"/>
      <c r="J1081" s="588"/>
      <c r="K1081" s="490"/>
      <c r="L1081" s="490"/>
      <c r="M1081" s="490"/>
      <c r="N1081" s="490"/>
      <c r="O1081" s="490"/>
      <c r="P1081" s="490" t="s">
        <v>9652</v>
      </c>
    </row>
    <row r="1082">
      <c r="A1082" s="490"/>
      <c r="B1082" s="490"/>
      <c r="C1082" s="490"/>
      <c r="D1082" s="490"/>
      <c r="E1082" s="593" t="str">
        <f>IFERROR(__xludf.DUMMYFUNCTION("""COMPUTED_VALUE"""),"ELKAY")</f>
        <v>ELKAY</v>
      </c>
      <c r="F1082" s="593" t="str">
        <f>IFERROR(__xludf.DUMMYFUNCTION("""COMPUTED_VALUE"""),"SMARTWELL")</f>
        <v>SMARTWELL</v>
      </c>
      <c r="G1082" s="490"/>
      <c r="H1082" s="490"/>
      <c r="I1082" s="490"/>
      <c r="J1082" s="588"/>
      <c r="K1082" s="490"/>
      <c r="L1082" s="490"/>
      <c r="M1082" s="490"/>
      <c r="N1082" s="490"/>
      <c r="O1082" s="490"/>
      <c r="P1082" s="490" t="s">
        <v>9655</v>
      </c>
    </row>
    <row r="1083">
      <c r="A1083" s="490"/>
      <c r="B1083" s="490"/>
      <c r="C1083" s="490"/>
      <c r="D1083" s="490"/>
      <c r="E1083" s="593" t="str">
        <f>IFERROR(__xludf.DUMMYFUNCTION("""COMPUTED_VALUE"""),"ELMEASURE")</f>
        <v>ELMEASURE</v>
      </c>
      <c r="F1083" s="593" t="str">
        <f>IFERROR(__xludf.DUMMYFUNCTION("""COMPUTED_VALUE"""),"EN8400")</f>
        <v>EN8400</v>
      </c>
      <c r="G1083" s="490"/>
      <c r="H1083" s="490"/>
      <c r="I1083" s="490"/>
      <c r="J1083" s="588"/>
      <c r="K1083" s="490"/>
      <c r="L1083" s="490"/>
      <c r="M1083" s="490"/>
      <c r="N1083" s="490"/>
      <c r="O1083" s="490"/>
      <c r="P1083" s="490" t="s">
        <v>9658</v>
      </c>
    </row>
    <row r="1084">
      <c r="A1084" s="490"/>
      <c r="B1084" s="490"/>
      <c r="C1084" s="490"/>
      <c r="D1084" s="490"/>
      <c r="E1084" s="593" t="str">
        <f>IFERROR(__xludf.DUMMYFUNCTION("""COMPUTED_VALUE"""),"ELMEASURE")</f>
        <v>ELMEASURE</v>
      </c>
      <c r="F1084" s="593" t="str">
        <f>IFERROR(__xludf.DUMMYFUNCTION("""COMPUTED_VALUE"""),"LG+5310")</f>
        <v>LG+5310</v>
      </c>
      <c r="G1084" s="490"/>
      <c r="H1084" s="490"/>
      <c r="I1084" s="490"/>
      <c r="J1084" s="588"/>
      <c r="K1084" s="490"/>
      <c r="L1084" s="490"/>
      <c r="M1084" s="490"/>
      <c r="N1084" s="490"/>
      <c r="O1084" s="490"/>
      <c r="P1084" s="490" t="s">
        <v>9661</v>
      </c>
    </row>
    <row r="1085">
      <c r="A1085" s="490"/>
      <c r="B1085" s="490"/>
      <c r="C1085" s="490"/>
      <c r="D1085" s="490"/>
      <c r="E1085" s="593" t="str">
        <f>IFERROR(__xludf.DUMMYFUNCTION("""COMPUTED_VALUE"""),"ELMEASURE")</f>
        <v>ELMEASURE</v>
      </c>
      <c r="F1085" s="593" t="str">
        <f>IFERROR(__xludf.DUMMYFUNCTION("""COMPUTED_VALUE"""),"LG6430")</f>
        <v>LG6430</v>
      </c>
      <c r="G1085" s="490"/>
      <c r="H1085" s="490"/>
      <c r="I1085" s="490"/>
      <c r="J1085" s="588"/>
      <c r="K1085" s="490"/>
      <c r="L1085" s="490"/>
      <c r="M1085" s="490"/>
      <c r="N1085" s="490"/>
      <c r="O1085" s="490"/>
      <c r="P1085" s="490" t="s">
        <v>9664</v>
      </c>
    </row>
    <row r="1086">
      <c r="A1086" s="490"/>
      <c r="B1086" s="490"/>
      <c r="C1086" s="490"/>
      <c r="D1086" s="490"/>
      <c r="E1086" s="593" t="str">
        <f>IFERROR(__xludf.DUMMYFUNCTION("""COMPUTED_VALUE"""),"ELMEASURE")</f>
        <v>ELMEASURE</v>
      </c>
      <c r="F1086" s="593" t="str">
        <f>IFERROR(__xludf.DUMMYFUNCTION("""COMPUTED_VALUE"""),"LG6400")</f>
        <v>LG6400</v>
      </c>
      <c r="G1086" s="490"/>
      <c r="H1086" s="490"/>
      <c r="I1086" s="490"/>
      <c r="J1086" s="588"/>
      <c r="K1086" s="490"/>
      <c r="L1086" s="490"/>
      <c r="M1086" s="490"/>
      <c r="N1086" s="490"/>
      <c r="O1086" s="490"/>
      <c r="P1086" s="490" t="s">
        <v>9667</v>
      </c>
    </row>
    <row r="1087">
      <c r="A1087" s="490"/>
      <c r="B1087" s="490"/>
      <c r="C1087" s="490"/>
      <c r="D1087" s="490"/>
      <c r="E1087" s="593" t="str">
        <f>IFERROR(__xludf.DUMMYFUNCTION("""COMPUTED_VALUE"""),"ELMEASURE")</f>
        <v>ELMEASURE</v>
      </c>
      <c r="F1087" s="593" t="str">
        <f>IFERROR(__xludf.DUMMYFUNCTION("""COMPUTED_VALUE"""),"LG6435")</f>
        <v>LG6435</v>
      </c>
      <c r="G1087" s="490"/>
      <c r="H1087" s="490"/>
      <c r="I1087" s="490"/>
      <c r="J1087" s="588"/>
      <c r="K1087" s="490"/>
      <c r="L1087" s="490"/>
      <c r="M1087" s="490"/>
      <c r="N1087" s="490"/>
      <c r="O1087" s="490"/>
      <c r="P1087" s="490" t="s">
        <v>9670</v>
      </c>
    </row>
    <row r="1088">
      <c r="A1088" s="490"/>
      <c r="B1088" s="490"/>
      <c r="C1088" s="490"/>
      <c r="D1088" s="490"/>
      <c r="E1088" s="593" t="str">
        <f>IFERROR(__xludf.DUMMYFUNCTION("""COMPUTED_VALUE"""),"ELMEASURE")</f>
        <v>ELMEASURE</v>
      </c>
      <c r="F1088" s="593" t="str">
        <f>IFERROR(__xludf.DUMMYFUNCTION("""COMPUTED_VALUE"""),"EN8420N")</f>
        <v>EN8420N</v>
      </c>
      <c r="G1088" s="490"/>
      <c r="H1088" s="490"/>
      <c r="I1088" s="490"/>
      <c r="J1088" s="588"/>
      <c r="K1088" s="490"/>
      <c r="L1088" s="490"/>
      <c r="M1088" s="490"/>
      <c r="N1088" s="490"/>
      <c r="O1088" s="490"/>
      <c r="P1088" s="490" t="s">
        <v>9673</v>
      </c>
    </row>
    <row r="1089">
      <c r="A1089" s="490"/>
      <c r="B1089" s="490"/>
      <c r="C1089" s="490"/>
      <c r="D1089" s="490"/>
      <c r="E1089" s="593" t="str">
        <f>IFERROR(__xludf.DUMMYFUNCTION("""COMPUTED_VALUE"""),"ELMEASURE")</f>
        <v>ELMEASURE</v>
      </c>
      <c r="F1089" s="593" t="str">
        <f>IFERROR(__xludf.DUMMYFUNCTION("""COMPUTED_VALUE"""),"LG 5120")</f>
        <v>LG 5120</v>
      </c>
      <c r="G1089" s="490"/>
      <c r="H1089" s="490"/>
      <c r="I1089" s="490"/>
      <c r="J1089" s="588"/>
      <c r="K1089" s="490"/>
      <c r="L1089" s="490"/>
      <c r="M1089" s="490"/>
      <c r="N1089" s="490"/>
      <c r="O1089" s="490"/>
      <c r="P1089" s="490" t="s">
        <v>9676</v>
      </c>
    </row>
    <row r="1090">
      <c r="A1090" s="490"/>
      <c r="B1090" s="490"/>
      <c r="C1090" s="490"/>
      <c r="D1090" s="490"/>
      <c r="E1090" s="593" t="str">
        <f>IFERROR(__xludf.DUMMYFUNCTION("""COMPUTED_VALUE"""),"ELMEASURE")</f>
        <v>ELMEASURE</v>
      </c>
      <c r="F1090" s="593" t="str">
        <f>IFERROR(__xludf.DUMMYFUNCTION("""COMPUTED_VALUE"""),"LG 1119")</f>
        <v>LG 1119</v>
      </c>
      <c r="G1090" s="490"/>
      <c r="H1090" s="490"/>
      <c r="I1090" s="490"/>
      <c r="J1090" s="588"/>
      <c r="K1090" s="490"/>
      <c r="L1090" s="490"/>
      <c r="M1090" s="490"/>
      <c r="N1090" s="490"/>
      <c r="O1090" s="490"/>
      <c r="P1090" s="490" t="s">
        <v>9679</v>
      </c>
    </row>
    <row r="1091">
      <c r="A1091" s="490"/>
      <c r="B1091" s="490"/>
      <c r="C1091" s="490"/>
      <c r="D1091" s="490"/>
      <c r="E1091" s="593" t="str">
        <f>IFERROR(__xludf.DUMMYFUNCTION("""COMPUTED_VALUE"""),"ELMEASURE")</f>
        <v>ELMEASURE</v>
      </c>
      <c r="F1091" s="593" t="str">
        <f>IFERROR(__xludf.DUMMYFUNCTION("""COMPUTED_VALUE"""),"EN 8420")</f>
        <v>EN 8420</v>
      </c>
      <c r="G1091" s="490"/>
      <c r="H1091" s="490"/>
      <c r="I1091" s="490"/>
      <c r="J1091" s="588"/>
      <c r="K1091" s="490"/>
      <c r="L1091" s="490"/>
      <c r="M1091" s="490"/>
      <c r="N1091" s="490"/>
      <c r="O1091" s="490"/>
      <c r="P1091" s="490" t="s">
        <v>9465</v>
      </c>
    </row>
    <row r="1092">
      <c r="A1092" s="490"/>
      <c r="B1092" s="490"/>
      <c r="C1092" s="490"/>
      <c r="D1092" s="490"/>
      <c r="E1092" s="593" t="str">
        <f>IFERROR(__xludf.DUMMYFUNCTION("""COMPUTED_VALUE"""),"ELMEASURE")</f>
        <v>ELMEASURE</v>
      </c>
      <c r="F1092" s="593" t="str">
        <f>IFERROR(__xludf.DUMMYFUNCTION("""COMPUTED_VALUE"""),"LG2520")</f>
        <v>LG2520</v>
      </c>
      <c r="G1092" s="490"/>
      <c r="H1092" s="490"/>
      <c r="I1092" s="490"/>
      <c r="J1092" s="588"/>
      <c r="K1092" s="490"/>
      <c r="L1092" s="490"/>
      <c r="M1092" s="490"/>
      <c r="N1092" s="490"/>
      <c r="O1092" s="490"/>
      <c r="P1092" s="490" t="s">
        <v>9683</v>
      </c>
    </row>
    <row r="1093">
      <c r="A1093" s="490"/>
      <c r="B1093" s="490"/>
      <c r="C1093" s="490"/>
      <c r="D1093" s="490"/>
      <c r="E1093" s="593" t="str">
        <f>IFERROR(__xludf.DUMMYFUNCTION("""COMPUTED_VALUE"""),"ELNET")</f>
        <v>ELNET</v>
      </c>
      <c r="F1093" s="593" t="str">
        <f>IFERROR(__xludf.DUMMYFUNCTION("""COMPUTED_VALUE"""),"ENERGY &amp; POWER METER")</f>
        <v>ENERGY &amp; POWER METER</v>
      </c>
      <c r="G1093" s="490"/>
      <c r="H1093" s="490"/>
      <c r="I1093" s="490"/>
      <c r="J1093" s="588"/>
      <c r="K1093" s="490"/>
      <c r="L1093" s="490"/>
      <c r="M1093" s="490"/>
      <c r="N1093" s="490"/>
      <c r="O1093" s="490"/>
      <c r="P1093" s="490" t="s">
        <v>9686</v>
      </c>
    </row>
    <row r="1094">
      <c r="A1094" s="490"/>
      <c r="B1094" s="490"/>
      <c r="C1094" s="490"/>
      <c r="D1094" s="490"/>
      <c r="E1094" s="593" t="str">
        <f>IFERROR(__xludf.DUMMYFUNCTION("""COMPUTED_VALUE"""),"ELO")</f>
        <v>ELO</v>
      </c>
      <c r="F1094" s="593" t="str">
        <f>IFERROR(__xludf.DUMMYFUNCTION("""COMPUTED_VALUE"""),"TOUCH SOLUTION")</f>
        <v>TOUCH SOLUTION</v>
      </c>
      <c r="G1094" s="490"/>
      <c r="H1094" s="490"/>
      <c r="I1094" s="490"/>
      <c r="J1094" s="588"/>
      <c r="K1094" s="490"/>
      <c r="L1094" s="490"/>
      <c r="M1094" s="490"/>
      <c r="N1094" s="490"/>
      <c r="O1094" s="490"/>
      <c r="P1094" s="490" t="s">
        <v>9689</v>
      </c>
    </row>
    <row r="1095">
      <c r="A1095" s="490"/>
      <c r="B1095" s="490"/>
      <c r="C1095" s="490"/>
      <c r="D1095" s="490"/>
      <c r="E1095" s="593" t="str">
        <f>IFERROR(__xludf.DUMMYFUNCTION("""COMPUTED_VALUE"""),"ELO")</f>
        <v>ELO</v>
      </c>
      <c r="F1095" s="593" t="str">
        <f>IFERROR(__xludf.DUMMYFUNCTION("""COMPUTED_VALUE"""),"I-SERIES 4 15 INCH")</f>
        <v>I-SERIES 4 15 INCH</v>
      </c>
      <c r="G1095" s="490"/>
      <c r="H1095" s="490"/>
      <c r="I1095" s="490"/>
      <c r="J1095" s="588"/>
      <c r="K1095" s="490"/>
      <c r="L1095" s="490"/>
      <c r="M1095" s="490"/>
      <c r="N1095" s="490"/>
      <c r="O1095" s="490"/>
      <c r="P1095" s="490" t="s">
        <v>9692</v>
      </c>
    </row>
    <row r="1096">
      <c r="A1096" s="490"/>
      <c r="B1096" s="490"/>
      <c r="C1096" s="490"/>
      <c r="D1096" s="490"/>
      <c r="E1096" s="593" t="str">
        <f>IFERROR(__xludf.DUMMYFUNCTION("""COMPUTED_VALUE"""),"ELO")</f>
        <v>ELO</v>
      </c>
      <c r="F1096" s="593" t="str">
        <f>IFERROR(__xludf.DUMMYFUNCTION("""COMPUTED_VALUE"""),"I-SERIES 4 22 INCH")</f>
        <v>I-SERIES 4 22 INCH</v>
      </c>
      <c r="G1096" s="490"/>
      <c r="H1096" s="490"/>
      <c r="I1096" s="490"/>
      <c r="J1096" s="588"/>
      <c r="K1096" s="490"/>
      <c r="L1096" s="490"/>
      <c r="M1096" s="490"/>
      <c r="N1096" s="490"/>
      <c r="O1096" s="490"/>
      <c r="P1096" s="490" t="s">
        <v>9695</v>
      </c>
    </row>
    <row r="1097">
      <c r="A1097" s="490"/>
      <c r="B1097" s="490"/>
      <c r="C1097" s="490"/>
      <c r="D1097" s="490"/>
      <c r="E1097" s="593" t="str">
        <f>IFERROR(__xludf.DUMMYFUNCTION("""COMPUTED_VALUE"""),"ELOMA")</f>
        <v>ELOMA</v>
      </c>
      <c r="F1097" s="593" t="str">
        <f>IFERROR(__xludf.DUMMYFUNCTION("""COMPUTED_VALUE"""),"GENIUSMT")</f>
        <v>GENIUSMT</v>
      </c>
      <c r="G1097" s="490"/>
      <c r="H1097" s="490"/>
      <c r="I1097" s="490"/>
      <c r="J1097" s="588"/>
      <c r="K1097" s="490"/>
      <c r="L1097" s="490"/>
      <c r="M1097" s="490"/>
      <c r="N1097" s="490"/>
      <c r="O1097" s="490"/>
      <c r="P1097" s="490" t="s">
        <v>9698</v>
      </c>
    </row>
    <row r="1098">
      <c r="A1098" s="490"/>
      <c r="B1098" s="490"/>
      <c r="C1098" s="490"/>
      <c r="D1098" s="490"/>
      <c r="E1098" s="593" t="str">
        <f>IFERROR(__xludf.DUMMYFUNCTION("""COMPUTED_VALUE"""),"ELSA SYSTEMS")</f>
        <v>ELSA SYSTEMS</v>
      </c>
      <c r="F1098" s="593" t="str">
        <f>IFERROR(__xludf.DUMMYFUNCTION("""COMPUTED_VALUE"""),"3L-SP")</f>
        <v>3L-SP</v>
      </c>
      <c r="G1098" s="490"/>
      <c r="H1098" s="490"/>
      <c r="I1098" s="490"/>
      <c r="J1098" s="588"/>
      <c r="K1098" s="490"/>
      <c r="L1098" s="490"/>
      <c r="M1098" s="490"/>
      <c r="N1098" s="490"/>
      <c r="O1098" s="490"/>
      <c r="P1098" s="490" t="s">
        <v>9701</v>
      </c>
    </row>
    <row r="1099">
      <c r="A1099" s="490"/>
      <c r="B1099" s="490"/>
      <c r="C1099" s="490"/>
      <c r="D1099" s="490"/>
      <c r="E1099" s="593" t="str">
        <f>IFERROR(__xludf.DUMMYFUNCTION("""COMPUTED_VALUE"""),"EMBEDIA")</f>
        <v>EMBEDIA</v>
      </c>
      <c r="F1099" s="593" t="str">
        <f>IFERROR(__xludf.DUMMYFUNCTION("""COMPUTED_VALUE"""),"SOLARAI CONTROL POINT")</f>
        <v>SOLARAI CONTROL POINT</v>
      </c>
      <c r="G1099" s="490"/>
      <c r="H1099" s="490"/>
      <c r="I1099" s="490"/>
      <c r="J1099" s="588"/>
      <c r="K1099" s="490"/>
      <c r="L1099" s="490"/>
      <c r="M1099" s="490"/>
      <c r="N1099" s="490"/>
      <c r="O1099" s="490"/>
      <c r="P1099" s="490" t="s">
        <v>9704</v>
      </c>
    </row>
    <row r="1100">
      <c r="A1100" s="490"/>
      <c r="B1100" s="490"/>
      <c r="C1100" s="490"/>
      <c r="D1100" s="490"/>
      <c r="E1100" s="593" t="str">
        <f>IFERROR(__xludf.DUMMYFUNCTION("""COMPUTED_VALUE"""),"EMCO ELECTRONICS")</f>
        <v>EMCO ELECTRONICS</v>
      </c>
      <c r="F1100" s="593" t="str">
        <f>IFERROR(__xludf.DUMMYFUNCTION("""COMPUTED_VALUE"""),"EE-303C")</f>
        <v>EE-303C</v>
      </c>
      <c r="G1100" s="490"/>
      <c r="H1100" s="490"/>
      <c r="I1100" s="490"/>
      <c r="J1100" s="588"/>
      <c r="K1100" s="490"/>
      <c r="L1100" s="490"/>
      <c r="M1100" s="490"/>
      <c r="N1100" s="490"/>
      <c r="O1100" s="490"/>
      <c r="P1100" s="490" t="s">
        <v>9707</v>
      </c>
    </row>
    <row r="1101">
      <c r="A1101" s="490"/>
      <c r="B1101" s="490"/>
      <c r="C1101" s="490"/>
      <c r="D1101" s="490"/>
      <c r="E1101" s="593" t="str">
        <f>IFERROR(__xludf.DUMMYFUNCTION("""COMPUTED_VALUE"""),"EMERSON")</f>
        <v>EMERSON</v>
      </c>
      <c r="F1101" s="593" t="str">
        <f>IFERROR(__xludf.DUMMYFUNCTION("""COMPUTED_VALUE"""),"1F86U-42WF")</f>
        <v>1F86U-42WF</v>
      </c>
      <c r="G1101" s="490"/>
      <c r="H1101" s="490"/>
      <c r="I1101" s="490"/>
      <c r="J1101" s="588"/>
      <c r="K1101" s="490"/>
      <c r="L1101" s="490"/>
      <c r="M1101" s="490"/>
      <c r="N1101" s="490"/>
      <c r="O1101" s="490"/>
      <c r="P1101" s="490" t="s">
        <v>9711</v>
      </c>
    </row>
    <row r="1102">
      <c r="A1102" s="490"/>
      <c r="B1102" s="490"/>
      <c r="C1102" s="490"/>
      <c r="D1102" s="490"/>
      <c r="E1102" s="593" t="str">
        <f>IFERROR(__xludf.DUMMYFUNCTION("""COMPUTED_VALUE"""),"EMERSON")</f>
        <v>EMERSON</v>
      </c>
      <c r="F1102" s="593" t="str">
        <f>IFERROR(__xludf.DUMMYFUNCTION("""COMPUTED_VALUE"""),"ICOM CONTROL BOARD")</f>
        <v>ICOM CONTROL BOARD</v>
      </c>
      <c r="G1102" s="490"/>
      <c r="H1102" s="490"/>
      <c r="I1102" s="490"/>
      <c r="J1102" s="588"/>
      <c r="K1102" s="490"/>
      <c r="L1102" s="490"/>
      <c r="M1102" s="490"/>
      <c r="N1102" s="490"/>
      <c r="O1102" s="490"/>
      <c r="P1102" s="490" t="s">
        <v>9468</v>
      </c>
    </row>
    <row r="1103">
      <c r="A1103" s="490"/>
      <c r="B1103" s="490"/>
      <c r="C1103" s="490"/>
      <c r="D1103" s="490"/>
      <c r="E1103" s="593" t="str">
        <f>IFERROR(__xludf.DUMMYFUNCTION("""COMPUTED_VALUE"""),"EMERSON")</f>
        <v>EMERSON</v>
      </c>
      <c r="F1103" s="593" t="str">
        <f>IFERROR(__xludf.DUMMYFUNCTION("""COMPUTED_VALUE"""),"G536")</f>
        <v>G536</v>
      </c>
      <c r="G1103" s="490"/>
      <c r="H1103" s="490"/>
      <c r="I1103" s="490"/>
      <c r="J1103" s="588"/>
      <c r="K1103" s="490"/>
      <c r="L1103" s="490"/>
      <c r="M1103" s="490"/>
      <c r="N1103" s="490"/>
      <c r="O1103" s="490"/>
      <c r="P1103" s="490" t="s">
        <v>9714</v>
      </c>
    </row>
    <row r="1104">
      <c r="A1104" s="490"/>
      <c r="B1104" s="490"/>
      <c r="C1104" s="490"/>
      <c r="D1104" s="490"/>
      <c r="E1104" s="593" t="str">
        <f>IFERROR(__xludf.DUMMYFUNCTION("""COMPUTED_VALUE"""),"EMERSON")</f>
        <v>EMERSON</v>
      </c>
      <c r="F1104" s="593" t="str">
        <f>IFERROR(__xludf.DUMMYFUNCTION("""COMPUTED_VALUE"""),"LIEBERT APM 150K")</f>
        <v>LIEBERT APM 150K</v>
      </c>
      <c r="G1104" s="490"/>
      <c r="H1104" s="490"/>
      <c r="I1104" s="490"/>
      <c r="J1104" s="588"/>
      <c r="K1104" s="490"/>
      <c r="L1104" s="490"/>
      <c r="M1104" s="490"/>
      <c r="N1104" s="490"/>
      <c r="O1104" s="490"/>
      <c r="P1104" s="490" t="s">
        <v>9717</v>
      </c>
    </row>
    <row r="1105">
      <c r="A1105" s="490"/>
      <c r="B1105" s="490"/>
      <c r="C1105" s="490"/>
      <c r="D1105" s="490"/>
      <c r="E1105" s="593" t="str">
        <f>IFERROR(__xludf.DUMMYFUNCTION("""COMPUTED_VALUE"""),"EMERSON")</f>
        <v>EMERSON</v>
      </c>
      <c r="F1105" s="593" t="str">
        <f>IFERROR(__xludf.DUMMYFUNCTION("""COMPUTED_VALUE"""),"LIEBERT APS AS2")</f>
        <v>LIEBERT APS AS2</v>
      </c>
      <c r="G1105" s="490"/>
      <c r="H1105" s="490"/>
      <c r="I1105" s="490"/>
      <c r="J1105" s="588"/>
      <c r="K1105" s="490"/>
      <c r="L1105" s="490"/>
      <c r="M1105" s="490"/>
      <c r="N1105" s="490"/>
      <c r="O1105" s="490"/>
      <c r="P1105" s="490" t="s">
        <v>9721</v>
      </c>
    </row>
    <row r="1106">
      <c r="A1106" s="490"/>
      <c r="B1106" s="490"/>
      <c r="C1106" s="490"/>
      <c r="D1106" s="490"/>
      <c r="E1106" s="593" t="str">
        <f>IFERROR(__xludf.DUMMYFUNCTION("""COMPUTED_VALUE"""),"EMERSON")</f>
        <v>EMERSON</v>
      </c>
      <c r="F1106" s="593" t="str">
        <f>IFERROR(__xludf.DUMMYFUNCTION("""COMPUTED_VALUE"""),"LIEBERT NXR 120")</f>
        <v>LIEBERT NXR 120</v>
      </c>
      <c r="G1106" s="490"/>
      <c r="H1106" s="490"/>
      <c r="I1106" s="490"/>
      <c r="J1106" s="588"/>
      <c r="K1106" s="490"/>
      <c r="L1106" s="490"/>
      <c r="M1106" s="490"/>
      <c r="N1106" s="490"/>
      <c r="O1106" s="490"/>
      <c r="P1106" s="490" t="s">
        <v>9724</v>
      </c>
    </row>
    <row r="1107">
      <c r="A1107" s="490"/>
      <c r="B1107" s="490"/>
      <c r="C1107" s="490"/>
      <c r="D1107" s="490"/>
      <c r="E1107" s="593" t="str">
        <f>IFERROR(__xludf.DUMMYFUNCTION("""COMPUTED_VALUE"""),"EMERSON")</f>
        <v>EMERSON</v>
      </c>
      <c r="F1107" s="593" t="str">
        <f>IFERROR(__xludf.DUMMYFUNCTION("""COMPUTED_VALUE"""),"LIEBERT-SX")</f>
        <v>LIEBERT-SX</v>
      </c>
      <c r="G1107" s="490"/>
      <c r="H1107" s="490"/>
      <c r="I1107" s="490"/>
      <c r="J1107" s="588"/>
      <c r="K1107" s="490"/>
      <c r="L1107" s="490"/>
      <c r="M1107" s="490"/>
      <c r="N1107" s="490"/>
      <c r="O1107" s="490"/>
      <c r="P1107" s="490" t="s">
        <v>9727</v>
      </c>
    </row>
    <row r="1108">
      <c r="A1108" s="490"/>
      <c r="B1108" s="490"/>
      <c r="C1108" s="490"/>
      <c r="D1108" s="490"/>
      <c r="E1108" s="593" t="str">
        <f>IFERROR(__xludf.DUMMYFUNCTION("""COMPUTED_VALUE"""),"EMERSON")</f>
        <v>EMERSON</v>
      </c>
      <c r="F1108" s="593" t="str">
        <f>IFERROR(__xludf.DUMMYFUNCTION("""COMPUTED_VALUE"""),"NOT VERIFIED")</f>
        <v>NOT VERIFIED</v>
      </c>
      <c r="G1108" s="490"/>
      <c r="H1108" s="490"/>
      <c r="I1108" s="490"/>
      <c r="J1108" s="588"/>
      <c r="K1108" s="490"/>
      <c r="L1108" s="490"/>
      <c r="M1108" s="490"/>
      <c r="N1108" s="490"/>
      <c r="O1108" s="490"/>
      <c r="P1108" s="490" t="s">
        <v>9730</v>
      </c>
    </row>
    <row r="1109">
      <c r="A1109" s="490"/>
      <c r="B1109" s="490"/>
      <c r="C1109" s="490"/>
      <c r="D1109" s="490"/>
      <c r="E1109" s="593" t="str">
        <f>IFERROR(__xludf.DUMMYFUNCTION("""COMPUTED_VALUE"""),"EMERSON")</f>
        <v>EMERSON</v>
      </c>
      <c r="F1109" s="593" t="str">
        <f>IFERROR(__xludf.DUMMYFUNCTION("""COMPUTED_VALUE"""),"PDX-PCW")</f>
        <v>PDX-PCW</v>
      </c>
      <c r="G1109" s="490"/>
      <c r="H1109" s="490"/>
      <c r="I1109" s="490"/>
      <c r="J1109" s="588"/>
      <c r="K1109" s="490"/>
      <c r="L1109" s="490"/>
      <c r="M1109" s="490"/>
      <c r="N1109" s="490"/>
      <c r="O1109" s="490"/>
      <c r="P1109" s="490" t="s">
        <v>9733</v>
      </c>
    </row>
    <row r="1110">
      <c r="A1110" s="490"/>
      <c r="B1110" s="490"/>
      <c r="C1110" s="490"/>
      <c r="D1110" s="490"/>
      <c r="E1110" s="593" t="str">
        <f>IFERROR(__xludf.DUMMYFUNCTION("""COMPUTED_VALUE"""),"EMERSON")</f>
        <v>EMERSON</v>
      </c>
      <c r="F1110" s="593" t="str">
        <f>IFERROR(__xludf.DUMMYFUNCTION("""COMPUTED_VALUE"""),"SX SERIES UPS")</f>
        <v>SX SERIES UPS</v>
      </c>
      <c r="G1110" s="490"/>
      <c r="H1110" s="490"/>
      <c r="I1110" s="490"/>
      <c r="J1110" s="588"/>
      <c r="K1110" s="490"/>
      <c r="L1110" s="490"/>
      <c r="M1110" s="490"/>
      <c r="N1110" s="490"/>
      <c r="O1110" s="490"/>
      <c r="P1110" s="490" t="s">
        <v>9736</v>
      </c>
    </row>
    <row r="1111">
      <c r="A1111" s="490"/>
      <c r="B1111" s="490"/>
      <c r="C1111" s="490"/>
      <c r="D1111" s="490"/>
      <c r="E1111" s="593" t="str">
        <f>IFERROR(__xludf.DUMMYFUNCTION("""COMPUTED_VALUE"""),"EMERSON")</f>
        <v>EMERSON</v>
      </c>
      <c r="F1111" s="593" t="str">
        <f>IFERROR(__xludf.DUMMYFUNCTION("""COMPUTED_VALUE"""),"UHA3R-0200L")</f>
        <v>UHA3R-0200L</v>
      </c>
      <c r="G1111" s="490"/>
      <c r="H1111" s="490"/>
      <c r="I1111" s="490"/>
      <c r="J1111" s="588"/>
      <c r="K1111" s="490"/>
      <c r="L1111" s="490"/>
      <c r="M1111" s="490"/>
      <c r="N1111" s="490"/>
      <c r="O1111" s="490"/>
      <c r="P1111" s="490" t="s">
        <v>9739</v>
      </c>
    </row>
    <row r="1112">
      <c r="A1112" s="490"/>
      <c r="B1112" s="490"/>
      <c r="C1112" s="490"/>
      <c r="D1112" s="490"/>
      <c r="E1112" s="593" t="str">
        <f>IFERROR(__xludf.DUMMYFUNCTION("""COMPUTED_VALUE"""),"EMERSON")</f>
        <v>EMERSON</v>
      </c>
      <c r="F1112" s="593" t="str">
        <f>IFERROR(__xludf.DUMMYFUNCTION("""COMPUTED_VALUE"""),"BF067ADBD005195")</f>
        <v>BF067ADBD005195</v>
      </c>
      <c r="G1112" s="490"/>
      <c r="H1112" s="490"/>
      <c r="I1112" s="490"/>
      <c r="J1112" s="588"/>
      <c r="K1112" s="490"/>
      <c r="L1112" s="490"/>
      <c r="M1112" s="490"/>
      <c r="N1112" s="490"/>
      <c r="O1112" s="490"/>
      <c r="P1112" s="490" t="s">
        <v>9742</v>
      </c>
    </row>
    <row r="1113">
      <c r="A1113" s="490"/>
      <c r="B1113" s="490"/>
      <c r="C1113" s="490"/>
      <c r="D1113" s="490"/>
      <c r="E1113" s="593" t="str">
        <f>IFERROR(__xludf.DUMMYFUNCTION("""COMPUTED_VALUE"""),"EMERSON")</f>
        <v>EMERSON</v>
      </c>
      <c r="F1113" s="593" t="str">
        <f>IFERROR(__xludf.DUMMYFUNCTION("""COMPUTED_VALUE"""),"SK2403")</f>
        <v>SK2403</v>
      </c>
      <c r="G1113" s="490"/>
      <c r="H1113" s="490"/>
      <c r="I1113" s="490"/>
      <c r="J1113" s="588"/>
      <c r="K1113" s="490"/>
      <c r="L1113" s="490"/>
      <c r="M1113" s="490"/>
      <c r="N1113" s="490"/>
      <c r="O1113" s="490"/>
      <c r="P1113" s="490" t="s">
        <v>9089</v>
      </c>
    </row>
    <row r="1114">
      <c r="A1114" s="490"/>
      <c r="B1114" s="490"/>
      <c r="C1114" s="490"/>
      <c r="D1114" s="490"/>
      <c r="E1114" s="593" t="str">
        <f>IFERROR(__xludf.DUMMYFUNCTION("""COMPUTED_VALUE"""),"EMERSON")</f>
        <v>EMERSON</v>
      </c>
      <c r="F1114" s="593" t="str">
        <f>IFERROR(__xludf.DUMMYFUNCTION("""COMPUTED_VALUE"""),"EHP-Z100X-TBB-001")</f>
        <v>EHP-Z100X-TBB-001</v>
      </c>
      <c r="G1114" s="490"/>
      <c r="H1114" s="490"/>
      <c r="I1114" s="490"/>
      <c r="J1114" s="588"/>
      <c r="K1114" s="490"/>
      <c r="L1114" s="490"/>
      <c r="M1114" s="490"/>
      <c r="N1114" s="490"/>
      <c r="O1114" s="490"/>
      <c r="P1114" s="490" t="s">
        <v>9092</v>
      </c>
    </row>
    <row r="1115">
      <c r="A1115" s="490"/>
      <c r="B1115" s="490"/>
      <c r="C1115" s="490"/>
      <c r="D1115" s="490"/>
      <c r="E1115" s="593" t="str">
        <f>IFERROR(__xludf.DUMMYFUNCTION("""COMPUTED_VALUE"""),"EMERSON")</f>
        <v>EMERSON</v>
      </c>
      <c r="F1115" s="593" t="str">
        <f>IFERROR(__xludf.DUMMYFUNCTION("""COMPUTED_VALUE"""),"OPEN COMMS WEB CARD")</f>
        <v>OPEN COMMS WEB CARD</v>
      </c>
      <c r="G1115" s="490"/>
      <c r="H1115" s="490"/>
      <c r="I1115" s="490"/>
      <c r="J1115" s="588"/>
      <c r="K1115" s="490"/>
      <c r="L1115" s="490"/>
      <c r="M1115" s="490"/>
      <c r="N1115" s="490"/>
      <c r="O1115" s="490"/>
      <c r="P1115" s="490" t="s">
        <v>9094</v>
      </c>
    </row>
    <row r="1116">
      <c r="A1116" s="490"/>
      <c r="B1116" s="490"/>
      <c r="C1116" s="490"/>
      <c r="D1116" s="490"/>
      <c r="E1116" s="593" t="str">
        <f>IFERROR(__xludf.DUMMYFUNCTION("""COMPUTED_VALUE"""),"EMERSON")</f>
        <v>EMERSON</v>
      </c>
      <c r="F1116" s="593" t="str">
        <f>IFERROR(__xludf.DUMMYFUNCTION("""COMPUTED_VALUE"""),"ASCO 5450")</f>
        <v>ASCO 5450</v>
      </c>
      <c r="G1116" s="490"/>
      <c r="H1116" s="490"/>
      <c r="I1116" s="490"/>
      <c r="J1116" s="588"/>
      <c r="K1116" s="490"/>
      <c r="L1116" s="490"/>
      <c r="M1116" s="490"/>
      <c r="N1116" s="490"/>
      <c r="O1116" s="490"/>
      <c r="P1116" s="490" t="s">
        <v>9207</v>
      </c>
    </row>
    <row r="1117">
      <c r="A1117" s="490"/>
      <c r="B1117" s="490"/>
      <c r="C1117" s="490"/>
      <c r="D1117" s="490"/>
      <c r="E1117" s="593" t="str">
        <f>IFERROR(__xludf.DUMMYFUNCTION("""COMPUTED_VALUE"""),"EMERSON")</f>
        <v>EMERSON</v>
      </c>
      <c r="F1117" s="593" t="str">
        <f>IFERROR(__xludf.DUMMYFUNCTION("""COMPUTED_VALUE"""),"VERSAMAX MODULAR")</f>
        <v>VERSAMAX MODULAR</v>
      </c>
      <c r="G1117" s="490"/>
      <c r="H1117" s="490"/>
      <c r="I1117" s="490"/>
      <c r="J1117" s="588"/>
      <c r="K1117" s="490"/>
      <c r="L1117" s="490"/>
      <c r="M1117" s="490"/>
      <c r="N1117" s="490"/>
      <c r="O1117" s="490"/>
      <c r="P1117" s="490" t="s">
        <v>9228</v>
      </c>
    </row>
    <row r="1118">
      <c r="A1118" s="490"/>
      <c r="B1118" s="490"/>
      <c r="C1118" s="490"/>
      <c r="D1118" s="490"/>
      <c r="E1118" s="593" t="str">
        <f>IFERROR(__xludf.DUMMYFUNCTION("""COMPUTED_VALUE"""),"EMS")</f>
        <v>EMS</v>
      </c>
      <c r="F1118" s="593" t="str">
        <f>IFERROR(__xludf.DUMMYFUNCTION("""COMPUTED_VALUE"""),"MULTI-JET FLOW METER")</f>
        <v>MULTI-JET FLOW METER</v>
      </c>
      <c r="G1118" s="490"/>
      <c r="H1118" s="490"/>
      <c r="I1118" s="490"/>
      <c r="J1118" s="588"/>
      <c r="K1118" s="490"/>
      <c r="L1118" s="490"/>
      <c r="M1118" s="490"/>
      <c r="N1118" s="490"/>
      <c r="O1118" s="490"/>
      <c r="P1118" s="490" t="s">
        <v>9230</v>
      </c>
    </row>
    <row r="1119">
      <c r="A1119" s="490"/>
      <c r="B1119" s="490"/>
      <c r="C1119" s="490"/>
      <c r="D1119" s="490"/>
      <c r="E1119" s="593" t="str">
        <f>IFERROR(__xludf.DUMMYFUNCTION("""COMPUTED_VALUE"""),"EMU AG")</f>
        <v>EMU AG</v>
      </c>
      <c r="F1119" s="593" t="str">
        <f>IFERROR(__xludf.DUMMYFUNCTION("""COMPUTED_VALUE"""),"M-BUS CENTER 20")</f>
        <v>M-BUS CENTER 20</v>
      </c>
      <c r="G1119" s="490"/>
      <c r="H1119" s="490"/>
      <c r="I1119" s="490"/>
      <c r="J1119" s="588"/>
      <c r="K1119" s="490"/>
      <c r="L1119" s="490"/>
      <c r="M1119" s="490"/>
      <c r="N1119" s="490"/>
      <c r="O1119" s="490"/>
      <c r="P1119" s="490" t="s">
        <v>9232</v>
      </c>
    </row>
    <row r="1120">
      <c r="A1120" s="490"/>
      <c r="B1120" s="490"/>
      <c r="C1120" s="490"/>
      <c r="D1120" s="490"/>
      <c r="E1120" s="593" t="str">
        <f>IFERROR(__xludf.DUMMYFUNCTION("""COMPUTED_VALUE"""),"ENCELIUM")</f>
        <v>ENCELIUM</v>
      </c>
      <c r="F1120" s="593" t="str">
        <f>IFERROR(__xludf.DUMMYFUNCTION("""COMPUTED_VALUE"""),"ECU102")</f>
        <v>ECU102</v>
      </c>
      <c r="G1120" s="490"/>
      <c r="H1120" s="490"/>
      <c r="I1120" s="490"/>
      <c r="J1120" s="588"/>
      <c r="K1120" s="490"/>
      <c r="L1120" s="490"/>
      <c r="M1120" s="490"/>
      <c r="N1120" s="490"/>
      <c r="O1120" s="490"/>
      <c r="P1120" s="490" t="s">
        <v>9234</v>
      </c>
    </row>
    <row r="1121">
      <c r="A1121" s="490"/>
      <c r="B1121" s="490"/>
      <c r="C1121" s="490"/>
      <c r="D1121" s="490"/>
      <c r="E1121" s="593" t="str">
        <f>IFERROR(__xludf.DUMMYFUNCTION("""COMPUTED_VALUE"""),"ENCELIUM")</f>
        <v>ENCELIUM</v>
      </c>
      <c r="F1121" s="593" t="str">
        <f>IFERROR(__xludf.DUMMYFUNCTION("""COMPUTED_VALUE"""),"EN-ECU-G4-P3D")</f>
        <v>EN-ECU-G4-P3D</v>
      </c>
      <c r="G1121" s="490"/>
      <c r="H1121" s="490"/>
      <c r="I1121" s="490"/>
      <c r="J1121" s="588"/>
      <c r="K1121" s="490"/>
      <c r="L1121" s="490"/>
      <c r="M1121" s="490"/>
      <c r="N1121" s="490"/>
      <c r="O1121" s="490"/>
      <c r="P1121" s="490" t="s">
        <v>9236</v>
      </c>
    </row>
    <row r="1122">
      <c r="A1122" s="490"/>
      <c r="B1122" s="490"/>
      <c r="C1122" s="490"/>
      <c r="D1122" s="490"/>
      <c r="E1122" s="593" t="str">
        <f>IFERROR(__xludf.DUMMYFUNCTION("""COMPUTED_VALUE"""),"ENCELIUM")</f>
        <v>ENCELIUM</v>
      </c>
      <c r="F1122" s="593" t="str">
        <f>IFERROR(__xludf.DUMMYFUNCTION("""COMPUTED_VALUE"""),"WIRED MANAGER")</f>
        <v>WIRED MANAGER</v>
      </c>
      <c r="G1122" s="490"/>
      <c r="H1122" s="490"/>
      <c r="I1122" s="490"/>
      <c r="J1122" s="588"/>
      <c r="K1122" s="490"/>
      <c r="L1122" s="490"/>
      <c r="M1122" s="490"/>
      <c r="N1122" s="490"/>
      <c r="O1122" s="490"/>
      <c r="P1122" s="490" t="s">
        <v>9238</v>
      </c>
    </row>
    <row r="1123">
      <c r="A1123" s="490"/>
      <c r="B1123" s="490"/>
      <c r="C1123" s="490"/>
      <c r="D1123" s="490"/>
      <c r="E1123" s="593" t="str">
        <f>IFERROR(__xludf.DUMMYFUNCTION("""COMPUTED_VALUE"""),"ENCORE")</f>
        <v>ENCORE</v>
      </c>
      <c r="F1123" s="593" t="str">
        <f>IFERROR(__xludf.DUMMYFUNCTION("""COMPUTED_VALUE"""),"ENH908-NWY")</f>
        <v>ENH908-NWY</v>
      </c>
      <c r="G1123" s="490"/>
      <c r="H1123" s="490"/>
      <c r="I1123" s="490"/>
      <c r="J1123" s="588"/>
      <c r="K1123" s="490"/>
      <c r="L1123" s="490"/>
      <c r="M1123" s="490"/>
      <c r="N1123" s="490"/>
      <c r="O1123" s="490"/>
      <c r="P1123" s="490" t="s">
        <v>9240</v>
      </c>
    </row>
    <row r="1124">
      <c r="A1124" s="490"/>
      <c r="B1124" s="490"/>
      <c r="C1124" s="490"/>
      <c r="D1124" s="490"/>
      <c r="E1124" s="593" t="str">
        <f>IFERROR(__xludf.DUMMYFUNCTION("""COMPUTED_VALUE"""),"ENDEAVOR")</f>
        <v>ENDEAVOR</v>
      </c>
      <c r="F1124" s="593" t="str">
        <f>IFERROR(__xludf.DUMMYFUNCTION("""COMPUTED_VALUE"""),"AT993E")</f>
        <v>AT993E</v>
      </c>
      <c r="G1124" s="490"/>
      <c r="H1124" s="490"/>
      <c r="I1124" s="490"/>
      <c r="J1124" s="588"/>
      <c r="K1124" s="490"/>
      <c r="L1124" s="490"/>
      <c r="M1124" s="490"/>
      <c r="N1124" s="490"/>
      <c r="O1124" s="490"/>
      <c r="P1124" s="490" t="s">
        <v>9242</v>
      </c>
    </row>
    <row r="1125">
      <c r="A1125" s="490"/>
      <c r="B1125" s="490"/>
      <c r="C1125" s="490"/>
      <c r="D1125" s="490"/>
      <c r="E1125" s="593" t="str">
        <f>IFERROR(__xludf.DUMMYFUNCTION("""COMPUTED_VALUE"""),"ENEFFEN")</f>
        <v>ENEFFEN</v>
      </c>
      <c r="F1125" s="593" t="str">
        <f>IFERROR(__xludf.DUMMYFUNCTION("""COMPUTED_VALUE"""),"BACNET GATEWAY")</f>
        <v>BACNET GATEWAY</v>
      </c>
      <c r="G1125" s="490"/>
      <c r="H1125" s="490"/>
      <c r="I1125" s="490"/>
      <c r="J1125" s="588"/>
      <c r="K1125" s="490"/>
      <c r="L1125" s="490"/>
      <c r="M1125" s="490"/>
      <c r="N1125" s="490"/>
      <c r="O1125" s="490"/>
      <c r="P1125" s="490" t="s">
        <v>9244</v>
      </c>
    </row>
    <row r="1126">
      <c r="A1126" s="490"/>
      <c r="B1126" s="490"/>
      <c r="C1126" s="490"/>
      <c r="D1126" s="490"/>
      <c r="E1126" s="593" t="str">
        <f>IFERROR(__xludf.DUMMYFUNCTION("""COMPUTED_VALUE"""),"ENLIGHTED")</f>
        <v>ENLIGHTED</v>
      </c>
      <c r="F1126" s="593" t="str">
        <f>IFERROR(__xludf.DUMMYFUNCTION("""COMPUTED_VALUE"""),"EM-2-01")</f>
        <v>EM-2-01</v>
      </c>
      <c r="G1126" s="490"/>
      <c r="H1126" s="490"/>
      <c r="I1126" s="490"/>
      <c r="J1126" s="588"/>
      <c r="K1126" s="490"/>
      <c r="L1126" s="490"/>
      <c r="M1126" s="490"/>
      <c r="N1126" s="490"/>
      <c r="O1126" s="490"/>
      <c r="P1126" s="490" t="s">
        <v>9246</v>
      </c>
    </row>
    <row r="1127">
      <c r="A1127" s="490"/>
      <c r="B1127" s="490"/>
      <c r="C1127" s="490"/>
      <c r="D1127" s="490"/>
      <c r="E1127" s="593" t="str">
        <f>IFERROR(__xludf.DUMMYFUNCTION("""COMPUTED_VALUE"""),"ENLIGHTED")</f>
        <v>ENLIGHTED</v>
      </c>
      <c r="F1127" s="593" t="str">
        <f>IFERROR(__xludf.DUMMYFUNCTION("""COMPUTED_VALUE"""),"EM-2-1S")</f>
        <v>EM-2-1S</v>
      </c>
      <c r="G1127" s="490"/>
      <c r="H1127" s="490"/>
      <c r="I1127" s="490"/>
      <c r="J1127" s="588"/>
      <c r="K1127" s="490"/>
      <c r="L1127" s="490"/>
      <c r="M1127" s="490"/>
      <c r="N1127" s="490"/>
      <c r="O1127" s="490"/>
      <c r="P1127" s="490" t="s">
        <v>9212</v>
      </c>
    </row>
    <row r="1128">
      <c r="A1128" s="490"/>
      <c r="B1128" s="490"/>
      <c r="C1128" s="490"/>
      <c r="D1128" s="490"/>
      <c r="E1128" s="593" t="str">
        <f>IFERROR(__xludf.DUMMYFUNCTION("""COMPUTED_VALUE"""),"ENLIGHTED")</f>
        <v>ENLIGHTED</v>
      </c>
      <c r="F1128" s="593" t="str">
        <f>IFERROR(__xludf.DUMMYFUNCTION("""COMPUTED_VALUE"""),"EM-2-02")</f>
        <v>EM-2-02</v>
      </c>
      <c r="G1128" s="490"/>
      <c r="H1128" s="490"/>
      <c r="I1128" s="490"/>
      <c r="J1128" s="588"/>
      <c r="K1128" s="490"/>
      <c r="L1128" s="490"/>
      <c r="M1128" s="490"/>
      <c r="N1128" s="490"/>
      <c r="O1128" s="490"/>
      <c r="P1128" s="490" t="s">
        <v>9248</v>
      </c>
    </row>
    <row r="1129">
      <c r="A1129" s="490"/>
      <c r="B1129" s="490"/>
      <c r="C1129" s="490"/>
      <c r="D1129" s="490"/>
      <c r="E1129" s="593" t="str">
        <f>IFERROR(__xludf.DUMMYFUNCTION("""COMPUTED_VALUE"""),"ENLIGHTED")</f>
        <v>ENLIGHTED</v>
      </c>
      <c r="F1129" s="593" t="str">
        <f>IFERROR(__xludf.DUMMYFUNCTION("""COMPUTED_VALUE"""),"ENERGY MANAGER")</f>
        <v>ENERGY MANAGER</v>
      </c>
      <c r="G1129" s="490"/>
      <c r="H1129" s="490"/>
      <c r="I1129" s="490"/>
      <c r="J1129" s="588"/>
      <c r="K1129" s="490"/>
      <c r="L1129" s="490"/>
      <c r="M1129" s="490"/>
      <c r="N1129" s="490"/>
      <c r="O1129" s="490"/>
      <c r="P1129" s="490" t="s">
        <v>9250</v>
      </c>
    </row>
    <row r="1130">
      <c r="A1130" s="490"/>
      <c r="B1130" s="490"/>
      <c r="C1130" s="490"/>
      <c r="D1130" s="490"/>
      <c r="E1130" s="593" t="str">
        <f>IFERROR(__xludf.DUMMYFUNCTION("""COMPUTED_VALUE"""),"ENLIGHTED")</f>
        <v>ENLIGHTED</v>
      </c>
      <c r="F1130" s="593" t="str">
        <f>IFERROR(__xludf.DUMMYFUNCTION("""COMPUTED_VALUE"""),"ENLIGHTED GW-2-01")</f>
        <v>ENLIGHTED GW-2-01</v>
      </c>
      <c r="G1130" s="490"/>
      <c r="H1130" s="490"/>
      <c r="I1130" s="490"/>
      <c r="J1130" s="588"/>
      <c r="K1130" s="490"/>
      <c r="L1130" s="490"/>
      <c r="M1130" s="490"/>
      <c r="N1130" s="490"/>
      <c r="O1130" s="490"/>
      <c r="P1130" s="490" t="s">
        <v>9252</v>
      </c>
    </row>
    <row r="1131">
      <c r="A1131" s="490"/>
      <c r="B1131" s="490"/>
      <c r="C1131" s="490"/>
      <c r="D1131" s="490"/>
      <c r="E1131" s="593" t="str">
        <f>IFERROR(__xludf.DUMMYFUNCTION("""COMPUTED_VALUE"""),"ENLIGHTED")</f>
        <v>ENLIGHTED</v>
      </c>
      <c r="F1131" s="593" t="str">
        <f>IFERROR(__xludf.DUMMYFUNCTION("""COMPUTED_VALUE"""),"GW-2-01")</f>
        <v>GW-2-01</v>
      </c>
      <c r="G1131" s="490"/>
      <c r="H1131" s="490"/>
      <c r="I1131" s="490"/>
      <c r="J1131" s="588"/>
      <c r="K1131" s="490"/>
      <c r="L1131" s="490"/>
      <c r="M1131" s="490"/>
      <c r="N1131" s="490"/>
      <c r="O1131" s="490"/>
      <c r="P1131" s="490" t="s">
        <v>9254</v>
      </c>
    </row>
    <row r="1132">
      <c r="A1132" s="490"/>
      <c r="B1132" s="490"/>
      <c r="C1132" s="490"/>
      <c r="D1132" s="490"/>
      <c r="E1132" s="593" t="str">
        <f>IFERROR(__xludf.DUMMYFUNCTION("""COMPUTED_VALUE"""),"ENLIGHTED")</f>
        <v>ENLIGHTED</v>
      </c>
      <c r="F1132" s="593" t="str">
        <f>IFERROR(__xludf.DUMMYFUNCTION("""COMPUTED_VALUE"""),"GW-2-01")</f>
        <v>GW-2-01</v>
      </c>
      <c r="G1132" s="490"/>
      <c r="H1132" s="490"/>
      <c r="I1132" s="490"/>
      <c r="J1132" s="588"/>
      <c r="K1132" s="490"/>
      <c r="L1132" s="490"/>
      <c r="M1132" s="490"/>
      <c r="N1132" s="490"/>
      <c r="O1132" s="490"/>
      <c r="P1132" s="490" t="s">
        <v>9256</v>
      </c>
    </row>
    <row r="1133">
      <c r="A1133" s="490"/>
      <c r="B1133" s="490"/>
      <c r="C1133" s="490"/>
      <c r="D1133" s="490"/>
      <c r="E1133" s="593" t="str">
        <f>IFERROR(__xludf.DUMMYFUNCTION("""COMPUTED_VALUE"""),"ENLIGHTED")</f>
        <v>ENLIGHTED</v>
      </c>
      <c r="F1133" s="593" t="str">
        <f>IFERROR(__xludf.DUMMYFUNCTION("""COMPUTED_VALUE"""),"GW-2-01")</f>
        <v>GW-2-01</v>
      </c>
      <c r="G1133" s="490"/>
      <c r="H1133" s="490"/>
      <c r="I1133" s="490"/>
      <c r="J1133" s="588"/>
      <c r="K1133" s="490"/>
      <c r="L1133" s="490"/>
      <c r="M1133" s="490"/>
      <c r="N1133" s="490"/>
      <c r="O1133" s="490"/>
      <c r="P1133" s="490" t="s">
        <v>9258</v>
      </c>
    </row>
    <row r="1134">
      <c r="A1134" s="490"/>
      <c r="B1134" s="490"/>
      <c r="C1134" s="490"/>
      <c r="D1134" s="490"/>
      <c r="E1134" s="593" t="str">
        <f>IFERROR(__xludf.DUMMYFUNCTION("""COMPUTED_VALUE"""),"ENLIGHTED")</f>
        <v>ENLIGHTED</v>
      </c>
      <c r="F1134" s="593" t="str">
        <f>IFERROR(__xludf.DUMMYFUNCTION("""COMPUTED_VALUE"""),"EM-2-03")</f>
        <v>EM-2-03</v>
      </c>
      <c r="G1134" s="490"/>
      <c r="H1134" s="490"/>
      <c r="I1134" s="490"/>
      <c r="J1134" s="588"/>
      <c r="K1134" s="490"/>
      <c r="L1134" s="490"/>
      <c r="M1134" s="490"/>
      <c r="N1134" s="490"/>
      <c r="O1134" s="490"/>
      <c r="P1134" s="490" t="s">
        <v>9260</v>
      </c>
    </row>
    <row r="1135">
      <c r="A1135" s="490"/>
      <c r="B1135" s="490"/>
      <c r="C1135" s="490"/>
      <c r="D1135" s="490"/>
      <c r="E1135" s="593" t="str">
        <f>IFERROR(__xludf.DUMMYFUNCTION("""COMPUTED_VALUE"""),"ENVIROALERT")</f>
        <v>ENVIROALERT</v>
      </c>
      <c r="F1135" s="593" t="str">
        <f>IFERROR(__xludf.DUMMYFUNCTION("""COMPUTED_VALUE"""),"EA200-12")</f>
        <v>EA200-12</v>
      </c>
      <c r="G1135" s="490"/>
      <c r="H1135" s="490"/>
      <c r="I1135" s="490"/>
      <c r="J1135" s="588"/>
      <c r="K1135" s="490"/>
      <c r="L1135" s="490"/>
      <c r="M1135" s="490"/>
      <c r="N1135" s="490"/>
      <c r="O1135" s="490"/>
      <c r="P1135" s="490" t="s">
        <v>9262</v>
      </c>
    </row>
    <row r="1136">
      <c r="A1136" s="490"/>
      <c r="B1136" s="490"/>
      <c r="C1136" s="490"/>
      <c r="D1136" s="490"/>
      <c r="E1136" s="593" t="str">
        <f>IFERROR(__xludf.DUMMYFUNCTION("""COMPUTED_VALUE"""),"EO CHARGING")</f>
        <v>EO CHARGING</v>
      </c>
      <c r="F1136" s="593" t="str">
        <f>IFERROR(__xludf.DUMMYFUNCTION("""COMPUTED_VALUE"""),"EO GENIUS")</f>
        <v>EO GENIUS</v>
      </c>
      <c r="G1136" s="490"/>
      <c r="H1136" s="490"/>
      <c r="I1136" s="490"/>
      <c r="J1136" s="588"/>
      <c r="K1136" s="490"/>
      <c r="L1136" s="490"/>
      <c r="M1136" s="490"/>
      <c r="N1136" s="490"/>
      <c r="O1136" s="490"/>
      <c r="P1136" s="490" t="s">
        <v>9264</v>
      </c>
    </row>
    <row r="1137">
      <c r="A1137" s="490"/>
      <c r="B1137" s="490"/>
      <c r="C1137" s="490"/>
      <c r="D1137" s="490"/>
      <c r="E1137" s="593" t="str">
        <f>IFERROR(__xludf.DUMMYFUNCTION("""COMPUTED_VALUE"""),"EPAY SYSTEMS")</f>
        <v>EPAY SYSTEMS</v>
      </c>
      <c r="F1137" s="593" t="str">
        <f>IFERROR(__xludf.DUMMYFUNCTION("""COMPUTED_VALUE"""),"WALTER T11")</f>
        <v>WALTER T11</v>
      </c>
      <c r="G1137" s="490"/>
      <c r="H1137" s="490"/>
      <c r="I1137" s="490"/>
      <c r="J1137" s="588"/>
      <c r="K1137" s="490"/>
      <c r="L1137" s="490"/>
      <c r="M1137" s="490"/>
      <c r="N1137" s="490"/>
      <c r="O1137" s="490"/>
      <c r="P1137" s="490" t="s">
        <v>9214</v>
      </c>
    </row>
    <row r="1138">
      <c r="A1138" s="490"/>
      <c r="B1138" s="490"/>
      <c r="C1138" s="490"/>
      <c r="D1138" s="490"/>
      <c r="E1138" s="593" t="str">
        <f>IFERROR(__xludf.DUMMYFUNCTION("""COMPUTED_VALUE"""),"EPILOG")</f>
        <v>EPILOG</v>
      </c>
      <c r="F1138" s="593" t="str">
        <f>IFERROR(__xludf.DUMMYFUNCTION("""COMPUTED_VALUE"""),"LASER MINI")</f>
        <v>LASER MINI</v>
      </c>
      <c r="G1138" s="490"/>
      <c r="H1138" s="490"/>
      <c r="I1138" s="490"/>
      <c r="J1138" s="588"/>
      <c r="K1138" s="490"/>
      <c r="L1138" s="490"/>
      <c r="M1138" s="490"/>
      <c r="N1138" s="490"/>
      <c r="O1138" s="490"/>
      <c r="P1138" s="490" t="s">
        <v>9216</v>
      </c>
    </row>
    <row r="1139">
      <c r="A1139" s="490"/>
      <c r="B1139" s="490"/>
      <c r="C1139" s="490"/>
      <c r="D1139" s="490"/>
      <c r="E1139" s="593" t="str">
        <f>IFERROR(__xludf.DUMMYFUNCTION("""COMPUTED_VALUE"""),"EPS NEXT GEN")</f>
        <v>EPS NEXT GEN</v>
      </c>
      <c r="F1139" s="593" t="str">
        <f>IFERROR(__xludf.DUMMYFUNCTION("""COMPUTED_VALUE"""),"XG-PCS-15D RIC")</f>
        <v>XG-PCS-15D RIC</v>
      </c>
      <c r="G1139" s="490"/>
      <c r="H1139" s="490"/>
      <c r="I1139" s="490"/>
      <c r="J1139" s="588"/>
      <c r="K1139" s="490"/>
      <c r="L1139" s="490"/>
      <c r="M1139" s="490"/>
      <c r="N1139" s="490"/>
      <c r="O1139" s="490"/>
      <c r="P1139" s="490" t="s">
        <v>9218</v>
      </c>
    </row>
    <row r="1140">
      <c r="A1140" s="490"/>
      <c r="B1140" s="490"/>
      <c r="C1140" s="490"/>
      <c r="D1140" s="490"/>
      <c r="E1140" s="593" t="str">
        <f>IFERROR(__xludf.DUMMYFUNCTION("""COMPUTED_VALUE"""),"EPSON")</f>
        <v>EPSON</v>
      </c>
      <c r="F1140" s="593" t="str">
        <f>IFERROR(__xludf.DUMMYFUNCTION("""COMPUTED_VALUE"""),"MR8400")</f>
        <v>MR8400</v>
      </c>
      <c r="G1140" s="490"/>
      <c r="H1140" s="490"/>
      <c r="I1140" s="490"/>
      <c r="J1140" s="588"/>
      <c r="K1140" s="490"/>
      <c r="L1140" s="490"/>
      <c r="M1140" s="490"/>
      <c r="N1140" s="490"/>
      <c r="O1140" s="490"/>
      <c r="P1140" s="490" t="s">
        <v>9220</v>
      </c>
    </row>
    <row r="1141">
      <c r="A1141" s="490"/>
      <c r="B1141" s="490"/>
      <c r="C1141" s="490"/>
      <c r="D1141" s="490"/>
      <c r="E1141" s="593" t="str">
        <f>IFERROR(__xludf.DUMMYFUNCTION("""COMPUTED_VALUE"""),"ESSL")</f>
        <v>ESSL</v>
      </c>
      <c r="F1141" s="593" t="str">
        <f>IFERROR(__xludf.DUMMYFUNCTION("""COMPUTED_VALUE"""),"AIFACE-MARS")</f>
        <v>AIFACE-MARS</v>
      </c>
      <c r="G1141" s="490"/>
      <c r="H1141" s="490"/>
      <c r="I1141" s="490"/>
      <c r="J1141" s="588"/>
      <c r="K1141" s="490"/>
      <c r="L1141" s="490"/>
      <c r="M1141" s="490"/>
      <c r="N1141" s="490"/>
      <c r="O1141" s="490"/>
      <c r="P1141" s="490" t="s">
        <v>9222</v>
      </c>
    </row>
    <row r="1142">
      <c r="A1142" s="490"/>
      <c r="B1142" s="490"/>
      <c r="C1142" s="490"/>
      <c r="D1142" s="490"/>
      <c r="E1142" s="593" t="str">
        <f>IFERROR(__xludf.DUMMYFUNCTION("""COMPUTED_VALUE"""),"EST3")</f>
        <v>EST3</v>
      </c>
      <c r="F1142" s="593" t="str">
        <f>IFERROR(__xludf.DUMMYFUNCTION("""COMPUTED_VALUE"""),"FSB-PC2")</f>
        <v>FSB-PC2</v>
      </c>
      <c r="G1142" s="490"/>
      <c r="H1142" s="490"/>
      <c r="I1142" s="490"/>
      <c r="J1142" s="588"/>
      <c r="K1142" s="490"/>
      <c r="L1142" s="490"/>
      <c r="M1142" s="490"/>
      <c r="N1142" s="490"/>
      <c r="O1142" s="490"/>
      <c r="P1142" s="490" t="s">
        <v>9224</v>
      </c>
    </row>
    <row r="1143">
      <c r="A1143" s="490"/>
      <c r="B1143" s="490"/>
      <c r="C1143" s="490"/>
      <c r="D1143" s="490"/>
      <c r="E1143" s="593" t="str">
        <f>IFERROR(__xludf.DUMMYFUNCTION("""COMPUTED_VALUE"""),"ET-DETECT")</f>
        <v>ET-DETECT</v>
      </c>
      <c r="F1143" s="593" t="str">
        <f>IFERROR(__xludf.DUMMYFUNCTION("""COMPUTED_VALUE"""),"MESSAGE MASTER 4000")</f>
        <v>MESSAGE MASTER 4000</v>
      </c>
      <c r="G1143" s="490"/>
      <c r="H1143" s="490"/>
      <c r="I1143" s="490"/>
      <c r="J1143" s="588"/>
      <c r="K1143" s="490"/>
      <c r="L1143" s="490"/>
      <c r="M1143" s="490"/>
      <c r="N1143" s="490"/>
      <c r="O1143" s="490"/>
      <c r="P1143" s="490" t="s">
        <v>9226</v>
      </c>
    </row>
    <row r="1144">
      <c r="A1144" s="490"/>
      <c r="B1144" s="490"/>
      <c r="C1144" s="490"/>
      <c r="D1144" s="490"/>
      <c r="E1144" s="593" t="str">
        <f>IFERROR(__xludf.DUMMYFUNCTION("""COMPUTED_VALUE"""),"ETC")</f>
        <v>ETC</v>
      </c>
      <c r="F1144" s="593" t="str">
        <f>IFERROR(__xludf.DUMMYFUNCTION("""COMPUTED_VALUE"""),"ECHOTOUCH MK2")</f>
        <v>ECHOTOUCH MK2</v>
      </c>
      <c r="G1144" s="490"/>
      <c r="H1144" s="490"/>
      <c r="I1144" s="490"/>
      <c r="J1144" s="588"/>
      <c r="K1144" s="490"/>
      <c r="L1144" s="490"/>
      <c r="M1144" s="490"/>
      <c r="N1144" s="490"/>
      <c r="O1144" s="490"/>
      <c r="P1144" s="490" t="s">
        <v>8953</v>
      </c>
    </row>
    <row r="1145">
      <c r="A1145" s="490"/>
      <c r="B1145" s="490"/>
      <c r="C1145" s="490"/>
      <c r="D1145" s="490"/>
      <c r="E1145" s="593" t="str">
        <f>IFERROR(__xludf.DUMMYFUNCTION("""COMPUTED_VALUE"""),"EUROMAG")</f>
        <v>EUROMAG</v>
      </c>
      <c r="F1145" s="593" t="str">
        <f>IFERROR(__xludf.DUMMYFUNCTION("""COMPUTED_VALUE"""),"MUT2200 WITH MC608")</f>
        <v>MUT2200 WITH MC608</v>
      </c>
      <c r="G1145" s="490"/>
      <c r="H1145" s="490"/>
      <c r="I1145" s="490"/>
      <c r="J1145" s="588"/>
      <c r="K1145" s="490"/>
      <c r="L1145" s="490"/>
      <c r="M1145" s="490"/>
      <c r="N1145" s="490"/>
      <c r="O1145" s="490"/>
      <c r="P1145" s="490" t="s">
        <v>8958</v>
      </c>
    </row>
    <row r="1146">
      <c r="A1146" s="490"/>
      <c r="B1146" s="490"/>
      <c r="C1146" s="490"/>
      <c r="D1146" s="490"/>
      <c r="E1146" s="593" t="str">
        <f>IFERROR(__xludf.DUMMYFUNCTION("""COMPUTED_VALUE"""),"EVCO")</f>
        <v>EVCO</v>
      </c>
      <c r="F1146" s="593" t="str">
        <f>IFERROR(__xludf.DUMMYFUNCTION("""COMPUTED_VALUE"""),"C-PRO 3 KILO EPK3DXP")</f>
        <v>C-PRO 3 KILO EPK3DXP</v>
      </c>
      <c r="G1146" s="490"/>
      <c r="H1146" s="490"/>
      <c r="I1146" s="490"/>
      <c r="J1146" s="588"/>
      <c r="K1146" s="490"/>
      <c r="L1146" s="490"/>
      <c r="M1146" s="490"/>
      <c r="N1146" s="490"/>
      <c r="O1146" s="490"/>
      <c r="P1146" s="490" t="s">
        <v>8960</v>
      </c>
    </row>
    <row r="1147">
      <c r="A1147" s="490"/>
      <c r="B1147" s="490"/>
      <c r="C1147" s="490"/>
      <c r="D1147" s="490"/>
      <c r="E1147" s="593" t="str">
        <f>IFERROR(__xludf.DUMMYFUNCTION("""COMPUTED_VALUE"""),"EWON")</f>
        <v>EWON</v>
      </c>
      <c r="F1147" s="593" t="str">
        <f>IFERROR(__xludf.DUMMYFUNCTION("""COMPUTED_VALUE"""),"FLEXY 201")</f>
        <v>FLEXY 201</v>
      </c>
      <c r="G1147" s="490"/>
      <c r="H1147" s="490"/>
      <c r="I1147" s="490"/>
      <c r="J1147" s="588"/>
      <c r="K1147" s="490"/>
      <c r="L1147" s="490"/>
      <c r="M1147" s="490"/>
      <c r="N1147" s="490"/>
      <c r="O1147" s="490"/>
      <c r="P1147" s="490" t="s">
        <v>8962</v>
      </c>
    </row>
    <row r="1148">
      <c r="A1148" s="490"/>
      <c r="B1148" s="490"/>
      <c r="C1148" s="490"/>
      <c r="D1148" s="490"/>
      <c r="E1148" s="593" t="str">
        <f>IFERROR(__xludf.DUMMYFUNCTION("""COMPUTED_VALUE"""),"EXICOM")</f>
        <v>EXICOM</v>
      </c>
      <c r="F1148" s="593" t="str">
        <f>IFERROR(__xludf.DUMMYFUNCTION("""COMPUTED_VALUE"""),"HE513161")</f>
        <v>HE513161</v>
      </c>
      <c r="G1148" s="490"/>
      <c r="H1148" s="490"/>
      <c r="I1148" s="490"/>
      <c r="J1148" s="588"/>
      <c r="K1148" s="490"/>
      <c r="L1148" s="490"/>
      <c r="M1148" s="490"/>
      <c r="N1148" s="490"/>
      <c r="O1148" s="490"/>
      <c r="P1148" s="490" t="s">
        <v>8964</v>
      </c>
    </row>
    <row r="1149">
      <c r="A1149" s="490"/>
      <c r="B1149" s="490"/>
      <c r="C1149" s="490"/>
      <c r="D1149" s="490"/>
      <c r="E1149" s="593" t="str">
        <f>IFERROR(__xludf.DUMMYFUNCTION("""COMPUTED_VALUE"""),"EXICOM")</f>
        <v>EXICOM</v>
      </c>
      <c r="F1149" s="593" t="str">
        <f>IFERROR(__xludf.DUMMYFUNCTION("""COMPUTED_VALUE"""),"HE518671")</f>
        <v>HE518671</v>
      </c>
      <c r="G1149" s="490"/>
      <c r="H1149" s="490"/>
      <c r="I1149" s="490"/>
      <c r="J1149" s="588"/>
      <c r="K1149" s="490"/>
      <c r="L1149" s="490"/>
      <c r="M1149" s="490"/>
      <c r="N1149" s="490"/>
      <c r="O1149" s="490"/>
      <c r="P1149" s="490" t="s">
        <v>8966</v>
      </c>
    </row>
    <row r="1150">
      <c r="A1150" s="490"/>
      <c r="B1150" s="490"/>
      <c r="C1150" s="490"/>
      <c r="D1150" s="490"/>
      <c r="E1150" s="593" t="str">
        <f>IFERROR(__xludf.DUMMYFUNCTION("""COMPUTED_VALUE"""),"EXICOM")</f>
        <v>EXICOM</v>
      </c>
      <c r="F1150" s="593" t="str">
        <f>IFERROR(__xludf.DUMMYFUNCTION("""COMPUTED_VALUE"""),"HARMONY WALL")</f>
        <v>HARMONY WALL</v>
      </c>
      <c r="G1150" s="490"/>
      <c r="H1150" s="490"/>
      <c r="I1150" s="490"/>
      <c r="J1150" s="588"/>
      <c r="K1150" s="490"/>
      <c r="L1150" s="490"/>
      <c r="M1150" s="490"/>
      <c r="N1150" s="490"/>
      <c r="O1150" s="490"/>
      <c r="P1150" s="490" t="s">
        <v>8968</v>
      </c>
    </row>
    <row r="1151">
      <c r="A1151" s="490"/>
      <c r="B1151" s="490"/>
      <c r="C1151" s="490"/>
      <c r="D1151" s="490"/>
      <c r="E1151" s="593" t="str">
        <f>IFERROR(__xludf.DUMMYFUNCTION("""COMPUTED_VALUE"""),"EXICOM")</f>
        <v>EXICOM</v>
      </c>
      <c r="F1151" s="593" t="str">
        <f>IFERROR(__xludf.DUMMYFUNCTION("""COMPUTED_VALUE"""),"EVDC BHARAT DC001 30KW")</f>
        <v>EVDC BHARAT DC001 30KW</v>
      </c>
      <c r="G1151" s="490"/>
      <c r="H1151" s="490"/>
      <c r="I1151" s="490"/>
      <c r="J1151" s="588"/>
      <c r="K1151" s="490"/>
      <c r="L1151" s="490"/>
      <c r="M1151" s="490"/>
      <c r="N1151" s="490"/>
      <c r="O1151" s="490"/>
      <c r="P1151" s="490" t="s">
        <v>8970</v>
      </c>
    </row>
    <row r="1152">
      <c r="A1152" s="490"/>
      <c r="B1152" s="490"/>
      <c r="C1152" s="490"/>
      <c r="D1152" s="490"/>
      <c r="E1152" s="593" t="str">
        <f>IFERROR(__xludf.DUMMYFUNCTION("""COMPUTED_VALUE"""),"EXITRONIX")</f>
        <v>EXITRONIX</v>
      </c>
      <c r="F1152" s="593" t="str">
        <f>IFERROR(__xludf.DUMMYFUNCTION("""COMPUTED_VALUE"""),"900E EDGE-LIT SERIES")</f>
        <v>900E EDGE-LIT SERIES</v>
      </c>
      <c r="G1152" s="490"/>
      <c r="H1152" s="490"/>
      <c r="I1152" s="490"/>
      <c r="J1152" s="588"/>
      <c r="K1152" s="490"/>
      <c r="L1152" s="490"/>
      <c r="M1152" s="490"/>
      <c r="N1152" s="490"/>
      <c r="O1152" s="490"/>
      <c r="P1152" s="490" t="s">
        <v>8972</v>
      </c>
    </row>
    <row r="1153">
      <c r="A1153" s="490"/>
      <c r="B1153" s="490"/>
      <c r="C1153" s="490"/>
      <c r="D1153" s="490"/>
      <c r="E1153" s="593" t="str">
        <f>IFERROR(__xludf.DUMMYFUNCTION("""COMPUTED_VALUE"""),"EXITRONIX")</f>
        <v>EXITRONIX</v>
      </c>
      <c r="F1153" s="593" t="str">
        <f>IFERROR(__xludf.DUMMYFUNCTION("""COMPUTED_VALUE"""),"PEBC LED EXIT SIGN")</f>
        <v>PEBC LED EXIT SIGN</v>
      </c>
      <c r="G1153" s="490"/>
      <c r="H1153" s="490"/>
      <c r="I1153" s="490"/>
      <c r="J1153" s="588"/>
      <c r="K1153" s="490"/>
      <c r="L1153" s="490"/>
      <c r="M1153" s="490"/>
      <c r="N1153" s="490"/>
      <c r="O1153" s="490"/>
      <c r="P1153" s="490" t="s">
        <v>1845</v>
      </c>
    </row>
    <row r="1154">
      <c r="A1154" s="490"/>
      <c r="B1154" s="490"/>
      <c r="C1154" s="490"/>
      <c r="D1154" s="490"/>
      <c r="E1154" s="593" t="str">
        <f>IFERROR(__xludf.DUMMYFUNCTION("""COMPUTED_VALUE"""),"EXITRONIX")</f>
        <v>EXITRONIX</v>
      </c>
      <c r="F1154" s="593" t="str">
        <f>IFERROR(__xludf.DUMMYFUNCTION("""COMPUTED_VALUE"""),"PEBC")</f>
        <v>PEBC</v>
      </c>
      <c r="G1154" s="490"/>
      <c r="H1154" s="490"/>
      <c r="I1154" s="490"/>
      <c r="J1154" s="588"/>
      <c r="K1154" s="490"/>
      <c r="L1154" s="490"/>
      <c r="M1154" s="490"/>
      <c r="N1154" s="490"/>
      <c r="O1154" s="490"/>
      <c r="P1154" s="490" t="s">
        <v>1940</v>
      </c>
    </row>
    <row r="1155">
      <c r="A1155" s="490"/>
      <c r="B1155" s="490"/>
      <c r="C1155" s="490"/>
      <c r="D1155" s="490"/>
      <c r="E1155" s="593" t="str">
        <f>IFERROR(__xludf.DUMMYFUNCTION("""COMPUTED_VALUE"""),"EXITRONIX")</f>
        <v>EXITRONIX</v>
      </c>
      <c r="F1155" s="593" t="str">
        <f>IFERROR(__xludf.DUMMYFUNCTION("""COMPUTED_VALUE"""),"PEBC-S-U-WB-GC-BA-G3")</f>
        <v>PEBC-S-U-WB-GC-BA-G3</v>
      </c>
      <c r="G1155" s="490"/>
      <c r="H1155" s="490"/>
      <c r="I1155" s="490"/>
      <c r="J1155" s="588"/>
      <c r="K1155" s="490"/>
      <c r="L1155" s="490"/>
      <c r="M1155" s="490"/>
      <c r="N1155" s="490"/>
      <c r="O1155" s="490"/>
      <c r="P1155" s="490" t="s">
        <v>2732</v>
      </c>
    </row>
    <row r="1156">
      <c r="A1156" s="490"/>
      <c r="B1156" s="490"/>
      <c r="C1156" s="490"/>
      <c r="D1156" s="490"/>
      <c r="E1156" s="593" t="str">
        <f>IFERROR(__xludf.DUMMYFUNCTION("""COMPUTED_VALUE"""),"EXODRAFT")</f>
        <v>EXODRAFT</v>
      </c>
      <c r="F1156" s="593" t="str">
        <f>IFERROR(__xludf.DUMMYFUNCTION("""COMPUTED_VALUE"""),"EBC 31")</f>
        <v>EBC 31</v>
      </c>
      <c r="G1156" s="490"/>
      <c r="H1156" s="490"/>
      <c r="I1156" s="490"/>
      <c r="J1156" s="588"/>
      <c r="K1156" s="490"/>
      <c r="L1156" s="490"/>
      <c r="M1156" s="490"/>
      <c r="N1156" s="490"/>
      <c r="O1156" s="490"/>
      <c r="P1156" s="490" t="s">
        <v>702</v>
      </c>
    </row>
    <row r="1157">
      <c r="A1157" s="490"/>
      <c r="B1157" s="490"/>
      <c r="C1157" s="490"/>
      <c r="D1157" s="490"/>
      <c r="E1157" s="593" t="str">
        <f>IFERROR(__xludf.DUMMYFUNCTION("""COMPUTED_VALUE"""),"EXOR")</f>
        <v>EXOR</v>
      </c>
      <c r="F1157" s="593" t="str">
        <f>IFERROR(__xludf.DUMMYFUNCTION("""COMPUTED_VALUE"""),"ESMART10")</f>
        <v>ESMART10</v>
      </c>
      <c r="G1157" s="490"/>
      <c r="H1157" s="490"/>
      <c r="I1157" s="490"/>
      <c r="J1157" s="588"/>
      <c r="K1157" s="490"/>
      <c r="L1157" s="490"/>
      <c r="M1157" s="490"/>
      <c r="N1157" s="490"/>
      <c r="O1157" s="490"/>
      <c r="P1157" s="490" t="s">
        <v>745</v>
      </c>
    </row>
    <row r="1158">
      <c r="A1158" s="490"/>
      <c r="B1158" s="490"/>
      <c r="C1158" s="490"/>
      <c r="D1158" s="490"/>
      <c r="E1158" s="593" t="str">
        <f>IFERROR(__xludf.DUMMYFUNCTION("""COMPUTED_VALUE"""),"EXOS")</f>
        <v>EXOS</v>
      </c>
      <c r="F1158" s="593" t="str">
        <f>IFERROR(__xludf.DUMMYFUNCTION("""COMPUTED_VALUE"""),"EXOS")</f>
        <v>EXOS</v>
      </c>
      <c r="G1158" s="490"/>
      <c r="H1158" s="490"/>
      <c r="I1158" s="490"/>
      <c r="J1158" s="588"/>
      <c r="K1158" s="490"/>
      <c r="L1158" s="490"/>
      <c r="M1158" s="490"/>
      <c r="N1158" s="490"/>
      <c r="O1158" s="490"/>
      <c r="P1158" s="490" t="s">
        <v>2746</v>
      </c>
    </row>
    <row r="1159">
      <c r="A1159" s="490"/>
      <c r="B1159" s="490"/>
      <c r="C1159" s="490"/>
      <c r="D1159" s="490"/>
      <c r="E1159" s="593" t="str">
        <f>IFERROR(__xludf.DUMMYFUNCTION("""COMPUTED_VALUE"""),"EXOS")</f>
        <v>EXOS</v>
      </c>
      <c r="F1159" s="593" t="str">
        <f>IFERROR(__xludf.DUMMYFUNCTION("""COMPUTED_VALUE"""),"NOT VERIFIED")</f>
        <v>NOT VERIFIED</v>
      </c>
      <c r="G1159" s="490"/>
      <c r="H1159" s="490"/>
      <c r="I1159" s="490"/>
      <c r="J1159" s="588"/>
      <c r="K1159" s="490"/>
      <c r="L1159" s="490"/>
      <c r="M1159" s="490"/>
      <c r="N1159" s="490"/>
      <c r="O1159" s="490"/>
      <c r="P1159" s="490" t="s">
        <v>2752</v>
      </c>
    </row>
    <row r="1160">
      <c r="A1160" s="490"/>
      <c r="B1160" s="490"/>
      <c r="C1160" s="490"/>
      <c r="D1160" s="490"/>
      <c r="E1160" s="593" t="str">
        <f>IFERROR(__xludf.DUMMYFUNCTION("""COMPUTED_VALUE"""),"EXPRESSO")</f>
        <v>EXPRESSO</v>
      </c>
      <c r="F1160" s="593" t="str">
        <f>IFERROR(__xludf.DUMMYFUNCTION("""COMPUTED_VALUE"""),"EXPRESSO HD")</f>
        <v>EXPRESSO HD</v>
      </c>
      <c r="G1160" s="490"/>
      <c r="H1160" s="490"/>
      <c r="I1160" s="490"/>
      <c r="J1160" s="588"/>
      <c r="K1160" s="490"/>
      <c r="L1160" s="490"/>
      <c r="M1160" s="490"/>
      <c r="N1160" s="490"/>
      <c r="O1160" s="490"/>
      <c r="P1160" s="490" t="s">
        <v>2758</v>
      </c>
    </row>
    <row r="1161">
      <c r="A1161" s="490"/>
      <c r="B1161" s="490"/>
      <c r="C1161" s="490"/>
      <c r="D1161" s="490"/>
      <c r="E1161" s="593" t="str">
        <f>IFERROR(__xludf.DUMMYFUNCTION("""COMPUTED_VALUE"""),"EZVIZ")</f>
        <v>EZVIZ</v>
      </c>
      <c r="F1161" s="593" t="str">
        <f>IFERROR(__xludf.DUMMYFUNCTION("""COMPUTED_VALUE"""),"C6CN")</f>
        <v>C6CN</v>
      </c>
      <c r="G1161" s="490"/>
      <c r="H1161" s="490"/>
      <c r="I1161" s="490"/>
      <c r="J1161" s="588"/>
      <c r="K1161" s="490"/>
      <c r="L1161" s="490"/>
      <c r="M1161" s="490"/>
      <c r="N1161" s="490"/>
      <c r="O1161" s="490"/>
      <c r="P1161" s="490" t="s">
        <v>2763</v>
      </c>
    </row>
    <row r="1162">
      <c r="A1162" s="490"/>
      <c r="B1162" s="490"/>
      <c r="C1162" s="490"/>
      <c r="D1162" s="490"/>
      <c r="E1162" s="593" t="str">
        <f>IFERROR(__xludf.DUMMYFUNCTION("""COMPUTED_VALUE"""),"FEC")</f>
        <v>FEC</v>
      </c>
      <c r="F1162" s="593" t="str">
        <f>IFERROR(__xludf.DUMMYFUNCTION("""COMPUTED_VALUE"""),"PP-9715W")</f>
        <v>PP-9715W</v>
      </c>
      <c r="G1162" s="490"/>
      <c r="H1162" s="490"/>
      <c r="I1162" s="490"/>
      <c r="J1162" s="588"/>
      <c r="K1162" s="490"/>
      <c r="L1162" s="490"/>
      <c r="M1162" s="490"/>
      <c r="N1162" s="490"/>
      <c r="O1162" s="490"/>
      <c r="P1162" s="490" t="s">
        <v>2768</v>
      </c>
    </row>
    <row r="1163">
      <c r="A1163" s="490"/>
      <c r="B1163" s="490"/>
      <c r="C1163" s="490"/>
      <c r="D1163" s="490"/>
      <c r="E1163" s="593" t="str">
        <f>IFERROR(__xludf.DUMMYFUNCTION("""COMPUTED_VALUE"""),"FIELD SERVER")</f>
        <v>FIELD SERVER</v>
      </c>
      <c r="F1163" s="593" t="str">
        <f>IFERROR(__xludf.DUMMYFUNCTION("""COMPUTED_VALUE"""),"GW-2-01")</f>
        <v>GW-2-01</v>
      </c>
      <c r="G1163" s="490"/>
      <c r="H1163" s="490"/>
      <c r="I1163" s="490"/>
      <c r="J1163" s="588"/>
      <c r="K1163" s="490"/>
      <c r="L1163" s="490"/>
      <c r="M1163" s="490"/>
      <c r="N1163" s="490"/>
      <c r="O1163" s="490"/>
      <c r="P1163" s="490" t="s">
        <v>2773</v>
      </c>
    </row>
    <row r="1164">
      <c r="A1164" s="490"/>
      <c r="B1164" s="490"/>
      <c r="C1164" s="490"/>
      <c r="D1164" s="490"/>
      <c r="E1164" s="593" t="str">
        <f>IFERROR(__xludf.DUMMYFUNCTION("""COMPUTED_VALUE"""),"FIELD SERVER")</f>
        <v>FIELD SERVER</v>
      </c>
      <c r="F1164" s="593" t="str">
        <f>IFERROR(__xludf.DUMMYFUNCTION("""COMPUTED_VALUE"""),"SERIAL ETHERNET PROTONODE")</f>
        <v>SERIAL ETHERNET PROTONODE</v>
      </c>
      <c r="G1164" s="490"/>
      <c r="H1164" s="490"/>
      <c r="I1164" s="490"/>
      <c r="J1164" s="588"/>
      <c r="K1164" s="490"/>
      <c r="L1164" s="490"/>
      <c r="M1164" s="490"/>
      <c r="N1164" s="490"/>
      <c r="O1164" s="490"/>
      <c r="P1164" s="490" t="s">
        <v>2779</v>
      </c>
    </row>
    <row r="1165">
      <c r="A1165" s="490"/>
      <c r="B1165" s="490"/>
      <c r="C1165" s="490"/>
      <c r="D1165" s="490"/>
      <c r="E1165" s="593" t="str">
        <f>IFERROR(__xludf.DUMMYFUNCTION("""COMPUTED_VALUE"""),"FIELD SERVER")</f>
        <v>FIELD SERVER</v>
      </c>
      <c r="F1165" s="593" t="str">
        <f>IFERROR(__xludf.DUMMYFUNCTION("""COMPUTED_VALUE"""),"FPC-N35")</f>
        <v>FPC-N35</v>
      </c>
      <c r="G1165" s="490"/>
      <c r="H1165" s="490"/>
      <c r="I1165" s="490"/>
      <c r="J1165" s="588"/>
      <c r="K1165" s="490"/>
      <c r="L1165" s="490"/>
      <c r="M1165" s="490"/>
      <c r="N1165" s="490"/>
      <c r="O1165" s="490"/>
      <c r="P1165" s="490" t="s">
        <v>1952</v>
      </c>
    </row>
    <row r="1166">
      <c r="A1166" s="490"/>
      <c r="B1166" s="490"/>
      <c r="C1166" s="490"/>
      <c r="D1166" s="490"/>
      <c r="E1166" s="593" t="str">
        <f>IFERROR(__xludf.DUMMYFUNCTION("""COMPUTED_VALUE"""),"FLAKTGROUP")</f>
        <v>FLAKTGROUP</v>
      </c>
      <c r="F1166" s="593" t="str">
        <f>IFERROR(__xludf.DUMMYFUNCTION("""COMPUTED_VALUE"""),"ECO SIDE AHU")</f>
        <v>ECO SIDE AHU</v>
      </c>
      <c r="G1166" s="490"/>
      <c r="H1166" s="490"/>
      <c r="I1166" s="490"/>
      <c r="J1166" s="588"/>
      <c r="K1166" s="490"/>
      <c r="L1166" s="490"/>
      <c r="M1166" s="490"/>
      <c r="N1166" s="490"/>
      <c r="O1166" s="490"/>
      <c r="P1166" s="490" t="s">
        <v>2784</v>
      </c>
    </row>
    <row r="1167">
      <c r="A1167" s="490"/>
      <c r="B1167" s="490"/>
      <c r="C1167" s="490"/>
      <c r="D1167" s="490"/>
      <c r="E1167" s="593" t="str">
        <f>IFERROR(__xludf.DUMMYFUNCTION("""COMPUTED_VALUE"""),"FLAKTGROUP")</f>
        <v>FLAKTGROUP</v>
      </c>
      <c r="F1167" s="593" t="str">
        <f>IFERROR(__xludf.DUMMYFUNCTION("""COMPUTED_VALUE"""),"WOODS EC BOX FAN")</f>
        <v>WOODS EC BOX FAN</v>
      </c>
      <c r="G1167" s="490"/>
      <c r="H1167" s="490"/>
      <c r="I1167" s="490"/>
      <c r="J1167" s="588"/>
      <c r="K1167" s="490"/>
      <c r="L1167" s="490"/>
      <c r="M1167" s="490"/>
      <c r="N1167" s="490"/>
      <c r="O1167" s="490"/>
      <c r="P1167" s="490" t="s">
        <v>836</v>
      </c>
    </row>
    <row r="1168">
      <c r="A1168" s="490"/>
      <c r="B1168" s="490"/>
      <c r="C1168" s="490"/>
      <c r="D1168" s="490"/>
      <c r="E1168" s="593" t="str">
        <f>IFERROR(__xludf.DUMMYFUNCTION("""COMPUTED_VALUE"""),"FLEXEM")</f>
        <v>FLEXEM</v>
      </c>
      <c r="F1168" s="593" t="str">
        <f>IFERROR(__xludf.DUMMYFUNCTION("""COMPUTED_VALUE"""),"FE 6000 SERIES-7INCH")</f>
        <v>FE 6000 SERIES-7INCH</v>
      </c>
      <c r="G1168" s="490"/>
      <c r="H1168" s="490"/>
      <c r="I1168" s="490"/>
      <c r="J1168" s="588"/>
      <c r="K1168" s="490"/>
      <c r="L1168" s="490"/>
      <c r="M1168" s="490"/>
      <c r="N1168" s="490"/>
      <c r="O1168" s="490"/>
      <c r="P1168" s="490" t="s">
        <v>1525</v>
      </c>
    </row>
    <row r="1169">
      <c r="A1169" s="490"/>
      <c r="B1169" s="490"/>
      <c r="C1169" s="490"/>
      <c r="D1169" s="490"/>
      <c r="E1169" s="593" t="str">
        <f>IFERROR(__xludf.DUMMYFUNCTION("""COMPUTED_VALUE"""),"FLOWDIGITAL")</f>
        <v>FLOWDIGITAL</v>
      </c>
      <c r="F1169" s="593" t="str">
        <f>IFERROR(__xludf.DUMMYFUNCTION("""COMPUTED_VALUE"""),"FD-AM")</f>
        <v>FD-AM</v>
      </c>
      <c r="G1169" s="490"/>
      <c r="H1169" s="490"/>
      <c r="I1169" s="490"/>
      <c r="J1169" s="588"/>
      <c r="K1169" s="490"/>
      <c r="L1169" s="490"/>
      <c r="M1169" s="490"/>
      <c r="N1169" s="490"/>
      <c r="O1169" s="490"/>
      <c r="P1169" s="490" t="s">
        <v>2799</v>
      </c>
    </row>
    <row r="1170">
      <c r="A1170" s="490"/>
      <c r="B1170" s="490"/>
      <c r="C1170" s="490"/>
      <c r="D1170" s="490"/>
      <c r="E1170" s="593" t="str">
        <f>IFERROR(__xludf.DUMMYFUNCTION("""COMPUTED_VALUE"""),"FLOWLINETW")</f>
        <v>FLOWLINETW</v>
      </c>
      <c r="F1170" s="593" t="str">
        <f>IFERROR(__xludf.DUMMYFUNCTION("""COMPUTED_VALUE"""),"TUF11")</f>
        <v>TUF11</v>
      </c>
      <c r="G1170" s="490"/>
      <c r="H1170" s="490"/>
      <c r="I1170" s="490"/>
      <c r="J1170" s="588"/>
      <c r="K1170" s="490"/>
      <c r="L1170" s="490"/>
      <c r="M1170" s="490"/>
      <c r="N1170" s="490"/>
      <c r="O1170" s="490"/>
      <c r="P1170" s="490" t="s">
        <v>2804</v>
      </c>
    </row>
    <row r="1171">
      <c r="A1171" s="490"/>
      <c r="B1171" s="490"/>
      <c r="C1171" s="490"/>
      <c r="D1171" s="490"/>
      <c r="E1171" s="593" t="str">
        <f>IFERROR(__xludf.DUMMYFUNCTION("""COMPUTED_VALUE"""),"FLOWTECH")</f>
        <v>FLOWTECH</v>
      </c>
      <c r="F1171" s="593" t="str">
        <f>IFERROR(__xludf.DUMMYFUNCTION("""COMPUTED_VALUE"""),"EMFM-0552")</f>
        <v>EMFM-0552</v>
      </c>
      <c r="G1171" s="490"/>
      <c r="H1171" s="490"/>
      <c r="I1171" s="490"/>
      <c r="J1171" s="588"/>
      <c r="K1171" s="490"/>
      <c r="L1171" s="490"/>
      <c r="M1171" s="490"/>
      <c r="N1171" s="490"/>
      <c r="O1171" s="490"/>
      <c r="P1171" s="490" t="s">
        <v>2809</v>
      </c>
    </row>
    <row r="1172">
      <c r="A1172" s="490"/>
      <c r="B1172" s="490"/>
      <c r="C1172" s="490"/>
      <c r="D1172" s="490"/>
      <c r="E1172" s="593" t="str">
        <f>IFERROR(__xludf.DUMMYFUNCTION("""COMPUTED_VALUE"""),"FLOWTHERM")</f>
        <v>FLOWTHERM</v>
      </c>
      <c r="F1172" s="593" t="str">
        <f>IFERROR(__xludf.DUMMYFUNCTION("""COMPUTED_VALUE"""),"NANOWATT IE5 BOOSTER")</f>
        <v>NANOWATT IE5 BOOSTER</v>
      </c>
      <c r="G1172" s="490"/>
      <c r="H1172" s="490"/>
      <c r="I1172" s="490"/>
      <c r="J1172" s="588"/>
      <c r="K1172" s="490"/>
      <c r="L1172" s="490"/>
      <c r="M1172" s="490"/>
      <c r="N1172" s="490"/>
      <c r="O1172" s="490"/>
      <c r="P1172" s="490" t="s">
        <v>2814</v>
      </c>
    </row>
    <row r="1173">
      <c r="A1173" s="490"/>
      <c r="B1173" s="490"/>
      <c r="C1173" s="490"/>
      <c r="D1173" s="490"/>
      <c r="E1173" s="593" t="str">
        <f>IFERROR(__xludf.DUMMYFUNCTION("""COMPUTED_VALUE"""),"FLUIDWELL")</f>
        <v>FLUIDWELL</v>
      </c>
      <c r="F1173" s="593" t="str">
        <f>IFERROR(__xludf.DUMMYFUNCTION("""COMPUTED_VALUE"""),"F110")</f>
        <v>F110</v>
      </c>
      <c r="G1173" s="490"/>
      <c r="H1173" s="490"/>
      <c r="I1173" s="490"/>
      <c r="J1173" s="588"/>
      <c r="K1173" s="490"/>
      <c r="L1173" s="490"/>
      <c r="M1173" s="490"/>
      <c r="N1173" s="490"/>
      <c r="O1173" s="490"/>
      <c r="P1173" s="490" t="s">
        <v>1795</v>
      </c>
    </row>
    <row r="1174">
      <c r="A1174" s="490"/>
      <c r="B1174" s="490"/>
      <c r="C1174" s="490"/>
      <c r="D1174" s="490"/>
      <c r="E1174" s="593" t="str">
        <f>IFERROR(__xludf.DUMMYFUNCTION("""COMPUTED_VALUE"""),"FLUTEC")</f>
        <v>FLUTEC</v>
      </c>
      <c r="F1174" s="593" t="str">
        <f>IFERROR(__xludf.DUMMYFUNCTION("""COMPUTED_VALUE"""),"DFCR")</f>
        <v>DFCR</v>
      </c>
      <c r="G1174" s="490"/>
      <c r="H1174" s="490"/>
      <c r="I1174" s="490"/>
      <c r="J1174" s="588"/>
      <c r="K1174" s="490"/>
      <c r="L1174" s="490"/>
      <c r="M1174" s="490"/>
      <c r="N1174" s="490"/>
      <c r="O1174" s="490"/>
      <c r="P1174" s="490" t="s">
        <v>2823</v>
      </c>
    </row>
    <row r="1175">
      <c r="A1175" s="490"/>
      <c r="B1175" s="490"/>
      <c r="C1175" s="490"/>
      <c r="D1175" s="490"/>
      <c r="E1175" s="593" t="str">
        <f>IFERROR(__xludf.DUMMYFUNCTION("""COMPUTED_VALUE"""),"FLUTEC")</f>
        <v>FLUTEC</v>
      </c>
      <c r="F1175" s="593" t="str">
        <f>IFERROR(__xludf.DUMMYFUNCTION("""COMPUTED_VALUE"""),"DFCR 240V-1P")</f>
        <v>DFCR 240V-1P</v>
      </c>
      <c r="G1175" s="490"/>
      <c r="H1175" s="490"/>
      <c r="I1175" s="490"/>
      <c r="J1175" s="588"/>
      <c r="K1175" s="490"/>
      <c r="L1175" s="490"/>
      <c r="M1175" s="490"/>
      <c r="N1175" s="490"/>
      <c r="O1175" s="490"/>
      <c r="P1175" s="490" t="s">
        <v>2828</v>
      </c>
    </row>
    <row r="1176">
      <c r="A1176" s="490"/>
      <c r="B1176" s="490"/>
      <c r="C1176" s="490"/>
      <c r="D1176" s="490"/>
      <c r="E1176" s="593" t="str">
        <f>IFERROR(__xludf.DUMMYFUNCTION("""COMPUTED_VALUE"""),"FOUR FAITH")</f>
        <v>FOUR FAITH</v>
      </c>
      <c r="F1176" s="593" t="str">
        <f>IFERROR(__xludf.DUMMYFUNCTION("""COMPUTED_VALUE"""),"F4932")</f>
        <v>F4932</v>
      </c>
      <c r="G1176" s="490"/>
      <c r="H1176" s="490"/>
      <c r="I1176" s="490"/>
      <c r="J1176" s="588"/>
      <c r="K1176" s="490"/>
      <c r="L1176" s="490"/>
      <c r="M1176" s="490"/>
      <c r="N1176" s="490"/>
      <c r="O1176" s="490"/>
      <c r="P1176" s="490" t="s">
        <v>1962</v>
      </c>
    </row>
    <row r="1177">
      <c r="A1177" s="490"/>
      <c r="B1177" s="490"/>
      <c r="C1177" s="490"/>
      <c r="D1177" s="490"/>
      <c r="E1177" s="593" t="str">
        <f>IFERROR(__xludf.DUMMYFUNCTION("""COMPUTED_VALUE"""),"FRANCE AIR")</f>
        <v>FRANCE AIR</v>
      </c>
      <c r="F1177" s="593" t="str">
        <f>IFERROR(__xludf.DUMMYFUNCTION("""COMPUTED_VALUE"""),"POWERPLAY MAX 90")</f>
        <v>POWERPLAY MAX 90</v>
      </c>
      <c r="G1177" s="490"/>
      <c r="H1177" s="490"/>
      <c r="I1177" s="490"/>
      <c r="J1177" s="588"/>
      <c r="K1177" s="490"/>
      <c r="L1177" s="490"/>
      <c r="M1177" s="490"/>
      <c r="N1177" s="490"/>
      <c r="O1177" s="490"/>
      <c r="P1177" s="490" t="s">
        <v>2833</v>
      </c>
    </row>
    <row r="1178">
      <c r="A1178" s="490"/>
      <c r="B1178" s="490"/>
      <c r="C1178" s="490"/>
      <c r="D1178" s="490"/>
      <c r="E1178" s="593" t="str">
        <f>IFERROR(__xludf.DUMMYFUNCTION("""COMPUTED_VALUE"""),"FRANCE AIR")</f>
        <v>FRANCE AIR</v>
      </c>
      <c r="F1178" s="593" t="str">
        <f>IFERROR(__xludf.DUMMYFUNCTION("""COMPUTED_VALUE"""),"KANA")</f>
        <v>KANA</v>
      </c>
      <c r="G1178" s="490"/>
      <c r="H1178" s="490"/>
      <c r="I1178" s="490"/>
      <c r="J1178" s="588"/>
      <c r="K1178" s="490"/>
      <c r="L1178" s="490"/>
      <c r="M1178" s="490"/>
      <c r="N1178" s="490"/>
      <c r="O1178" s="490"/>
      <c r="P1178" s="490" t="s">
        <v>1972</v>
      </c>
    </row>
    <row r="1179">
      <c r="A1179" s="490"/>
      <c r="B1179" s="490"/>
      <c r="C1179" s="490"/>
      <c r="D1179" s="490"/>
      <c r="E1179" s="593" t="str">
        <f>IFERROR(__xludf.DUMMYFUNCTION("""COMPUTED_VALUE"""),"FRANCE AIR")</f>
        <v>FRANCE AIR</v>
      </c>
      <c r="F1179" s="593" t="str">
        <f>IFERROR(__xludf.DUMMYFUNCTION("""COMPUTED_VALUE"""),"KANA")</f>
        <v>KANA</v>
      </c>
      <c r="G1179" s="490"/>
      <c r="H1179" s="490"/>
      <c r="I1179" s="490"/>
      <c r="J1179" s="588"/>
      <c r="K1179" s="490"/>
      <c r="L1179" s="490"/>
      <c r="M1179" s="490"/>
      <c r="N1179" s="490"/>
      <c r="O1179" s="490"/>
      <c r="P1179" s="490" t="s">
        <v>1982</v>
      </c>
    </row>
    <row r="1180">
      <c r="A1180" s="490"/>
      <c r="B1180" s="490"/>
      <c r="C1180" s="490"/>
      <c r="D1180" s="490"/>
      <c r="E1180" s="593" t="str">
        <f>IFERROR(__xludf.DUMMYFUNCTION("""COMPUTED_VALUE"""),"FRANCE AIR")</f>
        <v>FRANCE AIR</v>
      </c>
      <c r="F1180" s="593" t="str">
        <f>IFERROR(__xludf.DUMMYFUNCTION("""COMPUTED_VALUE"""),"HARMONY FINESSE")</f>
        <v>HARMONY FINESSE</v>
      </c>
      <c r="G1180" s="490"/>
      <c r="H1180" s="490"/>
      <c r="I1180" s="490"/>
      <c r="J1180" s="588"/>
      <c r="K1180" s="490"/>
      <c r="L1180" s="490"/>
      <c r="M1180" s="490"/>
      <c r="N1180" s="490"/>
      <c r="O1180" s="490"/>
      <c r="P1180" s="490" t="s">
        <v>1992</v>
      </c>
    </row>
    <row r="1181">
      <c r="A1181" s="490"/>
      <c r="B1181" s="490"/>
      <c r="C1181" s="490"/>
      <c r="D1181" s="490"/>
      <c r="E1181" s="593" t="str">
        <f>IFERROR(__xludf.DUMMYFUNCTION("""COMPUTED_VALUE"""),"FRANKE")</f>
        <v>FRANKE</v>
      </c>
      <c r="F1181" s="593" t="str">
        <f>IFERROR(__xludf.DUMMYFUNCTION("""COMPUTED_VALUE"""),"COFFEE MACHINE A600")</f>
        <v>COFFEE MACHINE A600</v>
      </c>
      <c r="G1181" s="490"/>
      <c r="H1181" s="490"/>
      <c r="I1181" s="490"/>
      <c r="J1181" s="588"/>
      <c r="K1181" s="490"/>
      <c r="L1181" s="490"/>
      <c r="M1181" s="490"/>
      <c r="N1181" s="490"/>
      <c r="O1181" s="490"/>
      <c r="P1181" s="490" t="s">
        <v>2003</v>
      </c>
    </row>
    <row r="1182">
      <c r="A1182" s="490"/>
      <c r="B1182" s="490"/>
      <c r="C1182" s="490"/>
      <c r="D1182" s="490"/>
      <c r="E1182" s="593" t="str">
        <f>IFERROR(__xludf.DUMMYFUNCTION("""COMPUTED_VALUE"""),"FRESE")</f>
        <v>FRESE</v>
      </c>
      <c r="F1182" s="593" t="str">
        <f>IFERROR(__xludf.DUMMYFUNCTION("""COMPUTED_VALUE"""),"OPTIMA COMPACT DN20")</f>
        <v>OPTIMA COMPACT DN20</v>
      </c>
      <c r="G1182" s="490"/>
      <c r="H1182" s="490"/>
      <c r="I1182" s="490"/>
      <c r="J1182" s="588"/>
      <c r="K1182" s="490"/>
      <c r="L1182" s="490"/>
      <c r="M1182" s="490"/>
      <c r="N1182" s="490"/>
      <c r="O1182" s="490"/>
      <c r="P1182" s="490" t="s">
        <v>2013</v>
      </c>
    </row>
    <row r="1183">
      <c r="A1183" s="490"/>
      <c r="B1183" s="490"/>
      <c r="C1183" s="490"/>
      <c r="D1183" s="490"/>
      <c r="E1183" s="593" t="str">
        <f>IFERROR(__xludf.DUMMYFUNCTION("""COMPUTED_VALUE"""),"FRESH &amp; HONEST")</f>
        <v>FRESH &amp; HONEST</v>
      </c>
      <c r="F1183" s="593" t="str">
        <f>IFERROR(__xludf.DUMMYFUNCTION("""COMPUTED_VALUE"""),"STELLARA")</f>
        <v>STELLARA</v>
      </c>
      <c r="G1183" s="490"/>
      <c r="H1183" s="490"/>
      <c r="I1183" s="490"/>
      <c r="J1183" s="588"/>
      <c r="K1183" s="490"/>
      <c r="L1183" s="490"/>
      <c r="M1183" s="490"/>
      <c r="N1183" s="490"/>
      <c r="O1183" s="490"/>
      <c r="P1183" s="490" t="s">
        <v>2023</v>
      </c>
    </row>
    <row r="1184">
      <c r="A1184" s="490"/>
      <c r="B1184" s="490"/>
      <c r="C1184" s="490"/>
      <c r="D1184" s="490"/>
      <c r="E1184" s="593" t="str">
        <f>IFERROR(__xludf.DUMMYFUNCTION("""COMPUTED_VALUE"""),"FRITZ!BOX")</f>
        <v>FRITZ!BOX</v>
      </c>
      <c r="F1184" s="593" t="str">
        <f>IFERROR(__xludf.DUMMYFUNCTION("""COMPUTED_VALUE"""),"6840 LTE")</f>
        <v>6840 LTE</v>
      </c>
      <c r="G1184" s="490"/>
      <c r="H1184" s="490"/>
      <c r="I1184" s="490"/>
      <c r="J1184" s="588"/>
      <c r="K1184" s="490"/>
      <c r="L1184" s="490"/>
      <c r="M1184" s="490"/>
      <c r="N1184" s="490"/>
      <c r="O1184" s="490"/>
      <c r="P1184" s="490" t="s">
        <v>2033</v>
      </c>
    </row>
    <row r="1185">
      <c r="A1185" s="490"/>
      <c r="B1185" s="490"/>
      <c r="C1185" s="490"/>
      <c r="D1185" s="490"/>
      <c r="E1185" s="593" t="str">
        <f>IFERROR(__xludf.DUMMYFUNCTION("""COMPUTED_VALUE"""),"FUJI ELECTRIC")</f>
        <v>FUJI ELECTRIC</v>
      </c>
      <c r="F1185" s="593" t="str">
        <f>IFERROR(__xludf.DUMMYFUNCTION("""COMPUTED_VALUE"""),"‎FALCON 5000")</f>
        <v>‎FALCON 5000</v>
      </c>
      <c r="G1185" s="490"/>
      <c r="H1185" s="490"/>
      <c r="I1185" s="490"/>
      <c r="J1185" s="588"/>
      <c r="K1185" s="490"/>
      <c r="L1185" s="490"/>
      <c r="M1185" s="490"/>
      <c r="N1185" s="490"/>
      <c r="O1185" s="490"/>
      <c r="P1185" s="490" t="s">
        <v>1821</v>
      </c>
    </row>
    <row r="1186">
      <c r="A1186" s="490"/>
      <c r="B1186" s="490"/>
      <c r="C1186" s="490"/>
      <c r="D1186" s="490"/>
      <c r="E1186" s="593" t="str">
        <f>IFERROR(__xludf.DUMMYFUNCTION("""COMPUTED_VALUE"""),"FUJI ELECTRIC")</f>
        <v>FUJI ELECTRIC</v>
      </c>
      <c r="F1186" s="593" t="str">
        <f>IFERROR(__xludf.DUMMYFUNCTION("""COMPUTED_VALUE"""),"‎FALCON 7000")</f>
        <v>‎FALCON 7000</v>
      </c>
      <c r="G1186" s="490"/>
      <c r="H1186" s="490"/>
      <c r="I1186" s="490"/>
      <c r="J1186" s="588"/>
      <c r="K1186" s="490"/>
      <c r="L1186" s="490"/>
      <c r="M1186" s="490"/>
      <c r="N1186" s="490"/>
      <c r="O1186" s="490"/>
      <c r="P1186" s="490" t="s">
        <v>2043</v>
      </c>
    </row>
    <row r="1187">
      <c r="A1187" s="490"/>
      <c r="B1187" s="490"/>
      <c r="C1187" s="490"/>
      <c r="D1187" s="490"/>
      <c r="E1187" s="593" t="str">
        <f>IFERROR(__xludf.DUMMYFUNCTION("""COMPUTED_VALUE"""),"FUJITSU")</f>
        <v>FUJITSU</v>
      </c>
      <c r="F1187" s="593" t="str">
        <f>IFERROR(__xludf.DUMMYFUNCTION("""COMPUTED_VALUE"""),"TERRA PC")</f>
        <v>TERRA PC</v>
      </c>
      <c r="G1187" s="490"/>
      <c r="H1187" s="490"/>
      <c r="I1187" s="490"/>
      <c r="J1187" s="588"/>
      <c r="K1187" s="490"/>
      <c r="L1187" s="490"/>
      <c r="M1187" s="490"/>
      <c r="N1187" s="490"/>
      <c r="O1187" s="490"/>
      <c r="P1187" s="490" t="s">
        <v>1613</v>
      </c>
    </row>
    <row r="1188">
      <c r="A1188" s="490"/>
      <c r="B1188" s="490"/>
      <c r="C1188" s="490"/>
      <c r="D1188" s="490"/>
      <c r="E1188" s="593" t="str">
        <f>IFERROR(__xludf.DUMMYFUNCTION("""COMPUTED_VALUE"""),"FUJITSU")</f>
        <v>FUJITSU</v>
      </c>
      <c r="F1188" s="593" t="str">
        <f>IFERROR(__xludf.DUMMYFUNCTION("""COMPUTED_VALUE"""),"PRIMERGY TX1320 M4")</f>
        <v>PRIMERGY TX1320 M4</v>
      </c>
      <c r="G1188" s="490"/>
      <c r="H1188" s="490"/>
      <c r="I1188" s="490"/>
      <c r="J1188" s="588"/>
      <c r="K1188" s="490"/>
      <c r="L1188" s="490"/>
      <c r="M1188" s="490"/>
      <c r="N1188" s="490"/>
      <c r="O1188" s="490"/>
      <c r="P1188" s="490" t="s">
        <v>1621</v>
      </c>
    </row>
    <row r="1189">
      <c r="A1189" s="490"/>
      <c r="B1189" s="490"/>
      <c r="C1189" s="490"/>
      <c r="D1189" s="490"/>
      <c r="E1189" s="593" t="str">
        <f>IFERROR(__xludf.DUMMYFUNCTION("""COMPUTED_VALUE"""),"FUJITSU")</f>
        <v>FUJITSU</v>
      </c>
      <c r="F1189" s="593" t="str">
        <f>IFERROR(__xludf.DUMMYFUNCTION("""COMPUTED_VALUE"""),"PRIMERGY SERVER")</f>
        <v>PRIMERGY SERVER</v>
      </c>
      <c r="G1189" s="490"/>
      <c r="H1189" s="490"/>
      <c r="I1189" s="490"/>
      <c r="J1189" s="588"/>
      <c r="K1189" s="490"/>
      <c r="L1189" s="490"/>
      <c r="M1189" s="490"/>
      <c r="N1189" s="490"/>
      <c r="O1189" s="490"/>
      <c r="P1189" s="490" t="s">
        <v>1626</v>
      </c>
    </row>
    <row r="1190">
      <c r="A1190" s="490"/>
      <c r="B1190" s="490"/>
      <c r="C1190" s="490"/>
      <c r="D1190" s="490"/>
      <c r="E1190" s="593" t="str">
        <f>IFERROR(__xludf.DUMMYFUNCTION("""COMPUTED_VALUE"""),"FUJITSU")</f>
        <v>FUJITSU</v>
      </c>
      <c r="F1190" s="593" t="str">
        <f>IFERROR(__xludf.DUMMYFUNCTION("""COMPUTED_VALUE"""),"ESPRIMO P558/EXX+")</f>
        <v>ESPRIMO P558/EXX+</v>
      </c>
      <c r="G1190" s="490"/>
      <c r="H1190" s="490"/>
      <c r="I1190" s="490"/>
      <c r="J1190" s="588"/>
      <c r="K1190" s="490"/>
      <c r="L1190" s="490"/>
      <c r="M1190" s="490"/>
      <c r="N1190" s="490"/>
      <c r="O1190" s="490"/>
      <c r="P1190" s="490" t="s">
        <v>1630</v>
      </c>
    </row>
    <row r="1191">
      <c r="A1191" s="490"/>
      <c r="B1191" s="490"/>
      <c r="C1191" s="490"/>
      <c r="D1191" s="490"/>
      <c r="E1191" s="593" t="str">
        <f>IFERROR(__xludf.DUMMYFUNCTION("""COMPUTED_VALUE"""),"FUJITSU")</f>
        <v>FUJITSU</v>
      </c>
      <c r="F1191" s="593" t="str">
        <f>IFERROR(__xludf.DUMMYFUNCTION("""COMPUTED_VALUE"""),"NETWORK CONVERTOR")</f>
        <v>NETWORK CONVERTOR</v>
      </c>
      <c r="G1191" s="490"/>
      <c r="H1191" s="490"/>
      <c r="I1191" s="490"/>
      <c r="J1191" s="588"/>
      <c r="K1191" s="490"/>
      <c r="L1191" s="490"/>
      <c r="M1191" s="490"/>
      <c r="N1191" s="490"/>
      <c r="O1191" s="490"/>
      <c r="P1191" s="490" t="s">
        <v>1634</v>
      </c>
    </row>
    <row r="1192">
      <c r="A1192" s="490"/>
      <c r="B1192" s="490"/>
      <c r="C1192" s="490"/>
      <c r="D1192" s="490"/>
      <c r="E1192" s="593" t="str">
        <f>IFERROR(__xludf.DUMMYFUNCTION("""COMPUTED_VALUE"""),"FUNCTIONAL DEVICES")</f>
        <v>FUNCTIONAL DEVICES</v>
      </c>
      <c r="F1192" s="593" t="str">
        <f>IFERROR(__xludf.DUMMYFUNCTION("""COMPUTED_VALUE"""),"PSH600 UPS")</f>
        <v>PSH600 UPS</v>
      </c>
      <c r="G1192" s="490"/>
      <c r="H1192" s="490"/>
      <c r="I1192" s="490"/>
      <c r="J1192" s="588"/>
      <c r="K1192" s="490"/>
      <c r="L1192" s="490"/>
      <c r="M1192" s="490"/>
      <c r="N1192" s="490"/>
      <c r="O1192" s="490"/>
      <c r="P1192" s="490" t="s">
        <v>1638</v>
      </c>
    </row>
    <row r="1193">
      <c r="A1193" s="490"/>
      <c r="B1193" s="490"/>
      <c r="C1193" s="490"/>
      <c r="D1193" s="490"/>
      <c r="E1193" s="593" t="str">
        <f>IFERROR(__xludf.DUMMYFUNCTION("""COMPUTED_VALUE"""),"FUSHI ICE MOUNTAIN")</f>
        <v>FUSHI ICE MOUNTAIN</v>
      </c>
      <c r="F1193" s="593" t="str">
        <f>IFERROR(__xludf.DUMMYFUNCTION("""COMPUTED_VALUE"""),"FVM-CP")</f>
        <v>FVM-CP</v>
      </c>
      <c r="G1193" s="490"/>
      <c r="H1193" s="490"/>
      <c r="I1193" s="490"/>
      <c r="J1193" s="588"/>
      <c r="K1193" s="490"/>
      <c r="L1193" s="490"/>
      <c r="M1193" s="490"/>
      <c r="N1193" s="490"/>
      <c r="O1193" s="490"/>
      <c r="P1193" s="490" t="s">
        <v>1642</v>
      </c>
    </row>
    <row r="1194">
      <c r="A1194" s="490"/>
      <c r="B1194" s="490"/>
      <c r="C1194" s="490"/>
      <c r="D1194" s="490"/>
      <c r="E1194" s="593" t="str">
        <f>IFERROR(__xludf.DUMMYFUNCTION("""COMPUTED_VALUE"""),"FUSHI ICE MOUNTAIN")</f>
        <v>FUSHI ICE MOUNTAIN</v>
      </c>
      <c r="F1194" s="593" t="str">
        <f>IFERROR(__xludf.DUMMYFUNCTION("""COMPUTED_VALUE"""),"VCM5000")</f>
        <v>VCM5000</v>
      </c>
      <c r="G1194" s="490"/>
      <c r="H1194" s="490"/>
      <c r="I1194" s="490"/>
      <c r="J1194" s="588"/>
      <c r="K1194" s="490"/>
      <c r="L1194" s="490"/>
      <c r="M1194" s="490"/>
      <c r="N1194" s="490"/>
      <c r="O1194" s="490"/>
      <c r="P1194" s="490" t="s">
        <v>1646</v>
      </c>
    </row>
    <row r="1195">
      <c r="A1195" s="490"/>
      <c r="B1195" s="490"/>
      <c r="C1195" s="490"/>
      <c r="D1195" s="490"/>
      <c r="E1195" s="593" t="str">
        <f>IFERROR(__xludf.DUMMYFUNCTION("""COMPUTED_VALUE"""),"GAGGIA")</f>
        <v>GAGGIA</v>
      </c>
      <c r="F1195" s="593" t="str">
        <f>IFERROR(__xludf.DUMMYFUNCTION("""COMPUTED_VALUE"""),"LA SOLARE")</f>
        <v>LA SOLARE</v>
      </c>
      <c r="G1195" s="490"/>
      <c r="H1195" s="490"/>
      <c r="I1195" s="490"/>
      <c r="J1195" s="588"/>
      <c r="K1195" s="490"/>
      <c r="L1195" s="490"/>
      <c r="M1195" s="490"/>
      <c r="N1195" s="490"/>
      <c r="O1195" s="490"/>
      <c r="P1195" s="490" t="s">
        <v>1650</v>
      </c>
    </row>
    <row r="1196">
      <c r="A1196" s="490"/>
      <c r="B1196" s="490"/>
      <c r="C1196" s="490"/>
      <c r="D1196" s="490"/>
      <c r="E1196" s="593" t="str">
        <f>IFERROR(__xludf.DUMMYFUNCTION("""COMPUTED_VALUE"""),"GARRISON")</f>
        <v>GARRISON</v>
      </c>
      <c r="F1196" s="593" t="str">
        <f>IFERROR(__xludf.DUMMYFUNCTION("""COMPUTED_VALUE"""),"LK120S")</f>
        <v>LK120S</v>
      </c>
      <c r="G1196" s="490"/>
      <c r="H1196" s="490"/>
      <c r="I1196" s="490"/>
      <c r="J1196" s="588"/>
      <c r="K1196" s="490"/>
      <c r="L1196" s="490"/>
      <c r="M1196" s="490"/>
      <c r="N1196" s="490"/>
      <c r="O1196" s="490"/>
      <c r="P1196" s="490" t="s">
        <v>2053</v>
      </c>
    </row>
    <row r="1197">
      <c r="A1197" s="490"/>
      <c r="B1197" s="490"/>
      <c r="C1197" s="490"/>
      <c r="D1197" s="490"/>
      <c r="E1197" s="593" t="str">
        <f>IFERROR(__xludf.DUMMYFUNCTION("""COMPUTED_VALUE"""),"GAYLORD")</f>
        <v>GAYLORD</v>
      </c>
      <c r="F1197" s="593" t="str">
        <f>IFERROR(__xludf.DUMMYFUNCTION("""COMPUTED_VALUE"""),"AIRVANTAGE DCV-AV")</f>
        <v>AIRVANTAGE DCV-AV</v>
      </c>
      <c r="G1197" s="490"/>
      <c r="H1197" s="490"/>
      <c r="I1197" s="490"/>
      <c r="J1197" s="588"/>
      <c r="K1197" s="490"/>
      <c r="L1197" s="490"/>
      <c r="M1197" s="490"/>
      <c r="N1197" s="490"/>
      <c r="O1197" s="490"/>
      <c r="P1197" s="490" t="s">
        <v>1655</v>
      </c>
    </row>
    <row r="1198">
      <c r="A1198" s="490"/>
      <c r="B1198" s="490"/>
      <c r="C1198" s="490"/>
      <c r="D1198" s="490"/>
      <c r="E1198" s="593" t="str">
        <f>IFERROR(__xludf.DUMMYFUNCTION("""COMPUTED_VALUE"""),"GAYLORD")</f>
        <v>GAYLORD</v>
      </c>
      <c r="F1198" s="593" t="str">
        <f>IFERROR(__xludf.DUMMYFUNCTION("""COMPUTED_VALUE"""),"POLLUTION CNTRL UNIT")</f>
        <v>POLLUTION CNTRL UNIT</v>
      </c>
      <c r="G1198" s="490"/>
      <c r="H1198" s="490"/>
      <c r="I1198" s="490"/>
      <c r="J1198" s="588"/>
      <c r="K1198" s="490"/>
      <c r="L1198" s="490"/>
      <c r="M1198" s="490"/>
      <c r="N1198" s="490"/>
      <c r="O1198" s="490"/>
      <c r="P1198" s="490" t="s">
        <v>1659</v>
      </c>
    </row>
    <row r="1199">
      <c r="A1199" s="490"/>
      <c r="B1199" s="490"/>
      <c r="C1199" s="490"/>
      <c r="D1199" s="490"/>
      <c r="E1199" s="593" t="str">
        <f>IFERROR(__xludf.DUMMYFUNCTION("""COMPUTED_VALUE"""),"GESYTEC")</f>
        <v>GESYTEC</v>
      </c>
      <c r="F1199" s="593" t="str">
        <f>IFERROR(__xludf.DUMMYFUNCTION("""COMPUTED_VALUE"""),"EASYLON ROUTER +")</f>
        <v>EASYLON ROUTER +</v>
      </c>
      <c r="G1199" s="490"/>
      <c r="H1199" s="490"/>
      <c r="I1199" s="490"/>
      <c r="J1199" s="588"/>
      <c r="K1199" s="490"/>
      <c r="L1199" s="490"/>
      <c r="M1199" s="490"/>
      <c r="N1199" s="490"/>
      <c r="O1199" s="490"/>
      <c r="P1199" s="490" t="s">
        <v>1664</v>
      </c>
    </row>
    <row r="1200">
      <c r="A1200" s="490"/>
      <c r="B1200" s="490"/>
      <c r="C1200" s="490"/>
      <c r="D1200" s="490"/>
      <c r="E1200" s="593" t="str">
        <f>IFERROR(__xludf.DUMMYFUNCTION("""COMPUTED_VALUE"""),"GIADA")</f>
        <v>GIADA</v>
      </c>
      <c r="F1200" s="593" t="str">
        <f>IFERROR(__xludf.DUMMYFUNCTION("""COMPUTED_VALUE"""),"V SERIES")</f>
        <v>V SERIES</v>
      </c>
      <c r="G1200" s="490"/>
      <c r="H1200" s="490"/>
      <c r="I1200" s="490"/>
      <c r="J1200" s="588"/>
      <c r="K1200" s="490"/>
      <c r="L1200" s="490"/>
      <c r="M1200" s="490"/>
      <c r="N1200" s="490"/>
      <c r="O1200" s="490"/>
      <c r="P1200" s="490" t="s">
        <v>1669</v>
      </c>
    </row>
    <row r="1201">
      <c r="A1201" s="490"/>
      <c r="B1201" s="490"/>
      <c r="C1201" s="490"/>
      <c r="D1201" s="490"/>
      <c r="E1201" s="593" t="str">
        <f>IFERROR(__xludf.DUMMYFUNCTION("""COMPUTED_VALUE"""),"GIGA-BYTE")</f>
        <v>GIGA-BYTE</v>
      </c>
      <c r="F1201" s="593" t="str">
        <f>IFERROR(__xludf.DUMMYFUNCTION("""COMPUTED_VALUE"""),"B360M-DS3H")</f>
        <v>B360M-DS3H</v>
      </c>
      <c r="G1201" s="490"/>
      <c r="H1201" s="490"/>
      <c r="I1201" s="490"/>
      <c r="J1201" s="588"/>
      <c r="K1201" s="490"/>
      <c r="L1201" s="490"/>
      <c r="M1201" s="490"/>
      <c r="N1201" s="490"/>
      <c r="O1201" s="490"/>
      <c r="P1201" s="490" t="s">
        <v>1674</v>
      </c>
    </row>
    <row r="1202">
      <c r="A1202" s="490"/>
      <c r="B1202" s="490"/>
      <c r="C1202" s="490"/>
      <c r="D1202" s="490"/>
      <c r="E1202" s="593" t="str">
        <f>IFERROR(__xludf.DUMMYFUNCTION("""COMPUTED_VALUE"""),"GIGA-BYTE")</f>
        <v>GIGA-BYTE</v>
      </c>
      <c r="F1202" s="593" t="str">
        <f>IFERROR(__xludf.DUMMYFUNCTION("""COMPUTED_VALUE"""),"DESKTOP PC")</f>
        <v>DESKTOP PC</v>
      </c>
      <c r="G1202" s="490"/>
      <c r="H1202" s="490"/>
      <c r="I1202" s="490"/>
      <c r="J1202" s="588"/>
      <c r="K1202" s="490"/>
      <c r="L1202" s="490"/>
      <c r="M1202" s="490"/>
      <c r="N1202" s="490"/>
      <c r="O1202" s="490"/>
      <c r="P1202" s="490" t="s">
        <v>1679</v>
      </c>
    </row>
    <row r="1203">
      <c r="A1203" s="490"/>
      <c r="B1203" s="490"/>
      <c r="C1203" s="490"/>
      <c r="D1203" s="490"/>
      <c r="E1203" s="593" t="str">
        <f>IFERROR(__xludf.DUMMYFUNCTION("""COMPUTED_VALUE"""),"GIGA-BYTE")</f>
        <v>GIGA-BYTE</v>
      </c>
      <c r="F1203" s="593" t="str">
        <f>IFERROR(__xludf.DUMMYFUNCTION("""COMPUTED_VALUE"""),"GB-BXBT-2807")</f>
        <v>GB-BXBT-2807</v>
      </c>
      <c r="G1203" s="490"/>
      <c r="H1203" s="490"/>
      <c r="I1203" s="490"/>
      <c r="J1203" s="588"/>
      <c r="K1203" s="490"/>
      <c r="L1203" s="490"/>
      <c r="M1203" s="490"/>
      <c r="N1203" s="490"/>
      <c r="O1203" s="490"/>
      <c r="P1203" s="490" t="s">
        <v>1685</v>
      </c>
    </row>
    <row r="1204">
      <c r="A1204" s="490"/>
      <c r="B1204" s="490"/>
      <c r="C1204" s="490"/>
      <c r="D1204" s="490"/>
      <c r="E1204" s="593" t="str">
        <f>IFERROR(__xludf.DUMMYFUNCTION("""COMPUTED_VALUE"""),"GIGA-BYTE")</f>
        <v>GIGA-BYTE</v>
      </c>
      <c r="F1204" s="593" t="str">
        <f>IFERROR(__xludf.DUMMYFUNCTION("""COMPUTED_VALUE"""),"STU-6895")</f>
        <v>STU-6895</v>
      </c>
      <c r="G1204" s="490"/>
      <c r="H1204" s="490"/>
      <c r="I1204" s="490"/>
      <c r="J1204" s="588"/>
      <c r="K1204" s="490"/>
      <c r="L1204" s="490"/>
      <c r="M1204" s="490"/>
      <c r="N1204" s="490"/>
      <c r="O1204" s="490"/>
      <c r="P1204" s="490" t="s">
        <v>1690</v>
      </c>
    </row>
    <row r="1205">
      <c r="A1205" s="490"/>
      <c r="B1205" s="490"/>
      <c r="C1205" s="490"/>
      <c r="D1205" s="490"/>
      <c r="E1205" s="593" t="str">
        <f>IFERROR(__xludf.DUMMYFUNCTION("""COMPUTED_VALUE"""),"GIGA-BYTE TECHNOLOGY CO")</f>
        <v>GIGA-BYTE TECHNOLOGY CO</v>
      </c>
      <c r="F1205" s="593" t="str">
        <f>IFERROR(__xludf.DUMMYFUNCTION("""COMPUTED_VALUE"""),"GIGA-BYTE DEVICE")</f>
        <v>GIGA-BYTE DEVICE</v>
      </c>
      <c r="G1205" s="490"/>
      <c r="H1205" s="490"/>
      <c r="I1205" s="490"/>
      <c r="J1205" s="588"/>
      <c r="K1205" s="490"/>
      <c r="L1205" s="490"/>
      <c r="M1205" s="490"/>
      <c r="N1205" s="490"/>
      <c r="O1205" s="490"/>
      <c r="P1205" s="490" t="s">
        <v>1695</v>
      </c>
    </row>
    <row r="1206">
      <c r="A1206" s="490"/>
      <c r="B1206" s="490"/>
      <c r="C1206" s="490"/>
      <c r="D1206" s="490"/>
      <c r="E1206" s="593" t="str">
        <f>IFERROR(__xludf.DUMMYFUNCTION("""COMPUTED_VALUE"""),"GIRA")</f>
        <v>GIRA</v>
      </c>
      <c r="F1206" s="593" t="str">
        <f>IFERROR(__xludf.DUMMYFUNCTION("""COMPUTED_VALUE"""),"G1 POE")</f>
        <v>G1 POE</v>
      </c>
      <c r="G1206" s="490"/>
      <c r="H1206" s="490"/>
      <c r="I1206" s="490"/>
      <c r="J1206" s="588"/>
      <c r="K1206" s="490"/>
      <c r="L1206" s="490"/>
      <c r="M1206" s="490"/>
      <c r="N1206" s="490"/>
      <c r="O1206" s="490"/>
      <c r="P1206" s="490" t="s">
        <v>1700</v>
      </c>
    </row>
    <row r="1207">
      <c r="A1207" s="490"/>
      <c r="B1207" s="490"/>
      <c r="C1207" s="490"/>
      <c r="D1207" s="490"/>
      <c r="E1207" s="593" t="str">
        <f>IFERROR(__xludf.DUMMYFUNCTION("""COMPUTED_VALUE"""),"GLAMOX")</f>
        <v>GLAMOX</v>
      </c>
      <c r="F1207" s="593" t="str">
        <f>IFERROR(__xludf.DUMMYFUNCTION("""COMPUTED_VALUE"""),"E2D VERTEX APC G3")</f>
        <v>E2D VERTEX APC G3</v>
      </c>
      <c r="G1207" s="490"/>
      <c r="H1207" s="490"/>
      <c r="I1207" s="490"/>
      <c r="J1207" s="588"/>
      <c r="K1207" s="490"/>
      <c r="L1207" s="490"/>
      <c r="M1207" s="490"/>
      <c r="N1207" s="490"/>
      <c r="O1207" s="490"/>
      <c r="P1207" s="490" t="s">
        <v>2063</v>
      </c>
    </row>
    <row r="1208">
      <c r="A1208" s="490"/>
      <c r="B1208" s="490"/>
      <c r="C1208" s="490"/>
      <c r="D1208" s="490"/>
      <c r="E1208" s="593" t="str">
        <f>IFERROR(__xludf.DUMMYFUNCTION("""COMPUTED_VALUE"""),"GLOBAL CONTROL 5")</f>
        <v>GLOBAL CONTROL 5</v>
      </c>
      <c r="F1208" s="593" t="str">
        <f>IFERROR(__xludf.DUMMYFUNCTION("""COMPUTED_VALUE"""),"ISMA-B-MIX38-IP")</f>
        <v>ISMA-B-MIX38-IP</v>
      </c>
      <c r="G1208" s="490"/>
      <c r="H1208" s="490"/>
      <c r="I1208" s="490"/>
      <c r="J1208" s="588"/>
      <c r="K1208" s="490"/>
      <c r="L1208" s="490"/>
      <c r="M1208" s="490"/>
      <c r="N1208" s="490"/>
      <c r="O1208" s="490"/>
      <c r="P1208" s="490" t="s">
        <v>1705</v>
      </c>
    </row>
    <row r="1209">
      <c r="A1209" s="490"/>
      <c r="B1209" s="490"/>
      <c r="C1209" s="490"/>
      <c r="D1209" s="490"/>
      <c r="E1209" s="593" t="str">
        <f>IFERROR(__xludf.DUMMYFUNCTION("""COMPUTED_VALUE"""),"GLOBAL CONTROL 5")</f>
        <v>GLOBAL CONTROL 5</v>
      </c>
      <c r="F1209" s="593" t="str">
        <f>IFERROR(__xludf.DUMMYFUNCTION("""COMPUTED_VALUE"""),"ISMA MG-IP")</f>
        <v>ISMA MG-IP</v>
      </c>
      <c r="G1209" s="490"/>
      <c r="H1209" s="490"/>
      <c r="I1209" s="490"/>
      <c r="J1209" s="588"/>
      <c r="K1209" s="490"/>
      <c r="L1209" s="490"/>
      <c r="M1209" s="490"/>
      <c r="N1209" s="490"/>
      <c r="O1209" s="490"/>
      <c r="P1209" s="490" t="s">
        <v>1710</v>
      </c>
    </row>
    <row r="1210">
      <c r="A1210" s="490"/>
      <c r="B1210" s="490"/>
      <c r="C1210" s="490"/>
      <c r="D1210" s="490"/>
      <c r="E1210" s="593" t="str">
        <f>IFERROR(__xludf.DUMMYFUNCTION("""COMPUTED_VALUE"""),"GLOBAL CONTROL 5")</f>
        <v>GLOBAL CONTROL 5</v>
      </c>
      <c r="F1210" s="593" t="str">
        <f>IFERROR(__xludf.DUMMYFUNCTION("""COMPUTED_VALUE"""),"ISMA-B-AAC20")</f>
        <v>ISMA-B-AAC20</v>
      </c>
      <c r="G1210" s="490"/>
      <c r="H1210" s="490"/>
      <c r="I1210" s="490"/>
      <c r="J1210" s="588"/>
      <c r="K1210" s="490"/>
      <c r="L1210" s="490"/>
      <c r="M1210" s="490"/>
      <c r="N1210" s="490"/>
      <c r="O1210" s="490"/>
      <c r="P1210" s="490" t="s">
        <v>1714</v>
      </c>
    </row>
    <row r="1211">
      <c r="A1211" s="490"/>
      <c r="B1211" s="490"/>
      <c r="C1211" s="490"/>
      <c r="D1211" s="490"/>
      <c r="E1211" s="593" t="str">
        <f>IFERROR(__xludf.DUMMYFUNCTION("""COMPUTED_VALUE"""),"GLOBAL CONTROL 5")</f>
        <v>GLOBAL CONTROL 5</v>
      </c>
      <c r="F1211" s="593" t="str">
        <f>IFERROR(__xludf.DUMMYFUNCTION("""COMPUTED_VALUE"""),"ISMA-B-AAC20")</f>
        <v>ISMA-B-AAC20</v>
      </c>
      <c r="G1211" s="490"/>
      <c r="H1211" s="490"/>
      <c r="I1211" s="490"/>
      <c r="J1211" s="588"/>
      <c r="K1211" s="490"/>
      <c r="L1211" s="490"/>
      <c r="M1211" s="490"/>
      <c r="N1211" s="490"/>
      <c r="O1211" s="490"/>
      <c r="P1211" s="490" t="s">
        <v>1719</v>
      </c>
    </row>
    <row r="1212">
      <c r="A1212" s="490"/>
      <c r="B1212" s="490"/>
      <c r="C1212" s="490"/>
      <c r="D1212" s="490"/>
      <c r="E1212" s="593" t="str">
        <f>IFERROR(__xludf.DUMMYFUNCTION("""COMPUTED_VALUE"""),"GLOBAL VR")</f>
        <v>GLOBAL VR</v>
      </c>
      <c r="F1212" s="593" t="str">
        <f>IFERROR(__xludf.DUMMYFUNCTION("""COMPUTED_VALUE"""),"NEED FOR SPEED")</f>
        <v>NEED FOR SPEED</v>
      </c>
      <c r="G1212" s="490"/>
      <c r="H1212" s="490"/>
      <c r="I1212" s="490"/>
      <c r="J1212" s="588"/>
      <c r="K1212" s="490"/>
      <c r="L1212" s="490"/>
      <c r="M1212" s="490"/>
      <c r="N1212" s="490"/>
      <c r="O1212" s="490"/>
      <c r="P1212" s="490" t="s">
        <v>1724</v>
      </c>
    </row>
    <row r="1213">
      <c r="A1213" s="490"/>
      <c r="B1213" s="490"/>
      <c r="C1213" s="490"/>
      <c r="D1213" s="490"/>
      <c r="E1213" s="593" t="str">
        <f>IFERROR(__xludf.DUMMYFUNCTION("""COMPUTED_VALUE"""),"GLOBALSCALE")</f>
        <v>GLOBALSCALE</v>
      </c>
      <c r="F1213" s="593" t="str">
        <f>IFERROR(__xludf.DUMMYFUNCTION("""COMPUTED_VALUE"""),"003-DS2001")</f>
        <v>003-DS2001</v>
      </c>
      <c r="G1213" s="490"/>
      <c r="H1213" s="490"/>
      <c r="I1213" s="490"/>
      <c r="J1213" s="588"/>
      <c r="K1213" s="490"/>
      <c r="L1213" s="490"/>
      <c r="M1213" s="490"/>
      <c r="N1213" s="490"/>
      <c r="O1213" s="490"/>
      <c r="P1213" s="490" t="s">
        <v>1729</v>
      </c>
    </row>
    <row r="1214">
      <c r="A1214" s="490"/>
      <c r="B1214" s="490"/>
      <c r="C1214" s="490"/>
      <c r="D1214" s="490"/>
      <c r="E1214" s="593" t="str">
        <f>IFERROR(__xludf.DUMMYFUNCTION("""COMPUTED_VALUE"""),"GLORYSTAR")</f>
        <v>GLORYSTAR</v>
      </c>
      <c r="F1214" s="593" t="str">
        <f>IFERROR(__xludf.DUMMYFUNCTION("""COMPUTED_VALUE"""),"NEB215")</f>
        <v>NEB215</v>
      </c>
      <c r="G1214" s="490"/>
      <c r="H1214" s="490"/>
      <c r="I1214" s="490"/>
      <c r="J1214" s="588"/>
      <c r="K1214" s="490"/>
      <c r="L1214" s="490"/>
      <c r="M1214" s="490"/>
      <c r="N1214" s="490"/>
      <c r="O1214" s="490"/>
      <c r="P1214" s="490" t="s">
        <v>1735</v>
      </c>
    </row>
    <row r="1215">
      <c r="A1215" s="490"/>
      <c r="B1215" s="490"/>
      <c r="C1215" s="490"/>
      <c r="D1215" s="490"/>
      <c r="E1215" s="593" t="str">
        <f>IFERROR(__xludf.DUMMYFUNCTION("""COMPUTED_VALUE"""),"GLORYSTAR")</f>
        <v>GLORYSTAR</v>
      </c>
      <c r="F1215" s="593" t="str">
        <f>IFERROR(__xludf.DUMMYFUNCTION("""COMPUTED_VALUE"""),"NEB215")</f>
        <v>NEB215</v>
      </c>
      <c r="G1215" s="490"/>
      <c r="H1215" s="490"/>
      <c r="I1215" s="490"/>
      <c r="J1215" s="588"/>
      <c r="K1215" s="490"/>
      <c r="L1215" s="490"/>
      <c r="M1215" s="490"/>
      <c r="N1215" s="490"/>
      <c r="O1215" s="490"/>
      <c r="P1215" s="490" t="s">
        <v>1740</v>
      </c>
    </row>
    <row r="1216">
      <c r="A1216" s="490"/>
      <c r="B1216" s="490"/>
      <c r="C1216" s="490"/>
      <c r="D1216" s="490"/>
      <c r="E1216" s="593" t="str">
        <f>IFERROR(__xludf.DUMMYFUNCTION("""COMPUTED_VALUE"""),"GOOGLE")</f>
        <v>GOOGLE</v>
      </c>
      <c r="F1216" s="593" t="str">
        <f>IFERROR(__xludf.DUMMYFUNCTION("""COMPUTED_VALUE"""),"GFRG210")</f>
        <v>GFRG210</v>
      </c>
      <c r="G1216" s="490"/>
      <c r="H1216" s="490"/>
      <c r="I1216" s="490"/>
      <c r="J1216" s="588"/>
      <c r="K1216" s="490"/>
      <c r="L1216" s="490"/>
      <c r="M1216" s="490"/>
      <c r="N1216" s="490"/>
      <c r="O1216" s="490"/>
      <c r="P1216" s="490" t="s">
        <v>1745</v>
      </c>
    </row>
    <row r="1217">
      <c r="A1217" s="490"/>
      <c r="B1217" s="490"/>
      <c r="C1217" s="490"/>
      <c r="D1217" s="490"/>
      <c r="E1217" s="593" t="str">
        <f>IFERROR(__xludf.DUMMYFUNCTION("""COMPUTED_VALUE"""),"GOOGLE")</f>
        <v>GOOGLE</v>
      </c>
      <c r="F1217" s="593" t="str">
        <f>IFERROR(__xludf.DUMMYFUNCTION("""COMPUTED_VALUE"""),"ANDROID 10")</f>
        <v>ANDROID 10</v>
      </c>
      <c r="G1217" s="490"/>
      <c r="H1217" s="490"/>
      <c r="I1217" s="490"/>
      <c r="J1217" s="588"/>
      <c r="K1217" s="490"/>
      <c r="L1217" s="490"/>
      <c r="M1217" s="490"/>
      <c r="N1217" s="490"/>
      <c r="O1217" s="490"/>
      <c r="P1217" s="490" t="s">
        <v>1750</v>
      </c>
    </row>
    <row r="1218">
      <c r="A1218" s="490"/>
      <c r="B1218" s="490"/>
      <c r="C1218" s="490"/>
      <c r="D1218" s="490"/>
      <c r="E1218" s="593" t="str">
        <f>IFERROR(__xludf.DUMMYFUNCTION("""COMPUTED_VALUE"""),"GOOGLE")</f>
        <v>GOOGLE</v>
      </c>
      <c r="F1218" s="593" t="str">
        <f>IFERROR(__xludf.DUMMYFUNCTION("""COMPUTED_VALUE"""),"2AOVU-SN8BABX")</f>
        <v>2AOVU-SN8BABX</v>
      </c>
      <c r="G1218" s="490"/>
      <c r="H1218" s="490"/>
      <c r="I1218" s="490"/>
      <c r="J1218" s="588"/>
      <c r="K1218" s="490"/>
      <c r="L1218" s="490"/>
      <c r="M1218" s="490"/>
      <c r="N1218" s="490"/>
      <c r="O1218" s="490"/>
      <c r="P1218" s="490" t="s">
        <v>2073</v>
      </c>
    </row>
    <row r="1219">
      <c r="A1219" s="490"/>
      <c r="B1219" s="490"/>
      <c r="C1219" s="490"/>
      <c r="D1219" s="490"/>
      <c r="E1219" s="593" t="str">
        <f>IFERROR(__xludf.DUMMYFUNCTION("""COMPUTED_VALUE"""),"GOOGLE")</f>
        <v>GOOGLE</v>
      </c>
      <c r="F1219" s="593" t="str">
        <f>IFERROR(__xludf.DUMMYFUNCTION("""COMPUTED_VALUE"""),"AIRTV")</f>
        <v>AIRTV</v>
      </c>
      <c r="G1219" s="490"/>
      <c r="H1219" s="490"/>
      <c r="I1219" s="490"/>
      <c r="J1219" s="588"/>
      <c r="K1219" s="490"/>
      <c r="L1219" s="490"/>
      <c r="M1219" s="490"/>
      <c r="N1219" s="490"/>
      <c r="O1219" s="490"/>
      <c r="P1219" s="490" t="s">
        <v>1755</v>
      </c>
    </row>
    <row r="1220">
      <c r="A1220" s="490"/>
      <c r="B1220" s="490"/>
      <c r="C1220" s="490"/>
      <c r="D1220" s="490"/>
      <c r="E1220" s="593" t="str">
        <f>IFERROR(__xludf.DUMMYFUNCTION("""COMPUTED_VALUE"""),"GOOGLE")</f>
        <v>GOOGLE</v>
      </c>
      <c r="F1220" s="593" t="str">
        <f>IFERROR(__xludf.DUMMYFUNCTION("""COMPUTED_VALUE"""),"AREYDC73958M")</f>
        <v>AREYDC73958M</v>
      </c>
      <c r="G1220" s="490"/>
      <c r="H1220" s="490"/>
      <c r="I1220" s="490"/>
      <c r="J1220" s="588"/>
      <c r="K1220" s="490"/>
      <c r="L1220" s="490"/>
      <c r="M1220" s="490"/>
      <c r="N1220" s="490"/>
      <c r="O1220" s="490"/>
      <c r="P1220" s="490" t="s">
        <v>1759</v>
      </c>
    </row>
    <row r="1221">
      <c r="A1221" s="490"/>
      <c r="B1221" s="490"/>
      <c r="C1221" s="490"/>
      <c r="D1221" s="490"/>
      <c r="E1221" s="593" t="str">
        <f>IFERROR(__xludf.DUMMYFUNCTION("""COMPUTED_VALUE"""),"GOOGLE")</f>
        <v>GOOGLE</v>
      </c>
      <c r="F1221" s="593" t="str">
        <f>IFERROR(__xludf.DUMMYFUNCTION("""COMPUTED_VALUE"""),"C1502W")</f>
        <v>C1502W</v>
      </c>
      <c r="G1221" s="490"/>
      <c r="H1221" s="490"/>
      <c r="I1221" s="490"/>
      <c r="J1221" s="588"/>
      <c r="K1221" s="490"/>
      <c r="L1221" s="490"/>
      <c r="M1221" s="490"/>
      <c r="N1221" s="490"/>
      <c r="O1221" s="490"/>
      <c r="P1221" s="490" t="s">
        <v>1763</v>
      </c>
    </row>
    <row r="1222">
      <c r="A1222" s="490"/>
      <c r="B1222" s="490"/>
      <c r="C1222" s="490"/>
      <c r="D1222" s="490"/>
      <c r="E1222" s="593" t="str">
        <f>IFERROR(__xludf.DUMMYFUNCTION("""COMPUTED_VALUE"""),"GOOGLE")</f>
        <v>GOOGLE</v>
      </c>
      <c r="F1222" s="593" t="str">
        <f>IFERROR(__xludf.DUMMYFUNCTION("""COMPUTED_VALUE"""),"C302")</f>
        <v>C302</v>
      </c>
      <c r="G1222" s="490"/>
      <c r="H1222" s="490"/>
      <c r="I1222" s="490"/>
      <c r="J1222" s="588"/>
      <c r="K1222" s="490"/>
      <c r="L1222" s="490"/>
      <c r="M1222" s="490"/>
      <c r="N1222" s="490"/>
      <c r="O1222" s="490"/>
      <c r="P1222" s="490" t="s">
        <v>1767</v>
      </c>
    </row>
    <row r="1223">
      <c r="A1223" s="490"/>
      <c r="B1223" s="490"/>
      <c r="C1223" s="490"/>
      <c r="D1223" s="490"/>
      <c r="E1223" s="593" t="str">
        <f>IFERROR(__xludf.DUMMYFUNCTION("""COMPUTED_VALUE"""),"GOOGLE")</f>
        <v>GOOGLE</v>
      </c>
      <c r="F1223" s="593" t="str">
        <f>IFERROR(__xludf.DUMMYFUNCTION("""COMPUTED_VALUE"""),"CHROME")</f>
        <v>CHROME</v>
      </c>
      <c r="G1223" s="490"/>
      <c r="H1223" s="490"/>
      <c r="I1223" s="490"/>
      <c r="J1223" s="588"/>
      <c r="K1223" s="490"/>
      <c r="L1223" s="490"/>
      <c r="M1223" s="490"/>
      <c r="N1223" s="490"/>
      <c r="O1223" s="490"/>
      <c r="P1223" s="490" t="s">
        <v>1771</v>
      </c>
    </row>
    <row r="1224">
      <c r="A1224" s="490"/>
      <c r="B1224" s="490"/>
      <c r="C1224" s="490"/>
      <c r="D1224" s="490"/>
      <c r="E1224" s="593" t="str">
        <f>IFERROR(__xludf.DUMMYFUNCTION("""COMPUTED_VALUE"""),"GOOGLE")</f>
        <v>GOOGLE</v>
      </c>
      <c r="F1224" s="593" t="str">
        <f>IFERROR(__xludf.DUMMYFUNCTION("""COMPUTED_VALUE"""),"CHROMECAST")</f>
        <v>CHROMECAST</v>
      </c>
      <c r="G1224" s="490"/>
      <c r="H1224" s="490"/>
      <c r="I1224" s="490"/>
      <c r="J1224" s="588"/>
      <c r="K1224" s="490"/>
      <c r="L1224" s="490"/>
      <c r="M1224" s="490"/>
      <c r="N1224" s="490"/>
      <c r="O1224" s="490"/>
      <c r="P1224" s="490" t="s">
        <v>1776</v>
      </c>
    </row>
    <row r="1225">
      <c r="A1225" s="490"/>
      <c r="B1225" s="490"/>
      <c r="C1225" s="490"/>
      <c r="D1225" s="490"/>
      <c r="E1225" s="593" t="str">
        <f>IFERROR(__xludf.DUMMYFUNCTION("""COMPUTED_VALUE"""),"GOOGLE")</f>
        <v>GOOGLE</v>
      </c>
      <c r="F1225" s="593" t="str">
        <f>IFERROR(__xludf.DUMMYFUNCTION("""COMPUTED_VALUE"""),"CHROMECAST")</f>
        <v>CHROMECAST</v>
      </c>
      <c r="G1225" s="490"/>
      <c r="H1225" s="490"/>
      <c r="I1225" s="490"/>
      <c r="J1225" s="588"/>
      <c r="K1225" s="490"/>
      <c r="L1225" s="490"/>
      <c r="M1225" s="490"/>
      <c r="N1225" s="490"/>
      <c r="O1225" s="490"/>
      <c r="P1225" s="490" t="s">
        <v>1781</v>
      </c>
    </row>
    <row r="1226">
      <c r="A1226" s="490"/>
      <c r="B1226" s="490"/>
      <c r="C1226" s="490"/>
      <c r="D1226" s="490"/>
      <c r="E1226" s="593" t="str">
        <f>IFERROR(__xludf.DUMMYFUNCTION("""COMPUTED_VALUE"""),"GOOGLE")</f>
        <v>GOOGLE</v>
      </c>
      <c r="F1226" s="593" t="str">
        <f>IFERROR(__xludf.DUMMYFUNCTION("""COMPUTED_VALUE"""),"GFHD100")</f>
        <v>GFHD100</v>
      </c>
      <c r="G1226" s="490"/>
      <c r="H1226" s="490"/>
      <c r="I1226" s="490"/>
      <c r="J1226" s="588"/>
      <c r="K1226" s="490"/>
      <c r="L1226" s="490"/>
      <c r="M1226" s="490"/>
      <c r="N1226" s="490"/>
      <c r="O1226" s="490"/>
      <c r="P1226" s="490" t="s">
        <v>1786</v>
      </c>
    </row>
    <row r="1227">
      <c r="A1227" s="490"/>
      <c r="B1227" s="490"/>
      <c r="C1227" s="490"/>
      <c r="D1227" s="490"/>
      <c r="E1227" s="593" t="str">
        <f>IFERROR(__xludf.DUMMYFUNCTION("""COMPUTED_VALUE"""),"GOOGLE")</f>
        <v>GOOGLE</v>
      </c>
      <c r="F1227" s="593" t="str">
        <f>IFERROR(__xludf.DUMMYFUNCTION("""COMPUTED_VALUE"""),"GFHD200")</f>
        <v>GFHD200</v>
      </c>
      <c r="G1227" s="490"/>
      <c r="H1227" s="490"/>
      <c r="I1227" s="490"/>
      <c r="J1227" s="588"/>
      <c r="K1227" s="490"/>
      <c r="L1227" s="490"/>
      <c r="M1227" s="490"/>
      <c r="N1227" s="490"/>
      <c r="O1227" s="490"/>
      <c r="P1227" s="490" t="s">
        <v>1791</v>
      </c>
    </row>
    <row r="1228">
      <c r="A1228" s="490"/>
      <c r="B1228" s="490"/>
      <c r="C1228" s="490"/>
      <c r="D1228" s="490"/>
      <c r="E1228" s="593" t="str">
        <f>IFERROR(__xludf.DUMMYFUNCTION("""COMPUTED_VALUE"""),"GOOGLE")</f>
        <v>GOOGLE</v>
      </c>
      <c r="F1228" s="593" t="str">
        <f>IFERROR(__xludf.DUMMYFUNCTION("""COMPUTED_VALUE"""),"GFLT110")</f>
        <v>GFLT110</v>
      </c>
      <c r="G1228" s="490"/>
      <c r="H1228" s="490"/>
      <c r="I1228" s="490"/>
      <c r="J1228" s="588"/>
      <c r="K1228" s="490"/>
      <c r="L1228" s="490"/>
      <c r="M1228" s="490"/>
      <c r="N1228" s="490"/>
      <c r="O1228" s="490"/>
      <c r="P1228" s="490" t="s">
        <v>1796</v>
      </c>
    </row>
    <row r="1229">
      <c r="A1229" s="490"/>
      <c r="B1229" s="490"/>
      <c r="C1229" s="490"/>
      <c r="D1229" s="490"/>
      <c r="E1229" s="593" t="str">
        <f>IFERROR(__xludf.DUMMYFUNCTION("""COMPUTED_VALUE"""),"GOOGLE")</f>
        <v>GOOGLE</v>
      </c>
      <c r="F1229" s="593" t="str">
        <f>IFERROR(__xludf.DUMMYFUNCTION("""COMPUTED_VALUE"""),"HOME")</f>
        <v>HOME</v>
      </c>
      <c r="G1229" s="490"/>
      <c r="H1229" s="490"/>
      <c r="I1229" s="490"/>
      <c r="J1229" s="588"/>
      <c r="K1229" s="490"/>
      <c r="L1229" s="490"/>
      <c r="M1229" s="490"/>
      <c r="N1229" s="490"/>
      <c r="O1229" s="490"/>
      <c r="P1229" s="490" t="s">
        <v>2078</v>
      </c>
    </row>
    <row r="1230">
      <c r="A1230" s="490"/>
      <c r="B1230" s="490"/>
      <c r="C1230" s="490"/>
      <c r="D1230" s="490"/>
      <c r="E1230" s="593" t="str">
        <f>IFERROR(__xludf.DUMMYFUNCTION("""COMPUTED_VALUE"""),"GOOGLE")</f>
        <v>GOOGLE</v>
      </c>
      <c r="F1230" s="593" t="str">
        <f>IFERROR(__xludf.DUMMYFUNCTION("""COMPUTED_VALUE"""),"H2A")</f>
        <v>H2A</v>
      </c>
      <c r="G1230" s="490"/>
      <c r="H1230" s="490"/>
      <c r="I1230" s="490"/>
      <c r="J1230" s="588"/>
      <c r="K1230" s="490"/>
      <c r="L1230" s="490"/>
      <c r="M1230" s="490"/>
      <c r="N1230" s="490"/>
      <c r="O1230" s="490"/>
      <c r="P1230" s="490" t="s">
        <v>1800</v>
      </c>
    </row>
    <row r="1231">
      <c r="A1231" s="490"/>
      <c r="B1231" s="490"/>
      <c r="C1231" s="490"/>
      <c r="D1231" s="490"/>
      <c r="E1231" s="593" t="str">
        <f>IFERROR(__xludf.DUMMYFUNCTION("""COMPUTED_VALUE"""),"GOOGLE")</f>
        <v>GOOGLE</v>
      </c>
      <c r="F1231" s="593" t="str">
        <f>IFERROR(__xludf.DUMMYFUNCTION("""COMPUTED_VALUE"""),"HOME")</f>
        <v>HOME</v>
      </c>
      <c r="G1231" s="490"/>
      <c r="H1231" s="490"/>
      <c r="I1231" s="490"/>
      <c r="J1231" s="588"/>
      <c r="K1231" s="490"/>
      <c r="L1231" s="490"/>
      <c r="M1231" s="490"/>
      <c r="N1231" s="490"/>
      <c r="O1231" s="490"/>
      <c r="P1231" s="490" t="s">
        <v>1804</v>
      </c>
    </row>
    <row r="1232">
      <c r="A1232" s="490"/>
      <c r="B1232" s="490"/>
      <c r="C1232" s="490"/>
      <c r="D1232" s="490"/>
      <c r="E1232" s="593" t="str">
        <f>IFERROR(__xludf.DUMMYFUNCTION("""COMPUTED_VALUE"""),"GOOGLE")</f>
        <v>GOOGLE</v>
      </c>
      <c r="F1232" s="593" t="str">
        <f>IFERROR(__xludf.DUMMYFUNCTION("""COMPUTED_VALUE"""),"NEST HUB")</f>
        <v>NEST HUB</v>
      </c>
      <c r="G1232" s="490"/>
      <c r="H1232" s="490"/>
      <c r="I1232" s="490"/>
      <c r="J1232" s="588"/>
      <c r="K1232" s="490"/>
      <c r="L1232" s="490"/>
      <c r="M1232" s="490"/>
      <c r="N1232" s="490"/>
      <c r="O1232" s="490"/>
      <c r="P1232" s="490" t="s">
        <v>1809</v>
      </c>
    </row>
    <row r="1233">
      <c r="A1233" s="490"/>
      <c r="B1233" s="490"/>
      <c r="C1233" s="490"/>
      <c r="D1233" s="490"/>
      <c r="E1233" s="593" t="str">
        <f>IFERROR(__xludf.DUMMYFUNCTION("""COMPUTED_VALUE"""),"GOOGLE")</f>
        <v>GOOGLE</v>
      </c>
      <c r="F1233" s="593" t="str">
        <f>IFERROR(__xludf.DUMMYFUNCTION("""COMPUTED_VALUE"""),"HOME MINI")</f>
        <v>HOME MINI</v>
      </c>
      <c r="G1233" s="490"/>
      <c r="H1233" s="490"/>
      <c r="I1233" s="490"/>
      <c r="J1233" s="588"/>
      <c r="K1233" s="490"/>
      <c r="L1233" s="490"/>
      <c r="M1233" s="490"/>
      <c r="N1233" s="490"/>
      <c r="O1233" s="490"/>
      <c r="P1233" s="490" t="s">
        <v>1813</v>
      </c>
    </row>
    <row r="1234">
      <c r="A1234" s="490"/>
      <c r="B1234" s="490"/>
      <c r="C1234" s="490"/>
      <c r="D1234" s="490"/>
      <c r="E1234" s="593" t="str">
        <f>IFERROR(__xludf.DUMMYFUNCTION("""COMPUTED_VALUE"""),"GOOGLE")</f>
        <v>GOOGLE</v>
      </c>
      <c r="F1234" s="593" t="str">
        <f>IFERROR(__xludf.DUMMYFUNCTION("""COMPUTED_VALUE"""),"NEST HUB")</f>
        <v>NEST HUB</v>
      </c>
      <c r="G1234" s="490"/>
      <c r="H1234" s="490"/>
      <c r="I1234" s="490"/>
      <c r="J1234" s="588"/>
      <c r="K1234" s="490"/>
      <c r="L1234" s="490"/>
      <c r="M1234" s="490"/>
      <c r="N1234" s="490"/>
      <c r="O1234" s="490"/>
      <c r="P1234" s="490" t="s">
        <v>1817</v>
      </c>
    </row>
    <row r="1235">
      <c r="A1235" s="490"/>
      <c r="B1235" s="490"/>
      <c r="C1235" s="490"/>
      <c r="D1235" s="490"/>
      <c r="E1235" s="593" t="str">
        <f>IFERROR(__xludf.DUMMYFUNCTION("""COMPUTED_VALUE"""),"GOOGLE")</f>
        <v>GOOGLE</v>
      </c>
      <c r="F1235" s="593" t="str">
        <f>IFERROR(__xludf.DUMMYFUNCTION("""COMPUTED_VALUE"""),"NEST HUB MAX")</f>
        <v>NEST HUB MAX</v>
      </c>
      <c r="G1235" s="490"/>
      <c r="H1235" s="490"/>
      <c r="I1235" s="490"/>
      <c r="J1235" s="588"/>
      <c r="K1235" s="490"/>
      <c r="L1235" s="490"/>
      <c r="M1235" s="490"/>
      <c r="N1235" s="490"/>
      <c r="O1235" s="490"/>
      <c r="P1235" s="490" t="s">
        <v>1822</v>
      </c>
    </row>
    <row r="1236">
      <c r="A1236" s="490"/>
      <c r="B1236" s="490"/>
      <c r="C1236" s="490"/>
      <c r="D1236" s="490"/>
      <c r="E1236" s="593" t="str">
        <f>IFERROR(__xludf.DUMMYFUNCTION("""COMPUTED_VALUE"""),"GOOGLE")</f>
        <v>GOOGLE</v>
      </c>
      <c r="F1236" s="593" t="str">
        <f>IFERROR(__xludf.DUMMYFUNCTION("""COMPUTED_VALUE"""),"NEXUS 9")</f>
        <v>NEXUS 9</v>
      </c>
      <c r="G1236" s="490"/>
      <c r="H1236" s="490"/>
      <c r="I1236" s="490"/>
      <c r="J1236" s="588"/>
      <c r="K1236" s="490"/>
      <c r="L1236" s="490"/>
      <c r="M1236" s="490"/>
      <c r="N1236" s="490"/>
      <c r="O1236" s="490"/>
      <c r="P1236" s="490" t="s">
        <v>1826</v>
      </c>
    </row>
    <row r="1237">
      <c r="A1237" s="490"/>
      <c r="B1237" s="490"/>
      <c r="C1237" s="490"/>
      <c r="D1237" s="490"/>
      <c r="E1237" s="593" t="str">
        <f>IFERROR(__xludf.DUMMYFUNCTION("""COMPUTED_VALUE"""),"GOOGLE")</f>
        <v>GOOGLE</v>
      </c>
      <c r="F1237" s="593" t="str">
        <f>IFERROR(__xludf.DUMMYFUNCTION("""COMPUTED_VALUE"""),"NOT VERIFIED")</f>
        <v>NOT VERIFIED</v>
      </c>
      <c r="G1237" s="490"/>
      <c r="H1237" s="490"/>
      <c r="I1237" s="490"/>
      <c r="J1237" s="588"/>
      <c r="K1237" s="490"/>
      <c r="L1237" s="490"/>
      <c r="M1237" s="490"/>
      <c r="N1237" s="490"/>
      <c r="O1237" s="490"/>
      <c r="P1237" s="490" t="s">
        <v>2084</v>
      </c>
    </row>
    <row r="1238">
      <c r="A1238" s="490"/>
      <c r="B1238" s="490"/>
      <c r="C1238" s="490"/>
      <c r="D1238" s="490"/>
      <c r="E1238" s="593" t="str">
        <f>IFERROR(__xludf.DUMMYFUNCTION("""COMPUTED_VALUE"""),"GOOGLE")</f>
        <v>GOOGLE</v>
      </c>
      <c r="F1238" s="593" t="str">
        <f>IFERROR(__xludf.DUMMYFUNCTION("""COMPUTED_VALUE"""),"PIXEL")</f>
        <v>PIXEL</v>
      </c>
      <c r="G1238" s="490"/>
      <c r="H1238" s="490"/>
      <c r="I1238" s="490"/>
      <c r="J1238" s="588"/>
      <c r="K1238" s="490"/>
      <c r="L1238" s="490"/>
      <c r="M1238" s="490"/>
      <c r="N1238" s="490"/>
      <c r="O1238" s="490"/>
      <c r="P1238" s="490" t="s">
        <v>2089</v>
      </c>
    </row>
    <row r="1239">
      <c r="A1239" s="490"/>
      <c r="B1239" s="490"/>
      <c r="C1239" s="490"/>
      <c r="D1239" s="490"/>
      <c r="E1239" s="593" t="str">
        <f>IFERROR(__xludf.DUMMYFUNCTION("""COMPUTED_VALUE"""),"GOOGLE")</f>
        <v>GOOGLE</v>
      </c>
      <c r="F1239" s="593" t="str">
        <f>IFERROR(__xludf.DUMMYFUNCTION("""COMPUTED_VALUE"""),"PIXEL C")</f>
        <v>PIXEL C</v>
      </c>
      <c r="G1239" s="490"/>
      <c r="H1239" s="490"/>
      <c r="I1239" s="490"/>
      <c r="J1239" s="588"/>
      <c r="K1239" s="490"/>
      <c r="L1239" s="490"/>
      <c r="M1239" s="490"/>
      <c r="N1239" s="490"/>
      <c r="O1239" s="490"/>
      <c r="P1239" s="490" t="s">
        <v>2104</v>
      </c>
    </row>
    <row r="1240">
      <c r="A1240" s="490"/>
      <c r="B1240" s="490"/>
      <c r="C1240" s="490"/>
      <c r="D1240" s="490"/>
      <c r="E1240" s="593" t="str">
        <f>IFERROR(__xludf.DUMMYFUNCTION("""COMPUTED_VALUE"""),"GOOGLE")</f>
        <v>GOOGLE</v>
      </c>
      <c r="F1240" s="593" t="str">
        <f>IFERROR(__xludf.DUMMYFUNCTION("""COMPUTED_VALUE"""),"PIXEL C")</f>
        <v>PIXEL C</v>
      </c>
      <c r="G1240" s="490"/>
      <c r="H1240" s="490"/>
      <c r="I1240" s="490"/>
      <c r="J1240" s="588"/>
      <c r="K1240" s="490"/>
      <c r="L1240" s="490"/>
      <c r="M1240" s="490"/>
      <c r="N1240" s="490"/>
      <c r="O1240" s="490"/>
      <c r="P1240" s="490" t="s">
        <v>2114</v>
      </c>
    </row>
    <row r="1241">
      <c r="A1241" s="490"/>
      <c r="B1241" s="490"/>
      <c r="C1241" s="490"/>
      <c r="D1241" s="490"/>
      <c r="E1241" s="593" t="str">
        <f>IFERROR(__xludf.DUMMYFUNCTION("""COMPUTED_VALUE"""),"GOOGLE")</f>
        <v>GOOGLE</v>
      </c>
      <c r="F1241" s="593" t="str">
        <f>IFERROR(__xludf.DUMMYFUNCTION("""COMPUTED_VALUE"""),"PIXELBOOK")</f>
        <v>PIXELBOOK</v>
      </c>
      <c r="G1241" s="490"/>
      <c r="H1241" s="490"/>
      <c r="I1241" s="490"/>
      <c r="J1241" s="588"/>
      <c r="K1241" s="490"/>
      <c r="L1241" s="490"/>
      <c r="M1241" s="490"/>
      <c r="N1241" s="490"/>
      <c r="O1241" s="490"/>
      <c r="P1241" s="490" t="s">
        <v>2124</v>
      </c>
    </row>
    <row r="1242">
      <c r="A1242" s="490"/>
      <c r="B1242" s="490"/>
      <c r="C1242" s="490"/>
      <c r="D1242" s="490"/>
      <c r="E1242" s="593" t="str">
        <f>IFERROR(__xludf.DUMMYFUNCTION("""COMPUTED_VALUE"""),"GOOGLE")</f>
        <v>GOOGLE</v>
      </c>
      <c r="F1242" s="593" t="str">
        <f>IFERROR(__xludf.DUMMYFUNCTION("""COMPUTED_VALUE"""),"WIFI")</f>
        <v>WIFI</v>
      </c>
      <c r="G1242" s="490"/>
      <c r="H1242" s="490"/>
      <c r="I1242" s="490"/>
      <c r="J1242" s="588"/>
      <c r="K1242" s="490"/>
      <c r="L1242" s="490"/>
      <c r="M1242" s="490"/>
      <c r="N1242" s="490"/>
      <c r="O1242" s="490"/>
      <c r="P1242" s="490" t="s">
        <v>1625</v>
      </c>
    </row>
    <row r="1243">
      <c r="A1243" s="490"/>
      <c r="B1243" s="490"/>
      <c r="C1243" s="490"/>
      <c r="D1243" s="490"/>
      <c r="E1243" s="593" t="str">
        <f>IFERROR(__xludf.DUMMYFUNCTION("""COMPUTED_VALUE"""),"GOOGLE")</f>
        <v>GOOGLE</v>
      </c>
      <c r="F1243" s="593" t="str">
        <f>IFERROR(__xludf.DUMMYFUNCTION("""COMPUTED_VALUE"""),"PIXEL C")</f>
        <v>PIXEL C</v>
      </c>
      <c r="G1243" s="490"/>
      <c r="H1243" s="490"/>
      <c r="I1243" s="490"/>
      <c r="J1243" s="588"/>
      <c r="K1243" s="490"/>
      <c r="L1243" s="490"/>
      <c r="M1243" s="490"/>
      <c r="N1243" s="490"/>
      <c r="O1243" s="490"/>
      <c r="P1243" s="490" t="s">
        <v>2134</v>
      </c>
    </row>
    <row r="1244">
      <c r="A1244" s="490"/>
      <c r="B1244" s="490"/>
      <c r="C1244" s="490"/>
      <c r="D1244" s="490"/>
      <c r="E1244" s="593" t="str">
        <f>IFERROR(__xludf.DUMMYFUNCTION("""COMPUTED_VALUE"""),"GOOGLE")</f>
        <v>GOOGLE</v>
      </c>
      <c r="F1244" s="593" t="str">
        <f>IFERROR(__xludf.DUMMYFUNCTION("""COMPUTED_VALUE"""),"PIXEL 3A")</f>
        <v>PIXEL 3A</v>
      </c>
      <c r="G1244" s="490"/>
      <c r="H1244" s="490"/>
      <c r="I1244" s="490"/>
      <c r="J1244" s="588"/>
      <c r="K1244" s="490"/>
      <c r="L1244" s="490"/>
      <c r="M1244" s="490"/>
      <c r="N1244" s="490"/>
      <c r="O1244" s="490"/>
      <c r="P1244" s="490" t="s">
        <v>2837</v>
      </c>
    </row>
    <row r="1245">
      <c r="A1245" s="490"/>
      <c r="B1245" s="490"/>
      <c r="C1245" s="490"/>
      <c r="D1245" s="490"/>
      <c r="E1245" s="593" t="str">
        <f>IFERROR(__xludf.DUMMYFUNCTION("""COMPUTED_VALUE"""),"GOOGLE")</f>
        <v>GOOGLE</v>
      </c>
      <c r="F1245" s="593" t="str">
        <f>IFERROR(__xludf.DUMMYFUNCTION("""COMPUTED_VALUE"""),"GZRNL")</f>
        <v>GZRNL</v>
      </c>
      <c r="G1245" s="490"/>
      <c r="H1245" s="490"/>
      <c r="I1245" s="490"/>
      <c r="J1245" s="588"/>
      <c r="K1245" s="490"/>
      <c r="L1245" s="490"/>
      <c r="M1245" s="490"/>
      <c r="N1245" s="490"/>
      <c r="O1245" s="490"/>
      <c r="P1245" s="490" t="s">
        <v>2844</v>
      </c>
    </row>
    <row r="1246">
      <c r="A1246" s="490"/>
      <c r="B1246" s="490"/>
      <c r="C1246" s="490"/>
      <c r="D1246" s="490"/>
      <c r="E1246" s="593" t="str">
        <f>IFERROR(__xludf.DUMMYFUNCTION("""COMPUTED_VALUE"""),"GOOGLE")</f>
        <v>GOOGLE</v>
      </c>
      <c r="F1246" s="593" t="str">
        <f>IFERROR(__xludf.DUMMYFUNCTION("""COMPUTED_VALUE"""),"MAMBA 2ND GENERATION")</f>
        <v>MAMBA 2ND GENERATION</v>
      </c>
      <c r="G1246" s="490"/>
      <c r="H1246" s="490"/>
      <c r="I1246" s="490"/>
      <c r="J1246" s="588"/>
      <c r="K1246" s="490"/>
      <c r="L1246" s="490"/>
      <c r="M1246" s="490"/>
      <c r="N1246" s="490"/>
      <c r="O1246" s="490"/>
      <c r="P1246" s="490" t="s">
        <v>2847</v>
      </c>
    </row>
    <row r="1247">
      <c r="A1247" s="490"/>
      <c r="B1247" s="490"/>
      <c r="C1247" s="490"/>
      <c r="D1247" s="490"/>
      <c r="E1247" s="593" t="str">
        <f>IFERROR(__xludf.DUMMYFUNCTION("""COMPUTED_VALUE"""),"GOOGLE FIBER")</f>
        <v>GOOGLE FIBER</v>
      </c>
      <c r="F1247" s="593" t="str">
        <f>IFERROR(__xludf.DUMMYFUNCTION("""COMPUTED_VALUE"""),"GFRG210")</f>
        <v>GFRG210</v>
      </c>
      <c r="G1247" s="490"/>
      <c r="H1247" s="490"/>
      <c r="I1247" s="490"/>
      <c r="J1247" s="588"/>
      <c r="K1247" s="490"/>
      <c r="L1247" s="490"/>
      <c r="M1247" s="490"/>
      <c r="N1247" s="490"/>
      <c r="O1247" s="490"/>
      <c r="P1247" s="490" t="s">
        <v>2855</v>
      </c>
    </row>
    <row r="1248">
      <c r="A1248" s="490"/>
      <c r="B1248" s="490"/>
      <c r="C1248" s="490"/>
      <c r="D1248" s="490"/>
      <c r="E1248" s="593" t="str">
        <f>IFERROR(__xludf.DUMMYFUNCTION("""COMPUTED_VALUE"""),"GRACEPORT")</f>
        <v>GRACEPORT</v>
      </c>
      <c r="F1248" s="593" t="str">
        <f>IFERROR(__xludf.DUMMYFUNCTION("""COMPUTED_VALUE"""),"P-P11R62-K2RF0")</f>
        <v>P-P11R62-K2RF0</v>
      </c>
      <c r="G1248" s="490"/>
      <c r="H1248" s="490"/>
      <c r="I1248" s="490"/>
      <c r="J1248" s="588"/>
      <c r="K1248" s="490"/>
      <c r="L1248" s="490"/>
      <c r="M1248" s="490"/>
      <c r="N1248" s="490"/>
      <c r="O1248" s="490"/>
      <c r="P1248" s="490" t="s">
        <v>2144</v>
      </c>
    </row>
    <row r="1249">
      <c r="A1249" s="490"/>
      <c r="B1249" s="490"/>
      <c r="C1249" s="490"/>
      <c r="D1249" s="490"/>
      <c r="E1249" s="593" t="str">
        <f>IFERROR(__xludf.DUMMYFUNCTION("""COMPUTED_VALUE"""),"GRACEPORT")</f>
        <v>GRACEPORT</v>
      </c>
      <c r="F1249" s="593" t="str">
        <f>IFERROR(__xludf.DUMMYFUNCTION("""COMPUTED_VALUE"""),"P-R2-K2RF0")</f>
        <v>P-R2-K2RF0</v>
      </c>
      <c r="G1249" s="490"/>
      <c r="H1249" s="490"/>
      <c r="I1249" s="490"/>
      <c r="J1249" s="588"/>
      <c r="K1249" s="490"/>
      <c r="L1249" s="490"/>
      <c r="M1249" s="490"/>
      <c r="N1249" s="490"/>
      <c r="O1249" s="490"/>
      <c r="P1249" s="490" t="s">
        <v>2154</v>
      </c>
    </row>
    <row r="1250">
      <c r="A1250" s="490"/>
      <c r="B1250" s="490"/>
      <c r="C1250" s="490"/>
      <c r="D1250" s="490"/>
      <c r="E1250" s="593" t="str">
        <f>IFERROR(__xludf.DUMMYFUNCTION("""COMPUTED_VALUE"""),"GRAYWOLF")</f>
        <v>GRAYWOLF</v>
      </c>
      <c r="F1250" s="593" t="str">
        <f>IFERROR(__xludf.DUMMYFUNCTION("""COMPUTED_VALUE"""),"PC-3500")</f>
        <v>PC-3500</v>
      </c>
      <c r="G1250" s="490"/>
      <c r="H1250" s="490"/>
      <c r="I1250" s="490"/>
      <c r="J1250" s="588"/>
      <c r="K1250" s="490"/>
      <c r="L1250" s="490"/>
      <c r="M1250" s="490"/>
      <c r="N1250" s="490"/>
      <c r="O1250" s="490"/>
      <c r="P1250" s="490" t="s">
        <v>1734</v>
      </c>
    </row>
    <row r="1251">
      <c r="A1251" s="490"/>
      <c r="B1251" s="490"/>
      <c r="C1251" s="490"/>
      <c r="D1251" s="490"/>
      <c r="E1251" s="593" t="str">
        <f>IFERROR(__xludf.DUMMYFUNCTION("""COMPUTED_VALUE"""),"GREASEMASTER")</f>
        <v>GREASEMASTER</v>
      </c>
      <c r="F1251" s="593" t="str">
        <f>IFERROR(__xludf.DUMMYFUNCTION("""COMPUTED_VALUE"""),"IBT BOARD")</f>
        <v>IBT BOARD</v>
      </c>
      <c r="G1251" s="490"/>
      <c r="H1251" s="490"/>
      <c r="I1251" s="490"/>
      <c r="J1251" s="588"/>
      <c r="K1251" s="490"/>
      <c r="L1251" s="490"/>
      <c r="M1251" s="490"/>
      <c r="N1251" s="490"/>
      <c r="O1251" s="490"/>
      <c r="P1251" s="490" t="s">
        <v>2168</v>
      </c>
    </row>
    <row r="1252">
      <c r="A1252" s="490"/>
      <c r="B1252" s="490"/>
      <c r="C1252" s="490"/>
      <c r="D1252" s="490"/>
      <c r="E1252" s="593" t="str">
        <f>IFERROR(__xludf.DUMMYFUNCTION("""COMPUTED_VALUE"""),"GREENHECK")</f>
        <v>GREENHECK</v>
      </c>
      <c r="F1252" s="593" t="str">
        <f>IFERROR(__xludf.DUMMYFUNCTION("""COMPUTED_VALUE"""),"SQ CENTRIFUGAL FAN")</f>
        <v>SQ CENTRIFUGAL FAN</v>
      </c>
      <c r="G1252" s="490"/>
      <c r="H1252" s="490"/>
      <c r="I1252" s="490"/>
      <c r="J1252" s="588"/>
      <c r="K1252" s="490"/>
      <c r="L1252" s="490"/>
      <c r="M1252" s="490"/>
      <c r="N1252" s="490"/>
      <c r="O1252" s="490"/>
      <c r="P1252" s="490" t="s">
        <v>2178</v>
      </c>
    </row>
    <row r="1253">
      <c r="A1253" s="490"/>
      <c r="B1253" s="490"/>
      <c r="C1253" s="490"/>
      <c r="D1253" s="490"/>
      <c r="E1253" s="593" t="str">
        <f>IFERROR(__xludf.DUMMYFUNCTION("""COMPUTED_VALUE"""),"GREENHECK")</f>
        <v>GREENHECK</v>
      </c>
      <c r="F1253" s="593" t="str">
        <f>IFERROR(__xludf.DUMMYFUNCTION("""COMPUTED_VALUE"""),"VARI-GREEN DRIVE")</f>
        <v>VARI-GREEN DRIVE</v>
      </c>
      <c r="G1253" s="490"/>
      <c r="H1253" s="490"/>
      <c r="I1253" s="490"/>
      <c r="J1253" s="588"/>
      <c r="K1253" s="490"/>
      <c r="L1253" s="490"/>
      <c r="M1253" s="490"/>
      <c r="N1253" s="490"/>
      <c r="O1253" s="490"/>
      <c r="P1253" s="490" t="s">
        <v>2188</v>
      </c>
    </row>
    <row r="1254">
      <c r="A1254" s="490"/>
      <c r="B1254" s="490"/>
      <c r="C1254" s="490"/>
      <c r="D1254" s="490"/>
      <c r="E1254" s="593" t="str">
        <f>IFERROR(__xludf.DUMMYFUNCTION("""COMPUTED_VALUE"""),"GREYSTONE")</f>
        <v>GREYSTONE</v>
      </c>
      <c r="F1254" s="593" t="str">
        <f>IFERROR(__xludf.DUMMYFUNCTION("""COMPUTED_VALUE"""),"CDD3B100")</f>
        <v>CDD3B100</v>
      </c>
      <c r="G1254" s="490"/>
      <c r="H1254" s="490"/>
      <c r="I1254" s="490"/>
      <c r="J1254" s="588"/>
      <c r="K1254" s="490"/>
      <c r="L1254" s="490"/>
      <c r="M1254" s="490"/>
      <c r="N1254" s="490"/>
      <c r="O1254" s="490"/>
      <c r="P1254" s="490" t="s">
        <v>2198</v>
      </c>
    </row>
    <row r="1255">
      <c r="A1255" s="490"/>
      <c r="B1255" s="490"/>
      <c r="C1255" s="490"/>
      <c r="D1255" s="490"/>
      <c r="E1255" s="593" t="str">
        <f>IFERROR(__xludf.DUMMYFUNCTION("""COMPUTED_VALUE"""),"GREYSTONE")</f>
        <v>GREYSTONE</v>
      </c>
      <c r="F1255" s="593" t="str">
        <f>IFERROR(__xludf.DUMMYFUNCTION("""COMPUTED_VALUE"""),"CERMC00")</f>
        <v>CERMC00</v>
      </c>
      <c r="G1255" s="490"/>
      <c r="H1255" s="490"/>
      <c r="I1255" s="490"/>
      <c r="J1255" s="588"/>
      <c r="K1255" s="490"/>
      <c r="L1255" s="490"/>
      <c r="M1255" s="490"/>
      <c r="N1255" s="490"/>
      <c r="O1255" s="490"/>
      <c r="P1255" s="490" t="s">
        <v>2208</v>
      </c>
    </row>
    <row r="1256">
      <c r="A1256" s="490"/>
      <c r="B1256" s="490"/>
      <c r="C1256" s="490"/>
      <c r="D1256" s="490"/>
      <c r="E1256" s="593" t="str">
        <f>IFERROR(__xludf.DUMMYFUNCTION("""COMPUTED_VALUE"""),"GREYSTONE")</f>
        <v>GREYSTONE</v>
      </c>
      <c r="F1256" s="593" t="str">
        <f>IFERROR(__xludf.DUMMYFUNCTION("""COMPUTED_VALUE"""),"ELP SERIES")</f>
        <v>ELP SERIES</v>
      </c>
      <c r="G1256" s="490"/>
      <c r="H1256" s="490"/>
      <c r="I1256" s="490"/>
      <c r="J1256" s="588"/>
      <c r="K1256" s="490"/>
      <c r="L1256" s="490"/>
      <c r="M1256" s="490"/>
      <c r="N1256" s="490"/>
      <c r="O1256" s="490"/>
      <c r="P1256" s="490" t="s">
        <v>2218</v>
      </c>
    </row>
    <row r="1257">
      <c r="A1257" s="490"/>
      <c r="B1257" s="490"/>
      <c r="C1257" s="490"/>
      <c r="D1257" s="490"/>
      <c r="E1257" s="593" t="str">
        <f>IFERROR(__xludf.DUMMYFUNCTION("""COMPUTED_VALUE"""),"GRIDCONNECT")</f>
        <v>GRIDCONNECT</v>
      </c>
      <c r="F1257" s="593" t="str">
        <f>IFERROR(__xludf.DUMMYFUNCTION("""COMPUTED_VALUE"""),"NET485")</f>
        <v>NET485</v>
      </c>
      <c r="G1257" s="490"/>
      <c r="H1257" s="490"/>
      <c r="I1257" s="490"/>
      <c r="J1257" s="588"/>
      <c r="K1257" s="490"/>
      <c r="L1257" s="490"/>
      <c r="M1257" s="490"/>
      <c r="N1257" s="490"/>
      <c r="O1257" s="490"/>
      <c r="P1257" s="490" t="s">
        <v>1890</v>
      </c>
    </row>
    <row r="1258">
      <c r="A1258" s="490"/>
      <c r="B1258" s="490"/>
      <c r="C1258" s="490"/>
      <c r="D1258" s="490"/>
      <c r="E1258" s="593" t="str">
        <f>IFERROR(__xludf.DUMMYFUNCTION("""COMPUTED_VALUE"""),"GRUNDFOS")</f>
        <v>GRUNDFOS</v>
      </c>
      <c r="F1258" s="593" t="str">
        <f>IFERROR(__xludf.DUMMYFUNCTION("""COMPUTED_VALUE"""),"DPC 2-3")</f>
        <v>DPC 2-3</v>
      </c>
      <c r="G1258" s="490"/>
      <c r="H1258" s="490"/>
      <c r="I1258" s="490"/>
      <c r="J1258" s="588"/>
      <c r="K1258" s="490"/>
      <c r="L1258" s="490"/>
      <c r="M1258" s="490"/>
      <c r="N1258" s="490"/>
      <c r="O1258" s="490"/>
      <c r="P1258" s="490" t="s">
        <v>1780</v>
      </c>
    </row>
    <row r="1259">
      <c r="A1259" s="490"/>
      <c r="B1259" s="490"/>
      <c r="C1259" s="490"/>
      <c r="D1259" s="490"/>
      <c r="E1259" s="593" t="str">
        <f>IFERROR(__xludf.DUMMYFUNCTION("""COMPUTED_VALUE"""),"GRUNDFOS")</f>
        <v>GRUNDFOS</v>
      </c>
      <c r="F1259" s="593" t="str">
        <f>IFERROR(__xludf.DUMMYFUNCTION("""COMPUTED_VALUE"""),"CM10-2")</f>
        <v>CM10-2</v>
      </c>
      <c r="G1259" s="490"/>
      <c r="H1259" s="490"/>
      <c r="I1259" s="490"/>
      <c r="J1259" s="588"/>
      <c r="K1259" s="490"/>
      <c r="L1259" s="490"/>
      <c r="M1259" s="490"/>
      <c r="N1259" s="490"/>
      <c r="O1259" s="490"/>
      <c r="P1259" s="490" t="s">
        <v>2227</v>
      </c>
    </row>
    <row r="1260">
      <c r="A1260" s="490"/>
      <c r="B1260" s="490"/>
      <c r="C1260" s="490"/>
      <c r="D1260" s="490"/>
      <c r="E1260" s="593" t="str">
        <f>IFERROR(__xludf.DUMMYFUNCTION("""COMPUTED_VALUE"""),"GRUNDFOS")</f>
        <v>GRUNDFOS</v>
      </c>
      <c r="F1260" s="593" t="str">
        <f>IFERROR(__xludf.DUMMYFUNCTION("""COMPUTED_VALUE"""),"CU 352")</f>
        <v>CU 352</v>
      </c>
      <c r="G1260" s="490"/>
      <c r="H1260" s="490"/>
      <c r="I1260" s="490"/>
      <c r="J1260" s="588"/>
      <c r="K1260" s="490"/>
      <c r="L1260" s="490"/>
      <c r="M1260" s="490"/>
      <c r="N1260" s="490"/>
      <c r="O1260" s="490"/>
      <c r="P1260" s="490" t="s">
        <v>2237</v>
      </c>
    </row>
    <row r="1261">
      <c r="A1261" s="490"/>
      <c r="B1261" s="490"/>
      <c r="C1261" s="490"/>
      <c r="D1261" s="490"/>
      <c r="E1261" s="593" t="str">
        <f>IFERROR(__xludf.DUMMYFUNCTION("""COMPUTED_VALUE"""),"GRUNDFOS")</f>
        <v>GRUNDFOS</v>
      </c>
      <c r="F1261" s="593" t="str">
        <f>IFERROR(__xludf.DUMMYFUNCTION("""COMPUTED_VALUE"""),"CRE 5")</f>
        <v>CRE 5</v>
      </c>
      <c r="G1261" s="490"/>
      <c r="H1261" s="490"/>
      <c r="I1261" s="490"/>
      <c r="J1261" s="588"/>
      <c r="K1261" s="490"/>
      <c r="L1261" s="490"/>
      <c r="M1261" s="490"/>
      <c r="N1261" s="490"/>
      <c r="O1261" s="490"/>
      <c r="P1261" s="490" t="s">
        <v>2247</v>
      </c>
    </row>
    <row r="1262">
      <c r="A1262" s="490"/>
      <c r="B1262" s="490"/>
      <c r="C1262" s="490"/>
      <c r="D1262" s="490"/>
      <c r="E1262" s="593" t="str">
        <f>IFERROR(__xludf.DUMMYFUNCTION("""COMPUTED_VALUE"""),"GRUNDFOS")</f>
        <v>GRUNDFOS</v>
      </c>
      <c r="F1262" s="593" t="str">
        <f>IFERROR(__xludf.DUMMYFUNCTION("""COMPUTED_VALUE"""),"TPE3 PUMP")</f>
        <v>TPE3 PUMP</v>
      </c>
      <c r="G1262" s="490"/>
      <c r="H1262" s="490"/>
      <c r="I1262" s="490"/>
      <c r="J1262" s="588"/>
      <c r="K1262" s="490"/>
      <c r="L1262" s="490"/>
      <c r="M1262" s="490"/>
      <c r="N1262" s="490"/>
      <c r="O1262" s="490"/>
      <c r="P1262" s="490" t="s">
        <v>2257</v>
      </c>
    </row>
    <row r="1263">
      <c r="A1263" s="490"/>
      <c r="B1263" s="490"/>
      <c r="C1263" s="490"/>
      <c r="D1263" s="490"/>
      <c r="E1263" s="593" t="str">
        <f>IFERROR(__xludf.DUMMYFUNCTION("""COMPUTED_VALUE"""),"GRUNDFOS")</f>
        <v>GRUNDFOS</v>
      </c>
      <c r="F1263" s="593" t="str">
        <f>IFERROR(__xludf.DUMMYFUNCTION("""COMPUTED_VALUE"""),"CRE 3")</f>
        <v>CRE 3</v>
      </c>
      <c r="G1263" s="490"/>
      <c r="H1263" s="490"/>
      <c r="I1263" s="490"/>
      <c r="J1263" s="588"/>
      <c r="K1263" s="490"/>
      <c r="L1263" s="490"/>
      <c r="M1263" s="490"/>
      <c r="N1263" s="490"/>
      <c r="O1263" s="490"/>
      <c r="P1263" s="490" t="s">
        <v>2267</v>
      </c>
    </row>
    <row r="1264">
      <c r="A1264" s="490"/>
      <c r="B1264" s="490"/>
      <c r="C1264" s="490"/>
      <c r="D1264" s="490"/>
      <c r="E1264" s="593" t="str">
        <f>IFERROR(__xludf.DUMMYFUNCTION("""COMPUTED_VALUE"""),"GRUNDFOS")</f>
        <v>GRUNDFOS</v>
      </c>
      <c r="F1264" s="593" t="str">
        <f>IFERROR(__xludf.DUMMYFUNCTION("""COMPUTED_VALUE"""),"TPE")</f>
        <v>TPE</v>
      </c>
      <c r="G1264" s="490"/>
      <c r="H1264" s="490"/>
      <c r="I1264" s="490"/>
      <c r="J1264" s="588"/>
      <c r="K1264" s="490"/>
      <c r="L1264" s="490"/>
      <c r="M1264" s="490"/>
      <c r="N1264" s="490"/>
      <c r="O1264" s="490"/>
      <c r="P1264" s="490" t="s">
        <v>2277</v>
      </c>
    </row>
    <row r="1265">
      <c r="A1265" s="490"/>
      <c r="B1265" s="490"/>
      <c r="C1265" s="490"/>
      <c r="D1265" s="490"/>
      <c r="E1265" s="593" t="str">
        <f>IFERROR(__xludf.DUMMYFUNCTION("""COMPUTED_VALUE"""),"GRUNDFOS")</f>
        <v>GRUNDFOS</v>
      </c>
      <c r="F1265" s="593" t="str">
        <f>IFERROR(__xludf.DUMMYFUNCTION("""COMPUTED_VALUE"""),"CIM 300 BACNET MS/TP")</f>
        <v>CIM 300 BACNET MS/TP</v>
      </c>
      <c r="G1265" s="490"/>
      <c r="H1265" s="490"/>
      <c r="I1265" s="490"/>
      <c r="J1265" s="588"/>
      <c r="K1265" s="490"/>
      <c r="L1265" s="490"/>
      <c r="M1265" s="490"/>
      <c r="N1265" s="490"/>
      <c r="O1265" s="490"/>
      <c r="P1265" s="490" t="s">
        <v>2289</v>
      </c>
    </row>
    <row r="1266">
      <c r="A1266" s="490"/>
      <c r="B1266" s="490"/>
      <c r="C1266" s="490"/>
      <c r="D1266" s="490"/>
      <c r="E1266" s="593" t="str">
        <f>IFERROR(__xludf.DUMMYFUNCTION("""COMPUTED_VALUE"""),"GWS")</f>
        <v>GWS</v>
      </c>
      <c r="F1266" s="593" t="str">
        <f>IFERROR(__xludf.DUMMYFUNCTION("""COMPUTED_VALUE"""),"NOT VERIFIED")</f>
        <v>NOT VERIFIED</v>
      </c>
      <c r="G1266" s="490"/>
      <c r="H1266" s="490"/>
      <c r="I1266" s="490"/>
      <c r="J1266" s="588"/>
      <c r="K1266" s="490"/>
      <c r="L1266" s="490"/>
      <c r="M1266" s="490"/>
      <c r="N1266" s="490"/>
      <c r="O1266" s="490"/>
      <c r="P1266" s="490" t="s">
        <v>2294</v>
      </c>
    </row>
    <row r="1267">
      <c r="A1267" s="490"/>
      <c r="B1267" s="490"/>
      <c r="C1267" s="490"/>
      <c r="D1267" s="490"/>
      <c r="E1267" s="593" t="str">
        <f>IFERROR(__xludf.DUMMYFUNCTION("""COMPUTED_VALUE"""),"GWS")</f>
        <v>GWS</v>
      </c>
      <c r="F1267" s="593" t="str">
        <f>IFERROR(__xludf.DUMMYFUNCTION("""COMPUTED_VALUE"""),"FB SERIES POT FEEDER")</f>
        <v>FB SERIES POT FEEDER</v>
      </c>
      <c r="G1267" s="490"/>
      <c r="H1267" s="490"/>
      <c r="I1267" s="490"/>
      <c r="J1267" s="588"/>
      <c r="K1267" s="490"/>
      <c r="L1267" s="490"/>
      <c r="M1267" s="490"/>
      <c r="N1267" s="490"/>
      <c r="O1267" s="490"/>
      <c r="P1267" s="490" t="s">
        <v>2299</v>
      </c>
    </row>
    <row r="1268">
      <c r="A1268" s="490"/>
      <c r="B1268" s="490"/>
      <c r="C1268" s="490"/>
      <c r="D1268" s="490"/>
      <c r="E1268" s="593" t="str">
        <f>IFERROR(__xludf.DUMMYFUNCTION("""COMPUTED_VALUE"""),"H3C")</f>
        <v>H3C</v>
      </c>
      <c r="F1268" s="593" t="str">
        <f>IFERROR(__xludf.DUMMYFUNCTION("""COMPUTED_VALUE"""),"MAGIC-R100")</f>
        <v>MAGIC-R100</v>
      </c>
      <c r="G1268" s="490"/>
      <c r="H1268" s="490"/>
      <c r="I1268" s="490"/>
      <c r="J1268" s="588"/>
      <c r="K1268" s="490"/>
      <c r="L1268" s="490"/>
      <c r="M1268" s="490"/>
      <c r="N1268" s="490"/>
      <c r="O1268" s="490"/>
      <c r="P1268" s="490" t="s">
        <v>1572</v>
      </c>
    </row>
    <row r="1269">
      <c r="A1269" s="490"/>
      <c r="B1269" s="490"/>
      <c r="C1269" s="490"/>
      <c r="D1269" s="490"/>
      <c r="E1269" s="593" t="str">
        <f>IFERROR(__xludf.DUMMYFUNCTION("""COMPUTED_VALUE"""),"H3C")</f>
        <v>H3C</v>
      </c>
      <c r="F1269" s="593" t="str">
        <f>IFERROR(__xludf.DUMMYFUNCTION("""COMPUTED_VALUE"""),"S1324G-PWR")</f>
        <v>S1324G-PWR</v>
      </c>
      <c r="G1269" s="490"/>
      <c r="H1269" s="490"/>
      <c r="I1269" s="490"/>
      <c r="J1269" s="588"/>
      <c r="K1269" s="490"/>
      <c r="L1269" s="490"/>
      <c r="M1269" s="490"/>
      <c r="N1269" s="490"/>
      <c r="O1269" s="490"/>
      <c r="P1269" s="490" t="s">
        <v>2311</v>
      </c>
    </row>
    <row r="1270">
      <c r="A1270" s="490"/>
      <c r="B1270" s="490"/>
      <c r="C1270" s="490"/>
      <c r="D1270" s="490"/>
      <c r="E1270" s="593" t="str">
        <f>IFERROR(__xludf.DUMMYFUNCTION("""COMPUTED_VALUE"""),"HALTON")</f>
        <v>HALTON</v>
      </c>
      <c r="F1270" s="593" t="str">
        <f>IFERROR(__xludf.DUMMYFUNCTION("""COMPUTED_VALUE"""),"MC8")</f>
        <v>MC8</v>
      </c>
      <c r="G1270" s="490"/>
      <c r="H1270" s="490"/>
      <c r="I1270" s="490"/>
      <c r="J1270" s="588"/>
      <c r="K1270" s="490"/>
      <c r="L1270" s="490"/>
      <c r="M1270" s="490"/>
      <c r="N1270" s="490"/>
      <c r="O1270" s="490"/>
      <c r="P1270" s="490" t="s">
        <v>2316</v>
      </c>
    </row>
    <row r="1271">
      <c r="A1271" s="490"/>
      <c r="B1271" s="490"/>
      <c r="C1271" s="490"/>
      <c r="D1271" s="490"/>
      <c r="E1271" s="593" t="str">
        <f>IFERROR(__xludf.DUMMYFUNCTION("""COMPUTED_VALUE"""),"HALTON")</f>
        <v>HALTON</v>
      </c>
      <c r="F1271" s="593" t="str">
        <f>IFERROR(__xludf.DUMMYFUNCTION("""COMPUTED_VALUE"""),"MC8")</f>
        <v>MC8</v>
      </c>
      <c r="G1271" s="490"/>
      <c r="H1271" s="490"/>
      <c r="I1271" s="490"/>
      <c r="J1271" s="588"/>
      <c r="K1271" s="490"/>
      <c r="L1271" s="490"/>
      <c r="M1271" s="490"/>
      <c r="N1271" s="490"/>
      <c r="O1271" s="490"/>
      <c r="P1271" s="490" t="s">
        <v>2322</v>
      </c>
    </row>
    <row r="1272">
      <c r="A1272" s="490"/>
      <c r="B1272" s="490"/>
      <c r="C1272" s="490"/>
      <c r="D1272" s="490"/>
      <c r="E1272" s="593" t="str">
        <f>IFERROR(__xludf.DUMMYFUNCTION("""COMPUTED_VALUE"""),"HALTON")</f>
        <v>HALTON</v>
      </c>
      <c r="F1272" s="593" t="str">
        <f>IFERROR(__xludf.DUMMYFUNCTION("""COMPUTED_VALUE"""),"CUSTOM")</f>
        <v>CUSTOM</v>
      </c>
      <c r="G1272" s="490"/>
      <c r="H1272" s="490"/>
      <c r="I1272" s="490"/>
      <c r="J1272" s="588"/>
      <c r="K1272" s="490"/>
      <c r="L1272" s="490"/>
      <c r="M1272" s="490"/>
      <c r="N1272" s="490"/>
      <c r="O1272" s="490"/>
      <c r="P1272" s="490" t="s">
        <v>2327</v>
      </c>
    </row>
    <row r="1273">
      <c r="A1273" s="490"/>
      <c r="B1273" s="490"/>
      <c r="C1273" s="490"/>
      <c r="D1273" s="490"/>
      <c r="E1273" s="593" t="str">
        <f>IFERROR(__xludf.DUMMYFUNCTION("""COMPUTED_VALUE"""),"HALTON")</f>
        <v>HALTON</v>
      </c>
      <c r="F1273" s="593" t="str">
        <f>IFERROR(__xludf.DUMMYFUNCTION("""COMPUTED_VALUE"""),"MAIN MODULE LHC-2")</f>
        <v>MAIN MODULE LHC-2</v>
      </c>
      <c r="G1273" s="490"/>
      <c r="H1273" s="490"/>
      <c r="I1273" s="490"/>
      <c r="J1273" s="588"/>
      <c r="K1273" s="490"/>
      <c r="L1273" s="490"/>
      <c r="M1273" s="490"/>
      <c r="N1273" s="490"/>
      <c r="O1273" s="490"/>
      <c r="P1273" s="490" t="s">
        <v>2337</v>
      </c>
    </row>
    <row r="1274">
      <c r="A1274" s="490"/>
      <c r="B1274" s="490"/>
      <c r="C1274" s="490"/>
      <c r="D1274" s="490"/>
      <c r="E1274" s="593" t="str">
        <f>IFERROR(__xludf.DUMMYFUNCTION("""COMPUTED_VALUE"""),"HALTON")</f>
        <v>HALTON</v>
      </c>
      <c r="F1274" s="593" t="str">
        <f>IFERROR(__xludf.DUMMYFUNCTION("""COMPUTED_VALUE"""),"LTS-2.PC1")</f>
        <v>LTS-2.PC1</v>
      </c>
      <c r="G1274" s="490"/>
      <c r="H1274" s="490"/>
      <c r="I1274" s="490"/>
      <c r="J1274" s="588"/>
      <c r="K1274" s="490"/>
      <c r="L1274" s="490"/>
      <c r="M1274" s="490"/>
      <c r="N1274" s="490"/>
      <c r="O1274" s="490"/>
      <c r="P1274" s="490" t="s">
        <v>2346</v>
      </c>
    </row>
    <row r="1275">
      <c r="A1275" s="490"/>
      <c r="B1275" s="490"/>
      <c r="C1275" s="490"/>
      <c r="D1275" s="490"/>
      <c r="E1275" s="593" t="str">
        <f>IFERROR(__xludf.DUMMYFUNCTION("""COMPUTED_VALUE"""),"HANBIT")</f>
        <v>HANBIT</v>
      </c>
      <c r="F1275" s="593" t="str">
        <f>IFERROR(__xludf.DUMMYFUNCTION("""COMPUTED_VALUE"""),"M-BUS AMR")</f>
        <v>M-BUS AMR</v>
      </c>
      <c r="G1275" s="490"/>
      <c r="H1275" s="490"/>
      <c r="I1275" s="490"/>
      <c r="J1275" s="588"/>
      <c r="K1275" s="490"/>
      <c r="L1275" s="490"/>
      <c r="M1275" s="490"/>
      <c r="N1275" s="490"/>
      <c r="O1275" s="490"/>
      <c r="P1275" s="490" t="s">
        <v>2356</v>
      </c>
    </row>
    <row r="1276">
      <c r="A1276" s="490"/>
      <c r="B1276" s="490"/>
      <c r="C1276" s="490"/>
      <c r="D1276" s="490"/>
      <c r="E1276" s="593" t="str">
        <f>IFERROR(__xludf.DUMMYFUNCTION("""COMPUTED_VALUE"""),"HANVON")</f>
        <v>HANVON</v>
      </c>
      <c r="F1276" s="593" t="str">
        <f>IFERROR(__xludf.DUMMYFUNCTION("""COMPUTED_VALUE"""),"M2000")</f>
        <v>M2000</v>
      </c>
      <c r="G1276" s="490"/>
      <c r="H1276" s="490"/>
      <c r="I1276" s="490"/>
      <c r="J1276" s="588"/>
      <c r="K1276" s="490"/>
      <c r="L1276" s="490"/>
      <c r="M1276" s="490"/>
      <c r="N1276" s="490"/>
      <c r="O1276" s="490"/>
      <c r="P1276" s="490" t="s">
        <v>2366</v>
      </c>
    </row>
    <row r="1277">
      <c r="A1277" s="490"/>
      <c r="B1277" s="490"/>
      <c r="C1277" s="490"/>
      <c r="D1277" s="490"/>
      <c r="E1277" s="593" t="str">
        <f>IFERROR(__xludf.DUMMYFUNCTION("""COMPUTED_VALUE"""),"HARDKERNEL CO.")</f>
        <v>HARDKERNEL CO.</v>
      </c>
      <c r="F1277" s="593" t="str">
        <f>IFERROR(__xludf.DUMMYFUNCTION("""COMPUTED_VALUE"""),"ODROID-C2")</f>
        <v>ODROID-C2</v>
      </c>
      <c r="G1277" s="490"/>
      <c r="H1277" s="490"/>
      <c r="I1277" s="490"/>
      <c r="J1277" s="588"/>
      <c r="K1277" s="490"/>
      <c r="L1277" s="490"/>
      <c r="M1277" s="490"/>
      <c r="N1277" s="490"/>
      <c r="O1277" s="490"/>
      <c r="P1277" s="490" t="s">
        <v>2376</v>
      </c>
    </row>
    <row r="1278">
      <c r="A1278" s="490"/>
      <c r="B1278" s="490"/>
      <c r="C1278" s="490"/>
      <c r="D1278" s="490"/>
      <c r="E1278" s="593" t="str">
        <f>IFERROR(__xludf.DUMMYFUNCTION("""COMPUTED_VALUE"""),"HARDKERNEL CO.")</f>
        <v>HARDKERNEL CO.</v>
      </c>
      <c r="F1278" s="593" t="str">
        <f>IFERROR(__xludf.DUMMYFUNCTION("""COMPUTED_VALUE"""),"ORDOID-XU4")</f>
        <v>ORDOID-XU4</v>
      </c>
      <c r="G1278" s="490"/>
      <c r="H1278" s="490"/>
      <c r="I1278" s="490"/>
      <c r="J1278" s="588"/>
      <c r="K1278" s="490"/>
      <c r="L1278" s="490"/>
      <c r="M1278" s="490"/>
      <c r="N1278" s="490"/>
      <c r="O1278" s="490"/>
      <c r="P1278" s="490" t="s">
        <v>1684</v>
      </c>
    </row>
    <row r="1279">
      <c r="A1279" s="490"/>
      <c r="B1279" s="490"/>
      <c r="C1279" s="490"/>
      <c r="D1279" s="490"/>
      <c r="E1279" s="593" t="str">
        <f>IFERROR(__xludf.DUMMYFUNCTION("""COMPUTED_VALUE"""),"HELIX RT")</f>
        <v>HELIX RT</v>
      </c>
      <c r="F1279" s="593" t="str">
        <f>IFERROR(__xludf.DUMMYFUNCTION("""COMPUTED_VALUE"""),"H6125W-W")</f>
        <v>H6125W-W</v>
      </c>
      <c r="G1279" s="490"/>
      <c r="H1279" s="490"/>
      <c r="I1279" s="490"/>
      <c r="J1279" s="588"/>
      <c r="K1279" s="490"/>
      <c r="L1279" s="490"/>
      <c r="M1279" s="490"/>
      <c r="N1279" s="490"/>
      <c r="O1279" s="490"/>
      <c r="P1279" s="490" t="s">
        <v>1909</v>
      </c>
    </row>
    <row r="1280">
      <c r="A1280" s="490"/>
      <c r="B1280" s="490"/>
      <c r="C1280" s="490"/>
      <c r="D1280" s="490"/>
      <c r="E1280" s="593" t="str">
        <f>IFERROR(__xludf.DUMMYFUNCTION("""COMPUTED_VALUE"""),"HELVAR")</f>
        <v>HELVAR</v>
      </c>
      <c r="F1280" s="593" t="str">
        <f>IFERROR(__xludf.DUMMYFUNCTION("""COMPUTED_VALUE"""),"910 ROUTER")</f>
        <v>910 ROUTER</v>
      </c>
      <c r="G1280" s="490"/>
      <c r="H1280" s="490"/>
      <c r="I1280" s="490"/>
      <c r="J1280" s="588"/>
      <c r="K1280" s="490"/>
      <c r="L1280" s="490"/>
      <c r="M1280" s="490"/>
      <c r="N1280" s="490"/>
      <c r="O1280" s="490"/>
      <c r="P1280" s="490" t="s">
        <v>2391</v>
      </c>
    </row>
    <row r="1281">
      <c r="A1281" s="490"/>
      <c r="B1281" s="490"/>
      <c r="C1281" s="490"/>
      <c r="D1281" s="490"/>
      <c r="E1281" s="593" t="str">
        <f>IFERROR(__xludf.DUMMYFUNCTION("""COMPUTED_VALUE"""),"HELVAR")</f>
        <v>HELVAR</v>
      </c>
      <c r="F1281" s="593" t="str">
        <f>IFERROR(__xludf.DUMMYFUNCTION("""COMPUTED_VALUE"""),"910 ROUTER")</f>
        <v>910 ROUTER</v>
      </c>
      <c r="G1281" s="490"/>
      <c r="H1281" s="490"/>
      <c r="I1281" s="490"/>
      <c r="J1281" s="588"/>
      <c r="K1281" s="490"/>
      <c r="L1281" s="490"/>
      <c r="M1281" s="490"/>
      <c r="N1281" s="490"/>
      <c r="O1281" s="490"/>
      <c r="P1281" s="490" t="s">
        <v>2401</v>
      </c>
    </row>
    <row r="1282">
      <c r="A1282" s="490"/>
      <c r="B1282" s="490"/>
      <c r="C1282" s="490"/>
      <c r="D1282" s="490"/>
      <c r="E1282" s="593" t="str">
        <f>IFERROR(__xludf.DUMMYFUNCTION("""COMPUTED_VALUE"""),"HELVAR")</f>
        <v>HELVAR</v>
      </c>
      <c r="F1282" s="593" t="str">
        <f>IFERROR(__xludf.DUMMYFUNCTION("""COMPUTED_VALUE"""),"DIGIDIM910 ROUTER")</f>
        <v>DIGIDIM910 ROUTER</v>
      </c>
      <c r="G1282" s="490"/>
      <c r="H1282" s="490"/>
      <c r="I1282" s="490"/>
      <c r="J1282" s="588"/>
      <c r="K1282" s="490"/>
      <c r="L1282" s="490"/>
      <c r="M1282" s="490"/>
      <c r="N1282" s="490"/>
      <c r="O1282" s="490"/>
      <c r="P1282" s="490" t="s">
        <v>2411</v>
      </c>
    </row>
    <row r="1283">
      <c r="A1283" s="490"/>
      <c r="B1283" s="490"/>
      <c r="C1283" s="490"/>
      <c r="D1283" s="490"/>
      <c r="E1283" s="593" t="str">
        <f>IFERROR(__xludf.DUMMYFUNCTION("""COMPUTED_VALUE"""),"HELVAR")</f>
        <v>HELVAR</v>
      </c>
      <c r="F1283" s="593" t="str">
        <f>IFERROR(__xludf.DUMMYFUNCTION("""COMPUTED_VALUE"""),"DIGIDIM910 ROUTER")</f>
        <v>DIGIDIM910 ROUTER</v>
      </c>
      <c r="G1283" s="490"/>
      <c r="H1283" s="490"/>
      <c r="I1283" s="490"/>
      <c r="J1283" s="588"/>
      <c r="K1283" s="490"/>
      <c r="L1283" s="490"/>
      <c r="M1283" s="490"/>
      <c r="N1283" s="490"/>
      <c r="O1283" s="490"/>
      <c r="P1283" s="490" t="s">
        <v>2421</v>
      </c>
    </row>
    <row r="1284">
      <c r="A1284" s="490"/>
      <c r="B1284" s="490"/>
      <c r="C1284" s="490"/>
      <c r="D1284" s="490"/>
      <c r="E1284" s="593" t="str">
        <f>IFERROR(__xludf.DUMMYFUNCTION("""COMPUTED_VALUE"""),"HELVAR")</f>
        <v>HELVAR</v>
      </c>
      <c r="F1284" s="593" t="str">
        <f>IFERROR(__xludf.DUMMYFUNCTION("""COMPUTED_VALUE"""),"905")</f>
        <v>905</v>
      </c>
      <c r="G1284" s="490"/>
      <c r="H1284" s="490"/>
      <c r="I1284" s="490"/>
      <c r="J1284" s="588"/>
      <c r="K1284" s="490"/>
      <c r="L1284" s="490"/>
      <c r="M1284" s="490"/>
      <c r="N1284" s="490"/>
      <c r="O1284" s="490"/>
      <c r="P1284" s="490" t="s">
        <v>2431</v>
      </c>
    </row>
    <row r="1285">
      <c r="A1285" s="490"/>
      <c r="B1285" s="490"/>
      <c r="C1285" s="490"/>
      <c r="D1285" s="490"/>
      <c r="E1285" s="593" t="str">
        <f>IFERROR(__xludf.DUMMYFUNCTION("""COMPUTED_VALUE"""),"HELVAR")</f>
        <v>HELVAR</v>
      </c>
      <c r="F1285" s="593" t="str">
        <f>IFERROR(__xludf.DUMMYFUNCTION("""COMPUTED_VALUE"""),"910 ROUTER")</f>
        <v>910 ROUTER</v>
      </c>
      <c r="G1285" s="490"/>
      <c r="H1285" s="490"/>
      <c r="I1285" s="490"/>
      <c r="J1285" s="588"/>
      <c r="K1285" s="490"/>
      <c r="L1285" s="490"/>
      <c r="M1285" s="490"/>
      <c r="N1285" s="490"/>
      <c r="O1285" s="490"/>
      <c r="P1285" s="490" t="s">
        <v>2441</v>
      </c>
    </row>
    <row r="1286">
      <c r="A1286" s="490"/>
      <c r="B1286" s="490"/>
      <c r="C1286" s="490"/>
      <c r="D1286" s="490"/>
      <c r="E1286" s="593" t="str">
        <f>IFERROR(__xludf.DUMMYFUNCTION("""COMPUTED_VALUE"""),"HELVAR")</f>
        <v>HELVAR</v>
      </c>
      <c r="F1286" s="593" t="str">
        <f>IFERROR(__xludf.DUMMYFUNCTION("""COMPUTED_VALUE"""),"435 BACNET GATEWAY")</f>
        <v>435 BACNET GATEWAY</v>
      </c>
      <c r="G1286" s="490"/>
      <c r="H1286" s="490"/>
      <c r="I1286" s="490"/>
      <c r="J1286" s="588"/>
      <c r="K1286" s="490"/>
      <c r="L1286" s="490"/>
      <c r="M1286" s="490"/>
      <c r="N1286" s="490"/>
      <c r="O1286" s="490"/>
      <c r="P1286" s="490" t="s">
        <v>2446</v>
      </c>
    </row>
    <row r="1287">
      <c r="A1287" s="490"/>
      <c r="B1287" s="490"/>
      <c r="C1287" s="490"/>
      <c r="D1287" s="490"/>
      <c r="E1287" s="593" t="str">
        <f>IFERROR(__xludf.DUMMYFUNCTION("""COMPUTED_VALUE"""),"HELVAR")</f>
        <v>HELVAR</v>
      </c>
      <c r="F1287" s="593" t="str">
        <f>IFERROR(__xludf.DUMMYFUNCTION("""COMPUTED_VALUE"""),"920 ROUTER")</f>
        <v>920 ROUTER</v>
      </c>
      <c r="G1287" s="490"/>
      <c r="H1287" s="490"/>
      <c r="I1287" s="490"/>
      <c r="J1287" s="588"/>
      <c r="K1287" s="490"/>
      <c r="L1287" s="490"/>
      <c r="M1287" s="490"/>
      <c r="N1287" s="490"/>
      <c r="O1287" s="490"/>
      <c r="P1287" s="490" t="s">
        <v>1277</v>
      </c>
    </row>
    <row r="1288">
      <c r="A1288" s="490"/>
      <c r="B1288" s="490"/>
      <c r="C1288" s="490"/>
      <c r="D1288" s="490"/>
      <c r="E1288" s="593" t="str">
        <f>IFERROR(__xludf.DUMMYFUNCTION("""COMPUTED_VALUE"""),"HID GLOBAL CORPORATIOIN")</f>
        <v>HID GLOBAL CORPORATIOIN</v>
      </c>
      <c r="F1288" s="593" t="str">
        <f>IFERROR(__xludf.DUMMYFUNCTION("""COMPUTED_VALUE"""),"CARD READER (R40)")</f>
        <v>CARD READER (R40)</v>
      </c>
      <c r="G1288" s="490"/>
      <c r="H1288" s="490"/>
      <c r="I1288" s="490"/>
      <c r="J1288" s="588"/>
      <c r="K1288" s="490"/>
      <c r="L1288" s="490"/>
      <c r="M1288" s="490"/>
      <c r="N1288" s="490"/>
      <c r="O1288" s="490"/>
      <c r="P1288" s="490" t="s">
        <v>2456</v>
      </c>
    </row>
    <row r="1289">
      <c r="A1289" s="490"/>
      <c r="B1289" s="490"/>
      <c r="C1289" s="490"/>
      <c r="D1289" s="490"/>
      <c r="E1289" s="593" t="str">
        <f>IFERROR(__xludf.DUMMYFUNCTION("""COMPUTED_VALUE"""),"HID GLOBAL CORPORATIOIN")</f>
        <v>HID GLOBAL CORPORATIOIN</v>
      </c>
      <c r="F1289" s="593" t="str">
        <f>IFERROR(__xludf.DUMMYFUNCTION("""COMPUTED_VALUE"""),"CARD READER (R40)")</f>
        <v>CARD READER (R40)</v>
      </c>
      <c r="G1289" s="490"/>
      <c r="H1289" s="490"/>
      <c r="I1289" s="490"/>
      <c r="J1289" s="588"/>
      <c r="K1289" s="490"/>
      <c r="L1289" s="490"/>
      <c r="M1289" s="490"/>
      <c r="N1289" s="490"/>
      <c r="O1289" s="490"/>
      <c r="P1289" s="490" t="s">
        <v>2466</v>
      </c>
    </row>
    <row r="1290">
      <c r="A1290" s="490"/>
      <c r="B1290" s="490"/>
      <c r="C1290" s="490"/>
      <c r="D1290" s="490"/>
      <c r="E1290" s="593" t="str">
        <f>IFERROR(__xludf.DUMMYFUNCTION("""COMPUTED_VALUE"""),"HIKVISION")</f>
        <v>HIKVISION</v>
      </c>
      <c r="F1290" s="593" t="str">
        <f>IFERROR(__xludf.DUMMYFUNCTION("""COMPUTED_VALUE"""),"DS-7808NB-K2")</f>
        <v>DS-7808NB-K2</v>
      </c>
      <c r="G1290" s="490"/>
      <c r="H1290" s="490"/>
      <c r="I1290" s="490"/>
      <c r="J1290" s="588"/>
      <c r="K1290" s="490"/>
      <c r="L1290" s="490"/>
      <c r="M1290" s="490"/>
      <c r="N1290" s="490"/>
      <c r="O1290" s="490"/>
      <c r="P1290" s="490" t="s">
        <v>1921</v>
      </c>
    </row>
    <row r="1291">
      <c r="A1291" s="490"/>
      <c r="B1291" s="490"/>
      <c r="C1291" s="490"/>
      <c r="D1291" s="490"/>
      <c r="E1291" s="593" t="str">
        <f>IFERROR(__xludf.DUMMYFUNCTION("""COMPUTED_VALUE"""),"HIKVISION")</f>
        <v>HIKVISION</v>
      </c>
      <c r="F1291" s="593" t="str">
        <f>IFERROR(__xludf.DUMMYFUNCTION("""COMPUTED_VALUE"""),"DS-2CD2725EF-IS")</f>
        <v>DS-2CD2725EF-IS</v>
      </c>
      <c r="G1291" s="490"/>
      <c r="H1291" s="490"/>
      <c r="I1291" s="490"/>
      <c r="J1291" s="588"/>
      <c r="K1291" s="490"/>
      <c r="L1291" s="490"/>
      <c r="M1291" s="490"/>
      <c r="N1291" s="490"/>
      <c r="O1291" s="490"/>
      <c r="P1291" s="490" t="s">
        <v>2476</v>
      </c>
    </row>
    <row r="1292">
      <c r="A1292" s="490"/>
      <c r="B1292" s="490"/>
      <c r="C1292" s="490"/>
      <c r="D1292" s="490"/>
      <c r="E1292" s="593" t="str">
        <f>IFERROR(__xludf.DUMMYFUNCTION("""COMPUTED_VALUE"""),"HIRSCHMANN")</f>
        <v>HIRSCHMANN</v>
      </c>
      <c r="F1292" s="593" t="str">
        <f>IFERROR(__xludf.DUMMYFUNCTION("""COMPUTED_VALUE"""),"CAS 8")</f>
        <v>CAS 8</v>
      </c>
      <c r="G1292" s="490"/>
      <c r="H1292" s="490"/>
      <c r="I1292" s="490"/>
      <c r="J1292" s="588"/>
      <c r="K1292" s="490"/>
      <c r="L1292" s="490"/>
      <c r="M1292" s="490"/>
      <c r="N1292" s="490"/>
      <c r="O1292" s="490"/>
      <c r="P1292" s="490" t="s">
        <v>2486</v>
      </c>
    </row>
    <row r="1293">
      <c r="A1293" s="490"/>
      <c r="B1293" s="490"/>
      <c r="C1293" s="490"/>
      <c r="D1293" s="490"/>
      <c r="E1293" s="593" t="str">
        <f>IFERROR(__xludf.DUMMYFUNCTION("""COMPUTED_VALUE"""),"HIRSCHMANN")</f>
        <v>HIRSCHMANN</v>
      </c>
      <c r="F1293" s="593" t="str">
        <f>IFERROR(__xludf.DUMMYFUNCTION("""COMPUTED_VALUE"""),"MACH102-24TP-FR")</f>
        <v>MACH102-24TP-FR</v>
      </c>
      <c r="G1293" s="490"/>
      <c r="H1293" s="490"/>
      <c r="I1293" s="490"/>
      <c r="J1293" s="588"/>
      <c r="K1293" s="490"/>
      <c r="L1293" s="490"/>
      <c r="M1293" s="490"/>
      <c r="N1293" s="490"/>
      <c r="O1293" s="490"/>
      <c r="P1293" s="490" t="s">
        <v>2496</v>
      </c>
    </row>
    <row r="1294">
      <c r="A1294" s="490"/>
      <c r="B1294" s="490"/>
      <c r="C1294" s="490"/>
      <c r="D1294" s="490"/>
      <c r="E1294" s="593" t="str">
        <f>IFERROR(__xludf.DUMMYFUNCTION("""COMPUTED_VALUE"""),"HIRSCHMANN")</f>
        <v>HIRSCHMANN</v>
      </c>
      <c r="F1294" s="593" t="str">
        <f>IFERROR(__xludf.DUMMYFUNCTION("""COMPUTED_VALUE"""),"SPIDER 5TX")</f>
        <v>SPIDER 5TX</v>
      </c>
      <c r="G1294" s="490"/>
      <c r="H1294" s="490"/>
      <c r="I1294" s="490"/>
      <c r="J1294" s="588"/>
      <c r="K1294" s="490"/>
      <c r="L1294" s="490"/>
      <c r="M1294" s="490"/>
      <c r="N1294" s="490"/>
      <c r="O1294" s="490"/>
      <c r="P1294" s="490" t="s">
        <v>1317</v>
      </c>
    </row>
    <row r="1295">
      <c r="A1295" s="490"/>
      <c r="B1295" s="490"/>
      <c r="C1295" s="490"/>
      <c r="D1295" s="490"/>
      <c r="E1295" s="593" t="str">
        <f>IFERROR(__xludf.DUMMYFUNCTION("""COMPUTED_VALUE"""),"HIRSCHMANN")</f>
        <v>HIRSCHMANN</v>
      </c>
      <c r="F1295" s="593" t="str">
        <f>IFERROR(__xludf.DUMMYFUNCTION("""COMPUTED_VALUE"""),"SPIDER 5TX SWITCH")</f>
        <v>SPIDER 5TX SWITCH</v>
      </c>
      <c r="G1295" s="490"/>
      <c r="H1295" s="490"/>
      <c r="I1295" s="490"/>
      <c r="J1295" s="588"/>
      <c r="K1295" s="490"/>
      <c r="L1295" s="490"/>
      <c r="M1295" s="490"/>
      <c r="N1295" s="490"/>
      <c r="O1295" s="490"/>
      <c r="P1295" s="490" t="s">
        <v>2506</v>
      </c>
    </row>
    <row r="1296">
      <c r="A1296" s="490"/>
      <c r="B1296" s="490"/>
      <c r="C1296" s="490"/>
      <c r="D1296" s="490"/>
      <c r="E1296" s="593" t="str">
        <f>IFERROR(__xludf.DUMMYFUNCTION("""COMPUTED_VALUE"""),"HIRSCHMANN")</f>
        <v>HIRSCHMANN</v>
      </c>
      <c r="F1296" s="593" t="str">
        <f>IFERROR(__xludf.DUMMYFUNCTION("""COMPUTED_VALUE"""),"SPIDER II 8TX")</f>
        <v>SPIDER II 8TX</v>
      </c>
      <c r="G1296" s="490"/>
      <c r="H1296" s="490"/>
      <c r="I1296" s="490"/>
      <c r="J1296" s="588"/>
      <c r="K1296" s="490"/>
      <c r="L1296" s="490"/>
      <c r="M1296" s="490"/>
      <c r="N1296" s="490"/>
      <c r="O1296" s="490"/>
      <c r="P1296" s="490" t="s">
        <v>1338</v>
      </c>
    </row>
    <row r="1297">
      <c r="A1297" s="490"/>
      <c r="B1297" s="490"/>
      <c r="C1297" s="490"/>
      <c r="D1297" s="490"/>
      <c r="E1297" s="593" t="str">
        <f>IFERROR(__xludf.DUMMYFUNCTION("""COMPUTED_VALUE"""),"HIRSCHMANN")</f>
        <v>HIRSCHMANN</v>
      </c>
      <c r="F1297" s="593" t="str">
        <f>IFERROR(__xludf.DUMMYFUNCTION("""COMPUTED_VALUE"""),"SPIDER II 8TX/1FX")</f>
        <v>SPIDER II 8TX/1FX</v>
      </c>
      <c r="G1297" s="490"/>
      <c r="H1297" s="490"/>
      <c r="I1297" s="490"/>
      <c r="J1297" s="588"/>
      <c r="K1297" s="490"/>
      <c r="L1297" s="490"/>
      <c r="M1297" s="490"/>
      <c r="N1297" s="490"/>
      <c r="O1297" s="490"/>
      <c r="P1297" s="490" t="s">
        <v>1327</v>
      </c>
    </row>
    <row r="1298">
      <c r="A1298" s="490"/>
      <c r="B1298" s="490"/>
      <c r="C1298" s="490"/>
      <c r="D1298" s="490"/>
      <c r="E1298" s="593" t="str">
        <f>IFERROR(__xludf.DUMMYFUNCTION("""COMPUTED_VALUE"""),"HIRSCHMANN")</f>
        <v>HIRSCHMANN</v>
      </c>
      <c r="F1298" s="593" t="str">
        <f>IFERROR(__xludf.DUMMYFUNCTION("""COMPUTED_VALUE"""),"SPIDER STANDARD")</f>
        <v>SPIDER STANDARD</v>
      </c>
      <c r="G1298" s="490"/>
      <c r="H1298" s="490"/>
      <c r="I1298" s="490"/>
      <c r="J1298" s="588"/>
      <c r="K1298" s="490"/>
      <c r="L1298" s="490"/>
      <c r="M1298" s="490"/>
      <c r="N1298" s="490"/>
      <c r="O1298" s="490"/>
      <c r="P1298" s="490" t="s">
        <v>2525</v>
      </c>
    </row>
    <row r="1299">
      <c r="A1299" s="490"/>
      <c r="B1299" s="490"/>
      <c r="C1299" s="490"/>
      <c r="D1299" s="490"/>
      <c r="E1299" s="593" t="str">
        <f>IFERROR(__xludf.DUMMYFUNCTION("""COMPUTED_VALUE"""),"HIRSCHMANN")</f>
        <v>HIRSCHMANN</v>
      </c>
      <c r="F1299" s="593" t="str">
        <f>IFERROR(__xludf.DUMMYFUNCTION("""COMPUTED_VALUE"""),"MAC102-8TP-R")</f>
        <v>MAC102-8TP-R</v>
      </c>
      <c r="G1299" s="490"/>
      <c r="H1299" s="490"/>
      <c r="I1299" s="490"/>
      <c r="J1299" s="588"/>
      <c r="K1299" s="490"/>
      <c r="L1299" s="490"/>
      <c r="M1299" s="490"/>
      <c r="N1299" s="490"/>
      <c r="O1299" s="490"/>
      <c r="P1299" s="490" t="s">
        <v>2535</v>
      </c>
    </row>
    <row r="1300">
      <c r="A1300" s="490"/>
      <c r="B1300" s="490"/>
      <c r="C1300" s="490"/>
      <c r="D1300" s="490"/>
      <c r="E1300" s="593" t="str">
        <f>IFERROR(__xludf.DUMMYFUNCTION("""COMPUTED_VALUE"""),"HIRSCHMANN")</f>
        <v>HIRSCHMANN</v>
      </c>
      <c r="F1300" s="593" t="str">
        <f>IFERROR(__xludf.DUMMYFUNCTION("""COMPUTED_VALUE"""),"SPIDER 8TX")</f>
        <v>SPIDER 8TX</v>
      </c>
      <c r="G1300" s="490"/>
      <c r="H1300" s="490"/>
      <c r="I1300" s="490"/>
      <c r="J1300" s="588"/>
      <c r="K1300" s="490"/>
      <c r="L1300" s="490"/>
      <c r="M1300" s="490"/>
      <c r="N1300" s="490"/>
      <c r="O1300" s="490"/>
      <c r="P1300" s="490" t="s">
        <v>2540</v>
      </c>
    </row>
    <row r="1301">
      <c r="A1301" s="490"/>
      <c r="B1301" s="490"/>
      <c r="C1301" s="490"/>
      <c r="D1301" s="490"/>
      <c r="E1301" s="593" t="str">
        <f>IFERROR(__xludf.DUMMYFUNCTION("""COMPUTED_VALUE"""),"HIRSCHMANN")</f>
        <v>HIRSCHMANN</v>
      </c>
      <c r="F1301" s="593" t="str">
        <f>IFERROR(__xludf.DUMMYFUNCTION("""COMPUTED_VALUE"""),"RS20-1600T1T1")</f>
        <v>RS20-1600T1T1</v>
      </c>
      <c r="G1301" s="490"/>
      <c r="H1301" s="490"/>
      <c r="I1301" s="490"/>
      <c r="J1301" s="588"/>
      <c r="K1301" s="490"/>
      <c r="L1301" s="490"/>
      <c r="M1301" s="490"/>
      <c r="N1301" s="490"/>
      <c r="O1301" s="490"/>
      <c r="P1301" s="490" t="s">
        <v>1654</v>
      </c>
    </row>
    <row r="1302">
      <c r="A1302" s="490"/>
      <c r="B1302" s="490"/>
      <c r="C1302" s="490"/>
      <c r="D1302" s="490"/>
      <c r="E1302" s="593" t="str">
        <f>IFERROR(__xludf.DUMMYFUNCTION("""COMPUTED_VALUE"""),"HIRSCHMANN")</f>
        <v>HIRSCHMANN</v>
      </c>
      <c r="F1302" s="593" t="str">
        <f>IFERROR(__xludf.DUMMYFUNCTION("""COMPUTED_VALUE"""),"MACH102-8TP-R")</f>
        <v>MACH102-8TP-R</v>
      </c>
      <c r="G1302" s="490"/>
      <c r="H1302" s="490"/>
      <c r="I1302" s="490"/>
      <c r="J1302" s="588"/>
      <c r="K1302" s="490"/>
      <c r="L1302" s="490"/>
      <c r="M1302" s="490"/>
      <c r="N1302" s="490"/>
      <c r="O1302" s="490"/>
      <c r="P1302" s="490" t="s">
        <v>2551</v>
      </c>
    </row>
    <row r="1303">
      <c r="A1303" s="490"/>
      <c r="B1303" s="490"/>
      <c r="C1303" s="490"/>
      <c r="D1303" s="490"/>
      <c r="E1303" s="593" t="str">
        <f>IFERROR(__xludf.DUMMYFUNCTION("""COMPUTED_VALUE"""),"HITACHI")</f>
        <v>HITACHI</v>
      </c>
      <c r="F1303" s="593" t="str">
        <f>IFERROR(__xludf.DUMMYFUNCTION("""COMPUTED_VALUE"""),"HC-A8MB")</f>
        <v>HC-A8MB</v>
      </c>
      <c r="G1303" s="490"/>
      <c r="H1303" s="490"/>
      <c r="I1303" s="490"/>
      <c r="J1303" s="588"/>
      <c r="K1303" s="490"/>
      <c r="L1303" s="490"/>
      <c r="M1303" s="490"/>
      <c r="N1303" s="490"/>
      <c r="O1303" s="490"/>
      <c r="P1303" s="490" t="s">
        <v>2562</v>
      </c>
    </row>
    <row r="1304">
      <c r="A1304" s="490"/>
      <c r="B1304" s="490"/>
      <c r="C1304" s="490"/>
      <c r="D1304" s="490"/>
      <c r="E1304" s="593" t="str">
        <f>IFERROR(__xludf.DUMMYFUNCTION("""COMPUTED_VALUE"""),"HITACHI")</f>
        <v>HITACHI</v>
      </c>
      <c r="F1304" s="593" t="str">
        <f>IFERROR(__xludf.DUMMYFUNCTION("""COMPUTED_VALUE"""),"PSC-A160WEB1")</f>
        <v>PSC-A160WEB1</v>
      </c>
      <c r="G1304" s="490"/>
      <c r="H1304" s="490"/>
      <c r="I1304" s="490"/>
      <c r="J1304" s="588"/>
      <c r="K1304" s="490"/>
      <c r="L1304" s="490"/>
      <c r="M1304" s="490"/>
      <c r="N1304" s="490"/>
      <c r="O1304" s="490"/>
      <c r="P1304" s="490" t="s">
        <v>1399</v>
      </c>
    </row>
    <row r="1305">
      <c r="A1305" s="490"/>
      <c r="B1305" s="490"/>
      <c r="C1305" s="490"/>
      <c r="D1305" s="490"/>
      <c r="E1305" s="593" t="str">
        <f>IFERROR(__xludf.DUMMYFUNCTION("""COMPUTED_VALUE"""),"HMS NETWORKS")</f>
        <v>HMS NETWORKS</v>
      </c>
      <c r="F1305" s="593" t="str">
        <f>IFERROR(__xludf.DUMMYFUNCTION("""COMPUTED_VALUE"""),"IS-IBV6")</f>
        <v>IS-IBV6</v>
      </c>
      <c r="G1305" s="490"/>
      <c r="H1305" s="490"/>
      <c r="I1305" s="490"/>
      <c r="J1305" s="588"/>
      <c r="K1305" s="490"/>
      <c r="L1305" s="490"/>
      <c r="M1305" s="490"/>
      <c r="N1305" s="490"/>
      <c r="O1305" s="490"/>
      <c r="P1305" s="490" t="s">
        <v>2578</v>
      </c>
    </row>
    <row r="1306">
      <c r="A1306" s="490"/>
      <c r="B1306" s="490"/>
      <c r="C1306" s="490"/>
      <c r="D1306" s="490"/>
      <c r="E1306" s="593" t="str">
        <f>IFERROR(__xludf.DUMMYFUNCTION("""COMPUTED_VALUE"""),"HMS NETWORKS")</f>
        <v>HMS NETWORKS</v>
      </c>
      <c r="F1306" s="593" t="str">
        <f>IFERROR(__xludf.DUMMYFUNCTION("""COMPUTED_VALUE"""),"ANYBUS COMPACTCOM")</f>
        <v>ANYBUS COMPACTCOM</v>
      </c>
      <c r="G1306" s="490"/>
      <c r="H1306" s="490"/>
      <c r="I1306" s="490"/>
      <c r="J1306" s="588"/>
      <c r="K1306" s="490"/>
      <c r="L1306" s="490"/>
      <c r="M1306" s="490"/>
      <c r="N1306" s="490"/>
      <c r="O1306" s="490"/>
      <c r="P1306" s="490" t="s">
        <v>2583</v>
      </c>
    </row>
    <row r="1307">
      <c r="A1307" s="490"/>
      <c r="B1307" s="490"/>
      <c r="C1307" s="490"/>
      <c r="D1307" s="490"/>
      <c r="E1307" s="593" t="str">
        <f>IFERROR(__xludf.DUMMYFUNCTION("""COMPUTED_VALUE"""),"HMS NETWORKS")</f>
        <v>HMS NETWORKS</v>
      </c>
      <c r="F1307" s="593" t="str">
        <f>IFERROR(__xludf.DUMMYFUNCTION("""COMPUTED_VALUE"""),"BACNET GATEWAY")</f>
        <v>BACNET GATEWAY</v>
      </c>
      <c r="G1307" s="490"/>
      <c r="H1307" s="490"/>
      <c r="I1307" s="490"/>
      <c r="J1307" s="588"/>
      <c r="K1307" s="490"/>
      <c r="L1307" s="490"/>
      <c r="M1307" s="490"/>
      <c r="N1307" s="490"/>
      <c r="O1307" s="490"/>
      <c r="P1307" s="490" t="s">
        <v>2593</v>
      </c>
    </row>
    <row r="1308">
      <c r="A1308" s="490"/>
      <c r="B1308" s="490"/>
      <c r="C1308" s="490"/>
      <c r="D1308" s="490"/>
      <c r="E1308" s="593" t="str">
        <f>IFERROR(__xludf.DUMMYFUNCTION("""COMPUTED_VALUE"""),"HOBART")</f>
        <v>HOBART</v>
      </c>
      <c r="F1308" s="593" t="str">
        <f>IFERROR(__xludf.DUMMYFUNCTION("""COMPUTED_VALUE"""),"CLPS86EN-EGR")</f>
        <v>CLPS86EN-EGR</v>
      </c>
      <c r="G1308" s="490"/>
      <c r="H1308" s="490"/>
      <c r="I1308" s="490"/>
      <c r="J1308" s="588"/>
      <c r="K1308" s="490"/>
      <c r="L1308" s="490"/>
      <c r="M1308" s="490"/>
      <c r="N1308" s="490"/>
      <c r="O1308" s="490"/>
      <c r="P1308" s="490" t="s">
        <v>2603</v>
      </c>
    </row>
    <row r="1309">
      <c r="A1309" s="490"/>
      <c r="B1309" s="490"/>
      <c r="C1309" s="490"/>
      <c r="D1309" s="490"/>
      <c r="E1309" s="593" t="str">
        <f>IFERROR(__xludf.DUMMYFUNCTION("""COMPUTED_VALUE"""),"HOCHIKI AMERICA CORP")</f>
        <v>HOCHIKI AMERICA CORP</v>
      </c>
      <c r="F1309" s="593" t="str">
        <f>IFERROR(__xludf.DUMMYFUNCTION("""COMPUTED_VALUE"""),"FIRE NET SERIES")</f>
        <v>FIRE NET SERIES</v>
      </c>
      <c r="G1309" s="490"/>
      <c r="H1309" s="490"/>
      <c r="I1309" s="490"/>
      <c r="J1309" s="588"/>
      <c r="K1309" s="490"/>
      <c r="L1309" s="490"/>
      <c r="M1309" s="490"/>
      <c r="N1309" s="490"/>
      <c r="O1309" s="490"/>
      <c r="P1309" s="490" t="s">
        <v>2613</v>
      </c>
    </row>
    <row r="1310">
      <c r="A1310" s="490"/>
      <c r="B1310" s="490"/>
      <c r="C1310" s="490"/>
      <c r="D1310" s="490"/>
      <c r="E1310" s="593" t="str">
        <f>IFERROR(__xludf.DUMMYFUNCTION("""COMPUTED_VALUE"""),"HONEYWELL")</f>
        <v>HONEYWELL</v>
      </c>
      <c r="F1310" s="593" t="str">
        <f>IFERROR(__xludf.DUMMYFUNCTION("""COMPUTED_VALUE"""),"CP-IPC")</f>
        <v>CP-IPC</v>
      </c>
      <c r="G1310" s="490"/>
      <c r="H1310" s="490"/>
      <c r="I1310" s="490"/>
      <c r="J1310" s="588"/>
      <c r="K1310" s="490"/>
      <c r="L1310" s="490"/>
      <c r="M1310" s="490"/>
      <c r="N1310" s="490"/>
      <c r="O1310" s="490"/>
      <c r="P1310" s="490" t="s">
        <v>2623</v>
      </c>
    </row>
    <row r="1311">
      <c r="A1311" s="490"/>
      <c r="B1311" s="490"/>
      <c r="C1311" s="490"/>
      <c r="D1311" s="490"/>
      <c r="E1311" s="593" t="str">
        <f>IFERROR(__xludf.DUMMYFUNCTION("""COMPUTED_VALUE"""),"HONEYWELL")</f>
        <v>HONEYWELL</v>
      </c>
      <c r="F1311" s="593" t="str">
        <f>IFERROR(__xludf.DUMMYFUNCTION("""COMPUTED_VALUE"""),"EXCEL WEB")</f>
        <v>EXCEL WEB</v>
      </c>
      <c r="G1311" s="490"/>
      <c r="H1311" s="490"/>
      <c r="I1311" s="490"/>
      <c r="J1311" s="588"/>
      <c r="K1311" s="490"/>
      <c r="L1311" s="490"/>
      <c r="M1311" s="490"/>
      <c r="N1311" s="490"/>
      <c r="O1311" s="490"/>
      <c r="P1311" s="490" t="s">
        <v>2633</v>
      </c>
    </row>
    <row r="1312">
      <c r="A1312" s="490"/>
      <c r="B1312" s="490"/>
      <c r="C1312" s="490"/>
      <c r="D1312" s="490"/>
      <c r="E1312" s="593" t="str">
        <f>IFERROR(__xludf.DUMMYFUNCTION("""COMPUTED_VALUE"""),"HONEYWELL")</f>
        <v>HONEYWELL</v>
      </c>
      <c r="F1312" s="593" t="str">
        <f>IFERROR(__xludf.DUMMYFUNCTION("""COMPUTED_VALUE"""),"CCPO-PC-6A")</f>
        <v>CCPO-PC-6A</v>
      </c>
      <c r="G1312" s="490"/>
      <c r="H1312" s="490"/>
      <c r="I1312" s="490"/>
      <c r="J1312" s="588"/>
      <c r="K1312" s="490"/>
      <c r="L1312" s="490"/>
      <c r="M1312" s="490"/>
      <c r="N1312" s="490"/>
      <c r="O1312" s="490"/>
      <c r="P1312" s="490" t="s">
        <v>1620</v>
      </c>
    </row>
    <row r="1313">
      <c r="A1313" s="490"/>
      <c r="B1313" s="490"/>
      <c r="C1313" s="490"/>
      <c r="D1313" s="490"/>
      <c r="E1313" s="593" t="str">
        <f>IFERROR(__xludf.DUMMYFUNCTION("""COMPUTED_VALUE"""),"HONEYWELL")</f>
        <v>HONEYWELL</v>
      </c>
      <c r="F1313" s="593" t="str">
        <f>IFERROR(__xludf.DUMMYFUNCTION("""COMPUTED_VALUE"""),"HS-NCM-SF")</f>
        <v>HS-NCM-SF</v>
      </c>
      <c r="G1313" s="490"/>
      <c r="H1313" s="490"/>
      <c r="I1313" s="490"/>
      <c r="J1313" s="588"/>
      <c r="K1313" s="490"/>
      <c r="L1313" s="490"/>
      <c r="M1313" s="490"/>
      <c r="N1313" s="490"/>
      <c r="O1313" s="490"/>
      <c r="P1313" s="490" t="s">
        <v>1459</v>
      </c>
    </row>
    <row r="1314">
      <c r="A1314" s="490"/>
      <c r="B1314" s="490"/>
      <c r="C1314" s="490"/>
      <c r="D1314" s="490"/>
      <c r="E1314" s="593" t="str">
        <f>IFERROR(__xludf.DUMMYFUNCTION("""COMPUTED_VALUE"""),"HONEYWELL")</f>
        <v>HONEYWELL</v>
      </c>
      <c r="F1314" s="593" t="str">
        <f>IFERROR(__xludf.DUMMYFUNCTION("""COMPUTED_VALUE"""),"WEB-EAGLEAX26")</f>
        <v>WEB-EAGLEAX26</v>
      </c>
      <c r="G1314" s="490"/>
      <c r="H1314" s="490"/>
      <c r="I1314" s="490"/>
      <c r="J1314" s="588"/>
      <c r="K1314" s="490"/>
      <c r="L1314" s="490"/>
      <c r="M1314" s="490"/>
      <c r="N1314" s="490"/>
      <c r="O1314" s="490"/>
      <c r="P1314" s="490" t="s">
        <v>2649</v>
      </c>
    </row>
    <row r="1315">
      <c r="A1315" s="490"/>
      <c r="B1315" s="490"/>
      <c r="C1315" s="490"/>
      <c r="D1315" s="490"/>
      <c r="E1315" s="593" t="str">
        <f>IFERROR(__xludf.DUMMYFUNCTION("""COMPUTED_VALUE"""),"HONEYWELL")</f>
        <v>HONEYWELL</v>
      </c>
      <c r="F1315" s="593" t="str">
        <f>IFERROR(__xludf.DUMMYFUNCTION("""COMPUTED_VALUE"""),"WINMAG")</f>
        <v>WINMAG</v>
      </c>
      <c r="G1315" s="490"/>
      <c r="H1315" s="490"/>
      <c r="I1315" s="490"/>
      <c r="J1315" s="588"/>
      <c r="K1315" s="490"/>
      <c r="L1315" s="490"/>
      <c r="M1315" s="490"/>
      <c r="N1315" s="490"/>
      <c r="O1315" s="490"/>
      <c r="P1315" s="490" t="s">
        <v>2659</v>
      </c>
    </row>
    <row r="1316">
      <c r="A1316" s="490"/>
      <c r="B1316" s="490"/>
      <c r="C1316" s="490"/>
      <c r="D1316" s="490"/>
      <c r="E1316" s="593" t="str">
        <f>IFERROR(__xludf.DUMMYFUNCTION("""COMPUTED_VALUE"""),"HONEYWELL")</f>
        <v>HONEYWELL</v>
      </c>
      <c r="F1316" s="593" t="str">
        <f>IFERROR(__xludf.DUMMYFUNCTION("""COMPUTED_VALUE"""),"XI337-TEB")</f>
        <v>XI337-TEB</v>
      </c>
      <c r="G1316" s="490"/>
      <c r="H1316" s="490"/>
      <c r="I1316" s="490"/>
      <c r="J1316" s="588"/>
      <c r="K1316" s="490"/>
      <c r="L1316" s="490"/>
      <c r="M1316" s="490"/>
      <c r="N1316" s="490"/>
      <c r="O1316" s="490"/>
      <c r="P1316" s="490" t="s">
        <v>2669</v>
      </c>
    </row>
    <row r="1317">
      <c r="A1317" s="490"/>
      <c r="B1317" s="490"/>
      <c r="C1317" s="490"/>
      <c r="D1317" s="490"/>
      <c r="E1317" s="593" t="str">
        <f>IFERROR(__xludf.DUMMYFUNCTION("""COMPUTED_VALUE"""),"HONEYWELL")</f>
        <v>HONEYWELL</v>
      </c>
      <c r="F1317" s="593" t="str">
        <f>IFERROR(__xludf.DUMMYFUNCTION("""COMPUTED_VALUE"""),"XI882A")</f>
        <v>XI882A</v>
      </c>
      <c r="G1317" s="490"/>
      <c r="H1317" s="490"/>
      <c r="I1317" s="490"/>
      <c r="J1317" s="588"/>
      <c r="K1317" s="490"/>
      <c r="L1317" s="490"/>
      <c r="M1317" s="490"/>
      <c r="N1317" s="490"/>
      <c r="O1317" s="490"/>
      <c r="P1317" s="490" t="s">
        <v>2679</v>
      </c>
    </row>
    <row r="1318">
      <c r="A1318" s="490"/>
      <c r="B1318" s="490"/>
      <c r="C1318" s="490"/>
      <c r="D1318" s="490"/>
      <c r="E1318" s="593" t="str">
        <f>IFERROR(__xludf.DUMMYFUNCTION("""COMPUTED_VALUE"""),"HONEYWELL")</f>
        <v>HONEYWELL</v>
      </c>
      <c r="F1318" s="593" t="str">
        <f>IFERROR(__xludf.DUMMYFUNCTION("""COMPUTED_VALUE"""),"301C")</f>
        <v>301C</v>
      </c>
      <c r="G1318" s="490"/>
      <c r="H1318" s="490"/>
      <c r="I1318" s="490"/>
      <c r="J1318" s="588"/>
      <c r="K1318" s="490"/>
      <c r="L1318" s="490"/>
      <c r="M1318" s="490"/>
      <c r="N1318" s="490"/>
      <c r="O1318" s="490"/>
      <c r="P1318" s="490" t="s">
        <v>2690</v>
      </c>
    </row>
    <row r="1319">
      <c r="A1319" s="490"/>
      <c r="B1319" s="490"/>
      <c r="C1319" s="490"/>
      <c r="D1319" s="490"/>
      <c r="E1319" s="593" t="str">
        <f>IFERROR(__xludf.DUMMYFUNCTION("""COMPUTED_VALUE"""),"HONEYWELL")</f>
        <v>HONEYWELL</v>
      </c>
      <c r="F1319" s="593" t="str">
        <f>IFERROR(__xludf.DUMMYFUNCTION("""COMPUTED_VALUE"""),"12977")</f>
        <v>12977</v>
      </c>
      <c r="G1319" s="490"/>
      <c r="H1319" s="490"/>
      <c r="I1319" s="490"/>
      <c r="J1319" s="588"/>
      <c r="K1319" s="490"/>
      <c r="L1319" s="490"/>
      <c r="M1319" s="490"/>
      <c r="N1319" s="490"/>
      <c r="O1319" s="490"/>
      <c r="P1319" s="490" t="s">
        <v>1503</v>
      </c>
    </row>
    <row r="1320">
      <c r="A1320" s="490"/>
      <c r="B1320" s="490"/>
      <c r="C1320" s="490"/>
      <c r="D1320" s="490"/>
      <c r="E1320" s="593" t="str">
        <f>IFERROR(__xludf.DUMMYFUNCTION("""COMPUTED_VALUE"""),"HONEYWELL")</f>
        <v>HONEYWELL</v>
      </c>
      <c r="F1320" s="593" t="str">
        <f>IFERROR(__xludf.DUMMYFUNCTION("""COMPUTED_VALUE"""),"12977")</f>
        <v>12977</v>
      </c>
      <c r="G1320" s="490"/>
      <c r="H1320" s="490"/>
      <c r="I1320" s="490"/>
      <c r="J1320" s="588"/>
      <c r="K1320" s="490"/>
      <c r="L1320" s="490"/>
      <c r="M1320" s="490"/>
      <c r="N1320" s="490"/>
      <c r="O1320" s="490"/>
      <c r="P1320" s="490" t="s">
        <v>2699</v>
      </c>
    </row>
    <row r="1321">
      <c r="A1321" s="490"/>
      <c r="B1321" s="490"/>
      <c r="C1321" s="490"/>
      <c r="D1321" s="490"/>
      <c r="E1321" s="593" t="str">
        <f>IFERROR(__xludf.DUMMYFUNCTION("""COMPUTED_VALUE"""),"HONEYWELL")</f>
        <v>HONEYWELL</v>
      </c>
      <c r="F1321" s="593" t="str">
        <f>IFERROR(__xludf.DUMMYFUNCTION("""COMPUTED_VALUE"""),"CP-8000")</f>
        <v>CP-8000</v>
      </c>
      <c r="G1321" s="490"/>
      <c r="H1321" s="490"/>
      <c r="I1321" s="490"/>
      <c r="J1321" s="588"/>
      <c r="K1321" s="490"/>
      <c r="L1321" s="490"/>
      <c r="M1321" s="490"/>
      <c r="N1321" s="490"/>
      <c r="O1321" s="490"/>
      <c r="P1321" s="490" t="s">
        <v>2710</v>
      </c>
    </row>
    <row r="1322">
      <c r="A1322" s="490"/>
      <c r="B1322" s="490"/>
      <c r="C1322" s="490"/>
      <c r="D1322" s="490"/>
      <c r="E1322" s="593" t="str">
        <f>IFERROR(__xludf.DUMMYFUNCTION("""COMPUTED_VALUE"""),"HONEYWELL")</f>
        <v>HONEYWELL</v>
      </c>
      <c r="F1322" s="593" t="str">
        <f>IFERROR(__xludf.DUMMYFUNCTION("""COMPUTED_VALUE"""),"CP-EDGE-10")</f>
        <v>CP-EDGE-10</v>
      </c>
      <c r="G1322" s="490"/>
      <c r="H1322" s="490"/>
      <c r="I1322" s="490"/>
      <c r="J1322" s="588"/>
      <c r="K1322" s="490"/>
      <c r="L1322" s="490"/>
      <c r="M1322" s="490"/>
      <c r="N1322" s="490"/>
      <c r="O1322" s="490"/>
      <c r="P1322" s="490" t="s">
        <v>2721</v>
      </c>
    </row>
    <row r="1323">
      <c r="A1323" s="490"/>
      <c r="B1323" s="490"/>
      <c r="C1323" s="490"/>
      <c r="D1323" s="490"/>
      <c r="E1323" s="593" t="str">
        <f>IFERROR(__xludf.DUMMYFUNCTION("""COMPUTED_VALUE"""),"HONEYWELL")</f>
        <v>HONEYWELL</v>
      </c>
      <c r="F1323" s="593" t="str">
        <f>IFERROR(__xludf.DUMMYFUNCTION("""COMPUTED_VALUE"""),"CPO-PC-6A")</f>
        <v>CPO-PC-6A</v>
      </c>
      <c r="G1323" s="490"/>
      <c r="H1323" s="490"/>
      <c r="I1323" s="490"/>
      <c r="J1323" s="588"/>
      <c r="K1323" s="490"/>
      <c r="L1323" s="490"/>
      <c r="M1323" s="490"/>
      <c r="N1323" s="490"/>
      <c r="O1323" s="490"/>
      <c r="P1323" s="490" t="s">
        <v>9295</v>
      </c>
    </row>
    <row r="1324">
      <c r="A1324" s="490"/>
      <c r="B1324" s="490"/>
      <c r="C1324" s="490"/>
      <c r="D1324" s="490"/>
      <c r="E1324" s="593" t="str">
        <f>IFERROR(__xludf.DUMMYFUNCTION("""COMPUTED_VALUE"""),"HONEYWELL")</f>
        <v>HONEYWELL</v>
      </c>
      <c r="F1324" s="593" t="str">
        <f>IFERROR(__xludf.DUMMYFUNCTION("""COMPUTED_VALUE"""),"PVB0000AS-E")</f>
        <v>PVB0000AS-E</v>
      </c>
      <c r="G1324" s="490"/>
      <c r="H1324" s="490"/>
      <c r="I1324" s="490"/>
      <c r="J1324" s="588"/>
      <c r="K1324" s="490"/>
      <c r="L1324" s="490"/>
      <c r="M1324" s="490"/>
      <c r="N1324" s="490"/>
      <c r="O1324" s="490"/>
      <c r="P1324" s="490" t="s">
        <v>9300</v>
      </c>
    </row>
    <row r="1325">
      <c r="A1325" s="490"/>
      <c r="B1325" s="490"/>
      <c r="C1325" s="490"/>
      <c r="D1325" s="490"/>
      <c r="E1325" s="593" t="str">
        <f>IFERROR(__xludf.DUMMYFUNCTION("""COMPUTED_VALUE"""),"HONEYWELL")</f>
        <v>HONEYWELL</v>
      </c>
      <c r="F1325" s="593" t="str">
        <f>IFERROR(__xludf.DUMMYFUNCTION("""COMPUTED_VALUE"""),"PVB4022AS")</f>
        <v>PVB4022AS</v>
      </c>
      <c r="G1325" s="490"/>
      <c r="H1325" s="490"/>
      <c r="I1325" s="490"/>
      <c r="J1325" s="588"/>
      <c r="K1325" s="490"/>
      <c r="L1325" s="490"/>
      <c r="M1325" s="490"/>
      <c r="N1325" s="490"/>
      <c r="O1325" s="490"/>
      <c r="P1325" s="490" t="s">
        <v>9302</v>
      </c>
    </row>
    <row r="1326">
      <c r="A1326" s="490"/>
      <c r="B1326" s="490"/>
      <c r="C1326" s="490"/>
      <c r="D1326" s="490"/>
      <c r="E1326" s="593" t="str">
        <f>IFERROR(__xludf.DUMMYFUNCTION("""COMPUTED_VALUE"""),"HONEYWELL")</f>
        <v>HONEYWELL</v>
      </c>
      <c r="F1326" s="593" t="str">
        <f>IFERROR(__xludf.DUMMYFUNCTION("""COMPUTED_VALUE"""),"HN200MH1W0")</f>
        <v>HN200MH1W0</v>
      </c>
      <c r="G1326" s="490"/>
      <c r="H1326" s="490"/>
      <c r="I1326" s="490"/>
      <c r="J1326" s="588"/>
      <c r="K1326" s="490"/>
      <c r="L1326" s="490"/>
      <c r="M1326" s="490"/>
      <c r="N1326" s="490"/>
      <c r="O1326" s="490"/>
      <c r="P1326" s="490" t="s">
        <v>9304</v>
      </c>
    </row>
    <row r="1327">
      <c r="A1327" s="490"/>
      <c r="B1327" s="490"/>
      <c r="C1327" s="490"/>
      <c r="D1327" s="490"/>
      <c r="E1327" s="593" t="str">
        <f>IFERROR(__xludf.DUMMYFUNCTION("""COMPUTED_VALUE"""),"HONEYWELL")</f>
        <v>HONEYWELL</v>
      </c>
      <c r="F1327" s="593" t="str">
        <f>IFERROR(__xludf.DUMMYFUNCTION("""COMPUTED_VALUE"""),"PUC8445")</f>
        <v>PUC8445</v>
      </c>
      <c r="G1327" s="490"/>
      <c r="H1327" s="490"/>
      <c r="I1327" s="490"/>
      <c r="J1327" s="588"/>
      <c r="K1327" s="490"/>
      <c r="L1327" s="490"/>
      <c r="M1327" s="490"/>
      <c r="N1327" s="490"/>
      <c r="O1327" s="490"/>
      <c r="P1327" s="490" t="s">
        <v>9306</v>
      </c>
    </row>
    <row r="1328">
      <c r="A1328" s="490"/>
      <c r="B1328" s="490"/>
      <c r="C1328" s="490"/>
      <c r="D1328" s="490"/>
      <c r="E1328" s="593" t="str">
        <f>IFERROR(__xludf.DUMMYFUNCTION("""COMPUTED_VALUE"""),"HONEYWELL")</f>
        <v>HONEYWELL</v>
      </c>
      <c r="F1328" s="593" t="str">
        <f>IFERROR(__xludf.DUMMYFUNCTION("""COMPUTED_VALUE"""),"BACNET-GW-3")</f>
        <v>BACNET-GW-3</v>
      </c>
      <c r="G1328" s="490"/>
      <c r="H1328" s="490"/>
      <c r="I1328" s="490"/>
      <c r="J1328" s="588"/>
      <c r="K1328" s="490"/>
      <c r="L1328" s="490"/>
      <c r="M1328" s="490"/>
      <c r="N1328" s="490"/>
      <c r="O1328" s="490"/>
      <c r="P1328" s="490" t="s">
        <v>9308</v>
      </c>
    </row>
    <row r="1329">
      <c r="A1329" s="490"/>
      <c r="B1329" s="490"/>
      <c r="C1329" s="490"/>
      <c r="D1329" s="490"/>
      <c r="E1329" s="593" t="str">
        <f>IFERROR(__xludf.DUMMYFUNCTION("""COMPUTED_VALUE"""),"HONEYWELL")</f>
        <v>HONEYWELL</v>
      </c>
      <c r="F1329" s="593" t="str">
        <f>IFERROR(__xludf.DUMMYFUNCTION("""COMPUTED_VALUE"""),"RESIDEO VC SERIES")</f>
        <v>RESIDEO VC SERIES</v>
      </c>
      <c r="G1329" s="490"/>
      <c r="H1329" s="490"/>
      <c r="I1329" s="490"/>
      <c r="J1329" s="588"/>
      <c r="K1329" s="490"/>
      <c r="L1329" s="490"/>
      <c r="M1329" s="490"/>
      <c r="N1329" s="490"/>
      <c r="O1329" s="490"/>
      <c r="P1329" s="490" t="s">
        <v>9310</v>
      </c>
    </row>
    <row r="1330">
      <c r="A1330" s="490"/>
      <c r="B1330" s="490"/>
      <c r="C1330" s="490"/>
      <c r="D1330" s="490"/>
      <c r="E1330" s="593" t="str">
        <f>IFERROR(__xludf.DUMMYFUNCTION("""COMPUTED_VALUE"""),"HONEYWELL")</f>
        <v>HONEYWELL</v>
      </c>
      <c r="F1330" s="593" t="str">
        <f>IFERROR(__xludf.DUMMYFUNCTION("""COMPUTED_VALUE"""),"RESIDEO VC SERIES")</f>
        <v>RESIDEO VC SERIES</v>
      </c>
      <c r="G1330" s="490"/>
      <c r="H1330" s="490"/>
      <c r="I1330" s="490"/>
      <c r="J1330" s="588"/>
      <c r="K1330" s="490"/>
      <c r="L1330" s="490"/>
      <c r="M1330" s="490"/>
      <c r="N1330" s="490"/>
      <c r="O1330" s="490"/>
      <c r="P1330" s="490" t="s">
        <v>9312</v>
      </c>
    </row>
    <row r="1331">
      <c r="A1331" s="490"/>
      <c r="B1331" s="490"/>
      <c r="C1331" s="490"/>
      <c r="D1331" s="490"/>
      <c r="E1331" s="593" t="str">
        <f>IFERROR(__xludf.DUMMYFUNCTION("""COMPUTED_VALUE"""),"HONEYWELL")</f>
        <v>HONEYWELL</v>
      </c>
      <c r="F1331" s="593" t="str">
        <f>IFERROR(__xludf.DUMMYFUNCTION("""COMPUTED_VALUE"""),"WEB-8000")</f>
        <v>WEB-8000</v>
      </c>
      <c r="G1331" s="490"/>
      <c r="H1331" s="490"/>
      <c r="I1331" s="490"/>
      <c r="J1331" s="588"/>
      <c r="K1331" s="490"/>
      <c r="L1331" s="490"/>
      <c r="M1331" s="490"/>
      <c r="N1331" s="490"/>
      <c r="O1331" s="490"/>
      <c r="P1331" s="490" t="s">
        <v>9314</v>
      </c>
    </row>
    <row r="1332">
      <c r="A1332" s="490"/>
      <c r="B1332" s="490"/>
      <c r="C1332" s="490"/>
      <c r="D1332" s="490"/>
      <c r="E1332" s="593" t="str">
        <f>IFERROR(__xludf.DUMMYFUNCTION("""COMPUTED_VALUE"""),"HONEYWELL")</f>
        <v>HONEYWELL</v>
      </c>
      <c r="F1332" s="593" t="str">
        <f>IFERROR(__xludf.DUMMYFUNCTION("""COMPUTED_VALUE"""),"ELSTER ROTARY METER")</f>
        <v>ELSTER ROTARY METER</v>
      </c>
      <c r="G1332" s="490"/>
      <c r="H1332" s="490"/>
      <c r="I1332" s="490"/>
      <c r="J1332" s="588"/>
      <c r="K1332" s="490"/>
      <c r="L1332" s="490"/>
      <c r="M1332" s="490"/>
      <c r="N1332" s="490"/>
      <c r="O1332" s="490"/>
      <c r="P1332" s="490" t="s">
        <v>9316</v>
      </c>
    </row>
    <row r="1333">
      <c r="A1333" s="490"/>
      <c r="B1333" s="490"/>
      <c r="C1333" s="490"/>
      <c r="D1333" s="490"/>
      <c r="E1333" s="593" t="str">
        <f>IFERROR(__xludf.DUMMYFUNCTION("""COMPUTED_VALUE"""),"HONEYWELL")</f>
        <v>HONEYWELL</v>
      </c>
      <c r="F1333" s="593" t="str">
        <f>IFERROR(__xludf.DUMMYFUNCTION("""COMPUTED_VALUE"""),"H7012B")</f>
        <v>H7012B</v>
      </c>
      <c r="G1333" s="490"/>
      <c r="H1333" s="490"/>
      <c r="I1333" s="490"/>
      <c r="J1333" s="588"/>
      <c r="K1333" s="490"/>
      <c r="L1333" s="490"/>
      <c r="M1333" s="490"/>
      <c r="N1333" s="490"/>
      <c r="O1333" s="490"/>
      <c r="P1333" s="490" t="s">
        <v>9318</v>
      </c>
    </row>
    <row r="1334">
      <c r="A1334" s="490"/>
      <c r="B1334" s="490"/>
      <c r="C1334" s="490"/>
      <c r="D1334" s="490"/>
      <c r="E1334" s="593" t="str">
        <f>IFERROR(__xludf.DUMMYFUNCTION("""COMPUTED_VALUE"""),"HONEYWELL")</f>
        <v>HONEYWELL</v>
      </c>
      <c r="F1334" s="593" t="str">
        <f>IFERROR(__xludf.DUMMYFUNCTION("""COMPUTED_VALUE"""),"HT SERIES T7 SENSOR")</f>
        <v>HT SERIES T7 SENSOR</v>
      </c>
      <c r="G1334" s="490"/>
      <c r="H1334" s="490"/>
      <c r="I1334" s="490"/>
      <c r="J1334" s="588"/>
      <c r="K1334" s="490"/>
      <c r="L1334" s="490"/>
      <c r="M1334" s="490"/>
      <c r="N1334" s="490"/>
      <c r="O1334" s="490"/>
      <c r="P1334" s="490" t="s">
        <v>9320</v>
      </c>
    </row>
    <row r="1335">
      <c r="A1335" s="490"/>
      <c r="B1335" s="490"/>
      <c r="C1335" s="490"/>
      <c r="D1335" s="490"/>
      <c r="E1335" s="593" t="str">
        <f>IFERROR(__xludf.DUMMYFUNCTION("""COMPUTED_VALUE"""),"HONEYWELL")</f>
        <v>HONEYWELL</v>
      </c>
      <c r="F1335" s="593" t="str">
        <f>IFERROR(__xludf.DUMMYFUNCTION("""COMPUTED_VALUE"""),"HHRC SERIES")</f>
        <v>HHRC SERIES</v>
      </c>
      <c r="G1335" s="490"/>
      <c r="H1335" s="490"/>
      <c r="I1335" s="490"/>
      <c r="J1335" s="588"/>
      <c r="K1335" s="490"/>
      <c r="L1335" s="490"/>
      <c r="M1335" s="490"/>
      <c r="N1335" s="490"/>
      <c r="O1335" s="490"/>
      <c r="P1335" s="490" t="s">
        <v>9322</v>
      </c>
    </row>
    <row r="1336">
      <c r="A1336" s="490"/>
      <c r="B1336" s="490"/>
      <c r="C1336" s="490"/>
      <c r="D1336" s="490"/>
      <c r="E1336" s="593" t="str">
        <f>IFERROR(__xludf.DUMMYFUNCTION("""COMPUTED_VALUE"""),"HONEYWELL")</f>
        <v>HONEYWELL</v>
      </c>
      <c r="F1336" s="593" t="str">
        <f>IFERROR(__xludf.DUMMYFUNCTION("""COMPUTED_VALUE"""),"C7021B TEMP SENSOR")</f>
        <v>C7021B TEMP SENSOR</v>
      </c>
      <c r="G1336" s="490"/>
      <c r="H1336" s="490"/>
      <c r="I1336" s="490"/>
      <c r="J1336" s="588"/>
      <c r="K1336" s="490"/>
      <c r="L1336" s="490"/>
      <c r="M1336" s="490"/>
      <c r="N1336" s="490"/>
      <c r="O1336" s="490"/>
      <c r="P1336" s="490" t="s">
        <v>9324</v>
      </c>
    </row>
    <row r="1337">
      <c r="A1337" s="490"/>
      <c r="B1337" s="490"/>
      <c r="C1337" s="490"/>
      <c r="D1337" s="490"/>
      <c r="E1337" s="593" t="str">
        <f>IFERROR(__xludf.DUMMYFUNCTION("""COMPUTED_VALUE"""),"HONEYWELL")</f>
        <v>HONEYWELL</v>
      </c>
      <c r="F1337" s="593" t="str">
        <f>IFERROR(__xludf.DUMMYFUNCTION("""COMPUTED_VALUE"""),"HHATSRC SERIES")</f>
        <v>HHATSRC SERIES</v>
      </c>
      <c r="G1337" s="490"/>
      <c r="H1337" s="490"/>
      <c r="I1337" s="490"/>
      <c r="J1337" s="588"/>
      <c r="K1337" s="490"/>
      <c r="L1337" s="490"/>
      <c r="M1337" s="490"/>
      <c r="N1337" s="490"/>
      <c r="O1337" s="490"/>
      <c r="P1337" s="490" t="s">
        <v>9326</v>
      </c>
    </row>
    <row r="1338">
      <c r="A1338" s="490"/>
      <c r="B1338" s="490"/>
      <c r="C1338" s="490"/>
      <c r="D1338" s="490"/>
      <c r="E1338" s="593" t="str">
        <f>IFERROR(__xludf.DUMMYFUNCTION("""COMPUTED_VALUE"""),"HOOC")</f>
        <v>HOOC</v>
      </c>
      <c r="F1338" s="593" t="str">
        <f>IFERROR(__xludf.DUMMYFUNCTION("""COMPUTED_VALUE"""),"CONNECT H")</f>
        <v>CONNECT H</v>
      </c>
      <c r="G1338" s="490"/>
      <c r="H1338" s="490"/>
      <c r="I1338" s="490"/>
      <c r="J1338" s="588"/>
      <c r="K1338" s="490"/>
      <c r="L1338" s="490"/>
      <c r="M1338" s="490"/>
      <c r="N1338" s="490"/>
      <c r="O1338" s="490"/>
      <c r="P1338" s="490" t="s">
        <v>9328</v>
      </c>
    </row>
    <row r="1339">
      <c r="A1339" s="490"/>
      <c r="B1339" s="490"/>
      <c r="C1339" s="490"/>
      <c r="D1339" s="490"/>
      <c r="E1339" s="593" t="str">
        <f>IFERROR(__xludf.DUMMYFUNCTION("""COMPUTED_VALUE"""),"HP")</f>
        <v>HP</v>
      </c>
      <c r="F1339" s="593" t="str">
        <f>IFERROR(__xludf.DUMMYFUNCTION("""COMPUTED_VALUE"""),"J9980A")</f>
        <v>J9980A</v>
      </c>
      <c r="G1339" s="490"/>
      <c r="H1339" s="490"/>
      <c r="I1339" s="490"/>
      <c r="J1339" s="588"/>
      <c r="K1339" s="490"/>
      <c r="L1339" s="490"/>
      <c r="M1339" s="490"/>
      <c r="N1339" s="490"/>
      <c r="O1339" s="490"/>
      <c r="P1339" s="490" t="s">
        <v>9330</v>
      </c>
    </row>
    <row r="1340">
      <c r="A1340" s="490"/>
      <c r="B1340" s="490"/>
      <c r="C1340" s="490"/>
      <c r="D1340" s="490"/>
      <c r="E1340" s="593" t="str">
        <f>IFERROR(__xludf.DUMMYFUNCTION("""COMPUTED_VALUE"""),"HP")</f>
        <v>HP</v>
      </c>
      <c r="F1340" s="593" t="str">
        <f>IFERROR(__xludf.DUMMYFUNCTION("""COMPUTED_VALUE"""),"JG923A")</f>
        <v>JG923A</v>
      </c>
      <c r="G1340" s="490"/>
      <c r="H1340" s="490"/>
      <c r="I1340" s="490"/>
      <c r="J1340" s="588"/>
      <c r="K1340" s="490"/>
      <c r="L1340" s="490"/>
      <c r="M1340" s="490"/>
      <c r="N1340" s="490"/>
      <c r="O1340" s="490"/>
      <c r="P1340" s="490" t="s">
        <v>9332</v>
      </c>
    </row>
    <row r="1341">
      <c r="A1341" s="490"/>
      <c r="B1341" s="490"/>
      <c r="C1341" s="490"/>
      <c r="D1341" s="490"/>
      <c r="E1341" s="593" t="str">
        <f>IFERROR(__xludf.DUMMYFUNCTION("""COMPUTED_VALUE"""),"HP")</f>
        <v>HP</v>
      </c>
      <c r="F1341" s="593" t="str">
        <f>IFERROR(__xludf.DUMMYFUNCTION("""COMPUTED_VALUE"""),"11-V010NR")</f>
        <v>11-V010NR</v>
      </c>
      <c r="G1341" s="490"/>
      <c r="H1341" s="490"/>
      <c r="I1341" s="490"/>
      <c r="J1341" s="588"/>
      <c r="K1341" s="490"/>
      <c r="L1341" s="490"/>
      <c r="M1341" s="490"/>
      <c r="N1341" s="490"/>
      <c r="O1341" s="490"/>
      <c r="P1341" s="490" t="s">
        <v>9334</v>
      </c>
    </row>
    <row r="1342">
      <c r="A1342" s="490"/>
      <c r="B1342" s="490"/>
      <c r="C1342" s="490"/>
      <c r="D1342" s="490"/>
      <c r="E1342" s="593" t="str">
        <f>IFERROR(__xludf.DUMMYFUNCTION("""COMPUTED_VALUE"""),"HP")</f>
        <v>HP</v>
      </c>
      <c r="F1342" s="593" t="str">
        <f>IFERROR(__xludf.DUMMYFUNCTION("""COMPUTED_VALUE"""),"14SMB")</f>
        <v>14SMB</v>
      </c>
      <c r="G1342" s="490"/>
      <c r="H1342" s="490"/>
      <c r="I1342" s="490"/>
      <c r="J1342" s="588"/>
      <c r="K1342" s="490"/>
      <c r="L1342" s="490"/>
      <c r="M1342" s="490"/>
      <c r="N1342" s="490"/>
      <c r="O1342" s="490"/>
      <c r="P1342" s="490" t="s">
        <v>9336</v>
      </c>
    </row>
    <row r="1343">
      <c r="A1343" s="490"/>
      <c r="B1343" s="490"/>
      <c r="C1343" s="490"/>
      <c r="D1343" s="490"/>
      <c r="E1343" s="593" t="str">
        <f>IFERROR(__xludf.DUMMYFUNCTION("""COMPUTED_VALUE"""),"HP")</f>
        <v>HP</v>
      </c>
      <c r="F1343" s="593" t="str">
        <f>IFERROR(__xludf.DUMMYFUNCTION("""COMPUTED_VALUE"""),"280 G2 MICROTOWER")</f>
        <v>280 G2 MICROTOWER</v>
      </c>
      <c r="G1343" s="490"/>
      <c r="H1343" s="490"/>
      <c r="I1343" s="490"/>
      <c r="J1343" s="588"/>
      <c r="K1343" s="490"/>
      <c r="L1343" s="490"/>
      <c r="M1343" s="490"/>
      <c r="N1343" s="490"/>
      <c r="O1343" s="490"/>
      <c r="P1343" s="490" t="s">
        <v>9338</v>
      </c>
    </row>
    <row r="1344">
      <c r="A1344" s="490"/>
      <c r="B1344" s="490"/>
      <c r="C1344" s="490"/>
      <c r="D1344" s="490"/>
      <c r="E1344" s="593" t="str">
        <f>IFERROR(__xludf.DUMMYFUNCTION("""COMPUTED_VALUE"""),"HP")</f>
        <v>HP</v>
      </c>
      <c r="F1344" s="593" t="str">
        <f>IFERROR(__xludf.DUMMYFUNCTION("""COMPUTED_VALUE"""),"440 G1")</f>
        <v>440 G1</v>
      </c>
      <c r="G1344" s="490"/>
      <c r="H1344" s="490"/>
      <c r="I1344" s="490"/>
      <c r="J1344" s="588"/>
      <c r="K1344" s="490"/>
      <c r="L1344" s="490"/>
      <c r="M1344" s="490"/>
      <c r="N1344" s="490"/>
      <c r="O1344" s="490"/>
      <c r="P1344" s="490" t="s">
        <v>9340</v>
      </c>
    </row>
    <row r="1345">
      <c r="A1345" s="490"/>
      <c r="B1345" s="490"/>
      <c r="C1345" s="490"/>
      <c r="D1345" s="490"/>
      <c r="E1345" s="593" t="str">
        <f>IFERROR(__xludf.DUMMYFUNCTION("""COMPUTED_VALUE"""),"HP")</f>
        <v>HP</v>
      </c>
      <c r="F1345" s="593" t="str">
        <f>IFERROR(__xludf.DUMMYFUNCTION("""COMPUTED_VALUE"""),"CHROMEBOX G1 CB1-014")</f>
        <v>CHROMEBOX G1 CB1-014</v>
      </c>
      <c r="G1345" s="490"/>
      <c r="H1345" s="490"/>
      <c r="I1345" s="490"/>
      <c r="J1345" s="588"/>
      <c r="K1345" s="490"/>
      <c r="L1345" s="490"/>
      <c r="M1345" s="490"/>
      <c r="N1345" s="490"/>
      <c r="O1345" s="490"/>
      <c r="P1345" s="490" t="s">
        <v>9343</v>
      </c>
    </row>
    <row r="1346">
      <c r="A1346" s="490"/>
      <c r="B1346" s="490"/>
      <c r="C1346" s="490"/>
      <c r="D1346" s="490"/>
      <c r="E1346" s="593" t="str">
        <f>IFERROR(__xludf.DUMMYFUNCTION("""COMPUTED_VALUE"""),"HP")</f>
        <v>HP</v>
      </c>
      <c r="F1346" s="593" t="str">
        <f>IFERROR(__xludf.DUMMYFUNCTION("""COMPUTED_VALUE"""),"CHROMEBOOK")</f>
        <v>CHROMEBOOK</v>
      </c>
      <c r="G1346" s="490"/>
      <c r="H1346" s="490"/>
      <c r="I1346" s="490"/>
      <c r="J1346" s="588"/>
      <c r="K1346" s="490"/>
      <c r="L1346" s="490"/>
      <c r="M1346" s="490"/>
      <c r="N1346" s="490"/>
      <c r="O1346" s="490"/>
      <c r="P1346" s="490" t="s">
        <v>9345</v>
      </c>
    </row>
    <row r="1347">
      <c r="A1347" s="490"/>
      <c r="B1347" s="490"/>
      <c r="C1347" s="490"/>
      <c r="D1347" s="490"/>
      <c r="E1347" s="593" t="str">
        <f>IFERROR(__xludf.DUMMYFUNCTION("""COMPUTED_VALUE"""),"HP")</f>
        <v>HP</v>
      </c>
      <c r="F1347" s="593" t="str">
        <f>IFERROR(__xludf.DUMMYFUNCTION("""COMPUTED_VALUE"""),"CHROMEBOOK 13 G1")</f>
        <v>CHROMEBOOK 13 G1</v>
      </c>
      <c r="G1347" s="490"/>
      <c r="H1347" s="490"/>
      <c r="I1347" s="490"/>
      <c r="J1347" s="588"/>
      <c r="K1347" s="490"/>
      <c r="L1347" s="490"/>
      <c r="M1347" s="490"/>
      <c r="N1347" s="490"/>
      <c r="O1347" s="490"/>
      <c r="P1347" s="490" t="s">
        <v>9347</v>
      </c>
    </row>
    <row r="1348">
      <c r="A1348" s="490"/>
      <c r="B1348" s="490"/>
      <c r="C1348" s="490"/>
      <c r="D1348" s="490"/>
      <c r="E1348" s="593" t="str">
        <f>IFERROR(__xludf.DUMMYFUNCTION("""COMPUTED_VALUE"""),"HP")</f>
        <v>HP</v>
      </c>
      <c r="F1348" s="593" t="str">
        <f>IFERROR(__xludf.DUMMYFUNCTION("""COMPUTED_VALUE"""),"CHROMEBOOK 13 G1")</f>
        <v>CHROMEBOOK 13 G1</v>
      </c>
      <c r="G1348" s="490"/>
      <c r="H1348" s="490"/>
      <c r="I1348" s="490"/>
      <c r="J1348" s="588"/>
      <c r="K1348" s="490"/>
      <c r="L1348" s="490"/>
      <c r="M1348" s="490"/>
      <c r="N1348" s="490"/>
      <c r="O1348" s="490"/>
      <c r="P1348" s="490" t="s">
        <v>9349</v>
      </c>
    </row>
    <row r="1349">
      <c r="A1349" s="490"/>
      <c r="B1349" s="490"/>
      <c r="C1349" s="490"/>
      <c r="D1349" s="490"/>
      <c r="E1349" s="593" t="str">
        <f>IFERROR(__xludf.DUMMYFUNCTION("""COMPUTED_VALUE"""),"HP")</f>
        <v>HP</v>
      </c>
      <c r="F1349" s="593" t="str">
        <f>IFERROR(__xludf.DUMMYFUNCTION("""COMPUTED_VALUE"""),"CHROMEBOOK X360 14")</f>
        <v>CHROMEBOOK X360 14</v>
      </c>
      <c r="G1349" s="490"/>
      <c r="H1349" s="490"/>
      <c r="I1349" s="490"/>
      <c r="J1349" s="588"/>
      <c r="K1349" s="490"/>
      <c r="L1349" s="490"/>
      <c r="M1349" s="490"/>
      <c r="N1349" s="490"/>
      <c r="O1349" s="490"/>
      <c r="P1349" s="490" t="s">
        <v>9351</v>
      </c>
    </row>
    <row r="1350">
      <c r="A1350" s="490"/>
      <c r="B1350" s="490"/>
      <c r="C1350" s="490"/>
      <c r="D1350" s="490"/>
      <c r="E1350" s="593" t="str">
        <f>IFERROR(__xludf.DUMMYFUNCTION("""COMPUTED_VALUE"""),"HP")</f>
        <v>HP</v>
      </c>
      <c r="F1350" s="593" t="str">
        <f>IFERROR(__xludf.DUMMYFUNCTION("""COMPUTED_VALUE"""),"CHROMEBOX")</f>
        <v>CHROMEBOX</v>
      </c>
      <c r="G1350" s="490"/>
      <c r="H1350" s="490"/>
      <c r="I1350" s="490"/>
      <c r="J1350" s="588"/>
      <c r="K1350" s="490"/>
      <c r="L1350" s="490"/>
      <c r="M1350" s="490"/>
      <c r="N1350" s="490"/>
      <c r="O1350" s="490"/>
      <c r="P1350" s="490" t="s">
        <v>9353</v>
      </c>
    </row>
    <row r="1351">
      <c r="A1351" s="490"/>
      <c r="B1351" s="490"/>
      <c r="C1351" s="490"/>
      <c r="D1351" s="490"/>
      <c r="E1351" s="593" t="str">
        <f>IFERROR(__xludf.DUMMYFUNCTION("""COMPUTED_VALUE"""),"HP")</f>
        <v>HP</v>
      </c>
      <c r="F1351" s="593" t="str">
        <f>IFERROR(__xludf.DUMMYFUNCTION("""COMPUTED_VALUE"""),"CHROMEBOX G1")</f>
        <v>CHROMEBOX G1</v>
      </c>
      <c r="G1351" s="490"/>
      <c r="H1351" s="490"/>
      <c r="I1351" s="490"/>
      <c r="J1351" s="588"/>
      <c r="K1351" s="490"/>
      <c r="L1351" s="490"/>
      <c r="M1351" s="490"/>
      <c r="N1351" s="490"/>
      <c r="O1351" s="490"/>
      <c r="P1351" s="490" t="s">
        <v>9355</v>
      </c>
    </row>
    <row r="1352">
      <c r="A1352" s="490"/>
      <c r="B1352" s="490"/>
      <c r="C1352" s="490"/>
      <c r="D1352" s="490"/>
      <c r="E1352" s="593" t="str">
        <f>IFERROR(__xludf.DUMMYFUNCTION("""COMPUTED_VALUE"""),"HP")</f>
        <v>HP</v>
      </c>
      <c r="F1352" s="593" t="str">
        <f>IFERROR(__xludf.DUMMYFUNCTION("""COMPUTED_VALUE"""),"CHROMEBOX G1 CB1-014")</f>
        <v>CHROMEBOX G1 CB1-014</v>
      </c>
      <c r="G1352" s="490"/>
      <c r="H1352" s="490"/>
      <c r="I1352" s="490"/>
      <c r="J1352" s="588"/>
      <c r="K1352" s="490"/>
      <c r="L1352" s="490"/>
      <c r="M1352" s="490"/>
      <c r="N1352" s="490"/>
      <c r="O1352" s="490"/>
      <c r="P1352" s="490" t="s">
        <v>9357</v>
      </c>
    </row>
    <row r="1353">
      <c r="A1353" s="490"/>
      <c r="B1353" s="490"/>
      <c r="C1353" s="490"/>
      <c r="D1353" s="490"/>
      <c r="E1353" s="593" t="str">
        <f>IFERROR(__xludf.DUMMYFUNCTION("""COMPUTED_VALUE"""),"HP")</f>
        <v>HP</v>
      </c>
      <c r="F1353" s="593" t="str">
        <f>IFERROR(__xludf.DUMMYFUNCTION("""COMPUTED_VALUE"""),"CHROMEBOX G2")</f>
        <v>CHROMEBOX G2</v>
      </c>
      <c r="G1353" s="490"/>
      <c r="H1353" s="490"/>
      <c r="I1353" s="490"/>
      <c r="J1353" s="588"/>
      <c r="K1353" s="490"/>
      <c r="L1353" s="490"/>
      <c r="M1353" s="490"/>
      <c r="N1353" s="490"/>
      <c r="O1353" s="490"/>
      <c r="P1353" s="490" t="s">
        <v>9359</v>
      </c>
    </row>
    <row r="1354">
      <c r="A1354" s="490"/>
      <c r="B1354" s="490"/>
      <c r="C1354" s="490"/>
      <c r="D1354" s="490"/>
      <c r="E1354" s="593" t="str">
        <f>IFERROR(__xludf.DUMMYFUNCTION("""COMPUTED_VALUE"""),"HP")</f>
        <v>HP</v>
      </c>
      <c r="F1354" s="593" t="str">
        <f>IFERROR(__xludf.DUMMYFUNCTION("""COMPUTED_VALUE"""),"DESKTOP PC")</f>
        <v>DESKTOP PC</v>
      </c>
      <c r="G1354" s="490"/>
      <c r="H1354" s="490"/>
      <c r="I1354" s="490"/>
      <c r="J1354" s="588"/>
      <c r="K1354" s="490"/>
      <c r="L1354" s="490"/>
      <c r="M1354" s="490"/>
      <c r="N1354" s="490"/>
      <c r="O1354" s="490"/>
      <c r="P1354" s="490" t="s">
        <v>9361</v>
      </c>
    </row>
    <row r="1355">
      <c r="A1355" s="490"/>
      <c r="B1355" s="490"/>
      <c r="C1355" s="490"/>
      <c r="D1355" s="490"/>
      <c r="E1355" s="593" t="str">
        <f>IFERROR(__xludf.DUMMYFUNCTION("""COMPUTED_VALUE"""),"HP")</f>
        <v>HP</v>
      </c>
      <c r="F1355" s="593" t="str">
        <f>IFERROR(__xludf.DUMMYFUNCTION("""COMPUTED_VALUE"""),"ELITEDESK")</f>
        <v>ELITEDESK</v>
      </c>
      <c r="G1355" s="490"/>
      <c r="H1355" s="490"/>
      <c r="I1355" s="490"/>
      <c r="J1355" s="588"/>
      <c r="K1355" s="490"/>
      <c r="L1355" s="490"/>
      <c r="M1355" s="490"/>
      <c r="N1355" s="490"/>
      <c r="O1355" s="490"/>
      <c r="P1355" s="490" t="s">
        <v>9363</v>
      </c>
    </row>
    <row r="1356">
      <c r="A1356" s="490"/>
      <c r="B1356" s="490"/>
      <c r="C1356" s="490"/>
      <c r="D1356" s="490"/>
      <c r="E1356" s="593" t="str">
        <f>IFERROR(__xludf.DUMMYFUNCTION("""COMPUTED_VALUE"""),"HP")</f>
        <v>HP</v>
      </c>
      <c r="F1356" s="593" t="str">
        <f>IFERROR(__xludf.DUMMYFUNCTION("""COMPUTED_VALUE"""),"ELITE DESK 705 G3")</f>
        <v>ELITE DESK 705 G3</v>
      </c>
      <c r="G1356" s="490"/>
      <c r="H1356" s="490"/>
      <c r="I1356" s="490"/>
      <c r="J1356" s="588"/>
      <c r="K1356" s="490"/>
      <c r="L1356" s="490"/>
      <c r="M1356" s="490"/>
      <c r="N1356" s="490"/>
      <c r="O1356" s="490"/>
      <c r="P1356" s="490" t="s">
        <v>9365</v>
      </c>
    </row>
    <row r="1357">
      <c r="A1357" s="490"/>
      <c r="B1357" s="490"/>
      <c r="C1357" s="490"/>
      <c r="D1357" s="490"/>
      <c r="E1357" s="593" t="str">
        <f>IFERROR(__xludf.DUMMYFUNCTION("""COMPUTED_VALUE"""),"HP")</f>
        <v>HP</v>
      </c>
      <c r="F1357" s="593" t="str">
        <f>IFERROR(__xludf.DUMMYFUNCTION("""COMPUTED_VALUE"""),"ELITEDESK 800 G2 TWR")</f>
        <v>ELITEDESK 800 G2 TWR</v>
      </c>
      <c r="G1357" s="490"/>
      <c r="H1357" s="490"/>
      <c r="I1357" s="490"/>
      <c r="J1357" s="588"/>
      <c r="K1357" s="490"/>
      <c r="L1357" s="490"/>
      <c r="M1357" s="490"/>
      <c r="N1357" s="490"/>
      <c r="O1357" s="490"/>
      <c r="P1357" s="490" t="s">
        <v>9368</v>
      </c>
    </row>
    <row r="1358">
      <c r="A1358" s="490"/>
      <c r="B1358" s="490"/>
      <c r="C1358" s="490"/>
      <c r="D1358" s="490"/>
      <c r="E1358" s="593" t="str">
        <f>IFERROR(__xludf.DUMMYFUNCTION("""COMPUTED_VALUE"""),"HP")</f>
        <v>HP</v>
      </c>
      <c r="F1358" s="593" t="str">
        <f>IFERROR(__xludf.DUMMYFUNCTION("""COMPUTED_VALUE"""),"ELITEDESK 800 G3 TWR")</f>
        <v>ELITEDESK 800 G3 TWR</v>
      </c>
      <c r="G1358" s="490"/>
      <c r="H1358" s="490"/>
      <c r="I1358" s="490"/>
      <c r="J1358" s="588"/>
      <c r="K1358" s="490"/>
      <c r="L1358" s="490"/>
      <c r="M1358" s="490"/>
      <c r="N1358" s="490"/>
      <c r="O1358" s="490"/>
      <c r="P1358" s="490" t="s">
        <v>9370</v>
      </c>
    </row>
    <row r="1359">
      <c r="A1359" s="490"/>
      <c r="B1359" s="490"/>
      <c r="C1359" s="490"/>
      <c r="D1359" s="490"/>
      <c r="E1359" s="593" t="str">
        <f>IFERROR(__xludf.DUMMYFUNCTION("""COMPUTED_VALUE"""),"HP")</f>
        <v>HP</v>
      </c>
      <c r="F1359" s="593" t="str">
        <f>IFERROR(__xludf.DUMMYFUNCTION("""COMPUTED_VALUE"""),"ES-TNS-2145")</f>
        <v>ES-TNS-2145</v>
      </c>
      <c r="G1359" s="490"/>
      <c r="H1359" s="490"/>
      <c r="I1359" s="490"/>
      <c r="J1359" s="588"/>
      <c r="K1359" s="490"/>
      <c r="L1359" s="490"/>
      <c r="M1359" s="490"/>
      <c r="N1359" s="490"/>
      <c r="O1359" s="490"/>
      <c r="P1359" s="490" t="s">
        <v>9372</v>
      </c>
    </row>
    <row r="1360">
      <c r="A1360" s="490"/>
      <c r="B1360" s="490"/>
      <c r="C1360" s="490"/>
      <c r="D1360" s="490"/>
      <c r="E1360" s="593" t="str">
        <f>IFERROR(__xludf.DUMMYFUNCTION("""COMPUTED_VALUE"""),"HP")</f>
        <v>HP</v>
      </c>
      <c r="F1360" s="593" t="str">
        <f>IFERROR(__xludf.DUMMYFUNCTION("""COMPUTED_VALUE"""),"HP CHROMEBOX G1")</f>
        <v>HP CHROMEBOX G1</v>
      </c>
      <c r="G1360" s="490"/>
      <c r="H1360" s="490"/>
      <c r="I1360" s="490"/>
      <c r="J1360" s="588"/>
      <c r="K1360" s="490"/>
      <c r="L1360" s="490"/>
      <c r="M1360" s="490"/>
      <c r="N1360" s="490"/>
      <c r="O1360" s="490"/>
      <c r="P1360" s="490" t="s">
        <v>9374</v>
      </c>
    </row>
    <row r="1361">
      <c r="A1361" s="490"/>
      <c r="B1361" s="490"/>
      <c r="C1361" s="490"/>
      <c r="D1361" s="490"/>
      <c r="E1361" s="593" t="str">
        <f>IFERROR(__xludf.DUMMYFUNCTION("""COMPUTED_VALUE"""),"HP")</f>
        <v>HP</v>
      </c>
      <c r="F1361" s="593" t="str">
        <f>IFERROR(__xludf.DUMMYFUNCTION("""COMPUTED_VALUE"""),"HP 402 G1")</f>
        <v>HP 402 G1</v>
      </c>
      <c r="G1361" s="490"/>
      <c r="H1361" s="490"/>
      <c r="I1361" s="490"/>
      <c r="J1361" s="588"/>
      <c r="K1361" s="490"/>
      <c r="L1361" s="490"/>
      <c r="M1361" s="490"/>
      <c r="N1361" s="490"/>
      <c r="O1361" s="490"/>
      <c r="P1361" s="490" t="s">
        <v>9376</v>
      </c>
    </row>
    <row r="1362">
      <c r="A1362" s="490"/>
      <c r="B1362" s="490"/>
      <c r="C1362" s="490"/>
      <c r="D1362" s="490"/>
      <c r="E1362" s="593" t="str">
        <f>IFERROR(__xludf.DUMMYFUNCTION("""COMPUTED_VALUE"""),"HP")</f>
        <v>HP</v>
      </c>
      <c r="F1362" s="593" t="str">
        <f>IFERROR(__xludf.DUMMYFUNCTION("""COMPUTED_VALUE"""),"HP 402 G1")</f>
        <v>HP 402 G1</v>
      </c>
      <c r="G1362" s="490"/>
      <c r="H1362" s="490"/>
      <c r="I1362" s="490"/>
      <c r="J1362" s="588"/>
      <c r="K1362" s="490"/>
      <c r="L1362" s="490"/>
      <c r="M1362" s="490"/>
      <c r="N1362" s="490"/>
      <c r="O1362" s="490"/>
      <c r="P1362" s="490" t="s">
        <v>9378</v>
      </c>
    </row>
    <row r="1363">
      <c r="A1363" s="490"/>
      <c r="B1363" s="490"/>
      <c r="C1363" s="490"/>
      <c r="D1363" s="490"/>
      <c r="E1363" s="593" t="str">
        <f>IFERROR(__xludf.DUMMYFUNCTION("""COMPUTED_VALUE"""),"HP")</f>
        <v>HP</v>
      </c>
      <c r="F1363" s="593" t="str">
        <f>IFERROR(__xludf.DUMMYFUNCTION("""COMPUTED_VALUE"""),"HP 600B")</f>
        <v>HP 600B</v>
      </c>
      <c r="G1363" s="490"/>
      <c r="H1363" s="490"/>
      <c r="I1363" s="490"/>
      <c r="J1363" s="588"/>
      <c r="K1363" s="490"/>
      <c r="L1363" s="490"/>
      <c r="M1363" s="490"/>
      <c r="N1363" s="490"/>
      <c r="O1363" s="490"/>
      <c r="P1363" s="490" t="s">
        <v>9380</v>
      </c>
    </row>
    <row r="1364">
      <c r="A1364" s="490"/>
      <c r="B1364" s="490"/>
      <c r="C1364" s="490"/>
      <c r="D1364" s="490"/>
      <c r="E1364" s="593" t="str">
        <f>IFERROR(__xludf.DUMMYFUNCTION("""COMPUTED_VALUE"""),"HP")</f>
        <v>HP</v>
      </c>
      <c r="F1364" s="593" t="str">
        <f>IFERROR(__xludf.DUMMYFUNCTION("""COMPUTED_VALUE"""),"HP CHROMEBOX PC")</f>
        <v>HP CHROMEBOX PC</v>
      </c>
      <c r="G1364" s="490"/>
      <c r="H1364" s="490"/>
      <c r="I1364" s="490"/>
      <c r="J1364" s="588"/>
      <c r="K1364" s="490"/>
      <c r="L1364" s="490"/>
      <c r="M1364" s="490"/>
      <c r="N1364" s="490"/>
      <c r="O1364" s="490"/>
      <c r="P1364" s="490" t="s">
        <v>9382</v>
      </c>
    </row>
    <row r="1365">
      <c r="A1365" s="490"/>
      <c r="B1365" s="490"/>
      <c r="C1365" s="490"/>
      <c r="D1365" s="490"/>
      <c r="E1365" s="593" t="str">
        <f>IFERROR(__xludf.DUMMYFUNCTION("""COMPUTED_VALUE"""),"HP")</f>
        <v>HP</v>
      </c>
      <c r="F1365" s="593" t="str">
        <f>IFERROR(__xludf.DUMMYFUNCTION("""COMPUTED_VALUE"""),"HP COMPAQ 8200 ELITE")</f>
        <v>HP COMPAQ 8200 ELITE</v>
      </c>
      <c r="G1365" s="490"/>
      <c r="H1365" s="490"/>
      <c r="I1365" s="490"/>
      <c r="J1365" s="588"/>
      <c r="K1365" s="490"/>
      <c r="L1365" s="490"/>
      <c r="M1365" s="490"/>
      <c r="N1365" s="490"/>
      <c r="O1365" s="490"/>
      <c r="P1365" s="490" t="s">
        <v>9384</v>
      </c>
    </row>
    <row r="1366">
      <c r="A1366" s="490"/>
      <c r="B1366" s="490"/>
      <c r="C1366" s="490"/>
      <c r="D1366" s="490"/>
      <c r="E1366" s="593" t="str">
        <f>IFERROR(__xludf.DUMMYFUNCTION("""COMPUTED_VALUE"""),"HP")</f>
        <v>HP</v>
      </c>
      <c r="F1366" s="593" t="str">
        <f>IFERROR(__xludf.DUMMYFUNCTION("""COMPUTED_VALUE"""),"HP ELITE")</f>
        <v>HP ELITE</v>
      </c>
      <c r="G1366" s="490"/>
      <c r="H1366" s="490"/>
      <c r="I1366" s="490"/>
      <c r="J1366" s="588"/>
      <c r="K1366" s="490"/>
      <c r="L1366" s="490"/>
      <c r="M1366" s="490"/>
      <c r="N1366" s="490"/>
      <c r="O1366" s="490"/>
      <c r="P1366" s="490" t="s">
        <v>9386</v>
      </c>
    </row>
    <row r="1367">
      <c r="A1367" s="490"/>
      <c r="B1367" s="490"/>
      <c r="C1367" s="490"/>
      <c r="D1367" s="490"/>
      <c r="E1367" s="593" t="str">
        <f>IFERROR(__xludf.DUMMYFUNCTION("""COMPUTED_VALUE"""),"HP")</f>
        <v>HP</v>
      </c>
      <c r="F1367" s="593" t="str">
        <f>IFERROR(__xludf.DUMMYFUNCTION("""COMPUTED_VALUE"""),"HP OFFICEJET PRO 7740")</f>
        <v>HP OFFICEJET PRO 7740</v>
      </c>
      <c r="G1367" s="490"/>
      <c r="H1367" s="490"/>
      <c r="I1367" s="490"/>
      <c r="J1367" s="588"/>
      <c r="K1367" s="490"/>
      <c r="L1367" s="490"/>
      <c r="M1367" s="490"/>
      <c r="N1367" s="490"/>
      <c r="O1367" s="490"/>
      <c r="P1367" s="490" t="s">
        <v>9388</v>
      </c>
    </row>
    <row r="1368">
      <c r="A1368" s="490"/>
      <c r="B1368" s="490"/>
      <c r="C1368" s="490"/>
      <c r="D1368" s="490"/>
      <c r="E1368" s="593" t="str">
        <f>IFERROR(__xludf.DUMMYFUNCTION("""COMPUTED_VALUE"""),"HP")</f>
        <v>HP</v>
      </c>
      <c r="F1368" s="593" t="str">
        <f>IFERROR(__xludf.DUMMYFUNCTION("""COMPUTED_VALUE"""),"HP PRODESK 600 GI TWR")</f>
        <v>HP PRODESK 600 GI TWR</v>
      </c>
      <c r="G1368" s="490"/>
      <c r="H1368" s="490"/>
      <c r="I1368" s="490"/>
      <c r="J1368" s="588"/>
      <c r="K1368" s="490"/>
      <c r="L1368" s="490"/>
      <c r="M1368" s="490"/>
      <c r="N1368" s="490"/>
      <c r="O1368" s="490"/>
      <c r="P1368" s="490" t="s">
        <v>9390</v>
      </c>
    </row>
    <row r="1369">
      <c r="A1369" s="490"/>
      <c r="B1369" s="490"/>
      <c r="C1369" s="490"/>
      <c r="D1369" s="490"/>
      <c r="E1369" s="593" t="str">
        <f>IFERROR(__xludf.DUMMYFUNCTION("""COMPUTED_VALUE"""),"HP")</f>
        <v>HP</v>
      </c>
      <c r="F1369" s="593" t="str">
        <f>IFERROR(__xludf.DUMMYFUNCTION("""COMPUTED_VALUE"""),"PROLIANT GEN 9")</f>
        <v>PROLIANT GEN 9</v>
      </c>
      <c r="G1369" s="490"/>
      <c r="H1369" s="490"/>
      <c r="I1369" s="490"/>
      <c r="J1369" s="588"/>
      <c r="K1369" s="490"/>
      <c r="L1369" s="490"/>
      <c r="M1369" s="490"/>
      <c r="N1369" s="490"/>
      <c r="O1369" s="490"/>
      <c r="P1369" s="490" t="s">
        <v>9393</v>
      </c>
    </row>
    <row r="1370">
      <c r="A1370" s="490"/>
      <c r="B1370" s="490"/>
      <c r="C1370" s="490"/>
      <c r="D1370" s="490"/>
      <c r="E1370" s="593" t="str">
        <f>IFERROR(__xludf.DUMMYFUNCTION("""COMPUTED_VALUE"""),"HP")</f>
        <v>HP</v>
      </c>
      <c r="F1370" s="593" t="str">
        <f>IFERROR(__xludf.DUMMYFUNCTION("""COMPUTED_VALUE"""),"Z240")</f>
        <v>Z240</v>
      </c>
      <c r="G1370" s="490"/>
      <c r="H1370" s="490"/>
      <c r="I1370" s="490"/>
      <c r="J1370" s="588"/>
      <c r="K1370" s="490"/>
      <c r="L1370" s="490"/>
      <c r="M1370" s="490"/>
      <c r="N1370" s="490"/>
      <c r="O1370" s="490"/>
      <c r="P1370" s="490" t="s">
        <v>9395</v>
      </c>
    </row>
    <row r="1371">
      <c r="A1371" s="490"/>
      <c r="B1371" s="490"/>
      <c r="C1371" s="490"/>
      <c r="D1371" s="490"/>
      <c r="E1371" s="593" t="str">
        <f>IFERROR(__xludf.DUMMYFUNCTION("""COMPUTED_VALUE"""),"HP")</f>
        <v>HP</v>
      </c>
      <c r="F1371" s="593" t="str">
        <f>IFERROR(__xludf.DUMMYFUNCTION("""COMPUTED_VALUE"""),"Z240")</f>
        <v>Z240</v>
      </c>
      <c r="G1371" s="490"/>
      <c r="H1371" s="490"/>
      <c r="I1371" s="490"/>
      <c r="J1371" s="588"/>
      <c r="K1371" s="490"/>
      <c r="L1371" s="490"/>
      <c r="M1371" s="490"/>
      <c r="N1371" s="490"/>
      <c r="O1371" s="490"/>
      <c r="P1371" s="490" t="s">
        <v>9397</v>
      </c>
    </row>
    <row r="1372">
      <c r="A1372" s="490"/>
      <c r="B1372" s="490"/>
      <c r="C1372" s="490"/>
      <c r="D1372" s="490"/>
      <c r="E1372" s="593" t="str">
        <f>IFERROR(__xludf.DUMMYFUNCTION("""COMPUTED_VALUE"""),"HP")</f>
        <v>HP</v>
      </c>
      <c r="F1372" s="593" t="str">
        <f>IFERROR(__xludf.DUMMYFUNCTION("""COMPUTED_VALUE"""),"J5N52UT#ABA")</f>
        <v>J5N52UT#ABA</v>
      </c>
      <c r="G1372" s="490"/>
      <c r="H1372" s="490"/>
      <c r="I1372" s="490"/>
      <c r="J1372" s="588"/>
      <c r="K1372" s="490"/>
      <c r="L1372" s="490"/>
      <c r="M1372" s="490"/>
      <c r="N1372" s="490"/>
      <c r="O1372" s="490"/>
      <c r="P1372" s="490" t="s">
        <v>9399</v>
      </c>
    </row>
    <row r="1373">
      <c r="A1373" s="490"/>
      <c r="B1373" s="490"/>
      <c r="C1373" s="490"/>
      <c r="D1373" s="490"/>
      <c r="E1373" s="593" t="str">
        <f>IFERROR(__xludf.DUMMYFUNCTION("""COMPUTED_VALUE"""),"HP")</f>
        <v>HP</v>
      </c>
      <c r="F1373" s="593" t="str">
        <f>IFERROR(__xludf.DUMMYFUNCTION("""COMPUTED_VALUE"""),"LASERJET CP1025NW COLOR")</f>
        <v>LASERJET CP1025NW COLOR</v>
      </c>
      <c r="G1373" s="490"/>
      <c r="H1373" s="490"/>
      <c r="I1373" s="490"/>
      <c r="J1373" s="588"/>
      <c r="K1373" s="490"/>
      <c r="L1373" s="490"/>
      <c r="M1373" s="490"/>
      <c r="N1373" s="490"/>
      <c r="O1373" s="490"/>
      <c r="P1373" s="490" t="s">
        <v>9401</v>
      </c>
    </row>
    <row r="1374">
      <c r="A1374" s="490"/>
      <c r="B1374" s="490"/>
      <c r="C1374" s="490"/>
      <c r="D1374" s="490"/>
      <c r="E1374" s="593" t="str">
        <f>IFERROR(__xludf.DUMMYFUNCTION("""COMPUTED_VALUE"""),"HP")</f>
        <v>HP</v>
      </c>
      <c r="F1374" s="593" t="str">
        <f>IFERROR(__xludf.DUMMYFUNCTION("""COMPUTED_VALUE"""),"ELITEDESK")</f>
        <v>ELITEDESK</v>
      </c>
      <c r="G1374" s="490"/>
      <c r="H1374" s="490"/>
      <c r="I1374" s="490"/>
      <c r="J1374" s="588"/>
      <c r="K1374" s="490"/>
      <c r="L1374" s="490"/>
      <c r="M1374" s="490"/>
      <c r="N1374" s="490"/>
      <c r="O1374" s="490"/>
      <c r="P1374" s="490" t="s">
        <v>9403</v>
      </c>
    </row>
    <row r="1375">
      <c r="A1375" s="490"/>
      <c r="B1375" s="490"/>
      <c r="C1375" s="490"/>
      <c r="D1375" s="490"/>
      <c r="E1375" s="593" t="str">
        <f>IFERROR(__xludf.DUMMYFUNCTION("""COMPUTED_VALUE"""),"HP")</f>
        <v>HP</v>
      </c>
      <c r="F1375" s="593" t="str">
        <f>IFERROR(__xludf.DUMMYFUNCTION("""COMPUTED_VALUE"""),"NOT VERIFIED")</f>
        <v>NOT VERIFIED</v>
      </c>
      <c r="G1375" s="490"/>
      <c r="H1375" s="490"/>
      <c r="I1375" s="490"/>
      <c r="J1375" s="588"/>
      <c r="K1375" s="490"/>
      <c r="L1375" s="490"/>
      <c r="M1375" s="490"/>
      <c r="N1375" s="490"/>
      <c r="O1375" s="490"/>
      <c r="P1375" s="490" t="s">
        <v>9405</v>
      </c>
    </row>
    <row r="1376">
      <c r="A1376" s="490"/>
      <c r="B1376" s="490"/>
      <c r="C1376" s="490"/>
      <c r="D1376" s="490"/>
      <c r="E1376" s="593" t="str">
        <f>IFERROR(__xludf.DUMMYFUNCTION("""COMPUTED_VALUE"""),"HP")</f>
        <v>HP</v>
      </c>
      <c r="F1376" s="593" t="str">
        <f>IFERROR(__xludf.DUMMYFUNCTION("""COMPUTED_VALUE"""),"OMEN")</f>
        <v>OMEN</v>
      </c>
      <c r="G1376" s="490"/>
      <c r="H1376" s="490"/>
      <c r="I1376" s="490"/>
      <c r="J1376" s="588"/>
      <c r="K1376" s="490"/>
      <c r="L1376" s="490"/>
      <c r="M1376" s="490"/>
      <c r="N1376" s="490"/>
      <c r="O1376" s="490"/>
      <c r="P1376" s="490" t="s">
        <v>9407</v>
      </c>
    </row>
    <row r="1377">
      <c r="A1377" s="490"/>
      <c r="B1377" s="490"/>
      <c r="C1377" s="490"/>
      <c r="D1377" s="490"/>
      <c r="E1377" s="593" t="str">
        <f>IFERROR(__xludf.DUMMYFUNCTION("""COMPUTED_VALUE"""),"HP")</f>
        <v>HP</v>
      </c>
      <c r="F1377" s="593" t="str">
        <f>IFERROR(__xludf.DUMMYFUNCTION("""COMPUTED_VALUE"""),"OMEN 870-244")</f>
        <v>OMEN 870-244</v>
      </c>
      <c r="G1377" s="490"/>
      <c r="H1377" s="490"/>
      <c r="I1377" s="490"/>
      <c r="J1377" s="588"/>
      <c r="K1377" s="490"/>
      <c r="L1377" s="490"/>
      <c r="M1377" s="490"/>
      <c r="N1377" s="490"/>
      <c r="O1377" s="490"/>
      <c r="P1377" s="490" t="s">
        <v>9409</v>
      </c>
    </row>
    <row r="1378">
      <c r="A1378" s="490"/>
      <c r="B1378" s="490"/>
      <c r="C1378" s="490"/>
      <c r="D1378" s="490"/>
      <c r="E1378" s="593" t="str">
        <f>IFERROR(__xludf.DUMMYFUNCTION("""COMPUTED_VALUE"""),"HP")</f>
        <v>HP</v>
      </c>
      <c r="F1378" s="593" t="str">
        <f>IFERROR(__xludf.DUMMYFUNCTION("""COMPUTED_VALUE"""),"PAVILLION SLIMLINE S5000")</f>
        <v>PAVILLION SLIMLINE S5000</v>
      </c>
      <c r="G1378" s="490"/>
      <c r="H1378" s="490"/>
      <c r="I1378" s="490"/>
      <c r="J1378" s="588"/>
      <c r="K1378" s="490"/>
      <c r="L1378" s="490"/>
      <c r="M1378" s="490"/>
      <c r="N1378" s="490"/>
      <c r="O1378" s="490"/>
      <c r="P1378" s="490" t="s">
        <v>9411</v>
      </c>
    </row>
    <row r="1379">
      <c r="A1379" s="490"/>
      <c r="B1379" s="490"/>
      <c r="C1379" s="490"/>
      <c r="D1379" s="490"/>
      <c r="E1379" s="593" t="str">
        <f>IFERROR(__xludf.DUMMYFUNCTION("""COMPUTED_VALUE"""),"HP")</f>
        <v>HP</v>
      </c>
      <c r="F1379" s="593" t="str">
        <f>IFERROR(__xludf.DUMMYFUNCTION("""COMPUTED_VALUE"""),"PRO 3130 MT")</f>
        <v>PRO 3130 MT</v>
      </c>
      <c r="G1379" s="490"/>
      <c r="H1379" s="490"/>
      <c r="I1379" s="490"/>
      <c r="J1379" s="588"/>
      <c r="K1379" s="490"/>
      <c r="L1379" s="490"/>
      <c r="M1379" s="490"/>
      <c r="N1379" s="490"/>
      <c r="O1379" s="490"/>
      <c r="P1379" s="490" t="s">
        <v>9413</v>
      </c>
    </row>
    <row r="1380">
      <c r="A1380" s="490"/>
      <c r="B1380" s="490"/>
      <c r="C1380" s="490"/>
      <c r="D1380" s="490"/>
      <c r="E1380" s="593" t="str">
        <f>IFERROR(__xludf.DUMMYFUNCTION("""COMPUTED_VALUE"""),"HP")</f>
        <v>HP</v>
      </c>
      <c r="F1380" s="593" t="str">
        <f>IFERROR(__xludf.DUMMYFUNCTION("""COMPUTED_VALUE"""),"PRO DESK 400 G1")</f>
        <v>PRO DESK 400 G1</v>
      </c>
      <c r="G1380" s="490"/>
      <c r="H1380" s="490"/>
      <c r="I1380" s="490"/>
      <c r="J1380" s="588"/>
      <c r="K1380" s="490"/>
      <c r="L1380" s="490"/>
      <c r="M1380" s="490"/>
      <c r="N1380" s="490"/>
      <c r="O1380" s="490"/>
      <c r="P1380" s="490" t="s">
        <v>9415</v>
      </c>
    </row>
    <row r="1381">
      <c r="A1381" s="490"/>
      <c r="B1381" s="490"/>
      <c r="C1381" s="490"/>
      <c r="D1381" s="490"/>
      <c r="E1381" s="593" t="str">
        <f>IFERROR(__xludf.DUMMYFUNCTION("""COMPUTED_VALUE"""),"HP")</f>
        <v>HP</v>
      </c>
      <c r="F1381" s="593" t="str">
        <f>IFERROR(__xludf.DUMMYFUNCTION("""COMPUTED_VALUE"""),"PRODESK 405/485 G2")</f>
        <v>PRODESK 405/485 G2</v>
      </c>
      <c r="G1381" s="490"/>
      <c r="H1381" s="490"/>
      <c r="I1381" s="490"/>
      <c r="J1381" s="588"/>
      <c r="K1381" s="490"/>
      <c r="L1381" s="490"/>
      <c r="M1381" s="490"/>
      <c r="N1381" s="490"/>
      <c r="O1381" s="490"/>
      <c r="P1381" s="490" t="s">
        <v>9417</v>
      </c>
    </row>
    <row r="1382">
      <c r="A1382" s="490"/>
      <c r="B1382" s="490"/>
      <c r="C1382" s="490"/>
      <c r="D1382" s="490"/>
      <c r="E1382" s="593" t="str">
        <f>IFERROR(__xludf.DUMMYFUNCTION("""COMPUTED_VALUE"""),"HP")</f>
        <v>HP</v>
      </c>
      <c r="F1382" s="593" t="str">
        <f>IFERROR(__xludf.DUMMYFUNCTION("""COMPUTED_VALUE"""),"PROLIANT DL120 G6")</f>
        <v>PROLIANT DL120 G6</v>
      </c>
      <c r="G1382" s="490"/>
      <c r="H1382" s="490"/>
      <c r="I1382" s="490"/>
      <c r="J1382" s="588"/>
      <c r="K1382" s="490"/>
      <c r="L1382" s="490"/>
      <c r="M1382" s="490"/>
      <c r="N1382" s="490"/>
      <c r="O1382" s="490"/>
      <c r="P1382" s="490" t="s">
        <v>9419</v>
      </c>
    </row>
    <row r="1383">
      <c r="A1383" s="490"/>
      <c r="B1383" s="490"/>
      <c r="C1383" s="490"/>
      <c r="D1383" s="490"/>
      <c r="E1383" s="593" t="str">
        <f>IFERROR(__xludf.DUMMYFUNCTION("""COMPUTED_VALUE"""),"HP")</f>
        <v>HP</v>
      </c>
      <c r="F1383" s="593" t="str">
        <f>IFERROR(__xludf.DUMMYFUNCTION("""COMPUTED_VALUE"""),"PROLIANT DL120 GEN 9")</f>
        <v>PROLIANT DL120 GEN 9</v>
      </c>
      <c r="G1383" s="490"/>
      <c r="H1383" s="490"/>
      <c r="I1383" s="490"/>
      <c r="J1383" s="588"/>
      <c r="K1383" s="490"/>
      <c r="L1383" s="490"/>
      <c r="M1383" s="490"/>
      <c r="N1383" s="490"/>
      <c r="O1383" s="490"/>
      <c r="P1383" s="490" t="s">
        <v>9421</v>
      </c>
    </row>
    <row r="1384">
      <c r="A1384" s="490"/>
      <c r="B1384" s="490"/>
      <c r="C1384" s="490"/>
      <c r="D1384" s="490"/>
      <c r="E1384" s="593" t="str">
        <f>IFERROR(__xludf.DUMMYFUNCTION("""COMPUTED_VALUE"""),"HP")</f>
        <v>HP</v>
      </c>
      <c r="F1384" s="593" t="str">
        <f>IFERROR(__xludf.DUMMYFUNCTION("""COMPUTED_VALUE"""),"PROLIANT DL180 GEN9")</f>
        <v>PROLIANT DL180 GEN9</v>
      </c>
      <c r="G1384" s="490"/>
      <c r="H1384" s="490"/>
      <c r="I1384" s="490"/>
      <c r="J1384" s="588"/>
      <c r="K1384" s="490"/>
      <c r="L1384" s="490"/>
      <c r="M1384" s="490"/>
      <c r="N1384" s="490"/>
      <c r="O1384" s="490"/>
      <c r="P1384" s="490" t="s">
        <v>9423</v>
      </c>
    </row>
    <row r="1385">
      <c r="A1385" s="490"/>
      <c r="B1385" s="490"/>
      <c r="C1385" s="490"/>
      <c r="D1385" s="490"/>
      <c r="E1385" s="593" t="str">
        <f>IFERROR(__xludf.DUMMYFUNCTION("""COMPUTED_VALUE"""),"HP")</f>
        <v>HP</v>
      </c>
      <c r="F1385" s="593" t="str">
        <f>IFERROR(__xludf.DUMMYFUNCTION("""COMPUTED_VALUE"""),"PROLIANT DL380 GEN 9")</f>
        <v>PROLIANT DL380 GEN 9</v>
      </c>
      <c r="G1385" s="490"/>
      <c r="H1385" s="490"/>
      <c r="I1385" s="490"/>
      <c r="J1385" s="588"/>
      <c r="K1385" s="490"/>
      <c r="L1385" s="490"/>
      <c r="M1385" s="490"/>
      <c r="N1385" s="490"/>
      <c r="O1385" s="490"/>
      <c r="P1385" s="490" t="s">
        <v>9425</v>
      </c>
    </row>
    <row r="1386">
      <c r="A1386" s="490"/>
      <c r="B1386" s="490"/>
      <c r="C1386" s="490"/>
      <c r="D1386" s="490"/>
      <c r="E1386" s="593" t="str">
        <f>IFERROR(__xludf.DUMMYFUNCTION("""COMPUTED_VALUE"""),"HP")</f>
        <v>HP</v>
      </c>
      <c r="F1386" s="593" t="str">
        <f>IFERROR(__xludf.DUMMYFUNCTION("""COMPUTED_VALUE"""),"PROLIANT GEN 9")</f>
        <v>PROLIANT GEN 9</v>
      </c>
      <c r="G1386" s="490"/>
      <c r="H1386" s="490"/>
      <c r="I1386" s="490"/>
      <c r="J1386" s="588"/>
      <c r="K1386" s="490"/>
      <c r="L1386" s="490"/>
      <c r="M1386" s="490"/>
      <c r="N1386" s="490"/>
      <c r="O1386" s="490"/>
      <c r="P1386" s="490" t="s">
        <v>9427</v>
      </c>
    </row>
    <row r="1387">
      <c r="A1387" s="490"/>
      <c r="B1387" s="490"/>
      <c r="C1387" s="490"/>
      <c r="D1387" s="490"/>
      <c r="E1387" s="593" t="str">
        <f>IFERROR(__xludf.DUMMYFUNCTION("""COMPUTED_VALUE"""),"HP")</f>
        <v>HP</v>
      </c>
      <c r="F1387" s="593" t="str">
        <f>IFERROR(__xludf.DUMMYFUNCTION("""COMPUTED_VALUE"""),"PROLINANT ML10 GEN9")</f>
        <v>PROLINANT ML10 GEN9</v>
      </c>
      <c r="G1387" s="490"/>
      <c r="H1387" s="490"/>
      <c r="I1387" s="490"/>
      <c r="J1387" s="588"/>
      <c r="K1387" s="490"/>
      <c r="L1387" s="490"/>
      <c r="M1387" s="490"/>
      <c r="N1387" s="490"/>
      <c r="O1387" s="490"/>
      <c r="P1387" s="490" t="s">
        <v>9429</v>
      </c>
    </row>
    <row r="1388">
      <c r="A1388" s="490"/>
      <c r="B1388" s="490"/>
      <c r="C1388" s="490"/>
      <c r="D1388" s="490"/>
      <c r="E1388" s="593" t="str">
        <f>IFERROR(__xludf.DUMMYFUNCTION("""COMPUTED_VALUE"""),"HP")</f>
        <v>HP</v>
      </c>
      <c r="F1388" s="593" t="str">
        <f>IFERROR(__xludf.DUMMYFUNCTION("""COMPUTED_VALUE"""),"RP5800")</f>
        <v>RP5800</v>
      </c>
      <c r="G1388" s="490"/>
      <c r="H1388" s="490"/>
      <c r="I1388" s="490"/>
      <c r="J1388" s="588"/>
      <c r="K1388" s="490"/>
      <c r="L1388" s="490"/>
      <c r="M1388" s="490"/>
      <c r="N1388" s="490"/>
      <c r="O1388" s="490"/>
      <c r="P1388" s="490" t="s">
        <v>9431</v>
      </c>
    </row>
    <row r="1389">
      <c r="A1389" s="490"/>
      <c r="B1389" s="490"/>
      <c r="C1389" s="490"/>
      <c r="D1389" s="490"/>
      <c r="E1389" s="593" t="str">
        <f>IFERROR(__xludf.DUMMYFUNCTION("""COMPUTED_VALUE"""),"HP")</f>
        <v>HP</v>
      </c>
      <c r="F1389" s="593" t="str">
        <f>IFERROR(__xludf.DUMMYFUNCTION("""COMPUTED_VALUE"""),"TPS-W016")</f>
        <v>TPS-W016</v>
      </c>
      <c r="G1389" s="490"/>
      <c r="H1389" s="490"/>
      <c r="I1389" s="490"/>
      <c r="J1389" s="588"/>
      <c r="K1389" s="490"/>
      <c r="L1389" s="490"/>
      <c r="M1389" s="490"/>
      <c r="N1389" s="490"/>
      <c r="O1389" s="490"/>
      <c r="P1389" s="490" t="s">
        <v>9433</v>
      </c>
    </row>
    <row r="1390">
      <c r="A1390" s="490"/>
      <c r="B1390" s="490"/>
      <c r="C1390" s="490"/>
      <c r="D1390" s="490"/>
      <c r="E1390" s="593" t="str">
        <f>IFERROR(__xludf.DUMMYFUNCTION("""COMPUTED_VALUE"""),"HP")</f>
        <v>HP</v>
      </c>
      <c r="F1390" s="593" t="str">
        <f>IFERROR(__xludf.DUMMYFUNCTION("""COMPUTED_VALUE"""),"UNAVAILABLE")</f>
        <v>UNAVAILABLE</v>
      </c>
      <c r="G1390" s="490"/>
      <c r="H1390" s="490"/>
      <c r="I1390" s="490"/>
      <c r="J1390" s="588"/>
      <c r="K1390" s="490"/>
      <c r="L1390" s="490"/>
      <c r="M1390" s="490"/>
      <c r="N1390" s="490"/>
      <c r="O1390" s="490"/>
      <c r="P1390" s="490" t="s">
        <v>9435</v>
      </c>
    </row>
    <row r="1391">
      <c r="A1391" s="490"/>
      <c r="B1391" s="490"/>
      <c r="C1391" s="490"/>
      <c r="D1391" s="490"/>
      <c r="E1391" s="593" t="str">
        <f>IFERROR(__xludf.DUMMYFUNCTION("""COMPUTED_VALUE"""),"HP")</f>
        <v>HP</v>
      </c>
      <c r="F1391" s="593" t="str">
        <f>IFERROR(__xludf.DUMMYFUNCTION("""COMPUTED_VALUE"""),"WINDOWS 10")</f>
        <v>WINDOWS 10</v>
      </c>
      <c r="G1391" s="490"/>
      <c r="H1391" s="490"/>
      <c r="I1391" s="490"/>
      <c r="J1391" s="588"/>
      <c r="K1391" s="490"/>
      <c r="L1391" s="490"/>
      <c r="M1391" s="490"/>
      <c r="N1391" s="490"/>
      <c r="O1391" s="490"/>
      <c r="P1391" s="490" t="s">
        <v>9437</v>
      </c>
    </row>
    <row r="1392">
      <c r="A1392" s="490"/>
      <c r="B1392" s="490"/>
      <c r="C1392" s="490"/>
      <c r="D1392" s="490"/>
      <c r="E1392" s="593" t="str">
        <f>IFERROR(__xludf.DUMMYFUNCTION("""COMPUTED_VALUE"""),"HP")</f>
        <v>HP</v>
      </c>
      <c r="F1392" s="593" t="str">
        <f>IFERROR(__xludf.DUMMYFUNCTION("""COMPUTED_VALUE"""),"WORKSTATION XW4300")</f>
        <v>WORKSTATION XW4300</v>
      </c>
      <c r="G1392" s="490"/>
      <c r="H1392" s="490"/>
      <c r="I1392" s="490"/>
      <c r="J1392" s="588"/>
      <c r="K1392" s="490"/>
      <c r="L1392" s="490"/>
      <c r="M1392" s="490"/>
      <c r="N1392" s="490"/>
      <c r="O1392" s="490"/>
      <c r="P1392" s="490" t="s">
        <v>9440</v>
      </c>
    </row>
    <row r="1393">
      <c r="A1393" s="490"/>
      <c r="B1393" s="490"/>
      <c r="C1393" s="490"/>
      <c r="D1393" s="490"/>
      <c r="E1393" s="593" t="str">
        <f>IFERROR(__xludf.DUMMYFUNCTION("""COMPUTED_VALUE"""),"HP")</f>
        <v>HP</v>
      </c>
      <c r="F1393" s="593" t="str">
        <f>IFERROR(__xludf.DUMMYFUNCTION("""COMPUTED_VALUE"""),"Z2 TOWER G4 WORKSTATION")</f>
        <v>Z2 TOWER G4 WORKSTATION</v>
      </c>
      <c r="G1393" s="490"/>
      <c r="H1393" s="490"/>
      <c r="I1393" s="490"/>
      <c r="J1393" s="588"/>
      <c r="K1393" s="490"/>
      <c r="L1393" s="490"/>
      <c r="M1393" s="490"/>
      <c r="N1393" s="490"/>
      <c r="O1393" s="490"/>
      <c r="P1393" s="490" t="s">
        <v>9085</v>
      </c>
    </row>
    <row r="1394">
      <c r="A1394" s="490"/>
      <c r="B1394" s="490"/>
      <c r="C1394" s="490"/>
      <c r="D1394" s="490"/>
      <c r="E1394" s="593" t="str">
        <f>IFERROR(__xludf.DUMMYFUNCTION("""COMPUTED_VALUE"""),"HP")</f>
        <v>HP</v>
      </c>
      <c r="F1394" s="593" t="str">
        <f>IFERROR(__xludf.DUMMYFUNCTION("""COMPUTED_VALUE"""),"Z230 WORKSTATION")</f>
        <v>Z230 WORKSTATION</v>
      </c>
      <c r="G1394" s="490"/>
      <c r="H1394" s="490"/>
      <c r="I1394" s="490"/>
      <c r="J1394" s="588"/>
      <c r="K1394" s="490"/>
      <c r="L1394" s="490"/>
      <c r="M1394" s="490"/>
      <c r="N1394" s="490"/>
      <c r="O1394" s="490"/>
      <c r="P1394" s="490" t="s">
        <v>9088</v>
      </c>
    </row>
    <row r="1395">
      <c r="A1395" s="490"/>
      <c r="B1395" s="490"/>
      <c r="C1395" s="490"/>
      <c r="D1395" s="490"/>
      <c r="E1395" s="593" t="str">
        <f>IFERROR(__xludf.DUMMYFUNCTION("""COMPUTED_VALUE"""),"HP")</f>
        <v>HP</v>
      </c>
      <c r="F1395" s="593" t="str">
        <f>IFERROR(__xludf.DUMMYFUNCTION("""COMPUTED_VALUE"""),"Z240")</f>
        <v>Z240</v>
      </c>
      <c r="G1395" s="490"/>
      <c r="H1395" s="490"/>
      <c r="I1395" s="490"/>
      <c r="J1395" s="588"/>
      <c r="K1395" s="490"/>
      <c r="L1395" s="490"/>
      <c r="M1395" s="490"/>
      <c r="N1395" s="490"/>
      <c r="O1395" s="490"/>
      <c r="P1395" s="490" t="s">
        <v>8974</v>
      </c>
    </row>
    <row r="1396">
      <c r="A1396" s="490"/>
      <c r="B1396" s="490"/>
      <c r="C1396" s="490"/>
      <c r="D1396" s="490"/>
      <c r="E1396" s="593" t="str">
        <f>IFERROR(__xludf.DUMMYFUNCTION("""COMPUTED_VALUE"""),"HP")</f>
        <v>HP</v>
      </c>
      <c r="F1396" s="593" t="str">
        <f>IFERROR(__xludf.DUMMYFUNCTION("""COMPUTED_VALUE"""),"Z420 WORKSTATION")</f>
        <v>Z420 WORKSTATION</v>
      </c>
      <c r="G1396" s="490"/>
      <c r="H1396" s="490"/>
      <c r="I1396" s="490"/>
      <c r="J1396" s="588"/>
      <c r="K1396" s="490"/>
      <c r="L1396" s="490"/>
      <c r="M1396" s="490"/>
      <c r="N1396" s="490"/>
      <c r="O1396" s="490"/>
      <c r="P1396" s="490" t="s">
        <v>8978</v>
      </c>
    </row>
    <row r="1397">
      <c r="A1397" s="490"/>
      <c r="B1397" s="490"/>
      <c r="C1397" s="490"/>
      <c r="D1397" s="490"/>
      <c r="E1397" s="593" t="str">
        <f>IFERROR(__xludf.DUMMYFUNCTION("""COMPUTED_VALUE"""),"HP")</f>
        <v>HP</v>
      </c>
      <c r="F1397" s="593" t="str">
        <f>IFERROR(__xludf.DUMMYFUNCTION("""COMPUTED_VALUE"""),"Z440")</f>
        <v>Z440</v>
      </c>
      <c r="G1397" s="490"/>
      <c r="H1397" s="490"/>
      <c r="I1397" s="490"/>
      <c r="J1397" s="588"/>
      <c r="K1397" s="490"/>
      <c r="L1397" s="490"/>
      <c r="M1397" s="490"/>
      <c r="N1397" s="490"/>
      <c r="O1397" s="490"/>
      <c r="P1397" s="490" t="s">
        <v>8980</v>
      </c>
    </row>
    <row r="1398">
      <c r="A1398" s="490"/>
      <c r="B1398" s="490"/>
      <c r="C1398" s="490"/>
      <c r="D1398" s="490"/>
      <c r="E1398" s="593" t="str">
        <f>IFERROR(__xludf.DUMMYFUNCTION("""COMPUTED_VALUE"""),"HP")</f>
        <v>HP</v>
      </c>
      <c r="F1398" s="593" t="str">
        <f>IFERROR(__xludf.DUMMYFUNCTION("""COMPUTED_VALUE"""),"CHROMEBOX G1")</f>
        <v>CHROMEBOX G1</v>
      </c>
      <c r="G1398" s="490"/>
      <c r="H1398" s="490"/>
      <c r="I1398" s="490"/>
      <c r="J1398" s="588"/>
      <c r="K1398" s="490"/>
      <c r="L1398" s="490"/>
      <c r="M1398" s="490"/>
      <c r="N1398" s="490"/>
      <c r="O1398" s="490"/>
      <c r="P1398" s="490" t="s">
        <v>8982</v>
      </c>
    </row>
    <row r="1399">
      <c r="A1399" s="490"/>
      <c r="B1399" s="490"/>
      <c r="C1399" s="490"/>
      <c r="D1399" s="490"/>
      <c r="E1399" s="593" t="str">
        <f>IFERROR(__xludf.DUMMYFUNCTION("""COMPUTED_VALUE"""),"HP")</f>
        <v>HP</v>
      </c>
      <c r="F1399" s="593" t="str">
        <f>IFERROR(__xludf.DUMMYFUNCTION("""COMPUTED_VALUE"""),"HP ALL-IN-ONE 22-C0XX")</f>
        <v>HP ALL-IN-ONE 22-C0XX</v>
      </c>
      <c r="G1399" s="490"/>
      <c r="H1399" s="490"/>
      <c r="I1399" s="490"/>
      <c r="J1399" s="588"/>
      <c r="K1399" s="490"/>
      <c r="L1399" s="490"/>
      <c r="M1399" s="490"/>
      <c r="N1399" s="490"/>
      <c r="O1399" s="490"/>
      <c r="P1399" s="490" t="s">
        <v>8984</v>
      </c>
    </row>
    <row r="1400">
      <c r="A1400" s="490"/>
      <c r="B1400" s="490"/>
      <c r="C1400" s="490"/>
      <c r="D1400" s="490"/>
      <c r="E1400" s="593" t="str">
        <f>IFERROR(__xludf.DUMMYFUNCTION("""COMPUTED_VALUE"""),"HP")</f>
        <v>HP</v>
      </c>
      <c r="F1400" s="593" t="str">
        <f>IFERROR(__xludf.DUMMYFUNCTION("""COMPUTED_VALUE"""),"DC5700")</f>
        <v>DC5700</v>
      </c>
      <c r="G1400" s="490"/>
      <c r="H1400" s="490"/>
      <c r="I1400" s="490"/>
      <c r="J1400" s="588"/>
      <c r="K1400" s="490"/>
      <c r="L1400" s="490"/>
      <c r="M1400" s="490"/>
      <c r="N1400" s="490"/>
      <c r="O1400" s="490"/>
      <c r="P1400" s="490" t="s">
        <v>8986</v>
      </c>
    </row>
    <row r="1401">
      <c r="A1401" s="490"/>
      <c r="B1401" s="490"/>
      <c r="C1401" s="490"/>
      <c r="D1401" s="490"/>
      <c r="E1401" s="593" t="str">
        <f>IFERROR(__xludf.DUMMYFUNCTION("""COMPUTED_VALUE"""),"HP")</f>
        <v>HP</v>
      </c>
      <c r="F1401" s="593" t="str">
        <f>IFERROR(__xludf.DUMMYFUNCTION("""COMPUTED_VALUE"""),"Z238")</f>
        <v>Z238</v>
      </c>
      <c r="G1401" s="490"/>
      <c r="H1401" s="490"/>
      <c r="I1401" s="490"/>
      <c r="J1401" s="588"/>
      <c r="K1401" s="490"/>
      <c r="L1401" s="490"/>
      <c r="M1401" s="490"/>
      <c r="N1401" s="490"/>
      <c r="O1401" s="490"/>
      <c r="P1401" s="490" t="s">
        <v>9055</v>
      </c>
    </row>
    <row r="1402">
      <c r="A1402" s="490"/>
      <c r="B1402" s="490"/>
      <c r="C1402" s="490"/>
      <c r="D1402" s="490"/>
      <c r="E1402" s="593" t="str">
        <f>IFERROR(__xludf.DUMMYFUNCTION("""COMPUTED_VALUE"""),"HP")</f>
        <v>HP</v>
      </c>
      <c r="F1402" s="593" t="str">
        <f>IFERROR(__xludf.DUMMYFUNCTION("""COMPUTED_VALUE"""),"ARUBA 2920")</f>
        <v>ARUBA 2920</v>
      </c>
      <c r="G1402" s="490"/>
      <c r="H1402" s="490"/>
      <c r="I1402" s="490"/>
      <c r="J1402" s="588"/>
      <c r="K1402" s="490"/>
      <c r="L1402" s="490"/>
      <c r="M1402" s="490"/>
      <c r="N1402" s="490"/>
      <c r="O1402" s="490"/>
      <c r="P1402" s="490" t="s">
        <v>9060</v>
      </c>
    </row>
    <row r="1403">
      <c r="A1403" s="490"/>
      <c r="B1403" s="490"/>
      <c r="C1403" s="490"/>
      <c r="D1403" s="490"/>
      <c r="E1403" s="593" t="str">
        <f>IFERROR(__xludf.DUMMYFUNCTION("""COMPUTED_VALUE"""),"HP")</f>
        <v>HP</v>
      </c>
      <c r="F1403" s="593" t="str">
        <f>IFERROR(__xludf.DUMMYFUNCTION("""COMPUTED_VALUE"""),"PRODESK 600")</f>
        <v>PRODESK 600</v>
      </c>
      <c r="G1403" s="490"/>
      <c r="H1403" s="490"/>
      <c r="I1403" s="490"/>
      <c r="J1403" s="588"/>
      <c r="K1403" s="490"/>
      <c r="L1403" s="490"/>
      <c r="M1403" s="490"/>
      <c r="N1403" s="490"/>
      <c r="O1403" s="490"/>
      <c r="P1403" s="490" t="s">
        <v>9030</v>
      </c>
    </row>
    <row r="1404">
      <c r="A1404" s="490"/>
      <c r="B1404" s="490"/>
      <c r="C1404" s="490"/>
      <c r="D1404" s="490"/>
      <c r="E1404" s="593" t="str">
        <f>IFERROR(__xludf.DUMMYFUNCTION("""COMPUTED_VALUE"""),"HP")</f>
        <v>HP</v>
      </c>
      <c r="F1404" s="593" t="str">
        <f>IFERROR(__xludf.DUMMYFUNCTION("""COMPUTED_VALUE"""),"PROLIANT ML150 G6")</f>
        <v>PROLIANT ML150 G6</v>
      </c>
      <c r="G1404" s="490"/>
      <c r="H1404" s="490"/>
      <c r="I1404" s="490"/>
      <c r="J1404" s="588"/>
      <c r="K1404" s="490"/>
      <c r="L1404" s="490"/>
      <c r="M1404" s="490"/>
      <c r="N1404" s="490"/>
      <c r="O1404" s="490"/>
      <c r="P1404" s="490" t="s">
        <v>9034</v>
      </c>
    </row>
    <row r="1405">
      <c r="A1405" s="490"/>
      <c r="B1405" s="490"/>
      <c r="C1405" s="490"/>
      <c r="D1405" s="490"/>
      <c r="E1405" s="593" t="str">
        <f>IFERROR(__xludf.DUMMYFUNCTION("""COMPUTED_VALUE"""),"HP")</f>
        <v>HP</v>
      </c>
      <c r="F1405" s="593" t="str">
        <f>IFERROR(__xludf.DUMMYFUNCTION("""COMPUTED_VALUE"""),"PRODESK 600 G5 MT")</f>
        <v>PRODESK 600 G5 MT</v>
      </c>
      <c r="G1405" s="490"/>
      <c r="H1405" s="490"/>
      <c r="I1405" s="490"/>
      <c r="J1405" s="588"/>
      <c r="K1405" s="490"/>
      <c r="L1405" s="490"/>
      <c r="M1405" s="490"/>
      <c r="N1405" s="490"/>
      <c r="O1405" s="490"/>
      <c r="P1405" s="490" t="s">
        <v>9036</v>
      </c>
    </row>
    <row r="1406">
      <c r="A1406" s="490"/>
      <c r="B1406" s="490"/>
      <c r="C1406" s="490"/>
      <c r="D1406" s="490"/>
      <c r="E1406" s="593" t="str">
        <f>IFERROR(__xludf.DUMMYFUNCTION("""COMPUTED_VALUE"""),"HP")</f>
        <v>HP</v>
      </c>
      <c r="F1406" s="593" t="str">
        <f>IFERROR(__xludf.DUMMYFUNCTION("""COMPUTED_VALUE"""),"PROLIANT DL380 GEN10")</f>
        <v>PROLIANT DL380 GEN10</v>
      </c>
      <c r="G1406" s="490"/>
      <c r="H1406" s="490"/>
      <c r="I1406" s="490"/>
      <c r="J1406" s="588"/>
      <c r="K1406" s="490"/>
      <c r="L1406" s="490"/>
      <c r="M1406" s="490"/>
      <c r="N1406" s="490"/>
      <c r="O1406" s="490"/>
      <c r="P1406" s="490" t="s">
        <v>9038</v>
      </c>
    </row>
    <row r="1407">
      <c r="A1407" s="490"/>
      <c r="B1407" s="490"/>
      <c r="C1407" s="490"/>
      <c r="D1407" s="490"/>
      <c r="E1407" s="593" t="str">
        <f>IFERROR(__xludf.DUMMYFUNCTION("""COMPUTED_VALUE"""),"HP")</f>
        <v>HP</v>
      </c>
      <c r="F1407" s="593" t="str">
        <f>IFERROR(__xludf.DUMMYFUNCTION("""COMPUTED_VALUE"""),"PROBOOK 440 G7")</f>
        <v>PROBOOK 440 G7</v>
      </c>
      <c r="G1407" s="490"/>
      <c r="H1407" s="490"/>
      <c r="I1407" s="490"/>
      <c r="J1407" s="588"/>
      <c r="K1407" s="490"/>
      <c r="L1407" s="490"/>
      <c r="M1407" s="490"/>
      <c r="N1407" s="490"/>
      <c r="O1407" s="490"/>
      <c r="P1407" s="490" t="s">
        <v>9040</v>
      </c>
    </row>
    <row r="1408">
      <c r="A1408" s="490"/>
      <c r="B1408" s="490"/>
      <c r="C1408" s="490"/>
      <c r="D1408" s="490"/>
      <c r="E1408" s="593" t="str">
        <f>IFERROR(__xludf.DUMMYFUNCTION("""COMPUTED_VALUE"""),"HP")</f>
        <v>HP</v>
      </c>
      <c r="F1408" s="593" t="str">
        <f>IFERROR(__xludf.DUMMYFUNCTION("""COMPUTED_VALUE"""),"Z1 WORKSTATION")</f>
        <v>Z1 WORKSTATION</v>
      </c>
      <c r="G1408" s="490"/>
      <c r="H1408" s="490"/>
      <c r="I1408" s="490"/>
      <c r="J1408" s="588"/>
      <c r="K1408" s="490"/>
      <c r="L1408" s="490"/>
      <c r="M1408" s="490"/>
      <c r="N1408" s="490"/>
      <c r="O1408" s="490"/>
      <c r="P1408" s="490" t="s">
        <v>9042</v>
      </c>
    </row>
    <row r="1409">
      <c r="A1409" s="490"/>
      <c r="B1409" s="490"/>
      <c r="C1409" s="490"/>
      <c r="D1409" s="490"/>
      <c r="E1409" s="593" t="str">
        <f>IFERROR(__xludf.DUMMYFUNCTION("""COMPUTED_VALUE"""),"HP")</f>
        <v>HP</v>
      </c>
      <c r="F1409" s="593" t="str">
        <f>IFERROR(__xludf.DUMMYFUNCTION("""COMPUTED_VALUE"""),"Z2 TOWER WORKSTATION")</f>
        <v>Z2 TOWER WORKSTATION</v>
      </c>
      <c r="G1409" s="490"/>
      <c r="H1409" s="490"/>
      <c r="I1409" s="490"/>
      <c r="J1409" s="588"/>
      <c r="K1409" s="490"/>
      <c r="L1409" s="490"/>
      <c r="M1409" s="490"/>
      <c r="N1409" s="490"/>
      <c r="O1409" s="490"/>
      <c r="P1409" s="490" t="s">
        <v>9044</v>
      </c>
    </row>
    <row r="1410">
      <c r="A1410" s="490"/>
      <c r="B1410" s="490"/>
      <c r="C1410" s="490"/>
      <c r="D1410" s="490"/>
      <c r="E1410" s="593" t="str">
        <f>IFERROR(__xludf.DUMMYFUNCTION("""COMPUTED_VALUE"""),"HP")</f>
        <v>HP</v>
      </c>
      <c r="F1410" s="593" t="str">
        <f>IFERROR(__xludf.DUMMYFUNCTION("""COMPUTED_VALUE"""),"250 G7 NOTEBOOK")</f>
        <v>250 G7 NOTEBOOK</v>
      </c>
      <c r="G1410" s="490"/>
      <c r="H1410" s="490"/>
      <c r="I1410" s="490"/>
      <c r="J1410" s="588"/>
      <c r="K1410" s="490"/>
      <c r="L1410" s="490"/>
      <c r="M1410" s="490"/>
      <c r="N1410" s="490"/>
      <c r="O1410" s="490"/>
      <c r="P1410" s="490" t="s">
        <v>9062</v>
      </c>
    </row>
    <row r="1411">
      <c r="A1411" s="490"/>
      <c r="B1411" s="490"/>
      <c r="C1411" s="490"/>
      <c r="D1411" s="490"/>
      <c r="E1411" s="593" t="str">
        <f>IFERROR(__xludf.DUMMYFUNCTION("""COMPUTED_VALUE"""),"HP")</f>
        <v>HP</v>
      </c>
      <c r="F1411" s="593" t="str">
        <f>IFERROR(__xludf.DUMMYFUNCTION("""COMPUTED_VALUE"""),"250 G7 NOTEBOOK")</f>
        <v>250 G7 NOTEBOOK</v>
      </c>
      <c r="G1411" s="490"/>
      <c r="H1411" s="490"/>
      <c r="I1411" s="490"/>
      <c r="J1411" s="588"/>
      <c r="K1411" s="490"/>
      <c r="L1411" s="490"/>
      <c r="M1411" s="490"/>
      <c r="N1411" s="490"/>
      <c r="O1411" s="490"/>
      <c r="P1411" s="490" t="s">
        <v>9064</v>
      </c>
    </row>
    <row r="1412">
      <c r="A1412" s="490"/>
      <c r="B1412" s="490"/>
      <c r="C1412" s="490"/>
      <c r="D1412" s="490"/>
      <c r="E1412" s="593" t="str">
        <f>IFERROR(__xludf.DUMMYFUNCTION("""COMPUTED_VALUE"""),"HP")</f>
        <v>HP</v>
      </c>
      <c r="F1412" s="593" t="str">
        <f>IFERROR(__xludf.DUMMYFUNCTION("""COMPUTED_VALUE"""),"ELITEONE 800 G4")</f>
        <v>ELITEONE 800 G4</v>
      </c>
      <c r="G1412" s="490"/>
      <c r="H1412" s="490"/>
      <c r="I1412" s="490"/>
      <c r="J1412" s="588"/>
      <c r="K1412" s="490"/>
      <c r="L1412" s="490"/>
      <c r="M1412" s="490"/>
      <c r="N1412" s="490"/>
      <c r="O1412" s="490"/>
      <c r="P1412" s="490" t="s">
        <v>9066</v>
      </c>
    </row>
    <row r="1413">
      <c r="A1413" s="490"/>
      <c r="B1413" s="490"/>
      <c r="C1413" s="490"/>
      <c r="D1413" s="490"/>
      <c r="E1413" s="593" t="str">
        <f>IFERROR(__xludf.DUMMYFUNCTION("""COMPUTED_VALUE"""),"HP")</f>
        <v>HP</v>
      </c>
      <c r="F1413" s="593" t="str">
        <f>IFERROR(__xludf.DUMMYFUNCTION("""COMPUTED_VALUE"""),"ELITEONE 800 G4")</f>
        <v>ELITEONE 800 G4</v>
      </c>
      <c r="G1413" s="490"/>
      <c r="H1413" s="490"/>
      <c r="I1413" s="490"/>
      <c r="J1413" s="588"/>
      <c r="K1413" s="490"/>
      <c r="L1413" s="490"/>
      <c r="M1413" s="490"/>
      <c r="N1413" s="490"/>
      <c r="O1413" s="490"/>
      <c r="P1413" s="490" t="s">
        <v>9068</v>
      </c>
    </row>
    <row r="1414">
      <c r="A1414" s="490"/>
      <c r="B1414" s="490"/>
      <c r="C1414" s="490"/>
      <c r="D1414" s="490"/>
      <c r="E1414" s="593" t="str">
        <f>IFERROR(__xludf.DUMMYFUNCTION("""COMPUTED_VALUE"""),"HP")</f>
        <v>HP</v>
      </c>
      <c r="F1414" s="593" t="str">
        <f>IFERROR(__xludf.DUMMYFUNCTION("""COMPUTED_VALUE"""),"PRODESK 400 G6 SFF")</f>
        <v>PRODESK 400 G6 SFF</v>
      </c>
      <c r="G1414" s="490"/>
      <c r="H1414" s="490"/>
      <c r="I1414" s="490"/>
      <c r="J1414" s="588"/>
      <c r="K1414" s="490"/>
      <c r="L1414" s="490"/>
      <c r="M1414" s="490"/>
      <c r="N1414" s="490"/>
      <c r="O1414" s="490"/>
      <c r="P1414" s="490" t="s">
        <v>2860</v>
      </c>
    </row>
    <row r="1415">
      <c r="A1415" s="490"/>
      <c r="B1415" s="490"/>
      <c r="C1415" s="490"/>
      <c r="D1415" s="490"/>
      <c r="E1415" s="593" t="str">
        <f>IFERROR(__xludf.DUMMYFUNCTION("""COMPUTED_VALUE"""),"HP")</f>
        <v>HP</v>
      </c>
      <c r="F1415" s="593" t="str">
        <f>IFERROR(__xludf.DUMMYFUNCTION("""COMPUTED_VALUE"""),"PROLIANT DL20 GEN10")</f>
        <v>PROLIANT DL20 GEN10</v>
      </c>
      <c r="G1415" s="490"/>
      <c r="H1415" s="490"/>
      <c r="I1415" s="490"/>
      <c r="J1415" s="588"/>
      <c r="K1415" s="490"/>
      <c r="L1415" s="490"/>
      <c r="M1415" s="490"/>
      <c r="N1415" s="490"/>
      <c r="O1415" s="490"/>
      <c r="P1415" s="490" t="s">
        <v>2893</v>
      </c>
    </row>
    <row r="1416">
      <c r="A1416" s="490"/>
      <c r="B1416" s="490"/>
      <c r="C1416" s="490"/>
      <c r="D1416" s="490"/>
      <c r="E1416" s="593" t="str">
        <f>IFERROR(__xludf.DUMMYFUNCTION("""COMPUTED_VALUE"""),"HP")</f>
        <v>HP</v>
      </c>
      <c r="F1416" s="593" t="str">
        <f>IFERROR(__xludf.DUMMYFUNCTION("""COMPUTED_VALUE"""),"ELITEDESK 705 G3 SFF")</f>
        <v>ELITEDESK 705 G3 SFF</v>
      </c>
      <c r="G1416" s="490"/>
      <c r="H1416" s="490"/>
      <c r="I1416" s="490"/>
      <c r="J1416" s="588"/>
      <c r="K1416" s="490"/>
      <c r="L1416" s="490"/>
      <c r="M1416" s="490"/>
      <c r="N1416" s="490"/>
      <c r="O1416" s="490"/>
      <c r="P1416" s="490" t="s">
        <v>3158</v>
      </c>
    </row>
    <row r="1417">
      <c r="A1417" s="490"/>
      <c r="B1417" s="490"/>
      <c r="C1417" s="490"/>
      <c r="D1417" s="490"/>
      <c r="E1417" s="593" t="str">
        <f>IFERROR(__xludf.DUMMYFUNCTION("""COMPUTED_VALUE"""),"HP")</f>
        <v>HP</v>
      </c>
      <c r="F1417" s="593" t="str">
        <f>IFERROR(__xludf.DUMMYFUNCTION("""COMPUTED_VALUE"""),"CHROMEBOOK 11 G8EE")</f>
        <v>CHROMEBOOK 11 G8EE</v>
      </c>
      <c r="G1417" s="490"/>
      <c r="H1417" s="490"/>
      <c r="I1417" s="490"/>
      <c r="J1417" s="588"/>
      <c r="K1417" s="490"/>
      <c r="L1417" s="490"/>
      <c r="M1417" s="490"/>
      <c r="N1417" s="490"/>
      <c r="O1417" s="490"/>
      <c r="P1417" s="490" t="s">
        <v>5778</v>
      </c>
    </row>
    <row r="1418">
      <c r="A1418" s="490"/>
      <c r="B1418" s="490"/>
      <c r="C1418" s="490"/>
      <c r="D1418" s="490"/>
      <c r="E1418" s="593" t="str">
        <f>IFERROR(__xludf.DUMMYFUNCTION("""COMPUTED_VALUE"""),"HP")</f>
        <v>HP</v>
      </c>
      <c r="F1418" s="593" t="str">
        <f>IFERROR(__xludf.DUMMYFUNCTION("""COMPUTED_VALUE"""),"PROLIANT ML30 GEN10")</f>
        <v>PROLIANT ML30 GEN10</v>
      </c>
      <c r="G1418" s="490"/>
      <c r="H1418" s="490"/>
      <c r="I1418" s="490"/>
      <c r="J1418" s="588"/>
      <c r="K1418" s="490"/>
      <c r="L1418" s="490"/>
      <c r="M1418" s="490"/>
      <c r="N1418" s="490"/>
      <c r="O1418" s="490"/>
      <c r="P1418" s="490" t="s">
        <v>5781</v>
      </c>
    </row>
    <row r="1419">
      <c r="A1419" s="490"/>
      <c r="B1419" s="490"/>
      <c r="C1419" s="490"/>
      <c r="D1419" s="490"/>
      <c r="E1419" s="593" t="str">
        <f>IFERROR(__xludf.DUMMYFUNCTION("""COMPUTED_VALUE"""),"HP")</f>
        <v>HP</v>
      </c>
      <c r="F1419" s="593" t="str">
        <f>IFERROR(__xludf.DUMMYFUNCTION("""COMPUTED_VALUE"""),"ELITEDESK 800 G4")</f>
        <v>ELITEDESK 800 G4</v>
      </c>
      <c r="G1419" s="490"/>
      <c r="H1419" s="490"/>
      <c r="I1419" s="490"/>
      <c r="J1419" s="588"/>
      <c r="K1419" s="490"/>
      <c r="L1419" s="490"/>
      <c r="M1419" s="490"/>
      <c r="N1419" s="490"/>
      <c r="O1419" s="490"/>
      <c r="P1419" s="490" t="s">
        <v>5784</v>
      </c>
    </row>
    <row r="1420">
      <c r="A1420" s="490"/>
      <c r="B1420" s="490"/>
      <c r="C1420" s="490"/>
      <c r="D1420" s="490"/>
      <c r="E1420" s="593" t="str">
        <f>IFERROR(__xludf.DUMMYFUNCTION("""COMPUTED_VALUE"""),"HP")</f>
        <v>HP</v>
      </c>
      <c r="F1420" s="593" t="str">
        <f>IFERROR(__xludf.DUMMYFUNCTION("""COMPUTED_VALUE"""),"LASERJET PRO M1212NF MFP")</f>
        <v>LASERJET PRO M1212NF MFP</v>
      </c>
      <c r="G1420" s="490"/>
      <c r="H1420" s="490"/>
      <c r="I1420" s="490"/>
      <c r="J1420" s="588"/>
      <c r="K1420" s="490"/>
      <c r="L1420" s="490"/>
      <c r="M1420" s="490"/>
      <c r="N1420" s="490"/>
      <c r="O1420" s="490"/>
      <c r="P1420" s="490" t="s">
        <v>5787</v>
      </c>
    </row>
    <row r="1421">
      <c r="A1421" s="490"/>
      <c r="B1421" s="490"/>
      <c r="C1421" s="490"/>
      <c r="D1421" s="490"/>
      <c r="E1421" s="593" t="str">
        <f>IFERROR(__xludf.DUMMYFUNCTION("""COMPUTED_VALUE"""),"HP")</f>
        <v>HP</v>
      </c>
      <c r="F1421" s="593" t="str">
        <f>IFERROR(__xludf.DUMMYFUNCTION("""COMPUTED_VALUE"""),"Z2 G5")</f>
        <v>Z2 G5</v>
      </c>
      <c r="G1421" s="490"/>
      <c r="H1421" s="490"/>
      <c r="I1421" s="490"/>
      <c r="J1421" s="588"/>
      <c r="K1421" s="490"/>
      <c r="L1421" s="490"/>
      <c r="M1421" s="490"/>
      <c r="N1421" s="490"/>
      <c r="O1421" s="490"/>
      <c r="P1421" s="490" t="s">
        <v>5790</v>
      </c>
    </row>
    <row r="1422">
      <c r="A1422" s="490"/>
      <c r="B1422" s="490"/>
      <c r="C1422" s="490"/>
      <c r="D1422" s="490"/>
      <c r="E1422" s="593" t="str">
        <f>IFERROR(__xludf.DUMMYFUNCTION("""COMPUTED_VALUE"""),"HP")</f>
        <v>HP</v>
      </c>
      <c r="F1422" s="593" t="str">
        <f>IFERROR(__xludf.DUMMYFUNCTION("""COMPUTED_VALUE"""),"PROBOOK 6570B")</f>
        <v>PROBOOK 6570B</v>
      </c>
      <c r="G1422" s="490"/>
      <c r="H1422" s="490"/>
      <c r="I1422" s="490"/>
      <c r="J1422" s="588"/>
      <c r="K1422" s="490"/>
      <c r="L1422" s="490"/>
      <c r="M1422" s="490"/>
      <c r="N1422" s="490"/>
      <c r="O1422" s="490"/>
      <c r="P1422" s="490" t="s">
        <v>5793</v>
      </c>
    </row>
    <row r="1423">
      <c r="A1423" s="490"/>
      <c r="B1423" s="490"/>
      <c r="C1423" s="490"/>
      <c r="D1423" s="490"/>
      <c r="E1423" s="593" t="str">
        <f>IFERROR(__xludf.DUMMYFUNCTION("""COMPUTED_VALUE"""),"HP")</f>
        <v>HP</v>
      </c>
      <c r="F1423" s="593" t="str">
        <f>IFERROR(__xludf.DUMMYFUNCTION("""COMPUTED_VALUE"""),"LASER PRO MFP")</f>
        <v>LASER PRO MFP</v>
      </c>
      <c r="G1423" s="490"/>
      <c r="H1423" s="490"/>
      <c r="I1423" s="490"/>
      <c r="J1423" s="588"/>
      <c r="K1423" s="490"/>
      <c r="L1423" s="490"/>
      <c r="M1423" s="490"/>
      <c r="N1423" s="490"/>
      <c r="O1423" s="490"/>
      <c r="P1423" s="490" t="s">
        <v>5796</v>
      </c>
    </row>
    <row r="1424">
      <c r="A1424" s="490"/>
      <c r="B1424" s="490"/>
      <c r="C1424" s="490"/>
      <c r="D1424" s="490"/>
      <c r="E1424" s="593" t="str">
        <f>IFERROR(__xludf.DUMMYFUNCTION("""COMPUTED_VALUE"""),"HP")</f>
        <v>HP</v>
      </c>
      <c r="F1424" s="593" t="str">
        <f>IFERROR(__xludf.DUMMYFUNCTION("""COMPUTED_VALUE"""),"CHROMEBOOK 14")</f>
        <v>CHROMEBOOK 14</v>
      </c>
      <c r="G1424" s="490"/>
      <c r="H1424" s="490"/>
      <c r="I1424" s="490"/>
      <c r="J1424" s="588"/>
      <c r="K1424" s="490"/>
      <c r="L1424" s="490"/>
      <c r="M1424" s="490"/>
      <c r="N1424" s="490"/>
      <c r="O1424" s="490"/>
      <c r="P1424" s="490" t="s">
        <v>5799</v>
      </c>
    </row>
    <row r="1425">
      <c r="A1425" s="490"/>
      <c r="B1425" s="490"/>
      <c r="C1425" s="490"/>
      <c r="D1425" s="490"/>
      <c r="E1425" s="593" t="str">
        <f>IFERROR(__xludf.DUMMYFUNCTION("""COMPUTED_VALUE"""),"HP")</f>
        <v>HP</v>
      </c>
      <c r="F1425" s="593" t="str">
        <f>IFERROR(__xludf.DUMMYFUNCTION("""COMPUTED_VALUE"""),"Z2 MINI G4")</f>
        <v>Z2 MINI G4</v>
      </c>
      <c r="G1425" s="490"/>
      <c r="H1425" s="490"/>
      <c r="I1425" s="490"/>
      <c r="J1425" s="588"/>
      <c r="K1425" s="490"/>
      <c r="L1425" s="490"/>
      <c r="M1425" s="490"/>
      <c r="N1425" s="490"/>
      <c r="O1425" s="490"/>
      <c r="P1425" s="490" t="s">
        <v>5802</v>
      </c>
    </row>
    <row r="1426">
      <c r="A1426" s="490"/>
      <c r="B1426" s="490"/>
      <c r="C1426" s="490"/>
      <c r="D1426" s="490"/>
      <c r="E1426" s="593" t="str">
        <f>IFERROR(__xludf.DUMMYFUNCTION("""COMPUTED_VALUE"""),"HP")</f>
        <v>HP</v>
      </c>
      <c r="F1426" s="593" t="str">
        <f>IFERROR(__xludf.DUMMYFUNCTION("""COMPUTED_VALUE"""),"ELITE SFF 800 G9")</f>
        <v>ELITE SFF 800 G9</v>
      </c>
      <c r="G1426" s="490"/>
      <c r="H1426" s="490"/>
      <c r="I1426" s="490"/>
      <c r="J1426" s="588"/>
      <c r="K1426" s="490"/>
      <c r="L1426" s="490"/>
      <c r="M1426" s="490"/>
      <c r="N1426" s="490"/>
      <c r="O1426" s="490"/>
      <c r="P1426" s="490" t="s">
        <v>5805</v>
      </c>
    </row>
    <row r="1427">
      <c r="A1427" s="490"/>
      <c r="B1427" s="490"/>
      <c r="C1427" s="490"/>
      <c r="D1427" s="490"/>
      <c r="E1427" s="593" t="str">
        <f>IFERROR(__xludf.DUMMYFUNCTION("""COMPUTED_VALUE"""),"HP")</f>
        <v>HP</v>
      </c>
      <c r="F1427" s="593" t="str">
        <f>IFERROR(__xludf.DUMMYFUNCTION("""COMPUTED_VALUE"""),"150NW")</f>
        <v>150NW</v>
      </c>
      <c r="G1427" s="490"/>
      <c r="H1427" s="490"/>
      <c r="I1427" s="490"/>
      <c r="J1427" s="588"/>
      <c r="K1427" s="490"/>
      <c r="L1427" s="490"/>
      <c r="M1427" s="490"/>
      <c r="N1427" s="490"/>
      <c r="O1427" s="490"/>
      <c r="P1427" s="490" t="s">
        <v>3161</v>
      </c>
    </row>
    <row r="1428">
      <c r="A1428" s="490"/>
      <c r="B1428" s="490"/>
      <c r="C1428" s="490"/>
      <c r="D1428" s="490"/>
      <c r="E1428" s="593" t="str">
        <f>IFERROR(__xludf.DUMMYFUNCTION("""COMPUTED_VALUE"""),"HP")</f>
        <v>HP</v>
      </c>
      <c r="F1428" s="593" t="str">
        <f>IFERROR(__xludf.DUMMYFUNCTION("""COMPUTED_VALUE"""),"Z4 G4")</f>
        <v>Z4 G4</v>
      </c>
      <c r="G1428" s="490"/>
      <c r="H1428" s="490"/>
      <c r="I1428" s="490"/>
      <c r="J1428" s="588"/>
      <c r="K1428" s="490"/>
      <c r="L1428" s="490"/>
      <c r="M1428" s="490"/>
      <c r="N1428" s="490"/>
      <c r="O1428" s="490"/>
      <c r="P1428" s="490" t="s">
        <v>5808</v>
      </c>
    </row>
    <row r="1429">
      <c r="A1429" s="490"/>
      <c r="B1429" s="490"/>
      <c r="C1429" s="490"/>
      <c r="D1429" s="490"/>
      <c r="E1429" s="593" t="str">
        <f>IFERROR(__xludf.DUMMYFUNCTION("""COMPUTED_VALUE"""),"HP")</f>
        <v>HP</v>
      </c>
      <c r="F1429" s="593" t="str">
        <f>IFERROR(__xludf.DUMMYFUNCTION("""COMPUTED_VALUE"""),"PRODESK 400 G7")</f>
        <v>PRODESK 400 G7</v>
      </c>
      <c r="G1429" s="490"/>
      <c r="H1429" s="490"/>
      <c r="I1429" s="490"/>
      <c r="J1429" s="588"/>
      <c r="K1429" s="490"/>
      <c r="L1429" s="490"/>
      <c r="M1429" s="490"/>
      <c r="N1429" s="490"/>
      <c r="O1429" s="490"/>
      <c r="P1429" s="490" t="s">
        <v>5811</v>
      </c>
    </row>
    <row r="1430">
      <c r="A1430" s="490"/>
      <c r="B1430" s="490"/>
      <c r="C1430" s="490"/>
      <c r="D1430" s="490"/>
      <c r="E1430" s="593" t="str">
        <f>IFERROR(__xludf.DUMMYFUNCTION("""COMPUTED_VALUE"""),"HP")</f>
        <v>HP</v>
      </c>
      <c r="F1430" s="593" t="str">
        <f>IFERROR(__xludf.DUMMYFUNCTION("""COMPUTED_VALUE"""),"CHROMEBOX ENT G3")</f>
        <v>CHROMEBOX ENT G3</v>
      </c>
      <c r="G1430" s="490"/>
      <c r="H1430" s="490"/>
      <c r="I1430" s="490"/>
      <c r="J1430" s="588"/>
      <c r="K1430" s="490"/>
      <c r="L1430" s="490"/>
      <c r="M1430" s="490"/>
      <c r="N1430" s="490"/>
      <c r="O1430" s="490"/>
      <c r="P1430" s="490" t="s">
        <v>5814</v>
      </c>
    </row>
    <row r="1431">
      <c r="A1431" s="490"/>
      <c r="B1431" s="490"/>
      <c r="C1431" s="490"/>
      <c r="D1431" s="490"/>
      <c r="E1431" s="593" t="str">
        <f>IFERROR(__xludf.DUMMYFUNCTION("""COMPUTED_VALUE"""),"HP")</f>
        <v>HP</v>
      </c>
      <c r="F1431" s="593" t="str">
        <f>IFERROR(__xludf.DUMMYFUNCTION("""COMPUTED_VALUE"""),"PROONE 600 G5 21.5")</f>
        <v>PROONE 600 G5 21.5</v>
      </c>
      <c r="G1431" s="490"/>
      <c r="H1431" s="490"/>
      <c r="I1431" s="490"/>
      <c r="J1431" s="588"/>
      <c r="K1431" s="490"/>
      <c r="L1431" s="490"/>
      <c r="M1431" s="490"/>
      <c r="N1431" s="490"/>
      <c r="O1431" s="490"/>
      <c r="P1431" s="490" t="s">
        <v>5817</v>
      </c>
    </row>
    <row r="1432">
      <c r="A1432" s="490"/>
      <c r="B1432" s="490"/>
      <c r="C1432" s="490"/>
      <c r="D1432" s="490"/>
      <c r="E1432" s="593" t="str">
        <f>IFERROR(__xludf.DUMMYFUNCTION("""COMPUTED_VALUE"""),"HP")</f>
        <v>HP</v>
      </c>
      <c r="F1432" s="593" t="str">
        <f>IFERROR(__xludf.DUMMYFUNCTION("""COMPUTED_VALUE"""),"Z2 MINI G9")</f>
        <v>Z2 MINI G9</v>
      </c>
      <c r="G1432" s="490"/>
      <c r="H1432" s="490"/>
      <c r="I1432" s="490"/>
      <c r="J1432" s="588"/>
      <c r="K1432" s="490"/>
      <c r="L1432" s="490"/>
      <c r="M1432" s="490"/>
      <c r="N1432" s="490"/>
      <c r="O1432" s="490"/>
      <c r="P1432" s="490" t="s">
        <v>5820</v>
      </c>
    </row>
    <row r="1433">
      <c r="A1433" s="490"/>
      <c r="B1433" s="490"/>
      <c r="C1433" s="490"/>
      <c r="D1433" s="490"/>
      <c r="E1433" s="593" t="str">
        <f>IFERROR(__xludf.DUMMYFUNCTION("""COMPUTED_VALUE"""),"HP")</f>
        <v>HP</v>
      </c>
      <c r="F1433" s="593" t="str">
        <f>IFERROR(__xludf.DUMMYFUNCTION("""COMPUTED_VALUE"""),"PROBOOK 450 G5")</f>
        <v>PROBOOK 450 G5</v>
      </c>
      <c r="G1433" s="490"/>
      <c r="H1433" s="490"/>
      <c r="I1433" s="490"/>
      <c r="J1433" s="588"/>
      <c r="K1433" s="490"/>
      <c r="L1433" s="490"/>
      <c r="M1433" s="490"/>
      <c r="N1433" s="490"/>
      <c r="O1433" s="490"/>
      <c r="P1433" s="490" t="s">
        <v>5823</v>
      </c>
    </row>
    <row r="1434">
      <c r="A1434" s="490"/>
      <c r="B1434" s="490"/>
      <c r="C1434" s="490"/>
      <c r="D1434" s="490"/>
      <c r="E1434" s="593" t="str">
        <f>IFERROR(__xludf.DUMMYFUNCTION("""COMPUTED_VALUE"""),"HP")</f>
        <v>HP</v>
      </c>
      <c r="F1434" s="593" t="str">
        <f>IFERROR(__xludf.DUMMYFUNCTION("""COMPUTED_VALUE"""),"PROBOOK 450 G6")</f>
        <v>PROBOOK 450 G6</v>
      </c>
      <c r="G1434" s="490"/>
      <c r="H1434" s="490"/>
      <c r="I1434" s="490"/>
      <c r="J1434" s="588"/>
      <c r="K1434" s="490"/>
      <c r="L1434" s="490"/>
      <c r="M1434" s="490"/>
      <c r="N1434" s="490"/>
      <c r="O1434" s="490"/>
      <c r="P1434" s="490" t="s">
        <v>5826</v>
      </c>
    </row>
    <row r="1435">
      <c r="A1435" s="490"/>
      <c r="B1435" s="490"/>
      <c r="C1435" s="490"/>
      <c r="D1435" s="490"/>
      <c r="E1435" s="593" t="str">
        <f>IFERROR(__xludf.DUMMYFUNCTION("""COMPUTED_VALUE"""),"HPE")</f>
        <v>HPE</v>
      </c>
      <c r="F1435" s="593" t="str">
        <f>IFERROR(__xludf.DUMMYFUNCTION("""COMPUTED_VALUE"""),"OFFICECONNECT 1920S")</f>
        <v>OFFICECONNECT 1920S</v>
      </c>
      <c r="G1435" s="490"/>
      <c r="H1435" s="490"/>
      <c r="I1435" s="490"/>
      <c r="J1435" s="588"/>
      <c r="K1435" s="490"/>
      <c r="L1435" s="490"/>
      <c r="M1435" s="490"/>
      <c r="N1435" s="490"/>
      <c r="O1435" s="490"/>
      <c r="P1435" s="490" t="s">
        <v>5828</v>
      </c>
    </row>
    <row r="1436">
      <c r="A1436" s="490"/>
      <c r="B1436" s="490"/>
      <c r="C1436" s="490"/>
      <c r="D1436" s="490"/>
      <c r="E1436" s="593" t="str">
        <f>IFERROR(__xludf.DUMMYFUNCTION("""COMPUTED_VALUE"""),"HPE")</f>
        <v>HPE</v>
      </c>
      <c r="F1436" s="593" t="str">
        <f>IFERROR(__xludf.DUMMYFUNCTION("""COMPUTED_VALUE"""),"JH016A")</f>
        <v>JH016A</v>
      </c>
      <c r="G1436" s="490"/>
      <c r="H1436" s="490"/>
      <c r="I1436" s="490"/>
      <c r="J1436" s="588"/>
      <c r="K1436" s="490"/>
      <c r="L1436" s="490"/>
      <c r="M1436" s="490"/>
      <c r="N1436" s="490"/>
      <c r="O1436" s="490"/>
      <c r="P1436" s="490" t="s">
        <v>5831</v>
      </c>
    </row>
    <row r="1437">
      <c r="A1437" s="490"/>
      <c r="B1437" s="490"/>
      <c r="C1437" s="490"/>
      <c r="D1437" s="490"/>
      <c r="E1437" s="593" t="str">
        <f>IFERROR(__xludf.DUMMYFUNCTION("""COMPUTED_VALUE"""),"HPE")</f>
        <v>HPE</v>
      </c>
      <c r="F1437" s="593" t="str">
        <f>IFERROR(__xludf.DUMMYFUNCTION("""COMPUTED_VALUE"""),"HPE-1820 24G J9980A")</f>
        <v>HPE-1820 24G J9980A</v>
      </c>
      <c r="G1437" s="490"/>
      <c r="H1437" s="490"/>
      <c r="I1437" s="490"/>
      <c r="J1437" s="588"/>
      <c r="K1437" s="490"/>
      <c r="L1437" s="490"/>
      <c r="M1437" s="490"/>
      <c r="N1437" s="490"/>
      <c r="O1437" s="490"/>
      <c r="P1437" s="490" t="s">
        <v>5834</v>
      </c>
    </row>
    <row r="1438">
      <c r="A1438" s="490"/>
      <c r="B1438" s="490"/>
      <c r="C1438" s="490"/>
      <c r="D1438" s="490"/>
      <c r="E1438" s="593" t="str">
        <f>IFERROR(__xludf.DUMMYFUNCTION("""COMPUTED_VALUE"""),"HPE")</f>
        <v>HPE</v>
      </c>
      <c r="F1438" s="593" t="str">
        <f>IFERROR(__xludf.DUMMYFUNCTION("""COMPUTED_VALUE"""),"PROLIANT DL360 GEN10")</f>
        <v>PROLIANT DL360 GEN10</v>
      </c>
      <c r="G1438" s="490"/>
      <c r="H1438" s="490"/>
      <c r="I1438" s="490"/>
      <c r="J1438" s="588"/>
      <c r="K1438" s="490"/>
      <c r="L1438" s="490"/>
      <c r="M1438" s="490"/>
      <c r="N1438" s="490"/>
      <c r="O1438" s="490"/>
      <c r="P1438" s="490" t="s">
        <v>3164</v>
      </c>
    </row>
    <row r="1439">
      <c r="A1439" s="490"/>
      <c r="B1439" s="490"/>
      <c r="C1439" s="490"/>
      <c r="D1439" s="490"/>
      <c r="E1439" s="593" t="str">
        <f>IFERROR(__xludf.DUMMYFUNCTION("""COMPUTED_VALUE"""),"HPE")</f>
        <v>HPE</v>
      </c>
      <c r="F1439" s="593" t="str">
        <f>IFERROR(__xludf.DUMMYFUNCTION("""COMPUTED_VALUE"""),"OFFICECONNECT 1420")</f>
        <v>OFFICECONNECT 1420</v>
      </c>
      <c r="G1439" s="490"/>
      <c r="H1439" s="490"/>
      <c r="I1439" s="490"/>
      <c r="J1439" s="588"/>
      <c r="K1439" s="490"/>
      <c r="L1439" s="490"/>
      <c r="M1439" s="490"/>
      <c r="N1439" s="490"/>
      <c r="O1439" s="490"/>
      <c r="P1439" s="490" t="s">
        <v>5837</v>
      </c>
    </row>
    <row r="1440">
      <c r="A1440" s="490"/>
      <c r="B1440" s="490"/>
      <c r="C1440" s="490"/>
      <c r="D1440" s="490"/>
      <c r="E1440" s="593" t="str">
        <f>IFERROR(__xludf.DUMMYFUNCTION("""COMPUTED_VALUE"""),"HPE")</f>
        <v>HPE</v>
      </c>
      <c r="F1440" s="593" t="str">
        <f>IFERROR(__xludf.DUMMYFUNCTION("""COMPUTED_VALUE"""),"PROLIANT MICROSERVER")</f>
        <v>PROLIANT MICROSERVER</v>
      </c>
      <c r="G1440" s="490"/>
      <c r="H1440" s="490"/>
      <c r="I1440" s="490"/>
      <c r="J1440" s="588"/>
      <c r="K1440" s="490"/>
      <c r="L1440" s="490"/>
      <c r="M1440" s="490"/>
      <c r="N1440" s="490"/>
      <c r="O1440" s="490"/>
      <c r="P1440" s="490" t="s">
        <v>5840</v>
      </c>
    </row>
    <row r="1441">
      <c r="A1441" s="490"/>
      <c r="B1441" s="490"/>
      <c r="C1441" s="490"/>
      <c r="D1441" s="490"/>
      <c r="E1441" s="593" t="str">
        <f>IFERROR(__xludf.DUMMYFUNCTION("""COMPUTED_VALUE"""),"HRW")</f>
        <v>HRW</v>
      </c>
      <c r="F1441" s="593" t="str">
        <f>IFERROR(__xludf.DUMMYFUNCTION("""COMPUTED_VALUE"""),"HPE-BNMBUS")</f>
        <v>HPE-BNMBUS</v>
      </c>
      <c r="G1441" s="490"/>
      <c r="H1441" s="490"/>
      <c r="I1441" s="490"/>
      <c r="J1441" s="588"/>
      <c r="K1441" s="490"/>
      <c r="L1441" s="490"/>
      <c r="M1441" s="490"/>
      <c r="N1441" s="490"/>
      <c r="O1441" s="490"/>
      <c r="P1441" s="490" t="s">
        <v>5843</v>
      </c>
    </row>
    <row r="1442">
      <c r="A1442" s="490"/>
      <c r="B1442" s="490"/>
      <c r="C1442" s="490"/>
      <c r="D1442" s="490"/>
      <c r="E1442" s="593" t="str">
        <f>IFERROR(__xludf.DUMMYFUNCTION("""COMPUTED_VALUE"""),"HTC")</f>
        <v>HTC</v>
      </c>
      <c r="F1442" s="593" t="str">
        <f>IFERROR(__xludf.DUMMYFUNCTION("""COMPUTED_VALUE"""),"NEXUS 9")</f>
        <v>NEXUS 9</v>
      </c>
      <c r="G1442" s="490"/>
      <c r="H1442" s="490"/>
      <c r="I1442" s="490"/>
      <c r="J1442" s="588"/>
      <c r="K1442" s="490"/>
      <c r="L1442" s="490"/>
      <c r="M1442" s="490"/>
      <c r="N1442" s="490"/>
      <c r="O1442" s="490"/>
      <c r="P1442" s="490" t="s">
        <v>5846</v>
      </c>
    </row>
    <row r="1443">
      <c r="A1443" s="490"/>
      <c r="B1443" s="490"/>
      <c r="C1443" s="490"/>
      <c r="D1443" s="490"/>
      <c r="E1443" s="593" t="str">
        <f>IFERROR(__xludf.DUMMYFUNCTION("""COMPUTED_VALUE"""),"HTC")</f>
        <v>HTC</v>
      </c>
      <c r="F1443" s="593" t="str">
        <f>IFERROR(__xludf.DUMMYFUNCTION("""COMPUTED_VALUE"""),"NEXUS 9")</f>
        <v>NEXUS 9</v>
      </c>
      <c r="G1443" s="490"/>
      <c r="H1443" s="490"/>
      <c r="I1443" s="490"/>
      <c r="J1443" s="588"/>
      <c r="K1443" s="490"/>
      <c r="L1443" s="490"/>
      <c r="M1443" s="490"/>
      <c r="N1443" s="490"/>
      <c r="O1443" s="490"/>
      <c r="P1443" s="490" t="s">
        <v>5849</v>
      </c>
    </row>
    <row r="1444">
      <c r="A1444" s="490"/>
      <c r="B1444" s="490"/>
      <c r="C1444" s="490"/>
      <c r="D1444" s="490"/>
      <c r="E1444" s="593" t="str">
        <f>IFERROR(__xludf.DUMMYFUNCTION("""COMPUTED_VALUE"""),"HTC")</f>
        <v>HTC</v>
      </c>
      <c r="F1444" s="593" t="str">
        <f>IFERROR(__xludf.DUMMYFUNCTION("""COMPUTED_VALUE"""),"NO INFO AVAILABLE")</f>
        <v>NO INFO AVAILABLE</v>
      </c>
      <c r="G1444" s="490"/>
      <c r="H1444" s="490"/>
      <c r="I1444" s="490"/>
      <c r="J1444" s="588"/>
      <c r="K1444" s="490"/>
      <c r="L1444" s="490"/>
      <c r="M1444" s="490"/>
      <c r="N1444" s="490"/>
      <c r="O1444" s="490"/>
      <c r="P1444" s="490" t="s">
        <v>5852</v>
      </c>
    </row>
    <row r="1445">
      <c r="A1445" s="490"/>
      <c r="B1445" s="490"/>
      <c r="C1445" s="490"/>
      <c r="D1445" s="490"/>
      <c r="E1445" s="593" t="str">
        <f>IFERROR(__xludf.DUMMYFUNCTION("""COMPUTED_VALUE"""),"HUAWEI")</f>
        <v>HUAWEI</v>
      </c>
      <c r="F1445" s="593" t="str">
        <f>IFERROR(__xludf.DUMMYFUNCTION("""COMPUTED_VALUE"""),"AR1220")</f>
        <v>AR1220</v>
      </c>
      <c r="G1445" s="490"/>
      <c r="H1445" s="490"/>
      <c r="I1445" s="490"/>
      <c r="J1445" s="588"/>
      <c r="K1445" s="490"/>
      <c r="L1445" s="490"/>
      <c r="M1445" s="490"/>
      <c r="N1445" s="490"/>
      <c r="O1445" s="490"/>
      <c r="P1445" s="490" t="s">
        <v>5855</v>
      </c>
    </row>
    <row r="1446">
      <c r="A1446" s="490"/>
      <c r="B1446" s="490"/>
      <c r="C1446" s="490"/>
      <c r="D1446" s="490"/>
      <c r="E1446" s="593" t="str">
        <f>IFERROR(__xludf.DUMMYFUNCTION("""COMPUTED_VALUE"""),"HUAWEI")</f>
        <v>HUAWEI</v>
      </c>
      <c r="F1446" s="593" t="str">
        <f>IFERROR(__xludf.DUMMYFUNCTION("""COMPUTED_VALUE"""),"B310S-22")</f>
        <v>B310S-22</v>
      </c>
      <c r="G1446" s="490"/>
      <c r="H1446" s="490"/>
      <c r="I1446" s="490"/>
      <c r="J1446" s="588"/>
      <c r="K1446" s="490"/>
      <c r="L1446" s="490"/>
      <c r="M1446" s="490"/>
      <c r="N1446" s="490"/>
      <c r="O1446" s="490"/>
      <c r="P1446" s="490" t="s">
        <v>5858</v>
      </c>
    </row>
    <row r="1447">
      <c r="A1447" s="490"/>
      <c r="B1447" s="490"/>
      <c r="C1447" s="490"/>
      <c r="D1447" s="490"/>
      <c r="E1447" s="593" t="str">
        <f>IFERROR(__xludf.DUMMYFUNCTION("""COMPUTED_VALUE"""),"HUAWEI")</f>
        <v>HUAWEI</v>
      </c>
      <c r="F1447" s="593" t="str">
        <f>IFERROR(__xludf.DUMMYFUNCTION("""COMPUTED_VALUE"""),"BS15S-22")</f>
        <v>BS15S-22</v>
      </c>
      <c r="G1447" s="490"/>
      <c r="H1447" s="490"/>
      <c r="I1447" s="490"/>
      <c r="J1447" s="588"/>
      <c r="K1447" s="490"/>
      <c r="L1447" s="490"/>
      <c r="M1447" s="490"/>
      <c r="N1447" s="490"/>
      <c r="O1447" s="490"/>
      <c r="P1447" s="490" t="s">
        <v>5861</v>
      </c>
    </row>
    <row r="1448">
      <c r="A1448" s="490"/>
      <c r="B1448" s="490"/>
      <c r="C1448" s="490"/>
      <c r="D1448" s="490"/>
      <c r="E1448" s="593" t="str">
        <f>IFERROR(__xludf.DUMMYFUNCTION("""COMPUTED_VALUE"""),"HUAWEI")</f>
        <v>HUAWEI</v>
      </c>
      <c r="F1448" s="593" t="str">
        <f>IFERROR(__xludf.DUMMYFUNCTION("""COMPUTED_VALUE"""),"E160E")</f>
        <v>E160E</v>
      </c>
      <c r="G1448" s="490"/>
      <c r="H1448" s="490"/>
      <c r="I1448" s="490"/>
      <c r="J1448" s="588"/>
      <c r="K1448" s="490"/>
      <c r="L1448" s="490"/>
      <c r="M1448" s="490"/>
      <c r="N1448" s="490"/>
      <c r="O1448" s="490"/>
      <c r="P1448" s="490" t="s">
        <v>5864</v>
      </c>
    </row>
    <row r="1449">
      <c r="A1449" s="490"/>
      <c r="B1449" s="490"/>
      <c r="C1449" s="490"/>
      <c r="D1449" s="490"/>
      <c r="E1449" s="593" t="str">
        <f>IFERROR(__xludf.DUMMYFUNCTION("""COMPUTED_VALUE"""),"HUAWEI")</f>
        <v>HUAWEI</v>
      </c>
      <c r="F1449" s="593" t="str">
        <f>IFERROR(__xludf.DUMMYFUNCTION("""COMPUTED_VALUE"""),"E3372 PLUS")</f>
        <v>E3372 PLUS</v>
      </c>
      <c r="G1449" s="490"/>
      <c r="H1449" s="490"/>
      <c r="I1449" s="490"/>
      <c r="J1449" s="588"/>
      <c r="K1449" s="490"/>
      <c r="L1449" s="490"/>
      <c r="M1449" s="490"/>
      <c r="N1449" s="490"/>
      <c r="O1449" s="490"/>
      <c r="P1449" s="490" t="s">
        <v>3167</v>
      </c>
    </row>
    <row r="1450">
      <c r="A1450" s="490"/>
      <c r="B1450" s="490"/>
      <c r="C1450" s="490"/>
      <c r="D1450" s="490"/>
      <c r="E1450" s="593" t="str">
        <f>IFERROR(__xludf.DUMMYFUNCTION("""COMPUTED_VALUE"""),"HUAWEI")</f>
        <v>HUAWEI</v>
      </c>
      <c r="F1450" s="593" t="str">
        <f>IFERROR(__xludf.DUMMYFUNCTION("""COMPUTED_VALUE"""),"S1700-24GR")</f>
        <v>S1700-24GR</v>
      </c>
      <c r="G1450" s="490"/>
      <c r="H1450" s="490"/>
      <c r="I1450" s="490"/>
      <c r="J1450" s="588"/>
      <c r="K1450" s="490"/>
      <c r="L1450" s="490"/>
      <c r="M1450" s="490"/>
      <c r="N1450" s="490"/>
      <c r="O1450" s="490"/>
      <c r="P1450" s="490" t="s">
        <v>5867</v>
      </c>
    </row>
    <row r="1451">
      <c r="A1451" s="490"/>
      <c r="B1451" s="490"/>
      <c r="C1451" s="490"/>
      <c r="D1451" s="490"/>
      <c r="E1451" s="593" t="str">
        <f>IFERROR(__xludf.DUMMYFUNCTION("""COMPUTED_VALUE"""),"HUAWEI")</f>
        <v>HUAWEI</v>
      </c>
      <c r="F1451" s="593" t="str">
        <f>IFERROR(__xludf.DUMMYFUNCTION("""COMPUTED_VALUE"""),"ANDROID")</f>
        <v>ANDROID</v>
      </c>
      <c r="G1451" s="490"/>
      <c r="H1451" s="490"/>
      <c r="I1451" s="490"/>
      <c r="J1451" s="588"/>
      <c r="K1451" s="490"/>
      <c r="L1451" s="490"/>
      <c r="M1451" s="490"/>
      <c r="N1451" s="490"/>
      <c r="O1451" s="490"/>
      <c r="P1451" s="490" t="s">
        <v>5870</v>
      </c>
    </row>
    <row r="1452">
      <c r="A1452" s="490"/>
      <c r="B1452" s="490"/>
      <c r="C1452" s="490"/>
      <c r="D1452" s="490"/>
      <c r="E1452" s="593" t="str">
        <f>IFERROR(__xludf.DUMMYFUNCTION("""COMPUTED_VALUE"""),"HUAWEI")</f>
        <v>HUAWEI</v>
      </c>
      <c r="F1452" s="593" t="str">
        <f>IFERROR(__xludf.DUMMYFUNCTION("""COMPUTED_VALUE"""),"CMR-W09")</f>
        <v>CMR-W09</v>
      </c>
      <c r="G1452" s="490"/>
      <c r="H1452" s="490"/>
      <c r="I1452" s="490"/>
      <c r="J1452" s="588"/>
      <c r="K1452" s="490"/>
      <c r="L1452" s="490"/>
      <c r="M1452" s="490"/>
      <c r="N1452" s="490"/>
      <c r="O1452" s="490"/>
      <c r="P1452" s="490" t="s">
        <v>5873</v>
      </c>
    </row>
    <row r="1453">
      <c r="A1453" s="490"/>
      <c r="B1453" s="490"/>
      <c r="C1453" s="490"/>
      <c r="D1453" s="490"/>
      <c r="E1453" s="593" t="str">
        <f>IFERROR(__xludf.DUMMYFUNCTION("""COMPUTED_VALUE"""),"HUAWEI")</f>
        <v>HUAWEI</v>
      </c>
      <c r="F1453" s="593" t="str">
        <f>IFERROR(__xludf.DUMMYFUNCTION("""COMPUTED_VALUE"""),"N/A")</f>
        <v>N/A</v>
      </c>
      <c r="G1453" s="490"/>
      <c r="H1453" s="490"/>
      <c r="I1453" s="490"/>
      <c r="J1453" s="588"/>
      <c r="K1453" s="490"/>
      <c r="L1453" s="490"/>
      <c r="M1453" s="490"/>
      <c r="N1453" s="490"/>
      <c r="O1453" s="490"/>
      <c r="P1453" s="490" t="s">
        <v>5876</v>
      </c>
    </row>
    <row r="1454">
      <c r="A1454" s="490"/>
      <c r="B1454" s="490"/>
      <c r="C1454" s="490"/>
      <c r="D1454" s="490"/>
      <c r="E1454" s="593" t="str">
        <f>IFERROR(__xludf.DUMMYFUNCTION("""COMPUTED_VALUE"""),"HUAWEI")</f>
        <v>HUAWEI</v>
      </c>
      <c r="F1454" s="593" t="str">
        <f>IFERROR(__xludf.DUMMYFUNCTION("""COMPUTED_VALUE"""),"NEXUS 6P")</f>
        <v>NEXUS 6P</v>
      </c>
      <c r="G1454" s="490"/>
      <c r="H1454" s="490"/>
      <c r="I1454" s="490"/>
      <c r="J1454" s="588"/>
      <c r="K1454" s="490"/>
      <c r="L1454" s="490"/>
      <c r="M1454" s="490"/>
      <c r="N1454" s="490"/>
      <c r="O1454" s="490"/>
      <c r="P1454" s="490" t="s">
        <v>5879</v>
      </c>
    </row>
    <row r="1455">
      <c r="A1455" s="490"/>
      <c r="B1455" s="490"/>
      <c r="C1455" s="490"/>
      <c r="D1455" s="490"/>
      <c r="E1455" s="593" t="str">
        <f>IFERROR(__xludf.DUMMYFUNCTION("""COMPUTED_VALUE"""),"HUAWEI")</f>
        <v>HUAWEI</v>
      </c>
      <c r="F1455" s="593" t="str">
        <f>IFERROR(__xludf.DUMMYFUNCTION("""COMPUTED_VALUE"""),"E8372H-155")</f>
        <v>E8372H-155</v>
      </c>
      <c r="G1455" s="490"/>
      <c r="H1455" s="490"/>
      <c r="I1455" s="490"/>
      <c r="J1455" s="588"/>
      <c r="K1455" s="490"/>
      <c r="L1455" s="490"/>
      <c r="M1455" s="490"/>
      <c r="N1455" s="490"/>
      <c r="O1455" s="490"/>
      <c r="P1455" s="490" t="s">
        <v>5882</v>
      </c>
    </row>
    <row r="1456">
      <c r="A1456" s="490"/>
      <c r="B1456" s="490"/>
      <c r="C1456" s="490"/>
      <c r="D1456" s="490"/>
      <c r="E1456" s="593" t="str">
        <f>IFERROR(__xludf.DUMMYFUNCTION("""COMPUTED_VALUE"""),"HUAWEI")</f>
        <v>HUAWEI</v>
      </c>
      <c r="F1456" s="593" t="str">
        <f>IFERROR(__xludf.DUMMYFUNCTION("""COMPUTED_VALUE"""),"SMART PV CONTROLLER")</f>
        <v>SMART PV CONTROLLER</v>
      </c>
      <c r="G1456" s="490"/>
      <c r="H1456" s="490"/>
      <c r="I1456" s="490"/>
      <c r="J1456" s="588"/>
      <c r="K1456" s="490"/>
      <c r="L1456" s="490"/>
      <c r="M1456" s="490"/>
      <c r="N1456" s="490"/>
      <c r="O1456" s="490"/>
      <c r="P1456" s="490" t="s">
        <v>5885</v>
      </c>
    </row>
    <row r="1457">
      <c r="A1457" s="490"/>
      <c r="B1457" s="490"/>
      <c r="C1457" s="490"/>
      <c r="D1457" s="490"/>
      <c r="E1457" s="593" t="str">
        <f>IFERROR(__xludf.DUMMYFUNCTION("""COMPUTED_VALUE"""),"HUAWEI")</f>
        <v>HUAWEI</v>
      </c>
      <c r="F1457" s="593" t="str">
        <f>IFERROR(__xludf.DUMMYFUNCTION("""COMPUTED_VALUE"""),"MOBILE WI-FI E5383")</f>
        <v>MOBILE WI-FI E5383</v>
      </c>
      <c r="G1457" s="490"/>
      <c r="H1457" s="490"/>
      <c r="I1457" s="490"/>
      <c r="J1457" s="588"/>
      <c r="K1457" s="490"/>
      <c r="L1457" s="490"/>
      <c r="M1457" s="490"/>
      <c r="N1457" s="490"/>
      <c r="O1457" s="490"/>
      <c r="P1457" s="490" t="s">
        <v>5888</v>
      </c>
    </row>
    <row r="1458">
      <c r="A1458" s="490"/>
      <c r="B1458" s="490"/>
      <c r="C1458" s="490"/>
      <c r="D1458" s="490"/>
      <c r="E1458" s="593" t="str">
        <f>IFERROR(__xludf.DUMMYFUNCTION("""COMPUTED_VALUE"""),"HUNTER")</f>
        <v>HUNTER</v>
      </c>
      <c r="F1458" s="593" t="str">
        <f>IFERROR(__xludf.DUMMYFUNCTION("""COMPUTED_VALUE"""),"HC-100-FLOW")</f>
        <v>HC-100-FLOW</v>
      </c>
      <c r="G1458" s="490"/>
      <c r="H1458" s="490"/>
      <c r="I1458" s="490"/>
      <c r="J1458" s="588"/>
      <c r="K1458" s="490"/>
      <c r="L1458" s="490"/>
      <c r="M1458" s="490"/>
      <c r="N1458" s="490"/>
      <c r="O1458" s="490"/>
      <c r="P1458" s="490" t="s">
        <v>5890</v>
      </c>
    </row>
    <row r="1459">
      <c r="A1459" s="490"/>
      <c r="B1459" s="490"/>
      <c r="C1459" s="490"/>
      <c r="D1459" s="490"/>
      <c r="E1459" s="593" t="str">
        <f>IFERROR(__xludf.DUMMYFUNCTION("""COMPUTED_VALUE"""),"HUUBAP")</f>
        <v>HUUBAP</v>
      </c>
      <c r="F1459" s="593" t="str">
        <f>IFERROR(__xludf.DUMMYFUNCTION("""COMPUTED_VALUE"""),"Q10-KOT")</f>
        <v>Q10-KOT</v>
      </c>
      <c r="G1459" s="490"/>
      <c r="H1459" s="490"/>
      <c r="I1459" s="490"/>
      <c r="J1459" s="588"/>
      <c r="K1459" s="490"/>
      <c r="L1459" s="490"/>
      <c r="M1459" s="490"/>
      <c r="N1459" s="490"/>
      <c r="O1459" s="490"/>
      <c r="P1459" s="490" t="s">
        <v>5893</v>
      </c>
    </row>
    <row r="1460">
      <c r="A1460" s="490"/>
      <c r="B1460" s="490"/>
      <c r="C1460" s="490"/>
      <c r="D1460" s="490"/>
      <c r="E1460" s="593" t="str">
        <f>IFERROR(__xludf.DUMMYFUNCTION("""COMPUTED_VALUE"""),"HYDRELIS")</f>
        <v>HYDRELIS</v>
      </c>
      <c r="F1460" s="593" t="str">
        <f>IFERROR(__xludf.DUMMYFUNCTION("""COMPUTED_VALUE"""),"SWITCH-FLOW SWF 1.0")</f>
        <v>SWITCH-FLOW SWF 1.0</v>
      </c>
      <c r="G1460" s="490"/>
      <c r="H1460" s="490"/>
      <c r="I1460" s="490"/>
      <c r="J1460" s="588"/>
      <c r="K1460" s="490"/>
      <c r="L1460" s="490"/>
      <c r="M1460" s="490"/>
      <c r="N1460" s="490"/>
      <c r="O1460" s="490"/>
      <c r="P1460" s="490" t="s">
        <v>3170</v>
      </c>
    </row>
    <row r="1461">
      <c r="A1461" s="490"/>
      <c r="B1461" s="490"/>
      <c r="C1461" s="490"/>
      <c r="D1461" s="490"/>
      <c r="E1461" s="593" t="str">
        <f>IFERROR(__xludf.DUMMYFUNCTION("""COMPUTED_VALUE"""),"HYDROPOINT")</f>
        <v>HYDROPOINT</v>
      </c>
      <c r="F1461" s="593" t="str">
        <f>IFERROR(__xludf.DUMMYFUNCTION("""COMPUTED_VALUE"""),"ET PRO3")</f>
        <v>ET PRO3</v>
      </c>
      <c r="G1461" s="490"/>
      <c r="H1461" s="490"/>
      <c r="I1461" s="490"/>
      <c r="J1461" s="588"/>
      <c r="K1461" s="490"/>
      <c r="L1461" s="490"/>
      <c r="M1461" s="490"/>
      <c r="N1461" s="490"/>
      <c r="O1461" s="490"/>
      <c r="P1461" s="490" t="s">
        <v>5896</v>
      </c>
    </row>
    <row r="1462">
      <c r="A1462" s="490"/>
      <c r="B1462" s="490"/>
      <c r="C1462" s="490"/>
      <c r="D1462" s="490"/>
      <c r="E1462" s="593" t="str">
        <f>IFERROR(__xludf.DUMMYFUNCTION("""COMPUTED_VALUE"""),"HYDROPOINT")</f>
        <v>HYDROPOINT</v>
      </c>
      <c r="F1462" s="593" t="str">
        <f>IFERROR(__xludf.DUMMYFUNCTION("""COMPUTED_VALUE"""),"WEATHERTRAK ET PRO3")</f>
        <v>WEATHERTRAK ET PRO3</v>
      </c>
      <c r="G1462" s="490"/>
      <c r="H1462" s="490"/>
      <c r="I1462" s="490"/>
      <c r="J1462" s="588"/>
      <c r="K1462" s="490"/>
      <c r="L1462" s="490"/>
      <c r="M1462" s="490"/>
      <c r="N1462" s="490"/>
      <c r="O1462" s="490"/>
      <c r="P1462" s="490" t="s">
        <v>5898</v>
      </c>
    </row>
    <row r="1463">
      <c r="A1463" s="490"/>
      <c r="B1463" s="490"/>
      <c r="C1463" s="490"/>
      <c r="D1463" s="490"/>
      <c r="E1463" s="593" t="str">
        <f>IFERROR(__xludf.DUMMYFUNCTION("""COMPUTED_VALUE"""),"HYDROPOINT")</f>
        <v>HYDROPOINT</v>
      </c>
      <c r="F1463" s="593" t="str">
        <f>IFERROR(__xludf.DUMMYFUNCTION("""COMPUTED_VALUE"""),"WEATHERTRAK ET PRO3")</f>
        <v>WEATHERTRAK ET PRO3</v>
      </c>
      <c r="G1463" s="490"/>
      <c r="H1463" s="490"/>
      <c r="I1463" s="490"/>
      <c r="J1463" s="588"/>
      <c r="K1463" s="490"/>
      <c r="L1463" s="490"/>
      <c r="M1463" s="490"/>
      <c r="N1463" s="490"/>
      <c r="O1463" s="490"/>
      <c r="P1463" s="490" t="s">
        <v>5900</v>
      </c>
    </row>
    <row r="1464">
      <c r="A1464" s="490"/>
      <c r="B1464" s="490"/>
      <c r="C1464" s="490"/>
      <c r="D1464" s="490"/>
      <c r="E1464" s="593" t="str">
        <f>IFERROR(__xludf.DUMMYFUNCTION("""COMPUTED_VALUE"""),"HYDROPOINT")</f>
        <v>HYDROPOINT</v>
      </c>
      <c r="F1464" s="593" t="str">
        <f>IFERROR(__xludf.DUMMYFUNCTION("""COMPUTED_VALUE"""),"WEATHERTRAK LC+")</f>
        <v>WEATHERTRAK LC+</v>
      </c>
      <c r="G1464" s="490"/>
      <c r="H1464" s="490"/>
      <c r="I1464" s="490"/>
      <c r="J1464" s="588"/>
      <c r="K1464" s="490"/>
      <c r="L1464" s="490"/>
      <c r="M1464" s="490"/>
      <c r="N1464" s="490"/>
      <c r="O1464" s="490"/>
      <c r="P1464" s="490" t="s">
        <v>5903</v>
      </c>
    </row>
    <row r="1465">
      <c r="A1465" s="490"/>
      <c r="B1465" s="490"/>
      <c r="C1465" s="490"/>
      <c r="D1465" s="490"/>
      <c r="E1465" s="593" t="str">
        <f>IFERROR(__xludf.DUMMYFUNCTION("""COMPUTED_VALUE"""),"HYDROPOINT")</f>
        <v>HYDROPOINT</v>
      </c>
      <c r="F1465" s="593" t="str">
        <f>IFERROR(__xludf.DUMMYFUNCTION("""COMPUTED_VALUE"""),"WATERCOMPASS DATA")</f>
        <v>WATERCOMPASS DATA</v>
      </c>
      <c r="G1465" s="490"/>
      <c r="H1465" s="490"/>
      <c r="I1465" s="490"/>
      <c r="J1465" s="588"/>
      <c r="K1465" s="490"/>
      <c r="L1465" s="490"/>
      <c r="M1465" s="490"/>
      <c r="N1465" s="490"/>
      <c r="O1465" s="490"/>
      <c r="P1465" s="490" t="s">
        <v>5906</v>
      </c>
    </row>
    <row r="1466">
      <c r="A1466" s="490"/>
      <c r="B1466" s="490"/>
      <c r="C1466" s="490"/>
      <c r="D1466" s="490"/>
      <c r="E1466" s="593" t="str">
        <f>IFERROR(__xludf.DUMMYFUNCTION("""COMPUTED_VALUE"""),"HYDROW")</f>
        <v>HYDROW</v>
      </c>
      <c r="F1466" s="593" t="str">
        <f>IFERROR(__xludf.DUMMYFUNCTION("""COMPUTED_VALUE"""),"PRO ROWER")</f>
        <v>PRO ROWER</v>
      </c>
      <c r="G1466" s="490"/>
      <c r="H1466" s="490"/>
      <c r="I1466" s="490"/>
      <c r="J1466" s="588"/>
      <c r="K1466" s="490"/>
      <c r="L1466" s="490"/>
      <c r="M1466" s="490"/>
      <c r="N1466" s="490"/>
      <c r="O1466" s="490"/>
      <c r="P1466" s="490" t="s">
        <v>5909</v>
      </c>
    </row>
    <row r="1467">
      <c r="A1467" s="490"/>
      <c r="B1467" s="490"/>
      <c r="C1467" s="490"/>
      <c r="D1467" s="490"/>
      <c r="E1467" s="593" t="str">
        <f>IFERROR(__xludf.DUMMYFUNCTION("""COMPUTED_VALUE"""),"ICC")</f>
        <v>ICC</v>
      </c>
      <c r="F1467" s="593" t="str">
        <f>IFERROR(__xludf.DUMMYFUNCTION("""COMPUTED_VALUE"""),"MIRIUS")</f>
        <v>MIRIUS</v>
      </c>
      <c r="G1467" s="490"/>
      <c r="H1467" s="490"/>
      <c r="I1467" s="490"/>
      <c r="J1467" s="588"/>
      <c r="K1467" s="490"/>
      <c r="L1467" s="490"/>
      <c r="M1467" s="490"/>
      <c r="N1467" s="490"/>
      <c r="O1467" s="490"/>
      <c r="P1467" s="490" t="s">
        <v>5912</v>
      </c>
    </row>
    <row r="1468">
      <c r="A1468" s="490"/>
      <c r="B1468" s="490"/>
      <c r="C1468" s="490"/>
      <c r="D1468" s="490"/>
      <c r="E1468" s="593" t="str">
        <f>IFERROR(__xludf.DUMMYFUNCTION("""COMPUTED_VALUE"""),"ICP")</f>
        <v>ICP</v>
      </c>
      <c r="F1468" s="593" t="str">
        <f>IFERROR(__xludf.DUMMYFUNCTION("""COMPUTED_VALUE"""),"FEM4X6000BL")</f>
        <v>FEM4X6000BL</v>
      </c>
      <c r="G1468" s="490"/>
      <c r="H1468" s="490"/>
      <c r="I1468" s="490"/>
      <c r="J1468" s="588"/>
      <c r="K1468" s="490"/>
      <c r="L1468" s="490"/>
      <c r="M1468" s="490"/>
      <c r="N1468" s="490"/>
      <c r="O1468" s="490"/>
      <c r="P1468" s="490" t="s">
        <v>5915</v>
      </c>
    </row>
    <row r="1469">
      <c r="A1469" s="490"/>
      <c r="B1469" s="490"/>
      <c r="C1469" s="490"/>
      <c r="D1469" s="490"/>
      <c r="E1469" s="593" t="str">
        <f>IFERROR(__xludf.DUMMYFUNCTION("""COMPUTED_VALUE"""),"ICP DAS")</f>
        <v>ICP DAS</v>
      </c>
      <c r="F1469" s="593" t="str">
        <f>IFERROR(__xludf.DUMMYFUNCTION("""COMPUTED_VALUE"""),"NS-205")</f>
        <v>NS-205</v>
      </c>
      <c r="G1469" s="490"/>
      <c r="H1469" s="490"/>
      <c r="I1469" s="490"/>
      <c r="J1469" s="588"/>
      <c r="K1469" s="490"/>
      <c r="L1469" s="490"/>
      <c r="M1469" s="490"/>
      <c r="N1469" s="490"/>
      <c r="O1469" s="490"/>
      <c r="P1469" s="490" t="s">
        <v>5918</v>
      </c>
    </row>
    <row r="1470">
      <c r="A1470" s="490"/>
      <c r="B1470" s="490"/>
      <c r="C1470" s="490"/>
      <c r="D1470" s="490"/>
      <c r="E1470" s="593" t="str">
        <f>IFERROR(__xludf.DUMMYFUNCTION("""COMPUTED_VALUE"""),"ICP DAS")</f>
        <v>ICP DAS</v>
      </c>
      <c r="F1470" s="593" t="str">
        <f>IFERROR(__xludf.DUMMYFUNCTION("""COMPUTED_VALUE"""),"NS-208")</f>
        <v>NS-208</v>
      </c>
      <c r="G1470" s="490"/>
      <c r="H1470" s="490"/>
      <c r="I1470" s="490"/>
      <c r="J1470" s="588"/>
      <c r="K1470" s="490"/>
      <c r="L1470" s="490"/>
      <c r="M1470" s="490"/>
      <c r="N1470" s="490"/>
      <c r="O1470" s="490"/>
      <c r="P1470" s="490" t="s">
        <v>5921</v>
      </c>
    </row>
    <row r="1471">
      <c r="A1471" s="490"/>
      <c r="B1471" s="490"/>
      <c r="C1471" s="490"/>
      <c r="D1471" s="490"/>
      <c r="E1471" s="593" t="str">
        <f>IFERROR(__xludf.DUMMYFUNCTION("""COMPUTED_VALUE"""),"ICP DAS")</f>
        <v>ICP DAS</v>
      </c>
      <c r="F1471" s="593" t="str">
        <f>IFERROR(__xludf.DUMMYFUNCTION("""COMPUTED_VALUE"""),"NSM-216")</f>
        <v>NSM-216</v>
      </c>
      <c r="G1471" s="490"/>
      <c r="H1471" s="490"/>
      <c r="I1471" s="490"/>
      <c r="J1471" s="588"/>
      <c r="K1471" s="490"/>
      <c r="L1471" s="490"/>
      <c r="M1471" s="490"/>
      <c r="N1471" s="490"/>
      <c r="O1471" s="490"/>
      <c r="P1471" s="490" t="s">
        <v>3173</v>
      </c>
    </row>
    <row r="1472">
      <c r="A1472" s="490"/>
      <c r="B1472" s="490"/>
      <c r="C1472" s="490"/>
      <c r="D1472" s="490"/>
      <c r="E1472" s="593" t="str">
        <f>IFERROR(__xludf.DUMMYFUNCTION("""COMPUTED_VALUE"""),"ICP DAS")</f>
        <v>ICP DAS</v>
      </c>
      <c r="F1472" s="593" t="str">
        <f>IFERROR(__xludf.DUMMYFUNCTION("""COMPUTED_VALUE"""),"WISE-5231M-4GE")</f>
        <v>WISE-5231M-4GE</v>
      </c>
      <c r="G1472" s="490"/>
      <c r="H1472" s="490"/>
      <c r="I1472" s="490"/>
      <c r="J1472" s="588"/>
      <c r="K1472" s="490"/>
      <c r="L1472" s="490"/>
      <c r="M1472" s="490"/>
      <c r="N1472" s="490"/>
      <c r="O1472" s="490"/>
      <c r="P1472" s="490" t="s">
        <v>5924</v>
      </c>
    </row>
    <row r="1473">
      <c r="A1473" s="490"/>
      <c r="B1473" s="490"/>
      <c r="C1473" s="490"/>
      <c r="D1473" s="490"/>
      <c r="E1473" s="593" t="str">
        <f>IFERROR(__xludf.DUMMYFUNCTION("""COMPUTED_VALUE"""),"ICP DAS")</f>
        <v>ICP DAS</v>
      </c>
      <c r="F1473" s="593" t="str">
        <f>IFERROR(__xludf.DUMMYFUNCTION("""COMPUTED_VALUE"""),"GTP 541M")</f>
        <v>GTP 541M</v>
      </c>
      <c r="G1473" s="490"/>
      <c r="H1473" s="490"/>
      <c r="I1473" s="490"/>
      <c r="J1473" s="588"/>
      <c r="K1473" s="490"/>
      <c r="L1473" s="490"/>
      <c r="M1473" s="490"/>
      <c r="N1473" s="490"/>
      <c r="O1473" s="490"/>
      <c r="P1473" s="490" t="s">
        <v>5927</v>
      </c>
    </row>
    <row r="1474">
      <c r="A1474" s="490"/>
      <c r="B1474" s="490"/>
      <c r="C1474" s="490"/>
      <c r="D1474" s="490"/>
      <c r="E1474" s="593" t="str">
        <f>IFERROR(__xludf.DUMMYFUNCTION("""COMPUTED_VALUE"""),"IDEC")</f>
        <v>IDEC</v>
      </c>
      <c r="F1474" s="593" t="str">
        <f>IFERROR(__xludf.DUMMYFUNCTION("""COMPUTED_VALUE"""),"MICROSMART")</f>
        <v>MICROSMART</v>
      </c>
      <c r="G1474" s="490"/>
      <c r="H1474" s="490"/>
      <c r="I1474" s="490"/>
      <c r="J1474" s="588"/>
      <c r="K1474" s="490"/>
      <c r="L1474" s="490"/>
      <c r="M1474" s="490"/>
      <c r="N1474" s="490"/>
      <c r="O1474" s="490"/>
      <c r="P1474" s="490" t="s">
        <v>5930</v>
      </c>
    </row>
    <row r="1475">
      <c r="A1475" s="490"/>
      <c r="B1475" s="490"/>
      <c r="C1475" s="490"/>
      <c r="D1475" s="490"/>
      <c r="E1475" s="593" t="str">
        <f>IFERROR(__xludf.DUMMYFUNCTION("""COMPUTED_VALUE"""),"IIJ")</f>
        <v>IIJ</v>
      </c>
      <c r="F1475" s="593" t="str">
        <f>IFERROR(__xludf.DUMMYFUNCTION("""COMPUTED_VALUE"""),"SA-W2 SERVICE ADAPTOR")</f>
        <v>SA-W2 SERVICE ADAPTOR</v>
      </c>
      <c r="G1475" s="490"/>
      <c r="H1475" s="490"/>
      <c r="I1475" s="490"/>
      <c r="J1475" s="588"/>
      <c r="K1475" s="490"/>
      <c r="L1475" s="490"/>
      <c r="M1475" s="490"/>
      <c r="N1475" s="490"/>
      <c r="O1475" s="490"/>
      <c r="P1475" s="490" t="s">
        <v>5932</v>
      </c>
    </row>
    <row r="1476">
      <c r="A1476" s="490"/>
      <c r="B1476" s="490"/>
      <c r="C1476" s="490"/>
      <c r="D1476" s="490"/>
      <c r="E1476" s="593" t="str">
        <f>IFERROR(__xludf.DUMMYFUNCTION("""COMPUTED_VALUE"""),"IIPL/PLUGLIGHTING")</f>
        <v>IIPL/PLUGLIGHTING</v>
      </c>
      <c r="F1476" s="593" t="str">
        <f>IFERROR(__xludf.DUMMYFUNCTION("""COMPUTED_VALUE"""),"MIRA R")</f>
        <v>MIRA R</v>
      </c>
      <c r="G1476" s="490"/>
      <c r="H1476" s="490"/>
      <c r="I1476" s="490"/>
      <c r="J1476" s="588"/>
      <c r="K1476" s="490"/>
      <c r="L1476" s="490"/>
      <c r="M1476" s="490"/>
      <c r="N1476" s="490"/>
      <c r="O1476" s="490"/>
      <c r="P1476" s="490" t="s">
        <v>5935</v>
      </c>
    </row>
    <row r="1477">
      <c r="A1477" s="490"/>
      <c r="B1477" s="490"/>
      <c r="C1477" s="490"/>
      <c r="D1477" s="490"/>
      <c r="E1477" s="593" t="str">
        <f>IFERROR(__xludf.DUMMYFUNCTION("""COMPUTED_VALUE"""),"ILIGHT")</f>
        <v>ILIGHT</v>
      </c>
      <c r="F1477" s="593" t="str">
        <f>IFERROR(__xludf.DUMMYFUNCTION("""COMPUTED_VALUE"""),"EG-2 GATEWAY")</f>
        <v>EG-2 GATEWAY</v>
      </c>
      <c r="G1477" s="490"/>
      <c r="H1477" s="490"/>
      <c r="I1477" s="490"/>
      <c r="J1477" s="588"/>
      <c r="K1477" s="490"/>
      <c r="L1477" s="490"/>
      <c r="M1477" s="490"/>
      <c r="N1477" s="490"/>
      <c r="O1477" s="490"/>
      <c r="P1477" s="490" t="s">
        <v>5938</v>
      </c>
    </row>
    <row r="1478">
      <c r="A1478" s="490"/>
      <c r="B1478" s="490"/>
      <c r="C1478" s="490"/>
      <c r="D1478" s="490"/>
      <c r="E1478" s="593" t="str">
        <f>IFERROR(__xludf.DUMMYFUNCTION("""COMPUTED_VALUE"""),"IMI")</f>
        <v>IMI</v>
      </c>
      <c r="F1478" s="593" t="str">
        <f>IFERROR(__xludf.DUMMYFUNCTION("""COMPUTED_VALUE"""),"TA-SLIDER 160 MODBUS")</f>
        <v>TA-SLIDER 160 MODBUS</v>
      </c>
      <c r="G1478" s="490"/>
      <c r="H1478" s="490"/>
      <c r="I1478" s="490"/>
      <c r="J1478" s="588"/>
      <c r="K1478" s="490"/>
      <c r="L1478" s="490"/>
      <c r="M1478" s="490"/>
      <c r="N1478" s="490"/>
      <c r="O1478" s="490"/>
      <c r="P1478" s="490" t="s">
        <v>5941</v>
      </c>
    </row>
    <row r="1479">
      <c r="A1479" s="490"/>
      <c r="B1479" s="490"/>
      <c r="C1479" s="490"/>
      <c r="D1479" s="490"/>
      <c r="E1479" s="593" t="str">
        <f>IFERROR(__xludf.DUMMYFUNCTION("""COMPUTED_VALUE"""),"IMIN")</f>
        <v>IMIN</v>
      </c>
      <c r="F1479" s="593" t="str">
        <f>IFERROR(__xludf.DUMMYFUNCTION("""COMPUTED_VALUE"""),"D3-504")</f>
        <v>D3-504</v>
      </c>
      <c r="G1479" s="490"/>
      <c r="H1479" s="490"/>
      <c r="I1479" s="490"/>
      <c r="J1479" s="588"/>
      <c r="K1479" s="490"/>
      <c r="L1479" s="490"/>
      <c r="M1479" s="490"/>
      <c r="N1479" s="490"/>
      <c r="O1479" s="490"/>
      <c r="P1479" s="490" t="s">
        <v>5944</v>
      </c>
    </row>
    <row r="1480">
      <c r="A1480" s="490"/>
      <c r="B1480" s="490"/>
      <c r="C1480" s="490"/>
      <c r="D1480" s="490"/>
      <c r="E1480" s="593" t="str">
        <f>IFERROR(__xludf.DUMMYFUNCTION("""COMPUTED_VALUE"""),"INFILEX")</f>
        <v>INFILEX</v>
      </c>
      <c r="F1480" s="593" t="str">
        <f>IFERROR(__xludf.DUMMYFUNCTION("""COMPUTED_VALUE"""),"BCY44100M")</f>
        <v>BCY44100M</v>
      </c>
      <c r="G1480" s="490"/>
      <c r="H1480" s="490"/>
      <c r="I1480" s="490"/>
      <c r="J1480" s="588"/>
      <c r="K1480" s="490"/>
      <c r="L1480" s="490"/>
      <c r="M1480" s="490"/>
      <c r="N1480" s="490"/>
      <c r="O1480" s="490"/>
      <c r="P1480" s="490" t="s">
        <v>5947</v>
      </c>
    </row>
    <row r="1481">
      <c r="A1481" s="490"/>
      <c r="B1481" s="490"/>
      <c r="C1481" s="490"/>
      <c r="D1481" s="490"/>
      <c r="E1481" s="593" t="str">
        <f>IFERROR(__xludf.DUMMYFUNCTION("""COMPUTED_VALUE"""),"INFILEX")</f>
        <v>INFILEX</v>
      </c>
      <c r="F1481" s="593" t="str">
        <f>IFERROR(__xludf.DUMMYFUNCTION("""COMPUTED_VALUE"""),"BCY45301M")</f>
        <v>BCY45301M</v>
      </c>
      <c r="G1481" s="490"/>
      <c r="H1481" s="490"/>
      <c r="I1481" s="490"/>
      <c r="J1481" s="588"/>
      <c r="K1481" s="490"/>
      <c r="L1481" s="490"/>
      <c r="M1481" s="490"/>
      <c r="N1481" s="490"/>
      <c r="O1481" s="490"/>
      <c r="P1481" s="490" t="s">
        <v>5950</v>
      </c>
    </row>
    <row r="1482">
      <c r="A1482" s="490"/>
      <c r="B1482" s="490"/>
      <c r="C1482" s="490"/>
      <c r="D1482" s="490"/>
      <c r="E1482" s="593" t="str">
        <f>IFERROR(__xludf.DUMMYFUNCTION("""COMPUTED_VALUE"""),"INFOR")</f>
        <v>INFOR</v>
      </c>
      <c r="F1482" s="593" t="str">
        <f>IFERROR(__xludf.DUMMYFUNCTION("""COMPUTED_VALUE"""),"8200-SERIES")</f>
        <v>8200-SERIES</v>
      </c>
      <c r="G1482" s="490"/>
      <c r="H1482" s="490"/>
      <c r="I1482" s="490"/>
      <c r="J1482" s="588"/>
      <c r="K1482" s="490"/>
      <c r="L1482" s="490"/>
      <c r="M1482" s="490"/>
      <c r="N1482" s="490"/>
      <c r="O1482" s="490"/>
      <c r="P1482" s="490" t="s">
        <v>3176</v>
      </c>
    </row>
    <row r="1483">
      <c r="A1483" s="490"/>
      <c r="B1483" s="490"/>
      <c r="C1483" s="490"/>
      <c r="D1483" s="490"/>
      <c r="E1483" s="593" t="str">
        <f>IFERROR(__xludf.DUMMYFUNCTION("""COMPUTED_VALUE"""),"INGENICO")</f>
        <v>INGENICO</v>
      </c>
      <c r="F1483" s="593" t="str">
        <f>IFERROR(__xludf.DUMMYFUNCTION("""COMPUTED_VALUE"""),"IWL200")</f>
        <v>IWL200</v>
      </c>
      <c r="G1483" s="490"/>
      <c r="H1483" s="490"/>
      <c r="I1483" s="490"/>
      <c r="J1483" s="588"/>
      <c r="K1483" s="490"/>
      <c r="L1483" s="490"/>
      <c r="M1483" s="490"/>
      <c r="N1483" s="490"/>
      <c r="O1483" s="490"/>
      <c r="P1483" s="490" t="s">
        <v>5953</v>
      </c>
    </row>
    <row r="1484">
      <c r="A1484" s="490"/>
      <c r="B1484" s="490"/>
      <c r="C1484" s="490"/>
      <c r="D1484" s="490"/>
      <c r="E1484" s="593" t="str">
        <f>IFERROR(__xludf.DUMMYFUNCTION("""COMPUTED_VALUE"""),"INGENICO")</f>
        <v>INGENICO</v>
      </c>
      <c r="F1484" s="593" t="str">
        <f>IFERROR(__xludf.DUMMYFUNCTION("""COMPUTED_VALUE"""),"MOVE/2500")</f>
        <v>MOVE/2500</v>
      </c>
      <c r="G1484" s="490"/>
      <c r="H1484" s="490"/>
      <c r="I1484" s="490"/>
      <c r="J1484" s="588"/>
      <c r="K1484" s="490"/>
      <c r="L1484" s="490"/>
      <c r="M1484" s="490"/>
      <c r="N1484" s="490"/>
      <c r="O1484" s="490"/>
      <c r="P1484" s="490" t="s">
        <v>5956</v>
      </c>
    </row>
    <row r="1485">
      <c r="A1485" s="490"/>
      <c r="B1485" s="490"/>
      <c r="C1485" s="490"/>
      <c r="D1485" s="490"/>
      <c r="E1485" s="593" t="str">
        <f>IFERROR(__xludf.DUMMYFUNCTION("""COMPUTED_VALUE"""),"INITIATIVE ENG")</f>
        <v>INITIATIVE ENG</v>
      </c>
      <c r="F1485" s="593" t="str">
        <f>IFERROR(__xludf.DUMMYFUNCTION("""COMPUTED_VALUE"""),"CHILL MICRO")</f>
        <v>CHILL MICRO</v>
      </c>
      <c r="G1485" s="490"/>
      <c r="H1485" s="490"/>
      <c r="I1485" s="490"/>
      <c r="J1485" s="588"/>
      <c r="K1485" s="490"/>
      <c r="L1485" s="490"/>
      <c r="M1485" s="490"/>
      <c r="N1485" s="490"/>
      <c r="O1485" s="490"/>
      <c r="P1485" s="490" t="s">
        <v>5959</v>
      </c>
    </row>
    <row r="1486">
      <c r="A1486" s="490"/>
      <c r="B1486" s="490"/>
      <c r="C1486" s="490"/>
      <c r="D1486" s="490"/>
      <c r="E1486" s="593" t="str">
        <f>IFERROR(__xludf.DUMMYFUNCTION("""COMPUTED_VALUE"""),"INNOTECH")</f>
        <v>INNOTECH</v>
      </c>
      <c r="F1486" s="593" t="str">
        <f>IFERROR(__xludf.DUMMYFUNCTION("""COMPUTED_VALUE"""),"IG04 GATEWAY")</f>
        <v>IG04 GATEWAY</v>
      </c>
      <c r="G1486" s="490"/>
      <c r="H1486" s="490"/>
      <c r="I1486" s="490"/>
      <c r="J1486" s="588"/>
      <c r="K1486" s="490"/>
      <c r="L1486" s="490"/>
      <c r="M1486" s="490"/>
      <c r="N1486" s="490"/>
      <c r="O1486" s="490"/>
      <c r="P1486" s="490" t="s">
        <v>5962</v>
      </c>
    </row>
    <row r="1487">
      <c r="A1487" s="490"/>
      <c r="B1487" s="490"/>
      <c r="C1487" s="490"/>
      <c r="D1487" s="490"/>
      <c r="E1487" s="593" t="str">
        <f>IFERROR(__xludf.DUMMYFUNCTION("""COMPUTED_VALUE"""),"INNOTECH")</f>
        <v>INNOTECH</v>
      </c>
      <c r="F1487" s="593" t="str">
        <f>IFERROR(__xludf.DUMMYFUNCTION("""COMPUTED_VALUE"""),"OMNI VAISALA")</f>
        <v>OMNI VAISALA</v>
      </c>
      <c r="G1487" s="490"/>
      <c r="H1487" s="490"/>
      <c r="I1487" s="490"/>
      <c r="J1487" s="588"/>
      <c r="K1487" s="490"/>
      <c r="L1487" s="490"/>
      <c r="M1487" s="490"/>
      <c r="N1487" s="490"/>
      <c r="O1487" s="490"/>
      <c r="P1487" s="490" t="s">
        <v>5965</v>
      </c>
    </row>
    <row r="1488">
      <c r="A1488" s="490"/>
      <c r="B1488" s="490"/>
      <c r="C1488" s="490"/>
      <c r="D1488" s="490"/>
      <c r="E1488" s="593" t="str">
        <f>IFERROR(__xludf.DUMMYFUNCTION("""COMPUTED_VALUE"""),"INOSENT")</f>
        <v>INOSENT</v>
      </c>
      <c r="F1488" s="593" t="str">
        <f>IFERROR(__xludf.DUMMYFUNCTION("""COMPUTED_VALUE"""),"ULTIMATE")</f>
        <v>ULTIMATE</v>
      </c>
      <c r="G1488" s="490"/>
      <c r="H1488" s="490"/>
      <c r="I1488" s="490"/>
      <c r="J1488" s="588"/>
      <c r="K1488" s="490"/>
      <c r="L1488" s="490"/>
      <c r="M1488" s="490"/>
      <c r="N1488" s="490"/>
      <c r="O1488" s="490"/>
      <c r="P1488" s="490" t="s">
        <v>5968</v>
      </c>
    </row>
    <row r="1489">
      <c r="A1489" s="490"/>
      <c r="B1489" s="490"/>
      <c r="C1489" s="490"/>
      <c r="D1489" s="490"/>
      <c r="E1489" s="593" t="str">
        <f>IFERROR(__xludf.DUMMYFUNCTION("""COMPUTED_VALUE"""),"INOTEC")</f>
        <v>INOTEC</v>
      </c>
      <c r="F1489" s="593" t="str">
        <f>IFERROR(__xludf.DUMMYFUNCTION("""COMPUTED_VALUE"""),"520127")</f>
        <v>520127</v>
      </c>
      <c r="G1489" s="490"/>
      <c r="H1489" s="490"/>
      <c r="I1489" s="490"/>
      <c r="J1489" s="588"/>
      <c r="K1489" s="490"/>
      <c r="L1489" s="490"/>
      <c r="M1489" s="490"/>
      <c r="N1489" s="490"/>
      <c r="O1489" s="490"/>
      <c r="P1489" s="490" t="s">
        <v>5971</v>
      </c>
    </row>
    <row r="1490">
      <c r="A1490" s="490"/>
      <c r="B1490" s="490"/>
      <c r="C1490" s="490"/>
      <c r="D1490" s="490"/>
      <c r="E1490" s="593" t="str">
        <f>IFERROR(__xludf.DUMMYFUNCTION("""COMPUTED_VALUE"""),"INOTEC")</f>
        <v>INOTEC</v>
      </c>
      <c r="F1490" s="593" t="str">
        <f>IFERROR(__xludf.DUMMYFUNCTION("""COMPUTED_VALUE"""),"972100V")</f>
        <v>972100V</v>
      </c>
      <c r="G1490" s="490"/>
      <c r="H1490" s="490"/>
      <c r="I1490" s="490"/>
      <c r="J1490" s="588"/>
      <c r="K1490" s="490"/>
      <c r="L1490" s="490"/>
      <c r="M1490" s="490"/>
      <c r="N1490" s="490"/>
      <c r="O1490" s="490"/>
      <c r="P1490" s="490" t="s">
        <v>5974</v>
      </c>
    </row>
    <row r="1491">
      <c r="A1491" s="490"/>
      <c r="B1491" s="490"/>
      <c r="C1491" s="490"/>
      <c r="D1491" s="490"/>
      <c r="E1491" s="593" t="str">
        <f>IFERROR(__xludf.DUMMYFUNCTION("""COMPUTED_VALUE"""),"INOTEC")</f>
        <v>INOTEC</v>
      </c>
      <c r="F1491" s="593" t="str">
        <f>IFERROR(__xludf.DUMMYFUNCTION("""COMPUTED_VALUE"""),"CPS 220/64")</f>
        <v>CPS 220/64</v>
      </c>
      <c r="G1491" s="490"/>
      <c r="H1491" s="490"/>
      <c r="I1491" s="490"/>
      <c r="J1491" s="588"/>
      <c r="K1491" s="490"/>
      <c r="L1491" s="490"/>
      <c r="M1491" s="490"/>
      <c r="N1491" s="490"/>
      <c r="O1491" s="490"/>
      <c r="P1491" s="490" t="s">
        <v>5976</v>
      </c>
    </row>
    <row r="1492">
      <c r="A1492" s="490"/>
      <c r="B1492" s="490"/>
      <c r="C1492" s="490"/>
      <c r="D1492" s="490"/>
      <c r="E1492" s="593" t="str">
        <f>IFERROR(__xludf.DUMMYFUNCTION("""COMPUTED_VALUE"""),"INSTAGO")</f>
        <v>INSTAGO</v>
      </c>
      <c r="F1492" s="593" t="str">
        <f>IFERROR(__xludf.DUMMYFUNCTION("""COMPUTED_VALUE"""),"INF4C")</f>
        <v>INF4C</v>
      </c>
      <c r="G1492" s="490"/>
      <c r="H1492" s="490"/>
      <c r="I1492" s="490"/>
      <c r="J1492" s="588"/>
      <c r="K1492" s="490"/>
      <c r="L1492" s="490"/>
      <c r="M1492" s="490"/>
      <c r="N1492" s="490"/>
      <c r="O1492" s="490"/>
      <c r="P1492" s="490" t="s">
        <v>5979</v>
      </c>
    </row>
    <row r="1493">
      <c r="A1493" s="490"/>
      <c r="B1493" s="490"/>
      <c r="C1493" s="490"/>
      <c r="D1493" s="490"/>
      <c r="E1493" s="593" t="str">
        <f>IFERROR(__xludf.DUMMYFUNCTION("""COMPUTED_VALUE"""),"INSTAPIO")</f>
        <v>INSTAPIO</v>
      </c>
      <c r="F1493" s="593" t="str">
        <f>IFERROR(__xludf.DUMMYFUNCTION("""COMPUTED_VALUE"""),"SMART SENSOR")</f>
        <v>SMART SENSOR</v>
      </c>
      <c r="G1493" s="490"/>
      <c r="H1493" s="490"/>
      <c r="I1493" s="490"/>
      <c r="J1493" s="588"/>
      <c r="K1493" s="490"/>
      <c r="L1493" s="490"/>
      <c r="M1493" s="490"/>
      <c r="N1493" s="490"/>
      <c r="O1493" s="490"/>
      <c r="P1493" s="490" t="s">
        <v>3179</v>
      </c>
    </row>
    <row r="1494">
      <c r="A1494" s="490"/>
      <c r="B1494" s="490"/>
      <c r="C1494" s="490"/>
      <c r="D1494" s="490"/>
      <c r="E1494" s="593" t="str">
        <f>IFERROR(__xludf.DUMMYFUNCTION("""COMPUTED_VALUE"""),"INTEGRA")</f>
        <v>INTEGRA</v>
      </c>
      <c r="F1494" s="593" t="str">
        <f>IFERROR(__xludf.DUMMYFUNCTION("""COMPUTED_VALUE"""),"TOPAS SONIC")</f>
        <v>TOPAS SONIC</v>
      </c>
      <c r="G1494" s="490"/>
      <c r="H1494" s="490"/>
      <c r="I1494" s="490"/>
      <c r="J1494" s="588"/>
      <c r="K1494" s="490"/>
      <c r="L1494" s="490"/>
      <c r="M1494" s="490"/>
      <c r="N1494" s="490"/>
      <c r="O1494" s="490"/>
      <c r="P1494" s="490" t="s">
        <v>5982</v>
      </c>
    </row>
    <row r="1495">
      <c r="A1495" s="490"/>
      <c r="B1495" s="490"/>
      <c r="C1495" s="490"/>
      <c r="D1495" s="490"/>
      <c r="E1495" s="593" t="str">
        <f>IFERROR(__xludf.DUMMYFUNCTION("""COMPUTED_VALUE"""),"INTEL")</f>
        <v>INTEL</v>
      </c>
      <c r="F1495" s="593" t="str">
        <f>IFERROR(__xludf.DUMMYFUNCTION("""COMPUTED_VALUE"""),"DCCP847DYE")</f>
        <v>DCCP847DYE</v>
      </c>
      <c r="G1495" s="490"/>
      <c r="H1495" s="490"/>
      <c r="I1495" s="490"/>
      <c r="J1495" s="588"/>
      <c r="K1495" s="490"/>
      <c r="L1495" s="490"/>
      <c r="M1495" s="490"/>
      <c r="N1495" s="490"/>
      <c r="O1495" s="490"/>
      <c r="P1495" s="490" t="s">
        <v>5985</v>
      </c>
    </row>
    <row r="1496">
      <c r="A1496" s="490"/>
      <c r="B1496" s="490"/>
      <c r="C1496" s="490"/>
      <c r="D1496" s="490"/>
      <c r="E1496" s="593" t="str">
        <f>IFERROR(__xludf.DUMMYFUNCTION("""COMPUTED_VALUE"""),"INTEL")</f>
        <v>INTEL</v>
      </c>
      <c r="F1496" s="593" t="str">
        <f>IFERROR(__xludf.DUMMYFUNCTION("""COMPUTED_VALUE""")," NUC")</f>
        <v> NUC</v>
      </c>
      <c r="G1496" s="490"/>
      <c r="H1496" s="490"/>
      <c r="I1496" s="490"/>
      <c r="J1496" s="588"/>
      <c r="K1496" s="490"/>
      <c r="L1496" s="490"/>
      <c r="M1496" s="490"/>
      <c r="N1496" s="490"/>
      <c r="O1496" s="490"/>
      <c r="P1496" s="490" t="s">
        <v>5988</v>
      </c>
    </row>
    <row r="1497">
      <c r="A1497" s="490"/>
      <c r="B1497" s="490"/>
      <c r="C1497" s="490"/>
      <c r="D1497" s="490"/>
      <c r="E1497" s="593" t="str">
        <f>IFERROR(__xludf.DUMMYFUNCTION("""COMPUTED_VALUE"""),"INTEL")</f>
        <v>INTEL</v>
      </c>
      <c r="F1497" s="593" t="str">
        <f>IFERROR(__xludf.DUMMYFUNCTION("""COMPUTED_VALUE"""),"NUC")</f>
        <v>NUC</v>
      </c>
      <c r="G1497" s="490"/>
      <c r="H1497" s="490"/>
      <c r="I1497" s="490"/>
      <c r="J1497" s="588"/>
      <c r="K1497" s="490"/>
      <c r="L1497" s="490"/>
      <c r="M1497" s="490"/>
      <c r="N1497" s="490"/>
      <c r="O1497" s="490"/>
      <c r="P1497" s="490" t="s">
        <v>5991</v>
      </c>
    </row>
    <row r="1498">
      <c r="A1498" s="490"/>
      <c r="B1498" s="490"/>
      <c r="C1498" s="490"/>
      <c r="D1498" s="490"/>
      <c r="E1498" s="593" t="str">
        <f>IFERROR(__xludf.DUMMYFUNCTION("""COMPUTED_VALUE"""),"INTEL")</f>
        <v>INTEL</v>
      </c>
      <c r="F1498" s="593" t="str">
        <f>IFERROR(__xludf.DUMMYFUNCTION("""COMPUTED_VALUE"""),"NUC MINI PC")</f>
        <v>NUC MINI PC</v>
      </c>
      <c r="G1498" s="490"/>
      <c r="H1498" s="490"/>
      <c r="I1498" s="490"/>
      <c r="J1498" s="588"/>
      <c r="K1498" s="490"/>
      <c r="L1498" s="490"/>
      <c r="M1498" s="490"/>
      <c r="N1498" s="490"/>
      <c r="O1498" s="490"/>
      <c r="P1498" s="490" t="s">
        <v>5994</v>
      </c>
    </row>
    <row r="1499">
      <c r="A1499" s="490"/>
      <c r="B1499" s="490"/>
      <c r="C1499" s="490"/>
      <c r="D1499" s="490"/>
      <c r="E1499" s="593" t="str">
        <f>IFERROR(__xludf.DUMMYFUNCTION("""COMPUTED_VALUE"""),"INTEL")</f>
        <v>INTEL</v>
      </c>
      <c r="F1499" s="593" t="str">
        <f>IFERROR(__xludf.DUMMYFUNCTION("""COMPUTED_VALUE"""),"NUC5CPYH")</f>
        <v>NUC5CPYH</v>
      </c>
      <c r="G1499" s="490"/>
      <c r="H1499" s="490"/>
      <c r="I1499" s="490"/>
      <c r="J1499" s="588"/>
      <c r="K1499" s="490"/>
      <c r="L1499" s="490"/>
      <c r="M1499" s="490"/>
      <c r="N1499" s="490"/>
      <c r="O1499" s="490"/>
      <c r="P1499" s="490" t="s">
        <v>5997</v>
      </c>
    </row>
    <row r="1500">
      <c r="A1500" s="490"/>
      <c r="B1500" s="490"/>
      <c r="C1500" s="490"/>
      <c r="D1500" s="490"/>
      <c r="E1500" s="593" t="str">
        <f>IFERROR(__xludf.DUMMYFUNCTION("""COMPUTED_VALUE"""),"INTEL")</f>
        <v>INTEL</v>
      </c>
      <c r="F1500" s="593" t="str">
        <f>IFERROR(__xludf.DUMMYFUNCTION("""COMPUTED_VALUE"""),"NUC5CPYH")</f>
        <v>NUC5CPYH</v>
      </c>
      <c r="G1500" s="490"/>
      <c r="H1500" s="490"/>
      <c r="I1500" s="490"/>
      <c r="J1500" s="588"/>
      <c r="K1500" s="490"/>
      <c r="L1500" s="490"/>
      <c r="M1500" s="490"/>
      <c r="N1500" s="490"/>
      <c r="O1500" s="490"/>
      <c r="P1500" s="490" t="s">
        <v>6000</v>
      </c>
    </row>
    <row r="1501">
      <c r="A1501" s="490"/>
      <c r="B1501" s="490"/>
      <c r="C1501" s="490"/>
      <c r="D1501" s="490"/>
      <c r="E1501" s="593" t="str">
        <f>IFERROR(__xludf.DUMMYFUNCTION("""COMPUTED_VALUE"""),"INTEL")</f>
        <v>INTEL</v>
      </c>
      <c r="F1501" s="593" t="str">
        <f>IFERROR(__xludf.DUMMYFUNCTION("""COMPUTED_VALUE"""),"NUC6I3SYH")</f>
        <v>NUC6I3SYH</v>
      </c>
      <c r="G1501" s="490"/>
      <c r="H1501" s="490"/>
      <c r="I1501" s="490"/>
      <c r="J1501" s="588"/>
      <c r="K1501" s="490"/>
      <c r="L1501" s="490"/>
      <c r="M1501" s="490"/>
      <c r="N1501" s="490"/>
      <c r="O1501" s="490"/>
      <c r="P1501" s="490" t="s">
        <v>6003</v>
      </c>
    </row>
    <row r="1502">
      <c r="A1502" s="490"/>
      <c r="B1502" s="490"/>
      <c r="C1502" s="490"/>
      <c r="D1502" s="490"/>
      <c r="E1502" s="593" t="str">
        <f>IFERROR(__xludf.DUMMYFUNCTION("""COMPUTED_VALUE"""),"INTEL")</f>
        <v>INTEL</v>
      </c>
      <c r="F1502" s="593" t="str">
        <f>IFERROR(__xludf.DUMMYFUNCTION("""COMPUTED_VALUE"""),"NUC10")</f>
        <v>NUC10</v>
      </c>
      <c r="G1502" s="490"/>
      <c r="H1502" s="490"/>
      <c r="I1502" s="490"/>
      <c r="J1502" s="588"/>
      <c r="K1502" s="490"/>
      <c r="L1502" s="490"/>
      <c r="M1502" s="490"/>
      <c r="N1502" s="490"/>
      <c r="O1502" s="490"/>
      <c r="P1502" s="490" t="s">
        <v>6006</v>
      </c>
    </row>
    <row r="1503">
      <c r="A1503" s="490"/>
      <c r="B1503" s="490"/>
      <c r="C1503" s="490"/>
      <c r="D1503" s="490"/>
      <c r="E1503" s="593" t="str">
        <f>IFERROR(__xludf.DUMMYFUNCTION("""COMPUTED_VALUE"""),"INTEL")</f>
        <v>INTEL</v>
      </c>
      <c r="F1503" s="593" t="str">
        <f>IFERROR(__xludf.DUMMYFUNCTION("""COMPUTED_VALUE"""),"NUC10")</f>
        <v>NUC10</v>
      </c>
      <c r="G1503" s="490"/>
      <c r="H1503" s="490"/>
      <c r="I1503" s="490"/>
      <c r="J1503" s="588"/>
      <c r="K1503" s="490"/>
      <c r="L1503" s="490"/>
      <c r="M1503" s="490"/>
      <c r="N1503" s="490"/>
      <c r="O1503" s="490"/>
      <c r="P1503" s="490" t="s">
        <v>6009</v>
      </c>
    </row>
    <row r="1504">
      <c r="A1504" s="490"/>
      <c r="B1504" s="490"/>
      <c r="C1504" s="490"/>
      <c r="D1504" s="490"/>
      <c r="E1504" s="593" t="str">
        <f>IFERROR(__xludf.DUMMYFUNCTION("""COMPUTED_VALUE"""),"INTEL")</f>
        <v>INTEL</v>
      </c>
      <c r="F1504" s="593" t="str">
        <f>IFERROR(__xludf.DUMMYFUNCTION("""COMPUTED_VALUE"""),"NUC10")</f>
        <v>NUC10</v>
      </c>
      <c r="G1504" s="490"/>
      <c r="H1504" s="490"/>
      <c r="I1504" s="490"/>
      <c r="J1504" s="588"/>
      <c r="K1504" s="490"/>
      <c r="L1504" s="490"/>
      <c r="M1504" s="490"/>
      <c r="N1504" s="490"/>
      <c r="O1504" s="490"/>
      <c r="P1504" s="490" t="s">
        <v>3182</v>
      </c>
    </row>
    <row r="1505">
      <c r="A1505" s="490"/>
      <c r="B1505" s="490"/>
      <c r="C1505" s="490"/>
      <c r="D1505" s="490"/>
      <c r="E1505" s="593" t="str">
        <f>IFERROR(__xludf.DUMMYFUNCTION("""COMPUTED_VALUE"""),"INTEL")</f>
        <v>INTEL</v>
      </c>
      <c r="F1505" s="593" t="str">
        <f>IFERROR(__xludf.DUMMYFUNCTION("""COMPUTED_VALUE"""),"I7-10700K WITH B460M-HDV")</f>
        <v>I7-10700K WITH B460M-HDV</v>
      </c>
      <c r="G1505" s="490"/>
      <c r="H1505" s="490"/>
      <c r="I1505" s="490"/>
      <c r="J1505" s="588"/>
      <c r="K1505" s="490"/>
      <c r="L1505" s="490"/>
      <c r="M1505" s="490"/>
      <c r="N1505" s="490"/>
      <c r="O1505" s="490"/>
      <c r="P1505" s="490" t="s">
        <v>6012</v>
      </c>
    </row>
    <row r="1506">
      <c r="A1506" s="490"/>
      <c r="B1506" s="490"/>
      <c r="C1506" s="490"/>
      <c r="D1506" s="490"/>
      <c r="E1506" s="593" t="str">
        <f>IFERROR(__xludf.DUMMYFUNCTION("""COMPUTED_VALUE"""),"INTELBRAS")</f>
        <v>INTELBRAS</v>
      </c>
      <c r="F1506" s="593" t="str">
        <f>IFERROR(__xludf.DUMMYFUNCTION("""COMPUTED_VALUE"""),"SF 800 Q+")</f>
        <v>SF 800 Q+</v>
      </c>
      <c r="G1506" s="490"/>
      <c r="H1506" s="490"/>
      <c r="I1506" s="490"/>
      <c r="J1506" s="588"/>
      <c r="K1506" s="490"/>
      <c r="L1506" s="490"/>
      <c r="M1506" s="490"/>
      <c r="N1506" s="490"/>
      <c r="O1506" s="490"/>
      <c r="P1506" s="490" t="s">
        <v>6015</v>
      </c>
    </row>
    <row r="1507">
      <c r="A1507" s="490"/>
      <c r="B1507" s="490"/>
      <c r="C1507" s="490"/>
      <c r="D1507" s="490"/>
      <c r="E1507" s="593" t="str">
        <f>IFERROR(__xludf.DUMMYFUNCTION("""COMPUTED_VALUE"""),"INTELLIHOOD")</f>
        <v>INTELLIHOOD</v>
      </c>
      <c r="F1507" s="593" t="str">
        <f>IFERROR(__xludf.DUMMYFUNCTION("""COMPUTED_VALUE"""),"INTELLIHOOD 3")</f>
        <v>INTELLIHOOD 3</v>
      </c>
      <c r="G1507" s="490"/>
      <c r="H1507" s="490"/>
      <c r="I1507" s="490"/>
      <c r="J1507" s="588"/>
      <c r="K1507" s="490"/>
      <c r="L1507" s="490"/>
      <c r="M1507" s="490"/>
      <c r="N1507" s="490"/>
      <c r="O1507" s="490"/>
      <c r="P1507" s="490" t="s">
        <v>6018</v>
      </c>
    </row>
    <row r="1508">
      <c r="A1508" s="490"/>
      <c r="B1508" s="490"/>
      <c r="C1508" s="490"/>
      <c r="D1508" s="490"/>
      <c r="E1508" s="593" t="str">
        <f>IFERROR(__xludf.DUMMYFUNCTION("""COMPUTED_VALUE"""),"INTELLIHOOD")</f>
        <v>INTELLIHOOD</v>
      </c>
      <c r="F1508" s="593" t="str">
        <f>IFERROR(__xludf.DUMMYFUNCTION("""COMPUTED_VALUE"""),"SC")</f>
        <v>SC</v>
      </c>
      <c r="G1508" s="490"/>
      <c r="H1508" s="490"/>
      <c r="I1508" s="490"/>
      <c r="J1508" s="588"/>
      <c r="K1508" s="490"/>
      <c r="L1508" s="490"/>
      <c r="M1508" s="490"/>
      <c r="N1508" s="490"/>
      <c r="O1508" s="490"/>
      <c r="P1508" s="490" t="s">
        <v>6021</v>
      </c>
    </row>
    <row r="1509">
      <c r="A1509" s="490"/>
      <c r="B1509" s="490"/>
      <c r="C1509" s="490"/>
      <c r="D1509" s="490"/>
      <c r="E1509" s="593" t="str">
        <f>IFERROR(__xludf.DUMMYFUNCTION("""COMPUTED_VALUE"""),"INTERRA")</f>
        <v>INTERRA</v>
      </c>
      <c r="F1509" s="593" t="str">
        <f>IFERROR(__xludf.DUMMYFUNCTION("""COMPUTED_VALUE"""),"ITR110-0104")</f>
        <v>ITR110-0104</v>
      </c>
      <c r="G1509" s="490"/>
      <c r="H1509" s="490"/>
      <c r="I1509" s="490"/>
      <c r="J1509" s="588"/>
      <c r="K1509" s="490"/>
      <c r="L1509" s="490"/>
      <c r="M1509" s="490"/>
      <c r="N1509" s="490"/>
      <c r="O1509" s="490"/>
      <c r="P1509" s="490" t="s">
        <v>6024</v>
      </c>
    </row>
    <row r="1510">
      <c r="A1510" s="490"/>
      <c r="B1510" s="490"/>
      <c r="C1510" s="490"/>
      <c r="D1510" s="490"/>
      <c r="E1510" s="593" t="str">
        <f>IFERROR(__xludf.DUMMYFUNCTION("""COMPUTED_VALUE"""),"INTERRA")</f>
        <v>INTERRA</v>
      </c>
      <c r="F1510" s="593" t="str">
        <f>IFERROR(__xludf.DUMMYFUNCTION("""COMPUTED_VALUE"""),"ITR110-0104")</f>
        <v>ITR110-0104</v>
      </c>
      <c r="G1510" s="490"/>
      <c r="H1510" s="490"/>
      <c r="I1510" s="490"/>
      <c r="J1510" s="588"/>
      <c r="K1510" s="490"/>
      <c r="L1510" s="490"/>
      <c r="M1510" s="490"/>
      <c r="N1510" s="490"/>
      <c r="O1510" s="490"/>
      <c r="P1510" s="490" t="s">
        <v>6027</v>
      </c>
    </row>
    <row r="1511">
      <c r="A1511" s="490"/>
      <c r="B1511" s="490"/>
      <c r="C1511" s="490"/>
      <c r="D1511" s="490"/>
      <c r="E1511" s="593" t="str">
        <f>IFERROR(__xludf.DUMMYFUNCTION("""COMPUTED_VALUE"""),"INTESIS")</f>
        <v>INTESIS</v>
      </c>
      <c r="F1511" s="593" t="str">
        <f>IFERROR(__xludf.DUMMYFUNCTION("""COMPUTED_VALUE"""),"INBACACA004I000")</f>
        <v>INBACACA004I000</v>
      </c>
      <c r="G1511" s="490"/>
      <c r="H1511" s="490"/>
      <c r="I1511" s="490"/>
      <c r="J1511" s="588"/>
      <c r="K1511" s="490"/>
      <c r="L1511" s="490"/>
      <c r="M1511" s="490"/>
      <c r="N1511" s="490"/>
      <c r="O1511" s="490"/>
      <c r="P1511" s="490" t="s">
        <v>6030</v>
      </c>
    </row>
    <row r="1512">
      <c r="A1512" s="490"/>
      <c r="B1512" s="490"/>
      <c r="C1512" s="490"/>
      <c r="D1512" s="490"/>
      <c r="E1512" s="593" t="str">
        <f>IFERROR(__xludf.DUMMYFUNCTION("""COMPUTED_VALUE"""),"IOGEAR")</f>
        <v>IOGEAR</v>
      </c>
      <c r="F1512" s="593" t="str">
        <f>IFERROR(__xludf.DUMMYFUNCTION("""COMPUTED_VALUE"""),"GWU27")</f>
        <v>GWU27</v>
      </c>
      <c r="G1512" s="490"/>
      <c r="H1512" s="490"/>
      <c r="I1512" s="490"/>
      <c r="J1512" s="588"/>
      <c r="K1512" s="490"/>
      <c r="L1512" s="490"/>
      <c r="M1512" s="490"/>
      <c r="N1512" s="490"/>
      <c r="O1512" s="490"/>
      <c r="P1512" s="490" t="s">
        <v>6033</v>
      </c>
    </row>
    <row r="1513">
      <c r="A1513" s="490"/>
      <c r="B1513" s="490"/>
      <c r="C1513" s="490"/>
      <c r="D1513" s="490"/>
      <c r="E1513" s="593" t="str">
        <f>IFERROR(__xludf.DUMMYFUNCTION("""COMPUTED_VALUE"""),"IOGEAR")</f>
        <v>IOGEAR</v>
      </c>
      <c r="F1513" s="593" t="str">
        <f>IFERROR(__xludf.DUMMYFUNCTION("""COMPUTED_VALUE"""),"GWU627")</f>
        <v>GWU627</v>
      </c>
      <c r="G1513" s="490"/>
      <c r="H1513" s="490"/>
      <c r="I1513" s="490"/>
      <c r="J1513" s="588"/>
      <c r="K1513" s="490"/>
      <c r="L1513" s="490"/>
      <c r="M1513" s="490"/>
      <c r="N1513" s="490"/>
      <c r="O1513" s="490"/>
      <c r="P1513" s="490" t="s">
        <v>6036</v>
      </c>
    </row>
    <row r="1514">
      <c r="A1514" s="490"/>
      <c r="B1514" s="490"/>
      <c r="C1514" s="490"/>
      <c r="D1514" s="490"/>
      <c r="E1514" s="593" t="str">
        <f>IFERROR(__xludf.DUMMYFUNCTION("""COMPUTED_VALUE"""),"IONAIR")</f>
        <v>IONAIR</v>
      </c>
      <c r="F1514" s="593" t="str">
        <f>IFERROR(__xludf.DUMMYFUNCTION("""COMPUTED_VALUE"""),"VERITASNET")</f>
        <v>VERITASNET</v>
      </c>
      <c r="G1514" s="490"/>
      <c r="H1514" s="490"/>
      <c r="I1514" s="490"/>
      <c r="J1514" s="588"/>
      <c r="K1514" s="490"/>
      <c r="L1514" s="490"/>
      <c r="M1514" s="490"/>
      <c r="N1514" s="490"/>
      <c r="O1514" s="490"/>
      <c r="P1514" s="490" t="s">
        <v>6039</v>
      </c>
    </row>
    <row r="1515">
      <c r="A1515" s="490"/>
      <c r="B1515" s="490"/>
      <c r="C1515" s="490"/>
      <c r="D1515" s="490"/>
      <c r="E1515" s="593" t="str">
        <f>IFERROR(__xludf.DUMMYFUNCTION("""COMPUTED_VALUE"""),"IOVENT")</f>
        <v>IOVENT</v>
      </c>
      <c r="F1515" s="593" t="str">
        <f>IFERROR(__xludf.DUMMYFUNCTION("""COMPUTED_VALUE"""),"CONTROLLER BASIC")</f>
        <v>CONTROLLER BASIC</v>
      </c>
      <c r="G1515" s="490"/>
      <c r="H1515" s="490"/>
      <c r="I1515" s="490"/>
      <c r="J1515" s="588"/>
      <c r="K1515" s="490"/>
      <c r="L1515" s="490"/>
      <c r="M1515" s="490"/>
      <c r="N1515" s="490"/>
      <c r="O1515" s="490"/>
      <c r="P1515" s="490" t="s">
        <v>3185</v>
      </c>
    </row>
    <row r="1516">
      <c r="A1516" s="490"/>
      <c r="B1516" s="490"/>
      <c r="C1516" s="490"/>
      <c r="D1516" s="490"/>
      <c r="E1516" s="593" t="str">
        <f>IFERROR(__xludf.DUMMYFUNCTION("""COMPUTED_VALUE"""),"IRINOX")</f>
        <v>IRINOX</v>
      </c>
      <c r="F1516" s="593" t="str">
        <f>IFERROR(__xludf.DUMMYFUNCTION("""COMPUTED_VALUE"""),"MULTIFRESH NEXT")</f>
        <v>MULTIFRESH NEXT</v>
      </c>
      <c r="G1516" s="490"/>
      <c r="H1516" s="490"/>
      <c r="I1516" s="490"/>
      <c r="J1516" s="588"/>
      <c r="K1516" s="490"/>
      <c r="L1516" s="490"/>
      <c r="M1516" s="490"/>
      <c r="N1516" s="490"/>
      <c r="O1516" s="490"/>
      <c r="P1516" s="490" t="s">
        <v>6042</v>
      </c>
    </row>
    <row r="1517">
      <c r="A1517" s="490"/>
      <c r="B1517" s="490"/>
      <c r="C1517" s="490"/>
      <c r="D1517" s="490"/>
      <c r="E1517" s="593" t="str">
        <f>IFERROR(__xludf.DUMMYFUNCTION("""COMPUTED_VALUE"""),"ISMA")</f>
        <v>ISMA</v>
      </c>
      <c r="F1517" s="593" t="str">
        <f>IFERROR(__xludf.DUMMYFUNCTION("""COMPUTED_VALUE"""),"B-8I-IP")</f>
        <v>B-8I-IP</v>
      </c>
      <c r="G1517" s="490"/>
      <c r="H1517" s="490"/>
      <c r="I1517" s="490"/>
      <c r="J1517" s="588"/>
      <c r="K1517" s="490"/>
      <c r="L1517" s="490"/>
      <c r="M1517" s="490"/>
      <c r="N1517" s="490"/>
      <c r="O1517" s="490"/>
      <c r="P1517" s="490" t="s">
        <v>6045</v>
      </c>
    </row>
    <row r="1518">
      <c r="A1518" s="490"/>
      <c r="B1518" s="490"/>
      <c r="C1518" s="490"/>
      <c r="D1518" s="490"/>
      <c r="E1518" s="593" t="str">
        <f>IFERROR(__xludf.DUMMYFUNCTION("""COMPUTED_VALUE"""),"ITD FOOD SAFETY")</f>
        <v>ITD FOOD SAFETY</v>
      </c>
      <c r="F1518" s="593" t="str">
        <f>IFERROR(__xludf.DUMMYFUNCTION("""COMPUTED_VALUE"""),"FA2-CD-C1")</f>
        <v>FA2-CD-C1</v>
      </c>
      <c r="G1518" s="490"/>
      <c r="H1518" s="490"/>
      <c r="I1518" s="490"/>
      <c r="J1518" s="588"/>
      <c r="K1518" s="490"/>
      <c r="L1518" s="490"/>
      <c r="M1518" s="490"/>
      <c r="N1518" s="490"/>
      <c r="O1518" s="490"/>
      <c r="P1518" s="490" t="s">
        <v>6048</v>
      </c>
    </row>
    <row r="1519">
      <c r="A1519" s="490"/>
      <c r="B1519" s="490"/>
      <c r="C1519" s="490"/>
      <c r="D1519" s="490"/>
      <c r="E1519" s="593" t="str">
        <f>IFERROR(__xludf.DUMMYFUNCTION("""COMPUTED_VALUE"""),"ITD FOOD SAFETY")</f>
        <v>ITD FOOD SAFETY</v>
      </c>
      <c r="F1519" s="593" t="str">
        <f>IFERROR(__xludf.DUMMYFUNCTION("""COMPUTED_VALUE"""),"WTC-1-C1")</f>
        <v>WTC-1-C1</v>
      </c>
      <c r="G1519" s="490"/>
      <c r="H1519" s="490"/>
      <c r="I1519" s="490"/>
      <c r="J1519" s="588"/>
      <c r="K1519" s="490"/>
      <c r="L1519" s="490"/>
      <c r="M1519" s="490"/>
      <c r="N1519" s="490"/>
      <c r="O1519" s="490"/>
      <c r="P1519" s="490" t="s">
        <v>6051</v>
      </c>
    </row>
    <row r="1520">
      <c r="A1520" s="490"/>
      <c r="B1520" s="490"/>
      <c r="C1520" s="490"/>
      <c r="D1520" s="490"/>
      <c r="E1520" s="593" t="str">
        <f>IFERROR(__xludf.DUMMYFUNCTION("""COMPUTED_VALUE"""),"ITD FOOD SAFETY")</f>
        <v>ITD FOOD SAFETY</v>
      </c>
      <c r="F1520" s="593" t="str">
        <f>IFERROR(__xludf.DUMMYFUNCTION("""COMPUTED_VALUE"""),"PREP-PAL WALL STATION")</f>
        <v>PREP-PAL WALL STATION</v>
      </c>
      <c r="G1520" s="490"/>
      <c r="H1520" s="490"/>
      <c r="I1520" s="490"/>
      <c r="J1520" s="588"/>
      <c r="K1520" s="490"/>
      <c r="L1520" s="490"/>
      <c r="M1520" s="490"/>
      <c r="N1520" s="490"/>
      <c r="O1520" s="490"/>
      <c r="P1520" s="490" t="s">
        <v>6054</v>
      </c>
    </row>
    <row r="1521">
      <c r="A1521" s="490"/>
      <c r="B1521" s="490"/>
      <c r="C1521" s="490"/>
      <c r="D1521" s="490"/>
      <c r="E1521" s="593" t="str">
        <f>IFERROR(__xludf.DUMMYFUNCTION("""COMPUTED_VALUE"""),"ITRON")</f>
        <v>ITRON</v>
      </c>
      <c r="F1521" s="593" t="str">
        <f>IFERROR(__xludf.DUMMYFUNCTION("""COMPUTED_VALUE"""),"DELTA ROTARY GAS METER")</f>
        <v>DELTA ROTARY GAS METER</v>
      </c>
      <c r="G1521" s="490"/>
      <c r="H1521" s="490"/>
      <c r="I1521" s="490"/>
      <c r="J1521" s="588"/>
      <c r="K1521" s="490"/>
      <c r="L1521" s="490"/>
      <c r="M1521" s="490"/>
      <c r="N1521" s="490"/>
      <c r="O1521" s="490"/>
      <c r="P1521" s="490" t="s">
        <v>6057</v>
      </c>
    </row>
    <row r="1522">
      <c r="A1522" s="490"/>
      <c r="B1522" s="490"/>
      <c r="C1522" s="490"/>
      <c r="D1522" s="490"/>
      <c r="E1522" s="593" t="str">
        <f>IFERROR(__xludf.DUMMYFUNCTION("""COMPUTED_VALUE"""),"JANITZA")</f>
        <v>JANITZA</v>
      </c>
      <c r="F1522" s="593" t="str">
        <f>IFERROR(__xludf.DUMMYFUNCTION("""COMPUTED_VALUE"""),"UMG 96-S2")</f>
        <v>UMG 96-S2</v>
      </c>
      <c r="G1522" s="490"/>
      <c r="H1522" s="490"/>
      <c r="I1522" s="490"/>
      <c r="J1522" s="588"/>
      <c r="K1522" s="490"/>
      <c r="L1522" s="490"/>
      <c r="M1522" s="490"/>
      <c r="N1522" s="490"/>
      <c r="O1522" s="490"/>
      <c r="P1522" s="490" t="s">
        <v>6060</v>
      </c>
    </row>
    <row r="1523">
      <c r="A1523" s="490"/>
      <c r="B1523" s="490"/>
      <c r="C1523" s="490"/>
      <c r="D1523" s="490"/>
      <c r="E1523" s="593" t="str">
        <f>IFERROR(__xludf.DUMMYFUNCTION("""COMPUTED_VALUE"""),"JANITZA")</f>
        <v>JANITZA</v>
      </c>
      <c r="F1523" s="593" t="str">
        <f>IFERROR(__xludf.DUMMYFUNCTION("""COMPUTED_VALUE"""),"UMG 96-RM")</f>
        <v>UMG 96-RM</v>
      </c>
      <c r="G1523" s="490"/>
      <c r="H1523" s="490"/>
      <c r="I1523" s="490"/>
      <c r="J1523" s="588"/>
      <c r="K1523" s="490"/>
      <c r="L1523" s="490"/>
      <c r="M1523" s="490"/>
      <c r="N1523" s="490"/>
      <c r="O1523" s="490"/>
      <c r="P1523" s="490" t="s">
        <v>6063</v>
      </c>
    </row>
    <row r="1524">
      <c r="A1524" s="490"/>
      <c r="B1524" s="490"/>
      <c r="C1524" s="490"/>
      <c r="D1524" s="490"/>
      <c r="E1524" s="593" t="str">
        <f>IFERROR(__xludf.DUMMYFUNCTION("""COMPUTED_VALUE"""),"JANITZA")</f>
        <v>JANITZA</v>
      </c>
      <c r="F1524" s="593" t="str">
        <f>IFERROR(__xludf.DUMMYFUNCTION("""COMPUTED_VALUE"""),"UMG 96-S")</f>
        <v>UMG 96-S</v>
      </c>
      <c r="G1524" s="490"/>
      <c r="H1524" s="490"/>
      <c r="I1524" s="490"/>
      <c r="J1524" s="588"/>
      <c r="K1524" s="490"/>
      <c r="L1524" s="490"/>
      <c r="M1524" s="490"/>
      <c r="N1524" s="490"/>
      <c r="O1524" s="490"/>
      <c r="P1524" s="490" t="s">
        <v>6066</v>
      </c>
    </row>
    <row r="1525">
      <c r="A1525" s="490"/>
      <c r="B1525" s="490"/>
      <c r="C1525" s="490"/>
      <c r="D1525" s="490"/>
      <c r="E1525" s="593" t="str">
        <f>IFERROR(__xludf.DUMMYFUNCTION("""COMPUTED_VALUE"""),"JETINNO")</f>
        <v>JETINNO</v>
      </c>
      <c r="F1525" s="593" t="str">
        <f>IFERROR(__xludf.DUMMYFUNCTION("""COMPUTED_VALUE"""),"JL500 SERIES")</f>
        <v>JL500 SERIES</v>
      </c>
      <c r="G1525" s="490"/>
      <c r="H1525" s="490"/>
      <c r="I1525" s="490"/>
      <c r="J1525" s="588"/>
      <c r="K1525" s="490"/>
      <c r="L1525" s="490"/>
      <c r="M1525" s="490"/>
      <c r="N1525" s="490"/>
      <c r="O1525" s="490"/>
      <c r="P1525" s="490" t="s">
        <v>6069</v>
      </c>
    </row>
    <row r="1526">
      <c r="A1526" s="490"/>
      <c r="B1526" s="490"/>
      <c r="C1526" s="490"/>
      <c r="D1526" s="490"/>
      <c r="E1526" s="593" t="str">
        <f>IFERROR(__xludf.DUMMYFUNCTION("""COMPUTED_VALUE"""),"JETSREAM")</f>
        <v>JETSREAM</v>
      </c>
      <c r="F1526" s="593" t="str">
        <f>IFERROR(__xludf.DUMMYFUNCTION("""COMPUTED_VALUE"""),"BB200")</f>
        <v>BB200</v>
      </c>
      <c r="G1526" s="490"/>
      <c r="H1526" s="490"/>
      <c r="I1526" s="490"/>
      <c r="J1526" s="588"/>
      <c r="K1526" s="490"/>
      <c r="L1526" s="490"/>
      <c r="M1526" s="490"/>
      <c r="N1526" s="490"/>
      <c r="O1526" s="490"/>
      <c r="P1526" s="490" t="s">
        <v>2896</v>
      </c>
    </row>
    <row r="1527">
      <c r="A1527" s="490"/>
      <c r="B1527" s="490"/>
      <c r="C1527" s="490"/>
      <c r="D1527" s="490"/>
      <c r="E1527" s="593" t="str">
        <f>IFERROR(__xludf.DUMMYFUNCTION("""COMPUTED_VALUE"""),"JETWAY")</f>
        <v>JETWAY</v>
      </c>
      <c r="F1527" s="593" t="str">
        <f>IFERROR(__xludf.DUMMYFUNCTION("""COMPUTED_VALUE"""),"JBC313U591")</f>
        <v>JBC313U591</v>
      </c>
      <c r="G1527" s="490"/>
      <c r="H1527" s="490"/>
      <c r="I1527" s="490"/>
      <c r="J1527" s="588"/>
      <c r="K1527" s="490"/>
      <c r="L1527" s="490"/>
      <c r="M1527" s="490"/>
      <c r="N1527" s="490"/>
      <c r="O1527" s="490"/>
      <c r="P1527" s="490" t="s">
        <v>3188</v>
      </c>
    </row>
    <row r="1528">
      <c r="A1528" s="490"/>
      <c r="B1528" s="490"/>
      <c r="C1528" s="490"/>
      <c r="D1528" s="490"/>
      <c r="E1528" s="593" t="str">
        <f>IFERROR(__xludf.DUMMYFUNCTION("""COMPUTED_VALUE"""),"JINAN USR IOT")</f>
        <v>JINAN USR IOT</v>
      </c>
      <c r="F1528" s="593" t="str">
        <f>IFERROR(__xludf.DUMMYFUNCTION("""COMPUTED_VALUE"""),"USR-G806")</f>
        <v>USR-G806</v>
      </c>
      <c r="G1528" s="490"/>
      <c r="H1528" s="490"/>
      <c r="I1528" s="490"/>
      <c r="J1528" s="588"/>
      <c r="K1528" s="490"/>
      <c r="L1528" s="490"/>
      <c r="M1528" s="490"/>
      <c r="N1528" s="490"/>
      <c r="O1528" s="490"/>
      <c r="P1528" s="490" t="s">
        <v>6072</v>
      </c>
    </row>
    <row r="1529">
      <c r="A1529" s="490"/>
      <c r="B1529" s="490"/>
      <c r="C1529" s="490"/>
      <c r="D1529" s="490"/>
      <c r="E1529" s="593" t="str">
        <f>IFERROR(__xludf.DUMMYFUNCTION("""COMPUTED_VALUE"""),"JINHER")</f>
        <v>JINHER</v>
      </c>
      <c r="F1529" s="593" t="str">
        <f>IFERROR(__xludf.DUMMYFUNCTION("""COMPUTED_VALUE"""),"JH-W8856RT-WF-02")</f>
        <v>JH-W8856RT-WF-02</v>
      </c>
      <c r="G1529" s="490"/>
      <c r="H1529" s="490"/>
      <c r="I1529" s="490"/>
      <c r="J1529" s="588"/>
      <c r="K1529" s="490"/>
      <c r="L1529" s="490"/>
      <c r="M1529" s="490"/>
      <c r="N1529" s="490"/>
      <c r="O1529" s="490"/>
      <c r="P1529" s="490" t="s">
        <v>6075</v>
      </c>
    </row>
    <row r="1530">
      <c r="A1530" s="490"/>
      <c r="B1530" s="490"/>
      <c r="C1530" s="490"/>
      <c r="D1530" s="490"/>
      <c r="E1530" s="593" t="str">
        <f>IFERROR(__xludf.DUMMYFUNCTION("""COMPUTED_VALUE"""),"JIO")</f>
        <v>JIO</v>
      </c>
      <c r="F1530" s="593" t="str">
        <f>IFERROR(__xludf.DUMMYFUNCTION("""COMPUTED_VALUE"""),"JIOFI M2S")</f>
        <v>JIOFI M2S</v>
      </c>
      <c r="G1530" s="490"/>
      <c r="H1530" s="490"/>
      <c r="I1530" s="490"/>
      <c r="J1530" s="588"/>
      <c r="K1530" s="490"/>
      <c r="L1530" s="490"/>
      <c r="M1530" s="490"/>
      <c r="N1530" s="490"/>
      <c r="O1530" s="490"/>
      <c r="P1530" s="490" t="s">
        <v>6078</v>
      </c>
    </row>
    <row r="1531">
      <c r="A1531" s="490"/>
      <c r="B1531" s="490"/>
      <c r="C1531" s="490"/>
      <c r="D1531" s="490"/>
      <c r="E1531" s="593" t="str">
        <f>IFERROR(__xludf.DUMMYFUNCTION("""COMPUTED_VALUE"""),"JOHNSON CONTROLS")</f>
        <v>JOHNSON CONTROLS</v>
      </c>
      <c r="F1531" s="593" t="str">
        <f>IFERROR(__xludf.DUMMYFUNCTION("""COMPUTED_VALUE"""),"ES")</f>
        <v>ES</v>
      </c>
      <c r="G1531" s="490"/>
      <c r="H1531" s="490"/>
      <c r="I1531" s="490"/>
      <c r="J1531" s="588"/>
      <c r="K1531" s="490"/>
      <c r="L1531" s="490"/>
      <c r="M1531" s="490"/>
      <c r="N1531" s="490"/>
      <c r="O1531" s="490"/>
      <c r="P1531" s="490" t="s">
        <v>6081</v>
      </c>
    </row>
    <row r="1532">
      <c r="A1532" s="490"/>
      <c r="B1532" s="490"/>
      <c r="C1532" s="490"/>
      <c r="D1532" s="490"/>
      <c r="E1532" s="593" t="str">
        <f>IFERROR(__xludf.DUMMYFUNCTION("""COMPUTED_VALUE"""),"JOHNSON CONTROLS")</f>
        <v>JOHNSON CONTROLS</v>
      </c>
      <c r="F1532" s="593" t="str">
        <f>IFERROR(__xludf.DUMMYFUNCTION("""COMPUTED_VALUE"""),"MS-NAE3510-2")</f>
        <v>MS-NAE3510-2</v>
      </c>
      <c r="G1532" s="490"/>
      <c r="H1532" s="490"/>
      <c r="I1532" s="490"/>
      <c r="J1532" s="588"/>
      <c r="K1532" s="490"/>
      <c r="L1532" s="490"/>
      <c r="M1532" s="490"/>
      <c r="N1532" s="490"/>
      <c r="O1532" s="490"/>
      <c r="P1532" s="490" t="s">
        <v>6084</v>
      </c>
    </row>
    <row r="1533">
      <c r="A1533" s="490"/>
      <c r="B1533" s="490"/>
      <c r="C1533" s="490"/>
      <c r="D1533" s="490"/>
      <c r="E1533" s="593" t="str">
        <f>IFERROR(__xludf.DUMMYFUNCTION("""COMPUTED_VALUE"""),"JOHNSON CONTROLS")</f>
        <v>JOHNSON CONTROLS</v>
      </c>
      <c r="F1533" s="593" t="str">
        <f>IFERROR(__xludf.DUMMYFUNCTION("""COMPUTED_VALUE"""),"MS-NAE451L-2")</f>
        <v>MS-NAE451L-2</v>
      </c>
      <c r="G1533" s="490"/>
      <c r="H1533" s="490"/>
      <c r="I1533" s="490"/>
      <c r="J1533" s="588"/>
      <c r="K1533" s="490"/>
      <c r="L1533" s="490"/>
      <c r="M1533" s="490"/>
      <c r="N1533" s="490"/>
      <c r="O1533" s="490"/>
      <c r="P1533" s="490" t="s">
        <v>6087</v>
      </c>
    </row>
    <row r="1534">
      <c r="A1534" s="490"/>
      <c r="B1534" s="490"/>
      <c r="C1534" s="490"/>
      <c r="D1534" s="490"/>
      <c r="E1534" s="593" t="str">
        <f>IFERROR(__xludf.DUMMYFUNCTION("""COMPUTED_VALUE"""),"JOHNSON CONTROLS")</f>
        <v>JOHNSON CONTROLS</v>
      </c>
      <c r="F1534" s="593" t="str">
        <f>IFERROR(__xludf.DUMMYFUNCTION("""COMPUTED_VALUE"""),"MS-NCE-2560-0")</f>
        <v>MS-NCE-2560-0</v>
      </c>
      <c r="G1534" s="490"/>
      <c r="H1534" s="490"/>
      <c r="I1534" s="490"/>
      <c r="J1534" s="588"/>
      <c r="K1534" s="490"/>
      <c r="L1534" s="490"/>
      <c r="M1534" s="490"/>
      <c r="N1534" s="490"/>
      <c r="O1534" s="490"/>
      <c r="P1534" s="490" t="s">
        <v>6089</v>
      </c>
    </row>
    <row r="1535">
      <c r="A1535" s="490"/>
      <c r="B1535" s="490"/>
      <c r="C1535" s="490"/>
      <c r="D1535" s="490"/>
      <c r="E1535" s="593" t="str">
        <f>IFERROR(__xludf.DUMMYFUNCTION("""COMPUTED_VALUE"""),"JOHNSON CONTROLS")</f>
        <v>JOHNSON CONTROLS</v>
      </c>
      <c r="F1535" s="593" t="str">
        <f>IFERROR(__xludf.DUMMYFUNCTION("""COMPUTED_VALUE"""),"MS-NCE-2566-0")</f>
        <v>MS-NCE-2566-0</v>
      </c>
      <c r="G1535" s="490"/>
      <c r="H1535" s="490"/>
      <c r="I1535" s="490"/>
      <c r="J1535" s="588"/>
      <c r="K1535" s="490"/>
      <c r="L1535" s="490"/>
      <c r="M1535" s="490"/>
      <c r="N1535" s="490"/>
      <c r="O1535" s="490"/>
      <c r="P1535" s="490" t="s">
        <v>6092</v>
      </c>
    </row>
    <row r="1536">
      <c r="A1536" s="490"/>
      <c r="B1536" s="490"/>
      <c r="C1536" s="490"/>
      <c r="D1536" s="490"/>
      <c r="E1536" s="593" t="str">
        <f>IFERROR(__xludf.DUMMYFUNCTION("""COMPUTED_VALUE"""),"JOHNSON CONTROLS")</f>
        <v>JOHNSON CONTROLS</v>
      </c>
      <c r="F1536" s="593" t="str">
        <f>IFERROR(__xludf.DUMMYFUNCTION("""COMPUTED_VALUE"""),"MS-NIE3910-2E")</f>
        <v>MS-NIE3910-2E</v>
      </c>
      <c r="G1536" s="490"/>
      <c r="H1536" s="490"/>
      <c r="I1536" s="490"/>
      <c r="J1536" s="588"/>
      <c r="K1536" s="490"/>
      <c r="L1536" s="490"/>
      <c r="M1536" s="490"/>
      <c r="N1536" s="490"/>
      <c r="O1536" s="490"/>
      <c r="P1536" s="490" t="s">
        <v>6095</v>
      </c>
    </row>
    <row r="1537">
      <c r="A1537" s="490"/>
      <c r="B1537" s="490"/>
      <c r="C1537" s="490"/>
      <c r="D1537" s="490"/>
      <c r="E1537" s="593" t="str">
        <f>IFERROR(__xludf.DUMMYFUNCTION("""COMPUTED_VALUE"""),"JOHNSON CONTROLS")</f>
        <v>JOHNSON CONTROLS</v>
      </c>
      <c r="F1537" s="593" t="str">
        <f>IFERROR(__xludf.DUMMYFUNCTION("""COMPUTED_VALUE"""),"NAE")</f>
        <v>NAE</v>
      </c>
      <c r="G1537" s="490"/>
      <c r="H1537" s="490"/>
      <c r="I1537" s="490"/>
      <c r="J1537" s="588"/>
      <c r="K1537" s="490"/>
      <c r="L1537" s="490"/>
      <c r="M1537" s="490"/>
      <c r="N1537" s="490"/>
      <c r="O1537" s="490"/>
      <c r="P1537" s="490" t="s">
        <v>6098</v>
      </c>
    </row>
    <row r="1538">
      <c r="A1538" s="490"/>
      <c r="B1538" s="490"/>
      <c r="C1538" s="490"/>
      <c r="D1538" s="490"/>
      <c r="E1538" s="593" t="str">
        <f>IFERROR(__xludf.DUMMYFUNCTION("""COMPUTED_VALUE"""),"JOHNSON CONTROLS")</f>
        <v>JOHNSON CONTROLS</v>
      </c>
      <c r="F1538" s="593" t="str">
        <f>IFERROR(__xludf.DUMMYFUNCTION("""COMPUTED_VALUE"""),"FW-14")</f>
        <v>FW-14</v>
      </c>
      <c r="G1538" s="490"/>
      <c r="H1538" s="490"/>
      <c r="I1538" s="490"/>
      <c r="J1538" s="588"/>
      <c r="K1538" s="490"/>
      <c r="L1538" s="490"/>
      <c r="M1538" s="490"/>
      <c r="N1538" s="490"/>
      <c r="O1538" s="490"/>
      <c r="P1538" s="490" t="s">
        <v>3191</v>
      </c>
    </row>
    <row r="1539">
      <c r="A1539" s="490"/>
      <c r="B1539" s="490"/>
      <c r="C1539" s="490"/>
      <c r="D1539" s="490"/>
      <c r="E1539" s="593" t="str">
        <f>IFERROR(__xludf.DUMMYFUNCTION("""COMPUTED_VALUE"""),"JOHNSON CONTROLS")</f>
        <v>JOHNSON CONTROLS</v>
      </c>
      <c r="F1539" s="593" t="str">
        <f>IFERROR(__xludf.DUMMYFUNCTION("""COMPUTED_VALUE"""),"FW-08")</f>
        <v>FW-08</v>
      </c>
      <c r="G1539" s="490"/>
      <c r="H1539" s="490"/>
      <c r="I1539" s="490"/>
      <c r="J1539" s="588"/>
      <c r="K1539" s="490"/>
      <c r="L1539" s="490"/>
      <c r="M1539" s="490"/>
      <c r="N1539" s="490"/>
      <c r="O1539" s="490"/>
      <c r="P1539" s="490" t="s">
        <v>6101</v>
      </c>
    </row>
    <row r="1540">
      <c r="A1540" s="490"/>
      <c r="B1540" s="490"/>
      <c r="C1540" s="490"/>
      <c r="D1540" s="490"/>
      <c r="E1540" s="593" t="str">
        <f>IFERROR(__xludf.DUMMYFUNCTION("""COMPUTED_VALUE"""),"JOHNSON CONTROLS")</f>
        <v>JOHNSON CONTROLS</v>
      </c>
      <c r="F1540" s="593" t="str">
        <f>IFERROR(__xludf.DUMMYFUNCTION("""COMPUTED_VALUE"""),"M4-SNE110L0-0")</f>
        <v>M4-SNE110L0-0</v>
      </c>
      <c r="G1540" s="490"/>
      <c r="H1540" s="490"/>
      <c r="I1540" s="490"/>
      <c r="J1540" s="588"/>
      <c r="K1540" s="490"/>
      <c r="L1540" s="490"/>
      <c r="M1540" s="490"/>
      <c r="N1540" s="490"/>
      <c r="O1540" s="490"/>
      <c r="P1540" s="490" t="s">
        <v>6104</v>
      </c>
    </row>
    <row r="1541">
      <c r="A1541" s="490"/>
      <c r="B1541" s="490"/>
      <c r="C1541" s="490"/>
      <c r="D1541" s="490"/>
      <c r="E1541" s="593" t="str">
        <f>IFERROR(__xludf.DUMMYFUNCTION("""COMPUTED_VALUE"""),"JOHNSON CONTROLS")</f>
        <v>JOHNSON CONTROLS</v>
      </c>
      <c r="F1541" s="593" t="str">
        <f>IFERROR(__xludf.DUMMYFUNCTION("""COMPUTED_VALUE"""),"MS-NAE5510-3")</f>
        <v>MS-NAE5510-3</v>
      </c>
      <c r="G1541" s="490"/>
      <c r="H1541" s="490"/>
      <c r="I1541" s="490"/>
      <c r="J1541" s="588"/>
      <c r="K1541" s="490"/>
      <c r="L1541" s="490"/>
      <c r="M1541" s="490"/>
      <c r="N1541" s="490"/>
      <c r="O1541" s="490"/>
      <c r="P1541" s="490" t="s">
        <v>6107</v>
      </c>
    </row>
    <row r="1542">
      <c r="A1542" s="490"/>
      <c r="B1542" s="490"/>
      <c r="C1542" s="490"/>
      <c r="D1542" s="490"/>
      <c r="E1542" s="593" t="str">
        <f>IFERROR(__xludf.DUMMYFUNCTION("""COMPUTED_VALUE"""),"JOHNSON CONTROLS")</f>
        <v>JOHNSON CONTROLS</v>
      </c>
      <c r="F1542" s="593" t="str">
        <f>IFERROR(__xludf.DUMMYFUNCTION("""COMPUTED_VALUE"""),"SIMPLEX 4100ES")</f>
        <v>SIMPLEX 4100ES</v>
      </c>
      <c r="G1542" s="490"/>
      <c r="H1542" s="490"/>
      <c r="I1542" s="490"/>
      <c r="J1542" s="588"/>
      <c r="K1542" s="490"/>
      <c r="L1542" s="490"/>
      <c r="M1542" s="490"/>
      <c r="N1542" s="490"/>
      <c r="O1542" s="490"/>
      <c r="P1542" s="490" t="s">
        <v>6110</v>
      </c>
    </row>
    <row r="1543">
      <c r="A1543" s="490"/>
      <c r="B1543" s="490"/>
      <c r="C1543" s="490"/>
      <c r="D1543" s="490"/>
      <c r="E1543" s="593" t="str">
        <f>IFERROR(__xludf.DUMMYFUNCTION("""COMPUTED_VALUE"""),"JOHNSON CONTROLS")</f>
        <v>JOHNSON CONTROLS</v>
      </c>
      <c r="F1543" s="593" t="str">
        <f>IFERROR(__xludf.DUMMYFUNCTION("""COMPUTED_VALUE"""),"SIMPLEX 4100ES")</f>
        <v>SIMPLEX 4100ES</v>
      </c>
      <c r="G1543" s="490"/>
      <c r="H1543" s="490"/>
      <c r="I1543" s="490"/>
      <c r="J1543" s="588"/>
      <c r="K1543" s="490"/>
      <c r="L1543" s="490"/>
      <c r="M1543" s="490"/>
      <c r="N1543" s="490"/>
      <c r="O1543" s="490"/>
      <c r="P1543" s="490" t="s">
        <v>6113</v>
      </c>
    </row>
    <row r="1544">
      <c r="A1544" s="490"/>
      <c r="B1544" s="490"/>
      <c r="C1544" s="490"/>
      <c r="D1544" s="490"/>
      <c r="E1544" s="593" t="str">
        <f>IFERROR(__xludf.DUMMYFUNCTION("""COMPUTED_VALUE"""),"JOHNSON CONTROLS")</f>
        <v>JOHNSON CONTROLS</v>
      </c>
      <c r="F1544" s="593" t="str">
        <f>IFERROR(__xludf.DUMMYFUNCTION("""COMPUTED_VALUE"""),"SIMPLEX 4010")</f>
        <v>SIMPLEX 4010</v>
      </c>
      <c r="G1544" s="490"/>
      <c r="H1544" s="490"/>
      <c r="I1544" s="490"/>
      <c r="J1544" s="588"/>
      <c r="K1544" s="490"/>
      <c r="L1544" s="490"/>
      <c r="M1544" s="490"/>
      <c r="N1544" s="490"/>
      <c r="O1544" s="490"/>
      <c r="P1544" s="490" t="s">
        <v>6116</v>
      </c>
    </row>
    <row r="1545">
      <c r="A1545" s="490"/>
      <c r="B1545" s="490"/>
      <c r="C1545" s="490"/>
      <c r="D1545" s="490"/>
      <c r="E1545" s="593" t="str">
        <f>IFERROR(__xludf.DUMMYFUNCTION("""COMPUTED_VALUE"""),"JOHNSON CONTROLS")</f>
        <v>JOHNSON CONTROLS</v>
      </c>
      <c r="F1545" s="593" t="str">
        <f>IFERROR(__xludf.DUMMYFUNCTION("""COMPUTED_VALUE"""),"SIMPLEX 4010ES")</f>
        <v>SIMPLEX 4010ES</v>
      </c>
      <c r="G1545" s="490"/>
      <c r="H1545" s="490"/>
      <c r="I1545" s="490"/>
      <c r="J1545" s="588"/>
      <c r="K1545" s="490"/>
      <c r="L1545" s="490"/>
      <c r="M1545" s="490"/>
      <c r="N1545" s="490"/>
      <c r="O1545" s="490"/>
      <c r="P1545" s="490" t="s">
        <v>6118</v>
      </c>
    </row>
    <row r="1546">
      <c r="A1546" s="490"/>
      <c r="B1546" s="490"/>
      <c r="C1546" s="490"/>
      <c r="D1546" s="490"/>
      <c r="E1546" s="593" t="str">
        <f>IFERROR(__xludf.DUMMYFUNCTION("""COMPUTED_VALUE"""),"JOHNSON CONTROLS")</f>
        <v>JOHNSON CONTROLS</v>
      </c>
      <c r="F1546" s="593" t="str">
        <f>IFERROR(__xludf.DUMMYFUNCTION("""COMPUTED_VALUE"""),"M4-SNC-25150-0")</f>
        <v>M4-SNC-25150-0</v>
      </c>
      <c r="G1546" s="490"/>
      <c r="H1546" s="490"/>
      <c r="I1546" s="490"/>
      <c r="J1546" s="588"/>
      <c r="K1546" s="490"/>
      <c r="L1546" s="490"/>
      <c r="M1546" s="490"/>
      <c r="N1546" s="490"/>
      <c r="O1546" s="490"/>
      <c r="P1546" s="490" t="s">
        <v>6120</v>
      </c>
    </row>
    <row r="1547">
      <c r="A1547" s="490"/>
      <c r="B1547" s="490"/>
      <c r="C1547" s="490"/>
      <c r="D1547" s="490"/>
      <c r="E1547" s="593" t="str">
        <f>IFERROR(__xludf.DUMMYFUNCTION("""COMPUTED_VALUE"""),"JOHNSON CONTROLS")</f>
        <v>JOHNSON CONTROLS</v>
      </c>
      <c r="F1547" s="593" t="str">
        <f>IFERROR(__xludf.DUMMYFUNCTION("""COMPUTED_VALUE"""),"M4-SNE-10500-0")</f>
        <v>M4-SNE-10500-0</v>
      </c>
      <c r="G1547" s="490"/>
      <c r="H1547" s="490"/>
      <c r="I1547" s="490"/>
      <c r="J1547" s="588"/>
      <c r="K1547" s="490"/>
      <c r="L1547" s="490"/>
      <c r="M1547" s="490"/>
      <c r="N1547" s="490"/>
      <c r="O1547" s="490"/>
      <c r="P1547" s="490" t="s">
        <v>6123</v>
      </c>
    </row>
    <row r="1548">
      <c r="A1548" s="490"/>
      <c r="B1548" s="490"/>
      <c r="C1548" s="490"/>
      <c r="D1548" s="490"/>
      <c r="E1548" s="593" t="str">
        <f>IFERROR(__xludf.DUMMYFUNCTION("""COMPUTED_VALUE"""),"JOHNSON CONTROLS")</f>
        <v>JOHNSON CONTROLS</v>
      </c>
      <c r="F1548" s="593" t="str">
        <f>IFERROR(__xludf.DUMMYFUNCTION("""COMPUTED_VALUE"""),"M4-SNC-16120-0")</f>
        <v>M4-SNC-16120-0</v>
      </c>
      <c r="G1548" s="490"/>
      <c r="H1548" s="490"/>
      <c r="I1548" s="490"/>
      <c r="J1548" s="588"/>
      <c r="K1548" s="490"/>
      <c r="L1548" s="490"/>
      <c r="M1548" s="490"/>
      <c r="N1548" s="490"/>
      <c r="O1548" s="490"/>
      <c r="P1548" s="490" t="s">
        <v>6126</v>
      </c>
    </row>
    <row r="1549">
      <c r="A1549" s="490"/>
      <c r="B1549" s="490"/>
      <c r="C1549" s="490"/>
      <c r="D1549" s="490"/>
      <c r="E1549" s="593" t="str">
        <f>IFERROR(__xludf.DUMMYFUNCTION("""COMPUTED_VALUE"""),"JOHNSON CONTROLS")</f>
        <v>JOHNSON CONTROLS</v>
      </c>
      <c r="F1549" s="593" t="str">
        <f>IFERROR(__xludf.DUMMYFUNCTION("""COMPUTED_VALUE"""),"M4-SNE-11000-0")</f>
        <v>M4-SNE-11000-0</v>
      </c>
      <c r="G1549" s="490"/>
      <c r="H1549" s="490"/>
      <c r="I1549" s="490"/>
      <c r="J1549" s="588"/>
      <c r="K1549" s="490"/>
      <c r="L1549" s="490"/>
      <c r="M1549" s="490"/>
      <c r="N1549" s="490"/>
      <c r="O1549" s="490"/>
      <c r="P1549" s="490" t="s">
        <v>3194</v>
      </c>
    </row>
    <row r="1550">
      <c r="A1550" s="490"/>
      <c r="B1550" s="490"/>
      <c r="C1550" s="490"/>
      <c r="D1550" s="490"/>
      <c r="E1550" s="593" t="str">
        <f>IFERROR(__xludf.DUMMYFUNCTION("""COMPUTED_VALUE"""),"JOHNSON CONTROLS")</f>
        <v>JOHNSON CONTROLS</v>
      </c>
      <c r="F1550" s="593" t="str">
        <f>IFERROR(__xludf.DUMMYFUNCTION("""COMPUTED_VALUE"""),"M4-SNE-22000-0")</f>
        <v>M4-SNE-22000-0</v>
      </c>
      <c r="G1550" s="490"/>
      <c r="H1550" s="490"/>
      <c r="I1550" s="490"/>
      <c r="J1550" s="588"/>
      <c r="K1550" s="490"/>
      <c r="L1550" s="490"/>
      <c r="M1550" s="490"/>
      <c r="N1550" s="490"/>
      <c r="O1550" s="490"/>
      <c r="P1550" s="490" t="s">
        <v>6129</v>
      </c>
    </row>
    <row r="1551">
      <c r="A1551" s="490"/>
      <c r="B1551" s="490"/>
      <c r="C1551" s="490"/>
      <c r="D1551" s="490"/>
      <c r="E1551" s="593" t="str">
        <f>IFERROR(__xludf.DUMMYFUNCTION("""COMPUTED_VALUE"""),"JOHNSON CONTROLS")</f>
        <v>JOHNSON CONTROLS</v>
      </c>
      <c r="F1551" s="593" t="str">
        <f>IFERROR(__xludf.DUMMYFUNCTION("""COMPUTED_VALUE"""),"MS-NAE-5511-3")</f>
        <v>MS-NAE-5511-3</v>
      </c>
      <c r="G1551" s="490"/>
      <c r="H1551" s="490"/>
      <c r="I1551" s="490"/>
      <c r="J1551" s="588"/>
      <c r="K1551" s="490"/>
      <c r="L1551" s="490"/>
      <c r="M1551" s="490"/>
      <c r="N1551" s="490"/>
      <c r="O1551" s="490"/>
      <c r="P1551" s="490" t="s">
        <v>6131</v>
      </c>
    </row>
    <row r="1552">
      <c r="A1552" s="490"/>
      <c r="B1552" s="490"/>
      <c r="C1552" s="490"/>
      <c r="D1552" s="490"/>
      <c r="E1552" s="593" t="str">
        <f>IFERROR(__xludf.DUMMYFUNCTION("""COMPUTED_VALUE"""),"JOHNSON CONTROLS")</f>
        <v>JOHNSON CONTROLS</v>
      </c>
      <c r="F1552" s="593" t="str">
        <f>IFERROR(__xludf.DUMMYFUNCTION("""COMPUTED_VALUE"""),"SBF-MP2")</f>
        <v>SBF-MP2</v>
      </c>
      <c r="G1552" s="490"/>
      <c r="H1552" s="490"/>
      <c r="I1552" s="490"/>
      <c r="J1552" s="588"/>
      <c r="K1552" s="490"/>
      <c r="L1552" s="490"/>
      <c r="M1552" s="490"/>
      <c r="N1552" s="490"/>
      <c r="O1552" s="490"/>
      <c r="P1552" s="490" t="s">
        <v>6134</v>
      </c>
    </row>
    <row r="1553">
      <c r="A1553" s="490"/>
      <c r="B1553" s="490"/>
      <c r="C1553" s="490"/>
      <c r="D1553" s="490"/>
      <c r="E1553" s="593" t="str">
        <f>IFERROR(__xludf.DUMMYFUNCTION("""COMPUTED_VALUE"""),"JOHNSON CONTROLS")</f>
        <v>JOHNSON CONTROLS</v>
      </c>
      <c r="F1553" s="593" t="str">
        <f>IFERROR(__xludf.DUMMYFUNCTION("""COMPUTED_VALUE"""),"SNE110L2")</f>
        <v>SNE110L2</v>
      </c>
      <c r="G1553" s="490"/>
      <c r="H1553" s="490"/>
      <c r="I1553" s="490"/>
      <c r="J1553" s="588"/>
      <c r="K1553" s="490"/>
      <c r="L1553" s="490"/>
      <c r="M1553" s="490"/>
      <c r="N1553" s="490"/>
      <c r="O1553" s="490"/>
      <c r="P1553" s="490" t="s">
        <v>6137</v>
      </c>
    </row>
    <row r="1554">
      <c r="A1554" s="490"/>
      <c r="B1554" s="490"/>
      <c r="C1554" s="490"/>
      <c r="D1554" s="490"/>
      <c r="E1554" s="593" t="str">
        <f>IFERROR(__xludf.DUMMYFUNCTION("""COMPUTED_VALUE"""),"JOHNSON CONTROLS")</f>
        <v>JOHNSON CONTROLS</v>
      </c>
      <c r="F1554" s="593" t="str">
        <f>IFERROR(__xludf.DUMMYFUNCTION("""COMPUTED_VALUE"""),"ES NET EXT")</f>
        <v>ES NET EXT</v>
      </c>
      <c r="G1554" s="490"/>
      <c r="H1554" s="490"/>
      <c r="I1554" s="490"/>
      <c r="J1554" s="588"/>
      <c r="K1554" s="490"/>
      <c r="L1554" s="490"/>
      <c r="M1554" s="490"/>
      <c r="N1554" s="490"/>
      <c r="O1554" s="490"/>
      <c r="P1554" s="490" t="s">
        <v>6140</v>
      </c>
    </row>
    <row r="1555">
      <c r="A1555" s="490"/>
      <c r="B1555" s="490"/>
      <c r="C1555" s="490"/>
      <c r="D1555" s="490"/>
      <c r="E1555" s="593" t="str">
        <f>IFERROR(__xludf.DUMMYFUNCTION("""COMPUTED_VALUE"""),"JOHNSON CONTROLS")</f>
        <v>JOHNSON CONTROLS</v>
      </c>
      <c r="F1555" s="593" t="str">
        <f>IFERROR(__xludf.DUMMYFUNCTION("""COMPUTED_VALUE"""),"‎FAC4911")</f>
        <v>‎FAC4911</v>
      </c>
      <c r="G1555" s="490"/>
      <c r="H1555" s="490"/>
      <c r="I1555" s="490"/>
      <c r="J1555" s="588"/>
      <c r="K1555" s="490"/>
      <c r="L1555" s="490"/>
      <c r="M1555" s="490"/>
      <c r="N1555" s="490"/>
      <c r="O1555" s="490"/>
      <c r="P1555" s="490" t="s">
        <v>6143</v>
      </c>
    </row>
    <row r="1556">
      <c r="A1556" s="490"/>
      <c r="B1556" s="490"/>
      <c r="C1556" s="490"/>
      <c r="D1556" s="490"/>
      <c r="E1556" s="593" t="str">
        <f>IFERROR(__xludf.DUMMYFUNCTION("""COMPUTED_VALUE"""),"JOHNSON CONTROLS")</f>
        <v>JOHNSON CONTROLS</v>
      </c>
      <c r="F1556" s="593" t="str">
        <f>IFERROR(__xludf.DUMMYFUNCTION("""COMPUTED_VALUE"""),"M4-CGM SERIES")</f>
        <v>M4-CGM SERIES</v>
      </c>
      <c r="G1556" s="490"/>
      <c r="H1556" s="490"/>
      <c r="I1556" s="490"/>
      <c r="J1556" s="588"/>
      <c r="K1556" s="490"/>
      <c r="L1556" s="490"/>
      <c r="M1556" s="490"/>
      <c r="N1556" s="490"/>
      <c r="O1556" s="490"/>
      <c r="P1556" s="490" t="s">
        <v>6146</v>
      </c>
    </row>
    <row r="1557">
      <c r="A1557" s="490"/>
      <c r="B1557" s="490"/>
      <c r="C1557" s="490"/>
      <c r="D1557" s="490"/>
      <c r="E1557" s="593" t="str">
        <f>IFERROR(__xludf.DUMMYFUNCTION("""COMPUTED_VALUE"""),"JOHNSON CONTROLS")</f>
        <v>JOHNSON CONTROLS</v>
      </c>
      <c r="F1557" s="593" t="str">
        <f>IFERROR(__xludf.DUMMYFUNCTION("""COMPUTED_VALUE"""),"JS SERIES")</f>
        <v>JS SERIES</v>
      </c>
      <c r="G1557" s="490"/>
      <c r="H1557" s="490"/>
      <c r="I1557" s="490"/>
      <c r="J1557" s="588"/>
      <c r="K1557" s="490"/>
      <c r="L1557" s="490"/>
      <c r="M1557" s="490"/>
      <c r="N1557" s="490"/>
      <c r="O1557" s="490"/>
      <c r="P1557" s="490" t="s">
        <v>6149</v>
      </c>
    </row>
    <row r="1558">
      <c r="A1558" s="490"/>
      <c r="B1558" s="490"/>
      <c r="C1558" s="490"/>
      <c r="D1558" s="490"/>
      <c r="E1558" s="593" t="str">
        <f>IFERROR(__xludf.DUMMYFUNCTION("""COMPUTED_VALUE"""),"JOHNSON CONTROLS")</f>
        <v>JOHNSON CONTROLS</v>
      </c>
      <c r="F1558" s="593" t="str">
        <f>IFERROR(__xludf.DUMMYFUNCTION("""COMPUTED_VALUE"""),"M4-CV SERIES")</f>
        <v>M4-CV SERIES</v>
      </c>
      <c r="G1558" s="490"/>
      <c r="H1558" s="490"/>
      <c r="I1558" s="490"/>
      <c r="J1558" s="588"/>
      <c r="K1558" s="490"/>
      <c r="L1558" s="490"/>
      <c r="M1558" s="490"/>
      <c r="N1558" s="490"/>
      <c r="O1558" s="490"/>
      <c r="P1558" s="490" t="s">
        <v>6152</v>
      </c>
    </row>
    <row r="1559">
      <c r="A1559" s="490"/>
      <c r="B1559" s="490"/>
      <c r="C1559" s="490"/>
      <c r="D1559" s="490"/>
      <c r="E1559" s="593" t="str">
        <f>IFERROR(__xludf.DUMMYFUNCTION("""COMPUTED_VALUE"""),"JOHNSON CONTROLS")</f>
        <v>JOHNSON CONTROLS</v>
      </c>
      <c r="F1559" s="593" t="str">
        <f>IFERROR(__xludf.DUMMYFUNCTION("""COMPUTED_VALUE"""),"FX60E")</f>
        <v>FX60E</v>
      </c>
      <c r="G1559" s="490"/>
      <c r="H1559" s="490"/>
      <c r="I1559" s="490"/>
      <c r="J1559" s="588"/>
      <c r="K1559" s="490"/>
      <c r="L1559" s="490"/>
      <c r="M1559" s="490"/>
      <c r="N1559" s="490"/>
      <c r="O1559" s="490"/>
      <c r="P1559" s="490" t="s">
        <v>6155</v>
      </c>
    </row>
    <row r="1560">
      <c r="A1560" s="490"/>
      <c r="B1560" s="490"/>
      <c r="C1560" s="490"/>
      <c r="D1560" s="490"/>
      <c r="E1560" s="593" t="str">
        <f>IFERROR(__xludf.DUMMYFUNCTION("""COMPUTED_VALUE"""),"JOHNSON CONTROLS")</f>
        <v>JOHNSON CONTROLS</v>
      </c>
      <c r="F1560" s="593" t="str">
        <f>IFERROR(__xludf.DUMMYFUNCTION("""COMPUTED_VALUE"""),"SNE10501")</f>
        <v>SNE10501</v>
      </c>
      <c r="G1560" s="490"/>
      <c r="H1560" s="490"/>
      <c r="I1560" s="490"/>
      <c r="J1560" s="588"/>
      <c r="K1560" s="490"/>
      <c r="L1560" s="490"/>
      <c r="M1560" s="490"/>
      <c r="N1560" s="490"/>
      <c r="O1560" s="490"/>
      <c r="P1560" s="490" t="s">
        <v>3196</v>
      </c>
    </row>
    <row r="1561">
      <c r="A1561" s="490"/>
      <c r="B1561" s="490"/>
      <c r="C1561" s="490"/>
      <c r="D1561" s="490"/>
      <c r="E1561" s="593" t="str">
        <f>IFERROR(__xludf.DUMMYFUNCTION("""COMPUTED_VALUE"""),"JOHNSON CONTROLS")</f>
        <v>JOHNSON CONTROLS</v>
      </c>
      <c r="F1561" s="593" t="str">
        <f>IFERROR(__xludf.DUMMYFUNCTION("""COMPUTED_VALUE"""),"SIMPLEX 4100U")</f>
        <v>SIMPLEX 4100U</v>
      </c>
      <c r="G1561" s="490"/>
      <c r="H1561" s="490"/>
      <c r="I1561" s="490"/>
      <c r="J1561" s="588"/>
      <c r="K1561" s="490"/>
      <c r="L1561" s="490"/>
      <c r="M1561" s="490"/>
      <c r="N1561" s="490"/>
      <c r="O1561" s="490"/>
      <c r="P1561" s="490" t="s">
        <v>6158</v>
      </c>
    </row>
    <row r="1562">
      <c r="A1562" s="490"/>
      <c r="B1562" s="490"/>
      <c r="C1562" s="490"/>
      <c r="D1562" s="490"/>
      <c r="E1562" s="593" t="str">
        <f>IFERROR(__xludf.DUMMYFUNCTION("""COMPUTED_VALUE"""),"JOHNSON CONTROLS")</f>
        <v>JOHNSON CONTROLS</v>
      </c>
      <c r="F1562" s="593" t="str">
        <f>IFERROR(__xludf.DUMMYFUNCTION("""COMPUTED_VALUE"""),"SIMPLEX 4007ES")</f>
        <v>SIMPLEX 4007ES</v>
      </c>
      <c r="G1562" s="490"/>
      <c r="H1562" s="490"/>
      <c r="I1562" s="490"/>
      <c r="J1562" s="588"/>
      <c r="K1562" s="490"/>
      <c r="L1562" s="490"/>
      <c r="M1562" s="490"/>
      <c r="N1562" s="490"/>
      <c r="O1562" s="490"/>
      <c r="P1562" s="490" t="s">
        <v>6161</v>
      </c>
    </row>
    <row r="1563">
      <c r="A1563" s="490"/>
      <c r="B1563" s="490"/>
      <c r="C1563" s="490"/>
      <c r="D1563" s="490"/>
      <c r="E1563" s="593" t="str">
        <f>IFERROR(__xludf.DUMMYFUNCTION("""COMPUTED_VALUE"""),"JOHNSON CONTROLS")</f>
        <v>JOHNSON CONTROLS</v>
      </c>
      <c r="F1563" s="593" t="str">
        <f>IFERROR(__xludf.DUMMYFUNCTION("""COMPUTED_VALUE"""),"METASYS SNE SERIES")</f>
        <v>METASYS SNE SERIES</v>
      </c>
      <c r="G1563" s="490"/>
      <c r="H1563" s="490"/>
      <c r="I1563" s="490"/>
      <c r="J1563" s="588"/>
      <c r="K1563" s="490"/>
      <c r="L1563" s="490"/>
      <c r="M1563" s="490"/>
      <c r="N1563" s="490"/>
      <c r="O1563" s="490"/>
      <c r="P1563" s="490" t="s">
        <v>6164</v>
      </c>
    </row>
    <row r="1564">
      <c r="A1564" s="490"/>
      <c r="B1564" s="490"/>
      <c r="C1564" s="490"/>
      <c r="D1564" s="490"/>
      <c r="E1564" s="593" t="str">
        <f>IFERROR(__xludf.DUMMYFUNCTION("""COMPUTED_VALUE"""),"JOHNSON HEALTH TECH")</f>
        <v>JOHNSON HEALTH TECH</v>
      </c>
      <c r="F1564" s="593" t="str">
        <f>IFERROR(__xludf.DUMMYFUNCTION("""COMPUTED_VALUE"""),"MATRIX TOUCH-02-C")</f>
        <v>MATRIX TOUCH-02-C</v>
      </c>
      <c r="G1564" s="490"/>
      <c r="H1564" s="490"/>
      <c r="I1564" s="490"/>
      <c r="J1564" s="588"/>
      <c r="K1564" s="490"/>
      <c r="L1564" s="490"/>
      <c r="M1564" s="490"/>
      <c r="N1564" s="490"/>
      <c r="O1564" s="490"/>
      <c r="P1564" s="490" t="s">
        <v>6167</v>
      </c>
    </row>
    <row r="1565">
      <c r="A1565" s="490"/>
      <c r="B1565" s="490"/>
      <c r="C1565" s="490"/>
      <c r="D1565" s="490"/>
      <c r="E1565" s="593" t="str">
        <f>IFERROR(__xludf.DUMMYFUNCTION("""COMPUTED_VALUE"""),"JOHNSON HEALTH TECH")</f>
        <v>JOHNSON HEALTH TECH</v>
      </c>
      <c r="F1565" s="593" t="str">
        <f>IFERROR(__xludf.DUMMYFUNCTION("""COMPUTED_VALUE"""),"TOUCH-02-C")</f>
        <v>TOUCH-02-C</v>
      </c>
      <c r="G1565" s="490"/>
      <c r="H1565" s="490"/>
      <c r="I1565" s="490"/>
      <c r="J1565" s="588"/>
      <c r="K1565" s="490"/>
      <c r="L1565" s="490"/>
      <c r="M1565" s="490"/>
      <c r="N1565" s="490"/>
      <c r="O1565" s="490"/>
      <c r="P1565" s="490" t="s">
        <v>6170</v>
      </c>
    </row>
    <row r="1566">
      <c r="A1566" s="490"/>
      <c r="B1566" s="490"/>
      <c r="C1566" s="490"/>
      <c r="D1566" s="490"/>
      <c r="E1566" s="593" t="str">
        <f>IFERROR(__xludf.DUMMYFUNCTION("""COMPUTED_VALUE"""),"JSBS")</f>
        <v>JSBS</v>
      </c>
      <c r="F1566" s="593" t="str">
        <f>IFERROR(__xludf.DUMMYFUNCTION("""COMPUTED_VALUE"""),"CV-4000")</f>
        <v>CV-4000</v>
      </c>
      <c r="G1566" s="490"/>
      <c r="H1566" s="490"/>
      <c r="I1566" s="490"/>
      <c r="J1566" s="588"/>
      <c r="K1566" s="490"/>
      <c r="L1566" s="490"/>
      <c r="M1566" s="490"/>
      <c r="N1566" s="490"/>
      <c r="O1566" s="490"/>
      <c r="P1566" s="490" t="s">
        <v>6173</v>
      </c>
    </row>
    <row r="1567">
      <c r="A1567" s="490"/>
      <c r="B1567" s="490"/>
      <c r="C1567" s="490"/>
      <c r="D1567" s="490"/>
      <c r="E1567" s="593" t="str">
        <f>IFERROR(__xludf.DUMMYFUNCTION("""COMPUTED_VALUE"""),"JUICE BAR")</f>
        <v>JUICE BAR</v>
      </c>
      <c r="F1567" s="593" t="str">
        <f>IFERROR(__xludf.DUMMYFUNCTION("""COMPUTED_VALUE"""),"MB402C-1.0")</f>
        <v>MB402C-1.0</v>
      </c>
      <c r="G1567" s="490"/>
      <c r="H1567" s="490"/>
      <c r="I1567" s="490"/>
      <c r="J1567" s="588"/>
      <c r="K1567" s="490"/>
      <c r="L1567" s="490"/>
      <c r="M1567" s="490"/>
      <c r="N1567" s="490"/>
      <c r="O1567" s="490"/>
      <c r="P1567" s="490" t="s">
        <v>6176</v>
      </c>
    </row>
    <row r="1568">
      <c r="A1568" s="490"/>
      <c r="B1568" s="490"/>
      <c r="C1568" s="490"/>
      <c r="D1568" s="490"/>
      <c r="E1568" s="593" t="str">
        <f>IFERROR(__xludf.DUMMYFUNCTION("""COMPUTED_VALUE"""),"JUICE BAR")</f>
        <v>JUICE BAR</v>
      </c>
      <c r="F1568" s="593" t="str">
        <f>IFERROR(__xludf.DUMMYFUNCTION("""COMPUTED_VALUE"""),"1C1F EVCS")</f>
        <v>1C1F EVCS</v>
      </c>
      <c r="G1568" s="490"/>
      <c r="H1568" s="490"/>
      <c r="I1568" s="490"/>
      <c r="J1568" s="588"/>
      <c r="K1568" s="490"/>
      <c r="L1568" s="490"/>
      <c r="M1568" s="490"/>
      <c r="N1568" s="490"/>
      <c r="O1568" s="490"/>
      <c r="P1568" s="490" t="s">
        <v>6179</v>
      </c>
    </row>
    <row r="1569">
      <c r="A1569" s="490"/>
      <c r="B1569" s="490"/>
      <c r="C1569" s="490"/>
      <c r="D1569" s="490"/>
      <c r="E1569" s="593" t="str">
        <f>IFERROR(__xludf.DUMMYFUNCTION("""COMPUTED_VALUE"""),"JUICE BAR")</f>
        <v>JUICE BAR</v>
      </c>
      <c r="F1569" s="593" t="str">
        <f>IFERROR(__xludf.DUMMYFUNCTION("""COMPUTED_VALUE"""),"JB1000-01 EVCS")</f>
        <v>JB1000-01 EVCS</v>
      </c>
      <c r="G1569" s="490"/>
      <c r="H1569" s="490"/>
      <c r="I1569" s="490"/>
      <c r="J1569" s="588"/>
      <c r="K1569" s="490"/>
      <c r="L1569" s="490"/>
      <c r="M1569" s="490"/>
      <c r="N1569" s="490"/>
      <c r="O1569" s="490"/>
      <c r="P1569" s="490" t="s">
        <v>6182</v>
      </c>
    </row>
    <row r="1570">
      <c r="A1570" s="490"/>
      <c r="B1570" s="490"/>
      <c r="C1570" s="490"/>
      <c r="D1570" s="490"/>
      <c r="E1570" s="593" t="str">
        <f>IFERROR(__xludf.DUMMYFUNCTION("""COMPUTED_VALUE"""),"JUNG")</f>
        <v>JUNG</v>
      </c>
      <c r="F1570" s="593" t="str">
        <f>IFERROR(__xludf.DUMMYFUNCTION("""COMPUTED_VALUE"""),"KNX IP GATEWAY")</f>
        <v>KNX IP GATEWAY</v>
      </c>
      <c r="G1570" s="490"/>
      <c r="H1570" s="490"/>
      <c r="I1570" s="490"/>
      <c r="J1570" s="588"/>
      <c r="K1570" s="490"/>
      <c r="L1570" s="490"/>
      <c r="M1570" s="490"/>
      <c r="N1570" s="490"/>
      <c r="O1570" s="490"/>
      <c r="P1570" s="490" t="s">
        <v>6184</v>
      </c>
    </row>
    <row r="1571">
      <c r="A1571" s="490"/>
      <c r="B1571" s="490"/>
      <c r="C1571" s="490"/>
      <c r="D1571" s="490"/>
      <c r="E1571" s="593" t="str">
        <f>IFERROR(__xludf.DUMMYFUNCTION("""COMPUTED_VALUE"""),"KAITERRA")</f>
        <v>KAITERRA</v>
      </c>
      <c r="F1571" s="593" t="str">
        <f>IFERROR(__xludf.DUMMYFUNCTION("""COMPUTED_VALUE"""),"SE-200")</f>
        <v>SE-200</v>
      </c>
      <c r="G1571" s="490"/>
      <c r="H1571" s="490"/>
      <c r="I1571" s="490"/>
      <c r="J1571" s="588"/>
      <c r="K1571" s="490"/>
      <c r="L1571" s="490"/>
      <c r="M1571" s="490"/>
      <c r="N1571" s="490"/>
      <c r="O1571" s="490"/>
      <c r="P1571" s="490" t="s">
        <v>3199</v>
      </c>
    </row>
    <row r="1572">
      <c r="A1572" s="490"/>
      <c r="B1572" s="490"/>
      <c r="C1572" s="490"/>
      <c r="D1572" s="490"/>
      <c r="E1572" s="593" t="str">
        <f>IFERROR(__xludf.DUMMYFUNCTION("""COMPUTED_VALUE"""),"KAITERRA")</f>
        <v>KAITERRA</v>
      </c>
      <c r="F1572" s="593" t="str">
        <f>IFERROR(__xludf.DUMMYFUNCTION("""COMPUTED_VALUE"""),"SENSEDGE MINI")</f>
        <v>SENSEDGE MINI</v>
      </c>
      <c r="G1572" s="490"/>
      <c r="H1572" s="490"/>
      <c r="I1572" s="490"/>
      <c r="J1572" s="588"/>
      <c r="K1572" s="490"/>
      <c r="L1572" s="490"/>
      <c r="M1572" s="490"/>
      <c r="N1572" s="490"/>
      <c r="O1572" s="490"/>
      <c r="P1572" s="490" t="s">
        <v>6186</v>
      </c>
    </row>
    <row r="1573">
      <c r="A1573" s="490"/>
      <c r="B1573" s="490"/>
      <c r="C1573" s="490"/>
      <c r="D1573" s="490"/>
      <c r="E1573" s="593" t="str">
        <f>IFERROR(__xludf.DUMMYFUNCTION("""COMPUTED_VALUE"""),"KAMPMANN")</f>
        <v>KAMPMANN</v>
      </c>
      <c r="F1573" s="593" t="str">
        <f>IFERROR(__xludf.DUMMYFUNCTION("""COMPUTED_VALUE"""),"KACONTROL MODBUS RTU")</f>
        <v>KACONTROL MODBUS RTU</v>
      </c>
      <c r="G1573" s="490"/>
      <c r="H1573" s="490"/>
      <c r="I1573" s="490"/>
      <c r="J1573" s="588"/>
      <c r="K1573" s="490"/>
      <c r="L1573" s="490"/>
      <c r="M1573" s="490"/>
      <c r="N1573" s="490"/>
      <c r="O1573" s="490"/>
      <c r="P1573" s="490" t="s">
        <v>6189</v>
      </c>
    </row>
    <row r="1574">
      <c r="A1574" s="490"/>
      <c r="B1574" s="490"/>
      <c r="C1574" s="490"/>
      <c r="D1574" s="490"/>
      <c r="E1574" s="593" t="str">
        <f>IFERROR(__xludf.DUMMYFUNCTION("""COMPUTED_VALUE"""),"KAMSTRUP")</f>
        <v>KAMSTRUP</v>
      </c>
      <c r="F1574" s="593" t="str">
        <f>IFERROR(__xludf.DUMMYFUNCTION("""COMPUTED_VALUE"""),"MULTICAL 403")</f>
        <v>MULTICAL 403</v>
      </c>
      <c r="G1574" s="490"/>
      <c r="H1574" s="490"/>
      <c r="I1574" s="490"/>
      <c r="J1574" s="588"/>
      <c r="K1574" s="490"/>
      <c r="L1574" s="490"/>
      <c r="M1574" s="490"/>
      <c r="N1574" s="490"/>
      <c r="O1574" s="490"/>
      <c r="P1574" s="490" t="s">
        <v>6192</v>
      </c>
    </row>
    <row r="1575">
      <c r="A1575" s="490"/>
      <c r="B1575" s="490"/>
      <c r="C1575" s="490"/>
      <c r="D1575" s="490"/>
      <c r="E1575" s="593" t="str">
        <f>IFERROR(__xludf.DUMMYFUNCTION("""COMPUTED_VALUE"""),"KAMSTRUP")</f>
        <v>KAMSTRUP</v>
      </c>
      <c r="F1575" s="593" t="str">
        <f>IFERROR(__xludf.DUMMYFUNCTION("""COMPUTED_VALUE"""),"MULTICAL 603")</f>
        <v>MULTICAL 603</v>
      </c>
      <c r="G1575" s="490"/>
      <c r="H1575" s="490"/>
      <c r="I1575" s="490"/>
      <c r="J1575" s="588"/>
      <c r="K1575" s="490"/>
      <c r="L1575" s="490"/>
      <c r="M1575" s="490"/>
      <c r="N1575" s="490"/>
      <c r="O1575" s="490"/>
      <c r="P1575" s="490" t="s">
        <v>6195</v>
      </c>
    </row>
    <row r="1576">
      <c r="A1576" s="490"/>
      <c r="B1576" s="490"/>
      <c r="C1576" s="490"/>
      <c r="D1576" s="490"/>
      <c r="E1576" s="593" t="str">
        <f>IFERROR(__xludf.DUMMYFUNCTION("""COMPUTED_VALUE"""),"KAMSTRUP")</f>
        <v>KAMSTRUP</v>
      </c>
      <c r="F1576" s="593" t="str">
        <f>IFERROR(__xludf.DUMMYFUNCTION("""COMPUTED_VALUE"""),"HC-003-66 BACNET")</f>
        <v>HC-003-66 BACNET</v>
      </c>
      <c r="G1576" s="490"/>
      <c r="H1576" s="490"/>
      <c r="I1576" s="490"/>
      <c r="J1576" s="588"/>
      <c r="K1576" s="490"/>
      <c r="L1576" s="490"/>
      <c r="M1576" s="490"/>
      <c r="N1576" s="490"/>
      <c r="O1576" s="490"/>
      <c r="P1576" s="490" t="s">
        <v>6198</v>
      </c>
    </row>
    <row r="1577">
      <c r="A1577" s="490"/>
      <c r="B1577" s="490"/>
      <c r="C1577" s="490"/>
      <c r="D1577" s="490"/>
      <c r="E1577" s="593" t="str">
        <f>IFERROR(__xludf.DUMMYFUNCTION("""COMPUTED_VALUE"""),"KAMSTRUP")</f>
        <v>KAMSTRUP</v>
      </c>
      <c r="F1577" s="593" t="str">
        <f>IFERROR(__xludf.DUMMYFUNCTION("""COMPUTED_VALUE"""),"ULTRAFLOW 44")</f>
        <v>ULTRAFLOW 44</v>
      </c>
      <c r="G1577" s="490"/>
      <c r="H1577" s="490"/>
      <c r="I1577" s="490"/>
      <c r="J1577" s="588"/>
      <c r="K1577" s="490"/>
      <c r="L1577" s="490"/>
      <c r="M1577" s="490"/>
      <c r="N1577" s="490"/>
      <c r="O1577" s="490"/>
      <c r="P1577" s="490" t="s">
        <v>6201</v>
      </c>
    </row>
    <row r="1578">
      <c r="A1578" s="490"/>
      <c r="B1578" s="490"/>
      <c r="C1578" s="490"/>
      <c r="D1578" s="490"/>
      <c r="E1578" s="593" t="str">
        <f>IFERROR(__xludf.DUMMYFUNCTION("""COMPUTED_VALUE"""),"KAMSTRUP")</f>
        <v>KAMSTRUP</v>
      </c>
      <c r="F1578" s="593" t="str">
        <f>IFERROR(__xludf.DUMMYFUNCTION("""COMPUTED_VALUE"""),"MULTICAL 602")</f>
        <v>MULTICAL 602</v>
      </c>
      <c r="G1578" s="490"/>
      <c r="H1578" s="490"/>
      <c r="I1578" s="490"/>
      <c r="J1578" s="588"/>
      <c r="K1578" s="490"/>
      <c r="L1578" s="490"/>
      <c r="M1578" s="490"/>
      <c r="N1578" s="490"/>
      <c r="O1578" s="490"/>
      <c r="P1578" s="490" t="s">
        <v>6204</v>
      </c>
    </row>
    <row r="1579">
      <c r="A1579" s="490"/>
      <c r="B1579" s="490"/>
      <c r="C1579" s="490"/>
      <c r="D1579" s="490"/>
      <c r="E1579" s="593" t="str">
        <f>IFERROR(__xludf.DUMMYFUNCTION("""COMPUTED_VALUE"""),"KAMSTRUP")</f>
        <v>KAMSTRUP</v>
      </c>
      <c r="F1579" s="593" t="str">
        <f>IFERROR(__xludf.DUMMYFUNCTION("""COMPUTED_VALUE"""),"MULTICAL 62")</f>
        <v>MULTICAL 62</v>
      </c>
      <c r="G1579" s="490"/>
      <c r="H1579" s="490"/>
      <c r="I1579" s="490"/>
      <c r="J1579" s="588"/>
      <c r="K1579" s="490"/>
      <c r="L1579" s="490"/>
      <c r="M1579" s="490"/>
      <c r="N1579" s="490"/>
      <c r="O1579" s="490"/>
      <c r="P1579" s="490" t="s">
        <v>6207</v>
      </c>
    </row>
    <row r="1580">
      <c r="A1580" s="490"/>
      <c r="B1580" s="490"/>
      <c r="C1580" s="490"/>
      <c r="D1580" s="490"/>
      <c r="E1580" s="593" t="str">
        <f>IFERROR(__xludf.DUMMYFUNCTION("""COMPUTED_VALUE"""),"KEISER")</f>
        <v>KEISER</v>
      </c>
      <c r="F1580" s="593" t="str">
        <f>IFERROR(__xludf.DUMMYFUNCTION("""COMPUTED_VALUE"""),"M3")</f>
        <v>M3</v>
      </c>
      <c r="G1580" s="490"/>
      <c r="H1580" s="490"/>
      <c r="I1580" s="490"/>
      <c r="J1580" s="588"/>
      <c r="K1580" s="490"/>
      <c r="L1580" s="490"/>
      <c r="M1580" s="490"/>
      <c r="N1580" s="490"/>
      <c r="O1580" s="490"/>
      <c r="P1580" s="490" t="s">
        <v>6210</v>
      </c>
    </row>
    <row r="1581">
      <c r="A1581" s="490"/>
      <c r="B1581" s="490"/>
      <c r="C1581" s="490"/>
      <c r="D1581" s="490"/>
      <c r="E1581" s="593" t="str">
        <f>IFERROR(__xludf.DUMMYFUNCTION("""COMPUTED_VALUE"""),"KEISER")</f>
        <v>KEISER</v>
      </c>
      <c r="F1581" s="593" t="str">
        <f>IFERROR(__xludf.DUMMYFUNCTION("""COMPUTED_VALUE"""),"M3")</f>
        <v>M3</v>
      </c>
      <c r="G1581" s="490"/>
      <c r="H1581" s="490"/>
      <c r="I1581" s="490"/>
      <c r="J1581" s="588"/>
      <c r="K1581" s="490"/>
      <c r="L1581" s="490"/>
      <c r="M1581" s="490"/>
      <c r="N1581" s="490"/>
      <c r="O1581" s="490"/>
      <c r="P1581" s="490" t="s">
        <v>6213</v>
      </c>
    </row>
    <row r="1582">
      <c r="A1582" s="490"/>
      <c r="B1582" s="490"/>
      <c r="C1582" s="490"/>
      <c r="D1582" s="490"/>
      <c r="E1582" s="593" t="str">
        <f>IFERROR(__xludf.DUMMYFUNCTION("""COMPUTED_VALUE"""),"KEURIG")</f>
        <v>KEURIG</v>
      </c>
      <c r="F1582" s="593" t="str">
        <f>IFERROR(__xludf.DUMMYFUNCTION("""COMPUTED_VALUE"""),"ECCELLENZA TOUCH")</f>
        <v>ECCELLENZA TOUCH</v>
      </c>
      <c r="G1582" s="490"/>
      <c r="H1582" s="490"/>
      <c r="I1582" s="490"/>
      <c r="J1582" s="588"/>
      <c r="K1582" s="490"/>
      <c r="L1582" s="490"/>
      <c r="M1582" s="490"/>
      <c r="N1582" s="490"/>
      <c r="O1582" s="490"/>
      <c r="P1582" s="490" t="s">
        <v>3202</v>
      </c>
    </row>
    <row r="1583">
      <c r="A1583" s="490"/>
      <c r="B1583" s="490"/>
      <c r="C1583" s="490"/>
      <c r="D1583" s="490"/>
      <c r="E1583" s="593" t="str">
        <f>IFERROR(__xludf.DUMMYFUNCTION("""COMPUTED_VALUE"""),"KEYSIGHT")</f>
        <v>KEYSIGHT</v>
      </c>
      <c r="F1583" s="593" t="str">
        <f>IFERROR(__xludf.DUMMYFUNCTION("""COMPUTED_VALUE"""),"34972A")</f>
        <v>34972A</v>
      </c>
      <c r="G1583" s="490"/>
      <c r="H1583" s="490"/>
      <c r="I1583" s="490"/>
      <c r="J1583" s="588"/>
      <c r="K1583" s="490"/>
      <c r="L1583" s="490"/>
      <c r="M1583" s="490"/>
      <c r="N1583" s="490"/>
      <c r="O1583" s="490"/>
      <c r="P1583" s="490" t="s">
        <v>6216</v>
      </c>
    </row>
    <row r="1584">
      <c r="A1584" s="490"/>
      <c r="B1584" s="490"/>
      <c r="C1584" s="490"/>
      <c r="D1584" s="490"/>
      <c r="E1584" s="593" t="str">
        <f>IFERROR(__xludf.DUMMYFUNCTION("""COMPUTED_VALUE"""),"KIDDE FIRE SYSTEM")</f>
        <v>KIDDE FIRE SYSTEM</v>
      </c>
      <c r="F1584" s="593" t="str">
        <f>IFERROR(__xludf.DUMMYFUNCTION("""COMPUTED_VALUE"""),"AEGIS 2.0")</f>
        <v>AEGIS 2.0</v>
      </c>
      <c r="G1584" s="490"/>
      <c r="H1584" s="490"/>
      <c r="I1584" s="490"/>
      <c r="J1584" s="588"/>
      <c r="K1584" s="490"/>
      <c r="L1584" s="490"/>
      <c r="M1584" s="490"/>
      <c r="N1584" s="490"/>
      <c r="O1584" s="490"/>
      <c r="P1584" s="490" t="s">
        <v>6218</v>
      </c>
    </row>
    <row r="1585">
      <c r="A1585" s="490"/>
      <c r="B1585" s="490"/>
      <c r="C1585" s="490"/>
      <c r="D1585" s="490"/>
      <c r="E1585" s="593" t="str">
        <f>IFERROR(__xludf.DUMMYFUNCTION("""COMPUTED_VALUE"""),"KIDDE FIRE SYSTEM")</f>
        <v>KIDDE FIRE SYSTEM</v>
      </c>
      <c r="F1585" s="593" t="str">
        <f>IFERROR(__xludf.DUMMYFUNCTION("""COMPUTED_VALUE"""),"STRATOS HSSD")</f>
        <v>STRATOS HSSD</v>
      </c>
      <c r="G1585" s="490"/>
      <c r="H1585" s="490"/>
      <c r="I1585" s="490"/>
      <c r="J1585" s="588"/>
      <c r="K1585" s="490"/>
      <c r="L1585" s="490"/>
      <c r="M1585" s="490"/>
      <c r="N1585" s="490"/>
      <c r="O1585" s="490"/>
      <c r="P1585" s="490" t="s">
        <v>6221</v>
      </c>
    </row>
    <row r="1586">
      <c r="A1586" s="490"/>
      <c r="B1586" s="490"/>
      <c r="C1586" s="490"/>
      <c r="D1586" s="490"/>
      <c r="E1586" s="593" t="str">
        <f>IFERROR(__xludf.DUMMYFUNCTION("""COMPUTED_VALUE"""),"KIKOS")</f>
        <v>KIKOS</v>
      </c>
      <c r="F1586" s="593" t="str">
        <f>IFERROR(__xludf.DUMMYFUNCTION("""COMPUTED_VALUE"""),"STAIR CLIMBER")</f>
        <v>STAIR CLIMBER</v>
      </c>
      <c r="G1586" s="490"/>
      <c r="H1586" s="490"/>
      <c r="I1586" s="490"/>
      <c r="J1586" s="588"/>
      <c r="K1586" s="490"/>
      <c r="L1586" s="490"/>
      <c r="M1586" s="490"/>
      <c r="N1586" s="490"/>
      <c r="O1586" s="490"/>
      <c r="P1586" s="490" t="s">
        <v>6224</v>
      </c>
    </row>
    <row r="1587">
      <c r="A1587" s="490"/>
      <c r="B1587" s="490"/>
      <c r="C1587" s="490"/>
      <c r="D1587" s="490"/>
      <c r="E1587" s="593" t="str">
        <f>IFERROR(__xludf.DUMMYFUNCTION("""COMPUTED_VALUE"""),"KIKOS")</f>
        <v>KIKOS</v>
      </c>
      <c r="F1587" s="593" t="str">
        <f>IFERROR(__xludf.DUMMYFUNCTION("""COMPUTED_VALUE"""),"KX9500 PRO")</f>
        <v>KX9500 PRO</v>
      </c>
      <c r="G1587" s="490"/>
      <c r="H1587" s="490"/>
      <c r="I1587" s="490"/>
      <c r="J1587" s="588"/>
      <c r="K1587" s="490"/>
      <c r="L1587" s="490"/>
      <c r="M1587" s="490"/>
      <c r="N1587" s="490"/>
      <c r="O1587" s="490"/>
      <c r="P1587" s="490" t="s">
        <v>6227</v>
      </c>
    </row>
    <row r="1588">
      <c r="A1588" s="490"/>
      <c r="B1588" s="490"/>
      <c r="C1588" s="490"/>
      <c r="D1588" s="490"/>
      <c r="E1588" s="593" t="str">
        <f>IFERROR(__xludf.DUMMYFUNCTION("""COMPUTED_VALUE"""),"KINETIC")</f>
        <v>KINETIC</v>
      </c>
      <c r="F1588" s="593" t="str">
        <f>IFERROR(__xludf.DUMMYFUNCTION("""COMPUTED_VALUE"""),"CUSTOM")</f>
        <v>CUSTOM</v>
      </c>
      <c r="G1588" s="490"/>
      <c r="H1588" s="490"/>
      <c r="I1588" s="490"/>
      <c r="J1588" s="588"/>
      <c r="K1588" s="490"/>
      <c r="L1588" s="490"/>
      <c r="M1588" s="490"/>
      <c r="N1588" s="490"/>
      <c r="O1588" s="490"/>
      <c r="P1588" s="490" t="s">
        <v>6230</v>
      </c>
    </row>
    <row r="1589">
      <c r="A1589" s="490"/>
      <c r="B1589" s="490"/>
      <c r="C1589" s="490"/>
      <c r="D1589" s="490"/>
      <c r="E1589" s="593" t="str">
        <f>IFERROR(__xludf.DUMMYFUNCTION("""COMPUTED_VALUE"""),"KMC CONTROLS")</f>
        <v>KMC CONTROLS</v>
      </c>
      <c r="F1589" s="593" t="str">
        <f>IFERROR(__xludf.DUMMYFUNCTION("""COMPUTED_VALUE"""),"BAC-5050")</f>
        <v>BAC-5050</v>
      </c>
      <c r="G1589" s="490"/>
      <c r="H1589" s="490"/>
      <c r="I1589" s="490"/>
      <c r="J1589" s="588"/>
      <c r="K1589" s="490"/>
      <c r="L1589" s="490"/>
      <c r="M1589" s="490"/>
      <c r="N1589" s="490"/>
      <c r="O1589" s="490"/>
      <c r="P1589" s="490" t="s">
        <v>6233</v>
      </c>
    </row>
    <row r="1590">
      <c r="A1590" s="490"/>
      <c r="B1590" s="490"/>
      <c r="C1590" s="490"/>
      <c r="D1590" s="490"/>
      <c r="E1590" s="593" t="str">
        <f>IFERROR(__xludf.DUMMYFUNCTION("""COMPUTED_VALUE"""),"KMC CONTROLS")</f>
        <v>KMC CONTROLS</v>
      </c>
      <c r="F1590" s="593" t="str">
        <f>IFERROR(__xludf.DUMMYFUNCTION("""COMPUTED_VALUE"""),"BAC-5051E")</f>
        <v>BAC-5051E</v>
      </c>
      <c r="G1590" s="490"/>
      <c r="H1590" s="490"/>
      <c r="I1590" s="490"/>
      <c r="J1590" s="588"/>
      <c r="K1590" s="490"/>
      <c r="L1590" s="490"/>
      <c r="M1590" s="490"/>
      <c r="N1590" s="490"/>
      <c r="O1590" s="490"/>
      <c r="P1590" s="490" t="s">
        <v>6236</v>
      </c>
    </row>
    <row r="1591">
      <c r="A1591" s="490"/>
      <c r="B1591" s="490"/>
      <c r="C1591" s="490"/>
      <c r="D1591" s="490"/>
      <c r="E1591" s="593" t="str">
        <f>IFERROR(__xludf.DUMMYFUNCTION("""COMPUTED_VALUE"""),"KMC CONTROLS")</f>
        <v>KMC CONTROLS</v>
      </c>
      <c r="F1591" s="593" t="str">
        <f>IFERROR(__xludf.DUMMYFUNCTION("""COMPUTED_VALUE"""),"5901CE")</f>
        <v>5901CE</v>
      </c>
      <c r="G1591" s="490"/>
      <c r="H1591" s="490"/>
      <c r="I1591" s="490"/>
      <c r="J1591" s="588"/>
      <c r="K1591" s="490"/>
      <c r="L1591" s="490"/>
      <c r="M1591" s="490"/>
      <c r="N1591" s="490"/>
      <c r="O1591" s="490"/>
      <c r="P1591" s="490" t="s">
        <v>6239</v>
      </c>
    </row>
    <row r="1592">
      <c r="A1592" s="490"/>
      <c r="B1592" s="490"/>
      <c r="C1592" s="490"/>
      <c r="D1592" s="490"/>
      <c r="E1592" s="593" t="str">
        <f>IFERROR(__xludf.DUMMYFUNCTION("""COMPUTED_VALUE"""),"KMC CONTROLS")</f>
        <v>KMC CONTROLS</v>
      </c>
      <c r="F1592" s="593" t="str">
        <f>IFERROR(__xludf.DUMMYFUNCTION("""COMPUTED_VALUE"""),"5901CE")</f>
        <v>5901CE</v>
      </c>
      <c r="G1592" s="490"/>
      <c r="H1592" s="490"/>
      <c r="I1592" s="490"/>
      <c r="J1592" s="588"/>
      <c r="K1592" s="490"/>
      <c r="L1592" s="490"/>
      <c r="M1592" s="490"/>
      <c r="N1592" s="490"/>
      <c r="O1592" s="490"/>
      <c r="P1592" s="490" t="s">
        <v>6242</v>
      </c>
    </row>
    <row r="1593">
      <c r="A1593" s="490"/>
      <c r="B1593" s="490"/>
      <c r="C1593" s="490"/>
      <c r="D1593" s="490"/>
      <c r="E1593" s="593" t="str">
        <f>IFERROR(__xludf.DUMMYFUNCTION("""COMPUTED_VALUE"""),"KMC CONTROLS")</f>
        <v>KMC CONTROLS</v>
      </c>
      <c r="F1593" s="593" t="str">
        <f>IFERROR(__xludf.DUMMYFUNCTION("""COMPUTED_VALUE"""),"MT1V2")</f>
        <v>MT1V2</v>
      </c>
      <c r="G1593" s="490"/>
      <c r="H1593" s="490"/>
      <c r="I1593" s="490"/>
      <c r="J1593" s="588"/>
      <c r="K1593" s="490"/>
      <c r="L1593" s="490"/>
      <c r="M1593" s="490"/>
      <c r="N1593" s="490"/>
      <c r="O1593" s="490"/>
      <c r="P1593" s="490" t="s">
        <v>3205</v>
      </c>
    </row>
    <row r="1594">
      <c r="A1594" s="490"/>
      <c r="B1594" s="490"/>
      <c r="C1594" s="490"/>
      <c r="D1594" s="490"/>
      <c r="E1594" s="593" t="str">
        <f>IFERROR(__xludf.DUMMYFUNCTION("""COMPUTED_VALUE"""),"KONAMI")</f>
        <v>KONAMI</v>
      </c>
      <c r="F1594" s="593" t="str">
        <f>IFERROR(__xludf.DUMMYFUNCTION("""COMPUTED_VALUE"""),"GQTDJ-JA")</f>
        <v>GQTDJ-JA</v>
      </c>
      <c r="G1594" s="490"/>
      <c r="H1594" s="490"/>
      <c r="I1594" s="490"/>
      <c r="J1594" s="588"/>
      <c r="K1594" s="490"/>
      <c r="L1594" s="490"/>
      <c r="M1594" s="490"/>
      <c r="N1594" s="490"/>
      <c r="O1594" s="490"/>
      <c r="P1594" s="490" t="s">
        <v>6245</v>
      </c>
    </row>
    <row r="1595">
      <c r="A1595" s="490"/>
      <c r="B1595" s="490"/>
      <c r="C1595" s="490"/>
      <c r="D1595" s="490"/>
      <c r="E1595" s="593" t="str">
        <f>IFERROR(__xludf.DUMMYFUNCTION("""COMPUTED_VALUE"""),"KONAMI")</f>
        <v>KONAMI</v>
      </c>
      <c r="F1595" s="593" t="str">
        <f>IFERROR(__xludf.DUMMYFUNCTION("""COMPUTED_VALUE"""),"GQMDX-JA")</f>
        <v>GQMDX-JA</v>
      </c>
      <c r="G1595" s="490"/>
      <c r="H1595" s="490"/>
      <c r="I1595" s="490"/>
      <c r="J1595" s="588"/>
      <c r="K1595" s="490"/>
      <c r="L1595" s="490"/>
      <c r="M1595" s="490"/>
      <c r="N1595" s="490"/>
      <c r="O1595" s="490"/>
      <c r="P1595" s="490" t="s">
        <v>6248</v>
      </c>
    </row>
    <row r="1596">
      <c r="A1596" s="490"/>
      <c r="B1596" s="490"/>
      <c r="C1596" s="490"/>
      <c r="D1596" s="490"/>
      <c r="E1596" s="593" t="str">
        <f>IFERROR(__xludf.DUMMYFUNCTION("""COMPUTED_VALUE"""),"KONAMI")</f>
        <v>KONAMI</v>
      </c>
      <c r="F1596" s="593" t="str">
        <f>IFERROR(__xludf.DUMMYFUNCTION("""COMPUTED_VALUE"""),"GNF14-JA")</f>
        <v>GNF14-JA</v>
      </c>
      <c r="G1596" s="490"/>
      <c r="H1596" s="490"/>
      <c r="I1596" s="490"/>
      <c r="J1596" s="588"/>
      <c r="K1596" s="490"/>
      <c r="L1596" s="490"/>
      <c r="M1596" s="490"/>
      <c r="N1596" s="490"/>
      <c r="O1596" s="490"/>
      <c r="P1596" s="490" t="s">
        <v>6251</v>
      </c>
    </row>
    <row r="1597">
      <c r="A1597" s="490"/>
      <c r="B1597" s="490"/>
      <c r="C1597" s="490"/>
      <c r="D1597" s="490"/>
      <c r="E1597" s="593" t="str">
        <f>IFERROR(__xludf.DUMMYFUNCTION("""COMPUTED_VALUE"""),"KONE")</f>
        <v>KONE</v>
      </c>
      <c r="F1597" s="593" t="str">
        <f>IFERROR(__xludf.DUMMYFUNCTION("""COMPUTED_VALUE"""),"CEF-11")</f>
        <v>CEF-11</v>
      </c>
      <c r="G1597" s="490"/>
      <c r="H1597" s="490"/>
      <c r="I1597" s="490"/>
      <c r="J1597" s="588"/>
      <c r="K1597" s="490"/>
      <c r="L1597" s="490"/>
      <c r="M1597" s="490"/>
      <c r="N1597" s="490"/>
      <c r="O1597" s="490"/>
      <c r="P1597" s="490" t="s">
        <v>6254</v>
      </c>
    </row>
    <row r="1598">
      <c r="A1598" s="490"/>
      <c r="B1598" s="490"/>
      <c r="C1598" s="490"/>
      <c r="D1598" s="490"/>
      <c r="E1598" s="593" t="str">
        <f>IFERROR(__xludf.DUMMYFUNCTION("""COMPUTED_VALUE"""),"KONE")</f>
        <v>KONE</v>
      </c>
      <c r="F1598" s="593" t="str">
        <f>IFERROR(__xludf.DUMMYFUNCTION("""COMPUTED_VALUE"""),"GROUP CONTROL COMPUTER")</f>
        <v>GROUP CONTROL COMPUTER</v>
      </c>
      <c r="G1598" s="490"/>
      <c r="H1598" s="490"/>
      <c r="I1598" s="490"/>
      <c r="J1598" s="588"/>
      <c r="K1598" s="490"/>
      <c r="L1598" s="490"/>
      <c r="M1598" s="490"/>
      <c r="N1598" s="490"/>
      <c r="O1598" s="490"/>
      <c r="P1598" s="490" t="s">
        <v>6257</v>
      </c>
    </row>
    <row r="1599">
      <c r="A1599" s="490"/>
      <c r="B1599" s="490"/>
      <c r="C1599" s="490"/>
      <c r="D1599" s="490"/>
      <c r="E1599" s="593" t="str">
        <f>IFERROR(__xludf.DUMMYFUNCTION("""COMPUTED_VALUE"""),"KONE")</f>
        <v>KONE</v>
      </c>
      <c r="F1599" s="593" t="str">
        <f>IFERROR(__xludf.DUMMYFUNCTION("""COMPUTED_VALUE"""),"KM1343770G11")</f>
        <v>KM1343770G11</v>
      </c>
      <c r="G1599" s="490"/>
      <c r="H1599" s="490"/>
      <c r="I1599" s="490"/>
      <c r="J1599" s="588"/>
      <c r="K1599" s="490"/>
      <c r="L1599" s="490"/>
      <c r="M1599" s="490"/>
      <c r="N1599" s="490"/>
      <c r="O1599" s="490"/>
      <c r="P1599" s="490" t="s">
        <v>6260</v>
      </c>
    </row>
    <row r="1600">
      <c r="A1600" s="490"/>
      <c r="B1600" s="490"/>
      <c r="C1600" s="490"/>
      <c r="D1600" s="490"/>
      <c r="E1600" s="593" t="str">
        <f>IFERROR(__xludf.DUMMYFUNCTION("""COMPUTED_VALUE"""),"KONE")</f>
        <v>KONE</v>
      </c>
      <c r="F1600" s="593" t="str">
        <f>IFERROR(__xludf.DUMMYFUNCTION("""COMPUTED_VALUE"""),"KCEAPM 771")</f>
        <v>KCEAPM 771</v>
      </c>
      <c r="G1600" s="490"/>
      <c r="H1600" s="490"/>
      <c r="I1600" s="490"/>
      <c r="J1600" s="588"/>
      <c r="K1600" s="490"/>
      <c r="L1600" s="490"/>
      <c r="M1600" s="490"/>
      <c r="N1600" s="490"/>
      <c r="O1600" s="490"/>
      <c r="P1600" s="490" t="s">
        <v>6263</v>
      </c>
    </row>
    <row r="1601">
      <c r="A1601" s="490"/>
      <c r="B1601" s="490"/>
      <c r="C1601" s="490"/>
      <c r="D1601" s="490"/>
      <c r="E1601" s="593" t="str">
        <f>IFERROR(__xludf.DUMMYFUNCTION("""COMPUTED_VALUE"""),"KOOLAIR")</f>
        <v>KOOLAIR</v>
      </c>
      <c r="F1601" s="593" t="str">
        <f>IFERROR(__xludf.DUMMYFUNCTION("""COMPUTED_VALUE"""),"SCFRPD")</f>
        <v>SCFRPD</v>
      </c>
      <c r="G1601" s="490"/>
      <c r="H1601" s="490"/>
      <c r="I1601" s="490"/>
      <c r="J1601" s="588"/>
      <c r="K1601" s="490"/>
      <c r="L1601" s="490"/>
      <c r="M1601" s="490"/>
      <c r="N1601" s="490"/>
      <c r="O1601" s="490"/>
      <c r="P1601" s="490" t="s">
        <v>6266</v>
      </c>
    </row>
    <row r="1602">
      <c r="A1602" s="490"/>
      <c r="B1602" s="490"/>
      <c r="C1602" s="490"/>
      <c r="D1602" s="490"/>
      <c r="E1602" s="593" t="str">
        <f>IFERROR(__xludf.DUMMYFUNCTION("""COMPUTED_VALUE"""),"KOOLAIR")</f>
        <v>KOOLAIR</v>
      </c>
      <c r="F1602" s="593" t="str">
        <f>IFERROR(__xludf.DUMMYFUNCTION("""COMPUTED_VALUE"""),"SCFRPD")</f>
        <v>SCFRPD</v>
      </c>
      <c r="G1602" s="490"/>
      <c r="H1602" s="490"/>
      <c r="I1602" s="490"/>
      <c r="J1602" s="588"/>
      <c r="K1602" s="490"/>
      <c r="L1602" s="490"/>
      <c r="M1602" s="490"/>
      <c r="N1602" s="490"/>
      <c r="O1602" s="490"/>
      <c r="P1602" s="490" t="s">
        <v>6269</v>
      </c>
    </row>
    <row r="1603">
      <c r="A1603" s="490"/>
      <c r="B1603" s="490"/>
      <c r="C1603" s="490"/>
      <c r="D1603" s="490"/>
      <c r="E1603" s="593" t="str">
        <f>IFERROR(__xludf.DUMMYFUNCTION("""COMPUTED_VALUE"""),"KORENIX")</f>
        <v>KORENIX</v>
      </c>
      <c r="F1603" s="593" t="str">
        <f>IFERROR(__xludf.DUMMYFUNCTION("""COMPUTED_VALUE"""),"JETNET 2005")</f>
        <v>JETNET 2005</v>
      </c>
      <c r="G1603" s="490"/>
      <c r="H1603" s="490"/>
      <c r="I1603" s="490"/>
      <c r="J1603" s="588"/>
      <c r="K1603" s="490"/>
      <c r="L1603" s="490"/>
      <c r="M1603" s="490"/>
      <c r="N1603" s="490"/>
      <c r="O1603" s="490"/>
      <c r="P1603" s="490" t="s">
        <v>6272</v>
      </c>
    </row>
    <row r="1604">
      <c r="A1604" s="490"/>
      <c r="B1604" s="490"/>
      <c r="C1604" s="490"/>
      <c r="D1604" s="490"/>
      <c r="E1604" s="593" t="str">
        <f>IFERROR(__xludf.DUMMYFUNCTION("""COMPUTED_VALUE"""),"KREA")</f>
        <v>KREA</v>
      </c>
      <c r="F1604" s="593" t="str">
        <f>IFERROR(__xludf.DUMMYFUNCTION("""COMPUTED_VALUE"""),"NECTA Z4000")</f>
        <v>NECTA Z4000</v>
      </c>
      <c r="G1604" s="490"/>
      <c r="H1604" s="490"/>
      <c r="I1604" s="490"/>
      <c r="J1604" s="588"/>
      <c r="K1604" s="490"/>
      <c r="L1604" s="490"/>
      <c r="M1604" s="490"/>
      <c r="N1604" s="490"/>
      <c r="O1604" s="490"/>
      <c r="P1604" s="490" t="s">
        <v>3208</v>
      </c>
    </row>
    <row r="1605">
      <c r="A1605" s="490"/>
      <c r="B1605" s="490"/>
      <c r="C1605" s="490"/>
      <c r="D1605" s="490"/>
      <c r="E1605" s="593" t="str">
        <f>IFERROR(__xludf.DUMMYFUNCTION("""COMPUTED_VALUE"""),"KROHNE")</f>
        <v>KROHNE</v>
      </c>
      <c r="F1605" s="593" t="str">
        <f>IFERROR(__xludf.DUMMYFUNCTION("""COMPUTED_VALUE"""),"A-FE 400")</f>
        <v>A-FE 400</v>
      </c>
      <c r="G1605" s="490"/>
      <c r="H1605" s="490"/>
      <c r="I1605" s="490"/>
      <c r="J1605" s="588"/>
      <c r="K1605" s="490"/>
      <c r="L1605" s="490"/>
      <c r="M1605" s="490"/>
      <c r="N1605" s="490"/>
      <c r="O1605" s="490"/>
      <c r="P1605" s="490" t="s">
        <v>6275</v>
      </c>
    </row>
    <row r="1606">
      <c r="A1606" s="490"/>
      <c r="B1606" s="490"/>
      <c r="C1606" s="490"/>
      <c r="D1606" s="490"/>
      <c r="E1606" s="593" t="str">
        <f>IFERROR(__xludf.DUMMYFUNCTION("""COMPUTED_VALUE"""),"KRONOS")</f>
        <v>KRONOS</v>
      </c>
      <c r="F1606" s="593" t="str">
        <f>IFERROR(__xludf.DUMMYFUNCTION("""COMPUTED_VALUE"""),"INTOUCH 9100")</f>
        <v>INTOUCH 9100</v>
      </c>
      <c r="G1606" s="490"/>
      <c r="H1606" s="490"/>
      <c r="I1606" s="490"/>
      <c r="J1606" s="588"/>
      <c r="K1606" s="490"/>
      <c r="L1606" s="490"/>
      <c r="M1606" s="490"/>
      <c r="N1606" s="490"/>
      <c r="O1606" s="490"/>
      <c r="P1606" s="490" t="s">
        <v>6278</v>
      </c>
    </row>
    <row r="1607">
      <c r="A1607" s="490"/>
      <c r="B1607" s="490"/>
      <c r="C1607" s="490"/>
      <c r="D1607" s="490"/>
      <c r="E1607" s="593" t="str">
        <f>IFERROR(__xludf.DUMMYFUNCTION("""COMPUTED_VALUE"""),"KRONOS/ADP")</f>
        <v>KRONOS/ADP</v>
      </c>
      <c r="F1607" s="593" t="str">
        <f>IFERROR(__xludf.DUMMYFUNCTION("""COMPUTED_VALUE"""),"INTOUCH 9100")</f>
        <v>INTOUCH 9100</v>
      </c>
      <c r="G1607" s="490"/>
      <c r="H1607" s="490"/>
      <c r="I1607" s="490"/>
      <c r="J1607" s="588"/>
      <c r="K1607" s="490"/>
      <c r="L1607" s="490"/>
      <c r="M1607" s="490"/>
      <c r="N1607" s="490"/>
      <c r="O1607" s="490"/>
      <c r="P1607" s="490" t="s">
        <v>6281</v>
      </c>
    </row>
    <row r="1608">
      <c r="A1608" s="490"/>
      <c r="B1608" s="490"/>
      <c r="C1608" s="490"/>
      <c r="D1608" s="490"/>
      <c r="E1608" s="593" t="str">
        <f>IFERROR(__xludf.DUMMYFUNCTION("""COMPUTED_VALUE"""),"KRUGER")</f>
        <v>KRUGER</v>
      </c>
      <c r="F1608" s="593" t="str">
        <f>IFERROR(__xludf.DUMMYFUNCTION("""COMPUTED_VALUE"""),"CCE 7-7 4P-1")</f>
        <v>CCE 7-7 4P-1</v>
      </c>
      <c r="G1608" s="490"/>
      <c r="H1608" s="490"/>
      <c r="I1608" s="490"/>
      <c r="J1608" s="588"/>
      <c r="K1608" s="490"/>
      <c r="L1608" s="490"/>
      <c r="M1608" s="490"/>
      <c r="N1608" s="490"/>
      <c r="O1608" s="490"/>
      <c r="P1608" s="490" t="s">
        <v>6284</v>
      </c>
    </row>
    <row r="1609">
      <c r="A1609" s="490"/>
      <c r="B1609" s="490"/>
      <c r="C1609" s="490"/>
      <c r="D1609" s="490"/>
      <c r="E1609" s="593" t="str">
        <f>IFERROR(__xludf.DUMMYFUNCTION("""COMPUTED_VALUE"""),"KRUGER")</f>
        <v>KRUGER</v>
      </c>
      <c r="F1609" s="593" t="str">
        <f>IFERROR(__xludf.DUMMYFUNCTION("""COMPUTED_VALUE"""),"TSK II SERIES")</f>
        <v>TSK II SERIES</v>
      </c>
      <c r="G1609" s="490"/>
      <c r="H1609" s="490"/>
      <c r="I1609" s="490"/>
      <c r="J1609" s="588"/>
      <c r="K1609" s="490"/>
      <c r="L1609" s="490"/>
      <c r="M1609" s="490"/>
      <c r="N1609" s="490"/>
      <c r="O1609" s="490"/>
      <c r="P1609" s="490" t="s">
        <v>6287</v>
      </c>
    </row>
    <row r="1610">
      <c r="A1610" s="490"/>
      <c r="B1610" s="490"/>
      <c r="C1610" s="490"/>
      <c r="D1610" s="490"/>
      <c r="E1610" s="593" t="str">
        <f>IFERROR(__xludf.DUMMYFUNCTION("""COMPUTED_VALUE"""),"KRUGER")</f>
        <v>KRUGER</v>
      </c>
      <c r="F1610" s="593" t="str">
        <f>IFERROR(__xludf.DUMMYFUNCTION("""COMPUTED_VALUE"""),"CFT SERIES")</f>
        <v>CFT SERIES</v>
      </c>
      <c r="G1610" s="490"/>
      <c r="H1610" s="490"/>
      <c r="I1610" s="490"/>
      <c r="J1610" s="588"/>
      <c r="K1610" s="490"/>
      <c r="L1610" s="490"/>
      <c r="M1610" s="490"/>
      <c r="N1610" s="490"/>
      <c r="O1610" s="490"/>
      <c r="P1610" s="490" t="s">
        <v>6289</v>
      </c>
    </row>
    <row r="1611">
      <c r="A1611" s="490"/>
      <c r="B1611" s="490"/>
      <c r="C1611" s="490"/>
      <c r="D1611" s="490"/>
      <c r="E1611" s="593" t="str">
        <f>IFERROR(__xludf.DUMMYFUNCTION("""COMPUTED_VALUE"""),"KRUGER")</f>
        <v>KRUGER</v>
      </c>
      <c r="F1611" s="593" t="str">
        <f>IFERROR(__xludf.DUMMYFUNCTION("""COMPUTED_VALUE"""),"TSK II SERIES")</f>
        <v>TSK II SERIES</v>
      </c>
      <c r="G1611" s="490"/>
      <c r="H1611" s="490"/>
      <c r="I1611" s="490"/>
      <c r="J1611" s="588"/>
      <c r="K1611" s="490"/>
      <c r="L1611" s="490"/>
      <c r="M1611" s="490"/>
      <c r="N1611" s="490"/>
      <c r="O1611" s="490"/>
      <c r="P1611" s="490" t="s">
        <v>6292</v>
      </c>
    </row>
    <row r="1612">
      <c r="A1612" s="490"/>
      <c r="B1612" s="490"/>
      <c r="C1612" s="490"/>
      <c r="D1612" s="490"/>
      <c r="E1612" s="593" t="str">
        <f>IFERROR(__xludf.DUMMYFUNCTION("""COMPUTED_VALUE"""),"KSENIA")</f>
        <v>KSENIA</v>
      </c>
      <c r="F1612" s="593" t="str">
        <f>IFERROR(__xludf.DUMMYFUNCTION("""COMPUTED_VALUE"""),"NOT VERIFIED")</f>
        <v>NOT VERIFIED</v>
      </c>
      <c r="G1612" s="490"/>
      <c r="H1612" s="490"/>
      <c r="I1612" s="490"/>
      <c r="J1612" s="588"/>
      <c r="K1612" s="490"/>
      <c r="L1612" s="490"/>
      <c r="M1612" s="490"/>
      <c r="N1612" s="490"/>
      <c r="O1612" s="490"/>
      <c r="P1612" s="490" t="s">
        <v>6295</v>
      </c>
    </row>
    <row r="1613">
      <c r="A1613" s="490"/>
      <c r="B1613" s="490"/>
      <c r="C1613" s="490"/>
      <c r="D1613" s="490"/>
      <c r="E1613" s="593" t="str">
        <f>IFERROR(__xludf.DUMMYFUNCTION("""COMPUTED_VALUE"""),"KYLAND")</f>
        <v>KYLAND</v>
      </c>
      <c r="F1613" s="593" t="str">
        <f>IFERROR(__xludf.DUMMYFUNCTION("""COMPUTED_VALUE"""),"OPAL5-E-5T-LV-LV")</f>
        <v>OPAL5-E-5T-LV-LV</v>
      </c>
      <c r="G1613" s="490"/>
      <c r="H1613" s="490"/>
      <c r="I1613" s="490"/>
      <c r="J1613" s="588"/>
      <c r="K1613" s="490"/>
      <c r="L1613" s="490"/>
      <c r="M1613" s="490"/>
      <c r="N1613" s="490"/>
      <c r="O1613" s="490"/>
      <c r="P1613" s="490" t="s">
        <v>6298</v>
      </c>
    </row>
    <row r="1614">
      <c r="A1614" s="490"/>
      <c r="B1614" s="490"/>
      <c r="C1614" s="490"/>
      <c r="D1614" s="490"/>
      <c r="E1614" s="593" t="str">
        <f>IFERROR(__xludf.DUMMYFUNCTION("""COMPUTED_VALUE"""),"LA CIMBALI")</f>
        <v>LA CIMBALI</v>
      </c>
      <c r="F1614" s="593" t="str">
        <f>IFERROR(__xludf.DUMMYFUNCTION("""COMPUTED_VALUE"""),"S20")</f>
        <v>S20</v>
      </c>
      <c r="G1614" s="490"/>
      <c r="H1614" s="490"/>
      <c r="I1614" s="490"/>
      <c r="J1614" s="588"/>
      <c r="K1614" s="490"/>
      <c r="L1614" s="490"/>
      <c r="M1614" s="490"/>
      <c r="N1614" s="490"/>
      <c r="O1614" s="490"/>
      <c r="P1614" s="490" t="s">
        <v>6301</v>
      </c>
    </row>
    <row r="1615">
      <c r="A1615" s="490"/>
      <c r="B1615" s="490"/>
      <c r="C1615" s="490"/>
      <c r="D1615" s="490"/>
      <c r="E1615" s="593" t="str">
        <f>IFERROR(__xludf.DUMMYFUNCTION("""COMPUTED_VALUE"""),"LA CIMBALI")</f>
        <v>LA CIMBALI</v>
      </c>
      <c r="F1615" s="593" t="str">
        <f>IFERROR(__xludf.DUMMYFUNCTION("""COMPUTED_VALUE"""),"S30")</f>
        <v>S30</v>
      </c>
      <c r="G1615" s="490"/>
      <c r="H1615" s="490"/>
      <c r="I1615" s="490"/>
      <c r="J1615" s="588"/>
      <c r="K1615" s="490"/>
      <c r="L1615" s="490"/>
      <c r="M1615" s="490"/>
      <c r="N1615" s="490"/>
      <c r="O1615" s="490"/>
      <c r="P1615" s="490" t="s">
        <v>3211</v>
      </c>
    </row>
    <row r="1616">
      <c r="A1616" s="490"/>
      <c r="B1616" s="490"/>
      <c r="C1616" s="490"/>
      <c r="D1616" s="490"/>
      <c r="E1616" s="593" t="str">
        <f>IFERROR(__xludf.DUMMYFUNCTION("""COMPUTED_VALUE"""),"LA CIMBALI")</f>
        <v>LA CIMBALI</v>
      </c>
      <c r="F1616" s="593" t="str">
        <f>IFERROR(__xludf.DUMMYFUNCTION("""COMPUTED_VALUE"""),"S15")</f>
        <v>S15</v>
      </c>
      <c r="G1616" s="490"/>
      <c r="H1616" s="490"/>
      <c r="I1616" s="490"/>
      <c r="J1616" s="588"/>
      <c r="K1616" s="490"/>
      <c r="L1616" s="490"/>
      <c r="M1616" s="490"/>
      <c r="N1616" s="490"/>
      <c r="O1616" s="490"/>
      <c r="P1616" s="490" t="s">
        <v>6304</v>
      </c>
    </row>
    <row r="1617">
      <c r="A1617" s="490"/>
      <c r="B1617" s="490"/>
      <c r="C1617" s="490"/>
      <c r="D1617" s="490"/>
      <c r="E1617" s="593" t="str">
        <f>IFERROR(__xludf.DUMMYFUNCTION("""COMPUTED_VALUE"""),"LANBIT")</f>
        <v>LANBIT</v>
      </c>
      <c r="F1617" s="593" t="str">
        <f>IFERROR(__xludf.DUMMYFUNCTION("""COMPUTED_VALUE"""),"NOT VERIFIED")</f>
        <v>NOT VERIFIED</v>
      </c>
      <c r="G1617" s="490"/>
      <c r="H1617" s="490"/>
      <c r="I1617" s="490"/>
      <c r="J1617" s="588"/>
      <c r="K1617" s="490"/>
      <c r="L1617" s="490"/>
      <c r="M1617" s="490"/>
      <c r="N1617" s="490"/>
      <c r="O1617" s="490"/>
      <c r="P1617" s="490" t="s">
        <v>6307</v>
      </c>
    </row>
    <row r="1618">
      <c r="A1618" s="490"/>
      <c r="B1618" s="490"/>
      <c r="C1618" s="490"/>
      <c r="D1618" s="490"/>
      <c r="E1618" s="593" t="str">
        <f>IFERROR(__xludf.DUMMYFUNCTION("""COMPUTED_VALUE"""),"LANDIS+GYR")</f>
        <v>LANDIS+GYR</v>
      </c>
      <c r="F1618" s="593" t="str">
        <f>IFERROR(__xludf.DUMMYFUNCTION("""COMPUTED_VALUE"""),"UH50")</f>
        <v>UH50</v>
      </c>
      <c r="G1618" s="490"/>
      <c r="H1618" s="490"/>
      <c r="I1618" s="490"/>
      <c r="J1618" s="588"/>
      <c r="K1618" s="490"/>
      <c r="L1618" s="490"/>
      <c r="M1618" s="490"/>
      <c r="N1618" s="490"/>
      <c r="O1618" s="490"/>
      <c r="P1618" s="490" t="s">
        <v>6310</v>
      </c>
    </row>
    <row r="1619">
      <c r="A1619" s="490"/>
      <c r="B1619" s="490"/>
      <c r="C1619" s="490"/>
      <c r="D1619" s="490"/>
      <c r="E1619" s="593" t="str">
        <f>IFERROR(__xludf.DUMMYFUNCTION("""COMPUTED_VALUE"""),"LANDISGY")</f>
        <v>LANDISGY</v>
      </c>
      <c r="F1619" s="593" t="str">
        <f>IFERROR(__xludf.DUMMYFUNCTION("""COMPUTED_VALUE"""),"UH 50")</f>
        <v>UH 50</v>
      </c>
      <c r="G1619" s="490"/>
      <c r="H1619" s="490"/>
      <c r="I1619" s="490"/>
      <c r="J1619" s="588"/>
      <c r="K1619" s="490"/>
      <c r="L1619" s="490"/>
      <c r="M1619" s="490"/>
      <c r="N1619" s="490"/>
      <c r="O1619" s="490"/>
      <c r="P1619" s="490" t="s">
        <v>6313</v>
      </c>
    </row>
    <row r="1620">
      <c r="A1620" s="490"/>
      <c r="B1620" s="490"/>
      <c r="C1620" s="490"/>
      <c r="D1620" s="490"/>
      <c r="E1620" s="593" t="str">
        <f>IFERROR(__xludf.DUMMYFUNCTION("""COMPUTED_VALUE"""),"LANTRONIX")</f>
        <v>LANTRONIX</v>
      </c>
      <c r="F1620" s="593" t="str">
        <f>IFERROR(__xludf.DUMMYFUNCTION("""COMPUTED_VALUE"""),"NOT VERIFIED")</f>
        <v>NOT VERIFIED</v>
      </c>
      <c r="G1620" s="490"/>
      <c r="H1620" s="490"/>
      <c r="I1620" s="490"/>
      <c r="J1620" s="588"/>
      <c r="K1620" s="490"/>
      <c r="L1620" s="490"/>
      <c r="M1620" s="490"/>
      <c r="N1620" s="490"/>
      <c r="O1620" s="490"/>
      <c r="P1620" s="490" t="s">
        <v>6316</v>
      </c>
    </row>
    <row r="1621">
      <c r="A1621" s="490"/>
      <c r="B1621" s="490"/>
      <c r="C1621" s="490"/>
      <c r="D1621" s="490"/>
      <c r="E1621" s="593" t="str">
        <f>IFERROR(__xludf.DUMMYFUNCTION("""COMPUTED_VALUE"""),"LB-LINK")</f>
        <v>LB-LINK</v>
      </c>
      <c r="F1621" s="593" t="str">
        <f>IFERROR(__xludf.DUMMYFUNCTION("""COMPUTED_VALUE"""),"BL-WR2000")</f>
        <v>BL-WR2000</v>
      </c>
      <c r="G1621" s="490"/>
      <c r="H1621" s="490"/>
      <c r="I1621" s="490"/>
      <c r="J1621" s="588"/>
      <c r="K1621" s="490"/>
      <c r="L1621" s="490"/>
      <c r="M1621" s="490"/>
      <c r="N1621" s="490"/>
      <c r="O1621" s="490"/>
      <c r="P1621" s="490" t="s">
        <v>6319</v>
      </c>
    </row>
    <row r="1622">
      <c r="A1622" s="490"/>
      <c r="B1622" s="490"/>
      <c r="C1622" s="490"/>
      <c r="D1622" s="490"/>
      <c r="E1622" s="593" t="str">
        <f>IFERROR(__xludf.DUMMYFUNCTION("""COMPUTED_VALUE"""),"LDE")</f>
        <v>LDE</v>
      </c>
      <c r="F1622" s="593" t="str">
        <f>IFERROR(__xludf.DUMMYFUNCTION("""COMPUTED_VALUE"""),"WORKS EB DIFUSA")</f>
        <v>WORKS EB DIFUSA</v>
      </c>
      <c r="G1622" s="490"/>
      <c r="H1622" s="490"/>
      <c r="I1622" s="490"/>
      <c r="J1622" s="588"/>
      <c r="K1622" s="490"/>
      <c r="L1622" s="490"/>
      <c r="M1622" s="490"/>
      <c r="N1622" s="490"/>
      <c r="O1622" s="490"/>
      <c r="P1622" s="490" t="s">
        <v>6322</v>
      </c>
    </row>
    <row r="1623">
      <c r="A1623" s="490"/>
      <c r="B1623" s="490"/>
      <c r="C1623" s="490"/>
      <c r="D1623" s="490"/>
      <c r="E1623" s="593" t="str">
        <f>IFERROR(__xludf.DUMMYFUNCTION("""COMPUTED_VALUE"""),"LEANPATH")</f>
        <v>LEANPATH</v>
      </c>
      <c r="F1623" s="593" t="str">
        <f>IFERROR(__xludf.DUMMYFUNCTION("""COMPUTED_VALUE"""),"LEAN PATH 360")</f>
        <v>LEAN PATH 360</v>
      </c>
      <c r="G1623" s="490"/>
      <c r="H1623" s="490"/>
      <c r="I1623" s="490"/>
      <c r="J1623" s="588"/>
      <c r="K1623" s="490"/>
      <c r="L1623" s="490"/>
      <c r="M1623" s="490"/>
      <c r="N1623" s="490"/>
      <c r="O1623" s="490"/>
      <c r="P1623" s="490" t="s">
        <v>6325</v>
      </c>
    </row>
    <row r="1624">
      <c r="A1624" s="490"/>
      <c r="B1624" s="490"/>
      <c r="C1624" s="490"/>
      <c r="D1624" s="490"/>
      <c r="E1624" s="593" t="str">
        <f>IFERROR(__xludf.DUMMYFUNCTION("""COMPUTED_VALUE"""),"LEANPATH")</f>
        <v>LEANPATH</v>
      </c>
      <c r="F1624" s="593" t="str">
        <f>IFERROR(__xludf.DUMMYFUNCTION("""COMPUTED_VALUE"""),"360 BENCH SCALE")</f>
        <v>360 BENCH SCALE</v>
      </c>
      <c r="G1624" s="490"/>
      <c r="H1624" s="490"/>
      <c r="I1624" s="490"/>
      <c r="J1624" s="588"/>
      <c r="K1624" s="490"/>
      <c r="L1624" s="490"/>
      <c r="M1624" s="490"/>
      <c r="N1624" s="490"/>
      <c r="O1624" s="490"/>
      <c r="P1624" s="490" t="s">
        <v>6328</v>
      </c>
    </row>
    <row r="1625">
      <c r="A1625" s="490"/>
      <c r="B1625" s="490"/>
      <c r="C1625" s="490"/>
      <c r="D1625" s="490"/>
      <c r="E1625" s="593" t="str">
        <f>IFERROR(__xludf.DUMMYFUNCTION("""COMPUTED_VALUE"""),"LEANPATH")</f>
        <v>LEANPATH</v>
      </c>
      <c r="F1625" s="593" t="str">
        <f>IFERROR(__xludf.DUMMYFUNCTION("""COMPUTED_VALUE"""),"360 BENCH SCALE")</f>
        <v>360 BENCH SCALE</v>
      </c>
      <c r="G1625" s="490"/>
      <c r="H1625" s="490"/>
      <c r="I1625" s="490"/>
      <c r="J1625" s="588"/>
      <c r="K1625" s="490"/>
      <c r="L1625" s="490"/>
      <c r="M1625" s="490"/>
      <c r="N1625" s="490"/>
      <c r="O1625" s="490"/>
      <c r="P1625" s="490" t="s">
        <v>6331</v>
      </c>
    </row>
    <row r="1626">
      <c r="A1626" s="490"/>
      <c r="B1626" s="490"/>
      <c r="C1626" s="490"/>
      <c r="D1626" s="490"/>
      <c r="E1626" s="593" t="str">
        <f>IFERROR(__xludf.DUMMYFUNCTION("""COMPUTED_VALUE"""),"LEANPATH")</f>
        <v>LEANPATH</v>
      </c>
      <c r="F1626" s="593" t="str">
        <f>IFERROR(__xludf.DUMMYFUNCTION("""COMPUTED_VALUE"""),"360 BENCH SCALE")</f>
        <v>360 BENCH SCALE</v>
      </c>
      <c r="G1626" s="490"/>
      <c r="H1626" s="490"/>
      <c r="I1626" s="490"/>
      <c r="J1626" s="588"/>
      <c r="K1626" s="490"/>
      <c r="L1626" s="490"/>
      <c r="M1626" s="490"/>
      <c r="N1626" s="490"/>
      <c r="O1626" s="490"/>
      <c r="P1626" s="490" t="s">
        <v>3213</v>
      </c>
    </row>
    <row r="1627">
      <c r="A1627" s="490"/>
      <c r="B1627" s="490"/>
      <c r="C1627" s="490"/>
      <c r="D1627" s="490"/>
      <c r="E1627" s="593" t="str">
        <f>IFERROR(__xludf.DUMMYFUNCTION("""COMPUTED_VALUE"""),"LEANPATH")</f>
        <v>LEANPATH</v>
      </c>
      <c r="F1627" s="593" t="str">
        <f>IFERROR(__xludf.DUMMYFUNCTION("""COMPUTED_VALUE"""),"360 BENCH SCALE")</f>
        <v>360 BENCH SCALE</v>
      </c>
      <c r="G1627" s="490"/>
      <c r="H1627" s="490"/>
      <c r="I1627" s="490"/>
      <c r="J1627" s="588"/>
      <c r="K1627" s="490"/>
      <c r="L1627" s="490"/>
      <c r="M1627" s="490"/>
      <c r="N1627" s="490"/>
      <c r="O1627" s="490"/>
      <c r="P1627" s="490" t="s">
        <v>6334</v>
      </c>
    </row>
    <row r="1628">
      <c r="A1628" s="490"/>
      <c r="B1628" s="490"/>
      <c r="C1628" s="490"/>
      <c r="D1628" s="490"/>
      <c r="E1628" s="593" t="str">
        <f>IFERROR(__xludf.DUMMYFUNCTION("""COMPUTED_VALUE"""),"LEANPATH")</f>
        <v>LEANPATH</v>
      </c>
      <c r="F1628" s="593" t="str">
        <f>IFERROR(__xludf.DUMMYFUNCTION("""COMPUTED_VALUE"""),"360 BENCH SCALE")</f>
        <v>360 BENCH SCALE</v>
      </c>
      <c r="G1628" s="490"/>
      <c r="H1628" s="490"/>
      <c r="I1628" s="490"/>
      <c r="J1628" s="588"/>
      <c r="K1628" s="490"/>
      <c r="L1628" s="490"/>
      <c r="M1628" s="490"/>
      <c r="N1628" s="490"/>
      <c r="O1628" s="490"/>
      <c r="P1628" s="490" t="s">
        <v>6337</v>
      </c>
    </row>
    <row r="1629">
      <c r="A1629" s="490"/>
      <c r="B1629" s="490"/>
      <c r="C1629" s="490"/>
      <c r="D1629" s="490"/>
      <c r="E1629" s="593" t="str">
        <f>IFERROR(__xludf.DUMMYFUNCTION("""COMPUTED_VALUE"""),"LEANPATH")</f>
        <v>LEANPATH</v>
      </c>
      <c r="F1629" s="593" t="str">
        <f>IFERROR(__xludf.DUMMYFUNCTION("""COMPUTED_VALUE"""),"360 BENCH SCALE")</f>
        <v>360 BENCH SCALE</v>
      </c>
      <c r="G1629" s="490"/>
      <c r="H1629" s="490"/>
      <c r="I1629" s="490"/>
      <c r="J1629" s="588"/>
      <c r="K1629" s="490"/>
      <c r="L1629" s="490"/>
      <c r="M1629" s="490"/>
      <c r="N1629" s="490"/>
      <c r="O1629" s="490"/>
      <c r="P1629" s="490" t="s">
        <v>6340</v>
      </c>
    </row>
    <row r="1630">
      <c r="A1630" s="490"/>
      <c r="B1630" s="490"/>
      <c r="C1630" s="490"/>
      <c r="D1630" s="490"/>
      <c r="E1630" s="593" t="str">
        <f>IFERROR(__xludf.DUMMYFUNCTION("""COMPUTED_VALUE"""),"LEANPATH")</f>
        <v>LEANPATH</v>
      </c>
      <c r="F1630" s="593" t="str">
        <f>IFERROR(__xludf.DUMMYFUNCTION("""COMPUTED_VALUE"""),"360 BENCH SCALE")</f>
        <v>360 BENCH SCALE</v>
      </c>
      <c r="G1630" s="490"/>
      <c r="H1630" s="490"/>
      <c r="I1630" s="490"/>
      <c r="J1630" s="588"/>
      <c r="K1630" s="490"/>
      <c r="L1630" s="490"/>
      <c r="M1630" s="490"/>
      <c r="N1630" s="490"/>
      <c r="O1630" s="490"/>
      <c r="P1630" s="490" t="s">
        <v>6343</v>
      </c>
    </row>
    <row r="1631">
      <c r="A1631" s="490"/>
      <c r="B1631" s="490"/>
      <c r="C1631" s="490"/>
      <c r="D1631" s="490"/>
      <c r="E1631" s="593" t="str">
        <f>IFERROR(__xludf.DUMMYFUNCTION("""COMPUTED_VALUE"""),"LEANPATH")</f>
        <v>LEANPATH</v>
      </c>
      <c r="F1631" s="593" t="str">
        <f>IFERROR(__xludf.DUMMYFUNCTION("""COMPUTED_VALUE"""),"360 BENCH SCALE")</f>
        <v>360 BENCH SCALE</v>
      </c>
      <c r="G1631" s="490"/>
      <c r="H1631" s="490"/>
      <c r="I1631" s="490"/>
      <c r="J1631" s="588"/>
      <c r="K1631" s="490"/>
      <c r="L1631" s="490"/>
      <c r="M1631" s="490"/>
      <c r="N1631" s="490"/>
      <c r="O1631" s="490"/>
      <c r="P1631" s="490" t="s">
        <v>6346</v>
      </c>
    </row>
    <row r="1632">
      <c r="A1632" s="490"/>
      <c r="B1632" s="490"/>
      <c r="C1632" s="490"/>
      <c r="D1632" s="490"/>
      <c r="E1632" s="593" t="str">
        <f>IFERROR(__xludf.DUMMYFUNCTION("""COMPUTED_VALUE"""),"LEANPATH")</f>
        <v>LEANPATH</v>
      </c>
      <c r="F1632" s="593" t="str">
        <f>IFERROR(__xludf.DUMMYFUNCTION("""COMPUTED_VALUE"""),"360 FLOOR SCALE")</f>
        <v>360 FLOOR SCALE</v>
      </c>
      <c r="G1632" s="490"/>
      <c r="H1632" s="490"/>
      <c r="I1632" s="490"/>
      <c r="J1632" s="588"/>
      <c r="K1632" s="490"/>
      <c r="L1632" s="490"/>
      <c r="M1632" s="490"/>
      <c r="N1632" s="490"/>
      <c r="O1632" s="490"/>
      <c r="P1632" s="490" t="s">
        <v>6349</v>
      </c>
    </row>
    <row r="1633">
      <c r="A1633" s="490"/>
      <c r="B1633" s="490"/>
      <c r="C1633" s="490"/>
      <c r="D1633" s="490"/>
      <c r="E1633" s="593" t="str">
        <f>IFERROR(__xludf.DUMMYFUNCTION("""COMPUTED_VALUE"""),"LEANPATH")</f>
        <v>LEANPATH</v>
      </c>
      <c r="F1633" s="593" t="str">
        <f>IFERROR(__xludf.DUMMYFUNCTION("""COMPUTED_VALUE"""),"360 TRACKER (EXPRESS)")</f>
        <v>360 TRACKER (EXPRESS)</v>
      </c>
      <c r="G1633" s="490"/>
      <c r="H1633" s="490"/>
      <c r="I1633" s="490"/>
      <c r="J1633" s="588"/>
      <c r="K1633" s="490"/>
      <c r="L1633" s="490"/>
      <c r="M1633" s="490"/>
      <c r="N1633" s="490"/>
      <c r="O1633" s="490"/>
      <c r="P1633" s="490" t="s">
        <v>6352</v>
      </c>
    </row>
    <row r="1634">
      <c r="A1634" s="490"/>
      <c r="B1634" s="490"/>
      <c r="C1634" s="490"/>
      <c r="D1634" s="490"/>
      <c r="E1634" s="593" t="str">
        <f>IFERROR(__xludf.DUMMYFUNCTION("""COMPUTED_VALUE"""),"LEANPATH")</f>
        <v>LEANPATH</v>
      </c>
      <c r="F1634" s="593" t="str">
        <f>IFERROR(__xludf.DUMMYFUNCTION("""COMPUTED_VALUE"""),"360FS")</f>
        <v>360FS</v>
      </c>
      <c r="G1634" s="490"/>
      <c r="H1634" s="490"/>
      <c r="I1634" s="490"/>
      <c r="J1634" s="588"/>
      <c r="K1634" s="490"/>
      <c r="L1634" s="490"/>
      <c r="M1634" s="490"/>
      <c r="N1634" s="490"/>
      <c r="O1634" s="490"/>
      <c r="P1634" s="490" t="s">
        <v>6355</v>
      </c>
    </row>
    <row r="1635">
      <c r="A1635" s="490"/>
      <c r="B1635" s="490"/>
      <c r="C1635" s="490"/>
      <c r="D1635" s="490"/>
      <c r="E1635" s="593" t="str">
        <f>IFERROR(__xludf.DUMMYFUNCTION("""COMPUTED_VALUE"""),"LEANPATH")</f>
        <v>LEANPATH</v>
      </c>
      <c r="F1635" s="593" t="str">
        <f>IFERROR(__xludf.DUMMYFUNCTION("""COMPUTED_VALUE"""),"LEAN PATH 360")</f>
        <v>LEAN PATH 360</v>
      </c>
      <c r="G1635" s="490"/>
      <c r="H1635" s="490"/>
      <c r="I1635" s="490"/>
      <c r="J1635" s="588"/>
      <c r="K1635" s="490"/>
      <c r="L1635" s="490"/>
      <c r="M1635" s="490"/>
      <c r="N1635" s="490"/>
      <c r="O1635" s="490"/>
      <c r="P1635" s="490" t="s">
        <v>6358</v>
      </c>
    </row>
    <row r="1636">
      <c r="A1636" s="490"/>
      <c r="B1636" s="490"/>
      <c r="C1636" s="490"/>
      <c r="D1636" s="490"/>
      <c r="E1636" s="593" t="str">
        <f>IFERROR(__xludf.DUMMYFUNCTION("""COMPUTED_VALUE"""),"LEANPATH")</f>
        <v>LEANPATH</v>
      </c>
      <c r="F1636" s="593" t="str">
        <f>IFERROR(__xludf.DUMMYFUNCTION("""COMPUTED_VALUE"""),"LEANPATH 360")</f>
        <v>LEANPATH 360</v>
      </c>
      <c r="G1636" s="490"/>
      <c r="H1636" s="490"/>
      <c r="I1636" s="490"/>
      <c r="J1636" s="588"/>
      <c r="K1636" s="490"/>
      <c r="L1636" s="490"/>
      <c r="M1636" s="490"/>
      <c r="N1636" s="490"/>
      <c r="O1636" s="490"/>
      <c r="P1636" s="490" t="s">
        <v>6361</v>
      </c>
    </row>
    <row r="1637">
      <c r="A1637" s="490"/>
      <c r="B1637" s="490"/>
      <c r="C1637" s="490"/>
      <c r="D1637" s="490"/>
      <c r="E1637" s="593" t="str">
        <f>IFERROR(__xludf.DUMMYFUNCTION("""COMPUTED_VALUE"""),"LEANPATH")</f>
        <v>LEANPATH</v>
      </c>
      <c r="F1637" s="593" t="str">
        <f>IFERROR(__xludf.DUMMYFUNCTION("""COMPUTED_VALUE"""),"LEAN PATH 360")</f>
        <v>LEAN PATH 360</v>
      </c>
      <c r="G1637" s="490"/>
      <c r="H1637" s="490"/>
      <c r="I1637" s="490"/>
      <c r="J1637" s="588"/>
      <c r="K1637" s="490"/>
      <c r="L1637" s="490"/>
      <c r="M1637" s="490"/>
      <c r="N1637" s="490"/>
      <c r="O1637" s="490"/>
      <c r="P1637" s="490" t="s">
        <v>2899</v>
      </c>
    </row>
    <row r="1638">
      <c r="A1638" s="490"/>
      <c r="B1638" s="490"/>
      <c r="C1638" s="490"/>
      <c r="D1638" s="490"/>
      <c r="E1638" s="593" t="str">
        <f>IFERROR(__xludf.DUMMYFUNCTION("""COMPUTED_VALUE"""),"LEANPATH")</f>
        <v>LEANPATH</v>
      </c>
      <c r="F1638" s="593" t="str">
        <f>IFERROR(__xludf.DUMMYFUNCTION("""COMPUTED_VALUE"""),"LEAN PATH 360")</f>
        <v>LEAN PATH 360</v>
      </c>
      <c r="G1638" s="490"/>
      <c r="H1638" s="490"/>
      <c r="I1638" s="490"/>
      <c r="J1638" s="588"/>
      <c r="K1638" s="490"/>
      <c r="L1638" s="490"/>
      <c r="M1638" s="490"/>
      <c r="N1638" s="490"/>
      <c r="O1638" s="490"/>
      <c r="P1638" s="490" t="s">
        <v>3215</v>
      </c>
    </row>
    <row r="1639">
      <c r="A1639" s="490"/>
      <c r="B1639" s="490"/>
      <c r="C1639" s="490"/>
      <c r="D1639" s="490"/>
      <c r="E1639" s="593" t="str">
        <f>IFERROR(__xludf.DUMMYFUNCTION("""COMPUTED_VALUE"""),"LEANPATH")</f>
        <v>LEANPATH</v>
      </c>
      <c r="F1639" s="593" t="str">
        <f>IFERROR(__xludf.DUMMYFUNCTION("""COMPUTED_VALUE"""),"LEAN PATH 360")</f>
        <v>LEAN PATH 360</v>
      </c>
      <c r="G1639" s="490"/>
      <c r="H1639" s="490"/>
      <c r="I1639" s="490"/>
      <c r="J1639" s="588"/>
      <c r="K1639" s="490"/>
      <c r="L1639" s="490"/>
      <c r="M1639" s="490"/>
      <c r="N1639" s="490"/>
      <c r="O1639" s="490"/>
      <c r="P1639" s="490" t="s">
        <v>6364</v>
      </c>
    </row>
    <row r="1640">
      <c r="A1640" s="490"/>
      <c r="B1640" s="490"/>
      <c r="C1640" s="490"/>
      <c r="D1640" s="490"/>
      <c r="E1640" s="593" t="str">
        <f>IFERROR(__xludf.DUMMYFUNCTION("""COMPUTED_VALUE"""),"LEANPATH")</f>
        <v>LEANPATH</v>
      </c>
      <c r="F1640" s="593" t="str">
        <f>IFERROR(__xludf.DUMMYFUNCTION("""COMPUTED_VALUE"""),"LEAN PATH 360")</f>
        <v>LEAN PATH 360</v>
      </c>
      <c r="G1640" s="490"/>
      <c r="H1640" s="490"/>
      <c r="I1640" s="490"/>
      <c r="J1640" s="588"/>
      <c r="K1640" s="490"/>
      <c r="L1640" s="490"/>
      <c r="M1640" s="490"/>
      <c r="N1640" s="490"/>
      <c r="O1640" s="490"/>
      <c r="P1640" s="490" t="s">
        <v>6367</v>
      </c>
    </row>
    <row r="1641">
      <c r="A1641" s="490"/>
      <c r="B1641" s="490"/>
      <c r="C1641" s="490"/>
      <c r="D1641" s="490"/>
      <c r="E1641" s="593" t="str">
        <f>IFERROR(__xludf.DUMMYFUNCTION("""COMPUTED_VALUE"""),"LEANPATH")</f>
        <v>LEANPATH</v>
      </c>
      <c r="F1641" s="593" t="str">
        <f>IFERROR(__xludf.DUMMYFUNCTION("""COMPUTED_VALUE"""),"LEAN PATH 360")</f>
        <v>LEAN PATH 360</v>
      </c>
      <c r="G1641" s="490"/>
      <c r="H1641" s="490"/>
      <c r="I1641" s="490"/>
      <c r="J1641" s="588"/>
      <c r="K1641" s="490"/>
      <c r="L1641" s="490"/>
      <c r="M1641" s="490"/>
      <c r="N1641" s="490"/>
      <c r="O1641" s="490"/>
      <c r="P1641" s="490" t="s">
        <v>6370</v>
      </c>
    </row>
    <row r="1642">
      <c r="A1642" s="490"/>
      <c r="B1642" s="490"/>
      <c r="C1642" s="490"/>
      <c r="D1642" s="490"/>
      <c r="E1642" s="593" t="str">
        <f>IFERROR(__xludf.DUMMYFUNCTION("""COMPUTED_VALUE"""),"LEANPATH")</f>
        <v>LEANPATH</v>
      </c>
      <c r="F1642" s="593" t="str">
        <f>IFERROR(__xludf.DUMMYFUNCTION("""COMPUTED_VALUE"""),"LEANPATH CAMERA")</f>
        <v>LEANPATH CAMERA</v>
      </c>
      <c r="G1642" s="490"/>
      <c r="H1642" s="490"/>
      <c r="I1642" s="490"/>
      <c r="J1642" s="588"/>
      <c r="K1642" s="490"/>
      <c r="L1642" s="490"/>
      <c r="M1642" s="490"/>
      <c r="N1642" s="490"/>
      <c r="O1642" s="490"/>
      <c r="P1642" s="490" t="s">
        <v>6373</v>
      </c>
    </row>
    <row r="1643">
      <c r="A1643" s="490"/>
      <c r="B1643" s="490"/>
      <c r="C1643" s="490"/>
      <c r="D1643" s="490"/>
      <c r="E1643" s="593" t="str">
        <f>IFERROR(__xludf.DUMMYFUNCTION("""COMPUTED_VALUE"""),"LEANPATH")</f>
        <v>LEANPATH</v>
      </c>
      <c r="F1643" s="593" t="str">
        <f>IFERROR(__xludf.DUMMYFUNCTION("""COMPUTED_VALUE"""),"LEAN PATH 360")</f>
        <v>LEAN PATH 360</v>
      </c>
      <c r="G1643" s="490"/>
      <c r="H1643" s="490"/>
      <c r="I1643" s="490"/>
      <c r="J1643" s="588"/>
      <c r="K1643" s="490"/>
      <c r="L1643" s="490"/>
      <c r="M1643" s="490"/>
      <c r="N1643" s="490"/>
      <c r="O1643" s="490"/>
      <c r="P1643" s="490" t="s">
        <v>6376</v>
      </c>
    </row>
    <row r="1644">
      <c r="A1644" s="490"/>
      <c r="B1644" s="490"/>
      <c r="C1644" s="490"/>
      <c r="D1644" s="490"/>
      <c r="E1644" s="593" t="str">
        <f>IFERROR(__xludf.DUMMYFUNCTION("""COMPUTED_VALUE"""),"LEANPATH")</f>
        <v>LEANPATH</v>
      </c>
      <c r="F1644" s="593" t="str">
        <f>IFERROR(__xludf.DUMMYFUNCTION("""COMPUTED_VALUE"""),"LEANPATH ZAP")</f>
        <v>LEANPATH ZAP</v>
      </c>
      <c r="G1644" s="490"/>
      <c r="H1644" s="490"/>
      <c r="I1644" s="490"/>
      <c r="J1644" s="588"/>
      <c r="K1644" s="490"/>
      <c r="L1644" s="490"/>
      <c r="M1644" s="490"/>
      <c r="N1644" s="490"/>
      <c r="O1644" s="490"/>
      <c r="P1644" s="490" t="s">
        <v>6379</v>
      </c>
    </row>
    <row r="1645">
      <c r="A1645" s="490"/>
      <c r="B1645" s="490"/>
      <c r="C1645" s="490"/>
      <c r="D1645" s="490"/>
      <c r="E1645" s="593" t="str">
        <f>IFERROR(__xludf.DUMMYFUNCTION("""COMPUTED_VALUE"""),"LEANPATH")</f>
        <v>LEANPATH</v>
      </c>
      <c r="F1645" s="593" t="str">
        <f>IFERROR(__xludf.DUMMYFUNCTION("""COMPUTED_VALUE"""),"LEAN PATH 360")</f>
        <v>LEAN PATH 360</v>
      </c>
      <c r="G1645" s="490"/>
      <c r="H1645" s="490"/>
      <c r="I1645" s="490"/>
      <c r="J1645" s="588"/>
      <c r="K1645" s="490"/>
      <c r="L1645" s="490"/>
      <c r="M1645" s="490"/>
      <c r="N1645" s="490"/>
      <c r="O1645" s="490"/>
      <c r="P1645" s="490" t="s">
        <v>6382</v>
      </c>
    </row>
    <row r="1646">
      <c r="A1646" s="490"/>
      <c r="B1646" s="490"/>
      <c r="C1646" s="490"/>
      <c r="D1646" s="490"/>
      <c r="E1646" s="593" t="str">
        <f>IFERROR(__xludf.DUMMYFUNCTION("""COMPUTED_VALUE"""),"LEANPATH")</f>
        <v>LEANPATH</v>
      </c>
      <c r="F1646" s="593" t="str">
        <f>IFERROR(__xludf.DUMMYFUNCTION("""COMPUTED_VALUE"""),"360 BENCH SCALE")</f>
        <v>360 BENCH SCALE</v>
      </c>
      <c r="G1646" s="490"/>
      <c r="H1646" s="490"/>
      <c r="I1646" s="490"/>
      <c r="J1646" s="588"/>
      <c r="K1646" s="490"/>
      <c r="L1646" s="490"/>
      <c r="M1646" s="490"/>
      <c r="N1646" s="490"/>
      <c r="O1646" s="490"/>
      <c r="P1646" s="490" t="s">
        <v>6385</v>
      </c>
    </row>
    <row r="1647">
      <c r="A1647" s="490"/>
      <c r="B1647" s="490"/>
      <c r="C1647" s="490"/>
      <c r="D1647" s="490"/>
      <c r="E1647" s="593" t="str">
        <f>IFERROR(__xludf.DUMMYFUNCTION("""COMPUTED_VALUE"""),"LEANPATH")</f>
        <v>LEANPATH</v>
      </c>
      <c r="F1647" s="593" t="str">
        <f>IFERROR(__xludf.DUMMYFUNCTION("""COMPUTED_VALUE"""),"360 FLOOR SCALE")</f>
        <v>360 FLOOR SCALE</v>
      </c>
      <c r="G1647" s="490"/>
      <c r="H1647" s="490"/>
      <c r="I1647" s="490"/>
      <c r="J1647" s="588"/>
      <c r="K1647" s="490"/>
      <c r="L1647" s="490"/>
      <c r="M1647" s="490"/>
      <c r="N1647" s="490"/>
      <c r="O1647" s="490"/>
      <c r="P1647" s="490" t="s">
        <v>6388</v>
      </c>
    </row>
    <row r="1648">
      <c r="A1648" s="490"/>
      <c r="B1648" s="490"/>
      <c r="C1648" s="490"/>
      <c r="D1648" s="490"/>
      <c r="E1648" s="593" t="str">
        <f>IFERROR(__xludf.DUMMYFUNCTION("""COMPUTED_VALUE"""),"LEANPATH")</f>
        <v>LEANPATH</v>
      </c>
      <c r="F1648" s="593" t="str">
        <f>IFERROR(__xludf.DUMMYFUNCTION("""COMPUTED_VALUE"""),"LEANPATH ZAP")</f>
        <v>LEANPATH ZAP</v>
      </c>
      <c r="G1648" s="490"/>
      <c r="H1648" s="490"/>
      <c r="I1648" s="490"/>
      <c r="J1648" s="588"/>
      <c r="K1648" s="490"/>
      <c r="L1648" s="490"/>
      <c r="M1648" s="490"/>
      <c r="N1648" s="490"/>
      <c r="O1648" s="490"/>
      <c r="P1648" s="490" t="s">
        <v>6391</v>
      </c>
    </row>
    <row r="1649">
      <c r="A1649" s="490"/>
      <c r="B1649" s="490"/>
      <c r="C1649" s="490"/>
      <c r="D1649" s="490"/>
      <c r="E1649" s="593" t="str">
        <f>IFERROR(__xludf.DUMMYFUNCTION("""COMPUTED_VALUE"""),"LEANPATH")</f>
        <v>LEANPATH</v>
      </c>
      <c r="F1649" s="593" t="str">
        <f>IFERROR(__xludf.DUMMYFUNCTION("""COMPUTED_VALUE"""),"LEANPATH ZAP")</f>
        <v>LEANPATH ZAP</v>
      </c>
      <c r="G1649" s="490"/>
      <c r="H1649" s="490"/>
      <c r="I1649" s="490"/>
      <c r="J1649" s="588"/>
      <c r="K1649" s="490"/>
      <c r="L1649" s="490"/>
      <c r="M1649" s="490"/>
      <c r="N1649" s="490"/>
      <c r="O1649" s="490"/>
      <c r="P1649" s="490" t="s">
        <v>3218</v>
      </c>
    </row>
    <row r="1650">
      <c r="A1650" s="490"/>
      <c r="B1650" s="490"/>
      <c r="C1650" s="490"/>
      <c r="D1650" s="490"/>
      <c r="E1650" s="593" t="str">
        <f>IFERROR(__xludf.DUMMYFUNCTION("""COMPUTED_VALUE"""),"LEANPATH")</f>
        <v>LEANPATH</v>
      </c>
      <c r="F1650" s="593" t="str">
        <f>IFERROR(__xludf.DUMMYFUNCTION("""COMPUTED_VALUE"""),"LEANPATH ZAP")</f>
        <v>LEANPATH ZAP</v>
      </c>
      <c r="G1650" s="490"/>
      <c r="H1650" s="490"/>
      <c r="I1650" s="490"/>
      <c r="J1650" s="588"/>
      <c r="K1650" s="490"/>
      <c r="L1650" s="490"/>
      <c r="M1650" s="490"/>
      <c r="N1650" s="490"/>
      <c r="O1650" s="490"/>
      <c r="P1650" s="490" t="s">
        <v>6394</v>
      </c>
    </row>
    <row r="1651">
      <c r="A1651" s="490"/>
      <c r="B1651" s="490"/>
      <c r="C1651" s="490"/>
      <c r="D1651" s="490"/>
      <c r="E1651" s="593" t="str">
        <f>IFERROR(__xludf.DUMMYFUNCTION("""COMPUTED_VALUE"""),"LEANPATH")</f>
        <v>LEANPATH</v>
      </c>
      <c r="F1651" s="593" t="str">
        <f>IFERROR(__xludf.DUMMYFUNCTION("""COMPUTED_VALUE"""),"LEANPATH ZAP")</f>
        <v>LEANPATH ZAP</v>
      </c>
      <c r="G1651" s="490"/>
      <c r="H1651" s="490"/>
      <c r="I1651" s="490"/>
      <c r="J1651" s="588"/>
      <c r="K1651" s="490"/>
      <c r="L1651" s="490"/>
      <c r="M1651" s="490"/>
      <c r="N1651" s="490"/>
      <c r="O1651" s="490"/>
      <c r="P1651" s="490" t="s">
        <v>6397</v>
      </c>
    </row>
    <row r="1652">
      <c r="A1652" s="490"/>
      <c r="B1652" s="490"/>
      <c r="C1652" s="490"/>
      <c r="D1652" s="490"/>
      <c r="E1652" s="593" t="str">
        <f>IFERROR(__xludf.DUMMYFUNCTION("""COMPUTED_VALUE"""),"LEANPATH")</f>
        <v>LEANPATH</v>
      </c>
      <c r="F1652" s="593" t="str">
        <f>IFERROR(__xludf.DUMMYFUNCTION("""COMPUTED_VALUE"""),"LEANPATH ZAP")</f>
        <v>LEANPATH ZAP</v>
      </c>
      <c r="G1652" s="490"/>
      <c r="H1652" s="490"/>
      <c r="I1652" s="490"/>
      <c r="J1652" s="588"/>
      <c r="K1652" s="490"/>
      <c r="L1652" s="490"/>
      <c r="M1652" s="490"/>
      <c r="N1652" s="490"/>
      <c r="O1652" s="490"/>
      <c r="P1652" s="490" t="s">
        <v>6400</v>
      </c>
    </row>
    <row r="1653">
      <c r="A1653" s="490"/>
      <c r="B1653" s="490"/>
      <c r="C1653" s="490"/>
      <c r="D1653" s="490"/>
      <c r="E1653" s="593" t="str">
        <f>IFERROR(__xludf.DUMMYFUNCTION("""COMPUTED_VALUE"""),"LEANPATH")</f>
        <v>LEANPATH</v>
      </c>
      <c r="F1653" s="593" t="str">
        <f>IFERROR(__xludf.DUMMYFUNCTION("""COMPUTED_VALUE"""),"LEANPATH ZAP")</f>
        <v>LEANPATH ZAP</v>
      </c>
      <c r="G1653" s="490"/>
      <c r="H1653" s="490"/>
      <c r="I1653" s="490"/>
      <c r="J1653" s="588"/>
      <c r="K1653" s="490"/>
      <c r="L1653" s="490"/>
      <c r="M1653" s="490"/>
      <c r="N1653" s="490"/>
      <c r="O1653" s="490"/>
      <c r="P1653" s="490" t="s">
        <v>6403</v>
      </c>
    </row>
    <row r="1654">
      <c r="A1654" s="490"/>
      <c r="B1654" s="490"/>
      <c r="C1654" s="490"/>
      <c r="D1654" s="490"/>
      <c r="E1654" s="593" t="str">
        <f>IFERROR(__xludf.DUMMYFUNCTION("""COMPUTED_VALUE"""),"LEANPATH")</f>
        <v>LEANPATH</v>
      </c>
      <c r="F1654" s="593" t="str">
        <f>IFERROR(__xludf.DUMMYFUNCTION("""COMPUTED_VALUE"""),"360")</f>
        <v>360</v>
      </c>
      <c r="G1654" s="490"/>
      <c r="H1654" s="490"/>
      <c r="I1654" s="490"/>
      <c r="J1654" s="588"/>
      <c r="K1654" s="490"/>
      <c r="L1654" s="490"/>
      <c r="M1654" s="490"/>
      <c r="N1654" s="490"/>
      <c r="O1654" s="490"/>
      <c r="P1654" s="490" t="s">
        <v>6406</v>
      </c>
    </row>
    <row r="1655">
      <c r="A1655" s="490"/>
      <c r="B1655" s="490"/>
      <c r="C1655" s="490"/>
      <c r="D1655" s="490"/>
      <c r="E1655" s="593" t="str">
        <f>IFERROR(__xludf.DUMMYFUNCTION("""COMPUTED_VALUE"""),"LEANPATH")</f>
        <v>LEANPATH</v>
      </c>
      <c r="F1655" s="593" t="str">
        <f>IFERROR(__xludf.DUMMYFUNCTION("""COMPUTED_VALUE"""),"LEAN PATH 360")</f>
        <v>LEAN PATH 360</v>
      </c>
      <c r="G1655" s="490"/>
      <c r="H1655" s="490"/>
      <c r="I1655" s="490"/>
      <c r="J1655" s="588"/>
      <c r="K1655" s="490"/>
      <c r="L1655" s="490"/>
      <c r="M1655" s="490"/>
      <c r="N1655" s="490"/>
      <c r="O1655" s="490"/>
      <c r="P1655" s="490" t="s">
        <v>6409</v>
      </c>
    </row>
    <row r="1656">
      <c r="A1656" s="490"/>
      <c r="B1656" s="490"/>
      <c r="C1656" s="490"/>
      <c r="D1656" s="490"/>
      <c r="E1656" s="593" t="str">
        <f>IFERROR(__xludf.DUMMYFUNCTION("""COMPUTED_VALUE"""),"LEANPATH")</f>
        <v>LEANPATH</v>
      </c>
      <c r="F1656" s="593" t="str">
        <f>IFERROR(__xludf.DUMMYFUNCTION("""COMPUTED_VALUE"""),"360 BENCH SCALE")</f>
        <v>360 BENCH SCALE</v>
      </c>
      <c r="G1656" s="490"/>
      <c r="H1656" s="490"/>
      <c r="I1656" s="490"/>
      <c r="J1656" s="588"/>
      <c r="K1656" s="490"/>
      <c r="L1656" s="490"/>
      <c r="M1656" s="490"/>
      <c r="N1656" s="490"/>
      <c r="O1656" s="490"/>
      <c r="P1656" s="490" t="s">
        <v>6412</v>
      </c>
    </row>
    <row r="1657">
      <c r="A1657" s="490"/>
      <c r="B1657" s="490"/>
      <c r="C1657" s="490"/>
      <c r="D1657" s="490"/>
      <c r="E1657" s="593" t="str">
        <f>IFERROR(__xludf.DUMMYFUNCTION("""COMPUTED_VALUE"""),"LEANPATH")</f>
        <v>LEANPATH</v>
      </c>
      <c r="F1657" s="593" t="str">
        <f>IFERROR(__xludf.DUMMYFUNCTION("""COMPUTED_VALUE"""),"360 BENCH SCALE")</f>
        <v>360 BENCH SCALE</v>
      </c>
      <c r="G1657" s="490"/>
      <c r="H1657" s="490"/>
      <c r="I1657" s="490"/>
      <c r="J1657" s="588"/>
      <c r="K1657" s="490"/>
      <c r="L1657" s="490"/>
      <c r="M1657" s="490"/>
      <c r="N1657" s="490"/>
      <c r="O1657" s="490"/>
      <c r="P1657" s="490" t="s">
        <v>6415</v>
      </c>
    </row>
    <row r="1658">
      <c r="A1658" s="490"/>
      <c r="B1658" s="490"/>
      <c r="C1658" s="490"/>
      <c r="D1658" s="490"/>
      <c r="E1658" s="593" t="str">
        <f>IFERROR(__xludf.DUMMYFUNCTION("""COMPUTED_VALUE"""),"LEANPATH")</f>
        <v>LEANPATH</v>
      </c>
      <c r="F1658" s="593" t="str">
        <f>IFERROR(__xludf.DUMMYFUNCTION("""COMPUTED_VALUE"""),"M61265")</f>
        <v>M61265</v>
      </c>
      <c r="G1658" s="490"/>
      <c r="H1658" s="490"/>
      <c r="I1658" s="490"/>
      <c r="J1658" s="588"/>
      <c r="K1658" s="490"/>
      <c r="L1658" s="490"/>
      <c r="M1658" s="490"/>
      <c r="N1658" s="490"/>
      <c r="O1658" s="490"/>
      <c r="P1658" s="490" t="s">
        <v>6418</v>
      </c>
    </row>
    <row r="1659">
      <c r="A1659" s="490"/>
      <c r="B1659" s="490"/>
      <c r="C1659" s="490"/>
      <c r="D1659" s="490"/>
      <c r="E1659" s="593" t="str">
        <f>IFERROR(__xludf.DUMMYFUNCTION("""COMPUTED_VALUE"""),"LEANPATH")</f>
        <v>LEANPATH</v>
      </c>
      <c r="F1659" s="593" t="str">
        <f>IFERROR(__xludf.DUMMYFUNCTION("""COMPUTED_VALUE"""),"T40873(SERIAL NO.)")</f>
        <v>T40873(SERIAL NO.)</v>
      </c>
      <c r="G1659" s="490"/>
      <c r="H1659" s="490"/>
      <c r="I1659" s="490"/>
      <c r="J1659" s="588"/>
      <c r="K1659" s="490"/>
      <c r="L1659" s="490"/>
      <c r="M1659" s="490"/>
      <c r="N1659" s="490"/>
      <c r="O1659" s="490"/>
      <c r="P1659" s="490" t="s">
        <v>6421</v>
      </c>
    </row>
    <row r="1660">
      <c r="A1660" s="490"/>
      <c r="B1660" s="490"/>
      <c r="C1660" s="490"/>
      <c r="D1660" s="490"/>
      <c r="E1660" s="593" t="str">
        <f>IFERROR(__xludf.DUMMYFUNCTION("""COMPUTED_VALUE"""),"LEANPATH")</f>
        <v>LEANPATH</v>
      </c>
      <c r="F1660" s="593" t="str">
        <f>IFERROR(__xludf.DUMMYFUNCTION("""COMPUTED_VALUE"""),"T40998")</f>
        <v>T40998</v>
      </c>
      <c r="G1660" s="490"/>
      <c r="H1660" s="490"/>
      <c r="I1660" s="490"/>
      <c r="J1660" s="588"/>
      <c r="K1660" s="490"/>
      <c r="L1660" s="490"/>
      <c r="M1660" s="490"/>
      <c r="N1660" s="490"/>
      <c r="O1660" s="490"/>
      <c r="P1660" s="490" t="s">
        <v>3221</v>
      </c>
    </row>
    <row r="1661">
      <c r="A1661" s="490"/>
      <c r="B1661" s="490"/>
      <c r="C1661" s="490"/>
      <c r="D1661" s="490"/>
      <c r="E1661" s="593" t="str">
        <f>IFERROR(__xludf.DUMMYFUNCTION("""COMPUTED_VALUE"""),"LEANPATH")</f>
        <v>LEANPATH</v>
      </c>
      <c r="F1661" s="593" t="str">
        <f>IFERROR(__xludf.DUMMYFUNCTION("""COMPUTED_VALUE"""),"TRACKER")</f>
        <v>TRACKER</v>
      </c>
      <c r="G1661" s="490"/>
      <c r="H1661" s="490"/>
      <c r="I1661" s="490"/>
      <c r="J1661" s="588"/>
      <c r="K1661" s="490"/>
      <c r="L1661" s="490"/>
      <c r="M1661" s="490"/>
      <c r="N1661" s="490"/>
      <c r="O1661" s="490"/>
      <c r="P1661" s="490" t="s">
        <v>6424</v>
      </c>
    </row>
    <row r="1662">
      <c r="A1662" s="490"/>
      <c r="B1662" s="490"/>
      <c r="C1662" s="490"/>
      <c r="D1662" s="490"/>
      <c r="E1662" s="593" t="str">
        <f>IFERROR(__xludf.DUMMYFUNCTION("""COMPUTED_VALUE"""),"LEANPATH")</f>
        <v>LEANPATH</v>
      </c>
      <c r="F1662" s="593" t="str">
        <f>IFERROR(__xludf.DUMMYFUNCTION("""COMPUTED_VALUE"""),"LEANPATH ZAP")</f>
        <v>LEANPATH ZAP</v>
      </c>
      <c r="G1662" s="490"/>
      <c r="H1662" s="490"/>
      <c r="I1662" s="490"/>
      <c r="J1662" s="588"/>
      <c r="K1662" s="490"/>
      <c r="L1662" s="490"/>
      <c r="M1662" s="490"/>
      <c r="N1662" s="490"/>
      <c r="O1662" s="490"/>
      <c r="P1662" s="490" t="s">
        <v>6427</v>
      </c>
    </row>
    <row r="1663">
      <c r="A1663" s="490"/>
      <c r="B1663" s="490"/>
      <c r="C1663" s="490"/>
      <c r="D1663" s="490"/>
      <c r="E1663" s="593" t="str">
        <f>IFERROR(__xludf.DUMMYFUNCTION("""COMPUTED_VALUE"""),"LEGRAND")</f>
        <v>LEGRAND</v>
      </c>
      <c r="F1663" s="593" t="str">
        <f>IFERROR(__xludf.DUMMYFUNCTION("""COMPUTED_VALUE"""),"2645")</f>
        <v>2645</v>
      </c>
      <c r="G1663" s="490"/>
      <c r="H1663" s="490"/>
      <c r="I1663" s="490"/>
      <c r="J1663" s="588"/>
      <c r="K1663" s="490"/>
      <c r="L1663" s="490"/>
      <c r="M1663" s="490"/>
      <c r="N1663" s="490"/>
      <c r="O1663" s="490"/>
      <c r="P1663" s="490" t="s">
        <v>6430</v>
      </c>
    </row>
    <row r="1664">
      <c r="A1664" s="490"/>
      <c r="B1664" s="490"/>
      <c r="C1664" s="490"/>
      <c r="D1664" s="490"/>
      <c r="E1664" s="593" t="str">
        <f>IFERROR(__xludf.DUMMYFUNCTION("""COMPUTED_VALUE"""),"LEMCA ILUMINACAO")</f>
        <v>LEMCA ILUMINACAO</v>
      </c>
      <c r="F1664" s="593" t="str">
        <f>IFERROR(__xludf.DUMMYFUNCTION("""COMPUTED_VALUE"""),"PERFIL FIT MUNDI")</f>
        <v>PERFIL FIT MUNDI</v>
      </c>
      <c r="G1664" s="490"/>
      <c r="H1664" s="490"/>
      <c r="I1664" s="490"/>
      <c r="J1664" s="588"/>
      <c r="K1664" s="490"/>
      <c r="L1664" s="490"/>
      <c r="M1664" s="490"/>
      <c r="N1664" s="490"/>
      <c r="O1664" s="490"/>
      <c r="P1664" s="490" t="s">
        <v>6432</v>
      </c>
    </row>
    <row r="1665">
      <c r="A1665" s="490"/>
      <c r="B1665" s="490"/>
      <c r="C1665" s="490"/>
      <c r="D1665" s="490"/>
      <c r="E1665" s="593" t="str">
        <f>IFERROR(__xludf.DUMMYFUNCTION("""COMPUTED_VALUE"""),"LENOVO")</f>
        <v>LENOVO</v>
      </c>
      <c r="F1665" s="593" t="str">
        <f>IFERROR(__xludf.DUMMYFUNCTION("""COMPUTED_VALUE"""),"33873J")</f>
        <v>33873J</v>
      </c>
      <c r="G1665" s="490"/>
      <c r="H1665" s="490"/>
      <c r="I1665" s="490"/>
      <c r="J1665" s="588"/>
      <c r="K1665" s="490"/>
      <c r="L1665" s="490"/>
      <c r="M1665" s="490"/>
      <c r="N1665" s="490"/>
      <c r="O1665" s="490"/>
      <c r="P1665" s="490" t="s">
        <v>6435</v>
      </c>
    </row>
    <row r="1666">
      <c r="A1666" s="490"/>
      <c r="B1666" s="490"/>
      <c r="C1666" s="490"/>
      <c r="D1666" s="490"/>
      <c r="E1666" s="593" t="str">
        <f>IFERROR(__xludf.DUMMYFUNCTION("""COMPUTED_VALUE"""),"LENOVO")</f>
        <v>LENOVO</v>
      </c>
      <c r="F1666" s="593" t="str">
        <f>IFERROR(__xludf.DUMMYFUNCTION("""COMPUTED_VALUE"""),"33873J")</f>
        <v>33873J</v>
      </c>
      <c r="G1666" s="490"/>
      <c r="H1666" s="490"/>
      <c r="I1666" s="490"/>
      <c r="J1666" s="588"/>
      <c r="K1666" s="490"/>
      <c r="L1666" s="490"/>
      <c r="M1666" s="490"/>
      <c r="N1666" s="490"/>
      <c r="O1666" s="490"/>
      <c r="P1666" s="490" t="s">
        <v>6438</v>
      </c>
    </row>
    <row r="1667">
      <c r="A1667" s="490"/>
      <c r="B1667" s="490"/>
      <c r="C1667" s="490"/>
      <c r="D1667" s="490"/>
      <c r="E1667" s="593" t="str">
        <f>IFERROR(__xludf.DUMMYFUNCTION("""COMPUTED_VALUE"""),"LENOVO")</f>
        <v>LENOVO</v>
      </c>
      <c r="F1667" s="593" t="str">
        <f>IFERROR(__xludf.DUMMYFUNCTION("""COMPUTED_VALUE"""),"3492H1Q")</f>
        <v>3492H1Q</v>
      </c>
      <c r="G1667" s="490"/>
      <c r="H1667" s="490"/>
      <c r="I1667" s="490"/>
      <c r="J1667" s="588"/>
      <c r="K1667" s="490"/>
      <c r="L1667" s="490"/>
      <c r="M1667" s="490"/>
      <c r="N1667" s="490"/>
      <c r="O1667" s="490"/>
      <c r="P1667" s="490" t="s">
        <v>6441</v>
      </c>
    </row>
    <row r="1668">
      <c r="A1668" s="490"/>
      <c r="B1668" s="490"/>
      <c r="C1668" s="490"/>
      <c r="D1668" s="490"/>
      <c r="E1668" s="593" t="str">
        <f>IFERROR(__xludf.DUMMYFUNCTION("""COMPUTED_VALUE"""),"LENOVO")</f>
        <v>LENOVO</v>
      </c>
      <c r="F1668" s="593" t="str">
        <f>IFERROR(__xludf.DUMMYFUNCTION("""COMPUTED_VALUE"""),"80K6")</f>
        <v>80K6</v>
      </c>
      <c r="G1668" s="490"/>
      <c r="H1668" s="490"/>
      <c r="I1668" s="490"/>
      <c r="J1668" s="588"/>
      <c r="K1668" s="490"/>
      <c r="L1668" s="490"/>
      <c r="M1668" s="490"/>
      <c r="N1668" s="490"/>
      <c r="O1668" s="490"/>
      <c r="P1668" s="490" t="s">
        <v>6444</v>
      </c>
    </row>
    <row r="1669">
      <c r="A1669" s="490"/>
      <c r="B1669" s="490"/>
      <c r="C1669" s="490"/>
      <c r="D1669" s="490"/>
      <c r="E1669" s="593" t="str">
        <f>IFERROR(__xludf.DUMMYFUNCTION("""COMPUTED_VALUE"""),"LENOVO")</f>
        <v>LENOVO</v>
      </c>
      <c r="F1669" s="593" t="str">
        <f>IFERROR(__xludf.DUMMYFUNCTION("""COMPUTED_VALUE"""),"80XF")</f>
        <v>80XF</v>
      </c>
      <c r="G1669" s="490"/>
      <c r="H1669" s="490"/>
      <c r="I1669" s="490"/>
      <c r="J1669" s="588"/>
      <c r="K1669" s="490"/>
      <c r="L1669" s="490"/>
      <c r="M1669" s="490"/>
      <c r="N1669" s="490"/>
      <c r="O1669" s="490"/>
      <c r="P1669" s="490" t="s">
        <v>6447</v>
      </c>
    </row>
    <row r="1670">
      <c r="A1670" s="490"/>
      <c r="B1670" s="490"/>
      <c r="C1670" s="490"/>
      <c r="D1670" s="490"/>
      <c r="E1670" s="490" t="str">
        <f>IFERROR(__xludf.DUMMYFUNCTION("""COMPUTED_VALUE"""),"LENOVO")</f>
        <v>LENOVO</v>
      </c>
      <c r="F1670" s="490" t="str">
        <f>IFERROR(__xludf.DUMMYFUNCTION("""COMPUTED_VALUE"""),"ANDROID")</f>
        <v>ANDROID</v>
      </c>
      <c r="G1670" s="490"/>
      <c r="H1670" s="490"/>
      <c r="I1670" s="490"/>
      <c r="J1670" s="588"/>
      <c r="K1670" s="490"/>
      <c r="L1670" s="490"/>
      <c r="M1670" s="490"/>
      <c r="N1670" s="490"/>
      <c r="O1670" s="490"/>
      <c r="P1670" s="490" t="s">
        <v>6450</v>
      </c>
    </row>
    <row r="1671">
      <c r="A1671" s="490"/>
      <c r="B1671" s="490"/>
      <c r="C1671" s="490"/>
      <c r="D1671" s="490"/>
      <c r="E1671" s="490" t="str">
        <f>IFERROR(__xludf.DUMMYFUNCTION("""COMPUTED_VALUE"""),"LENOVO")</f>
        <v>LENOVO</v>
      </c>
      <c r="F1671" s="490" t="str">
        <f>IFERROR(__xludf.DUMMYFUNCTION("""COMPUTED_VALUE"""),"F0D500AKUK")</f>
        <v>F0D500AKUK</v>
      </c>
      <c r="G1671" s="490"/>
      <c r="H1671" s="490"/>
      <c r="I1671" s="490"/>
      <c r="J1671" s="588"/>
      <c r="K1671" s="490"/>
      <c r="L1671" s="490"/>
      <c r="M1671" s="490"/>
      <c r="N1671" s="490"/>
      <c r="O1671" s="490"/>
      <c r="P1671" s="490" t="s">
        <v>3224</v>
      </c>
    </row>
    <row r="1672">
      <c r="A1672" s="490"/>
      <c r="B1672" s="490"/>
      <c r="C1672" s="490"/>
      <c r="D1672" s="490"/>
      <c r="E1672" s="490" t="str">
        <f>IFERROR(__xludf.DUMMYFUNCTION("""COMPUTED_VALUE"""),"LENOVO")</f>
        <v>LENOVO</v>
      </c>
      <c r="F1672" s="490" t="str">
        <f>IFERROR(__xludf.DUMMYFUNCTION("""COMPUTED_VALUE"""),"H530S")</f>
        <v>H530S</v>
      </c>
      <c r="G1672" s="490"/>
      <c r="H1672" s="490"/>
      <c r="I1672" s="490"/>
      <c r="J1672" s="588"/>
      <c r="K1672" s="490"/>
      <c r="L1672" s="490"/>
      <c r="M1672" s="490"/>
      <c r="N1672" s="490"/>
      <c r="O1672" s="490"/>
      <c r="P1672" s="490" t="s">
        <v>6453</v>
      </c>
    </row>
    <row r="1673">
      <c r="A1673" s="490"/>
      <c r="B1673" s="490"/>
      <c r="C1673" s="490"/>
      <c r="D1673" s="490"/>
      <c r="E1673" s="490" t="str">
        <f>IFERROR(__xludf.DUMMYFUNCTION("""COMPUTED_VALUE"""),"LENOVO")</f>
        <v>LENOVO</v>
      </c>
      <c r="F1673" s="490" t="str">
        <f>IFERROR(__xludf.DUMMYFUNCTION("""COMPUTED_VALUE"""),"IDEAPAD 330-15AST")</f>
        <v>IDEAPAD 330-15AST</v>
      </c>
      <c r="G1673" s="490"/>
      <c r="H1673" s="490"/>
      <c r="I1673" s="490"/>
      <c r="J1673" s="588"/>
      <c r="K1673" s="490"/>
      <c r="L1673" s="490"/>
      <c r="M1673" s="490"/>
      <c r="N1673" s="490"/>
      <c r="O1673" s="490"/>
      <c r="P1673" s="490" t="s">
        <v>6456</v>
      </c>
    </row>
    <row r="1674">
      <c r="A1674" s="490"/>
      <c r="B1674" s="490"/>
      <c r="C1674" s="490"/>
      <c r="D1674" s="490"/>
      <c r="E1674" s="490" t="str">
        <f>IFERROR(__xludf.DUMMYFUNCTION("""COMPUTED_VALUE"""),"LENOVO")</f>
        <v>LENOVO</v>
      </c>
      <c r="F1674" s="490" t="str">
        <f>IFERROR(__xludf.DUMMYFUNCTION("""COMPUTED_VALUE"""),"IDEAPAD Y700-17ISK")</f>
        <v>IDEAPAD Y700-17ISK</v>
      </c>
      <c r="G1674" s="490"/>
      <c r="H1674" s="490"/>
      <c r="I1674" s="490"/>
      <c r="J1674" s="588"/>
      <c r="K1674" s="490"/>
      <c r="L1674" s="490"/>
      <c r="M1674" s="490"/>
      <c r="N1674" s="490"/>
      <c r="O1674" s="490"/>
      <c r="P1674" s="490" t="s">
        <v>6459</v>
      </c>
    </row>
    <row r="1675">
      <c r="A1675" s="490"/>
      <c r="B1675" s="490"/>
      <c r="C1675" s="490"/>
      <c r="D1675" s="490"/>
      <c r="E1675" s="490" t="str">
        <f>IFERROR(__xludf.DUMMYFUNCTION("""COMPUTED_VALUE"""),"LENOVO")</f>
        <v>LENOVO</v>
      </c>
      <c r="F1675" s="490" t="str">
        <f>IFERROR(__xludf.DUMMYFUNCTION("""COMPUTED_VALUE"""),"LENOVO TAB 4 8")</f>
        <v>LENOVO TAB 4 8</v>
      </c>
      <c r="G1675" s="490"/>
      <c r="H1675" s="490"/>
      <c r="I1675" s="490"/>
      <c r="J1675" s="588"/>
      <c r="K1675" s="490"/>
      <c r="L1675" s="490"/>
      <c r="M1675" s="490"/>
      <c r="N1675" s="490"/>
      <c r="O1675" s="490"/>
      <c r="P1675" s="490" t="s">
        <v>6462</v>
      </c>
    </row>
    <row r="1676">
      <c r="A1676" s="490"/>
      <c r="B1676" s="490"/>
      <c r="C1676" s="490"/>
      <c r="D1676" s="490"/>
      <c r="E1676" s="490" t="str">
        <f>IFERROR(__xludf.DUMMYFUNCTION("""COMPUTED_VALUE"""),"LENOVO")</f>
        <v>LENOVO</v>
      </c>
      <c r="F1676" s="490" t="str">
        <f>IFERROR(__xludf.DUMMYFUNCTION("""COMPUTED_VALUE"""),"M720T")</f>
        <v>M720T</v>
      </c>
      <c r="G1676" s="490"/>
      <c r="H1676" s="490"/>
      <c r="I1676" s="490"/>
      <c r="J1676" s="588"/>
      <c r="K1676" s="490"/>
      <c r="L1676" s="490"/>
      <c r="M1676" s="490"/>
      <c r="N1676" s="490"/>
      <c r="O1676" s="490"/>
      <c r="P1676" s="490" t="s">
        <v>6464</v>
      </c>
    </row>
    <row r="1677">
      <c r="A1677" s="490"/>
      <c r="B1677" s="490"/>
      <c r="C1677" s="490"/>
      <c r="D1677" s="490"/>
      <c r="E1677" s="490" t="str">
        <f>IFERROR(__xludf.DUMMYFUNCTION("""COMPUTED_VALUE"""),"LENOVO")</f>
        <v>LENOVO</v>
      </c>
      <c r="F1677" s="490" t="str">
        <f>IFERROR(__xludf.DUMMYFUNCTION("""COMPUTED_VALUE"""),"MIIX320")</f>
        <v>MIIX320</v>
      </c>
      <c r="G1677" s="490"/>
      <c r="H1677" s="490"/>
      <c r="I1677" s="490"/>
      <c r="J1677" s="588"/>
      <c r="K1677" s="490"/>
      <c r="L1677" s="490"/>
      <c r="M1677" s="490"/>
      <c r="N1677" s="490"/>
      <c r="O1677" s="490"/>
      <c r="P1677" s="490" t="s">
        <v>6467</v>
      </c>
    </row>
    <row r="1678">
      <c r="A1678" s="490"/>
      <c r="B1678" s="490"/>
      <c r="C1678" s="490"/>
      <c r="D1678" s="490"/>
      <c r="E1678" s="490" t="str">
        <f>IFERROR(__xludf.DUMMYFUNCTION("""COMPUTED_VALUE"""),"LENOVO")</f>
        <v>LENOVO</v>
      </c>
      <c r="F1678" s="490" t="str">
        <f>IFERROR(__xludf.DUMMYFUNCTION("""COMPUTED_VALUE"""),"NOT VERIFIED")</f>
        <v>NOT VERIFIED</v>
      </c>
      <c r="G1678" s="490"/>
      <c r="H1678" s="490"/>
      <c r="I1678" s="490"/>
      <c r="J1678" s="588"/>
      <c r="K1678" s="490"/>
      <c r="L1678" s="490"/>
      <c r="M1678" s="490"/>
      <c r="N1678" s="490"/>
      <c r="O1678" s="490"/>
      <c r="P1678" s="490" t="s">
        <v>6470</v>
      </c>
    </row>
    <row r="1679">
      <c r="A1679" s="490"/>
      <c r="B1679" s="490"/>
      <c r="C1679" s="490"/>
      <c r="D1679" s="490"/>
      <c r="E1679" s="490" t="str">
        <f>IFERROR(__xludf.DUMMYFUNCTION("""COMPUTED_VALUE"""),"LENOVO")</f>
        <v>LENOVO</v>
      </c>
      <c r="F1679" s="490" t="str">
        <f>IFERROR(__xludf.DUMMYFUNCTION("""COMPUTED_VALUE"""),"TAB 4")</f>
        <v>TAB 4</v>
      </c>
      <c r="G1679" s="490"/>
      <c r="H1679" s="490"/>
      <c r="I1679" s="490"/>
      <c r="J1679" s="588"/>
      <c r="K1679" s="490"/>
      <c r="L1679" s="490"/>
      <c r="M1679" s="490"/>
      <c r="N1679" s="490"/>
      <c r="O1679" s="490"/>
      <c r="P1679" s="490" t="s">
        <v>6473</v>
      </c>
    </row>
    <row r="1680">
      <c r="A1680" s="490"/>
      <c r="B1680" s="490"/>
      <c r="C1680" s="490"/>
      <c r="D1680" s="490"/>
      <c r="E1680" s="490" t="str">
        <f>IFERROR(__xludf.DUMMYFUNCTION("""COMPUTED_VALUE"""),"LENOVO")</f>
        <v>LENOVO</v>
      </c>
      <c r="F1680" s="490" t="str">
        <f>IFERROR(__xludf.DUMMYFUNCTION("""COMPUTED_VALUE"""),"THINK CENTRE")</f>
        <v>THINK CENTRE</v>
      </c>
      <c r="G1680" s="490"/>
      <c r="H1680" s="490"/>
      <c r="I1680" s="490"/>
      <c r="J1680" s="588"/>
      <c r="K1680" s="490"/>
      <c r="L1680" s="490"/>
      <c r="M1680" s="490"/>
      <c r="N1680" s="490"/>
      <c r="O1680" s="490"/>
      <c r="P1680" s="490" t="s">
        <v>6476</v>
      </c>
    </row>
    <row r="1681">
      <c r="A1681" s="490"/>
      <c r="B1681" s="490"/>
      <c r="C1681" s="490"/>
      <c r="D1681" s="490"/>
      <c r="E1681" s="490" t="str">
        <f>IFERROR(__xludf.DUMMYFUNCTION("""COMPUTED_VALUE"""),"LENOVO")</f>
        <v>LENOVO</v>
      </c>
      <c r="F1681" s="490" t="str">
        <f>IFERROR(__xludf.DUMMYFUNCTION("""COMPUTED_VALUE"""),"THINKCENTRE M900")</f>
        <v>THINKCENTRE M900</v>
      </c>
      <c r="G1681" s="490"/>
      <c r="H1681" s="490"/>
      <c r="I1681" s="490"/>
      <c r="J1681" s="588"/>
      <c r="K1681" s="490"/>
      <c r="L1681" s="490"/>
      <c r="M1681" s="490"/>
      <c r="N1681" s="490"/>
      <c r="O1681" s="490"/>
      <c r="P1681" s="490" t="s">
        <v>6479</v>
      </c>
    </row>
    <row r="1682">
      <c r="A1682" s="490"/>
      <c r="B1682" s="490"/>
      <c r="C1682" s="490"/>
      <c r="D1682" s="490"/>
      <c r="E1682" s="490" t="str">
        <f>IFERROR(__xludf.DUMMYFUNCTION("""COMPUTED_VALUE"""),"LENOVO")</f>
        <v>LENOVO</v>
      </c>
      <c r="F1682" s="490" t="str">
        <f>IFERROR(__xludf.DUMMYFUNCTION("""COMPUTED_VALUE"""),"THINKPAD")</f>
        <v>THINKPAD</v>
      </c>
      <c r="G1682" s="490"/>
      <c r="H1682" s="490"/>
      <c r="I1682" s="490"/>
      <c r="J1682" s="588"/>
      <c r="K1682" s="490"/>
      <c r="L1682" s="490"/>
      <c r="M1682" s="490"/>
      <c r="N1682" s="490"/>
      <c r="O1682" s="490"/>
      <c r="P1682" s="490" t="s">
        <v>3227</v>
      </c>
    </row>
    <row r="1683">
      <c r="A1683" s="490"/>
      <c r="B1683" s="490"/>
      <c r="C1683" s="490"/>
      <c r="D1683" s="490"/>
      <c r="E1683" s="490" t="str">
        <f>IFERROR(__xludf.DUMMYFUNCTION("""COMPUTED_VALUE"""),"LENOVO")</f>
        <v>LENOVO</v>
      </c>
      <c r="F1683" s="490" t="str">
        <f>IFERROR(__xludf.DUMMYFUNCTION("""COMPUTED_VALUE"""),"THINKPAD 13 CHROMEBOOK")</f>
        <v>THINKPAD 13 CHROMEBOOK</v>
      </c>
      <c r="G1683" s="490"/>
      <c r="H1683" s="490"/>
      <c r="I1683" s="490"/>
      <c r="J1683" s="588"/>
      <c r="K1683" s="490"/>
      <c r="L1683" s="490"/>
      <c r="M1683" s="490"/>
      <c r="N1683" s="490"/>
      <c r="O1683" s="490"/>
      <c r="P1683" s="490" t="s">
        <v>6482</v>
      </c>
    </row>
    <row r="1684">
      <c r="A1684" s="490"/>
      <c r="B1684" s="490"/>
      <c r="C1684" s="490"/>
      <c r="D1684" s="490"/>
      <c r="E1684" s="490" t="str">
        <f>IFERROR(__xludf.DUMMYFUNCTION("""COMPUTED_VALUE"""),"LENOVO")</f>
        <v>LENOVO</v>
      </c>
      <c r="F1684" s="490" t="str">
        <f>IFERROR(__xludf.DUMMYFUNCTION("""COMPUTED_VALUE"""),"THINKSTATION P920")</f>
        <v>THINKSTATION P920</v>
      </c>
      <c r="G1684" s="490"/>
      <c r="H1684" s="490"/>
      <c r="I1684" s="490"/>
      <c r="J1684" s="588"/>
      <c r="K1684" s="490"/>
      <c r="L1684" s="490"/>
      <c r="M1684" s="490"/>
      <c r="N1684" s="490"/>
      <c r="O1684" s="490"/>
      <c r="P1684" s="490" t="s">
        <v>6485</v>
      </c>
    </row>
    <row r="1685">
      <c r="A1685" s="490"/>
      <c r="B1685" s="490"/>
      <c r="C1685" s="490"/>
      <c r="D1685" s="490"/>
      <c r="E1685" s="490" t="str">
        <f>IFERROR(__xludf.DUMMYFUNCTION("""COMPUTED_VALUE"""),"LENOVO")</f>
        <v>LENOVO</v>
      </c>
      <c r="F1685" s="490" t="str">
        <f>IFERROR(__xludf.DUMMYFUNCTION("""COMPUTED_VALUE"""),"TP-00081A")</f>
        <v>TP-00081A</v>
      </c>
      <c r="G1685" s="490"/>
      <c r="H1685" s="490"/>
      <c r="I1685" s="490"/>
      <c r="J1685" s="588"/>
      <c r="K1685" s="490"/>
      <c r="L1685" s="490"/>
      <c r="M1685" s="490"/>
      <c r="N1685" s="490"/>
      <c r="O1685" s="490"/>
      <c r="P1685" s="490" t="s">
        <v>6488</v>
      </c>
    </row>
    <row r="1686">
      <c r="A1686" s="490"/>
      <c r="B1686" s="490"/>
      <c r="C1686" s="490"/>
      <c r="D1686" s="490"/>
      <c r="E1686" s="490" t="str">
        <f>IFERROR(__xludf.DUMMYFUNCTION("""COMPUTED_VALUE"""),"LENOVO")</f>
        <v>LENOVO</v>
      </c>
      <c r="F1686" s="490" t="str">
        <f>IFERROR(__xludf.DUMMYFUNCTION("""COMPUTED_VALUE"""),"YT3-850F")</f>
        <v>YT3-850F</v>
      </c>
      <c r="G1686" s="490"/>
      <c r="H1686" s="490"/>
      <c r="I1686" s="490"/>
      <c r="J1686" s="588"/>
      <c r="K1686" s="490"/>
      <c r="L1686" s="490"/>
      <c r="M1686" s="490"/>
      <c r="N1686" s="490"/>
      <c r="O1686" s="490"/>
      <c r="P1686" s="490" t="s">
        <v>6491</v>
      </c>
    </row>
    <row r="1687">
      <c r="A1687" s="490"/>
      <c r="B1687" s="490"/>
      <c r="C1687" s="490"/>
      <c r="D1687" s="490"/>
      <c r="E1687" s="490" t="str">
        <f>IFERROR(__xludf.DUMMYFUNCTION("""COMPUTED_VALUE"""),"LENOVO")</f>
        <v>LENOVO</v>
      </c>
      <c r="F1687" s="490" t="str">
        <f>IFERROR(__xludf.DUMMYFUNCTION("""COMPUTED_VALUE"""),"YT3-850F")</f>
        <v>YT3-850F</v>
      </c>
      <c r="G1687" s="490"/>
      <c r="H1687" s="490"/>
      <c r="I1687" s="490"/>
      <c r="J1687" s="588"/>
      <c r="K1687" s="490"/>
      <c r="L1687" s="490"/>
      <c r="M1687" s="490"/>
      <c r="N1687" s="490"/>
      <c r="O1687" s="490"/>
      <c r="P1687" s="490" t="s">
        <v>6494</v>
      </c>
    </row>
    <row r="1688">
      <c r="A1688" s="490"/>
      <c r="B1688" s="490"/>
      <c r="C1688" s="490"/>
      <c r="D1688" s="490"/>
      <c r="E1688" s="490" t="str">
        <f>IFERROR(__xludf.DUMMYFUNCTION("""COMPUTED_VALUE"""),"LENOVO")</f>
        <v>LENOVO</v>
      </c>
      <c r="F1688" s="490" t="str">
        <f>IFERROR(__xludf.DUMMYFUNCTION("""COMPUTED_VALUE"""),"TB-X103F")</f>
        <v>TB-X103F</v>
      </c>
      <c r="G1688" s="490"/>
      <c r="H1688" s="490"/>
      <c r="I1688" s="490"/>
      <c r="J1688" s="588"/>
      <c r="K1688" s="490"/>
      <c r="L1688" s="490"/>
      <c r="M1688" s="490"/>
      <c r="N1688" s="490"/>
      <c r="O1688" s="490"/>
      <c r="P1688" s="490" t="s">
        <v>6497</v>
      </c>
    </row>
    <row r="1689">
      <c r="A1689" s="490"/>
      <c r="B1689" s="490"/>
      <c r="C1689" s="490"/>
      <c r="D1689" s="490"/>
      <c r="E1689" s="490" t="str">
        <f>IFERROR(__xludf.DUMMYFUNCTION("""COMPUTED_VALUE"""),"LENOVO")</f>
        <v>LENOVO</v>
      </c>
      <c r="F1689" s="490" t="str">
        <f>IFERROR(__xludf.DUMMYFUNCTION("""COMPUTED_VALUE"""),"TB-X103F")</f>
        <v>TB-X103F</v>
      </c>
      <c r="G1689" s="490"/>
      <c r="H1689" s="490"/>
      <c r="I1689" s="490"/>
      <c r="J1689" s="588"/>
      <c r="K1689" s="490"/>
      <c r="L1689" s="490"/>
      <c r="M1689" s="490"/>
      <c r="N1689" s="490"/>
      <c r="O1689" s="490"/>
      <c r="P1689" s="490" t="s">
        <v>6500</v>
      </c>
    </row>
    <row r="1690">
      <c r="A1690" s="490"/>
      <c r="B1690" s="490"/>
      <c r="C1690" s="490"/>
      <c r="D1690" s="490"/>
      <c r="E1690" s="490" t="str">
        <f>IFERROR(__xludf.DUMMYFUNCTION("""COMPUTED_VALUE"""),"LENOVO")</f>
        <v>LENOVO</v>
      </c>
      <c r="F1690" s="490" t="str">
        <f>IFERROR(__xludf.DUMMYFUNCTION("""COMPUTED_VALUE"""),"X1 YOGA")</f>
        <v>X1 YOGA</v>
      </c>
      <c r="G1690" s="490"/>
      <c r="H1690" s="490"/>
      <c r="I1690" s="490"/>
      <c r="J1690" s="588"/>
      <c r="K1690" s="490"/>
      <c r="L1690" s="490"/>
      <c r="M1690" s="490"/>
      <c r="N1690" s="490"/>
      <c r="O1690" s="490"/>
      <c r="P1690" s="490" t="s">
        <v>6503</v>
      </c>
    </row>
    <row r="1691">
      <c r="A1691" s="490"/>
      <c r="B1691" s="490"/>
      <c r="C1691" s="490"/>
      <c r="D1691" s="490"/>
      <c r="E1691" s="490" t="str">
        <f>IFERROR(__xludf.DUMMYFUNCTION("""COMPUTED_VALUE"""),"LENOVO")</f>
        <v>LENOVO</v>
      </c>
      <c r="F1691" s="490" t="str">
        <f>IFERROR(__xludf.DUMMYFUNCTION("""COMPUTED_VALUE"""),"V530")</f>
        <v>V530</v>
      </c>
      <c r="G1691" s="490"/>
      <c r="H1691" s="490"/>
      <c r="I1691" s="490"/>
      <c r="J1691" s="588"/>
      <c r="K1691" s="490"/>
      <c r="L1691" s="490"/>
      <c r="M1691" s="490"/>
      <c r="N1691" s="490"/>
      <c r="O1691" s="490"/>
      <c r="P1691" s="490" t="s">
        <v>6506</v>
      </c>
    </row>
    <row r="1692">
      <c r="A1692" s="490"/>
      <c r="B1692" s="490"/>
      <c r="C1692" s="490"/>
      <c r="D1692" s="490"/>
      <c r="E1692" s="490" t="str">
        <f>IFERROR(__xludf.DUMMYFUNCTION("""COMPUTED_VALUE"""),"LENOVO")</f>
        <v>LENOVO</v>
      </c>
      <c r="F1692" s="490" t="str">
        <f>IFERROR(__xludf.DUMMYFUNCTION("""COMPUTED_VALUE"""),"V50A-24IMB")</f>
        <v>V50A-24IMB</v>
      </c>
      <c r="G1692" s="490"/>
      <c r="H1692" s="490"/>
      <c r="I1692" s="490"/>
      <c r="J1692" s="588"/>
      <c r="K1692" s="490"/>
      <c r="L1692" s="490"/>
      <c r="M1692" s="490"/>
      <c r="N1692" s="490"/>
      <c r="O1692" s="490"/>
      <c r="P1692" s="490" t="s">
        <v>6508</v>
      </c>
    </row>
    <row r="1693">
      <c r="A1693" s="490"/>
      <c r="B1693" s="490"/>
      <c r="C1693" s="490"/>
      <c r="D1693" s="490"/>
      <c r="E1693" s="490" t="str">
        <f>IFERROR(__xludf.DUMMYFUNCTION("""COMPUTED_VALUE"""),"LENOVO")</f>
        <v>LENOVO</v>
      </c>
      <c r="F1693" s="490" t="str">
        <f>IFERROR(__xludf.DUMMYFUNCTION("""COMPUTED_VALUE"""),"THINKSYSTEM SR250")</f>
        <v>THINKSYSTEM SR250</v>
      </c>
      <c r="G1693" s="490"/>
      <c r="H1693" s="490"/>
      <c r="I1693" s="490"/>
      <c r="J1693" s="588"/>
      <c r="K1693" s="490"/>
      <c r="L1693" s="490"/>
      <c r="M1693" s="490"/>
      <c r="N1693" s="490"/>
      <c r="O1693" s="490"/>
      <c r="P1693" s="490" t="s">
        <v>3230</v>
      </c>
    </row>
    <row r="1694">
      <c r="A1694" s="490"/>
      <c r="B1694" s="490"/>
      <c r="C1694" s="490"/>
      <c r="D1694" s="490"/>
      <c r="E1694" s="490" t="str">
        <f>IFERROR(__xludf.DUMMYFUNCTION("""COMPUTED_VALUE"""),"LENOVO")</f>
        <v>LENOVO</v>
      </c>
      <c r="F1694" s="490" t="str">
        <f>IFERROR(__xludf.DUMMYFUNCTION("""COMPUTED_VALUE"""),"IDEACENTER 520 AIO")</f>
        <v>IDEACENTER 520 AIO</v>
      </c>
      <c r="G1694" s="490"/>
      <c r="H1694" s="490"/>
      <c r="I1694" s="490"/>
      <c r="J1694" s="588"/>
      <c r="K1694" s="490"/>
      <c r="L1694" s="490"/>
      <c r="M1694" s="490"/>
      <c r="N1694" s="490"/>
      <c r="O1694" s="490"/>
      <c r="P1694" s="490" t="s">
        <v>6511</v>
      </c>
    </row>
    <row r="1695">
      <c r="A1695" s="490"/>
      <c r="B1695" s="490"/>
      <c r="C1695" s="490"/>
      <c r="D1695" s="490"/>
      <c r="E1695" s="490" t="str">
        <f>IFERROR(__xludf.DUMMYFUNCTION("""COMPUTED_VALUE"""),"LENOVO")</f>
        <v>LENOVO</v>
      </c>
      <c r="F1695" s="490" t="str">
        <f>IFERROR(__xludf.DUMMYFUNCTION("""COMPUTED_VALUE"""),"IDEACENTER 520 AIO")</f>
        <v>IDEACENTER 520 AIO</v>
      </c>
      <c r="G1695" s="490"/>
      <c r="H1695" s="490"/>
      <c r="I1695" s="490"/>
      <c r="J1695" s="588"/>
      <c r="K1695" s="490"/>
      <c r="L1695" s="490"/>
      <c r="M1695" s="490"/>
      <c r="N1695" s="490"/>
      <c r="O1695" s="490"/>
      <c r="P1695" s="490" t="s">
        <v>6514</v>
      </c>
    </row>
    <row r="1696">
      <c r="A1696" s="490"/>
      <c r="B1696" s="490"/>
      <c r="C1696" s="490"/>
      <c r="D1696" s="490"/>
      <c r="E1696" s="490" t="str">
        <f>IFERROR(__xludf.DUMMYFUNCTION("""COMPUTED_VALUE"""),"LENOVO")</f>
        <v>LENOVO</v>
      </c>
      <c r="F1696" s="490" t="str">
        <f>IFERROR(__xludf.DUMMYFUNCTION("""COMPUTED_VALUE"""),"THINKSTATION P520")</f>
        <v>THINKSTATION P520</v>
      </c>
      <c r="G1696" s="490"/>
      <c r="H1696" s="490"/>
      <c r="I1696" s="490"/>
      <c r="J1696" s="588"/>
      <c r="K1696" s="490"/>
      <c r="L1696" s="490"/>
      <c r="M1696" s="490"/>
      <c r="N1696" s="490"/>
      <c r="O1696" s="490"/>
      <c r="P1696" s="490" t="s">
        <v>6517</v>
      </c>
    </row>
    <row r="1697">
      <c r="A1697" s="490"/>
      <c r="B1697" s="490"/>
      <c r="C1697" s="490"/>
      <c r="D1697" s="490"/>
      <c r="E1697" s="490" t="str">
        <f>IFERROR(__xludf.DUMMYFUNCTION("""COMPUTED_VALUE"""),"LENOVO")</f>
        <v>LENOVO</v>
      </c>
      <c r="F1697" s="490" t="str">
        <f>IFERROR(__xludf.DUMMYFUNCTION("""COMPUTED_VALUE"""),"82KA")</f>
        <v>82KA</v>
      </c>
      <c r="G1697" s="490"/>
      <c r="H1697" s="490"/>
      <c r="I1697" s="490"/>
      <c r="J1697" s="588"/>
      <c r="K1697" s="490"/>
      <c r="L1697" s="490"/>
      <c r="M1697" s="490"/>
      <c r="N1697" s="490"/>
      <c r="O1697" s="490"/>
      <c r="P1697" s="490" t="s">
        <v>6520</v>
      </c>
    </row>
    <row r="1698">
      <c r="A1698" s="490"/>
      <c r="B1698" s="490"/>
      <c r="C1698" s="490"/>
      <c r="D1698" s="490"/>
      <c r="E1698" s="490" t="str">
        <f>IFERROR(__xludf.DUMMYFUNCTION("""COMPUTED_VALUE"""),"LENOVO")</f>
        <v>LENOVO</v>
      </c>
      <c r="F1698" s="490" t="str">
        <f>IFERROR(__xludf.DUMMYFUNCTION("""COMPUTED_VALUE"""),"V530S")</f>
        <v>V530S</v>
      </c>
      <c r="G1698" s="490"/>
      <c r="H1698" s="490"/>
      <c r="I1698" s="490"/>
      <c r="J1698" s="588"/>
      <c r="K1698" s="490"/>
      <c r="L1698" s="490"/>
      <c r="M1698" s="490"/>
      <c r="N1698" s="490"/>
      <c r="O1698" s="490"/>
      <c r="P1698" s="490" t="s">
        <v>6523</v>
      </c>
    </row>
    <row r="1699">
      <c r="A1699" s="490"/>
      <c r="B1699" s="490"/>
      <c r="C1699" s="490"/>
      <c r="D1699" s="490"/>
      <c r="E1699" s="490" t="str">
        <f>IFERROR(__xludf.DUMMYFUNCTION("""COMPUTED_VALUE"""),"LENOVO")</f>
        <v>LENOVO</v>
      </c>
      <c r="F1699" s="490" t="str">
        <f>IFERROR(__xludf.DUMMYFUNCTION("""COMPUTED_VALUE"""),"THINKPAD T15")</f>
        <v>THINKPAD T15</v>
      </c>
      <c r="G1699" s="490"/>
      <c r="H1699" s="490"/>
      <c r="I1699" s="490"/>
      <c r="J1699" s="588"/>
      <c r="K1699" s="490"/>
      <c r="L1699" s="490"/>
      <c r="M1699" s="490"/>
      <c r="N1699" s="490"/>
      <c r="O1699" s="490"/>
      <c r="P1699" s="490" t="s">
        <v>6526</v>
      </c>
    </row>
    <row r="1700">
      <c r="A1700" s="490"/>
      <c r="B1700" s="490"/>
      <c r="C1700" s="490"/>
      <c r="D1700" s="490"/>
      <c r="E1700" s="490" t="str">
        <f>IFERROR(__xludf.DUMMYFUNCTION("""COMPUTED_VALUE"""),"LENOVO")</f>
        <v>LENOVO</v>
      </c>
      <c r="F1700" s="490" t="str">
        <f>IFERROR(__xludf.DUMMYFUNCTION("""COMPUTED_VALUE"""),"82 KA")</f>
        <v>82 KA</v>
      </c>
      <c r="G1700" s="490"/>
      <c r="H1700" s="490"/>
      <c r="I1700" s="490"/>
      <c r="J1700" s="588"/>
      <c r="K1700" s="490"/>
      <c r="L1700" s="490"/>
      <c r="M1700" s="490"/>
      <c r="N1700" s="490"/>
      <c r="O1700" s="490"/>
      <c r="P1700" s="490" t="s">
        <v>6529</v>
      </c>
    </row>
    <row r="1701">
      <c r="A1701" s="490"/>
      <c r="B1701" s="490"/>
      <c r="C1701" s="490"/>
      <c r="D1701" s="490"/>
      <c r="E1701" s="490" t="str">
        <f>IFERROR(__xludf.DUMMYFUNCTION("""COMPUTED_VALUE"""),"LENOVO")</f>
        <v>LENOVO</v>
      </c>
      <c r="F1701" s="490" t="str">
        <f>IFERROR(__xludf.DUMMYFUNCTION("""COMPUTED_VALUE"""),"P520C")</f>
        <v>P520C</v>
      </c>
      <c r="G1701" s="490"/>
      <c r="H1701" s="490"/>
      <c r="I1701" s="490"/>
      <c r="J1701" s="588"/>
      <c r="K1701" s="490"/>
      <c r="L1701" s="490"/>
      <c r="M1701" s="490"/>
      <c r="N1701" s="490"/>
      <c r="O1701" s="490"/>
      <c r="P1701" s="490" t="s">
        <v>6532</v>
      </c>
    </row>
    <row r="1702">
      <c r="A1702" s="490"/>
      <c r="B1702" s="490"/>
      <c r="C1702" s="490"/>
      <c r="D1702" s="490"/>
      <c r="E1702" s="490" t="str">
        <f>IFERROR(__xludf.DUMMYFUNCTION("""COMPUTED_VALUE"""),"LENOVO")</f>
        <v>LENOVO</v>
      </c>
      <c r="F1702" s="490" t="str">
        <f>IFERROR(__xludf.DUMMYFUNCTION("""COMPUTED_VALUE"""),"P520C")</f>
        <v>P520C</v>
      </c>
      <c r="G1702" s="490"/>
      <c r="H1702" s="490"/>
      <c r="I1702" s="490"/>
      <c r="J1702" s="588"/>
      <c r="K1702" s="490"/>
      <c r="L1702" s="490"/>
      <c r="M1702" s="490"/>
      <c r="N1702" s="490"/>
      <c r="O1702" s="490"/>
      <c r="P1702" s="490" t="s">
        <v>6535</v>
      </c>
    </row>
    <row r="1703">
      <c r="A1703" s="490"/>
      <c r="B1703" s="490"/>
      <c r="C1703" s="490"/>
      <c r="D1703" s="490"/>
      <c r="E1703" s="490" t="str">
        <f>IFERROR(__xludf.DUMMYFUNCTION("""COMPUTED_VALUE"""),"LENOVO")</f>
        <v>LENOVO</v>
      </c>
      <c r="F1703" s="490" t="str">
        <f>IFERROR(__xludf.DUMMYFUNCTION("""COMPUTED_VALUE"""),"TAB P12 PRO")</f>
        <v>TAB P12 PRO</v>
      </c>
      <c r="G1703" s="490"/>
      <c r="H1703" s="490"/>
      <c r="I1703" s="490"/>
      <c r="J1703" s="588"/>
      <c r="K1703" s="490"/>
      <c r="L1703" s="490"/>
      <c r="M1703" s="490"/>
      <c r="N1703" s="490"/>
      <c r="O1703" s="490"/>
      <c r="P1703" s="490" t="s">
        <v>6538</v>
      </c>
    </row>
    <row r="1704">
      <c r="A1704" s="490"/>
      <c r="B1704" s="490"/>
      <c r="C1704" s="490"/>
      <c r="D1704" s="490"/>
      <c r="E1704" s="490" t="str">
        <f>IFERROR(__xludf.DUMMYFUNCTION("""COMPUTED_VALUE"""),"LENOVO")</f>
        <v>LENOVO</v>
      </c>
      <c r="F1704" s="490" t="str">
        <f>IFERROR(__xludf.DUMMYFUNCTION("""COMPUTED_VALUE"""),"LENOVOTB-X606F")</f>
        <v>LENOVOTB-X606F</v>
      </c>
      <c r="G1704" s="490"/>
      <c r="H1704" s="490"/>
      <c r="I1704" s="490"/>
      <c r="J1704" s="588"/>
      <c r="K1704" s="490"/>
      <c r="L1704" s="490"/>
      <c r="M1704" s="490"/>
      <c r="N1704" s="490"/>
      <c r="O1704" s="490"/>
      <c r="P1704" s="490" t="s">
        <v>3233</v>
      </c>
    </row>
    <row r="1705">
      <c r="A1705" s="490"/>
      <c r="B1705" s="490"/>
      <c r="C1705" s="490"/>
      <c r="D1705" s="490"/>
      <c r="E1705" s="490" t="str">
        <f>IFERROR(__xludf.DUMMYFUNCTION("""COMPUTED_VALUE"""),"LENOVO")</f>
        <v>LENOVO</v>
      </c>
      <c r="F1705" s="490" t="str">
        <f>IFERROR(__xludf.DUMMYFUNCTION("""COMPUTED_VALUE"""),"THINKSTATION P620")</f>
        <v>THINKSTATION P620</v>
      </c>
      <c r="G1705" s="490"/>
      <c r="H1705" s="490"/>
      <c r="I1705" s="490"/>
      <c r="J1705" s="588"/>
      <c r="K1705" s="490"/>
      <c r="L1705" s="490"/>
      <c r="M1705" s="490"/>
      <c r="N1705" s="490"/>
      <c r="O1705" s="490"/>
      <c r="P1705" s="490" t="s">
        <v>6541</v>
      </c>
    </row>
    <row r="1706">
      <c r="A1706" s="490"/>
      <c r="B1706" s="490"/>
      <c r="C1706" s="490"/>
      <c r="D1706" s="490"/>
      <c r="E1706" s="490" t="str">
        <f>IFERROR(__xludf.DUMMYFUNCTION("""COMPUTED_VALUE"""),"LENOVO")</f>
        <v>LENOVO</v>
      </c>
      <c r="F1706" s="490" t="str">
        <f>IFERROR(__xludf.DUMMYFUNCTION("""COMPUTED_VALUE"""),"TB-8505X")</f>
        <v>TB-8505X</v>
      </c>
      <c r="G1706" s="490"/>
      <c r="H1706" s="490"/>
      <c r="I1706" s="490"/>
      <c r="J1706" s="588"/>
      <c r="K1706" s="490"/>
      <c r="L1706" s="490"/>
      <c r="M1706" s="490"/>
      <c r="N1706" s="490"/>
      <c r="O1706" s="490"/>
      <c r="P1706" s="490" t="s">
        <v>6544</v>
      </c>
    </row>
    <row r="1707">
      <c r="A1707" s="490"/>
      <c r="B1707" s="490"/>
      <c r="C1707" s="490"/>
      <c r="D1707" s="490"/>
      <c r="E1707" s="490" t="str">
        <f>IFERROR(__xludf.DUMMYFUNCTION("""COMPUTED_VALUE"""),"LENOVO")</f>
        <v>LENOVO</v>
      </c>
      <c r="F1707" s="490" t="str">
        <f>IFERROR(__xludf.DUMMYFUNCTION("""COMPUTED_VALUE"""),"THINKPAD L14 GEN2")</f>
        <v>THINKPAD L14 GEN2</v>
      </c>
      <c r="G1707" s="490"/>
      <c r="H1707" s="490"/>
      <c r="I1707" s="490"/>
      <c r="J1707" s="588"/>
      <c r="K1707" s="490"/>
      <c r="L1707" s="490"/>
      <c r="M1707" s="490"/>
      <c r="N1707" s="490"/>
      <c r="O1707" s="490"/>
      <c r="P1707" s="490" t="s">
        <v>6547</v>
      </c>
    </row>
    <row r="1708">
      <c r="A1708" s="490"/>
      <c r="B1708" s="490"/>
      <c r="C1708" s="490"/>
      <c r="D1708" s="490"/>
      <c r="E1708" s="490" t="str">
        <f>IFERROR(__xludf.DUMMYFUNCTION("""COMPUTED_VALUE"""),"LENOVO")</f>
        <v>LENOVO</v>
      </c>
      <c r="F1708" s="490" t="str">
        <f>IFERROR(__xludf.DUMMYFUNCTION("""COMPUTED_VALUE"""),"TB300FU")</f>
        <v>TB300FU</v>
      </c>
      <c r="G1708" s="490"/>
      <c r="H1708" s="490"/>
      <c r="I1708" s="490"/>
      <c r="J1708" s="588"/>
      <c r="K1708" s="490"/>
      <c r="L1708" s="490"/>
      <c r="M1708" s="490"/>
      <c r="N1708" s="490"/>
      <c r="O1708" s="490"/>
      <c r="P1708" s="490" t="s">
        <v>6550</v>
      </c>
    </row>
    <row r="1709">
      <c r="A1709" s="490"/>
      <c r="B1709" s="490"/>
      <c r="C1709" s="490"/>
      <c r="D1709" s="490"/>
      <c r="E1709" s="490" t="str">
        <f>IFERROR(__xludf.DUMMYFUNCTION("""COMPUTED_VALUE"""),"LENOVO")</f>
        <v>LENOVO</v>
      </c>
      <c r="F1709" s="490" t="str">
        <f>IFERROR(__xludf.DUMMYFUNCTION("""COMPUTED_VALUE"""),"TAB P11 PLUS TB-J616F")</f>
        <v>TAB P11 PLUS TB-J616F</v>
      </c>
      <c r="G1709" s="490"/>
      <c r="H1709" s="490"/>
      <c r="I1709" s="490"/>
      <c r="J1709" s="588"/>
      <c r="K1709" s="490"/>
      <c r="L1709" s="490"/>
      <c r="M1709" s="490"/>
      <c r="N1709" s="490"/>
      <c r="O1709" s="490"/>
      <c r="P1709" s="490" t="s">
        <v>6553</v>
      </c>
    </row>
    <row r="1710">
      <c r="A1710" s="490"/>
      <c r="B1710" s="490"/>
      <c r="C1710" s="490"/>
      <c r="D1710" s="490"/>
      <c r="E1710" s="490" t="str">
        <f>IFERROR(__xludf.DUMMYFUNCTION("""COMPUTED_VALUE"""),"LENOVO")</f>
        <v>LENOVO</v>
      </c>
      <c r="F1710" s="490" t="str">
        <f>IFERROR(__xludf.DUMMYFUNCTION("""COMPUTED_VALUE"""),"TAB M10 (3RD GEN)")</f>
        <v>TAB M10 (3RD GEN)</v>
      </c>
      <c r="G1710" s="490"/>
      <c r="H1710" s="490"/>
      <c r="I1710" s="490"/>
      <c r="J1710" s="588"/>
      <c r="K1710" s="490"/>
      <c r="L1710" s="490"/>
      <c r="M1710" s="490"/>
      <c r="N1710" s="490"/>
      <c r="O1710" s="490"/>
      <c r="P1710" s="490" t="s">
        <v>6556</v>
      </c>
    </row>
    <row r="1711">
      <c r="A1711" s="490"/>
      <c r="B1711" s="490"/>
      <c r="C1711" s="490"/>
      <c r="D1711" s="490"/>
      <c r="E1711" s="490" t="str">
        <f>IFERROR(__xludf.DUMMYFUNCTION("""COMPUTED_VALUE"""),"LENOVO")</f>
        <v>LENOVO</v>
      </c>
      <c r="F1711" s="490" t="str">
        <f>IFERROR(__xludf.DUMMYFUNCTION("""COMPUTED_VALUE"""),"TAB M9")</f>
        <v>TAB M9</v>
      </c>
      <c r="G1711" s="490"/>
      <c r="H1711" s="490"/>
      <c r="I1711" s="490"/>
      <c r="J1711" s="588"/>
      <c r="K1711" s="490"/>
      <c r="L1711" s="490"/>
      <c r="M1711" s="490"/>
      <c r="N1711" s="490"/>
      <c r="O1711" s="490"/>
      <c r="P1711" s="490" t="s">
        <v>6559</v>
      </c>
    </row>
    <row r="1712">
      <c r="A1712" s="490"/>
      <c r="B1712" s="490"/>
      <c r="C1712" s="490"/>
      <c r="D1712" s="490"/>
      <c r="E1712" s="490" t="str">
        <f>IFERROR(__xludf.DUMMYFUNCTION("""COMPUTED_VALUE"""),"LENOVO")</f>
        <v>LENOVO</v>
      </c>
      <c r="F1712" s="490" t="str">
        <f>IFERROR(__xludf.DUMMYFUNCTION("""COMPUTED_VALUE"""),"YOGA 2")</f>
        <v>YOGA 2</v>
      </c>
      <c r="G1712" s="490"/>
      <c r="H1712" s="490"/>
      <c r="I1712" s="490"/>
      <c r="J1712" s="588"/>
      <c r="K1712" s="490"/>
      <c r="L1712" s="490"/>
      <c r="M1712" s="490"/>
      <c r="N1712" s="490"/>
      <c r="O1712" s="490"/>
      <c r="P1712" s="490" t="s">
        <v>6562</v>
      </c>
    </row>
    <row r="1713">
      <c r="A1713" s="490"/>
      <c r="B1713" s="490"/>
      <c r="C1713" s="490"/>
      <c r="D1713" s="490"/>
      <c r="E1713" s="490" t="str">
        <f>IFERROR(__xludf.DUMMYFUNCTION("""COMPUTED_VALUE"""),"LENOVO")</f>
        <v>LENOVO</v>
      </c>
      <c r="F1713" s="490" t="str">
        <f>IFERROR(__xludf.DUMMYFUNCTION("""COMPUTED_VALUE"""),"14E CHROMEBOOK")</f>
        <v>14E CHROMEBOOK</v>
      </c>
      <c r="G1713" s="490"/>
      <c r="H1713" s="490"/>
      <c r="I1713" s="490"/>
      <c r="J1713" s="588"/>
      <c r="K1713" s="490"/>
      <c r="L1713" s="490"/>
      <c r="M1713" s="490"/>
      <c r="N1713" s="490"/>
      <c r="O1713" s="490"/>
      <c r="P1713" s="490" t="s">
        <v>6565</v>
      </c>
    </row>
    <row r="1714">
      <c r="A1714" s="490"/>
      <c r="B1714" s="490"/>
      <c r="C1714" s="490"/>
      <c r="D1714" s="490"/>
      <c r="E1714" s="490" t="str">
        <f>IFERROR(__xludf.DUMMYFUNCTION("""COMPUTED_VALUE"""),"LENOVO")</f>
        <v>LENOVO</v>
      </c>
      <c r="F1714" s="490" t="str">
        <f>IFERROR(__xludf.DUMMYFUNCTION("""COMPUTED_VALUE"""),"TAB P12 PRO TB-Q706F")</f>
        <v>TAB P12 PRO TB-Q706F</v>
      </c>
      <c r="G1714" s="490"/>
      <c r="H1714" s="490"/>
      <c r="I1714" s="490"/>
      <c r="J1714" s="588"/>
      <c r="K1714" s="490"/>
      <c r="L1714" s="490"/>
      <c r="M1714" s="490"/>
      <c r="N1714" s="490"/>
      <c r="O1714" s="490"/>
      <c r="P1714" s="490" t="s">
        <v>6568</v>
      </c>
    </row>
    <row r="1715">
      <c r="A1715" s="490"/>
      <c r="B1715" s="490"/>
      <c r="C1715" s="490"/>
      <c r="D1715" s="490"/>
      <c r="E1715" s="490" t="str">
        <f>IFERROR(__xludf.DUMMYFUNCTION("""COMPUTED_VALUE"""),"LENOVO")</f>
        <v>LENOVO</v>
      </c>
      <c r="F1715" s="490" t="str">
        <f>IFERROR(__xludf.DUMMYFUNCTION("""COMPUTED_VALUE"""),"TB373FU")</f>
        <v>TB373FU</v>
      </c>
      <c r="G1715" s="490"/>
      <c r="H1715" s="490"/>
      <c r="I1715" s="490"/>
      <c r="J1715" s="588"/>
      <c r="K1715" s="490"/>
      <c r="L1715" s="490"/>
      <c r="M1715" s="490"/>
      <c r="N1715" s="490"/>
      <c r="O1715" s="490"/>
      <c r="P1715" s="490" t="s">
        <v>3236</v>
      </c>
    </row>
    <row r="1716">
      <c r="A1716" s="490"/>
      <c r="B1716" s="490"/>
      <c r="C1716" s="490"/>
      <c r="D1716" s="490"/>
      <c r="E1716" s="490" t="str">
        <f>IFERROR(__xludf.DUMMYFUNCTION("""COMPUTED_VALUE"""),"LES MILLS")</f>
        <v>LES MILLS</v>
      </c>
      <c r="F1716" s="490" t="str">
        <f>IFERROR(__xludf.DUMMYFUNCTION("""COMPUTED_VALUE"""),"STAGES/NEB156")</f>
        <v>STAGES/NEB156</v>
      </c>
      <c r="G1716" s="490"/>
      <c r="H1716" s="490"/>
      <c r="I1716" s="490"/>
      <c r="J1716" s="588"/>
      <c r="K1716" s="490"/>
      <c r="L1716" s="490"/>
      <c r="M1716" s="490"/>
      <c r="N1716" s="490"/>
      <c r="O1716" s="490"/>
      <c r="P1716" s="490" t="s">
        <v>6571</v>
      </c>
    </row>
    <row r="1717">
      <c r="A1717" s="490"/>
      <c r="B1717" s="490"/>
      <c r="C1717" s="490"/>
      <c r="D1717" s="490"/>
      <c r="E1717" s="490" t="str">
        <f>IFERROR(__xludf.DUMMYFUNCTION("""COMPUTED_VALUE"""),"LES MILLS")</f>
        <v>LES MILLS</v>
      </c>
      <c r="F1717" s="490" t="str">
        <f>IFERROR(__xludf.DUMMYFUNCTION("""COMPUTED_VALUE"""),"STAGES/NEB156")</f>
        <v>STAGES/NEB156</v>
      </c>
      <c r="G1717" s="490"/>
      <c r="H1717" s="490"/>
      <c r="I1717" s="490"/>
      <c r="J1717" s="588"/>
      <c r="K1717" s="490"/>
      <c r="L1717" s="490"/>
      <c r="M1717" s="490"/>
      <c r="N1717" s="490"/>
      <c r="O1717" s="490"/>
      <c r="P1717" s="490" t="s">
        <v>6574</v>
      </c>
    </row>
    <row r="1718">
      <c r="A1718" s="490"/>
      <c r="B1718" s="490"/>
      <c r="C1718" s="490"/>
      <c r="D1718" s="490"/>
      <c r="E1718" s="490" t="str">
        <f>IFERROR(__xludf.DUMMYFUNCTION("""COMPUTED_VALUE"""),"LES MILLS")</f>
        <v>LES MILLS</v>
      </c>
      <c r="F1718" s="490" t="str">
        <f>IFERROR(__xludf.DUMMYFUNCTION("""COMPUTED_VALUE"""),"STAGES/NEB156")</f>
        <v>STAGES/NEB156</v>
      </c>
      <c r="G1718" s="490"/>
      <c r="H1718" s="490"/>
      <c r="I1718" s="490"/>
      <c r="J1718" s="588"/>
      <c r="K1718" s="490"/>
      <c r="L1718" s="490"/>
      <c r="M1718" s="490"/>
      <c r="N1718" s="490"/>
      <c r="O1718" s="490"/>
      <c r="P1718" s="490" t="s">
        <v>6577</v>
      </c>
    </row>
    <row r="1719">
      <c r="A1719" s="490"/>
      <c r="B1719" s="490"/>
      <c r="C1719" s="490"/>
      <c r="D1719" s="490"/>
      <c r="E1719" s="490" t="str">
        <f>IFERROR(__xludf.DUMMYFUNCTION("""COMPUTED_VALUE"""),"LEVELONE")</f>
        <v>LEVELONE</v>
      </c>
      <c r="F1719" s="490" t="str">
        <f>IFERROR(__xludf.DUMMYFUNCTION("""COMPUTED_VALUE"""),"FSW-0811")</f>
        <v>FSW-0811</v>
      </c>
      <c r="G1719" s="490"/>
      <c r="H1719" s="490"/>
      <c r="I1719" s="490"/>
      <c r="J1719" s="588"/>
      <c r="K1719" s="490"/>
      <c r="L1719" s="490"/>
      <c r="M1719" s="490"/>
      <c r="N1719" s="490"/>
      <c r="O1719" s="490"/>
      <c r="P1719" s="490" t="s">
        <v>6580</v>
      </c>
    </row>
    <row r="1720">
      <c r="A1720" s="490"/>
      <c r="B1720" s="490"/>
      <c r="C1720" s="490"/>
      <c r="D1720" s="490"/>
      <c r="E1720" s="490" t="str">
        <f>IFERROR(__xludf.DUMMYFUNCTION("""COMPUTED_VALUE"""),"LEVITON")</f>
        <v>LEVITON</v>
      </c>
      <c r="F1720" s="490" t="str">
        <f>IFERROR(__xludf.DUMMYFUNCTION("""COMPUTED_VALUE"""),"441-EVB40-PST")</f>
        <v>441-EVB40-PST</v>
      </c>
      <c r="G1720" s="490"/>
      <c r="H1720" s="490"/>
      <c r="I1720" s="490"/>
      <c r="J1720" s="588"/>
      <c r="K1720" s="490"/>
      <c r="L1720" s="490"/>
      <c r="M1720" s="490"/>
      <c r="N1720" s="490"/>
      <c r="O1720" s="490"/>
      <c r="P1720" s="490" t="s">
        <v>6583</v>
      </c>
    </row>
    <row r="1721">
      <c r="A1721" s="490"/>
      <c r="B1721" s="490"/>
      <c r="C1721" s="490"/>
      <c r="D1721" s="490"/>
      <c r="E1721" s="490" t="str">
        <f>IFERROR(__xludf.DUMMYFUNCTION("""COMPUTED_VALUE"""),"LEVITON")</f>
        <v>LEVITON</v>
      </c>
      <c r="F1721" s="490" t="str">
        <f>IFERROR(__xludf.DUMMYFUNCTION("""COMPUTED_VALUE"""),"RPM16-316")</f>
        <v>RPM16-316</v>
      </c>
      <c r="G1721" s="490"/>
      <c r="H1721" s="490"/>
      <c r="I1721" s="490"/>
      <c r="J1721" s="588"/>
      <c r="K1721" s="490"/>
      <c r="L1721" s="490"/>
      <c r="M1721" s="490"/>
      <c r="N1721" s="490"/>
      <c r="O1721" s="490"/>
      <c r="P1721" s="490" t="s">
        <v>6586</v>
      </c>
    </row>
    <row r="1722">
      <c r="A1722" s="490"/>
      <c r="B1722" s="490"/>
      <c r="C1722" s="490"/>
      <c r="D1722" s="490"/>
      <c r="E1722" s="490" t="str">
        <f>IFERROR(__xludf.DUMMYFUNCTION("""COMPUTED_VALUE"""),"LG")</f>
        <v>LG</v>
      </c>
      <c r="F1722" s="490" t="str">
        <f>IFERROR(__xludf.DUMMYFUNCTION("""COMPUTED_VALUE"""),"LG 47G2")</f>
        <v>LG 47G2</v>
      </c>
      <c r="G1722" s="490"/>
      <c r="H1722" s="490"/>
      <c r="I1722" s="490"/>
      <c r="J1722" s="588"/>
      <c r="K1722" s="490"/>
      <c r="L1722" s="490"/>
      <c r="M1722" s="490"/>
      <c r="N1722" s="490"/>
      <c r="O1722" s="490"/>
      <c r="P1722" s="490" t="s">
        <v>6589</v>
      </c>
    </row>
    <row r="1723">
      <c r="A1723" s="490"/>
      <c r="B1723" s="490"/>
      <c r="C1723" s="490"/>
      <c r="D1723" s="490"/>
      <c r="E1723" s="490" t="str">
        <f>IFERROR(__xludf.DUMMYFUNCTION("""COMPUTED_VALUE"""),"LG")</f>
        <v>LG</v>
      </c>
      <c r="F1723" s="490" t="str">
        <f>IFERROR(__xludf.DUMMYFUNCTION("""COMPUTED_VALUE"""),"47G3A-UA")</f>
        <v>47G3A-UA</v>
      </c>
      <c r="G1723" s="490"/>
      <c r="H1723" s="490"/>
      <c r="I1723" s="490"/>
      <c r="J1723" s="588"/>
      <c r="K1723" s="490"/>
      <c r="L1723" s="490"/>
      <c r="M1723" s="490"/>
      <c r="N1723" s="490"/>
      <c r="O1723" s="490"/>
      <c r="P1723" s="490" t="s">
        <v>6592</v>
      </c>
    </row>
    <row r="1724">
      <c r="A1724" s="490"/>
      <c r="B1724" s="490"/>
      <c r="C1724" s="490"/>
      <c r="D1724" s="490"/>
      <c r="E1724" s="490" t="str">
        <f>IFERROR(__xludf.DUMMYFUNCTION("""COMPUTED_VALUE"""),"LG")</f>
        <v>LG</v>
      </c>
      <c r="F1724" s="490" t="str">
        <f>IFERROR(__xludf.DUMMYFUNCTION("""COMPUTED_VALUE"""),"55G2.AUS")</f>
        <v>55G2.AUS</v>
      </c>
      <c r="G1724" s="490"/>
      <c r="H1724" s="490"/>
      <c r="I1724" s="490"/>
      <c r="J1724" s="588"/>
      <c r="K1724" s="490"/>
      <c r="L1724" s="490"/>
      <c r="M1724" s="490"/>
      <c r="N1724" s="490"/>
      <c r="O1724" s="490"/>
      <c r="P1724" s="490" t="s">
        <v>6595</v>
      </c>
    </row>
    <row r="1725">
      <c r="A1725" s="490"/>
      <c r="B1725" s="490"/>
      <c r="C1725" s="490"/>
      <c r="D1725" s="490"/>
      <c r="E1725" s="490" t="str">
        <f>IFERROR(__xludf.DUMMYFUNCTION("""COMPUTED_VALUE"""),"LG")</f>
        <v>LG</v>
      </c>
      <c r="F1725" s="490" t="str">
        <f>IFERROR(__xludf.DUMMYFUNCTION("""COMPUTED_VALUE"""),"55LF6100.AUS")</f>
        <v>55LF6100.AUS</v>
      </c>
      <c r="G1725" s="490"/>
      <c r="H1725" s="490"/>
      <c r="I1725" s="490"/>
      <c r="J1725" s="588"/>
      <c r="K1725" s="490"/>
      <c r="L1725" s="490"/>
      <c r="M1725" s="490"/>
      <c r="N1725" s="490"/>
      <c r="O1725" s="490"/>
      <c r="P1725" s="490" t="s">
        <v>6598</v>
      </c>
    </row>
    <row r="1726">
      <c r="A1726" s="490"/>
      <c r="B1726" s="490"/>
      <c r="C1726" s="490"/>
      <c r="D1726" s="490"/>
      <c r="E1726" s="490" t="str">
        <f>IFERROR(__xludf.DUMMYFUNCTION("""COMPUTED_VALUE"""),"LG")</f>
        <v>LG</v>
      </c>
      <c r="F1726" s="490" t="str">
        <f>IFERROR(__xludf.DUMMYFUNCTION("""COMPUTED_VALUE"""),"55LM610C")</f>
        <v>55LM610C</v>
      </c>
      <c r="G1726" s="490"/>
      <c r="H1726" s="490"/>
      <c r="I1726" s="490"/>
      <c r="J1726" s="588"/>
      <c r="K1726" s="490"/>
      <c r="L1726" s="490"/>
      <c r="M1726" s="490"/>
      <c r="N1726" s="490"/>
      <c r="O1726" s="490"/>
      <c r="P1726" s="490" t="s">
        <v>3239</v>
      </c>
    </row>
    <row r="1727">
      <c r="A1727" s="490"/>
      <c r="B1727" s="490"/>
      <c r="C1727" s="490"/>
      <c r="D1727" s="490"/>
      <c r="E1727" s="490" t="str">
        <f>IFERROR(__xludf.DUMMYFUNCTION("""COMPUTED_VALUE"""),"LG")</f>
        <v>LG</v>
      </c>
      <c r="F1727" s="490" t="str">
        <f>IFERROR(__xludf.DUMMYFUNCTION("""COMPUTED_VALUE"""),"ACP IV BACNET GATEWAY")</f>
        <v>ACP IV BACNET GATEWAY</v>
      </c>
      <c r="G1727" s="490"/>
      <c r="H1727" s="490"/>
      <c r="I1727" s="490"/>
      <c r="J1727" s="588"/>
      <c r="K1727" s="490"/>
      <c r="L1727" s="490"/>
      <c r="M1727" s="490"/>
      <c r="N1727" s="490"/>
      <c r="O1727" s="490"/>
      <c r="P1727" s="490" t="s">
        <v>6601</v>
      </c>
    </row>
    <row r="1728">
      <c r="A1728" s="490"/>
      <c r="B1728" s="490"/>
      <c r="C1728" s="490"/>
      <c r="D1728" s="490"/>
      <c r="E1728" s="490" t="str">
        <f>IFERROR(__xludf.DUMMYFUNCTION("""COMPUTED_VALUE"""),"LG")</f>
        <v>LG</v>
      </c>
      <c r="F1728" s="490" t="str">
        <f>IFERROR(__xludf.DUMMYFUNCTION("""COMPUTED_VALUE"""),"ARNU183SCL4.AMBALUS")</f>
        <v>ARNU183SCL4.AMBALUS</v>
      </c>
      <c r="G1728" s="490"/>
      <c r="H1728" s="490"/>
      <c r="I1728" s="490"/>
      <c r="J1728" s="588"/>
      <c r="K1728" s="490"/>
      <c r="L1728" s="490"/>
      <c r="M1728" s="490"/>
      <c r="N1728" s="490"/>
      <c r="O1728" s="490"/>
      <c r="P1728" s="490" t="s">
        <v>6604</v>
      </c>
    </row>
    <row r="1729">
      <c r="A1729" s="490"/>
      <c r="B1729" s="490"/>
      <c r="C1729" s="490"/>
      <c r="D1729" s="490"/>
      <c r="E1729" s="490" t="str">
        <f>IFERROR(__xludf.DUMMYFUNCTION("""COMPUTED_VALUE"""),"LG")</f>
        <v>LG</v>
      </c>
      <c r="F1729" s="490" t="str">
        <f>IFERROR(__xludf.DUMMYFUNCTION("""COMPUTED_VALUE"""),"INVERTERV")</f>
        <v>INVERTERV</v>
      </c>
      <c r="G1729" s="490"/>
      <c r="H1729" s="490"/>
      <c r="I1729" s="490"/>
      <c r="J1729" s="588"/>
      <c r="K1729" s="490"/>
      <c r="L1729" s="490"/>
      <c r="M1729" s="490"/>
      <c r="N1729" s="490"/>
      <c r="O1729" s="490"/>
      <c r="P1729" s="490" t="s">
        <v>6607</v>
      </c>
    </row>
    <row r="1730">
      <c r="A1730" s="490"/>
      <c r="B1730" s="490"/>
      <c r="C1730" s="490"/>
      <c r="D1730" s="490"/>
      <c r="E1730" s="490" t="str">
        <f>IFERROR(__xludf.DUMMYFUNCTION("""COMPUTED_VALUE"""),"LG")</f>
        <v>LG</v>
      </c>
      <c r="F1730" s="490" t="str">
        <f>IFERROR(__xludf.DUMMYFUNCTION("""COMPUTED_VALUE"""),"LG GOOGLE TV")</f>
        <v>LG GOOGLE TV</v>
      </c>
      <c r="G1730" s="490"/>
      <c r="H1730" s="490"/>
      <c r="I1730" s="490"/>
      <c r="J1730" s="588"/>
      <c r="K1730" s="490"/>
      <c r="L1730" s="490"/>
      <c r="M1730" s="490"/>
      <c r="N1730" s="490"/>
      <c r="O1730" s="490"/>
      <c r="P1730" s="490" t="s">
        <v>6609</v>
      </c>
    </row>
    <row r="1731">
      <c r="A1731" s="490"/>
      <c r="B1731" s="490"/>
      <c r="C1731" s="490"/>
      <c r="D1731" s="490"/>
      <c r="E1731" s="490" t="str">
        <f>IFERROR(__xludf.DUMMYFUNCTION("""COMPUTED_VALUE"""),"LG")</f>
        <v>LG</v>
      </c>
      <c r="F1731" s="490" t="str">
        <f>IFERROR(__xludf.DUMMYFUNCTION("""COMPUTED_VALUE"""),"NOT VERIFIED")</f>
        <v>NOT VERIFIED</v>
      </c>
      <c r="G1731" s="490"/>
      <c r="H1731" s="490"/>
      <c r="I1731" s="490"/>
      <c r="J1731" s="588"/>
      <c r="K1731" s="490"/>
      <c r="L1731" s="490"/>
      <c r="M1731" s="490"/>
      <c r="N1731" s="490"/>
      <c r="O1731" s="490"/>
      <c r="P1731" s="490" t="s">
        <v>6612</v>
      </c>
    </row>
    <row r="1732">
      <c r="A1732" s="490"/>
      <c r="B1732" s="490"/>
      <c r="C1732" s="490"/>
      <c r="D1732" s="490"/>
      <c r="E1732" s="490" t="str">
        <f>IFERROR(__xludf.DUMMYFUNCTION("""COMPUTED_VALUE"""),"LG")</f>
        <v>LG</v>
      </c>
      <c r="F1732" s="490" t="str">
        <f>IFERROR(__xludf.DUMMYFUNCTION("""COMPUTED_VALUE"""),"OLED55E6P")</f>
        <v>OLED55E6P</v>
      </c>
      <c r="G1732" s="490"/>
      <c r="H1732" s="490"/>
      <c r="I1732" s="490"/>
      <c r="J1732" s="588"/>
      <c r="K1732" s="490"/>
      <c r="L1732" s="490"/>
      <c r="M1732" s="490"/>
      <c r="N1732" s="490"/>
      <c r="O1732" s="490"/>
      <c r="P1732" s="490" t="s">
        <v>6615</v>
      </c>
    </row>
    <row r="1733">
      <c r="A1733" s="490"/>
      <c r="B1733" s="490"/>
      <c r="C1733" s="490"/>
      <c r="D1733" s="490"/>
      <c r="E1733" s="490" t="str">
        <f>IFERROR(__xludf.DUMMYFUNCTION("""COMPUTED_VALUE"""),"LG")</f>
        <v>LG</v>
      </c>
      <c r="F1733" s="490" t="str">
        <f>IFERROR(__xludf.DUMMYFUNCTION("""COMPUTED_VALUE"""),"OLED65C7P-U")</f>
        <v>OLED65C7P-U</v>
      </c>
      <c r="G1733" s="490"/>
      <c r="H1733" s="490"/>
      <c r="I1733" s="490"/>
      <c r="J1733" s="588"/>
      <c r="K1733" s="490"/>
      <c r="L1733" s="490"/>
      <c r="M1733" s="490"/>
      <c r="N1733" s="490"/>
      <c r="O1733" s="490"/>
      <c r="P1733" s="490" t="s">
        <v>6618</v>
      </c>
    </row>
    <row r="1734">
      <c r="A1734" s="490"/>
      <c r="B1734" s="490"/>
      <c r="C1734" s="490"/>
      <c r="D1734" s="490"/>
      <c r="E1734" s="490" t="str">
        <f>IFERROR(__xludf.DUMMYFUNCTION("""COMPUTED_VALUE"""),"LG")</f>
        <v>LG</v>
      </c>
      <c r="F1734" s="490" t="str">
        <f>IFERROR(__xludf.DUMMYFUNCTION("""COMPUTED_VALUE"""),"PBACNA000")</f>
        <v>PBACNA000</v>
      </c>
      <c r="G1734" s="490"/>
      <c r="H1734" s="490"/>
      <c r="I1734" s="490"/>
      <c r="J1734" s="588"/>
      <c r="K1734" s="490"/>
      <c r="L1734" s="490"/>
      <c r="M1734" s="490"/>
      <c r="N1734" s="490"/>
      <c r="O1734" s="490"/>
      <c r="P1734" s="490" t="s">
        <v>6621</v>
      </c>
    </row>
    <row r="1735">
      <c r="A1735" s="490"/>
      <c r="B1735" s="490"/>
      <c r="C1735" s="490"/>
      <c r="D1735" s="490"/>
      <c r="E1735" s="490" t="str">
        <f>IFERROR(__xludf.DUMMYFUNCTION("""COMPUTED_VALUE"""),"LG")</f>
        <v>LG</v>
      </c>
      <c r="F1735" s="490" t="str">
        <f>IFERROR(__xludf.DUMMYFUNCTION("""COMPUTED_VALUE"""),"PQNFB17C0")</f>
        <v>PQNFB17C0</v>
      </c>
      <c r="G1735" s="490"/>
      <c r="H1735" s="490"/>
      <c r="I1735" s="490"/>
      <c r="J1735" s="588"/>
      <c r="K1735" s="490"/>
      <c r="L1735" s="490"/>
      <c r="M1735" s="490"/>
      <c r="N1735" s="490"/>
      <c r="O1735" s="490"/>
      <c r="P1735" s="490" t="s">
        <v>6624</v>
      </c>
    </row>
    <row r="1736">
      <c r="A1736" s="490"/>
      <c r="B1736" s="490"/>
      <c r="C1736" s="490"/>
      <c r="D1736" s="490"/>
      <c r="E1736" s="490" t="str">
        <f>IFERROR(__xludf.DUMMYFUNCTION("""COMPUTED_VALUE"""),"LG")</f>
        <v>LG</v>
      </c>
      <c r="F1736" s="490" t="str">
        <f>IFERROR(__xludf.DUMMYFUNCTION("""COMPUTED_VALUE"""),"PQNFB17C2")</f>
        <v>PQNFB17C2</v>
      </c>
      <c r="G1736" s="490"/>
      <c r="H1736" s="490"/>
      <c r="I1736" s="490"/>
      <c r="J1736" s="588"/>
      <c r="K1736" s="490"/>
      <c r="L1736" s="490"/>
      <c r="M1736" s="490"/>
      <c r="N1736" s="490"/>
      <c r="O1736" s="490"/>
      <c r="P1736" s="490" t="s">
        <v>6627</v>
      </c>
    </row>
    <row r="1737">
      <c r="A1737" s="490"/>
      <c r="B1737" s="490"/>
      <c r="C1737" s="490"/>
      <c r="D1737" s="490"/>
      <c r="E1737" s="490" t="str">
        <f>IFERROR(__xludf.DUMMYFUNCTION("""COMPUTED_VALUE"""),"LG")</f>
        <v>LG</v>
      </c>
      <c r="F1737" s="490" t="str">
        <f>IFERROR(__xludf.DUMMYFUNCTION("""COMPUTED_VALUE"""),"PREMTB1OU")</f>
        <v>PREMTB1OU</v>
      </c>
      <c r="G1737" s="490"/>
      <c r="H1737" s="490"/>
      <c r="I1737" s="490"/>
      <c r="J1737" s="588"/>
      <c r="K1737" s="490"/>
      <c r="L1737" s="490"/>
      <c r="M1737" s="490"/>
      <c r="N1737" s="490"/>
      <c r="O1737" s="490"/>
      <c r="P1737" s="490" t="s">
        <v>3242</v>
      </c>
    </row>
    <row r="1738">
      <c r="A1738" s="490"/>
      <c r="B1738" s="490"/>
      <c r="C1738" s="490"/>
      <c r="D1738" s="490"/>
      <c r="E1738" s="490" t="str">
        <f>IFERROR(__xludf.DUMMYFUNCTION("""COMPUTED_VALUE"""),"LG")</f>
        <v>LG</v>
      </c>
      <c r="F1738" s="490" t="str">
        <f>IFERROR(__xludf.DUMMYFUNCTION("""COMPUTED_VALUE"""),"SJ8000")</f>
        <v>SJ8000</v>
      </c>
      <c r="G1738" s="490"/>
      <c r="H1738" s="490"/>
      <c r="I1738" s="490"/>
      <c r="J1738" s="588"/>
      <c r="K1738" s="490"/>
      <c r="L1738" s="490"/>
      <c r="M1738" s="490"/>
      <c r="N1738" s="490"/>
      <c r="O1738" s="490"/>
      <c r="P1738" s="490" t="s">
        <v>6630</v>
      </c>
    </row>
    <row r="1739">
      <c r="A1739" s="490"/>
      <c r="B1739" s="490"/>
      <c r="C1739" s="490"/>
      <c r="D1739" s="490"/>
      <c r="E1739" s="490" t="str">
        <f>IFERROR(__xludf.DUMMYFUNCTION("""COMPUTED_VALUE"""),"LG")</f>
        <v>LG</v>
      </c>
      <c r="F1739" s="490" t="str">
        <f>IFERROR(__xludf.DUMMYFUNCTION("""COMPUTED_VALUE"""),"SJ9570")</f>
        <v>SJ9570</v>
      </c>
      <c r="G1739" s="490"/>
      <c r="H1739" s="490"/>
      <c r="I1739" s="490"/>
      <c r="J1739" s="588"/>
      <c r="K1739" s="490"/>
      <c r="L1739" s="490"/>
      <c r="M1739" s="490"/>
      <c r="N1739" s="490"/>
      <c r="O1739" s="490"/>
      <c r="P1739" s="490" t="s">
        <v>6633</v>
      </c>
    </row>
    <row r="1740">
      <c r="A1740" s="490"/>
      <c r="B1740" s="490"/>
      <c r="C1740" s="490"/>
      <c r="D1740" s="490"/>
      <c r="E1740" s="490" t="str">
        <f>IFERROR(__xludf.DUMMYFUNCTION("""COMPUTED_VALUE"""),"LG")</f>
        <v>LG</v>
      </c>
      <c r="F1740" s="490" t="str">
        <f>IFERROR(__xludf.DUMMYFUNCTION("""COMPUTED_VALUE"""),"M4864P6B")</f>
        <v>M4864P6B</v>
      </c>
      <c r="G1740" s="490"/>
      <c r="H1740" s="490"/>
      <c r="I1740" s="490"/>
      <c r="J1740" s="588"/>
      <c r="K1740" s="490"/>
      <c r="L1740" s="490"/>
      <c r="M1740" s="490"/>
      <c r="N1740" s="490"/>
      <c r="O1740" s="490"/>
      <c r="P1740" s="490" t="s">
        <v>6636</v>
      </c>
    </row>
    <row r="1741">
      <c r="A1741" s="490"/>
      <c r="B1741" s="490"/>
      <c r="C1741" s="490"/>
      <c r="D1741" s="490"/>
      <c r="E1741" s="490" t="str">
        <f>IFERROR(__xludf.DUMMYFUNCTION("""COMPUTED_VALUE"""),"LG")</f>
        <v>LG</v>
      </c>
      <c r="F1741" s="490" t="str">
        <f>IFERROR(__xludf.DUMMYFUNCTION("""COMPUTED_VALUE"""),"M4864P6B")</f>
        <v>M4864P6B</v>
      </c>
      <c r="G1741" s="490"/>
      <c r="H1741" s="490"/>
      <c r="I1741" s="490"/>
      <c r="J1741" s="588"/>
      <c r="K1741" s="490"/>
      <c r="L1741" s="490"/>
      <c r="M1741" s="490"/>
      <c r="N1741" s="490"/>
      <c r="O1741" s="490"/>
      <c r="P1741" s="490" t="s">
        <v>6639</v>
      </c>
    </row>
    <row r="1742">
      <c r="A1742" s="490"/>
      <c r="B1742" s="490"/>
      <c r="C1742" s="490"/>
      <c r="D1742" s="490"/>
      <c r="E1742" s="490" t="str">
        <f>IFERROR(__xludf.DUMMYFUNCTION("""COMPUTED_VALUE"""),"LG")</f>
        <v>LG</v>
      </c>
      <c r="F1742" s="490" t="str">
        <f>IFERROR(__xludf.DUMMYFUNCTION("""COMPUTED_VALUE"""),"65WS960H0ZD")</f>
        <v>65WS960H0ZD</v>
      </c>
      <c r="G1742" s="490"/>
      <c r="H1742" s="490"/>
      <c r="I1742" s="490"/>
      <c r="J1742" s="588"/>
      <c r="K1742" s="490"/>
      <c r="L1742" s="490"/>
      <c r="M1742" s="490"/>
      <c r="N1742" s="490"/>
      <c r="O1742" s="490"/>
      <c r="P1742" s="490" t="s">
        <v>6642</v>
      </c>
    </row>
    <row r="1743">
      <c r="A1743" s="490"/>
      <c r="B1743" s="490"/>
      <c r="C1743" s="490"/>
      <c r="D1743" s="490"/>
      <c r="E1743" s="490" t="str">
        <f>IFERROR(__xludf.DUMMYFUNCTION("""COMPUTED_VALUE"""),"LG")</f>
        <v>LG</v>
      </c>
      <c r="F1743" s="490" t="str">
        <f>IFERROR(__xludf.DUMMYFUNCTION("""COMPUTED_VALUE"""),"65QNED913PA")</f>
        <v>65QNED913PA</v>
      </c>
      <c r="G1743" s="490"/>
      <c r="H1743" s="490"/>
      <c r="I1743" s="490"/>
      <c r="J1743" s="588"/>
      <c r="K1743" s="490"/>
      <c r="L1743" s="490"/>
      <c r="M1743" s="490"/>
      <c r="N1743" s="490"/>
      <c r="O1743" s="490"/>
      <c r="P1743" s="490" t="s">
        <v>6645</v>
      </c>
    </row>
    <row r="1744">
      <c r="A1744" s="490"/>
      <c r="B1744" s="490"/>
      <c r="C1744" s="490"/>
      <c r="D1744" s="490"/>
      <c r="E1744" s="490" t="str">
        <f>IFERROR(__xludf.DUMMYFUNCTION("""COMPUTED_VALUE"""),"LG")</f>
        <v>LG</v>
      </c>
      <c r="F1744" s="490" t="str">
        <f>IFERROR(__xludf.DUMMYFUNCTION("""COMPUTED_VALUE"""),"65W2960H0ZD")</f>
        <v>65W2960H0ZD</v>
      </c>
      <c r="G1744" s="490"/>
      <c r="H1744" s="490"/>
      <c r="I1744" s="490"/>
      <c r="J1744" s="588"/>
      <c r="K1744" s="490"/>
      <c r="L1744" s="490"/>
      <c r="M1744" s="490"/>
      <c r="N1744" s="490"/>
      <c r="O1744" s="490"/>
      <c r="P1744" s="490" t="s">
        <v>6648</v>
      </c>
    </row>
    <row r="1745">
      <c r="A1745" s="490"/>
      <c r="B1745" s="490"/>
      <c r="C1745" s="490"/>
      <c r="D1745" s="490"/>
      <c r="E1745" s="490" t="str">
        <f>IFERROR(__xludf.DUMMYFUNCTION("""COMPUTED_VALUE"""),"LG")</f>
        <v>LG</v>
      </c>
      <c r="F1745" s="490" t="str">
        <f>IFERROR(__xludf.DUMMYFUNCTION("""COMPUTED_VALUE"""),"65ET961H0ZD")</f>
        <v>65ET961H0ZD</v>
      </c>
      <c r="G1745" s="490"/>
      <c r="H1745" s="490"/>
      <c r="I1745" s="490"/>
      <c r="J1745" s="588"/>
      <c r="K1745" s="490"/>
      <c r="L1745" s="490"/>
      <c r="M1745" s="490"/>
      <c r="N1745" s="490"/>
      <c r="O1745" s="490"/>
      <c r="P1745" s="490" t="s">
        <v>6651</v>
      </c>
    </row>
    <row r="1746">
      <c r="A1746" s="490"/>
      <c r="B1746" s="490"/>
      <c r="C1746" s="490"/>
      <c r="D1746" s="490"/>
      <c r="E1746" s="490" t="str">
        <f>IFERROR(__xludf.DUMMYFUNCTION("""COMPUTED_VALUE"""),"LG")</f>
        <v>LG</v>
      </c>
      <c r="F1746" s="490" t="str">
        <f>IFERROR(__xludf.DUMMYFUNCTION("""COMPUTED_VALUE"""),"55WS960H0ZD")</f>
        <v>55WS960H0ZD</v>
      </c>
      <c r="G1746" s="490"/>
      <c r="H1746" s="490"/>
      <c r="I1746" s="490"/>
      <c r="J1746" s="588"/>
      <c r="K1746" s="490"/>
      <c r="L1746" s="490"/>
      <c r="M1746" s="490"/>
      <c r="N1746" s="490"/>
      <c r="O1746" s="490"/>
      <c r="P1746" s="490" t="s">
        <v>6654</v>
      </c>
    </row>
    <row r="1747">
      <c r="A1747" s="490"/>
      <c r="B1747" s="490"/>
      <c r="C1747" s="490"/>
      <c r="D1747" s="490"/>
      <c r="E1747" s="490" t="str">
        <f>IFERROR(__xludf.DUMMYFUNCTION("""COMPUTED_VALUE"""),"LG")</f>
        <v>LG</v>
      </c>
      <c r="F1747" s="490" t="str">
        <f>IFERROR(__xludf.DUMMYFUNCTION("""COMPUTED_VALUE"""),"49UH5FHJ")</f>
        <v>49UH5FHJ</v>
      </c>
      <c r="G1747" s="490"/>
      <c r="H1747" s="490"/>
      <c r="I1747" s="490"/>
      <c r="J1747" s="588"/>
      <c r="K1747" s="490"/>
      <c r="L1747" s="490"/>
      <c r="M1747" s="490"/>
      <c r="N1747" s="490"/>
      <c r="O1747" s="490"/>
      <c r="P1747" s="490" t="s">
        <v>6657</v>
      </c>
    </row>
    <row r="1748">
      <c r="A1748" s="490"/>
      <c r="B1748" s="490"/>
      <c r="C1748" s="490"/>
      <c r="D1748" s="490"/>
      <c r="E1748" s="490" t="str">
        <f>IFERROR(__xludf.DUMMYFUNCTION("""COMPUTED_VALUE"""),"LG")</f>
        <v>LG</v>
      </c>
      <c r="F1748" s="490" t="str">
        <f>IFERROR(__xludf.DUMMYFUNCTION("""COMPUTED_VALUE"""),"49UH5FHJ")</f>
        <v>49UH5FHJ</v>
      </c>
      <c r="G1748" s="490"/>
      <c r="H1748" s="490"/>
      <c r="I1748" s="490"/>
      <c r="J1748" s="588"/>
      <c r="K1748" s="490"/>
      <c r="L1748" s="490"/>
      <c r="M1748" s="490"/>
      <c r="N1748" s="490"/>
      <c r="O1748" s="490"/>
      <c r="P1748" s="490" t="s">
        <v>2902</v>
      </c>
    </row>
    <row r="1749">
      <c r="A1749" s="490"/>
      <c r="B1749" s="490"/>
      <c r="C1749" s="490"/>
      <c r="D1749" s="490"/>
      <c r="E1749" s="490" t="str">
        <f>IFERROR(__xludf.DUMMYFUNCTION("""COMPUTED_VALUE"""),"LG")</f>
        <v>LG</v>
      </c>
      <c r="F1749" s="490" t="str">
        <f>IFERROR(__xludf.DUMMYFUNCTION("""COMPUTED_VALUE"""),"PQNFB17C1")</f>
        <v>PQNFB17C1</v>
      </c>
      <c r="G1749" s="490"/>
      <c r="H1749" s="490"/>
      <c r="I1749" s="490"/>
      <c r="J1749" s="588"/>
      <c r="K1749" s="490"/>
      <c r="L1749" s="490"/>
      <c r="M1749" s="490"/>
      <c r="N1749" s="490"/>
      <c r="O1749" s="490"/>
      <c r="P1749" s="490" t="s">
        <v>3245</v>
      </c>
    </row>
    <row r="1750">
      <c r="A1750" s="490"/>
      <c r="B1750" s="490"/>
      <c r="C1750" s="490"/>
      <c r="D1750" s="490"/>
      <c r="E1750" s="490" t="str">
        <f>IFERROR(__xludf.DUMMYFUNCTION("""COMPUTED_VALUE"""),"LG")</f>
        <v>LG</v>
      </c>
      <c r="F1750" s="490" t="str">
        <f>IFERROR(__xludf.DUMMYFUNCTION("""COMPUTED_VALUE"""),"15U560")</f>
        <v>15U560</v>
      </c>
      <c r="G1750" s="490"/>
      <c r="H1750" s="490"/>
      <c r="I1750" s="490"/>
      <c r="J1750" s="588"/>
      <c r="K1750" s="490"/>
      <c r="L1750" s="490"/>
      <c r="M1750" s="490"/>
      <c r="N1750" s="490"/>
      <c r="O1750" s="490"/>
      <c r="P1750" s="490" t="s">
        <v>6659</v>
      </c>
    </row>
    <row r="1751">
      <c r="A1751" s="490"/>
      <c r="B1751" s="490"/>
      <c r="C1751" s="490"/>
      <c r="D1751" s="490"/>
      <c r="E1751" s="490" t="str">
        <f>IFERROR(__xludf.DUMMYFUNCTION("""COMPUTED_VALUE"""),"LG")</f>
        <v>LG</v>
      </c>
      <c r="F1751" s="490" t="str">
        <f>IFERROR(__xludf.DUMMYFUNCTION("""COMPUTED_VALUE"""),"S550")</f>
        <v>S550</v>
      </c>
      <c r="G1751" s="490"/>
      <c r="H1751" s="490"/>
      <c r="I1751" s="490"/>
      <c r="J1751" s="588"/>
      <c r="K1751" s="490"/>
      <c r="L1751" s="490"/>
      <c r="M1751" s="490"/>
      <c r="N1751" s="490"/>
      <c r="O1751" s="490"/>
      <c r="P1751" s="490" t="s">
        <v>6661</v>
      </c>
    </row>
    <row r="1752">
      <c r="A1752" s="490"/>
      <c r="B1752" s="490"/>
      <c r="C1752" s="490"/>
      <c r="D1752" s="490"/>
      <c r="E1752" s="490" t="str">
        <f>IFERROR(__xludf.DUMMYFUNCTION("""COMPUTED_VALUE"""),"LG")</f>
        <v>LG</v>
      </c>
      <c r="F1752" s="490" t="str">
        <f>IFERROR(__xludf.DUMMYFUNCTION("""COMPUTED_VALUE"""),"65UH5E")</f>
        <v>65UH5E</v>
      </c>
      <c r="G1752" s="490"/>
      <c r="H1752" s="490"/>
      <c r="I1752" s="490"/>
      <c r="J1752" s="588"/>
      <c r="K1752" s="490"/>
      <c r="L1752" s="490"/>
      <c r="M1752" s="490"/>
      <c r="N1752" s="490"/>
      <c r="O1752" s="490"/>
      <c r="P1752" s="490" t="s">
        <v>6663</v>
      </c>
    </row>
    <row r="1753">
      <c r="A1753" s="490"/>
      <c r="B1753" s="490"/>
      <c r="C1753" s="490"/>
      <c r="D1753" s="490"/>
      <c r="E1753" s="490" t="str">
        <f>IFERROR(__xludf.DUMMYFUNCTION("""COMPUTED_VALUE"""),"LG")</f>
        <v>LG</v>
      </c>
      <c r="F1753" s="490" t="str">
        <f>IFERROR(__xludf.DUMMYFUNCTION("""COMPUTED_VALUE"""),"65QNED996PB")</f>
        <v>65QNED996PB</v>
      </c>
      <c r="G1753" s="490"/>
      <c r="H1753" s="490"/>
      <c r="I1753" s="490"/>
      <c r="J1753" s="588"/>
      <c r="K1753" s="490"/>
      <c r="L1753" s="490"/>
      <c r="M1753" s="490"/>
      <c r="N1753" s="490"/>
      <c r="O1753" s="490"/>
      <c r="P1753" s="490" t="s">
        <v>6665</v>
      </c>
    </row>
    <row r="1754">
      <c r="A1754" s="490"/>
      <c r="B1754" s="490"/>
      <c r="C1754" s="490"/>
      <c r="D1754" s="490"/>
      <c r="E1754" s="490" t="str">
        <f>IFERROR(__xludf.DUMMYFUNCTION("""COMPUTED_VALUE"""),"LG")</f>
        <v>LG</v>
      </c>
      <c r="F1754" s="490" t="str">
        <f>IFERROR(__xludf.DUMMYFUNCTION("""COMPUTED_VALUE"""),"UH5E 55 INCH")</f>
        <v>UH5E 55 INCH</v>
      </c>
      <c r="G1754" s="490"/>
      <c r="H1754" s="490"/>
      <c r="I1754" s="490"/>
      <c r="J1754" s="588"/>
      <c r="K1754" s="490"/>
      <c r="L1754" s="490"/>
      <c r="M1754" s="490"/>
      <c r="N1754" s="490"/>
      <c r="O1754" s="490"/>
      <c r="P1754" s="490" t="s">
        <v>6667</v>
      </c>
    </row>
    <row r="1755">
      <c r="A1755" s="490"/>
      <c r="B1755" s="490"/>
      <c r="C1755" s="490"/>
      <c r="D1755" s="490"/>
      <c r="E1755" s="490" t="str">
        <f>IFERROR(__xludf.DUMMYFUNCTION("""COMPUTED_VALUE"""),"LG")</f>
        <v>LG</v>
      </c>
      <c r="F1755" s="490" t="str">
        <f>IFERROR(__xludf.DUMMYFUNCTION("""COMPUTED_VALUE"""),"55UH5F-HJ")</f>
        <v>55UH5F-HJ</v>
      </c>
      <c r="G1755" s="490"/>
      <c r="H1755" s="490"/>
      <c r="I1755" s="490"/>
      <c r="J1755" s="588"/>
      <c r="K1755" s="490"/>
      <c r="L1755" s="490"/>
      <c r="M1755" s="490"/>
      <c r="N1755" s="490"/>
      <c r="O1755" s="490"/>
      <c r="P1755" s="490" t="s">
        <v>6669</v>
      </c>
    </row>
    <row r="1756">
      <c r="A1756" s="490"/>
      <c r="B1756" s="490"/>
      <c r="C1756" s="490"/>
      <c r="D1756" s="490"/>
      <c r="E1756" s="490" t="str">
        <f>IFERROR(__xludf.DUMMYFUNCTION("""COMPUTED_VALUE"""),"LG")</f>
        <v>LG</v>
      </c>
      <c r="F1756" s="490" t="str">
        <f>IFERROR(__xludf.DUMMYFUNCTION("""COMPUTED_VALUE"""),"65UH5F")</f>
        <v>65UH5F</v>
      </c>
      <c r="G1756" s="490"/>
      <c r="H1756" s="490"/>
      <c r="I1756" s="490"/>
      <c r="J1756" s="588"/>
      <c r="K1756" s="490"/>
      <c r="L1756" s="490"/>
      <c r="M1756" s="490"/>
      <c r="N1756" s="490"/>
      <c r="O1756" s="490"/>
      <c r="P1756" s="490" t="s">
        <v>6671</v>
      </c>
    </row>
    <row r="1757">
      <c r="A1757" s="490"/>
      <c r="B1757" s="490"/>
      <c r="C1757" s="490"/>
      <c r="D1757" s="490"/>
      <c r="E1757" s="490" t="str">
        <f>IFERROR(__xludf.DUMMYFUNCTION("""COMPUTED_VALUE"""),"LG")</f>
        <v>LG</v>
      </c>
      <c r="F1757" s="490" t="str">
        <f>IFERROR(__xludf.DUMMYFUNCTION("""COMPUTED_VALUE"""),"55UH5J")</f>
        <v>55UH5J</v>
      </c>
      <c r="G1757" s="490"/>
      <c r="H1757" s="490"/>
      <c r="I1757" s="490"/>
      <c r="J1757" s="588"/>
      <c r="K1757" s="490"/>
      <c r="L1757" s="490"/>
      <c r="M1757" s="490"/>
      <c r="N1757" s="490"/>
      <c r="O1757" s="490"/>
      <c r="P1757" s="490" t="s">
        <v>6673</v>
      </c>
    </row>
    <row r="1758">
      <c r="A1758" s="490"/>
      <c r="B1758" s="490"/>
      <c r="C1758" s="490"/>
      <c r="D1758" s="490"/>
      <c r="E1758" s="490" t="str">
        <f>IFERROR(__xludf.DUMMYFUNCTION("""COMPUTED_VALUE"""),"LG")</f>
        <v>LG</v>
      </c>
      <c r="F1758" s="490" t="str">
        <f>IFERROR(__xludf.DUMMYFUNCTION("""COMPUTED_VALUE"""),"75UH5F-H SERIES")</f>
        <v>75UH5F-H SERIES</v>
      </c>
      <c r="G1758" s="490"/>
      <c r="H1758" s="490"/>
      <c r="I1758" s="490"/>
      <c r="J1758" s="588"/>
      <c r="K1758" s="490"/>
      <c r="L1758" s="490"/>
      <c r="M1758" s="490"/>
      <c r="N1758" s="490"/>
      <c r="O1758" s="490"/>
      <c r="P1758" s="490" t="s">
        <v>6675</v>
      </c>
    </row>
    <row r="1759">
      <c r="A1759" s="490"/>
      <c r="B1759" s="490"/>
      <c r="C1759" s="490"/>
      <c r="D1759" s="490"/>
      <c r="E1759" s="490" t="str">
        <f>IFERROR(__xludf.DUMMYFUNCTION("""COMPUTED_VALUE"""),"LG")</f>
        <v>LG</v>
      </c>
      <c r="F1759" s="490" t="str">
        <f>IFERROR(__xludf.DUMMYFUNCTION("""COMPUTED_VALUE"""),"75UH5F-HJ")</f>
        <v>75UH5F-HJ</v>
      </c>
      <c r="G1759" s="490"/>
      <c r="H1759" s="490"/>
      <c r="I1759" s="490"/>
      <c r="J1759" s="588"/>
      <c r="K1759" s="490"/>
      <c r="L1759" s="490"/>
      <c r="M1759" s="490"/>
      <c r="N1759" s="490"/>
      <c r="O1759" s="490"/>
      <c r="P1759" s="490" t="s">
        <v>6677</v>
      </c>
    </row>
    <row r="1760">
      <c r="A1760" s="490"/>
      <c r="B1760" s="490"/>
      <c r="C1760" s="490"/>
      <c r="D1760" s="490"/>
      <c r="E1760" s="490" t="str">
        <f>IFERROR(__xludf.DUMMYFUNCTION("""COMPUTED_VALUE"""),"LG")</f>
        <v>LG</v>
      </c>
      <c r="F1760" s="490" t="str">
        <f>IFERROR(__xludf.DUMMYFUNCTION("""COMPUTED_VALUE"""),"OLED55C98LB")</f>
        <v>OLED55C98LB</v>
      </c>
      <c r="G1760" s="490"/>
      <c r="H1760" s="490"/>
      <c r="I1760" s="490"/>
      <c r="J1760" s="588"/>
      <c r="K1760" s="490"/>
      <c r="L1760" s="490"/>
      <c r="M1760" s="490"/>
      <c r="N1760" s="490"/>
      <c r="O1760" s="490"/>
      <c r="P1760" s="490" t="s">
        <v>3248</v>
      </c>
    </row>
    <row r="1761">
      <c r="A1761" s="490"/>
      <c r="B1761" s="490"/>
      <c r="C1761" s="490"/>
      <c r="D1761" s="490"/>
      <c r="E1761" s="490" t="str">
        <f>IFERROR(__xludf.DUMMYFUNCTION("""COMPUTED_VALUE"""),"LG")</f>
        <v>LG</v>
      </c>
      <c r="F1761" s="490" t="str">
        <f>IFERROR(__xludf.DUMMYFUNCTION("""COMPUTED_VALUE"""),"ARUM144DTE5")</f>
        <v>ARUM144DTE5</v>
      </c>
      <c r="G1761" s="490"/>
      <c r="H1761" s="490"/>
      <c r="I1761" s="490"/>
      <c r="J1761" s="588"/>
      <c r="K1761" s="490"/>
      <c r="L1761" s="490"/>
      <c r="M1761" s="490"/>
      <c r="N1761" s="490"/>
      <c r="O1761" s="490"/>
      <c r="P1761" s="490" t="s">
        <v>6679</v>
      </c>
    </row>
    <row r="1762">
      <c r="A1762" s="490"/>
      <c r="B1762" s="490"/>
      <c r="C1762" s="490"/>
      <c r="D1762" s="490"/>
      <c r="E1762" s="490" t="str">
        <f>IFERROR(__xludf.DUMMYFUNCTION("""COMPUTED_VALUE"""),"LG")</f>
        <v>LG</v>
      </c>
      <c r="F1762" s="490" t="str">
        <f>IFERROR(__xludf.DUMMYFUNCTION("""COMPUTED_VALUE"""),"ARUM241DTE5")</f>
        <v>ARUM241DTE5</v>
      </c>
      <c r="G1762" s="490"/>
      <c r="H1762" s="490"/>
      <c r="I1762" s="490"/>
      <c r="J1762" s="588"/>
      <c r="K1762" s="490"/>
      <c r="L1762" s="490"/>
      <c r="M1762" s="490"/>
      <c r="N1762" s="490"/>
      <c r="O1762" s="490"/>
      <c r="P1762" s="490" t="s">
        <v>6681</v>
      </c>
    </row>
    <row r="1763">
      <c r="A1763" s="490"/>
      <c r="B1763" s="490"/>
      <c r="C1763" s="490"/>
      <c r="D1763" s="490"/>
      <c r="E1763" s="490" t="str">
        <f>IFERROR(__xludf.DUMMYFUNCTION("""COMPUTED_VALUE"""),"LG")</f>
        <v>LG</v>
      </c>
      <c r="F1763" s="490" t="str">
        <f>IFERROR(__xludf.DUMMYFUNCTION("""COMPUTED_VALUE"""),"ARUM216DTE5")</f>
        <v>ARUM216DTE5</v>
      </c>
      <c r="G1763" s="490"/>
      <c r="H1763" s="490"/>
      <c r="I1763" s="490"/>
      <c r="J1763" s="588"/>
      <c r="K1763" s="490"/>
      <c r="L1763" s="490"/>
      <c r="M1763" s="490"/>
      <c r="N1763" s="490"/>
      <c r="O1763" s="490"/>
      <c r="P1763" s="490" t="s">
        <v>6683</v>
      </c>
    </row>
    <row r="1764">
      <c r="A1764" s="490"/>
      <c r="B1764" s="490"/>
      <c r="C1764" s="490"/>
      <c r="D1764" s="490"/>
      <c r="E1764" s="490" t="str">
        <f>IFERROR(__xludf.DUMMYFUNCTION("""COMPUTED_VALUE"""),"LG")</f>
        <v>LG</v>
      </c>
      <c r="F1764" s="490" t="str">
        <f>IFERROR(__xludf.DUMMYFUNCTION("""COMPUTED_VALUE"""),"ARUV200BTS4 OUTDOOR")</f>
        <v>ARUV200BTS4 OUTDOOR</v>
      </c>
      <c r="G1764" s="490"/>
      <c r="H1764" s="490"/>
      <c r="I1764" s="490"/>
      <c r="J1764" s="588"/>
      <c r="K1764" s="490"/>
      <c r="L1764" s="490"/>
      <c r="M1764" s="490"/>
      <c r="N1764" s="490"/>
      <c r="O1764" s="490"/>
      <c r="P1764" s="490" t="s">
        <v>6685</v>
      </c>
    </row>
    <row r="1765">
      <c r="A1765" s="490"/>
      <c r="B1765" s="490"/>
      <c r="C1765" s="490"/>
      <c r="D1765" s="490"/>
      <c r="E1765" s="490" t="str">
        <f>IFERROR(__xludf.DUMMYFUNCTION("""COMPUTED_VALUE"""),"LG")</f>
        <v>LG</v>
      </c>
      <c r="F1765" s="490" t="str">
        <f>IFERROR(__xludf.DUMMYFUNCTION("""COMPUTED_VALUE"""),"REMOTE CONTROLLER")</f>
        <v>REMOTE CONTROLLER</v>
      </c>
      <c r="G1765" s="490"/>
      <c r="H1765" s="490"/>
      <c r="I1765" s="490"/>
      <c r="J1765" s="588"/>
      <c r="K1765" s="490"/>
      <c r="L1765" s="490"/>
      <c r="M1765" s="490"/>
      <c r="N1765" s="490"/>
      <c r="O1765" s="490"/>
      <c r="P1765" s="490" t="s">
        <v>6687</v>
      </c>
    </row>
    <row r="1766">
      <c r="A1766" s="490"/>
      <c r="B1766" s="490"/>
      <c r="C1766" s="490"/>
      <c r="D1766" s="490"/>
      <c r="E1766" s="490" t="str">
        <f>IFERROR(__xludf.DUMMYFUNCTION("""COMPUTED_VALUE"""),"LG")</f>
        <v>LG</v>
      </c>
      <c r="F1766" s="490" t="str">
        <f>IFERROR(__xludf.DUMMYFUNCTION("""COMPUTED_VALUE"""),"ARNUXXGBXXX")</f>
        <v>ARNUXXGBXXX</v>
      </c>
      <c r="G1766" s="490"/>
      <c r="H1766" s="490"/>
      <c r="I1766" s="490"/>
      <c r="J1766" s="588"/>
      <c r="K1766" s="490"/>
      <c r="L1766" s="490"/>
      <c r="M1766" s="490"/>
      <c r="N1766" s="490"/>
      <c r="O1766" s="490"/>
      <c r="P1766" s="490" t="s">
        <v>6689</v>
      </c>
    </row>
    <row r="1767">
      <c r="A1767" s="490"/>
      <c r="B1767" s="490"/>
      <c r="C1767" s="490"/>
      <c r="D1767" s="490"/>
      <c r="E1767" s="604" t="str">
        <f>IFERROR(__xludf.DUMMYFUNCTION("""COMPUTED_VALUE"""),"LH.GD")</f>
        <v>LH.GD</v>
      </c>
      <c r="F1767" s="490" t="str">
        <f>IFERROR(__xludf.DUMMYFUNCTION("""COMPUTED_VALUE"""),"MEDIA CONVERTER")</f>
        <v>MEDIA CONVERTER</v>
      </c>
      <c r="G1767" s="490"/>
      <c r="H1767" s="490"/>
      <c r="I1767" s="490"/>
      <c r="J1767" s="588"/>
      <c r="K1767" s="490"/>
      <c r="L1767" s="490"/>
      <c r="M1767" s="490"/>
      <c r="N1767" s="490"/>
      <c r="O1767" s="490"/>
      <c r="P1767" s="490" t="s">
        <v>6691</v>
      </c>
    </row>
    <row r="1768">
      <c r="A1768" s="490"/>
      <c r="B1768" s="490"/>
      <c r="C1768" s="490"/>
      <c r="D1768" s="490"/>
      <c r="E1768" s="490" t="str">
        <f>IFERROR(__xludf.DUMMYFUNCTION("""COMPUTED_VALUE"""),"LIEBERT")</f>
        <v>LIEBERT</v>
      </c>
      <c r="F1768" s="490" t="str">
        <f>IFERROR(__xludf.DUMMYFUNCTION("""COMPUTED_VALUE"""),"AC4")</f>
        <v>AC4</v>
      </c>
      <c r="G1768" s="490"/>
      <c r="H1768" s="490"/>
      <c r="I1768" s="490"/>
      <c r="J1768" s="588"/>
      <c r="K1768" s="490"/>
      <c r="L1768" s="490"/>
      <c r="M1768" s="490"/>
      <c r="N1768" s="490"/>
      <c r="O1768" s="490"/>
      <c r="P1768" s="490" t="s">
        <v>6693</v>
      </c>
    </row>
    <row r="1769">
      <c r="A1769" s="490"/>
      <c r="B1769" s="490"/>
      <c r="C1769" s="490"/>
      <c r="D1769" s="490"/>
      <c r="E1769" s="490" t="str">
        <f>IFERROR(__xludf.DUMMYFUNCTION("""COMPUTED_VALUE"""),"LIEBERT")</f>
        <v>LIEBERT</v>
      </c>
      <c r="F1769" s="490" t="str">
        <f>IFERROR(__xludf.DUMMYFUNCTION("""COMPUTED_VALUE"""),"CHALLENGER 3000")</f>
        <v>CHALLENGER 3000</v>
      </c>
      <c r="G1769" s="490"/>
      <c r="H1769" s="490"/>
      <c r="I1769" s="490"/>
      <c r="J1769" s="588"/>
      <c r="K1769" s="490"/>
      <c r="L1769" s="490"/>
      <c r="M1769" s="490"/>
      <c r="N1769" s="490"/>
      <c r="O1769" s="490"/>
      <c r="P1769" s="490" t="s">
        <v>6695</v>
      </c>
    </row>
    <row r="1770">
      <c r="A1770" s="490"/>
      <c r="B1770" s="490"/>
      <c r="C1770" s="490"/>
      <c r="D1770" s="490"/>
      <c r="E1770" s="490" t="str">
        <f>IFERROR(__xludf.DUMMYFUNCTION("""COMPUTED_VALUE"""),"LIEBERT")</f>
        <v>LIEBERT</v>
      </c>
      <c r="F1770" s="490" t="str">
        <f>IFERROR(__xludf.DUMMYFUNCTION("""COMPUTED_VALUE"""),"INTELLISLOT CARD")</f>
        <v>INTELLISLOT CARD</v>
      </c>
      <c r="G1770" s="490"/>
      <c r="H1770" s="490"/>
      <c r="I1770" s="490"/>
      <c r="J1770" s="588"/>
      <c r="K1770" s="490"/>
      <c r="L1770" s="490"/>
      <c r="M1770" s="490"/>
      <c r="N1770" s="490"/>
      <c r="O1770" s="490"/>
      <c r="P1770" s="490" t="s">
        <v>6697</v>
      </c>
    </row>
    <row r="1771">
      <c r="A1771" s="490"/>
      <c r="B1771" s="490"/>
      <c r="C1771" s="490"/>
      <c r="D1771" s="490"/>
      <c r="E1771" s="490" t="str">
        <f>IFERROR(__xludf.DUMMYFUNCTION("""COMPUTED_VALUE"""),"LIEBERT")</f>
        <v>LIEBERT</v>
      </c>
      <c r="F1771" s="490" t="str">
        <f>IFERROR(__xludf.DUMMYFUNCTION("""COMPUTED_VALUE"""),"MINI MATE 2")</f>
        <v>MINI MATE 2</v>
      </c>
      <c r="G1771" s="490"/>
      <c r="H1771" s="490"/>
      <c r="I1771" s="490"/>
      <c r="J1771" s="588"/>
      <c r="K1771" s="490"/>
      <c r="L1771" s="490"/>
      <c r="M1771" s="490"/>
      <c r="N1771" s="490"/>
      <c r="O1771" s="490"/>
      <c r="P1771" s="490" t="s">
        <v>3251</v>
      </c>
    </row>
    <row r="1772">
      <c r="A1772" s="490"/>
      <c r="B1772" s="490"/>
      <c r="C1772" s="490"/>
      <c r="D1772" s="490"/>
      <c r="E1772" s="490" t="str">
        <f>IFERROR(__xludf.DUMMYFUNCTION("""COMPUTED_VALUE"""),"LIEBERT")</f>
        <v>LIEBERT</v>
      </c>
      <c r="F1772" s="490" t="str">
        <f>IFERROR(__xludf.DUMMYFUNCTION("""COMPUTED_VALUE"""),"P1020")</f>
        <v>P1020</v>
      </c>
      <c r="G1772" s="490"/>
      <c r="H1772" s="490"/>
      <c r="I1772" s="490"/>
      <c r="J1772" s="588"/>
      <c r="K1772" s="490"/>
      <c r="L1772" s="490"/>
      <c r="M1772" s="490"/>
      <c r="N1772" s="490"/>
      <c r="O1772" s="490"/>
      <c r="P1772" s="490" t="s">
        <v>6699</v>
      </c>
    </row>
    <row r="1773">
      <c r="A1773" s="490"/>
      <c r="B1773" s="490"/>
      <c r="C1773" s="490"/>
      <c r="D1773" s="490"/>
      <c r="E1773" s="490" t="str">
        <f>IFERROR(__xludf.DUMMYFUNCTION("""COMPUTED_VALUE"""),"LIEBERT")</f>
        <v>LIEBERT</v>
      </c>
      <c r="F1773" s="490" t="str">
        <f>IFERROR(__xludf.DUMMYFUNCTION("""COMPUTED_VALUE"""),"P1025")</f>
        <v>P1025</v>
      </c>
      <c r="G1773" s="490"/>
      <c r="H1773" s="490"/>
      <c r="I1773" s="490"/>
      <c r="J1773" s="588"/>
      <c r="K1773" s="490"/>
      <c r="L1773" s="490"/>
      <c r="M1773" s="490"/>
      <c r="N1773" s="490"/>
      <c r="O1773" s="490"/>
      <c r="P1773" s="490" t="s">
        <v>6701</v>
      </c>
    </row>
    <row r="1774">
      <c r="A1774" s="490"/>
      <c r="B1774" s="490"/>
      <c r="C1774" s="490"/>
      <c r="D1774" s="490"/>
      <c r="E1774" s="490" t="str">
        <f>IFERROR(__xludf.DUMMYFUNCTION("""COMPUTED_VALUE"""),"LIEBERT")</f>
        <v>LIEBERT</v>
      </c>
      <c r="F1774" s="490" t="str">
        <f>IFERROR(__xludf.DUMMYFUNCTION("""COMPUTED_VALUE"""),"P1030FWZMS1R")</f>
        <v>P1030FWZMS1R</v>
      </c>
      <c r="G1774" s="490"/>
      <c r="H1774" s="490"/>
      <c r="I1774" s="490"/>
      <c r="J1774" s="588"/>
      <c r="K1774" s="490"/>
      <c r="L1774" s="490"/>
      <c r="M1774" s="490"/>
      <c r="N1774" s="490"/>
      <c r="O1774" s="490"/>
      <c r="P1774" s="490" t="s">
        <v>6703</v>
      </c>
    </row>
    <row r="1775">
      <c r="A1775" s="490"/>
      <c r="B1775" s="490"/>
      <c r="C1775" s="490"/>
      <c r="D1775" s="490"/>
      <c r="E1775" s="490" t="str">
        <f>IFERROR(__xludf.DUMMYFUNCTION("""COMPUTED_VALUE"""),"LIEBERT")</f>
        <v>LIEBERT</v>
      </c>
      <c r="F1775" s="490" t="str">
        <f>IFERROR(__xludf.DUMMYFUNCTION("""COMPUTED_VALUE"""),"P1035")</f>
        <v>P1035</v>
      </c>
      <c r="G1775" s="490"/>
      <c r="H1775" s="490"/>
      <c r="I1775" s="490"/>
      <c r="J1775" s="588"/>
      <c r="K1775" s="490"/>
      <c r="L1775" s="490"/>
      <c r="M1775" s="490"/>
      <c r="N1775" s="490"/>
      <c r="O1775" s="490"/>
      <c r="P1775" s="490" t="s">
        <v>6705</v>
      </c>
    </row>
    <row r="1776">
      <c r="A1776" s="490"/>
      <c r="B1776" s="490"/>
      <c r="C1776" s="490"/>
      <c r="D1776" s="490"/>
      <c r="E1776" s="490" t="str">
        <f>IFERROR(__xludf.DUMMYFUNCTION("""COMPUTED_VALUE"""),"LIEBERT")</f>
        <v>LIEBERT</v>
      </c>
      <c r="F1776" s="490" t="str">
        <f>IFERROR(__xludf.DUMMYFUNCTION("""COMPUTED_VALUE"""),"P1035FWZMS1R")</f>
        <v>P1035FWZMS1R</v>
      </c>
      <c r="G1776" s="490"/>
      <c r="H1776" s="490"/>
      <c r="I1776" s="490"/>
      <c r="J1776" s="588"/>
      <c r="K1776" s="490"/>
      <c r="L1776" s="490"/>
      <c r="M1776" s="490"/>
      <c r="N1776" s="490"/>
      <c r="O1776" s="490"/>
      <c r="P1776" s="490" t="s">
        <v>6707</v>
      </c>
    </row>
    <row r="1777">
      <c r="A1777" s="490"/>
      <c r="B1777" s="490"/>
      <c r="C1777" s="490"/>
      <c r="D1777" s="490"/>
      <c r="E1777" s="490" t="str">
        <f>IFERROR(__xludf.DUMMYFUNCTION("""COMPUTED_VALUE"""),"LIEBERT")</f>
        <v>LIEBERT</v>
      </c>
      <c r="F1777" s="490" t="str">
        <f>IFERROR(__xludf.DUMMYFUNCTION("""COMPUTED_VALUE"""),"MT060HE1C0")</f>
        <v>MT060HE1C0</v>
      </c>
      <c r="G1777" s="490"/>
      <c r="H1777" s="490"/>
      <c r="I1777" s="490"/>
      <c r="J1777" s="588"/>
      <c r="K1777" s="490"/>
      <c r="L1777" s="490"/>
      <c r="M1777" s="490"/>
      <c r="N1777" s="490"/>
      <c r="O1777" s="490"/>
      <c r="P1777" s="490" t="s">
        <v>6709</v>
      </c>
    </row>
    <row r="1778">
      <c r="A1778" s="490"/>
      <c r="B1778" s="490"/>
      <c r="C1778" s="490"/>
      <c r="D1778" s="490"/>
      <c r="E1778" s="490" t="str">
        <f>IFERROR(__xludf.DUMMYFUNCTION("""COMPUTED_VALUE"""),"LIEBERT")</f>
        <v>LIEBERT</v>
      </c>
      <c r="F1778" s="490" t="str">
        <f>IFERROR(__xludf.DUMMYFUNCTION("""COMPUTED_VALUE"""),"PFD067A-AH0")</f>
        <v>PFD067A-AH0</v>
      </c>
      <c r="G1778" s="490"/>
      <c r="H1778" s="490"/>
      <c r="I1778" s="490"/>
      <c r="J1778" s="588"/>
      <c r="K1778" s="490"/>
      <c r="L1778" s="490"/>
      <c r="M1778" s="490"/>
      <c r="N1778" s="490"/>
      <c r="O1778" s="490"/>
      <c r="P1778" s="490" t="s">
        <v>6711</v>
      </c>
    </row>
    <row r="1779">
      <c r="A1779" s="490"/>
      <c r="B1779" s="490"/>
      <c r="C1779" s="490"/>
      <c r="D1779" s="490"/>
      <c r="E1779" s="490" t="str">
        <f>IFERROR(__xludf.DUMMYFUNCTION("""COMPUTED_VALUE"""),"LIEBERT")</f>
        <v>LIEBERT</v>
      </c>
      <c r="F1779" s="490" t="str">
        <f>IFERROR(__xludf.DUMMYFUNCTION("""COMPUTED_VALUE"""),"PFD067A-AH1")</f>
        <v>PFD067A-AH1</v>
      </c>
      <c r="G1779" s="490"/>
      <c r="H1779" s="490"/>
      <c r="I1779" s="490"/>
      <c r="J1779" s="588"/>
      <c r="K1779" s="490"/>
      <c r="L1779" s="490"/>
      <c r="M1779" s="490"/>
      <c r="N1779" s="490"/>
      <c r="O1779" s="490"/>
      <c r="P1779" s="490" t="s">
        <v>6713</v>
      </c>
    </row>
    <row r="1780">
      <c r="A1780" s="490"/>
      <c r="B1780" s="490"/>
      <c r="C1780" s="490"/>
      <c r="D1780" s="490"/>
      <c r="E1780" s="490" t="str">
        <f>IFERROR(__xludf.DUMMYFUNCTION("""COMPUTED_VALUE"""),"LIEBERT")</f>
        <v>LIEBERT</v>
      </c>
      <c r="F1780" s="490" t="str">
        <f>IFERROR(__xludf.DUMMYFUNCTION("""COMPUTED_VALUE"""),"MINI-MATE")</f>
        <v>MINI-MATE</v>
      </c>
      <c r="G1780" s="490"/>
      <c r="H1780" s="490"/>
      <c r="I1780" s="490"/>
      <c r="J1780" s="588"/>
      <c r="K1780" s="490"/>
      <c r="L1780" s="490"/>
      <c r="M1780" s="490"/>
      <c r="N1780" s="490"/>
      <c r="O1780" s="490"/>
      <c r="P1780" s="490" t="s">
        <v>6715</v>
      </c>
    </row>
    <row r="1781">
      <c r="A1781" s="490"/>
      <c r="B1781" s="490"/>
      <c r="C1781" s="490"/>
      <c r="D1781" s="490"/>
      <c r="E1781" s="490" t="str">
        <f>IFERROR(__xludf.DUMMYFUNCTION("""COMPUTED_VALUE"""),"LIFE FITNESS")</f>
        <v>LIFE FITNESS</v>
      </c>
      <c r="F1781" s="490" t="str">
        <f>IFERROR(__xludf.DUMMYFUNCTION("""COMPUTED_VALUE"""),"ACTIVATE SERIES")</f>
        <v>ACTIVATE SERIES</v>
      </c>
      <c r="G1781" s="490"/>
      <c r="H1781" s="490"/>
      <c r="I1781" s="490"/>
      <c r="J1781" s="588"/>
      <c r="K1781" s="490"/>
      <c r="L1781" s="490"/>
      <c r="M1781" s="490"/>
      <c r="N1781" s="490"/>
      <c r="O1781" s="490"/>
      <c r="P1781" s="490" t="s">
        <v>6717</v>
      </c>
    </row>
    <row r="1782">
      <c r="A1782" s="490"/>
      <c r="B1782" s="490"/>
      <c r="C1782" s="490"/>
      <c r="D1782" s="490"/>
      <c r="E1782" s="490" t="str">
        <f>IFERROR(__xludf.DUMMYFUNCTION("""COMPUTED_VALUE"""),"LIFE FITNESS")</f>
        <v>LIFE FITNESS</v>
      </c>
      <c r="F1782" s="490" t="str">
        <f>IFERROR(__xludf.DUMMYFUNCTION("""COMPUTED_VALUE"""),"SE4 CONSOLE")</f>
        <v>SE4 CONSOLE</v>
      </c>
      <c r="G1782" s="490"/>
      <c r="H1782" s="490"/>
      <c r="I1782" s="490"/>
      <c r="J1782" s="588"/>
      <c r="K1782" s="490"/>
      <c r="L1782" s="490"/>
      <c r="M1782" s="490"/>
      <c r="N1782" s="490"/>
      <c r="O1782" s="490"/>
      <c r="P1782" s="490" t="s">
        <v>3254</v>
      </c>
    </row>
    <row r="1783">
      <c r="A1783" s="490"/>
      <c r="B1783" s="490"/>
      <c r="C1783" s="490"/>
      <c r="D1783" s="490"/>
      <c r="E1783" s="490" t="str">
        <f>IFERROR(__xludf.DUMMYFUNCTION("""COMPUTED_VALUE"""),"LIGHTING CONTROLS")</f>
        <v>LIGHTING CONTROLS</v>
      </c>
      <c r="F1783" s="490" t="str">
        <f>IFERROR(__xludf.DUMMYFUNCTION("""COMPUTED_VALUE"""),"LC-TCP-IP")</f>
        <v>LC-TCP-IP</v>
      </c>
      <c r="G1783" s="490"/>
      <c r="H1783" s="490"/>
      <c r="I1783" s="490"/>
      <c r="J1783" s="588"/>
      <c r="K1783" s="490"/>
      <c r="L1783" s="490"/>
      <c r="M1783" s="490"/>
      <c r="N1783" s="490"/>
      <c r="O1783" s="490"/>
      <c r="P1783" s="490" t="s">
        <v>6719</v>
      </c>
    </row>
    <row r="1784">
      <c r="A1784" s="490"/>
      <c r="B1784" s="490"/>
      <c r="C1784" s="490"/>
      <c r="D1784" s="490"/>
      <c r="E1784" s="490" t="str">
        <f>IFERROR(__xludf.DUMMYFUNCTION("""COMPUTED_VALUE"""),"LIGHTSOURCE")</f>
        <v>LIGHTSOURCE</v>
      </c>
      <c r="F1784" s="490" t="str">
        <f>IFERROR(__xludf.DUMMYFUNCTION("""COMPUTED_VALUE"""),"NIX-M LINE")</f>
        <v>NIX-M LINE</v>
      </c>
      <c r="G1784" s="490"/>
      <c r="H1784" s="490"/>
      <c r="I1784" s="490"/>
      <c r="J1784" s="588"/>
      <c r="K1784" s="490"/>
      <c r="L1784" s="490"/>
      <c r="M1784" s="490"/>
      <c r="N1784" s="490"/>
      <c r="O1784" s="490"/>
      <c r="P1784" s="490" t="s">
        <v>6721</v>
      </c>
    </row>
    <row r="1785">
      <c r="A1785" s="490"/>
      <c r="B1785" s="490"/>
      <c r="C1785" s="490"/>
      <c r="D1785" s="490"/>
      <c r="E1785" s="490" t="str">
        <f>IFERROR(__xludf.DUMMYFUNCTION("""COMPUTED_VALUE"""),"LINKSYS")</f>
        <v>LINKSYS</v>
      </c>
      <c r="F1785" s="490" t="str">
        <f>IFERROR(__xludf.DUMMYFUNCTION("""COMPUTED_VALUE"""),"EZXS55W")</f>
        <v>EZXS55W</v>
      </c>
      <c r="G1785" s="490"/>
      <c r="H1785" s="490"/>
      <c r="I1785" s="490"/>
      <c r="J1785" s="588"/>
      <c r="K1785" s="490"/>
      <c r="L1785" s="490"/>
      <c r="M1785" s="490"/>
      <c r="N1785" s="490"/>
      <c r="O1785" s="490"/>
      <c r="P1785" s="490" t="s">
        <v>6723</v>
      </c>
    </row>
    <row r="1786">
      <c r="A1786" s="490"/>
      <c r="B1786" s="490"/>
      <c r="C1786" s="490"/>
      <c r="D1786" s="490"/>
      <c r="E1786" s="490" t="str">
        <f>IFERROR(__xludf.DUMMYFUNCTION("""COMPUTED_VALUE"""),"LINKSYS")</f>
        <v>LINKSYS</v>
      </c>
      <c r="F1786" s="490" t="str">
        <f>IFERROR(__xludf.DUMMYFUNCTION("""COMPUTED_VALUE"""),"SD205")</f>
        <v>SD205</v>
      </c>
      <c r="G1786" s="490"/>
      <c r="H1786" s="490"/>
      <c r="I1786" s="490"/>
      <c r="J1786" s="588"/>
      <c r="K1786" s="490"/>
      <c r="L1786" s="490"/>
      <c r="M1786" s="490"/>
      <c r="N1786" s="490"/>
      <c r="O1786" s="490"/>
      <c r="P1786" s="490" t="s">
        <v>6725</v>
      </c>
    </row>
    <row r="1787">
      <c r="A1787" s="490"/>
      <c r="B1787" s="490"/>
      <c r="C1787" s="490"/>
      <c r="D1787" s="490"/>
      <c r="E1787" s="490" t="str">
        <f>IFERROR(__xludf.DUMMYFUNCTION("""COMPUTED_VALUE"""),"LINKSYS")</f>
        <v>LINKSYS</v>
      </c>
      <c r="F1787" s="490" t="str">
        <f>IFERROR(__xludf.DUMMYFUNCTION("""COMPUTED_VALUE"""),"SE1500")</f>
        <v>SE1500</v>
      </c>
      <c r="G1787" s="490"/>
      <c r="H1787" s="490"/>
      <c r="I1787" s="490"/>
      <c r="J1787" s="588"/>
      <c r="K1787" s="490"/>
      <c r="L1787" s="490"/>
      <c r="M1787" s="490"/>
      <c r="N1787" s="490"/>
      <c r="O1787" s="490"/>
      <c r="P1787" s="490" t="s">
        <v>6727</v>
      </c>
    </row>
    <row r="1788">
      <c r="A1788" s="490"/>
      <c r="B1788" s="490"/>
      <c r="C1788" s="490"/>
      <c r="D1788" s="490"/>
      <c r="E1788" s="490" t="str">
        <f>IFERROR(__xludf.DUMMYFUNCTION("""COMPUTED_VALUE"""),"LINKSYS")</f>
        <v>LINKSYS</v>
      </c>
      <c r="F1788" s="490" t="str">
        <f>IFERROR(__xludf.DUMMYFUNCTION("""COMPUTED_VALUE"""),"SE3005")</f>
        <v>SE3005</v>
      </c>
      <c r="G1788" s="490"/>
      <c r="H1788" s="490"/>
      <c r="I1788" s="490"/>
      <c r="J1788" s="588"/>
      <c r="K1788" s="490"/>
      <c r="L1788" s="490"/>
      <c r="M1788" s="490"/>
      <c r="N1788" s="490"/>
      <c r="O1788" s="490"/>
      <c r="P1788" s="490" t="s">
        <v>6729</v>
      </c>
    </row>
    <row r="1789">
      <c r="A1789" s="490"/>
      <c r="B1789" s="490"/>
      <c r="C1789" s="490"/>
      <c r="D1789" s="490"/>
      <c r="E1789" s="490" t="str">
        <f>IFERROR(__xludf.DUMMYFUNCTION("""COMPUTED_VALUE"""),"LINKSYS")</f>
        <v>LINKSYS</v>
      </c>
      <c r="F1789" s="490" t="str">
        <f>IFERROR(__xludf.DUMMYFUNCTION("""COMPUTED_VALUE"""),"WRT160N")</f>
        <v>WRT160N</v>
      </c>
      <c r="G1789" s="490"/>
      <c r="H1789" s="490"/>
      <c r="I1789" s="490"/>
      <c r="J1789" s="588"/>
      <c r="K1789" s="490"/>
      <c r="L1789" s="490"/>
      <c r="M1789" s="490"/>
      <c r="N1789" s="490"/>
      <c r="O1789" s="490"/>
      <c r="P1789" s="490" t="s">
        <v>6731</v>
      </c>
    </row>
    <row r="1790">
      <c r="A1790" s="490"/>
      <c r="B1790" s="490"/>
      <c r="C1790" s="490"/>
      <c r="D1790" s="490"/>
      <c r="E1790" s="490" t="str">
        <f>IFERROR(__xludf.DUMMYFUNCTION("""COMPUTED_VALUE"""),"LINKSYS")</f>
        <v>LINKSYS</v>
      </c>
      <c r="F1790" s="490" t="str">
        <f>IFERROR(__xludf.DUMMYFUNCTION("""COMPUTED_VALUE"""),"LGS308P")</f>
        <v>LGS308P</v>
      </c>
      <c r="G1790" s="490"/>
      <c r="H1790" s="490"/>
      <c r="I1790" s="490"/>
      <c r="J1790" s="588"/>
      <c r="K1790" s="490"/>
      <c r="L1790" s="490"/>
      <c r="M1790" s="490"/>
      <c r="N1790" s="490"/>
      <c r="O1790" s="490"/>
      <c r="P1790" s="490" t="s">
        <v>6733</v>
      </c>
    </row>
    <row r="1791">
      <c r="A1791" s="490"/>
      <c r="B1791" s="490"/>
      <c r="C1791" s="490"/>
      <c r="D1791" s="490"/>
      <c r="E1791" s="490" t="str">
        <f>IFERROR(__xludf.DUMMYFUNCTION("""COMPUTED_VALUE"""),"LM GATEWAY")</f>
        <v>LM GATEWAY</v>
      </c>
      <c r="F1791" s="490" t="str">
        <f>IFERROR(__xludf.DUMMYFUNCTION("""COMPUTED_VALUE"""),"414-M")</f>
        <v>414-M</v>
      </c>
      <c r="G1791" s="490"/>
      <c r="H1791" s="490"/>
      <c r="I1791" s="490"/>
      <c r="J1791" s="588"/>
      <c r="K1791" s="490"/>
      <c r="L1791" s="490"/>
      <c r="M1791" s="490"/>
      <c r="N1791" s="490"/>
      <c r="O1791" s="490"/>
      <c r="P1791" s="490" t="s">
        <v>6735</v>
      </c>
    </row>
    <row r="1792">
      <c r="A1792" s="490"/>
      <c r="B1792" s="490"/>
      <c r="C1792" s="490"/>
      <c r="D1792" s="490"/>
      <c r="E1792" s="490" t="str">
        <f>IFERROR(__xludf.DUMMYFUNCTION("""COMPUTED_VALUE"""),"LOCHINVAR")</f>
        <v>LOCHINVAR</v>
      </c>
      <c r="F1792" s="490" t="str">
        <f>IFERROR(__xludf.DUMMYFUNCTION("""COMPUTED_VALUE"""),"CREST BOILER")</f>
        <v>CREST BOILER</v>
      </c>
      <c r="G1792" s="490"/>
      <c r="H1792" s="490"/>
      <c r="I1792" s="490"/>
      <c r="J1792" s="588"/>
      <c r="K1792" s="490"/>
      <c r="L1792" s="490"/>
      <c r="M1792" s="490"/>
      <c r="N1792" s="490"/>
      <c r="O1792" s="490"/>
      <c r="P1792" s="490" t="s">
        <v>6737</v>
      </c>
    </row>
    <row r="1793">
      <c r="A1793" s="490"/>
      <c r="B1793" s="490"/>
      <c r="C1793" s="490"/>
      <c r="D1793" s="490"/>
      <c r="E1793" s="490" t="str">
        <f>IFERROR(__xludf.DUMMYFUNCTION("""COMPUTED_VALUE"""),"LOGISON")</f>
        <v>LOGISON</v>
      </c>
      <c r="F1793" s="490" t="str">
        <f>IFERROR(__xludf.DUMMYFUNCTION("""COMPUTED_VALUE"""),"NCP-2")</f>
        <v>NCP-2</v>
      </c>
      <c r="G1793" s="490"/>
      <c r="H1793" s="490"/>
      <c r="I1793" s="490"/>
      <c r="J1793" s="588"/>
      <c r="K1793" s="490"/>
      <c r="L1793" s="490"/>
      <c r="M1793" s="490"/>
      <c r="N1793" s="490"/>
      <c r="O1793" s="490"/>
      <c r="P1793" s="490" t="s">
        <v>3257</v>
      </c>
    </row>
    <row r="1794">
      <c r="A1794" s="490"/>
      <c r="B1794" s="490"/>
      <c r="C1794" s="490"/>
      <c r="D1794" s="490"/>
      <c r="E1794" s="490" t="str">
        <f>IFERROR(__xludf.DUMMYFUNCTION("""COMPUTED_VALUE"""),"LOGISON")</f>
        <v>LOGISON</v>
      </c>
      <c r="F1794" s="490" t="str">
        <f>IFERROR(__xludf.DUMMYFUNCTION("""COMPUTED_VALUE"""),"UNAVAILABLE")</f>
        <v>UNAVAILABLE</v>
      </c>
      <c r="G1794" s="490"/>
      <c r="H1794" s="490"/>
      <c r="I1794" s="490"/>
      <c r="J1794" s="588"/>
      <c r="K1794" s="490"/>
      <c r="L1794" s="490"/>
      <c r="M1794" s="490"/>
      <c r="N1794" s="490"/>
      <c r="O1794" s="490"/>
      <c r="P1794" s="490" t="s">
        <v>6739</v>
      </c>
    </row>
    <row r="1795">
      <c r="A1795" s="490"/>
      <c r="B1795" s="490"/>
      <c r="C1795" s="490"/>
      <c r="D1795" s="490"/>
      <c r="E1795" s="490" t="str">
        <f>IFERROR(__xludf.DUMMYFUNCTION("""COMPUTED_VALUE"""),"LOGITECH")</f>
        <v>LOGITECH</v>
      </c>
      <c r="F1795" s="490" t="str">
        <f>IFERROR(__xludf.DUMMYFUNCTION("""COMPUTED_VALUE"""),"REVUE GOOGLE TV BOX")</f>
        <v>REVUE GOOGLE TV BOX</v>
      </c>
      <c r="G1795" s="490"/>
      <c r="H1795" s="490"/>
      <c r="I1795" s="490"/>
      <c r="J1795" s="588"/>
      <c r="K1795" s="490"/>
      <c r="L1795" s="490"/>
      <c r="M1795" s="490"/>
      <c r="N1795" s="490"/>
      <c r="O1795" s="490"/>
      <c r="P1795" s="490" t="s">
        <v>6741</v>
      </c>
    </row>
    <row r="1796">
      <c r="A1796" s="490"/>
      <c r="B1796" s="490"/>
      <c r="C1796" s="490"/>
      <c r="D1796" s="490"/>
      <c r="E1796" s="490" t="str">
        <f>IFERROR(__xludf.DUMMYFUNCTION("""COMPUTED_VALUE"""),"LOREN COOK")</f>
        <v>LOREN COOK</v>
      </c>
      <c r="F1796" s="490" t="str">
        <f>IFERROR(__xludf.DUMMYFUNCTION("""COMPUTED_VALUE"""),"ACED - 90C17DEC")</f>
        <v>ACED - 90C17DEC</v>
      </c>
      <c r="G1796" s="490"/>
      <c r="H1796" s="490"/>
      <c r="I1796" s="490"/>
      <c r="J1796" s="588"/>
      <c r="K1796" s="490"/>
      <c r="L1796" s="490"/>
      <c r="M1796" s="490"/>
      <c r="N1796" s="490"/>
      <c r="O1796" s="490"/>
      <c r="P1796" s="490" t="s">
        <v>6743</v>
      </c>
    </row>
    <row r="1797">
      <c r="A1797" s="490"/>
      <c r="B1797" s="490"/>
      <c r="C1797" s="490"/>
      <c r="D1797" s="490"/>
      <c r="E1797" s="490" t="str">
        <f>IFERROR(__xludf.DUMMYFUNCTION("""COMPUTED_VALUE"""),"LOREN COOK")</f>
        <v>LOREN COOK</v>
      </c>
      <c r="F1797" s="490" t="str">
        <f>IFERROR(__xludf.DUMMYFUNCTION("""COMPUTED_VALUE"""),"GN-720")</f>
        <v>GN-720</v>
      </c>
      <c r="G1797" s="490"/>
      <c r="H1797" s="490"/>
      <c r="I1797" s="490"/>
      <c r="J1797" s="588"/>
      <c r="K1797" s="490"/>
      <c r="L1797" s="490"/>
      <c r="M1797" s="490"/>
      <c r="N1797" s="490"/>
      <c r="O1797" s="490"/>
      <c r="P1797" s="490" t="s">
        <v>6745</v>
      </c>
    </row>
    <row r="1798">
      <c r="A1798" s="490"/>
      <c r="B1798" s="490"/>
      <c r="C1798" s="490"/>
      <c r="D1798" s="490"/>
      <c r="E1798" s="490" t="str">
        <f>IFERROR(__xludf.DUMMYFUNCTION("""COMPUTED_VALUE"""),"LOYTEC")</f>
        <v>LOYTEC</v>
      </c>
      <c r="F1798" s="490" t="str">
        <f>IFERROR(__xludf.DUMMYFUNCTION("""COMPUTED_VALUE"""),"CIA709/IP ROUTER")</f>
        <v>CIA709/IP ROUTER</v>
      </c>
      <c r="G1798" s="490"/>
      <c r="H1798" s="490"/>
      <c r="I1798" s="490"/>
      <c r="J1798" s="588"/>
      <c r="K1798" s="490"/>
      <c r="L1798" s="490"/>
      <c r="M1798" s="490"/>
      <c r="N1798" s="490"/>
      <c r="O1798" s="490"/>
      <c r="P1798" s="490" t="s">
        <v>6747</v>
      </c>
    </row>
    <row r="1799">
      <c r="A1799" s="490"/>
      <c r="B1799" s="490"/>
      <c r="C1799" s="490"/>
      <c r="D1799" s="490"/>
      <c r="E1799" s="490" t="str">
        <f>IFERROR(__xludf.DUMMYFUNCTION("""COMPUTED_VALUE"""),"LOYTEC")</f>
        <v>LOYTEC</v>
      </c>
      <c r="F1799" s="490" t="str">
        <f>IFERROR(__xludf.DUMMYFUNCTION("""COMPUTED_VALUE"""),"L-IP")</f>
        <v>L-IP</v>
      </c>
      <c r="G1799" s="490"/>
      <c r="H1799" s="490"/>
      <c r="I1799" s="490"/>
      <c r="J1799" s="588"/>
      <c r="K1799" s="490"/>
      <c r="L1799" s="490"/>
      <c r="M1799" s="490"/>
      <c r="N1799" s="490"/>
      <c r="O1799" s="490"/>
      <c r="P1799" s="490" t="s">
        <v>6749</v>
      </c>
    </row>
    <row r="1800">
      <c r="A1800" s="490"/>
      <c r="B1800" s="490"/>
      <c r="C1800" s="490"/>
      <c r="D1800" s="490"/>
      <c r="E1800" s="490" t="str">
        <f>IFERROR(__xludf.DUMMYFUNCTION("""COMPUTED_VALUE"""),"LOYTEC")</f>
        <v>LOYTEC</v>
      </c>
      <c r="F1800" s="490" t="str">
        <f>IFERROR(__xludf.DUMMYFUNCTION("""COMPUTED_VALUE"""),"LDALI-ME204-U")</f>
        <v>LDALI-ME204-U</v>
      </c>
      <c r="G1800" s="490"/>
      <c r="H1800" s="490"/>
      <c r="I1800" s="490"/>
      <c r="J1800" s="588"/>
      <c r="K1800" s="490"/>
      <c r="L1800" s="490"/>
      <c r="M1800" s="490"/>
      <c r="N1800" s="490"/>
      <c r="O1800" s="490"/>
      <c r="P1800" s="490" t="s">
        <v>6751</v>
      </c>
    </row>
    <row r="1801">
      <c r="A1801" s="490"/>
      <c r="B1801" s="490"/>
      <c r="C1801" s="490"/>
      <c r="D1801" s="490"/>
      <c r="E1801" s="490" t="str">
        <f>IFERROR(__xludf.DUMMYFUNCTION("""COMPUTED_VALUE"""),"LOYTEC")</f>
        <v>LOYTEC</v>
      </c>
      <c r="F1801" s="490" t="str">
        <f>IFERROR(__xludf.DUMMYFUNCTION("""COMPUTED_VALUE"""),"LGATE-952")</f>
        <v>LGATE-952</v>
      </c>
      <c r="G1801" s="490"/>
      <c r="H1801" s="490"/>
      <c r="I1801" s="490"/>
      <c r="J1801" s="588"/>
      <c r="K1801" s="490"/>
      <c r="L1801" s="490"/>
      <c r="M1801" s="490"/>
      <c r="N1801" s="490"/>
      <c r="O1801" s="490"/>
      <c r="P1801" s="490" t="s">
        <v>6753</v>
      </c>
    </row>
    <row r="1802">
      <c r="A1802" s="490"/>
      <c r="B1802" s="490"/>
      <c r="C1802" s="490"/>
      <c r="D1802" s="490"/>
      <c r="E1802" s="490" t="str">
        <f>IFERROR(__xludf.DUMMYFUNCTION("""COMPUTED_VALUE"""),"LOYTEC")</f>
        <v>LOYTEC</v>
      </c>
      <c r="F1802" s="490" t="str">
        <f>IFERROR(__xludf.DUMMYFUNCTION("""COMPUTED_VALUE"""),"LIP-3333ECTB")</f>
        <v>LIP-3333ECTB</v>
      </c>
      <c r="G1802" s="490"/>
      <c r="H1802" s="490"/>
      <c r="I1802" s="490"/>
      <c r="J1802" s="588"/>
      <c r="K1802" s="490"/>
      <c r="L1802" s="490"/>
      <c r="M1802" s="490"/>
      <c r="N1802" s="490"/>
      <c r="O1802" s="490"/>
      <c r="P1802" s="490" t="s">
        <v>6755</v>
      </c>
    </row>
    <row r="1803">
      <c r="A1803" s="490"/>
      <c r="B1803" s="490"/>
      <c r="C1803" s="490"/>
      <c r="D1803" s="490"/>
      <c r="E1803" s="490" t="str">
        <f>IFERROR(__xludf.DUMMYFUNCTION("""COMPUTED_VALUE"""),"LOYTEC")</f>
        <v>LOYTEC</v>
      </c>
      <c r="F1803" s="490" t="str">
        <f>IFERROR(__xludf.DUMMYFUNCTION("""COMPUTED_VALUE"""),"LIP-33ECTB")</f>
        <v>LIP-33ECTB</v>
      </c>
      <c r="G1803" s="490"/>
      <c r="H1803" s="490"/>
      <c r="I1803" s="490"/>
      <c r="J1803" s="588"/>
      <c r="K1803" s="490"/>
      <c r="L1803" s="490"/>
      <c r="M1803" s="490"/>
      <c r="N1803" s="490"/>
      <c r="O1803" s="490"/>
      <c r="P1803" s="490" t="s">
        <v>6757</v>
      </c>
    </row>
    <row r="1804">
      <c r="A1804" s="490"/>
      <c r="B1804" s="490"/>
      <c r="C1804" s="490"/>
      <c r="D1804" s="490"/>
      <c r="E1804" s="490" t="str">
        <f>IFERROR(__xludf.DUMMYFUNCTION("""COMPUTED_VALUE"""),"LOYTEC")</f>
        <v>LOYTEC</v>
      </c>
      <c r="F1804" s="490" t="str">
        <f>IFERROR(__xludf.DUMMYFUNCTION("""COMPUTED_VALUE"""),"LVIS-3ME12-A1")</f>
        <v>LVIS-3ME12-A1</v>
      </c>
      <c r="G1804" s="490"/>
      <c r="H1804" s="490"/>
      <c r="I1804" s="490"/>
      <c r="J1804" s="588"/>
      <c r="K1804" s="490"/>
      <c r="L1804" s="490"/>
      <c r="M1804" s="490"/>
      <c r="N1804" s="490"/>
      <c r="O1804" s="490"/>
      <c r="P1804" s="490" t="s">
        <v>3260</v>
      </c>
    </row>
    <row r="1805">
      <c r="A1805" s="490"/>
      <c r="B1805" s="490"/>
      <c r="C1805" s="490"/>
      <c r="D1805" s="490"/>
      <c r="E1805" s="490" t="str">
        <f>IFERROR(__xludf.DUMMYFUNCTION("""COMPUTED_VALUE"""),"LOYTEC")</f>
        <v>LOYTEC</v>
      </c>
      <c r="F1805" s="490" t="str">
        <f>IFERROR(__xludf.DUMMYFUNCTION("""COMPUTED_VALUE"""),"LVIS-3ME15")</f>
        <v>LVIS-3ME15</v>
      </c>
      <c r="G1805" s="490"/>
      <c r="H1805" s="490"/>
      <c r="I1805" s="490"/>
      <c r="J1805" s="588"/>
      <c r="K1805" s="490"/>
      <c r="L1805" s="490"/>
      <c r="M1805" s="490"/>
      <c r="N1805" s="490"/>
      <c r="O1805" s="490"/>
      <c r="P1805" s="490" t="s">
        <v>6759</v>
      </c>
    </row>
    <row r="1806">
      <c r="A1806" s="490"/>
      <c r="B1806" s="490"/>
      <c r="C1806" s="490"/>
      <c r="D1806" s="490"/>
      <c r="E1806" s="490" t="str">
        <f>IFERROR(__xludf.DUMMYFUNCTION("""COMPUTED_VALUE"""),"LOYTEC")</f>
        <v>LOYTEC</v>
      </c>
      <c r="F1806" s="490" t="str">
        <f>IFERROR(__xludf.DUMMYFUNCTION("""COMPUTED_VALUE"""),"LVIS-3ME7-G1")</f>
        <v>LVIS-3ME7-G1</v>
      </c>
      <c r="G1806" s="490"/>
      <c r="H1806" s="490"/>
      <c r="I1806" s="490"/>
      <c r="J1806" s="588"/>
      <c r="K1806" s="490"/>
      <c r="L1806" s="490"/>
      <c r="M1806" s="490"/>
      <c r="N1806" s="490"/>
      <c r="O1806" s="490"/>
      <c r="P1806" s="490" t="s">
        <v>6761</v>
      </c>
    </row>
    <row r="1807">
      <c r="A1807" s="490"/>
      <c r="B1807" s="490"/>
      <c r="C1807" s="490"/>
      <c r="D1807" s="490"/>
      <c r="E1807" s="490" t="str">
        <f>IFERROR(__xludf.DUMMYFUNCTION("""COMPUTED_VALUE"""),"LOYTEC")</f>
        <v>LOYTEC</v>
      </c>
      <c r="F1807" s="490" t="str">
        <f>IFERROR(__xludf.DUMMYFUNCTION("""COMPUTED_VALUE"""),"LINX-153")</f>
        <v>LINX-153</v>
      </c>
      <c r="G1807" s="490"/>
      <c r="H1807" s="490"/>
      <c r="I1807" s="490"/>
      <c r="J1807" s="588"/>
      <c r="K1807" s="490"/>
      <c r="L1807" s="490"/>
      <c r="M1807" s="490"/>
      <c r="N1807" s="490"/>
      <c r="O1807" s="490"/>
      <c r="P1807" s="490" t="s">
        <v>6763</v>
      </c>
    </row>
    <row r="1808">
      <c r="A1808" s="490"/>
      <c r="B1808" s="490"/>
      <c r="C1808" s="490"/>
      <c r="D1808" s="490"/>
      <c r="E1808" s="490" t="str">
        <f>IFERROR(__xludf.DUMMYFUNCTION("""COMPUTED_VALUE"""),"LOYTEC")</f>
        <v>LOYTEC</v>
      </c>
      <c r="F1808" s="490" t="str">
        <f>IFERROR(__xludf.DUMMYFUNCTION("""COMPUTED_VALUE"""),"LIP-3ECTC")</f>
        <v>LIP-3ECTC</v>
      </c>
      <c r="G1808" s="490"/>
      <c r="H1808" s="490"/>
      <c r="I1808" s="490"/>
      <c r="J1808" s="588"/>
      <c r="K1808" s="490"/>
      <c r="L1808" s="490"/>
      <c r="M1808" s="490"/>
      <c r="N1808" s="490"/>
      <c r="O1808" s="490"/>
      <c r="P1808" s="490" t="s">
        <v>6765</v>
      </c>
    </row>
    <row r="1809">
      <c r="A1809" s="490"/>
      <c r="B1809" s="490"/>
      <c r="C1809" s="490"/>
      <c r="D1809" s="490"/>
      <c r="E1809" s="490" t="str">
        <f>IFERROR(__xludf.DUMMYFUNCTION("""COMPUTED_VALUE"""),"LOYTEC")</f>
        <v>LOYTEC</v>
      </c>
      <c r="F1809" s="490" t="str">
        <f>IFERROR(__xludf.DUMMYFUNCTION("""COMPUTED_VALUE"""),"LDALI-ME20X-U")</f>
        <v>LDALI-ME20X-U</v>
      </c>
      <c r="G1809" s="490"/>
      <c r="H1809" s="490"/>
      <c r="I1809" s="490"/>
      <c r="J1809" s="588"/>
      <c r="K1809" s="490"/>
      <c r="L1809" s="490"/>
      <c r="M1809" s="490"/>
      <c r="N1809" s="490"/>
      <c r="O1809" s="490"/>
      <c r="P1809" s="490" t="s">
        <v>6767</v>
      </c>
    </row>
    <row r="1810">
      <c r="A1810" s="490"/>
      <c r="B1810" s="490"/>
      <c r="C1810" s="490"/>
      <c r="D1810" s="490"/>
      <c r="E1810" s="490" t="str">
        <f>IFERROR(__xludf.DUMMYFUNCTION("""COMPUTED_VALUE"""),"LOYTEC")</f>
        <v>LOYTEC</v>
      </c>
      <c r="F1810" s="490" t="str">
        <f>IFERROR(__xludf.DUMMYFUNCTION("""COMPUTED_VALUE"""),"LROC-40X")</f>
        <v>LROC-40X</v>
      </c>
      <c r="G1810" s="490"/>
      <c r="H1810" s="490"/>
      <c r="I1810" s="490"/>
      <c r="J1810" s="588"/>
      <c r="K1810" s="490"/>
      <c r="L1810" s="490"/>
      <c r="M1810" s="490"/>
      <c r="N1810" s="490"/>
      <c r="O1810" s="490"/>
      <c r="P1810" s="490" t="s">
        <v>6769</v>
      </c>
    </row>
    <row r="1811">
      <c r="A1811" s="490"/>
      <c r="B1811" s="490"/>
      <c r="C1811" s="490"/>
      <c r="D1811" s="490"/>
      <c r="E1811" s="490" t="str">
        <f>IFERROR(__xludf.DUMMYFUNCTION("""COMPUTED_VALUE"""),"LOYTEC")</f>
        <v>LOYTEC</v>
      </c>
      <c r="F1811" s="490" t="str">
        <f>IFERROR(__xludf.DUMMYFUNCTION("""COMPUTED_VALUE"""),"LIOB-591")</f>
        <v>LIOB-591</v>
      </c>
      <c r="G1811" s="490"/>
      <c r="H1811" s="490"/>
      <c r="I1811" s="490"/>
      <c r="J1811" s="588"/>
      <c r="K1811" s="490"/>
      <c r="L1811" s="490"/>
      <c r="M1811" s="490"/>
      <c r="N1811" s="490"/>
      <c r="O1811" s="490"/>
      <c r="P1811" s="490" t="s">
        <v>6771</v>
      </c>
    </row>
    <row r="1812">
      <c r="A1812" s="490"/>
      <c r="B1812" s="490"/>
      <c r="C1812" s="490"/>
      <c r="D1812" s="490"/>
      <c r="E1812" s="490" t="str">
        <f>IFERROR(__xludf.DUMMYFUNCTION("""COMPUTED_VALUE"""),"LOYTEC")</f>
        <v>LOYTEC</v>
      </c>
      <c r="F1812" s="490" t="str">
        <f>IFERROR(__xludf.DUMMYFUNCTION("""COMPUTED_VALUE"""),"LPAD-7")</f>
        <v>LPAD-7</v>
      </c>
      <c r="G1812" s="490"/>
      <c r="H1812" s="490"/>
      <c r="I1812" s="490"/>
      <c r="J1812" s="588"/>
      <c r="K1812" s="490"/>
      <c r="L1812" s="490"/>
      <c r="M1812" s="490"/>
      <c r="N1812" s="490"/>
      <c r="O1812" s="490"/>
      <c r="P1812" s="490" t="s">
        <v>6773</v>
      </c>
    </row>
    <row r="1813">
      <c r="A1813" s="490"/>
      <c r="B1813" s="490"/>
      <c r="C1813" s="490"/>
      <c r="D1813" s="490"/>
      <c r="E1813" s="490" t="str">
        <f>IFERROR(__xludf.DUMMYFUNCTION("""COMPUTED_VALUE"""),"LOYTEC")</f>
        <v>LOYTEC</v>
      </c>
      <c r="F1813" s="490" t="str">
        <f>IFERROR(__xludf.DUMMYFUNCTION("""COMPUTED_VALUE"""),"LIOB-554")</f>
        <v>LIOB-554</v>
      </c>
      <c r="G1813" s="490"/>
      <c r="H1813" s="490"/>
      <c r="I1813" s="490"/>
      <c r="J1813" s="588"/>
      <c r="K1813" s="490"/>
      <c r="L1813" s="490"/>
      <c r="M1813" s="490"/>
      <c r="N1813" s="490"/>
      <c r="O1813" s="490"/>
      <c r="P1813" s="490" t="s">
        <v>6775</v>
      </c>
    </row>
    <row r="1814">
      <c r="A1814" s="490"/>
      <c r="B1814" s="490"/>
      <c r="C1814" s="490"/>
      <c r="D1814" s="490"/>
      <c r="E1814" s="490" t="str">
        <f>IFERROR(__xludf.DUMMYFUNCTION("""COMPUTED_VALUE"""),"LOYTEC")</f>
        <v>LOYTEC</v>
      </c>
      <c r="F1814" s="490" t="str">
        <f>IFERROR(__xludf.DUMMYFUNCTION("""COMPUTED_VALUE"""),"LIP-33ECTC")</f>
        <v>LIP-33ECTC</v>
      </c>
      <c r="G1814" s="490"/>
      <c r="H1814" s="490"/>
      <c r="I1814" s="490"/>
      <c r="J1814" s="588"/>
      <c r="K1814" s="490"/>
      <c r="L1814" s="490"/>
      <c r="M1814" s="490"/>
      <c r="N1814" s="490"/>
      <c r="O1814" s="490"/>
      <c r="P1814" s="490" t="s">
        <v>6777</v>
      </c>
    </row>
    <row r="1815">
      <c r="A1815" s="490"/>
      <c r="B1815" s="490"/>
      <c r="C1815" s="490"/>
      <c r="D1815" s="490"/>
      <c r="E1815" s="490" t="str">
        <f>IFERROR(__xludf.DUMMYFUNCTION("""COMPUTED_VALUE"""),"LOYTEC")</f>
        <v>LOYTEC</v>
      </c>
      <c r="F1815" s="490" t="str">
        <f>IFERROR(__xludf.DUMMYFUNCTION("""COMPUTED_VALUE"""),"LIP-3333ECTC")</f>
        <v>LIP-3333ECTC</v>
      </c>
      <c r="G1815" s="490"/>
      <c r="H1815" s="490"/>
      <c r="I1815" s="490"/>
      <c r="J1815" s="588"/>
      <c r="K1815" s="490"/>
      <c r="L1815" s="490"/>
      <c r="M1815" s="490"/>
      <c r="N1815" s="490"/>
      <c r="O1815" s="490"/>
      <c r="P1815" s="490" t="s">
        <v>3263</v>
      </c>
    </row>
    <row r="1816">
      <c r="A1816" s="490"/>
      <c r="B1816" s="490"/>
      <c r="C1816" s="490"/>
      <c r="D1816" s="490"/>
      <c r="E1816" s="490" t="str">
        <f>IFERROR(__xludf.DUMMYFUNCTION("""COMPUTED_VALUE"""),"LOYTEC")</f>
        <v>LOYTEC</v>
      </c>
      <c r="F1816" s="490" t="str">
        <f>IFERROR(__xludf.DUMMYFUNCTION("""COMPUTED_VALUE"""),"LINX-215")</f>
        <v>LINX-215</v>
      </c>
      <c r="G1816" s="490"/>
      <c r="H1816" s="490"/>
      <c r="I1816" s="490"/>
      <c r="J1816" s="588"/>
      <c r="K1816" s="490"/>
      <c r="L1816" s="490"/>
      <c r="M1816" s="490"/>
      <c r="N1816" s="490"/>
      <c r="O1816" s="490"/>
      <c r="P1816" s="490" t="s">
        <v>6779</v>
      </c>
    </row>
    <row r="1817">
      <c r="A1817" s="490"/>
      <c r="B1817" s="490"/>
      <c r="C1817" s="490"/>
      <c r="D1817" s="490"/>
      <c r="E1817" s="490" t="str">
        <f>IFERROR(__xludf.DUMMYFUNCTION("""COMPUTED_VALUE"""),"LOYTEC")</f>
        <v>LOYTEC</v>
      </c>
      <c r="F1817" s="490" t="str">
        <f>IFERROR(__xludf.DUMMYFUNCTION("""COMPUTED_VALUE"""),"LDALIME201U")</f>
        <v>LDALIME201U</v>
      </c>
      <c r="G1817" s="490"/>
      <c r="H1817" s="490"/>
      <c r="I1817" s="490"/>
      <c r="J1817" s="588"/>
      <c r="K1817" s="490"/>
      <c r="L1817" s="490"/>
      <c r="M1817" s="490"/>
      <c r="N1817" s="490"/>
      <c r="O1817" s="490"/>
      <c r="P1817" s="490" t="s">
        <v>6781</v>
      </c>
    </row>
    <row r="1818">
      <c r="A1818" s="490"/>
      <c r="B1818" s="490"/>
      <c r="C1818" s="490"/>
      <c r="D1818" s="490"/>
      <c r="E1818" s="490" t="str">
        <f>IFERROR(__xludf.DUMMYFUNCTION("""COMPUTED_VALUE"""),"LOYTEC")</f>
        <v>LOYTEC</v>
      </c>
      <c r="F1818" s="490" t="str">
        <f>IFERROR(__xludf.DUMMYFUNCTION("""COMPUTED_VALUE"""),"LDALIME201U")</f>
        <v>LDALIME201U</v>
      </c>
      <c r="G1818" s="490"/>
      <c r="H1818" s="490"/>
      <c r="I1818" s="490"/>
      <c r="J1818" s="588"/>
      <c r="K1818" s="490"/>
      <c r="L1818" s="490"/>
      <c r="M1818" s="490"/>
      <c r="N1818" s="490"/>
      <c r="O1818" s="490"/>
      <c r="P1818" s="490" t="s">
        <v>6783</v>
      </c>
    </row>
    <row r="1819">
      <c r="A1819" s="490"/>
      <c r="B1819" s="490"/>
      <c r="C1819" s="490"/>
      <c r="D1819" s="490"/>
      <c r="E1819" s="490" t="str">
        <f>IFERROR(__xludf.DUMMYFUNCTION("""COMPUTED_VALUE"""),"LOYTEC")</f>
        <v>LOYTEC</v>
      </c>
      <c r="F1819" s="490" t="str">
        <f>IFERROR(__xludf.DUMMYFUNCTION("""COMPUTED_VALUE"""),"LDALIME204U")</f>
        <v>LDALIME204U</v>
      </c>
      <c r="G1819" s="490"/>
      <c r="H1819" s="490"/>
      <c r="I1819" s="490"/>
      <c r="J1819" s="588"/>
      <c r="K1819" s="490"/>
      <c r="L1819" s="490"/>
      <c r="M1819" s="490"/>
      <c r="N1819" s="490"/>
      <c r="O1819" s="490"/>
      <c r="P1819" s="490" t="s">
        <v>6785</v>
      </c>
    </row>
    <row r="1820">
      <c r="A1820" s="490"/>
      <c r="B1820" s="490"/>
      <c r="C1820" s="490"/>
      <c r="D1820" s="490"/>
      <c r="E1820" s="490" t="str">
        <f>IFERROR(__xludf.DUMMYFUNCTION("""COMPUTED_VALUE"""),"LOYTEC")</f>
        <v>LOYTEC</v>
      </c>
      <c r="F1820" s="490" t="str">
        <f>IFERROR(__xludf.DUMMYFUNCTION("""COMPUTED_VALUE"""),"LDALIME204U")</f>
        <v>LDALIME204U</v>
      </c>
      <c r="G1820" s="490"/>
      <c r="H1820" s="490"/>
      <c r="I1820" s="490"/>
      <c r="J1820" s="588"/>
      <c r="K1820" s="490"/>
      <c r="L1820" s="490"/>
      <c r="M1820" s="490"/>
      <c r="N1820" s="490"/>
      <c r="O1820" s="490"/>
      <c r="P1820" s="490" t="s">
        <v>6787</v>
      </c>
    </row>
    <row r="1821">
      <c r="A1821" s="490"/>
      <c r="B1821" s="490"/>
      <c r="C1821" s="490"/>
      <c r="D1821" s="490"/>
      <c r="E1821" s="490" t="str">
        <f>IFERROR(__xludf.DUMMYFUNCTION("""COMPUTED_VALUE"""),"LOYTEC")</f>
        <v>LOYTEC</v>
      </c>
      <c r="F1821" s="490" t="str">
        <f>IFERROR(__xludf.DUMMYFUNCTION("""COMPUTED_VALUE"""),"LVIS3ME12A1")</f>
        <v>LVIS3ME12A1</v>
      </c>
      <c r="G1821" s="490"/>
      <c r="H1821" s="490"/>
      <c r="I1821" s="490"/>
      <c r="J1821" s="588"/>
      <c r="K1821" s="490"/>
      <c r="L1821" s="490"/>
      <c r="M1821" s="490"/>
      <c r="N1821" s="490"/>
      <c r="O1821" s="490"/>
      <c r="P1821" s="490" t="s">
        <v>6789</v>
      </c>
    </row>
    <row r="1822">
      <c r="A1822" s="490"/>
      <c r="B1822" s="490"/>
      <c r="C1822" s="490"/>
      <c r="D1822" s="490"/>
      <c r="E1822" s="490" t="str">
        <f>IFERROR(__xludf.DUMMYFUNCTION("""COMPUTED_VALUE"""),"LOYTEC")</f>
        <v>LOYTEC</v>
      </c>
      <c r="F1822" s="490" t="str">
        <f>IFERROR(__xludf.DUMMYFUNCTION("""COMPUTED_VALUE"""),"LVIS3ME12A1")</f>
        <v>LVIS3ME12A1</v>
      </c>
      <c r="G1822" s="490"/>
      <c r="H1822" s="490"/>
      <c r="I1822" s="490"/>
      <c r="J1822" s="588"/>
      <c r="K1822" s="490"/>
      <c r="L1822" s="490"/>
      <c r="M1822" s="490"/>
      <c r="N1822" s="490"/>
      <c r="O1822" s="490"/>
      <c r="P1822" s="490" t="s">
        <v>6791</v>
      </c>
    </row>
    <row r="1823">
      <c r="A1823" s="490"/>
      <c r="B1823" s="490"/>
      <c r="C1823" s="490"/>
      <c r="D1823" s="490"/>
      <c r="E1823" s="490" t="str">
        <f>IFERROR(__xludf.DUMMYFUNCTION("""COMPUTED_VALUE"""),"LOYTEC")</f>
        <v>LOYTEC</v>
      </c>
      <c r="F1823" s="490" t="str">
        <f>IFERROR(__xludf.DUMMYFUNCTION("""COMPUTED_VALUE"""),"L-STAT ROOM OPERATOR")</f>
        <v>L-STAT ROOM OPERATOR</v>
      </c>
      <c r="G1823" s="490"/>
      <c r="H1823" s="490"/>
      <c r="I1823" s="490"/>
      <c r="J1823" s="588"/>
      <c r="K1823" s="490"/>
      <c r="L1823" s="490"/>
      <c r="M1823" s="490"/>
      <c r="N1823" s="490"/>
      <c r="O1823" s="490"/>
      <c r="P1823" s="490" t="s">
        <v>6793</v>
      </c>
    </row>
    <row r="1824">
      <c r="A1824" s="490"/>
      <c r="B1824" s="490"/>
      <c r="C1824" s="490"/>
      <c r="D1824" s="490"/>
      <c r="E1824" s="490" t="str">
        <f>IFERROR(__xludf.DUMMYFUNCTION("""COMPUTED_VALUE"""),"LOYTEC")</f>
        <v>LOYTEC</v>
      </c>
      <c r="F1824" s="490" t="str">
        <f>IFERROR(__xludf.DUMMYFUNCTION("""COMPUTED_VALUE"""),"LIOB-10X I/O MODULE")</f>
        <v>LIOB-10X I/O MODULE</v>
      </c>
      <c r="G1824" s="490"/>
      <c r="H1824" s="490"/>
      <c r="I1824" s="490"/>
      <c r="J1824" s="588"/>
      <c r="K1824" s="490"/>
      <c r="L1824" s="490"/>
      <c r="M1824" s="490"/>
      <c r="N1824" s="490"/>
      <c r="O1824" s="490"/>
      <c r="P1824" s="490" t="s">
        <v>6795</v>
      </c>
    </row>
    <row r="1825">
      <c r="A1825" s="490"/>
      <c r="B1825" s="490"/>
      <c r="C1825" s="490"/>
      <c r="D1825" s="490"/>
      <c r="E1825" s="490" t="str">
        <f>IFERROR(__xludf.DUMMYFUNCTION("""COMPUTED_VALUE"""),"LOYTEC")</f>
        <v>LOYTEC</v>
      </c>
      <c r="F1825" s="490" t="str">
        <f>IFERROR(__xludf.DUMMYFUNCTION("""COMPUTED_VALUE"""),"LDALI MULTI-SENSOR")</f>
        <v>LDALI MULTI-SENSOR</v>
      </c>
      <c r="G1825" s="490"/>
      <c r="H1825" s="490"/>
      <c r="I1825" s="490"/>
      <c r="J1825" s="588"/>
      <c r="K1825" s="490"/>
      <c r="L1825" s="490"/>
      <c r="M1825" s="490"/>
      <c r="N1825" s="490"/>
      <c r="O1825" s="490"/>
      <c r="P1825" s="490" t="s">
        <v>6797</v>
      </c>
    </row>
    <row r="1826">
      <c r="A1826" s="490"/>
      <c r="B1826" s="490"/>
      <c r="C1826" s="490"/>
      <c r="D1826" s="490"/>
      <c r="E1826" s="490" t="str">
        <f>IFERROR(__xludf.DUMMYFUNCTION("""COMPUTED_VALUE"""),"LOYTEC")</f>
        <v>LOYTEC</v>
      </c>
      <c r="F1826" s="490" t="str">
        <f>IFERROR(__xludf.DUMMYFUNCTION("""COMPUTED_VALUE"""),"LKNX‑300")</f>
        <v>LKNX‑300</v>
      </c>
      <c r="G1826" s="490"/>
      <c r="H1826" s="490"/>
      <c r="I1826" s="490"/>
      <c r="J1826" s="588"/>
      <c r="K1826" s="490"/>
      <c r="L1826" s="490"/>
      <c r="M1826" s="490"/>
      <c r="N1826" s="490"/>
      <c r="O1826" s="490"/>
      <c r="P1826" s="490" t="s">
        <v>3266</v>
      </c>
    </row>
    <row r="1827">
      <c r="A1827" s="490"/>
      <c r="B1827" s="490"/>
      <c r="C1827" s="490"/>
      <c r="D1827" s="490"/>
      <c r="E1827" s="490" t="str">
        <f>IFERROR(__xludf.DUMMYFUNCTION("""COMPUTED_VALUE"""),"LOYTECH ELECTRONICS")</f>
        <v>LOYTECH ELECTRONICS</v>
      </c>
      <c r="F1827" s="490" t="str">
        <f>IFERROR(__xludf.DUMMYFUNCTION("""COMPUTED_VALUE"""),"LROC-400")</f>
        <v>LROC-400</v>
      </c>
      <c r="G1827" s="490"/>
      <c r="H1827" s="490"/>
      <c r="I1827" s="490"/>
      <c r="J1827" s="588"/>
      <c r="K1827" s="490"/>
      <c r="L1827" s="490"/>
      <c r="M1827" s="490"/>
      <c r="N1827" s="490"/>
      <c r="O1827" s="490"/>
      <c r="P1827" s="490" t="s">
        <v>6799</v>
      </c>
    </row>
    <row r="1828">
      <c r="A1828" s="490"/>
      <c r="B1828" s="490"/>
      <c r="C1828" s="490"/>
      <c r="D1828" s="490"/>
      <c r="E1828" s="490" t="str">
        <f>IFERROR(__xludf.DUMMYFUNCTION("""COMPUTED_VALUE"""),"LUFFT")</f>
        <v>LUFFT</v>
      </c>
      <c r="F1828" s="490" t="str">
        <f>IFERROR(__xludf.DUMMYFUNCTION("""COMPUTED_VALUE"""),"WS600-UMB")</f>
        <v>WS600-UMB</v>
      </c>
      <c r="G1828" s="490"/>
      <c r="H1828" s="490"/>
      <c r="I1828" s="490"/>
      <c r="J1828" s="588"/>
      <c r="K1828" s="490"/>
      <c r="L1828" s="490"/>
      <c r="M1828" s="490"/>
      <c r="N1828" s="490"/>
      <c r="O1828" s="490"/>
      <c r="P1828" s="490" t="s">
        <v>6801</v>
      </c>
    </row>
    <row r="1829">
      <c r="A1829" s="490"/>
      <c r="B1829" s="490"/>
      <c r="C1829" s="490"/>
      <c r="D1829" s="490"/>
      <c r="E1829" s="490" t="str">
        <f>IFERROR(__xludf.DUMMYFUNCTION("""COMPUTED_VALUE"""),"LUMICENTER")</f>
        <v>LUMICENTER</v>
      </c>
      <c r="F1829" s="490" t="str">
        <f>IFERROR(__xludf.DUMMYFUNCTION("""COMPUTED_VALUE"""),"LLN23-P6000830")</f>
        <v>LLN23-P6000830</v>
      </c>
      <c r="G1829" s="490"/>
      <c r="H1829" s="490"/>
      <c r="I1829" s="490"/>
      <c r="J1829" s="588"/>
      <c r="K1829" s="490"/>
      <c r="L1829" s="490"/>
      <c r="M1829" s="490"/>
      <c r="N1829" s="490"/>
      <c r="O1829" s="490"/>
      <c r="P1829" s="490" t="s">
        <v>6803</v>
      </c>
    </row>
    <row r="1830">
      <c r="A1830" s="490"/>
      <c r="B1830" s="490"/>
      <c r="C1830" s="490"/>
      <c r="D1830" s="490"/>
      <c r="E1830" s="490" t="str">
        <f>IFERROR(__xludf.DUMMYFUNCTION("""COMPUTED_VALUE"""),"LUMICENTER")</f>
        <v>LUMICENTER</v>
      </c>
      <c r="F1830" s="490" t="str">
        <f>IFERROR(__xludf.DUMMYFUNCTION("""COMPUTED_VALUE"""),"LHT_28")</f>
        <v>LHT_28</v>
      </c>
      <c r="G1830" s="490"/>
      <c r="H1830" s="490"/>
      <c r="I1830" s="490"/>
      <c r="J1830" s="588"/>
      <c r="K1830" s="490"/>
      <c r="L1830" s="490"/>
      <c r="M1830" s="490"/>
      <c r="N1830" s="490"/>
      <c r="O1830" s="490"/>
      <c r="P1830" s="490" t="s">
        <v>6805</v>
      </c>
    </row>
    <row r="1831">
      <c r="A1831" s="490"/>
      <c r="B1831" s="490"/>
      <c r="C1831" s="490"/>
      <c r="D1831" s="490"/>
      <c r="E1831" s="490" t="str">
        <f>IFERROR(__xludf.DUMMYFUNCTION("""COMPUTED_VALUE"""),"LUMINI")</f>
        <v>LUMINI</v>
      </c>
      <c r="F1831" s="490" t="str">
        <f>IFERROR(__xludf.DUMMYFUNCTION("""COMPUTED_VALUE"""),"DOWNLED MD R S")</f>
        <v>DOWNLED MD R S</v>
      </c>
      <c r="G1831" s="490"/>
      <c r="H1831" s="490"/>
      <c r="I1831" s="490"/>
      <c r="J1831" s="588"/>
      <c r="K1831" s="490"/>
      <c r="L1831" s="490"/>
      <c r="M1831" s="490"/>
      <c r="N1831" s="490"/>
      <c r="O1831" s="490"/>
      <c r="P1831" s="490" t="s">
        <v>6807</v>
      </c>
    </row>
    <row r="1832">
      <c r="A1832" s="490"/>
      <c r="B1832" s="490"/>
      <c r="C1832" s="490"/>
      <c r="D1832" s="490"/>
      <c r="E1832" s="490" t="str">
        <f>IFERROR(__xludf.DUMMYFUNCTION("""COMPUTED_VALUE"""),"LUMINI")</f>
        <v>LUMINI</v>
      </c>
      <c r="F1832" s="490" t="str">
        <f>IFERROR(__xludf.DUMMYFUNCTION("""COMPUTED_VALUE"""),"LED LINE PERFIL E")</f>
        <v>LED LINE PERFIL E</v>
      </c>
      <c r="G1832" s="490"/>
      <c r="H1832" s="490"/>
      <c r="I1832" s="490"/>
      <c r="J1832" s="588"/>
      <c r="K1832" s="490"/>
      <c r="L1832" s="490"/>
      <c r="M1832" s="490"/>
      <c r="N1832" s="490"/>
      <c r="O1832" s="490"/>
      <c r="P1832" s="490" t="s">
        <v>6809</v>
      </c>
    </row>
    <row r="1833">
      <c r="A1833" s="490"/>
      <c r="B1833" s="490"/>
      <c r="C1833" s="490"/>
      <c r="D1833" s="490"/>
      <c r="E1833" s="490" t="str">
        <f>IFERROR(__xludf.DUMMYFUNCTION("""COMPUTED_VALUE"""),"LUMINI")</f>
        <v>LUMINI</v>
      </c>
      <c r="F1833" s="490" t="str">
        <f>IFERROR(__xludf.DUMMYFUNCTION("""COMPUTED_VALUE"""),"DOWNLED SM R C")</f>
        <v>DOWNLED SM R C</v>
      </c>
      <c r="G1833" s="490"/>
      <c r="H1833" s="490"/>
      <c r="I1833" s="490"/>
      <c r="J1833" s="588"/>
      <c r="K1833" s="490"/>
      <c r="L1833" s="490"/>
      <c r="M1833" s="490"/>
      <c r="N1833" s="490"/>
      <c r="O1833" s="490"/>
      <c r="P1833" s="490" t="s">
        <v>6811</v>
      </c>
    </row>
    <row r="1834">
      <c r="A1834" s="490"/>
      <c r="B1834" s="490"/>
      <c r="C1834" s="490"/>
      <c r="D1834" s="490"/>
      <c r="E1834" s="490" t="str">
        <f>IFERROR(__xludf.DUMMYFUNCTION("""COMPUTED_VALUE"""),"LUMINI")</f>
        <v>LUMINI</v>
      </c>
      <c r="F1834" s="490" t="str">
        <f>IFERROR(__xludf.DUMMYFUNCTION("""COMPUTED_VALUE"""),"ROCKET XSM EXT")</f>
        <v>ROCKET XSM EXT</v>
      </c>
      <c r="G1834" s="490"/>
      <c r="H1834" s="490"/>
      <c r="I1834" s="490"/>
      <c r="J1834" s="588"/>
      <c r="K1834" s="490"/>
      <c r="L1834" s="490"/>
      <c r="M1834" s="490"/>
      <c r="N1834" s="490"/>
      <c r="O1834" s="490"/>
      <c r="P1834" s="490" t="s">
        <v>6813</v>
      </c>
    </row>
    <row r="1835">
      <c r="A1835" s="490"/>
      <c r="B1835" s="490"/>
      <c r="C1835" s="490"/>
      <c r="D1835" s="490"/>
      <c r="E1835" s="490" t="str">
        <f>IFERROR(__xludf.DUMMYFUNCTION("""COMPUTED_VALUE"""),"LUMYN GATEWAY")</f>
        <v>LUMYN GATEWAY</v>
      </c>
      <c r="F1835" s="490" t="str">
        <f>IFERROR(__xludf.DUMMYFUNCTION("""COMPUTED_VALUE"""),"US WATER GATEWAY")</f>
        <v>US WATER GATEWAY</v>
      </c>
      <c r="G1835" s="490"/>
      <c r="H1835" s="490"/>
      <c r="I1835" s="490"/>
      <c r="J1835" s="588"/>
      <c r="K1835" s="490"/>
      <c r="L1835" s="490"/>
      <c r="M1835" s="490"/>
      <c r="N1835" s="490"/>
      <c r="O1835" s="490"/>
      <c r="P1835" s="490" t="s">
        <v>6815</v>
      </c>
    </row>
    <row r="1836">
      <c r="A1836" s="490"/>
      <c r="B1836" s="490"/>
      <c r="C1836" s="490"/>
      <c r="D1836" s="490"/>
      <c r="E1836" s="490" t="str">
        <f>IFERROR(__xludf.DUMMYFUNCTION("""COMPUTED_VALUE"""),"LUTRON")</f>
        <v>LUTRON</v>
      </c>
      <c r="F1836" s="490" t="str">
        <f>IFERROR(__xludf.DUMMYFUNCTION("""COMPUTED_VALUE"""),"5 PORT SWITCH")</f>
        <v>5 PORT SWITCH</v>
      </c>
      <c r="G1836" s="490"/>
      <c r="H1836" s="490"/>
      <c r="I1836" s="490"/>
      <c r="J1836" s="588"/>
      <c r="K1836" s="490"/>
      <c r="L1836" s="490"/>
      <c r="M1836" s="490"/>
      <c r="N1836" s="490"/>
      <c r="O1836" s="490"/>
      <c r="P1836" s="490" t="s">
        <v>6817</v>
      </c>
    </row>
    <row r="1837">
      <c r="A1837" s="490"/>
      <c r="B1837" s="490"/>
      <c r="C1837" s="490"/>
      <c r="D1837" s="490"/>
      <c r="E1837" s="490" t="str">
        <f>IFERROR(__xludf.DUMMYFUNCTION("""COMPUTED_VALUE"""),"LUTRON")</f>
        <v>LUTRON</v>
      </c>
      <c r="F1837" s="490" t="str">
        <f>IFERROR(__xludf.DUMMYFUNCTION("""COMPUTED_VALUE"""),"500-10561 REV.B")</f>
        <v>500-10561 REV.B</v>
      </c>
      <c r="G1837" s="490"/>
      <c r="H1837" s="490"/>
      <c r="I1837" s="490"/>
      <c r="J1837" s="588"/>
      <c r="K1837" s="490"/>
      <c r="L1837" s="490"/>
      <c r="M1837" s="490"/>
      <c r="N1837" s="490"/>
      <c r="O1837" s="490"/>
      <c r="P1837" s="490" t="s">
        <v>3269</v>
      </c>
    </row>
    <row r="1838">
      <c r="A1838" s="490"/>
      <c r="B1838" s="490"/>
      <c r="C1838" s="490"/>
      <c r="D1838" s="490"/>
      <c r="E1838" s="490" t="str">
        <f>IFERROR(__xludf.DUMMYFUNCTION("""COMPUTED_VALUE"""),"LUTRON")</f>
        <v>LUTRON</v>
      </c>
      <c r="F1838" s="490" t="str">
        <f>IFERROR(__xludf.DUMMYFUNCTION("""COMPUTED_VALUE"""),"500-14301 REV.A")</f>
        <v>500-14301 REV.A</v>
      </c>
      <c r="G1838" s="490"/>
      <c r="H1838" s="490"/>
      <c r="I1838" s="490"/>
      <c r="J1838" s="588"/>
      <c r="K1838" s="490"/>
      <c r="L1838" s="490"/>
      <c r="M1838" s="490"/>
      <c r="N1838" s="490"/>
      <c r="O1838" s="490"/>
      <c r="P1838" s="490" t="s">
        <v>6819</v>
      </c>
    </row>
    <row r="1839">
      <c r="A1839" s="490"/>
      <c r="B1839" s="490"/>
      <c r="C1839" s="490"/>
      <c r="D1839" s="490"/>
      <c r="E1839" s="490" t="str">
        <f>IFERROR(__xludf.DUMMYFUNCTION("""COMPUTED_VALUE"""),"LUTRON")</f>
        <v>LUTRON</v>
      </c>
      <c r="F1839" s="490" t="str">
        <f>IFERROR(__xludf.DUMMYFUNCTION("""COMPUTED_VALUE"""),"CS990001")</f>
        <v>CS990001</v>
      </c>
      <c r="G1839" s="490"/>
      <c r="H1839" s="490"/>
      <c r="I1839" s="490"/>
      <c r="J1839" s="588"/>
      <c r="K1839" s="490"/>
      <c r="L1839" s="490"/>
      <c r="M1839" s="490"/>
      <c r="N1839" s="490"/>
      <c r="O1839" s="490"/>
      <c r="P1839" s="490" t="s">
        <v>6821</v>
      </c>
    </row>
    <row r="1840">
      <c r="A1840" s="490"/>
      <c r="B1840" s="490"/>
      <c r="C1840" s="490"/>
      <c r="D1840" s="490"/>
      <c r="E1840" s="490" t="str">
        <f>IFERROR(__xludf.DUMMYFUNCTION("""COMPUTED_VALUE"""),"LUTRON")</f>
        <v>LUTRON</v>
      </c>
      <c r="F1840" s="490" t="str">
        <f>IFERROR(__xludf.DUMMYFUNCTION("""COMPUTED_VALUE"""),"CZ00544")</f>
        <v>CZ00544</v>
      </c>
      <c r="G1840" s="490"/>
      <c r="H1840" s="490"/>
      <c r="I1840" s="490"/>
      <c r="J1840" s="588"/>
      <c r="K1840" s="490"/>
      <c r="L1840" s="490"/>
      <c r="M1840" s="490"/>
      <c r="N1840" s="490"/>
      <c r="O1840" s="490"/>
      <c r="P1840" s="490" t="s">
        <v>6823</v>
      </c>
    </row>
    <row r="1841">
      <c r="A1841" s="490"/>
      <c r="B1841" s="490"/>
      <c r="C1841" s="490"/>
      <c r="D1841" s="490"/>
      <c r="E1841" s="490" t="str">
        <f>IFERROR(__xludf.DUMMYFUNCTION("""COMPUTED_VALUE"""),"LUTRON")</f>
        <v>LUTRON</v>
      </c>
      <c r="F1841" s="490" t="str">
        <f>IFERROR(__xludf.DUMMYFUNCTION("""COMPUTED_VALUE"""),"HQP6-2")</f>
        <v>HQP6-2</v>
      </c>
      <c r="G1841" s="490"/>
      <c r="H1841" s="490"/>
      <c r="I1841" s="490"/>
      <c r="J1841" s="588"/>
      <c r="K1841" s="490"/>
      <c r="L1841" s="490"/>
      <c r="M1841" s="490"/>
      <c r="N1841" s="490"/>
      <c r="O1841" s="490"/>
      <c r="P1841" s="490" t="s">
        <v>6825</v>
      </c>
    </row>
    <row r="1842">
      <c r="A1842" s="490"/>
      <c r="B1842" s="490"/>
      <c r="C1842" s="490"/>
      <c r="D1842" s="490"/>
      <c r="E1842" s="490" t="str">
        <f>IFERROR(__xludf.DUMMYFUNCTION("""COMPUTED_VALUE"""),"LUTRON")</f>
        <v>LUTRON</v>
      </c>
      <c r="F1842" s="490" t="str">
        <f>IFERROR(__xludf.DUMMYFUNCTION("""COMPUTED_VALUE"""),"HQP6-MDU")</f>
        <v>HQP6-MDU</v>
      </c>
      <c r="G1842" s="490"/>
      <c r="H1842" s="490"/>
      <c r="I1842" s="490"/>
      <c r="J1842" s="588"/>
      <c r="K1842" s="490"/>
      <c r="L1842" s="490"/>
      <c r="M1842" s="490"/>
      <c r="N1842" s="490"/>
      <c r="O1842" s="490"/>
      <c r="P1842" s="490" t="s">
        <v>6827</v>
      </c>
    </row>
    <row r="1843">
      <c r="A1843" s="490"/>
      <c r="B1843" s="490"/>
      <c r="C1843" s="490"/>
      <c r="D1843" s="490"/>
      <c r="E1843" s="490" t="str">
        <f>IFERROR(__xludf.DUMMYFUNCTION("""COMPUTED_VALUE"""),"LUTRON")</f>
        <v>LUTRON</v>
      </c>
      <c r="F1843" s="490" t="str">
        <f>IFERROR(__xludf.DUMMYFUNCTION("""COMPUTED_VALUE"""),"QP2")</f>
        <v>QP2</v>
      </c>
      <c r="G1843" s="490"/>
      <c r="H1843" s="490"/>
      <c r="I1843" s="490"/>
      <c r="J1843" s="588"/>
      <c r="K1843" s="490"/>
      <c r="L1843" s="490"/>
      <c r="M1843" s="490"/>
      <c r="N1843" s="490"/>
      <c r="O1843" s="490"/>
      <c r="P1843" s="490" t="s">
        <v>6829</v>
      </c>
    </row>
    <row r="1844">
      <c r="A1844" s="490"/>
      <c r="B1844" s="490"/>
      <c r="C1844" s="490"/>
      <c r="D1844" s="490"/>
      <c r="E1844" s="490" t="str">
        <f>IFERROR(__xludf.DUMMYFUNCTION("""COMPUTED_VALUE"""),"LUTRON")</f>
        <v>LUTRON</v>
      </c>
      <c r="F1844" s="490" t="str">
        <f>IFERROR(__xludf.DUMMYFUNCTION("""COMPUTED_VALUE"""),"QP3")</f>
        <v>QP3</v>
      </c>
      <c r="G1844" s="490"/>
      <c r="H1844" s="490"/>
      <c r="I1844" s="490"/>
      <c r="J1844" s="588"/>
      <c r="K1844" s="490"/>
      <c r="L1844" s="490"/>
      <c r="M1844" s="490"/>
      <c r="N1844" s="490"/>
      <c r="O1844" s="490"/>
      <c r="P1844" s="490" t="s">
        <v>6831</v>
      </c>
    </row>
    <row r="1845">
      <c r="A1845" s="490"/>
      <c r="B1845" s="490"/>
      <c r="C1845" s="490"/>
      <c r="D1845" s="490"/>
      <c r="E1845" s="490" t="str">
        <f>IFERROR(__xludf.DUMMYFUNCTION("""COMPUTED_VALUE"""),"LUTRON")</f>
        <v>LUTRON</v>
      </c>
      <c r="F1845" s="490" t="str">
        <f>IFERROR(__xludf.DUMMYFUNCTION("""COMPUTED_VALUE"""),"QP3-1PL-100-240")</f>
        <v>QP3-1PL-100-240</v>
      </c>
      <c r="G1845" s="490"/>
      <c r="H1845" s="490"/>
      <c r="I1845" s="490"/>
      <c r="J1845" s="588"/>
      <c r="K1845" s="490"/>
      <c r="L1845" s="490"/>
      <c r="M1845" s="490"/>
      <c r="N1845" s="490"/>
      <c r="O1845" s="490"/>
      <c r="P1845" s="490" t="s">
        <v>6833</v>
      </c>
    </row>
    <row r="1846">
      <c r="A1846" s="490"/>
      <c r="B1846" s="490"/>
      <c r="C1846" s="490"/>
      <c r="D1846" s="490"/>
      <c r="E1846" s="490" t="str">
        <f>IFERROR(__xludf.DUMMYFUNCTION("""COMPUTED_VALUE"""),"LUTRON")</f>
        <v>LUTRON</v>
      </c>
      <c r="F1846" s="490" t="str">
        <f>IFERROR(__xludf.DUMMYFUNCTION("""COMPUTED_VALUE"""),"QSNE-2DAL-D")</f>
        <v>QSNE-2DAL-D</v>
      </c>
      <c r="G1846" s="490"/>
      <c r="H1846" s="490"/>
      <c r="I1846" s="490"/>
      <c r="J1846" s="588"/>
      <c r="K1846" s="490"/>
      <c r="L1846" s="490"/>
      <c r="M1846" s="490"/>
      <c r="N1846" s="490"/>
      <c r="O1846" s="490"/>
      <c r="P1846" s="490" t="s">
        <v>6835</v>
      </c>
    </row>
    <row r="1847">
      <c r="A1847" s="490"/>
      <c r="B1847" s="490"/>
      <c r="C1847" s="490"/>
      <c r="D1847" s="490"/>
      <c r="E1847" s="490" t="str">
        <f>IFERROR(__xludf.DUMMYFUNCTION("""COMPUTED_VALUE"""),"LUTRON")</f>
        <v>LUTRON</v>
      </c>
      <c r="F1847" s="490" t="str">
        <f>IFERROR(__xludf.DUMMYFUNCTION("""COMPUTED_VALUE"""),"QUANTUM BACNET")</f>
        <v>QUANTUM BACNET</v>
      </c>
      <c r="G1847" s="490"/>
      <c r="H1847" s="490"/>
      <c r="I1847" s="490"/>
      <c r="J1847" s="588"/>
      <c r="K1847" s="490"/>
      <c r="L1847" s="490"/>
      <c r="M1847" s="490"/>
      <c r="N1847" s="490"/>
      <c r="O1847" s="490"/>
      <c r="P1847" s="490" t="s">
        <v>6837</v>
      </c>
    </row>
    <row r="1848">
      <c r="A1848" s="490"/>
      <c r="B1848" s="490"/>
      <c r="C1848" s="490"/>
      <c r="D1848" s="490"/>
      <c r="E1848" s="490" t="str">
        <f>IFERROR(__xludf.DUMMYFUNCTION("""COMPUTED_VALUE"""),"LUTRON")</f>
        <v>LUTRON</v>
      </c>
      <c r="F1848" s="490" t="str">
        <f>IFERROR(__xludf.DUMMYFUNCTION("""COMPUTED_VALUE"""),"HWQS PROCESSOR")</f>
        <v>HWQS PROCESSOR</v>
      </c>
      <c r="G1848" s="490"/>
      <c r="H1848" s="490"/>
      <c r="I1848" s="490"/>
      <c r="J1848" s="588"/>
      <c r="K1848" s="490"/>
      <c r="L1848" s="490"/>
      <c r="M1848" s="490"/>
      <c r="N1848" s="490"/>
      <c r="O1848" s="490"/>
      <c r="P1848" s="490" t="s">
        <v>3272</v>
      </c>
    </row>
    <row r="1849">
      <c r="A1849" s="490"/>
      <c r="B1849" s="490"/>
      <c r="C1849" s="490"/>
      <c r="D1849" s="490"/>
      <c r="E1849" s="490" t="str">
        <f>IFERROR(__xludf.DUMMYFUNCTION("""COMPUTED_VALUE"""),"LUTRON")</f>
        <v>LUTRON</v>
      </c>
      <c r="F1849" s="490" t="str">
        <f>IFERROR(__xludf.DUMMYFUNCTION("""COMPUTED_VALUE"""),"QSE-IO")</f>
        <v>QSE-IO</v>
      </c>
      <c r="G1849" s="490"/>
      <c r="H1849" s="490"/>
      <c r="I1849" s="490"/>
      <c r="J1849" s="588"/>
      <c r="K1849" s="490"/>
      <c r="L1849" s="490"/>
      <c r="M1849" s="490"/>
      <c r="N1849" s="490"/>
      <c r="O1849" s="490"/>
      <c r="P1849" s="490" t="s">
        <v>6839</v>
      </c>
    </row>
    <row r="1850">
      <c r="A1850" s="490"/>
      <c r="B1850" s="490"/>
      <c r="C1850" s="490"/>
      <c r="D1850" s="490"/>
      <c r="E1850" s="490" t="str">
        <f>IFERROR(__xludf.DUMMYFUNCTION("""COMPUTED_VALUE"""),"LUTRON")</f>
        <v>LUTRON</v>
      </c>
      <c r="F1850" s="490" t="str">
        <f>IFERROR(__xludf.DUMMYFUNCTION("""COMPUTED_VALUE"""),"QUANTUM PROCESSOR")</f>
        <v>QUANTUM PROCESSOR</v>
      </c>
      <c r="G1850" s="490"/>
      <c r="H1850" s="490"/>
      <c r="I1850" s="490"/>
      <c r="J1850" s="588"/>
      <c r="K1850" s="490"/>
      <c r="L1850" s="490"/>
      <c r="M1850" s="490"/>
      <c r="N1850" s="490"/>
      <c r="O1850" s="490"/>
      <c r="P1850" s="490" t="s">
        <v>6841</v>
      </c>
    </row>
    <row r="1851">
      <c r="A1851" s="490"/>
      <c r="B1851" s="490"/>
      <c r="C1851" s="490"/>
      <c r="D1851" s="490"/>
      <c r="E1851" s="490" t="str">
        <f>IFERROR(__xludf.DUMMYFUNCTION("""COMPUTED_VALUE"""),"LUTRON")</f>
        <v>LUTRON</v>
      </c>
      <c r="F1851" s="490" t="str">
        <f>IFERROR(__xludf.DUMMYFUNCTION("""COMPUTED_VALUE"""),"QP5-XL-POE")</f>
        <v>QP5-XL-POE</v>
      </c>
      <c r="G1851" s="490"/>
      <c r="H1851" s="490"/>
      <c r="I1851" s="490"/>
      <c r="J1851" s="588"/>
      <c r="K1851" s="490"/>
      <c r="L1851" s="490"/>
      <c r="M1851" s="490"/>
      <c r="N1851" s="490"/>
      <c r="O1851" s="490"/>
      <c r="P1851" s="490" t="s">
        <v>6843</v>
      </c>
    </row>
    <row r="1852">
      <c r="A1852" s="490"/>
      <c r="B1852" s="490"/>
      <c r="C1852" s="490"/>
      <c r="D1852" s="490"/>
      <c r="E1852" s="490" t="str">
        <f>IFERROR(__xludf.DUMMYFUNCTION("""COMPUTED_VALUE"""),"LUTRON")</f>
        <v>LUTRON</v>
      </c>
      <c r="F1852" s="490" t="str">
        <f>IFERROR(__xludf.DUMMYFUNCTION("""COMPUTED_VALUE"""),"Q-RF")</f>
        <v>Q-RF</v>
      </c>
      <c r="G1852" s="490"/>
      <c r="H1852" s="490"/>
      <c r="I1852" s="490"/>
      <c r="J1852" s="588"/>
      <c r="K1852" s="490"/>
      <c r="L1852" s="490"/>
      <c r="M1852" s="490"/>
      <c r="N1852" s="490"/>
      <c r="O1852" s="490"/>
      <c r="P1852" s="490" t="s">
        <v>6845</v>
      </c>
    </row>
    <row r="1853">
      <c r="A1853" s="490"/>
      <c r="B1853" s="490"/>
      <c r="C1853" s="490"/>
      <c r="D1853" s="490"/>
      <c r="E1853" s="490" t="str">
        <f>IFERROR(__xludf.DUMMYFUNCTION("""COMPUTED_VALUE"""),"LUTRON")</f>
        <v>LUTRON</v>
      </c>
      <c r="F1853" s="490" t="str">
        <f>IFERROR(__xludf.DUMMYFUNCTION("""COMPUTED_VALUE"""),"HJS-X")</f>
        <v>HJS-X</v>
      </c>
      <c r="G1853" s="490"/>
      <c r="H1853" s="490"/>
      <c r="I1853" s="490"/>
      <c r="J1853" s="588"/>
      <c r="K1853" s="490"/>
      <c r="L1853" s="490"/>
      <c r="M1853" s="490"/>
      <c r="N1853" s="490"/>
      <c r="O1853" s="490"/>
      <c r="P1853" s="490" t="s">
        <v>6847</v>
      </c>
    </row>
    <row r="1854">
      <c r="A1854" s="490"/>
      <c r="B1854" s="490"/>
      <c r="C1854" s="490"/>
      <c r="D1854" s="490"/>
      <c r="E1854" s="490" t="str">
        <f>IFERROR(__xludf.DUMMYFUNCTION("""COMPUTED_VALUE"""),"LUTRON")</f>
        <v>LUTRON</v>
      </c>
      <c r="F1854" s="490" t="str">
        <f>IFERROR(__xludf.DUMMYFUNCTION("""COMPUTED_VALUE"""),"HKS-X")</f>
        <v>HKS-X</v>
      </c>
      <c r="G1854" s="490"/>
      <c r="H1854" s="490"/>
      <c r="I1854" s="490"/>
      <c r="J1854" s="588"/>
      <c r="K1854" s="490"/>
      <c r="L1854" s="490"/>
      <c r="M1854" s="490"/>
      <c r="N1854" s="490"/>
      <c r="O1854" s="490"/>
      <c r="P1854" s="490" t="s">
        <v>6849</v>
      </c>
    </row>
    <row r="1855">
      <c r="A1855" s="490"/>
      <c r="B1855" s="490"/>
      <c r="C1855" s="490"/>
      <c r="D1855" s="490"/>
      <c r="E1855" s="490" t="str">
        <f>IFERROR(__xludf.DUMMYFUNCTION("""COMPUTED_VALUE"""),"LUTRON")</f>
        <v>LUTRON</v>
      </c>
      <c r="F1855" s="490" t="str">
        <f>IFERROR(__xludf.DUMMYFUNCTION("""COMPUTED_VALUE"""),"QSM5-XW-C")</f>
        <v>QSM5-XW-C</v>
      </c>
      <c r="G1855" s="490"/>
      <c r="H1855" s="490"/>
      <c r="I1855" s="490"/>
      <c r="J1855" s="588"/>
      <c r="K1855" s="490"/>
      <c r="L1855" s="490"/>
      <c r="M1855" s="490"/>
      <c r="N1855" s="490"/>
      <c r="O1855" s="490"/>
      <c r="P1855" s="490" t="s">
        <v>6851</v>
      </c>
    </row>
    <row r="1856">
      <c r="A1856" s="490"/>
      <c r="B1856" s="490"/>
      <c r="C1856" s="490"/>
      <c r="D1856" s="490"/>
      <c r="E1856" s="490" t="str">
        <f>IFERROR(__xludf.DUMMYFUNCTION("""COMPUTED_VALUE"""),"LUTRON")</f>
        <v>LUTRON</v>
      </c>
      <c r="F1856" s="490" t="str">
        <f>IFERROR(__xludf.DUMMYFUNCTION("""COMPUTED_VALUE"""),"QSNE-4S5-230-D")</f>
        <v>QSNE-4S5-230-D</v>
      </c>
      <c r="G1856" s="490"/>
      <c r="H1856" s="490"/>
      <c r="I1856" s="490"/>
      <c r="J1856" s="588"/>
      <c r="K1856" s="490"/>
      <c r="L1856" s="490"/>
      <c r="M1856" s="490"/>
      <c r="N1856" s="490"/>
      <c r="O1856" s="490"/>
      <c r="P1856" s="490" t="s">
        <v>6853</v>
      </c>
    </row>
    <row r="1857">
      <c r="A1857" s="490"/>
      <c r="B1857" s="490"/>
      <c r="C1857" s="490"/>
      <c r="D1857" s="490"/>
      <c r="E1857" s="490" t="str">
        <f>IFERROR(__xludf.DUMMYFUNCTION("""COMPUTED_VALUE"""),"LUTRON")</f>
        <v>LUTRON</v>
      </c>
      <c r="F1857" s="490" t="str">
        <f>IFERROR(__xludf.DUMMYFUNCTION("""COMPUTED_VALUE"""),"QSN-2ECO-S")</f>
        <v>QSN-2ECO-S</v>
      </c>
      <c r="G1857" s="490"/>
      <c r="H1857" s="490"/>
      <c r="I1857" s="490"/>
      <c r="J1857" s="588"/>
      <c r="K1857" s="490"/>
      <c r="L1857" s="490"/>
      <c r="M1857" s="490"/>
      <c r="N1857" s="490"/>
      <c r="O1857" s="490"/>
      <c r="P1857" s="490" t="s">
        <v>6855</v>
      </c>
    </row>
    <row r="1858">
      <c r="A1858" s="490"/>
      <c r="B1858" s="490"/>
      <c r="C1858" s="490"/>
      <c r="D1858" s="490"/>
      <c r="E1858" s="490" t="str">
        <f>IFERROR(__xludf.DUMMYFUNCTION("""COMPUTED_VALUE"""),"LUTRON")</f>
        <v>LUTRON</v>
      </c>
      <c r="F1858" s="490" t="str">
        <f>IFERROR(__xludf.DUMMYFUNCTION("""COMPUTED_VALUE"""),"QSM2-XW-C")</f>
        <v>QSM2-XW-C</v>
      </c>
      <c r="G1858" s="490"/>
      <c r="H1858" s="490"/>
      <c r="I1858" s="490"/>
      <c r="J1858" s="588"/>
      <c r="K1858" s="490"/>
      <c r="L1858" s="490"/>
      <c r="M1858" s="490"/>
      <c r="N1858" s="490"/>
      <c r="O1858" s="490"/>
      <c r="P1858" s="490" t="s">
        <v>6857</v>
      </c>
    </row>
    <row r="1859">
      <c r="A1859" s="490"/>
      <c r="B1859" s="490"/>
      <c r="C1859" s="490"/>
      <c r="D1859" s="490"/>
      <c r="E1859" s="490" t="str">
        <f>IFERROR(__xludf.DUMMYFUNCTION("""COMPUTED_VALUE"""),"LUTRON")</f>
        <v>LUTRON</v>
      </c>
      <c r="F1859" s="490" t="str">
        <f>IFERROR(__xludf.DUMMYFUNCTION("""COMPUTED_VALUE"""),"QSMX-4W-C")</f>
        <v>QSMX-4W-C</v>
      </c>
      <c r="G1859" s="490"/>
      <c r="H1859" s="490"/>
      <c r="I1859" s="490"/>
      <c r="J1859" s="588"/>
      <c r="K1859" s="490"/>
      <c r="L1859" s="490"/>
      <c r="M1859" s="490"/>
      <c r="N1859" s="490"/>
      <c r="O1859" s="490"/>
      <c r="P1859" s="490" t="s">
        <v>2905</v>
      </c>
    </row>
    <row r="1860">
      <c r="A1860" s="490"/>
      <c r="B1860" s="490"/>
      <c r="C1860" s="490"/>
      <c r="D1860" s="490"/>
      <c r="E1860" s="490" t="str">
        <f>IFERROR(__xludf.DUMMYFUNCTION("""COMPUTED_VALUE"""),"LUTRON")</f>
        <v>LUTRON</v>
      </c>
      <c r="F1860" s="490" t="str">
        <f>IFERROR(__xludf.DUMMYFUNCTION("""COMPUTED_VALUE"""),"QP5-2L-CGP2966")</f>
        <v>QP5-2L-CGP2966</v>
      </c>
      <c r="G1860" s="490"/>
      <c r="H1860" s="490"/>
      <c r="I1860" s="490"/>
      <c r="J1860" s="588"/>
      <c r="K1860" s="490"/>
      <c r="L1860" s="490"/>
      <c r="M1860" s="490"/>
      <c r="N1860" s="490"/>
      <c r="O1860" s="490"/>
      <c r="P1860" s="490" t="s">
        <v>3275</v>
      </c>
    </row>
    <row r="1861">
      <c r="A1861" s="490"/>
      <c r="B1861" s="490"/>
      <c r="C1861" s="490"/>
      <c r="D1861" s="490"/>
      <c r="E1861" s="490" t="str">
        <f>IFERROR(__xludf.DUMMYFUNCTION("""COMPUTED_VALUE"""),"LUTRON")</f>
        <v>LUTRON</v>
      </c>
      <c r="F1861" s="490" t="str">
        <f>IFERROR(__xludf.DUMMYFUNCTION("""COMPUTED_VALUE"""),"QP-2L1E")</f>
        <v>QP-2L1E</v>
      </c>
      <c r="G1861" s="490"/>
      <c r="H1861" s="490"/>
      <c r="I1861" s="490"/>
      <c r="J1861" s="588"/>
      <c r="K1861" s="490"/>
      <c r="L1861" s="490"/>
      <c r="M1861" s="490"/>
      <c r="N1861" s="490"/>
      <c r="O1861" s="490"/>
      <c r="P1861" s="490" t="s">
        <v>6859</v>
      </c>
    </row>
    <row r="1862">
      <c r="A1862" s="490"/>
      <c r="B1862" s="490"/>
      <c r="C1862" s="490"/>
      <c r="D1862" s="490"/>
      <c r="E1862" s="490" t="str">
        <f>IFERROR(__xludf.DUMMYFUNCTION("""COMPUTED_VALUE"""),"LUTRON")</f>
        <v>LUTRON</v>
      </c>
      <c r="F1862" s="490" t="str">
        <f>IFERROR(__xludf.DUMMYFUNCTION("""COMPUTED_VALUE"""),"QS LINK POWER SUPPLY")</f>
        <v>QS LINK POWER SUPPLY</v>
      </c>
      <c r="G1862" s="490"/>
      <c r="H1862" s="490"/>
      <c r="I1862" s="490"/>
      <c r="J1862" s="588"/>
      <c r="K1862" s="490"/>
      <c r="L1862" s="490"/>
      <c r="M1862" s="490"/>
      <c r="N1862" s="490"/>
      <c r="O1862" s="490"/>
      <c r="P1862" s="490" t="s">
        <v>6861</v>
      </c>
    </row>
    <row r="1863">
      <c r="A1863" s="490"/>
      <c r="B1863" s="490"/>
      <c r="C1863" s="490"/>
      <c r="D1863" s="490"/>
      <c r="E1863" s="490" t="str">
        <f>IFERROR(__xludf.DUMMYFUNCTION("""COMPUTED_VALUE"""),"LUTRON")</f>
        <v>LUTRON</v>
      </c>
      <c r="F1863" s="490" t="str">
        <f>IFERROR(__xludf.DUMMYFUNCTION("""COMPUTED_VALUE"""),"PRO LED+ POWERMODULE")</f>
        <v>PRO LED+ POWERMODULE</v>
      </c>
      <c r="G1863" s="490"/>
      <c r="H1863" s="490"/>
      <c r="I1863" s="490"/>
      <c r="J1863" s="588"/>
      <c r="K1863" s="490"/>
      <c r="L1863" s="490"/>
      <c r="M1863" s="490"/>
      <c r="N1863" s="490"/>
      <c r="O1863" s="490"/>
      <c r="P1863" s="490" t="s">
        <v>6863</v>
      </c>
    </row>
    <row r="1864">
      <c r="A1864" s="490"/>
      <c r="B1864" s="490"/>
      <c r="C1864" s="490"/>
      <c r="D1864" s="490"/>
      <c r="E1864" s="490" t="str">
        <f>IFERROR(__xludf.DUMMYFUNCTION("""COMPUTED_VALUE"""),"LUTRON")</f>
        <v>LUTRON</v>
      </c>
      <c r="F1864" s="490" t="str">
        <f>IFERROR(__xludf.DUMMYFUNCTION("""COMPUTED_VALUE"""),"ENERGI SAVR NODE")</f>
        <v>ENERGI SAVR NODE</v>
      </c>
      <c r="G1864" s="490"/>
      <c r="H1864" s="490"/>
      <c r="I1864" s="490"/>
      <c r="J1864" s="588"/>
      <c r="K1864" s="490"/>
      <c r="L1864" s="490"/>
      <c r="M1864" s="490"/>
      <c r="N1864" s="490"/>
      <c r="O1864" s="490"/>
      <c r="P1864" s="490" t="s">
        <v>6865</v>
      </c>
    </row>
    <row r="1865">
      <c r="A1865" s="490"/>
      <c r="B1865" s="490"/>
      <c r="C1865" s="490"/>
      <c r="D1865" s="490"/>
      <c r="E1865" s="490" t="str">
        <f>IFERROR(__xludf.DUMMYFUNCTION("""COMPUTED_VALUE"""),"LUTRON")</f>
        <v>LUTRON</v>
      </c>
      <c r="F1865" s="490" t="str">
        <f>IFERROR(__xludf.DUMMYFUNCTION("""COMPUTED_VALUE"""),"QSE-CI-NWK-E")</f>
        <v>QSE-CI-NWK-E</v>
      </c>
      <c r="G1865" s="490"/>
      <c r="H1865" s="490"/>
      <c r="I1865" s="490"/>
      <c r="J1865" s="588"/>
      <c r="K1865" s="490"/>
      <c r="L1865" s="490"/>
      <c r="M1865" s="490"/>
      <c r="N1865" s="490"/>
      <c r="O1865" s="490"/>
      <c r="P1865" s="490" t="s">
        <v>6867</v>
      </c>
    </row>
    <row r="1866">
      <c r="A1866" s="490"/>
      <c r="B1866" s="490"/>
      <c r="C1866" s="490"/>
      <c r="D1866" s="490"/>
      <c r="E1866" s="490" t="str">
        <f>IFERROR(__xludf.DUMMYFUNCTION("""COMPUTED_VALUE"""),"LUTRON")</f>
        <v>LUTRON</v>
      </c>
      <c r="F1866" s="490" t="str">
        <f>IFERROR(__xludf.DUMMYFUNCTION("""COMPUTED_VALUE"""),"QSNE-4S10-D")</f>
        <v>QSNE-4S10-D</v>
      </c>
      <c r="G1866" s="490"/>
      <c r="H1866" s="490"/>
      <c r="I1866" s="490"/>
      <c r="J1866" s="588"/>
      <c r="K1866" s="490"/>
      <c r="L1866" s="490"/>
      <c r="M1866" s="490"/>
      <c r="N1866" s="490"/>
      <c r="O1866" s="490"/>
      <c r="P1866" s="490" t="s">
        <v>6869</v>
      </c>
    </row>
    <row r="1867">
      <c r="A1867" s="490"/>
      <c r="B1867" s="490"/>
      <c r="C1867" s="490"/>
      <c r="D1867" s="490"/>
      <c r="E1867" s="490" t="str">
        <f>IFERROR(__xludf.DUMMYFUNCTION("""COMPUTED_VALUE"""),"LUTRON")</f>
        <v>LUTRON</v>
      </c>
      <c r="F1867" s="490" t="str">
        <f>IFERROR(__xludf.DUMMYFUNCTION("""COMPUTED_VALUE"""),"LRF**CR2B-P CEILING")</f>
        <v>LRF**CR2B-P CEILING</v>
      </c>
      <c r="G1867" s="490"/>
      <c r="H1867" s="490"/>
      <c r="I1867" s="490"/>
      <c r="J1867" s="588"/>
      <c r="K1867" s="490"/>
      <c r="L1867" s="490"/>
      <c r="M1867" s="490"/>
      <c r="N1867" s="490"/>
      <c r="O1867" s="490"/>
      <c r="P1867" s="490" t="s">
        <v>6871</v>
      </c>
    </row>
    <row r="1868">
      <c r="A1868" s="490"/>
      <c r="B1868" s="490"/>
      <c r="C1868" s="490"/>
      <c r="D1868" s="490"/>
      <c r="E1868" s="490" t="str">
        <f>IFERROR(__xludf.DUMMYFUNCTION("""COMPUTED_VALUE"""),"LUTRON")</f>
        <v>LUTRON</v>
      </c>
      <c r="F1868" s="490" t="str">
        <f>IFERROR(__xludf.DUMMYFUNCTION("""COMPUTED_VALUE"""),"LRFX-DCRB SENSOR")</f>
        <v>LRFX-DCRB SENSOR</v>
      </c>
      <c r="G1868" s="490"/>
      <c r="H1868" s="490"/>
      <c r="I1868" s="490"/>
      <c r="J1868" s="588"/>
      <c r="K1868" s="490"/>
      <c r="L1868" s="490"/>
      <c r="M1868" s="490"/>
      <c r="N1868" s="490"/>
      <c r="O1868" s="490"/>
      <c r="P1868" s="490" t="s">
        <v>6873</v>
      </c>
    </row>
    <row r="1869">
      <c r="A1869" s="490"/>
      <c r="B1869" s="490"/>
      <c r="C1869" s="490"/>
      <c r="D1869" s="490"/>
      <c r="E1869" s="490" t="str">
        <f>IFERROR(__xludf.DUMMYFUNCTION("""COMPUTED_VALUE"""),"LUTRON")</f>
        <v>LUTRON</v>
      </c>
      <c r="F1869" s="490" t="str">
        <f>IFERROR(__xludf.DUMMYFUNCTION("""COMPUTED_VALUE"""),"PICO WIRELESS REMOTE")</f>
        <v>PICO WIRELESS REMOTE</v>
      </c>
      <c r="G1869" s="490"/>
      <c r="H1869" s="490"/>
      <c r="I1869" s="490"/>
      <c r="J1869" s="588"/>
      <c r="K1869" s="490"/>
      <c r="L1869" s="490"/>
      <c r="M1869" s="490"/>
      <c r="N1869" s="490"/>
      <c r="O1869" s="490"/>
      <c r="P1869" s="490" t="s">
        <v>6875</v>
      </c>
    </row>
    <row r="1870">
      <c r="A1870" s="490"/>
      <c r="B1870" s="490"/>
      <c r="C1870" s="490"/>
      <c r="D1870" s="490"/>
      <c r="E1870" s="490" t="str">
        <f>IFERROR(__xludf.DUMMYFUNCTION("""COMPUTED_VALUE"""),"LUTRON")</f>
        <v>LUTRON</v>
      </c>
      <c r="F1870" s="490" t="str">
        <f>IFERROR(__xludf.DUMMYFUNCTION("""COMPUTED_VALUE"""),"ECOSYSTEM TVI-LMF-2A")</f>
        <v>ECOSYSTEM TVI-LMF-2A</v>
      </c>
      <c r="G1870" s="490"/>
      <c r="H1870" s="490"/>
      <c r="I1870" s="490"/>
      <c r="J1870" s="588"/>
      <c r="K1870" s="490"/>
      <c r="L1870" s="490"/>
      <c r="M1870" s="490"/>
      <c r="N1870" s="490"/>
      <c r="O1870" s="490"/>
      <c r="P1870" s="490" t="s">
        <v>6877</v>
      </c>
    </row>
    <row r="1871">
      <c r="A1871" s="490"/>
      <c r="B1871" s="490"/>
      <c r="C1871" s="490"/>
      <c r="D1871" s="490"/>
      <c r="E1871" s="490" t="str">
        <f>IFERROR(__xludf.DUMMYFUNCTION("""COMPUTED_VALUE"""),"LUTRON")</f>
        <v>LUTRON</v>
      </c>
      <c r="F1871" s="490" t="str">
        <f>IFERROR(__xludf.DUMMYFUNCTION("""COMPUTED_VALUE"""),"LRFX-XXLB-P")</f>
        <v>LRFX-XXLB-P</v>
      </c>
      <c r="G1871" s="490"/>
      <c r="H1871" s="490"/>
      <c r="I1871" s="490"/>
      <c r="J1871" s="588"/>
      <c r="K1871" s="490"/>
      <c r="L1871" s="490"/>
      <c r="M1871" s="490"/>
      <c r="N1871" s="490"/>
      <c r="O1871" s="490"/>
      <c r="P1871" s="490" t="s">
        <v>3278</v>
      </c>
    </row>
    <row r="1872">
      <c r="A1872" s="490"/>
      <c r="B1872" s="490"/>
      <c r="C1872" s="490"/>
      <c r="D1872" s="490"/>
      <c r="E1872" s="490" t="str">
        <f>IFERROR(__xludf.DUMMYFUNCTION("""COMPUTED_VALUE"""),"LUXION")</f>
        <v>LUXION</v>
      </c>
      <c r="F1872" s="490" t="str">
        <f>IFERROR(__xludf.DUMMYFUNCTION("""COMPUTED_VALUE"""),"LUMINÁRIA LYNXDIFUSA")</f>
        <v>LUMINÁRIA LYNXDIFUSA</v>
      </c>
      <c r="G1872" s="490"/>
      <c r="H1872" s="490"/>
      <c r="I1872" s="490"/>
      <c r="J1872" s="588"/>
      <c r="K1872" s="490"/>
      <c r="L1872" s="490"/>
      <c r="M1872" s="490"/>
      <c r="N1872" s="490"/>
      <c r="O1872" s="490"/>
      <c r="P1872" s="490" t="s">
        <v>6879</v>
      </c>
    </row>
    <row r="1873">
      <c r="A1873" s="490"/>
      <c r="B1873" s="490"/>
      <c r="C1873" s="490"/>
      <c r="D1873" s="490"/>
      <c r="E1873" s="490" t="str">
        <f>IFERROR(__xludf.DUMMYFUNCTION("""COMPUTED_VALUE"""),"LUXPRO")</f>
        <v>LUXPRO</v>
      </c>
      <c r="F1873" s="490" t="str">
        <f>IFERROR(__xludf.DUMMYFUNCTION("""COMPUTED_VALUE"""),"PSD111")</f>
        <v>PSD111</v>
      </c>
      <c r="G1873" s="490"/>
      <c r="H1873" s="490"/>
      <c r="I1873" s="490"/>
      <c r="J1873" s="588"/>
      <c r="K1873" s="490"/>
      <c r="L1873" s="490"/>
      <c r="M1873" s="490"/>
      <c r="N1873" s="490"/>
      <c r="O1873" s="490"/>
      <c r="P1873" s="490" t="s">
        <v>6881</v>
      </c>
    </row>
    <row r="1874">
      <c r="A1874" s="490"/>
      <c r="B1874" s="490"/>
      <c r="C1874" s="490"/>
      <c r="D1874" s="490"/>
      <c r="E1874" s="490" t="str">
        <f>IFERROR(__xludf.DUMMYFUNCTION("""COMPUTED_VALUE"""),"LUXPRO")</f>
        <v>LUXPRO</v>
      </c>
      <c r="F1874" s="490" t="str">
        <f>IFERROR(__xludf.DUMMYFUNCTION("""COMPUTED_VALUE"""),"PSD158")</f>
        <v>PSD158</v>
      </c>
      <c r="G1874" s="490"/>
      <c r="H1874" s="490"/>
      <c r="I1874" s="490"/>
      <c r="J1874" s="588"/>
      <c r="K1874" s="490"/>
      <c r="L1874" s="490"/>
      <c r="M1874" s="490"/>
      <c r="N1874" s="490"/>
      <c r="O1874" s="490"/>
      <c r="P1874" s="490" t="s">
        <v>6883</v>
      </c>
    </row>
    <row r="1875">
      <c r="A1875" s="490"/>
      <c r="B1875" s="490"/>
      <c r="C1875" s="490"/>
      <c r="D1875" s="490"/>
      <c r="E1875" s="490" t="str">
        <f>IFERROR(__xludf.DUMMYFUNCTION("""COMPUTED_VALUE"""),"LUXUL")</f>
        <v>LUXUL</v>
      </c>
      <c r="F1875" s="490" t="str">
        <f>IFERROR(__xludf.DUMMYFUNCTION("""COMPUTED_VALUE"""),"XFS-1084P")</f>
        <v>XFS-1084P</v>
      </c>
      <c r="G1875" s="490"/>
      <c r="H1875" s="490"/>
      <c r="I1875" s="490"/>
      <c r="J1875" s="588"/>
      <c r="K1875" s="490"/>
      <c r="L1875" s="490"/>
      <c r="M1875" s="490"/>
      <c r="N1875" s="490"/>
      <c r="O1875" s="490"/>
      <c r="P1875" s="490" t="s">
        <v>6885</v>
      </c>
    </row>
    <row r="1876">
      <c r="A1876" s="490"/>
      <c r="B1876" s="490"/>
      <c r="C1876" s="490"/>
      <c r="D1876" s="490"/>
      <c r="E1876" s="490" t="str">
        <f>IFERROR(__xludf.DUMMYFUNCTION("""COMPUTED_VALUE"""),"LYNXSPRING")</f>
        <v>LYNXSPRING</v>
      </c>
      <c r="F1876" s="490" t="str">
        <f>IFERROR(__xludf.DUMMYFUNCTION("""COMPUTED_VALUE"""),"ONYXX-MB311")</f>
        <v>ONYXX-MB311</v>
      </c>
      <c r="G1876" s="490"/>
      <c r="H1876" s="490"/>
      <c r="I1876" s="490"/>
      <c r="J1876" s="588"/>
      <c r="K1876" s="490"/>
      <c r="L1876" s="490"/>
      <c r="M1876" s="490"/>
      <c r="N1876" s="490"/>
      <c r="O1876" s="490"/>
      <c r="P1876" s="490" t="s">
        <v>6887</v>
      </c>
    </row>
    <row r="1877">
      <c r="A1877" s="490"/>
      <c r="B1877" s="490"/>
      <c r="C1877" s="490"/>
      <c r="D1877" s="490"/>
      <c r="E1877" s="490" t="str">
        <f>IFERROR(__xludf.DUMMYFUNCTION("""COMPUTED_VALUE"""),"M2I CORPORATION")</f>
        <v>M2I CORPORATION</v>
      </c>
      <c r="F1877" s="490" t="str">
        <f>IFERROR(__xludf.DUMMYFUNCTION("""COMPUTED_VALUE"""),"TOPRW0700WD")</f>
        <v>TOPRW0700WD</v>
      </c>
      <c r="G1877" s="490"/>
      <c r="H1877" s="490"/>
      <c r="I1877" s="490"/>
      <c r="J1877" s="588"/>
      <c r="K1877" s="490"/>
      <c r="L1877" s="490"/>
      <c r="M1877" s="490"/>
      <c r="N1877" s="490"/>
      <c r="O1877" s="490"/>
      <c r="P1877" s="490" t="s">
        <v>6889</v>
      </c>
    </row>
    <row r="1878">
      <c r="A1878" s="490"/>
      <c r="B1878" s="490"/>
      <c r="C1878" s="490"/>
      <c r="D1878" s="490"/>
      <c r="E1878" s="490" t="str">
        <f>IFERROR(__xludf.DUMMYFUNCTION("""COMPUTED_VALUE"""),"MACURCO")</f>
        <v>MACURCO</v>
      </c>
      <c r="F1878" s="490" t="str">
        <f>IFERROR(__xludf.DUMMYFUNCTION("""COMPUTED_VALUE"""),"DVP-120B")</f>
        <v>DVP-120B</v>
      </c>
      <c r="G1878" s="490"/>
      <c r="H1878" s="490"/>
      <c r="I1878" s="490"/>
      <c r="J1878" s="588"/>
      <c r="K1878" s="490"/>
      <c r="L1878" s="490"/>
      <c r="M1878" s="490"/>
      <c r="N1878" s="490"/>
      <c r="O1878" s="490"/>
      <c r="P1878" s="490" t="s">
        <v>6891</v>
      </c>
    </row>
    <row r="1879">
      <c r="A1879" s="490"/>
      <c r="B1879" s="490"/>
      <c r="C1879" s="490"/>
      <c r="D1879" s="490"/>
      <c r="E1879" s="490" t="str">
        <f>IFERROR(__xludf.DUMMYFUNCTION("""COMPUTED_VALUE"""),"MAESTRO")</f>
        <v>MAESTRO</v>
      </c>
      <c r="F1879" s="490" t="str">
        <f>IFERROR(__xludf.DUMMYFUNCTION("""COMPUTED_VALUE"""),"GSM100")</f>
        <v>GSM100</v>
      </c>
      <c r="G1879" s="490"/>
      <c r="H1879" s="490"/>
      <c r="I1879" s="490"/>
      <c r="J1879" s="588"/>
      <c r="K1879" s="490"/>
      <c r="L1879" s="490"/>
      <c r="M1879" s="490"/>
      <c r="N1879" s="490"/>
      <c r="O1879" s="490"/>
      <c r="P1879" s="490" t="s">
        <v>6893</v>
      </c>
    </row>
    <row r="1880">
      <c r="A1880" s="490"/>
      <c r="B1880" s="490"/>
      <c r="C1880" s="490"/>
      <c r="D1880" s="490"/>
      <c r="E1880" s="490" t="str">
        <f>IFERROR(__xludf.DUMMYFUNCTION("""COMPUTED_VALUE"""),"MAGNUM")</f>
        <v>MAGNUM</v>
      </c>
      <c r="F1880" s="490" t="str">
        <f>IFERROR(__xludf.DUMMYFUNCTION("""COMPUTED_VALUE"""),"NOT VERIFIED")</f>
        <v>NOT VERIFIED</v>
      </c>
      <c r="G1880" s="490"/>
      <c r="H1880" s="490"/>
      <c r="I1880" s="490"/>
      <c r="J1880" s="588"/>
      <c r="K1880" s="490"/>
      <c r="L1880" s="490"/>
      <c r="M1880" s="490"/>
      <c r="N1880" s="490"/>
      <c r="O1880" s="490"/>
      <c r="P1880" s="490" t="s">
        <v>6895</v>
      </c>
    </row>
    <row r="1881">
      <c r="A1881" s="490"/>
      <c r="B1881" s="490"/>
      <c r="C1881" s="490"/>
      <c r="D1881" s="490"/>
      <c r="E1881" s="490" t="str">
        <f>IFERROR(__xludf.DUMMYFUNCTION("""COMPUTED_VALUE"""),"MAILSECURE")</f>
        <v>MAILSECURE</v>
      </c>
      <c r="F1881" s="490" t="str">
        <f>IFERROR(__xludf.DUMMYFUNCTION("""COMPUTED_VALUE"""),"MS10-026")</f>
        <v>MS10-026</v>
      </c>
      <c r="G1881" s="490"/>
      <c r="H1881" s="490"/>
      <c r="I1881" s="490"/>
      <c r="J1881" s="588"/>
      <c r="K1881" s="490"/>
      <c r="L1881" s="490"/>
      <c r="M1881" s="490"/>
      <c r="N1881" s="490"/>
      <c r="O1881" s="490"/>
      <c r="P1881" s="490" t="s">
        <v>6897</v>
      </c>
    </row>
    <row r="1882">
      <c r="A1882" s="490"/>
      <c r="B1882" s="490"/>
      <c r="C1882" s="490"/>
      <c r="D1882" s="490"/>
      <c r="E1882" s="490" t="str">
        <f>IFERROR(__xludf.DUMMYFUNCTION("""COMPUTED_VALUE"""),"MAPLE SYSTEMS")</f>
        <v>MAPLE SYSTEMS</v>
      </c>
      <c r="F1882" s="490" t="str">
        <f>IFERROR(__xludf.DUMMYFUNCTION("""COMPUTED_VALUE"""),"HMI5070B")</f>
        <v>HMI5070B</v>
      </c>
      <c r="G1882" s="490"/>
      <c r="H1882" s="490"/>
      <c r="I1882" s="490"/>
      <c r="J1882" s="588"/>
      <c r="K1882" s="490"/>
      <c r="L1882" s="490"/>
      <c r="M1882" s="490"/>
      <c r="N1882" s="490"/>
      <c r="O1882" s="490"/>
      <c r="P1882" s="490" t="s">
        <v>3281</v>
      </c>
    </row>
    <row r="1883">
      <c r="A1883" s="490"/>
      <c r="B1883" s="490"/>
      <c r="C1883" s="490"/>
      <c r="D1883" s="490"/>
      <c r="E1883" s="490" t="str">
        <f>IFERROR(__xludf.DUMMYFUNCTION("""COMPUTED_VALUE"""),"MAPLE SYSTEMS")</f>
        <v>MAPLE SYSTEMS</v>
      </c>
      <c r="F1883" s="490" t="str">
        <f>IFERROR(__xludf.DUMMYFUNCTION("""COMPUTED_VALUE"""),"HMI5121XL")</f>
        <v>HMI5121XL</v>
      </c>
      <c r="G1883" s="490"/>
      <c r="H1883" s="490"/>
      <c r="I1883" s="490"/>
      <c r="J1883" s="588"/>
      <c r="K1883" s="490"/>
      <c r="L1883" s="490"/>
      <c r="M1883" s="490"/>
      <c r="N1883" s="490"/>
      <c r="O1883" s="490"/>
      <c r="P1883" s="490" t="s">
        <v>6899</v>
      </c>
    </row>
    <row r="1884">
      <c r="A1884" s="490"/>
      <c r="B1884" s="490"/>
      <c r="C1884" s="490"/>
      <c r="D1884" s="490"/>
      <c r="E1884" s="490" t="str">
        <f>IFERROR(__xludf.DUMMYFUNCTION("""COMPUTED_VALUE"""),"MAPLE SYSTEMS")</f>
        <v>MAPLE SYSTEMS</v>
      </c>
      <c r="F1884" s="490" t="str">
        <f>IFERROR(__xludf.DUMMYFUNCTION("""COMPUTED_VALUE"""),"HMI5121P")</f>
        <v>HMI5121P</v>
      </c>
      <c r="G1884" s="490"/>
      <c r="H1884" s="490"/>
      <c r="I1884" s="490"/>
      <c r="J1884" s="588"/>
      <c r="K1884" s="490"/>
      <c r="L1884" s="490"/>
      <c r="M1884" s="490"/>
      <c r="N1884" s="490"/>
      <c r="O1884" s="490"/>
      <c r="P1884" s="490" t="s">
        <v>6901</v>
      </c>
    </row>
    <row r="1885">
      <c r="A1885" s="490"/>
      <c r="B1885" s="490"/>
      <c r="C1885" s="490"/>
      <c r="D1885" s="490"/>
      <c r="E1885" s="490" t="str">
        <f>IFERROR(__xludf.DUMMYFUNCTION("""COMPUTED_VALUE"""),"MAPRO")</f>
        <v>MAPRO</v>
      </c>
      <c r="F1885" s="490" t="str">
        <f>IFERROR(__xludf.DUMMYFUNCTION("""COMPUTED_VALUE"""),"SLDP-10")</f>
        <v>SLDP-10</v>
      </c>
      <c r="G1885" s="490"/>
      <c r="H1885" s="490"/>
      <c r="I1885" s="490"/>
      <c r="J1885" s="588"/>
      <c r="K1885" s="490"/>
      <c r="L1885" s="490"/>
      <c r="M1885" s="490"/>
      <c r="N1885" s="490"/>
      <c r="O1885" s="490"/>
      <c r="P1885" s="490" t="s">
        <v>6903</v>
      </c>
    </row>
    <row r="1886">
      <c r="A1886" s="490"/>
      <c r="B1886" s="490"/>
      <c r="C1886" s="490"/>
      <c r="D1886" s="490"/>
      <c r="E1886" s="490" t="str">
        <f>IFERROR(__xludf.DUMMYFUNCTION("""COMPUTED_VALUE"""),"MARANTZ")</f>
        <v>MARANTZ</v>
      </c>
      <c r="F1886" s="490" t="str">
        <f>IFERROR(__xludf.DUMMYFUNCTION("""COMPUTED_VALUE"""),"SR5014")</f>
        <v>SR5014</v>
      </c>
      <c r="G1886" s="490"/>
      <c r="H1886" s="490"/>
      <c r="I1886" s="490"/>
      <c r="J1886" s="588"/>
      <c r="K1886" s="490"/>
      <c r="L1886" s="490"/>
      <c r="M1886" s="490"/>
      <c r="N1886" s="490"/>
      <c r="O1886" s="490"/>
      <c r="P1886" s="490" t="s">
        <v>6905</v>
      </c>
    </row>
    <row r="1887">
      <c r="A1887" s="490"/>
      <c r="B1887" s="490"/>
      <c r="C1887" s="490"/>
      <c r="D1887" s="490"/>
      <c r="E1887" s="490" t="str">
        <f>IFERROR(__xludf.DUMMYFUNCTION("""COMPUTED_VALUE"""),"MARSHALL")</f>
        <v>MARSHALL</v>
      </c>
      <c r="F1887" s="490" t="str">
        <f>IFERROR(__xludf.DUMMYFUNCTION("""COMPUTED_VALUE"""),"V-LCD171MD")</f>
        <v>V-LCD171MD</v>
      </c>
      <c r="G1887" s="490"/>
      <c r="H1887" s="490"/>
      <c r="I1887" s="490"/>
      <c r="J1887" s="588"/>
      <c r="K1887" s="490"/>
      <c r="L1887" s="490"/>
      <c r="M1887" s="490"/>
      <c r="N1887" s="490"/>
      <c r="O1887" s="490"/>
      <c r="P1887" s="490" t="s">
        <v>6907</v>
      </c>
    </row>
    <row r="1888">
      <c r="A1888" s="490"/>
      <c r="B1888" s="490"/>
      <c r="C1888" s="490"/>
      <c r="D1888" s="490"/>
      <c r="E1888" s="490" t="str">
        <f>IFERROR(__xludf.DUMMYFUNCTION("""COMPUTED_VALUE"""),"MASER")</f>
        <v>MASER</v>
      </c>
      <c r="F1888" s="490" t="str">
        <f>IFERROR(__xludf.DUMMYFUNCTION("""COMPUTED_VALUE"""),"VHFO- V2")</f>
        <v>VHFO- V2</v>
      </c>
      <c r="G1888" s="490"/>
      <c r="H1888" s="490"/>
      <c r="I1888" s="490"/>
      <c r="J1888" s="588"/>
      <c r="K1888" s="490"/>
      <c r="L1888" s="490"/>
      <c r="M1888" s="490"/>
      <c r="N1888" s="490"/>
      <c r="O1888" s="490"/>
      <c r="P1888" s="490" t="s">
        <v>6909</v>
      </c>
    </row>
    <row r="1889">
      <c r="A1889" s="490"/>
      <c r="B1889" s="490"/>
      <c r="C1889" s="490"/>
      <c r="D1889" s="490"/>
      <c r="E1889" s="490" t="str">
        <f>IFERROR(__xludf.DUMMYFUNCTION("""COMPUTED_VALUE"""),"MATRIX")</f>
        <v>MATRIX</v>
      </c>
      <c r="F1889" s="490" t="str">
        <f>IFERROR(__xludf.DUMMYFUNCTION("""COMPUTED_VALUE"""),"T3X")</f>
        <v>T3X</v>
      </c>
      <c r="G1889" s="490"/>
      <c r="H1889" s="490"/>
      <c r="I1889" s="490"/>
      <c r="J1889" s="588"/>
      <c r="K1889" s="490"/>
      <c r="L1889" s="490"/>
      <c r="M1889" s="490"/>
      <c r="N1889" s="490"/>
      <c r="O1889" s="490"/>
      <c r="P1889" s="490" t="s">
        <v>6911</v>
      </c>
    </row>
    <row r="1890">
      <c r="A1890" s="490"/>
      <c r="B1890" s="490"/>
      <c r="C1890" s="490"/>
      <c r="D1890" s="490"/>
      <c r="E1890" s="490" t="str">
        <f>IFERROR(__xludf.DUMMYFUNCTION("""COMPUTED_VALUE"""),"MATRIX")</f>
        <v>MATRIX</v>
      </c>
      <c r="F1890" s="490" t="str">
        <f>IFERROR(__xludf.DUMMYFUNCTION("""COMPUTED_VALUE"""),"TOUCH-C")</f>
        <v>TOUCH-C</v>
      </c>
      <c r="G1890" s="490"/>
      <c r="H1890" s="490"/>
      <c r="I1890" s="490"/>
      <c r="J1890" s="588"/>
      <c r="K1890" s="490"/>
      <c r="L1890" s="490"/>
      <c r="M1890" s="490"/>
      <c r="N1890" s="490"/>
      <c r="O1890" s="490"/>
      <c r="P1890" s="490" t="s">
        <v>6913</v>
      </c>
    </row>
    <row r="1891">
      <c r="A1891" s="490"/>
      <c r="B1891" s="490"/>
      <c r="C1891" s="490"/>
      <c r="D1891" s="490"/>
      <c r="E1891" s="490" t="str">
        <f>IFERROR(__xludf.DUMMYFUNCTION("""COMPUTED_VALUE"""),"MAXTANG")</f>
        <v>MAXTANG</v>
      </c>
      <c r="F1891" s="490" t="str">
        <f>IFERROR(__xludf.DUMMYFUNCTION("""COMPUTED_VALUE"""),"WL10")</f>
        <v>WL10</v>
      </c>
      <c r="G1891" s="490"/>
      <c r="H1891" s="490"/>
      <c r="I1891" s="490"/>
      <c r="J1891" s="588"/>
      <c r="K1891" s="490"/>
      <c r="L1891" s="490"/>
      <c r="M1891" s="490"/>
      <c r="N1891" s="490"/>
      <c r="O1891" s="490"/>
      <c r="P1891" s="490" t="s">
        <v>6915</v>
      </c>
    </row>
    <row r="1892">
      <c r="A1892" s="490"/>
      <c r="B1892" s="490"/>
      <c r="C1892" s="490"/>
      <c r="D1892" s="490"/>
      <c r="E1892" s="490" t="str">
        <f>IFERROR(__xludf.DUMMYFUNCTION("""COMPUTED_VALUE"""),"MAZZER")</f>
        <v>MAZZER</v>
      </c>
      <c r="F1892" s="490" t="str">
        <f>IFERROR(__xludf.DUMMYFUNCTION("""COMPUTED_VALUE"""),"MAJOR V ELECT")</f>
        <v>MAJOR V ELECT</v>
      </c>
      <c r="G1892" s="490"/>
      <c r="H1892" s="490"/>
      <c r="I1892" s="490"/>
      <c r="J1892" s="588"/>
      <c r="K1892" s="490"/>
      <c r="L1892" s="490"/>
      <c r="M1892" s="490"/>
      <c r="N1892" s="490"/>
      <c r="O1892" s="490"/>
      <c r="P1892" s="490" t="s">
        <v>6917</v>
      </c>
    </row>
    <row r="1893">
      <c r="A1893" s="490"/>
      <c r="B1893" s="490"/>
      <c r="C1893" s="490"/>
      <c r="D1893" s="490"/>
      <c r="E1893" s="490" t="str">
        <f>IFERROR(__xludf.DUMMYFUNCTION("""COMPUTED_VALUE"""),"MAZZER")</f>
        <v>MAZZER</v>
      </c>
      <c r="F1893" s="490" t="str">
        <f>IFERROR(__xludf.DUMMYFUNCTION("""COMPUTED_VALUE"""),"ROBUR S ELECT")</f>
        <v>ROBUR S ELECT</v>
      </c>
      <c r="G1893" s="490"/>
      <c r="H1893" s="490"/>
      <c r="I1893" s="490"/>
      <c r="J1893" s="588"/>
      <c r="K1893" s="490"/>
      <c r="L1893" s="490"/>
      <c r="M1893" s="490"/>
      <c r="N1893" s="490"/>
      <c r="O1893" s="490"/>
      <c r="P1893" s="490" t="s">
        <v>3284</v>
      </c>
    </row>
    <row r="1894">
      <c r="A1894" s="490"/>
      <c r="B1894" s="490"/>
      <c r="C1894" s="490"/>
      <c r="D1894" s="490"/>
      <c r="E1894" s="490" t="str">
        <f>IFERROR(__xludf.DUMMYFUNCTION("""COMPUTED_VALUE"""),"MBOX")</f>
        <v>MBOX</v>
      </c>
      <c r="F1894" s="490" t="str">
        <f>IFERROR(__xludf.DUMMYFUNCTION("""COMPUTED_VALUE"""),"MULTEMEDIA")</f>
        <v>MULTEMEDIA</v>
      </c>
      <c r="G1894" s="490"/>
      <c r="H1894" s="490"/>
      <c r="I1894" s="490"/>
      <c r="J1894" s="588"/>
      <c r="K1894" s="490"/>
      <c r="L1894" s="490"/>
      <c r="M1894" s="490"/>
      <c r="N1894" s="490"/>
      <c r="O1894" s="490"/>
      <c r="P1894" s="490" t="s">
        <v>6919</v>
      </c>
    </row>
    <row r="1895">
      <c r="A1895" s="490"/>
      <c r="B1895" s="490"/>
      <c r="C1895" s="490"/>
      <c r="D1895" s="490"/>
      <c r="E1895" s="490" t="str">
        <f>IFERROR(__xludf.DUMMYFUNCTION("""COMPUTED_VALUE"""),"MBS GMBH")</f>
        <v>MBS GMBH</v>
      </c>
      <c r="F1895" s="490" t="str">
        <f>IFERROR(__xludf.DUMMYFUNCTION("""COMPUTED_VALUE"""),"DOUBLE X")</f>
        <v>DOUBLE X</v>
      </c>
      <c r="G1895" s="490"/>
      <c r="H1895" s="490"/>
      <c r="I1895" s="490"/>
      <c r="J1895" s="588"/>
      <c r="K1895" s="490"/>
      <c r="L1895" s="490"/>
      <c r="M1895" s="490"/>
      <c r="N1895" s="490"/>
      <c r="O1895" s="490"/>
      <c r="P1895" s="490" t="s">
        <v>6921</v>
      </c>
    </row>
    <row r="1896">
      <c r="A1896" s="490"/>
      <c r="B1896" s="490"/>
      <c r="C1896" s="490"/>
      <c r="D1896" s="490"/>
      <c r="E1896" s="490" t="str">
        <f>IFERROR(__xludf.DUMMYFUNCTION("""COMPUTED_VALUE"""),"MBS GMBH")</f>
        <v>MBS GMBH</v>
      </c>
      <c r="F1896" s="490" t="str">
        <f>IFERROR(__xludf.DUMMYFUNCTION("""COMPUTED_VALUE"""),"UGW-PIPAL 8.2.1")</f>
        <v>UGW-PIPAL 8.2.1</v>
      </c>
      <c r="G1896" s="490"/>
      <c r="H1896" s="490"/>
      <c r="I1896" s="490"/>
      <c r="J1896" s="588"/>
      <c r="K1896" s="490"/>
      <c r="L1896" s="490"/>
      <c r="M1896" s="490"/>
      <c r="N1896" s="490"/>
      <c r="O1896" s="490"/>
      <c r="P1896" s="490" t="s">
        <v>6923</v>
      </c>
    </row>
    <row r="1897">
      <c r="A1897" s="490"/>
      <c r="B1897" s="490"/>
      <c r="C1897" s="490"/>
      <c r="D1897" s="490"/>
      <c r="E1897" s="490" t="str">
        <f>IFERROR(__xludf.DUMMYFUNCTION("""COMPUTED_VALUE"""),"MCS")</f>
        <v>MCS</v>
      </c>
      <c r="F1897" s="490" t="str">
        <f>IFERROR(__xludf.DUMMYFUNCTION("""COMPUTED_VALUE"""),"MCS-MAGNUM-OEM")</f>
        <v>MCS-MAGNUM-OEM</v>
      </c>
      <c r="G1897" s="490"/>
      <c r="H1897" s="490"/>
      <c r="I1897" s="490"/>
      <c r="J1897" s="588"/>
      <c r="K1897" s="490"/>
      <c r="L1897" s="490"/>
      <c r="M1897" s="490"/>
      <c r="N1897" s="490"/>
      <c r="O1897" s="490"/>
      <c r="P1897" s="490" t="s">
        <v>6925</v>
      </c>
    </row>
    <row r="1898">
      <c r="A1898" s="490"/>
      <c r="B1898" s="490"/>
      <c r="C1898" s="490"/>
      <c r="D1898" s="490"/>
      <c r="E1898" s="490" t="str">
        <f>IFERROR(__xludf.DUMMYFUNCTION("""COMPUTED_VALUE"""),"MCS")</f>
        <v>MCS</v>
      </c>
      <c r="F1898" s="490" t="str">
        <f>IFERROR(__xludf.DUMMYFUNCTION("""COMPUTED_VALUE"""),"MCS-BMS-GATEWAY")</f>
        <v>MCS-BMS-GATEWAY</v>
      </c>
      <c r="G1898" s="490"/>
      <c r="H1898" s="490"/>
      <c r="I1898" s="490"/>
      <c r="J1898" s="588"/>
      <c r="K1898" s="490"/>
      <c r="L1898" s="490"/>
      <c r="M1898" s="490"/>
      <c r="N1898" s="490"/>
      <c r="O1898" s="490"/>
      <c r="P1898" s="490" t="s">
        <v>6927</v>
      </c>
    </row>
    <row r="1899">
      <c r="A1899" s="490"/>
      <c r="B1899" s="490"/>
      <c r="C1899" s="490"/>
      <c r="D1899" s="490"/>
      <c r="E1899" s="490" t="str">
        <f>IFERROR(__xludf.DUMMYFUNCTION("""COMPUTED_VALUE"""),"MECHOSHADE")</f>
        <v>MECHOSHADE</v>
      </c>
      <c r="F1899" s="490" t="str">
        <f>IFERROR(__xludf.DUMMYFUNCTION("""COMPUTED_VALUE"""),"GATEWAY 10-02")</f>
        <v>GATEWAY 10-02</v>
      </c>
      <c r="G1899" s="490"/>
      <c r="H1899" s="490"/>
      <c r="I1899" s="490"/>
      <c r="J1899" s="588"/>
      <c r="K1899" s="490"/>
      <c r="L1899" s="490"/>
      <c r="M1899" s="490"/>
      <c r="N1899" s="490"/>
      <c r="O1899" s="490"/>
      <c r="P1899" s="490" t="s">
        <v>6929</v>
      </c>
    </row>
    <row r="1900">
      <c r="A1900" s="490"/>
      <c r="B1900" s="490"/>
      <c r="C1900" s="490"/>
      <c r="D1900" s="490"/>
      <c r="E1900" s="490" t="str">
        <f>IFERROR(__xludf.DUMMYFUNCTION("""COMPUTED_VALUE"""),"MECHOSHADE")</f>
        <v>MECHOSHADE</v>
      </c>
      <c r="F1900" s="490" t="str">
        <f>IFERROR(__xludf.DUMMYFUNCTION("""COMPUTED_VALUE"""),"MECHOSHADE")</f>
        <v>MECHOSHADE</v>
      </c>
      <c r="G1900" s="490"/>
      <c r="H1900" s="490"/>
      <c r="I1900" s="490"/>
      <c r="J1900" s="588"/>
      <c r="K1900" s="490"/>
      <c r="L1900" s="490"/>
      <c r="M1900" s="490"/>
      <c r="N1900" s="490"/>
      <c r="O1900" s="490"/>
      <c r="P1900" s="490" t="s">
        <v>6931</v>
      </c>
    </row>
    <row r="1901">
      <c r="A1901" s="490"/>
      <c r="B1901" s="490"/>
      <c r="C1901" s="490"/>
      <c r="D1901" s="490"/>
      <c r="E1901" s="490" t="str">
        <f>IFERROR(__xludf.DUMMYFUNCTION("""COMPUTED_VALUE"""),"MECHOSHADE")</f>
        <v>MECHOSHADE</v>
      </c>
      <c r="F1901" s="490" t="str">
        <f>IFERROR(__xludf.DUMMYFUNCTION("""COMPUTED_VALUE"""),"ST50")</f>
        <v>ST50</v>
      </c>
      <c r="G1901" s="490"/>
      <c r="H1901" s="490"/>
      <c r="I1901" s="490"/>
      <c r="J1901" s="588"/>
      <c r="K1901" s="490"/>
      <c r="L1901" s="490"/>
      <c r="M1901" s="490"/>
      <c r="N1901" s="490"/>
      <c r="O1901" s="490"/>
      <c r="P1901" s="490" t="s">
        <v>6933</v>
      </c>
    </row>
    <row r="1902">
      <c r="A1902" s="490"/>
      <c r="B1902" s="490"/>
      <c r="C1902" s="490"/>
      <c r="D1902" s="490"/>
      <c r="E1902" s="490" t="str">
        <f>IFERROR(__xludf.DUMMYFUNCTION("""COMPUTED_VALUE"""),"MEGSINE")</f>
        <v>MEGSINE</v>
      </c>
      <c r="F1902" s="490" t="str">
        <f>IFERROR(__xludf.DUMMYFUNCTION("""COMPUTED_VALUE"""),"MF782")</f>
        <v>MF782</v>
      </c>
      <c r="G1902" s="490"/>
      <c r="H1902" s="490"/>
      <c r="I1902" s="490"/>
      <c r="J1902" s="588"/>
      <c r="K1902" s="490"/>
      <c r="L1902" s="490"/>
      <c r="M1902" s="490"/>
      <c r="N1902" s="490"/>
      <c r="O1902" s="490"/>
      <c r="P1902" s="490" t="s">
        <v>6935</v>
      </c>
    </row>
    <row r="1903">
      <c r="A1903" s="490"/>
      <c r="B1903" s="490"/>
      <c r="C1903" s="490"/>
      <c r="D1903" s="490"/>
      <c r="E1903" s="490" t="str">
        <f>IFERROR(__xludf.DUMMYFUNCTION("""COMPUTED_VALUE"""),"MELINK")</f>
        <v>MELINK</v>
      </c>
      <c r="F1903" s="490" t="str">
        <f>IFERROR(__xludf.DUMMYFUNCTION("""COMPUTED_VALUE"""),"SC")</f>
        <v>SC</v>
      </c>
      <c r="G1903" s="490"/>
      <c r="H1903" s="490"/>
      <c r="I1903" s="490"/>
      <c r="J1903" s="588"/>
      <c r="K1903" s="490"/>
      <c r="L1903" s="490"/>
      <c r="M1903" s="490"/>
      <c r="N1903" s="490"/>
      <c r="O1903" s="490"/>
      <c r="P1903" s="490" t="s">
        <v>6937</v>
      </c>
    </row>
    <row r="1904">
      <c r="A1904" s="490"/>
      <c r="B1904" s="490"/>
      <c r="C1904" s="490"/>
      <c r="D1904" s="490"/>
      <c r="E1904" s="490" t="str">
        <f>IFERROR(__xludf.DUMMYFUNCTION("""COMPUTED_VALUE"""),"MELINK")</f>
        <v>MELINK</v>
      </c>
      <c r="F1904" s="490" t="str">
        <f>IFERROR(__xludf.DUMMYFUNCTION("""COMPUTED_VALUE"""),"INTELLI-HOOD SC")</f>
        <v>INTELLI-HOOD SC</v>
      </c>
      <c r="G1904" s="490"/>
      <c r="H1904" s="490"/>
      <c r="I1904" s="490"/>
      <c r="J1904" s="588"/>
      <c r="K1904" s="490"/>
      <c r="L1904" s="490"/>
      <c r="M1904" s="490"/>
      <c r="N1904" s="490"/>
      <c r="O1904" s="490"/>
      <c r="P1904" s="490" t="s">
        <v>3287</v>
      </c>
    </row>
    <row r="1905">
      <c r="A1905" s="490"/>
      <c r="B1905" s="490"/>
      <c r="C1905" s="490"/>
      <c r="D1905" s="490"/>
      <c r="E1905" s="490" t="str">
        <f>IFERROR(__xludf.DUMMYFUNCTION("""COMPUTED_VALUE"""),"MELITTA")</f>
        <v>MELITTA</v>
      </c>
      <c r="F1905" s="490" t="str">
        <f>IFERROR(__xludf.DUMMYFUNCTION("""COMPUTED_VALUE"""),"XT-6")</f>
        <v>XT-6</v>
      </c>
      <c r="G1905" s="490"/>
      <c r="H1905" s="490"/>
      <c r="I1905" s="490"/>
      <c r="J1905" s="588"/>
      <c r="K1905" s="490"/>
      <c r="L1905" s="490"/>
      <c r="M1905" s="490"/>
      <c r="N1905" s="490"/>
      <c r="O1905" s="490"/>
      <c r="P1905" s="490" t="s">
        <v>6939</v>
      </c>
    </row>
    <row r="1906">
      <c r="A1906" s="490"/>
      <c r="B1906" s="490"/>
      <c r="C1906" s="490"/>
      <c r="D1906" s="490"/>
      <c r="E1906" s="490" t="str">
        <f>IFERROR(__xludf.DUMMYFUNCTION("""COMPUTED_VALUE"""),"MERCATOR")</f>
        <v>MERCATOR</v>
      </c>
      <c r="F1906" s="490" t="str">
        <f>IFERROR(__xludf.DUMMYFUNCTION("""COMPUTED_VALUE"""),"CUSTOM")</f>
        <v>CUSTOM</v>
      </c>
      <c r="G1906" s="490"/>
      <c r="H1906" s="490"/>
      <c r="I1906" s="490"/>
      <c r="J1906" s="588"/>
      <c r="K1906" s="490"/>
      <c r="L1906" s="490"/>
      <c r="M1906" s="490"/>
      <c r="N1906" s="490"/>
      <c r="O1906" s="490"/>
      <c r="P1906" s="490" t="s">
        <v>6941</v>
      </c>
    </row>
    <row r="1907">
      <c r="A1907" s="490"/>
      <c r="B1907" s="490"/>
      <c r="C1907" s="490"/>
      <c r="D1907" s="490"/>
      <c r="E1907" s="490" t="str">
        <f>IFERROR(__xludf.DUMMYFUNCTION("""COMPUTED_VALUE"""),"MERCURY")</f>
        <v>MERCURY</v>
      </c>
      <c r="F1907" s="490" t="str">
        <f>IFERROR(__xludf.DUMMYFUNCTION("""COMPUTED_VALUE"""),"MW305R")</f>
        <v>MW305R</v>
      </c>
      <c r="G1907" s="490"/>
      <c r="H1907" s="490"/>
      <c r="I1907" s="490"/>
      <c r="J1907" s="588"/>
      <c r="K1907" s="490"/>
      <c r="L1907" s="490"/>
      <c r="M1907" s="490"/>
      <c r="N1907" s="490"/>
      <c r="O1907" s="490"/>
      <c r="P1907" s="490" t="s">
        <v>6943</v>
      </c>
    </row>
    <row r="1908">
      <c r="A1908" s="490"/>
      <c r="B1908" s="490"/>
      <c r="C1908" s="490"/>
      <c r="D1908" s="490"/>
      <c r="E1908" s="490" t="str">
        <f>IFERROR(__xludf.DUMMYFUNCTION("""COMPUTED_VALUE"""),"MERTEN")</f>
        <v>MERTEN</v>
      </c>
      <c r="F1908" s="490" t="str">
        <f>IFERROR(__xludf.DUMMYFUNCTION("""COMPUTED_VALUE"""),"MEG6260-0007")</f>
        <v>MEG6260-0007</v>
      </c>
      <c r="G1908" s="490"/>
      <c r="H1908" s="490"/>
      <c r="I1908" s="490"/>
      <c r="J1908" s="588"/>
      <c r="K1908" s="490"/>
      <c r="L1908" s="490"/>
      <c r="M1908" s="490"/>
      <c r="N1908" s="490"/>
      <c r="O1908" s="490"/>
      <c r="P1908" s="490" t="s">
        <v>6945</v>
      </c>
    </row>
    <row r="1909">
      <c r="A1909" s="490"/>
      <c r="B1909" s="490"/>
      <c r="C1909" s="490"/>
      <c r="D1909" s="490"/>
      <c r="E1909" s="490" t="str">
        <f>IFERROR(__xludf.DUMMYFUNCTION("""COMPUTED_VALUE"""),"META")</f>
        <v>META</v>
      </c>
      <c r="F1909" s="490" t="str">
        <f>IFERROR(__xludf.DUMMYFUNCTION("""COMPUTED_VALUE"""),"QUEST 2")</f>
        <v>QUEST 2</v>
      </c>
      <c r="G1909" s="490"/>
      <c r="H1909" s="490"/>
      <c r="I1909" s="490"/>
      <c r="J1909" s="588"/>
      <c r="K1909" s="490"/>
      <c r="L1909" s="490"/>
      <c r="M1909" s="490"/>
      <c r="N1909" s="490"/>
      <c r="O1909" s="490"/>
      <c r="P1909" s="490" t="s">
        <v>6947</v>
      </c>
    </row>
    <row r="1910">
      <c r="A1910" s="490"/>
      <c r="B1910" s="490"/>
      <c r="C1910" s="490"/>
      <c r="D1910" s="490"/>
      <c r="E1910" s="490" t="str">
        <f>IFERROR(__xludf.DUMMYFUNCTION("""COMPUTED_VALUE"""),"META")</f>
        <v>META</v>
      </c>
      <c r="F1910" s="490" t="str">
        <f>IFERROR(__xludf.DUMMYFUNCTION("""COMPUTED_VALUE"""),"QUEST 3 VR HEADSET")</f>
        <v>QUEST 3 VR HEADSET</v>
      </c>
      <c r="G1910" s="490"/>
      <c r="H1910" s="490"/>
      <c r="I1910" s="490"/>
      <c r="J1910" s="588"/>
      <c r="K1910" s="490"/>
      <c r="L1910" s="490"/>
      <c r="M1910" s="490"/>
      <c r="N1910" s="490"/>
      <c r="O1910" s="490"/>
      <c r="P1910" s="490" t="s">
        <v>6949</v>
      </c>
    </row>
    <row r="1911">
      <c r="A1911" s="490"/>
      <c r="B1911" s="490"/>
      <c r="C1911" s="490"/>
      <c r="D1911" s="490"/>
      <c r="E1911" s="490" t="str">
        <f>IFERROR(__xludf.DUMMYFUNCTION("""COMPUTED_VALUE"""),"METOS")</f>
        <v>METOS</v>
      </c>
      <c r="F1911" s="490" t="str">
        <f>IFERROR(__xludf.DUMMYFUNCTION("""COMPUTED_VALUE"""),"IOLIVING CONNECTOR")</f>
        <v>IOLIVING CONNECTOR</v>
      </c>
      <c r="G1911" s="490"/>
      <c r="H1911" s="490"/>
      <c r="I1911" s="490"/>
      <c r="J1911" s="588"/>
      <c r="K1911" s="490"/>
      <c r="L1911" s="490"/>
      <c r="M1911" s="490"/>
      <c r="N1911" s="490"/>
      <c r="O1911" s="490"/>
      <c r="P1911" s="490" t="s">
        <v>6951</v>
      </c>
    </row>
    <row r="1912">
      <c r="A1912" s="490"/>
      <c r="B1912" s="490"/>
      <c r="C1912" s="490"/>
      <c r="D1912" s="490"/>
      <c r="E1912" s="490" t="str">
        <f>IFERROR(__xludf.DUMMYFUNCTION("""COMPUTED_VALUE"""),"METRASENS")</f>
        <v>METRASENS</v>
      </c>
      <c r="F1912" s="490" t="str">
        <f>IFERROR(__xludf.DUMMYFUNCTION("""COMPUTED_VALUE"""),"CELLSENSE ULTRA")</f>
        <v>CELLSENSE ULTRA</v>
      </c>
      <c r="G1912" s="490"/>
      <c r="H1912" s="490"/>
      <c r="I1912" s="490"/>
      <c r="J1912" s="588"/>
      <c r="K1912" s="490"/>
      <c r="L1912" s="490"/>
      <c r="M1912" s="490"/>
      <c r="N1912" s="490"/>
      <c r="O1912" s="490"/>
      <c r="P1912" s="490" t="s">
        <v>6953</v>
      </c>
    </row>
    <row r="1913">
      <c r="A1913" s="490"/>
      <c r="B1913" s="490"/>
      <c r="C1913" s="490"/>
      <c r="D1913" s="490"/>
      <c r="E1913" s="490" t="str">
        <f>IFERROR(__xludf.DUMMYFUNCTION("""COMPUTED_VALUE"""),"MGE")</f>
        <v>MGE</v>
      </c>
      <c r="F1913" s="490" t="str">
        <f>IFERROR(__xludf.DUMMYFUNCTION("""COMPUTED_VALUE"""),"GALAXY 4000")</f>
        <v>GALAXY 4000</v>
      </c>
      <c r="G1913" s="490"/>
      <c r="H1913" s="490"/>
      <c r="I1913" s="490"/>
      <c r="J1913" s="588"/>
      <c r="K1913" s="490"/>
      <c r="L1913" s="490"/>
      <c r="M1913" s="490"/>
      <c r="N1913" s="490"/>
      <c r="O1913" s="490"/>
      <c r="P1913" s="490" t="s">
        <v>6955</v>
      </c>
    </row>
    <row r="1914">
      <c r="A1914" s="490"/>
      <c r="B1914" s="490"/>
      <c r="C1914" s="490"/>
      <c r="D1914" s="490"/>
      <c r="E1914" s="490" t="str">
        <f>IFERROR(__xludf.DUMMYFUNCTION("""COMPUTED_VALUE"""),"MICRO STAR")</f>
        <v>MICRO STAR</v>
      </c>
      <c r="F1914" s="490" t="str">
        <f>IFERROR(__xludf.DUMMYFUNCTION("""COMPUTED_VALUE"""),"NOT VERIFIED")</f>
        <v>NOT VERIFIED</v>
      </c>
      <c r="G1914" s="490"/>
      <c r="H1914" s="490"/>
      <c r="I1914" s="490"/>
      <c r="J1914" s="588"/>
      <c r="K1914" s="490"/>
      <c r="L1914" s="490"/>
      <c r="M1914" s="490"/>
      <c r="N1914" s="490"/>
      <c r="O1914" s="490"/>
      <c r="P1914" s="490" t="s">
        <v>6957</v>
      </c>
    </row>
    <row r="1915">
      <c r="A1915" s="490"/>
      <c r="B1915" s="490"/>
      <c r="C1915" s="490"/>
      <c r="D1915" s="490"/>
      <c r="E1915" s="490" t="str">
        <f>IFERROR(__xludf.DUMMYFUNCTION("""COMPUTED_VALUE"""),"MICROS SYSTEMS")</f>
        <v>MICROS SYSTEMS</v>
      </c>
      <c r="F1915" s="490" t="str">
        <f>IFERROR(__xludf.DUMMYFUNCTION("""COMPUTED_VALUE"""),"WORKSTATION 6")</f>
        <v>WORKSTATION 6</v>
      </c>
      <c r="G1915" s="490"/>
      <c r="H1915" s="490"/>
      <c r="I1915" s="490"/>
      <c r="J1915" s="588"/>
      <c r="K1915" s="490"/>
      <c r="L1915" s="490"/>
      <c r="M1915" s="490"/>
      <c r="N1915" s="490"/>
      <c r="O1915" s="490"/>
      <c r="P1915" s="490" t="s">
        <v>3290</v>
      </c>
    </row>
    <row r="1916">
      <c r="A1916" s="490"/>
      <c r="B1916" s="490"/>
      <c r="C1916" s="490"/>
      <c r="D1916" s="490"/>
      <c r="E1916" s="490" t="str">
        <f>IFERROR(__xludf.DUMMYFUNCTION("""COMPUTED_VALUE"""),"MICROSOFT")</f>
        <v>MICROSOFT</v>
      </c>
      <c r="F1916" s="490" t="str">
        <f>IFERROR(__xludf.DUMMYFUNCTION("""COMPUTED_VALUE"""),"1540")</f>
        <v>1540</v>
      </c>
      <c r="G1916" s="490"/>
      <c r="H1916" s="490"/>
      <c r="I1916" s="490"/>
      <c r="J1916" s="588"/>
      <c r="K1916" s="490"/>
      <c r="L1916" s="490"/>
      <c r="M1916" s="490"/>
      <c r="N1916" s="490"/>
      <c r="O1916" s="490"/>
      <c r="P1916" s="490" t="s">
        <v>6959</v>
      </c>
    </row>
    <row r="1917">
      <c r="A1917" s="490"/>
      <c r="B1917" s="490"/>
      <c r="C1917" s="490"/>
      <c r="D1917" s="490"/>
      <c r="E1917" s="490" t="str">
        <f>IFERROR(__xludf.DUMMYFUNCTION("""COMPUTED_VALUE"""),"MICROSOFT")</f>
        <v>MICROSOFT</v>
      </c>
      <c r="F1917" s="490" t="str">
        <f>IFERROR(__xludf.DUMMYFUNCTION("""COMPUTED_VALUE"""),"HP PRODESK 600 G1")</f>
        <v>HP PRODESK 600 G1</v>
      </c>
      <c r="G1917" s="490"/>
      <c r="H1917" s="490"/>
      <c r="I1917" s="490"/>
      <c r="J1917" s="588"/>
      <c r="K1917" s="490"/>
      <c r="L1917" s="490"/>
      <c r="M1917" s="490"/>
      <c r="N1917" s="490"/>
      <c r="O1917" s="490"/>
      <c r="P1917" s="490" t="s">
        <v>6961</v>
      </c>
    </row>
    <row r="1918">
      <c r="A1918" s="490"/>
      <c r="B1918" s="490"/>
      <c r="C1918" s="490"/>
      <c r="D1918" s="490"/>
      <c r="E1918" s="490" t="str">
        <f>IFERROR(__xludf.DUMMYFUNCTION("""COMPUTED_VALUE"""),"MICROSOFT")</f>
        <v>MICROSOFT</v>
      </c>
      <c r="F1918" s="490" t="str">
        <f>IFERROR(__xludf.DUMMYFUNCTION("""COMPUTED_VALUE"""),"SURFACE")</f>
        <v>SURFACE</v>
      </c>
      <c r="G1918" s="490"/>
      <c r="H1918" s="490"/>
      <c r="I1918" s="490"/>
      <c r="J1918" s="588"/>
      <c r="K1918" s="490"/>
      <c r="L1918" s="490"/>
      <c r="M1918" s="490"/>
      <c r="N1918" s="490"/>
      <c r="O1918" s="490"/>
      <c r="P1918" s="490" t="s">
        <v>6963</v>
      </c>
    </row>
    <row r="1919">
      <c r="A1919" s="490"/>
      <c r="B1919" s="490"/>
      <c r="C1919" s="490"/>
      <c r="D1919" s="490"/>
      <c r="E1919" s="490" t="str">
        <f>IFERROR(__xludf.DUMMYFUNCTION("""COMPUTED_VALUE"""),"MICROSOFT")</f>
        <v>MICROSOFT</v>
      </c>
      <c r="F1919" s="490" t="str">
        <f>IFERROR(__xludf.DUMMYFUNCTION("""COMPUTED_VALUE"""),"SURFACE PRO 4")</f>
        <v>SURFACE PRO 4</v>
      </c>
      <c r="G1919" s="490"/>
      <c r="H1919" s="490"/>
      <c r="I1919" s="490"/>
      <c r="J1919" s="588"/>
      <c r="K1919" s="490"/>
      <c r="L1919" s="490"/>
      <c r="M1919" s="490"/>
      <c r="N1919" s="490"/>
      <c r="O1919" s="490"/>
      <c r="P1919" s="490" t="s">
        <v>6965</v>
      </c>
    </row>
    <row r="1920">
      <c r="A1920" s="490"/>
      <c r="B1920" s="490"/>
      <c r="C1920" s="490"/>
      <c r="D1920" s="490"/>
      <c r="E1920" s="490" t="str">
        <f>IFERROR(__xludf.DUMMYFUNCTION("""COMPUTED_VALUE"""),"MICROSOFT")</f>
        <v>MICROSOFT</v>
      </c>
      <c r="F1920" s="490" t="str">
        <f>IFERROR(__xludf.DUMMYFUNCTION("""COMPUTED_VALUE"""),"XBOX")</f>
        <v>XBOX</v>
      </c>
      <c r="G1920" s="490"/>
      <c r="H1920" s="490"/>
      <c r="I1920" s="490"/>
      <c r="J1920" s="588"/>
      <c r="K1920" s="490"/>
      <c r="L1920" s="490"/>
      <c r="M1920" s="490"/>
      <c r="N1920" s="490"/>
      <c r="O1920" s="490"/>
      <c r="P1920" s="490" t="s">
        <v>6967</v>
      </c>
    </row>
    <row r="1921">
      <c r="A1921" s="490"/>
      <c r="B1921" s="490"/>
      <c r="C1921" s="490"/>
      <c r="D1921" s="490"/>
      <c r="E1921" s="490" t="str">
        <f>IFERROR(__xludf.DUMMYFUNCTION("""COMPUTED_VALUE"""),"MICROSOFT")</f>
        <v>MICROSOFT</v>
      </c>
      <c r="F1921" s="490" t="str">
        <f>IFERROR(__xludf.DUMMYFUNCTION("""COMPUTED_VALUE"""),"XBOX ONE X")</f>
        <v>XBOX ONE X</v>
      </c>
      <c r="G1921" s="490"/>
      <c r="H1921" s="490"/>
      <c r="I1921" s="490"/>
      <c r="J1921" s="588"/>
      <c r="K1921" s="490"/>
      <c r="L1921" s="490"/>
      <c r="M1921" s="490"/>
      <c r="N1921" s="490"/>
      <c r="O1921" s="490"/>
      <c r="P1921" s="490" t="s">
        <v>6969</v>
      </c>
    </row>
    <row r="1922">
      <c r="A1922" s="490"/>
      <c r="B1922" s="490"/>
      <c r="C1922" s="490"/>
      <c r="D1922" s="490"/>
      <c r="E1922" s="490" t="str">
        <f>IFERROR(__xludf.DUMMYFUNCTION("""COMPUTED_VALUE"""),"MICROSOFT")</f>
        <v>MICROSOFT</v>
      </c>
      <c r="F1922" s="490" t="str">
        <f>IFERROR(__xludf.DUMMYFUNCTION("""COMPUTED_VALUE"""),"XBOX ONE X")</f>
        <v>XBOX ONE X</v>
      </c>
      <c r="G1922" s="490"/>
      <c r="H1922" s="490"/>
      <c r="I1922" s="490"/>
      <c r="J1922" s="588"/>
      <c r="K1922" s="490"/>
      <c r="L1922" s="490"/>
      <c r="M1922" s="490"/>
      <c r="N1922" s="490"/>
      <c r="O1922" s="490"/>
      <c r="P1922" s="490" t="s">
        <v>6971</v>
      </c>
    </row>
    <row r="1923">
      <c r="A1923" s="490"/>
      <c r="B1923" s="490"/>
      <c r="C1923" s="490"/>
      <c r="D1923" s="490"/>
      <c r="E1923" s="490" t="str">
        <f>IFERROR(__xludf.DUMMYFUNCTION("""COMPUTED_VALUE"""),"MICROSOFT")</f>
        <v>MICROSOFT</v>
      </c>
      <c r="F1923" s="490" t="str">
        <f>IFERROR(__xludf.DUMMYFUNCTION("""COMPUTED_VALUE"""),"XBOX 360")</f>
        <v>XBOX 360</v>
      </c>
      <c r="G1923" s="490"/>
      <c r="H1923" s="490"/>
      <c r="I1923" s="490"/>
      <c r="J1923" s="588"/>
      <c r="K1923" s="490"/>
      <c r="L1923" s="490"/>
      <c r="M1923" s="490"/>
      <c r="N1923" s="490"/>
      <c r="O1923" s="490"/>
      <c r="P1923" s="490" t="s">
        <v>6973</v>
      </c>
    </row>
    <row r="1924">
      <c r="A1924" s="490"/>
      <c r="B1924" s="490"/>
      <c r="C1924" s="490"/>
      <c r="D1924" s="490"/>
      <c r="E1924" s="490" t="str">
        <f>IFERROR(__xludf.DUMMYFUNCTION("""COMPUTED_VALUE"""),"MICROSOFT")</f>
        <v>MICROSOFT</v>
      </c>
      <c r="F1924" s="490" t="str">
        <f>IFERROR(__xludf.DUMMYFUNCTION("""COMPUTED_VALUE"""),"XBOX 360 S")</f>
        <v>XBOX 360 S</v>
      </c>
      <c r="G1924" s="490"/>
      <c r="H1924" s="490"/>
      <c r="I1924" s="490"/>
      <c r="J1924" s="588"/>
      <c r="K1924" s="490"/>
      <c r="L1924" s="490"/>
      <c r="M1924" s="490"/>
      <c r="N1924" s="490"/>
      <c r="O1924" s="490"/>
      <c r="P1924" s="490" t="s">
        <v>6975</v>
      </c>
    </row>
    <row r="1925">
      <c r="A1925" s="490"/>
      <c r="B1925" s="490"/>
      <c r="C1925" s="490"/>
      <c r="D1925" s="490"/>
      <c r="E1925" s="490" t="str">
        <f>IFERROR(__xludf.DUMMYFUNCTION("""COMPUTED_VALUE"""),"MICROSOFT")</f>
        <v>MICROSOFT</v>
      </c>
      <c r="F1925" s="490" t="str">
        <f>IFERROR(__xludf.DUMMYFUNCTION("""COMPUTED_VALUE"""),"XBOX ONE X")</f>
        <v>XBOX ONE X</v>
      </c>
      <c r="G1925" s="490"/>
      <c r="H1925" s="490"/>
      <c r="I1925" s="490"/>
      <c r="J1925" s="588"/>
      <c r="K1925" s="490"/>
      <c r="L1925" s="490"/>
      <c r="M1925" s="490"/>
      <c r="N1925" s="490"/>
      <c r="O1925" s="490"/>
      <c r="P1925" s="490" t="s">
        <v>6977</v>
      </c>
    </row>
    <row r="1926">
      <c r="A1926" s="490"/>
      <c r="B1926" s="490"/>
      <c r="C1926" s="490"/>
      <c r="D1926" s="490"/>
      <c r="E1926" s="490" t="str">
        <f>IFERROR(__xludf.DUMMYFUNCTION("""COMPUTED_VALUE"""),"MICROSOFT")</f>
        <v>MICROSOFT</v>
      </c>
      <c r="F1926" s="490" t="str">
        <f>IFERROR(__xludf.DUMMYFUNCTION("""COMPUTED_VALUE"""),"XBOX ONE - 1540")</f>
        <v>XBOX ONE - 1540</v>
      </c>
      <c r="G1926" s="490"/>
      <c r="H1926" s="490"/>
      <c r="I1926" s="490"/>
      <c r="J1926" s="588"/>
      <c r="K1926" s="490"/>
      <c r="L1926" s="490"/>
      <c r="M1926" s="490"/>
      <c r="N1926" s="490"/>
      <c r="O1926" s="490"/>
      <c r="P1926" s="490" t="s">
        <v>3293</v>
      </c>
    </row>
    <row r="1927">
      <c r="A1927" s="490"/>
      <c r="B1927" s="490"/>
      <c r="C1927" s="490"/>
      <c r="D1927" s="490"/>
      <c r="E1927" s="490" t="str">
        <f>IFERROR(__xludf.DUMMYFUNCTION("""COMPUTED_VALUE"""),"MICROSOFT")</f>
        <v>MICROSOFT</v>
      </c>
      <c r="F1927" s="490" t="str">
        <f>IFERROR(__xludf.DUMMYFUNCTION("""COMPUTED_VALUE"""),"XBOX ONE S")</f>
        <v>XBOX ONE S</v>
      </c>
      <c r="G1927" s="490"/>
      <c r="H1927" s="490"/>
      <c r="I1927" s="490"/>
      <c r="J1927" s="588"/>
      <c r="K1927" s="490"/>
      <c r="L1927" s="490"/>
      <c r="M1927" s="490"/>
      <c r="N1927" s="490"/>
      <c r="O1927" s="490"/>
      <c r="P1927" s="490" t="s">
        <v>6979</v>
      </c>
    </row>
    <row r="1928">
      <c r="A1928" s="490"/>
      <c r="B1928" s="490"/>
      <c r="C1928" s="490"/>
      <c r="D1928" s="490"/>
      <c r="E1928" s="490" t="str">
        <f>IFERROR(__xludf.DUMMYFUNCTION("""COMPUTED_VALUE"""),"MICROSOFT")</f>
        <v>MICROSOFT</v>
      </c>
      <c r="F1928" s="490" t="str">
        <f>IFERROR(__xludf.DUMMYFUNCTION("""COMPUTED_VALUE"""),"XBOX ONE S - 1681")</f>
        <v>XBOX ONE S - 1681</v>
      </c>
      <c r="G1928" s="490"/>
      <c r="H1928" s="490"/>
      <c r="I1928" s="490"/>
      <c r="J1928" s="588"/>
      <c r="K1928" s="490"/>
      <c r="L1928" s="490"/>
      <c r="M1928" s="490"/>
      <c r="N1928" s="490"/>
      <c r="O1928" s="490"/>
      <c r="P1928" s="490" t="s">
        <v>6981</v>
      </c>
    </row>
    <row r="1929">
      <c r="A1929" s="490"/>
      <c r="B1929" s="490"/>
      <c r="C1929" s="490"/>
      <c r="D1929" s="490"/>
      <c r="E1929" s="490" t="str">
        <f>IFERROR(__xludf.DUMMYFUNCTION("""COMPUTED_VALUE"""),"MICROSOFT")</f>
        <v>MICROSOFT</v>
      </c>
      <c r="F1929" s="490" t="str">
        <f>IFERROR(__xludf.DUMMYFUNCTION("""COMPUTED_VALUE"""),"XBOX ONE X")</f>
        <v>XBOX ONE X</v>
      </c>
      <c r="G1929" s="490"/>
      <c r="H1929" s="490"/>
      <c r="I1929" s="490"/>
      <c r="J1929" s="588"/>
      <c r="K1929" s="490"/>
      <c r="L1929" s="490"/>
      <c r="M1929" s="490"/>
      <c r="N1929" s="490"/>
      <c r="O1929" s="490"/>
      <c r="P1929" s="490" t="s">
        <v>6983</v>
      </c>
    </row>
    <row r="1930">
      <c r="A1930" s="490"/>
      <c r="B1930" s="490"/>
      <c r="C1930" s="490"/>
      <c r="D1930" s="490"/>
      <c r="E1930" s="490" t="str">
        <f>IFERROR(__xludf.DUMMYFUNCTION("""COMPUTED_VALUE"""),"MICROSOFT")</f>
        <v>MICROSOFT</v>
      </c>
      <c r="F1930" s="490" t="str">
        <f>IFERROR(__xludf.DUMMYFUNCTION("""COMPUTED_VALUE"""),"XBOX360")</f>
        <v>XBOX360</v>
      </c>
      <c r="G1930" s="490"/>
      <c r="H1930" s="490"/>
      <c r="I1930" s="490"/>
      <c r="J1930" s="588"/>
      <c r="K1930" s="490"/>
      <c r="L1930" s="490"/>
      <c r="M1930" s="490"/>
      <c r="N1930" s="490"/>
      <c r="O1930" s="490"/>
      <c r="P1930" s="490" t="s">
        <v>6985</v>
      </c>
    </row>
    <row r="1931">
      <c r="A1931" s="490"/>
      <c r="B1931" s="490"/>
      <c r="C1931" s="490"/>
      <c r="D1931" s="490"/>
      <c r="E1931" s="490" t="str">
        <f>IFERROR(__xludf.DUMMYFUNCTION("""COMPUTED_VALUE"""),"MICROTIK")</f>
        <v>MICROTIK</v>
      </c>
      <c r="F1931" s="490" t="str">
        <f>IFERROR(__xludf.DUMMYFUNCTION("""COMPUTED_VALUE"""),"HAP LITE")</f>
        <v>HAP LITE</v>
      </c>
      <c r="G1931" s="490"/>
      <c r="H1931" s="490"/>
      <c r="I1931" s="490"/>
      <c r="J1931" s="588"/>
      <c r="K1931" s="490"/>
      <c r="L1931" s="490"/>
      <c r="M1931" s="490"/>
      <c r="N1931" s="490"/>
      <c r="O1931" s="490"/>
      <c r="P1931" s="490" t="s">
        <v>6987</v>
      </c>
    </row>
    <row r="1932">
      <c r="A1932" s="490"/>
      <c r="B1932" s="490"/>
      <c r="C1932" s="490"/>
      <c r="D1932" s="490"/>
      <c r="E1932" s="490" t="str">
        <f>IFERROR(__xludf.DUMMYFUNCTION("""COMPUTED_VALUE"""),"MICROTOUCH")</f>
        <v>MICROTOUCH</v>
      </c>
      <c r="F1932" s="490" t="str">
        <f>IFERROR(__xludf.DUMMYFUNCTION("""COMPUTED_VALUE"""),"MACH M1-215IC")</f>
        <v>MACH M1-215IC</v>
      </c>
      <c r="G1932" s="490"/>
      <c r="H1932" s="490"/>
      <c r="I1932" s="490"/>
      <c r="J1932" s="588"/>
      <c r="K1932" s="490"/>
      <c r="L1932" s="490"/>
      <c r="M1932" s="490"/>
      <c r="N1932" s="490"/>
      <c r="O1932" s="490"/>
      <c r="P1932" s="490" t="s">
        <v>6989</v>
      </c>
    </row>
    <row r="1933">
      <c r="A1933" s="490"/>
      <c r="B1933" s="490"/>
      <c r="C1933" s="490"/>
      <c r="D1933" s="490"/>
      <c r="E1933" s="490" t="str">
        <f>IFERROR(__xludf.DUMMYFUNCTION("""COMPUTED_VALUE"""),"MIDEA")</f>
        <v>MIDEA</v>
      </c>
      <c r="F1933" s="490" t="str">
        <f>IFERROR(__xludf.DUMMYFUNCTION("""COMPUTED_VALUE"""),"MKA-600N")</f>
        <v>MKA-600N</v>
      </c>
      <c r="G1933" s="490"/>
      <c r="H1933" s="490"/>
      <c r="I1933" s="490"/>
      <c r="J1933" s="588"/>
      <c r="K1933" s="490"/>
      <c r="L1933" s="490"/>
      <c r="M1933" s="490"/>
      <c r="N1933" s="490"/>
      <c r="O1933" s="490"/>
      <c r="P1933" s="490" t="s">
        <v>6991</v>
      </c>
    </row>
    <row r="1934">
      <c r="A1934" s="490"/>
      <c r="B1934" s="490"/>
      <c r="C1934" s="490"/>
      <c r="D1934" s="490"/>
      <c r="E1934" s="490" t="str">
        <f>IFERROR(__xludf.DUMMYFUNCTION("""COMPUTED_VALUE"""),"MIDEA")</f>
        <v>MIDEA</v>
      </c>
      <c r="F1934" s="490" t="str">
        <f>IFERROR(__xludf.DUMMYFUNCTION("""COMPUTED_VALUE"""),"BACNET GATEWAY")</f>
        <v>BACNET GATEWAY</v>
      </c>
      <c r="G1934" s="490"/>
      <c r="H1934" s="490"/>
      <c r="I1934" s="490"/>
      <c r="J1934" s="588"/>
      <c r="K1934" s="490"/>
      <c r="L1934" s="490"/>
      <c r="M1934" s="490"/>
      <c r="N1934" s="490"/>
      <c r="O1934" s="490"/>
      <c r="P1934" s="490" t="s">
        <v>6993</v>
      </c>
    </row>
    <row r="1935">
      <c r="A1935" s="490"/>
      <c r="B1935" s="490"/>
      <c r="C1935" s="490"/>
      <c r="D1935" s="490"/>
      <c r="E1935" s="490" t="str">
        <f>IFERROR(__xludf.DUMMYFUNCTION("""COMPUTED_VALUE"""),"MIKRO")</f>
        <v>MIKRO</v>
      </c>
      <c r="F1935" s="490" t="str">
        <f>IFERROR(__xludf.DUMMYFUNCTION("""COMPUTED_VALUE"""),"RX380")</f>
        <v>RX380</v>
      </c>
      <c r="G1935" s="490"/>
      <c r="H1935" s="490"/>
      <c r="I1935" s="490"/>
      <c r="J1935" s="588"/>
      <c r="K1935" s="490"/>
      <c r="L1935" s="490"/>
      <c r="M1935" s="490"/>
      <c r="N1935" s="490"/>
      <c r="O1935" s="490"/>
      <c r="P1935" s="490" t="s">
        <v>6995</v>
      </c>
    </row>
    <row r="1936">
      <c r="A1936" s="490"/>
      <c r="B1936" s="490"/>
      <c r="C1936" s="490"/>
      <c r="D1936" s="490"/>
      <c r="E1936" s="490" t="str">
        <f>IFERROR(__xludf.DUMMYFUNCTION("""COMPUTED_VALUE"""),"MIMO")</f>
        <v>MIMO</v>
      </c>
      <c r="F1936" s="490" t="str">
        <f>IFERROR(__xludf.DUMMYFUNCTION("""COMPUTED_VALUE"""),"NOT VERIFIED")</f>
        <v>NOT VERIFIED</v>
      </c>
      <c r="G1936" s="490"/>
      <c r="H1936" s="490"/>
      <c r="I1936" s="490"/>
      <c r="J1936" s="588"/>
      <c r="K1936" s="490"/>
      <c r="L1936" s="490"/>
      <c r="M1936" s="490"/>
      <c r="N1936" s="490"/>
      <c r="O1936" s="490"/>
      <c r="P1936" s="490" t="s">
        <v>6997</v>
      </c>
    </row>
    <row r="1937">
      <c r="A1937" s="490"/>
      <c r="B1937" s="490"/>
      <c r="C1937" s="490"/>
      <c r="D1937" s="490"/>
      <c r="E1937" s="490" t="str">
        <f>IFERROR(__xludf.DUMMYFUNCTION("""COMPUTED_VALUE"""),"MINIX")</f>
        <v>MINIX</v>
      </c>
      <c r="F1937" s="490" t="str">
        <f>IFERROR(__xludf.DUMMYFUNCTION("""COMPUTED_VALUE"""),"NEO J50C-4 MAX")</f>
        <v>NEO J50C-4 MAX</v>
      </c>
      <c r="G1937" s="490"/>
      <c r="H1937" s="490"/>
      <c r="I1937" s="490"/>
      <c r="J1937" s="588"/>
      <c r="K1937" s="490"/>
      <c r="L1937" s="490"/>
      <c r="M1937" s="490"/>
      <c r="N1937" s="490"/>
      <c r="O1937" s="490"/>
      <c r="P1937" s="490" t="s">
        <v>3295</v>
      </c>
    </row>
    <row r="1938">
      <c r="A1938" s="490"/>
      <c r="B1938" s="490"/>
      <c r="C1938" s="490"/>
      <c r="D1938" s="490"/>
      <c r="E1938" s="490" t="str">
        <f>IFERROR(__xludf.DUMMYFUNCTION("""COMPUTED_VALUE"""),"MINIX")</f>
        <v>MINIX</v>
      </c>
      <c r="F1938" s="490" t="str">
        <f>IFERROR(__xludf.DUMMYFUNCTION("""COMPUTED_VALUE"""),"NEO J50C-4 MAX")</f>
        <v>NEO J50C-4 MAX</v>
      </c>
      <c r="G1938" s="490"/>
      <c r="H1938" s="490"/>
      <c r="I1938" s="490"/>
      <c r="J1938" s="588"/>
      <c r="K1938" s="490"/>
      <c r="L1938" s="490"/>
      <c r="M1938" s="490"/>
      <c r="N1938" s="490"/>
      <c r="O1938" s="490"/>
      <c r="P1938" s="490" t="s">
        <v>6999</v>
      </c>
    </row>
    <row r="1939">
      <c r="A1939" s="490"/>
      <c r="B1939" s="490"/>
      <c r="C1939" s="490"/>
      <c r="D1939" s="490"/>
      <c r="E1939" s="490" t="str">
        <f>IFERROR(__xludf.DUMMYFUNCTION("""COMPUTED_VALUE"""),"MINUTEMAN")</f>
        <v>MINUTEMAN</v>
      </c>
      <c r="F1939" s="490" t="str">
        <f>IFERROR(__xludf.DUMMYFUNCTION("""COMPUTED_VALUE"""),"PRO1500RT")</f>
        <v>PRO1500RT</v>
      </c>
      <c r="G1939" s="490"/>
      <c r="H1939" s="490"/>
      <c r="I1939" s="490"/>
      <c r="J1939" s="588"/>
      <c r="K1939" s="490"/>
      <c r="L1939" s="490"/>
      <c r="M1939" s="490"/>
      <c r="N1939" s="490"/>
      <c r="O1939" s="490"/>
      <c r="P1939" s="490" t="s">
        <v>7001</v>
      </c>
    </row>
    <row r="1940">
      <c r="A1940" s="490"/>
      <c r="B1940" s="490"/>
      <c r="C1940" s="490"/>
      <c r="D1940" s="490"/>
      <c r="E1940" s="490" t="str">
        <f>IFERROR(__xludf.DUMMYFUNCTION("""COMPUTED_VALUE"""),"MIST")</f>
        <v>MIST</v>
      </c>
      <c r="F1940" s="490" t="str">
        <f>IFERROR(__xludf.DUMMYFUNCTION("""COMPUTED_VALUE"""),"AP41")</f>
        <v>AP41</v>
      </c>
      <c r="G1940" s="490"/>
      <c r="H1940" s="490"/>
      <c r="I1940" s="490"/>
      <c r="J1940" s="588"/>
      <c r="K1940" s="490"/>
      <c r="L1940" s="490"/>
      <c r="M1940" s="490"/>
      <c r="N1940" s="490"/>
      <c r="O1940" s="490"/>
      <c r="P1940" s="490" t="s">
        <v>7003</v>
      </c>
    </row>
    <row r="1941">
      <c r="A1941" s="490"/>
      <c r="B1941" s="490"/>
      <c r="C1941" s="490"/>
      <c r="D1941" s="490"/>
      <c r="E1941" s="490" t="str">
        <f>IFERROR(__xludf.DUMMYFUNCTION("""COMPUTED_VALUE"""),"MITSUBISHI")</f>
        <v>MITSUBISHI</v>
      </c>
      <c r="F1941" s="490" t="str">
        <f>IFERROR(__xludf.DUMMYFUNCTION("""COMPUTED_VALUE"""),"AE-200")</f>
        <v>AE-200</v>
      </c>
      <c r="G1941" s="490"/>
      <c r="H1941" s="490"/>
      <c r="I1941" s="490"/>
      <c r="J1941" s="588"/>
      <c r="K1941" s="490"/>
      <c r="L1941" s="490"/>
      <c r="M1941" s="490"/>
      <c r="N1941" s="490"/>
      <c r="O1941" s="490"/>
      <c r="P1941" s="490" t="s">
        <v>7005</v>
      </c>
    </row>
    <row r="1942">
      <c r="A1942" s="490"/>
      <c r="B1942" s="490"/>
      <c r="C1942" s="490"/>
      <c r="D1942" s="490"/>
      <c r="E1942" s="490" t="str">
        <f>IFERROR(__xludf.DUMMYFUNCTION("""COMPUTED_VALUE"""),"MITSUBISHI")</f>
        <v>MITSUBISHI</v>
      </c>
      <c r="F1942" s="490" t="str">
        <f>IFERROR(__xludf.DUMMYFUNCTION("""COMPUTED_VALUE"""),"AE-200")</f>
        <v>AE-200</v>
      </c>
      <c r="G1942" s="490"/>
      <c r="H1942" s="490"/>
      <c r="I1942" s="490"/>
      <c r="J1942" s="588"/>
      <c r="K1942" s="490"/>
      <c r="L1942" s="490"/>
      <c r="M1942" s="490"/>
      <c r="N1942" s="490"/>
      <c r="O1942" s="490"/>
      <c r="P1942" s="490" t="s">
        <v>7007</v>
      </c>
    </row>
    <row r="1943">
      <c r="A1943" s="490"/>
      <c r="B1943" s="490"/>
      <c r="C1943" s="490"/>
      <c r="D1943" s="490"/>
      <c r="E1943" s="490" t="str">
        <f>IFERROR(__xludf.DUMMYFUNCTION("""COMPUTED_VALUE"""),"MITSUBISHI")</f>
        <v>MITSUBISHI</v>
      </c>
      <c r="F1943" s="490" t="str">
        <f>IFERROR(__xludf.DUMMYFUNCTION("""COMPUTED_VALUE"""),"AE-200")</f>
        <v>AE-200</v>
      </c>
      <c r="G1943" s="490"/>
      <c r="H1943" s="490"/>
      <c r="I1943" s="490"/>
      <c r="J1943" s="588"/>
      <c r="K1943" s="490"/>
      <c r="L1943" s="490"/>
      <c r="M1943" s="490"/>
      <c r="N1943" s="490"/>
      <c r="O1943" s="490"/>
      <c r="P1943" s="490" t="s">
        <v>7009</v>
      </c>
    </row>
    <row r="1944">
      <c r="A1944" s="490"/>
      <c r="B1944" s="490"/>
      <c r="C1944" s="490"/>
      <c r="D1944" s="490"/>
      <c r="E1944" s="490" t="str">
        <f>IFERROR(__xludf.DUMMYFUNCTION("""COMPUTED_VALUE"""),"MITSUBISHI")</f>
        <v>MITSUBISHI</v>
      </c>
      <c r="F1944" s="490" t="str">
        <f>IFERROR(__xludf.DUMMYFUNCTION("""COMPUTED_VALUE"""),"AE-200")</f>
        <v>AE-200</v>
      </c>
      <c r="G1944" s="490"/>
      <c r="H1944" s="490"/>
      <c r="I1944" s="490"/>
      <c r="J1944" s="588"/>
      <c r="K1944" s="490"/>
      <c r="L1944" s="490"/>
      <c r="M1944" s="490"/>
      <c r="N1944" s="490"/>
      <c r="O1944" s="490"/>
      <c r="P1944" s="490" t="s">
        <v>7011</v>
      </c>
    </row>
    <row r="1945">
      <c r="A1945" s="490"/>
      <c r="B1945" s="490"/>
      <c r="C1945" s="490"/>
      <c r="D1945" s="490"/>
      <c r="E1945" s="490" t="str">
        <f>IFERROR(__xludf.DUMMYFUNCTION("""COMPUTED_VALUE"""),"MITSUBISHI")</f>
        <v>MITSUBISHI</v>
      </c>
      <c r="F1945" s="490" t="str">
        <f>IFERROR(__xludf.DUMMYFUNCTION("""COMPUTED_VALUE"""),"AG-150")</f>
        <v>AG-150</v>
      </c>
      <c r="G1945" s="490"/>
      <c r="H1945" s="490"/>
      <c r="I1945" s="490"/>
      <c r="J1945" s="588"/>
      <c r="K1945" s="490"/>
      <c r="L1945" s="490"/>
      <c r="M1945" s="490"/>
      <c r="N1945" s="490"/>
      <c r="O1945" s="490"/>
      <c r="P1945" s="490" t="s">
        <v>7013</v>
      </c>
    </row>
    <row r="1946">
      <c r="A1946" s="490"/>
      <c r="B1946" s="490"/>
      <c r="C1946" s="490"/>
      <c r="D1946" s="490"/>
      <c r="E1946" s="490" t="str">
        <f>IFERROR(__xludf.DUMMYFUNCTION("""COMPUTED_VALUE"""),"MITSUBISHI")</f>
        <v>MITSUBISHI</v>
      </c>
      <c r="F1946" s="490" t="str">
        <f>IFERROR(__xludf.DUMMYFUNCTION("""COMPUTED_VALUE"""),"AG-150A")</f>
        <v>AG-150A</v>
      </c>
      <c r="G1946" s="490"/>
      <c r="H1946" s="490"/>
      <c r="I1946" s="490"/>
      <c r="J1946" s="588"/>
      <c r="K1946" s="490"/>
      <c r="L1946" s="490"/>
      <c r="M1946" s="490"/>
      <c r="N1946" s="490"/>
      <c r="O1946" s="490"/>
      <c r="P1946" s="490" t="s">
        <v>7015</v>
      </c>
    </row>
    <row r="1947">
      <c r="A1947" s="490"/>
      <c r="B1947" s="490"/>
      <c r="C1947" s="490"/>
      <c r="D1947" s="490"/>
      <c r="E1947" s="490" t="str">
        <f>IFERROR(__xludf.DUMMYFUNCTION("""COMPUTED_VALUE"""),"MITSUBISHI")</f>
        <v>MITSUBISHI</v>
      </c>
      <c r="F1947" s="490" t="str">
        <f>IFERROR(__xludf.DUMMYFUNCTION("""COMPUTED_VALUE"""),"BAC-HD150")</f>
        <v>BAC-HD150</v>
      </c>
      <c r="G1947" s="490"/>
      <c r="H1947" s="490"/>
      <c r="I1947" s="490"/>
      <c r="J1947" s="588"/>
      <c r="K1947" s="490"/>
      <c r="L1947" s="490"/>
      <c r="M1947" s="490"/>
      <c r="N1947" s="490"/>
      <c r="O1947" s="490"/>
      <c r="P1947" s="490" t="s">
        <v>7017</v>
      </c>
    </row>
    <row r="1948">
      <c r="A1948" s="490"/>
      <c r="B1948" s="490"/>
      <c r="C1948" s="490"/>
      <c r="D1948" s="490"/>
      <c r="E1948" s="490" t="str">
        <f>IFERROR(__xludf.DUMMYFUNCTION("""COMPUTED_VALUE"""),"MITSUBISHI")</f>
        <v>MITSUBISHI</v>
      </c>
      <c r="F1948" s="490" t="str">
        <f>IFERROR(__xludf.DUMMYFUNCTION("""COMPUTED_VALUE"""),"MDT5525")</f>
        <v>MDT5525</v>
      </c>
      <c r="G1948" s="490"/>
      <c r="H1948" s="490"/>
      <c r="I1948" s="490"/>
      <c r="J1948" s="588"/>
      <c r="K1948" s="490"/>
      <c r="L1948" s="490"/>
      <c r="M1948" s="490"/>
      <c r="N1948" s="490"/>
      <c r="O1948" s="490"/>
      <c r="P1948" s="490" t="s">
        <v>3298</v>
      </c>
    </row>
    <row r="1949">
      <c r="A1949" s="490"/>
      <c r="B1949" s="490"/>
      <c r="C1949" s="490"/>
      <c r="D1949" s="490"/>
      <c r="E1949" s="490" t="str">
        <f>IFERROR(__xludf.DUMMYFUNCTION("""COMPUTED_VALUE"""),"MITSUBISHI")</f>
        <v>MITSUBISHI</v>
      </c>
      <c r="F1949" s="490" t="str">
        <f>IFERROR(__xludf.DUMMYFUNCTION("""COMPUTED_VALUE"""),"MSY-A24NA")</f>
        <v>MSY-A24NA</v>
      </c>
      <c r="G1949" s="490"/>
      <c r="H1949" s="490"/>
      <c r="I1949" s="490"/>
      <c r="J1949" s="588"/>
      <c r="K1949" s="490"/>
      <c r="L1949" s="490"/>
      <c r="M1949" s="490"/>
      <c r="N1949" s="490"/>
      <c r="O1949" s="490"/>
      <c r="P1949" s="490" t="s">
        <v>7019</v>
      </c>
    </row>
    <row r="1950">
      <c r="A1950" s="490"/>
      <c r="B1950" s="490"/>
      <c r="C1950" s="490"/>
      <c r="D1950" s="490"/>
      <c r="E1950" s="490" t="str">
        <f>IFERROR(__xludf.DUMMYFUNCTION("""COMPUTED_VALUE"""),"MITSUBISHI")</f>
        <v>MITSUBISHI</v>
      </c>
      <c r="F1950" s="490" t="str">
        <f>IFERROR(__xludf.DUMMYFUNCTION("""COMPUTED_VALUE"""),"PAC-A-KA4")</f>
        <v>PAC-A-KA4</v>
      </c>
      <c r="G1950" s="490"/>
      <c r="H1950" s="490"/>
      <c r="I1950" s="490"/>
      <c r="J1950" s="588"/>
      <c r="K1950" s="490"/>
      <c r="L1950" s="490"/>
      <c r="M1950" s="490"/>
      <c r="N1950" s="490"/>
      <c r="O1950" s="490"/>
      <c r="P1950" s="490" t="s">
        <v>7021</v>
      </c>
    </row>
    <row r="1951">
      <c r="A1951" s="490"/>
      <c r="B1951" s="490"/>
      <c r="C1951" s="490"/>
      <c r="D1951" s="490"/>
      <c r="E1951" s="490" t="str">
        <f>IFERROR(__xludf.DUMMYFUNCTION("""COMPUTED_VALUE"""),"MITSUBISHI")</f>
        <v>MITSUBISHI</v>
      </c>
      <c r="F1951" s="490" t="str">
        <f>IFERROR(__xludf.DUMMYFUNCTION("""COMPUTED_VALUE"""),"PAC-YG50ECA")</f>
        <v>PAC-YG50ECA</v>
      </c>
      <c r="G1951" s="490"/>
      <c r="H1951" s="490"/>
      <c r="I1951" s="490"/>
      <c r="J1951" s="588"/>
      <c r="K1951" s="490"/>
      <c r="L1951" s="490"/>
      <c r="M1951" s="490"/>
      <c r="N1951" s="490"/>
      <c r="O1951" s="490"/>
      <c r="P1951" s="490" t="s">
        <v>7023</v>
      </c>
    </row>
    <row r="1952">
      <c r="A1952" s="490"/>
      <c r="B1952" s="490"/>
      <c r="C1952" s="490"/>
      <c r="D1952" s="490"/>
      <c r="E1952" s="490" t="str">
        <f>IFERROR(__xludf.DUMMYFUNCTION("""COMPUTED_VALUE"""),"MITSUBISHI")</f>
        <v>MITSUBISHI</v>
      </c>
      <c r="F1952" s="490" t="str">
        <f>IFERROR(__xludf.DUMMYFUNCTION("""COMPUTED_VALUE"""),"PAC-YT53CRAU")</f>
        <v>PAC-YT53CRAU</v>
      </c>
      <c r="G1952" s="490"/>
      <c r="H1952" s="490"/>
      <c r="I1952" s="490"/>
      <c r="J1952" s="588"/>
      <c r="K1952" s="490"/>
      <c r="L1952" s="490"/>
      <c r="M1952" s="490"/>
      <c r="N1952" s="490"/>
      <c r="O1952" s="490"/>
      <c r="P1952" s="490" t="s">
        <v>7025</v>
      </c>
    </row>
    <row r="1953">
      <c r="A1953" s="490"/>
      <c r="B1953" s="490"/>
      <c r="C1953" s="490"/>
      <c r="D1953" s="490"/>
      <c r="E1953" s="490" t="str">
        <f>IFERROR(__xludf.DUMMYFUNCTION("""COMPUTED_VALUE"""),"MITSUBISHI")</f>
        <v>MITSUBISHI</v>
      </c>
      <c r="F1953" s="490" t="str">
        <f>IFERROR(__xludf.DUMMYFUNCTION("""COMPUTED_VALUE"""),"PFKY-P24NKMU-E")</f>
        <v>PFKY-P24NKMU-E</v>
      </c>
      <c r="G1953" s="490"/>
      <c r="H1953" s="490"/>
      <c r="I1953" s="490"/>
      <c r="J1953" s="588"/>
      <c r="K1953" s="490"/>
      <c r="L1953" s="490"/>
      <c r="M1953" s="490"/>
      <c r="N1953" s="490"/>
      <c r="O1953" s="490"/>
      <c r="P1953" s="490" t="s">
        <v>7027</v>
      </c>
    </row>
    <row r="1954">
      <c r="A1954" s="490"/>
      <c r="B1954" s="490"/>
      <c r="C1954" s="490"/>
      <c r="D1954" s="490"/>
      <c r="E1954" s="490" t="str">
        <f>IFERROR(__xludf.DUMMYFUNCTION("""COMPUTED_VALUE"""),"MITSUBISHI")</f>
        <v>MITSUBISHI</v>
      </c>
      <c r="F1954" s="490" t="str">
        <f>IFERROR(__xludf.DUMMYFUNCTION("""COMPUTED_VALUE"""),"SC-SL4-AE")</f>
        <v>SC-SL4-AE</v>
      </c>
      <c r="G1954" s="490"/>
      <c r="H1954" s="490"/>
      <c r="I1954" s="490"/>
      <c r="J1954" s="588"/>
      <c r="K1954" s="490"/>
      <c r="L1954" s="490"/>
      <c r="M1954" s="490"/>
      <c r="N1954" s="490"/>
      <c r="O1954" s="490"/>
      <c r="P1954" s="490" t="s">
        <v>7029</v>
      </c>
    </row>
    <row r="1955">
      <c r="A1955" s="490"/>
      <c r="B1955" s="490"/>
      <c r="C1955" s="490"/>
      <c r="D1955" s="490"/>
      <c r="E1955" s="490" t="str">
        <f>IFERROR(__xludf.DUMMYFUNCTION("""COMPUTED_VALUE"""),"MITSUBISHI")</f>
        <v>MITSUBISHI</v>
      </c>
      <c r="F1955" s="490" t="str">
        <f>IFERROR(__xludf.DUMMYFUNCTION("""COMPUTED_VALUE"""),"SC-WBGW256")</f>
        <v>SC-WBGW256</v>
      </c>
      <c r="G1955" s="490"/>
      <c r="H1955" s="490"/>
      <c r="I1955" s="490"/>
      <c r="J1955" s="588"/>
      <c r="K1955" s="490"/>
      <c r="L1955" s="490"/>
      <c r="M1955" s="490"/>
      <c r="N1955" s="490"/>
      <c r="O1955" s="490"/>
      <c r="P1955" s="490" t="s">
        <v>7031</v>
      </c>
    </row>
    <row r="1956">
      <c r="A1956" s="490"/>
      <c r="B1956" s="490"/>
      <c r="C1956" s="490"/>
      <c r="D1956" s="490"/>
      <c r="E1956" s="490" t="str">
        <f>IFERROR(__xludf.DUMMYFUNCTION("""COMPUTED_VALUE"""),"MITSUBISHI")</f>
        <v>MITSUBISHI</v>
      </c>
      <c r="F1956" s="490" t="str">
        <f>IFERROR(__xludf.DUMMYFUNCTION("""COMPUTED_VALUE"""),"EW-50E")</f>
        <v>EW-50E</v>
      </c>
      <c r="G1956" s="490"/>
      <c r="H1956" s="490"/>
      <c r="I1956" s="490"/>
      <c r="J1956" s="588"/>
      <c r="K1956" s="490"/>
      <c r="L1956" s="490"/>
      <c r="M1956" s="490"/>
      <c r="N1956" s="490"/>
      <c r="O1956" s="490"/>
      <c r="P1956" s="490" t="s">
        <v>7033</v>
      </c>
    </row>
    <row r="1957">
      <c r="A1957" s="490"/>
      <c r="B1957" s="490"/>
      <c r="C1957" s="490"/>
      <c r="D1957" s="490"/>
      <c r="E1957" s="490" t="str">
        <f>IFERROR(__xludf.DUMMYFUNCTION("""COMPUTED_VALUE"""),"MITSUBISHI")</f>
        <v>MITSUBISHI</v>
      </c>
      <c r="F1957" s="490" t="str">
        <f>IFERROR(__xludf.DUMMYFUNCTION("""COMPUTED_VALUE"""),"PEFY-WP20VMS1-E")</f>
        <v>PEFY-WP20VMS1-E</v>
      </c>
      <c r="G1957" s="490"/>
      <c r="H1957" s="490"/>
      <c r="I1957" s="490"/>
      <c r="J1957" s="588"/>
      <c r="K1957" s="490"/>
      <c r="L1957" s="490"/>
      <c r="M1957" s="490"/>
      <c r="N1957" s="490"/>
      <c r="O1957" s="490"/>
      <c r="P1957" s="490" t="s">
        <v>7035</v>
      </c>
    </row>
    <row r="1958">
      <c r="A1958" s="490"/>
      <c r="B1958" s="490"/>
      <c r="C1958" s="490"/>
      <c r="D1958" s="490"/>
      <c r="E1958" s="490" t="str">
        <f>IFERROR(__xludf.DUMMYFUNCTION("""COMPUTED_VALUE"""),"MITSUBISHI")</f>
        <v>MITSUBISHI</v>
      </c>
      <c r="F1958" s="490" t="str">
        <f>IFERROR(__xludf.DUMMYFUNCTION("""COMPUTED_VALUE"""),"PEFY-WP20VMA-E")</f>
        <v>PEFY-WP20VMA-E</v>
      </c>
      <c r="G1958" s="490"/>
      <c r="H1958" s="490"/>
      <c r="I1958" s="490"/>
      <c r="J1958" s="588"/>
      <c r="K1958" s="490"/>
      <c r="L1958" s="490"/>
      <c r="M1958" s="490"/>
      <c r="N1958" s="490"/>
      <c r="O1958" s="490"/>
      <c r="P1958" s="490" t="s">
        <v>7037</v>
      </c>
    </row>
    <row r="1959">
      <c r="A1959" s="490"/>
      <c r="B1959" s="490"/>
      <c r="C1959" s="490"/>
      <c r="D1959" s="490"/>
      <c r="E1959" s="490" t="str">
        <f>IFERROR(__xludf.DUMMYFUNCTION("""COMPUTED_VALUE"""),"MITSUBISHI")</f>
        <v>MITSUBISHI</v>
      </c>
      <c r="F1959" s="490" t="str">
        <f>IFERROR(__xludf.DUMMYFUNCTION("""COMPUTED_VALUE"""),"PEFY-WP15VMS1-E")</f>
        <v>PEFY-WP15VMS1-E</v>
      </c>
      <c r="G1959" s="490"/>
      <c r="H1959" s="490"/>
      <c r="I1959" s="490"/>
      <c r="J1959" s="588"/>
      <c r="K1959" s="490"/>
      <c r="L1959" s="490"/>
      <c r="M1959" s="490"/>
      <c r="N1959" s="490"/>
      <c r="O1959" s="490"/>
      <c r="P1959" s="490" t="s">
        <v>3301</v>
      </c>
    </row>
    <row r="1960">
      <c r="A1960" s="490"/>
      <c r="B1960" s="490"/>
      <c r="C1960" s="490"/>
      <c r="D1960" s="490"/>
      <c r="E1960" s="490" t="str">
        <f>IFERROR(__xludf.DUMMYFUNCTION("""COMPUTED_VALUE"""),"MITSUBISHI")</f>
        <v>MITSUBISHI</v>
      </c>
      <c r="F1960" s="490" t="str">
        <f>IFERROR(__xludf.DUMMYFUNCTION("""COMPUTED_VALUE"""),"PEFY-WP25VMS1-E")</f>
        <v>PEFY-WP25VMS1-E</v>
      </c>
      <c r="G1960" s="490"/>
      <c r="H1960" s="490"/>
      <c r="I1960" s="490"/>
      <c r="J1960" s="588"/>
      <c r="K1960" s="490"/>
      <c r="L1960" s="490"/>
      <c r="M1960" s="490"/>
      <c r="N1960" s="490"/>
      <c r="O1960" s="490"/>
      <c r="P1960" s="490" t="s">
        <v>7039</v>
      </c>
    </row>
    <row r="1961">
      <c r="A1961" s="490"/>
      <c r="B1961" s="490"/>
      <c r="C1961" s="490"/>
      <c r="D1961" s="490"/>
      <c r="E1961" s="490" t="str">
        <f>IFERROR(__xludf.DUMMYFUNCTION("""COMPUTED_VALUE"""),"MITSUBISHI")</f>
        <v>MITSUBISHI</v>
      </c>
      <c r="F1961" s="490" t="str">
        <f>IFERROR(__xludf.DUMMYFUNCTION("""COMPUTED_VALUE"""),"PEFY-WP10VMS1-E")</f>
        <v>PEFY-WP10VMS1-E</v>
      </c>
      <c r="G1961" s="490"/>
      <c r="H1961" s="490"/>
      <c r="I1961" s="490"/>
      <c r="J1961" s="588"/>
      <c r="K1961" s="490"/>
      <c r="L1961" s="490"/>
      <c r="M1961" s="490"/>
      <c r="N1961" s="490"/>
      <c r="O1961" s="490"/>
      <c r="P1961" s="490" t="s">
        <v>7041</v>
      </c>
    </row>
    <row r="1962">
      <c r="A1962" s="490"/>
      <c r="B1962" s="490"/>
      <c r="C1962" s="490"/>
      <c r="D1962" s="490"/>
      <c r="E1962" s="490" t="str">
        <f>IFERROR(__xludf.DUMMYFUNCTION("""COMPUTED_VALUE"""),"MITSUBISHI")</f>
        <v>MITSUBISHI</v>
      </c>
      <c r="F1962" s="490" t="str">
        <f>IFERROR(__xludf.DUMMYFUNCTION("""COMPUTED_VALUE"""),"PEFY-WP50VMS1-E")</f>
        <v>PEFY-WP50VMS1-E</v>
      </c>
      <c r="G1962" s="490"/>
      <c r="H1962" s="490"/>
      <c r="I1962" s="490"/>
      <c r="J1962" s="588"/>
      <c r="K1962" s="490"/>
      <c r="L1962" s="490"/>
      <c r="M1962" s="490"/>
      <c r="N1962" s="490"/>
      <c r="O1962" s="490"/>
      <c r="P1962" s="490" t="s">
        <v>7043</v>
      </c>
    </row>
    <row r="1963">
      <c r="A1963" s="490"/>
      <c r="B1963" s="490"/>
      <c r="C1963" s="490"/>
      <c r="D1963" s="490"/>
      <c r="E1963" s="490" t="str">
        <f>IFERROR(__xludf.DUMMYFUNCTION("""COMPUTED_VALUE"""),"MITSUBISHI")</f>
        <v>MITSUBISHI</v>
      </c>
      <c r="F1963" s="490" t="str">
        <f>IFERROR(__xludf.DUMMYFUNCTION("""COMPUTED_VALUE"""),"PEFY-WP25VMA-E")</f>
        <v>PEFY-WP25VMA-E</v>
      </c>
      <c r="G1963" s="490"/>
      <c r="H1963" s="490"/>
      <c r="I1963" s="490"/>
      <c r="J1963" s="588"/>
      <c r="K1963" s="490"/>
      <c r="L1963" s="490"/>
      <c r="M1963" s="490"/>
      <c r="N1963" s="490"/>
      <c r="O1963" s="490"/>
      <c r="P1963" s="490" t="s">
        <v>7045</v>
      </c>
    </row>
    <row r="1964">
      <c r="A1964" s="490"/>
      <c r="B1964" s="490"/>
      <c r="C1964" s="490"/>
      <c r="D1964" s="490"/>
      <c r="E1964" s="490" t="str">
        <f>IFERROR(__xludf.DUMMYFUNCTION("""COMPUTED_VALUE"""),"MITSUBISHI")</f>
        <v>MITSUBISHI</v>
      </c>
      <c r="F1964" s="490" t="str">
        <f>IFERROR(__xludf.DUMMYFUNCTION("""COMPUTED_VALUE"""),"PEFY-WP32VMA-E")</f>
        <v>PEFY-WP32VMA-E</v>
      </c>
      <c r="G1964" s="490"/>
      <c r="H1964" s="490"/>
      <c r="I1964" s="490"/>
      <c r="J1964" s="588"/>
      <c r="K1964" s="490"/>
      <c r="L1964" s="490"/>
      <c r="M1964" s="490"/>
      <c r="N1964" s="490"/>
      <c r="O1964" s="490"/>
      <c r="P1964" s="490" t="s">
        <v>7047</v>
      </c>
    </row>
    <row r="1965">
      <c r="A1965" s="490"/>
      <c r="B1965" s="490"/>
      <c r="C1965" s="490"/>
      <c r="D1965" s="490"/>
      <c r="E1965" s="490" t="str">
        <f>IFERROR(__xludf.DUMMYFUNCTION("""COMPUTED_VALUE"""),"MITSUBISHI")</f>
        <v>MITSUBISHI</v>
      </c>
      <c r="F1965" s="490" t="str">
        <f>IFERROR(__xludf.DUMMYFUNCTION("""COMPUTED_VALUE"""),"PEFY-WP40VMS1-E")</f>
        <v>PEFY-WP40VMS1-E</v>
      </c>
      <c r="G1965" s="490"/>
      <c r="H1965" s="490"/>
      <c r="I1965" s="490"/>
      <c r="J1965" s="588"/>
      <c r="K1965" s="490"/>
      <c r="L1965" s="490"/>
      <c r="M1965" s="490"/>
      <c r="N1965" s="490"/>
      <c r="O1965" s="490"/>
      <c r="P1965" s="490" t="s">
        <v>7049</v>
      </c>
    </row>
    <row r="1966">
      <c r="A1966" s="490"/>
      <c r="B1966" s="490"/>
      <c r="C1966" s="490"/>
      <c r="D1966" s="490"/>
      <c r="E1966" s="490" t="str">
        <f>IFERROR(__xludf.DUMMYFUNCTION("""COMPUTED_VALUE"""),"MITSUBISHI")</f>
        <v>MITSUBISHI</v>
      </c>
      <c r="F1966" s="490" t="str">
        <f>IFERROR(__xludf.DUMMYFUNCTION("""COMPUTED_VALUE"""),"PEFY-WP40VMA-E")</f>
        <v>PEFY-WP40VMA-E</v>
      </c>
      <c r="G1966" s="490"/>
      <c r="H1966" s="490"/>
      <c r="I1966" s="490"/>
      <c r="J1966" s="588"/>
      <c r="K1966" s="490"/>
      <c r="L1966" s="490"/>
      <c r="M1966" s="490"/>
      <c r="N1966" s="490"/>
      <c r="O1966" s="490"/>
      <c r="P1966" s="490" t="s">
        <v>7051</v>
      </c>
    </row>
    <row r="1967">
      <c r="A1967" s="490"/>
      <c r="B1967" s="490"/>
      <c r="C1967" s="490"/>
      <c r="D1967" s="490"/>
      <c r="E1967" s="490" t="str">
        <f>IFERROR(__xludf.DUMMYFUNCTION("""COMPUTED_VALUE"""),"MITSUBISHI")</f>
        <v>MITSUBISHI</v>
      </c>
      <c r="F1967" s="490" t="str">
        <f>IFERROR(__xludf.DUMMYFUNCTION("""COMPUTED_VALUE"""),"PEFY-WP32VMS1-E")</f>
        <v>PEFY-WP32VMS1-E</v>
      </c>
      <c r="G1967" s="490"/>
      <c r="H1967" s="490"/>
      <c r="I1967" s="490"/>
      <c r="J1967" s="588"/>
      <c r="K1967" s="490"/>
      <c r="L1967" s="490"/>
      <c r="M1967" s="490"/>
      <c r="N1967" s="490"/>
      <c r="O1967" s="490"/>
      <c r="P1967" s="490" t="s">
        <v>7053</v>
      </c>
    </row>
    <row r="1968">
      <c r="A1968" s="490"/>
      <c r="B1968" s="490"/>
      <c r="C1968" s="490"/>
      <c r="D1968" s="490"/>
      <c r="E1968" s="490" t="str">
        <f>IFERROR(__xludf.DUMMYFUNCTION("""COMPUTED_VALUE"""),"MITSUBISHI")</f>
        <v>MITSUBISHI</v>
      </c>
      <c r="F1968" s="490" t="str">
        <f>IFERROR(__xludf.DUMMYFUNCTION("""COMPUTED_VALUE"""),"PEFY-WP50VMA-E")</f>
        <v>PEFY-WP50VMA-E</v>
      </c>
      <c r="G1968" s="490"/>
      <c r="H1968" s="490"/>
      <c r="I1968" s="490"/>
      <c r="J1968" s="588"/>
      <c r="K1968" s="490"/>
      <c r="L1968" s="490"/>
      <c r="M1968" s="490"/>
      <c r="N1968" s="490"/>
      <c r="O1968" s="490"/>
      <c r="P1968" s="490" t="s">
        <v>7055</v>
      </c>
    </row>
    <row r="1969">
      <c r="A1969" s="490"/>
      <c r="B1969" s="490"/>
      <c r="C1969" s="490"/>
      <c r="D1969" s="490"/>
      <c r="E1969" s="490" t="str">
        <f>IFERROR(__xludf.DUMMYFUNCTION("""COMPUTED_VALUE"""),"MITSUBISHI")</f>
        <v>MITSUBISHI</v>
      </c>
      <c r="F1969" s="490" t="str">
        <f>IFERROR(__xludf.DUMMYFUNCTION("""COMPUTED_VALUE"""),"PUZ-ZM60VHA2")</f>
        <v>PUZ-ZM60VHA2</v>
      </c>
      <c r="G1969" s="490"/>
      <c r="H1969" s="490"/>
      <c r="I1969" s="490"/>
      <c r="J1969" s="588"/>
      <c r="K1969" s="490"/>
      <c r="L1969" s="490"/>
      <c r="M1969" s="490"/>
      <c r="N1969" s="490"/>
      <c r="O1969" s="490"/>
      <c r="P1969" s="490" t="s">
        <v>7057</v>
      </c>
    </row>
    <row r="1970">
      <c r="A1970" s="490"/>
      <c r="B1970" s="490"/>
      <c r="C1970" s="490"/>
      <c r="D1970" s="490"/>
      <c r="E1970" s="490" t="str">
        <f>IFERROR(__xludf.DUMMYFUNCTION("""COMPUTED_VALUE"""),"MITSUBISHI")</f>
        <v>MITSUBISHI</v>
      </c>
      <c r="F1970" s="490" t="str">
        <f>IFERROR(__xludf.DUMMYFUNCTION("""COMPUTED_VALUE"""),"PEFY-WP63VMA-E")</f>
        <v>PEFY-WP63VMA-E</v>
      </c>
      <c r="G1970" s="490"/>
      <c r="H1970" s="490"/>
      <c r="I1970" s="490"/>
      <c r="J1970" s="588"/>
      <c r="K1970" s="490"/>
      <c r="L1970" s="490"/>
      <c r="M1970" s="490"/>
      <c r="N1970" s="490"/>
      <c r="O1970" s="490"/>
      <c r="P1970" s="490" t="s">
        <v>2908</v>
      </c>
    </row>
    <row r="1971">
      <c r="A1971" s="490"/>
      <c r="B1971" s="490"/>
      <c r="C1971" s="490"/>
      <c r="D1971" s="490"/>
      <c r="E1971" s="490" t="str">
        <f>IFERROR(__xludf.DUMMYFUNCTION("""COMPUTED_VALUE"""),"MITSUBISHI")</f>
        <v>MITSUBISHI</v>
      </c>
      <c r="F1971" s="490" t="str">
        <f>IFERROR(__xludf.DUMMYFUNCTION("""COMPUTED_VALUE"""),"PEFY-WP80VMA-E")</f>
        <v>PEFY-WP80VMA-E</v>
      </c>
      <c r="G1971" s="490"/>
      <c r="H1971" s="490"/>
      <c r="I1971" s="490"/>
      <c r="J1971" s="588"/>
      <c r="K1971" s="490"/>
      <c r="L1971" s="490"/>
      <c r="M1971" s="490"/>
      <c r="N1971" s="490"/>
      <c r="O1971" s="490"/>
      <c r="P1971" s="490" t="s">
        <v>3304</v>
      </c>
    </row>
    <row r="1972">
      <c r="A1972" s="490"/>
      <c r="B1972" s="490"/>
      <c r="C1972" s="490"/>
      <c r="D1972" s="490"/>
      <c r="E1972" s="490" t="str">
        <f>IFERROR(__xludf.DUMMYFUNCTION("""COMPUTED_VALUE"""),"MITSUBISHI")</f>
        <v>MITSUBISHI</v>
      </c>
      <c r="F1972" s="490" t="str">
        <f>IFERROR(__xludf.DUMMYFUNCTION("""COMPUTED_VALUE"""),"PUZ-ZM100VKA2")</f>
        <v>PUZ-ZM100VKA2</v>
      </c>
      <c r="G1972" s="490"/>
      <c r="H1972" s="490"/>
      <c r="I1972" s="490"/>
      <c r="J1972" s="588"/>
      <c r="K1972" s="490"/>
      <c r="L1972" s="490"/>
      <c r="M1972" s="490"/>
      <c r="N1972" s="490"/>
      <c r="O1972" s="490"/>
      <c r="P1972" s="490" t="s">
        <v>7059</v>
      </c>
    </row>
    <row r="1973">
      <c r="A1973" s="490"/>
      <c r="B1973" s="490"/>
      <c r="C1973" s="490"/>
      <c r="D1973" s="490"/>
      <c r="E1973" s="490" t="str">
        <f>IFERROR(__xludf.DUMMYFUNCTION("""COMPUTED_VALUE"""),"MITSUBISHI")</f>
        <v>MITSUBISHI</v>
      </c>
      <c r="F1973" s="490" t="str">
        <f>IFERROR(__xludf.DUMMYFUNCTION("""COMPUTED_VALUE"""),"PMFY SERIES")</f>
        <v>PMFY SERIES</v>
      </c>
      <c r="G1973" s="490"/>
      <c r="H1973" s="490"/>
      <c r="I1973" s="490"/>
      <c r="J1973" s="588"/>
      <c r="K1973" s="490"/>
      <c r="L1973" s="490"/>
      <c r="M1973" s="490"/>
      <c r="N1973" s="490"/>
      <c r="O1973" s="490"/>
      <c r="P1973" s="490" t="s">
        <v>7061</v>
      </c>
    </row>
    <row r="1974">
      <c r="A1974" s="490"/>
      <c r="B1974" s="490"/>
      <c r="C1974" s="490"/>
      <c r="D1974" s="490"/>
      <c r="E1974" s="490" t="str">
        <f>IFERROR(__xludf.DUMMYFUNCTION("""COMPUTED_VALUE"""),"MITSUBISHI")</f>
        <v>MITSUBISHI</v>
      </c>
      <c r="F1974" s="490" t="str">
        <f>IFERROR(__xludf.DUMMYFUNCTION("""COMPUTED_VALUE"""),"PLFY SERIES")</f>
        <v>PLFY SERIES</v>
      </c>
      <c r="G1974" s="490"/>
      <c r="H1974" s="490"/>
      <c r="I1974" s="490"/>
      <c r="J1974" s="588"/>
      <c r="K1974" s="490"/>
      <c r="L1974" s="490"/>
      <c r="M1974" s="490"/>
      <c r="N1974" s="490"/>
      <c r="O1974" s="490"/>
      <c r="P1974" s="490" t="s">
        <v>7063</v>
      </c>
    </row>
    <row r="1975">
      <c r="A1975" s="490"/>
      <c r="B1975" s="490"/>
      <c r="C1975" s="490"/>
      <c r="D1975" s="490"/>
      <c r="E1975" s="490" t="str">
        <f>IFERROR(__xludf.DUMMYFUNCTION("""COMPUTED_VALUE"""),"MITSUBISHI")</f>
        <v>MITSUBISHI</v>
      </c>
      <c r="F1975" s="490" t="str">
        <f>IFERROR(__xludf.DUMMYFUNCTION("""COMPUTED_VALUE"""),"LONWORKS INTERFACE")</f>
        <v>LONWORKS INTERFACE</v>
      </c>
      <c r="G1975" s="490"/>
      <c r="H1975" s="490"/>
      <c r="I1975" s="490"/>
      <c r="J1975" s="588"/>
      <c r="K1975" s="490"/>
      <c r="L1975" s="490"/>
      <c r="M1975" s="490"/>
      <c r="N1975" s="490"/>
      <c r="O1975" s="490"/>
      <c r="P1975" s="490" t="s">
        <v>7065</v>
      </c>
    </row>
    <row r="1976">
      <c r="A1976" s="490"/>
      <c r="B1976" s="490"/>
      <c r="C1976" s="490"/>
      <c r="D1976" s="490"/>
      <c r="E1976" s="490" t="str">
        <f>IFERROR(__xludf.DUMMYFUNCTION("""COMPUTED_VALUE"""),"MITSUBISHI")</f>
        <v>MITSUBISHI</v>
      </c>
      <c r="F1976" s="490" t="str">
        <f>IFERROR(__xludf.DUMMYFUNCTION("""COMPUTED_VALUE"""),"PEFY SERIES")</f>
        <v>PEFY SERIES</v>
      </c>
      <c r="G1976" s="490"/>
      <c r="H1976" s="490"/>
      <c r="I1976" s="490"/>
      <c r="J1976" s="588"/>
      <c r="K1976" s="490"/>
      <c r="L1976" s="490"/>
      <c r="M1976" s="490"/>
      <c r="N1976" s="490"/>
      <c r="O1976" s="490"/>
      <c r="P1976" s="490" t="s">
        <v>7067</v>
      </c>
    </row>
    <row r="1977">
      <c r="A1977" s="490"/>
      <c r="B1977" s="490"/>
      <c r="C1977" s="490"/>
      <c r="D1977" s="490"/>
      <c r="E1977" s="490" t="str">
        <f>IFERROR(__xludf.DUMMYFUNCTION("""COMPUTED_VALUE"""),"MITSUBISHI")</f>
        <v>MITSUBISHI</v>
      </c>
      <c r="F1977" s="490" t="str">
        <f>IFERROR(__xludf.DUMMYFUNCTION("""COMPUTED_VALUE"""),"PEAD-M")</f>
        <v>PEAD-M</v>
      </c>
      <c r="G1977" s="490"/>
      <c r="H1977" s="490"/>
      <c r="I1977" s="490"/>
      <c r="J1977" s="588"/>
      <c r="K1977" s="490"/>
      <c r="L1977" s="490"/>
      <c r="M1977" s="490"/>
      <c r="N1977" s="490"/>
      <c r="O1977" s="490"/>
      <c r="P1977" s="490" t="s">
        <v>7069</v>
      </c>
    </row>
    <row r="1978">
      <c r="A1978" s="490"/>
      <c r="B1978" s="490"/>
      <c r="C1978" s="490"/>
      <c r="D1978" s="490"/>
      <c r="E1978" s="490" t="str">
        <f>IFERROR(__xludf.DUMMYFUNCTION("""COMPUTED_VALUE"""),"MITSUBISHI")</f>
        <v>MITSUBISHI</v>
      </c>
      <c r="F1978" s="490" t="str">
        <f>IFERROR(__xludf.DUMMYFUNCTION("""COMPUTED_VALUE"""),"PKA-M")</f>
        <v>PKA-M</v>
      </c>
      <c r="G1978" s="490"/>
      <c r="H1978" s="490"/>
      <c r="I1978" s="490"/>
      <c r="J1978" s="588"/>
      <c r="K1978" s="490"/>
      <c r="L1978" s="490"/>
      <c r="M1978" s="490"/>
      <c r="N1978" s="490"/>
      <c r="O1978" s="490"/>
      <c r="P1978" s="490" t="s">
        <v>7071</v>
      </c>
    </row>
    <row r="1979">
      <c r="A1979" s="490"/>
      <c r="B1979" s="490"/>
      <c r="C1979" s="490"/>
      <c r="D1979" s="490"/>
      <c r="E1979" s="490" t="str">
        <f>IFERROR(__xludf.DUMMYFUNCTION("""COMPUTED_VALUE"""),"MITSUBISHI")</f>
        <v>MITSUBISHI</v>
      </c>
      <c r="F1979" s="490" t="str">
        <f>IFERROR(__xludf.DUMMYFUNCTION("""COMPUTED_VALUE"""),"4-WAY BLOW CASSETTE")</f>
        <v>4-WAY BLOW CASSETTE</v>
      </c>
      <c r="G1979" s="490"/>
      <c r="H1979" s="490"/>
      <c r="I1979" s="490"/>
      <c r="J1979" s="588"/>
      <c r="K1979" s="490"/>
      <c r="L1979" s="490"/>
      <c r="M1979" s="490"/>
      <c r="N1979" s="490"/>
      <c r="O1979" s="490"/>
      <c r="P1979" s="490" t="s">
        <v>7073</v>
      </c>
    </row>
    <row r="1980">
      <c r="A1980" s="490"/>
      <c r="B1980" s="490"/>
      <c r="C1980" s="490"/>
      <c r="D1980" s="490"/>
      <c r="E1980" s="490" t="str">
        <f>IFERROR(__xludf.DUMMYFUNCTION("""COMPUTED_VALUE"""),"MITSUBISHI")</f>
        <v>MITSUBISHI</v>
      </c>
      <c r="F1980" s="490" t="str">
        <f>IFERROR(__xludf.DUMMYFUNCTION("""COMPUTED_VALUE"""),"MELCOBEMS MINI A1M")</f>
        <v>MELCOBEMS MINI A1M</v>
      </c>
      <c r="G1980" s="490"/>
      <c r="H1980" s="490"/>
      <c r="I1980" s="490"/>
      <c r="J1980" s="588"/>
      <c r="K1980" s="490"/>
      <c r="L1980" s="490"/>
      <c r="M1980" s="490"/>
      <c r="N1980" s="490"/>
      <c r="O1980" s="490"/>
      <c r="P1980" s="490" t="s">
        <v>7075</v>
      </c>
    </row>
    <row r="1981">
      <c r="A1981" s="490"/>
      <c r="B1981" s="490"/>
      <c r="C1981" s="490"/>
      <c r="D1981" s="490"/>
      <c r="E1981" s="490" t="str">
        <f>IFERROR(__xludf.DUMMYFUNCTION("""COMPUTED_VALUE"""),"MITSUBISHI")</f>
        <v>MITSUBISHI</v>
      </c>
      <c r="F1981" s="490" t="str">
        <f>IFERROR(__xludf.DUMMYFUNCTION("""COMPUTED_VALUE"""),"EW-50J")</f>
        <v>EW-50J</v>
      </c>
      <c r="G1981" s="490"/>
      <c r="H1981" s="490"/>
      <c r="I1981" s="490"/>
      <c r="J1981" s="588"/>
      <c r="K1981" s="490"/>
      <c r="L1981" s="490"/>
      <c r="M1981" s="490"/>
      <c r="N1981" s="490"/>
      <c r="O1981" s="490"/>
      <c r="P1981" s="490" t="s">
        <v>7077</v>
      </c>
    </row>
    <row r="1982">
      <c r="A1982" s="490"/>
      <c r="B1982" s="490"/>
      <c r="C1982" s="490"/>
      <c r="D1982" s="490"/>
      <c r="E1982" s="490" t="str">
        <f>IFERROR(__xludf.DUMMYFUNCTION("""COMPUTED_VALUE"""),"MITSUBISHI")</f>
        <v>MITSUBISHI</v>
      </c>
      <c r="F1982" s="490" t="str">
        <f>IFERROR(__xludf.DUMMYFUNCTION("""COMPUTED_VALUE"""),"QAHV-N560YA-HPB")</f>
        <v>QAHV-N560YA-HPB</v>
      </c>
      <c r="G1982" s="490"/>
      <c r="H1982" s="490"/>
      <c r="I1982" s="490"/>
      <c r="J1982" s="588"/>
      <c r="K1982" s="490"/>
      <c r="L1982" s="490"/>
      <c r="M1982" s="490"/>
      <c r="N1982" s="490"/>
      <c r="O1982" s="490"/>
      <c r="P1982" s="490" t="s">
        <v>3307</v>
      </c>
    </row>
    <row r="1983">
      <c r="A1983" s="490"/>
      <c r="B1983" s="490"/>
      <c r="C1983" s="490"/>
      <c r="D1983" s="490"/>
      <c r="E1983" s="490" t="str">
        <f>IFERROR(__xludf.DUMMYFUNCTION("""COMPUTED_VALUE"""),"MITSUBISHI")</f>
        <v>MITSUBISHI</v>
      </c>
      <c r="F1983" s="490" t="str">
        <f>IFERROR(__xludf.DUMMYFUNCTION("""COMPUTED_VALUE"""),"W3000X+")</f>
        <v>W3000X+</v>
      </c>
      <c r="G1983" s="490"/>
      <c r="H1983" s="490"/>
      <c r="I1983" s="490"/>
      <c r="J1983" s="588"/>
      <c r="K1983" s="490"/>
      <c r="L1983" s="490"/>
      <c r="M1983" s="490"/>
      <c r="N1983" s="490"/>
      <c r="O1983" s="490"/>
      <c r="P1983" s="490" t="s">
        <v>7079</v>
      </c>
    </row>
    <row r="1984">
      <c r="A1984" s="490"/>
      <c r="B1984" s="490"/>
      <c r="C1984" s="490"/>
      <c r="D1984" s="490"/>
      <c r="E1984" s="490" t="str">
        <f>IFERROR(__xludf.DUMMYFUNCTION("""COMPUTED_VALUE"""),"MITSUBISHI")</f>
        <v>MITSUBISHI</v>
      </c>
      <c r="F1984" s="490" t="str">
        <f>IFERROR(__xludf.DUMMYFUNCTION("""COMPUTED_VALUE"""),"EW-50A")</f>
        <v>EW-50A</v>
      </c>
      <c r="G1984" s="490"/>
      <c r="H1984" s="490"/>
      <c r="I1984" s="490"/>
      <c r="J1984" s="588"/>
      <c r="K1984" s="490"/>
      <c r="L1984" s="490"/>
      <c r="M1984" s="490"/>
      <c r="N1984" s="490"/>
      <c r="O1984" s="490"/>
      <c r="P1984" s="490" t="s">
        <v>7081</v>
      </c>
    </row>
    <row r="1985">
      <c r="A1985" s="490"/>
      <c r="B1985" s="490"/>
      <c r="C1985" s="490"/>
      <c r="D1985" s="490"/>
      <c r="E1985" s="490" t="str">
        <f>IFERROR(__xludf.DUMMYFUNCTION("""COMPUTED_VALUE"""),"MITSUBISHI")</f>
        <v>MITSUBISHI</v>
      </c>
      <c r="F1985" s="490" t="str">
        <f>IFERROR(__xludf.DUMMYFUNCTION("""COMPUTED_VALUE"""),"TW-50A")</f>
        <v>TW-50A</v>
      </c>
      <c r="G1985" s="490"/>
      <c r="H1985" s="490"/>
      <c r="I1985" s="490"/>
      <c r="J1985" s="588"/>
      <c r="K1985" s="490"/>
      <c r="L1985" s="490"/>
      <c r="M1985" s="490"/>
      <c r="N1985" s="490"/>
      <c r="O1985" s="490"/>
      <c r="P1985" s="490" t="s">
        <v>7083</v>
      </c>
    </row>
    <row r="1986">
      <c r="A1986" s="490"/>
      <c r="B1986" s="490"/>
      <c r="C1986" s="490"/>
      <c r="D1986" s="490"/>
      <c r="E1986" s="490" t="str">
        <f>IFERROR(__xludf.DUMMYFUNCTION("""COMPUTED_VALUE"""),"MITSUBISHI")</f>
        <v>MITSUBISHI</v>
      </c>
      <c r="F1986" s="490" t="str">
        <f>IFERROR(__xludf.DUMMYFUNCTION("""COMPUTED_VALUE"""),"9800A SERIES UPS")</f>
        <v>9800A SERIES UPS</v>
      </c>
      <c r="G1986" s="490"/>
      <c r="H1986" s="490"/>
      <c r="I1986" s="490"/>
      <c r="J1986" s="588"/>
      <c r="K1986" s="490"/>
      <c r="L1986" s="490"/>
      <c r="M1986" s="490"/>
      <c r="N1986" s="490"/>
      <c r="O1986" s="490"/>
      <c r="P1986" s="490" t="s">
        <v>7085</v>
      </c>
    </row>
    <row r="1987">
      <c r="A1987" s="490"/>
      <c r="B1987" s="490"/>
      <c r="C1987" s="490"/>
      <c r="D1987" s="490"/>
      <c r="E1987" s="490" t="str">
        <f>IFERROR(__xludf.DUMMYFUNCTION("""COMPUTED_VALUE"""),"MITSUBISHI ELECTRIC")</f>
        <v>MITSUBISHI ELECTRIC</v>
      </c>
      <c r="F1987" s="490" t="str">
        <f>IFERROR(__xludf.DUMMYFUNCTION("""COMPUTED_VALUE"""),"1100A")</f>
        <v>1100A</v>
      </c>
      <c r="G1987" s="490"/>
      <c r="H1987" s="490"/>
      <c r="I1987" s="490"/>
      <c r="J1987" s="588"/>
      <c r="K1987" s="490"/>
      <c r="L1987" s="490"/>
      <c r="M1987" s="490"/>
      <c r="N1987" s="490"/>
      <c r="O1987" s="490"/>
      <c r="P1987" s="490" t="s">
        <v>7087</v>
      </c>
    </row>
    <row r="1988">
      <c r="A1988" s="490"/>
      <c r="B1988" s="490"/>
      <c r="C1988" s="490"/>
      <c r="D1988" s="490"/>
      <c r="E1988" s="490" t="str">
        <f>IFERROR(__xludf.DUMMYFUNCTION("""COMPUTED_VALUE"""),"MITSUBUSHI")</f>
        <v>MITSUBUSHI</v>
      </c>
      <c r="F1988" s="490" t="str">
        <f>IFERROR(__xludf.DUMMYFUNCTION("""COMPUTED_VALUE"""),"PEAD-M")</f>
        <v>PEAD-M</v>
      </c>
      <c r="G1988" s="490"/>
      <c r="H1988" s="490"/>
      <c r="I1988" s="490"/>
      <c r="J1988" s="588"/>
      <c r="K1988" s="490"/>
      <c r="L1988" s="490"/>
      <c r="M1988" s="490"/>
      <c r="N1988" s="490"/>
      <c r="O1988" s="490"/>
      <c r="P1988" s="490" t="s">
        <v>7089</v>
      </c>
    </row>
    <row r="1989">
      <c r="A1989" s="490"/>
      <c r="B1989" s="490"/>
      <c r="C1989" s="490"/>
      <c r="D1989" s="490"/>
      <c r="E1989" s="490" t="str">
        <f>IFERROR(__xludf.DUMMYFUNCTION("""COMPUTED_VALUE"""),"MIWA")</f>
        <v>MIWA</v>
      </c>
      <c r="F1989" s="490" t="str">
        <f>IFERROR(__xludf.DUMMYFUNCTION("""COMPUTED_VALUE"""),"BMS MODULE")</f>
        <v>BMS MODULE</v>
      </c>
      <c r="G1989" s="490"/>
      <c r="H1989" s="490"/>
      <c r="I1989" s="490"/>
      <c r="J1989" s="588"/>
      <c r="K1989" s="490"/>
      <c r="L1989" s="490"/>
      <c r="M1989" s="490"/>
      <c r="N1989" s="490"/>
      <c r="O1989" s="490"/>
      <c r="P1989" s="490" t="s">
        <v>7091</v>
      </c>
    </row>
    <row r="1990">
      <c r="A1990" s="490"/>
      <c r="B1990" s="490"/>
      <c r="C1990" s="490"/>
      <c r="D1990" s="490"/>
      <c r="E1990" s="490" t="str">
        <f>IFERROR(__xludf.DUMMYFUNCTION("""COMPUTED_VALUE"""),"MKN")</f>
        <v>MKN</v>
      </c>
      <c r="F1990" s="490" t="str">
        <f>IFERROR(__xludf.DUMMYFUNCTION("""COMPUTED_VALUE"""),"FLEXICOMBI MAGIC")</f>
        <v>FLEXICOMBI MAGIC</v>
      </c>
      <c r="G1990" s="490"/>
      <c r="H1990" s="490"/>
      <c r="I1990" s="490"/>
      <c r="J1990" s="588"/>
      <c r="K1990" s="490"/>
      <c r="L1990" s="490"/>
      <c r="M1990" s="490"/>
      <c r="N1990" s="490"/>
      <c r="O1990" s="490"/>
      <c r="P1990" s="490" t="s">
        <v>7093</v>
      </c>
    </row>
    <row r="1991">
      <c r="A1991" s="490"/>
      <c r="B1991" s="490"/>
      <c r="C1991" s="490"/>
      <c r="D1991" s="490"/>
      <c r="E1991" s="490" t="str">
        <f>IFERROR(__xludf.DUMMYFUNCTION("""COMPUTED_VALUE"""),"MKN")</f>
        <v>MKN</v>
      </c>
      <c r="F1991" s="490" t="str">
        <f>IFERROR(__xludf.DUMMYFUNCTION("""COMPUTED_VALUE"""),"FLEXICOMBI STAPELKIT")</f>
        <v>FLEXICOMBI STAPELKIT</v>
      </c>
      <c r="G1991" s="490"/>
      <c r="H1991" s="490"/>
      <c r="I1991" s="490"/>
      <c r="J1991" s="588"/>
      <c r="K1991" s="490"/>
      <c r="L1991" s="490"/>
      <c r="M1991" s="490"/>
      <c r="N1991" s="490"/>
      <c r="O1991" s="490"/>
      <c r="P1991" s="490" t="s">
        <v>7095</v>
      </c>
    </row>
    <row r="1992">
      <c r="A1992" s="490"/>
      <c r="B1992" s="490"/>
      <c r="C1992" s="490"/>
      <c r="D1992" s="490"/>
      <c r="E1992" s="490" t="str">
        <f>IFERROR(__xludf.DUMMYFUNCTION("""COMPUTED_VALUE"""),"MKN")</f>
        <v>MKN</v>
      </c>
      <c r="F1992" s="490" t="str">
        <f>IFERROR(__xludf.DUMMYFUNCTION("""COMPUTED_VALUE"""),"FLEXICHEF")</f>
        <v>FLEXICHEF</v>
      </c>
      <c r="G1992" s="490"/>
      <c r="H1992" s="490"/>
      <c r="I1992" s="490"/>
      <c r="J1992" s="588"/>
      <c r="K1992" s="490"/>
      <c r="L1992" s="490"/>
      <c r="M1992" s="490"/>
      <c r="N1992" s="490"/>
      <c r="O1992" s="490"/>
      <c r="P1992" s="490" t="s">
        <v>7097</v>
      </c>
    </row>
    <row r="1993">
      <c r="A1993" s="490"/>
      <c r="B1993" s="490"/>
      <c r="C1993" s="490"/>
      <c r="D1993" s="490"/>
      <c r="E1993" s="490" t="str">
        <f>IFERROR(__xludf.DUMMYFUNCTION("""COMPUTED_VALUE"""),"MKN")</f>
        <v>MKN</v>
      </c>
      <c r="F1993" s="490" t="str">
        <f>IFERROR(__xludf.DUMMYFUNCTION("""COMPUTED_VALUE"""),"FLEXICOMBI 6.1/ 10.1")</f>
        <v>FLEXICOMBI 6.1/ 10.1</v>
      </c>
      <c r="G1993" s="490"/>
      <c r="H1993" s="490"/>
      <c r="I1993" s="490"/>
      <c r="J1993" s="588"/>
      <c r="K1993" s="490"/>
      <c r="L1993" s="490"/>
      <c r="M1993" s="490"/>
      <c r="N1993" s="490"/>
      <c r="O1993" s="490"/>
      <c r="P1993" s="490" t="s">
        <v>3310</v>
      </c>
    </row>
    <row r="1994">
      <c r="A1994" s="490"/>
      <c r="B1994" s="490"/>
      <c r="C1994" s="490"/>
      <c r="D1994" s="490"/>
      <c r="E1994" s="490" t="str">
        <f>IFERROR(__xludf.DUMMYFUNCTION("""COMPUTED_VALUE"""),"MODE LIGHTING")</f>
        <v>MODE LIGHTING</v>
      </c>
      <c r="F1994" s="490" t="str">
        <f>IFERROR(__xludf.DUMMYFUNCTION("""COMPUTED_VALUE"""),"DINNPU0001-NA")</f>
        <v>DINNPU0001-NA</v>
      </c>
      <c r="G1994" s="490"/>
      <c r="H1994" s="490"/>
      <c r="I1994" s="490"/>
      <c r="J1994" s="588"/>
      <c r="K1994" s="490"/>
      <c r="L1994" s="490"/>
      <c r="M1994" s="490"/>
      <c r="N1994" s="490"/>
      <c r="O1994" s="490"/>
      <c r="P1994" s="490" t="s">
        <v>7099</v>
      </c>
    </row>
    <row r="1995">
      <c r="A1995" s="490"/>
      <c r="B1995" s="490"/>
      <c r="C1995" s="490"/>
      <c r="D1995" s="490"/>
      <c r="E1995" s="490" t="str">
        <f>IFERROR(__xludf.DUMMYFUNCTION("""COMPUTED_VALUE"""),"MOFI")</f>
        <v>MOFI</v>
      </c>
      <c r="F1995" s="490" t="str">
        <f>IFERROR(__xludf.DUMMYFUNCTION("""COMPUTED_VALUE"""),"MOFI4500-4GXELTE V2")</f>
        <v>MOFI4500-4GXELTE V2</v>
      </c>
      <c r="G1995" s="490"/>
      <c r="H1995" s="490"/>
      <c r="I1995" s="490"/>
      <c r="J1995" s="588"/>
      <c r="K1995" s="490"/>
      <c r="L1995" s="490"/>
      <c r="M1995" s="490"/>
      <c r="N1995" s="490"/>
      <c r="O1995" s="490"/>
      <c r="P1995" s="490" t="s">
        <v>7101</v>
      </c>
    </row>
    <row r="1996">
      <c r="A1996" s="490"/>
      <c r="B1996" s="490"/>
      <c r="C1996" s="490"/>
      <c r="D1996" s="490"/>
      <c r="E1996" s="490" t="str">
        <f>IFERROR(__xludf.DUMMYFUNCTION("""COMPUTED_VALUE"""),"MOFI NETWORK")</f>
        <v>MOFI NETWORK</v>
      </c>
      <c r="F1996" s="490" t="str">
        <f>IFERROR(__xludf.DUMMYFUNCTION("""COMPUTED_VALUE"""),"MOFI4500")</f>
        <v>MOFI4500</v>
      </c>
      <c r="G1996" s="490"/>
      <c r="H1996" s="490"/>
      <c r="I1996" s="490"/>
      <c r="J1996" s="588"/>
      <c r="K1996" s="490"/>
      <c r="L1996" s="490"/>
      <c r="M1996" s="490"/>
      <c r="N1996" s="490"/>
      <c r="O1996" s="490"/>
      <c r="P1996" s="490" t="s">
        <v>7103</v>
      </c>
    </row>
    <row r="1997">
      <c r="A1997" s="490"/>
      <c r="B1997" s="490"/>
      <c r="C1997" s="490"/>
      <c r="D1997" s="490"/>
      <c r="E1997" s="490" t="str">
        <f>IFERROR(__xludf.DUMMYFUNCTION("""COMPUTED_VALUE"""),"MONARCH")</f>
        <v>MONARCH</v>
      </c>
      <c r="F1997" s="490" t="str">
        <f>IFERROR(__xludf.DUMMYFUNCTION("""COMPUTED_VALUE"""),"FRESHMARX")</f>
        <v>FRESHMARX</v>
      </c>
      <c r="G1997" s="490"/>
      <c r="H1997" s="490"/>
      <c r="I1997" s="490"/>
      <c r="J1997" s="588"/>
      <c r="K1997" s="490"/>
      <c r="L1997" s="490"/>
      <c r="M1997" s="490"/>
      <c r="N1997" s="490"/>
      <c r="O1997" s="490"/>
      <c r="P1997" s="490" t="s">
        <v>7105</v>
      </c>
    </row>
    <row r="1998">
      <c r="A1998" s="490"/>
      <c r="B1998" s="490"/>
      <c r="C1998" s="490"/>
      <c r="D1998" s="490"/>
      <c r="E1998" s="490" t="str">
        <f>IFERROR(__xludf.DUMMYFUNCTION("""COMPUTED_VALUE"""),"MONARCH")</f>
        <v>MONARCH</v>
      </c>
      <c r="F1998" s="490" t="str">
        <f>IFERROR(__xludf.DUMMYFUNCTION("""COMPUTED_VALUE"""),"FRESHMARX")</f>
        <v>FRESHMARX</v>
      </c>
      <c r="G1998" s="490"/>
      <c r="H1998" s="490"/>
      <c r="I1998" s="490"/>
      <c r="J1998" s="588"/>
      <c r="K1998" s="490"/>
      <c r="L1998" s="490"/>
      <c r="M1998" s="490"/>
      <c r="N1998" s="490"/>
      <c r="O1998" s="490"/>
      <c r="P1998" s="490" t="s">
        <v>7107</v>
      </c>
    </row>
    <row r="1999">
      <c r="A1999" s="490"/>
      <c r="B1999" s="490"/>
      <c r="C1999" s="490"/>
      <c r="D1999" s="490"/>
      <c r="E1999" s="490" t="str">
        <f>IFERROR(__xludf.DUMMYFUNCTION("""COMPUTED_VALUE"""),"MONIKA")</f>
        <v>MONIKA</v>
      </c>
      <c r="F1999" s="490" t="str">
        <f>IFERROR(__xludf.DUMMYFUNCTION("""COMPUTED_VALUE"""),"NOT VERIFIED")</f>
        <v>NOT VERIFIED</v>
      </c>
      <c r="G1999" s="490"/>
      <c r="H1999" s="490"/>
      <c r="I1999" s="490"/>
      <c r="J1999" s="588"/>
      <c r="K1999" s="490"/>
      <c r="L1999" s="490"/>
      <c r="M1999" s="490"/>
      <c r="N1999" s="490"/>
      <c r="O1999" s="490"/>
      <c r="P1999" s="490" t="s">
        <v>7109</v>
      </c>
    </row>
    <row r="2000">
      <c r="A2000" s="490"/>
      <c r="B2000" s="490"/>
      <c r="C2000" s="490"/>
      <c r="D2000" s="490"/>
      <c r="E2000" s="490" t="str">
        <f>IFERROR(__xludf.DUMMYFUNCTION("""COMPUTED_VALUE"""),"MONNIT")</f>
        <v>MONNIT</v>
      </c>
      <c r="F2000" s="490" t="str">
        <f>IFERROR(__xludf.DUMMYFUNCTION("""COMPUTED_VALUE"""),"ALTA")</f>
        <v>ALTA</v>
      </c>
      <c r="G2000" s="490"/>
      <c r="H2000" s="490"/>
      <c r="I2000" s="490"/>
      <c r="J2000" s="588"/>
      <c r="K2000" s="490"/>
      <c r="L2000" s="490"/>
      <c r="M2000" s="490"/>
      <c r="N2000" s="490"/>
      <c r="O2000" s="490"/>
      <c r="P2000" s="490" t="s">
        <v>7111</v>
      </c>
    </row>
    <row r="2001">
      <c r="A2001" s="490"/>
      <c r="B2001" s="490"/>
      <c r="C2001" s="490"/>
      <c r="D2001" s="490"/>
      <c r="E2001" s="490" t="str">
        <f>IFERROR(__xludf.DUMMYFUNCTION("""COMPUTED_VALUE"""),"MORLEY")</f>
        <v>MORLEY</v>
      </c>
      <c r="F2001" s="490" t="str">
        <f>IFERROR(__xludf.DUMMYFUNCTION("""COMPUTED_VALUE"""),"ZX2SE")</f>
        <v>ZX2SE</v>
      </c>
      <c r="G2001" s="490"/>
      <c r="H2001" s="490"/>
      <c r="I2001" s="490"/>
      <c r="J2001" s="588"/>
      <c r="K2001" s="490"/>
      <c r="L2001" s="490"/>
      <c r="M2001" s="490"/>
      <c r="N2001" s="490"/>
      <c r="O2001" s="490"/>
      <c r="P2001" s="490" t="s">
        <v>7113</v>
      </c>
    </row>
    <row r="2002">
      <c r="A2002" s="605"/>
      <c r="B2002" s="605"/>
      <c r="C2002" s="605"/>
      <c r="D2002" s="605"/>
      <c r="E2002" s="605" t="str">
        <f>IFERROR(__xludf.DUMMYFUNCTION("""COMPUTED_VALUE"""),"MORSE WATCHMEN")</f>
        <v>MORSE WATCHMEN</v>
      </c>
      <c r="F2002" s="605" t="str">
        <f>IFERROR(__xludf.DUMMYFUNCTION("""COMPUTED_VALUE"""),"KEYWATCHER")</f>
        <v>KEYWATCHER</v>
      </c>
      <c r="G2002" s="605"/>
      <c r="H2002" s="605"/>
      <c r="I2002" s="605"/>
      <c r="J2002" s="606"/>
      <c r="K2002" s="605"/>
      <c r="L2002" s="605"/>
      <c r="M2002" s="605"/>
      <c r="N2002" s="605"/>
      <c r="O2002" s="605"/>
      <c r="P2002" s="605" t="s">
        <v>7115</v>
      </c>
    </row>
    <row r="2003">
      <c r="A2003" s="605"/>
      <c r="B2003" s="605"/>
      <c r="C2003" s="605"/>
      <c r="D2003" s="605"/>
      <c r="E2003" s="605" t="str">
        <f>IFERROR(__xludf.DUMMYFUNCTION("""COMPUTED_VALUE"""),"MOTOROLA")</f>
        <v>MOTOROLA</v>
      </c>
      <c r="F2003" s="605" t="str">
        <f>IFERROR(__xludf.DUMMYFUNCTION("""COMPUTED_VALUE"""),"DSL MODEM")</f>
        <v>DSL MODEM</v>
      </c>
      <c r="G2003" s="605"/>
      <c r="H2003" s="605"/>
      <c r="I2003" s="605"/>
      <c r="J2003" s="606"/>
      <c r="K2003" s="605"/>
      <c r="L2003" s="605"/>
      <c r="M2003" s="605"/>
      <c r="N2003" s="605"/>
      <c r="O2003" s="605"/>
      <c r="P2003" s="605" t="s">
        <v>7117</v>
      </c>
    </row>
    <row r="2004">
      <c r="A2004" s="605"/>
      <c r="B2004" s="605"/>
      <c r="C2004" s="605"/>
      <c r="D2004" s="605"/>
      <c r="E2004" s="605" t="str">
        <f>IFERROR(__xludf.DUMMYFUNCTION("""COMPUTED_VALUE"""),"MOTOROLA")</f>
        <v>MOTOROLA</v>
      </c>
      <c r="F2004" s="605" t="str">
        <f>IFERROR(__xludf.DUMMYFUNCTION("""COMPUTED_VALUE"""),"MOTOROLA ROUTER")</f>
        <v>MOTOROLA ROUTER</v>
      </c>
      <c r="G2004" s="605"/>
      <c r="H2004" s="605"/>
      <c r="I2004" s="605"/>
      <c r="J2004" s="606"/>
      <c r="K2004" s="605"/>
      <c r="L2004" s="605"/>
      <c r="M2004" s="605"/>
      <c r="N2004" s="605"/>
      <c r="O2004" s="605"/>
      <c r="P2004" s="605" t="s">
        <v>3313</v>
      </c>
    </row>
    <row r="2005">
      <c r="A2005" s="605"/>
      <c r="B2005" s="605"/>
      <c r="C2005" s="605"/>
      <c r="D2005" s="605"/>
      <c r="E2005" s="605" t="str">
        <f>IFERROR(__xludf.DUMMYFUNCTION("""COMPUTED_VALUE"""),"MOTOROLA")</f>
        <v>MOTOROLA</v>
      </c>
      <c r="F2005" s="605" t="str">
        <f>IFERROR(__xludf.DUMMYFUNCTION("""COMPUTED_VALUE"""),"NETOPIA 3347")</f>
        <v>NETOPIA 3347</v>
      </c>
      <c r="G2005" s="605"/>
      <c r="H2005" s="605"/>
      <c r="I2005" s="605"/>
      <c r="J2005" s="606"/>
      <c r="K2005" s="605"/>
      <c r="L2005" s="605"/>
      <c r="M2005" s="605"/>
      <c r="N2005" s="605"/>
      <c r="O2005" s="605"/>
      <c r="P2005" s="605" t="s">
        <v>7119</v>
      </c>
    </row>
    <row r="2006">
      <c r="A2006" s="605"/>
      <c r="B2006" s="605"/>
      <c r="C2006" s="605"/>
      <c r="D2006" s="605"/>
      <c r="E2006" s="605" t="str">
        <f>IFERROR(__xludf.DUMMYFUNCTION("""COMPUTED_VALUE"""),"MOTOROLA")</f>
        <v>MOTOROLA</v>
      </c>
      <c r="F2006" s="605" t="str">
        <f>IFERROR(__xludf.DUMMYFUNCTION("""COMPUTED_VALUE"""),"NVG510")</f>
        <v>NVG510</v>
      </c>
      <c r="G2006" s="605"/>
      <c r="H2006" s="605"/>
      <c r="I2006" s="605"/>
      <c r="J2006" s="606"/>
      <c r="K2006" s="605"/>
      <c r="L2006" s="605"/>
      <c r="M2006" s="605"/>
      <c r="N2006" s="605"/>
      <c r="O2006" s="605"/>
      <c r="P2006" s="605" t="s">
        <v>7121</v>
      </c>
    </row>
    <row r="2007">
      <c r="A2007" s="605"/>
      <c r="B2007" s="605"/>
      <c r="C2007" s="605"/>
      <c r="D2007" s="605"/>
      <c r="E2007" s="605" t="str">
        <f>IFERROR(__xludf.DUMMYFUNCTION("""COMPUTED_VALUE"""),"MOTOROLA")</f>
        <v>MOTOROLA</v>
      </c>
      <c r="F2007" s="605" t="str">
        <f>IFERROR(__xludf.DUMMYFUNCTION("""COMPUTED_VALUE"""),"NEXUS 6")</f>
        <v>NEXUS 6</v>
      </c>
      <c r="G2007" s="605"/>
      <c r="H2007" s="605"/>
      <c r="I2007" s="605"/>
      <c r="J2007" s="606"/>
      <c r="K2007" s="605"/>
      <c r="L2007" s="605"/>
      <c r="M2007" s="605"/>
      <c r="N2007" s="605"/>
      <c r="O2007" s="605"/>
      <c r="P2007" s="605" t="s">
        <v>7123</v>
      </c>
    </row>
    <row r="2008">
      <c r="A2008" s="605"/>
      <c r="B2008" s="605"/>
      <c r="C2008" s="605"/>
      <c r="D2008" s="605"/>
      <c r="E2008" s="605" t="str">
        <f>IFERROR(__xludf.DUMMYFUNCTION("""COMPUTED_VALUE"""),"MOTOROLA")</f>
        <v>MOTOROLA</v>
      </c>
      <c r="F2008" s="605" t="str">
        <f>IFERROR(__xludf.DUMMYFUNCTION("""COMPUTED_VALUE"""),"SLR 5500")</f>
        <v>SLR 5500</v>
      </c>
      <c r="G2008" s="605"/>
      <c r="H2008" s="605"/>
      <c r="I2008" s="605"/>
      <c r="J2008" s="606"/>
      <c r="K2008" s="605"/>
      <c r="L2008" s="605"/>
      <c r="M2008" s="605"/>
      <c r="N2008" s="605"/>
      <c r="O2008" s="605"/>
      <c r="P2008" s="605" t="s">
        <v>7125</v>
      </c>
    </row>
    <row r="2009">
      <c r="A2009" s="605"/>
      <c r="B2009" s="605"/>
      <c r="C2009" s="605"/>
      <c r="D2009" s="605"/>
      <c r="E2009" s="605" t="str">
        <f>IFERROR(__xludf.DUMMYFUNCTION("""COMPUTED_VALUE"""),"MOTOROLA")</f>
        <v>MOTOROLA</v>
      </c>
      <c r="F2009" s="605" t="str">
        <f>IFERROR(__xludf.DUMMYFUNCTION("""COMPUTED_VALUE"""),"SLR 5500")</f>
        <v>SLR 5500</v>
      </c>
      <c r="G2009" s="605"/>
      <c r="H2009" s="605"/>
      <c r="I2009" s="605"/>
      <c r="J2009" s="606"/>
      <c r="K2009" s="605"/>
      <c r="L2009" s="605"/>
      <c r="M2009" s="605"/>
      <c r="N2009" s="605"/>
      <c r="O2009" s="605"/>
      <c r="P2009" s="605" t="s">
        <v>7127</v>
      </c>
    </row>
    <row r="2010">
      <c r="A2010" s="605"/>
      <c r="B2010" s="605"/>
      <c r="C2010" s="605"/>
      <c r="D2010" s="605"/>
      <c r="E2010" s="605" t="str">
        <f>IFERROR(__xludf.DUMMYFUNCTION("""COMPUTED_VALUE"""),"MOXA")</f>
        <v>MOXA</v>
      </c>
      <c r="F2010" s="605" t="str">
        <f>IFERROR(__xludf.DUMMYFUNCTION("""COMPUTED_VALUE"""),"EDS-205")</f>
        <v>EDS-205</v>
      </c>
      <c r="G2010" s="605"/>
      <c r="H2010" s="605"/>
      <c r="I2010" s="605"/>
      <c r="J2010" s="606"/>
      <c r="K2010" s="605"/>
      <c r="L2010" s="605"/>
      <c r="M2010" s="605"/>
      <c r="N2010" s="605"/>
      <c r="O2010" s="605"/>
      <c r="P2010" s="605" t="s">
        <v>7129</v>
      </c>
    </row>
    <row r="2011">
      <c r="A2011" s="605"/>
      <c r="B2011" s="605"/>
      <c r="C2011" s="605"/>
      <c r="D2011" s="605"/>
      <c r="E2011" s="605" t="str">
        <f>IFERROR(__xludf.DUMMYFUNCTION("""COMPUTED_VALUE"""),"MOXA")</f>
        <v>MOXA</v>
      </c>
      <c r="F2011" s="605" t="str">
        <f>IFERROR(__xludf.DUMMYFUNCTION("""COMPUTED_VALUE"""),"EDS-208")</f>
        <v>EDS-208</v>
      </c>
      <c r="G2011" s="605"/>
      <c r="H2011" s="605"/>
      <c r="I2011" s="605"/>
      <c r="J2011" s="606"/>
      <c r="K2011" s="605"/>
      <c r="L2011" s="605"/>
      <c r="M2011" s="605"/>
      <c r="N2011" s="605"/>
      <c r="O2011" s="605"/>
      <c r="P2011" s="605" t="s">
        <v>7131</v>
      </c>
    </row>
    <row r="2012">
      <c r="A2012" s="605"/>
      <c r="B2012" s="605"/>
      <c r="C2012" s="605"/>
      <c r="D2012" s="605"/>
      <c r="E2012" s="605" t="str">
        <f>IFERROR(__xludf.DUMMYFUNCTION("""COMPUTED_VALUE"""),"MOXA")</f>
        <v>MOXA</v>
      </c>
      <c r="F2012" s="605" t="str">
        <f>IFERROR(__xludf.DUMMYFUNCTION("""COMPUTED_VALUE"""),"EDS-208")</f>
        <v>EDS-208</v>
      </c>
      <c r="G2012" s="605"/>
      <c r="H2012" s="605"/>
      <c r="I2012" s="605"/>
      <c r="J2012" s="606"/>
      <c r="K2012" s="605"/>
      <c r="L2012" s="605"/>
      <c r="M2012" s="605"/>
      <c r="N2012" s="605"/>
      <c r="O2012" s="605"/>
      <c r="P2012" s="605" t="s">
        <v>7133</v>
      </c>
    </row>
    <row r="2013">
      <c r="A2013" s="605"/>
      <c r="B2013" s="605"/>
      <c r="C2013" s="605"/>
      <c r="D2013" s="605"/>
      <c r="E2013" s="605" t="str">
        <f>IFERROR(__xludf.DUMMYFUNCTION("""COMPUTED_VALUE"""),"MOXA")</f>
        <v>MOXA</v>
      </c>
      <c r="F2013" s="605" t="str">
        <f>IFERROR(__xludf.DUMMYFUNCTION("""COMPUTED_VALUE"""),"EDS-205")</f>
        <v>EDS-205</v>
      </c>
      <c r="G2013" s="605"/>
      <c r="H2013" s="605"/>
      <c r="I2013" s="605"/>
      <c r="J2013" s="606"/>
      <c r="K2013" s="605"/>
      <c r="L2013" s="605"/>
      <c r="M2013" s="605"/>
      <c r="N2013" s="605"/>
      <c r="O2013" s="605"/>
      <c r="P2013" s="605" t="s">
        <v>7135</v>
      </c>
    </row>
    <row r="2014">
      <c r="A2014" s="605"/>
      <c r="B2014" s="605"/>
      <c r="C2014" s="605"/>
      <c r="D2014" s="605"/>
      <c r="E2014" s="605" t="str">
        <f>IFERROR(__xludf.DUMMYFUNCTION("""COMPUTED_VALUE"""),"MOXA")</f>
        <v>MOXA</v>
      </c>
      <c r="F2014" s="605" t="str">
        <f>IFERROR(__xludf.DUMMYFUNCTION("""COMPUTED_VALUE"""),"EDS-208-M-SC")</f>
        <v>EDS-208-M-SC</v>
      </c>
      <c r="G2014" s="605"/>
      <c r="H2014" s="605"/>
      <c r="I2014" s="605"/>
      <c r="J2014" s="606"/>
      <c r="K2014" s="605"/>
      <c r="L2014" s="605"/>
      <c r="M2014" s="605"/>
      <c r="N2014" s="605"/>
      <c r="O2014" s="605"/>
      <c r="P2014" s="605" t="s">
        <v>7137</v>
      </c>
    </row>
    <row r="2015">
      <c r="A2015" s="605"/>
      <c r="B2015" s="605"/>
      <c r="C2015" s="605"/>
      <c r="D2015" s="605"/>
      <c r="E2015" s="605" t="str">
        <f>IFERROR(__xludf.DUMMYFUNCTION("""COMPUTED_VALUE"""),"MOXA")</f>
        <v>MOXA</v>
      </c>
      <c r="F2015" s="605" t="str">
        <f>IFERROR(__xludf.DUMMYFUNCTION("""COMPUTED_VALUE"""),"EDS-408A")</f>
        <v>EDS-408A</v>
      </c>
      <c r="G2015" s="605"/>
      <c r="H2015" s="605"/>
      <c r="I2015" s="605"/>
      <c r="J2015" s="606"/>
      <c r="K2015" s="605"/>
      <c r="L2015" s="605"/>
      <c r="M2015" s="605"/>
      <c r="N2015" s="605"/>
      <c r="O2015" s="605"/>
      <c r="P2015" s="605" t="s">
        <v>3316</v>
      </c>
    </row>
    <row r="2016">
      <c r="A2016" s="605"/>
      <c r="B2016" s="605"/>
      <c r="C2016" s="605"/>
      <c r="D2016" s="605"/>
      <c r="E2016" s="605" t="str">
        <f>IFERROR(__xludf.DUMMYFUNCTION("""COMPUTED_VALUE"""),"MOXA")</f>
        <v>MOXA</v>
      </c>
      <c r="F2016" s="605" t="str">
        <f>IFERROR(__xludf.DUMMYFUNCTION("""COMPUTED_VALUE"""),"EDS-GS308-2SFP")</f>
        <v>EDS-GS308-2SFP</v>
      </c>
      <c r="G2016" s="605"/>
      <c r="H2016" s="605"/>
      <c r="I2016" s="605"/>
      <c r="J2016" s="606"/>
      <c r="K2016" s="605"/>
      <c r="L2016" s="605"/>
      <c r="M2016" s="605"/>
      <c r="N2016" s="605"/>
      <c r="O2016" s="605"/>
      <c r="P2016" s="605" t="s">
        <v>7139</v>
      </c>
    </row>
    <row r="2017">
      <c r="A2017" s="605"/>
      <c r="B2017" s="605"/>
      <c r="C2017" s="605"/>
      <c r="D2017" s="605"/>
      <c r="E2017" s="605" t="str">
        <f>IFERROR(__xludf.DUMMYFUNCTION("""COMPUTED_VALUE"""),"MOXA")</f>
        <v>MOXA</v>
      </c>
      <c r="F2017" s="605" t="str">
        <f>IFERROR(__xludf.DUMMYFUNCTION("""COMPUTED_VALUE"""),"EDS-208")</f>
        <v>EDS-208</v>
      </c>
      <c r="G2017" s="605"/>
      <c r="H2017" s="605"/>
      <c r="I2017" s="605"/>
      <c r="J2017" s="606"/>
      <c r="K2017" s="605"/>
      <c r="L2017" s="605"/>
      <c r="M2017" s="605"/>
      <c r="N2017" s="605"/>
      <c r="O2017" s="605"/>
      <c r="P2017" s="605" t="s">
        <v>7141</v>
      </c>
    </row>
    <row r="2018">
      <c r="A2018" s="605"/>
      <c r="B2018" s="605"/>
      <c r="C2018" s="605"/>
      <c r="D2018" s="605"/>
      <c r="E2018" s="605" t="str">
        <f>IFERROR(__xludf.DUMMYFUNCTION("""COMPUTED_VALUE"""),"MOXA")</f>
        <v>MOXA</v>
      </c>
      <c r="F2018" s="605" t="str">
        <f>IFERROR(__xludf.DUMMYFUNCTION("""COMPUTED_VALUE"""),"NPORT5150A")</f>
        <v>NPORT5150A</v>
      </c>
      <c r="G2018" s="605"/>
      <c r="H2018" s="605"/>
      <c r="I2018" s="605"/>
      <c r="J2018" s="606"/>
      <c r="K2018" s="605"/>
      <c r="L2018" s="605"/>
      <c r="M2018" s="605"/>
      <c r="N2018" s="605"/>
      <c r="O2018" s="605"/>
      <c r="P2018" s="605" t="s">
        <v>7143</v>
      </c>
    </row>
    <row r="2019">
      <c r="A2019" s="605"/>
      <c r="B2019" s="605"/>
      <c r="C2019" s="605"/>
      <c r="D2019" s="605"/>
      <c r="E2019" s="605" t="str">
        <f>IFERROR(__xludf.DUMMYFUNCTION("""COMPUTED_VALUE"""),"MOXA")</f>
        <v>MOXA</v>
      </c>
      <c r="F2019" s="605" t="str">
        <f>IFERROR(__xludf.DUMMYFUNCTION("""COMPUTED_VALUE"""),"MB3170")</f>
        <v>MB3170</v>
      </c>
      <c r="G2019" s="605"/>
      <c r="H2019" s="605"/>
      <c r="I2019" s="605"/>
      <c r="J2019" s="606"/>
      <c r="K2019" s="605"/>
      <c r="L2019" s="605"/>
      <c r="M2019" s="605"/>
      <c r="N2019" s="605"/>
      <c r="O2019" s="605"/>
      <c r="P2019" s="605" t="s">
        <v>7145</v>
      </c>
    </row>
    <row r="2020">
      <c r="A2020" s="605"/>
      <c r="B2020" s="605"/>
      <c r="C2020" s="605"/>
      <c r="D2020" s="605"/>
      <c r="E2020" s="605" t="str">
        <f>IFERROR(__xludf.DUMMYFUNCTION("""COMPUTED_VALUE"""),"MOXA")</f>
        <v>MOXA</v>
      </c>
      <c r="F2020" s="605" t="str">
        <f>IFERROR(__xludf.DUMMYFUNCTION("""COMPUTED_VALUE"""),"MB3180")</f>
        <v>MB3180</v>
      </c>
      <c r="G2020" s="605"/>
      <c r="H2020" s="605"/>
      <c r="I2020" s="605"/>
      <c r="J2020" s="606"/>
      <c r="K2020" s="605"/>
      <c r="L2020" s="605"/>
      <c r="M2020" s="605"/>
      <c r="N2020" s="605"/>
      <c r="O2020" s="605"/>
      <c r="P2020" s="605" t="s">
        <v>7147</v>
      </c>
    </row>
    <row r="2021">
      <c r="A2021" s="605"/>
      <c r="B2021" s="605"/>
      <c r="C2021" s="605"/>
      <c r="D2021" s="605"/>
      <c r="E2021" s="605" t="str">
        <f>IFERROR(__xludf.DUMMYFUNCTION("""COMPUTED_VALUE"""),"MOXA")</f>
        <v>MOXA</v>
      </c>
      <c r="F2021" s="605" t="str">
        <f>IFERROR(__xludf.DUMMYFUNCTION("""COMPUTED_VALUE"""),"MGATE MB")</f>
        <v>MGATE MB</v>
      </c>
      <c r="G2021" s="605"/>
      <c r="H2021" s="605"/>
      <c r="I2021" s="605"/>
      <c r="J2021" s="606"/>
      <c r="K2021" s="605"/>
      <c r="L2021" s="605"/>
      <c r="M2021" s="605"/>
      <c r="N2021" s="605"/>
      <c r="O2021" s="605"/>
      <c r="P2021" s="605" t="s">
        <v>7149</v>
      </c>
    </row>
    <row r="2022">
      <c r="A2022" s="605"/>
      <c r="B2022" s="605"/>
      <c r="C2022" s="605"/>
      <c r="D2022" s="605"/>
      <c r="E2022" s="605" t="str">
        <f>IFERROR(__xludf.DUMMYFUNCTION("""COMPUTED_VALUE"""),"MOXA")</f>
        <v>MOXA</v>
      </c>
      <c r="F2022" s="605" t="str">
        <f>IFERROR(__xludf.DUMMYFUNCTION("""COMPUTED_VALUE"""),"NPORT 5150")</f>
        <v>NPORT 5150</v>
      </c>
      <c r="G2022" s="605"/>
      <c r="H2022" s="605"/>
      <c r="I2022" s="605"/>
      <c r="J2022" s="606"/>
      <c r="K2022" s="605"/>
      <c r="L2022" s="605"/>
      <c r="M2022" s="605"/>
      <c r="N2022" s="605"/>
      <c r="O2022" s="605"/>
      <c r="P2022" s="605" t="s">
        <v>7151</v>
      </c>
    </row>
    <row r="2023">
      <c r="A2023" s="605"/>
      <c r="B2023" s="605"/>
      <c r="C2023" s="605"/>
      <c r="D2023" s="605"/>
      <c r="E2023" s="605" t="str">
        <f>IFERROR(__xludf.DUMMYFUNCTION("""COMPUTED_VALUE"""),"MOXA")</f>
        <v>MOXA</v>
      </c>
      <c r="F2023" s="605" t="str">
        <f>IFERROR(__xludf.DUMMYFUNCTION("""COMPUTED_VALUE"""),"UC-8112-ME-T-LX-US-LTE")</f>
        <v>UC-8112-ME-T-LX-US-LTE</v>
      </c>
      <c r="G2023" s="605"/>
      <c r="H2023" s="605"/>
      <c r="I2023" s="605"/>
      <c r="J2023" s="606"/>
      <c r="K2023" s="605"/>
      <c r="L2023" s="605"/>
      <c r="M2023" s="605"/>
      <c r="N2023" s="605"/>
      <c r="O2023" s="605"/>
      <c r="P2023" s="605" t="s">
        <v>7153</v>
      </c>
    </row>
    <row r="2024">
      <c r="A2024" s="605"/>
      <c r="B2024" s="605"/>
      <c r="C2024" s="605"/>
      <c r="D2024" s="605"/>
      <c r="E2024" s="605" t="str">
        <f>IFERROR(__xludf.DUMMYFUNCTION("""COMPUTED_VALUE"""),"MOXA")</f>
        <v>MOXA</v>
      </c>
      <c r="F2024" s="605" t="str">
        <f>IFERROR(__xludf.DUMMYFUNCTION("""COMPUTED_VALUE"""),"IMC-21GA-SX-SC")</f>
        <v>IMC-21GA-SX-SC</v>
      </c>
      <c r="G2024" s="605"/>
      <c r="H2024" s="605"/>
      <c r="I2024" s="605"/>
      <c r="J2024" s="606"/>
      <c r="K2024" s="605"/>
      <c r="L2024" s="605"/>
      <c r="M2024" s="605"/>
      <c r="N2024" s="605"/>
      <c r="O2024" s="605"/>
      <c r="P2024" s="605" t="s">
        <v>7155</v>
      </c>
    </row>
    <row r="2025">
      <c r="A2025" s="605"/>
      <c r="B2025" s="605"/>
      <c r="C2025" s="605"/>
      <c r="D2025" s="605"/>
      <c r="E2025" s="605" t="str">
        <f>IFERROR(__xludf.DUMMYFUNCTION("""COMPUTED_VALUE"""),"MOXA")</f>
        <v>MOXA</v>
      </c>
      <c r="F2025" s="605" t="str">
        <f>IFERROR(__xludf.DUMMYFUNCTION("""COMPUTED_VALUE"""),"DO NOT USE")</f>
        <v>DO NOT USE</v>
      </c>
      <c r="G2025" s="605"/>
      <c r="H2025" s="605"/>
      <c r="I2025" s="605"/>
      <c r="J2025" s="606"/>
      <c r="K2025" s="605"/>
      <c r="L2025" s="605"/>
      <c r="M2025" s="605"/>
      <c r="N2025" s="605"/>
      <c r="O2025" s="605"/>
      <c r="P2025" s="605" t="s">
        <v>7157</v>
      </c>
    </row>
    <row r="2026">
      <c r="A2026" s="605"/>
      <c r="B2026" s="605"/>
      <c r="C2026" s="605"/>
      <c r="D2026" s="605"/>
      <c r="E2026" s="605" t="str">
        <f>IFERROR(__xludf.DUMMYFUNCTION("""COMPUTED_VALUE"""),"MOXA")</f>
        <v>MOXA</v>
      </c>
      <c r="F2026" s="605" t="str">
        <f>IFERROR(__xludf.DUMMYFUNCTION("""COMPUTED_VALUE"""),"EDS-205A-S-SC-T")</f>
        <v>EDS-205A-S-SC-T</v>
      </c>
      <c r="G2026" s="605"/>
      <c r="H2026" s="605"/>
      <c r="I2026" s="605"/>
      <c r="J2026" s="606"/>
      <c r="K2026" s="605"/>
      <c r="L2026" s="605"/>
      <c r="M2026" s="605"/>
      <c r="N2026" s="605"/>
      <c r="O2026" s="605"/>
      <c r="P2026" s="605" t="s">
        <v>3319</v>
      </c>
    </row>
    <row r="2027">
      <c r="A2027" s="605"/>
      <c r="B2027" s="605"/>
      <c r="C2027" s="605"/>
      <c r="D2027" s="605"/>
      <c r="E2027" s="605" t="str">
        <f>IFERROR(__xludf.DUMMYFUNCTION("""COMPUTED_VALUE"""),"MOXA")</f>
        <v>MOXA</v>
      </c>
      <c r="F2027" s="605" t="str">
        <f>IFERROR(__xludf.DUMMYFUNCTION("""COMPUTED_VALUE"""),"EDS-108")</f>
        <v>EDS-108</v>
      </c>
      <c r="G2027" s="605"/>
      <c r="H2027" s="605"/>
      <c r="I2027" s="605"/>
      <c r="J2027" s="606"/>
      <c r="K2027" s="605"/>
      <c r="L2027" s="605"/>
      <c r="M2027" s="605"/>
      <c r="N2027" s="605"/>
      <c r="O2027" s="605"/>
      <c r="P2027" s="605" t="s">
        <v>7159</v>
      </c>
    </row>
    <row r="2028">
      <c r="A2028" s="605"/>
      <c r="B2028" s="605"/>
      <c r="C2028" s="605"/>
      <c r="D2028" s="605"/>
      <c r="E2028" s="605" t="str">
        <f>IFERROR(__xludf.DUMMYFUNCTION("""COMPUTED_VALUE"""),"MRV")</f>
        <v>MRV</v>
      </c>
      <c r="F2028" s="605" t="str">
        <f>IFERROR(__xludf.DUMMYFUNCTION("""COMPUTED_VALUE"""),"MC102FRC")</f>
        <v>MC102FRC</v>
      </c>
      <c r="G2028" s="605"/>
      <c r="H2028" s="605"/>
      <c r="I2028" s="605"/>
      <c r="J2028" s="606"/>
      <c r="K2028" s="605"/>
      <c r="L2028" s="605"/>
      <c r="M2028" s="605"/>
      <c r="N2028" s="605"/>
      <c r="O2028" s="605"/>
      <c r="P2028" s="605" t="s">
        <v>7161</v>
      </c>
    </row>
    <row r="2029">
      <c r="A2029" s="605"/>
      <c r="B2029" s="605"/>
      <c r="C2029" s="605"/>
      <c r="D2029" s="605"/>
      <c r="E2029" s="605" t="str">
        <f>IFERROR(__xludf.DUMMYFUNCTION("""COMPUTED_VALUE"""),"MSA (SMC)")</f>
        <v>MSA (SMC)</v>
      </c>
      <c r="F2029" s="605" t="str">
        <f>IFERROR(__xludf.DUMMYFUNCTION("""COMPUTED_VALUE"""),"PROTOAIR FPA-W44")</f>
        <v>PROTOAIR FPA-W44</v>
      </c>
      <c r="G2029" s="605"/>
      <c r="H2029" s="605"/>
      <c r="I2029" s="605"/>
      <c r="J2029" s="606"/>
      <c r="K2029" s="605"/>
      <c r="L2029" s="605"/>
      <c r="M2029" s="605"/>
      <c r="N2029" s="605"/>
      <c r="O2029" s="605"/>
      <c r="P2029" s="605" t="s">
        <v>7163</v>
      </c>
    </row>
    <row r="2030">
      <c r="A2030" s="605"/>
      <c r="B2030" s="605"/>
      <c r="C2030" s="605"/>
      <c r="D2030" s="605"/>
      <c r="E2030" s="605" t="str">
        <f>IFERROR(__xludf.DUMMYFUNCTION("""COMPUTED_VALUE"""),"MSA (SMC)")</f>
        <v>MSA (SMC)</v>
      </c>
      <c r="F2030" s="605" t="str">
        <f>IFERROR(__xludf.DUMMYFUNCTION("""COMPUTED_VALUE"""),"EZ GATEWAY")</f>
        <v>EZ GATEWAY</v>
      </c>
      <c r="G2030" s="605"/>
      <c r="H2030" s="605"/>
      <c r="I2030" s="605"/>
      <c r="J2030" s="606"/>
      <c r="K2030" s="605"/>
      <c r="L2030" s="605"/>
      <c r="M2030" s="605"/>
      <c r="N2030" s="605"/>
      <c r="O2030" s="605"/>
      <c r="P2030" s="605" t="s">
        <v>7165</v>
      </c>
    </row>
    <row r="2031">
      <c r="A2031" s="605"/>
      <c r="B2031" s="605"/>
      <c r="C2031" s="605"/>
      <c r="D2031" s="605"/>
      <c r="E2031" s="605" t="str">
        <f>IFERROR(__xludf.DUMMYFUNCTION("""COMPUTED_VALUE"""),"MSI")</f>
        <v>MSI</v>
      </c>
      <c r="F2031" s="605" t="str">
        <f>IFERROR(__xludf.DUMMYFUNCTION("""COMPUTED_VALUE"""),"MS-7A15")</f>
        <v>MS-7A15</v>
      </c>
      <c r="G2031" s="605"/>
      <c r="H2031" s="605"/>
      <c r="I2031" s="605"/>
      <c r="J2031" s="606"/>
      <c r="K2031" s="605"/>
      <c r="L2031" s="605"/>
      <c r="M2031" s="605"/>
      <c r="N2031" s="605"/>
      <c r="O2031" s="605"/>
      <c r="P2031" s="605" t="s">
        <v>7167</v>
      </c>
    </row>
    <row r="2032">
      <c r="A2032" s="605"/>
      <c r="B2032" s="605"/>
      <c r="C2032" s="605"/>
      <c r="D2032" s="605"/>
      <c r="E2032" s="605" t="str">
        <f>IFERROR(__xludf.DUMMYFUNCTION("""COMPUTED_VALUE"""),"MUZ")</f>
        <v>MUZ</v>
      </c>
      <c r="F2032" s="605" t="str">
        <f>IFERROR(__xludf.DUMMYFUNCTION("""COMPUTED_VALUE"""),"MUPADK10")</f>
        <v>MUPADK10</v>
      </c>
      <c r="G2032" s="605"/>
      <c r="H2032" s="605"/>
      <c r="I2032" s="605"/>
      <c r="J2032" s="606"/>
      <c r="K2032" s="605"/>
      <c r="L2032" s="605"/>
      <c r="M2032" s="605"/>
      <c r="N2032" s="605"/>
      <c r="O2032" s="605"/>
      <c r="P2032" s="605" t="s">
        <v>7169</v>
      </c>
    </row>
    <row r="2033">
      <c r="A2033" s="605"/>
      <c r="B2033" s="605"/>
      <c r="C2033" s="605"/>
      <c r="D2033" s="605"/>
      <c r="E2033" s="605" t="str">
        <f>IFERROR(__xludf.DUMMYFUNCTION("""COMPUTED_VALUE"""),"N-TRON")</f>
        <v>N-TRON</v>
      </c>
      <c r="F2033" s="605" t="str">
        <f>IFERROR(__xludf.DUMMYFUNCTION("""COMPUTED_VALUE"""),"108TX")</f>
        <v>108TX</v>
      </c>
      <c r="G2033" s="605"/>
      <c r="H2033" s="605"/>
      <c r="I2033" s="605"/>
      <c r="J2033" s="606"/>
      <c r="K2033" s="605"/>
      <c r="L2033" s="605"/>
      <c r="M2033" s="605"/>
      <c r="N2033" s="605"/>
      <c r="O2033" s="605"/>
      <c r="P2033" s="605" t="s">
        <v>7171</v>
      </c>
    </row>
    <row r="2034">
      <c r="A2034" s="605"/>
      <c r="B2034" s="605"/>
      <c r="C2034" s="605"/>
      <c r="D2034" s="605"/>
      <c r="E2034" s="605" t="str">
        <f>IFERROR(__xludf.DUMMYFUNCTION("""COMPUTED_VALUE"""),"N-TRON")</f>
        <v>N-TRON</v>
      </c>
      <c r="F2034" s="605" t="str">
        <f>IFERROR(__xludf.DUMMYFUNCTION("""COMPUTED_VALUE"""),"105TX")</f>
        <v>105TX</v>
      </c>
      <c r="G2034" s="605"/>
      <c r="H2034" s="605"/>
      <c r="I2034" s="605"/>
      <c r="J2034" s="606"/>
      <c r="K2034" s="605"/>
      <c r="L2034" s="605"/>
      <c r="M2034" s="605"/>
      <c r="N2034" s="605"/>
      <c r="O2034" s="605"/>
      <c r="P2034" s="605" t="s">
        <v>7173</v>
      </c>
    </row>
    <row r="2035">
      <c r="A2035" s="605"/>
      <c r="B2035" s="605"/>
      <c r="C2035" s="605"/>
      <c r="D2035" s="605"/>
      <c r="E2035" s="605" t="str">
        <f>IFERROR(__xludf.DUMMYFUNCTION("""COMPUTED_VALUE"""),"N-TRON")</f>
        <v>N-TRON</v>
      </c>
      <c r="F2035" s="605" t="str">
        <f>IFERROR(__xludf.DUMMYFUNCTION("""COMPUTED_VALUE"""),"105FX")</f>
        <v>105FX</v>
      </c>
      <c r="G2035" s="605"/>
      <c r="H2035" s="605"/>
      <c r="I2035" s="605"/>
      <c r="J2035" s="606"/>
      <c r="K2035" s="605"/>
      <c r="L2035" s="605"/>
      <c r="M2035" s="605"/>
      <c r="N2035" s="605"/>
      <c r="O2035" s="605"/>
      <c r="P2035" s="605" t="s">
        <v>7175</v>
      </c>
    </row>
    <row r="2036">
      <c r="A2036" s="605"/>
      <c r="B2036" s="605"/>
      <c r="C2036" s="605"/>
      <c r="D2036" s="605"/>
      <c r="E2036" s="605" t="str">
        <f>IFERROR(__xludf.DUMMYFUNCTION("""COMPUTED_VALUE"""),"NA")</f>
        <v>NA</v>
      </c>
      <c r="F2036" s="605" t="str">
        <f>IFERROR(__xludf.DUMMYFUNCTION("""COMPUTED_VALUE"""),"DO NOT USE")</f>
        <v>DO NOT USE</v>
      </c>
      <c r="G2036" s="605"/>
      <c r="H2036" s="605"/>
      <c r="I2036" s="605"/>
      <c r="J2036" s="606"/>
      <c r="K2036" s="605"/>
      <c r="L2036" s="605"/>
      <c r="M2036" s="605"/>
      <c r="N2036" s="605"/>
      <c r="O2036" s="605"/>
      <c r="P2036" s="605" t="s">
        <v>7177</v>
      </c>
    </row>
    <row r="2037">
      <c r="A2037" s="605"/>
      <c r="B2037" s="605"/>
      <c r="C2037" s="605"/>
      <c r="D2037" s="605"/>
      <c r="E2037" s="605" t="str">
        <f>IFERROR(__xludf.DUMMYFUNCTION("""COMPUTED_VALUE"""),"NA")</f>
        <v>NA</v>
      </c>
      <c r="F2037" s="605" t="str">
        <f>IFERROR(__xludf.DUMMYFUNCTION("""COMPUTED_VALUE"""),"NA")</f>
        <v>NA</v>
      </c>
      <c r="G2037" s="605"/>
      <c r="H2037" s="605"/>
      <c r="I2037" s="605"/>
      <c r="J2037" s="606"/>
      <c r="K2037" s="605"/>
      <c r="L2037" s="605"/>
      <c r="M2037" s="605"/>
      <c r="N2037" s="605"/>
      <c r="O2037" s="605"/>
      <c r="P2037" s="605" t="s">
        <v>3322</v>
      </c>
    </row>
    <row r="2038">
      <c r="A2038" s="605"/>
      <c r="B2038" s="605"/>
      <c r="C2038" s="605"/>
      <c r="D2038" s="605"/>
      <c r="E2038" s="605" t="str">
        <f>IFERROR(__xludf.DUMMYFUNCTION("""COMPUTED_VALUE"""),"NA")</f>
        <v>NA</v>
      </c>
      <c r="F2038" s="605" t="str">
        <f>IFERROR(__xludf.DUMMYFUNCTION("""COMPUTED_VALUE"""),"NA")</f>
        <v>NA</v>
      </c>
      <c r="G2038" s="605"/>
      <c r="H2038" s="605"/>
      <c r="I2038" s="605"/>
      <c r="J2038" s="606"/>
      <c r="K2038" s="605"/>
      <c r="L2038" s="605"/>
      <c r="M2038" s="605"/>
      <c r="N2038" s="605"/>
      <c r="O2038" s="605"/>
      <c r="P2038" s="605" t="s">
        <v>7179</v>
      </c>
    </row>
    <row r="2039">
      <c r="A2039" s="605"/>
      <c r="B2039" s="605"/>
      <c r="C2039" s="605"/>
      <c r="D2039" s="605"/>
      <c r="E2039" s="605" t="str">
        <f>IFERROR(__xludf.DUMMYFUNCTION("""COMPUTED_VALUE"""),"NA")</f>
        <v>NA</v>
      </c>
      <c r="F2039" s="605" t="str">
        <f>IFERROR(__xludf.DUMMYFUNCTION("""COMPUTED_VALUE"""),"NA")</f>
        <v>NA</v>
      </c>
      <c r="G2039" s="605"/>
      <c r="H2039" s="605"/>
      <c r="I2039" s="605"/>
      <c r="J2039" s="606"/>
      <c r="K2039" s="605"/>
      <c r="L2039" s="605"/>
      <c r="M2039" s="605"/>
      <c r="N2039" s="605"/>
      <c r="O2039" s="605"/>
      <c r="P2039" s="605" t="s">
        <v>7181</v>
      </c>
    </row>
    <row r="2040">
      <c r="A2040" s="605"/>
      <c r="B2040" s="605"/>
      <c r="C2040" s="605"/>
      <c r="D2040" s="605"/>
      <c r="E2040" s="605" t="str">
        <f>IFERROR(__xludf.DUMMYFUNCTION("""COMPUTED_VALUE"""),"NALCO")</f>
        <v>NALCO</v>
      </c>
      <c r="F2040" s="605" t="str">
        <f>IFERROR(__xludf.DUMMYFUNCTION("""COMPUTED_VALUE"""),"GLOBAL GATEWAY")</f>
        <v>GLOBAL GATEWAY</v>
      </c>
      <c r="G2040" s="605"/>
      <c r="H2040" s="605"/>
      <c r="I2040" s="605"/>
      <c r="J2040" s="606"/>
      <c r="K2040" s="605"/>
      <c r="L2040" s="605"/>
      <c r="M2040" s="605"/>
      <c r="N2040" s="605"/>
      <c r="O2040" s="605"/>
      <c r="P2040" s="605" t="s">
        <v>7183</v>
      </c>
    </row>
    <row r="2041">
      <c r="A2041" s="605"/>
      <c r="B2041" s="605"/>
      <c r="C2041" s="605"/>
      <c r="D2041" s="605"/>
      <c r="E2041" s="605" t="str">
        <f>IFERROR(__xludf.DUMMYFUNCTION("""COMPUTED_VALUE"""),"NEC")</f>
        <v>NEC</v>
      </c>
      <c r="F2041" s="605" t="str">
        <f>IFERROR(__xludf.DUMMYFUNCTION("""COMPUTED_VALUE"""),"NEC FC-E16U")</f>
        <v>NEC FC-E16U</v>
      </c>
      <c r="G2041" s="605"/>
      <c r="H2041" s="605"/>
      <c r="I2041" s="605"/>
      <c r="J2041" s="606"/>
      <c r="K2041" s="605"/>
      <c r="L2041" s="605"/>
      <c r="M2041" s="605"/>
      <c r="N2041" s="605"/>
      <c r="O2041" s="605"/>
      <c r="P2041" s="605" t="s">
        <v>7185</v>
      </c>
    </row>
    <row r="2042">
      <c r="A2042" s="605"/>
      <c r="B2042" s="605"/>
      <c r="C2042" s="605"/>
      <c r="D2042" s="605"/>
      <c r="E2042" s="605" t="str">
        <f>IFERROR(__xludf.DUMMYFUNCTION("""COMPUTED_VALUE"""),"NEC")</f>
        <v>NEC</v>
      </c>
      <c r="F2042" s="605" t="str">
        <f>IFERROR(__xludf.DUMMYFUNCTION("""COMPUTED_VALUE"""),"MODEL UNKNOWN")</f>
        <v>MODEL UNKNOWN</v>
      </c>
      <c r="G2042" s="605"/>
      <c r="H2042" s="605"/>
      <c r="I2042" s="605"/>
      <c r="J2042" s="606"/>
      <c r="K2042" s="605"/>
      <c r="L2042" s="605"/>
      <c r="M2042" s="605"/>
      <c r="N2042" s="605"/>
      <c r="O2042" s="605"/>
      <c r="P2042" s="605" t="s">
        <v>7187</v>
      </c>
    </row>
    <row r="2043">
      <c r="A2043" s="605"/>
      <c r="B2043" s="605"/>
      <c r="C2043" s="605"/>
      <c r="D2043" s="605"/>
      <c r="E2043" s="605" t="str">
        <f>IFERROR(__xludf.DUMMYFUNCTION("""COMPUTED_VALUE"""),"NEC")</f>
        <v>NEC</v>
      </c>
      <c r="F2043" s="605" t="str">
        <f>IFERROR(__xludf.DUMMYFUNCTION("""COMPUTED_VALUE"""),"MULTISYNC P554")</f>
        <v>MULTISYNC P554</v>
      </c>
      <c r="G2043" s="605"/>
      <c r="H2043" s="605"/>
      <c r="I2043" s="605"/>
      <c r="J2043" s="606"/>
      <c r="K2043" s="605"/>
      <c r="L2043" s="605"/>
      <c r="M2043" s="605"/>
      <c r="N2043" s="605"/>
      <c r="O2043" s="605"/>
      <c r="P2043" s="605" t="s">
        <v>7189</v>
      </c>
    </row>
    <row r="2044">
      <c r="A2044" s="605"/>
      <c r="B2044" s="605"/>
      <c r="C2044" s="605"/>
      <c r="D2044" s="605"/>
      <c r="E2044" s="605" t="str">
        <f>IFERROR(__xludf.DUMMYFUNCTION("""COMPUTED_VALUE"""),"NEC")</f>
        <v>NEC</v>
      </c>
      <c r="F2044" s="605" t="str">
        <f>IFERROR(__xludf.DUMMYFUNCTION("""COMPUTED_VALUE"""),"MULTISYNC V423")</f>
        <v>MULTISYNC V423</v>
      </c>
      <c r="G2044" s="605"/>
      <c r="H2044" s="605"/>
      <c r="I2044" s="605"/>
      <c r="J2044" s="606"/>
      <c r="K2044" s="605"/>
      <c r="L2044" s="605"/>
      <c r="M2044" s="605"/>
      <c r="N2044" s="605"/>
      <c r="O2044" s="605"/>
      <c r="P2044" s="605" t="s">
        <v>7191</v>
      </c>
    </row>
    <row r="2045">
      <c r="A2045" s="605"/>
      <c r="B2045" s="605"/>
      <c r="C2045" s="605"/>
      <c r="D2045" s="605"/>
      <c r="E2045" s="605" t="str">
        <f>IFERROR(__xludf.DUMMYFUNCTION("""COMPUTED_VALUE"""),"NEC")</f>
        <v>NEC</v>
      </c>
      <c r="F2045" s="605" t="str">
        <f>IFERROR(__xludf.DUMMYFUNCTION("""COMPUTED_VALUE"""),"MULTISYNC V463")</f>
        <v>MULTISYNC V463</v>
      </c>
      <c r="G2045" s="605"/>
      <c r="H2045" s="605"/>
      <c r="I2045" s="605"/>
      <c r="J2045" s="606"/>
      <c r="K2045" s="605"/>
      <c r="L2045" s="605"/>
      <c r="M2045" s="605"/>
      <c r="N2045" s="605"/>
      <c r="O2045" s="605"/>
      <c r="P2045" s="605" t="s">
        <v>7193</v>
      </c>
    </row>
    <row r="2046">
      <c r="A2046" s="605"/>
      <c r="B2046" s="605"/>
      <c r="C2046" s="605"/>
      <c r="D2046" s="605"/>
      <c r="E2046" s="605" t="str">
        <f>IFERROR(__xludf.DUMMYFUNCTION("""COMPUTED_VALUE"""),"NEC")</f>
        <v>NEC</v>
      </c>
      <c r="F2046" s="605" t="str">
        <f>IFERROR(__xludf.DUMMYFUNCTION("""COMPUTED_VALUE"""),"MULTISYNC V552")</f>
        <v>MULTISYNC V552</v>
      </c>
      <c r="G2046" s="605"/>
      <c r="H2046" s="605"/>
      <c r="I2046" s="605"/>
      <c r="J2046" s="606"/>
      <c r="K2046" s="605"/>
      <c r="L2046" s="605"/>
      <c r="M2046" s="605"/>
      <c r="N2046" s="605"/>
      <c r="O2046" s="605"/>
      <c r="P2046" s="605" t="s">
        <v>7195</v>
      </c>
    </row>
    <row r="2047">
      <c r="A2047" s="605"/>
      <c r="B2047" s="605"/>
      <c r="C2047" s="605"/>
      <c r="D2047" s="605"/>
      <c r="E2047" s="605" t="str">
        <f>IFERROR(__xludf.DUMMYFUNCTION("""COMPUTED_VALUE"""),"NEC")</f>
        <v>NEC</v>
      </c>
      <c r="F2047" s="605" t="str">
        <f>IFERROR(__xludf.DUMMYFUNCTION("""COMPUTED_VALUE"""),"MULTISYNC V554")</f>
        <v>MULTISYNC V554</v>
      </c>
      <c r="G2047" s="605"/>
      <c r="H2047" s="605"/>
      <c r="I2047" s="605"/>
      <c r="J2047" s="606"/>
      <c r="K2047" s="605"/>
      <c r="L2047" s="605"/>
      <c r="M2047" s="605"/>
      <c r="N2047" s="605"/>
      <c r="O2047" s="605"/>
      <c r="P2047" s="605" t="s">
        <v>7197</v>
      </c>
    </row>
    <row r="2048">
      <c r="A2048" s="605"/>
      <c r="B2048" s="605"/>
      <c r="C2048" s="605"/>
      <c r="D2048" s="605"/>
      <c r="E2048" s="605" t="str">
        <f>IFERROR(__xludf.DUMMYFUNCTION("""COMPUTED_VALUE"""),"NEC")</f>
        <v>NEC</v>
      </c>
      <c r="F2048" s="605" t="str">
        <f>IFERROR(__xludf.DUMMYFUNCTION("""COMPUTED_VALUE"""),"MULTISYNC V654Q")</f>
        <v>MULTISYNC V654Q</v>
      </c>
      <c r="G2048" s="605"/>
      <c r="H2048" s="605"/>
      <c r="I2048" s="605"/>
      <c r="J2048" s="606"/>
      <c r="K2048" s="605"/>
      <c r="L2048" s="605"/>
      <c r="M2048" s="605"/>
      <c r="N2048" s="605"/>
      <c r="O2048" s="605"/>
      <c r="P2048" s="605" t="s">
        <v>3325</v>
      </c>
    </row>
    <row r="2049">
      <c r="A2049" s="605"/>
      <c r="B2049" s="605"/>
      <c r="C2049" s="605"/>
      <c r="D2049" s="605"/>
      <c r="E2049" s="605" t="str">
        <f>IFERROR(__xludf.DUMMYFUNCTION("""COMPUTED_VALUE"""),"NEC")</f>
        <v>NEC</v>
      </c>
      <c r="F2049" s="605" t="str">
        <f>IFERROR(__xludf.DUMMYFUNCTION("""COMPUTED_VALUE"""),"NOT VERIFIED")</f>
        <v>NOT VERIFIED</v>
      </c>
      <c r="G2049" s="605"/>
      <c r="H2049" s="605"/>
      <c r="I2049" s="605"/>
      <c r="J2049" s="606"/>
      <c r="K2049" s="605"/>
      <c r="L2049" s="605"/>
      <c r="M2049" s="605"/>
      <c r="N2049" s="605"/>
      <c r="O2049" s="605"/>
      <c r="P2049" s="605" t="s">
        <v>7199</v>
      </c>
    </row>
    <row r="2050">
      <c r="A2050" s="605"/>
      <c r="B2050" s="605"/>
      <c r="C2050" s="605"/>
      <c r="D2050" s="605"/>
      <c r="E2050" s="605" t="str">
        <f>IFERROR(__xludf.DUMMYFUNCTION("""COMPUTED_VALUE"""),"NEC")</f>
        <v>NEC</v>
      </c>
      <c r="F2050" s="605" t="str">
        <f>IFERROR(__xludf.DUMMYFUNCTION("""COMPUTED_VALUE"""),"NEC-NWA")</f>
        <v>NEC-NWA</v>
      </c>
      <c r="G2050" s="605"/>
      <c r="H2050" s="605"/>
      <c r="I2050" s="605"/>
      <c r="J2050" s="606"/>
      <c r="K2050" s="605"/>
      <c r="L2050" s="605"/>
      <c r="M2050" s="605"/>
      <c r="N2050" s="605"/>
      <c r="O2050" s="605"/>
      <c r="P2050" s="605" t="s">
        <v>7201</v>
      </c>
    </row>
    <row r="2051">
      <c r="A2051" s="605"/>
      <c r="B2051" s="605"/>
      <c r="C2051" s="605"/>
      <c r="D2051" s="605"/>
      <c r="E2051" s="605" t="str">
        <f>IFERROR(__xludf.DUMMYFUNCTION("""COMPUTED_VALUE"""),"NEC")</f>
        <v>NEC</v>
      </c>
      <c r="F2051" s="605" t="str">
        <f>IFERROR(__xludf.DUMMYFUNCTION("""COMPUTED_VALUE"""),"NEC-NWA")</f>
        <v>NEC-NWA</v>
      </c>
      <c r="G2051" s="605"/>
      <c r="H2051" s="605"/>
      <c r="I2051" s="605"/>
      <c r="J2051" s="606"/>
      <c r="K2051" s="605"/>
      <c r="L2051" s="605"/>
      <c r="M2051" s="605"/>
      <c r="N2051" s="605"/>
      <c r="O2051" s="605"/>
      <c r="P2051" s="605" t="s">
        <v>7203</v>
      </c>
    </row>
    <row r="2052">
      <c r="A2052" s="605"/>
      <c r="B2052" s="605"/>
      <c r="C2052" s="605"/>
      <c r="D2052" s="605"/>
      <c r="E2052" s="605" t="str">
        <f>IFERROR(__xludf.DUMMYFUNCTION("""COMPUTED_VALUE"""),"NEC")</f>
        <v>NEC</v>
      </c>
      <c r="F2052" s="605" t="str">
        <f>IFERROR(__xludf.DUMMYFUNCTION("""COMPUTED_VALUE"""),"P553")</f>
        <v>P553</v>
      </c>
      <c r="G2052" s="605"/>
      <c r="H2052" s="605"/>
      <c r="I2052" s="605"/>
      <c r="J2052" s="606"/>
      <c r="K2052" s="605"/>
      <c r="L2052" s="605"/>
      <c r="M2052" s="605"/>
      <c r="N2052" s="605"/>
      <c r="O2052" s="605"/>
      <c r="P2052" s="605" t="s">
        <v>7205</v>
      </c>
    </row>
    <row r="2053">
      <c r="A2053" s="605"/>
      <c r="B2053" s="605"/>
      <c r="C2053" s="605"/>
      <c r="D2053" s="605"/>
      <c r="E2053" s="605" t="str">
        <f>IFERROR(__xludf.DUMMYFUNCTION("""COMPUTED_VALUE"""),"NEC")</f>
        <v>NEC</v>
      </c>
      <c r="F2053" s="605" t="str">
        <f>IFERROR(__xludf.DUMMYFUNCTION("""COMPUTED_VALUE"""),"V463")</f>
        <v>V463</v>
      </c>
      <c r="G2053" s="605"/>
      <c r="H2053" s="605"/>
      <c r="I2053" s="605"/>
      <c r="J2053" s="606"/>
      <c r="K2053" s="605"/>
      <c r="L2053" s="605"/>
      <c r="M2053" s="605"/>
      <c r="N2053" s="605"/>
      <c r="O2053" s="605"/>
      <c r="P2053" s="605" t="s">
        <v>7207</v>
      </c>
    </row>
    <row r="2054">
      <c r="A2054" s="605"/>
      <c r="B2054" s="605"/>
      <c r="C2054" s="605"/>
      <c r="D2054" s="605"/>
      <c r="E2054" s="605" t="str">
        <f>IFERROR(__xludf.DUMMYFUNCTION("""COMPUTED_VALUE"""),"NEC")</f>
        <v>NEC</v>
      </c>
      <c r="F2054" s="605" t="str">
        <f>IFERROR(__xludf.DUMMYFUNCTION("""COMPUTED_VALUE"""),"V484")</f>
        <v>V484</v>
      </c>
      <c r="G2054" s="605"/>
      <c r="H2054" s="605"/>
      <c r="I2054" s="605"/>
      <c r="J2054" s="606"/>
      <c r="K2054" s="605"/>
      <c r="L2054" s="605"/>
      <c r="M2054" s="605"/>
      <c r="N2054" s="605"/>
      <c r="O2054" s="605"/>
      <c r="P2054" s="605" t="s">
        <v>7209</v>
      </c>
    </row>
    <row r="2055">
      <c r="A2055" s="605"/>
      <c r="B2055" s="605"/>
      <c r="C2055" s="605"/>
      <c r="D2055" s="605"/>
      <c r="E2055" s="605" t="str">
        <f>IFERROR(__xludf.DUMMYFUNCTION("""COMPUTED_VALUE"""),"NEC")</f>
        <v>NEC</v>
      </c>
      <c r="F2055" s="605" t="str">
        <f>IFERROR(__xludf.DUMMYFUNCTION("""COMPUTED_VALUE"""),"V554")</f>
        <v>V554</v>
      </c>
      <c r="G2055" s="605"/>
      <c r="H2055" s="605"/>
      <c r="I2055" s="605"/>
      <c r="J2055" s="606"/>
      <c r="K2055" s="605"/>
      <c r="L2055" s="605"/>
      <c r="M2055" s="605"/>
      <c r="N2055" s="605"/>
      <c r="O2055" s="605"/>
      <c r="P2055" s="605" t="s">
        <v>7211</v>
      </c>
    </row>
    <row r="2056">
      <c r="A2056" s="605"/>
      <c r="B2056" s="605"/>
      <c r="C2056" s="605"/>
      <c r="D2056" s="605"/>
      <c r="E2056" s="605" t="str">
        <f>IFERROR(__xludf.DUMMYFUNCTION("""COMPUTED_VALUE"""),"NEC")</f>
        <v>NEC</v>
      </c>
      <c r="F2056" s="605" t="str">
        <f>IFERROR(__xludf.DUMMYFUNCTION("""COMPUTED_VALUE"""),"V754Q")</f>
        <v>V754Q</v>
      </c>
      <c r="G2056" s="605"/>
      <c r="H2056" s="605"/>
      <c r="I2056" s="605"/>
      <c r="J2056" s="606"/>
      <c r="K2056" s="605"/>
      <c r="L2056" s="605"/>
      <c r="M2056" s="605"/>
      <c r="N2056" s="605"/>
      <c r="O2056" s="605"/>
      <c r="P2056" s="605" t="s">
        <v>7213</v>
      </c>
    </row>
    <row r="2057">
      <c r="A2057" s="605"/>
      <c r="B2057" s="605"/>
      <c r="C2057" s="605"/>
      <c r="D2057" s="605"/>
      <c r="E2057" s="605" t="str">
        <f>IFERROR(__xludf.DUMMYFUNCTION("""COMPUTED_VALUE"""),"NEC")</f>
        <v>NEC</v>
      </c>
      <c r="F2057" s="605" t="str">
        <f>IFERROR(__xludf.DUMMYFUNCTION("""COMPUTED_VALUE"""),"EXPRESS5800-T110I-S")</f>
        <v>EXPRESS5800-T110I-S</v>
      </c>
      <c r="G2057" s="605"/>
      <c r="H2057" s="605"/>
      <c r="I2057" s="605"/>
      <c r="J2057" s="606"/>
      <c r="K2057" s="605"/>
      <c r="L2057" s="605"/>
      <c r="M2057" s="605"/>
      <c r="N2057" s="605"/>
      <c r="O2057" s="605"/>
      <c r="P2057" s="605" t="s">
        <v>7215</v>
      </c>
    </row>
    <row r="2058">
      <c r="A2058" s="605"/>
      <c r="B2058" s="605"/>
      <c r="C2058" s="605"/>
      <c r="D2058" s="605"/>
      <c r="E2058" s="605" t="str">
        <f>IFERROR(__xludf.DUMMYFUNCTION("""COMPUTED_VALUE"""),"NEC")</f>
        <v>NEC</v>
      </c>
      <c r="F2058" s="605" t="str">
        <f>IFERROR(__xludf.DUMMYFUNCTION("""COMPUTED_VALUE"""),"NWA-070453-001")</f>
        <v>NWA-070453-001</v>
      </c>
      <c r="G2058" s="605"/>
      <c r="H2058" s="605"/>
      <c r="I2058" s="605"/>
      <c r="J2058" s="606"/>
      <c r="K2058" s="605"/>
      <c r="L2058" s="605"/>
      <c r="M2058" s="605"/>
      <c r="N2058" s="605"/>
      <c r="O2058" s="605"/>
      <c r="P2058" s="605" t="s">
        <v>7217</v>
      </c>
    </row>
    <row r="2059">
      <c r="A2059" s="605"/>
      <c r="B2059" s="605"/>
      <c r="C2059" s="605"/>
      <c r="D2059" s="605"/>
      <c r="E2059" s="605" t="str">
        <f>IFERROR(__xludf.DUMMYFUNCTION("""COMPUTED_VALUE"""),"NEC")</f>
        <v>NEC</v>
      </c>
      <c r="F2059" s="605" t="str">
        <f>IFERROR(__xludf.DUMMYFUNCTION("""COMPUTED_VALUE"""),"FC-E22U FC98-NX")</f>
        <v>FC-E22U FC98-NX</v>
      </c>
      <c r="G2059" s="605"/>
      <c r="H2059" s="605"/>
      <c r="I2059" s="605"/>
      <c r="J2059" s="606"/>
      <c r="K2059" s="605"/>
      <c r="L2059" s="605"/>
      <c r="M2059" s="605"/>
      <c r="N2059" s="605"/>
      <c r="O2059" s="605"/>
      <c r="P2059" s="605" t="s">
        <v>3327</v>
      </c>
    </row>
    <row r="2060">
      <c r="A2060" s="605"/>
      <c r="B2060" s="605"/>
      <c r="C2060" s="605"/>
      <c r="D2060" s="605"/>
      <c r="E2060" s="605" t="str">
        <f>IFERROR(__xludf.DUMMYFUNCTION("""COMPUTED_VALUE"""),"NEC")</f>
        <v>NEC</v>
      </c>
      <c r="F2060" s="605" t="str">
        <f>IFERROR(__xludf.DUMMYFUNCTION("""COMPUTED_VALUE"""),"MULTISYNC V864Q")</f>
        <v>MULTISYNC V864Q</v>
      </c>
      <c r="G2060" s="605"/>
      <c r="H2060" s="605"/>
      <c r="I2060" s="605"/>
      <c r="J2060" s="606"/>
      <c r="K2060" s="605"/>
      <c r="L2060" s="605"/>
      <c r="M2060" s="605"/>
      <c r="N2060" s="605"/>
      <c r="O2060" s="605"/>
      <c r="P2060" s="605" t="s">
        <v>7219</v>
      </c>
    </row>
    <row r="2061">
      <c r="A2061" s="605"/>
      <c r="B2061" s="605"/>
      <c r="C2061" s="605"/>
      <c r="D2061" s="605"/>
      <c r="E2061" s="605" t="str">
        <f>IFERROR(__xludf.DUMMYFUNCTION("""COMPUTED_VALUE"""),"NEC")</f>
        <v>NEC</v>
      </c>
      <c r="F2061" s="605" t="str">
        <f>IFERROR(__xludf.DUMMYFUNCTION("""COMPUTED_VALUE"""),"MULTISYNC V864Q")</f>
        <v>MULTISYNC V864Q</v>
      </c>
      <c r="G2061" s="605"/>
      <c r="H2061" s="605"/>
      <c r="I2061" s="605"/>
      <c r="J2061" s="606"/>
      <c r="K2061" s="605"/>
      <c r="L2061" s="605"/>
      <c r="M2061" s="605"/>
      <c r="N2061" s="605"/>
      <c r="O2061" s="605"/>
      <c r="P2061" s="605" t="s">
        <v>7221</v>
      </c>
    </row>
    <row r="2062">
      <c r="A2062" s="605"/>
      <c r="B2062" s="605"/>
      <c r="C2062" s="605"/>
      <c r="D2062" s="605"/>
      <c r="E2062" s="605" t="str">
        <f>IFERROR(__xludf.DUMMYFUNCTION("""COMPUTED_VALUE"""),"NEC")</f>
        <v>NEC</v>
      </c>
      <c r="F2062" s="605" t="str">
        <f>IFERROR(__xludf.DUMMYFUNCTION("""COMPUTED_VALUE"""),"UNIVERGE IX2215")</f>
        <v>UNIVERGE IX2215</v>
      </c>
      <c r="G2062" s="605"/>
      <c r="H2062" s="605"/>
      <c r="I2062" s="605"/>
      <c r="J2062" s="606"/>
      <c r="K2062" s="605"/>
      <c r="L2062" s="605"/>
      <c r="M2062" s="605"/>
      <c r="N2062" s="605"/>
      <c r="O2062" s="605"/>
      <c r="P2062" s="605" t="s">
        <v>7223</v>
      </c>
    </row>
    <row r="2063">
      <c r="A2063" s="605"/>
      <c r="B2063" s="605"/>
      <c r="C2063" s="605"/>
      <c r="D2063" s="605"/>
      <c r="E2063" s="605" t="str">
        <f>IFERROR(__xludf.DUMMYFUNCTION("""COMPUTED_VALUE"""),"NECTA")</f>
        <v>NECTA</v>
      </c>
      <c r="F2063" s="605" t="str">
        <f>IFERROR(__xludf.DUMMYFUNCTION("""COMPUTED_VALUE"""),"KALEA PLUS")</f>
        <v>KALEA PLUS</v>
      </c>
      <c r="G2063" s="605"/>
      <c r="H2063" s="605"/>
      <c r="I2063" s="605"/>
      <c r="J2063" s="606"/>
      <c r="K2063" s="605"/>
      <c r="L2063" s="605"/>
      <c r="M2063" s="605"/>
      <c r="N2063" s="605"/>
      <c r="O2063" s="605"/>
      <c r="P2063" s="605" t="s">
        <v>7225</v>
      </c>
    </row>
    <row r="2064">
      <c r="A2064" s="605"/>
      <c r="B2064" s="605"/>
      <c r="C2064" s="605"/>
      <c r="D2064" s="605"/>
      <c r="E2064" s="605" t="str">
        <f>IFERROR(__xludf.DUMMYFUNCTION("""COMPUTED_VALUE"""),"NELCO")</f>
        <v>NELCO</v>
      </c>
      <c r="F2064" s="605" t="str">
        <f>IFERROR(__xludf.DUMMYFUNCTION("""COMPUTED_VALUE"""),"GLOBAL GATEWAY 3G")</f>
        <v>GLOBAL GATEWAY 3G</v>
      </c>
      <c r="G2064" s="605"/>
      <c r="H2064" s="605"/>
      <c r="I2064" s="605"/>
      <c r="J2064" s="606"/>
      <c r="K2064" s="605"/>
      <c r="L2064" s="605"/>
      <c r="M2064" s="605"/>
      <c r="N2064" s="605"/>
      <c r="O2064" s="605"/>
      <c r="P2064" s="605" t="s">
        <v>7227</v>
      </c>
    </row>
    <row r="2065">
      <c r="A2065" s="605"/>
      <c r="B2065" s="605"/>
      <c r="C2065" s="605"/>
      <c r="D2065" s="605"/>
      <c r="E2065" s="605" t="str">
        <f>IFERROR(__xludf.DUMMYFUNCTION("""COMPUTED_VALUE"""),"NEPTRONIC")</f>
        <v>NEPTRONIC</v>
      </c>
      <c r="F2065" s="605" t="str">
        <f>IFERROR(__xludf.DUMMYFUNCTION("""COMPUTED_VALUE"""),"EFCB-OE1 SERIES")</f>
        <v>EFCB-OE1 SERIES</v>
      </c>
      <c r="G2065" s="605"/>
      <c r="H2065" s="605"/>
      <c r="I2065" s="605"/>
      <c r="J2065" s="606"/>
      <c r="K2065" s="605"/>
      <c r="L2065" s="605"/>
      <c r="M2065" s="605"/>
      <c r="N2065" s="605"/>
      <c r="O2065" s="605"/>
      <c r="P2065" s="605" t="s">
        <v>7229</v>
      </c>
    </row>
    <row r="2066">
      <c r="A2066" s="605"/>
      <c r="B2066" s="605"/>
      <c r="C2066" s="605"/>
      <c r="D2066" s="605"/>
      <c r="E2066" s="605" t="str">
        <f>IFERROR(__xludf.DUMMYFUNCTION("""COMPUTED_VALUE"""),"NEPTRONIC")</f>
        <v>NEPTRONIC</v>
      </c>
      <c r="F2066" s="605" t="str">
        <f>IFERROR(__xludf.DUMMYFUNCTION("""COMPUTED_VALUE"""),"EVCB SERIES")</f>
        <v>EVCB SERIES</v>
      </c>
      <c r="G2066" s="605"/>
      <c r="H2066" s="605"/>
      <c r="I2066" s="605"/>
      <c r="J2066" s="606"/>
      <c r="K2066" s="605"/>
      <c r="L2066" s="605"/>
      <c r="M2066" s="605"/>
      <c r="N2066" s="605"/>
      <c r="O2066" s="605"/>
      <c r="P2066" s="605" t="s">
        <v>7231</v>
      </c>
    </row>
    <row r="2067">
      <c r="A2067" s="605"/>
      <c r="B2067" s="605"/>
      <c r="C2067" s="605"/>
      <c r="D2067" s="605"/>
      <c r="E2067" s="605" t="str">
        <f>IFERROR(__xludf.DUMMYFUNCTION("""COMPUTED_VALUE"""),"NESCAFE")</f>
        <v>NESCAFE</v>
      </c>
      <c r="F2067" s="605" t="str">
        <f>IFERROR(__xludf.DUMMYFUNCTION("""COMPUTED_VALUE"""),"NESTLE FRIO")</f>
        <v>NESTLE FRIO</v>
      </c>
      <c r="G2067" s="605"/>
      <c r="H2067" s="605"/>
      <c r="I2067" s="605"/>
      <c r="J2067" s="606"/>
      <c r="K2067" s="605"/>
      <c r="L2067" s="605"/>
      <c r="M2067" s="605"/>
      <c r="N2067" s="605"/>
      <c r="O2067" s="605"/>
      <c r="P2067" s="605" t="s">
        <v>7233</v>
      </c>
    </row>
    <row r="2068">
      <c r="A2068" s="605"/>
      <c r="B2068" s="605"/>
      <c r="C2068" s="605"/>
      <c r="D2068" s="605"/>
      <c r="E2068" s="605" t="str">
        <f>IFERROR(__xludf.DUMMYFUNCTION("""COMPUTED_VALUE"""),"NESPRESSO")</f>
        <v>NESPRESSO</v>
      </c>
      <c r="F2068" s="605" t="str">
        <f>IFERROR(__xludf.DUMMYFUNCTION("""COMPUTED_VALUE"""),"MOMENTO 100")</f>
        <v>MOMENTO 100</v>
      </c>
      <c r="G2068" s="605"/>
      <c r="H2068" s="605"/>
      <c r="I2068" s="605"/>
      <c r="J2068" s="606"/>
      <c r="K2068" s="605"/>
      <c r="L2068" s="605"/>
      <c r="M2068" s="605"/>
      <c r="N2068" s="605"/>
      <c r="O2068" s="605"/>
      <c r="P2068" s="605" t="s">
        <v>7235</v>
      </c>
    </row>
    <row r="2069">
      <c r="A2069" s="605"/>
      <c r="B2069" s="605"/>
      <c r="C2069" s="605"/>
      <c r="D2069" s="605"/>
      <c r="E2069" s="605" t="str">
        <f>IFERROR(__xludf.DUMMYFUNCTION("""COMPUTED_VALUE"""),"NEST")</f>
        <v>NEST</v>
      </c>
      <c r="F2069" s="605" t="str">
        <f>IFERROR(__xludf.DUMMYFUNCTION("""COMPUTED_VALUE"""),"3RD GENERATION")</f>
        <v>3RD GENERATION</v>
      </c>
      <c r="G2069" s="605"/>
      <c r="H2069" s="605"/>
      <c r="I2069" s="605"/>
      <c r="J2069" s="606"/>
      <c r="K2069" s="605"/>
      <c r="L2069" s="605"/>
      <c r="M2069" s="605"/>
      <c r="N2069" s="605"/>
      <c r="O2069" s="605"/>
      <c r="P2069" s="605" t="s">
        <v>7237</v>
      </c>
    </row>
    <row r="2070">
      <c r="A2070" s="605"/>
      <c r="B2070" s="605"/>
      <c r="C2070" s="605"/>
      <c r="D2070" s="605"/>
      <c r="E2070" s="605" t="str">
        <f>IFERROR(__xludf.DUMMYFUNCTION("""COMPUTED_VALUE"""),"NEST")</f>
        <v>NEST</v>
      </c>
      <c r="F2070" s="605" t="str">
        <f>IFERROR(__xludf.DUMMYFUNCTION("""COMPUTED_VALUE"""),"NEST CAM A00005")</f>
        <v>NEST CAM A00005</v>
      </c>
      <c r="G2070" s="605"/>
      <c r="H2070" s="605"/>
      <c r="I2070" s="605"/>
      <c r="J2070" s="606"/>
      <c r="K2070" s="605"/>
      <c r="L2070" s="605"/>
      <c r="M2070" s="605"/>
      <c r="N2070" s="605"/>
      <c r="O2070" s="605"/>
      <c r="P2070" s="605" t="s">
        <v>3330</v>
      </c>
    </row>
    <row r="2071">
      <c r="A2071" s="605"/>
      <c r="B2071" s="605"/>
      <c r="C2071" s="605"/>
      <c r="D2071" s="605"/>
      <c r="E2071" s="605" t="str">
        <f>IFERROR(__xludf.DUMMYFUNCTION("""COMPUTED_VALUE"""),"NESTLE WATERS")</f>
        <v>NESTLE WATERS</v>
      </c>
      <c r="F2071" s="605" t="str">
        <f>IFERROR(__xludf.DUMMYFUNCTION("""COMPUTED_VALUE"""),"CELLI LAN8710A/LAN8710AI")</f>
        <v>CELLI LAN8710A/LAN8710AI</v>
      </c>
      <c r="G2071" s="605"/>
      <c r="H2071" s="605"/>
      <c r="I2071" s="605"/>
      <c r="J2071" s="606"/>
      <c r="K2071" s="605"/>
      <c r="L2071" s="605"/>
      <c r="M2071" s="605"/>
      <c r="N2071" s="605"/>
      <c r="O2071" s="605"/>
      <c r="P2071" s="605" t="s">
        <v>7239</v>
      </c>
    </row>
    <row r="2072">
      <c r="A2072" s="605"/>
      <c r="B2072" s="605"/>
      <c r="C2072" s="605"/>
      <c r="D2072" s="605"/>
      <c r="E2072" s="605" t="str">
        <f>IFERROR(__xludf.DUMMYFUNCTION("""COMPUTED_VALUE"""),"NETFON")</f>
        <v>NETFON</v>
      </c>
      <c r="F2072" s="605" t="str">
        <f>IFERROR(__xludf.DUMMYFUNCTION("""COMPUTED_VALUE"""),"RSA0071")</f>
        <v>RSA0071</v>
      </c>
      <c r="G2072" s="605"/>
      <c r="H2072" s="605"/>
      <c r="I2072" s="605"/>
      <c r="J2072" s="606"/>
      <c r="K2072" s="605"/>
      <c r="L2072" s="605"/>
      <c r="M2072" s="605"/>
      <c r="N2072" s="605"/>
      <c r="O2072" s="605"/>
      <c r="P2072" s="605" t="s">
        <v>7241</v>
      </c>
    </row>
    <row r="2073">
      <c r="A2073" s="605"/>
      <c r="B2073" s="605"/>
      <c r="C2073" s="605"/>
      <c r="D2073" s="605"/>
      <c r="E2073" s="605" t="str">
        <f>IFERROR(__xludf.DUMMYFUNCTION("""COMPUTED_VALUE"""),"NETFON")</f>
        <v>NETFON</v>
      </c>
      <c r="F2073" s="605" t="str">
        <f>IFERROR(__xludf.DUMMYFUNCTION("""COMPUTED_VALUE"""),"RSA0071")</f>
        <v>RSA0071</v>
      </c>
      <c r="G2073" s="605"/>
      <c r="H2073" s="605"/>
      <c r="I2073" s="605"/>
      <c r="J2073" s="606"/>
      <c r="K2073" s="605"/>
      <c r="L2073" s="605"/>
      <c r="M2073" s="605"/>
      <c r="N2073" s="605"/>
      <c r="O2073" s="605"/>
      <c r="P2073" s="605" t="s">
        <v>7243</v>
      </c>
    </row>
    <row r="2074">
      <c r="A2074" s="605"/>
      <c r="B2074" s="605"/>
      <c r="C2074" s="605"/>
      <c r="D2074" s="605"/>
      <c r="E2074" s="605" t="str">
        <f>IFERROR(__xludf.DUMMYFUNCTION("""COMPUTED_VALUE"""),"NETGEAR")</f>
        <v>NETGEAR</v>
      </c>
      <c r="F2074" s="605" t="str">
        <f>IFERROR(__xludf.DUMMYFUNCTION("""COMPUTED_VALUE"""),"AC750")</f>
        <v>AC750</v>
      </c>
      <c r="G2074" s="605"/>
      <c r="H2074" s="605"/>
      <c r="I2074" s="605"/>
      <c r="J2074" s="606"/>
      <c r="K2074" s="605"/>
      <c r="L2074" s="605"/>
      <c r="M2074" s="605"/>
      <c r="N2074" s="605"/>
      <c r="O2074" s="605"/>
      <c r="P2074" s="605" t="s">
        <v>7245</v>
      </c>
    </row>
    <row r="2075">
      <c r="A2075" s="605"/>
      <c r="B2075" s="605"/>
      <c r="C2075" s="605"/>
      <c r="D2075" s="605"/>
      <c r="E2075" s="605" t="str">
        <f>IFERROR(__xludf.DUMMYFUNCTION("""COMPUTED_VALUE"""),"NETGEAR")</f>
        <v>NETGEAR</v>
      </c>
      <c r="F2075" s="605" t="str">
        <f>IFERROR(__xludf.DUMMYFUNCTION("""COMPUTED_VALUE"""),"AC750 WIFI EXTENDER")</f>
        <v>AC750 WIFI EXTENDER</v>
      </c>
      <c r="G2075" s="605"/>
      <c r="H2075" s="605"/>
      <c r="I2075" s="605"/>
      <c r="J2075" s="606"/>
      <c r="K2075" s="605"/>
      <c r="L2075" s="605"/>
      <c r="M2075" s="605"/>
      <c r="N2075" s="605"/>
      <c r="O2075" s="605"/>
      <c r="P2075" s="605" t="s">
        <v>7247</v>
      </c>
    </row>
    <row r="2076">
      <c r="A2076" s="605"/>
      <c r="B2076" s="605"/>
      <c r="C2076" s="605"/>
      <c r="D2076" s="605"/>
      <c r="E2076" s="605" t="str">
        <f>IFERROR(__xludf.DUMMYFUNCTION("""COMPUTED_VALUE"""),"NETGEAR")</f>
        <v>NETGEAR</v>
      </c>
      <c r="F2076" s="605" t="str">
        <f>IFERROR(__xludf.DUMMYFUNCTION("""COMPUTED_VALUE"""),"AC1750")</f>
        <v>AC1750</v>
      </c>
      <c r="G2076" s="605"/>
      <c r="H2076" s="605"/>
      <c r="I2076" s="605"/>
      <c r="J2076" s="606"/>
      <c r="K2076" s="605"/>
      <c r="L2076" s="605"/>
      <c r="M2076" s="605"/>
      <c r="N2076" s="605"/>
      <c r="O2076" s="605"/>
      <c r="P2076" s="605" t="s">
        <v>7249</v>
      </c>
    </row>
    <row r="2077">
      <c r="A2077" s="605"/>
      <c r="B2077" s="605"/>
      <c r="C2077" s="605"/>
      <c r="D2077" s="605"/>
      <c r="E2077" s="605" t="str">
        <f>IFERROR(__xludf.DUMMYFUNCTION("""COMPUTED_VALUE"""),"NETGEAR")</f>
        <v>NETGEAR</v>
      </c>
      <c r="F2077" s="605" t="str">
        <f>IFERROR(__xludf.DUMMYFUNCTION("""COMPUTED_VALUE"""),"DBND3700V2")</f>
        <v>DBND3700V2</v>
      </c>
      <c r="G2077" s="605"/>
      <c r="H2077" s="605"/>
      <c r="I2077" s="605"/>
      <c r="J2077" s="606"/>
      <c r="K2077" s="605"/>
      <c r="L2077" s="605"/>
      <c r="M2077" s="605"/>
      <c r="N2077" s="605"/>
      <c r="O2077" s="605"/>
      <c r="P2077" s="605" t="s">
        <v>7251</v>
      </c>
    </row>
    <row r="2078">
      <c r="A2078" s="605"/>
      <c r="B2078" s="605"/>
      <c r="C2078" s="605"/>
      <c r="D2078" s="605"/>
      <c r="E2078" s="605" t="str">
        <f>IFERROR(__xludf.DUMMYFUNCTION("""COMPUTED_VALUE"""),"NETGEAR")</f>
        <v>NETGEAR</v>
      </c>
      <c r="F2078" s="605" t="str">
        <f>IFERROR(__xludf.DUMMYFUNCTION("""COMPUTED_VALUE"""),"DGND3700 V2")</f>
        <v>DGND3700 V2</v>
      </c>
      <c r="G2078" s="605"/>
      <c r="H2078" s="605"/>
      <c r="I2078" s="605"/>
      <c r="J2078" s="606"/>
      <c r="K2078" s="605"/>
      <c r="L2078" s="605"/>
      <c r="M2078" s="605"/>
      <c r="N2078" s="605"/>
      <c r="O2078" s="605"/>
      <c r="P2078" s="605" t="s">
        <v>7253</v>
      </c>
    </row>
    <row r="2079">
      <c r="A2079" s="605"/>
      <c r="B2079" s="605"/>
      <c r="C2079" s="605"/>
      <c r="D2079" s="605"/>
      <c r="E2079" s="605" t="str">
        <f>IFERROR(__xludf.DUMMYFUNCTION("""COMPUTED_VALUE"""),"NETGEAR")</f>
        <v>NETGEAR</v>
      </c>
      <c r="F2079" s="605" t="str">
        <f>IFERROR(__xludf.DUMMYFUNCTION("""COMPUTED_VALUE"""),"EX3700")</f>
        <v>EX3700</v>
      </c>
      <c r="G2079" s="605"/>
      <c r="H2079" s="605"/>
      <c r="I2079" s="605"/>
      <c r="J2079" s="606"/>
      <c r="K2079" s="605"/>
      <c r="L2079" s="605"/>
      <c r="M2079" s="605"/>
      <c r="N2079" s="605"/>
      <c r="O2079" s="605"/>
      <c r="P2079" s="605" t="s">
        <v>7255</v>
      </c>
    </row>
    <row r="2080">
      <c r="A2080" s="605"/>
      <c r="B2080" s="605"/>
      <c r="C2080" s="605"/>
      <c r="D2080" s="605"/>
      <c r="E2080" s="605" t="str">
        <f>IFERROR(__xludf.DUMMYFUNCTION("""COMPUTED_VALUE"""),"NETGEAR")</f>
        <v>NETGEAR</v>
      </c>
      <c r="F2080" s="605" t="str">
        <f>IFERROR(__xludf.DUMMYFUNCTION("""COMPUTED_VALUE"""),"FS105")</f>
        <v>FS105</v>
      </c>
      <c r="G2080" s="605"/>
      <c r="H2080" s="605"/>
      <c r="I2080" s="605"/>
      <c r="J2080" s="606"/>
      <c r="K2080" s="605"/>
      <c r="L2080" s="605"/>
      <c r="M2080" s="605"/>
      <c r="N2080" s="605"/>
      <c r="O2080" s="605"/>
      <c r="P2080" s="605" t="s">
        <v>7257</v>
      </c>
    </row>
    <row r="2081">
      <c r="A2081" s="605"/>
      <c r="B2081" s="605"/>
      <c r="C2081" s="605"/>
      <c r="D2081" s="605"/>
      <c r="E2081" s="605" t="str">
        <f>IFERROR(__xludf.DUMMYFUNCTION("""COMPUTED_VALUE"""),"NETGEAR")</f>
        <v>NETGEAR</v>
      </c>
      <c r="F2081" s="605" t="str">
        <f>IFERROR(__xludf.DUMMYFUNCTION("""COMPUTED_VALUE"""),"FS105V2")</f>
        <v>FS105V2</v>
      </c>
      <c r="G2081" s="605"/>
      <c r="H2081" s="605"/>
      <c r="I2081" s="605"/>
      <c r="J2081" s="606"/>
      <c r="K2081" s="605"/>
      <c r="L2081" s="605"/>
      <c r="M2081" s="605"/>
      <c r="N2081" s="605"/>
      <c r="O2081" s="605"/>
      <c r="P2081" s="605" t="s">
        <v>2911</v>
      </c>
    </row>
    <row r="2082">
      <c r="A2082" s="605"/>
      <c r="B2082" s="605"/>
      <c r="C2082" s="605"/>
      <c r="D2082" s="605"/>
      <c r="E2082" s="605" t="str">
        <f>IFERROR(__xludf.DUMMYFUNCTION("""COMPUTED_VALUE"""),"NETGEAR")</f>
        <v>NETGEAR</v>
      </c>
      <c r="F2082" s="605" t="str">
        <f>IFERROR(__xludf.DUMMYFUNCTION("""COMPUTED_VALUE"""),"FS108")</f>
        <v>FS108</v>
      </c>
      <c r="G2082" s="605"/>
      <c r="H2082" s="605"/>
      <c r="I2082" s="605"/>
      <c r="J2082" s="606"/>
      <c r="K2082" s="605"/>
      <c r="L2082" s="605"/>
      <c r="M2082" s="605"/>
      <c r="N2082" s="605"/>
      <c r="O2082" s="605"/>
      <c r="P2082" s="605" t="s">
        <v>3333</v>
      </c>
    </row>
    <row r="2083">
      <c r="A2083" s="605"/>
      <c r="B2083" s="605"/>
      <c r="C2083" s="605"/>
      <c r="D2083" s="605"/>
      <c r="E2083" s="605" t="str">
        <f>IFERROR(__xludf.DUMMYFUNCTION("""COMPUTED_VALUE"""),"NETGEAR")</f>
        <v>NETGEAR</v>
      </c>
      <c r="F2083" s="605" t="str">
        <f>IFERROR(__xludf.DUMMYFUNCTION("""COMPUTED_VALUE"""),"FS108P")</f>
        <v>FS108P</v>
      </c>
      <c r="G2083" s="605"/>
      <c r="H2083" s="605"/>
      <c r="I2083" s="605"/>
      <c r="J2083" s="606"/>
      <c r="K2083" s="605"/>
      <c r="L2083" s="605"/>
      <c r="M2083" s="605"/>
      <c r="N2083" s="605"/>
      <c r="O2083" s="605"/>
      <c r="P2083" s="605" t="s">
        <v>7259</v>
      </c>
    </row>
    <row r="2084">
      <c r="A2084" s="605"/>
      <c r="B2084" s="605"/>
      <c r="C2084" s="605"/>
      <c r="D2084" s="605"/>
      <c r="E2084" s="605" t="str">
        <f>IFERROR(__xludf.DUMMYFUNCTION("""COMPUTED_VALUE"""),"NETGEAR")</f>
        <v>NETGEAR</v>
      </c>
      <c r="F2084" s="605" t="str">
        <f>IFERROR(__xludf.DUMMYFUNCTION("""COMPUTED_VALUE"""),"FS116P")</f>
        <v>FS116P</v>
      </c>
      <c r="G2084" s="605"/>
      <c r="H2084" s="605"/>
      <c r="I2084" s="605"/>
      <c r="J2084" s="606"/>
      <c r="K2084" s="605"/>
      <c r="L2084" s="605"/>
      <c r="M2084" s="605"/>
      <c r="N2084" s="605"/>
      <c r="O2084" s="605"/>
      <c r="P2084" s="605" t="s">
        <v>7261</v>
      </c>
    </row>
    <row r="2085">
      <c r="A2085" s="605"/>
      <c r="B2085" s="605"/>
      <c r="C2085" s="605"/>
      <c r="D2085" s="605"/>
      <c r="E2085" s="605" t="str">
        <f>IFERROR(__xludf.DUMMYFUNCTION("""COMPUTED_VALUE"""),"NETGEAR")</f>
        <v>NETGEAR</v>
      </c>
      <c r="F2085" s="605" t="str">
        <f>IFERROR(__xludf.DUMMYFUNCTION("""COMPUTED_VALUE"""),"FS605V3")</f>
        <v>FS605V3</v>
      </c>
      <c r="G2085" s="605"/>
      <c r="H2085" s="605"/>
      <c r="I2085" s="605"/>
      <c r="J2085" s="606"/>
      <c r="K2085" s="605"/>
      <c r="L2085" s="605"/>
      <c r="M2085" s="605"/>
      <c r="N2085" s="605"/>
      <c r="O2085" s="605"/>
      <c r="P2085" s="605" t="s">
        <v>7263</v>
      </c>
    </row>
    <row r="2086">
      <c r="A2086" s="605"/>
      <c r="B2086" s="605"/>
      <c r="C2086" s="605"/>
      <c r="D2086" s="605"/>
      <c r="E2086" s="605" t="str">
        <f>IFERROR(__xludf.DUMMYFUNCTION("""COMPUTED_VALUE"""),"NETGEAR")</f>
        <v>NETGEAR</v>
      </c>
      <c r="F2086" s="605" t="str">
        <f>IFERROR(__xludf.DUMMYFUNCTION("""COMPUTED_VALUE"""),"FS728TPV1")</f>
        <v>FS728TPV1</v>
      </c>
      <c r="G2086" s="605"/>
      <c r="H2086" s="605"/>
      <c r="I2086" s="605"/>
      <c r="J2086" s="606"/>
      <c r="K2086" s="605"/>
      <c r="L2086" s="605"/>
      <c r="M2086" s="605"/>
      <c r="N2086" s="605"/>
      <c r="O2086" s="605"/>
      <c r="P2086" s="605" t="s">
        <v>7265</v>
      </c>
    </row>
    <row r="2087">
      <c r="A2087" s="605"/>
      <c r="B2087" s="605"/>
      <c r="C2087" s="605"/>
      <c r="D2087" s="605"/>
      <c r="E2087" s="605" t="str">
        <f>IFERROR(__xludf.DUMMYFUNCTION("""COMPUTED_VALUE"""),"NETGEAR")</f>
        <v>NETGEAR</v>
      </c>
      <c r="F2087" s="605" t="str">
        <f>IFERROR(__xludf.DUMMYFUNCTION("""COMPUTED_VALUE"""),"G5608V3")</f>
        <v>G5608V3</v>
      </c>
      <c r="G2087" s="605"/>
      <c r="H2087" s="605"/>
      <c r="I2087" s="605"/>
      <c r="J2087" s="606"/>
      <c r="K2087" s="605"/>
      <c r="L2087" s="605"/>
      <c r="M2087" s="605"/>
      <c r="N2087" s="605"/>
      <c r="O2087" s="605"/>
      <c r="P2087" s="605" t="s">
        <v>7267</v>
      </c>
    </row>
    <row r="2088">
      <c r="A2088" s="605"/>
      <c r="B2088" s="605"/>
      <c r="C2088" s="605"/>
      <c r="D2088" s="605"/>
      <c r="E2088" s="605" t="str">
        <f>IFERROR(__xludf.DUMMYFUNCTION("""COMPUTED_VALUE"""),"NETGEAR")</f>
        <v>NETGEAR</v>
      </c>
      <c r="F2088" s="605" t="str">
        <f>IFERROR(__xludf.DUMMYFUNCTION("""COMPUTED_VALUE"""),"G5752TP")</f>
        <v>G5752TP</v>
      </c>
      <c r="G2088" s="605"/>
      <c r="H2088" s="605"/>
      <c r="I2088" s="605"/>
      <c r="J2088" s="606"/>
      <c r="K2088" s="605"/>
      <c r="L2088" s="605"/>
      <c r="M2088" s="605"/>
      <c r="N2088" s="605"/>
      <c r="O2088" s="605"/>
      <c r="P2088" s="605" t="s">
        <v>7269</v>
      </c>
    </row>
    <row r="2089">
      <c r="A2089" s="605"/>
      <c r="B2089" s="605"/>
      <c r="C2089" s="605"/>
      <c r="D2089" s="605"/>
      <c r="E2089" s="605" t="str">
        <f>IFERROR(__xludf.DUMMYFUNCTION("""COMPUTED_VALUE"""),"NETGEAR")</f>
        <v>NETGEAR</v>
      </c>
      <c r="F2089" s="605" t="str">
        <f>IFERROR(__xludf.DUMMYFUNCTION("""COMPUTED_VALUE"""),"GS-108")</f>
        <v>GS-108</v>
      </c>
      <c r="G2089" s="605"/>
      <c r="H2089" s="605"/>
      <c r="I2089" s="605"/>
      <c r="J2089" s="606"/>
      <c r="K2089" s="605"/>
      <c r="L2089" s="605"/>
      <c r="M2089" s="605"/>
      <c r="N2089" s="605"/>
      <c r="O2089" s="605"/>
      <c r="P2089" s="605" t="s">
        <v>7271</v>
      </c>
    </row>
    <row r="2090">
      <c r="A2090" s="605"/>
      <c r="B2090" s="605"/>
      <c r="C2090" s="605"/>
      <c r="D2090" s="605"/>
      <c r="E2090" s="605" t="str">
        <f>IFERROR(__xludf.DUMMYFUNCTION("""COMPUTED_VALUE"""),"NETGEAR")</f>
        <v>NETGEAR</v>
      </c>
      <c r="F2090" s="605" t="str">
        <f>IFERROR(__xludf.DUMMYFUNCTION("""COMPUTED_VALUE"""),"GS105")</f>
        <v>GS105</v>
      </c>
      <c r="G2090" s="605"/>
      <c r="H2090" s="605"/>
      <c r="I2090" s="605"/>
      <c r="J2090" s="606"/>
      <c r="K2090" s="605"/>
      <c r="L2090" s="605"/>
      <c r="M2090" s="605"/>
      <c r="N2090" s="605"/>
      <c r="O2090" s="605"/>
      <c r="P2090" s="605" t="s">
        <v>7273</v>
      </c>
    </row>
    <row r="2091">
      <c r="A2091" s="605"/>
      <c r="B2091" s="605"/>
      <c r="C2091" s="605"/>
      <c r="D2091" s="605"/>
      <c r="E2091" s="605" t="str">
        <f>IFERROR(__xludf.DUMMYFUNCTION("""COMPUTED_VALUE"""),"NETGEAR")</f>
        <v>NETGEAR</v>
      </c>
      <c r="F2091" s="605" t="str">
        <f>IFERROR(__xludf.DUMMYFUNCTION("""COMPUTED_VALUE"""),"GS105E")</f>
        <v>GS105E</v>
      </c>
      <c r="G2091" s="605"/>
      <c r="H2091" s="605"/>
      <c r="I2091" s="605"/>
      <c r="J2091" s="606"/>
      <c r="K2091" s="605"/>
      <c r="L2091" s="605"/>
      <c r="M2091" s="605"/>
      <c r="N2091" s="605"/>
      <c r="O2091" s="605"/>
      <c r="P2091" s="605" t="s">
        <v>7275</v>
      </c>
    </row>
    <row r="2092">
      <c r="A2092" s="605"/>
      <c r="B2092" s="605"/>
      <c r="C2092" s="605"/>
      <c r="D2092" s="605"/>
      <c r="E2092" s="605" t="str">
        <f>IFERROR(__xludf.DUMMYFUNCTION("""COMPUTED_VALUE"""),"NETGEAR")</f>
        <v>NETGEAR</v>
      </c>
      <c r="F2092" s="605" t="str">
        <f>IFERROR(__xludf.DUMMYFUNCTION("""COMPUTED_VALUE"""),"GS105V5")</f>
        <v>GS105V5</v>
      </c>
      <c r="G2092" s="605"/>
      <c r="H2092" s="605"/>
      <c r="I2092" s="605"/>
      <c r="J2092" s="606"/>
      <c r="K2092" s="605"/>
      <c r="L2092" s="605"/>
      <c r="M2092" s="605"/>
      <c r="N2092" s="605"/>
      <c r="O2092" s="605"/>
      <c r="P2092" s="605" t="s">
        <v>7277</v>
      </c>
    </row>
    <row r="2093">
      <c r="A2093" s="605"/>
      <c r="B2093" s="605"/>
      <c r="C2093" s="605"/>
      <c r="D2093" s="605"/>
      <c r="E2093" s="605" t="str">
        <f>IFERROR(__xludf.DUMMYFUNCTION("""COMPUTED_VALUE"""),"NETGEAR")</f>
        <v>NETGEAR</v>
      </c>
      <c r="F2093" s="605" t="str">
        <f>IFERROR(__xludf.DUMMYFUNCTION("""COMPUTED_VALUE"""),"GS108")</f>
        <v>GS108</v>
      </c>
      <c r="G2093" s="605"/>
      <c r="H2093" s="605"/>
      <c r="I2093" s="605"/>
      <c r="J2093" s="606"/>
      <c r="K2093" s="605"/>
      <c r="L2093" s="605"/>
      <c r="M2093" s="605"/>
      <c r="N2093" s="605"/>
      <c r="O2093" s="605"/>
      <c r="P2093" s="605" t="s">
        <v>3336</v>
      </c>
    </row>
    <row r="2094">
      <c r="A2094" s="605"/>
      <c r="B2094" s="605"/>
      <c r="C2094" s="605"/>
      <c r="D2094" s="605"/>
      <c r="E2094" s="605" t="str">
        <f>IFERROR(__xludf.DUMMYFUNCTION("""COMPUTED_VALUE"""),"NETGEAR")</f>
        <v>NETGEAR</v>
      </c>
      <c r="F2094" s="605" t="str">
        <f>IFERROR(__xludf.DUMMYFUNCTION("""COMPUTED_VALUE"""),"GS108E")</f>
        <v>GS108E</v>
      </c>
      <c r="G2094" s="605"/>
      <c r="H2094" s="605"/>
      <c r="I2094" s="605"/>
      <c r="J2094" s="606"/>
      <c r="K2094" s="605"/>
      <c r="L2094" s="605"/>
      <c r="M2094" s="605"/>
      <c r="N2094" s="605"/>
      <c r="O2094" s="605"/>
      <c r="P2094" s="605" t="s">
        <v>7279</v>
      </c>
    </row>
    <row r="2095">
      <c r="A2095" s="605"/>
      <c r="B2095" s="605"/>
      <c r="C2095" s="605"/>
      <c r="D2095" s="605"/>
      <c r="E2095" s="605" t="str">
        <f>IFERROR(__xludf.DUMMYFUNCTION("""COMPUTED_VALUE"""),"NETGEAR")</f>
        <v>NETGEAR</v>
      </c>
      <c r="F2095" s="605" t="str">
        <f>IFERROR(__xludf.DUMMYFUNCTION("""COMPUTED_VALUE"""),"GS108TV2")</f>
        <v>GS108TV2</v>
      </c>
      <c r="G2095" s="605"/>
      <c r="H2095" s="605"/>
      <c r="I2095" s="605"/>
      <c r="J2095" s="606"/>
      <c r="K2095" s="605"/>
      <c r="L2095" s="605"/>
      <c r="M2095" s="605"/>
      <c r="N2095" s="605"/>
      <c r="O2095" s="605"/>
      <c r="P2095" s="605" t="s">
        <v>7281</v>
      </c>
    </row>
    <row r="2096">
      <c r="A2096" s="605"/>
      <c r="B2096" s="605"/>
      <c r="C2096" s="605"/>
      <c r="D2096" s="605"/>
      <c r="E2096" s="605" t="str">
        <f>IFERROR(__xludf.DUMMYFUNCTION("""COMPUTED_VALUE"""),"NETGEAR")</f>
        <v>NETGEAR</v>
      </c>
      <c r="F2096" s="605" t="str">
        <f>IFERROR(__xludf.DUMMYFUNCTION("""COMPUTED_VALUE"""),"GS108V4")</f>
        <v>GS108V4</v>
      </c>
      <c r="G2096" s="605"/>
      <c r="H2096" s="605"/>
      <c r="I2096" s="605"/>
      <c r="J2096" s="606"/>
      <c r="K2096" s="605"/>
      <c r="L2096" s="605"/>
      <c r="M2096" s="605"/>
      <c r="N2096" s="605"/>
      <c r="O2096" s="605"/>
      <c r="P2096" s="605" t="s">
        <v>7283</v>
      </c>
    </row>
    <row r="2097">
      <c r="A2097" s="605"/>
      <c r="B2097" s="605"/>
      <c r="C2097" s="605"/>
      <c r="D2097" s="605"/>
      <c r="E2097" s="605" t="str">
        <f>IFERROR(__xludf.DUMMYFUNCTION("""COMPUTED_VALUE"""),"NETGEAR")</f>
        <v>NETGEAR</v>
      </c>
      <c r="F2097" s="605" t="str">
        <f>IFERROR(__xludf.DUMMYFUNCTION("""COMPUTED_VALUE"""),"GS110TP")</f>
        <v>GS110TP</v>
      </c>
      <c r="G2097" s="605"/>
      <c r="H2097" s="605"/>
      <c r="I2097" s="605"/>
      <c r="J2097" s="606"/>
      <c r="K2097" s="605"/>
      <c r="L2097" s="605"/>
      <c r="M2097" s="605"/>
      <c r="N2097" s="605"/>
      <c r="O2097" s="605"/>
      <c r="P2097" s="605" t="s">
        <v>7285</v>
      </c>
    </row>
    <row r="2098">
      <c r="A2098" s="605"/>
      <c r="B2098" s="605"/>
      <c r="C2098" s="605"/>
      <c r="D2098" s="605"/>
      <c r="E2098" s="605" t="str">
        <f>IFERROR(__xludf.DUMMYFUNCTION("""COMPUTED_VALUE"""),"NETGEAR")</f>
        <v>NETGEAR</v>
      </c>
      <c r="F2098" s="605" t="str">
        <f>IFERROR(__xludf.DUMMYFUNCTION("""COMPUTED_VALUE"""),"GS116")</f>
        <v>GS116</v>
      </c>
      <c r="G2098" s="605"/>
      <c r="H2098" s="605"/>
      <c r="I2098" s="605"/>
      <c r="J2098" s="606"/>
      <c r="K2098" s="605"/>
      <c r="L2098" s="605"/>
      <c r="M2098" s="605"/>
      <c r="N2098" s="605"/>
      <c r="O2098" s="605"/>
      <c r="P2098" s="605" t="s">
        <v>7287</v>
      </c>
    </row>
    <row r="2099">
      <c r="A2099" s="605"/>
      <c r="B2099" s="605"/>
      <c r="C2099" s="605"/>
      <c r="D2099" s="605"/>
      <c r="E2099" s="605" t="str">
        <f>IFERROR(__xludf.DUMMYFUNCTION("""COMPUTED_VALUE"""),"NETGEAR")</f>
        <v>NETGEAR</v>
      </c>
      <c r="F2099" s="605" t="str">
        <f>IFERROR(__xludf.DUMMYFUNCTION("""COMPUTED_VALUE"""),"GS305")</f>
        <v>GS305</v>
      </c>
      <c r="G2099" s="605"/>
      <c r="H2099" s="605"/>
      <c r="I2099" s="605"/>
      <c r="J2099" s="606"/>
      <c r="K2099" s="605"/>
      <c r="L2099" s="605"/>
      <c r="M2099" s="605"/>
      <c r="N2099" s="605"/>
      <c r="O2099" s="605"/>
      <c r="P2099" s="605" t="s">
        <v>7289</v>
      </c>
    </row>
    <row r="2100">
      <c r="A2100" s="605"/>
      <c r="B2100" s="605"/>
      <c r="C2100" s="605"/>
      <c r="D2100" s="605"/>
      <c r="E2100" s="605" t="str">
        <f>IFERROR(__xludf.DUMMYFUNCTION("""COMPUTED_VALUE"""),"NETGEAR")</f>
        <v>NETGEAR</v>
      </c>
      <c r="F2100" s="605" t="str">
        <f>IFERROR(__xludf.DUMMYFUNCTION("""COMPUTED_VALUE"""),"GS608V4")</f>
        <v>GS608V4</v>
      </c>
      <c r="G2100" s="605"/>
      <c r="H2100" s="605"/>
      <c r="I2100" s="605"/>
      <c r="J2100" s="606"/>
      <c r="K2100" s="605"/>
      <c r="L2100" s="605"/>
      <c r="M2100" s="605"/>
      <c r="N2100" s="605"/>
      <c r="O2100" s="605"/>
      <c r="P2100" s="605" t="s">
        <v>7291</v>
      </c>
    </row>
    <row r="2101">
      <c r="A2101" s="605"/>
      <c r="B2101" s="605"/>
      <c r="C2101" s="605"/>
      <c r="D2101" s="605"/>
      <c r="E2101" s="605" t="str">
        <f>IFERROR(__xludf.DUMMYFUNCTION("""COMPUTED_VALUE"""),"NETGEAR")</f>
        <v>NETGEAR</v>
      </c>
      <c r="F2101" s="605" t="str">
        <f>IFERROR(__xludf.DUMMYFUNCTION("""COMPUTED_VALUE"""),"GS724TV4")</f>
        <v>GS724TV4</v>
      </c>
      <c r="G2101" s="605"/>
      <c r="H2101" s="605"/>
      <c r="I2101" s="605"/>
      <c r="J2101" s="606"/>
      <c r="K2101" s="605"/>
      <c r="L2101" s="605"/>
      <c r="M2101" s="605"/>
      <c r="N2101" s="605"/>
      <c r="O2101" s="605"/>
      <c r="P2101" s="605" t="s">
        <v>7293</v>
      </c>
    </row>
    <row r="2102">
      <c r="A2102" s="605"/>
      <c r="B2102" s="605"/>
      <c r="C2102" s="605"/>
      <c r="D2102" s="605"/>
      <c r="E2102" s="605" t="str">
        <f>IFERROR(__xludf.DUMMYFUNCTION("""COMPUTED_VALUE"""),"NETGEAR")</f>
        <v>NETGEAR</v>
      </c>
      <c r="F2102" s="605" t="str">
        <f>IFERROR(__xludf.DUMMYFUNCTION("""COMPUTED_VALUE"""),"GS752TPS")</f>
        <v>GS752TPS</v>
      </c>
      <c r="G2102" s="605"/>
      <c r="H2102" s="605"/>
      <c r="I2102" s="605"/>
      <c r="J2102" s="606"/>
      <c r="K2102" s="605"/>
      <c r="L2102" s="605"/>
      <c r="M2102" s="605"/>
      <c r="N2102" s="605"/>
      <c r="O2102" s="605"/>
      <c r="P2102" s="605" t="s">
        <v>7295</v>
      </c>
    </row>
    <row r="2103">
      <c r="A2103" s="605"/>
      <c r="B2103" s="605"/>
      <c r="C2103" s="605"/>
      <c r="D2103" s="605"/>
      <c r="E2103" s="605" t="str">
        <f>IFERROR(__xludf.DUMMYFUNCTION("""COMPUTED_VALUE"""),"NETGEAR")</f>
        <v>NETGEAR</v>
      </c>
      <c r="F2103" s="605" t="str">
        <f>IFERROR(__xludf.DUMMYFUNCTION("""COMPUTED_VALUE"""),"JGS524")</f>
        <v>JGS524</v>
      </c>
      <c r="G2103" s="605"/>
      <c r="H2103" s="605"/>
      <c r="I2103" s="605"/>
      <c r="J2103" s="606"/>
      <c r="K2103" s="605"/>
      <c r="L2103" s="605"/>
      <c r="M2103" s="605"/>
      <c r="N2103" s="605"/>
      <c r="O2103" s="605"/>
      <c r="P2103" s="605" t="s">
        <v>7297</v>
      </c>
    </row>
    <row r="2104">
      <c r="A2104" s="605"/>
      <c r="B2104" s="605"/>
      <c r="C2104" s="605"/>
      <c r="D2104" s="605"/>
      <c r="E2104" s="605" t="str">
        <f>IFERROR(__xludf.DUMMYFUNCTION("""COMPUTED_VALUE"""),"NETGEAR")</f>
        <v>NETGEAR</v>
      </c>
      <c r="F2104" s="605" t="str">
        <f>IFERROR(__xludf.DUMMYFUNCTION("""COMPUTED_VALUE"""),"MBR1515")</f>
        <v>MBR1515</v>
      </c>
      <c r="G2104" s="605"/>
      <c r="H2104" s="605"/>
      <c r="I2104" s="605"/>
      <c r="J2104" s="606"/>
      <c r="K2104" s="605"/>
      <c r="L2104" s="605"/>
      <c r="M2104" s="605"/>
      <c r="N2104" s="605"/>
      <c r="O2104" s="605"/>
      <c r="P2104" s="605" t="s">
        <v>3339</v>
      </c>
    </row>
    <row r="2105">
      <c r="A2105" s="605"/>
      <c r="B2105" s="605"/>
      <c r="C2105" s="605"/>
      <c r="D2105" s="605"/>
      <c r="E2105" s="605" t="str">
        <f>IFERROR(__xludf.DUMMYFUNCTION("""COMPUTED_VALUE"""),"NETGEAR")</f>
        <v>NETGEAR</v>
      </c>
      <c r="F2105" s="605" t="str">
        <f>IFERROR(__xludf.DUMMYFUNCTION("""COMPUTED_VALUE"""),"MBR1515")</f>
        <v>MBR1515</v>
      </c>
      <c r="G2105" s="605"/>
      <c r="H2105" s="605"/>
      <c r="I2105" s="605"/>
      <c r="J2105" s="606"/>
      <c r="K2105" s="605"/>
      <c r="L2105" s="605"/>
      <c r="M2105" s="605"/>
      <c r="N2105" s="605"/>
      <c r="O2105" s="605"/>
      <c r="P2105" s="605" t="s">
        <v>7299</v>
      </c>
    </row>
    <row r="2106">
      <c r="A2106" s="605"/>
      <c r="B2106" s="605"/>
      <c r="C2106" s="605"/>
      <c r="D2106" s="605"/>
      <c r="E2106" s="605" t="str">
        <f>IFERROR(__xludf.DUMMYFUNCTION("""COMPUTED_VALUE"""),"NETGEAR")</f>
        <v>NETGEAR</v>
      </c>
      <c r="F2106" s="605" t="str">
        <f>IFERROR(__xludf.DUMMYFUNCTION("""COMPUTED_VALUE"""),"MBR1515")</f>
        <v>MBR1515</v>
      </c>
      <c r="G2106" s="605"/>
      <c r="H2106" s="605"/>
      <c r="I2106" s="605"/>
      <c r="J2106" s="606"/>
      <c r="K2106" s="605"/>
      <c r="L2106" s="605"/>
      <c r="M2106" s="605"/>
      <c r="N2106" s="605"/>
      <c r="O2106" s="605"/>
      <c r="P2106" s="605" t="s">
        <v>7301</v>
      </c>
    </row>
    <row r="2107">
      <c r="A2107" s="605"/>
      <c r="B2107" s="605"/>
      <c r="C2107" s="605"/>
      <c r="D2107" s="605"/>
      <c r="E2107" s="605" t="str">
        <f>IFERROR(__xludf.DUMMYFUNCTION("""COMPUTED_VALUE"""),"NETGEAR")</f>
        <v>NETGEAR</v>
      </c>
      <c r="F2107" s="605" t="str">
        <f>IFERROR(__xludf.DUMMYFUNCTION("""COMPUTED_VALUE"""),"MODEL FS105")</f>
        <v>MODEL FS105</v>
      </c>
      <c r="G2107" s="605"/>
      <c r="H2107" s="605"/>
      <c r="I2107" s="605"/>
      <c r="J2107" s="606"/>
      <c r="K2107" s="605"/>
      <c r="L2107" s="605"/>
      <c r="M2107" s="605"/>
      <c r="N2107" s="605"/>
      <c r="O2107" s="605"/>
      <c r="P2107" s="605" t="s">
        <v>7303</v>
      </c>
    </row>
    <row r="2108">
      <c r="A2108" s="605"/>
      <c r="B2108" s="605"/>
      <c r="C2108" s="605"/>
      <c r="D2108" s="605"/>
      <c r="E2108" s="605" t="str">
        <f>IFERROR(__xludf.DUMMYFUNCTION("""COMPUTED_VALUE"""),"NETGEAR")</f>
        <v>NETGEAR</v>
      </c>
      <c r="F2108" s="605" t="str">
        <f>IFERROR(__xludf.DUMMYFUNCTION("""COMPUTED_VALUE"""),"N300")</f>
        <v>N300</v>
      </c>
      <c r="G2108" s="605"/>
      <c r="H2108" s="605"/>
      <c r="I2108" s="605"/>
      <c r="J2108" s="606"/>
      <c r="K2108" s="605"/>
      <c r="L2108" s="605"/>
      <c r="M2108" s="605"/>
      <c r="N2108" s="605"/>
      <c r="O2108" s="605"/>
      <c r="P2108" s="605" t="s">
        <v>7305</v>
      </c>
    </row>
    <row r="2109">
      <c r="A2109" s="605"/>
      <c r="B2109" s="605"/>
      <c r="C2109" s="605"/>
      <c r="D2109" s="605"/>
      <c r="E2109" s="605" t="str">
        <f>IFERROR(__xludf.DUMMYFUNCTION("""COMPUTED_VALUE"""),"NETGEAR")</f>
        <v>NETGEAR</v>
      </c>
      <c r="F2109" s="605" t="str">
        <f>IFERROR(__xludf.DUMMYFUNCTION("""COMPUTED_VALUE"""),"FS108P")</f>
        <v>FS108P</v>
      </c>
      <c r="G2109" s="605"/>
      <c r="H2109" s="605"/>
      <c r="I2109" s="605"/>
      <c r="J2109" s="606"/>
      <c r="K2109" s="605"/>
      <c r="L2109" s="605"/>
      <c r="M2109" s="605"/>
      <c r="N2109" s="605"/>
      <c r="O2109" s="605"/>
      <c r="P2109" s="605" t="s">
        <v>7307</v>
      </c>
    </row>
    <row r="2110">
      <c r="A2110" s="605"/>
      <c r="B2110" s="605"/>
      <c r="C2110" s="605"/>
      <c r="D2110" s="605"/>
      <c r="E2110" s="605" t="str">
        <f>IFERROR(__xludf.DUMMYFUNCTION("""COMPUTED_VALUE"""),"NETGEAR")</f>
        <v>NETGEAR</v>
      </c>
      <c r="F2110" s="605" t="str">
        <f>IFERROR(__xludf.DUMMYFUNCTION("""COMPUTED_VALUE"""),"GS748T")</f>
        <v>GS748T</v>
      </c>
      <c r="G2110" s="605"/>
      <c r="H2110" s="605"/>
      <c r="I2110" s="605"/>
      <c r="J2110" s="606"/>
      <c r="K2110" s="605"/>
      <c r="L2110" s="605"/>
      <c r="M2110" s="605"/>
      <c r="N2110" s="605"/>
      <c r="O2110" s="605"/>
      <c r="P2110" s="605" t="s">
        <v>7309</v>
      </c>
    </row>
    <row r="2111">
      <c r="A2111" s="605"/>
      <c r="B2111" s="605"/>
      <c r="C2111" s="605"/>
      <c r="D2111" s="605"/>
      <c r="E2111" s="605" t="str">
        <f>IFERROR(__xludf.DUMMYFUNCTION("""COMPUTED_VALUE"""),"NETGEAR")</f>
        <v>NETGEAR</v>
      </c>
      <c r="F2111" s="605" t="str">
        <f>IFERROR(__xludf.DUMMYFUNCTION("""COMPUTED_VALUE"""),"GS748T")</f>
        <v>GS748T</v>
      </c>
      <c r="G2111" s="605"/>
      <c r="H2111" s="605"/>
      <c r="I2111" s="605"/>
      <c r="J2111" s="606"/>
      <c r="K2111" s="605"/>
      <c r="L2111" s="605"/>
      <c r="M2111" s="605"/>
      <c r="N2111" s="605"/>
      <c r="O2111" s="605"/>
      <c r="P2111" s="605" t="s">
        <v>7311</v>
      </c>
    </row>
    <row r="2112">
      <c r="A2112" s="605"/>
      <c r="B2112" s="605"/>
      <c r="C2112" s="605"/>
      <c r="D2112" s="605"/>
      <c r="E2112" s="605" t="str">
        <f>IFERROR(__xludf.DUMMYFUNCTION("""COMPUTED_VALUE"""),"NETGEAR")</f>
        <v>NETGEAR</v>
      </c>
      <c r="F2112" s="605" t="str">
        <f>IFERROR(__xludf.DUMMYFUNCTION("""COMPUTED_VALUE"""),"R6080")</f>
        <v>R6080</v>
      </c>
      <c r="G2112" s="605"/>
      <c r="H2112" s="605"/>
      <c r="I2112" s="605"/>
      <c r="J2112" s="606"/>
      <c r="K2112" s="605"/>
      <c r="L2112" s="605"/>
      <c r="M2112" s="605"/>
      <c r="N2112" s="605"/>
      <c r="O2112" s="605"/>
      <c r="P2112" s="605" t="s">
        <v>7313</v>
      </c>
    </row>
    <row r="2113">
      <c r="A2113" s="605"/>
      <c r="B2113" s="605"/>
      <c r="C2113" s="605"/>
      <c r="D2113" s="605"/>
      <c r="E2113" s="605" t="str">
        <f>IFERROR(__xludf.DUMMYFUNCTION("""COMPUTED_VALUE"""),"NETGEAR")</f>
        <v>NETGEAR</v>
      </c>
      <c r="F2113" s="605" t="str">
        <f>IFERROR(__xludf.DUMMYFUNCTION("""COMPUTED_VALUE"""),"EX2700")</f>
        <v>EX2700</v>
      </c>
      <c r="G2113" s="605"/>
      <c r="H2113" s="605"/>
      <c r="I2113" s="605"/>
      <c r="J2113" s="606"/>
      <c r="K2113" s="605"/>
      <c r="L2113" s="605"/>
      <c r="M2113" s="605"/>
      <c r="N2113" s="605"/>
      <c r="O2113" s="605"/>
      <c r="P2113" s="605" t="s">
        <v>7315</v>
      </c>
    </row>
    <row r="2114">
      <c r="A2114" s="605"/>
      <c r="B2114" s="605"/>
      <c r="C2114" s="605"/>
      <c r="D2114" s="605"/>
      <c r="E2114" s="605" t="str">
        <f>IFERROR(__xludf.DUMMYFUNCTION("""COMPUTED_VALUE"""),"NETGEAR")</f>
        <v>NETGEAR</v>
      </c>
      <c r="F2114" s="605" t="str">
        <f>IFERROR(__xludf.DUMMYFUNCTION("""COMPUTED_VALUE"""),"GS605")</f>
        <v>GS605</v>
      </c>
      <c r="G2114" s="605"/>
      <c r="H2114" s="605"/>
      <c r="I2114" s="605"/>
      <c r="J2114" s="606"/>
      <c r="K2114" s="605"/>
      <c r="L2114" s="605"/>
      <c r="M2114" s="605"/>
      <c r="N2114" s="605"/>
      <c r="O2114" s="605"/>
      <c r="P2114" s="605" t="s">
        <v>7317</v>
      </c>
    </row>
    <row r="2115">
      <c r="A2115" s="605"/>
      <c r="B2115" s="605"/>
      <c r="C2115" s="605"/>
      <c r="D2115" s="605"/>
      <c r="E2115" s="605" t="str">
        <f>IFERROR(__xludf.DUMMYFUNCTION("""COMPUTED_VALUE"""),"NETGEAR")</f>
        <v>NETGEAR</v>
      </c>
      <c r="F2115" s="605" t="str">
        <f>IFERROR(__xludf.DUMMYFUNCTION("""COMPUTED_VALUE"""),"LM1200 LTE MODEM")</f>
        <v>LM1200 LTE MODEM</v>
      </c>
      <c r="G2115" s="605"/>
      <c r="H2115" s="605"/>
      <c r="I2115" s="605"/>
      <c r="J2115" s="606"/>
      <c r="K2115" s="605"/>
      <c r="L2115" s="605"/>
      <c r="M2115" s="605"/>
      <c r="N2115" s="605"/>
      <c r="O2115" s="605"/>
      <c r="P2115" s="605" t="s">
        <v>3342</v>
      </c>
    </row>
    <row r="2116">
      <c r="A2116" s="605"/>
      <c r="B2116" s="605"/>
      <c r="C2116" s="605"/>
      <c r="D2116" s="605"/>
      <c r="E2116" s="605" t="str">
        <f>IFERROR(__xludf.DUMMYFUNCTION("""COMPUTED_VALUE"""),"NETGEAR")</f>
        <v>NETGEAR</v>
      </c>
      <c r="F2116" s="605" t="str">
        <f>IFERROR(__xludf.DUMMYFUNCTION("""COMPUTED_VALUE"""),"GS728TP")</f>
        <v>GS728TP</v>
      </c>
      <c r="G2116" s="605"/>
      <c r="H2116" s="605"/>
      <c r="I2116" s="605"/>
      <c r="J2116" s="606"/>
      <c r="K2116" s="605"/>
      <c r="L2116" s="605"/>
      <c r="M2116" s="605"/>
      <c r="N2116" s="605"/>
      <c r="O2116" s="605"/>
      <c r="P2116" s="605" t="s">
        <v>7319</v>
      </c>
    </row>
    <row r="2117">
      <c r="A2117" s="605"/>
      <c r="B2117" s="605"/>
      <c r="C2117" s="605"/>
      <c r="D2117" s="605"/>
      <c r="E2117" s="605" t="str">
        <f>IFERROR(__xludf.DUMMYFUNCTION("""COMPUTED_VALUE"""),"NETGEAR")</f>
        <v>NETGEAR</v>
      </c>
      <c r="F2117" s="605" t="str">
        <f>IFERROR(__xludf.DUMMYFUNCTION("""COMPUTED_VALUE"""),"AC1200 SMART WIFI")</f>
        <v>AC1200 SMART WIFI</v>
      </c>
      <c r="G2117" s="605"/>
      <c r="H2117" s="605"/>
      <c r="I2117" s="605"/>
      <c r="J2117" s="606"/>
      <c r="K2117" s="605"/>
      <c r="L2117" s="605"/>
      <c r="M2117" s="605"/>
      <c r="N2117" s="605"/>
      <c r="O2117" s="605"/>
      <c r="P2117" s="605" t="s">
        <v>7321</v>
      </c>
    </row>
    <row r="2118">
      <c r="A2118" s="605"/>
      <c r="B2118" s="605"/>
      <c r="C2118" s="605"/>
      <c r="D2118" s="605"/>
      <c r="E2118" s="605" t="str">
        <f>IFERROR(__xludf.DUMMYFUNCTION("""COMPUTED_VALUE"""),"NETGEAR")</f>
        <v>NETGEAR</v>
      </c>
      <c r="F2118" s="605" t="str">
        <f>IFERROR(__xludf.DUMMYFUNCTION("""COMPUTED_VALUE"""),"A6210 USB ADAPTER")</f>
        <v>A6210 USB ADAPTER</v>
      </c>
      <c r="G2118" s="605"/>
      <c r="H2118" s="605"/>
      <c r="I2118" s="605"/>
      <c r="J2118" s="606"/>
      <c r="K2118" s="605"/>
      <c r="L2118" s="605"/>
      <c r="M2118" s="605"/>
      <c r="N2118" s="605"/>
      <c r="O2118" s="605"/>
      <c r="P2118" s="605" t="s">
        <v>7323</v>
      </c>
    </row>
    <row r="2119">
      <c r="A2119" s="605"/>
      <c r="B2119" s="605"/>
      <c r="C2119" s="605"/>
      <c r="D2119" s="605"/>
      <c r="E2119" s="605" t="str">
        <f>IFERROR(__xludf.DUMMYFUNCTION("""COMPUTED_VALUE"""),"NETGEAR")</f>
        <v>NETGEAR</v>
      </c>
      <c r="F2119" s="605" t="str">
        <f>IFERROR(__xludf.DUMMYFUNCTION("""COMPUTED_VALUE"""),"GS724T")</f>
        <v>GS724T</v>
      </c>
      <c r="G2119" s="605"/>
      <c r="H2119" s="605"/>
      <c r="I2119" s="605"/>
      <c r="J2119" s="606"/>
      <c r="K2119" s="605"/>
      <c r="L2119" s="605"/>
      <c r="M2119" s="605"/>
      <c r="N2119" s="605"/>
      <c r="O2119" s="605"/>
      <c r="P2119" s="605" t="s">
        <v>7325</v>
      </c>
    </row>
    <row r="2120">
      <c r="A2120" s="605"/>
      <c r="B2120" s="605"/>
      <c r="C2120" s="605"/>
      <c r="D2120" s="605"/>
      <c r="E2120" s="605" t="str">
        <f>IFERROR(__xludf.DUMMYFUNCTION("""COMPUTED_VALUE"""),"NETHIX")</f>
        <v>NETHIX</v>
      </c>
      <c r="F2120" s="605" t="str">
        <f>IFERROR(__xludf.DUMMYFUNCTION("""COMPUTED_VALUE"""),"WE500")</f>
        <v>WE500</v>
      </c>
      <c r="G2120" s="605"/>
      <c r="H2120" s="605"/>
      <c r="I2120" s="605"/>
      <c r="J2120" s="606"/>
      <c r="K2120" s="605"/>
      <c r="L2120" s="605"/>
      <c r="M2120" s="605"/>
      <c r="N2120" s="605"/>
      <c r="O2120" s="605"/>
      <c r="P2120" s="605" t="s">
        <v>7327</v>
      </c>
    </row>
    <row r="2121">
      <c r="A2121" s="605"/>
      <c r="B2121" s="605"/>
      <c r="C2121" s="605"/>
      <c r="D2121" s="605"/>
      <c r="E2121" s="605" t="str">
        <f>IFERROR(__xludf.DUMMYFUNCTION("""COMPUTED_VALUE"""),"NETHIX")</f>
        <v>NETHIX</v>
      </c>
      <c r="F2121" s="605" t="str">
        <f>IFERROR(__xludf.DUMMYFUNCTION("""COMPUTED_VALUE"""),"WE500")</f>
        <v>WE500</v>
      </c>
      <c r="G2121" s="605"/>
      <c r="H2121" s="605"/>
      <c r="I2121" s="605"/>
      <c r="J2121" s="606"/>
      <c r="K2121" s="605"/>
      <c r="L2121" s="605"/>
      <c r="M2121" s="605"/>
      <c r="N2121" s="605"/>
      <c r="O2121" s="605"/>
      <c r="P2121" s="605" t="s">
        <v>7329</v>
      </c>
    </row>
    <row r="2122">
      <c r="A2122" s="605"/>
      <c r="B2122" s="605"/>
      <c r="C2122" s="605"/>
      <c r="D2122" s="605"/>
      <c r="E2122" s="605" t="str">
        <f>IFERROR(__xludf.DUMMYFUNCTION("""COMPUTED_VALUE"""),"NETOPIA")</f>
        <v>NETOPIA</v>
      </c>
      <c r="F2122" s="605" t="str">
        <f>IFERROR(__xludf.DUMMYFUNCTION("""COMPUTED_VALUE"""),"3346N-002")</f>
        <v>3346N-002</v>
      </c>
      <c r="G2122" s="605"/>
      <c r="H2122" s="605"/>
      <c r="I2122" s="605"/>
      <c r="J2122" s="606"/>
      <c r="K2122" s="605"/>
      <c r="L2122" s="605"/>
      <c r="M2122" s="605"/>
      <c r="N2122" s="605"/>
      <c r="O2122" s="605"/>
      <c r="P2122" s="605" t="s">
        <v>7331</v>
      </c>
    </row>
    <row r="2123">
      <c r="A2123" s="605"/>
      <c r="B2123" s="605"/>
      <c r="C2123" s="605"/>
      <c r="D2123" s="605"/>
      <c r="E2123" s="605" t="str">
        <f>IFERROR(__xludf.DUMMYFUNCTION("""COMPUTED_VALUE"""),"NETPULSE")</f>
        <v>NETPULSE</v>
      </c>
      <c r="F2123" s="605" t="str">
        <f>IFERROR(__xludf.DUMMYFUNCTION("""COMPUTED_VALUE"""),"NOT VERIFIED")</f>
        <v>NOT VERIFIED</v>
      </c>
      <c r="G2123" s="605"/>
      <c r="H2123" s="605"/>
      <c r="I2123" s="605"/>
      <c r="J2123" s="606"/>
      <c r="K2123" s="605"/>
      <c r="L2123" s="605"/>
      <c r="M2123" s="605"/>
      <c r="N2123" s="605"/>
      <c r="O2123" s="605"/>
      <c r="P2123" s="605" t="s">
        <v>7333</v>
      </c>
    </row>
    <row r="2124">
      <c r="A2124" s="605"/>
      <c r="B2124" s="605"/>
      <c r="C2124" s="605"/>
      <c r="D2124" s="605"/>
      <c r="E2124" s="605" t="str">
        <f>IFERROR(__xludf.DUMMYFUNCTION("""COMPUTED_VALUE"""),"NEXUS")</f>
        <v>NEXUS</v>
      </c>
      <c r="F2124" s="605" t="str">
        <f>IFERROR(__xludf.DUMMYFUNCTION("""COMPUTED_VALUE"""),"NEXUS 9")</f>
        <v>NEXUS 9</v>
      </c>
      <c r="G2124" s="605"/>
      <c r="H2124" s="605"/>
      <c r="I2124" s="605"/>
      <c r="J2124" s="606"/>
      <c r="K2124" s="605"/>
      <c r="L2124" s="605"/>
      <c r="M2124" s="605"/>
      <c r="N2124" s="605"/>
      <c r="O2124" s="605"/>
      <c r="P2124" s="605" t="s">
        <v>7335</v>
      </c>
    </row>
    <row r="2125">
      <c r="A2125" s="605"/>
      <c r="B2125" s="605"/>
      <c r="C2125" s="605"/>
      <c r="D2125" s="605"/>
      <c r="E2125" s="605" t="str">
        <f>IFERROR(__xludf.DUMMYFUNCTION("""COMPUTED_VALUE"""),"NEXUS")</f>
        <v>NEXUS</v>
      </c>
      <c r="F2125" s="605" t="str">
        <f>IFERROR(__xludf.DUMMYFUNCTION("""COMPUTED_VALUE"""),"PRIME G10 MT")</f>
        <v>PRIME G10 MT</v>
      </c>
      <c r="G2125" s="605"/>
      <c r="H2125" s="605"/>
      <c r="I2125" s="605"/>
      <c r="J2125" s="606"/>
      <c r="K2125" s="605"/>
      <c r="L2125" s="605"/>
      <c r="M2125" s="605"/>
      <c r="N2125" s="605"/>
      <c r="O2125" s="605"/>
      <c r="P2125" s="605" t="s">
        <v>7337</v>
      </c>
    </row>
    <row r="2126">
      <c r="A2126" s="605"/>
      <c r="B2126" s="605"/>
      <c r="C2126" s="605"/>
      <c r="D2126" s="605"/>
      <c r="E2126" s="605" t="str">
        <f>IFERROR(__xludf.DUMMYFUNCTION("""COMPUTED_VALUE"""),"NIAGARA")</f>
        <v>NIAGARA</v>
      </c>
      <c r="F2126" s="605" t="str">
        <f>IFERROR(__xludf.DUMMYFUNCTION("""COMPUTED_VALUE"""),"8025")</f>
        <v>8025</v>
      </c>
      <c r="G2126" s="605"/>
      <c r="H2126" s="605"/>
      <c r="I2126" s="605"/>
      <c r="J2126" s="606"/>
      <c r="K2126" s="605"/>
      <c r="L2126" s="605"/>
      <c r="M2126" s="605"/>
      <c r="N2126" s="605"/>
      <c r="O2126" s="605"/>
      <c r="P2126" s="605" t="s">
        <v>3345</v>
      </c>
    </row>
    <row r="2127">
      <c r="A2127" s="605"/>
      <c r="B2127" s="605"/>
      <c r="C2127" s="605"/>
      <c r="D2127" s="605"/>
      <c r="E2127" s="605" t="str">
        <f>IFERROR(__xludf.DUMMYFUNCTION("""COMPUTED_VALUE"""),"NIAGARA")</f>
        <v>NIAGARA</v>
      </c>
      <c r="F2127" s="605" t="str">
        <f>IFERROR(__xludf.DUMMYFUNCTION("""COMPUTED_VALUE"""),"JACE 8000")</f>
        <v>JACE 8000</v>
      </c>
      <c r="G2127" s="605"/>
      <c r="H2127" s="605"/>
      <c r="I2127" s="605"/>
      <c r="J2127" s="606"/>
      <c r="K2127" s="605"/>
      <c r="L2127" s="605"/>
      <c r="M2127" s="605"/>
      <c r="N2127" s="605"/>
      <c r="O2127" s="605"/>
      <c r="P2127" s="605" t="s">
        <v>7339</v>
      </c>
    </row>
    <row r="2128">
      <c r="A2128" s="605"/>
      <c r="B2128" s="605"/>
      <c r="C2128" s="605"/>
      <c r="D2128" s="605"/>
      <c r="E2128" s="605" t="str">
        <f>IFERROR(__xludf.DUMMYFUNCTION("""COMPUTED_VALUE"""),"NIAGARA")</f>
        <v>NIAGARA</v>
      </c>
      <c r="F2128" s="605" t="str">
        <f>IFERROR(__xludf.DUMMYFUNCTION("""COMPUTED_VALUE"""),"NPM2")</f>
        <v>NPM2</v>
      </c>
      <c r="G2128" s="605"/>
      <c r="H2128" s="605"/>
      <c r="I2128" s="605"/>
      <c r="J2128" s="606"/>
      <c r="K2128" s="605"/>
      <c r="L2128" s="605"/>
      <c r="M2128" s="605"/>
      <c r="N2128" s="605"/>
      <c r="O2128" s="605"/>
      <c r="P2128" s="605" t="s">
        <v>7341</v>
      </c>
    </row>
    <row r="2129">
      <c r="A2129" s="605"/>
      <c r="B2129" s="605"/>
      <c r="C2129" s="605"/>
      <c r="D2129" s="605"/>
      <c r="E2129" s="605" t="str">
        <f>IFERROR(__xludf.DUMMYFUNCTION("""COMPUTED_VALUE"""),"NIAGARA")</f>
        <v>NIAGARA</v>
      </c>
      <c r="F2129" s="605" t="str">
        <f>IFERROR(__xludf.DUMMYFUNCTION("""COMPUTED_VALUE"""),"NPM6E")</f>
        <v>NPM6E</v>
      </c>
      <c r="G2129" s="605"/>
      <c r="H2129" s="605"/>
      <c r="I2129" s="605"/>
      <c r="J2129" s="606"/>
      <c r="K2129" s="605"/>
      <c r="L2129" s="605"/>
      <c r="M2129" s="605"/>
      <c r="N2129" s="605"/>
      <c r="O2129" s="605"/>
      <c r="P2129" s="605" t="s">
        <v>7343</v>
      </c>
    </row>
    <row r="2130">
      <c r="A2130" s="605"/>
      <c r="B2130" s="605"/>
      <c r="C2130" s="605"/>
      <c r="D2130" s="605"/>
      <c r="E2130" s="605" t="str">
        <f>IFERROR(__xludf.DUMMYFUNCTION("""COMPUTED_VALUE"""),"NIAGARA")</f>
        <v>NIAGARA</v>
      </c>
      <c r="F2130" s="605" t="str">
        <f>IFERROR(__xludf.DUMMYFUNCTION("""COMPUTED_VALUE"""),"SUPERVISOR")</f>
        <v>SUPERVISOR</v>
      </c>
      <c r="G2130" s="605"/>
      <c r="H2130" s="605"/>
      <c r="I2130" s="605"/>
      <c r="J2130" s="606"/>
      <c r="K2130" s="605"/>
      <c r="L2130" s="605"/>
      <c r="M2130" s="605"/>
      <c r="N2130" s="605"/>
      <c r="O2130" s="605"/>
      <c r="P2130" s="605" t="s">
        <v>7345</v>
      </c>
    </row>
    <row r="2131">
      <c r="A2131" s="605"/>
      <c r="B2131" s="605"/>
      <c r="C2131" s="605"/>
      <c r="D2131" s="605"/>
      <c r="E2131" s="605" t="str">
        <f>IFERROR(__xludf.DUMMYFUNCTION("""COMPUTED_VALUE"""),"NICOTRA")</f>
        <v>NICOTRA</v>
      </c>
      <c r="F2131" s="605" t="str">
        <f>IFERROR(__xludf.DUMMYFUNCTION("""COMPUTED_VALUE"""),"DDMP")</f>
        <v>DDMP</v>
      </c>
      <c r="G2131" s="605"/>
      <c r="H2131" s="605"/>
      <c r="I2131" s="605"/>
      <c r="J2131" s="606"/>
      <c r="K2131" s="605"/>
      <c r="L2131" s="605"/>
      <c r="M2131" s="605"/>
      <c r="N2131" s="605"/>
      <c r="O2131" s="605"/>
      <c r="P2131" s="605" t="s">
        <v>7347</v>
      </c>
    </row>
    <row r="2132">
      <c r="A2132" s="605"/>
      <c r="B2132" s="605"/>
      <c r="C2132" s="605"/>
      <c r="D2132" s="605"/>
      <c r="E2132" s="605" t="str">
        <f>IFERROR(__xludf.DUMMYFUNCTION("""COMPUTED_VALUE"""),"NICOTRA")</f>
        <v>NICOTRA</v>
      </c>
      <c r="F2132" s="605" t="str">
        <f>IFERROR(__xludf.DUMMYFUNCTION("""COMPUTED_VALUE"""),"EC FAN DDMP")</f>
        <v>EC FAN DDMP</v>
      </c>
      <c r="G2132" s="605"/>
      <c r="H2132" s="605"/>
      <c r="I2132" s="605"/>
      <c r="J2132" s="606"/>
      <c r="K2132" s="605"/>
      <c r="L2132" s="605"/>
      <c r="M2132" s="605"/>
      <c r="N2132" s="605"/>
      <c r="O2132" s="605"/>
      <c r="P2132" s="605" t="s">
        <v>7349</v>
      </c>
    </row>
    <row r="2133">
      <c r="A2133" s="605"/>
      <c r="B2133" s="605"/>
      <c r="C2133" s="605"/>
      <c r="D2133" s="605"/>
      <c r="E2133" s="605" t="str">
        <f>IFERROR(__xludf.DUMMYFUNCTION("""COMPUTED_VALUE"""),"NICOTRA")</f>
        <v>NICOTRA</v>
      </c>
      <c r="F2133" s="605" t="str">
        <f>IFERROR(__xludf.DUMMYFUNCTION("""COMPUTED_VALUE"""),"DDMP 9/9 M6A1 DA5")</f>
        <v>DDMP 9/9 M6A1 DA5</v>
      </c>
      <c r="G2133" s="605"/>
      <c r="H2133" s="605"/>
      <c r="I2133" s="605"/>
      <c r="J2133" s="606"/>
      <c r="K2133" s="605"/>
      <c r="L2133" s="605"/>
      <c r="M2133" s="605"/>
      <c r="N2133" s="605"/>
      <c r="O2133" s="605"/>
      <c r="P2133" s="605" t="s">
        <v>7351</v>
      </c>
    </row>
    <row r="2134">
      <c r="A2134" s="605"/>
      <c r="B2134" s="605"/>
      <c r="C2134" s="605"/>
      <c r="D2134" s="605"/>
      <c r="E2134" s="605" t="str">
        <f>IFERROR(__xludf.DUMMYFUNCTION("""COMPUTED_VALUE"""),"NICOTRA")</f>
        <v>NICOTRA</v>
      </c>
      <c r="F2134" s="605" t="str">
        <f>IFERROR(__xludf.DUMMYFUNCTION("""COMPUTED_VALUE"""),"DDMP 7/7 M6A0 DA5")</f>
        <v>DDMP 7/7 M6A0 DA5</v>
      </c>
      <c r="G2134" s="605"/>
      <c r="H2134" s="605"/>
      <c r="I2134" s="605"/>
      <c r="J2134" s="606"/>
      <c r="K2134" s="605"/>
      <c r="L2134" s="605"/>
      <c r="M2134" s="605"/>
      <c r="N2134" s="605"/>
      <c r="O2134" s="605"/>
      <c r="P2134" s="605" t="s">
        <v>7353</v>
      </c>
    </row>
    <row r="2135">
      <c r="A2135" s="605"/>
      <c r="B2135" s="605"/>
      <c r="C2135" s="605"/>
      <c r="D2135" s="605"/>
      <c r="E2135" s="605" t="str">
        <f>IFERROR(__xludf.DUMMYFUNCTION("""COMPUTED_VALUE"""),"NIDEC")</f>
        <v>NIDEC</v>
      </c>
      <c r="F2135" s="605" t="str">
        <f>IFERROR(__xludf.DUMMYFUNCTION("""COMPUTED_VALUE"""),"UNIDRIVE M200")</f>
        <v>UNIDRIVE M200</v>
      </c>
      <c r="G2135" s="605"/>
      <c r="H2135" s="605"/>
      <c r="I2135" s="605"/>
      <c r="J2135" s="606"/>
      <c r="K2135" s="605"/>
      <c r="L2135" s="605"/>
      <c r="M2135" s="605"/>
      <c r="N2135" s="605"/>
      <c r="O2135" s="605"/>
      <c r="P2135" s="605" t="s">
        <v>7355</v>
      </c>
    </row>
    <row r="2136">
      <c r="A2136" s="605"/>
      <c r="B2136" s="605"/>
      <c r="C2136" s="605"/>
      <c r="D2136" s="605"/>
      <c r="E2136" s="605" t="str">
        <f>IFERROR(__xludf.DUMMYFUNCTION("""COMPUTED_VALUE"""),"NINTENDO")</f>
        <v>NINTENDO</v>
      </c>
      <c r="F2136" s="605" t="str">
        <f>IFERROR(__xludf.DUMMYFUNCTION("""COMPUTED_VALUE"""),"HAC-001")</f>
        <v>HAC-001</v>
      </c>
      <c r="G2136" s="605"/>
      <c r="H2136" s="605"/>
      <c r="I2136" s="605"/>
      <c r="J2136" s="606"/>
      <c r="K2136" s="605"/>
      <c r="L2136" s="605"/>
      <c r="M2136" s="605"/>
      <c r="N2136" s="605"/>
      <c r="O2136" s="605"/>
      <c r="P2136" s="605" t="s">
        <v>7357</v>
      </c>
    </row>
    <row r="2137">
      <c r="A2137" s="605"/>
      <c r="B2137" s="605"/>
      <c r="C2137" s="605"/>
      <c r="D2137" s="605"/>
      <c r="E2137" s="605" t="str">
        <f>IFERROR(__xludf.DUMMYFUNCTION("""COMPUTED_VALUE"""),"NINTENDO")</f>
        <v>NINTENDO</v>
      </c>
      <c r="F2137" s="605" t="str">
        <f>IFERROR(__xludf.DUMMYFUNCTION("""COMPUTED_VALUE"""),"HAC-001 (-01)")</f>
        <v>HAC-001 (-01)</v>
      </c>
      <c r="G2137" s="605"/>
      <c r="H2137" s="605"/>
      <c r="I2137" s="605"/>
      <c r="J2137" s="606"/>
      <c r="K2137" s="605"/>
      <c r="L2137" s="605"/>
      <c r="M2137" s="605"/>
      <c r="N2137" s="605"/>
      <c r="O2137" s="605"/>
      <c r="P2137" s="605" t="s">
        <v>3348</v>
      </c>
    </row>
    <row r="2138">
      <c r="A2138" s="605"/>
      <c r="B2138" s="605"/>
      <c r="C2138" s="605"/>
      <c r="D2138" s="605"/>
      <c r="E2138" s="605" t="str">
        <f>IFERROR(__xludf.DUMMYFUNCTION("""COMPUTED_VALUE"""),"NINTENDO")</f>
        <v>NINTENDO</v>
      </c>
      <c r="F2138" s="605" t="str">
        <f>IFERROR(__xludf.DUMMYFUNCTION("""COMPUTED_VALUE"""),"HAC-001(-01)")</f>
        <v>HAC-001(-01)</v>
      </c>
      <c r="G2138" s="605"/>
      <c r="H2138" s="605"/>
      <c r="I2138" s="605"/>
      <c r="J2138" s="606"/>
      <c r="K2138" s="605"/>
      <c r="L2138" s="605"/>
      <c r="M2138" s="605"/>
      <c r="N2138" s="605"/>
      <c r="O2138" s="605"/>
      <c r="P2138" s="605" t="s">
        <v>7359</v>
      </c>
    </row>
    <row r="2139">
      <c r="A2139" s="605"/>
      <c r="B2139" s="605"/>
      <c r="C2139" s="605"/>
      <c r="D2139" s="605"/>
      <c r="E2139" s="605" t="str">
        <f>IFERROR(__xludf.DUMMYFUNCTION("""COMPUTED_VALUE"""),"NINTENDO")</f>
        <v>NINTENDO</v>
      </c>
      <c r="F2139" s="605" t="str">
        <f>IFERROR(__xludf.DUMMYFUNCTION("""COMPUTED_VALUE"""),"HAC-001")</f>
        <v>HAC-001</v>
      </c>
      <c r="G2139" s="605"/>
      <c r="H2139" s="605"/>
      <c r="I2139" s="605"/>
      <c r="J2139" s="606"/>
      <c r="K2139" s="605"/>
      <c r="L2139" s="605"/>
      <c r="M2139" s="605"/>
      <c r="N2139" s="605"/>
      <c r="O2139" s="605"/>
      <c r="P2139" s="605" t="s">
        <v>7361</v>
      </c>
    </row>
    <row r="2140">
      <c r="A2140" s="605"/>
      <c r="B2140" s="605"/>
      <c r="C2140" s="605"/>
      <c r="D2140" s="605"/>
      <c r="E2140" s="605" t="str">
        <f>IFERROR(__xludf.DUMMYFUNCTION("""COMPUTED_VALUE"""),"NINTENDO")</f>
        <v>NINTENDO</v>
      </c>
      <c r="F2140" s="605" t="str">
        <f>IFERROR(__xludf.DUMMYFUNCTION("""COMPUTED_VALUE"""),"HAC-001")</f>
        <v>HAC-001</v>
      </c>
      <c r="G2140" s="605"/>
      <c r="H2140" s="605"/>
      <c r="I2140" s="605"/>
      <c r="J2140" s="606"/>
      <c r="K2140" s="605"/>
      <c r="L2140" s="605"/>
      <c r="M2140" s="605"/>
      <c r="N2140" s="605"/>
      <c r="O2140" s="605"/>
      <c r="P2140" s="605" t="s">
        <v>7363</v>
      </c>
    </row>
    <row r="2141">
      <c r="A2141" s="605"/>
      <c r="B2141" s="605"/>
      <c r="C2141" s="605"/>
      <c r="D2141" s="605"/>
      <c r="E2141" s="605" t="str">
        <f>IFERROR(__xludf.DUMMYFUNCTION("""COMPUTED_VALUE"""),"NINTENDO")</f>
        <v>NINTENDO</v>
      </c>
      <c r="F2141" s="605" t="str">
        <f>IFERROR(__xludf.DUMMYFUNCTION("""COMPUTED_VALUE"""),"HAC-001")</f>
        <v>HAC-001</v>
      </c>
      <c r="G2141" s="605"/>
      <c r="H2141" s="605"/>
      <c r="I2141" s="605"/>
      <c r="J2141" s="606"/>
      <c r="K2141" s="605"/>
      <c r="L2141" s="605"/>
      <c r="M2141" s="605"/>
      <c r="N2141" s="605"/>
      <c r="O2141" s="605"/>
      <c r="P2141" s="605" t="s">
        <v>7365</v>
      </c>
    </row>
    <row r="2142">
      <c r="A2142" s="605"/>
      <c r="B2142" s="605"/>
      <c r="C2142" s="605"/>
      <c r="D2142" s="605"/>
      <c r="E2142" s="605" t="str">
        <f>IFERROR(__xludf.DUMMYFUNCTION("""COMPUTED_VALUE"""),"NINTENDO")</f>
        <v>NINTENDO</v>
      </c>
      <c r="F2142" s="605" t="str">
        <f>IFERROR(__xludf.DUMMYFUNCTION("""COMPUTED_VALUE"""),"HAC1-GG20")</f>
        <v>HAC1-GG20</v>
      </c>
      <c r="G2142" s="605"/>
      <c r="H2142" s="605"/>
      <c r="I2142" s="605"/>
      <c r="J2142" s="606"/>
      <c r="K2142" s="605"/>
      <c r="L2142" s="605"/>
      <c r="M2142" s="605"/>
      <c r="N2142" s="605"/>
      <c r="O2142" s="605"/>
      <c r="P2142" s="605" t="s">
        <v>7367</v>
      </c>
    </row>
    <row r="2143">
      <c r="A2143" s="605"/>
      <c r="B2143" s="605"/>
      <c r="C2143" s="605"/>
      <c r="D2143" s="605"/>
      <c r="E2143" s="605" t="str">
        <f>IFERROR(__xludf.DUMMYFUNCTION("""COMPUTED_VALUE"""),"NINTENDO")</f>
        <v>NINTENDO</v>
      </c>
      <c r="F2143" s="605" t="str">
        <f>IFERROR(__xludf.DUMMYFUNCTION("""COMPUTED_VALUE"""),"MOD.WUP-1010(02)")</f>
        <v>MOD.WUP-1010(02)</v>
      </c>
      <c r="G2143" s="605"/>
      <c r="H2143" s="605"/>
      <c r="I2143" s="605"/>
      <c r="J2143" s="606"/>
      <c r="K2143" s="605"/>
      <c r="L2143" s="605"/>
      <c r="M2143" s="605"/>
      <c r="N2143" s="605"/>
      <c r="O2143" s="605"/>
      <c r="P2143" s="605" t="s">
        <v>7369</v>
      </c>
    </row>
    <row r="2144">
      <c r="A2144" s="605"/>
      <c r="B2144" s="605"/>
      <c r="C2144" s="605"/>
      <c r="D2144" s="605"/>
      <c r="E2144" s="605" t="str">
        <f>IFERROR(__xludf.DUMMYFUNCTION("""COMPUTED_VALUE"""),"NINTENDO")</f>
        <v>NINTENDO</v>
      </c>
      <c r="F2144" s="605" t="str">
        <f>IFERROR(__xludf.DUMMYFUNCTION("""COMPUTED_VALUE"""),"NINTENDO SWITCH")</f>
        <v>NINTENDO SWITCH</v>
      </c>
      <c r="G2144" s="605"/>
      <c r="H2144" s="605"/>
      <c r="I2144" s="605"/>
      <c r="J2144" s="606"/>
      <c r="K2144" s="605"/>
      <c r="L2144" s="605"/>
      <c r="M2144" s="605"/>
      <c r="N2144" s="605"/>
      <c r="O2144" s="605"/>
      <c r="P2144" s="605" t="s">
        <v>7371</v>
      </c>
    </row>
    <row r="2145">
      <c r="A2145" s="605"/>
      <c r="B2145" s="605"/>
      <c r="C2145" s="605"/>
      <c r="D2145" s="605"/>
      <c r="E2145" s="605" t="str">
        <f>IFERROR(__xludf.DUMMYFUNCTION("""COMPUTED_VALUE"""),"NINTENDO")</f>
        <v>NINTENDO</v>
      </c>
      <c r="F2145" s="605" t="str">
        <f>IFERROR(__xludf.DUMMYFUNCTION("""COMPUTED_VALUE"""),"WII U")</f>
        <v>WII U</v>
      </c>
      <c r="G2145" s="605"/>
      <c r="H2145" s="605"/>
      <c r="I2145" s="605"/>
      <c r="J2145" s="606"/>
      <c r="K2145" s="605"/>
      <c r="L2145" s="605"/>
      <c r="M2145" s="605"/>
      <c r="N2145" s="605"/>
      <c r="O2145" s="605"/>
      <c r="P2145" s="605" t="s">
        <v>7373</v>
      </c>
    </row>
    <row r="2146">
      <c r="A2146" s="605"/>
      <c r="B2146" s="605"/>
      <c r="C2146" s="605"/>
      <c r="D2146" s="605"/>
      <c r="E2146" s="605" t="str">
        <f>IFERROR(__xludf.DUMMYFUNCTION("""COMPUTED_VALUE"""),"NINTENDO")</f>
        <v>NINTENDO</v>
      </c>
      <c r="F2146" s="605" t="str">
        <f>IFERROR(__xludf.DUMMYFUNCTION("""COMPUTED_VALUE"""),"SWITCH")</f>
        <v>SWITCH</v>
      </c>
      <c r="G2146" s="605"/>
      <c r="H2146" s="605"/>
      <c r="I2146" s="605"/>
      <c r="J2146" s="606"/>
      <c r="K2146" s="605"/>
      <c r="L2146" s="605"/>
      <c r="M2146" s="605"/>
      <c r="N2146" s="605"/>
      <c r="O2146" s="605"/>
      <c r="P2146" s="605" t="s">
        <v>7375</v>
      </c>
    </row>
    <row r="2147">
      <c r="A2147" s="605"/>
      <c r="B2147" s="605"/>
      <c r="C2147" s="605"/>
      <c r="D2147" s="605"/>
      <c r="E2147" s="605" t="str">
        <f>IFERROR(__xludf.DUMMYFUNCTION("""COMPUTED_VALUE"""),"NINTENDO")</f>
        <v>NINTENDO</v>
      </c>
      <c r="F2147" s="605" t="str">
        <f>IFERROR(__xludf.DUMMYFUNCTION("""COMPUTED_VALUE"""),"WII")</f>
        <v>WII</v>
      </c>
      <c r="G2147" s="605"/>
      <c r="H2147" s="605"/>
      <c r="I2147" s="605"/>
      <c r="J2147" s="606"/>
      <c r="K2147" s="605"/>
      <c r="L2147" s="605"/>
      <c r="M2147" s="605"/>
      <c r="N2147" s="605"/>
      <c r="O2147" s="605"/>
      <c r="P2147" s="605" t="s">
        <v>7377</v>
      </c>
    </row>
    <row r="2148">
      <c r="A2148" s="605"/>
      <c r="B2148" s="605"/>
      <c r="C2148" s="605"/>
      <c r="D2148" s="605"/>
      <c r="E2148" s="605" t="str">
        <f>IFERROR(__xludf.DUMMYFUNCTION("""COMPUTED_VALUE"""),"NINTENDO")</f>
        <v>NINTENDO</v>
      </c>
      <c r="F2148" s="605" t="str">
        <f>IFERROR(__xludf.DUMMYFUNCTION("""COMPUTED_VALUE"""),"WII U")</f>
        <v>WII U</v>
      </c>
      <c r="G2148" s="605"/>
      <c r="H2148" s="605"/>
      <c r="I2148" s="605"/>
      <c r="J2148" s="606"/>
      <c r="K2148" s="605"/>
      <c r="L2148" s="605"/>
      <c r="M2148" s="605"/>
      <c r="N2148" s="605"/>
      <c r="O2148" s="605"/>
      <c r="P2148" s="605" t="s">
        <v>3351</v>
      </c>
    </row>
    <row r="2149">
      <c r="A2149" s="605"/>
      <c r="B2149" s="605"/>
      <c r="C2149" s="605"/>
      <c r="D2149" s="605"/>
      <c r="E2149" s="605" t="str">
        <f>IFERROR(__xludf.DUMMYFUNCTION("""COMPUTED_VALUE"""),"NINTENDO")</f>
        <v>NINTENDO</v>
      </c>
      <c r="F2149" s="605" t="str">
        <f>IFERROR(__xludf.DUMMYFUNCTION("""COMPUTED_VALUE"""),"WUP-010(EUR)")</f>
        <v>WUP-010(EUR)</v>
      </c>
      <c r="G2149" s="605"/>
      <c r="H2149" s="605"/>
      <c r="I2149" s="605"/>
      <c r="J2149" s="606"/>
      <c r="K2149" s="605"/>
      <c r="L2149" s="605"/>
      <c r="M2149" s="605"/>
      <c r="N2149" s="605"/>
      <c r="O2149" s="605"/>
      <c r="P2149" s="605" t="s">
        <v>7379</v>
      </c>
    </row>
    <row r="2150">
      <c r="A2150" s="605"/>
      <c r="B2150" s="605"/>
      <c r="C2150" s="605"/>
      <c r="D2150" s="605"/>
      <c r="E2150" s="605" t="str">
        <f>IFERROR(__xludf.DUMMYFUNCTION("""COMPUTED_VALUE"""),"NINTENDO")</f>
        <v>NINTENDO</v>
      </c>
      <c r="F2150" s="605" t="str">
        <f>IFERROR(__xludf.DUMMYFUNCTION("""COMPUTED_VALUE"""),"WUP-010(USA)")</f>
        <v>WUP-010(USA)</v>
      </c>
      <c r="G2150" s="605"/>
      <c r="H2150" s="605"/>
      <c r="I2150" s="605"/>
      <c r="J2150" s="606"/>
      <c r="K2150" s="605"/>
      <c r="L2150" s="605"/>
      <c r="M2150" s="605"/>
      <c r="N2150" s="605"/>
      <c r="O2150" s="605"/>
      <c r="P2150" s="605" t="s">
        <v>7381</v>
      </c>
    </row>
    <row r="2151">
      <c r="A2151" s="605"/>
      <c r="B2151" s="605"/>
      <c r="C2151" s="605"/>
      <c r="D2151" s="605"/>
      <c r="E2151" s="605" t="str">
        <f>IFERROR(__xludf.DUMMYFUNCTION("""COMPUTED_VALUE"""),"NINTENDO")</f>
        <v>NINTENDO</v>
      </c>
      <c r="F2151" s="605" t="str">
        <f>IFERROR(__xludf.DUMMYFUNCTION("""COMPUTED_VALUE"""),"WUP-101(02)")</f>
        <v>WUP-101(02)</v>
      </c>
      <c r="G2151" s="605"/>
      <c r="H2151" s="605"/>
      <c r="I2151" s="605"/>
      <c r="J2151" s="606"/>
      <c r="K2151" s="605"/>
      <c r="L2151" s="605"/>
      <c r="M2151" s="605"/>
      <c r="N2151" s="605"/>
      <c r="O2151" s="605"/>
      <c r="P2151" s="605" t="s">
        <v>7383</v>
      </c>
    </row>
    <row r="2152">
      <c r="A2152" s="605"/>
      <c r="B2152" s="605"/>
      <c r="C2152" s="605"/>
      <c r="D2152" s="605"/>
      <c r="E2152" s="605" t="str">
        <f>IFERROR(__xludf.DUMMYFUNCTION("""COMPUTED_VALUE"""),"NINTENDO")</f>
        <v>NINTENDO</v>
      </c>
      <c r="F2152" s="605" t="str">
        <f>IFERROR(__xludf.DUMMYFUNCTION("""COMPUTED_VALUE"""),"WUP-101(03)")</f>
        <v>WUP-101(03)</v>
      </c>
      <c r="G2152" s="605"/>
      <c r="H2152" s="605"/>
      <c r="I2152" s="605"/>
      <c r="J2152" s="606"/>
      <c r="K2152" s="605"/>
      <c r="L2152" s="605"/>
      <c r="M2152" s="605"/>
      <c r="N2152" s="605"/>
      <c r="O2152" s="605"/>
      <c r="P2152" s="605" t="s">
        <v>7385</v>
      </c>
    </row>
    <row r="2153">
      <c r="A2153" s="605"/>
      <c r="B2153" s="605"/>
      <c r="C2153" s="605"/>
      <c r="D2153" s="605"/>
      <c r="E2153" s="605" t="str">
        <f>IFERROR(__xludf.DUMMYFUNCTION("""COMPUTED_VALUE"""),"NIXPLAY")</f>
        <v>NIXPLAY</v>
      </c>
      <c r="F2153" s="605" t="str">
        <f>IFERROR(__xludf.DUMMYFUNCTION("""COMPUTED_VALUE"""),"10.1"" HD SMART FRAME")</f>
        <v>10.1" HD SMART FRAME</v>
      </c>
      <c r="G2153" s="605"/>
      <c r="H2153" s="605"/>
      <c r="I2153" s="605"/>
      <c r="J2153" s="606"/>
      <c r="K2153" s="605"/>
      <c r="L2153" s="605"/>
      <c r="M2153" s="605"/>
      <c r="N2153" s="605"/>
      <c r="O2153" s="605"/>
      <c r="P2153" s="605" t="s">
        <v>7387</v>
      </c>
    </row>
    <row r="2154">
      <c r="A2154" s="605"/>
      <c r="B2154" s="605"/>
      <c r="C2154" s="605"/>
      <c r="D2154" s="605"/>
      <c r="E2154" s="605" t="str">
        <f>IFERROR(__xludf.DUMMYFUNCTION("""COMPUTED_VALUE"""),"NLIGHT")</f>
        <v>NLIGHT</v>
      </c>
      <c r="F2154" s="605" t="str">
        <f>IFERROR(__xludf.DUMMYFUNCTION("""COMPUTED_VALUE"""),"ECLIPSE G2")</f>
        <v>ECLIPSE G2</v>
      </c>
      <c r="G2154" s="605"/>
      <c r="H2154" s="605"/>
      <c r="I2154" s="605"/>
      <c r="J2154" s="606"/>
      <c r="K2154" s="605"/>
      <c r="L2154" s="605"/>
      <c r="M2154" s="605"/>
      <c r="N2154" s="605"/>
      <c r="O2154" s="605"/>
      <c r="P2154" s="605" t="s">
        <v>7389</v>
      </c>
    </row>
    <row r="2155">
      <c r="A2155" s="605"/>
      <c r="B2155" s="605"/>
      <c r="C2155" s="605"/>
      <c r="D2155" s="605"/>
      <c r="E2155" s="605" t="str">
        <f>IFERROR(__xludf.DUMMYFUNCTION("""COMPUTED_VALUE"""),"NLIGHT")</f>
        <v>NLIGHT</v>
      </c>
      <c r="F2155" s="605" t="str">
        <f>IFERROR(__xludf.DUMMYFUNCTION("""COMPUTED_VALUE"""),"NECY G2")</f>
        <v>NECY G2</v>
      </c>
      <c r="G2155" s="605"/>
      <c r="H2155" s="605"/>
      <c r="I2155" s="605"/>
      <c r="J2155" s="606"/>
      <c r="K2155" s="605"/>
      <c r="L2155" s="605"/>
      <c r="M2155" s="605"/>
      <c r="N2155" s="605"/>
      <c r="O2155" s="605"/>
      <c r="P2155" s="605" t="s">
        <v>7391</v>
      </c>
    </row>
    <row r="2156">
      <c r="A2156" s="605"/>
      <c r="B2156" s="605"/>
      <c r="C2156" s="605"/>
      <c r="D2156" s="605"/>
      <c r="E2156" s="605" t="str">
        <f>IFERROR(__xludf.DUMMYFUNCTION("""COMPUTED_VALUE"""),"NLIGHT")</f>
        <v>NLIGHT</v>
      </c>
      <c r="F2156" s="605" t="str">
        <f>IFERROR(__xludf.DUMMYFUNCTION("""COMPUTED_VALUE"""),"NECY-MVOLT-BAC-ENC-SEP")</f>
        <v>NECY-MVOLT-BAC-ENC-SEP</v>
      </c>
      <c r="G2156" s="605"/>
      <c r="H2156" s="605"/>
      <c r="I2156" s="605"/>
      <c r="J2156" s="606"/>
      <c r="K2156" s="605"/>
      <c r="L2156" s="605"/>
      <c r="M2156" s="605"/>
      <c r="N2156" s="605"/>
      <c r="O2156" s="605"/>
      <c r="P2156" s="605" t="s">
        <v>7393</v>
      </c>
    </row>
    <row r="2157">
      <c r="A2157" s="605"/>
      <c r="B2157" s="605"/>
      <c r="C2157" s="605"/>
      <c r="D2157" s="605"/>
      <c r="E2157" s="605" t="str">
        <f>IFERROR(__xludf.DUMMYFUNCTION("""COMPUTED_VALUE"""),"NLIGHT")</f>
        <v>NLIGHT</v>
      </c>
      <c r="F2157" s="605" t="str">
        <f>IFERROR(__xludf.DUMMYFUNCTION("""COMPUTED_VALUE"""),"NPP16 ER EFP")</f>
        <v>NPP16 ER EFP</v>
      </c>
      <c r="G2157" s="605"/>
      <c r="H2157" s="605"/>
      <c r="I2157" s="605"/>
      <c r="J2157" s="606"/>
      <c r="K2157" s="605"/>
      <c r="L2157" s="605"/>
      <c r="M2157" s="605"/>
      <c r="N2157" s="605"/>
      <c r="O2157" s="605"/>
      <c r="P2157" s="605" t="s">
        <v>7395</v>
      </c>
    </row>
    <row r="2158">
      <c r="A2158" s="605"/>
      <c r="B2158" s="605"/>
      <c r="C2158" s="605"/>
      <c r="D2158" s="605"/>
      <c r="E2158" s="605" t="str">
        <f>IFERROR(__xludf.DUMMYFUNCTION("""COMPUTED_VALUE"""),"NLIGHT")</f>
        <v>NLIGHT</v>
      </c>
      <c r="F2158" s="605" t="str">
        <f>IFERROR(__xludf.DUMMYFUNCTION("""COMPUTED_VALUE"""),"NPP16 PL T24")</f>
        <v>NPP16 PL T24</v>
      </c>
      <c r="G2158" s="605"/>
      <c r="H2158" s="605"/>
      <c r="I2158" s="605"/>
      <c r="J2158" s="606"/>
      <c r="K2158" s="605"/>
      <c r="L2158" s="605"/>
      <c r="M2158" s="605"/>
      <c r="N2158" s="605"/>
      <c r="O2158" s="605"/>
      <c r="P2158" s="605" t="s">
        <v>7397</v>
      </c>
    </row>
    <row r="2159">
      <c r="A2159" s="605"/>
      <c r="B2159" s="605"/>
      <c r="C2159" s="605"/>
      <c r="D2159" s="605"/>
      <c r="E2159" s="605" t="str">
        <f>IFERROR(__xludf.DUMMYFUNCTION("""COMPUTED_VALUE"""),"NLIGHT")</f>
        <v>NLIGHT</v>
      </c>
      <c r="F2159" s="605" t="str">
        <f>IFERROR(__xludf.DUMMYFUNCTION("""COMPUTED_VALUE"""),"NCM PDT 10")</f>
        <v>NCM PDT 10</v>
      </c>
      <c r="G2159" s="605"/>
      <c r="H2159" s="605"/>
      <c r="I2159" s="605"/>
      <c r="J2159" s="606"/>
      <c r="K2159" s="605"/>
      <c r="L2159" s="605"/>
      <c r="M2159" s="605"/>
      <c r="N2159" s="605"/>
      <c r="O2159" s="605"/>
      <c r="P2159" s="605" t="s">
        <v>3354</v>
      </c>
    </row>
    <row r="2160">
      <c r="A2160" s="605"/>
      <c r="B2160" s="605"/>
      <c r="C2160" s="605"/>
      <c r="D2160" s="605"/>
      <c r="E2160" s="605" t="str">
        <f>IFERROR(__xludf.DUMMYFUNCTION("""COMPUTED_VALUE"""),"NLIGHT")</f>
        <v>NLIGHT</v>
      </c>
      <c r="F2160" s="605" t="str">
        <f>IFERROR(__xludf.DUMMYFUNCTION("""COMPUTED_VALUE"""),"NCM PDT 9")</f>
        <v>NCM PDT 9</v>
      </c>
      <c r="G2160" s="605"/>
      <c r="H2160" s="605"/>
      <c r="I2160" s="605"/>
      <c r="J2160" s="606"/>
      <c r="K2160" s="605"/>
      <c r="L2160" s="605"/>
      <c r="M2160" s="605"/>
      <c r="N2160" s="605"/>
      <c r="O2160" s="605"/>
      <c r="P2160" s="605" t="s">
        <v>7399</v>
      </c>
    </row>
    <row r="2161">
      <c r="A2161" s="605"/>
      <c r="B2161" s="605"/>
      <c r="C2161" s="605"/>
      <c r="D2161" s="605"/>
      <c r="E2161" s="605" t="str">
        <f>IFERROR(__xludf.DUMMYFUNCTION("""COMPUTED_VALUE"""),"NLIGHT")</f>
        <v>NLIGHT</v>
      </c>
      <c r="F2161" s="605" t="str">
        <f>IFERROR(__xludf.DUMMYFUNCTION("""COMPUTED_VALUE"""),"NPODM SERIES WALLPOD")</f>
        <v>NPODM SERIES WALLPOD</v>
      </c>
      <c r="G2161" s="605"/>
      <c r="H2161" s="605"/>
      <c r="I2161" s="605"/>
      <c r="J2161" s="606"/>
      <c r="K2161" s="605"/>
      <c r="L2161" s="605"/>
      <c r="M2161" s="605"/>
      <c r="N2161" s="605"/>
      <c r="O2161" s="605"/>
      <c r="P2161" s="605" t="s">
        <v>7401</v>
      </c>
    </row>
    <row r="2162">
      <c r="A2162" s="605"/>
      <c r="B2162" s="605"/>
      <c r="C2162" s="605"/>
      <c r="D2162" s="605"/>
      <c r="E2162" s="605" t="str">
        <f>IFERROR(__xludf.DUMMYFUNCTION("""COMPUTED_VALUE"""),"NLIGHT")</f>
        <v>NLIGHT</v>
      </c>
      <c r="F2162" s="605" t="str">
        <f>IFERROR(__xludf.DUMMYFUNCTION("""COMPUTED_VALUE"""),"NPS 80 POWER SUPPLY")</f>
        <v>NPS 80 POWER SUPPLY</v>
      </c>
      <c r="G2162" s="605"/>
      <c r="H2162" s="605"/>
      <c r="I2162" s="605"/>
      <c r="J2162" s="606"/>
      <c r="K2162" s="605"/>
      <c r="L2162" s="605"/>
      <c r="M2162" s="605"/>
      <c r="N2162" s="605"/>
      <c r="O2162" s="605"/>
      <c r="P2162" s="605" t="s">
        <v>7403</v>
      </c>
    </row>
    <row r="2163">
      <c r="A2163" s="605"/>
      <c r="B2163" s="605"/>
      <c r="C2163" s="605"/>
      <c r="D2163" s="605"/>
      <c r="E2163" s="605" t="str">
        <f>IFERROR(__xludf.DUMMYFUNCTION("""COMPUTED_VALUE"""),"NLIGHT")</f>
        <v>NLIGHT</v>
      </c>
      <c r="F2163" s="605" t="str">
        <f>IFERROR(__xludf.DUMMYFUNCTION("""COMPUTED_VALUE"""),"NPP16 EFP")</f>
        <v>NPP16 EFP</v>
      </c>
      <c r="G2163" s="605"/>
      <c r="H2163" s="605"/>
      <c r="I2163" s="605"/>
      <c r="J2163" s="606"/>
      <c r="K2163" s="605"/>
      <c r="L2163" s="605"/>
      <c r="M2163" s="605"/>
      <c r="N2163" s="605"/>
      <c r="O2163" s="605"/>
      <c r="P2163" s="605" t="s">
        <v>7405</v>
      </c>
    </row>
    <row r="2164">
      <c r="A2164" s="605"/>
      <c r="B2164" s="605"/>
      <c r="C2164" s="605"/>
      <c r="D2164" s="605"/>
      <c r="E2164" s="605" t="str">
        <f>IFERROR(__xludf.DUMMYFUNCTION("""COMPUTED_VALUE"""),"NLIGHT")</f>
        <v>NLIGHT</v>
      </c>
      <c r="F2164" s="605" t="str">
        <f>IFERROR(__xludf.DUMMYFUNCTION("""COMPUTED_VALUE"""),"NRM SENSOR")</f>
        <v>NRM SENSOR</v>
      </c>
      <c r="G2164" s="605"/>
      <c r="H2164" s="605"/>
      <c r="I2164" s="605"/>
      <c r="J2164" s="606"/>
      <c r="K2164" s="605"/>
      <c r="L2164" s="605"/>
      <c r="M2164" s="605"/>
      <c r="N2164" s="605"/>
      <c r="O2164" s="605"/>
      <c r="P2164" s="605" t="s">
        <v>7407</v>
      </c>
    </row>
    <row r="2165">
      <c r="A2165" s="605"/>
      <c r="B2165" s="605"/>
      <c r="C2165" s="605"/>
      <c r="D2165" s="605"/>
      <c r="E2165" s="605" t="str">
        <f>IFERROR(__xludf.DUMMYFUNCTION("""COMPUTED_VALUE"""),"NLIGHT")</f>
        <v>NLIGHT</v>
      </c>
      <c r="F2165" s="605" t="str">
        <f>IFERROR(__xludf.DUMMYFUNCTION("""COMPUTED_VALUE"""),"NWSX PDT LV")</f>
        <v>NWSX PDT LV</v>
      </c>
      <c r="G2165" s="605"/>
      <c r="H2165" s="605"/>
      <c r="I2165" s="605"/>
      <c r="J2165" s="606"/>
      <c r="K2165" s="605"/>
      <c r="L2165" s="605"/>
      <c r="M2165" s="605"/>
      <c r="N2165" s="605"/>
      <c r="O2165" s="605"/>
      <c r="P2165" s="605" t="s">
        <v>7409</v>
      </c>
    </row>
    <row r="2166">
      <c r="A2166" s="605"/>
      <c r="B2166" s="605"/>
      <c r="C2166" s="605"/>
      <c r="D2166" s="605"/>
      <c r="E2166" s="605" t="str">
        <f>IFERROR(__xludf.DUMMYFUNCTION("""COMPUTED_VALUE"""),"NLIGHT")</f>
        <v>NLIGHT</v>
      </c>
      <c r="F2166" s="605" t="str">
        <f>IFERROR(__xludf.DUMMYFUNCTION("""COMPUTED_VALUE"""),"NRM PDT SENSOR")</f>
        <v>NRM PDT SENSOR</v>
      </c>
      <c r="G2166" s="605"/>
      <c r="H2166" s="605"/>
      <c r="I2166" s="605"/>
      <c r="J2166" s="606"/>
      <c r="K2166" s="605"/>
      <c r="L2166" s="605"/>
      <c r="M2166" s="605"/>
      <c r="N2166" s="605"/>
      <c r="O2166" s="605"/>
      <c r="P2166" s="605" t="s">
        <v>7411</v>
      </c>
    </row>
    <row r="2167">
      <c r="A2167" s="605"/>
      <c r="B2167" s="605"/>
      <c r="C2167" s="605"/>
      <c r="D2167" s="605"/>
      <c r="E2167" s="605" t="str">
        <f>IFERROR(__xludf.DUMMYFUNCTION("""COMPUTED_VALUE"""),"NLIGHT")</f>
        <v>NLIGHT</v>
      </c>
      <c r="F2167" s="605" t="str">
        <f>IFERROR(__xludf.DUMMYFUNCTION("""COMPUTED_VALUE"""),"NSP5 PCD SERIES")</f>
        <v>NSP5 PCD SERIES</v>
      </c>
      <c r="G2167" s="605"/>
      <c r="H2167" s="605"/>
      <c r="I2167" s="605"/>
      <c r="J2167" s="606"/>
      <c r="K2167" s="605"/>
      <c r="L2167" s="605"/>
      <c r="M2167" s="605"/>
      <c r="N2167" s="605"/>
      <c r="O2167" s="605"/>
      <c r="P2167" s="605" t="s">
        <v>7413</v>
      </c>
    </row>
    <row r="2168">
      <c r="A2168" s="605"/>
      <c r="B2168" s="605"/>
      <c r="C2168" s="605"/>
      <c r="D2168" s="605"/>
      <c r="E2168" s="605" t="str">
        <f>IFERROR(__xludf.DUMMYFUNCTION("""COMPUTED_VALUE"""),"NLIGHT")</f>
        <v>NLIGHT</v>
      </c>
      <c r="F2168" s="605" t="str">
        <f>IFERROR(__xludf.DUMMYFUNCTION("""COMPUTED_VALUE"""),"RPP20 RELAY PACK")</f>
        <v>RPP20 RELAY PACK</v>
      </c>
      <c r="G2168" s="605"/>
      <c r="H2168" s="605"/>
      <c r="I2168" s="605"/>
      <c r="J2168" s="606"/>
      <c r="K2168" s="605"/>
      <c r="L2168" s="605"/>
      <c r="M2168" s="605"/>
      <c r="N2168" s="605"/>
      <c r="O2168" s="605"/>
      <c r="P2168" s="605" t="s">
        <v>7415</v>
      </c>
    </row>
    <row r="2169">
      <c r="A2169" s="605"/>
      <c r="B2169" s="605"/>
      <c r="C2169" s="605"/>
      <c r="D2169" s="605"/>
      <c r="E2169" s="605" t="str">
        <f>IFERROR(__xludf.DUMMYFUNCTION("""COMPUTED_VALUE"""),"NLIGHT")</f>
        <v>NLIGHT</v>
      </c>
      <c r="F2169" s="605" t="str">
        <f>IFERROR(__xludf.DUMMYFUNCTION("""COMPUTED_VALUE"""),"ARP RELAY PANEL")</f>
        <v>ARP RELAY PANEL</v>
      </c>
      <c r="G2169" s="605"/>
      <c r="H2169" s="605"/>
      <c r="I2169" s="605"/>
      <c r="J2169" s="606"/>
      <c r="K2169" s="605"/>
      <c r="L2169" s="605"/>
      <c r="M2169" s="605"/>
      <c r="N2169" s="605"/>
      <c r="O2169" s="605"/>
      <c r="P2169" s="605" t="s">
        <v>7417</v>
      </c>
    </row>
    <row r="2170">
      <c r="A2170" s="605"/>
      <c r="B2170" s="605"/>
      <c r="C2170" s="605"/>
      <c r="D2170" s="605"/>
      <c r="E2170" s="605" t="str">
        <f>IFERROR(__xludf.DUMMYFUNCTION("""COMPUTED_VALUE"""),"NLIGHT")</f>
        <v>NLIGHT</v>
      </c>
      <c r="F2170" s="605" t="str">
        <f>IFERROR(__xludf.DUMMYFUNCTION("""COMPUTED_VALUE"""),"RCMS SMART SENSOR")</f>
        <v>RCMS SMART SENSOR</v>
      </c>
      <c r="G2170" s="605"/>
      <c r="H2170" s="605"/>
      <c r="I2170" s="605"/>
      <c r="J2170" s="606"/>
      <c r="K2170" s="605"/>
      <c r="L2170" s="605"/>
      <c r="M2170" s="605"/>
      <c r="N2170" s="605"/>
      <c r="O2170" s="605"/>
      <c r="P2170" s="605" t="s">
        <v>3357</v>
      </c>
    </row>
    <row r="2171">
      <c r="A2171" s="605"/>
      <c r="B2171" s="605"/>
      <c r="C2171" s="605"/>
      <c r="D2171" s="605"/>
      <c r="E2171" s="605" t="str">
        <f>IFERROR(__xludf.DUMMYFUNCTION("""COMPUTED_VALUE"""),"NLIGHT")</f>
        <v>NLIGHT</v>
      </c>
      <c r="F2171" s="605" t="str">
        <f>IFERROR(__xludf.DUMMYFUNCTION("""COMPUTED_VALUE"""),"RIO SERIES INTERFACE")</f>
        <v>RIO SERIES INTERFACE</v>
      </c>
      <c r="G2171" s="605"/>
      <c r="H2171" s="605"/>
      <c r="I2171" s="605"/>
      <c r="J2171" s="606"/>
      <c r="K2171" s="605"/>
      <c r="L2171" s="605"/>
      <c r="M2171" s="605"/>
      <c r="N2171" s="605"/>
      <c r="O2171" s="605"/>
      <c r="P2171" s="605" t="s">
        <v>7419</v>
      </c>
    </row>
    <row r="2172">
      <c r="A2172" s="605"/>
      <c r="B2172" s="605"/>
      <c r="C2172" s="605"/>
      <c r="D2172" s="605"/>
      <c r="E2172" s="605" t="str">
        <f>IFERROR(__xludf.DUMMYFUNCTION("""COMPUTED_VALUE"""),"NLIGHT")</f>
        <v>NLIGHT</v>
      </c>
      <c r="F2172" s="605" t="str">
        <f>IFERROR(__xludf.DUMMYFUNCTION("""COMPUTED_VALUE"""),"AIR RES7 SENSOR")</f>
        <v>AIR RES7 SENSOR</v>
      </c>
      <c r="G2172" s="605"/>
      <c r="H2172" s="605"/>
      <c r="I2172" s="605"/>
      <c r="J2172" s="606"/>
      <c r="K2172" s="605"/>
      <c r="L2172" s="605"/>
      <c r="M2172" s="605"/>
      <c r="N2172" s="605"/>
      <c r="O2172" s="605"/>
      <c r="P2172" s="605" t="s">
        <v>7421</v>
      </c>
    </row>
    <row r="2173">
      <c r="A2173" s="605"/>
      <c r="B2173" s="605"/>
      <c r="C2173" s="605"/>
      <c r="D2173" s="605"/>
      <c r="E2173" s="605" t="str">
        <f>IFERROR(__xludf.DUMMYFUNCTION("""COMPUTED_VALUE"""),"NLIGHT ECLYPSE")</f>
        <v>NLIGHT ECLYPSE</v>
      </c>
      <c r="F2173" s="605" t="str">
        <f>IFERROR(__xludf.DUMMYFUNCTION("""COMPUTED_VALUE"""),"NECY")</f>
        <v>NECY</v>
      </c>
      <c r="G2173" s="605"/>
      <c r="H2173" s="605"/>
      <c r="I2173" s="605"/>
      <c r="J2173" s="606"/>
      <c r="K2173" s="605"/>
      <c r="L2173" s="605"/>
      <c r="M2173" s="605"/>
      <c r="N2173" s="605"/>
      <c r="O2173" s="605"/>
      <c r="P2173" s="605" t="s">
        <v>7423</v>
      </c>
    </row>
    <row r="2174">
      <c r="A2174" s="605"/>
      <c r="B2174" s="605"/>
      <c r="C2174" s="605"/>
      <c r="D2174" s="605"/>
      <c r="E2174" s="605" t="str">
        <f>IFERROR(__xludf.DUMMYFUNCTION("""COMPUTED_VALUE"""),"NLIGHT SYSTEM")</f>
        <v>NLIGHT SYSTEM</v>
      </c>
      <c r="F2174" s="605" t="str">
        <f>IFERROR(__xludf.DUMMYFUNCTION("""COMPUTED_VALUE"""),"NECY SYSTEM CONTROLLER")</f>
        <v>NECY SYSTEM CONTROLLER</v>
      </c>
      <c r="G2174" s="605"/>
      <c r="H2174" s="605"/>
      <c r="I2174" s="605"/>
      <c r="J2174" s="606"/>
      <c r="K2174" s="605"/>
      <c r="L2174" s="605"/>
      <c r="M2174" s="605"/>
      <c r="N2174" s="605"/>
      <c r="O2174" s="605"/>
      <c r="P2174" s="605" t="s">
        <v>7425</v>
      </c>
    </row>
    <row r="2175">
      <c r="A2175" s="605"/>
      <c r="B2175" s="605"/>
      <c r="C2175" s="605"/>
      <c r="D2175" s="605"/>
      <c r="E2175" s="605" t="str">
        <f>IFERROR(__xludf.DUMMYFUNCTION("""COMPUTED_VALUE"""),"NLIGHT SYSTEM")</f>
        <v>NLIGHT SYSTEM</v>
      </c>
      <c r="F2175" s="605" t="str">
        <f>IFERROR(__xludf.DUMMYFUNCTION("""COMPUTED_VALUE"""),"NECY SYSTEM CONTROLLER")</f>
        <v>NECY SYSTEM CONTROLLER</v>
      </c>
      <c r="G2175" s="605"/>
      <c r="H2175" s="605"/>
      <c r="I2175" s="605"/>
      <c r="J2175" s="606"/>
      <c r="K2175" s="605"/>
      <c r="L2175" s="605"/>
      <c r="M2175" s="605"/>
      <c r="N2175" s="605"/>
      <c r="O2175" s="605"/>
      <c r="P2175" s="605" t="s">
        <v>7427</v>
      </c>
    </row>
    <row r="2176">
      <c r="A2176" s="605"/>
      <c r="B2176" s="605"/>
      <c r="C2176" s="605"/>
      <c r="D2176" s="605"/>
      <c r="E2176" s="605" t="str">
        <f>IFERROR(__xludf.DUMMYFUNCTION("""COMPUTED_VALUE"""),"NLIGHT SYSTEM")</f>
        <v>NLIGHT SYSTEM</v>
      </c>
      <c r="F2176" s="605" t="str">
        <f>IFERROR(__xludf.DUMMYFUNCTION("""COMPUTED_VALUE"""),"FCS 7TSN X DBL")</f>
        <v>FCS 7TSN X DBL</v>
      </c>
      <c r="G2176" s="605"/>
      <c r="H2176" s="605"/>
      <c r="I2176" s="605"/>
      <c r="J2176" s="606"/>
      <c r="K2176" s="605"/>
      <c r="L2176" s="605"/>
      <c r="M2176" s="605"/>
      <c r="N2176" s="605"/>
      <c r="O2176" s="605"/>
      <c r="P2176" s="605" t="s">
        <v>7429</v>
      </c>
    </row>
    <row r="2177">
      <c r="A2177" s="605"/>
      <c r="B2177" s="605"/>
      <c r="C2177" s="605"/>
      <c r="D2177" s="605"/>
      <c r="E2177" s="605" t="str">
        <f>IFERROR(__xludf.DUMMYFUNCTION("""COMPUTED_VALUE"""),"NLIGHT SYSTEM")</f>
        <v>NLIGHT SYSTEM</v>
      </c>
      <c r="F2177" s="605" t="str">
        <f>IFERROR(__xludf.DUMMYFUNCTION("""COMPUTED_VALUE"""),"NPOD GFX")</f>
        <v>NPOD GFX</v>
      </c>
      <c r="G2177" s="605"/>
      <c r="H2177" s="605"/>
      <c r="I2177" s="605"/>
      <c r="J2177" s="606"/>
      <c r="K2177" s="605"/>
      <c r="L2177" s="605"/>
      <c r="M2177" s="605"/>
      <c r="N2177" s="605"/>
      <c r="O2177" s="605"/>
      <c r="P2177" s="605" t="s">
        <v>7431</v>
      </c>
    </row>
    <row r="2178">
      <c r="A2178" s="605"/>
      <c r="B2178" s="605"/>
      <c r="C2178" s="605"/>
      <c r="D2178" s="605"/>
      <c r="E2178" s="605" t="str">
        <f>IFERROR(__xludf.DUMMYFUNCTION("""COMPUTED_VALUE"""),"NLIGHT SYSTEM")</f>
        <v>NLIGHT SYSTEM</v>
      </c>
      <c r="F2178" s="605" t="str">
        <f>IFERROR(__xludf.DUMMYFUNCTION("""COMPUTED_VALUE"""),"GATEWAY SERIES 2")</f>
        <v>GATEWAY SERIES 2</v>
      </c>
      <c r="G2178" s="605"/>
      <c r="H2178" s="605"/>
      <c r="I2178" s="605"/>
      <c r="J2178" s="606"/>
      <c r="K2178" s="605"/>
      <c r="L2178" s="605"/>
      <c r="M2178" s="605"/>
      <c r="N2178" s="605"/>
      <c r="O2178" s="605"/>
      <c r="P2178" s="605" t="s">
        <v>7433</v>
      </c>
    </row>
    <row r="2179">
      <c r="A2179" s="605"/>
      <c r="B2179" s="605"/>
      <c r="C2179" s="605"/>
      <c r="D2179" s="605"/>
      <c r="E2179" s="605" t="str">
        <f>IFERROR(__xludf.DUMMYFUNCTION("""COMPUTED_VALUE"""),"NLIGHT SYSTEM")</f>
        <v>NLIGHT SYSTEM</v>
      </c>
      <c r="F2179" s="605" t="str">
        <f>IFERROR(__xludf.DUMMYFUNCTION("""COMPUTED_VALUE"""),"NECY SYSTEM CONTROLLER")</f>
        <v>NECY SYSTEM CONTROLLER</v>
      </c>
      <c r="G2179" s="605"/>
      <c r="H2179" s="605"/>
      <c r="I2179" s="605"/>
      <c r="J2179" s="606"/>
      <c r="K2179" s="605"/>
      <c r="L2179" s="605"/>
      <c r="M2179" s="605"/>
      <c r="N2179" s="605"/>
      <c r="O2179" s="605"/>
      <c r="P2179" s="605" t="s">
        <v>7435</v>
      </c>
    </row>
    <row r="2180">
      <c r="A2180" s="605"/>
      <c r="B2180" s="605"/>
      <c r="C2180" s="605"/>
      <c r="D2180" s="605"/>
      <c r="E2180" s="605" t="str">
        <f>IFERROR(__xludf.DUMMYFUNCTION("""COMPUTED_VALUE"""),"NLIGHT SYSTEM")</f>
        <v>NLIGHT SYSTEM</v>
      </c>
      <c r="F2180" s="605" t="str">
        <f>IFERROR(__xludf.DUMMYFUNCTION("""COMPUTED_VALUE"""),"NBRG 8 KIT")</f>
        <v>NBRG 8 KIT</v>
      </c>
      <c r="G2180" s="605"/>
      <c r="H2180" s="605"/>
      <c r="I2180" s="605"/>
      <c r="J2180" s="606"/>
      <c r="K2180" s="605"/>
      <c r="L2180" s="605"/>
      <c r="M2180" s="605"/>
      <c r="N2180" s="605"/>
      <c r="O2180" s="605"/>
      <c r="P2180" s="605" t="s">
        <v>7437</v>
      </c>
    </row>
    <row r="2181">
      <c r="A2181" s="605"/>
      <c r="B2181" s="605"/>
      <c r="C2181" s="605"/>
      <c r="D2181" s="605"/>
      <c r="E2181" s="605" t="str">
        <f>IFERROR(__xludf.DUMMYFUNCTION("""COMPUTED_VALUE"""),"NOT VERIFIED")</f>
        <v>NOT VERIFIED</v>
      </c>
      <c r="F2181" s="605" t="str">
        <f>IFERROR(__xludf.DUMMYFUNCTION("""COMPUTED_VALUE"""),"UNVERIFIED")</f>
        <v>UNVERIFIED</v>
      </c>
      <c r="G2181" s="605"/>
      <c r="H2181" s="605"/>
      <c r="I2181" s="605"/>
      <c r="J2181" s="606"/>
      <c r="K2181" s="605"/>
      <c r="L2181" s="605"/>
      <c r="M2181" s="605"/>
      <c r="N2181" s="605"/>
      <c r="O2181" s="605"/>
      <c r="P2181" s="605" t="s">
        <v>3360</v>
      </c>
    </row>
    <row r="2182">
      <c r="A2182" s="605"/>
      <c r="B2182" s="605"/>
      <c r="C2182" s="605"/>
      <c r="D2182" s="605"/>
      <c r="E2182" s="605" t="str">
        <f>IFERROR(__xludf.DUMMYFUNCTION("""COMPUTED_VALUE"""),"NOT VERIFIED")</f>
        <v>NOT VERIFIED</v>
      </c>
      <c r="F2182" s="605" t="str">
        <f>IFERROR(__xludf.DUMMYFUNCTION("""COMPUTED_VALUE"""),"N/A")</f>
        <v>N/A</v>
      </c>
      <c r="G2182" s="605"/>
      <c r="H2182" s="605"/>
      <c r="I2182" s="605"/>
      <c r="J2182" s="606"/>
      <c r="K2182" s="605"/>
      <c r="L2182" s="605"/>
      <c r="M2182" s="605"/>
      <c r="N2182" s="605"/>
      <c r="O2182" s="605"/>
      <c r="P2182" s="605" t="s">
        <v>7439</v>
      </c>
    </row>
    <row r="2183">
      <c r="A2183" s="605"/>
      <c r="B2183" s="605"/>
      <c r="C2183" s="605"/>
      <c r="D2183" s="605"/>
      <c r="E2183" s="605" t="str">
        <f>IFERROR(__xludf.DUMMYFUNCTION("""COMPUTED_VALUE"""),"NOT VERIFIED")</f>
        <v>NOT VERIFIED</v>
      </c>
      <c r="F2183" s="605" t="str">
        <f>IFERROR(__xludf.DUMMYFUNCTION("""COMPUTED_VALUE"""),"NOT AVAILABLE")</f>
        <v>NOT AVAILABLE</v>
      </c>
      <c r="G2183" s="605"/>
      <c r="H2183" s="605"/>
      <c r="I2183" s="605"/>
      <c r="J2183" s="606"/>
      <c r="K2183" s="605"/>
      <c r="L2183" s="605"/>
      <c r="M2183" s="605"/>
      <c r="N2183" s="605"/>
      <c r="O2183" s="605"/>
      <c r="P2183" s="605" t="s">
        <v>7441</v>
      </c>
    </row>
    <row r="2184">
      <c r="A2184" s="605"/>
      <c r="B2184" s="605"/>
      <c r="C2184" s="605"/>
      <c r="D2184" s="605"/>
      <c r="E2184" s="605" t="str">
        <f>IFERROR(__xludf.DUMMYFUNCTION("""COMPUTED_VALUE"""),"NOT VERIFIED")</f>
        <v>NOT VERIFIED</v>
      </c>
      <c r="F2184" s="605" t="str">
        <f>IFERROR(__xludf.DUMMYFUNCTION("""COMPUTED_VALUE"""),"SEE COMMENTS")</f>
        <v>SEE COMMENTS</v>
      </c>
      <c r="G2184" s="605"/>
      <c r="H2184" s="605"/>
      <c r="I2184" s="605"/>
      <c r="J2184" s="606"/>
      <c r="K2184" s="605"/>
      <c r="L2184" s="605"/>
      <c r="M2184" s="605"/>
      <c r="N2184" s="605"/>
      <c r="O2184" s="605"/>
      <c r="P2184" s="605" t="s">
        <v>7443</v>
      </c>
    </row>
    <row r="2185">
      <c r="A2185" s="605"/>
      <c r="B2185" s="605"/>
      <c r="C2185" s="605"/>
      <c r="D2185" s="605"/>
      <c r="E2185" s="605" t="str">
        <f>IFERROR(__xludf.DUMMYFUNCTION("""COMPUTED_VALUE"""),"NOT VERIFIED")</f>
        <v>NOT VERIFIED</v>
      </c>
      <c r="F2185" s="605" t="str">
        <f>IFERROR(__xludf.DUMMYFUNCTION("""COMPUTED_VALUE"""),"UNKNOWN")</f>
        <v>UNKNOWN</v>
      </c>
      <c r="G2185" s="605"/>
      <c r="H2185" s="605"/>
      <c r="I2185" s="605"/>
      <c r="J2185" s="606"/>
      <c r="K2185" s="605"/>
      <c r="L2185" s="605"/>
      <c r="M2185" s="605"/>
      <c r="N2185" s="605"/>
      <c r="O2185" s="605"/>
      <c r="P2185" s="605" t="s">
        <v>7445</v>
      </c>
    </row>
    <row r="2186">
      <c r="A2186" s="605"/>
      <c r="B2186" s="605"/>
      <c r="C2186" s="605"/>
      <c r="D2186" s="605"/>
      <c r="E2186" s="605" t="str">
        <f>IFERROR(__xludf.DUMMYFUNCTION("""COMPUTED_VALUE"""),"NOT VERIFIED")</f>
        <v>NOT VERIFIED</v>
      </c>
      <c r="F2186" s="605" t="str">
        <f>IFERROR(__xludf.DUMMYFUNCTION("""COMPUTED_VALUE"""),"NOT VERIFIED")</f>
        <v>NOT VERIFIED</v>
      </c>
      <c r="G2186" s="605"/>
      <c r="H2186" s="605"/>
      <c r="I2186" s="605"/>
      <c r="J2186" s="606"/>
      <c r="K2186" s="605"/>
      <c r="L2186" s="605"/>
      <c r="M2186" s="605"/>
      <c r="N2186" s="605"/>
      <c r="O2186" s="605"/>
      <c r="P2186" s="605" t="s">
        <v>7447</v>
      </c>
    </row>
    <row r="2187">
      <c r="A2187" s="605"/>
      <c r="B2187" s="605"/>
      <c r="C2187" s="605"/>
      <c r="D2187" s="605"/>
      <c r="E2187" s="605" t="str">
        <f>IFERROR(__xludf.DUMMYFUNCTION("""COMPUTED_VALUE"""),"NOTIFACT")</f>
        <v>NOTIFACT</v>
      </c>
      <c r="F2187" s="605" t="str">
        <f>IFERROR(__xludf.DUMMYFUNCTION("""COMPUTED_VALUE"""),"GGN-1")</f>
        <v>GGN-1</v>
      </c>
      <c r="G2187" s="605"/>
      <c r="H2187" s="605"/>
      <c r="I2187" s="605"/>
      <c r="J2187" s="606"/>
      <c r="K2187" s="605"/>
      <c r="L2187" s="605"/>
      <c r="M2187" s="605"/>
      <c r="N2187" s="605"/>
      <c r="O2187" s="605"/>
      <c r="P2187" s="605" t="s">
        <v>7449</v>
      </c>
    </row>
    <row r="2188">
      <c r="A2188" s="605"/>
      <c r="B2188" s="605"/>
      <c r="C2188" s="605"/>
      <c r="D2188" s="605"/>
      <c r="E2188" s="605" t="str">
        <f>IFERROR(__xludf.DUMMYFUNCTION("""COMPUTED_VALUE"""),"NOTIFIER")</f>
        <v>NOTIFIER</v>
      </c>
      <c r="F2188" s="605" t="str">
        <f>IFERROR(__xludf.DUMMYFUNCTION("""COMPUTED_VALUE"""),"MODBUS-GW")</f>
        <v>MODBUS-GW</v>
      </c>
      <c r="G2188" s="605"/>
      <c r="H2188" s="605"/>
      <c r="I2188" s="605"/>
      <c r="J2188" s="606"/>
      <c r="K2188" s="605"/>
      <c r="L2188" s="605"/>
      <c r="M2188" s="605"/>
      <c r="N2188" s="605"/>
      <c r="O2188" s="605"/>
      <c r="P2188" s="605" t="s">
        <v>7451</v>
      </c>
    </row>
    <row r="2189">
      <c r="A2189" s="605"/>
      <c r="B2189" s="605"/>
      <c r="C2189" s="605"/>
      <c r="D2189" s="605"/>
      <c r="E2189" s="605" t="str">
        <f>IFERROR(__xludf.DUMMYFUNCTION("""COMPUTED_VALUE"""),"NOTIFIER")</f>
        <v>NOTIFIER</v>
      </c>
      <c r="F2189" s="605" t="str">
        <f>IFERROR(__xludf.DUMMYFUNCTION("""COMPUTED_VALUE"""),"FIRST VISION")</f>
        <v>FIRST VISION</v>
      </c>
      <c r="G2189" s="605"/>
      <c r="H2189" s="605"/>
      <c r="I2189" s="605"/>
      <c r="J2189" s="606"/>
      <c r="K2189" s="605"/>
      <c r="L2189" s="605"/>
      <c r="M2189" s="605"/>
      <c r="N2189" s="605"/>
      <c r="O2189" s="605"/>
      <c r="P2189" s="605" t="s">
        <v>7453</v>
      </c>
    </row>
    <row r="2190">
      <c r="A2190" s="605"/>
      <c r="B2190" s="605"/>
      <c r="C2190" s="605"/>
      <c r="D2190" s="605"/>
      <c r="E2190" s="605" t="str">
        <f>IFERROR(__xludf.DUMMYFUNCTION("""COMPUTED_VALUE"""),"NOTIFIER")</f>
        <v>NOTIFIER</v>
      </c>
      <c r="F2190" s="605" t="str">
        <f>IFERROR(__xludf.DUMMYFUNCTION("""COMPUTED_VALUE"""),"NFN-GW-EM-3")</f>
        <v>NFN-GW-EM-3</v>
      </c>
      <c r="G2190" s="605"/>
      <c r="H2190" s="605"/>
      <c r="I2190" s="605"/>
      <c r="J2190" s="606"/>
      <c r="K2190" s="605"/>
      <c r="L2190" s="605"/>
      <c r="M2190" s="605"/>
      <c r="N2190" s="605"/>
      <c r="O2190" s="605"/>
      <c r="P2190" s="605" t="s">
        <v>7455</v>
      </c>
    </row>
    <row r="2191">
      <c r="A2191" s="605"/>
      <c r="B2191" s="605"/>
      <c r="C2191" s="605"/>
      <c r="D2191" s="605"/>
      <c r="E2191" s="605" t="str">
        <f>IFERROR(__xludf.DUMMYFUNCTION("""COMPUTED_VALUE"""),"NOTIFIER")</f>
        <v>NOTIFIER</v>
      </c>
      <c r="F2191" s="605" t="str">
        <f>IFERROR(__xludf.DUMMYFUNCTION("""COMPUTED_VALUE"""),"ONYX SERIES")</f>
        <v>ONYX SERIES</v>
      </c>
      <c r="G2191" s="605"/>
      <c r="H2191" s="605"/>
      <c r="I2191" s="605"/>
      <c r="J2191" s="606"/>
      <c r="K2191" s="605"/>
      <c r="L2191" s="605"/>
      <c r="M2191" s="605"/>
      <c r="N2191" s="605"/>
      <c r="O2191" s="605"/>
      <c r="P2191" s="605" t="s">
        <v>7457</v>
      </c>
    </row>
    <row r="2192">
      <c r="A2192" s="605"/>
      <c r="B2192" s="605"/>
      <c r="C2192" s="605"/>
      <c r="D2192" s="605"/>
      <c r="E2192" s="605" t="str">
        <f>IFERROR(__xludf.DUMMYFUNCTION("""COMPUTED_VALUE"""),"NOVASOLAR")</f>
        <v>NOVASOLAR</v>
      </c>
      <c r="F2192" s="605" t="str">
        <f>IFERROR(__xludf.DUMMYFUNCTION("""COMPUTED_VALUE"""),"NSHP48")</f>
        <v>NSHP48</v>
      </c>
      <c r="G2192" s="605"/>
      <c r="H2192" s="605"/>
      <c r="I2192" s="605"/>
      <c r="J2192" s="606"/>
      <c r="K2192" s="605"/>
      <c r="L2192" s="605"/>
      <c r="M2192" s="605"/>
      <c r="N2192" s="605"/>
      <c r="O2192" s="605"/>
      <c r="P2192" s="605" t="s">
        <v>2914</v>
      </c>
    </row>
    <row r="2193">
      <c r="A2193" s="605"/>
      <c r="B2193" s="605"/>
      <c r="C2193" s="605"/>
      <c r="D2193" s="605"/>
      <c r="E2193" s="605" t="str">
        <f>IFERROR(__xludf.DUMMYFUNCTION("""COMPUTED_VALUE"""),"NOVASTAR")</f>
        <v>NOVASTAR</v>
      </c>
      <c r="F2193" s="605" t="str">
        <f>IFERROR(__xludf.DUMMYFUNCTION("""COMPUTED_VALUE"""),"VX6S")</f>
        <v>VX6S</v>
      </c>
      <c r="G2193" s="605"/>
      <c r="H2193" s="605"/>
      <c r="I2193" s="605"/>
      <c r="J2193" s="606"/>
      <c r="K2193" s="605"/>
      <c r="L2193" s="605"/>
      <c r="M2193" s="605"/>
      <c r="N2193" s="605"/>
      <c r="O2193" s="605"/>
      <c r="P2193" s="605" t="s">
        <v>3363</v>
      </c>
    </row>
    <row r="2194">
      <c r="A2194" s="605"/>
      <c r="B2194" s="605"/>
      <c r="C2194" s="605"/>
      <c r="D2194" s="605"/>
      <c r="E2194" s="605" t="str">
        <f>IFERROR(__xludf.DUMMYFUNCTION("""COMPUTED_VALUE"""),"NOVASTAR")</f>
        <v>NOVASTAR</v>
      </c>
      <c r="F2194" s="605" t="str">
        <f>IFERROR(__xludf.DUMMYFUNCTION("""COMPUTED_VALUE"""),"MCTRL 300")</f>
        <v>MCTRL 300</v>
      </c>
      <c r="G2194" s="605"/>
      <c r="H2194" s="605"/>
      <c r="I2194" s="605"/>
      <c r="J2194" s="606"/>
      <c r="K2194" s="605"/>
      <c r="L2194" s="605"/>
      <c r="M2194" s="605"/>
      <c r="N2194" s="605"/>
      <c r="O2194" s="605"/>
      <c r="P2194" s="605" t="s">
        <v>7459</v>
      </c>
    </row>
    <row r="2195">
      <c r="A2195" s="605"/>
      <c r="B2195" s="605"/>
      <c r="C2195" s="605"/>
      <c r="D2195" s="605"/>
      <c r="E2195" s="605" t="str">
        <f>IFERROR(__xludf.DUMMYFUNCTION("""COMPUTED_VALUE"""),"NOVATECH PC")</f>
        <v>NOVATECH PC</v>
      </c>
      <c r="F2195" s="605" t="str">
        <f>IFERROR(__xludf.DUMMYFUNCTION("""COMPUTED_VALUE"""),"DESKTOP PC")</f>
        <v>DESKTOP PC</v>
      </c>
      <c r="G2195" s="605"/>
      <c r="H2195" s="605"/>
      <c r="I2195" s="605"/>
      <c r="J2195" s="606"/>
      <c r="K2195" s="605"/>
      <c r="L2195" s="605"/>
      <c r="M2195" s="605"/>
      <c r="N2195" s="605"/>
      <c r="O2195" s="605"/>
      <c r="P2195" s="605" t="s">
        <v>7461</v>
      </c>
    </row>
    <row r="2196">
      <c r="A2196" s="605"/>
      <c r="B2196" s="605"/>
      <c r="C2196" s="605"/>
      <c r="D2196" s="605"/>
      <c r="E2196" s="605" t="str">
        <f>IFERROR(__xludf.DUMMYFUNCTION("""COMPUTED_VALUE"""),"NTI")</f>
        <v>NTI</v>
      </c>
      <c r="F2196" s="605" t="str">
        <f>IFERROR(__xludf.DUMMYFUNCTION("""COMPUTED_VALUE"""),"ENVIROMUX-16D")</f>
        <v>ENVIROMUX-16D</v>
      </c>
      <c r="G2196" s="605"/>
      <c r="H2196" s="605"/>
      <c r="I2196" s="605"/>
      <c r="J2196" s="606"/>
      <c r="K2196" s="605"/>
      <c r="L2196" s="605"/>
      <c r="M2196" s="605"/>
      <c r="N2196" s="605"/>
      <c r="O2196" s="605"/>
      <c r="P2196" s="605" t="s">
        <v>7463</v>
      </c>
    </row>
    <row r="2197">
      <c r="A2197" s="605"/>
      <c r="B2197" s="605"/>
      <c r="C2197" s="605"/>
      <c r="D2197" s="605"/>
      <c r="E2197" s="605" t="str">
        <f>IFERROR(__xludf.DUMMYFUNCTION("""COMPUTED_VALUE"""),"NTT")</f>
        <v>NTT</v>
      </c>
      <c r="F2197" s="605" t="str">
        <f>IFERROR(__xludf.DUMMYFUNCTION("""COMPUTED_VALUE"""),"GE-PON FA F")</f>
        <v>GE-PON FA F</v>
      </c>
      <c r="G2197" s="605"/>
      <c r="H2197" s="605"/>
      <c r="I2197" s="605"/>
      <c r="J2197" s="606"/>
      <c r="K2197" s="605"/>
      <c r="L2197" s="605"/>
      <c r="M2197" s="605"/>
      <c r="N2197" s="605"/>
      <c r="O2197" s="605"/>
      <c r="P2197" s="605" t="s">
        <v>7465</v>
      </c>
    </row>
    <row r="2198">
      <c r="A2198" s="605"/>
      <c r="B2198" s="605"/>
      <c r="C2198" s="605"/>
      <c r="D2198" s="605"/>
      <c r="E2198" s="605" t="str">
        <f>IFERROR(__xludf.DUMMYFUNCTION("""COMPUTED_VALUE"""),"NVIDIA")</f>
        <v>NVIDIA</v>
      </c>
      <c r="F2198" s="605" t="str">
        <f>IFERROR(__xludf.DUMMYFUNCTION("""COMPUTED_VALUE"""),"SHIELD")</f>
        <v>SHIELD</v>
      </c>
      <c r="G2198" s="605"/>
      <c r="H2198" s="605"/>
      <c r="I2198" s="605"/>
      <c r="J2198" s="606"/>
      <c r="K2198" s="605"/>
      <c r="L2198" s="605"/>
      <c r="M2198" s="605"/>
      <c r="N2198" s="605"/>
      <c r="O2198" s="605"/>
      <c r="P2198" s="605" t="s">
        <v>7467</v>
      </c>
    </row>
    <row r="2199">
      <c r="A2199" s="605"/>
      <c r="B2199" s="605"/>
      <c r="C2199" s="605"/>
      <c r="D2199" s="605"/>
      <c r="E2199" s="605" t="str">
        <f>IFERROR(__xludf.DUMMYFUNCTION("""COMPUTED_VALUE"""),"NVIDIA CORP")</f>
        <v>NVIDIA CORP</v>
      </c>
      <c r="F2199" s="605" t="str">
        <f>IFERROR(__xludf.DUMMYFUNCTION("""COMPUTED_VALUE"""),"NVIDIA P2571")</f>
        <v>NVIDIA P2571</v>
      </c>
      <c r="G2199" s="605"/>
      <c r="H2199" s="605"/>
      <c r="I2199" s="605"/>
      <c r="J2199" s="606"/>
      <c r="K2199" s="605"/>
      <c r="L2199" s="605"/>
      <c r="M2199" s="605"/>
      <c r="N2199" s="605"/>
      <c r="O2199" s="605"/>
      <c r="P2199" s="605" t="s">
        <v>7469</v>
      </c>
    </row>
    <row r="2200">
      <c r="A2200" s="605"/>
      <c r="B2200" s="605"/>
      <c r="C2200" s="605"/>
      <c r="D2200" s="605"/>
      <c r="E2200" s="605" t="str">
        <f>IFERROR(__xludf.DUMMYFUNCTION("""COMPUTED_VALUE"""),"O/M")</f>
        <v>O/M</v>
      </c>
      <c r="F2200" s="605" t="str">
        <f>IFERROR(__xludf.DUMMYFUNCTION("""COMPUTED_VALUE"""),"LIMIT")</f>
        <v>LIMIT</v>
      </c>
      <c r="G2200" s="605"/>
      <c r="H2200" s="605"/>
      <c r="I2200" s="605"/>
      <c r="J2200" s="606"/>
      <c r="K2200" s="605"/>
      <c r="L2200" s="605"/>
      <c r="M2200" s="605"/>
      <c r="N2200" s="605"/>
      <c r="O2200" s="605"/>
      <c r="P2200" s="605" t="s">
        <v>7471</v>
      </c>
    </row>
    <row r="2201">
      <c r="A2201" s="605"/>
      <c r="B2201" s="605"/>
      <c r="C2201" s="605"/>
      <c r="D2201" s="605"/>
      <c r="E2201" s="605" t="str">
        <f>IFERROR(__xludf.DUMMYFUNCTION("""COMPUTED_VALUE"""),"OBVIUS")</f>
        <v>OBVIUS</v>
      </c>
      <c r="F2201" s="605" t="str">
        <f>IFERROR(__xludf.DUMMYFUNCTION("""COMPUTED_VALUE"""),"A8810")</f>
        <v>A8810</v>
      </c>
      <c r="G2201" s="605"/>
      <c r="H2201" s="605"/>
      <c r="I2201" s="605"/>
      <c r="J2201" s="606"/>
      <c r="K2201" s="605"/>
      <c r="L2201" s="605"/>
      <c r="M2201" s="605"/>
      <c r="N2201" s="605"/>
      <c r="O2201" s="605"/>
      <c r="P2201" s="605" t="s">
        <v>7473</v>
      </c>
    </row>
    <row r="2202">
      <c r="A2202" s="605"/>
      <c r="B2202" s="605"/>
      <c r="C2202" s="605"/>
      <c r="D2202" s="605"/>
      <c r="E2202" s="605" t="str">
        <f>IFERROR(__xludf.DUMMYFUNCTION("""COMPUTED_VALUE"""),"OBVIUS")</f>
        <v>OBVIUS</v>
      </c>
      <c r="F2202" s="605" t="str">
        <f>IFERROR(__xludf.DUMMYFUNCTION("""COMPUTED_VALUE"""),"A8810")</f>
        <v>A8810</v>
      </c>
      <c r="G2202" s="605"/>
      <c r="H2202" s="605"/>
      <c r="I2202" s="605"/>
      <c r="J2202" s="606"/>
      <c r="K2202" s="605"/>
      <c r="L2202" s="605"/>
      <c r="M2202" s="605"/>
      <c r="N2202" s="605"/>
      <c r="O2202" s="605"/>
      <c r="P2202" s="605" t="s">
        <v>7475</v>
      </c>
    </row>
    <row r="2203">
      <c r="A2203" s="605"/>
      <c r="B2203" s="605"/>
      <c r="C2203" s="605"/>
      <c r="D2203" s="605"/>
      <c r="E2203" s="605" t="str">
        <f>IFERROR(__xludf.DUMMYFUNCTION("""COMPUTED_VALUE"""),"OBVIUS")</f>
        <v>OBVIUS</v>
      </c>
      <c r="F2203" s="605" t="str">
        <f>IFERROR(__xludf.DUMMYFUNCTION("""COMPUTED_VALUE"""),"A8812")</f>
        <v>A8812</v>
      </c>
      <c r="G2203" s="605"/>
      <c r="H2203" s="605"/>
      <c r="I2203" s="605"/>
      <c r="J2203" s="606"/>
      <c r="K2203" s="605"/>
      <c r="L2203" s="605"/>
      <c r="M2203" s="605"/>
      <c r="N2203" s="605"/>
      <c r="O2203" s="605"/>
      <c r="P2203" s="605" t="s">
        <v>7477</v>
      </c>
    </row>
    <row r="2204">
      <c r="A2204" s="605"/>
      <c r="B2204" s="605"/>
      <c r="C2204" s="605"/>
      <c r="D2204" s="605"/>
      <c r="E2204" s="605" t="str">
        <f>IFERROR(__xludf.DUMMYFUNCTION("""COMPUTED_VALUE"""),"OBVIUS")</f>
        <v>OBVIUS</v>
      </c>
      <c r="F2204" s="605" t="str">
        <f>IFERROR(__xludf.DUMMYFUNCTION("""COMPUTED_VALUE"""),"ACQUISUITE A8814")</f>
        <v>ACQUISUITE A8814</v>
      </c>
      <c r="G2204" s="605"/>
      <c r="H2204" s="605"/>
      <c r="I2204" s="605"/>
      <c r="J2204" s="606"/>
      <c r="K2204" s="605"/>
      <c r="L2204" s="605"/>
      <c r="M2204" s="605"/>
      <c r="N2204" s="605"/>
      <c r="O2204" s="605"/>
      <c r="P2204" s="605" t="s">
        <v>3366</v>
      </c>
    </row>
    <row r="2205">
      <c r="A2205" s="605"/>
      <c r="B2205" s="605"/>
      <c r="C2205" s="605"/>
      <c r="D2205" s="605"/>
      <c r="E2205" s="605" t="str">
        <f>IFERROR(__xludf.DUMMYFUNCTION("""COMPUTED_VALUE"""),"OBVIUS")</f>
        <v>OBVIUS</v>
      </c>
      <c r="F2205" s="605" t="str">
        <f>IFERROR(__xludf.DUMMYFUNCTION("""COMPUTED_VALUE"""),"ACQUISUITE A8814")</f>
        <v>ACQUISUITE A8814</v>
      </c>
      <c r="G2205" s="605"/>
      <c r="H2205" s="605"/>
      <c r="I2205" s="605"/>
      <c r="J2205" s="606"/>
      <c r="K2205" s="605"/>
      <c r="L2205" s="605"/>
      <c r="M2205" s="605"/>
      <c r="N2205" s="605"/>
      <c r="O2205" s="605"/>
      <c r="P2205" s="605" t="s">
        <v>7479</v>
      </c>
    </row>
    <row r="2206">
      <c r="A2206" s="605"/>
      <c r="B2206" s="605"/>
      <c r="C2206" s="605"/>
      <c r="D2206" s="605"/>
      <c r="E2206" s="605" t="str">
        <f>IFERROR(__xludf.DUMMYFUNCTION("""COMPUTED_VALUE"""),"OBVIUS")</f>
        <v>OBVIUS</v>
      </c>
      <c r="F2206" s="605" t="str">
        <f>IFERROR(__xludf.DUMMYFUNCTION("""COMPUTED_VALUE"""),"ACQUISUITE A8814")</f>
        <v>ACQUISUITE A8814</v>
      </c>
      <c r="G2206" s="605"/>
      <c r="H2206" s="605"/>
      <c r="I2206" s="605"/>
      <c r="J2206" s="606"/>
      <c r="K2206" s="605"/>
      <c r="L2206" s="605"/>
      <c r="M2206" s="605"/>
      <c r="N2206" s="605"/>
      <c r="O2206" s="605"/>
      <c r="P2206" s="605" t="s">
        <v>7481</v>
      </c>
    </row>
    <row r="2207">
      <c r="A2207" s="605"/>
      <c r="B2207" s="605"/>
      <c r="C2207" s="605"/>
      <c r="D2207" s="605"/>
      <c r="E2207" s="605" t="str">
        <f>IFERROR(__xludf.DUMMYFUNCTION("""COMPUTED_VALUE"""),"OBVIUS")</f>
        <v>OBVIUS</v>
      </c>
      <c r="F2207" s="605" t="str">
        <f>IFERROR(__xludf.DUMMYFUNCTION("""COMPUTED_VALUE"""),"VERIS INDUSTRIES")</f>
        <v>VERIS INDUSTRIES</v>
      </c>
      <c r="G2207" s="605"/>
      <c r="H2207" s="605"/>
      <c r="I2207" s="605"/>
      <c r="J2207" s="606"/>
      <c r="K2207" s="605"/>
      <c r="L2207" s="605"/>
      <c r="M2207" s="605"/>
      <c r="N2207" s="605"/>
      <c r="O2207" s="605"/>
      <c r="P2207" s="605" t="s">
        <v>7483</v>
      </c>
    </row>
    <row r="2208">
      <c r="A2208" s="605"/>
      <c r="B2208" s="605"/>
      <c r="C2208" s="605"/>
      <c r="D2208" s="605"/>
      <c r="E2208" s="605" t="str">
        <f>IFERROR(__xludf.DUMMYFUNCTION("""COMPUTED_VALUE"""),"OBVIUS")</f>
        <v>OBVIUS</v>
      </c>
      <c r="F2208" s="605" t="str">
        <f>IFERROR(__xludf.DUMMYFUNCTION("""COMPUTED_VALUE"""),"A7810")</f>
        <v>A7810</v>
      </c>
      <c r="G2208" s="605"/>
      <c r="H2208" s="605"/>
      <c r="I2208" s="605"/>
      <c r="J2208" s="606"/>
      <c r="K2208" s="605"/>
      <c r="L2208" s="605"/>
      <c r="M2208" s="605"/>
      <c r="N2208" s="605"/>
      <c r="O2208" s="605"/>
      <c r="P2208" s="605" t="s">
        <v>7485</v>
      </c>
    </row>
    <row r="2209">
      <c r="A2209" s="605"/>
      <c r="B2209" s="605"/>
      <c r="C2209" s="605"/>
      <c r="D2209" s="605"/>
      <c r="E2209" s="605" t="str">
        <f>IFERROR(__xludf.DUMMYFUNCTION("""COMPUTED_VALUE"""),"OCTANE FITNESS")</f>
        <v>OCTANE FITNESS</v>
      </c>
      <c r="F2209" s="605" t="str">
        <f>IFERROR(__xludf.DUMMYFUNCTION("""COMPUTED_VALUE"""),"PRO 3700")</f>
        <v>PRO 3700</v>
      </c>
      <c r="G2209" s="605"/>
      <c r="H2209" s="605"/>
      <c r="I2209" s="605"/>
      <c r="J2209" s="606"/>
      <c r="K2209" s="605"/>
      <c r="L2209" s="605"/>
      <c r="M2209" s="605"/>
      <c r="N2209" s="605"/>
      <c r="O2209" s="605"/>
      <c r="P2209" s="605" t="s">
        <v>7487</v>
      </c>
    </row>
    <row r="2210">
      <c r="A2210" s="605"/>
      <c r="B2210" s="605"/>
      <c r="C2210" s="605"/>
      <c r="D2210" s="605"/>
      <c r="E2210" s="605" t="str">
        <f>IFERROR(__xludf.DUMMYFUNCTION("""COMPUTED_VALUE"""),"OCTANE FITNESS")</f>
        <v>OCTANE FITNESS</v>
      </c>
      <c r="F2210" s="605" t="str">
        <f>IFERROR(__xludf.DUMMYFUNCTION("""COMPUTED_VALUE"""),"PRO 4700")</f>
        <v>PRO 4700</v>
      </c>
      <c r="G2210" s="605"/>
      <c r="H2210" s="605"/>
      <c r="I2210" s="605"/>
      <c r="J2210" s="606"/>
      <c r="K2210" s="605"/>
      <c r="L2210" s="605"/>
      <c r="M2210" s="605"/>
      <c r="N2210" s="605"/>
      <c r="O2210" s="605"/>
      <c r="P2210" s="605" t="s">
        <v>7489</v>
      </c>
    </row>
    <row r="2211">
      <c r="A2211" s="605"/>
      <c r="B2211" s="605"/>
      <c r="C2211" s="605"/>
      <c r="D2211" s="605"/>
      <c r="E2211" s="605" t="str">
        <f>IFERROR(__xludf.DUMMYFUNCTION("""COMPUTED_VALUE"""),"OEM")</f>
        <v>OEM</v>
      </c>
      <c r="F2211" s="605" t="str">
        <f>IFERROR(__xludf.DUMMYFUNCTION("""COMPUTED_VALUE"""),"N/A")</f>
        <v>N/A</v>
      </c>
      <c r="G2211" s="605"/>
      <c r="H2211" s="605"/>
      <c r="I2211" s="605"/>
      <c r="J2211" s="606"/>
      <c r="K2211" s="605"/>
      <c r="L2211" s="605"/>
      <c r="M2211" s="605"/>
      <c r="N2211" s="605"/>
      <c r="O2211" s="605"/>
      <c r="P2211" s="605" t="s">
        <v>7491</v>
      </c>
    </row>
    <row r="2212">
      <c r="A2212" s="605"/>
      <c r="B2212" s="605"/>
      <c r="C2212" s="605"/>
      <c r="D2212" s="605"/>
      <c r="E2212" s="605" t="str">
        <f>IFERROR(__xludf.DUMMYFUNCTION("""COMPUTED_VALUE"""),"OKAYA")</f>
        <v>OKAYA</v>
      </c>
      <c r="F2212" s="605" t="str">
        <f>IFERROR(__xludf.DUMMYFUNCTION("""COMPUTED_VALUE"""),"BHARAT DC EV CHARGER")</f>
        <v>BHARAT DC EV CHARGER</v>
      </c>
      <c r="G2212" s="605"/>
      <c r="H2212" s="605"/>
      <c r="I2212" s="605"/>
      <c r="J2212" s="606"/>
      <c r="K2212" s="605"/>
      <c r="L2212" s="605"/>
      <c r="M2212" s="605"/>
      <c r="N2212" s="605"/>
      <c r="O2212" s="605"/>
      <c r="P2212" s="605" t="s">
        <v>7493</v>
      </c>
    </row>
    <row r="2213">
      <c r="A2213" s="605"/>
      <c r="B2213" s="605"/>
      <c r="C2213" s="605"/>
      <c r="D2213" s="605"/>
      <c r="E2213" s="605" t="str">
        <f>IFERROR(__xludf.DUMMYFUNCTION("""COMPUTED_VALUE"""),"OMICRON")</f>
        <v>OMICRON</v>
      </c>
      <c r="F2213" s="605" t="str">
        <f>IFERROR(__xludf.DUMMYFUNCTION("""COMPUTED_VALUE"""),"IAQC1V2")</f>
        <v>IAQC1V2</v>
      </c>
      <c r="G2213" s="605"/>
      <c r="H2213" s="605"/>
      <c r="I2213" s="605"/>
      <c r="J2213" s="606"/>
      <c r="K2213" s="605"/>
      <c r="L2213" s="605"/>
      <c r="M2213" s="605"/>
      <c r="N2213" s="605"/>
      <c r="O2213" s="605"/>
      <c r="P2213" s="605" t="s">
        <v>7495</v>
      </c>
    </row>
    <row r="2214">
      <c r="A2214" s="605"/>
      <c r="B2214" s="605"/>
      <c r="C2214" s="605"/>
      <c r="D2214" s="605"/>
      <c r="E2214" s="605" t="str">
        <f>IFERROR(__xludf.DUMMYFUNCTION("""COMPUTED_VALUE"""),"OMICRON SENSING")</f>
        <v>OMICRON SENSING</v>
      </c>
      <c r="F2214" s="605" t="str">
        <f>IFERROR(__xludf.DUMMYFUNCTION("""COMPUTED_VALUE"""),"IAQC3")</f>
        <v>IAQC3</v>
      </c>
      <c r="G2214" s="605"/>
      <c r="H2214" s="605"/>
      <c r="I2214" s="605"/>
      <c r="J2214" s="606"/>
      <c r="K2214" s="605"/>
      <c r="L2214" s="605"/>
      <c r="M2214" s="605"/>
      <c r="N2214" s="605"/>
      <c r="O2214" s="605"/>
      <c r="P2214" s="605" t="s">
        <v>7497</v>
      </c>
    </row>
    <row r="2215">
      <c r="A2215" s="605"/>
      <c r="B2215" s="605"/>
      <c r="C2215" s="605"/>
      <c r="D2215" s="605"/>
      <c r="E2215" s="605" t="str">
        <f>IFERROR(__xludf.DUMMYFUNCTION("""COMPUTED_VALUE"""),"ONICON")</f>
        <v>ONICON</v>
      </c>
      <c r="F2215" s="605" t="str">
        <f>IFERROR(__xludf.DUMMYFUNCTION("""COMPUTED_VALUE"""),"SYSTEM 10")</f>
        <v>SYSTEM 10</v>
      </c>
      <c r="G2215" s="605"/>
      <c r="H2215" s="605"/>
      <c r="I2215" s="605"/>
      <c r="J2215" s="606"/>
      <c r="K2215" s="605"/>
      <c r="L2215" s="605"/>
      <c r="M2215" s="605"/>
      <c r="N2215" s="605"/>
      <c r="O2215" s="605"/>
      <c r="P2215" s="605" t="s">
        <v>3369</v>
      </c>
    </row>
    <row r="2216">
      <c r="A2216" s="605"/>
      <c r="B2216" s="605"/>
      <c r="C2216" s="605"/>
      <c r="D2216" s="605"/>
      <c r="E2216" s="605" t="str">
        <f>IFERROR(__xludf.DUMMYFUNCTION("""COMPUTED_VALUE"""),"ONICON")</f>
        <v>ONICON</v>
      </c>
      <c r="F2216" s="605" t="str">
        <f>IFERROR(__xludf.DUMMYFUNCTION("""COMPUTED_VALUE"""),"F-5500")</f>
        <v>F-5500</v>
      </c>
      <c r="G2216" s="605"/>
      <c r="H2216" s="605"/>
      <c r="I2216" s="605"/>
      <c r="J2216" s="606"/>
      <c r="K2216" s="605"/>
      <c r="L2216" s="605"/>
      <c r="M2216" s="605"/>
      <c r="N2216" s="605"/>
      <c r="O2216" s="605"/>
      <c r="P2216" s="605" t="s">
        <v>7499</v>
      </c>
    </row>
    <row r="2217">
      <c r="A2217" s="605"/>
      <c r="B2217" s="605"/>
      <c r="C2217" s="605"/>
      <c r="D2217" s="605"/>
      <c r="E2217" s="605" t="str">
        <f>IFERROR(__xludf.DUMMYFUNCTION("""COMPUTED_VALUE"""),"ONICON")</f>
        <v>ONICON</v>
      </c>
      <c r="F2217" s="605" t="str">
        <f>IFERROR(__xludf.DUMMYFUNCTION("""COMPUTED_VALUE"""),"F-4600")</f>
        <v>F-4600</v>
      </c>
      <c r="G2217" s="605"/>
      <c r="H2217" s="605"/>
      <c r="I2217" s="605"/>
      <c r="J2217" s="606"/>
      <c r="K2217" s="605"/>
      <c r="L2217" s="605"/>
      <c r="M2217" s="605"/>
      <c r="N2217" s="605"/>
      <c r="O2217" s="605"/>
      <c r="P2217" s="605" t="s">
        <v>7501</v>
      </c>
    </row>
    <row r="2218">
      <c r="A2218" s="605"/>
      <c r="B2218" s="605"/>
      <c r="C2218" s="605"/>
      <c r="D2218" s="605"/>
      <c r="E2218" s="605" t="str">
        <f>IFERROR(__xludf.DUMMYFUNCTION("""COMPUTED_VALUE"""),"ONICON")</f>
        <v>ONICON</v>
      </c>
      <c r="F2218" s="605" t="str">
        <f>IFERROR(__xludf.DUMMYFUNCTION("""COMPUTED_VALUE"""),"F-1100")</f>
        <v>F-1100</v>
      </c>
      <c r="G2218" s="605"/>
      <c r="H2218" s="605"/>
      <c r="I2218" s="605"/>
      <c r="J2218" s="606"/>
      <c r="K2218" s="605"/>
      <c r="L2218" s="605"/>
      <c r="M2218" s="605"/>
      <c r="N2218" s="605"/>
      <c r="O2218" s="605"/>
      <c r="P2218" s="605" t="s">
        <v>7503</v>
      </c>
    </row>
    <row r="2219">
      <c r="A2219" s="605"/>
      <c r="B2219" s="605"/>
      <c r="C2219" s="605"/>
      <c r="D2219" s="605"/>
      <c r="E2219" s="605" t="str">
        <f>IFERROR(__xludf.DUMMYFUNCTION("""COMPUTED_VALUE"""),"ONICON")</f>
        <v>ONICON</v>
      </c>
      <c r="F2219" s="605" t="str">
        <f>IFERROR(__xludf.DUMMYFUNCTION("""COMPUTED_VALUE"""),"ULTRASONIC FLOWMETER")</f>
        <v>ULTRASONIC FLOWMETER</v>
      </c>
      <c r="G2219" s="605"/>
      <c r="H2219" s="605"/>
      <c r="I2219" s="605"/>
      <c r="J2219" s="606"/>
      <c r="K2219" s="605"/>
      <c r="L2219" s="605"/>
      <c r="M2219" s="605"/>
      <c r="N2219" s="605"/>
      <c r="O2219" s="605"/>
      <c r="P2219" s="605" t="s">
        <v>7505</v>
      </c>
    </row>
    <row r="2220">
      <c r="A2220" s="605"/>
      <c r="B2220" s="605"/>
      <c r="C2220" s="605"/>
      <c r="D2220" s="605"/>
      <c r="E2220" s="605" t="str">
        <f>IFERROR(__xludf.DUMMYFUNCTION("""COMPUTED_VALUE"""),"ONICON")</f>
        <v>ONICON</v>
      </c>
      <c r="F2220" s="605" t="str">
        <f>IFERROR(__xludf.DUMMYFUNCTION("""COMPUTED_VALUE"""),"FT-3100")</f>
        <v>FT-3100</v>
      </c>
      <c r="G2220" s="605"/>
      <c r="H2220" s="605"/>
      <c r="I2220" s="605"/>
      <c r="J2220" s="606"/>
      <c r="K2220" s="605"/>
      <c r="L2220" s="605"/>
      <c r="M2220" s="605"/>
      <c r="N2220" s="605"/>
      <c r="O2220" s="605"/>
      <c r="P2220" s="605" t="s">
        <v>7507</v>
      </c>
    </row>
    <row r="2221">
      <c r="A2221" s="605"/>
      <c r="B2221" s="605"/>
      <c r="C2221" s="605"/>
      <c r="D2221" s="605"/>
      <c r="E2221" s="605" t="str">
        <f>IFERROR(__xludf.DUMMYFUNCTION("""COMPUTED_VALUE"""),"ONICON")</f>
        <v>ONICON</v>
      </c>
      <c r="F2221" s="605" t="str">
        <f>IFERROR(__xludf.DUMMYFUNCTION("""COMPUTED_VALUE"""),"SYSTEM-20 BTU METER")</f>
        <v>SYSTEM-20 BTU METER</v>
      </c>
      <c r="G2221" s="605"/>
      <c r="H2221" s="605"/>
      <c r="I2221" s="605"/>
      <c r="J2221" s="606"/>
      <c r="K2221" s="605"/>
      <c r="L2221" s="605"/>
      <c r="M2221" s="605"/>
      <c r="N2221" s="605"/>
      <c r="O2221" s="605"/>
      <c r="P2221" s="605" t="s">
        <v>7509</v>
      </c>
    </row>
    <row r="2222">
      <c r="A2222" s="605"/>
      <c r="B2222" s="605"/>
      <c r="C2222" s="605"/>
      <c r="D2222" s="605"/>
      <c r="E2222" s="605" t="str">
        <f>IFERROR(__xludf.DUMMYFUNCTION("""COMPUTED_VALUE"""),"ONICON")</f>
        <v>ONICON</v>
      </c>
      <c r="F2222" s="605" t="str">
        <f>IFERROR(__xludf.DUMMYFUNCTION("""COMPUTED_VALUE"""),"F-1200")</f>
        <v>F-1200</v>
      </c>
      <c r="G2222" s="605"/>
      <c r="H2222" s="605"/>
      <c r="I2222" s="605"/>
      <c r="J2222" s="606"/>
      <c r="K2222" s="605"/>
      <c r="L2222" s="605"/>
      <c r="M2222" s="605"/>
      <c r="N2222" s="605"/>
      <c r="O2222" s="605"/>
      <c r="P2222" s="605" t="s">
        <v>7511</v>
      </c>
    </row>
    <row r="2223">
      <c r="A2223" s="605"/>
      <c r="B2223" s="605"/>
      <c r="C2223" s="605"/>
      <c r="D2223" s="605"/>
      <c r="E2223" s="605" t="str">
        <f>IFERROR(__xludf.DUMMYFUNCTION("""COMPUTED_VALUE"""),"ONICON")</f>
        <v>ONICON</v>
      </c>
      <c r="F2223" s="605" t="str">
        <f>IFERROR(__xludf.DUMMYFUNCTION("""COMPUTED_VALUE"""),"FT-3500 FLOW METER")</f>
        <v>FT-3500 FLOW METER</v>
      </c>
      <c r="G2223" s="605"/>
      <c r="H2223" s="605"/>
      <c r="I2223" s="605"/>
      <c r="J2223" s="606"/>
      <c r="K2223" s="605"/>
      <c r="L2223" s="605"/>
      <c r="M2223" s="605"/>
      <c r="N2223" s="605"/>
      <c r="O2223" s="605"/>
      <c r="P2223" s="605" t="s">
        <v>7513</v>
      </c>
    </row>
    <row r="2224">
      <c r="A2224" s="605"/>
      <c r="B2224" s="605"/>
      <c r="C2224" s="605"/>
      <c r="D2224" s="605"/>
      <c r="E2224" s="605" t="str">
        <f>IFERROR(__xludf.DUMMYFUNCTION("""COMPUTED_VALUE"""),"ONLOGIC")</f>
        <v>ONLOGIC</v>
      </c>
      <c r="F2224" s="605" t="str">
        <f>IFERROR(__xludf.DUMMYFUNCTION("""COMPUTED_VALUE"""),"LONG-ML100G-40")</f>
        <v>LONG-ML100G-40</v>
      </c>
      <c r="G2224" s="605"/>
      <c r="H2224" s="605"/>
      <c r="I2224" s="605"/>
      <c r="J2224" s="606"/>
      <c r="K2224" s="605"/>
      <c r="L2224" s="605"/>
      <c r="M2224" s="605"/>
      <c r="N2224" s="605"/>
      <c r="O2224" s="605"/>
      <c r="P2224" s="605" t="s">
        <v>7515</v>
      </c>
    </row>
    <row r="2225">
      <c r="A2225" s="605"/>
      <c r="B2225" s="605"/>
      <c r="C2225" s="605"/>
      <c r="D2225" s="605"/>
      <c r="E2225" s="605" t="str">
        <f>IFERROR(__xludf.DUMMYFUNCTION("""COMPUTED_VALUE"""),"ONLOGIC")</f>
        <v>ONLOGIC</v>
      </c>
      <c r="F2225" s="605" t="str">
        <f>IFERROR(__xludf.DUMMYFUNCTION("""COMPUTED_VALUE"""),"CL200G-10")</f>
        <v>CL200G-10</v>
      </c>
      <c r="G2225" s="605"/>
      <c r="H2225" s="605"/>
      <c r="I2225" s="605"/>
      <c r="J2225" s="606"/>
      <c r="K2225" s="605"/>
      <c r="L2225" s="605"/>
      <c r="M2225" s="605"/>
      <c r="N2225" s="605"/>
      <c r="O2225" s="605"/>
      <c r="P2225" s="605" t="s">
        <v>7517</v>
      </c>
    </row>
    <row r="2226">
      <c r="A2226" s="605"/>
      <c r="B2226" s="605"/>
      <c r="C2226" s="605"/>
      <c r="D2226" s="605"/>
      <c r="E2226" s="605" t="str">
        <f>IFERROR(__xludf.DUMMYFUNCTION("""COMPUTED_VALUE"""),"OPEN SOURCE SOLUTIONS")</f>
        <v>OPEN SOURCE SOLUTIONS</v>
      </c>
      <c r="F2226" s="605" t="str">
        <f>IFERROR(__xludf.DUMMYFUNCTION("""COMPUTED_VALUE"""),"16A-MP")</f>
        <v>16A-MP</v>
      </c>
      <c r="G2226" s="605"/>
      <c r="H2226" s="605"/>
      <c r="I2226" s="605"/>
      <c r="J2226" s="606"/>
      <c r="K2226" s="605"/>
      <c r="L2226" s="605"/>
      <c r="M2226" s="605"/>
      <c r="N2226" s="605"/>
      <c r="O2226" s="605"/>
      <c r="P2226" s="605" t="s">
        <v>3372</v>
      </c>
    </row>
    <row r="2227">
      <c r="A2227" s="605"/>
      <c r="B2227" s="605"/>
      <c r="C2227" s="605"/>
      <c r="D2227" s="605"/>
      <c r="E2227" s="605" t="str">
        <f>IFERROR(__xludf.DUMMYFUNCTION("""COMPUTED_VALUE"""),"OPEN SOURCE SOLUTIONS")</f>
        <v>OPEN SOURCE SOLUTIONS</v>
      </c>
      <c r="F2227" s="605" t="str">
        <f>IFERROR(__xludf.DUMMYFUNCTION("""COMPUTED_VALUE"""),"16A-MP")</f>
        <v>16A-MP</v>
      </c>
      <c r="G2227" s="605"/>
      <c r="H2227" s="605"/>
      <c r="I2227" s="605"/>
      <c r="J2227" s="606"/>
      <c r="K2227" s="605"/>
      <c r="L2227" s="605"/>
      <c r="M2227" s="605"/>
      <c r="N2227" s="605"/>
      <c r="O2227" s="605"/>
      <c r="P2227" s="605" t="s">
        <v>7519</v>
      </c>
    </row>
    <row r="2228">
      <c r="A2228" s="605"/>
      <c r="B2228" s="605"/>
      <c r="C2228" s="605"/>
      <c r="D2228" s="605"/>
      <c r="E2228" s="605" t="str">
        <f>IFERROR(__xludf.DUMMYFUNCTION("""COMPUTED_VALUE"""),"OPEN SOURCE SOLUTIONS")</f>
        <v>OPEN SOURCE SOLUTIONS</v>
      </c>
      <c r="F2228" s="605" t="str">
        <f>IFERROR(__xludf.DUMMYFUNCTION("""COMPUTED_VALUE"""),"NEOSS-V3")</f>
        <v>NEOSS-V3</v>
      </c>
      <c r="G2228" s="605"/>
      <c r="H2228" s="605"/>
      <c r="I2228" s="605"/>
      <c r="J2228" s="606"/>
      <c r="K2228" s="605"/>
      <c r="L2228" s="605"/>
      <c r="M2228" s="605"/>
      <c r="N2228" s="605"/>
      <c r="O2228" s="605"/>
      <c r="P2228" s="605" t="s">
        <v>7522</v>
      </c>
    </row>
    <row r="2229">
      <c r="A2229" s="605"/>
      <c r="B2229" s="605"/>
      <c r="C2229" s="605"/>
      <c r="D2229" s="605"/>
      <c r="E2229" s="605" t="str">
        <f>IFERROR(__xludf.DUMMYFUNCTION("""COMPUTED_VALUE"""),"OPEN SOURCE SOLUTIONS")</f>
        <v>OPEN SOURCE SOLUTIONS</v>
      </c>
      <c r="F2229" s="605" t="str">
        <f>IFERROR(__xludf.DUMMYFUNCTION("""COMPUTED_VALUE"""),"NEOSS-V3")</f>
        <v>NEOSS-V3</v>
      </c>
      <c r="G2229" s="605"/>
      <c r="H2229" s="605"/>
      <c r="I2229" s="605"/>
      <c r="J2229" s="606"/>
      <c r="K2229" s="605"/>
      <c r="L2229" s="605"/>
      <c r="M2229" s="605"/>
      <c r="N2229" s="605"/>
      <c r="O2229" s="605"/>
      <c r="P2229" s="605" t="s">
        <v>7525</v>
      </c>
    </row>
    <row r="2230">
      <c r="A2230" s="605"/>
      <c r="B2230" s="605"/>
      <c r="C2230" s="605"/>
      <c r="D2230" s="605"/>
      <c r="E2230" s="605" t="str">
        <f>IFERROR(__xludf.DUMMYFUNCTION("""COMPUTED_VALUE"""),"OPEN SOURCE SOLUTIONS")</f>
        <v>OPEN SOURCE SOLUTIONS</v>
      </c>
      <c r="F2230" s="605" t="str">
        <f>IFERROR(__xludf.DUMMYFUNCTION("""COMPUTED_VALUE"""),"16A-MP")</f>
        <v>16A-MP</v>
      </c>
      <c r="G2230" s="605"/>
      <c r="H2230" s="605"/>
      <c r="I2230" s="605"/>
      <c r="J2230" s="606"/>
      <c r="K2230" s="605"/>
      <c r="L2230" s="605"/>
      <c r="M2230" s="605"/>
      <c r="N2230" s="605"/>
      <c r="O2230" s="605"/>
      <c r="P2230" s="605" t="s">
        <v>7528</v>
      </c>
    </row>
    <row r="2231">
      <c r="A2231" s="605"/>
      <c r="B2231" s="605"/>
      <c r="C2231" s="605"/>
      <c r="D2231" s="605"/>
      <c r="E2231" s="605" t="str">
        <f>IFERROR(__xludf.DUMMYFUNCTION("""COMPUTED_VALUE"""),"OPTCONNECT")</f>
        <v>OPTCONNECT</v>
      </c>
      <c r="F2231" s="605" t="str">
        <f>IFERROR(__xludf.DUMMYFUNCTION("""COMPUTED_VALUE"""),"OC-3252E")</f>
        <v>OC-3252E</v>
      </c>
      <c r="G2231" s="605"/>
      <c r="H2231" s="605"/>
      <c r="I2231" s="605"/>
      <c r="J2231" s="606"/>
      <c r="K2231" s="605"/>
      <c r="L2231" s="605"/>
      <c r="M2231" s="605"/>
      <c r="N2231" s="605"/>
      <c r="O2231" s="605"/>
      <c r="P2231" s="605" t="s">
        <v>7531</v>
      </c>
    </row>
    <row r="2232">
      <c r="A2232" s="605"/>
      <c r="B2232" s="605"/>
      <c r="C2232" s="605"/>
      <c r="D2232" s="605"/>
      <c r="E2232" s="605" t="str">
        <f>IFERROR(__xludf.DUMMYFUNCTION("""COMPUTED_VALUE"""),"OPTCONNECT")</f>
        <v>OPTCONNECT</v>
      </c>
      <c r="F2232" s="605" t="str">
        <f>IFERROR(__xludf.DUMMYFUNCTION("""COMPUTED_VALUE"""),"OC-4500")</f>
        <v>OC-4500</v>
      </c>
      <c r="G2232" s="605"/>
      <c r="H2232" s="605"/>
      <c r="I2232" s="605"/>
      <c r="J2232" s="606"/>
      <c r="K2232" s="605"/>
      <c r="L2232" s="605"/>
      <c r="M2232" s="605"/>
      <c r="N2232" s="605"/>
      <c r="O2232" s="605"/>
      <c r="P2232" s="605" t="s">
        <v>7534</v>
      </c>
    </row>
    <row r="2233">
      <c r="A2233" s="605"/>
      <c r="B2233" s="605"/>
      <c r="C2233" s="605"/>
      <c r="D2233" s="605"/>
      <c r="E2233" s="605" t="str">
        <f>IFERROR(__xludf.DUMMYFUNCTION("""COMPUTED_VALUE"""),"OPTCONNECT")</f>
        <v>OPTCONNECT</v>
      </c>
      <c r="F2233" s="605" t="str">
        <f>IFERROR(__xludf.DUMMYFUNCTION("""COMPUTED_VALUE"""),"OC-4100")</f>
        <v>OC-4100</v>
      </c>
      <c r="G2233" s="605"/>
      <c r="H2233" s="605"/>
      <c r="I2233" s="605"/>
      <c r="J2233" s="606"/>
      <c r="K2233" s="605"/>
      <c r="L2233" s="605"/>
      <c r="M2233" s="605"/>
      <c r="N2233" s="605"/>
      <c r="O2233" s="605"/>
      <c r="P2233" s="605" t="s">
        <v>7537</v>
      </c>
    </row>
    <row r="2234">
      <c r="A2234" s="605"/>
      <c r="B2234" s="605"/>
      <c r="C2234" s="605"/>
      <c r="D2234" s="605"/>
      <c r="E2234" s="605" t="str">
        <f>IFERROR(__xludf.DUMMYFUNCTION("""COMPUTED_VALUE"""),"OPTCONNECT")</f>
        <v>OPTCONNECT</v>
      </c>
      <c r="F2234" s="605" t="str">
        <f>IFERROR(__xludf.DUMMYFUNCTION("""COMPUTED_VALUE"""),"OC-4100")</f>
        <v>OC-4100</v>
      </c>
      <c r="G2234" s="605"/>
      <c r="H2234" s="605"/>
      <c r="I2234" s="605"/>
      <c r="J2234" s="606"/>
      <c r="K2234" s="605"/>
      <c r="L2234" s="605"/>
      <c r="M2234" s="605"/>
      <c r="N2234" s="605"/>
      <c r="O2234" s="605"/>
      <c r="P2234" s="605" t="s">
        <v>7540</v>
      </c>
    </row>
    <row r="2235">
      <c r="A2235" s="605"/>
      <c r="B2235" s="605"/>
      <c r="C2235" s="605"/>
      <c r="D2235" s="605"/>
      <c r="E2235" s="605" t="str">
        <f>IFERROR(__xludf.DUMMYFUNCTION("""COMPUTED_VALUE"""),"OPTCONNECT")</f>
        <v>OPTCONNECT</v>
      </c>
      <c r="F2235" s="605" t="str">
        <f>IFERROR(__xludf.DUMMYFUNCTION("""COMPUTED_VALUE"""),"OC-4100")</f>
        <v>OC-4100</v>
      </c>
      <c r="G2235" s="605"/>
      <c r="H2235" s="605"/>
      <c r="I2235" s="605"/>
      <c r="J2235" s="606"/>
      <c r="K2235" s="605"/>
      <c r="L2235" s="605"/>
      <c r="M2235" s="605"/>
      <c r="N2235" s="605"/>
      <c r="O2235" s="605"/>
      <c r="P2235" s="605" t="s">
        <v>7543</v>
      </c>
    </row>
    <row r="2236">
      <c r="A2236" s="605"/>
      <c r="B2236" s="605"/>
      <c r="C2236" s="605"/>
      <c r="D2236" s="605"/>
      <c r="E2236" s="605" t="str">
        <f>IFERROR(__xludf.DUMMYFUNCTION("""COMPUTED_VALUE"""),"OPTCONNECT")</f>
        <v>OPTCONNECT</v>
      </c>
      <c r="F2236" s="605" t="str">
        <f>IFERROR(__xludf.DUMMYFUNCTION("""COMPUTED_VALUE"""),"OC-4100")</f>
        <v>OC-4100</v>
      </c>
      <c r="G2236" s="605"/>
      <c r="H2236" s="605"/>
      <c r="I2236" s="605"/>
      <c r="J2236" s="606"/>
      <c r="K2236" s="605"/>
      <c r="L2236" s="605"/>
      <c r="M2236" s="605"/>
      <c r="N2236" s="605"/>
      <c r="O2236" s="605"/>
      <c r="P2236" s="605" t="s">
        <v>7546</v>
      </c>
    </row>
    <row r="2237">
      <c r="A2237" s="605"/>
      <c r="B2237" s="605"/>
      <c r="C2237" s="605"/>
      <c r="D2237" s="605"/>
      <c r="E2237" s="605" t="str">
        <f>IFERROR(__xludf.DUMMYFUNCTION("""COMPUTED_VALUE"""),"OPTCONNECT")</f>
        <v>OPTCONNECT</v>
      </c>
      <c r="F2237" s="605" t="str">
        <f>IFERROR(__xludf.DUMMYFUNCTION("""COMPUTED_VALUE"""),"OC-4100")</f>
        <v>OC-4100</v>
      </c>
      <c r="G2237" s="605"/>
      <c r="H2237" s="605"/>
      <c r="I2237" s="605"/>
      <c r="J2237" s="606"/>
      <c r="K2237" s="605"/>
      <c r="L2237" s="605"/>
      <c r="M2237" s="605"/>
      <c r="N2237" s="605"/>
      <c r="O2237" s="605"/>
      <c r="P2237" s="605" t="s">
        <v>3375</v>
      </c>
    </row>
    <row r="2238">
      <c r="A2238" s="605"/>
      <c r="B2238" s="605"/>
      <c r="C2238" s="605"/>
      <c r="D2238" s="605"/>
      <c r="E2238" s="605" t="str">
        <f>IFERROR(__xludf.DUMMYFUNCTION("""COMPUTED_VALUE"""),"OPTCONNECT")</f>
        <v>OPTCONNECT</v>
      </c>
      <c r="F2238" s="605" t="str">
        <f>IFERROR(__xludf.DUMMYFUNCTION("""COMPUTED_VALUE"""),"OC-4300")</f>
        <v>OC-4300</v>
      </c>
      <c r="G2238" s="605"/>
      <c r="H2238" s="605"/>
      <c r="I2238" s="605"/>
      <c r="J2238" s="606"/>
      <c r="K2238" s="605"/>
      <c r="L2238" s="605"/>
      <c r="M2238" s="605"/>
      <c r="N2238" s="605"/>
      <c r="O2238" s="605"/>
      <c r="P2238" s="605" t="s">
        <v>7549</v>
      </c>
    </row>
    <row r="2239">
      <c r="A2239" s="605"/>
      <c r="B2239" s="605"/>
      <c r="C2239" s="605"/>
      <c r="D2239" s="605"/>
      <c r="E2239" s="605" t="str">
        <f>IFERROR(__xludf.DUMMYFUNCTION("""COMPUTED_VALUE"""),"OPTCONNECT")</f>
        <v>OPTCONNECT</v>
      </c>
      <c r="F2239" s="605" t="str">
        <f>IFERROR(__xludf.DUMMYFUNCTION("""COMPUTED_VALUE"""),"OC-4310E SOLO MODEM")</f>
        <v>OC-4310E SOLO MODEM</v>
      </c>
      <c r="G2239" s="605"/>
      <c r="H2239" s="605"/>
      <c r="I2239" s="605"/>
      <c r="J2239" s="606"/>
      <c r="K2239" s="605"/>
      <c r="L2239" s="605"/>
      <c r="M2239" s="605"/>
      <c r="N2239" s="605"/>
      <c r="O2239" s="605"/>
      <c r="P2239" s="605" t="s">
        <v>7552</v>
      </c>
    </row>
    <row r="2240">
      <c r="A2240" s="605"/>
      <c r="B2240" s="605"/>
      <c r="C2240" s="605"/>
      <c r="D2240" s="605"/>
      <c r="E2240" s="605" t="str">
        <f>IFERROR(__xludf.DUMMYFUNCTION("""COMPUTED_VALUE"""),"ORACLE MICROS SYSTEMS")</f>
        <v>ORACLE MICROS SYSTEMS</v>
      </c>
      <c r="F2240" s="605" t="str">
        <f>IFERROR(__xludf.DUMMYFUNCTION("""COMPUTED_VALUE"""),"WORKSTATION 6")</f>
        <v>WORKSTATION 6</v>
      </c>
      <c r="G2240" s="605"/>
      <c r="H2240" s="605"/>
      <c r="I2240" s="605"/>
      <c r="J2240" s="606"/>
      <c r="K2240" s="605"/>
      <c r="L2240" s="605"/>
      <c r="M2240" s="605"/>
      <c r="N2240" s="605"/>
      <c r="O2240" s="605"/>
      <c r="P2240" s="605" t="s">
        <v>7555</v>
      </c>
    </row>
    <row r="2241">
      <c r="A2241" s="605"/>
      <c r="B2241" s="605"/>
      <c r="C2241" s="605"/>
      <c r="D2241" s="605"/>
      <c r="E2241" s="605" t="str">
        <f>IFERROR(__xludf.DUMMYFUNCTION("""COMPUTED_VALUE"""),"OTIS")</f>
        <v>OTIS</v>
      </c>
      <c r="F2241" s="605" t="str">
        <f>IFERROR(__xludf.DUMMYFUNCTION("""COMPUTED_VALUE"""),"PCB WEIGHING BOARD")</f>
        <v>PCB WEIGHING BOARD</v>
      </c>
      <c r="G2241" s="605"/>
      <c r="H2241" s="605"/>
      <c r="I2241" s="605"/>
      <c r="J2241" s="606"/>
      <c r="K2241" s="605"/>
      <c r="L2241" s="605"/>
      <c r="M2241" s="605"/>
      <c r="N2241" s="605"/>
      <c r="O2241" s="605"/>
      <c r="P2241" s="605" t="s">
        <v>7557</v>
      </c>
    </row>
    <row r="2242">
      <c r="A2242" s="605"/>
      <c r="B2242" s="605"/>
      <c r="C2242" s="605"/>
      <c r="D2242" s="605"/>
      <c r="E2242" s="605" t="str">
        <f>IFERROR(__xludf.DUMMYFUNCTION("""COMPUTED_VALUE"""),"OURCOOLHOUSE")</f>
        <v>OURCOOLHOUSE</v>
      </c>
      <c r="F2242" s="605" t="str">
        <f>IFERROR(__xludf.DUMMYFUNCTION("""COMPUTED_VALUE"""),"WEB ENERGY LOGGER")</f>
        <v>WEB ENERGY LOGGER</v>
      </c>
      <c r="G2242" s="605"/>
      <c r="H2242" s="605"/>
      <c r="I2242" s="605"/>
      <c r="J2242" s="606"/>
      <c r="K2242" s="605"/>
      <c r="L2242" s="605"/>
      <c r="M2242" s="605"/>
      <c r="N2242" s="605"/>
      <c r="O2242" s="605"/>
      <c r="P2242" s="605" t="s">
        <v>7560</v>
      </c>
    </row>
    <row r="2243">
      <c r="A2243" s="605"/>
      <c r="B2243" s="605"/>
      <c r="C2243" s="605"/>
      <c r="D2243" s="605"/>
      <c r="E2243" s="605" t="str">
        <f>IFERROR(__xludf.DUMMYFUNCTION("""COMPUTED_VALUE"""),"OUT OF ORDER")</f>
        <v>OUT OF ORDER</v>
      </c>
      <c r="F2243" s="605" t="str">
        <f>IFERROR(__xludf.DUMMYFUNCTION("""COMPUTED_VALUE"""),"NOT VERIFIED")</f>
        <v>NOT VERIFIED</v>
      </c>
      <c r="G2243" s="605"/>
      <c r="H2243" s="605"/>
      <c r="I2243" s="605"/>
      <c r="J2243" s="606"/>
      <c r="K2243" s="605"/>
      <c r="L2243" s="605"/>
      <c r="M2243" s="605"/>
      <c r="N2243" s="605"/>
      <c r="O2243" s="605"/>
      <c r="P2243" s="605" t="s">
        <v>7563</v>
      </c>
    </row>
    <row r="2244">
      <c r="A2244" s="605"/>
      <c r="B2244" s="605"/>
      <c r="C2244" s="605"/>
      <c r="D2244" s="605"/>
      <c r="E2244" s="605" t="str">
        <f>IFERROR(__xludf.DUMMYFUNCTION("""COMPUTED_VALUE"""),"OVERCLOCKERS UK")</f>
        <v>OVERCLOCKERS UK</v>
      </c>
      <c r="F2244" s="605" t="str">
        <f>IFERROR(__xludf.DUMMYFUNCTION("""COMPUTED_VALUE"""),"CUSTOM PC")</f>
        <v>CUSTOM PC</v>
      </c>
      <c r="G2244" s="605"/>
      <c r="H2244" s="605"/>
      <c r="I2244" s="605"/>
      <c r="J2244" s="606"/>
      <c r="K2244" s="605"/>
      <c r="L2244" s="605"/>
      <c r="M2244" s="605"/>
      <c r="N2244" s="605"/>
      <c r="O2244" s="605"/>
      <c r="P2244" s="605" t="s">
        <v>7566</v>
      </c>
    </row>
    <row r="2245">
      <c r="A2245" s="605"/>
      <c r="B2245" s="605"/>
      <c r="C2245" s="605"/>
      <c r="D2245" s="605"/>
      <c r="E2245" s="605" t="str">
        <f>IFERROR(__xludf.DUMMYFUNCTION("""COMPUTED_VALUE"""),"PANAMETRICS")</f>
        <v>PANAMETRICS</v>
      </c>
      <c r="F2245" s="605" t="str">
        <f>IFERROR(__xludf.DUMMYFUNCTION("""COMPUTED_VALUE"""),"AQUATRANS AT600")</f>
        <v>AQUATRANS AT600</v>
      </c>
      <c r="G2245" s="605"/>
      <c r="H2245" s="605"/>
      <c r="I2245" s="605"/>
      <c r="J2245" s="606"/>
      <c r="K2245" s="605"/>
      <c r="L2245" s="605"/>
      <c r="M2245" s="605"/>
      <c r="N2245" s="605"/>
      <c r="O2245" s="605"/>
      <c r="P2245" s="605" t="s">
        <v>7569</v>
      </c>
    </row>
    <row r="2246">
      <c r="A2246" s="605"/>
      <c r="B2246" s="605"/>
      <c r="C2246" s="605"/>
      <c r="D2246" s="605"/>
      <c r="E2246" s="605" t="str">
        <f>IFERROR(__xludf.DUMMYFUNCTION("""COMPUTED_VALUE"""),"PANASONIC")</f>
        <v>PANASONIC</v>
      </c>
      <c r="F2246" s="605" t="str">
        <f>IFERROR(__xludf.DUMMYFUNCTION("""COMPUTED_VALUE"""),"CZ-256ESMC2")</f>
        <v>CZ-256ESMC2</v>
      </c>
      <c r="G2246" s="605"/>
      <c r="H2246" s="605"/>
      <c r="I2246" s="605"/>
      <c r="J2246" s="606"/>
      <c r="K2246" s="605"/>
      <c r="L2246" s="605"/>
      <c r="M2246" s="605"/>
      <c r="N2246" s="605"/>
      <c r="O2246" s="605"/>
      <c r="P2246" s="605" t="s">
        <v>7572</v>
      </c>
    </row>
    <row r="2247">
      <c r="A2247" s="605"/>
      <c r="B2247" s="605"/>
      <c r="C2247" s="605"/>
      <c r="D2247" s="605"/>
      <c r="E2247" s="605" t="str">
        <f>IFERROR(__xludf.DUMMYFUNCTION("""COMPUTED_VALUE"""),"PANASONIC")</f>
        <v>PANASONIC</v>
      </c>
      <c r="F2247" s="605" t="str">
        <f>IFERROR(__xludf.DUMMYFUNCTION("""COMPUTED_VALUE"""),"CZ-256ESMC2")</f>
        <v>CZ-256ESMC2</v>
      </c>
      <c r="G2247" s="605"/>
      <c r="H2247" s="605"/>
      <c r="I2247" s="605"/>
      <c r="J2247" s="606"/>
      <c r="K2247" s="605"/>
      <c r="L2247" s="605"/>
      <c r="M2247" s="605"/>
      <c r="N2247" s="605"/>
      <c r="O2247" s="605"/>
      <c r="P2247" s="605" t="s">
        <v>7575</v>
      </c>
    </row>
    <row r="2248">
      <c r="A2248" s="605"/>
      <c r="B2248" s="605"/>
      <c r="C2248" s="605"/>
      <c r="D2248" s="605"/>
      <c r="E2248" s="605" t="str">
        <f>IFERROR(__xludf.DUMMYFUNCTION("""COMPUTED_VALUE"""),"PANASONIC")</f>
        <v>PANASONIC</v>
      </c>
      <c r="F2248" s="605" t="str">
        <f>IFERROR(__xludf.DUMMYFUNCTION("""COMPUTED_VALUE"""),"INTENSIS BOX")</f>
        <v>INTENSIS BOX</v>
      </c>
      <c r="G2248" s="605"/>
      <c r="H2248" s="605"/>
      <c r="I2248" s="605"/>
      <c r="J2248" s="606"/>
      <c r="K2248" s="605"/>
      <c r="L2248" s="605"/>
      <c r="M2248" s="605"/>
      <c r="N2248" s="605"/>
      <c r="O2248" s="605"/>
      <c r="P2248" s="605" t="s">
        <v>3378</v>
      </c>
    </row>
    <row r="2249">
      <c r="A2249" s="605"/>
      <c r="B2249" s="605"/>
      <c r="C2249" s="605"/>
      <c r="D2249" s="605"/>
      <c r="E2249" s="605" t="str">
        <f>IFERROR(__xludf.DUMMYFUNCTION("""COMPUTED_VALUE"""),"PANASONIC")</f>
        <v>PANASONIC</v>
      </c>
      <c r="F2249" s="605" t="str">
        <f>IFERROR(__xludf.DUMMYFUNCTION("""COMPUTED_VALUE"""),"NOT VERIFIED")</f>
        <v>NOT VERIFIED</v>
      </c>
      <c r="G2249" s="605"/>
      <c r="H2249" s="605"/>
      <c r="I2249" s="605"/>
      <c r="J2249" s="606"/>
      <c r="K2249" s="605"/>
      <c r="L2249" s="605"/>
      <c r="M2249" s="605"/>
      <c r="N2249" s="605"/>
      <c r="O2249" s="605"/>
      <c r="P2249" s="605" t="s">
        <v>7578</v>
      </c>
    </row>
    <row r="2250">
      <c r="A2250" s="605"/>
      <c r="B2250" s="605"/>
      <c r="C2250" s="605"/>
      <c r="D2250" s="605"/>
      <c r="E2250" s="605" t="str">
        <f>IFERROR(__xludf.DUMMYFUNCTION("""COMPUTED_VALUE"""),"PANASONIC")</f>
        <v>PANASONIC</v>
      </c>
      <c r="F2250" s="605" t="str">
        <f>IFERROR(__xludf.DUMMYFUNCTION("""COMPUTED_VALUE"""),"TC-65AX800U")</f>
        <v>TC-65AX800U</v>
      </c>
      <c r="G2250" s="605"/>
      <c r="H2250" s="605"/>
      <c r="I2250" s="605"/>
      <c r="J2250" s="606"/>
      <c r="K2250" s="605"/>
      <c r="L2250" s="605"/>
      <c r="M2250" s="605"/>
      <c r="N2250" s="605"/>
      <c r="O2250" s="605"/>
      <c r="P2250" s="605" t="s">
        <v>7580</v>
      </c>
    </row>
    <row r="2251">
      <c r="A2251" s="605"/>
      <c r="B2251" s="605"/>
      <c r="C2251" s="605"/>
      <c r="D2251" s="605"/>
      <c r="E2251" s="605" t="str">
        <f>IFERROR(__xludf.DUMMYFUNCTION("""COMPUTED_VALUE"""),"PANASONIC")</f>
        <v>PANASONIC</v>
      </c>
      <c r="F2251" s="605" t="str">
        <f>IFERROR(__xludf.DUMMYFUNCTION("""COMPUTED_VALUE"""),"PA-AC-BAC")</f>
        <v>PA-AC-BAC</v>
      </c>
      <c r="G2251" s="605"/>
      <c r="H2251" s="605"/>
      <c r="I2251" s="605"/>
      <c r="J2251" s="606"/>
      <c r="K2251" s="605"/>
      <c r="L2251" s="605"/>
      <c r="M2251" s="605"/>
      <c r="N2251" s="605"/>
      <c r="O2251" s="605"/>
      <c r="P2251" s="605" t="s">
        <v>7583</v>
      </c>
    </row>
    <row r="2252">
      <c r="A2252" s="605"/>
      <c r="B2252" s="605"/>
      <c r="C2252" s="605"/>
      <c r="D2252" s="605"/>
      <c r="E2252" s="605" t="str">
        <f>IFERROR(__xludf.DUMMYFUNCTION("""COMPUTED_VALUE"""),"PANASONIC")</f>
        <v>PANASONIC</v>
      </c>
      <c r="F2252" s="605" t="str">
        <f>IFERROR(__xludf.DUMMYFUNCTION("""COMPUTED_VALUE"""),"PA-AC-BAC")</f>
        <v>PA-AC-BAC</v>
      </c>
      <c r="G2252" s="605"/>
      <c r="H2252" s="605"/>
      <c r="I2252" s="605"/>
      <c r="J2252" s="606"/>
      <c r="K2252" s="605"/>
      <c r="L2252" s="605"/>
      <c r="M2252" s="605"/>
      <c r="N2252" s="605"/>
      <c r="O2252" s="605"/>
      <c r="P2252" s="605" t="s">
        <v>7586</v>
      </c>
    </row>
    <row r="2253">
      <c r="A2253" s="605"/>
      <c r="B2253" s="605"/>
      <c r="C2253" s="605"/>
      <c r="D2253" s="605"/>
      <c r="E2253" s="605" t="str">
        <f>IFERROR(__xludf.DUMMYFUNCTION("""COMPUTED_VALUE"""),"PANASONIC")</f>
        <v>PANASONIC</v>
      </c>
      <c r="F2253" s="605" t="str">
        <f>IFERROR(__xludf.DUMMYFUNCTION("""COMPUTED_VALUE"""),"CZ-256ESMC3")</f>
        <v>CZ-256ESMC3</v>
      </c>
      <c r="G2253" s="605"/>
      <c r="H2253" s="605"/>
      <c r="I2253" s="605"/>
      <c r="J2253" s="606"/>
      <c r="K2253" s="605"/>
      <c r="L2253" s="605"/>
      <c r="M2253" s="605"/>
      <c r="N2253" s="605"/>
      <c r="O2253" s="605"/>
      <c r="P2253" s="605" t="s">
        <v>7589</v>
      </c>
    </row>
    <row r="2254">
      <c r="A2254" s="605"/>
      <c r="B2254" s="605"/>
      <c r="C2254" s="605"/>
      <c r="D2254" s="605"/>
      <c r="E2254" s="605" t="str">
        <f>IFERROR(__xludf.DUMMYFUNCTION("""COMPUTED_VALUE"""),"PANASONIC")</f>
        <v>PANASONIC</v>
      </c>
      <c r="F2254" s="605" t="str">
        <f>IFERROR(__xludf.DUMMYFUNCTION("""COMPUTED_VALUE"""),"S-45MF3E5A")</f>
        <v>S-45MF3E5A</v>
      </c>
      <c r="G2254" s="605"/>
      <c r="H2254" s="605"/>
      <c r="I2254" s="605"/>
      <c r="J2254" s="606"/>
      <c r="K2254" s="605"/>
      <c r="L2254" s="605"/>
      <c r="M2254" s="605"/>
      <c r="N2254" s="605"/>
      <c r="O2254" s="605"/>
      <c r="P2254" s="605" t="s">
        <v>7592</v>
      </c>
    </row>
    <row r="2255">
      <c r="A2255" s="605"/>
      <c r="B2255" s="605"/>
      <c r="C2255" s="605"/>
      <c r="D2255" s="605"/>
      <c r="E2255" s="605" t="str">
        <f>IFERROR(__xludf.DUMMYFUNCTION("""COMPUTED_VALUE"""),"PANASONIC")</f>
        <v>PANASONIC</v>
      </c>
      <c r="F2255" s="605" t="str">
        <f>IFERROR(__xludf.DUMMYFUNCTION("""COMPUTED_VALUE"""),"S-22MM1E5B")</f>
        <v>S-22MM1E5B</v>
      </c>
      <c r="G2255" s="605"/>
      <c r="H2255" s="605"/>
      <c r="I2255" s="605"/>
      <c r="J2255" s="606"/>
      <c r="K2255" s="605"/>
      <c r="L2255" s="605"/>
      <c r="M2255" s="605"/>
      <c r="N2255" s="605"/>
      <c r="O2255" s="605"/>
      <c r="P2255" s="605" t="s">
        <v>7595</v>
      </c>
    </row>
    <row r="2256">
      <c r="A2256" s="605"/>
      <c r="B2256" s="605"/>
      <c r="C2256" s="605"/>
      <c r="D2256" s="605"/>
      <c r="E2256" s="605" t="str">
        <f>IFERROR(__xludf.DUMMYFUNCTION("""COMPUTED_VALUE"""),"PANASONIC")</f>
        <v>PANASONIC</v>
      </c>
      <c r="F2256" s="605" t="str">
        <f>IFERROR(__xludf.DUMMYFUNCTION("""COMPUTED_VALUE"""),"CZ-P856HR3")</f>
        <v>CZ-P856HR3</v>
      </c>
      <c r="G2256" s="605"/>
      <c r="H2256" s="605"/>
      <c r="I2256" s="605"/>
      <c r="J2256" s="606"/>
      <c r="K2256" s="605"/>
      <c r="L2256" s="605"/>
      <c r="M2256" s="605"/>
      <c r="N2256" s="605"/>
      <c r="O2256" s="605"/>
      <c r="P2256" s="605" t="s">
        <v>7598</v>
      </c>
    </row>
    <row r="2257">
      <c r="A2257" s="605"/>
      <c r="B2257" s="605"/>
      <c r="C2257" s="605"/>
      <c r="D2257" s="605"/>
      <c r="E2257" s="605" t="str">
        <f>IFERROR(__xludf.DUMMYFUNCTION("""COMPUTED_VALUE"""),"PANASONIC")</f>
        <v>PANASONIC</v>
      </c>
      <c r="F2257" s="605" t="str">
        <f>IFERROR(__xludf.DUMMYFUNCTION("""COMPUTED_VALUE"""),"CZ-P456HR3")</f>
        <v>CZ-P456HR3</v>
      </c>
      <c r="G2257" s="605"/>
      <c r="H2257" s="605"/>
      <c r="I2257" s="605"/>
      <c r="J2257" s="606"/>
      <c r="K2257" s="605"/>
      <c r="L2257" s="605"/>
      <c r="M2257" s="605"/>
      <c r="N2257" s="605"/>
      <c r="O2257" s="605"/>
      <c r="P2257" s="605" t="s">
        <v>7601</v>
      </c>
    </row>
    <row r="2258">
      <c r="A2258" s="605"/>
      <c r="B2258" s="605"/>
      <c r="C2258" s="605"/>
      <c r="D2258" s="605"/>
      <c r="E2258" s="605" t="str">
        <f>IFERROR(__xludf.DUMMYFUNCTION("""COMPUTED_VALUE"""),"PANASONIC")</f>
        <v>PANASONIC</v>
      </c>
      <c r="F2258" s="605" t="str">
        <f>IFERROR(__xludf.DUMMYFUNCTION("""COMPUTED_VALUE"""),"CZ-P656HR3")</f>
        <v>CZ-P656HR3</v>
      </c>
      <c r="G2258" s="605"/>
      <c r="H2258" s="605"/>
      <c r="I2258" s="605"/>
      <c r="J2258" s="606"/>
      <c r="K2258" s="605"/>
      <c r="L2258" s="605"/>
      <c r="M2258" s="605"/>
      <c r="N2258" s="605"/>
      <c r="O2258" s="605"/>
      <c r="P2258" s="605" t="s">
        <v>7603</v>
      </c>
    </row>
    <row r="2259">
      <c r="A2259" s="605"/>
      <c r="B2259" s="605"/>
      <c r="C2259" s="605"/>
      <c r="D2259" s="605"/>
      <c r="E2259" s="605" t="str">
        <f>IFERROR(__xludf.DUMMYFUNCTION("""COMPUTED_VALUE"""),"PANASONIC")</f>
        <v>PANASONIC</v>
      </c>
      <c r="F2259" s="605" t="str">
        <f>IFERROR(__xludf.DUMMYFUNCTION("""COMPUTED_VALUE"""),"CZ-P4160HR3")</f>
        <v>CZ-P4160HR3</v>
      </c>
      <c r="G2259" s="605"/>
      <c r="H2259" s="605"/>
      <c r="I2259" s="605"/>
      <c r="J2259" s="606"/>
      <c r="K2259" s="605"/>
      <c r="L2259" s="605"/>
      <c r="M2259" s="605"/>
      <c r="N2259" s="605"/>
      <c r="O2259" s="605"/>
      <c r="P2259" s="605" t="s">
        <v>3381</v>
      </c>
    </row>
    <row r="2260">
      <c r="A2260" s="605"/>
      <c r="B2260" s="605"/>
      <c r="C2260" s="605"/>
      <c r="D2260" s="605"/>
      <c r="E2260" s="605" t="str">
        <f>IFERROR(__xludf.DUMMYFUNCTION("""COMPUTED_VALUE"""),"PANASONIC")</f>
        <v>PANASONIC</v>
      </c>
      <c r="F2260" s="605" t="str">
        <f>IFERROR(__xludf.DUMMYFUNCTION("""COMPUTED_VALUE"""),"S-60MF3E5A")</f>
        <v>S-60MF3E5A</v>
      </c>
      <c r="G2260" s="605"/>
      <c r="H2260" s="605"/>
      <c r="I2260" s="605"/>
      <c r="J2260" s="606"/>
      <c r="K2260" s="605"/>
      <c r="L2260" s="605"/>
      <c r="M2260" s="605"/>
      <c r="N2260" s="605"/>
      <c r="O2260" s="605"/>
      <c r="P2260" s="605" t="s">
        <v>7605</v>
      </c>
    </row>
    <row r="2261">
      <c r="A2261" s="605"/>
      <c r="B2261" s="605"/>
      <c r="C2261" s="605"/>
      <c r="D2261" s="605"/>
      <c r="E2261" s="605" t="str">
        <f>IFERROR(__xludf.DUMMYFUNCTION("""COMPUTED_VALUE"""),"PANASONIC")</f>
        <v>PANASONIC</v>
      </c>
      <c r="F2261" s="605" t="str">
        <f>IFERROR(__xludf.DUMMYFUNCTION("""COMPUTED_VALUE"""),"S-56MK2E5B")</f>
        <v>S-56MK2E5B</v>
      </c>
      <c r="G2261" s="605"/>
      <c r="H2261" s="605"/>
      <c r="I2261" s="605"/>
      <c r="J2261" s="606"/>
      <c r="K2261" s="605"/>
      <c r="L2261" s="605"/>
      <c r="M2261" s="605"/>
      <c r="N2261" s="605"/>
      <c r="O2261" s="605"/>
      <c r="P2261" s="605" t="s">
        <v>7607</v>
      </c>
    </row>
    <row r="2262">
      <c r="A2262" s="605"/>
      <c r="B2262" s="605"/>
      <c r="C2262" s="605"/>
      <c r="D2262" s="605"/>
      <c r="E2262" s="605" t="str">
        <f>IFERROR(__xludf.DUMMYFUNCTION("""COMPUTED_VALUE"""),"PANASONIC")</f>
        <v>PANASONIC</v>
      </c>
      <c r="F2262" s="605" t="str">
        <f>IFERROR(__xludf.DUMMYFUNCTION("""COMPUTED_VALUE"""),"S-56MF3E5A")</f>
        <v>S-56MF3E5A</v>
      </c>
      <c r="G2262" s="605"/>
      <c r="H2262" s="605"/>
      <c r="I2262" s="605"/>
      <c r="J2262" s="606"/>
      <c r="K2262" s="605"/>
      <c r="L2262" s="605"/>
      <c r="M2262" s="605"/>
      <c r="N2262" s="605"/>
      <c r="O2262" s="605"/>
      <c r="P2262" s="605" t="s">
        <v>7609</v>
      </c>
    </row>
    <row r="2263">
      <c r="A2263" s="605"/>
      <c r="B2263" s="605"/>
      <c r="C2263" s="605"/>
      <c r="D2263" s="605"/>
      <c r="E2263" s="605" t="str">
        <f>IFERROR(__xludf.DUMMYFUNCTION("""COMPUTED_VALUE"""),"PANASONIC")</f>
        <v>PANASONIC</v>
      </c>
      <c r="F2263" s="605" t="str">
        <f>IFERROR(__xludf.DUMMYFUNCTION("""COMPUTED_VALUE"""),"S-6010PK3E")</f>
        <v>S-6010PK3E</v>
      </c>
      <c r="G2263" s="605"/>
      <c r="H2263" s="605"/>
      <c r="I2263" s="605"/>
      <c r="J2263" s="606"/>
      <c r="K2263" s="605"/>
      <c r="L2263" s="605"/>
      <c r="M2263" s="605"/>
      <c r="N2263" s="605"/>
      <c r="O2263" s="605"/>
      <c r="P2263" s="605" t="s">
        <v>7611</v>
      </c>
    </row>
    <row r="2264">
      <c r="A2264" s="605"/>
      <c r="B2264" s="605"/>
      <c r="C2264" s="605"/>
      <c r="D2264" s="605"/>
      <c r="E2264" s="605" t="str">
        <f>IFERROR(__xludf.DUMMYFUNCTION("""COMPUTED_VALUE"""),"PANASONIC")</f>
        <v>PANASONIC</v>
      </c>
      <c r="F2264" s="605" t="str">
        <f>IFERROR(__xludf.DUMMYFUNCTION("""COMPUTED_VALUE"""),"3PIPE ECOI U-16MF3E8")</f>
        <v>3PIPE ECOI U-16MF3E8</v>
      </c>
      <c r="G2264" s="605"/>
      <c r="H2264" s="605"/>
      <c r="I2264" s="605"/>
      <c r="J2264" s="606"/>
      <c r="K2264" s="605"/>
      <c r="L2264" s="605"/>
      <c r="M2264" s="605"/>
      <c r="N2264" s="605"/>
      <c r="O2264" s="605"/>
      <c r="P2264" s="605" t="s">
        <v>7613</v>
      </c>
    </row>
    <row r="2265">
      <c r="A2265" s="605"/>
      <c r="B2265" s="605"/>
      <c r="C2265" s="605"/>
      <c r="D2265" s="605"/>
      <c r="E2265" s="605" t="str">
        <f>IFERROR(__xludf.DUMMYFUNCTION("""COMPUTED_VALUE"""),"PANASONIC")</f>
        <v>PANASONIC</v>
      </c>
      <c r="F2265" s="605" t="str">
        <f>IFERROR(__xludf.DUMMYFUNCTION("""COMPUTED_VALUE"""),"U-12MF3E8")</f>
        <v>U-12MF3E8</v>
      </c>
      <c r="G2265" s="605"/>
      <c r="H2265" s="605"/>
      <c r="I2265" s="605"/>
      <c r="J2265" s="606"/>
      <c r="K2265" s="605"/>
      <c r="L2265" s="605"/>
      <c r="M2265" s="605"/>
      <c r="N2265" s="605"/>
      <c r="O2265" s="605"/>
      <c r="P2265" s="605" t="s">
        <v>7615</v>
      </c>
    </row>
    <row r="2266">
      <c r="A2266" s="605"/>
      <c r="B2266" s="605"/>
      <c r="C2266" s="605"/>
      <c r="D2266" s="605"/>
      <c r="E2266" s="605" t="str">
        <f>IFERROR(__xludf.DUMMYFUNCTION("""COMPUTED_VALUE"""),"PANASONIC")</f>
        <v>PANASONIC</v>
      </c>
      <c r="F2266" s="605" t="str">
        <f>IFERROR(__xludf.DUMMYFUNCTION("""COMPUTED_VALUE"""),"3PIPE ECOI U-14MF3E8")</f>
        <v>3PIPE ECOI U-14MF3E8</v>
      </c>
      <c r="G2266" s="605"/>
      <c r="H2266" s="605"/>
      <c r="I2266" s="605"/>
      <c r="J2266" s="606"/>
      <c r="K2266" s="605"/>
      <c r="L2266" s="605"/>
      <c r="M2266" s="605"/>
      <c r="N2266" s="605"/>
      <c r="O2266" s="605"/>
      <c r="P2266" s="605" t="s">
        <v>7617</v>
      </c>
    </row>
    <row r="2267">
      <c r="A2267" s="605"/>
      <c r="B2267" s="605"/>
      <c r="C2267" s="605"/>
      <c r="D2267" s="605"/>
      <c r="E2267" s="605" t="str">
        <f>IFERROR(__xludf.DUMMYFUNCTION("""COMPUTED_VALUE"""),"PAR")</f>
        <v>PAR</v>
      </c>
      <c r="F2267" s="605" t="str">
        <f>IFERROR(__xludf.DUMMYFUNCTION("""COMPUTED_VALUE"""),"INARI5_WIFI")</f>
        <v>INARI5_WIFI</v>
      </c>
      <c r="G2267" s="605"/>
      <c r="H2267" s="605"/>
      <c r="I2267" s="605"/>
      <c r="J2267" s="606"/>
      <c r="K2267" s="605"/>
      <c r="L2267" s="605"/>
      <c r="M2267" s="605"/>
      <c r="N2267" s="605"/>
      <c r="O2267" s="605"/>
      <c r="P2267" s="605" t="s">
        <v>7619</v>
      </c>
    </row>
    <row r="2268">
      <c r="A2268" s="605"/>
      <c r="B2268" s="605"/>
      <c r="C2268" s="605"/>
      <c r="D2268" s="605"/>
      <c r="E2268" s="605" t="str">
        <f>IFERROR(__xludf.DUMMYFUNCTION("""COMPUTED_VALUE"""),"PAR")</f>
        <v>PAR</v>
      </c>
      <c r="F2268" s="605" t="str">
        <f>IFERROR(__xludf.DUMMYFUNCTION("""COMPUTED_VALUE"""),"INARI_WIFI")</f>
        <v>INARI_WIFI</v>
      </c>
      <c r="G2268" s="605"/>
      <c r="H2268" s="605"/>
      <c r="I2268" s="605"/>
      <c r="J2268" s="606"/>
      <c r="K2268" s="605"/>
      <c r="L2268" s="605"/>
      <c r="M2268" s="605"/>
      <c r="N2268" s="605"/>
      <c r="O2268" s="605"/>
      <c r="P2268" s="605" t="s">
        <v>7621</v>
      </c>
    </row>
    <row r="2269">
      <c r="A2269" s="605"/>
      <c r="B2269" s="605"/>
      <c r="C2269" s="605"/>
      <c r="D2269" s="605"/>
      <c r="E2269" s="605" t="str">
        <f>IFERROR(__xludf.DUMMYFUNCTION("""COMPUTED_VALUE"""),"PARADOX")</f>
        <v>PARADOX</v>
      </c>
      <c r="F2269" s="605" t="str">
        <f>IFERROR(__xludf.DUMMYFUNCTION("""COMPUTED_VALUE"""),"PCS250")</f>
        <v>PCS250</v>
      </c>
      <c r="G2269" s="605"/>
      <c r="H2269" s="605"/>
      <c r="I2269" s="605"/>
      <c r="J2269" s="606"/>
      <c r="K2269" s="605"/>
      <c r="L2269" s="605"/>
      <c r="M2269" s="605"/>
      <c r="N2269" s="605"/>
      <c r="O2269" s="605"/>
      <c r="P2269" s="605" t="s">
        <v>7623</v>
      </c>
    </row>
    <row r="2270">
      <c r="A2270" s="605"/>
      <c r="B2270" s="605"/>
      <c r="C2270" s="605"/>
      <c r="D2270" s="605"/>
      <c r="E2270" s="605" t="str">
        <f>IFERROR(__xludf.DUMMYFUNCTION("""COMPUTED_VALUE"""),"PB PICOBOX")</f>
        <v>PB PICOBOX</v>
      </c>
      <c r="F2270" s="605" t="str">
        <f>IFERROR(__xludf.DUMMYFUNCTION("""COMPUTED_VALUE"""),"MESSAGE MASTER 5000")</f>
        <v>MESSAGE MASTER 5000</v>
      </c>
      <c r="G2270" s="605"/>
      <c r="H2270" s="605"/>
      <c r="I2270" s="605"/>
      <c r="J2270" s="606"/>
      <c r="K2270" s="605"/>
      <c r="L2270" s="605"/>
      <c r="M2270" s="605"/>
      <c r="N2270" s="605"/>
      <c r="O2270" s="605"/>
      <c r="P2270" s="605" t="s">
        <v>3384</v>
      </c>
    </row>
    <row r="2271">
      <c r="A2271" s="605"/>
      <c r="B2271" s="605"/>
      <c r="C2271" s="605"/>
      <c r="D2271" s="605"/>
      <c r="E2271" s="605" t="str">
        <f>IFERROR(__xludf.DUMMYFUNCTION("""COMPUTED_VALUE"""),"PB PICOBOX")</f>
        <v>PB PICOBOX</v>
      </c>
      <c r="F2271" s="605" t="str">
        <f>IFERROR(__xludf.DUMMYFUNCTION("""COMPUTED_VALUE"""),"MESSAGE MASTER 5000")</f>
        <v>MESSAGE MASTER 5000</v>
      </c>
      <c r="G2271" s="605"/>
      <c r="H2271" s="605"/>
      <c r="I2271" s="605"/>
      <c r="J2271" s="606"/>
      <c r="K2271" s="605"/>
      <c r="L2271" s="605"/>
      <c r="M2271" s="605"/>
      <c r="N2271" s="605"/>
      <c r="O2271" s="605"/>
      <c r="P2271" s="605" t="s">
        <v>7625</v>
      </c>
    </row>
    <row r="2272">
      <c r="A2272" s="605"/>
      <c r="B2272" s="605"/>
      <c r="C2272" s="605"/>
      <c r="D2272" s="605"/>
      <c r="E2272" s="605" t="str">
        <f>IFERROR(__xludf.DUMMYFUNCTION("""COMPUTED_VALUE"""),"PEGATRON")</f>
        <v>PEGATRON</v>
      </c>
      <c r="F2272" s="605" t="str">
        <f>IFERROR(__xludf.DUMMYFUNCTION("""COMPUTED_VALUE"""),"WINDOWS")</f>
        <v>WINDOWS</v>
      </c>
      <c r="G2272" s="605"/>
      <c r="H2272" s="605"/>
      <c r="I2272" s="605"/>
      <c r="J2272" s="606"/>
      <c r="K2272" s="605"/>
      <c r="L2272" s="605"/>
      <c r="M2272" s="605"/>
      <c r="N2272" s="605"/>
      <c r="O2272" s="605"/>
      <c r="P2272" s="605" t="s">
        <v>7627</v>
      </c>
    </row>
    <row r="2273">
      <c r="A2273" s="605"/>
      <c r="B2273" s="605"/>
      <c r="C2273" s="605"/>
      <c r="D2273" s="605"/>
      <c r="E2273" s="605" t="str">
        <f>IFERROR(__xludf.DUMMYFUNCTION("""COMPUTED_VALUE"""),"PELOTON")</f>
        <v>PELOTON</v>
      </c>
      <c r="F2273" s="605" t="str">
        <f>IFERROR(__xludf.DUMMYFUNCTION("""COMPUTED_VALUE"""),"ANDROID 7")</f>
        <v>ANDROID 7</v>
      </c>
      <c r="G2273" s="605"/>
      <c r="H2273" s="605"/>
      <c r="I2273" s="605"/>
      <c r="J2273" s="606"/>
      <c r="K2273" s="605"/>
      <c r="L2273" s="605"/>
      <c r="M2273" s="605"/>
      <c r="N2273" s="605"/>
      <c r="O2273" s="605"/>
      <c r="P2273" s="605" t="s">
        <v>7629</v>
      </c>
    </row>
    <row r="2274">
      <c r="A2274" s="605"/>
      <c r="B2274" s="605"/>
      <c r="C2274" s="605"/>
      <c r="D2274" s="605"/>
      <c r="E2274" s="605" t="str">
        <f>IFERROR(__xludf.DUMMYFUNCTION("""COMPUTED_VALUE"""),"PELOTON")</f>
        <v>PELOTON</v>
      </c>
      <c r="F2274" s="605" t="str">
        <f>IFERROR(__xludf.DUMMYFUNCTION("""COMPUTED_VALUE"""),"BIKE")</f>
        <v>BIKE</v>
      </c>
      <c r="G2274" s="605"/>
      <c r="H2274" s="605"/>
      <c r="I2274" s="605"/>
      <c r="J2274" s="606"/>
      <c r="K2274" s="605"/>
      <c r="L2274" s="605"/>
      <c r="M2274" s="605"/>
      <c r="N2274" s="605"/>
      <c r="O2274" s="605"/>
      <c r="P2274" s="605" t="s">
        <v>7631</v>
      </c>
    </row>
    <row r="2275">
      <c r="A2275" s="605"/>
      <c r="B2275" s="605"/>
      <c r="C2275" s="605"/>
      <c r="D2275" s="605"/>
      <c r="E2275" s="605" t="str">
        <f>IFERROR(__xludf.DUMMYFUNCTION("""COMPUTED_VALUE"""),"PELOTON")</f>
        <v>PELOTON</v>
      </c>
      <c r="F2275" s="605" t="str">
        <f>IFERROR(__xludf.DUMMYFUNCTION("""COMPUTED_VALUE"""),"PLTN-RB1VO")</f>
        <v>PLTN-RB1VO</v>
      </c>
      <c r="G2275" s="605"/>
      <c r="H2275" s="605"/>
      <c r="I2275" s="605"/>
      <c r="J2275" s="606"/>
      <c r="K2275" s="605"/>
      <c r="L2275" s="605"/>
      <c r="M2275" s="605"/>
      <c r="N2275" s="605"/>
      <c r="O2275" s="605"/>
      <c r="P2275" s="605" t="s">
        <v>7633</v>
      </c>
    </row>
    <row r="2276">
      <c r="A2276" s="605"/>
      <c r="B2276" s="605"/>
      <c r="C2276" s="605"/>
      <c r="D2276" s="605"/>
      <c r="E2276" s="605" t="str">
        <f>IFERROR(__xludf.DUMMYFUNCTION("""COMPUTED_VALUE"""),"PELOTON")</f>
        <v>PELOTON</v>
      </c>
      <c r="F2276" s="605" t="str">
        <f>IFERROR(__xludf.DUMMYFUNCTION("""COMPUTED_VALUE"""),"PLTN-RB1VQ-2")</f>
        <v>PLTN-RB1VQ-2</v>
      </c>
      <c r="G2276" s="605"/>
      <c r="H2276" s="605"/>
      <c r="I2276" s="605"/>
      <c r="J2276" s="606"/>
      <c r="K2276" s="605"/>
      <c r="L2276" s="605"/>
      <c r="M2276" s="605"/>
      <c r="N2276" s="605"/>
      <c r="O2276" s="605"/>
      <c r="P2276" s="605" t="s">
        <v>7635</v>
      </c>
    </row>
    <row r="2277">
      <c r="A2277" s="605"/>
      <c r="B2277" s="605"/>
      <c r="C2277" s="605"/>
      <c r="D2277" s="605"/>
      <c r="E2277" s="605" t="str">
        <f>IFERROR(__xludf.DUMMYFUNCTION("""COMPUTED_VALUE"""),"PELOTON")</f>
        <v>PELOTON</v>
      </c>
      <c r="F2277" s="605" t="str">
        <f>IFERROR(__xludf.DUMMYFUNCTION("""COMPUTED_VALUE"""),"PLTN-RB1VQ-2")</f>
        <v>PLTN-RB1VQ-2</v>
      </c>
      <c r="G2277" s="605"/>
      <c r="H2277" s="605"/>
      <c r="I2277" s="605"/>
      <c r="J2277" s="606"/>
      <c r="K2277" s="605"/>
      <c r="L2277" s="605"/>
      <c r="M2277" s="605"/>
      <c r="N2277" s="605"/>
      <c r="O2277" s="605"/>
      <c r="P2277" s="605" t="s">
        <v>7637</v>
      </c>
    </row>
    <row r="2278">
      <c r="A2278" s="605"/>
      <c r="B2278" s="605"/>
      <c r="C2278" s="605"/>
      <c r="D2278" s="605"/>
      <c r="E2278" s="605" t="str">
        <f>IFERROR(__xludf.DUMMYFUNCTION("""COMPUTED_VALUE"""),"PELOTON")</f>
        <v>PELOTON</v>
      </c>
      <c r="F2278" s="605" t="str">
        <f>IFERROR(__xludf.DUMMYFUNCTION("""COMPUTED_VALUE"""),"PLTN-RB1VQ-2")</f>
        <v>PLTN-RB1VQ-2</v>
      </c>
      <c r="G2278" s="605"/>
      <c r="H2278" s="605"/>
      <c r="I2278" s="605"/>
      <c r="J2278" s="606"/>
      <c r="K2278" s="605"/>
      <c r="L2278" s="605"/>
      <c r="M2278" s="605"/>
      <c r="N2278" s="605"/>
      <c r="O2278" s="605"/>
      <c r="P2278" s="605" t="s">
        <v>7639</v>
      </c>
    </row>
    <row r="2279">
      <c r="A2279" s="605"/>
      <c r="B2279" s="605"/>
      <c r="C2279" s="605"/>
      <c r="D2279" s="605"/>
      <c r="E2279" s="605" t="str">
        <f>IFERROR(__xludf.DUMMYFUNCTION("""COMPUTED_VALUE"""),"PELOTON")</f>
        <v>PELOTON</v>
      </c>
      <c r="F2279" s="605" t="str">
        <f>IFERROR(__xludf.DUMMYFUNCTION("""COMPUTED_VALUE"""),"PLTN-RB1VQ-2")</f>
        <v>PLTN-RB1VQ-2</v>
      </c>
      <c r="G2279" s="605"/>
      <c r="H2279" s="605"/>
      <c r="I2279" s="605"/>
      <c r="J2279" s="606"/>
      <c r="K2279" s="605"/>
      <c r="L2279" s="605"/>
      <c r="M2279" s="605"/>
      <c r="N2279" s="605"/>
      <c r="O2279" s="605"/>
      <c r="P2279" s="605" t="s">
        <v>7641</v>
      </c>
    </row>
    <row r="2280">
      <c r="A2280" s="605"/>
      <c r="B2280" s="605"/>
      <c r="C2280" s="605"/>
      <c r="D2280" s="605"/>
      <c r="E2280" s="605" t="str">
        <f>IFERROR(__xludf.DUMMYFUNCTION("""COMPUTED_VALUE"""),"PELOTON")</f>
        <v>PELOTON</v>
      </c>
      <c r="F2280" s="605" t="str">
        <f>IFERROR(__xludf.DUMMYFUNCTION("""COMPUTED_VALUE"""),"PLTN-RB1VQ-2")</f>
        <v>PLTN-RB1VQ-2</v>
      </c>
      <c r="G2280" s="605"/>
      <c r="H2280" s="605"/>
      <c r="I2280" s="605"/>
      <c r="J2280" s="606"/>
      <c r="K2280" s="605"/>
      <c r="L2280" s="605"/>
      <c r="M2280" s="605"/>
      <c r="N2280" s="605"/>
      <c r="O2280" s="605"/>
      <c r="P2280" s="605" t="s">
        <v>7643</v>
      </c>
    </row>
    <row r="2281">
      <c r="A2281" s="605"/>
      <c r="B2281" s="605"/>
      <c r="C2281" s="605"/>
      <c r="D2281" s="605"/>
      <c r="E2281" s="605" t="str">
        <f>IFERROR(__xludf.DUMMYFUNCTION("""COMPUTED_VALUE"""),"PELOTON")</f>
        <v>PELOTON</v>
      </c>
      <c r="F2281" s="605" t="str">
        <f>IFERROR(__xludf.DUMMYFUNCTION("""COMPUTED_VALUE"""),"BIKE")</f>
        <v>BIKE</v>
      </c>
      <c r="G2281" s="605"/>
      <c r="H2281" s="605"/>
      <c r="I2281" s="605"/>
      <c r="J2281" s="606"/>
      <c r="K2281" s="605"/>
      <c r="L2281" s="605"/>
      <c r="M2281" s="605"/>
      <c r="N2281" s="605"/>
      <c r="O2281" s="605"/>
      <c r="P2281" s="605" t="s">
        <v>3387</v>
      </c>
    </row>
    <row r="2282">
      <c r="A2282" s="605"/>
      <c r="B2282" s="605"/>
      <c r="C2282" s="605"/>
      <c r="D2282" s="605"/>
      <c r="E2282" s="605" t="str">
        <f>IFERROR(__xludf.DUMMYFUNCTION("""COMPUTED_VALUE"""),"PELOTON")</f>
        <v>PELOTON</v>
      </c>
      <c r="F2282" s="605" t="str">
        <f>IFERROR(__xludf.DUMMYFUNCTION("""COMPUTED_VALUE"""),"PLTN-RB1VO-2")</f>
        <v>PLTN-RB1VO-2</v>
      </c>
      <c r="G2282" s="605"/>
      <c r="H2282" s="605"/>
      <c r="I2282" s="605"/>
      <c r="J2282" s="606"/>
      <c r="K2282" s="605"/>
      <c r="L2282" s="605"/>
      <c r="M2282" s="605"/>
      <c r="N2282" s="605"/>
      <c r="O2282" s="605"/>
      <c r="P2282" s="605" t="s">
        <v>7645</v>
      </c>
    </row>
    <row r="2283">
      <c r="A2283" s="605"/>
      <c r="B2283" s="605"/>
      <c r="C2283" s="605"/>
      <c r="D2283" s="605"/>
      <c r="E2283" s="605" t="str">
        <f>IFERROR(__xludf.DUMMYFUNCTION("""COMPUTED_VALUE"""),"PELOTON")</f>
        <v>PELOTON</v>
      </c>
      <c r="F2283" s="605" t="str">
        <f>IFERROR(__xludf.DUMMYFUNCTION("""COMPUTED_VALUE"""),"RB1VQ EXERCISE BIKE")</f>
        <v>RB1VQ EXERCISE BIKE</v>
      </c>
      <c r="G2283" s="605"/>
      <c r="H2283" s="605"/>
      <c r="I2283" s="605"/>
      <c r="J2283" s="606"/>
      <c r="K2283" s="605"/>
      <c r="L2283" s="605"/>
      <c r="M2283" s="605"/>
      <c r="N2283" s="605"/>
      <c r="O2283" s="605"/>
      <c r="P2283" s="605" t="s">
        <v>7647</v>
      </c>
    </row>
    <row r="2284">
      <c r="A2284" s="605"/>
      <c r="B2284" s="605"/>
      <c r="C2284" s="605"/>
      <c r="D2284" s="605"/>
      <c r="E2284" s="605" t="str">
        <f>IFERROR(__xludf.DUMMYFUNCTION("""COMPUTED_VALUE"""),"PELOTON")</f>
        <v>PELOTON</v>
      </c>
      <c r="F2284" s="605" t="str">
        <f>IFERROR(__xludf.DUMMYFUNCTION("""COMPUTED_VALUE"""),"RB1VQ EXERCISE BIKE")</f>
        <v>RB1VQ EXERCISE BIKE</v>
      </c>
      <c r="G2284" s="605"/>
      <c r="H2284" s="605"/>
      <c r="I2284" s="605"/>
      <c r="J2284" s="606"/>
      <c r="K2284" s="605"/>
      <c r="L2284" s="605"/>
      <c r="M2284" s="605"/>
      <c r="N2284" s="605"/>
      <c r="O2284" s="605"/>
      <c r="P2284" s="605" t="s">
        <v>7649</v>
      </c>
    </row>
    <row r="2285">
      <c r="A2285" s="605"/>
      <c r="B2285" s="605"/>
      <c r="C2285" s="605"/>
      <c r="D2285" s="605"/>
      <c r="E2285" s="605" t="str">
        <f>IFERROR(__xludf.DUMMYFUNCTION("""COMPUTED_VALUE"""),"PEPLINK")</f>
        <v>PEPLINK</v>
      </c>
      <c r="F2285" s="605" t="str">
        <f>IFERROR(__xludf.DUMMYFUNCTION("""COMPUTED_VALUE"""),"PEPWAVEMAX BR1")</f>
        <v>PEPWAVEMAX BR1</v>
      </c>
      <c r="G2285" s="605"/>
      <c r="H2285" s="605"/>
      <c r="I2285" s="605"/>
      <c r="J2285" s="606"/>
      <c r="K2285" s="605"/>
      <c r="L2285" s="605"/>
      <c r="M2285" s="605"/>
      <c r="N2285" s="605"/>
      <c r="O2285" s="605"/>
      <c r="P2285" s="605" t="s">
        <v>7651</v>
      </c>
    </row>
    <row r="2286">
      <c r="A2286" s="605"/>
      <c r="B2286" s="605"/>
      <c r="C2286" s="605"/>
      <c r="D2286" s="605"/>
      <c r="E2286" s="605" t="str">
        <f>IFERROR(__xludf.DUMMYFUNCTION("""COMPUTED_VALUE"""),"PEPLINK")</f>
        <v>PEPLINK</v>
      </c>
      <c r="F2286" s="605" t="str">
        <f>IFERROR(__xludf.DUMMYFUNCTION("""COMPUTED_VALUE"""),"PEPWAVEMAX BR1")</f>
        <v>PEPWAVEMAX BR1</v>
      </c>
      <c r="G2286" s="605"/>
      <c r="H2286" s="605"/>
      <c r="I2286" s="605"/>
      <c r="J2286" s="606"/>
      <c r="K2286" s="605"/>
      <c r="L2286" s="605"/>
      <c r="M2286" s="605"/>
      <c r="N2286" s="605"/>
      <c r="O2286" s="605"/>
      <c r="P2286" s="605" t="s">
        <v>7653</v>
      </c>
    </row>
    <row r="2287">
      <c r="A2287" s="605"/>
      <c r="B2287" s="605"/>
      <c r="C2287" s="605"/>
      <c r="D2287" s="605"/>
      <c r="E2287" s="605" t="str">
        <f>IFERROR(__xludf.DUMMYFUNCTION("""COMPUTED_VALUE"""),"PEPLINK")</f>
        <v>PEPLINK</v>
      </c>
      <c r="F2287" s="605" t="str">
        <f>IFERROR(__xludf.DUMMYFUNCTION("""COMPUTED_VALUE"""),"PEPWAVEMAX BR1")</f>
        <v>PEPWAVEMAX BR1</v>
      </c>
      <c r="G2287" s="605"/>
      <c r="H2287" s="605"/>
      <c r="I2287" s="605"/>
      <c r="J2287" s="606"/>
      <c r="K2287" s="605"/>
      <c r="L2287" s="605"/>
      <c r="M2287" s="605"/>
      <c r="N2287" s="605"/>
      <c r="O2287" s="605"/>
      <c r="P2287" s="605" t="s">
        <v>7655</v>
      </c>
    </row>
    <row r="2288">
      <c r="A2288" s="605"/>
      <c r="B2288" s="605"/>
      <c r="C2288" s="605"/>
      <c r="D2288" s="605"/>
      <c r="E2288" s="605" t="str">
        <f>IFERROR(__xludf.DUMMYFUNCTION("""COMPUTED_VALUE"""),"PEPLINK")</f>
        <v>PEPLINK</v>
      </c>
      <c r="F2288" s="605" t="str">
        <f>IFERROR(__xludf.DUMMYFUNCTION("""COMPUTED_VALUE"""),"PEPWAVEMAX BR1")</f>
        <v>PEPWAVEMAX BR1</v>
      </c>
      <c r="G2288" s="605"/>
      <c r="H2288" s="605"/>
      <c r="I2288" s="605"/>
      <c r="J2288" s="606"/>
      <c r="K2288" s="605"/>
      <c r="L2288" s="605"/>
      <c r="M2288" s="605"/>
      <c r="N2288" s="605"/>
      <c r="O2288" s="605"/>
      <c r="P2288" s="605" t="s">
        <v>7657</v>
      </c>
    </row>
    <row r="2289">
      <c r="A2289" s="605"/>
      <c r="B2289" s="605"/>
      <c r="C2289" s="605"/>
      <c r="D2289" s="605"/>
      <c r="E2289" s="605" t="str">
        <f>IFERROR(__xludf.DUMMYFUNCTION("""COMPUTED_VALUE"""),"PEPLINK")</f>
        <v>PEPLINK</v>
      </c>
      <c r="F2289" s="605" t="str">
        <f>IFERROR(__xludf.DUMMYFUNCTION("""COMPUTED_VALUE"""),"PEPWAVEMAX BR1")</f>
        <v>PEPWAVEMAX BR1</v>
      </c>
      <c r="G2289" s="605"/>
      <c r="H2289" s="605"/>
      <c r="I2289" s="605"/>
      <c r="J2289" s="606"/>
      <c r="K2289" s="605"/>
      <c r="L2289" s="605"/>
      <c r="M2289" s="605"/>
      <c r="N2289" s="605"/>
      <c r="O2289" s="605"/>
      <c r="P2289" s="605" t="s">
        <v>7659</v>
      </c>
    </row>
    <row r="2290">
      <c r="A2290" s="605"/>
      <c r="B2290" s="605"/>
      <c r="C2290" s="605"/>
      <c r="D2290" s="605"/>
      <c r="E2290" s="605" t="str">
        <f>IFERROR(__xludf.DUMMYFUNCTION("""COMPUTED_VALUE"""),"PEPLINK")</f>
        <v>PEPLINK</v>
      </c>
      <c r="F2290" s="605" t="str">
        <f>IFERROR(__xludf.DUMMYFUNCTION("""COMPUTED_VALUE"""),"PEPWAVE MAX BR1")</f>
        <v>PEPWAVE MAX BR1</v>
      </c>
      <c r="G2290" s="605"/>
      <c r="H2290" s="605"/>
      <c r="I2290" s="605"/>
      <c r="J2290" s="606"/>
      <c r="K2290" s="605"/>
      <c r="L2290" s="605"/>
      <c r="M2290" s="605"/>
      <c r="N2290" s="605"/>
      <c r="O2290" s="605"/>
      <c r="P2290" s="605" t="s">
        <v>7661</v>
      </c>
    </row>
    <row r="2291">
      <c r="A2291" s="605"/>
      <c r="B2291" s="605"/>
      <c r="C2291" s="605"/>
      <c r="D2291" s="605"/>
      <c r="E2291" s="605" t="str">
        <f>IFERROR(__xludf.DUMMYFUNCTION("""COMPUTED_VALUE"""),"PETRA")</f>
        <v>PETRA</v>
      </c>
      <c r="F2291" s="605" t="str">
        <f>IFERROR(__xludf.DUMMYFUNCTION("""COMPUTED_VALUE"""),"DATACENTER EQUIPMENT")</f>
        <v>DATACENTER EQUIPMENT</v>
      </c>
      <c r="G2291" s="605"/>
      <c r="H2291" s="605"/>
      <c r="I2291" s="605"/>
      <c r="J2291" s="606"/>
      <c r="K2291" s="605"/>
      <c r="L2291" s="605"/>
      <c r="M2291" s="605"/>
      <c r="N2291" s="605"/>
      <c r="O2291" s="605"/>
      <c r="P2291" s="605" t="s">
        <v>7663</v>
      </c>
    </row>
    <row r="2292">
      <c r="A2292" s="605"/>
      <c r="B2292" s="605"/>
      <c r="C2292" s="605"/>
      <c r="D2292" s="605"/>
      <c r="E2292" s="605" t="str">
        <f>IFERROR(__xludf.DUMMYFUNCTION("""COMPUTED_VALUE"""),"PHAROS")</f>
        <v>PHAROS</v>
      </c>
      <c r="F2292" s="605" t="str">
        <f>IFERROR(__xludf.DUMMYFUNCTION("""COMPUTED_VALUE"""),"POE")</f>
        <v>POE</v>
      </c>
      <c r="G2292" s="605"/>
      <c r="H2292" s="605"/>
      <c r="I2292" s="605"/>
      <c r="J2292" s="606"/>
      <c r="K2292" s="605"/>
      <c r="L2292" s="605"/>
      <c r="M2292" s="605"/>
      <c r="N2292" s="605"/>
      <c r="O2292" s="605"/>
      <c r="P2292" s="605" t="s">
        <v>3390</v>
      </c>
    </row>
    <row r="2293">
      <c r="A2293" s="605"/>
      <c r="B2293" s="605"/>
      <c r="C2293" s="605"/>
      <c r="D2293" s="605"/>
      <c r="E2293" s="605" t="str">
        <f>IFERROR(__xludf.DUMMYFUNCTION("""COMPUTED_VALUE"""),"PHAROS")</f>
        <v>PHAROS</v>
      </c>
      <c r="F2293" s="605" t="str">
        <f>IFERROR(__xludf.DUMMYFUNCTION("""COMPUTED_VALUE"""),"LPC X")</f>
        <v>LPC X</v>
      </c>
      <c r="G2293" s="605"/>
      <c r="H2293" s="605"/>
      <c r="I2293" s="605"/>
      <c r="J2293" s="606"/>
      <c r="K2293" s="605"/>
      <c r="L2293" s="605"/>
      <c r="M2293" s="605"/>
      <c r="N2293" s="605"/>
      <c r="O2293" s="605"/>
      <c r="P2293" s="605" t="s">
        <v>7665</v>
      </c>
    </row>
    <row r="2294">
      <c r="A2294" s="605"/>
      <c r="B2294" s="605"/>
      <c r="C2294" s="605"/>
      <c r="D2294" s="605"/>
      <c r="E2294" s="605" t="str">
        <f>IFERROR(__xludf.DUMMYFUNCTION("""COMPUTED_VALUE"""),"PHEONIX CONTACT")</f>
        <v>PHEONIX CONTACT</v>
      </c>
      <c r="F2294" s="605" t="str">
        <f>IFERROR(__xludf.DUMMYFUNCTION("""COMPUTED_VALUE"""),"SFNB 8TX")</f>
        <v>SFNB 8TX</v>
      </c>
      <c r="G2294" s="605"/>
      <c r="H2294" s="605"/>
      <c r="I2294" s="605"/>
      <c r="J2294" s="606"/>
      <c r="K2294" s="605"/>
      <c r="L2294" s="605"/>
      <c r="M2294" s="605"/>
      <c r="N2294" s="605"/>
      <c r="O2294" s="605"/>
      <c r="P2294" s="605" t="s">
        <v>7667</v>
      </c>
    </row>
    <row r="2295">
      <c r="A2295" s="605"/>
      <c r="B2295" s="605"/>
      <c r="C2295" s="605"/>
      <c r="D2295" s="605"/>
      <c r="E2295" s="605" t="str">
        <f>IFERROR(__xludf.DUMMYFUNCTION("""COMPUTED_VALUE"""),"PHILIPS")</f>
        <v>PHILIPS</v>
      </c>
      <c r="F2295" s="605" t="str">
        <f>IFERROR(__xludf.DUMMYFUNCTION("""COMPUTED_VALUE"""),"3241312018A")</f>
        <v>3241312018A</v>
      </c>
      <c r="G2295" s="605"/>
      <c r="H2295" s="605"/>
      <c r="I2295" s="605"/>
      <c r="J2295" s="606"/>
      <c r="K2295" s="605"/>
      <c r="L2295" s="605"/>
      <c r="M2295" s="605"/>
      <c r="N2295" s="605"/>
      <c r="O2295" s="605"/>
      <c r="P2295" s="605" t="s">
        <v>7669</v>
      </c>
    </row>
    <row r="2296">
      <c r="A2296" s="605"/>
      <c r="B2296" s="605"/>
      <c r="C2296" s="605"/>
      <c r="D2296" s="605"/>
      <c r="E2296" s="605" t="str">
        <f>IFERROR(__xludf.DUMMYFUNCTION("""COMPUTED_VALUE"""),"PHILIPS")</f>
        <v>PHILIPS</v>
      </c>
      <c r="F2296" s="605" t="str">
        <f>IFERROR(__xludf.DUMMYFUNCTION("""COMPUTED_VALUE"""),"40PFL5507K/12")</f>
        <v>40PFL5507K/12</v>
      </c>
      <c r="G2296" s="605"/>
      <c r="H2296" s="605"/>
      <c r="I2296" s="605"/>
      <c r="J2296" s="606"/>
      <c r="K2296" s="605"/>
      <c r="L2296" s="605"/>
      <c r="M2296" s="605"/>
      <c r="N2296" s="605"/>
      <c r="O2296" s="605"/>
      <c r="P2296" s="605" t="s">
        <v>7671</v>
      </c>
    </row>
    <row r="2297">
      <c r="A2297" s="605"/>
      <c r="B2297" s="605"/>
      <c r="C2297" s="605"/>
      <c r="D2297" s="605"/>
      <c r="E2297" s="605" t="str">
        <f>IFERROR(__xludf.DUMMYFUNCTION("""COMPUTED_VALUE"""),"PHILIPS")</f>
        <v>PHILIPS</v>
      </c>
      <c r="F2297" s="605" t="str">
        <f>IFERROR(__xludf.DUMMYFUNCTION("""COMPUTED_VALUE"""),"55PFL5507K/12")</f>
        <v>55PFL5507K/12</v>
      </c>
      <c r="G2297" s="605"/>
      <c r="H2297" s="605"/>
      <c r="I2297" s="605"/>
      <c r="J2297" s="606"/>
      <c r="K2297" s="605"/>
      <c r="L2297" s="605"/>
      <c r="M2297" s="605"/>
      <c r="N2297" s="605"/>
      <c r="O2297" s="605"/>
      <c r="P2297" s="605" t="s">
        <v>7673</v>
      </c>
    </row>
    <row r="2298">
      <c r="A2298" s="605"/>
      <c r="B2298" s="605"/>
      <c r="C2298" s="605"/>
      <c r="D2298" s="605"/>
      <c r="E2298" s="605" t="str">
        <f>IFERROR(__xludf.DUMMYFUNCTION("""COMPUTED_VALUE"""),"PHILIPS")</f>
        <v>PHILIPS</v>
      </c>
      <c r="F2298" s="605" t="str">
        <f>IFERROR(__xludf.DUMMYFUNCTION("""COMPUTED_VALUE"""),"DL-ETHENVG-101")</f>
        <v>DL-ETHENVG-101</v>
      </c>
      <c r="G2298" s="605"/>
      <c r="H2298" s="605"/>
      <c r="I2298" s="605"/>
      <c r="J2298" s="606"/>
      <c r="K2298" s="605"/>
      <c r="L2298" s="605"/>
      <c r="M2298" s="605"/>
      <c r="N2298" s="605"/>
      <c r="O2298" s="605"/>
      <c r="P2298" s="605" t="s">
        <v>7675</v>
      </c>
    </row>
    <row r="2299">
      <c r="A2299" s="605"/>
      <c r="B2299" s="605"/>
      <c r="C2299" s="605"/>
      <c r="D2299" s="605"/>
      <c r="E2299" s="605" t="str">
        <f>IFERROR(__xludf.DUMMYFUNCTION("""COMPUTED_VALUE"""),"PHILIPS")</f>
        <v>PHILIPS</v>
      </c>
      <c r="F2299" s="605" t="str">
        <f>IFERROR(__xludf.DUMMYFUNCTION("""COMPUTED_VALUE"""),"DYNALITE GATEWAY")</f>
        <v>DYNALITE GATEWAY</v>
      </c>
      <c r="G2299" s="605"/>
      <c r="H2299" s="605"/>
      <c r="I2299" s="605"/>
      <c r="J2299" s="606"/>
      <c r="K2299" s="605"/>
      <c r="L2299" s="605"/>
      <c r="M2299" s="605"/>
      <c r="N2299" s="605"/>
      <c r="O2299" s="605"/>
      <c r="P2299" s="605" t="s">
        <v>7677</v>
      </c>
    </row>
    <row r="2300">
      <c r="A2300" s="605"/>
      <c r="B2300" s="605"/>
      <c r="C2300" s="605"/>
      <c r="D2300" s="605"/>
      <c r="E2300" s="605" t="str">
        <f>IFERROR(__xludf.DUMMYFUNCTION("""COMPUTED_VALUE"""),"PHILIPS")</f>
        <v>PHILIPS</v>
      </c>
      <c r="F2300" s="605" t="str">
        <f>IFERROR(__xludf.DUMMYFUNCTION("""COMPUTED_VALUE"""),"ENVISION GATEWAY")</f>
        <v>ENVISION GATEWAY</v>
      </c>
      <c r="G2300" s="605"/>
      <c r="H2300" s="605"/>
      <c r="I2300" s="605"/>
      <c r="J2300" s="606"/>
      <c r="K2300" s="605"/>
      <c r="L2300" s="605"/>
      <c r="M2300" s="605"/>
      <c r="N2300" s="605"/>
      <c r="O2300" s="605"/>
      <c r="P2300" s="605" t="s">
        <v>7679</v>
      </c>
    </row>
    <row r="2301">
      <c r="A2301" s="605"/>
      <c r="B2301" s="605"/>
      <c r="C2301" s="605"/>
      <c r="D2301" s="605"/>
      <c r="E2301" s="605" t="str">
        <f>IFERROR(__xludf.DUMMYFUNCTION("""COMPUTED_VALUE"""),"PHILIPS")</f>
        <v>PHILIPS</v>
      </c>
      <c r="F2301" s="605" t="str">
        <f>IFERROR(__xludf.DUMMYFUNCTION("""COMPUTED_VALUE"""),"NOT VERIFIED")</f>
        <v>NOT VERIFIED</v>
      </c>
      <c r="G2301" s="605"/>
      <c r="H2301" s="605"/>
      <c r="I2301" s="605"/>
      <c r="J2301" s="606"/>
      <c r="K2301" s="605"/>
      <c r="L2301" s="605"/>
      <c r="M2301" s="605"/>
      <c r="N2301" s="605"/>
      <c r="O2301" s="605"/>
      <c r="P2301" s="605" t="s">
        <v>7681</v>
      </c>
    </row>
    <row r="2302">
      <c r="A2302" s="605"/>
      <c r="B2302" s="605"/>
      <c r="C2302" s="605"/>
      <c r="D2302" s="605"/>
      <c r="E2302" s="605" t="str">
        <f>IFERROR(__xludf.DUMMYFUNCTION("""COMPUTED_VALUE"""),"PHILIPS")</f>
        <v>PHILIPS</v>
      </c>
      <c r="F2302" s="605" t="str">
        <f>IFERROR(__xludf.DUMMYFUNCTION("""COMPUTED_VALUE"""),"SP482P LED40S/840 POE")</f>
        <v>SP482P LED40S/840 POE</v>
      </c>
      <c r="G2302" s="605"/>
      <c r="H2302" s="605"/>
      <c r="I2302" s="605"/>
      <c r="J2302" s="606"/>
      <c r="K2302" s="605"/>
      <c r="L2302" s="605"/>
      <c r="M2302" s="605"/>
      <c r="N2302" s="605"/>
      <c r="O2302" s="605"/>
      <c r="P2302" s="605" t="s">
        <v>7683</v>
      </c>
    </row>
    <row r="2303">
      <c r="A2303" s="605"/>
      <c r="B2303" s="605"/>
      <c r="C2303" s="605"/>
      <c r="D2303" s="605"/>
      <c r="E2303" s="605" t="str">
        <f>IFERROR(__xludf.DUMMYFUNCTION("""COMPUTED_VALUE"""),"PHILIPS")</f>
        <v>PHILIPS</v>
      </c>
      <c r="F2303" s="605" t="str">
        <f>IFERROR(__xludf.DUMMYFUNCTION("""COMPUTED_VALUE"""),"SPDS-480CA 24V")</f>
        <v>SPDS-480CA 24V</v>
      </c>
      <c r="G2303" s="605"/>
      <c r="H2303" s="605"/>
      <c r="I2303" s="605"/>
      <c r="J2303" s="606"/>
      <c r="K2303" s="605"/>
      <c r="L2303" s="605"/>
      <c r="M2303" s="605"/>
      <c r="N2303" s="605"/>
      <c r="O2303" s="605"/>
      <c r="P2303" s="605" t="s">
        <v>2917</v>
      </c>
    </row>
    <row r="2304">
      <c r="A2304" s="605"/>
      <c r="B2304" s="605"/>
      <c r="C2304" s="605"/>
      <c r="D2304" s="605"/>
      <c r="E2304" s="605" t="str">
        <f>IFERROR(__xludf.DUMMYFUNCTION("""COMPUTED_VALUE"""),"PHILIPS")</f>
        <v>PHILIPS</v>
      </c>
      <c r="F2304" s="605" t="str">
        <f>IFERROR(__xludf.DUMMYFUNCTION("""COMPUTED_VALUE"""),"50PUS6754/12")</f>
        <v>50PUS6754/12</v>
      </c>
      <c r="G2304" s="605"/>
      <c r="H2304" s="605"/>
      <c r="I2304" s="605"/>
      <c r="J2304" s="606"/>
      <c r="K2304" s="605"/>
      <c r="L2304" s="605"/>
      <c r="M2304" s="605"/>
      <c r="N2304" s="605"/>
      <c r="O2304" s="605"/>
      <c r="P2304" s="605" t="s">
        <v>3393</v>
      </c>
    </row>
    <row r="2305">
      <c r="A2305" s="605"/>
      <c r="B2305" s="605"/>
      <c r="C2305" s="605"/>
      <c r="D2305" s="605"/>
      <c r="E2305" s="605" t="str">
        <f>IFERROR(__xludf.DUMMYFUNCTION("""COMPUTED_VALUE"""),"PHILIPS")</f>
        <v>PHILIPS</v>
      </c>
      <c r="F2305" s="605" t="str">
        <f>IFERROR(__xludf.DUMMYFUNCTION("""COMPUTED_VALUE"""),"DYNALITE DUS360CR")</f>
        <v>DYNALITE DUS360CR</v>
      </c>
      <c r="G2305" s="605"/>
      <c r="H2305" s="605"/>
      <c r="I2305" s="605"/>
      <c r="J2305" s="606"/>
      <c r="K2305" s="605"/>
      <c r="L2305" s="605"/>
      <c r="M2305" s="605"/>
      <c r="N2305" s="605"/>
      <c r="O2305" s="605"/>
      <c r="P2305" s="605" t="s">
        <v>7685</v>
      </c>
    </row>
    <row r="2306">
      <c r="A2306" s="605"/>
      <c r="B2306" s="605"/>
      <c r="C2306" s="605"/>
      <c r="D2306" s="605"/>
      <c r="E2306" s="605" t="str">
        <f>IFERROR(__xludf.DUMMYFUNCTION("""COMPUTED_VALUE"""),"PHILIPS")</f>
        <v>PHILIPS</v>
      </c>
      <c r="F2306" s="605" t="str">
        <f>IFERROR(__xludf.DUMMYFUNCTION("""COMPUTED_VALUE"""),"DDNG485")</f>
        <v>DDNG485</v>
      </c>
      <c r="G2306" s="605"/>
      <c r="H2306" s="605"/>
      <c r="I2306" s="605"/>
      <c r="J2306" s="606"/>
      <c r="K2306" s="605"/>
      <c r="L2306" s="605"/>
      <c r="M2306" s="605"/>
      <c r="N2306" s="605"/>
      <c r="O2306" s="605"/>
      <c r="P2306" s="605" t="s">
        <v>7687</v>
      </c>
    </row>
    <row r="2307">
      <c r="A2307" s="605"/>
      <c r="B2307" s="605"/>
      <c r="C2307" s="605"/>
      <c r="D2307" s="605"/>
      <c r="E2307" s="605" t="str">
        <f>IFERROR(__xludf.DUMMYFUNCTION("""COMPUTED_VALUE"""),"PHILIPS")</f>
        <v>PHILIPS</v>
      </c>
      <c r="F2307" s="605" t="str">
        <f>IFERROR(__xludf.DUMMYFUNCTION("""COMPUTED_VALUE"""),"DDBC320-DALI")</f>
        <v>DDBC320-DALI</v>
      </c>
      <c r="G2307" s="605"/>
      <c r="H2307" s="605"/>
      <c r="I2307" s="605"/>
      <c r="J2307" s="606"/>
      <c r="K2307" s="605"/>
      <c r="L2307" s="605"/>
      <c r="M2307" s="605"/>
      <c r="N2307" s="605"/>
      <c r="O2307" s="605"/>
      <c r="P2307" s="605" t="s">
        <v>7689</v>
      </c>
    </row>
    <row r="2308">
      <c r="A2308" s="605"/>
      <c r="B2308" s="605"/>
      <c r="C2308" s="605"/>
      <c r="D2308" s="605"/>
      <c r="E2308" s="605" t="str">
        <f>IFERROR(__xludf.DUMMYFUNCTION("""COMPUTED_VALUE"""),"PHILIPS")</f>
        <v>PHILIPS</v>
      </c>
      <c r="F2308" s="605" t="str">
        <f>IFERROR(__xludf.DUMMYFUNCTION("""COMPUTED_VALUE"""),"ANDROID TV 4K UHD")</f>
        <v>ANDROID TV 4K UHD</v>
      </c>
      <c r="G2308" s="605"/>
      <c r="H2308" s="605"/>
      <c r="I2308" s="605"/>
      <c r="J2308" s="606"/>
      <c r="K2308" s="605"/>
      <c r="L2308" s="605"/>
      <c r="M2308" s="605"/>
      <c r="N2308" s="605"/>
      <c r="O2308" s="605"/>
      <c r="P2308" s="605" t="s">
        <v>7691</v>
      </c>
    </row>
    <row r="2309">
      <c r="A2309" s="605"/>
      <c r="B2309" s="605"/>
      <c r="C2309" s="605"/>
      <c r="D2309" s="605"/>
      <c r="E2309" s="605" t="str">
        <f>IFERROR(__xludf.DUMMYFUNCTION("""COMPUTED_VALUE"""),"PHILIPS")</f>
        <v>PHILIPS</v>
      </c>
      <c r="F2309" s="605" t="str">
        <f>IFERROR(__xludf.DUMMYFUNCTION("""COMPUTED_VALUE"""),"DDNG232 RS-232 GW")</f>
        <v>DDNG232 RS-232 GW</v>
      </c>
      <c r="G2309" s="605"/>
      <c r="H2309" s="605"/>
      <c r="I2309" s="605"/>
      <c r="J2309" s="606"/>
      <c r="K2309" s="605"/>
      <c r="L2309" s="605"/>
      <c r="M2309" s="605"/>
      <c r="N2309" s="605"/>
      <c r="O2309" s="605"/>
      <c r="P2309" s="605" t="s">
        <v>7693</v>
      </c>
    </row>
    <row r="2310">
      <c r="A2310" s="605"/>
      <c r="B2310" s="605"/>
      <c r="C2310" s="605"/>
      <c r="D2310" s="605"/>
      <c r="E2310" s="605" t="str">
        <f>IFERROR(__xludf.DUMMYFUNCTION("""COMPUTED_VALUE"""),"PHILIPS")</f>
        <v>PHILIPS</v>
      </c>
      <c r="F2310" s="605" t="str">
        <f>IFERROR(__xludf.DUMMYFUNCTION("""COMPUTED_VALUE"""),"DALI-2 DRIVER CNTRLR")</f>
        <v>DALI-2 DRIVER CNTRLR</v>
      </c>
      <c r="G2310" s="605"/>
      <c r="H2310" s="605"/>
      <c r="I2310" s="605"/>
      <c r="J2310" s="606"/>
      <c r="K2310" s="605"/>
      <c r="L2310" s="605"/>
      <c r="M2310" s="605"/>
      <c r="N2310" s="605"/>
      <c r="O2310" s="605"/>
      <c r="P2310" s="605" t="s">
        <v>7695</v>
      </c>
    </row>
    <row r="2311">
      <c r="A2311" s="605"/>
      <c r="B2311" s="605"/>
      <c r="C2311" s="605"/>
      <c r="D2311" s="605"/>
      <c r="E2311" s="605" t="str">
        <f>IFERROR(__xludf.DUMMYFUNCTION("""COMPUTED_VALUE"""),"PHILIPS")</f>
        <v>PHILIPS</v>
      </c>
      <c r="F2311" s="605" t="str">
        <f>IFERROR(__xludf.DUMMYFUNCTION("""COMPUTED_VALUE"""),"DRYCONTACT INTERFACE")</f>
        <v>DRYCONTACT INTERFACE</v>
      </c>
      <c r="G2311" s="605"/>
      <c r="H2311" s="605"/>
      <c r="I2311" s="605"/>
      <c r="J2311" s="606"/>
      <c r="K2311" s="605"/>
      <c r="L2311" s="605"/>
      <c r="M2311" s="605"/>
      <c r="N2311" s="605"/>
      <c r="O2311" s="605"/>
      <c r="P2311" s="605" t="s">
        <v>7697</v>
      </c>
    </row>
    <row r="2312">
      <c r="A2312" s="605"/>
      <c r="B2312" s="605"/>
      <c r="C2312" s="605"/>
      <c r="D2312" s="605"/>
      <c r="E2312" s="605" t="str">
        <f>IFERROR(__xludf.DUMMYFUNCTION("""COMPUTED_VALUE"""),"PHILIPS")</f>
        <v>PHILIPS</v>
      </c>
      <c r="F2312" s="605" t="str">
        <f>IFERROR(__xludf.DUMMYFUNCTION("""COMPUTED_VALUE"""),"DYNALITE DUS360CS")</f>
        <v>DYNALITE DUS360CS</v>
      </c>
      <c r="G2312" s="605"/>
      <c r="H2312" s="605"/>
      <c r="I2312" s="605"/>
      <c r="J2312" s="606"/>
      <c r="K2312" s="605"/>
      <c r="L2312" s="605"/>
      <c r="M2312" s="605"/>
      <c r="N2312" s="605"/>
      <c r="O2312" s="605"/>
      <c r="P2312" s="605" t="s">
        <v>7699</v>
      </c>
    </row>
    <row r="2313">
      <c r="A2313" s="605"/>
      <c r="B2313" s="605"/>
      <c r="C2313" s="605"/>
      <c r="D2313" s="605"/>
      <c r="E2313" s="605" t="str">
        <f>IFERROR(__xludf.DUMMYFUNCTION("""COMPUTED_VALUE"""),"PHILIPS")</f>
        <v>PHILIPS</v>
      </c>
      <c r="F2313" s="605" t="str">
        <f>IFERROR(__xludf.DUMMYFUNCTION("""COMPUTED_VALUE"""),"ANTUMBRA BUTTON (6)")</f>
        <v>ANTUMBRA BUTTON (6)</v>
      </c>
      <c r="G2313" s="605"/>
      <c r="H2313" s="605"/>
      <c r="I2313" s="605"/>
      <c r="J2313" s="606"/>
      <c r="K2313" s="605"/>
      <c r="L2313" s="605"/>
      <c r="M2313" s="605"/>
      <c r="N2313" s="605"/>
      <c r="O2313" s="605"/>
      <c r="P2313" s="605" t="s">
        <v>7701</v>
      </c>
    </row>
    <row r="2314">
      <c r="A2314" s="605"/>
      <c r="B2314" s="605"/>
      <c r="C2314" s="605"/>
      <c r="D2314" s="605"/>
      <c r="E2314" s="605" t="str">
        <f>IFERROR(__xludf.DUMMYFUNCTION("""COMPUTED_VALUE"""),"PHILIPS")</f>
        <v>PHILIPS</v>
      </c>
      <c r="F2314" s="605" t="str">
        <f>IFERROR(__xludf.DUMMYFUNCTION("""COMPUTED_VALUE"""),"DYNALITE DUS360CR")</f>
        <v>DYNALITE DUS360CR</v>
      </c>
      <c r="G2314" s="605"/>
      <c r="H2314" s="605"/>
      <c r="I2314" s="605"/>
      <c r="J2314" s="606"/>
      <c r="K2314" s="605"/>
      <c r="L2314" s="605"/>
      <c r="M2314" s="605"/>
      <c r="N2314" s="605"/>
      <c r="O2314" s="605"/>
      <c r="P2314" s="605" t="s">
        <v>7703</v>
      </c>
    </row>
    <row r="2315">
      <c r="A2315" s="605"/>
      <c r="B2315" s="605"/>
      <c r="C2315" s="605"/>
      <c r="D2315" s="605"/>
      <c r="E2315" s="605" t="str">
        <f>IFERROR(__xludf.DUMMYFUNCTION("""COMPUTED_VALUE"""),"PHILIPS")</f>
        <v>PHILIPS</v>
      </c>
      <c r="F2315" s="605" t="str">
        <f>IFERROR(__xludf.DUMMYFUNCTION("""COMPUTED_VALUE"""),"PADPA LCD DISPLAY")</f>
        <v>PADPA LCD DISPLAY</v>
      </c>
      <c r="G2315" s="605"/>
      <c r="H2315" s="605"/>
      <c r="I2315" s="605"/>
      <c r="J2315" s="606"/>
      <c r="K2315" s="605"/>
      <c r="L2315" s="605"/>
      <c r="M2315" s="605"/>
      <c r="N2315" s="605"/>
      <c r="O2315" s="605"/>
      <c r="P2315" s="605" t="s">
        <v>3396</v>
      </c>
    </row>
    <row r="2316">
      <c r="A2316" s="605"/>
      <c r="B2316" s="605"/>
      <c r="C2316" s="605"/>
      <c r="D2316" s="605"/>
      <c r="E2316" s="605" t="str">
        <f>IFERROR(__xludf.DUMMYFUNCTION("""COMPUTED_VALUE"""),"PHILIPS")</f>
        <v>PHILIPS</v>
      </c>
      <c r="F2316" s="605" t="str">
        <f>IFERROR(__xludf.DUMMYFUNCTION("""COMPUTED_VALUE"""),"PATPE ANTUMBRATOUCH")</f>
        <v>PATPE ANTUMBRATOUCH</v>
      </c>
      <c r="G2316" s="605"/>
      <c r="H2316" s="605"/>
      <c r="I2316" s="605"/>
      <c r="J2316" s="606"/>
      <c r="K2316" s="605"/>
      <c r="L2316" s="605"/>
      <c r="M2316" s="605"/>
      <c r="N2316" s="605"/>
      <c r="O2316" s="605"/>
      <c r="P2316" s="605" t="s">
        <v>7705</v>
      </c>
    </row>
    <row r="2317">
      <c r="A2317" s="605"/>
      <c r="B2317" s="605"/>
      <c r="C2317" s="605"/>
      <c r="D2317" s="605"/>
      <c r="E2317" s="605" t="str">
        <f>IFERROR(__xludf.DUMMYFUNCTION("""COMPUTED_VALUE"""),"PHILIPS")</f>
        <v>PHILIPS</v>
      </c>
      <c r="F2317" s="605" t="str">
        <f>IFERROR(__xludf.DUMMYFUNCTION("""COMPUTED_VALUE"""),"PDTS TOUCHSCREEN")</f>
        <v>PDTS TOUCHSCREEN</v>
      </c>
      <c r="G2317" s="605"/>
      <c r="H2317" s="605"/>
      <c r="I2317" s="605"/>
      <c r="J2317" s="606"/>
      <c r="K2317" s="605"/>
      <c r="L2317" s="605"/>
      <c r="M2317" s="605"/>
      <c r="N2317" s="605"/>
      <c r="O2317" s="605"/>
      <c r="P2317" s="605" t="s">
        <v>7707</v>
      </c>
    </row>
    <row r="2318">
      <c r="A2318" s="605"/>
      <c r="B2318" s="605"/>
      <c r="C2318" s="605"/>
      <c r="D2318" s="605"/>
      <c r="E2318" s="605" t="str">
        <f>IFERROR(__xludf.DUMMYFUNCTION("""COMPUTED_VALUE"""),"PHILIPS")</f>
        <v>PHILIPS</v>
      </c>
      <c r="F2318" s="605" t="str">
        <f>IFERROR(__xludf.DUMMYFUNCTION("""COMPUTED_VALUE"""),"DYNALITE DUS804CS-UP")</f>
        <v>DYNALITE DUS804CS-UP</v>
      </c>
      <c r="G2318" s="605"/>
      <c r="H2318" s="605"/>
      <c r="I2318" s="605"/>
      <c r="J2318" s="606"/>
      <c r="K2318" s="605"/>
      <c r="L2318" s="605"/>
      <c r="M2318" s="605"/>
      <c r="N2318" s="605"/>
      <c r="O2318" s="605"/>
      <c r="P2318" s="605" t="s">
        <v>7709</v>
      </c>
    </row>
    <row r="2319">
      <c r="A2319" s="605"/>
      <c r="B2319" s="605"/>
      <c r="C2319" s="605"/>
      <c r="D2319" s="605"/>
      <c r="E2319" s="605" t="str">
        <f>IFERROR(__xludf.DUMMYFUNCTION("""COMPUTED_VALUE"""),"PHILIPS")</f>
        <v>PHILIPS</v>
      </c>
      <c r="F2319" s="605" t="str">
        <f>IFERROR(__xludf.DUMMYFUNCTION("""COMPUTED_VALUE"""),"GREENSPACE G6-DN39X")</f>
        <v>GREENSPACE G6-DN39X</v>
      </c>
      <c r="G2319" s="605"/>
      <c r="H2319" s="605"/>
      <c r="I2319" s="605"/>
      <c r="J2319" s="606"/>
      <c r="K2319" s="605"/>
      <c r="L2319" s="605"/>
      <c r="M2319" s="605"/>
      <c r="N2319" s="605"/>
      <c r="O2319" s="605"/>
      <c r="P2319" s="605" t="s">
        <v>7711</v>
      </c>
    </row>
    <row r="2320">
      <c r="A2320" s="605"/>
      <c r="B2320" s="605"/>
      <c r="C2320" s="605"/>
      <c r="D2320" s="605"/>
      <c r="E2320" s="605" t="str">
        <f>IFERROR(__xludf.DUMMYFUNCTION("""COMPUTED_VALUE"""),"PHILPS")</f>
        <v>PHILPS</v>
      </c>
      <c r="F2320" s="605" t="str">
        <f>IFERROR(__xludf.DUMMYFUNCTION("""COMPUTED_VALUE"""),"DYNALITE DUS804CS-UP")</f>
        <v>DYNALITE DUS804CS-UP</v>
      </c>
      <c r="G2320" s="605"/>
      <c r="H2320" s="605"/>
      <c r="I2320" s="605"/>
      <c r="J2320" s="606"/>
      <c r="K2320" s="605"/>
      <c r="L2320" s="605"/>
      <c r="M2320" s="605"/>
      <c r="N2320" s="605"/>
      <c r="O2320" s="605"/>
      <c r="P2320" s="605" t="s">
        <v>7713</v>
      </c>
    </row>
    <row r="2321">
      <c r="A2321" s="605"/>
      <c r="B2321" s="605"/>
      <c r="C2321" s="605"/>
      <c r="D2321" s="605"/>
      <c r="E2321" s="605" t="str">
        <f>IFERROR(__xludf.DUMMYFUNCTION("""COMPUTED_VALUE"""),"PHOENIX CONTACT")</f>
        <v>PHOENIX CONTACT</v>
      </c>
      <c r="F2321" s="605" t="str">
        <f>IFERROR(__xludf.DUMMYFUNCTION("""COMPUTED_VALUE"""),"2891001")</f>
        <v>2891001</v>
      </c>
      <c r="G2321" s="605"/>
      <c r="H2321" s="605"/>
      <c r="I2321" s="605"/>
      <c r="J2321" s="606"/>
      <c r="K2321" s="605"/>
      <c r="L2321" s="605"/>
      <c r="M2321" s="605"/>
      <c r="N2321" s="605"/>
      <c r="O2321" s="605"/>
      <c r="P2321" s="605" t="s">
        <v>7715</v>
      </c>
    </row>
    <row r="2322">
      <c r="A2322" s="605"/>
      <c r="B2322" s="605"/>
      <c r="C2322" s="605"/>
      <c r="D2322" s="605"/>
      <c r="E2322" s="605" t="str">
        <f>IFERROR(__xludf.DUMMYFUNCTION("""COMPUTED_VALUE"""),"PHOENIX CONTACT")</f>
        <v>PHOENIX CONTACT</v>
      </c>
      <c r="F2322" s="605" t="str">
        <f>IFERROR(__xludf.DUMMYFUNCTION("""COMPUTED_VALUE"""),"SFN 16TX")</f>
        <v>SFN 16TX</v>
      </c>
      <c r="G2322" s="605"/>
      <c r="H2322" s="605"/>
      <c r="I2322" s="605"/>
      <c r="J2322" s="606"/>
      <c r="K2322" s="605"/>
      <c r="L2322" s="605"/>
      <c r="M2322" s="605"/>
      <c r="N2322" s="605"/>
      <c r="O2322" s="605"/>
      <c r="P2322" s="605" t="s">
        <v>7717</v>
      </c>
    </row>
    <row r="2323">
      <c r="A2323" s="605"/>
      <c r="B2323" s="605"/>
      <c r="C2323" s="605"/>
      <c r="D2323" s="605"/>
      <c r="E2323" s="605" t="str">
        <f>IFERROR(__xludf.DUMMYFUNCTION("""COMPUTED_VALUE"""),"PHOENIX CONTACT")</f>
        <v>PHOENIX CONTACT</v>
      </c>
      <c r="F2323" s="605" t="str">
        <f>IFERROR(__xludf.DUMMYFUNCTION("""COMPUTED_VALUE"""),"SFN 5TX")</f>
        <v>SFN 5TX</v>
      </c>
      <c r="G2323" s="605"/>
      <c r="H2323" s="605"/>
      <c r="I2323" s="605"/>
      <c r="J2323" s="606"/>
      <c r="K2323" s="605"/>
      <c r="L2323" s="605"/>
      <c r="M2323" s="605"/>
      <c r="N2323" s="605"/>
      <c r="O2323" s="605"/>
      <c r="P2323" s="605" t="s">
        <v>7719</v>
      </c>
    </row>
    <row r="2324">
      <c r="A2324" s="605"/>
      <c r="B2324" s="605"/>
      <c r="C2324" s="605"/>
      <c r="D2324" s="605"/>
      <c r="E2324" s="605" t="str">
        <f>IFERROR(__xludf.DUMMYFUNCTION("""COMPUTED_VALUE"""),"PHOENIX CONTACT")</f>
        <v>PHOENIX CONTACT</v>
      </c>
      <c r="F2324" s="605" t="str">
        <f>IFERROR(__xludf.DUMMYFUNCTION("""COMPUTED_VALUE"""),"SFN 8TX")</f>
        <v>SFN 8TX</v>
      </c>
      <c r="G2324" s="605"/>
      <c r="H2324" s="605"/>
      <c r="I2324" s="605"/>
      <c r="J2324" s="606"/>
      <c r="K2324" s="605"/>
      <c r="L2324" s="605"/>
      <c r="M2324" s="605"/>
      <c r="N2324" s="605"/>
      <c r="O2324" s="605"/>
      <c r="P2324" s="605" t="s">
        <v>7721</v>
      </c>
    </row>
    <row r="2325">
      <c r="A2325" s="605"/>
      <c r="B2325" s="605"/>
      <c r="C2325" s="605"/>
      <c r="D2325" s="605"/>
      <c r="E2325" s="605" t="str">
        <f>IFERROR(__xludf.DUMMYFUNCTION("""COMPUTED_VALUE"""),"PHOENIX CONTACT")</f>
        <v>PHOENIX CONTACT</v>
      </c>
      <c r="F2325" s="605" t="str">
        <f>IFERROR(__xludf.DUMMYFUNCTION("""COMPUTED_VALUE"""),"SFNB 5TX")</f>
        <v>SFNB 5TX</v>
      </c>
      <c r="G2325" s="605"/>
      <c r="H2325" s="605"/>
      <c r="I2325" s="605"/>
      <c r="J2325" s="606"/>
      <c r="K2325" s="605"/>
      <c r="L2325" s="605"/>
      <c r="M2325" s="605"/>
      <c r="N2325" s="605"/>
      <c r="O2325" s="605"/>
      <c r="P2325" s="605" t="s">
        <v>7723</v>
      </c>
    </row>
    <row r="2326">
      <c r="A2326" s="605"/>
      <c r="B2326" s="605"/>
      <c r="C2326" s="605"/>
      <c r="D2326" s="605"/>
      <c r="E2326" s="605" t="str">
        <f>IFERROR(__xludf.DUMMYFUNCTION("""COMPUTED_VALUE"""),"PHOENIX CONTACT")</f>
        <v>PHOENIX CONTACT</v>
      </c>
      <c r="F2326" s="605" t="str">
        <f>IFERROR(__xludf.DUMMYFUNCTION("""COMPUTED_VALUE"""),"SFNB 8TX")</f>
        <v>SFNB 8TX</v>
      </c>
      <c r="G2326" s="605"/>
      <c r="H2326" s="605"/>
      <c r="I2326" s="605"/>
      <c r="J2326" s="606"/>
      <c r="K2326" s="605"/>
      <c r="L2326" s="605"/>
      <c r="M2326" s="605"/>
      <c r="N2326" s="605"/>
      <c r="O2326" s="605"/>
      <c r="P2326" s="605" t="s">
        <v>3399</v>
      </c>
    </row>
    <row r="2327">
      <c r="A2327" s="605"/>
      <c r="B2327" s="605"/>
      <c r="C2327" s="605"/>
      <c r="D2327" s="605"/>
      <c r="E2327" s="605" t="str">
        <f>IFERROR(__xludf.DUMMYFUNCTION("""COMPUTED_VALUE"""),"PHOENIX CONTACT")</f>
        <v>PHOENIX CONTACT</v>
      </c>
      <c r="F2327" s="605" t="str">
        <f>IFERROR(__xludf.DUMMYFUNCTION("""COMPUTED_VALUE"""),"SFNB 5TX")</f>
        <v>SFNB 5TX</v>
      </c>
      <c r="G2327" s="605"/>
      <c r="H2327" s="605"/>
      <c r="I2327" s="605"/>
      <c r="J2327" s="606"/>
      <c r="K2327" s="605"/>
      <c r="L2327" s="605"/>
      <c r="M2327" s="605"/>
      <c r="N2327" s="605"/>
      <c r="O2327" s="605"/>
      <c r="P2327" s="605" t="s">
        <v>7725</v>
      </c>
    </row>
    <row r="2328">
      <c r="A2328" s="605"/>
      <c r="B2328" s="605"/>
      <c r="C2328" s="605"/>
      <c r="D2328" s="605"/>
      <c r="E2328" s="605" t="str">
        <f>IFERROR(__xludf.DUMMYFUNCTION("""COMPUTED_VALUE"""),"PHOENIX CONTACT")</f>
        <v>PHOENIX CONTACT</v>
      </c>
      <c r="F2328" s="605" t="str">
        <f>IFERROR(__xludf.DUMMYFUNCTION("""COMPUTED_VALUE"""),"X200-4G AC")</f>
        <v>X200-4G AC</v>
      </c>
      <c r="G2328" s="605"/>
      <c r="H2328" s="605"/>
      <c r="I2328" s="605"/>
      <c r="J2328" s="606"/>
      <c r="K2328" s="605"/>
      <c r="L2328" s="605"/>
      <c r="M2328" s="605"/>
      <c r="N2328" s="605"/>
      <c r="O2328" s="605"/>
      <c r="P2328" s="605" t="s">
        <v>7727</v>
      </c>
    </row>
    <row r="2329">
      <c r="A2329" s="605"/>
      <c r="B2329" s="605"/>
      <c r="C2329" s="605"/>
      <c r="D2329" s="605"/>
      <c r="E2329" s="605" t="str">
        <f>IFERROR(__xludf.DUMMYFUNCTION("""COMPUTED_VALUE"""),"PHOENIX CONTACT")</f>
        <v>PHOENIX CONTACT</v>
      </c>
      <c r="F2329" s="605" t="str">
        <f>IFERROR(__xludf.DUMMYFUNCTION("""COMPUTED_VALUE"""),"FL SWITCH 5TX")</f>
        <v>FL SWITCH 5TX</v>
      </c>
      <c r="G2329" s="605"/>
      <c r="H2329" s="605"/>
      <c r="I2329" s="605"/>
      <c r="J2329" s="606"/>
      <c r="K2329" s="605"/>
      <c r="L2329" s="605"/>
      <c r="M2329" s="605"/>
      <c r="N2329" s="605"/>
      <c r="O2329" s="605"/>
      <c r="P2329" s="605" t="s">
        <v>7729</v>
      </c>
    </row>
    <row r="2330">
      <c r="A2330" s="605"/>
      <c r="B2330" s="605"/>
      <c r="C2330" s="605"/>
      <c r="D2330" s="605"/>
      <c r="E2330" s="605" t="str">
        <f>IFERROR(__xludf.DUMMYFUNCTION("""COMPUTED_VALUE"""),"PHOENIX CONTROLS")</f>
        <v>PHOENIX CONTROLS</v>
      </c>
      <c r="F2330" s="605" t="str">
        <f>IFERROR(__xludf.DUMMYFUNCTION("""COMPUTED_VALUE"""),"MICROSERVER")</f>
        <v>MICROSERVER</v>
      </c>
      <c r="G2330" s="605"/>
      <c r="H2330" s="605"/>
      <c r="I2330" s="605"/>
      <c r="J2330" s="606"/>
      <c r="K2330" s="605"/>
      <c r="L2330" s="605"/>
      <c r="M2330" s="605"/>
      <c r="N2330" s="605"/>
      <c r="O2330" s="605"/>
      <c r="P2330" s="605" t="s">
        <v>7731</v>
      </c>
    </row>
    <row r="2331">
      <c r="A2331" s="605"/>
      <c r="B2331" s="605"/>
      <c r="C2331" s="605"/>
      <c r="D2331" s="605"/>
      <c r="E2331" s="605" t="str">
        <f>IFERROR(__xludf.DUMMYFUNCTION("""COMPUTED_VALUE"""),"PICOBOX")</f>
        <v>PICOBOX</v>
      </c>
      <c r="F2331" s="605" t="str">
        <f>IFERROR(__xludf.DUMMYFUNCTION("""COMPUTED_VALUE"""),"MESSAGE MASTER 4000")</f>
        <v>MESSAGE MASTER 4000</v>
      </c>
      <c r="G2331" s="605"/>
      <c r="H2331" s="605"/>
      <c r="I2331" s="605"/>
      <c r="J2331" s="606"/>
      <c r="K2331" s="605"/>
      <c r="L2331" s="605"/>
      <c r="M2331" s="605"/>
      <c r="N2331" s="605"/>
      <c r="O2331" s="605"/>
      <c r="P2331" s="605" t="s">
        <v>7733</v>
      </c>
    </row>
    <row r="2332">
      <c r="A2332" s="605"/>
      <c r="B2332" s="605"/>
      <c r="C2332" s="605"/>
      <c r="D2332" s="605"/>
      <c r="E2332" s="605" t="str">
        <f>IFERROR(__xludf.DUMMYFUNCTION("""COMPUTED_VALUE"""),"PICOBOX")</f>
        <v>PICOBOX</v>
      </c>
      <c r="F2332" s="605" t="str">
        <f>IFERROR(__xludf.DUMMYFUNCTION("""COMPUTED_VALUE"""),"MESSAGE MASTER 5000")</f>
        <v>MESSAGE MASTER 5000</v>
      </c>
      <c r="G2332" s="605"/>
      <c r="H2332" s="605"/>
      <c r="I2332" s="605"/>
      <c r="J2332" s="606"/>
      <c r="K2332" s="605"/>
      <c r="L2332" s="605"/>
      <c r="M2332" s="605"/>
      <c r="N2332" s="605"/>
      <c r="O2332" s="605"/>
      <c r="P2332" s="605" t="s">
        <v>7735</v>
      </c>
    </row>
    <row r="2333">
      <c r="A2333" s="605"/>
      <c r="B2333" s="605"/>
      <c r="C2333" s="605"/>
      <c r="D2333" s="605"/>
      <c r="E2333" s="605" t="str">
        <f>IFERROR(__xludf.DUMMYFUNCTION("""COMPUTED_VALUE"""),"PICOBOX")</f>
        <v>PICOBOX</v>
      </c>
      <c r="F2333" s="605" t="str">
        <f>IFERROR(__xludf.DUMMYFUNCTION("""COMPUTED_VALUE"""),"REX")</f>
        <v>REX</v>
      </c>
      <c r="G2333" s="605"/>
      <c r="H2333" s="605"/>
      <c r="I2333" s="605"/>
      <c r="J2333" s="606"/>
      <c r="K2333" s="605"/>
      <c r="L2333" s="605"/>
      <c r="M2333" s="605"/>
      <c r="N2333" s="605"/>
      <c r="O2333" s="605"/>
      <c r="P2333" s="605" t="s">
        <v>7737</v>
      </c>
    </row>
    <row r="2334">
      <c r="A2334" s="605"/>
      <c r="B2334" s="605"/>
      <c r="C2334" s="605"/>
      <c r="D2334" s="605"/>
      <c r="E2334" s="605" t="str">
        <f>IFERROR(__xludf.DUMMYFUNCTION("""COMPUTED_VALUE"""),"PICOBOX")</f>
        <v>PICOBOX</v>
      </c>
      <c r="F2334" s="605" t="str">
        <f>IFERROR(__xludf.DUMMYFUNCTION("""COMPUTED_VALUE"""),"MESSAGE MASTER 4000")</f>
        <v>MESSAGE MASTER 4000</v>
      </c>
      <c r="G2334" s="605"/>
      <c r="H2334" s="605"/>
      <c r="I2334" s="605"/>
      <c r="J2334" s="606"/>
      <c r="K2334" s="605"/>
      <c r="L2334" s="605"/>
      <c r="M2334" s="605"/>
      <c r="N2334" s="605"/>
      <c r="O2334" s="605"/>
      <c r="P2334" s="605" t="s">
        <v>7739</v>
      </c>
    </row>
    <row r="2335">
      <c r="A2335" s="605"/>
      <c r="B2335" s="605"/>
      <c r="C2335" s="605"/>
      <c r="D2335" s="605"/>
      <c r="E2335" s="605" t="str">
        <f>IFERROR(__xludf.DUMMYFUNCTION("""COMPUTED_VALUE"""),"PICOBOX")</f>
        <v>PICOBOX</v>
      </c>
      <c r="F2335" s="605" t="str">
        <f>IFERROR(__xludf.DUMMYFUNCTION("""COMPUTED_VALUE"""),"REX")</f>
        <v>REX</v>
      </c>
      <c r="G2335" s="605"/>
      <c r="H2335" s="605"/>
      <c r="I2335" s="605"/>
      <c r="J2335" s="606"/>
      <c r="K2335" s="605"/>
      <c r="L2335" s="605"/>
      <c r="M2335" s="605"/>
      <c r="N2335" s="605"/>
      <c r="O2335" s="605"/>
      <c r="P2335" s="605" t="s">
        <v>7741</v>
      </c>
    </row>
    <row r="2336">
      <c r="A2336" s="605"/>
      <c r="B2336" s="605"/>
      <c r="C2336" s="605"/>
      <c r="D2336" s="605"/>
      <c r="E2336" s="605" t="str">
        <f>IFERROR(__xludf.DUMMYFUNCTION("""COMPUTED_VALUE"""),"PICOBOX")</f>
        <v>PICOBOX</v>
      </c>
      <c r="F2336" s="605" t="str">
        <f>IFERROR(__xludf.DUMMYFUNCTION("""COMPUTED_VALUE"""),"FM-GUARD")</f>
        <v>FM-GUARD</v>
      </c>
      <c r="G2336" s="605"/>
      <c r="H2336" s="605"/>
      <c r="I2336" s="605"/>
      <c r="J2336" s="606"/>
      <c r="K2336" s="605"/>
      <c r="L2336" s="605"/>
      <c r="M2336" s="605"/>
      <c r="N2336" s="605"/>
      <c r="O2336" s="605"/>
      <c r="P2336" s="605" t="s">
        <v>7743</v>
      </c>
    </row>
    <row r="2337">
      <c r="A2337" s="605"/>
      <c r="B2337" s="605"/>
      <c r="C2337" s="605"/>
      <c r="D2337" s="605"/>
      <c r="E2337" s="605" t="str">
        <f>IFERROR(__xludf.DUMMYFUNCTION("""COMPUTED_VALUE"""),"PIERO INFINITY CONTROL")</f>
        <v>PIERO INFINITY CONTROL</v>
      </c>
      <c r="F2337" s="605" t="str">
        <f>IFERROR(__xludf.DUMMYFUNCTION("""COMPUTED_VALUE"""),"SENSE-AIR-Q1")</f>
        <v>SENSE-AIR-Q1</v>
      </c>
      <c r="G2337" s="605"/>
      <c r="H2337" s="605"/>
      <c r="I2337" s="605"/>
      <c r="J2337" s="606"/>
      <c r="K2337" s="605"/>
      <c r="L2337" s="605"/>
      <c r="M2337" s="605"/>
      <c r="N2337" s="605"/>
      <c r="O2337" s="605"/>
      <c r="P2337" s="605" t="s">
        <v>3402</v>
      </c>
    </row>
    <row r="2338">
      <c r="A2338" s="605"/>
      <c r="B2338" s="605"/>
      <c r="C2338" s="605"/>
      <c r="D2338" s="605"/>
      <c r="E2338" s="605" t="str">
        <f>IFERROR(__xludf.DUMMYFUNCTION("""COMPUTED_VALUE"""),"PIONEER")</f>
        <v>PIONEER</v>
      </c>
      <c r="F2338" s="605" t="str">
        <f>IFERROR(__xludf.DUMMYFUNCTION("""COMPUTED_VALUE"""),"PLE55FZP2")</f>
        <v>PLE55FZP2</v>
      </c>
      <c r="G2338" s="605"/>
      <c r="H2338" s="605"/>
      <c r="I2338" s="605"/>
      <c r="J2338" s="606"/>
      <c r="K2338" s="605"/>
      <c r="L2338" s="605"/>
      <c r="M2338" s="605"/>
      <c r="N2338" s="605"/>
      <c r="O2338" s="605"/>
      <c r="P2338" s="605" t="s">
        <v>7745</v>
      </c>
    </row>
    <row r="2339">
      <c r="A2339" s="605"/>
      <c r="B2339" s="605"/>
      <c r="C2339" s="605"/>
      <c r="D2339" s="605"/>
      <c r="E2339" s="605" t="str">
        <f>IFERROR(__xludf.DUMMYFUNCTION("""COMPUTED_VALUE"""),"PLANAR")</f>
        <v>PLANAR</v>
      </c>
      <c r="F2339" s="605" t="str">
        <f>IFERROR(__xludf.DUMMYFUNCTION("""COMPUTED_VALUE"""),"CHROME")</f>
        <v>CHROME</v>
      </c>
      <c r="G2339" s="605"/>
      <c r="H2339" s="605"/>
      <c r="I2339" s="605"/>
      <c r="J2339" s="606"/>
      <c r="K2339" s="605"/>
      <c r="L2339" s="605"/>
      <c r="M2339" s="605"/>
      <c r="N2339" s="605"/>
      <c r="O2339" s="605"/>
      <c r="P2339" s="605" t="s">
        <v>7747</v>
      </c>
    </row>
    <row r="2340">
      <c r="A2340" s="605"/>
      <c r="B2340" s="605"/>
      <c r="C2340" s="605"/>
      <c r="D2340" s="605"/>
      <c r="E2340" s="605" t="str">
        <f>IFERROR(__xludf.DUMMYFUNCTION("""COMPUTED_VALUE"""),"PLANAR")</f>
        <v>PLANAR</v>
      </c>
      <c r="F2340" s="605" t="str">
        <f>IFERROR(__xludf.DUMMYFUNCTION("""COMPUTED_VALUE"""),"PCT2235")</f>
        <v>PCT2235</v>
      </c>
      <c r="G2340" s="605"/>
      <c r="H2340" s="605"/>
      <c r="I2340" s="605"/>
      <c r="J2340" s="606"/>
      <c r="K2340" s="605"/>
      <c r="L2340" s="605"/>
      <c r="M2340" s="605"/>
      <c r="N2340" s="605"/>
      <c r="O2340" s="605"/>
      <c r="P2340" s="605" t="s">
        <v>7749</v>
      </c>
    </row>
    <row r="2341">
      <c r="A2341" s="605"/>
      <c r="B2341" s="605"/>
      <c r="C2341" s="605"/>
      <c r="D2341" s="605"/>
      <c r="E2341" s="605" t="str">
        <f>IFERROR(__xludf.DUMMYFUNCTION("""COMPUTED_VALUE"""),"PLANET")</f>
        <v>PLANET</v>
      </c>
      <c r="F2341" s="605" t="str">
        <f>IFERROR(__xludf.DUMMYFUNCTION("""COMPUTED_VALUE"""),"FSD-503")</f>
        <v>FSD-503</v>
      </c>
      <c r="G2341" s="605"/>
      <c r="H2341" s="605"/>
      <c r="I2341" s="605"/>
      <c r="J2341" s="606"/>
      <c r="K2341" s="605"/>
      <c r="L2341" s="605"/>
      <c r="M2341" s="605"/>
      <c r="N2341" s="605"/>
      <c r="O2341" s="605"/>
      <c r="P2341" s="605" t="s">
        <v>7751</v>
      </c>
    </row>
    <row r="2342">
      <c r="A2342" s="605"/>
      <c r="B2342" s="605"/>
      <c r="C2342" s="605"/>
      <c r="D2342" s="605"/>
      <c r="E2342" s="605" t="str">
        <f>IFERROR(__xludf.DUMMYFUNCTION("""COMPUTED_VALUE"""),"PLANET")</f>
        <v>PLANET</v>
      </c>
      <c r="F2342" s="605" t="str">
        <f>IFERROR(__xludf.DUMMYFUNCTION("""COMPUTED_VALUE"""),"FSD-803")</f>
        <v>FSD-803</v>
      </c>
      <c r="G2342" s="605"/>
      <c r="H2342" s="605"/>
      <c r="I2342" s="605"/>
      <c r="J2342" s="606"/>
      <c r="K2342" s="605"/>
      <c r="L2342" s="605"/>
      <c r="M2342" s="605"/>
      <c r="N2342" s="605"/>
      <c r="O2342" s="605"/>
      <c r="P2342" s="605" t="s">
        <v>7753</v>
      </c>
    </row>
    <row r="2343">
      <c r="A2343" s="605"/>
      <c r="B2343" s="605"/>
      <c r="C2343" s="605"/>
      <c r="D2343" s="605"/>
      <c r="E2343" s="605" t="str">
        <f>IFERROR(__xludf.DUMMYFUNCTION("""COMPUTED_VALUE"""),"PLANET")</f>
        <v>PLANET</v>
      </c>
      <c r="F2343" s="605" t="str">
        <f>IFERROR(__xludf.DUMMYFUNCTION("""COMPUTED_VALUE"""),"FSD-803")</f>
        <v>FSD-803</v>
      </c>
      <c r="G2343" s="605"/>
      <c r="H2343" s="605"/>
      <c r="I2343" s="605"/>
      <c r="J2343" s="606"/>
      <c r="K2343" s="605"/>
      <c r="L2343" s="605"/>
      <c r="M2343" s="605"/>
      <c r="N2343" s="605"/>
      <c r="O2343" s="605"/>
      <c r="P2343" s="605" t="s">
        <v>7755</v>
      </c>
    </row>
    <row r="2344">
      <c r="A2344" s="605"/>
      <c r="B2344" s="605"/>
      <c r="C2344" s="605"/>
      <c r="D2344" s="605"/>
      <c r="E2344" s="605" t="str">
        <f>IFERROR(__xludf.DUMMYFUNCTION("""COMPUTED_VALUE"""),"PLANET")</f>
        <v>PLANET</v>
      </c>
      <c r="F2344" s="605" t="str">
        <f>IFERROR(__xludf.DUMMYFUNCTION("""COMPUTED_VALUE"""),"GSD-1603")</f>
        <v>GSD-1603</v>
      </c>
      <c r="G2344" s="605"/>
      <c r="H2344" s="605"/>
      <c r="I2344" s="605"/>
      <c r="J2344" s="606"/>
      <c r="K2344" s="605"/>
      <c r="L2344" s="605"/>
      <c r="M2344" s="605"/>
      <c r="N2344" s="605"/>
      <c r="O2344" s="605"/>
      <c r="P2344" s="605" t="s">
        <v>7757</v>
      </c>
    </row>
    <row r="2345">
      <c r="A2345" s="605"/>
      <c r="B2345" s="605"/>
      <c r="C2345" s="605"/>
      <c r="D2345" s="605"/>
      <c r="E2345" s="605" t="str">
        <f>IFERROR(__xludf.DUMMYFUNCTION("""COMPUTED_VALUE"""),"PLANET")</f>
        <v>PLANET</v>
      </c>
      <c r="F2345" s="605" t="str">
        <f>IFERROR(__xludf.DUMMYFUNCTION("""COMPUTED_VALUE"""),"GSD-803")</f>
        <v>GSD-803</v>
      </c>
      <c r="G2345" s="605"/>
      <c r="H2345" s="605"/>
      <c r="I2345" s="605"/>
      <c r="J2345" s="606"/>
      <c r="K2345" s="605"/>
      <c r="L2345" s="605"/>
      <c r="M2345" s="605"/>
      <c r="N2345" s="605"/>
      <c r="O2345" s="605"/>
      <c r="P2345" s="605" t="s">
        <v>7759</v>
      </c>
    </row>
    <row r="2346">
      <c r="A2346" s="605"/>
      <c r="B2346" s="605"/>
      <c r="C2346" s="605"/>
      <c r="D2346" s="605"/>
      <c r="E2346" s="605" t="str">
        <f>IFERROR(__xludf.DUMMYFUNCTION("""COMPUTED_VALUE"""),"PLANET")</f>
        <v>PLANET</v>
      </c>
      <c r="F2346" s="605" t="str">
        <f>IFERROR(__xludf.DUMMYFUNCTION("""COMPUTED_VALUE"""),"SW-804")</f>
        <v>SW-804</v>
      </c>
      <c r="G2346" s="605"/>
      <c r="H2346" s="605"/>
      <c r="I2346" s="605"/>
      <c r="J2346" s="606"/>
      <c r="K2346" s="605"/>
      <c r="L2346" s="605"/>
      <c r="M2346" s="605"/>
      <c r="N2346" s="605"/>
      <c r="O2346" s="605"/>
      <c r="P2346" s="605" t="s">
        <v>7761</v>
      </c>
    </row>
    <row r="2347">
      <c r="A2347" s="605"/>
      <c r="B2347" s="605"/>
      <c r="C2347" s="605"/>
      <c r="D2347" s="605"/>
      <c r="E2347" s="605" t="str">
        <f>IFERROR(__xludf.DUMMYFUNCTION("""COMPUTED_VALUE"""),"PLANET")</f>
        <v>PLANET</v>
      </c>
      <c r="F2347" s="605" t="str">
        <f>IFERROR(__xludf.DUMMYFUNCTION("""COMPUTED_VALUE"""),"SW-804")</f>
        <v>SW-804</v>
      </c>
      <c r="G2347" s="605"/>
      <c r="H2347" s="605"/>
      <c r="I2347" s="605"/>
      <c r="J2347" s="606"/>
      <c r="K2347" s="605"/>
      <c r="L2347" s="605"/>
      <c r="M2347" s="605"/>
      <c r="N2347" s="605"/>
      <c r="O2347" s="605"/>
      <c r="P2347" s="605" t="s">
        <v>7763</v>
      </c>
    </row>
    <row r="2348">
      <c r="A2348" s="605"/>
      <c r="B2348" s="605"/>
      <c r="C2348" s="605"/>
      <c r="D2348" s="605"/>
      <c r="E2348" s="605" t="str">
        <f>IFERROR(__xludf.DUMMYFUNCTION("""COMPUTED_VALUE"""),"PLANET")</f>
        <v>PLANET</v>
      </c>
      <c r="F2348" s="605" t="str">
        <f>IFERROR(__xludf.DUMMYFUNCTION("""COMPUTED_VALUE"""),"MEDIA CONVERTER")</f>
        <v>MEDIA CONVERTER</v>
      </c>
      <c r="G2348" s="605"/>
      <c r="H2348" s="605"/>
      <c r="I2348" s="605"/>
      <c r="J2348" s="606"/>
      <c r="K2348" s="605"/>
      <c r="L2348" s="605"/>
      <c r="M2348" s="605"/>
      <c r="N2348" s="605"/>
      <c r="O2348" s="605"/>
      <c r="P2348" s="605" t="s">
        <v>3405</v>
      </c>
    </row>
    <row r="2349">
      <c r="A2349" s="605"/>
      <c r="B2349" s="605"/>
      <c r="C2349" s="605"/>
      <c r="D2349" s="605"/>
      <c r="E2349" s="605" t="str">
        <f>IFERROR(__xludf.DUMMYFUNCTION("""COMPUTED_VALUE"""),"PLANET")</f>
        <v>PLANET</v>
      </c>
      <c r="F2349" s="605" t="str">
        <f>IFERROR(__xludf.DUMMYFUNCTION("""COMPUTED_VALUE"""),"POE-162S")</f>
        <v>POE-162S</v>
      </c>
      <c r="G2349" s="605"/>
      <c r="H2349" s="605"/>
      <c r="I2349" s="605"/>
      <c r="J2349" s="606"/>
      <c r="K2349" s="605"/>
      <c r="L2349" s="605"/>
      <c r="M2349" s="605"/>
      <c r="N2349" s="605"/>
      <c r="O2349" s="605"/>
      <c r="P2349" s="605" t="s">
        <v>7765</v>
      </c>
    </row>
    <row r="2350">
      <c r="A2350" s="605"/>
      <c r="B2350" s="605"/>
      <c r="C2350" s="605"/>
      <c r="D2350" s="605"/>
      <c r="E2350" s="605" t="str">
        <f>IFERROR(__xludf.DUMMYFUNCTION("""COMPUTED_VALUE"""),"PLATHOME")</f>
        <v>PLATHOME</v>
      </c>
      <c r="F2350" s="605" t="str">
        <f>IFERROR(__xludf.DUMMYFUNCTION("""COMPUTED_VALUE"""),"OPENBLOCKS AX3")</f>
        <v>OPENBLOCKS AX3</v>
      </c>
      <c r="G2350" s="605"/>
      <c r="H2350" s="605"/>
      <c r="I2350" s="605"/>
      <c r="J2350" s="606"/>
      <c r="K2350" s="605"/>
      <c r="L2350" s="605"/>
      <c r="M2350" s="605"/>
      <c r="N2350" s="605"/>
      <c r="O2350" s="605"/>
      <c r="P2350" s="605" t="s">
        <v>7767</v>
      </c>
    </row>
    <row r="2351">
      <c r="A2351" s="605"/>
      <c r="B2351" s="605"/>
      <c r="C2351" s="605"/>
      <c r="D2351" s="605"/>
      <c r="E2351" s="605" t="str">
        <f>IFERROR(__xludf.DUMMYFUNCTION("""COMPUTED_VALUE"""),"PLCOME")</f>
        <v>PLCOME</v>
      </c>
      <c r="F2351" s="605" t="str">
        <f>IFERROR(__xludf.DUMMYFUNCTION("""COMPUTED_VALUE"""),"HJ-422/485/232S33OC")</f>
        <v>HJ-422/485/232S33OC</v>
      </c>
      <c r="G2351" s="605"/>
      <c r="H2351" s="605"/>
      <c r="I2351" s="605"/>
      <c r="J2351" s="606"/>
      <c r="K2351" s="605"/>
      <c r="L2351" s="605"/>
      <c r="M2351" s="605"/>
      <c r="N2351" s="605"/>
      <c r="O2351" s="605"/>
      <c r="P2351" s="605" t="s">
        <v>7769</v>
      </c>
    </row>
    <row r="2352">
      <c r="A2352" s="605"/>
      <c r="B2352" s="605"/>
      <c r="C2352" s="605"/>
      <c r="D2352" s="605"/>
      <c r="E2352" s="605" t="str">
        <f>IFERROR(__xludf.DUMMYFUNCTION("""COMPUTED_VALUE"""),"POWER KNOT")</f>
        <v>POWER KNOT</v>
      </c>
      <c r="F2352" s="605" t="str">
        <f>IFERROR(__xludf.DUMMYFUNCTION("""COMPUTED_VALUE"""),"LFC-300")</f>
        <v>LFC-300</v>
      </c>
      <c r="G2352" s="605"/>
      <c r="H2352" s="605"/>
      <c r="I2352" s="605"/>
      <c r="J2352" s="606"/>
      <c r="K2352" s="605"/>
      <c r="L2352" s="605"/>
      <c r="M2352" s="605"/>
      <c r="N2352" s="605"/>
      <c r="O2352" s="605"/>
      <c r="P2352" s="605" t="s">
        <v>7771</v>
      </c>
    </row>
    <row r="2353">
      <c r="A2353" s="605"/>
      <c r="B2353" s="605"/>
      <c r="C2353" s="605"/>
      <c r="D2353" s="605"/>
      <c r="E2353" s="605" t="str">
        <f>IFERROR(__xludf.DUMMYFUNCTION("""COMPUTED_VALUE"""),"POWERSMITHS")</f>
        <v>POWERSMITHS</v>
      </c>
      <c r="F2353" s="605" t="str">
        <f>IFERROR(__xludf.DUMMYFUNCTION("""COMPUTED_VALUE"""),"E-SAVER OPAL")</f>
        <v>E-SAVER OPAL</v>
      </c>
      <c r="G2353" s="605"/>
      <c r="H2353" s="605"/>
      <c r="I2353" s="605"/>
      <c r="J2353" s="606"/>
      <c r="K2353" s="605"/>
      <c r="L2353" s="605"/>
      <c r="M2353" s="605"/>
      <c r="N2353" s="605"/>
      <c r="O2353" s="605"/>
      <c r="P2353" s="605" t="s">
        <v>7773</v>
      </c>
    </row>
    <row r="2354">
      <c r="A2354" s="605"/>
      <c r="B2354" s="605"/>
      <c r="C2354" s="605"/>
      <c r="D2354" s="605"/>
      <c r="E2354" s="605" t="str">
        <f>IFERROR(__xludf.DUMMYFUNCTION("""COMPUTED_VALUE"""),"POWERSMITHS")</f>
        <v>POWERSMITHS</v>
      </c>
      <c r="F2354" s="605" t="str">
        <f>IFERROR(__xludf.DUMMYFUNCTION("""COMPUTED_VALUE"""),"E-SAVER OPAL-R")</f>
        <v>E-SAVER OPAL-R</v>
      </c>
      <c r="G2354" s="605"/>
      <c r="H2354" s="605"/>
      <c r="I2354" s="605"/>
      <c r="J2354" s="606"/>
      <c r="K2354" s="605"/>
      <c r="L2354" s="605"/>
      <c r="M2354" s="605"/>
      <c r="N2354" s="605"/>
      <c r="O2354" s="605"/>
      <c r="P2354" s="605" t="s">
        <v>7775</v>
      </c>
    </row>
    <row r="2355">
      <c r="A2355" s="605"/>
      <c r="B2355" s="605"/>
      <c r="C2355" s="605"/>
      <c r="D2355" s="605"/>
      <c r="E2355" s="605" t="str">
        <f>IFERROR(__xludf.DUMMYFUNCTION("""COMPUTED_VALUE"""),"POWOGAZ")</f>
        <v>POWOGAZ</v>
      </c>
      <c r="F2355" s="605" t="str">
        <f>IFERROR(__xludf.DUMMYFUNCTION("""COMPUTED_VALUE"""),"JS02")</f>
        <v>JS02</v>
      </c>
      <c r="G2355" s="605"/>
      <c r="H2355" s="605"/>
      <c r="I2355" s="605"/>
      <c r="J2355" s="606"/>
      <c r="K2355" s="605"/>
      <c r="L2355" s="605"/>
      <c r="M2355" s="605"/>
      <c r="N2355" s="605"/>
      <c r="O2355" s="605"/>
      <c r="P2355" s="605" t="s">
        <v>7777</v>
      </c>
    </row>
    <row r="2356">
      <c r="A2356" s="605"/>
      <c r="B2356" s="605"/>
      <c r="C2356" s="605"/>
      <c r="D2356" s="605"/>
      <c r="E2356" s="605" t="str">
        <f>IFERROR(__xludf.DUMMYFUNCTION("""COMPUTED_VALUE"""),"POWOGAZ")</f>
        <v>POWOGAZ</v>
      </c>
      <c r="F2356" s="605" t="str">
        <f>IFERROR(__xludf.DUMMYFUNCTION("""COMPUTED_VALUE"""),"JS02")</f>
        <v>JS02</v>
      </c>
      <c r="G2356" s="605"/>
      <c r="H2356" s="605"/>
      <c r="I2356" s="605"/>
      <c r="J2356" s="606"/>
      <c r="K2356" s="605"/>
      <c r="L2356" s="605"/>
      <c r="M2356" s="605"/>
      <c r="N2356" s="605"/>
      <c r="O2356" s="605"/>
      <c r="P2356" s="605" t="s">
        <v>7779</v>
      </c>
    </row>
    <row r="2357">
      <c r="A2357" s="605"/>
      <c r="B2357" s="605"/>
      <c r="C2357" s="605"/>
      <c r="D2357" s="605"/>
      <c r="E2357" s="605" t="str">
        <f>IFERROR(__xludf.DUMMYFUNCTION("""COMPUTED_VALUE"""),"PRANA AIR")</f>
        <v>PRANA AIR</v>
      </c>
      <c r="F2357" s="605" t="str">
        <f>IFERROR(__xludf.DUMMYFUNCTION("""COMPUTED_VALUE"""),"SQUAIR MONITOR")</f>
        <v>SQUAIR MONITOR</v>
      </c>
      <c r="G2357" s="605"/>
      <c r="H2357" s="605"/>
      <c r="I2357" s="605"/>
      <c r="J2357" s="606"/>
      <c r="K2357" s="605"/>
      <c r="L2357" s="605"/>
      <c r="M2357" s="605"/>
      <c r="N2357" s="605"/>
      <c r="O2357" s="605"/>
      <c r="P2357" s="605" t="s">
        <v>7781</v>
      </c>
    </row>
    <row r="2358">
      <c r="A2358" s="605"/>
      <c r="B2358" s="605"/>
      <c r="C2358" s="605"/>
      <c r="D2358" s="605"/>
      <c r="E2358" s="605" t="str">
        <f>IFERROR(__xludf.DUMMYFUNCTION("""COMPUTED_VALUE"""),"PRECOR")</f>
        <v>PRECOR</v>
      </c>
      <c r="F2358" s="605" t="str">
        <f>IFERROR(__xludf.DUMMYFUNCTION("""COMPUTED_VALUE"""),"P-82")</f>
        <v>P-82</v>
      </c>
      <c r="G2358" s="605"/>
      <c r="H2358" s="605"/>
      <c r="I2358" s="605"/>
      <c r="J2358" s="606"/>
      <c r="K2358" s="605"/>
      <c r="L2358" s="605"/>
      <c r="M2358" s="605"/>
      <c r="N2358" s="605"/>
      <c r="O2358" s="605"/>
      <c r="P2358" s="605" t="s">
        <v>7783</v>
      </c>
    </row>
    <row r="2359">
      <c r="A2359" s="605"/>
      <c r="B2359" s="605"/>
      <c r="C2359" s="605"/>
      <c r="D2359" s="605"/>
      <c r="E2359" s="605" t="str">
        <f>IFERROR(__xludf.DUMMYFUNCTION("""COMPUTED_VALUE"""),"PRECOR")</f>
        <v>PRECOR</v>
      </c>
      <c r="F2359" s="605" t="str">
        <f>IFERROR(__xludf.DUMMYFUNCTION("""COMPUTED_VALUE"""),"AMT")</f>
        <v>AMT</v>
      </c>
      <c r="G2359" s="605"/>
      <c r="H2359" s="605"/>
      <c r="I2359" s="605"/>
      <c r="J2359" s="606"/>
      <c r="K2359" s="605"/>
      <c r="L2359" s="605"/>
      <c r="M2359" s="605"/>
      <c r="N2359" s="605"/>
      <c r="O2359" s="605"/>
      <c r="P2359" s="605" t="s">
        <v>3408</v>
      </c>
    </row>
    <row r="2360">
      <c r="A2360" s="605"/>
      <c r="B2360" s="605"/>
      <c r="C2360" s="605"/>
      <c r="D2360" s="605"/>
      <c r="E2360" s="605" t="str">
        <f>IFERROR(__xludf.DUMMYFUNCTION("""COMPUTED_VALUE"""),"PRECOR")</f>
        <v>PRECOR</v>
      </c>
      <c r="F2360" s="605" t="str">
        <f>IFERROR(__xludf.DUMMYFUNCTION("""COMPUTED_VALUE"""),"AMT")</f>
        <v>AMT</v>
      </c>
      <c r="G2360" s="605"/>
      <c r="H2360" s="605"/>
      <c r="I2360" s="605"/>
      <c r="J2360" s="606"/>
      <c r="K2360" s="605"/>
      <c r="L2360" s="605"/>
      <c r="M2360" s="605"/>
      <c r="N2360" s="605"/>
      <c r="O2360" s="605"/>
      <c r="P2360" s="605" t="s">
        <v>7785</v>
      </c>
    </row>
    <row r="2361">
      <c r="A2361" s="605"/>
      <c r="B2361" s="605"/>
      <c r="C2361" s="605"/>
      <c r="D2361" s="605"/>
      <c r="E2361" s="605" t="str">
        <f>IFERROR(__xludf.DUMMYFUNCTION("""COMPUTED_VALUE"""),"PRECOR")</f>
        <v>PRECOR</v>
      </c>
      <c r="F2361" s="605" t="str">
        <f>IFERROR(__xludf.DUMMYFUNCTION("""COMPUTED_VALUE"""),"AMT 800")</f>
        <v>AMT 800</v>
      </c>
      <c r="G2361" s="605"/>
      <c r="H2361" s="605"/>
      <c r="I2361" s="605"/>
      <c r="J2361" s="606"/>
      <c r="K2361" s="605"/>
      <c r="L2361" s="605"/>
      <c r="M2361" s="605"/>
      <c r="N2361" s="605"/>
      <c r="O2361" s="605"/>
      <c r="P2361" s="605" t="s">
        <v>7787</v>
      </c>
    </row>
    <row r="2362">
      <c r="A2362" s="605"/>
      <c r="B2362" s="605"/>
      <c r="C2362" s="605"/>
      <c r="D2362" s="605"/>
      <c r="E2362" s="605" t="str">
        <f>IFERROR(__xludf.DUMMYFUNCTION("""COMPUTED_VALUE"""),"PRECOR")</f>
        <v>PRECOR</v>
      </c>
      <c r="F2362" s="605" t="str">
        <f>IFERROR(__xludf.DUMMYFUNCTION("""COMPUTED_VALUE"""),"AMT-885")</f>
        <v>AMT-885</v>
      </c>
      <c r="G2362" s="605"/>
      <c r="H2362" s="605"/>
      <c r="I2362" s="605"/>
      <c r="J2362" s="606"/>
      <c r="K2362" s="605"/>
      <c r="L2362" s="605"/>
      <c r="M2362" s="605"/>
      <c r="N2362" s="605"/>
      <c r="O2362" s="605"/>
      <c r="P2362" s="605" t="s">
        <v>7789</v>
      </c>
    </row>
    <row r="2363">
      <c r="A2363" s="605"/>
      <c r="B2363" s="605"/>
      <c r="C2363" s="605"/>
      <c r="D2363" s="605"/>
      <c r="E2363" s="605" t="str">
        <f>IFERROR(__xludf.DUMMYFUNCTION("""COMPUTED_VALUE"""),"PRECOR")</f>
        <v>PRECOR</v>
      </c>
      <c r="F2363" s="605" t="str">
        <f>IFERROR(__xludf.DUMMYFUNCTION("""COMPUTED_VALUE"""),"AMT-12")</f>
        <v>AMT-12</v>
      </c>
      <c r="G2363" s="605"/>
      <c r="H2363" s="605"/>
      <c r="I2363" s="605"/>
      <c r="J2363" s="606"/>
      <c r="K2363" s="605"/>
      <c r="L2363" s="605"/>
      <c r="M2363" s="605"/>
      <c r="N2363" s="605"/>
      <c r="O2363" s="605"/>
      <c r="P2363" s="605" t="s">
        <v>7791</v>
      </c>
    </row>
    <row r="2364">
      <c r="A2364" s="605"/>
      <c r="B2364" s="605"/>
      <c r="C2364" s="605"/>
      <c r="D2364" s="605"/>
      <c r="E2364" s="605" t="str">
        <f>IFERROR(__xludf.DUMMYFUNCTION("""COMPUTED_VALUE"""),"PRECOR")</f>
        <v>PRECOR</v>
      </c>
      <c r="F2364" s="605" t="str">
        <f>IFERROR(__xludf.DUMMYFUNCTION("""COMPUTED_VALUE"""),"AMT-885")</f>
        <v>AMT-885</v>
      </c>
      <c r="G2364" s="605"/>
      <c r="H2364" s="605"/>
      <c r="I2364" s="605"/>
      <c r="J2364" s="606"/>
      <c r="K2364" s="605"/>
      <c r="L2364" s="605"/>
      <c r="M2364" s="605"/>
      <c r="N2364" s="605"/>
      <c r="O2364" s="605"/>
      <c r="P2364" s="605" t="s">
        <v>7793</v>
      </c>
    </row>
    <row r="2365">
      <c r="A2365" s="605"/>
      <c r="B2365" s="605"/>
      <c r="C2365" s="605"/>
      <c r="D2365" s="605"/>
      <c r="E2365" s="605" t="str">
        <f>IFERROR(__xludf.DUMMYFUNCTION("""COMPUTED_VALUE"""),"PRECOR")</f>
        <v>PRECOR</v>
      </c>
      <c r="F2365" s="605" t="str">
        <f>IFERROR(__xludf.DUMMYFUNCTION("""COMPUTED_VALUE"""),"AMT-885")</f>
        <v>AMT-885</v>
      </c>
      <c r="G2365" s="605"/>
      <c r="H2365" s="605"/>
      <c r="I2365" s="605"/>
      <c r="J2365" s="606"/>
      <c r="K2365" s="605"/>
      <c r="L2365" s="605"/>
      <c r="M2365" s="605"/>
      <c r="N2365" s="605"/>
      <c r="O2365" s="605"/>
      <c r="P2365" s="605" t="s">
        <v>7795</v>
      </c>
    </row>
    <row r="2366">
      <c r="A2366" s="605"/>
      <c r="B2366" s="605"/>
      <c r="C2366" s="605"/>
      <c r="D2366" s="605"/>
      <c r="E2366" s="605" t="str">
        <f>IFERROR(__xludf.DUMMYFUNCTION("""COMPUTED_VALUE"""),"PRECOR")</f>
        <v>PRECOR</v>
      </c>
      <c r="F2366" s="605" t="str">
        <f>IFERROR(__xludf.DUMMYFUNCTION("""COMPUTED_VALUE"""),"AMT-885")</f>
        <v>AMT-885</v>
      </c>
      <c r="G2366" s="605"/>
      <c r="H2366" s="605"/>
      <c r="I2366" s="605"/>
      <c r="J2366" s="606"/>
      <c r="K2366" s="605"/>
      <c r="L2366" s="605"/>
      <c r="M2366" s="605"/>
      <c r="N2366" s="605"/>
      <c r="O2366" s="605"/>
      <c r="P2366" s="605" t="s">
        <v>7797</v>
      </c>
    </row>
    <row r="2367">
      <c r="A2367" s="605"/>
      <c r="B2367" s="605"/>
      <c r="C2367" s="605"/>
      <c r="D2367" s="605"/>
      <c r="E2367" s="605" t="str">
        <f>IFERROR(__xludf.DUMMYFUNCTION("""COMPUTED_VALUE"""),"PRECOR")</f>
        <v>PRECOR</v>
      </c>
      <c r="F2367" s="605" t="str">
        <f>IFERROR(__xludf.DUMMYFUNCTION("""COMPUTED_VALUE"""),"EFX")</f>
        <v>EFX</v>
      </c>
      <c r="G2367" s="605"/>
      <c r="H2367" s="605"/>
      <c r="I2367" s="605"/>
      <c r="J2367" s="606"/>
      <c r="K2367" s="605"/>
      <c r="L2367" s="605"/>
      <c r="M2367" s="605"/>
      <c r="N2367" s="605"/>
      <c r="O2367" s="605"/>
      <c r="P2367" s="605" t="s">
        <v>7799</v>
      </c>
    </row>
    <row r="2368">
      <c r="A2368" s="605"/>
      <c r="B2368" s="605"/>
      <c r="C2368" s="605"/>
      <c r="D2368" s="605"/>
      <c r="E2368" s="605" t="str">
        <f>IFERROR(__xludf.DUMMYFUNCTION("""COMPUTED_VALUE"""),"PRECOR")</f>
        <v>PRECOR</v>
      </c>
      <c r="F2368" s="605" t="str">
        <f>IFERROR(__xludf.DUMMYFUNCTION("""COMPUTED_VALUE"""),"EFX")</f>
        <v>EFX</v>
      </c>
      <c r="G2368" s="605"/>
      <c r="H2368" s="605"/>
      <c r="I2368" s="605"/>
      <c r="J2368" s="606"/>
      <c r="K2368" s="605"/>
      <c r="L2368" s="605"/>
      <c r="M2368" s="605"/>
      <c r="N2368" s="605"/>
      <c r="O2368" s="605"/>
      <c r="P2368" s="605" t="s">
        <v>7801</v>
      </c>
    </row>
    <row r="2369">
      <c r="A2369" s="605"/>
      <c r="B2369" s="605"/>
      <c r="C2369" s="605"/>
      <c r="D2369" s="605"/>
      <c r="E2369" s="605" t="str">
        <f>IFERROR(__xludf.DUMMYFUNCTION("""COMPUTED_VALUE"""),"PRECOR")</f>
        <v>PRECOR</v>
      </c>
      <c r="F2369" s="605" t="str">
        <f>IFERROR(__xludf.DUMMYFUNCTION("""COMPUTED_VALUE"""),"EFX 865")</f>
        <v>EFX 865</v>
      </c>
      <c r="G2369" s="605"/>
      <c r="H2369" s="605"/>
      <c r="I2369" s="605"/>
      <c r="J2369" s="606"/>
      <c r="K2369" s="605"/>
      <c r="L2369" s="605"/>
      <c r="M2369" s="605"/>
      <c r="N2369" s="605"/>
      <c r="O2369" s="605"/>
      <c r="P2369" s="605" t="s">
        <v>7803</v>
      </c>
    </row>
    <row r="2370">
      <c r="A2370" s="605"/>
      <c r="B2370" s="605"/>
      <c r="C2370" s="605"/>
      <c r="D2370" s="605"/>
      <c r="E2370" s="605" t="str">
        <f>IFERROR(__xludf.DUMMYFUNCTION("""COMPUTED_VALUE"""),"PRECOR")</f>
        <v>PRECOR</v>
      </c>
      <c r="F2370" s="605" t="str">
        <f>IFERROR(__xludf.DUMMYFUNCTION("""COMPUTED_VALUE"""),"EFX 885")</f>
        <v>EFX 885</v>
      </c>
      <c r="G2370" s="605"/>
      <c r="H2370" s="605"/>
      <c r="I2370" s="605"/>
      <c r="J2370" s="606"/>
      <c r="K2370" s="605"/>
      <c r="L2370" s="605"/>
      <c r="M2370" s="605"/>
      <c r="N2370" s="605"/>
      <c r="O2370" s="605"/>
      <c r="P2370" s="605" t="s">
        <v>3411</v>
      </c>
    </row>
    <row r="2371">
      <c r="A2371" s="605"/>
      <c r="B2371" s="605"/>
      <c r="C2371" s="605"/>
      <c r="D2371" s="605"/>
      <c r="E2371" s="605" t="str">
        <f>IFERROR(__xludf.DUMMYFUNCTION("""COMPUTED_VALUE"""),"PRECOR")</f>
        <v>PRECOR</v>
      </c>
      <c r="F2371" s="605" t="str">
        <f>IFERROR(__xludf.DUMMYFUNCTION("""COMPUTED_VALUE"""),"EFX CROSSRAMP")</f>
        <v>EFX CROSSRAMP</v>
      </c>
      <c r="G2371" s="605"/>
      <c r="H2371" s="605"/>
      <c r="I2371" s="605"/>
      <c r="J2371" s="606"/>
      <c r="K2371" s="605"/>
      <c r="L2371" s="605"/>
      <c r="M2371" s="605"/>
      <c r="N2371" s="605"/>
      <c r="O2371" s="605"/>
      <c r="P2371" s="605" t="s">
        <v>7805</v>
      </c>
    </row>
    <row r="2372">
      <c r="A2372" s="605"/>
      <c r="B2372" s="605"/>
      <c r="C2372" s="605"/>
      <c r="D2372" s="605"/>
      <c r="E2372" s="605" t="str">
        <f>IFERROR(__xludf.DUMMYFUNCTION("""COMPUTED_VALUE"""),"PRECOR")</f>
        <v>PRECOR</v>
      </c>
      <c r="F2372" s="605" t="str">
        <f>IFERROR(__xludf.DUMMYFUNCTION("""COMPUTED_VALUE"""),"EFX835")</f>
        <v>EFX835</v>
      </c>
      <c r="G2372" s="605"/>
      <c r="H2372" s="605"/>
      <c r="I2372" s="605"/>
      <c r="J2372" s="606"/>
      <c r="K2372" s="605"/>
      <c r="L2372" s="605"/>
      <c r="M2372" s="605"/>
      <c r="N2372" s="605"/>
      <c r="O2372" s="605"/>
      <c r="P2372" s="605" t="s">
        <v>7807</v>
      </c>
    </row>
    <row r="2373">
      <c r="A2373" s="605"/>
      <c r="B2373" s="605"/>
      <c r="C2373" s="605"/>
      <c r="D2373" s="605"/>
      <c r="E2373" s="605" t="str">
        <f>IFERROR(__xludf.DUMMYFUNCTION("""COMPUTED_VALUE"""),"PRECOR")</f>
        <v>PRECOR</v>
      </c>
      <c r="F2373" s="605" t="str">
        <f>IFERROR(__xludf.DUMMYFUNCTION("""COMPUTED_VALUE"""),"EFX 885")</f>
        <v>EFX 885</v>
      </c>
      <c r="G2373" s="605"/>
      <c r="H2373" s="605"/>
      <c r="I2373" s="605"/>
      <c r="J2373" s="606"/>
      <c r="K2373" s="605"/>
      <c r="L2373" s="605"/>
      <c r="M2373" s="605"/>
      <c r="N2373" s="605"/>
      <c r="O2373" s="605"/>
      <c r="P2373" s="605" t="s">
        <v>7809</v>
      </c>
    </row>
    <row r="2374">
      <c r="A2374" s="605"/>
      <c r="B2374" s="605"/>
      <c r="C2374" s="605"/>
      <c r="D2374" s="605"/>
      <c r="E2374" s="605" t="str">
        <f>IFERROR(__xludf.DUMMYFUNCTION("""COMPUTED_VALUE"""),"PRECOR")</f>
        <v>PRECOR</v>
      </c>
      <c r="F2374" s="605" t="str">
        <f>IFERROR(__xludf.DUMMYFUNCTION("""COMPUTED_VALUE"""),"EXERCISE BIKE")</f>
        <v>EXERCISE BIKE</v>
      </c>
      <c r="G2374" s="605"/>
      <c r="H2374" s="605"/>
      <c r="I2374" s="605"/>
      <c r="J2374" s="606"/>
      <c r="K2374" s="605"/>
      <c r="L2374" s="605"/>
      <c r="M2374" s="605"/>
      <c r="N2374" s="605"/>
      <c r="O2374" s="605"/>
      <c r="P2374" s="605" t="s">
        <v>7811</v>
      </c>
    </row>
    <row r="2375">
      <c r="A2375" s="605"/>
      <c r="B2375" s="605"/>
      <c r="C2375" s="605"/>
      <c r="D2375" s="605"/>
      <c r="E2375" s="605" t="str">
        <f>IFERROR(__xludf.DUMMYFUNCTION("""COMPUTED_VALUE"""),"PRECOR")</f>
        <v>PRECOR</v>
      </c>
      <c r="F2375" s="605" t="str">
        <f>IFERROR(__xludf.DUMMYFUNCTION("""COMPUTED_VALUE"""),"LEG EXTENSION")</f>
        <v>LEG EXTENSION</v>
      </c>
      <c r="G2375" s="605"/>
      <c r="H2375" s="605"/>
      <c r="I2375" s="605"/>
      <c r="J2375" s="606"/>
      <c r="K2375" s="605"/>
      <c r="L2375" s="605"/>
      <c r="M2375" s="605"/>
      <c r="N2375" s="605"/>
      <c r="O2375" s="605"/>
      <c r="P2375" s="605" t="s">
        <v>7813</v>
      </c>
    </row>
    <row r="2376">
      <c r="A2376" s="605"/>
      <c r="B2376" s="605"/>
      <c r="C2376" s="605"/>
      <c r="D2376" s="605"/>
      <c r="E2376" s="605" t="str">
        <f>IFERROR(__xludf.DUMMYFUNCTION("""COMPUTED_VALUE"""),"PRECOR")</f>
        <v>PRECOR</v>
      </c>
      <c r="F2376" s="605" t="str">
        <f>IFERROR(__xludf.DUMMYFUNCTION("""COMPUTED_VALUE"""),"N/A")</f>
        <v>N/A</v>
      </c>
      <c r="G2376" s="605"/>
      <c r="H2376" s="605"/>
      <c r="I2376" s="605"/>
      <c r="J2376" s="606"/>
      <c r="K2376" s="605"/>
      <c r="L2376" s="605"/>
      <c r="M2376" s="605"/>
      <c r="N2376" s="605"/>
      <c r="O2376" s="605"/>
      <c r="P2376" s="605" t="s">
        <v>7815</v>
      </c>
    </row>
    <row r="2377">
      <c r="A2377" s="605"/>
      <c r="B2377" s="605"/>
      <c r="C2377" s="605"/>
      <c r="D2377" s="605"/>
      <c r="E2377" s="605" t="str">
        <f>IFERROR(__xludf.DUMMYFUNCTION("""COMPUTED_VALUE"""),"PRECOR")</f>
        <v>PRECOR</v>
      </c>
      <c r="F2377" s="605" t="str">
        <f>IFERROR(__xludf.DUMMYFUNCTION("""COMPUTED_VALUE"""),"P80")</f>
        <v>P80</v>
      </c>
      <c r="G2377" s="605"/>
      <c r="H2377" s="605"/>
      <c r="I2377" s="605"/>
      <c r="J2377" s="606"/>
      <c r="K2377" s="605"/>
      <c r="L2377" s="605"/>
      <c r="M2377" s="605"/>
      <c r="N2377" s="605"/>
      <c r="O2377" s="605"/>
      <c r="P2377" s="605" t="s">
        <v>7817</v>
      </c>
    </row>
    <row r="2378">
      <c r="A2378" s="605"/>
      <c r="B2378" s="605"/>
      <c r="C2378" s="605"/>
      <c r="D2378" s="605"/>
      <c r="E2378" s="605" t="str">
        <f>IFERROR(__xludf.DUMMYFUNCTION("""COMPUTED_VALUE"""),"PRECOR")</f>
        <v>PRECOR</v>
      </c>
      <c r="F2378" s="605" t="str">
        <f>IFERROR(__xludf.DUMMYFUNCTION("""COMPUTED_VALUE"""),"P80")</f>
        <v>P80</v>
      </c>
      <c r="G2378" s="605"/>
      <c r="H2378" s="605"/>
      <c r="I2378" s="605"/>
      <c r="J2378" s="606"/>
      <c r="K2378" s="605"/>
      <c r="L2378" s="605"/>
      <c r="M2378" s="605"/>
      <c r="N2378" s="605"/>
      <c r="O2378" s="605"/>
      <c r="P2378" s="605" t="s">
        <v>7819</v>
      </c>
    </row>
    <row r="2379">
      <c r="A2379" s="605"/>
      <c r="B2379" s="605"/>
      <c r="C2379" s="605"/>
      <c r="D2379" s="605"/>
      <c r="E2379" s="605" t="str">
        <f>IFERROR(__xludf.DUMMYFUNCTION("""COMPUTED_VALUE"""),"PRECOR")</f>
        <v>PRECOR</v>
      </c>
      <c r="F2379" s="605" t="str">
        <f>IFERROR(__xludf.DUMMYFUNCTION("""COMPUTED_VALUE"""),"P80 TRM")</f>
        <v>P80 TRM</v>
      </c>
      <c r="G2379" s="605"/>
      <c r="H2379" s="605"/>
      <c r="I2379" s="605"/>
      <c r="J2379" s="606"/>
      <c r="K2379" s="605"/>
      <c r="L2379" s="605"/>
      <c r="M2379" s="605"/>
      <c r="N2379" s="605"/>
      <c r="O2379" s="605"/>
      <c r="P2379" s="605" t="s">
        <v>7821</v>
      </c>
    </row>
    <row r="2380">
      <c r="A2380" s="605"/>
      <c r="B2380" s="605"/>
      <c r="C2380" s="605"/>
      <c r="D2380" s="605"/>
      <c r="E2380" s="605" t="str">
        <f>IFERROR(__xludf.DUMMYFUNCTION("""COMPUTED_VALUE"""),"PRECOR")</f>
        <v>PRECOR</v>
      </c>
      <c r="F2380" s="605" t="str">
        <f>IFERROR(__xludf.DUMMYFUNCTION("""COMPUTED_VALUE"""),"P-82")</f>
        <v>P-82</v>
      </c>
      <c r="G2380" s="605"/>
      <c r="H2380" s="605"/>
      <c r="I2380" s="605"/>
      <c r="J2380" s="606"/>
      <c r="K2380" s="605"/>
      <c r="L2380" s="605"/>
      <c r="M2380" s="605"/>
      <c r="N2380" s="605"/>
      <c r="O2380" s="605"/>
      <c r="P2380" s="605" t="s">
        <v>7823</v>
      </c>
    </row>
    <row r="2381">
      <c r="A2381" s="605"/>
      <c r="B2381" s="605"/>
      <c r="C2381" s="605"/>
      <c r="D2381" s="605"/>
      <c r="E2381" s="605" t="str">
        <f>IFERROR(__xludf.DUMMYFUNCTION("""COMPUTED_VALUE"""),"PRECOR")</f>
        <v>PRECOR</v>
      </c>
      <c r="F2381" s="605" t="str">
        <f>IFERROR(__xludf.DUMMYFUNCTION("""COMPUTED_VALUE"""),"P-82")</f>
        <v>P-82</v>
      </c>
      <c r="G2381" s="605"/>
      <c r="H2381" s="605"/>
      <c r="I2381" s="605"/>
      <c r="J2381" s="606"/>
      <c r="K2381" s="605"/>
      <c r="L2381" s="605"/>
      <c r="M2381" s="605"/>
      <c r="N2381" s="605"/>
      <c r="O2381" s="605"/>
      <c r="P2381" s="605" t="s">
        <v>3414</v>
      </c>
    </row>
    <row r="2382">
      <c r="A2382" s="605"/>
      <c r="B2382" s="605"/>
      <c r="C2382" s="605"/>
      <c r="D2382" s="605"/>
      <c r="E2382" s="605" t="str">
        <f>IFERROR(__xludf.DUMMYFUNCTION("""COMPUTED_VALUE"""),"PRECOR")</f>
        <v>PRECOR</v>
      </c>
      <c r="F2382" s="605" t="str">
        <f>IFERROR(__xludf.DUMMYFUNCTION("""COMPUTED_VALUE"""),"RBK 885")</f>
        <v>RBK 885</v>
      </c>
      <c r="G2382" s="605"/>
      <c r="H2382" s="605"/>
      <c r="I2382" s="605"/>
      <c r="J2382" s="606"/>
      <c r="K2382" s="605"/>
      <c r="L2382" s="605"/>
      <c r="M2382" s="605"/>
      <c r="N2382" s="605"/>
      <c r="O2382" s="605"/>
      <c r="P2382" s="605" t="s">
        <v>7825</v>
      </c>
    </row>
    <row r="2383">
      <c r="A2383" s="605"/>
      <c r="B2383" s="605"/>
      <c r="C2383" s="605"/>
      <c r="D2383" s="605"/>
      <c r="E2383" s="605" t="str">
        <f>IFERROR(__xludf.DUMMYFUNCTION("""COMPUTED_VALUE"""),"PRECOR")</f>
        <v>PRECOR</v>
      </c>
      <c r="F2383" s="605" t="str">
        <f>IFERROR(__xludf.DUMMYFUNCTION("""COMPUTED_VALUE"""),"RBK 885")</f>
        <v>RBK 885</v>
      </c>
      <c r="G2383" s="605"/>
      <c r="H2383" s="605"/>
      <c r="I2383" s="605"/>
      <c r="J2383" s="606"/>
      <c r="K2383" s="605"/>
      <c r="L2383" s="605"/>
      <c r="M2383" s="605"/>
      <c r="N2383" s="605"/>
      <c r="O2383" s="605"/>
      <c r="P2383" s="605" t="s">
        <v>7827</v>
      </c>
    </row>
    <row r="2384">
      <c r="A2384" s="605"/>
      <c r="B2384" s="605"/>
      <c r="C2384" s="605"/>
      <c r="D2384" s="605"/>
      <c r="E2384" s="605" t="str">
        <f>IFERROR(__xludf.DUMMYFUNCTION("""COMPUTED_VALUE"""),"PRECOR")</f>
        <v>PRECOR</v>
      </c>
      <c r="F2384" s="605" t="str">
        <f>IFERROR(__xludf.DUMMYFUNCTION("""COMPUTED_VALUE"""),"RBK 885")</f>
        <v>RBK 885</v>
      </c>
      <c r="G2384" s="605"/>
      <c r="H2384" s="605"/>
      <c r="I2384" s="605"/>
      <c r="J2384" s="606"/>
      <c r="K2384" s="605"/>
      <c r="L2384" s="605"/>
      <c r="M2384" s="605"/>
      <c r="N2384" s="605"/>
      <c r="O2384" s="605"/>
      <c r="P2384" s="605" t="s">
        <v>7829</v>
      </c>
    </row>
    <row r="2385">
      <c r="A2385" s="605"/>
      <c r="B2385" s="605"/>
      <c r="C2385" s="605"/>
      <c r="D2385" s="605"/>
      <c r="E2385" s="605" t="str">
        <f>IFERROR(__xludf.DUMMYFUNCTION("""COMPUTED_VALUE"""),"PRECOR")</f>
        <v>PRECOR</v>
      </c>
      <c r="F2385" s="605" t="str">
        <f>IFERROR(__xludf.DUMMYFUNCTION("""COMPUTED_VALUE"""),"RBK 885")</f>
        <v>RBK 885</v>
      </c>
      <c r="G2385" s="605"/>
      <c r="H2385" s="605"/>
      <c r="I2385" s="605"/>
      <c r="J2385" s="606"/>
      <c r="K2385" s="605"/>
      <c r="L2385" s="605"/>
      <c r="M2385" s="605"/>
      <c r="N2385" s="605"/>
      <c r="O2385" s="605"/>
      <c r="P2385" s="605" t="s">
        <v>7831</v>
      </c>
    </row>
    <row r="2386">
      <c r="A2386" s="605"/>
      <c r="B2386" s="605"/>
      <c r="C2386" s="605"/>
      <c r="D2386" s="605"/>
      <c r="E2386" s="605" t="str">
        <f>IFERROR(__xludf.DUMMYFUNCTION("""COMPUTED_VALUE"""),"PRECOR")</f>
        <v>PRECOR</v>
      </c>
      <c r="F2386" s="605" t="str">
        <f>IFERROR(__xludf.DUMMYFUNCTION("""COMPUTED_VALUE"""),"STAIRCLIMBER")</f>
        <v>STAIRCLIMBER</v>
      </c>
      <c r="G2386" s="605"/>
      <c r="H2386" s="605"/>
      <c r="I2386" s="605"/>
      <c r="J2386" s="606"/>
      <c r="K2386" s="605"/>
      <c r="L2386" s="605"/>
      <c r="M2386" s="605"/>
      <c r="N2386" s="605"/>
      <c r="O2386" s="605"/>
      <c r="P2386" s="605" t="s">
        <v>7833</v>
      </c>
    </row>
    <row r="2387">
      <c r="A2387" s="605"/>
      <c r="B2387" s="605"/>
      <c r="C2387" s="605"/>
      <c r="D2387" s="605"/>
      <c r="E2387" s="605" t="str">
        <f>IFERROR(__xludf.DUMMYFUNCTION("""COMPUTED_VALUE"""),"PRECOR")</f>
        <v>PRECOR</v>
      </c>
      <c r="F2387" s="605" t="str">
        <f>IFERROR(__xludf.DUMMYFUNCTION("""COMPUTED_VALUE"""),"TRM")</f>
        <v>TRM</v>
      </c>
      <c r="G2387" s="605"/>
      <c r="H2387" s="605"/>
      <c r="I2387" s="605"/>
      <c r="J2387" s="606"/>
      <c r="K2387" s="605"/>
      <c r="L2387" s="605"/>
      <c r="M2387" s="605"/>
      <c r="N2387" s="605"/>
      <c r="O2387" s="605"/>
      <c r="P2387" s="605" t="s">
        <v>7835</v>
      </c>
    </row>
    <row r="2388">
      <c r="A2388" s="605"/>
      <c r="B2388" s="605"/>
      <c r="C2388" s="605"/>
      <c r="D2388" s="605"/>
      <c r="E2388" s="605" t="str">
        <f>IFERROR(__xludf.DUMMYFUNCTION("""COMPUTED_VALUE"""),"PRECOR")</f>
        <v>PRECOR</v>
      </c>
      <c r="F2388" s="605" t="str">
        <f>IFERROR(__xludf.DUMMYFUNCTION("""COMPUTED_VALUE"""),"TRM 800")</f>
        <v>TRM 800</v>
      </c>
      <c r="G2388" s="605"/>
      <c r="H2388" s="605"/>
      <c r="I2388" s="605"/>
      <c r="J2388" s="606"/>
      <c r="K2388" s="605"/>
      <c r="L2388" s="605"/>
      <c r="M2388" s="605"/>
      <c r="N2388" s="605"/>
      <c r="O2388" s="605"/>
      <c r="P2388" s="605" t="s">
        <v>7837</v>
      </c>
    </row>
    <row r="2389">
      <c r="A2389" s="605"/>
      <c r="B2389" s="605"/>
      <c r="C2389" s="605"/>
      <c r="D2389" s="605"/>
      <c r="E2389" s="605" t="str">
        <f>IFERROR(__xludf.DUMMYFUNCTION("""COMPUTED_VALUE"""),"PRECOR")</f>
        <v>PRECOR</v>
      </c>
      <c r="F2389" s="605" t="str">
        <f>IFERROR(__xludf.DUMMYFUNCTION("""COMPUTED_VALUE"""),"TRM 811/835/865/885")</f>
        <v>TRM 811/835/865/885</v>
      </c>
      <c r="G2389" s="605"/>
      <c r="H2389" s="605"/>
      <c r="I2389" s="605"/>
      <c r="J2389" s="606"/>
      <c r="K2389" s="605"/>
      <c r="L2389" s="605"/>
      <c r="M2389" s="605"/>
      <c r="N2389" s="605"/>
      <c r="O2389" s="605"/>
      <c r="P2389" s="605" t="s">
        <v>7839</v>
      </c>
    </row>
    <row r="2390">
      <c r="A2390" s="605"/>
      <c r="B2390" s="605"/>
      <c r="C2390" s="605"/>
      <c r="D2390" s="605"/>
      <c r="E2390" s="605" t="str">
        <f>IFERROR(__xludf.DUMMYFUNCTION("""COMPUTED_VALUE"""),"PRECOR")</f>
        <v>PRECOR</v>
      </c>
      <c r="F2390" s="605" t="str">
        <f>IFERROR(__xludf.DUMMYFUNCTION("""COMPUTED_VALUE"""),"TRM 811/835/885")</f>
        <v>TRM 811/835/885</v>
      </c>
      <c r="G2390" s="605"/>
      <c r="H2390" s="605"/>
      <c r="I2390" s="605"/>
      <c r="J2390" s="606"/>
      <c r="K2390" s="605"/>
      <c r="L2390" s="605"/>
      <c r="M2390" s="605"/>
      <c r="N2390" s="605"/>
      <c r="O2390" s="605"/>
      <c r="P2390" s="605" t="s">
        <v>7841</v>
      </c>
    </row>
    <row r="2391">
      <c r="A2391" s="605"/>
      <c r="B2391" s="605"/>
      <c r="C2391" s="605"/>
      <c r="D2391" s="605"/>
      <c r="E2391" s="605" t="str">
        <f>IFERROR(__xludf.DUMMYFUNCTION("""COMPUTED_VALUE"""),"PRECOR")</f>
        <v>PRECOR</v>
      </c>
      <c r="F2391" s="605" t="str">
        <f>IFERROR(__xludf.DUMMYFUNCTION("""COMPUTED_VALUE"""),"TRM 885")</f>
        <v>TRM 885</v>
      </c>
      <c r="G2391" s="605"/>
      <c r="H2391" s="605"/>
      <c r="I2391" s="605"/>
      <c r="J2391" s="606"/>
      <c r="K2391" s="605"/>
      <c r="L2391" s="605"/>
      <c r="M2391" s="605"/>
      <c r="N2391" s="605"/>
      <c r="O2391" s="605"/>
      <c r="P2391" s="605" t="s">
        <v>7843</v>
      </c>
    </row>
    <row r="2392">
      <c r="A2392" s="605"/>
      <c r="B2392" s="605"/>
      <c r="C2392" s="605"/>
      <c r="D2392" s="605"/>
      <c r="E2392" s="605" t="str">
        <f>IFERROR(__xludf.DUMMYFUNCTION("""COMPUTED_VALUE"""),"PRECOR")</f>
        <v>PRECOR</v>
      </c>
      <c r="F2392" s="605" t="str">
        <f>IFERROR(__xludf.DUMMYFUNCTION("""COMPUTED_VALUE"""),"TRM 885/833/811")</f>
        <v>TRM 885/833/811</v>
      </c>
      <c r="G2392" s="605"/>
      <c r="H2392" s="605"/>
      <c r="I2392" s="605"/>
      <c r="J2392" s="606"/>
      <c r="K2392" s="605"/>
      <c r="L2392" s="605"/>
      <c r="M2392" s="605"/>
      <c r="N2392" s="605"/>
      <c r="O2392" s="605"/>
      <c r="P2392" s="605" t="s">
        <v>3417</v>
      </c>
    </row>
    <row r="2393">
      <c r="A2393" s="605"/>
      <c r="B2393" s="605"/>
      <c r="C2393" s="605"/>
      <c r="D2393" s="605"/>
      <c r="E2393" s="605" t="str">
        <f>IFERROR(__xludf.DUMMYFUNCTION("""COMPUTED_VALUE"""),"PRECOR")</f>
        <v>PRECOR</v>
      </c>
      <c r="F2393" s="605" t="str">
        <f>IFERROR(__xludf.DUMMYFUNCTION("""COMPUTED_VALUE"""),"TRM 885/835")</f>
        <v>TRM 885/835</v>
      </c>
      <c r="G2393" s="605"/>
      <c r="H2393" s="605"/>
      <c r="I2393" s="605"/>
      <c r="J2393" s="606"/>
      <c r="K2393" s="605"/>
      <c r="L2393" s="605"/>
      <c r="M2393" s="605"/>
      <c r="N2393" s="605"/>
      <c r="O2393" s="605"/>
      <c r="P2393" s="605" t="s">
        <v>7845</v>
      </c>
    </row>
    <row r="2394">
      <c r="A2394" s="605"/>
      <c r="B2394" s="605"/>
      <c r="C2394" s="605"/>
      <c r="D2394" s="605"/>
      <c r="E2394" s="605" t="str">
        <f>IFERROR(__xludf.DUMMYFUNCTION("""COMPUTED_VALUE"""),"PRECOR")</f>
        <v>PRECOR</v>
      </c>
      <c r="F2394" s="605" t="str">
        <f>IFERROR(__xludf.DUMMYFUNCTION("""COMPUTED_VALUE"""),"TRM TREADMILL")</f>
        <v>TRM TREADMILL</v>
      </c>
      <c r="G2394" s="605"/>
      <c r="H2394" s="605"/>
      <c r="I2394" s="605"/>
      <c r="J2394" s="606"/>
      <c r="K2394" s="605"/>
      <c r="L2394" s="605"/>
      <c r="M2394" s="605"/>
      <c r="N2394" s="605"/>
      <c r="O2394" s="605"/>
      <c r="P2394" s="605" t="s">
        <v>7847</v>
      </c>
    </row>
    <row r="2395">
      <c r="A2395" s="605"/>
      <c r="B2395" s="605"/>
      <c r="C2395" s="605"/>
      <c r="D2395" s="605"/>
      <c r="E2395" s="605" t="str">
        <f>IFERROR(__xludf.DUMMYFUNCTION("""COMPUTED_VALUE"""),"PRECOR")</f>
        <v>PRECOR</v>
      </c>
      <c r="F2395" s="605" t="str">
        <f>IFERROR(__xludf.DUMMYFUNCTION("""COMPUTED_VALUE"""),"TRM811/835/885")</f>
        <v>TRM811/835/885</v>
      </c>
      <c r="G2395" s="605"/>
      <c r="H2395" s="605"/>
      <c r="I2395" s="605"/>
      <c r="J2395" s="606"/>
      <c r="K2395" s="605"/>
      <c r="L2395" s="605"/>
      <c r="M2395" s="605"/>
      <c r="N2395" s="605"/>
      <c r="O2395" s="605"/>
      <c r="P2395" s="605" t="s">
        <v>7849</v>
      </c>
    </row>
    <row r="2396">
      <c r="A2396" s="605"/>
      <c r="B2396" s="605"/>
      <c r="C2396" s="605"/>
      <c r="D2396" s="605"/>
      <c r="E2396" s="605" t="str">
        <f>IFERROR(__xludf.DUMMYFUNCTION("""COMPUTED_VALUE"""),"PRECOR")</f>
        <v>PRECOR</v>
      </c>
      <c r="F2396" s="605" t="str">
        <f>IFERROR(__xludf.DUMMYFUNCTION("""COMPUTED_VALUE"""),"TRM885")</f>
        <v>TRM885</v>
      </c>
      <c r="G2396" s="605"/>
      <c r="H2396" s="605"/>
      <c r="I2396" s="605"/>
      <c r="J2396" s="606"/>
      <c r="K2396" s="605"/>
      <c r="L2396" s="605"/>
      <c r="M2396" s="605"/>
      <c r="N2396" s="605"/>
      <c r="O2396" s="605"/>
      <c r="P2396" s="605" t="s">
        <v>7851</v>
      </c>
    </row>
    <row r="2397">
      <c r="A2397" s="605"/>
      <c r="B2397" s="605"/>
      <c r="C2397" s="605"/>
      <c r="D2397" s="605"/>
      <c r="E2397" s="605" t="str">
        <f>IFERROR(__xludf.DUMMYFUNCTION("""COMPUTED_VALUE"""),"PRECOR")</f>
        <v>PRECOR</v>
      </c>
      <c r="F2397" s="605" t="str">
        <f>IFERROR(__xludf.DUMMYFUNCTION("""COMPUTED_VALUE"""),"UBK")</f>
        <v>UBK</v>
      </c>
      <c r="G2397" s="605"/>
      <c r="H2397" s="605"/>
      <c r="I2397" s="605"/>
      <c r="J2397" s="606"/>
      <c r="K2397" s="605"/>
      <c r="L2397" s="605"/>
      <c r="M2397" s="605"/>
      <c r="N2397" s="605"/>
      <c r="O2397" s="605"/>
      <c r="P2397" s="605" t="s">
        <v>7853</v>
      </c>
    </row>
    <row r="2398">
      <c r="A2398" s="605"/>
      <c r="B2398" s="605"/>
      <c r="C2398" s="605"/>
      <c r="D2398" s="605"/>
      <c r="E2398" s="605" t="str">
        <f>IFERROR(__xludf.DUMMYFUNCTION("""COMPUTED_VALUE"""),"PRECOR")</f>
        <v>PRECOR</v>
      </c>
      <c r="F2398" s="605" t="str">
        <f>IFERROR(__xludf.DUMMYFUNCTION("""COMPUTED_VALUE"""),"UBK 685")</f>
        <v>UBK 685</v>
      </c>
      <c r="G2398" s="605"/>
      <c r="H2398" s="605"/>
      <c r="I2398" s="605"/>
      <c r="J2398" s="606"/>
      <c r="K2398" s="605"/>
      <c r="L2398" s="605"/>
      <c r="M2398" s="605"/>
      <c r="N2398" s="605"/>
      <c r="O2398" s="605"/>
      <c r="P2398" s="605" t="s">
        <v>7855</v>
      </c>
    </row>
    <row r="2399">
      <c r="A2399" s="605"/>
      <c r="B2399" s="605"/>
      <c r="C2399" s="605"/>
      <c r="D2399" s="605"/>
      <c r="E2399" s="605" t="str">
        <f>IFERROR(__xludf.DUMMYFUNCTION("""COMPUTED_VALUE"""),"PRECOR")</f>
        <v>PRECOR</v>
      </c>
      <c r="F2399" s="605" t="str">
        <f>IFERROR(__xludf.DUMMYFUNCTION("""COMPUTED_VALUE"""),"UBK 885")</f>
        <v>UBK 885</v>
      </c>
      <c r="G2399" s="605"/>
      <c r="H2399" s="605"/>
      <c r="I2399" s="605"/>
      <c r="J2399" s="606"/>
      <c r="K2399" s="605"/>
      <c r="L2399" s="605"/>
      <c r="M2399" s="605"/>
      <c r="N2399" s="605"/>
      <c r="O2399" s="605"/>
      <c r="P2399" s="605" t="s">
        <v>7857</v>
      </c>
    </row>
    <row r="2400">
      <c r="A2400" s="605"/>
      <c r="B2400" s="605"/>
      <c r="C2400" s="605"/>
      <c r="D2400" s="605"/>
      <c r="E2400" s="605" t="str">
        <f>IFERROR(__xludf.DUMMYFUNCTION("""COMPUTED_VALUE"""),"PRECOR")</f>
        <v>PRECOR</v>
      </c>
      <c r="F2400" s="605" t="str">
        <f>IFERROR(__xludf.DUMMYFUNCTION("""COMPUTED_VALUE"""),"UBK 885/835/815")</f>
        <v>UBK 885/835/815</v>
      </c>
      <c r="G2400" s="605"/>
      <c r="H2400" s="605"/>
      <c r="I2400" s="605"/>
      <c r="J2400" s="606"/>
      <c r="K2400" s="605"/>
      <c r="L2400" s="605"/>
      <c r="M2400" s="605"/>
      <c r="N2400" s="605"/>
      <c r="O2400" s="605"/>
      <c r="P2400" s="605" t="s">
        <v>7859</v>
      </c>
    </row>
    <row r="2401">
      <c r="A2401" s="605"/>
      <c r="B2401" s="605"/>
      <c r="C2401" s="605"/>
      <c r="D2401" s="605"/>
      <c r="E2401" s="605" t="str">
        <f>IFERROR(__xludf.DUMMYFUNCTION("""COMPUTED_VALUE"""),"PRECOR")</f>
        <v>PRECOR</v>
      </c>
      <c r="F2401" s="605" t="str">
        <f>IFERROR(__xludf.DUMMYFUNCTION("""COMPUTED_VALUE"""),"UBK855/835/815")</f>
        <v>UBK855/835/815</v>
      </c>
      <c r="G2401" s="605"/>
      <c r="H2401" s="605"/>
      <c r="I2401" s="605"/>
      <c r="J2401" s="606"/>
      <c r="K2401" s="605"/>
      <c r="L2401" s="605"/>
      <c r="M2401" s="605"/>
      <c r="N2401" s="605"/>
      <c r="O2401" s="605"/>
      <c r="P2401" s="605" t="s">
        <v>7861</v>
      </c>
    </row>
    <row r="2402">
      <c r="A2402" s="605"/>
      <c r="B2402" s="605"/>
      <c r="C2402" s="605"/>
      <c r="D2402" s="605"/>
      <c r="E2402" s="605" t="str">
        <f>IFERROR(__xludf.DUMMYFUNCTION("""COMPUTED_VALUE"""),"PRECOR")</f>
        <v>PRECOR</v>
      </c>
      <c r="F2402" s="605" t="str">
        <f>IFERROR(__xludf.DUMMYFUNCTION("""COMPUTED_VALUE"""),"UBK885")</f>
        <v>UBK885</v>
      </c>
      <c r="G2402" s="605"/>
      <c r="H2402" s="605"/>
      <c r="I2402" s="605"/>
      <c r="J2402" s="606"/>
      <c r="K2402" s="605"/>
      <c r="L2402" s="605"/>
      <c r="M2402" s="605"/>
      <c r="N2402" s="605"/>
      <c r="O2402" s="605"/>
      <c r="P2402" s="605" t="s">
        <v>7863</v>
      </c>
    </row>
    <row r="2403">
      <c r="A2403" s="605"/>
      <c r="B2403" s="605"/>
      <c r="C2403" s="605"/>
      <c r="D2403" s="605"/>
      <c r="E2403" s="605" t="str">
        <f>IFERROR(__xludf.DUMMYFUNCTION("""COMPUTED_VALUE"""),"PRECOR")</f>
        <v>PRECOR</v>
      </c>
      <c r="F2403" s="605" t="str">
        <f>IFERROR(__xludf.DUMMYFUNCTION("""COMPUTED_VALUE"""),"EFX-883")</f>
        <v>EFX-883</v>
      </c>
      <c r="G2403" s="605"/>
      <c r="H2403" s="605"/>
      <c r="I2403" s="605"/>
      <c r="J2403" s="606"/>
      <c r="K2403" s="605"/>
      <c r="L2403" s="605"/>
      <c r="M2403" s="605"/>
      <c r="N2403" s="605"/>
      <c r="O2403" s="605"/>
      <c r="P2403" s="605" t="s">
        <v>3419</v>
      </c>
    </row>
    <row r="2404">
      <c r="A2404" s="605"/>
      <c r="B2404" s="605"/>
      <c r="C2404" s="605"/>
      <c r="D2404" s="605"/>
      <c r="E2404" s="605" t="str">
        <f>IFERROR(__xludf.DUMMYFUNCTION("""COMPUTED_VALUE"""),"PRECOR")</f>
        <v>PRECOR</v>
      </c>
      <c r="F2404" s="605" t="str">
        <f>IFERROR(__xludf.DUMMYFUNCTION("""COMPUTED_VALUE"""),"TRM 885/845/833/823")</f>
        <v>TRM 885/845/833/823</v>
      </c>
      <c r="G2404" s="605"/>
      <c r="H2404" s="605"/>
      <c r="I2404" s="605"/>
      <c r="J2404" s="606"/>
      <c r="K2404" s="605"/>
      <c r="L2404" s="605"/>
      <c r="M2404" s="605"/>
      <c r="N2404" s="605"/>
      <c r="O2404" s="605"/>
      <c r="P2404" s="605" t="s">
        <v>7865</v>
      </c>
    </row>
    <row r="2405">
      <c r="A2405" s="605"/>
      <c r="B2405" s="605"/>
      <c r="C2405" s="605"/>
      <c r="D2405" s="605"/>
      <c r="E2405" s="605" t="str">
        <f>IFERROR(__xludf.DUMMYFUNCTION("""COMPUTED_VALUE"""),"PRECOR")</f>
        <v>PRECOR</v>
      </c>
      <c r="F2405" s="605" t="str">
        <f>IFERROR(__xludf.DUMMYFUNCTION("""COMPUTED_VALUE"""),"PVS15-DT")</f>
        <v>PVS15-DT</v>
      </c>
      <c r="G2405" s="605"/>
      <c r="H2405" s="605"/>
      <c r="I2405" s="605"/>
      <c r="J2405" s="606"/>
      <c r="K2405" s="605"/>
      <c r="L2405" s="605"/>
      <c r="M2405" s="605"/>
      <c r="N2405" s="605"/>
      <c r="O2405" s="605"/>
      <c r="P2405" s="605" t="s">
        <v>7867</v>
      </c>
    </row>
    <row r="2406">
      <c r="A2406" s="605"/>
      <c r="B2406" s="605"/>
      <c r="C2406" s="605"/>
      <c r="D2406" s="605"/>
      <c r="E2406" s="605" t="str">
        <f>IFERROR(__xludf.DUMMYFUNCTION("""COMPUTED_VALUE"""),"PRECOR")</f>
        <v>PRECOR</v>
      </c>
      <c r="F2406" s="605" t="str">
        <f>IFERROR(__xludf.DUMMYFUNCTION("""COMPUTED_VALUE"""),"P62")</f>
        <v>P62</v>
      </c>
      <c r="G2406" s="605"/>
      <c r="H2406" s="605"/>
      <c r="I2406" s="605"/>
      <c r="J2406" s="606"/>
      <c r="K2406" s="605"/>
      <c r="L2406" s="605"/>
      <c r="M2406" s="605"/>
      <c r="N2406" s="605"/>
      <c r="O2406" s="605"/>
      <c r="P2406" s="605" t="s">
        <v>7869</v>
      </c>
    </row>
    <row r="2407">
      <c r="A2407" s="605"/>
      <c r="B2407" s="605"/>
      <c r="C2407" s="605"/>
      <c r="D2407" s="605"/>
      <c r="E2407" s="605" t="str">
        <f>IFERROR(__xludf.DUMMYFUNCTION("""COMPUTED_VALUE"""),"PRIMLECO")</f>
        <v>PRIMLECO</v>
      </c>
      <c r="F2407" s="605" t="str">
        <f>IFERROR(__xludf.DUMMYFUNCTION("""COMPUTED_VALUE"""),"VISUAL DATA AG")</f>
        <v>VISUAL DATA AG</v>
      </c>
      <c r="G2407" s="605"/>
      <c r="H2407" s="605"/>
      <c r="I2407" s="605"/>
      <c r="J2407" s="606"/>
      <c r="K2407" s="605"/>
      <c r="L2407" s="605"/>
      <c r="M2407" s="605"/>
      <c r="N2407" s="605"/>
      <c r="O2407" s="605"/>
      <c r="P2407" s="605" t="s">
        <v>7871</v>
      </c>
    </row>
    <row r="2408">
      <c r="A2408" s="605"/>
      <c r="B2408" s="605"/>
      <c r="C2408" s="605"/>
      <c r="D2408" s="605"/>
      <c r="E2408" s="605" t="str">
        <f>IFERROR(__xludf.DUMMYFUNCTION("""COMPUTED_VALUE"""),"PRIVA")</f>
        <v>PRIVA</v>
      </c>
      <c r="F2408" s="605" t="str">
        <f>IFERROR(__xludf.DUMMYFUNCTION("""COMPUTED_VALUE"""),"PRIVA BLUE ID C4")</f>
        <v>PRIVA BLUE ID C4</v>
      </c>
      <c r="G2408" s="605"/>
      <c r="H2408" s="605"/>
      <c r="I2408" s="605"/>
      <c r="J2408" s="606"/>
      <c r="K2408" s="605"/>
      <c r="L2408" s="605"/>
      <c r="M2408" s="605"/>
      <c r="N2408" s="605"/>
      <c r="O2408" s="605"/>
      <c r="P2408" s="605" t="s">
        <v>7873</v>
      </c>
    </row>
    <row r="2409">
      <c r="A2409" s="605"/>
      <c r="B2409" s="605"/>
      <c r="C2409" s="605"/>
      <c r="D2409" s="605"/>
      <c r="E2409" s="605" t="str">
        <f>IFERROR(__xludf.DUMMYFUNCTION("""COMPUTED_VALUE"""),"PRIVA")</f>
        <v>PRIVA</v>
      </c>
      <c r="F2409" s="605" t="str">
        <f>IFERROR(__xludf.DUMMYFUNCTION("""COMPUTED_VALUE"""),"BLUE ID S LINE")</f>
        <v>BLUE ID S LINE</v>
      </c>
      <c r="G2409" s="605"/>
      <c r="H2409" s="605"/>
      <c r="I2409" s="605"/>
      <c r="J2409" s="606"/>
      <c r="K2409" s="605"/>
      <c r="L2409" s="605"/>
      <c r="M2409" s="605"/>
      <c r="N2409" s="605"/>
      <c r="O2409" s="605"/>
      <c r="P2409" s="605" t="s">
        <v>7875</v>
      </c>
    </row>
    <row r="2410">
      <c r="A2410" s="605"/>
      <c r="B2410" s="605"/>
      <c r="C2410" s="605"/>
      <c r="D2410" s="605"/>
      <c r="E2410" s="605" t="str">
        <f>IFERROR(__xludf.DUMMYFUNCTION("""COMPUTED_VALUE"""),"PRIVA")</f>
        <v>PRIVA</v>
      </c>
      <c r="F2410" s="605" t="str">
        <f>IFERROR(__xludf.DUMMYFUNCTION("""COMPUTED_VALUE"""),"BLUE ID S LINE")</f>
        <v>BLUE ID S LINE</v>
      </c>
      <c r="G2410" s="605"/>
      <c r="H2410" s="605"/>
      <c r="I2410" s="605"/>
      <c r="J2410" s="606"/>
      <c r="K2410" s="605"/>
      <c r="L2410" s="605"/>
      <c r="M2410" s="605"/>
      <c r="N2410" s="605"/>
      <c r="O2410" s="605"/>
      <c r="P2410" s="605" t="s">
        <v>7877</v>
      </c>
    </row>
    <row r="2411">
      <c r="A2411" s="605"/>
      <c r="B2411" s="605"/>
      <c r="C2411" s="605"/>
      <c r="D2411" s="605"/>
      <c r="E2411" s="605" t="str">
        <f>IFERROR(__xludf.DUMMYFUNCTION("""COMPUTED_VALUE"""),"PRIVA")</f>
        <v>PRIVA</v>
      </c>
      <c r="F2411" s="605" t="str">
        <f>IFERROR(__xludf.DUMMYFUNCTION("""COMPUTED_VALUE"""),"PRIVA BLUE ID C4")</f>
        <v>PRIVA BLUE ID C4</v>
      </c>
      <c r="G2411" s="605"/>
      <c r="H2411" s="605"/>
      <c r="I2411" s="605"/>
      <c r="J2411" s="606"/>
      <c r="K2411" s="605"/>
      <c r="L2411" s="605"/>
      <c r="M2411" s="605"/>
      <c r="N2411" s="605"/>
      <c r="O2411" s="605"/>
      <c r="P2411" s="605" t="s">
        <v>7879</v>
      </c>
    </row>
    <row r="2412">
      <c r="A2412" s="605"/>
      <c r="B2412" s="605"/>
      <c r="C2412" s="605"/>
      <c r="D2412" s="605"/>
      <c r="E2412" s="605" t="str">
        <f>IFERROR(__xludf.DUMMYFUNCTION("""COMPUTED_VALUE"""),"PROCON")</f>
        <v>PROCON</v>
      </c>
      <c r="F2412" s="605" t="str">
        <f>IFERROR(__xludf.DUMMYFUNCTION("""COMPUTED_VALUE"""),"MMTCPBCONV-220")</f>
        <v>MMTCPBCONV-220</v>
      </c>
      <c r="G2412" s="605"/>
      <c r="H2412" s="605"/>
      <c r="I2412" s="605"/>
      <c r="J2412" s="606"/>
      <c r="K2412" s="605"/>
      <c r="L2412" s="605"/>
      <c r="M2412" s="605"/>
      <c r="N2412" s="605"/>
      <c r="O2412" s="605"/>
      <c r="P2412" s="605" t="s">
        <v>7881</v>
      </c>
    </row>
    <row r="2413">
      <c r="A2413" s="605"/>
      <c r="B2413" s="605"/>
      <c r="C2413" s="605"/>
      <c r="D2413" s="605"/>
      <c r="E2413" s="605" t="str">
        <f>IFERROR(__xludf.DUMMYFUNCTION("""COMPUTED_VALUE"""),"PRODUAL")</f>
        <v>PRODUAL</v>
      </c>
      <c r="F2413" s="605" t="str">
        <f>IFERROR(__xludf.DUMMYFUNCTION("""COMPUTED_VALUE"""),"TRI-3A")</f>
        <v>TRI-3A</v>
      </c>
      <c r="G2413" s="605"/>
      <c r="H2413" s="605"/>
      <c r="I2413" s="605"/>
      <c r="J2413" s="606"/>
      <c r="K2413" s="605"/>
      <c r="L2413" s="605"/>
      <c r="M2413" s="605"/>
      <c r="N2413" s="605"/>
      <c r="O2413" s="605"/>
      <c r="P2413" s="605" t="s">
        <v>7883</v>
      </c>
    </row>
    <row r="2414">
      <c r="A2414" s="605"/>
      <c r="B2414" s="605"/>
      <c r="C2414" s="605"/>
      <c r="D2414" s="605"/>
      <c r="E2414" s="605" t="str">
        <f>IFERROR(__xludf.DUMMYFUNCTION("""COMPUTED_VALUE"""),"PROGRAM ELEC")</f>
        <v>PROGRAM ELEC</v>
      </c>
      <c r="F2414" s="605" t="str">
        <f>IFERROR(__xludf.DUMMYFUNCTION("""COMPUTED_VALUE"""),"PE-GRP-200I")</f>
        <v>PE-GRP-200I</v>
      </c>
      <c r="G2414" s="605"/>
      <c r="H2414" s="605"/>
      <c r="I2414" s="605"/>
      <c r="J2414" s="606"/>
      <c r="K2414" s="605"/>
      <c r="L2414" s="605"/>
      <c r="M2414" s="605"/>
      <c r="N2414" s="605"/>
      <c r="O2414" s="605"/>
      <c r="P2414" s="605" t="s">
        <v>2920</v>
      </c>
    </row>
    <row r="2415">
      <c r="A2415" s="605"/>
      <c r="B2415" s="605"/>
      <c r="C2415" s="605"/>
      <c r="D2415" s="605"/>
      <c r="E2415" s="605" t="str">
        <f>IFERROR(__xludf.DUMMYFUNCTION("""COMPUTED_VALUE"""),"PROTOCONVERT")</f>
        <v>PROTOCONVERT</v>
      </c>
      <c r="F2415" s="605" t="str">
        <f>IFERROR(__xludf.DUMMYFUNCTION("""COMPUTED_VALUE"""),"PG-K30A")</f>
        <v>PG-K30A</v>
      </c>
      <c r="G2415" s="605"/>
      <c r="H2415" s="605"/>
      <c r="I2415" s="605"/>
      <c r="J2415" s="606"/>
      <c r="K2415" s="605"/>
      <c r="L2415" s="605"/>
      <c r="M2415" s="605"/>
      <c r="N2415" s="605"/>
      <c r="O2415" s="605"/>
      <c r="P2415" s="605" t="s">
        <v>3422</v>
      </c>
    </row>
    <row r="2416">
      <c r="A2416" s="605"/>
      <c r="B2416" s="605"/>
      <c r="C2416" s="605"/>
      <c r="D2416" s="605"/>
      <c r="E2416" s="605" t="str">
        <f>IFERROR(__xludf.DUMMYFUNCTION("""COMPUTED_VALUE"""),"PROTOSENSE")</f>
        <v>PROTOSENSE</v>
      </c>
      <c r="F2416" s="605" t="str">
        <f>IFERROR(__xludf.DUMMYFUNCTION("""COMPUTED_VALUE"""),"BEAMER1")</f>
        <v>BEAMER1</v>
      </c>
      <c r="G2416" s="605"/>
      <c r="H2416" s="605"/>
      <c r="I2416" s="605"/>
      <c r="J2416" s="606"/>
      <c r="K2416" s="605"/>
      <c r="L2416" s="605"/>
      <c r="M2416" s="605"/>
      <c r="N2416" s="605"/>
      <c r="O2416" s="605"/>
      <c r="P2416" s="605" t="s">
        <v>7885</v>
      </c>
    </row>
    <row r="2417">
      <c r="A2417" s="605"/>
      <c r="B2417" s="605"/>
      <c r="C2417" s="605"/>
      <c r="D2417" s="605"/>
      <c r="E2417" s="605" t="str">
        <f>IFERROR(__xludf.DUMMYFUNCTION("""COMPUTED_VALUE"""),"PROTOSENSE")</f>
        <v>PROTOSENSE</v>
      </c>
      <c r="F2417" s="605" t="str">
        <f>IFERROR(__xludf.DUMMYFUNCTION("""COMPUTED_VALUE"""),"GW-BIP-MBTCP_RTU2")</f>
        <v>GW-BIP-MBTCP_RTU2</v>
      </c>
      <c r="G2417" s="605"/>
      <c r="H2417" s="605"/>
      <c r="I2417" s="605"/>
      <c r="J2417" s="606"/>
      <c r="K2417" s="605"/>
      <c r="L2417" s="605"/>
      <c r="M2417" s="605"/>
      <c r="N2417" s="605"/>
      <c r="O2417" s="605"/>
      <c r="P2417" s="605" t="s">
        <v>7887</v>
      </c>
    </row>
    <row r="2418">
      <c r="A2418" s="605"/>
      <c r="B2418" s="605"/>
      <c r="C2418" s="605"/>
      <c r="D2418" s="605"/>
      <c r="E2418" s="605" t="str">
        <f>IFERROR(__xludf.DUMMYFUNCTION("""COMPUTED_VALUE"""),"PROTOSENSE")</f>
        <v>PROTOSENSE</v>
      </c>
      <c r="F2418" s="605" t="str">
        <f>IFERROR(__xludf.DUMMYFUNCTION("""COMPUTED_VALUE"""),"SDS-MBGW-2P")</f>
        <v>SDS-MBGW-2P</v>
      </c>
      <c r="G2418" s="605"/>
      <c r="H2418" s="605"/>
      <c r="I2418" s="605"/>
      <c r="J2418" s="606"/>
      <c r="K2418" s="605"/>
      <c r="L2418" s="605"/>
      <c r="M2418" s="605"/>
      <c r="N2418" s="605"/>
      <c r="O2418" s="605"/>
      <c r="P2418" s="605" t="s">
        <v>7889</v>
      </c>
    </row>
    <row r="2419">
      <c r="A2419" s="605"/>
      <c r="B2419" s="605"/>
      <c r="C2419" s="605"/>
      <c r="D2419" s="605"/>
      <c r="E2419" s="605" t="str">
        <f>IFERROR(__xludf.DUMMYFUNCTION("""COMPUTED_VALUE"""),"PRP SOLUTIONS")</f>
        <v>PRP SOLUTIONS</v>
      </c>
      <c r="F2419" s="605" t="str">
        <f>IFERROR(__xludf.DUMMYFUNCTION("""COMPUTED_VALUE"""),"BIOMETRIC DEVICE V4.0")</f>
        <v>BIOMETRIC DEVICE V4.0</v>
      </c>
      <c r="G2419" s="605"/>
      <c r="H2419" s="605"/>
      <c r="I2419" s="605"/>
      <c r="J2419" s="606"/>
      <c r="K2419" s="605"/>
      <c r="L2419" s="605"/>
      <c r="M2419" s="605"/>
      <c r="N2419" s="605"/>
      <c r="O2419" s="605"/>
      <c r="P2419" s="605" t="s">
        <v>7891</v>
      </c>
    </row>
    <row r="2420">
      <c r="A2420" s="605"/>
      <c r="B2420" s="605"/>
      <c r="C2420" s="605"/>
      <c r="D2420" s="605"/>
      <c r="E2420" s="605" t="str">
        <f>IFERROR(__xludf.DUMMYFUNCTION("""COMPUTED_VALUE"""),"PSS")</f>
        <v>PSS</v>
      </c>
      <c r="F2420" s="605" t="str">
        <f>IFERROR(__xludf.DUMMYFUNCTION("""COMPUTED_VALUE"""),"M910")</f>
        <v>M910</v>
      </c>
      <c r="G2420" s="605"/>
      <c r="H2420" s="605"/>
      <c r="I2420" s="605"/>
      <c r="J2420" s="606"/>
      <c r="K2420" s="605"/>
      <c r="L2420" s="605"/>
      <c r="M2420" s="605"/>
      <c r="N2420" s="605"/>
      <c r="O2420" s="605"/>
      <c r="P2420" s="605" t="s">
        <v>7893</v>
      </c>
    </row>
    <row r="2421">
      <c r="A2421" s="605"/>
      <c r="B2421" s="605"/>
      <c r="C2421" s="605"/>
      <c r="D2421" s="605"/>
      <c r="E2421" s="605" t="str">
        <f>IFERROR(__xludf.DUMMYFUNCTION("""COMPUTED_VALUE"""),"PSS")</f>
        <v>PSS</v>
      </c>
      <c r="F2421" s="605" t="str">
        <f>IFERROR(__xludf.DUMMYFUNCTION("""COMPUTED_VALUE"""),"M910")</f>
        <v>M910</v>
      </c>
      <c r="G2421" s="605"/>
      <c r="H2421" s="605"/>
      <c r="I2421" s="605"/>
      <c r="J2421" s="606"/>
      <c r="K2421" s="605"/>
      <c r="L2421" s="605"/>
      <c r="M2421" s="605"/>
      <c r="N2421" s="605"/>
      <c r="O2421" s="605"/>
      <c r="P2421" s="605" t="s">
        <v>7895</v>
      </c>
    </row>
    <row r="2422">
      <c r="A2422" s="605"/>
      <c r="B2422" s="605"/>
      <c r="C2422" s="605"/>
      <c r="D2422" s="605"/>
      <c r="E2422" s="605" t="str">
        <f>IFERROR(__xludf.DUMMYFUNCTION("""COMPUTED_VALUE"""),"PUNTOLUCE")</f>
        <v>PUNTOLUCE</v>
      </c>
      <c r="F2422" s="605" t="str">
        <f>IFERROR(__xludf.DUMMYFUNCTION("""COMPUTED_VALUE"""),"PENDENTE LN7.2")</f>
        <v>PENDENTE LN7.2</v>
      </c>
      <c r="G2422" s="605"/>
      <c r="H2422" s="605"/>
      <c r="I2422" s="605"/>
      <c r="J2422" s="606"/>
      <c r="K2422" s="605"/>
      <c r="L2422" s="605"/>
      <c r="M2422" s="605"/>
      <c r="N2422" s="605"/>
      <c r="O2422" s="605"/>
      <c r="P2422" s="605" t="s">
        <v>7897</v>
      </c>
    </row>
    <row r="2423">
      <c r="A2423" s="605"/>
      <c r="B2423" s="605"/>
      <c r="C2423" s="605"/>
      <c r="D2423" s="605"/>
      <c r="E2423" s="605" t="str">
        <f>IFERROR(__xludf.DUMMYFUNCTION("""COMPUTED_VALUE"""),"PUSR")</f>
        <v>PUSR</v>
      </c>
      <c r="F2423" s="605" t="str">
        <f>IFERROR(__xludf.DUMMYFUNCTION("""COMPUTED_VALUE"""),"DR154")</f>
        <v>DR154</v>
      </c>
      <c r="G2423" s="605"/>
      <c r="H2423" s="605"/>
      <c r="I2423" s="605"/>
      <c r="J2423" s="606"/>
      <c r="K2423" s="605"/>
      <c r="L2423" s="605"/>
      <c r="M2423" s="605"/>
      <c r="N2423" s="605"/>
      <c r="O2423" s="605"/>
      <c r="P2423" s="605" t="s">
        <v>7899</v>
      </c>
    </row>
    <row r="2424">
      <c r="A2424" s="605"/>
      <c r="B2424" s="605"/>
      <c r="C2424" s="605"/>
      <c r="D2424" s="605"/>
      <c r="E2424" s="605" t="str">
        <f>IFERROR(__xludf.DUMMYFUNCTION("""COMPUTED_VALUE"""),"PVI")</f>
        <v>PVI</v>
      </c>
      <c r="F2424" s="605" t="str">
        <f>IFERROR(__xludf.DUMMYFUNCTION("""COMPUTED_VALUE"""),"DURAWATT ELECTRIC")</f>
        <v>DURAWATT ELECTRIC</v>
      </c>
      <c r="G2424" s="605"/>
      <c r="H2424" s="605"/>
      <c r="I2424" s="605"/>
      <c r="J2424" s="606"/>
      <c r="K2424" s="605"/>
      <c r="L2424" s="605"/>
      <c r="M2424" s="605"/>
      <c r="N2424" s="605"/>
      <c r="O2424" s="605"/>
      <c r="P2424" s="605" t="s">
        <v>7901</v>
      </c>
    </row>
    <row r="2425">
      <c r="A2425" s="605"/>
      <c r="B2425" s="605"/>
      <c r="C2425" s="605"/>
      <c r="D2425" s="605"/>
      <c r="E2425" s="605" t="str">
        <f>IFERROR(__xludf.DUMMYFUNCTION("""COMPUTED_VALUE"""),"PVR CONTROLS")</f>
        <v>PVR CONTROLS</v>
      </c>
      <c r="F2425" s="605" t="str">
        <f>IFERROR(__xludf.DUMMYFUNCTION("""COMPUTED_VALUE"""),"CRC-202000")</f>
        <v>CRC-202000</v>
      </c>
      <c r="G2425" s="605"/>
      <c r="H2425" s="605"/>
      <c r="I2425" s="605"/>
      <c r="J2425" s="606"/>
      <c r="K2425" s="605"/>
      <c r="L2425" s="605"/>
      <c r="M2425" s="605"/>
      <c r="N2425" s="605"/>
      <c r="O2425" s="605"/>
      <c r="P2425" s="605" t="s">
        <v>7903</v>
      </c>
    </row>
    <row r="2426">
      <c r="A2426" s="605"/>
      <c r="B2426" s="605"/>
      <c r="C2426" s="605"/>
      <c r="D2426" s="605"/>
      <c r="E2426" s="605" t="str">
        <f>IFERROR(__xludf.DUMMYFUNCTION("""COMPUTED_VALUE"""),"PVR CONTROLS")</f>
        <v>PVR CONTROLS</v>
      </c>
      <c r="F2426" s="605" t="str">
        <f>IFERROR(__xludf.DUMMYFUNCTION("""COMPUTED_VALUE"""),"CRC-205200")</f>
        <v>CRC-205200</v>
      </c>
      <c r="G2426" s="605"/>
      <c r="H2426" s="605"/>
      <c r="I2426" s="605"/>
      <c r="J2426" s="606"/>
      <c r="K2426" s="605"/>
      <c r="L2426" s="605"/>
      <c r="M2426" s="605"/>
      <c r="N2426" s="605"/>
      <c r="O2426" s="605"/>
      <c r="P2426" s="605" t="s">
        <v>3424</v>
      </c>
    </row>
    <row r="2427">
      <c r="A2427" s="605"/>
      <c r="B2427" s="605"/>
      <c r="C2427" s="605"/>
      <c r="D2427" s="605"/>
      <c r="E2427" s="605" t="str">
        <f>IFERROR(__xludf.DUMMYFUNCTION("""COMPUTED_VALUE"""),"QUANTA COMPUTER")</f>
        <v>QUANTA COMPUTER</v>
      </c>
      <c r="F2427" s="605" t="str">
        <f>IFERROR(__xludf.DUMMYFUNCTION("""COMPUTED_VALUE"""),"USR-TCP232-24")</f>
        <v>USR-TCP232-24</v>
      </c>
      <c r="G2427" s="605"/>
      <c r="H2427" s="605"/>
      <c r="I2427" s="605"/>
      <c r="J2427" s="606"/>
      <c r="K2427" s="605"/>
      <c r="L2427" s="605"/>
      <c r="M2427" s="605"/>
      <c r="N2427" s="605"/>
      <c r="O2427" s="605"/>
      <c r="P2427" s="605" t="s">
        <v>7905</v>
      </c>
    </row>
    <row r="2428">
      <c r="A2428" s="605"/>
      <c r="B2428" s="605"/>
      <c r="C2428" s="605"/>
      <c r="D2428" s="605"/>
      <c r="E2428" s="605" t="str">
        <f>IFERROR(__xludf.DUMMYFUNCTION("""COMPUTED_VALUE"""),"RADIX")</f>
        <v>RADIX</v>
      </c>
      <c r="F2428" s="605" t="str">
        <f>IFERROR(__xludf.DUMMYFUNCTION("""COMPUTED_VALUE"""),"HBJC313U591-316R")</f>
        <v>HBJC313U591-316R</v>
      </c>
      <c r="G2428" s="605"/>
      <c r="H2428" s="605"/>
      <c r="I2428" s="605"/>
      <c r="J2428" s="606"/>
      <c r="K2428" s="605"/>
      <c r="L2428" s="605"/>
      <c r="M2428" s="605"/>
      <c r="N2428" s="605"/>
      <c r="O2428" s="605"/>
      <c r="P2428" s="605" t="s">
        <v>7907</v>
      </c>
    </row>
    <row r="2429">
      <c r="A2429" s="605"/>
      <c r="B2429" s="605"/>
      <c r="C2429" s="605"/>
      <c r="D2429" s="605"/>
      <c r="E2429" s="605" t="str">
        <f>IFERROR(__xludf.DUMMYFUNCTION("""COMPUTED_VALUE"""),"RADIXIOT")</f>
        <v>RADIXIOT</v>
      </c>
      <c r="F2429" s="605" t="str">
        <f>IFERROR(__xludf.DUMMYFUNCTION("""COMPUTED_VALUE"""),"RADIXIOT")</f>
        <v>RADIXIOT</v>
      </c>
      <c r="G2429" s="605"/>
      <c r="H2429" s="605"/>
      <c r="I2429" s="605"/>
      <c r="J2429" s="606"/>
      <c r="K2429" s="605"/>
      <c r="L2429" s="605"/>
      <c r="M2429" s="605"/>
      <c r="N2429" s="605"/>
      <c r="O2429" s="605"/>
      <c r="P2429" s="605" t="s">
        <v>7909</v>
      </c>
    </row>
    <row r="2430">
      <c r="A2430" s="605"/>
      <c r="B2430" s="605"/>
      <c r="C2430" s="605"/>
      <c r="D2430" s="605"/>
      <c r="E2430" s="605" t="str">
        <f>IFERROR(__xludf.DUMMYFUNCTION("""COMPUTED_VALUE"""),"RADIXIOT")</f>
        <v>RADIXIOT</v>
      </c>
      <c r="F2430" s="605" t="str">
        <f>IFERROR(__xludf.DUMMYFUNCTION("""COMPUTED_VALUE"""),"BB200")</f>
        <v>BB200</v>
      </c>
      <c r="G2430" s="605"/>
      <c r="H2430" s="605"/>
      <c r="I2430" s="605"/>
      <c r="J2430" s="606"/>
      <c r="K2430" s="605"/>
      <c r="L2430" s="605"/>
      <c r="M2430" s="605"/>
      <c r="N2430" s="605"/>
      <c r="O2430" s="605"/>
      <c r="P2430" s="605" t="s">
        <v>7911</v>
      </c>
    </row>
    <row r="2431">
      <c r="A2431" s="605"/>
      <c r="B2431" s="605"/>
      <c r="C2431" s="605"/>
      <c r="D2431" s="605"/>
      <c r="E2431" s="605" t="str">
        <f>IFERROR(__xludf.DUMMYFUNCTION("""COMPUTED_VALUE"""),"RADIXIOT")</f>
        <v>RADIXIOT</v>
      </c>
      <c r="F2431" s="605" t="str">
        <f>IFERROR(__xludf.DUMMYFUNCTION("""COMPUTED_VALUE"""),"RD201C")</f>
        <v>RD201C</v>
      </c>
      <c r="G2431" s="605"/>
      <c r="H2431" s="605"/>
      <c r="I2431" s="605"/>
      <c r="J2431" s="606"/>
      <c r="K2431" s="605"/>
      <c r="L2431" s="605"/>
      <c r="M2431" s="605"/>
      <c r="N2431" s="605"/>
      <c r="O2431" s="605"/>
      <c r="P2431" s="605" t="s">
        <v>7913</v>
      </c>
    </row>
    <row r="2432">
      <c r="A2432" s="605"/>
      <c r="B2432" s="605"/>
      <c r="C2432" s="605"/>
      <c r="D2432" s="605"/>
      <c r="E2432" s="605" t="str">
        <f>IFERROR(__xludf.DUMMYFUNCTION("""COMPUTED_VALUE"""),"RADIXIOT")</f>
        <v>RADIXIOT</v>
      </c>
      <c r="F2432" s="605" t="str">
        <f>IFERROR(__xludf.DUMMYFUNCTION("""COMPUTED_VALUE"""),"RD201C")</f>
        <v>RD201C</v>
      </c>
      <c r="G2432" s="605"/>
      <c r="H2432" s="605"/>
      <c r="I2432" s="605"/>
      <c r="J2432" s="606"/>
      <c r="K2432" s="605"/>
      <c r="L2432" s="605"/>
      <c r="M2432" s="605"/>
      <c r="N2432" s="605"/>
      <c r="O2432" s="605"/>
      <c r="P2432" s="605" t="s">
        <v>7915</v>
      </c>
    </row>
    <row r="2433">
      <c r="A2433" s="605"/>
      <c r="B2433" s="605"/>
      <c r="C2433" s="605"/>
      <c r="D2433" s="605"/>
      <c r="E2433" s="605" t="str">
        <f>IFERROR(__xludf.DUMMYFUNCTION("""COMPUTED_VALUE"""),"RAINFOREST AUTOMATION")</f>
        <v>RAINFOREST AUTOMATION</v>
      </c>
      <c r="F2433" s="605" t="str">
        <f>IFERROR(__xludf.DUMMYFUNCTION("""COMPUTED_VALUE"""),"EAGLE200")</f>
        <v>EAGLE200</v>
      </c>
      <c r="G2433" s="605"/>
      <c r="H2433" s="605"/>
      <c r="I2433" s="605"/>
      <c r="J2433" s="606"/>
      <c r="K2433" s="605"/>
      <c r="L2433" s="605"/>
      <c r="M2433" s="605"/>
      <c r="N2433" s="605"/>
      <c r="O2433" s="605"/>
      <c r="P2433" s="605" t="s">
        <v>7917</v>
      </c>
    </row>
    <row r="2434">
      <c r="A2434" s="605"/>
      <c r="B2434" s="605"/>
      <c r="C2434" s="605"/>
      <c r="D2434" s="605"/>
      <c r="E2434" s="605" t="str">
        <f>IFERROR(__xludf.DUMMYFUNCTION("""COMPUTED_VALUE"""),"RAKWIRELESS")</f>
        <v>RAKWIRELESS</v>
      </c>
      <c r="F2434" s="605" t="str">
        <f>IFERROR(__xludf.DUMMYFUNCTION("""COMPUTED_VALUE"""),"WISGATE RAK7268CV2")</f>
        <v>WISGATE RAK7268CV2</v>
      </c>
      <c r="G2434" s="605"/>
      <c r="H2434" s="605"/>
      <c r="I2434" s="605"/>
      <c r="J2434" s="606"/>
      <c r="K2434" s="605"/>
      <c r="L2434" s="605"/>
      <c r="M2434" s="605"/>
      <c r="N2434" s="605"/>
      <c r="O2434" s="605"/>
      <c r="P2434" s="605" t="s">
        <v>7919</v>
      </c>
    </row>
    <row r="2435">
      <c r="A2435" s="605"/>
      <c r="B2435" s="605"/>
      <c r="C2435" s="605"/>
      <c r="D2435" s="605"/>
      <c r="E2435" s="605" t="str">
        <f>IFERROR(__xludf.DUMMYFUNCTION("""COMPUTED_VALUE"""),"RARITAN")</f>
        <v>RARITAN</v>
      </c>
      <c r="F2435" s="605" t="str">
        <f>IFERROR(__xludf.DUMMYFUNCTION("""COMPUTED_VALUE"""),"EMX2-111")</f>
        <v>EMX2-111</v>
      </c>
      <c r="G2435" s="605"/>
      <c r="H2435" s="605"/>
      <c r="I2435" s="605"/>
      <c r="J2435" s="606"/>
      <c r="K2435" s="605"/>
      <c r="L2435" s="605"/>
      <c r="M2435" s="605"/>
      <c r="N2435" s="605"/>
      <c r="O2435" s="605"/>
      <c r="P2435" s="605" t="s">
        <v>7921</v>
      </c>
    </row>
    <row r="2436">
      <c r="A2436" s="605"/>
      <c r="B2436" s="605"/>
      <c r="C2436" s="605"/>
      <c r="D2436" s="605"/>
      <c r="E2436" s="605" t="str">
        <f>IFERROR(__xludf.DUMMYFUNCTION("""COMPUTED_VALUE"""),"RASPBERRY PI")</f>
        <v>RASPBERRY PI</v>
      </c>
      <c r="F2436" s="605" t="str">
        <f>IFERROR(__xludf.DUMMYFUNCTION("""COMPUTED_VALUE"""),"3 B+")</f>
        <v>3 B+</v>
      </c>
      <c r="G2436" s="605"/>
      <c r="H2436" s="605"/>
      <c r="I2436" s="605"/>
      <c r="J2436" s="606"/>
      <c r="K2436" s="605"/>
      <c r="L2436" s="605"/>
      <c r="M2436" s="605"/>
      <c r="N2436" s="605"/>
      <c r="O2436" s="605"/>
      <c r="P2436" s="605" t="s">
        <v>7923</v>
      </c>
    </row>
    <row r="2437">
      <c r="A2437" s="605"/>
      <c r="B2437" s="605"/>
      <c r="C2437" s="605"/>
      <c r="D2437" s="605"/>
      <c r="E2437" s="605" t="str">
        <f>IFERROR(__xludf.DUMMYFUNCTION("""COMPUTED_VALUE"""),"RASPBERRY PI")</f>
        <v>RASPBERRY PI</v>
      </c>
      <c r="F2437" s="605" t="str">
        <f>IFERROR(__xludf.DUMMYFUNCTION("""COMPUTED_VALUE"""),"3 B+")</f>
        <v>3 B+</v>
      </c>
      <c r="G2437" s="605"/>
      <c r="H2437" s="605"/>
      <c r="I2437" s="605"/>
      <c r="J2437" s="606"/>
      <c r="K2437" s="605"/>
      <c r="L2437" s="605"/>
      <c r="M2437" s="605"/>
      <c r="N2437" s="605"/>
      <c r="O2437" s="605"/>
      <c r="P2437" s="605" t="s">
        <v>3426</v>
      </c>
    </row>
    <row r="2438">
      <c r="A2438" s="605"/>
      <c r="B2438" s="605"/>
      <c r="C2438" s="605"/>
      <c r="D2438" s="605"/>
      <c r="E2438" s="605" t="str">
        <f>IFERROR(__xludf.DUMMYFUNCTION("""COMPUTED_VALUE"""),"RASPBERRY PI")</f>
        <v>RASPBERRY PI</v>
      </c>
      <c r="F2438" s="605" t="str">
        <f>IFERROR(__xludf.DUMMYFUNCTION("""COMPUTED_VALUE"""),"3 B+")</f>
        <v>3 B+</v>
      </c>
      <c r="G2438" s="605"/>
      <c r="H2438" s="605"/>
      <c r="I2438" s="605"/>
      <c r="J2438" s="606"/>
      <c r="K2438" s="605"/>
      <c r="L2438" s="605"/>
      <c r="M2438" s="605"/>
      <c r="N2438" s="605"/>
      <c r="O2438" s="605"/>
      <c r="P2438" s="605" t="s">
        <v>7925</v>
      </c>
    </row>
    <row r="2439">
      <c r="A2439" s="605"/>
      <c r="B2439" s="605"/>
      <c r="C2439" s="605"/>
      <c r="D2439" s="605"/>
      <c r="E2439" s="605" t="str">
        <f>IFERROR(__xludf.DUMMYFUNCTION("""COMPUTED_VALUE"""),"RASPBERRY PI")</f>
        <v>RASPBERRY PI</v>
      </c>
      <c r="F2439" s="605" t="str">
        <f>IFERROR(__xludf.DUMMYFUNCTION("""COMPUTED_VALUE"""),"3 B+")</f>
        <v>3 B+</v>
      </c>
      <c r="G2439" s="605"/>
      <c r="H2439" s="605"/>
      <c r="I2439" s="605"/>
      <c r="J2439" s="606"/>
      <c r="K2439" s="605"/>
      <c r="L2439" s="605"/>
      <c r="M2439" s="605"/>
      <c r="N2439" s="605"/>
      <c r="O2439" s="605"/>
      <c r="P2439" s="605" t="s">
        <v>7927</v>
      </c>
    </row>
    <row r="2440">
      <c r="A2440" s="605"/>
      <c r="B2440" s="605"/>
      <c r="C2440" s="605"/>
      <c r="D2440" s="605"/>
      <c r="E2440" s="605" t="str">
        <f>IFERROR(__xludf.DUMMYFUNCTION("""COMPUTED_VALUE"""),"RASPBERRY PI")</f>
        <v>RASPBERRY PI</v>
      </c>
      <c r="F2440" s="605" t="str">
        <f>IFERROR(__xludf.DUMMYFUNCTION("""COMPUTED_VALUE"""),"NOT VERIFIED")</f>
        <v>NOT VERIFIED</v>
      </c>
      <c r="G2440" s="605"/>
      <c r="H2440" s="605"/>
      <c r="I2440" s="605"/>
      <c r="J2440" s="606"/>
      <c r="K2440" s="605"/>
      <c r="L2440" s="605"/>
      <c r="M2440" s="605"/>
      <c r="N2440" s="605"/>
      <c r="O2440" s="605"/>
      <c r="P2440" s="605" t="s">
        <v>7929</v>
      </c>
    </row>
    <row r="2441">
      <c r="A2441" s="605"/>
      <c r="B2441" s="605"/>
      <c r="C2441" s="605"/>
      <c r="D2441" s="605"/>
      <c r="E2441" s="605" t="str">
        <f>IFERROR(__xludf.DUMMYFUNCTION("""COMPUTED_VALUE"""),"RASPBERRY PI")</f>
        <v>RASPBERRY PI</v>
      </c>
      <c r="F2441" s="605" t="str">
        <f>IFERROR(__xludf.DUMMYFUNCTION("""COMPUTED_VALUE"""),"RASPBERRY PI")</f>
        <v>RASPBERRY PI</v>
      </c>
      <c r="G2441" s="605"/>
      <c r="H2441" s="605"/>
      <c r="I2441" s="605"/>
      <c r="J2441" s="606"/>
      <c r="K2441" s="605"/>
      <c r="L2441" s="605"/>
      <c r="M2441" s="605"/>
      <c r="N2441" s="605"/>
      <c r="O2441" s="605"/>
      <c r="P2441" s="605" t="s">
        <v>7931</v>
      </c>
    </row>
    <row r="2442">
      <c r="A2442" s="605"/>
      <c r="B2442" s="605"/>
      <c r="C2442" s="605"/>
      <c r="D2442" s="605"/>
      <c r="E2442" s="605" t="str">
        <f>IFERROR(__xludf.DUMMYFUNCTION("""COMPUTED_VALUE"""),"RASPBERRY PI")</f>
        <v>RASPBERRY PI</v>
      </c>
      <c r="F2442" s="605" t="str">
        <f>IFERROR(__xludf.DUMMYFUNCTION("""COMPUTED_VALUE"""),"RASPBERRY PI")</f>
        <v>RASPBERRY PI</v>
      </c>
      <c r="G2442" s="605"/>
      <c r="H2442" s="605"/>
      <c r="I2442" s="605"/>
      <c r="J2442" s="606"/>
      <c r="K2442" s="605"/>
      <c r="L2442" s="605"/>
      <c r="M2442" s="605"/>
      <c r="N2442" s="605"/>
      <c r="O2442" s="605"/>
      <c r="P2442" s="605" t="s">
        <v>7933</v>
      </c>
    </row>
    <row r="2443">
      <c r="A2443" s="605"/>
      <c r="B2443" s="605"/>
      <c r="C2443" s="605"/>
      <c r="D2443" s="605"/>
      <c r="E2443" s="605" t="str">
        <f>IFERROR(__xludf.DUMMYFUNCTION("""COMPUTED_VALUE"""),"RATIONAL")</f>
        <v>RATIONAL</v>
      </c>
      <c r="F2443" s="605" t="str">
        <f>IFERROR(__xludf.DUMMYFUNCTION("""COMPUTED_VALUE"""),"ICOMBI PRO 62E")</f>
        <v>ICOMBI PRO 62E</v>
      </c>
      <c r="G2443" s="605"/>
      <c r="H2443" s="605"/>
      <c r="I2443" s="605"/>
      <c r="J2443" s="606"/>
      <c r="K2443" s="605"/>
      <c r="L2443" s="605"/>
      <c r="M2443" s="605"/>
      <c r="N2443" s="605"/>
      <c r="O2443" s="605"/>
      <c r="P2443" s="605" t="s">
        <v>7935</v>
      </c>
    </row>
    <row r="2444">
      <c r="A2444" s="605"/>
      <c r="B2444" s="605"/>
      <c r="C2444" s="605"/>
      <c r="D2444" s="605"/>
      <c r="E2444" s="605" t="str">
        <f>IFERROR(__xludf.DUMMYFUNCTION("""COMPUTED_VALUE"""),"RATIONAL")</f>
        <v>RATIONAL</v>
      </c>
      <c r="F2444" s="605" t="str">
        <f>IFERROR(__xludf.DUMMYFUNCTION("""COMPUTED_VALUE"""),"SCC WE 101")</f>
        <v>SCC WE 101</v>
      </c>
      <c r="G2444" s="605"/>
      <c r="H2444" s="605"/>
      <c r="I2444" s="605"/>
      <c r="J2444" s="606"/>
      <c r="K2444" s="605"/>
      <c r="L2444" s="605"/>
      <c r="M2444" s="605"/>
      <c r="N2444" s="605"/>
      <c r="O2444" s="605"/>
      <c r="P2444" s="605" t="s">
        <v>7937</v>
      </c>
    </row>
    <row r="2445">
      <c r="A2445" s="605"/>
      <c r="B2445" s="605"/>
      <c r="C2445" s="605"/>
      <c r="D2445" s="605"/>
      <c r="E2445" s="605" t="str">
        <f>IFERROR(__xludf.DUMMYFUNCTION("""COMPUTED_VALUE"""),"RATIONAL")</f>
        <v>RATIONAL</v>
      </c>
      <c r="F2445" s="605" t="str">
        <f>IFERROR(__xludf.DUMMYFUNCTION("""COMPUTED_VALUE"""),"SCC WE 102")</f>
        <v>SCC WE 102</v>
      </c>
      <c r="G2445" s="605"/>
      <c r="H2445" s="605"/>
      <c r="I2445" s="605"/>
      <c r="J2445" s="606"/>
      <c r="K2445" s="605"/>
      <c r="L2445" s="605"/>
      <c r="M2445" s="605"/>
      <c r="N2445" s="605"/>
      <c r="O2445" s="605"/>
      <c r="P2445" s="605" t="s">
        <v>7939</v>
      </c>
    </row>
    <row r="2446">
      <c r="A2446" s="605"/>
      <c r="B2446" s="605"/>
      <c r="C2446" s="605"/>
      <c r="D2446" s="605"/>
      <c r="E2446" s="605" t="str">
        <f>IFERROR(__xludf.DUMMYFUNCTION("""COMPUTED_VALUE"""),"RATIONAL")</f>
        <v>RATIONAL</v>
      </c>
      <c r="F2446" s="605" t="str">
        <f>IFERROR(__xludf.DUMMYFUNCTION("""COMPUTED_VALUE"""),"SCC WE 102")</f>
        <v>SCC WE 102</v>
      </c>
      <c r="G2446" s="605"/>
      <c r="H2446" s="605"/>
      <c r="I2446" s="605"/>
      <c r="J2446" s="606"/>
      <c r="K2446" s="605"/>
      <c r="L2446" s="605"/>
      <c r="M2446" s="605"/>
      <c r="N2446" s="605"/>
      <c r="O2446" s="605"/>
      <c r="P2446" s="605" t="s">
        <v>7941</v>
      </c>
    </row>
    <row r="2447">
      <c r="A2447" s="605"/>
      <c r="B2447" s="605"/>
      <c r="C2447" s="605"/>
      <c r="D2447" s="605"/>
      <c r="E2447" s="605" t="str">
        <f>IFERROR(__xludf.DUMMYFUNCTION("""COMPUTED_VALUE"""),"RATIONAL")</f>
        <v>RATIONAL</v>
      </c>
      <c r="F2447" s="605" t="str">
        <f>IFERROR(__xludf.DUMMYFUNCTION("""COMPUTED_VALUE"""),"SCC61E")</f>
        <v>SCC61E</v>
      </c>
      <c r="G2447" s="605"/>
      <c r="H2447" s="605"/>
      <c r="I2447" s="605"/>
      <c r="J2447" s="606"/>
      <c r="K2447" s="605"/>
      <c r="L2447" s="605"/>
      <c r="M2447" s="605"/>
      <c r="N2447" s="605"/>
      <c r="O2447" s="605"/>
      <c r="P2447" s="605" t="s">
        <v>7943</v>
      </c>
    </row>
    <row r="2448">
      <c r="A2448" s="605"/>
      <c r="B2448" s="605"/>
      <c r="C2448" s="605"/>
      <c r="D2448" s="605"/>
      <c r="E2448" s="605" t="str">
        <f>IFERROR(__xludf.DUMMYFUNCTION("""COMPUTED_VALUE"""),"RATIONAL")</f>
        <v>RATIONAL</v>
      </c>
      <c r="F2448" s="605" t="str">
        <f>IFERROR(__xludf.DUMMYFUNCTION("""COMPUTED_VALUE"""),"SCC62G")</f>
        <v>SCC62G</v>
      </c>
      <c r="G2448" s="605"/>
      <c r="H2448" s="605"/>
      <c r="I2448" s="605"/>
      <c r="J2448" s="606"/>
      <c r="K2448" s="605"/>
      <c r="L2448" s="605"/>
      <c r="M2448" s="605"/>
      <c r="N2448" s="605"/>
      <c r="O2448" s="605"/>
      <c r="P2448" s="605" t="s">
        <v>3428</v>
      </c>
    </row>
    <row r="2449">
      <c r="A2449" s="605"/>
      <c r="B2449" s="605"/>
      <c r="C2449" s="605"/>
      <c r="D2449" s="605"/>
      <c r="E2449" s="605" t="str">
        <f>IFERROR(__xludf.DUMMYFUNCTION("""COMPUTED_VALUE"""),"RATIONAL")</f>
        <v>RATIONAL</v>
      </c>
      <c r="F2449" s="605" t="str">
        <f>IFERROR(__xludf.DUMMYFUNCTION("""COMPUTED_VALUE"""),"SCC62G")</f>
        <v>SCC62G</v>
      </c>
      <c r="G2449" s="605"/>
      <c r="H2449" s="605"/>
      <c r="I2449" s="605"/>
      <c r="J2449" s="606"/>
      <c r="K2449" s="605"/>
      <c r="L2449" s="605"/>
      <c r="M2449" s="605"/>
      <c r="N2449" s="605"/>
      <c r="O2449" s="605"/>
      <c r="P2449" s="605" t="s">
        <v>7945</v>
      </c>
    </row>
    <row r="2450">
      <c r="A2450" s="605"/>
      <c r="B2450" s="605"/>
      <c r="C2450" s="605"/>
      <c r="D2450" s="605"/>
      <c r="E2450" s="605" t="str">
        <f>IFERROR(__xludf.DUMMYFUNCTION("""COMPUTED_VALUE"""),"RATIONAL")</f>
        <v>RATIONAL</v>
      </c>
      <c r="F2450" s="605" t="str">
        <f>IFERROR(__xludf.DUMMYFUNCTION("""COMPUTED_VALUE"""),"SCC-202G")</f>
        <v>SCC-202G</v>
      </c>
      <c r="G2450" s="605"/>
      <c r="H2450" s="605"/>
      <c r="I2450" s="605"/>
      <c r="J2450" s="606"/>
      <c r="K2450" s="605"/>
      <c r="L2450" s="605"/>
      <c r="M2450" s="605"/>
      <c r="N2450" s="605"/>
      <c r="O2450" s="605"/>
      <c r="P2450" s="605" t="s">
        <v>7947</v>
      </c>
    </row>
    <row r="2451">
      <c r="A2451" s="605"/>
      <c r="B2451" s="605"/>
      <c r="C2451" s="605"/>
      <c r="D2451" s="605"/>
      <c r="E2451" s="605" t="str">
        <f>IFERROR(__xludf.DUMMYFUNCTION("""COMPUTED_VALUE"""),"RATIONAL")</f>
        <v>RATIONAL</v>
      </c>
      <c r="F2451" s="605" t="str">
        <f>IFERROR(__xludf.DUMMYFUNCTION("""COMPUTED_VALUE"""),"SCC62G")</f>
        <v>SCC62G</v>
      </c>
      <c r="G2451" s="605"/>
      <c r="H2451" s="605"/>
      <c r="I2451" s="605"/>
      <c r="J2451" s="606"/>
      <c r="K2451" s="605"/>
      <c r="L2451" s="605"/>
      <c r="M2451" s="605"/>
      <c r="N2451" s="605"/>
      <c r="O2451" s="605"/>
      <c r="P2451" s="605" t="s">
        <v>7949</v>
      </c>
    </row>
    <row r="2452">
      <c r="A2452" s="605"/>
      <c r="B2452" s="605"/>
      <c r="C2452" s="605"/>
      <c r="D2452" s="605"/>
      <c r="E2452" s="605" t="str">
        <f>IFERROR(__xludf.DUMMYFUNCTION("""COMPUTED_VALUE"""),"RATIONAL")</f>
        <v>RATIONAL</v>
      </c>
      <c r="F2452" s="605" t="str">
        <f>IFERROR(__xludf.DUMMYFUNCTION("""COMPUTED_VALUE"""),"102E")</f>
        <v>102E</v>
      </c>
      <c r="G2452" s="605"/>
      <c r="H2452" s="605"/>
      <c r="I2452" s="605"/>
      <c r="J2452" s="606"/>
      <c r="K2452" s="605"/>
      <c r="L2452" s="605"/>
      <c r="M2452" s="605"/>
      <c r="N2452" s="605"/>
      <c r="O2452" s="605"/>
      <c r="P2452" s="605" t="s">
        <v>7951</v>
      </c>
    </row>
    <row r="2453">
      <c r="A2453" s="605"/>
      <c r="B2453" s="605"/>
      <c r="C2453" s="605"/>
      <c r="D2453" s="605"/>
      <c r="E2453" s="605" t="str">
        <f>IFERROR(__xludf.DUMMYFUNCTION("""COMPUTED_VALUE"""),"RATIONAL")</f>
        <v>RATIONAL</v>
      </c>
      <c r="F2453" s="605" t="str">
        <f>IFERROR(__xludf.DUMMYFUNCTION("""COMPUTED_VALUE"""),"62G")</f>
        <v>62G</v>
      </c>
      <c r="G2453" s="605"/>
      <c r="H2453" s="605"/>
      <c r="I2453" s="605"/>
      <c r="J2453" s="606"/>
      <c r="K2453" s="605"/>
      <c r="L2453" s="605"/>
      <c r="M2453" s="605"/>
      <c r="N2453" s="605"/>
      <c r="O2453" s="605"/>
      <c r="P2453" s="605" t="s">
        <v>7953</v>
      </c>
    </row>
    <row r="2454">
      <c r="A2454" s="605"/>
      <c r="B2454" s="605"/>
      <c r="C2454" s="605"/>
      <c r="D2454" s="605"/>
      <c r="E2454" s="605" t="str">
        <f>IFERROR(__xludf.DUMMYFUNCTION("""COMPUTED_VALUE"""),"RATIONAL")</f>
        <v>RATIONAL</v>
      </c>
      <c r="F2454" s="605" t="str">
        <f>IFERROR(__xludf.DUMMYFUNCTION("""COMPUTED_VALUE"""),"ICOMBIPRO")</f>
        <v>ICOMBIPRO</v>
      </c>
      <c r="G2454" s="605"/>
      <c r="H2454" s="605"/>
      <c r="I2454" s="605"/>
      <c r="J2454" s="606"/>
      <c r="K2454" s="605"/>
      <c r="L2454" s="605"/>
      <c r="M2454" s="605"/>
      <c r="N2454" s="605"/>
      <c r="O2454" s="605"/>
      <c r="P2454" s="605" t="s">
        <v>7955</v>
      </c>
    </row>
    <row r="2455">
      <c r="A2455" s="605"/>
      <c r="B2455" s="605"/>
      <c r="C2455" s="605"/>
      <c r="D2455" s="605"/>
      <c r="E2455" s="605" t="str">
        <f>IFERROR(__xludf.DUMMYFUNCTION("""COMPUTED_VALUE"""),"RATIONAL")</f>
        <v>RATIONAL</v>
      </c>
      <c r="F2455" s="605" t="str">
        <f>IFERROR(__xludf.DUMMYFUNCTION("""COMPUTED_VALUE"""),"IVARIO PRO L")</f>
        <v>IVARIO PRO L</v>
      </c>
      <c r="G2455" s="605"/>
      <c r="H2455" s="605"/>
      <c r="I2455" s="605"/>
      <c r="J2455" s="606"/>
      <c r="K2455" s="605"/>
      <c r="L2455" s="605"/>
      <c r="M2455" s="605"/>
      <c r="N2455" s="605"/>
      <c r="O2455" s="605"/>
      <c r="P2455" s="605" t="s">
        <v>7957</v>
      </c>
    </row>
    <row r="2456">
      <c r="A2456" s="605"/>
      <c r="B2456" s="605"/>
      <c r="C2456" s="605"/>
      <c r="D2456" s="605"/>
      <c r="E2456" s="605" t="str">
        <f>IFERROR(__xludf.DUMMYFUNCTION("""COMPUTED_VALUE"""),"RATIONAL")</f>
        <v>RATIONAL</v>
      </c>
      <c r="F2456" s="605" t="str">
        <f>IFERROR(__xludf.DUMMYFUNCTION("""COMPUTED_VALUE"""),"IVARIO PRO L")</f>
        <v>IVARIO PRO L</v>
      </c>
      <c r="G2456" s="605"/>
      <c r="H2456" s="605"/>
      <c r="I2456" s="605"/>
      <c r="J2456" s="606"/>
      <c r="K2456" s="605"/>
      <c r="L2456" s="605"/>
      <c r="M2456" s="605"/>
      <c r="N2456" s="605"/>
      <c r="O2456" s="605"/>
      <c r="P2456" s="605" t="s">
        <v>7959</v>
      </c>
    </row>
    <row r="2457">
      <c r="A2457" s="605"/>
      <c r="B2457" s="605"/>
      <c r="C2457" s="605"/>
      <c r="D2457" s="605"/>
      <c r="E2457" s="605" t="str">
        <f>IFERROR(__xludf.DUMMYFUNCTION("""COMPUTED_VALUE"""),"RATIONAL")</f>
        <v>RATIONAL</v>
      </c>
      <c r="F2457" s="605" t="str">
        <f>IFERROR(__xludf.DUMMYFUNCTION("""COMPUTED_VALUE"""),"VCC 211+")</f>
        <v>VCC 211+</v>
      </c>
      <c r="G2457" s="605"/>
      <c r="H2457" s="605"/>
      <c r="I2457" s="605"/>
      <c r="J2457" s="606"/>
      <c r="K2457" s="605"/>
      <c r="L2457" s="605"/>
      <c r="M2457" s="605"/>
      <c r="N2457" s="605"/>
      <c r="O2457" s="605"/>
      <c r="P2457" s="605" t="s">
        <v>7961</v>
      </c>
    </row>
    <row r="2458">
      <c r="A2458" s="605"/>
      <c r="B2458" s="605"/>
      <c r="C2458" s="605"/>
      <c r="D2458" s="605"/>
      <c r="E2458" s="605" t="str">
        <f>IFERROR(__xludf.DUMMYFUNCTION("""COMPUTED_VALUE"""),"RATIONAL")</f>
        <v>RATIONAL</v>
      </c>
      <c r="F2458" s="605" t="str">
        <f>IFERROR(__xludf.DUMMYFUNCTION("""COMPUTED_VALUE"""),"VCC 211+")</f>
        <v>VCC 211+</v>
      </c>
      <c r="G2458" s="605"/>
      <c r="H2458" s="605"/>
      <c r="I2458" s="605"/>
      <c r="J2458" s="606"/>
      <c r="K2458" s="605"/>
      <c r="L2458" s="605"/>
      <c r="M2458" s="605"/>
      <c r="N2458" s="605"/>
      <c r="O2458" s="605"/>
      <c r="P2458" s="605" t="s">
        <v>7963</v>
      </c>
    </row>
    <row r="2459">
      <c r="A2459" s="605"/>
      <c r="B2459" s="605"/>
      <c r="C2459" s="605"/>
      <c r="D2459" s="605"/>
      <c r="E2459" s="605" t="str">
        <f>IFERROR(__xludf.DUMMYFUNCTION("""COMPUTED_VALUE"""),"RATIONAL")</f>
        <v>RATIONAL</v>
      </c>
      <c r="F2459" s="605" t="str">
        <f>IFERROR(__xludf.DUMMYFUNCTION("""COMPUTED_VALUE"""),"SCC WE 201G")</f>
        <v>SCC WE 201G</v>
      </c>
      <c r="G2459" s="605"/>
      <c r="H2459" s="605"/>
      <c r="I2459" s="605"/>
      <c r="J2459" s="606"/>
      <c r="K2459" s="605"/>
      <c r="L2459" s="605"/>
      <c r="M2459" s="605"/>
      <c r="N2459" s="605"/>
      <c r="O2459" s="605"/>
      <c r="P2459" s="605" t="s">
        <v>3431</v>
      </c>
    </row>
    <row r="2460">
      <c r="A2460" s="605"/>
      <c r="B2460" s="605"/>
      <c r="C2460" s="605"/>
      <c r="D2460" s="605"/>
      <c r="E2460" s="605" t="str">
        <f>IFERROR(__xludf.DUMMYFUNCTION("""COMPUTED_VALUE"""),"RATIONAL")</f>
        <v>RATIONAL</v>
      </c>
      <c r="F2460" s="605" t="str">
        <f>IFERROR(__xludf.DUMMYFUNCTION("""COMPUTED_VALUE"""),"ICOMBI PRO XS")</f>
        <v>ICOMBI PRO XS</v>
      </c>
      <c r="G2460" s="605"/>
      <c r="H2460" s="605"/>
      <c r="I2460" s="605"/>
      <c r="J2460" s="606"/>
      <c r="K2460" s="605"/>
      <c r="L2460" s="605"/>
      <c r="M2460" s="605"/>
      <c r="N2460" s="605"/>
      <c r="O2460" s="605"/>
      <c r="P2460" s="605" t="s">
        <v>7965</v>
      </c>
    </row>
    <row r="2461">
      <c r="A2461" s="605"/>
      <c r="B2461" s="605"/>
      <c r="C2461" s="605"/>
      <c r="D2461" s="605"/>
      <c r="E2461" s="605" t="str">
        <f>IFERROR(__xludf.DUMMYFUNCTION("""COMPUTED_VALUE"""),"RATIONAL")</f>
        <v>RATIONAL</v>
      </c>
      <c r="F2461" s="605" t="str">
        <f>IFERROR(__xludf.DUMMYFUNCTION("""COMPUTED_VALUE"""),"SCC WE 201")</f>
        <v>SCC WE 201</v>
      </c>
      <c r="G2461" s="605"/>
      <c r="H2461" s="605"/>
      <c r="I2461" s="605"/>
      <c r="J2461" s="606"/>
      <c r="K2461" s="605"/>
      <c r="L2461" s="605"/>
      <c r="M2461" s="605"/>
      <c r="N2461" s="605"/>
      <c r="O2461" s="605"/>
      <c r="P2461" s="605" t="s">
        <v>7967</v>
      </c>
    </row>
    <row r="2462">
      <c r="A2462" s="605"/>
      <c r="B2462" s="605"/>
      <c r="C2462" s="605"/>
      <c r="D2462" s="605"/>
      <c r="E2462" s="605" t="str">
        <f>IFERROR(__xludf.DUMMYFUNCTION("""COMPUTED_VALUE"""),"RATIONAL")</f>
        <v>RATIONAL</v>
      </c>
      <c r="F2462" s="605" t="str">
        <f>IFERROR(__xludf.DUMMYFUNCTION("""COMPUTED_VALUE"""),"SELF COOKING CENTER")</f>
        <v>SELF COOKING CENTER</v>
      </c>
      <c r="G2462" s="605"/>
      <c r="H2462" s="605"/>
      <c r="I2462" s="605"/>
      <c r="J2462" s="606"/>
      <c r="K2462" s="605"/>
      <c r="L2462" s="605"/>
      <c r="M2462" s="605"/>
      <c r="N2462" s="605"/>
      <c r="O2462" s="605"/>
      <c r="P2462" s="605" t="s">
        <v>7969</v>
      </c>
    </row>
    <row r="2463">
      <c r="A2463" s="605"/>
      <c r="B2463" s="605"/>
      <c r="C2463" s="605"/>
      <c r="D2463" s="605"/>
      <c r="E2463" s="605" t="str">
        <f>IFERROR(__xludf.DUMMYFUNCTION("""COMPUTED_VALUE"""),"RATIONAL")</f>
        <v>RATIONAL</v>
      </c>
      <c r="F2463" s="605" t="str">
        <f>IFERROR(__xludf.DUMMYFUNCTION("""COMPUTED_VALUE"""),"IVARIO PRO XL")</f>
        <v>IVARIO PRO XL</v>
      </c>
      <c r="G2463" s="605"/>
      <c r="H2463" s="605"/>
      <c r="I2463" s="605"/>
      <c r="J2463" s="606"/>
      <c r="K2463" s="605"/>
      <c r="L2463" s="605"/>
      <c r="M2463" s="605"/>
      <c r="N2463" s="605"/>
      <c r="O2463" s="605"/>
      <c r="P2463" s="605" t="s">
        <v>7971</v>
      </c>
    </row>
    <row r="2464">
      <c r="A2464" s="605"/>
      <c r="B2464" s="605"/>
      <c r="C2464" s="605"/>
      <c r="D2464" s="605"/>
      <c r="E2464" s="605" t="str">
        <f>IFERROR(__xludf.DUMMYFUNCTION("""COMPUTED_VALUE"""),"RATIONAL")</f>
        <v>RATIONAL</v>
      </c>
      <c r="F2464" s="605" t="str">
        <f>IFERROR(__xludf.DUMMYFUNCTION("""COMPUTED_VALUE"""),"SCC WE 61G")</f>
        <v>SCC WE 61G</v>
      </c>
      <c r="G2464" s="605"/>
      <c r="H2464" s="605"/>
      <c r="I2464" s="605"/>
      <c r="J2464" s="606"/>
      <c r="K2464" s="605"/>
      <c r="L2464" s="605"/>
      <c r="M2464" s="605"/>
      <c r="N2464" s="605"/>
      <c r="O2464" s="605"/>
      <c r="P2464" s="605" t="s">
        <v>7973</v>
      </c>
    </row>
    <row r="2465">
      <c r="A2465" s="605"/>
      <c r="B2465" s="605"/>
      <c r="C2465" s="605"/>
      <c r="D2465" s="605"/>
      <c r="E2465" s="605" t="str">
        <f>IFERROR(__xludf.DUMMYFUNCTION("""COMPUTED_VALUE"""),"RATIONAL")</f>
        <v>RATIONAL</v>
      </c>
      <c r="F2465" s="605" t="str">
        <f>IFERROR(__xludf.DUMMYFUNCTION("""COMPUTED_VALUE"""),"SCC WE 101G")</f>
        <v>SCC WE 101G</v>
      </c>
      <c r="G2465" s="605"/>
      <c r="H2465" s="605"/>
      <c r="I2465" s="605"/>
      <c r="J2465" s="606"/>
      <c r="K2465" s="605"/>
      <c r="L2465" s="605"/>
      <c r="M2465" s="605"/>
      <c r="N2465" s="605"/>
      <c r="O2465" s="605"/>
      <c r="P2465" s="605" t="s">
        <v>7975</v>
      </c>
    </row>
    <row r="2466">
      <c r="A2466" s="605"/>
      <c r="B2466" s="605"/>
      <c r="C2466" s="605"/>
      <c r="D2466" s="605"/>
      <c r="E2466" s="605" t="str">
        <f>IFERROR(__xludf.DUMMYFUNCTION("""COMPUTED_VALUE"""),"RATIONAL")</f>
        <v>RATIONAL</v>
      </c>
      <c r="F2466" s="605" t="str">
        <f>IFERROR(__xludf.DUMMYFUNCTION("""COMPUTED_VALUE"""),"ICOMBI CLASSIC")</f>
        <v>ICOMBI CLASSIC</v>
      </c>
      <c r="G2466" s="605"/>
      <c r="H2466" s="605"/>
      <c r="I2466" s="605"/>
      <c r="J2466" s="606"/>
      <c r="K2466" s="605"/>
      <c r="L2466" s="605"/>
      <c r="M2466" s="605"/>
      <c r="N2466" s="605"/>
      <c r="O2466" s="605"/>
      <c r="P2466" s="605" t="s">
        <v>7977</v>
      </c>
    </row>
    <row r="2467">
      <c r="A2467" s="605"/>
      <c r="B2467" s="605"/>
      <c r="C2467" s="605"/>
      <c r="D2467" s="605"/>
      <c r="E2467" s="605" t="str">
        <f>IFERROR(__xludf.DUMMYFUNCTION("""COMPUTED_VALUE"""),"RAVEL ELECTRONICS")</f>
        <v>RAVEL ELECTRONICS</v>
      </c>
      <c r="F2467" s="605" t="str">
        <f>IFERROR(__xludf.DUMMYFUNCTION("""COMPUTED_VALUE"""),"RE-45AR")</f>
        <v>RE-45AR</v>
      </c>
      <c r="G2467" s="605"/>
      <c r="H2467" s="605"/>
      <c r="I2467" s="605"/>
      <c r="J2467" s="606"/>
      <c r="K2467" s="605"/>
      <c r="L2467" s="605"/>
      <c r="M2467" s="605"/>
      <c r="N2467" s="605"/>
      <c r="O2467" s="605"/>
      <c r="P2467" s="605" t="s">
        <v>7979</v>
      </c>
    </row>
    <row r="2468">
      <c r="A2468" s="605"/>
      <c r="B2468" s="605"/>
      <c r="C2468" s="605"/>
      <c r="D2468" s="605"/>
      <c r="E2468" s="605" t="str">
        <f>IFERROR(__xludf.DUMMYFUNCTION("""COMPUTED_VALUE"""),"RAVEL ELECTRONICS")</f>
        <v>RAVEL ELECTRONICS</v>
      </c>
      <c r="F2468" s="605" t="str">
        <f>IFERROR(__xludf.DUMMYFUNCTION("""COMPUTED_VALUE"""),"RE-517ME")</f>
        <v>RE-517ME</v>
      </c>
      <c r="G2468" s="605"/>
      <c r="H2468" s="605"/>
      <c r="I2468" s="605"/>
      <c r="J2468" s="606"/>
      <c r="K2468" s="605"/>
      <c r="L2468" s="605"/>
      <c r="M2468" s="605"/>
      <c r="N2468" s="605"/>
      <c r="O2468" s="605"/>
      <c r="P2468" s="605" t="s">
        <v>7981</v>
      </c>
    </row>
    <row r="2469">
      <c r="A2469" s="605"/>
      <c r="B2469" s="605"/>
      <c r="C2469" s="605"/>
      <c r="D2469" s="605"/>
      <c r="E2469" s="605" t="str">
        <f>IFERROR(__xludf.DUMMYFUNCTION("""COMPUTED_VALUE"""),"RAYCHEM")</f>
        <v>RAYCHEM</v>
      </c>
      <c r="F2469" s="605" t="str">
        <f>IFERROR(__xludf.DUMMYFUNCTION("""COMPUTED_VALUE"""),"RAYSTAT V5")</f>
        <v>RAYSTAT V5</v>
      </c>
      <c r="G2469" s="605"/>
      <c r="H2469" s="605"/>
      <c r="I2469" s="605"/>
      <c r="J2469" s="606"/>
      <c r="K2469" s="605"/>
      <c r="L2469" s="605"/>
      <c r="M2469" s="605"/>
      <c r="N2469" s="605"/>
      <c r="O2469" s="605"/>
      <c r="P2469" s="605" t="s">
        <v>7983</v>
      </c>
    </row>
    <row r="2470">
      <c r="A2470" s="605"/>
      <c r="B2470" s="605"/>
      <c r="C2470" s="605"/>
      <c r="D2470" s="605"/>
      <c r="E2470" s="605" t="str">
        <f>IFERROR(__xludf.DUMMYFUNCTION("""COMPUTED_VALUE"""),"RAYCHEM")</f>
        <v>RAYCHEM</v>
      </c>
      <c r="F2470" s="605" t="str">
        <f>IFERROR(__xludf.DUMMYFUNCTION("""COMPUTED_VALUE"""),"TTSIM-1A-230")</f>
        <v>TTSIM-1A-230</v>
      </c>
      <c r="G2470" s="605"/>
      <c r="H2470" s="605"/>
      <c r="I2470" s="605"/>
      <c r="J2470" s="606"/>
      <c r="K2470" s="605"/>
      <c r="L2470" s="605"/>
      <c r="M2470" s="605"/>
      <c r="N2470" s="605"/>
      <c r="O2470" s="605"/>
      <c r="P2470" s="605" t="s">
        <v>3434</v>
      </c>
    </row>
    <row r="2471">
      <c r="A2471" s="605"/>
      <c r="B2471" s="605"/>
      <c r="C2471" s="605"/>
      <c r="D2471" s="605"/>
      <c r="E2471" s="605" t="str">
        <f>IFERROR(__xludf.DUMMYFUNCTION("""COMPUTED_VALUE"""),"RAYCHEM")</f>
        <v>RAYCHEM</v>
      </c>
      <c r="F2471" s="605" t="str">
        <f>IFERROR(__xludf.DUMMYFUNCTION("""COMPUTED_VALUE"""),"TTSIM-2")</f>
        <v>TTSIM-2</v>
      </c>
      <c r="G2471" s="605"/>
      <c r="H2471" s="605"/>
      <c r="I2471" s="605"/>
      <c r="J2471" s="606"/>
      <c r="K2471" s="605"/>
      <c r="L2471" s="605"/>
      <c r="M2471" s="605"/>
      <c r="N2471" s="605"/>
      <c r="O2471" s="605"/>
      <c r="P2471" s="605" t="s">
        <v>7985</v>
      </c>
    </row>
    <row r="2472">
      <c r="A2472" s="605"/>
      <c r="B2472" s="605"/>
      <c r="C2472" s="605"/>
      <c r="D2472" s="605"/>
      <c r="E2472" s="605" t="str">
        <f>IFERROR(__xludf.DUMMYFUNCTION("""COMPUTED_VALUE"""),"RAYPAK")</f>
        <v>RAYPAK</v>
      </c>
      <c r="F2472" s="605" t="str">
        <f>IFERROR(__xludf.DUMMYFUNCTION("""COMPUTED_VALUE"""),"XVERS-TYPE H")</f>
        <v>XVERS-TYPE H</v>
      </c>
      <c r="G2472" s="605"/>
      <c r="H2472" s="605"/>
      <c r="I2472" s="605"/>
      <c r="J2472" s="606"/>
      <c r="K2472" s="605"/>
      <c r="L2472" s="605"/>
      <c r="M2472" s="605"/>
      <c r="N2472" s="605"/>
      <c r="O2472" s="605"/>
      <c r="P2472" s="605" t="s">
        <v>7987</v>
      </c>
    </row>
    <row r="2473">
      <c r="A2473" s="605"/>
      <c r="B2473" s="605"/>
      <c r="C2473" s="605"/>
      <c r="D2473" s="605"/>
      <c r="E2473" s="605" t="str">
        <f>IFERROR(__xludf.DUMMYFUNCTION("""COMPUTED_VALUE"""),"RED LION")</f>
        <v>RED LION</v>
      </c>
      <c r="F2473" s="605" t="str">
        <f>IFERROR(__xludf.DUMMYFUNCTION("""COMPUTED_VALUE"""),"508TX-A")</f>
        <v>508TX-A</v>
      </c>
      <c r="G2473" s="605"/>
      <c r="H2473" s="605"/>
      <c r="I2473" s="605"/>
      <c r="J2473" s="606"/>
      <c r="K2473" s="605"/>
      <c r="L2473" s="605"/>
      <c r="M2473" s="605"/>
      <c r="N2473" s="605"/>
      <c r="O2473" s="605"/>
      <c r="P2473" s="605" t="s">
        <v>7989</v>
      </c>
    </row>
    <row r="2474">
      <c r="A2474" s="605"/>
      <c r="B2474" s="605"/>
      <c r="C2474" s="605"/>
      <c r="D2474" s="605"/>
      <c r="E2474" s="605" t="str">
        <f>IFERROR(__xludf.DUMMYFUNCTION("""COMPUTED_VALUE"""),"RED LION")</f>
        <v>RED LION</v>
      </c>
      <c r="F2474" s="605" t="str">
        <f>IFERROR(__xludf.DUMMYFUNCTION("""COMPUTED_VALUE"""),"G3 KADET 2")</f>
        <v>G3 KADET 2</v>
      </c>
      <c r="G2474" s="605"/>
      <c r="H2474" s="605"/>
      <c r="I2474" s="605"/>
      <c r="J2474" s="606"/>
      <c r="K2474" s="605"/>
      <c r="L2474" s="605"/>
      <c r="M2474" s="605"/>
      <c r="N2474" s="605"/>
      <c r="O2474" s="605"/>
      <c r="P2474" s="605" t="s">
        <v>7991</v>
      </c>
    </row>
    <row r="2475">
      <c r="A2475" s="605"/>
      <c r="B2475" s="605"/>
      <c r="C2475" s="605"/>
      <c r="D2475" s="605"/>
      <c r="E2475" s="605" t="str">
        <f>IFERROR(__xludf.DUMMYFUNCTION("""COMPUTED_VALUE"""),"RELAY GMBH")</f>
        <v>RELAY GMBH</v>
      </c>
      <c r="F2475" s="605" t="str">
        <f>IFERROR(__xludf.DUMMYFUNCTION("""COMPUTED_VALUE"""),"M-BUS DATA LOGGER")</f>
        <v>M-BUS DATA LOGGER</v>
      </c>
      <c r="G2475" s="605"/>
      <c r="H2475" s="605"/>
      <c r="I2475" s="605"/>
      <c r="J2475" s="606"/>
      <c r="K2475" s="605"/>
      <c r="L2475" s="605"/>
      <c r="M2475" s="605"/>
      <c r="N2475" s="605"/>
      <c r="O2475" s="605"/>
      <c r="P2475" s="605" t="s">
        <v>7993</v>
      </c>
    </row>
    <row r="2476">
      <c r="A2476" s="605"/>
      <c r="B2476" s="605"/>
      <c r="C2476" s="605"/>
      <c r="D2476" s="605"/>
      <c r="E2476" s="605" t="str">
        <f>IFERROR(__xludf.DUMMYFUNCTION("""COMPUTED_VALUE"""),"RENU ELECTRONICS")</f>
        <v>RENU ELECTRONICS</v>
      </c>
      <c r="F2476" s="605" t="str">
        <f>IFERROR(__xludf.DUMMYFUNCTION("""COMPUTED_VALUE"""),"FP4030")</f>
        <v>FP4030</v>
      </c>
      <c r="G2476" s="605"/>
      <c r="H2476" s="605"/>
      <c r="I2476" s="605"/>
      <c r="J2476" s="606"/>
      <c r="K2476" s="605"/>
      <c r="L2476" s="605"/>
      <c r="M2476" s="605"/>
      <c r="N2476" s="605"/>
      <c r="O2476" s="605"/>
      <c r="P2476" s="605" t="s">
        <v>7995</v>
      </c>
    </row>
    <row r="2477">
      <c r="A2477" s="605"/>
      <c r="B2477" s="605"/>
      <c r="C2477" s="605"/>
      <c r="D2477" s="605"/>
      <c r="E2477" s="605" t="str">
        <f>IFERROR(__xludf.DUMMYFUNCTION("""COMPUTED_VALUE"""),"RESI")</f>
        <v>RESI</v>
      </c>
      <c r="F2477" s="605" t="str">
        <f>IFERROR(__xludf.DUMMYFUNCTION("""COMPUTED_VALUE"""),"RESI-MBUS2-SIO")</f>
        <v>RESI-MBUS2-SIO</v>
      </c>
      <c r="G2477" s="605"/>
      <c r="H2477" s="605"/>
      <c r="I2477" s="605"/>
      <c r="J2477" s="606"/>
      <c r="K2477" s="605"/>
      <c r="L2477" s="605"/>
      <c r="M2477" s="605"/>
      <c r="N2477" s="605"/>
      <c r="O2477" s="605"/>
      <c r="P2477" s="605" t="s">
        <v>7997</v>
      </c>
    </row>
    <row r="2478">
      <c r="A2478" s="605"/>
      <c r="B2478" s="605"/>
      <c r="C2478" s="605"/>
      <c r="D2478" s="605"/>
      <c r="E2478" s="605" t="str">
        <f>IFERROR(__xludf.DUMMYFUNCTION("""COMPUTED_VALUE"""),"RESOURCE DM")</f>
        <v>RESOURCE DM</v>
      </c>
      <c r="F2478" s="605" t="str">
        <f>IFERROR(__xludf.DUMMYFUNCTION("""COMPUTED_VALUE"""),"DMTOUCH")</f>
        <v>DMTOUCH</v>
      </c>
      <c r="G2478" s="605"/>
      <c r="H2478" s="605"/>
      <c r="I2478" s="605"/>
      <c r="J2478" s="606"/>
      <c r="K2478" s="605"/>
      <c r="L2478" s="605"/>
      <c r="M2478" s="605"/>
      <c r="N2478" s="605"/>
      <c r="O2478" s="605"/>
      <c r="P2478" s="605" t="s">
        <v>7999</v>
      </c>
    </row>
    <row r="2479">
      <c r="A2479" s="605"/>
      <c r="B2479" s="605"/>
      <c r="C2479" s="605"/>
      <c r="D2479" s="605"/>
      <c r="E2479" s="605" t="str">
        <f>IFERROR(__xludf.DUMMYFUNCTION("""COMPUTED_VALUE"""),"RF CODE")</f>
        <v>RF CODE</v>
      </c>
      <c r="F2479" s="605" t="str">
        <f>IFERROR(__xludf.DUMMYFUNCTION("""COMPUTED_VALUE"""),"M250")</f>
        <v>M250</v>
      </c>
      <c r="G2479" s="605"/>
      <c r="H2479" s="605"/>
      <c r="I2479" s="605"/>
      <c r="J2479" s="606"/>
      <c r="K2479" s="605"/>
      <c r="L2479" s="605"/>
      <c r="M2479" s="605"/>
      <c r="N2479" s="605"/>
      <c r="O2479" s="605"/>
      <c r="P2479" s="605" t="s">
        <v>8002</v>
      </c>
    </row>
    <row r="2480">
      <c r="A2480" s="605"/>
      <c r="B2480" s="605"/>
      <c r="C2480" s="605"/>
      <c r="D2480" s="605"/>
      <c r="E2480" s="605" t="str">
        <f>IFERROR(__xludf.DUMMYFUNCTION("""COMPUTED_VALUE"""),"RICOH")</f>
        <v>RICOH</v>
      </c>
      <c r="F2480" s="605" t="str">
        <f>IFERROR(__xludf.DUMMYFUNCTION("""COMPUTED_VALUE"""),"SP C740")</f>
        <v>SP C740</v>
      </c>
      <c r="G2480" s="605"/>
      <c r="H2480" s="605"/>
      <c r="I2480" s="605"/>
      <c r="J2480" s="606"/>
      <c r="K2480" s="605"/>
      <c r="L2480" s="605"/>
      <c r="M2480" s="605"/>
      <c r="N2480" s="605"/>
      <c r="O2480" s="605"/>
      <c r="P2480" s="605" t="s">
        <v>8004</v>
      </c>
    </row>
    <row r="2481">
      <c r="A2481" s="605"/>
      <c r="B2481" s="605"/>
      <c r="C2481" s="605"/>
      <c r="D2481" s="605"/>
      <c r="E2481" s="605" t="str">
        <f>IFERROR(__xludf.DUMMYFUNCTION("""COMPUTED_VALUE"""),"RICOH")</f>
        <v>RICOH</v>
      </c>
      <c r="F2481" s="605" t="str">
        <f>IFERROR(__xludf.DUMMYFUNCTION("""COMPUTED_VALUE"""),"SP-C740")</f>
        <v>SP-C740</v>
      </c>
      <c r="G2481" s="605"/>
      <c r="H2481" s="605"/>
      <c r="I2481" s="605"/>
      <c r="J2481" s="606"/>
      <c r="K2481" s="605"/>
      <c r="L2481" s="605"/>
      <c r="M2481" s="605"/>
      <c r="N2481" s="605"/>
      <c r="O2481" s="605"/>
      <c r="P2481" s="605" t="s">
        <v>3437</v>
      </c>
    </row>
    <row r="2482">
      <c r="A2482" s="605"/>
      <c r="B2482" s="605"/>
      <c r="C2482" s="605"/>
      <c r="D2482" s="605"/>
      <c r="E2482" s="605" t="str">
        <f>IFERROR(__xludf.DUMMYFUNCTION("""COMPUTED_VALUE"""),"RIELLO")</f>
        <v>RIELLO</v>
      </c>
      <c r="F2482" s="605" t="str">
        <f>IFERROR(__xludf.DUMMYFUNCTION("""COMPUTED_VALUE"""),"RIELLO GMI 80T")</f>
        <v>RIELLO GMI 80T</v>
      </c>
      <c r="G2482" s="605"/>
      <c r="H2482" s="605"/>
      <c r="I2482" s="605"/>
      <c r="J2482" s="606"/>
      <c r="K2482" s="605"/>
      <c r="L2482" s="605"/>
      <c r="M2482" s="605"/>
      <c r="N2482" s="605"/>
      <c r="O2482" s="605"/>
      <c r="P2482" s="605" t="s">
        <v>8006</v>
      </c>
    </row>
    <row r="2483">
      <c r="A2483" s="605"/>
      <c r="B2483" s="605"/>
      <c r="C2483" s="605"/>
      <c r="D2483" s="605"/>
      <c r="E2483" s="605" t="str">
        <f>IFERROR(__xludf.DUMMYFUNCTION("""COMPUTED_VALUE"""),"RING")</f>
        <v>RING</v>
      </c>
      <c r="F2483" s="605" t="str">
        <f>IFERROR(__xludf.DUMMYFUNCTION("""COMPUTED_VALUE"""),"INDOOR CAM")</f>
        <v>INDOOR CAM</v>
      </c>
      <c r="G2483" s="605"/>
      <c r="H2483" s="605"/>
      <c r="I2483" s="605"/>
      <c r="J2483" s="606"/>
      <c r="K2483" s="605"/>
      <c r="L2483" s="605"/>
      <c r="M2483" s="605"/>
      <c r="N2483" s="605"/>
      <c r="O2483" s="605"/>
      <c r="P2483" s="605" t="s">
        <v>8008</v>
      </c>
    </row>
    <row r="2484">
      <c r="A2484" s="605"/>
      <c r="B2484" s="605"/>
      <c r="C2484" s="605"/>
      <c r="D2484" s="605"/>
      <c r="E2484" s="605" t="str">
        <f>IFERROR(__xludf.DUMMYFUNCTION("""COMPUTED_VALUE"""),"RIPPLES")</f>
        <v>RIPPLES</v>
      </c>
      <c r="F2484" s="605" t="str">
        <f>IFERROR(__xludf.DUMMYFUNCTION("""COMPUTED_VALUE"""),"RIPPLE MAKER II")</f>
        <v>RIPPLE MAKER II</v>
      </c>
      <c r="G2484" s="605"/>
      <c r="H2484" s="605"/>
      <c r="I2484" s="605"/>
      <c r="J2484" s="606"/>
      <c r="K2484" s="605"/>
      <c r="L2484" s="605"/>
      <c r="M2484" s="605"/>
      <c r="N2484" s="605"/>
      <c r="O2484" s="605"/>
      <c r="P2484" s="605" t="s">
        <v>8010</v>
      </c>
    </row>
    <row r="2485">
      <c r="A2485" s="605"/>
      <c r="B2485" s="605"/>
      <c r="C2485" s="605"/>
      <c r="D2485" s="605"/>
      <c r="E2485" s="605" t="str">
        <f>IFERROR(__xludf.DUMMYFUNCTION("""COMPUTED_VALUE"""),"RLE")</f>
        <v>RLE</v>
      </c>
      <c r="F2485" s="605" t="str">
        <f>IFERROR(__xludf.DUMMYFUNCTION("""COMPUTED_VALUE"""),"LD2100")</f>
        <v>LD2100</v>
      </c>
      <c r="G2485" s="605"/>
      <c r="H2485" s="605"/>
      <c r="I2485" s="605"/>
      <c r="J2485" s="606"/>
      <c r="K2485" s="605"/>
      <c r="L2485" s="605"/>
      <c r="M2485" s="605"/>
      <c r="N2485" s="605"/>
      <c r="O2485" s="605"/>
      <c r="P2485" s="605" t="s">
        <v>8012</v>
      </c>
    </row>
    <row r="2486">
      <c r="A2486" s="605"/>
      <c r="B2486" s="605"/>
      <c r="C2486" s="605"/>
      <c r="D2486" s="605"/>
      <c r="E2486" s="605" t="str">
        <f>IFERROR(__xludf.DUMMYFUNCTION("""COMPUTED_VALUE"""),"ROCKWELL")</f>
        <v>ROCKWELL</v>
      </c>
      <c r="F2486" s="605" t="str">
        <f>IFERROR(__xludf.DUMMYFUNCTION("""COMPUTED_VALUE"""),"1769-L32E")</f>
        <v>1769-L32E</v>
      </c>
      <c r="G2486" s="605"/>
      <c r="H2486" s="605"/>
      <c r="I2486" s="605"/>
      <c r="J2486" s="606"/>
      <c r="K2486" s="605"/>
      <c r="L2486" s="605"/>
      <c r="M2486" s="605"/>
      <c r="N2486" s="605"/>
      <c r="O2486" s="605"/>
      <c r="P2486" s="605" t="s">
        <v>8014</v>
      </c>
    </row>
    <row r="2487">
      <c r="A2487" s="605"/>
      <c r="B2487" s="605"/>
      <c r="C2487" s="605"/>
      <c r="D2487" s="605"/>
      <c r="E2487" s="605" t="str">
        <f>IFERROR(__xludf.DUMMYFUNCTION("""COMPUTED_VALUE"""),"ROCKWELL")</f>
        <v>ROCKWELL</v>
      </c>
      <c r="F2487" s="605" t="str">
        <f>IFERROR(__xludf.DUMMYFUNCTION("""COMPUTED_VALUE"""),"PANELVIEW C600")</f>
        <v>PANELVIEW C600</v>
      </c>
      <c r="G2487" s="605"/>
      <c r="H2487" s="605"/>
      <c r="I2487" s="605"/>
      <c r="J2487" s="606"/>
      <c r="K2487" s="605"/>
      <c r="L2487" s="605"/>
      <c r="M2487" s="605"/>
      <c r="N2487" s="605"/>
      <c r="O2487" s="605"/>
      <c r="P2487" s="605" t="s">
        <v>8016</v>
      </c>
    </row>
    <row r="2488">
      <c r="A2488" s="605"/>
      <c r="B2488" s="605"/>
      <c r="C2488" s="605"/>
      <c r="D2488" s="605"/>
      <c r="E2488" s="605" t="str">
        <f>IFERROR(__xludf.DUMMYFUNCTION("""COMPUTED_VALUE"""),"ROCKWELL")</f>
        <v>ROCKWELL</v>
      </c>
      <c r="F2488" s="605" t="str">
        <f>IFERROR(__xludf.DUMMYFUNCTION("""COMPUTED_VALUE"""),"MICROLOGIX 1100")</f>
        <v>MICROLOGIX 1100</v>
      </c>
      <c r="G2488" s="605"/>
      <c r="H2488" s="605"/>
      <c r="I2488" s="605"/>
      <c r="J2488" s="606"/>
      <c r="K2488" s="605"/>
      <c r="L2488" s="605"/>
      <c r="M2488" s="605"/>
      <c r="N2488" s="605"/>
      <c r="O2488" s="605"/>
      <c r="P2488" s="605" t="s">
        <v>8018</v>
      </c>
    </row>
    <row r="2489">
      <c r="A2489" s="605"/>
      <c r="B2489" s="605"/>
      <c r="C2489" s="605"/>
      <c r="D2489" s="605"/>
      <c r="E2489" s="605" t="str">
        <f>IFERROR(__xludf.DUMMYFUNCTION("""COMPUTED_VALUE"""),"ROCKWELL")</f>
        <v>ROCKWELL</v>
      </c>
      <c r="F2489" s="605" t="str">
        <f>IFERROR(__xludf.DUMMYFUNCTION("""COMPUTED_VALUE"""),"PANELVIEW PLUS 1200")</f>
        <v>PANELVIEW PLUS 1200</v>
      </c>
      <c r="G2489" s="605"/>
      <c r="H2489" s="605"/>
      <c r="I2489" s="605"/>
      <c r="J2489" s="606"/>
      <c r="K2489" s="605"/>
      <c r="L2489" s="605"/>
      <c r="M2489" s="605"/>
      <c r="N2489" s="605"/>
      <c r="O2489" s="605"/>
      <c r="P2489" s="605" t="s">
        <v>8020</v>
      </c>
    </row>
    <row r="2490">
      <c r="A2490" s="605"/>
      <c r="B2490" s="605"/>
      <c r="C2490" s="605"/>
      <c r="D2490" s="605"/>
      <c r="E2490" s="605" t="str">
        <f>IFERROR(__xludf.DUMMYFUNCTION("""COMPUTED_VALUE"""),"ROCKWELL")</f>
        <v>ROCKWELL</v>
      </c>
      <c r="F2490" s="605" t="str">
        <f>IFERROR(__xludf.DUMMYFUNCTION("""COMPUTED_VALUE"""),"PANELVIEW PLUS 1250")</f>
        <v>PANELVIEW PLUS 1250</v>
      </c>
      <c r="G2490" s="605"/>
      <c r="H2490" s="605"/>
      <c r="I2490" s="605"/>
      <c r="J2490" s="606"/>
      <c r="K2490" s="605"/>
      <c r="L2490" s="605"/>
      <c r="M2490" s="605"/>
      <c r="N2490" s="605"/>
      <c r="O2490" s="605"/>
      <c r="P2490" s="605" t="s">
        <v>8022</v>
      </c>
    </row>
    <row r="2491">
      <c r="A2491" s="605"/>
      <c r="B2491" s="605"/>
      <c r="C2491" s="605"/>
      <c r="D2491" s="605"/>
      <c r="E2491" s="605" t="str">
        <f>IFERROR(__xludf.DUMMYFUNCTION("""COMPUTED_VALUE"""),"ROCKWELL")</f>
        <v>ROCKWELL</v>
      </c>
      <c r="F2491" s="605" t="str">
        <f>IFERROR(__xludf.DUMMYFUNCTION("""COMPUTED_VALUE"""),"PANELVIEW PLUS 1000")</f>
        <v>PANELVIEW PLUS 1000</v>
      </c>
      <c r="G2491" s="605"/>
      <c r="H2491" s="605"/>
      <c r="I2491" s="605"/>
      <c r="J2491" s="606"/>
      <c r="K2491" s="605"/>
      <c r="L2491" s="605"/>
      <c r="M2491" s="605"/>
      <c r="N2491" s="605"/>
      <c r="O2491" s="605"/>
      <c r="P2491" s="605" t="s">
        <v>8024</v>
      </c>
    </row>
    <row r="2492">
      <c r="A2492" s="605"/>
      <c r="B2492" s="605"/>
      <c r="C2492" s="605"/>
      <c r="D2492" s="605"/>
      <c r="E2492" s="605" t="str">
        <f>IFERROR(__xludf.DUMMYFUNCTION("""COMPUTED_VALUE"""),"ROCKWELL")</f>
        <v>ROCKWELL</v>
      </c>
      <c r="F2492" s="605" t="str">
        <f>IFERROR(__xludf.DUMMYFUNCTION("""COMPUTED_VALUE"""),"MICROLOGIX 1400")</f>
        <v>MICROLOGIX 1400</v>
      </c>
      <c r="G2492" s="605"/>
      <c r="H2492" s="605"/>
      <c r="I2492" s="605"/>
      <c r="J2492" s="606"/>
      <c r="K2492" s="605"/>
      <c r="L2492" s="605"/>
      <c r="M2492" s="605"/>
      <c r="N2492" s="605"/>
      <c r="O2492" s="605"/>
      <c r="P2492" s="605" t="s">
        <v>3440</v>
      </c>
    </row>
    <row r="2493">
      <c r="A2493" s="605"/>
      <c r="B2493" s="605"/>
      <c r="C2493" s="605"/>
      <c r="D2493" s="605"/>
      <c r="E2493" s="605" t="str">
        <f>IFERROR(__xludf.DUMMYFUNCTION("""COMPUTED_VALUE"""),"ROCKWELL")</f>
        <v>ROCKWELL</v>
      </c>
      <c r="F2493" s="605" t="str">
        <f>IFERROR(__xludf.DUMMYFUNCTION("""COMPUTED_VALUE"""),"PANELVIEW PLUS COMPACT 600")</f>
        <v>PANELVIEW PLUS COMPACT 600</v>
      </c>
      <c r="G2493" s="605"/>
      <c r="H2493" s="605"/>
      <c r="I2493" s="605"/>
      <c r="J2493" s="606"/>
      <c r="K2493" s="605"/>
      <c r="L2493" s="605"/>
      <c r="M2493" s="605"/>
      <c r="N2493" s="605"/>
      <c r="O2493" s="605"/>
      <c r="P2493" s="605" t="s">
        <v>8026</v>
      </c>
    </row>
    <row r="2494">
      <c r="A2494" s="605"/>
      <c r="B2494" s="605"/>
      <c r="C2494" s="605"/>
      <c r="D2494" s="605"/>
      <c r="E2494" s="605" t="str">
        <f>IFERROR(__xludf.DUMMYFUNCTION("""COMPUTED_VALUE"""),"ROCKWELL")</f>
        <v>ROCKWELL</v>
      </c>
      <c r="F2494" s="605" t="str">
        <f>IFERROR(__xludf.DUMMYFUNCTION("""COMPUTED_VALUE"""),"COMPACTLOGIX L18ER")</f>
        <v>COMPACTLOGIX L18ER</v>
      </c>
      <c r="G2494" s="605"/>
      <c r="H2494" s="605"/>
      <c r="I2494" s="605"/>
      <c r="J2494" s="606"/>
      <c r="K2494" s="605"/>
      <c r="L2494" s="605"/>
      <c r="M2494" s="605"/>
      <c r="N2494" s="605"/>
      <c r="O2494" s="605"/>
      <c r="P2494" s="605" t="s">
        <v>8028</v>
      </c>
    </row>
    <row r="2495">
      <c r="A2495" s="605"/>
      <c r="B2495" s="605"/>
      <c r="C2495" s="605"/>
      <c r="D2495" s="605"/>
      <c r="E2495" s="605" t="str">
        <f>IFERROR(__xludf.DUMMYFUNCTION("""COMPUTED_VALUE"""),"ROCKWELL")</f>
        <v>ROCKWELL</v>
      </c>
      <c r="F2495" s="605" t="str">
        <f>IFERROR(__xludf.DUMMYFUNCTION("""COMPUTED_VALUE"""),"COMPACTLOGIX L33ER")</f>
        <v>COMPACTLOGIX L33ER</v>
      </c>
      <c r="G2495" s="605"/>
      <c r="H2495" s="605"/>
      <c r="I2495" s="605"/>
      <c r="J2495" s="606"/>
      <c r="K2495" s="605"/>
      <c r="L2495" s="605"/>
      <c r="M2495" s="605"/>
      <c r="N2495" s="605"/>
      <c r="O2495" s="605"/>
      <c r="P2495" s="605" t="s">
        <v>8030</v>
      </c>
    </row>
    <row r="2496">
      <c r="A2496" s="605"/>
      <c r="B2496" s="605"/>
      <c r="C2496" s="605"/>
      <c r="D2496" s="605"/>
      <c r="E2496" s="605" t="str">
        <f>IFERROR(__xludf.DUMMYFUNCTION("""COMPUTED_VALUE"""),"ROCKWELL")</f>
        <v>ROCKWELL</v>
      </c>
      <c r="F2496" s="605" t="str">
        <f>IFERROR(__xludf.DUMMYFUNCTION("""COMPUTED_VALUE"""),"PANELVIEW PLUS 600")</f>
        <v>PANELVIEW PLUS 600</v>
      </c>
      <c r="G2496" s="605"/>
      <c r="H2496" s="605"/>
      <c r="I2496" s="605"/>
      <c r="J2496" s="606"/>
      <c r="K2496" s="605"/>
      <c r="L2496" s="605"/>
      <c r="M2496" s="605"/>
      <c r="N2496" s="605"/>
      <c r="O2496" s="605"/>
      <c r="P2496" s="605" t="s">
        <v>8032</v>
      </c>
    </row>
    <row r="2497">
      <c r="A2497" s="605"/>
      <c r="B2497" s="605"/>
      <c r="C2497" s="605"/>
      <c r="D2497" s="605"/>
      <c r="E2497" s="605" t="str">
        <f>IFERROR(__xludf.DUMMYFUNCTION("""COMPUTED_VALUE"""),"ROCKWELL")</f>
        <v>ROCKWELL</v>
      </c>
      <c r="F2497" s="605" t="str">
        <f>IFERROR(__xludf.DUMMYFUNCTION("""COMPUTED_VALUE"""),"1761-NET-ENI")</f>
        <v>1761-NET-ENI</v>
      </c>
      <c r="G2497" s="605"/>
      <c r="H2497" s="605"/>
      <c r="I2497" s="605"/>
      <c r="J2497" s="606"/>
      <c r="K2497" s="605"/>
      <c r="L2497" s="605"/>
      <c r="M2497" s="605"/>
      <c r="N2497" s="605"/>
      <c r="O2497" s="605"/>
      <c r="P2497" s="605" t="s">
        <v>8035</v>
      </c>
    </row>
    <row r="2498">
      <c r="A2498" s="605"/>
      <c r="B2498" s="605"/>
      <c r="C2498" s="605"/>
      <c r="D2498" s="605"/>
      <c r="E2498" s="605" t="str">
        <f>IFERROR(__xludf.DUMMYFUNCTION("""COMPUTED_VALUE"""),"ROCKWELL")</f>
        <v>ROCKWELL</v>
      </c>
      <c r="F2498" s="605" t="str">
        <f>IFERROR(__xludf.DUMMYFUNCTION("""COMPUTED_VALUE"""),"COMPACTLOGIX ETHERNET/IP")</f>
        <v>COMPACTLOGIX ETHERNET/IP</v>
      </c>
      <c r="G2498" s="605"/>
      <c r="H2498" s="605"/>
      <c r="I2498" s="605"/>
      <c r="J2498" s="606"/>
      <c r="K2498" s="605"/>
      <c r="L2498" s="605"/>
      <c r="M2498" s="605"/>
      <c r="N2498" s="605"/>
      <c r="O2498" s="605"/>
      <c r="P2498" s="605" t="s">
        <v>8037</v>
      </c>
    </row>
    <row r="2499">
      <c r="A2499" s="605"/>
      <c r="B2499" s="605"/>
      <c r="C2499" s="605"/>
      <c r="D2499" s="605"/>
      <c r="E2499" s="605" t="str">
        <f>IFERROR(__xludf.DUMMYFUNCTION("""COMPUTED_VALUE"""),"ROCKWELL")</f>
        <v>ROCKWELL</v>
      </c>
      <c r="F2499" s="605" t="str">
        <f>IFERROR(__xludf.DUMMYFUNCTION("""COMPUTED_VALUE"""),"COPACTLOGIX 5380")</f>
        <v>COPACTLOGIX 5380</v>
      </c>
      <c r="G2499" s="605"/>
      <c r="H2499" s="605"/>
      <c r="I2499" s="605"/>
      <c r="J2499" s="606"/>
      <c r="K2499" s="605"/>
      <c r="L2499" s="605"/>
      <c r="M2499" s="605"/>
      <c r="N2499" s="605"/>
      <c r="O2499" s="605"/>
      <c r="P2499" s="605" t="s">
        <v>8039</v>
      </c>
    </row>
    <row r="2500">
      <c r="A2500" s="605"/>
      <c r="B2500" s="605"/>
      <c r="C2500" s="605"/>
      <c r="D2500" s="605"/>
      <c r="E2500" s="605" t="str">
        <f>IFERROR(__xludf.DUMMYFUNCTION("""COMPUTED_VALUE"""),"ROCKWELL")</f>
        <v>ROCKWELL</v>
      </c>
      <c r="F2500" s="605" t="str">
        <f>IFERROR(__xludf.DUMMYFUNCTION("""COMPUTED_VALUE"""),"PANELVIEW PLUS 7")</f>
        <v>PANELVIEW PLUS 7</v>
      </c>
      <c r="G2500" s="605"/>
      <c r="H2500" s="605"/>
      <c r="I2500" s="605"/>
      <c r="J2500" s="606"/>
      <c r="K2500" s="605"/>
      <c r="L2500" s="605"/>
      <c r="M2500" s="605"/>
      <c r="N2500" s="605"/>
      <c r="O2500" s="605"/>
      <c r="P2500" s="605" t="s">
        <v>8041</v>
      </c>
    </row>
    <row r="2501">
      <c r="A2501" s="605"/>
      <c r="B2501" s="605"/>
      <c r="C2501" s="605"/>
      <c r="D2501" s="605"/>
      <c r="E2501" s="605" t="str">
        <f>IFERROR(__xludf.DUMMYFUNCTION("""COMPUTED_VALUE"""),"ROCKWELL")</f>
        <v>ROCKWELL</v>
      </c>
      <c r="F2501" s="605" t="str">
        <f>IFERROR(__xludf.DUMMYFUNCTION("""COMPUTED_VALUE"""),"STRATIX 2000")</f>
        <v>STRATIX 2000</v>
      </c>
      <c r="G2501" s="605"/>
      <c r="H2501" s="605"/>
      <c r="I2501" s="605"/>
      <c r="J2501" s="606"/>
      <c r="K2501" s="605"/>
      <c r="L2501" s="605"/>
      <c r="M2501" s="605"/>
      <c r="N2501" s="605"/>
      <c r="O2501" s="605"/>
      <c r="P2501" s="605" t="s">
        <v>8043</v>
      </c>
    </row>
    <row r="2502">
      <c r="A2502" s="605"/>
      <c r="B2502" s="605"/>
      <c r="C2502" s="605"/>
      <c r="D2502" s="605"/>
      <c r="E2502" s="605" t="str">
        <f>IFERROR(__xludf.DUMMYFUNCTION("""COMPUTED_VALUE"""),"ROKU")</f>
        <v>ROKU</v>
      </c>
      <c r="F2502" s="605" t="str">
        <f>IFERROR(__xludf.DUMMYFUNCTION("""COMPUTED_VALUE"""),"3810X")</f>
        <v>3810X</v>
      </c>
      <c r="G2502" s="605"/>
      <c r="H2502" s="605"/>
      <c r="I2502" s="605"/>
      <c r="J2502" s="606"/>
      <c r="K2502" s="605"/>
      <c r="L2502" s="605"/>
      <c r="M2502" s="605"/>
      <c r="N2502" s="605"/>
      <c r="O2502" s="605"/>
      <c r="P2502" s="605" t="s">
        <v>8045</v>
      </c>
    </row>
    <row r="2503">
      <c r="A2503" s="605"/>
      <c r="B2503" s="605"/>
      <c r="C2503" s="605"/>
      <c r="D2503" s="605"/>
      <c r="E2503" s="605" t="str">
        <f>IFERROR(__xludf.DUMMYFUNCTION("""COMPUTED_VALUE"""),"ROKU")</f>
        <v>ROKU</v>
      </c>
      <c r="F2503" s="605" t="str">
        <f>IFERROR(__xludf.DUMMYFUNCTION("""COMPUTED_VALUE"""),"3800X")</f>
        <v>3800X</v>
      </c>
      <c r="G2503" s="605"/>
      <c r="H2503" s="605"/>
      <c r="I2503" s="605"/>
      <c r="J2503" s="606"/>
      <c r="K2503" s="605"/>
      <c r="L2503" s="605"/>
      <c r="M2503" s="605"/>
      <c r="N2503" s="605"/>
      <c r="O2503" s="605"/>
      <c r="P2503" s="605" t="s">
        <v>3443</v>
      </c>
    </row>
    <row r="2504">
      <c r="A2504" s="605"/>
      <c r="B2504" s="605"/>
      <c r="C2504" s="605"/>
      <c r="D2504" s="605"/>
      <c r="E2504" s="605" t="str">
        <f>IFERROR(__xludf.DUMMYFUNCTION("""COMPUTED_VALUE"""),"ROKU")</f>
        <v>ROKU</v>
      </c>
      <c r="F2504" s="605" t="str">
        <f>IFERROR(__xludf.DUMMYFUNCTION("""COMPUTED_VALUE"""),"3810X")</f>
        <v>3810X</v>
      </c>
      <c r="G2504" s="605"/>
      <c r="H2504" s="605"/>
      <c r="I2504" s="605"/>
      <c r="J2504" s="606"/>
      <c r="K2504" s="605"/>
      <c r="L2504" s="605"/>
      <c r="M2504" s="605"/>
      <c r="N2504" s="605"/>
      <c r="O2504" s="605"/>
      <c r="P2504" s="605" t="s">
        <v>8047</v>
      </c>
    </row>
    <row r="2505">
      <c r="A2505" s="605"/>
      <c r="B2505" s="605"/>
      <c r="C2505" s="605"/>
      <c r="D2505" s="605"/>
      <c r="E2505" s="605" t="str">
        <f>IFERROR(__xludf.DUMMYFUNCTION("""COMPUTED_VALUE"""),"ROKU")</f>
        <v>ROKU</v>
      </c>
      <c r="F2505" s="605" t="str">
        <f>IFERROR(__xludf.DUMMYFUNCTION("""COMPUTED_VALUE"""),"3810X")</f>
        <v>3810X</v>
      </c>
      <c r="G2505" s="605"/>
      <c r="H2505" s="605"/>
      <c r="I2505" s="605"/>
      <c r="J2505" s="606"/>
      <c r="K2505" s="605"/>
      <c r="L2505" s="605"/>
      <c r="M2505" s="605"/>
      <c r="N2505" s="605"/>
      <c r="O2505" s="605"/>
      <c r="P2505" s="605" t="s">
        <v>8049</v>
      </c>
    </row>
    <row r="2506">
      <c r="A2506" s="605"/>
      <c r="B2506" s="605"/>
      <c r="C2506" s="605"/>
      <c r="D2506" s="605"/>
      <c r="E2506" s="605" t="str">
        <f>IFERROR(__xludf.DUMMYFUNCTION("""COMPUTED_VALUE"""),"ROKU")</f>
        <v>ROKU</v>
      </c>
      <c r="F2506" s="605" t="str">
        <f>IFERROR(__xludf.DUMMYFUNCTION("""COMPUTED_VALUE"""),"3810X")</f>
        <v>3810X</v>
      </c>
      <c r="G2506" s="605"/>
      <c r="H2506" s="605"/>
      <c r="I2506" s="605"/>
      <c r="J2506" s="606"/>
      <c r="K2506" s="605"/>
      <c r="L2506" s="605"/>
      <c r="M2506" s="605"/>
      <c r="N2506" s="605"/>
      <c r="O2506" s="605"/>
      <c r="P2506" s="605" t="s">
        <v>8051</v>
      </c>
    </row>
    <row r="2507">
      <c r="A2507" s="605"/>
      <c r="B2507" s="605"/>
      <c r="C2507" s="605"/>
      <c r="D2507" s="605"/>
      <c r="E2507" s="605" t="str">
        <f>IFERROR(__xludf.DUMMYFUNCTION("""COMPUTED_VALUE"""),"ROKU")</f>
        <v>ROKU</v>
      </c>
      <c r="F2507" s="605" t="str">
        <f>IFERROR(__xludf.DUMMYFUNCTION("""COMPUTED_VALUE"""),"3810X")</f>
        <v>3810X</v>
      </c>
      <c r="G2507" s="605"/>
      <c r="H2507" s="605"/>
      <c r="I2507" s="605"/>
      <c r="J2507" s="606"/>
      <c r="K2507" s="605"/>
      <c r="L2507" s="605"/>
      <c r="M2507" s="605"/>
      <c r="N2507" s="605"/>
      <c r="O2507" s="605"/>
      <c r="P2507" s="605" t="s">
        <v>8053</v>
      </c>
    </row>
    <row r="2508">
      <c r="A2508" s="605"/>
      <c r="B2508" s="605"/>
      <c r="C2508" s="605"/>
      <c r="D2508" s="605"/>
      <c r="E2508" s="605" t="str">
        <f>IFERROR(__xludf.DUMMYFUNCTION("""COMPUTED_VALUE"""),"ROKU")</f>
        <v>ROKU</v>
      </c>
      <c r="F2508" s="605" t="str">
        <f>IFERROR(__xludf.DUMMYFUNCTION("""COMPUTED_VALUE"""),"3810RW")</f>
        <v>3810RW</v>
      </c>
      <c r="G2508" s="605"/>
      <c r="H2508" s="605"/>
      <c r="I2508" s="605"/>
      <c r="J2508" s="606"/>
      <c r="K2508" s="605"/>
      <c r="L2508" s="605"/>
      <c r="M2508" s="605"/>
      <c r="N2508" s="605"/>
      <c r="O2508" s="605"/>
      <c r="P2508" s="605" t="s">
        <v>8055</v>
      </c>
    </row>
    <row r="2509">
      <c r="A2509" s="605"/>
      <c r="B2509" s="605"/>
      <c r="C2509" s="605"/>
      <c r="D2509" s="605"/>
      <c r="E2509" s="605" t="str">
        <f>IFERROR(__xludf.DUMMYFUNCTION("""COMPUTED_VALUE"""),"ROKU")</f>
        <v>ROKU</v>
      </c>
      <c r="F2509" s="605" t="str">
        <f>IFERROR(__xludf.DUMMYFUNCTION("""COMPUTED_VALUE"""),"3810X")</f>
        <v>3810X</v>
      </c>
      <c r="G2509" s="605"/>
      <c r="H2509" s="605"/>
      <c r="I2509" s="605"/>
      <c r="J2509" s="606"/>
      <c r="K2509" s="605"/>
      <c r="L2509" s="605"/>
      <c r="M2509" s="605"/>
      <c r="N2509" s="605"/>
      <c r="O2509" s="605"/>
      <c r="P2509" s="605" t="s">
        <v>8057</v>
      </c>
    </row>
    <row r="2510">
      <c r="A2510" s="605"/>
      <c r="B2510" s="605"/>
      <c r="C2510" s="605"/>
      <c r="D2510" s="605"/>
      <c r="E2510" s="605" t="str">
        <f>IFERROR(__xludf.DUMMYFUNCTION("""COMPUTED_VALUE"""),"ROKU")</f>
        <v>ROKU</v>
      </c>
      <c r="F2510" s="605" t="str">
        <f>IFERROR(__xludf.DUMMYFUNCTION("""COMPUTED_VALUE"""),"3810X STREAMING STICK+")</f>
        <v>3810X STREAMING STICK+</v>
      </c>
      <c r="G2510" s="605"/>
      <c r="H2510" s="605"/>
      <c r="I2510" s="605"/>
      <c r="J2510" s="606"/>
      <c r="K2510" s="605"/>
      <c r="L2510" s="605"/>
      <c r="M2510" s="605"/>
      <c r="N2510" s="605"/>
      <c r="O2510" s="605"/>
      <c r="P2510" s="605" t="s">
        <v>8059</v>
      </c>
    </row>
    <row r="2511">
      <c r="A2511" s="605"/>
      <c r="B2511" s="605"/>
      <c r="C2511" s="605"/>
      <c r="D2511" s="605"/>
      <c r="E2511" s="605" t="str">
        <f>IFERROR(__xludf.DUMMYFUNCTION("""COMPUTED_VALUE"""),"ROKU")</f>
        <v>ROKU</v>
      </c>
      <c r="F2511" s="605" t="str">
        <f>IFERROR(__xludf.DUMMYFUNCTION("""COMPUTED_VALUE"""),"3921RW")</f>
        <v>3921RW</v>
      </c>
      <c r="G2511" s="605"/>
      <c r="H2511" s="605"/>
      <c r="I2511" s="605"/>
      <c r="J2511" s="606"/>
      <c r="K2511" s="605"/>
      <c r="L2511" s="605"/>
      <c r="M2511" s="605"/>
      <c r="N2511" s="605"/>
      <c r="O2511" s="605"/>
      <c r="P2511" s="605" t="s">
        <v>8061</v>
      </c>
    </row>
    <row r="2512">
      <c r="A2512" s="605"/>
      <c r="B2512" s="605"/>
      <c r="C2512" s="605"/>
      <c r="D2512" s="605"/>
      <c r="E2512" s="605" t="str">
        <f>IFERROR(__xludf.DUMMYFUNCTION("""COMPUTED_VALUE"""),"ROKU")</f>
        <v>ROKU</v>
      </c>
      <c r="F2512" s="605" t="str">
        <f>IFERROR(__xludf.DUMMYFUNCTION("""COMPUTED_VALUE"""),"4230X")</f>
        <v>4230X</v>
      </c>
      <c r="G2512" s="605"/>
      <c r="H2512" s="605"/>
      <c r="I2512" s="605"/>
      <c r="J2512" s="606"/>
      <c r="K2512" s="605"/>
      <c r="L2512" s="605"/>
      <c r="M2512" s="605"/>
      <c r="N2512" s="605"/>
      <c r="O2512" s="605"/>
      <c r="P2512" s="605" t="s">
        <v>8063</v>
      </c>
    </row>
    <row r="2513">
      <c r="A2513" s="605"/>
      <c r="B2513" s="605"/>
      <c r="C2513" s="605"/>
      <c r="D2513" s="605"/>
      <c r="E2513" s="605" t="str">
        <f>IFERROR(__xludf.DUMMYFUNCTION("""COMPUTED_VALUE"""),"ROKU")</f>
        <v>ROKU</v>
      </c>
      <c r="F2513" s="605" t="str">
        <f>IFERROR(__xludf.DUMMYFUNCTION("""COMPUTED_VALUE"""),"49S325")</f>
        <v>49S325</v>
      </c>
      <c r="G2513" s="605"/>
      <c r="H2513" s="605"/>
      <c r="I2513" s="605"/>
      <c r="J2513" s="606"/>
      <c r="K2513" s="605"/>
      <c r="L2513" s="605"/>
      <c r="M2513" s="605"/>
      <c r="N2513" s="605"/>
      <c r="O2513" s="605"/>
      <c r="P2513" s="605" t="s">
        <v>8065</v>
      </c>
    </row>
    <row r="2514">
      <c r="A2514" s="605"/>
      <c r="B2514" s="605"/>
      <c r="C2514" s="605"/>
      <c r="D2514" s="605"/>
      <c r="E2514" s="605" t="str">
        <f>IFERROR(__xludf.DUMMYFUNCTION("""COMPUTED_VALUE"""),"ROKU")</f>
        <v>ROKU</v>
      </c>
      <c r="F2514" s="605" t="str">
        <f>IFERROR(__xludf.DUMMYFUNCTION("""COMPUTED_VALUE"""),"55S405")</f>
        <v>55S405</v>
      </c>
      <c r="G2514" s="605"/>
      <c r="H2514" s="605"/>
      <c r="I2514" s="605"/>
      <c r="J2514" s="606"/>
      <c r="K2514" s="605"/>
      <c r="L2514" s="605"/>
      <c r="M2514" s="605"/>
      <c r="N2514" s="605"/>
      <c r="O2514" s="605"/>
      <c r="P2514" s="605" t="s">
        <v>3446</v>
      </c>
    </row>
    <row r="2515">
      <c r="A2515" s="605"/>
      <c r="B2515" s="605"/>
      <c r="C2515" s="605"/>
      <c r="D2515" s="605"/>
      <c r="E2515" s="605" t="str">
        <f>IFERROR(__xludf.DUMMYFUNCTION("""COMPUTED_VALUE"""),"ROKU")</f>
        <v>ROKU</v>
      </c>
      <c r="F2515" s="605" t="str">
        <f>IFERROR(__xludf.DUMMYFUNCTION("""COMPUTED_VALUE"""),"STREAMING STICK +")</f>
        <v>STREAMING STICK +</v>
      </c>
      <c r="G2515" s="605"/>
      <c r="H2515" s="605"/>
      <c r="I2515" s="605"/>
      <c r="J2515" s="606"/>
      <c r="K2515" s="605"/>
      <c r="L2515" s="605"/>
      <c r="M2515" s="605"/>
      <c r="N2515" s="605"/>
      <c r="O2515" s="605"/>
      <c r="P2515" s="605" t="s">
        <v>8067</v>
      </c>
    </row>
    <row r="2516">
      <c r="A2516" s="605"/>
      <c r="B2516" s="605"/>
      <c r="C2516" s="605"/>
      <c r="D2516" s="605"/>
      <c r="E2516" s="605" t="str">
        <f>IFERROR(__xludf.DUMMYFUNCTION("""COMPUTED_VALUE"""),"ROKU")</f>
        <v>ROKU</v>
      </c>
      <c r="F2516" s="605" t="str">
        <f>IFERROR(__xludf.DUMMYFUNCTION("""COMPUTED_VALUE"""),"ROKU ULTRA 4660X")</f>
        <v>ROKU ULTRA 4660X</v>
      </c>
      <c r="G2516" s="605"/>
      <c r="H2516" s="605"/>
      <c r="I2516" s="605"/>
      <c r="J2516" s="606"/>
      <c r="K2516" s="605"/>
      <c r="L2516" s="605"/>
      <c r="M2516" s="605"/>
      <c r="N2516" s="605"/>
      <c r="O2516" s="605"/>
      <c r="P2516" s="605" t="s">
        <v>2870</v>
      </c>
    </row>
    <row r="2517">
      <c r="A2517" s="605"/>
      <c r="B2517" s="605"/>
      <c r="C2517" s="605"/>
      <c r="D2517" s="605"/>
      <c r="E2517" s="605" t="str">
        <f>IFERROR(__xludf.DUMMYFUNCTION("""COMPUTED_VALUE"""),"ROKU")</f>
        <v>ROKU</v>
      </c>
      <c r="F2517" s="605" t="str">
        <f>IFERROR(__xludf.DUMMYFUNCTION("""COMPUTED_VALUE"""),"STREAMING STICK +")</f>
        <v>STREAMING STICK +</v>
      </c>
      <c r="G2517" s="605"/>
      <c r="H2517" s="605"/>
      <c r="I2517" s="605"/>
      <c r="J2517" s="606"/>
      <c r="K2517" s="605"/>
      <c r="L2517" s="605"/>
      <c r="M2517" s="605"/>
      <c r="N2517" s="605"/>
      <c r="O2517" s="605"/>
      <c r="P2517" s="605" t="s">
        <v>2923</v>
      </c>
    </row>
    <row r="2518">
      <c r="A2518" s="605"/>
      <c r="B2518" s="605"/>
      <c r="C2518" s="605"/>
      <c r="D2518" s="605"/>
      <c r="E2518" s="605" t="str">
        <f>IFERROR(__xludf.DUMMYFUNCTION("""COMPUTED_VALUE"""),"ROSEMOUNT")</f>
        <v>ROSEMOUNT</v>
      </c>
      <c r="F2518" s="605" t="str">
        <f>IFERROR(__xludf.DUMMYFUNCTION("""COMPUTED_VALUE"""),"ICOM")</f>
        <v>ICOM</v>
      </c>
      <c r="G2518" s="605"/>
      <c r="H2518" s="605"/>
      <c r="I2518" s="605"/>
      <c r="J2518" s="606"/>
      <c r="K2518" s="605"/>
      <c r="L2518" s="605"/>
      <c r="M2518" s="605"/>
      <c r="N2518" s="605"/>
      <c r="O2518" s="605"/>
      <c r="P2518" s="605" t="s">
        <v>3449</v>
      </c>
    </row>
    <row r="2519">
      <c r="A2519" s="605"/>
      <c r="B2519" s="605"/>
      <c r="C2519" s="605"/>
      <c r="D2519" s="605"/>
      <c r="E2519" s="605" t="str">
        <f>IFERROR(__xludf.DUMMYFUNCTION("""COMPUTED_VALUE"""),"ROSEMOUNT")</f>
        <v>ROSEMOUNT</v>
      </c>
      <c r="F2519" s="605" t="str">
        <f>IFERROR(__xludf.DUMMYFUNCTION("""COMPUTED_VALUE"""),"ICOM CONTROL BOARD")</f>
        <v>ICOM CONTROL BOARD</v>
      </c>
      <c r="G2519" s="605"/>
      <c r="H2519" s="605"/>
      <c r="I2519" s="605"/>
      <c r="J2519" s="606"/>
      <c r="K2519" s="605"/>
      <c r="L2519" s="605"/>
      <c r="M2519" s="605"/>
      <c r="N2519" s="605"/>
      <c r="O2519" s="605"/>
      <c r="P2519" s="605" t="s">
        <v>3452</v>
      </c>
    </row>
    <row r="2520">
      <c r="A2520" s="605"/>
      <c r="B2520" s="605"/>
      <c r="C2520" s="605"/>
      <c r="D2520" s="605"/>
      <c r="E2520" s="605" t="str">
        <f>IFERROR(__xludf.DUMMYFUNCTION("""COMPUTED_VALUE"""),"RRT")</f>
        <v>RRT</v>
      </c>
      <c r="F2520" s="605" t="str">
        <f>IFERROR(__xludf.DUMMYFUNCTION("""COMPUTED_VALUE"""),"DC FAST CHARGING STATION")</f>
        <v>DC FAST CHARGING STATION</v>
      </c>
      <c r="G2520" s="605"/>
      <c r="H2520" s="605"/>
      <c r="I2520" s="605"/>
      <c r="J2520" s="606"/>
      <c r="K2520" s="605"/>
      <c r="L2520" s="605"/>
      <c r="M2520" s="605"/>
      <c r="N2520" s="605"/>
      <c r="O2520" s="605"/>
      <c r="P2520" s="605" t="s">
        <v>3455</v>
      </c>
    </row>
    <row r="2521">
      <c r="A2521" s="605"/>
      <c r="B2521" s="605"/>
      <c r="C2521" s="605"/>
      <c r="D2521" s="605"/>
      <c r="E2521" s="605" t="str">
        <f>IFERROR(__xludf.DUMMYFUNCTION("""COMPUTED_VALUE"""),"RSCAT")</f>
        <v>RSCAT</v>
      </c>
      <c r="F2521" s="605" t="str">
        <f>IFERROR(__xludf.DUMMYFUNCTION("""COMPUTED_VALUE"""),"LCD24")</f>
        <v>LCD24</v>
      </c>
      <c r="G2521" s="605"/>
      <c r="H2521" s="605"/>
      <c r="I2521" s="605"/>
      <c r="J2521" s="606"/>
      <c r="K2521" s="605"/>
      <c r="L2521" s="605"/>
      <c r="M2521" s="605"/>
      <c r="N2521" s="605"/>
      <c r="O2521" s="605"/>
      <c r="P2521" s="605" t="s">
        <v>3458</v>
      </c>
    </row>
    <row r="2522">
      <c r="A2522" s="605"/>
      <c r="B2522" s="605"/>
      <c r="C2522" s="605"/>
      <c r="D2522" s="605"/>
      <c r="E2522" s="605" t="str">
        <f>IFERROR(__xludf.DUMMYFUNCTION("""COMPUTED_VALUE"""),"RTA")</f>
        <v>RTA</v>
      </c>
      <c r="F2522" s="605" t="str">
        <f>IFERROR(__xludf.DUMMYFUNCTION("""COMPUTED_VALUE"""),"460ETCMRS-NNA1")</f>
        <v>460ETCMRS-NNA1</v>
      </c>
      <c r="G2522" s="605"/>
      <c r="H2522" s="605"/>
      <c r="I2522" s="605"/>
      <c r="J2522" s="606"/>
      <c r="K2522" s="605"/>
      <c r="L2522" s="605"/>
      <c r="M2522" s="605"/>
      <c r="N2522" s="605"/>
      <c r="O2522" s="605"/>
      <c r="P2522" s="605" t="s">
        <v>3461</v>
      </c>
    </row>
    <row r="2523">
      <c r="A2523" s="605"/>
      <c r="B2523" s="605"/>
      <c r="C2523" s="605"/>
      <c r="D2523" s="605"/>
      <c r="E2523" s="605" t="str">
        <f>IFERROR(__xludf.DUMMYFUNCTION("""COMPUTED_VALUE"""),"RTA")</f>
        <v>RTA</v>
      </c>
      <c r="F2523" s="605" t="str">
        <f>IFERROR(__xludf.DUMMYFUNCTION("""COMPUTED_VALUE"""),"460MMBMS-N34")</f>
        <v>460MMBMS-N34</v>
      </c>
      <c r="G2523" s="605"/>
      <c r="H2523" s="605"/>
      <c r="I2523" s="605"/>
      <c r="J2523" s="606"/>
      <c r="K2523" s="605"/>
      <c r="L2523" s="605"/>
      <c r="M2523" s="605"/>
      <c r="N2523" s="605"/>
      <c r="O2523" s="605"/>
      <c r="P2523" s="605" t="s">
        <v>3464</v>
      </c>
    </row>
    <row r="2524">
      <c r="A2524" s="605"/>
      <c r="B2524" s="605"/>
      <c r="C2524" s="605"/>
      <c r="D2524" s="605"/>
      <c r="E2524" s="605" t="str">
        <f>IFERROR(__xludf.DUMMYFUNCTION("""COMPUTED_VALUE"""),"S+S REGELTECHNIK")</f>
        <v>S+S REGELTECHNIK</v>
      </c>
      <c r="F2524" s="605" t="str">
        <f>IFERROR(__xludf.DUMMYFUNCTION("""COMPUTED_VALUE"""),"THERMASGARD")</f>
        <v>THERMASGARD</v>
      </c>
      <c r="G2524" s="605"/>
      <c r="H2524" s="605"/>
      <c r="I2524" s="605"/>
      <c r="J2524" s="606"/>
      <c r="K2524" s="605"/>
      <c r="L2524" s="605"/>
      <c r="M2524" s="605"/>
      <c r="N2524" s="605"/>
      <c r="O2524" s="605"/>
      <c r="P2524" s="605" t="s">
        <v>3467</v>
      </c>
    </row>
    <row r="2525">
      <c r="A2525" s="605"/>
      <c r="B2525" s="605"/>
      <c r="C2525" s="605"/>
      <c r="D2525" s="605"/>
      <c r="E2525" s="605" t="str">
        <f>IFERROR(__xludf.DUMMYFUNCTION("""COMPUTED_VALUE"""),"SAFESCAN")</f>
        <v>SAFESCAN</v>
      </c>
      <c r="F2525" s="605" t="str">
        <f>IFERROR(__xludf.DUMMYFUNCTION("""COMPUTED_VALUE"""),"TA-8030")</f>
        <v>TA-8030</v>
      </c>
      <c r="G2525" s="605"/>
      <c r="H2525" s="605"/>
      <c r="I2525" s="605"/>
      <c r="J2525" s="606"/>
      <c r="K2525" s="605"/>
      <c r="L2525" s="605"/>
      <c r="M2525" s="605"/>
      <c r="N2525" s="605"/>
      <c r="O2525" s="605"/>
      <c r="P2525" s="605" t="s">
        <v>3470</v>
      </c>
    </row>
    <row r="2526">
      <c r="A2526" s="605"/>
      <c r="B2526" s="605"/>
      <c r="C2526" s="605"/>
      <c r="D2526" s="605"/>
      <c r="E2526" s="605" t="str">
        <f>IFERROR(__xludf.DUMMYFUNCTION("""COMPUTED_VALUE"""),"SAIA BURGESS")</f>
        <v>SAIA BURGESS</v>
      </c>
      <c r="F2526" s="605" t="str">
        <f>IFERROR(__xludf.DUMMYFUNCTION("""COMPUTED_VALUE"""),"PCD3.M3330")</f>
        <v>PCD3.M3330</v>
      </c>
      <c r="G2526" s="605"/>
      <c r="H2526" s="605"/>
      <c r="I2526" s="605"/>
      <c r="J2526" s="606"/>
      <c r="K2526" s="605"/>
      <c r="L2526" s="605"/>
      <c r="M2526" s="605"/>
      <c r="N2526" s="605"/>
      <c r="O2526" s="605"/>
      <c r="P2526" s="605" t="s">
        <v>3473</v>
      </c>
    </row>
    <row r="2527">
      <c r="A2527" s="605"/>
      <c r="B2527" s="605"/>
      <c r="C2527" s="605"/>
      <c r="D2527" s="605"/>
      <c r="E2527" s="605" t="str">
        <f>IFERROR(__xludf.DUMMYFUNCTION("""COMPUTED_VALUE"""),"SAIA BURGESS")</f>
        <v>SAIA BURGESS</v>
      </c>
      <c r="F2527" s="605" t="str">
        <f>IFERROR(__xludf.DUMMYFUNCTION("""COMPUTED_VALUE"""),"PCD3.M5540")</f>
        <v>PCD3.M5540</v>
      </c>
      <c r="G2527" s="605"/>
      <c r="H2527" s="605"/>
      <c r="I2527" s="605"/>
      <c r="J2527" s="606"/>
      <c r="K2527" s="605"/>
      <c r="L2527" s="605"/>
      <c r="M2527" s="605"/>
      <c r="N2527" s="605"/>
      <c r="O2527" s="605"/>
      <c r="P2527" s="605" t="s">
        <v>3476</v>
      </c>
    </row>
    <row r="2528">
      <c r="A2528" s="605"/>
      <c r="B2528" s="605"/>
      <c r="C2528" s="605"/>
      <c r="D2528" s="605"/>
      <c r="E2528" s="605" t="str">
        <f>IFERROR(__xludf.DUMMYFUNCTION("""COMPUTED_VALUE"""),"SAIA BURGESS")</f>
        <v>SAIA BURGESS</v>
      </c>
      <c r="F2528" s="605" t="str">
        <f>IFERROR(__xludf.DUMMYFUNCTION("""COMPUTED_VALUE"""),"PCD3.M5560")</f>
        <v>PCD3.M5560</v>
      </c>
      <c r="G2528" s="605"/>
      <c r="H2528" s="605"/>
      <c r="I2528" s="605"/>
      <c r="J2528" s="606"/>
      <c r="K2528" s="605"/>
      <c r="L2528" s="605"/>
      <c r="M2528" s="605"/>
      <c r="N2528" s="605"/>
      <c r="O2528" s="605"/>
      <c r="P2528" s="605" t="s">
        <v>2926</v>
      </c>
    </row>
    <row r="2529">
      <c r="A2529" s="605"/>
      <c r="B2529" s="605"/>
      <c r="C2529" s="605"/>
      <c r="D2529" s="605"/>
      <c r="E2529" s="605" t="str">
        <f>IFERROR(__xludf.DUMMYFUNCTION("""COMPUTED_VALUE"""),"SAIA BURGESS")</f>
        <v>SAIA BURGESS</v>
      </c>
      <c r="F2529" s="605" t="str">
        <f>IFERROR(__xludf.DUMMYFUNCTION("""COMPUTED_VALUE"""),"PCD2.M4")</f>
        <v>PCD2.M4</v>
      </c>
      <c r="G2529" s="605"/>
      <c r="H2529" s="605"/>
      <c r="I2529" s="605"/>
      <c r="J2529" s="606"/>
      <c r="K2529" s="605"/>
      <c r="L2529" s="605"/>
      <c r="M2529" s="605"/>
      <c r="N2529" s="605"/>
      <c r="O2529" s="605"/>
      <c r="P2529" s="605" t="s">
        <v>3479</v>
      </c>
    </row>
    <row r="2530">
      <c r="A2530" s="605"/>
      <c r="B2530" s="605"/>
      <c r="C2530" s="605"/>
      <c r="D2530" s="605"/>
      <c r="E2530" s="605" t="str">
        <f>IFERROR(__xludf.DUMMYFUNCTION("""COMPUTED_VALUE"""),"SAIA BURGESS")</f>
        <v>SAIA BURGESS</v>
      </c>
      <c r="F2530" s="605" t="str">
        <f>IFERROR(__xludf.DUMMYFUNCTION("""COMPUTED_VALUE"""),"PCD3.M6880")</f>
        <v>PCD3.M6880</v>
      </c>
      <c r="G2530" s="605"/>
      <c r="H2530" s="605"/>
      <c r="I2530" s="605"/>
      <c r="J2530" s="606"/>
      <c r="K2530" s="605"/>
      <c r="L2530" s="605"/>
      <c r="M2530" s="605"/>
      <c r="N2530" s="605"/>
      <c r="O2530" s="605"/>
      <c r="P2530" s="605" t="s">
        <v>3482</v>
      </c>
    </row>
    <row r="2531">
      <c r="A2531" s="605"/>
      <c r="B2531" s="605"/>
      <c r="C2531" s="605"/>
      <c r="D2531" s="605"/>
      <c r="E2531" s="605" t="str">
        <f>IFERROR(__xludf.DUMMYFUNCTION("""COMPUTED_VALUE"""),"SAIA BURGESS")</f>
        <v>SAIA BURGESS</v>
      </c>
      <c r="F2531" s="605" t="str">
        <f>IFERROR(__xludf.DUMMYFUNCTION("""COMPUTED_VALUE"""),"PCD7.D450WTPF")</f>
        <v>PCD7.D450WTPF</v>
      </c>
      <c r="G2531" s="605"/>
      <c r="H2531" s="605"/>
      <c r="I2531" s="605"/>
      <c r="J2531" s="606"/>
      <c r="K2531" s="605"/>
      <c r="L2531" s="605"/>
      <c r="M2531" s="605"/>
      <c r="N2531" s="605"/>
      <c r="O2531" s="605"/>
      <c r="P2531" s="605" t="s">
        <v>3485</v>
      </c>
    </row>
    <row r="2532">
      <c r="A2532" s="605"/>
      <c r="B2532" s="605"/>
      <c r="C2532" s="605"/>
      <c r="D2532" s="605"/>
      <c r="E2532" s="605" t="str">
        <f>IFERROR(__xludf.DUMMYFUNCTION("""COMPUTED_VALUE"""),"SAINT GOBAIN")</f>
        <v>SAINT GOBAIN</v>
      </c>
      <c r="F2532" s="605" t="str">
        <f>IFERROR(__xludf.DUMMYFUNCTION("""COMPUTED_VALUE"""),"300-1198-001")</f>
        <v>300-1198-001</v>
      </c>
      <c r="G2532" s="605"/>
      <c r="H2532" s="605"/>
      <c r="I2532" s="605"/>
      <c r="J2532" s="606"/>
      <c r="K2532" s="605"/>
      <c r="L2532" s="605"/>
      <c r="M2532" s="605"/>
      <c r="N2532" s="605"/>
      <c r="O2532" s="605"/>
      <c r="P2532" s="605" t="s">
        <v>3488</v>
      </c>
    </row>
    <row r="2533">
      <c r="A2533" s="605"/>
      <c r="B2533" s="605"/>
      <c r="C2533" s="605"/>
      <c r="D2533" s="605"/>
      <c r="E2533" s="605" t="str">
        <f>IFERROR(__xludf.DUMMYFUNCTION("""COMPUTED_VALUE"""),"SAINT GOBAIN")</f>
        <v>SAINT GOBAIN</v>
      </c>
      <c r="F2533" s="605" t="str">
        <f>IFERROR(__xludf.DUMMYFUNCTION("""COMPUTED_VALUE"""),"300-1175-001")</f>
        <v>300-1175-001</v>
      </c>
      <c r="G2533" s="605"/>
      <c r="H2533" s="605"/>
      <c r="I2533" s="605"/>
      <c r="J2533" s="606"/>
      <c r="K2533" s="605"/>
      <c r="L2533" s="605"/>
      <c r="M2533" s="605"/>
      <c r="N2533" s="605"/>
      <c r="O2533" s="605"/>
      <c r="P2533" s="605" t="s">
        <v>3491</v>
      </c>
    </row>
    <row r="2534">
      <c r="A2534" s="605"/>
      <c r="B2534" s="605"/>
      <c r="C2534" s="605"/>
      <c r="D2534" s="605"/>
      <c r="E2534" s="605" t="str">
        <f>IFERROR(__xludf.DUMMYFUNCTION("""COMPUTED_VALUE"""),"SAKKARAH")</f>
        <v>SAKKARAH</v>
      </c>
      <c r="F2534" s="605" t="str">
        <f>IFERROR(__xludf.DUMMYFUNCTION("""COMPUTED_VALUE"""),"NEVADA DHW HEATER")</f>
        <v>NEVADA DHW HEATER</v>
      </c>
      <c r="G2534" s="605"/>
      <c r="H2534" s="605"/>
      <c r="I2534" s="605"/>
      <c r="J2534" s="606"/>
      <c r="K2534" s="605"/>
      <c r="L2534" s="605"/>
      <c r="M2534" s="605"/>
      <c r="N2534" s="605"/>
      <c r="O2534" s="605"/>
      <c r="P2534" s="605" t="s">
        <v>3494</v>
      </c>
    </row>
    <row r="2535">
      <c r="A2535" s="605"/>
      <c r="B2535" s="605"/>
      <c r="C2535" s="605"/>
      <c r="D2535" s="605"/>
      <c r="E2535" s="605" t="str">
        <f>IFERROR(__xludf.DUMMYFUNCTION("""COMPUTED_VALUE"""),"SAMSUNG")</f>
        <v>SAMSUNG</v>
      </c>
      <c r="F2535" s="605" t="str">
        <f>IFERROR(__xludf.DUMMYFUNCTION("""COMPUTED_VALUE"""),"550EXN")</f>
        <v>550EXN</v>
      </c>
      <c r="G2535" s="605"/>
      <c r="H2535" s="605"/>
      <c r="I2535" s="605"/>
      <c r="J2535" s="606"/>
      <c r="K2535" s="605"/>
      <c r="L2535" s="605"/>
      <c r="M2535" s="605"/>
      <c r="N2535" s="605"/>
      <c r="O2535" s="605"/>
      <c r="P2535" s="605" t="s">
        <v>3496</v>
      </c>
    </row>
    <row r="2536">
      <c r="A2536" s="605"/>
      <c r="B2536" s="605"/>
      <c r="C2536" s="605"/>
      <c r="D2536" s="605"/>
      <c r="E2536" s="605" t="str">
        <f>IFERROR(__xludf.DUMMYFUNCTION("""COMPUTED_VALUE"""),"SAMSUNG")</f>
        <v>SAMSUNG</v>
      </c>
      <c r="F2536" s="605" t="str">
        <f>IFERROR(__xludf.DUMMYFUNCTION("""COMPUTED_VALUE"""),"8 SERIES")</f>
        <v>8 SERIES</v>
      </c>
      <c r="G2536" s="605"/>
      <c r="H2536" s="605"/>
      <c r="I2536" s="605"/>
      <c r="J2536" s="606"/>
      <c r="K2536" s="605"/>
      <c r="L2536" s="605"/>
      <c r="M2536" s="605"/>
      <c r="N2536" s="605"/>
      <c r="O2536" s="605"/>
      <c r="P2536" s="605" t="s">
        <v>3499</v>
      </c>
    </row>
    <row r="2537">
      <c r="A2537" s="605"/>
      <c r="B2537" s="605"/>
      <c r="C2537" s="605"/>
      <c r="D2537" s="605"/>
      <c r="E2537" s="605" t="str">
        <f>IFERROR(__xludf.DUMMYFUNCTION("""COMPUTED_VALUE"""),"SAMSUNG")</f>
        <v>SAMSUNG</v>
      </c>
      <c r="F2537" s="605" t="str">
        <f>IFERROR(__xludf.DUMMYFUNCTION("""COMPUTED_VALUE"""),"AA04")</f>
        <v>AA04</v>
      </c>
      <c r="G2537" s="605"/>
      <c r="H2537" s="605"/>
      <c r="I2537" s="605"/>
      <c r="J2537" s="606"/>
      <c r="K2537" s="605"/>
      <c r="L2537" s="605"/>
      <c r="M2537" s="605"/>
      <c r="N2537" s="605"/>
      <c r="O2537" s="605"/>
      <c r="P2537" s="605" t="s">
        <v>3502</v>
      </c>
    </row>
    <row r="2538">
      <c r="A2538" s="605"/>
      <c r="B2538" s="605"/>
      <c r="C2538" s="605"/>
      <c r="D2538" s="605"/>
      <c r="E2538" s="605" t="str">
        <f>IFERROR(__xludf.DUMMYFUNCTION("""COMPUTED_VALUE"""),"SAMSUNG")</f>
        <v>SAMSUNG</v>
      </c>
      <c r="F2538" s="605" t="str">
        <f>IFERROR(__xludf.DUMMYFUNCTION("""COMPUTED_VALUE"""),"BD-F5100")</f>
        <v>BD-F5100</v>
      </c>
      <c r="G2538" s="605"/>
      <c r="H2538" s="605"/>
      <c r="I2538" s="605"/>
      <c r="J2538" s="606"/>
      <c r="K2538" s="605"/>
      <c r="L2538" s="605"/>
      <c r="M2538" s="605"/>
      <c r="N2538" s="605"/>
      <c r="O2538" s="605"/>
      <c r="P2538" s="605" t="s">
        <v>3505</v>
      </c>
    </row>
    <row r="2539">
      <c r="A2539" s="605"/>
      <c r="B2539" s="605"/>
      <c r="C2539" s="605"/>
      <c r="D2539" s="605"/>
      <c r="E2539" s="605" t="str">
        <f>IFERROR(__xludf.DUMMYFUNCTION("""COMPUTED_VALUE"""),"SAMSUNG")</f>
        <v>SAMSUNG</v>
      </c>
      <c r="F2539" s="605" t="str">
        <f>IFERROR(__xludf.DUMMYFUNCTION("""COMPUTED_VALUE"""),"DB40E")</f>
        <v>DB40E</v>
      </c>
      <c r="G2539" s="605"/>
      <c r="H2539" s="605"/>
      <c r="I2539" s="605"/>
      <c r="J2539" s="606"/>
      <c r="K2539" s="605"/>
      <c r="L2539" s="605"/>
      <c r="M2539" s="605"/>
      <c r="N2539" s="605"/>
      <c r="O2539" s="605"/>
      <c r="P2539" s="605" t="s">
        <v>2929</v>
      </c>
    </row>
    <row r="2540">
      <c r="A2540" s="605"/>
      <c r="B2540" s="605"/>
      <c r="C2540" s="605"/>
      <c r="D2540" s="605"/>
      <c r="E2540" s="605" t="str">
        <f>IFERROR(__xludf.DUMMYFUNCTION("""COMPUTED_VALUE"""),"SAMSUNG")</f>
        <v>SAMSUNG</v>
      </c>
      <c r="F2540" s="605" t="str">
        <f>IFERROR(__xludf.DUMMYFUNCTION("""COMPUTED_VALUE"""),"DB43J")</f>
        <v>DB43J</v>
      </c>
      <c r="G2540" s="605"/>
      <c r="H2540" s="605"/>
      <c r="I2540" s="605"/>
      <c r="J2540" s="606"/>
      <c r="K2540" s="605"/>
      <c r="L2540" s="605"/>
      <c r="M2540" s="605"/>
      <c r="N2540" s="605"/>
      <c r="O2540" s="605"/>
      <c r="P2540" s="605" t="s">
        <v>3508</v>
      </c>
    </row>
    <row r="2541">
      <c r="A2541" s="605"/>
      <c r="B2541" s="605"/>
      <c r="C2541" s="605"/>
      <c r="D2541" s="605"/>
      <c r="E2541" s="605" t="str">
        <f>IFERROR(__xludf.DUMMYFUNCTION("""COMPUTED_VALUE"""),"SAMSUNG")</f>
        <v>SAMSUNG</v>
      </c>
      <c r="F2541" s="605" t="str">
        <f>IFERROR(__xludf.DUMMYFUNCTION("""COMPUTED_VALUE"""),"DB55E")</f>
        <v>DB55E</v>
      </c>
      <c r="G2541" s="605"/>
      <c r="H2541" s="605"/>
      <c r="I2541" s="605"/>
      <c r="J2541" s="606"/>
      <c r="K2541" s="605"/>
      <c r="L2541" s="605"/>
      <c r="M2541" s="605"/>
      <c r="N2541" s="605"/>
      <c r="O2541" s="605"/>
      <c r="P2541" s="605" t="s">
        <v>3511</v>
      </c>
    </row>
    <row r="2542">
      <c r="A2542" s="605"/>
      <c r="B2542" s="605"/>
      <c r="C2542" s="605"/>
      <c r="D2542" s="605"/>
      <c r="E2542" s="605" t="str">
        <f>IFERROR(__xludf.DUMMYFUNCTION("""COMPUTED_VALUE"""),"SAMSUNG")</f>
        <v>SAMSUNG</v>
      </c>
      <c r="F2542" s="605" t="str">
        <f>IFERROR(__xludf.DUMMYFUNCTION("""COMPUTED_VALUE"""),"DC48E")</f>
        <v>DC48E</v>
      </c>
      <c r="G2542" s="605"/>
      <c r="H2542" s="605"/>
      <c r="I2542" s="605"/>
      <c r="J2542" s="606"/>
      <c r="K2542" s="605"/>
      <c r="L2542" s="605"/>
      <c r="M2542" s="605"/>
      <c r="N2542" s="605"/>
      <c r="O2542" s="605"/>
      <c r="P2542" s="605" t="s">
        <v>3514</v>
      </c>
    </row>
    <row r="2543">
      <c r="A2543" s="605"/>
      <c r="B2543" s="605"/>
      <c r="C2543" s="605"/>
      <c r="D2543" s="605"/>
      <c r="E2543" s="605" t="str">
        <f>IFERROR(__xludf.DUMMYFUNCTION("""COMPUTED_VALUE"""),"SAMSUNG")</f>
        <v>SAMSUNG</v>
      </c>
      <c r="F2543" s="605" t="str">
        <f>IFERROR(__xludf.DUMMYFUNCTION("""COMPUTED_VALUE"""),"DC49H")</f>
        <v>DC49H</v>
      </c>
      <c r="G2543" s="605"/>
      <c r="H2543" s="605"/>
      <c r="I2543" s="605"/>
      <c r="J2543" s="606"/>
      <c r="K2543" s="605"/>
      <c r="L2543" s="605"/>
      <c r="M2543" s="605"/>
      <c r="N2543" s="605"/>
      <c r="O2543" s="605"/>
      <c r="P2543" s="605" t="s">
        <v>3517</v>
      </c>
    </row>
    <row r="2544">
      <c r="A2544" s="605"/>
      <c r="B2544" s="605"/>
      <c r="C2544" s="605"/>
      <c r="D2544" s="605"/>
      <c r="E2544" s="605" t="str">
        <f>IFERROR(__xludf.DUMMYFUNCTION("""COMPUTED_VALUE"""),"SAMSUNG")</f>
        <v>SAMSUNG</v>
      </c>
      <c r="F2544" s="605" t="str">
        <f>IFERROR(__xludf.DUMMYFUNCTION("""COMPUTED_VALUE"""),"DC55E")</f>
        <v>DC55E</v>
      </c>
      <c r="G2544" s="605"/>
      <c r="H2544" s="605"/>
      <c r="I2544" s="605"/>
      <c r="J2544" s="606"/>
      <c r="K2544" s="605"/>
      <c r="L2544" s="605"/>
      <c r="M2544" s="605"/>
      <c r="N2544" s="605"/>
      <c r="O2544" s="605"/>
      <c r="P2544" s="605" t="s">
        <v>3520</v>
      </c>
    </row>
    <row r="2545">
      <c r="A2545" s="605"/>
      <c r="B2545" s="605"/>
      <c r="C2545" s="605"/>
      <c r="D2545" s="605"/>
      <c r="E2545" s="605" t="str">
        <f>IFERROR(__xludf.DUMMYFUNCTION("""COMPUTED_VALUE"""),"SAMSUNG")</f>
        <v>SAMSUNG</v>
      </c>
      <c r="F2545" s="605" t="str">
        <f>IFERROR(__xludf.DUMMYFUNCTION("""COMPUTED_VALUE"""),"DM48E")</f>
        <v>DM48E</v>
      </c>
      <c r="G2545" s="605"/>
      <c r="H2545" s="605"/>
      <c r="I2545" s="605"/>
      <c r="J2545" s="606"/>
      <c r="K2545" s="605"/>
      <c r="L2545" s="605"/>
      <c r="M2545" s="605"/>
      <c r="N2545" s="605"/>
      <c r="O2545" s="605"/>
      <c r="P2545" s="605" t="s">
        <v>3523</v>
      </c>
    </row>
    <row r="2546">
      <c r="A2546" s="605"/>
      <c r="B2546" s="605"/>
      <c r="C2546" s="605"/>
      <c r="D2546" s="605"/>
      <c r="E2546" s="605" t="str">
        <f>IFERROR(__xludf.DUMMYFUNCTION("""COMPUTED_VALUE"""),"SAMSUNG")</f>
        <v>SAMSUNG</v>
      </c>
      <c r="F2546" s="605" t="str">
        <f>IFERROR(__xludf.DUMMYFUNCTION("""COMPUTED_VALUE"""),"DM55D")</f>
        <v>DM55D</v>
      </c>
      <c r="G2546" s="605"/>
      <c r="H2546" s="605"/>
      <c r="I2546" s="605"/>
      <c r="J2546" s="606"/>
      <c r="K2546" s="605"/>
      <c r="L2546" s="605"/>
      <c r="M2546" s="605"/>
      <c r="N2546" s="605"/>
      <c r="O2546" s="605"/>
      <c r="P2546" s="605" t="s">
        <v>3526</v>
      </c>
    </row>
    <row r="2547">
      <c r="A2547" s="605"/>
      <c r="B2547" s="605"/>
      <c r="C2547" s="605"/>
      <c r="D2547" s="605"/>
      <c r="E2547" s="605" t="str">
        <f>IFERROR(__xludf.DUMMYFUNCTION("""COMPUTED_VALUE"""),"SAMSUNG")</f>
        <v>SAMSUNG</v>
      </c>
      <c r="F2547" s="605" t="str">
        <f>IFERROR(__xludf.DUMMYFUNCTION("""COMPUTED_VALUE"""),"DM55E")</f>
        <v>DM55E</v>
      </c>
      <c r="G2547" s="605"/>
      <c r="H2547" s="605"/>
      <c r="I2547" s="605"/>
      <c r="J2547" s="606"/>
      <c r="K2547" s="605"/>
      <c r="L2547" s="605"/>
      <c r="M2547" s="605"/>
      <c r="N2547" s="605"/>
      <c r="O2547" s="605"/>
      <c r="P2547" s="605" t="s">
        <v>3529</v>
      </c>
    </row>
    <row r="2548">
      <c r="A2548" s="605"/>
      <c r="B2548" s="605"/>
      <c r="C2548" s="605"/>
      <c r="D2548" s="605"/>
      <c r="E2548" s="605" t="str">
        <f>IFERROR(__xludf.DUMMYFUNCTION("""COMPUTED_VALUE"""),"SAMSUNG")</f>
        <v>SAMSUNG</v>
      </c>
      <c r="F2548" s="605" t="str">
        <f>IFERROR(__xludf.DUMMYFUNCTION("""COMPUTED_VALUE"""),"DM65E")</f>
        <v>DM65E</v>
      </c>
      <c r="G2548" s="605"/>
      <c r="H2548" s="605"/>
      <c r="I2548" s="605"/>
      <c r="J2548" s="606"/>
      <c r="K2548" s="605"/>
      <c r="L2548" s="605"/>
      <c r="M2548" s="605"/>
      <c r="N2548" s="605"/>
      <c r="O2548" s="605"/>
      <c r="P2548" s="605" t="s">
        <v>3532</v>
      </c>
    </row>
    <row r="2549">
      <c r="A2549" s="605"/>
      <c r="B2549" s="605"/>
      <c r="C2549" s="605"/>
      <c r="D2549" s="605"/>
      <c r="E2549" s="605" t="str">
        <f>IFERROR(__xludf.DUMMYFUNCTION("""COMPUTED_VALUE"""),"SAMSUNG")</f>
        <v>SAMSUNG</v>
      </c>
      <c r="F2549" s="605" t="str">
        <f>IFERROR(__xludf.DUMMYFUNCTION("""COMPUTED_VALUE"""),"DM65E")</f>
        <v>DM65E</v>
      </c>
      <c r="G2549" s="605"/>
      <c r="H2549" s="605"/>
      <c r="I2549" s="605"/>
      <c r="J2549" s="606"/>
      <c r="K2549" s="605"/>
      <c r="L2549" s="605"/>
      <c r="M2549" s="605"/>
      <c r="N2549" s="605"/>
      <c r="O2549" s="605"/>
      <c r="P2549" s="605" t="s">
        <v>3535</v>
      </c>
    </row>
    <row r="2550">
      <c r="A2550" s="605"/>
      <c r="B2550" s="605"/>
      <c r="C2550" s="605"/>
      <c r="D2550" s="605"/>
      <c r="E2550" s="605" t="str">
        <f>IFERROR(__xludf.DUMMYFUNCTION("""COMPUTED_VALUE"""),"SAMSUNG")</f>
        <v>SAMSUNG</v>
      </c>
      <c r="F2550" s="605" t="str">
        <f>IFERROR(__xludf.DUMMYFUNCTION("""COMPUTED_VALUE"""),"DM65E")</f>
        <v>DM65E</v>
      </c>
      <c r="G2550" s="605"/>
      <c r="H2550" s="605"/>
      <c r="I2550" s="605"/>
      <c r="J2550" s="606"/>
      <c r="K2550" s="605"/>
      <c r="L2550" s="605"/>
      <c r="M2550" s="605"/>
      <c r="N2550" s="605"/>
      <c r="O2550" s="605"/>
      <c r="P2550" s="605" t="s">
        <v>2932</v>
      </c>
    </row>
    <row r="2551">
      <c r="A2551" s="605"/>
      <c r="B2551" s="605"/>
      <c r="C2551" s="605"/>
      <c r="D2551" s="605"/>
      <c r="E2551" s="605" t="str">
        <f>IFERROR(__xludf.DUMMYFUNCTION("""COMPUTED_VALUE"""),"SAMSUNG")</f>
        <v>SAMSUNG</v>
      </c>
      <c r="F2551" s="605" t="str">
        <f>IFERROR(__xludf.DUMMYFUNCTION("""COMPUTED_VALUE"""),"DM65E")</f>
        <v>DM65E</v>
      </c>
      <c r="G2551" s="605"/>
      <c r="H2551" s="605"/>
      <c r="I2551" s="605"/>
      <c r="J2551" s="606"/>
      <c r="K2551" s="605"/>
      <c r="L2551" s="605"/>
      <c r="M2551" s="605"/>
      <c r="N2551" s="605"/>
      <c r="O2551" s="605"/>
      <c r="P2551" s="605" t="s">
        <v>3538</v>
      </c>
    </row>
    <row r="2552">
      <c r="A2552" s="605"/>
      <c r="B2552" s="605"/>
      <c r="C2552" s="605"/>
      <c r="D2552" s="605"/>
      <c r="E2552" s="605" t="str">
        <f>IFERROR(__xludf.DUMMYFUNCTION("""COMPUTED_VALUE"""),"SAMSUNG")</f>
        <v>SAMSUNG</v>
      </c>
      <c r="F2552" s="605" t="str">
        <f>IFERROR(__xludf.DUMMYFUNCTION("""COMPUTED_VALUE"""),"DM75E")</f>
        <v>DM75E</v>
      </c>
      <c r="G2552" s="605"/>
      <c r="H2552" s="605"/>
      <c r="I2552" s="605"/>
      <c r="J2552" s="606"/>
      <c r="K2552" s="605"/>
      <c r="L2552" s="605"/>
      <c r="M2552" s="605"/>
      <c r="N2552" s="605"/>
      <c r="O2552" s="605"/>
      <c r="P2552" s="605" t="s">
        <v>3541</v>
      </c>
    </row>
    <row r="2553">
      <c r="A2553" s="605"/>
      <c r="B2553" s="605"/>
      <c r="C2553" s="605"/>
      <c r="D2553" s="605"/>
      <c r="E2553" s="605" t="str">
        <f>IFERROR(__xludf.DUMMYFUNCTION("""COMPUTED_VALUE"""),"SAMSUNG")</f>
        <v>SAMSUNG</v>
      </c>
      <c r="F2553" s="605" t="str">
        <f>IFERROR(__xludf.DUMMYFUNCTION("""COMPUTED_VALUE"""),"DM48E")</f>
        <v>DM48E</v>
      </c>
      <c r="G2553" s="605"/>
      <c r="H2553" s="605"/>
      <c r="I2553" s="605"/>
      <c r="J2553" s="606"/>
      <c r="K2553" s="605"/>
      <c r="L2553" s="605"/>
      <c r="M2553" s="605"/>
      <c r="N2553" s="605"/>
      <c r="O2553" s="605"/>
      <c r="P2553" s="605" t="s">
        <v>3544</v>
      </c>
    </row>
    <row r="2554">
      <c r="A2554" s="605"/>
      <c r="B2554" s="605"/>
      <c r="C2554" s="605"/>
      <c r="D2554" s="605"/>
      <c r="E2554" s="605" t="str">
        <f>IFERROR(__xludf.DUMMYFUNCTION("""COMPUTED_VALUE"""),"SAMSUNG")</f>
        <v>SAMSUNG</v>
      </c>
      <c r="F2554" s="605" t="str">
        <f>IFERROR(__xludf.DUMMYFUNCTION("""COMPUTED_VALUE"""),"DM55E")</f>
        <v>DM55E</v>
      </c>
      <c r="G2554" s="605"/>
      <c r="H2554" s="605"/>
      <c r="I2554" s="605"/>
      <c r="J2554" s="606"/>
      <c r="K2554" s="605"/>
      <c r="L2554" s="605"/>
      <c r="M2554" s="605"/>
      <c r="N2554" s="605"/>
      <c r="O2554" s="605"/>
      <c r="P2554" s="605" t="s">
        <v>3547</v>
      </c>
    </row>
    <row r="2555">
      <c r="A2555" s="605"/>
      <c r="B2555" s="605"/>
      <c r="C2555" s="605"/>
      <c r="D2555" s="605"/>
      <c r="E2555" s="605" t="str">
        <f>IFERROR(__xludf.DUMMYFUNCTION("""COMPUTED_VALUE"""),"SAMSUNG")</f>
        <v>SAMSUNG</v>
      </c>
      <c r="F2555" s="605" t="str">
        <f>IFERROR(__xludf.DUMMYFUNCTION("""COMPUTED_VALUE"""),"DMS-BAC NET")</f>
        <v>DMS-BAC NET</v>
      </c>
      <c r="G2555" s="605"/>
      <c r="H2555" s="605"/>
      <c r="I2555" s="605"/>
      <c r="J2555" s="606"/>
      <c r="K2555" s="605"/>
      <c r="L2555" s="605"/>
      <c r="M2555" s="605"/>
      <c r="N2555" s="605"/>
      <c r="O2555" s="605"/>
      <c r="P2555" s="605" t="s">
        <v>3550</v>
      </c>
    </row>
    <row r="2556">
      <c r="A2556" s="605"/>
      <c r="B2556" s="605"/>
      <c r="C2556" s="605"/>
      <c r="D2556" s="605"/>
      <c r="E2556" s="605" t="str">
        <f>IFERROR(__xludf.DUMMYFUNCTION("""COMPUTED_VALUE"""),"SAMSUNG")</f>
        <v>SAMSUNG</v>
      </c>
      <c r="F2556" s="605" t="str">
        <f>IFERROR(__xludf.DUMMYFUNCTION("""COMPUTED_VALUE"""),"ELSU343-0004")</f>
        <v>ELSU343-0004</v>
      </c>
      <c r="G2556" s="605"/>
      <c r="H2556" s="605"/>
      <c r="I2556" s="605"/>
      <c r="J2556" s="606"/>
      <c r="K2556" s="605"/>
      <c r="L2556" s="605"/>
      <c r="M2556" s="605"/>
      <c r="N2556" s="605"/>
      <c r="O2556" s="605"/>
      <c r="P2556" s="605" t="s">
        <v>3553</v>
      </c>
    </row>
    <row r="2557">
      <c r="A2557" s="605"/>
      <c r="B2557" s="605"/>
      <c r="C2557" s="605"/>
      <c r="D2557" s="605"/>
      <c r="E2557" s="605" t="str">
        <f>IFERROR(__xludf.DUMMYFUNCTION("""COMPUTED_VALUE"""),"SAMSUNG")</f>
        <v>SAMSUNG</v>
      </c>
      <c r="F2557" s="605" t="str">
        <f>IFERROR(__xludf.DUMMYFUNCTION("""COMPUTED_VALUE"""),"UE65MU7000")</f>
        <v>UE65MU7000</v>
      </c>
      <c r="G2557" s="605"/>
      <c r="H2557" s="605"/>
      <c r="I2557" s="605"/>
      <c r="J2557" s="606"/>
      <c r="K2557" s="605"/>
      <c r="L2557" s="605"/>
      <c r="M2557" s="605"/>
      <c r="N2557" s="605"/>
      <c r="O2557" s="605"/>
      <c r="P2557" s="605" t="s">
        <v>3556</v>
      </c>
    </row>
    <row r="2558">
      <c r="A2558" s="605"/>
      <c r="B2558" s="605"/>
      <c r="C2558" s="605"/>
      <c r="D2558" s="605"/>
      <c r="E2558" s="605" t="str">
        <f>IFERROR(__xludf.DUMMYFUNCTION("""COMPUTED_VALUE"""),"SAMSUNG")</f>
        <v>SAMSUNG</v>
      </c>
      <c r="F2558" s="605" t="str">
        <f>IFERROR(__xludf.DUMMYFUNCTION("""COMPUTED_VALUE"""),"GALAXY TAB 3")</f>
        <v>GALAXY TAB 3</v>
      </c>
      <c r="G2558" s="605"/>
      <c r="H2558" s="605"/>
      <c r="I2558" s="605"/>
      <c r="J2558" s="606"/>
      <c r="K2558" s="605"/>
      <c r="L2558" s="605"/>
      <c r="M2558" s="605"/>
      <c r="N2558" s="605"/>
      <c r="O2558" s="605"/>
      <c r="P2558" s="605" t="s">
        <v>3559</v>
      </c>
    </row>
    <row r="2559">
      <c r="A2559" s="605"/>
      <c r="B2559" s="605"/>
      <c r="C2559" s="605"/>
      <c r="D2559" s="605"/>
      <c r="E2559" s="605" t="str">
        <f>IFERROR(__xludf.DUMMYFUNCTION("""COMPUTED_VALUE"""),"SAMSUNG")</f>
        <v>SAMSUNG</v>
      </c>
      <c r="F2559" s="605" t="str">
        <f>IFERROR(__xludf.DUMMYFUNCTION("""COMPUTED_VALUE"""),"GALAXY TAB 4")</f>
        <v>GALAXY TAB 4</v>
      </c>
      <c r="G2559" s="605"/>
      <c r="H2559" s="605"/>
      <c r="I2559" s="605"/>
      <c r="J2559" s="606"/>
      <c r="K2559" s="605"/>
      <c r="L2559" s="605"/>
      <c r="M2559" s="605"/>
      <c r="N2559" s="605"/>
      <c r="O2559" s="605"/>
      <c r="P2559" s="605" t="s">
        <v>3562</v>
      </c>
    </row>
    <row r="2560">
      <c r="A2560" s="605"/>
      <c r="B2560" s="605"/>
      <c r="C2560" s="605"/>
      <c r="D2560" s="605"/>
      <c r="E2560" s="605" t="str">
        <f>IFERROR(__xludf.DUMMYFUNCTION("""COMPUTED_VALUE"""),"SAMSUNG")</f>
        <v>SAMSUNG</v>
      </c>
      <c r="F2560" s="605" t="str">
        <f>IFERROR(__xludf.DUMMYFUNCTION("""COMPUTED_VALUE"""),"GALAXY TAB A")</f>
        <v>GALAXY TAB A</v>
      </c>
      <c r="G2560" s="605"/>
      <c r="H2560" s="605"/>
      <c r="I2560" s="605"/>
      <c r="J2560" s="606"/>
      <c r="K2560" s="605"/>
      <c r="L2560" s="605"/>
      <c r="M2560" s="605"/>
      <c r="N2560" s="605"/>
      <c r="O2560" s="605"/>
      <c r="P2560" s="605" t="s">
        <v>3565</v>
      </c>
    </row>
    <row r="2561">
      <c r="A2561" s="605"/>
      <c r="B2561" s="605"/>
      <c r="C2561" s="605"/>
      <c r="D2561" s="605"/>
      <c r="E2561" s="605" t="str">
        <f>IFERROR(__xludf.DUMMYFUNCTION("""COMPUTED_VALUE"""),"SAMSUNG")</f>
        <v>SAMSUNG</v>
      </c>
      <c r="F2561" s="605" t="str">
        <f>IFERROR(__xludf.DUMMYFUNCTION("""COMPUTED_VALUE"""),"GALAXY TAB A")</f>
        <v>GALAXY TAB A</v>
      </c>
      <c r="G2561" s="605"/>
      <c r="H2561" s="605"/>
      <c r="I2561" s="605"/>
      <c r="J2561" s="606"/>
      <c r="K2561" s="605"/>
      <c r="L2561" s="605"/>
      <c r="M2561" s="605"/>
      <c r="N2561" s="605"/>
      <c r="O2561" s="605"/>
      <c r="P2561" s="605" t="s">
        <v>2935</v>
      </c>
    </row>
    <row r="2562">
      <c r="A2562" s="605"/>
      <c r="B2562" s="605"/>
      <c r="C2562" s="605"/>
      <c r="D2562" s="605"/>
      <c r="E2562" s="605" t="str">
        <f>IFERROR(__xludf.DUMMYFUNCTION("""COMPUTED_VALUE"""),"SAMSUNG")</f>
        <v>SAMSUNG</v>
      </c>
      <c r="F2562" s="605" t="str">
        <f>IFERROR(__xludf.DUMMYFUNCTION("""COMPUTED_VALUE"""),"GALAXY TAB A")</f>
        <v>GALAXY TAB A</v>
      </c>
      <c r="G2562" s="605"/>
      <c r="H2562" s="605"/>
      <c r="I2562" s="605"/>
      <c r="J2562" s="606"/>
      <c r="K2562" s="605"/>
      <c r="L2562" s="605"/>
      <c r="M2562" s="605"/>
      <c r="N2562" s="605"/>
      <c r="O2562" s="605"/>
      <c r="P2562" s="605" t="s">
        <v>3568</v>
      </c>
    </row>
    <row r="2563">
      <c r="A2563" s="605"/>
      <c r="B2563" s="605"/>
      <c r="C2563" s="605"/>
      <c r="D2563" s="605"/>
      <c r="E2563" s="605" t="str">
        <f>IFERROR(__xludf.DUMMYFUNCTION("""COMPUTED_VALUE"""),"SAMSUNG")</f>
        <v>SAMSUNG</v>
      </c>
      <c r="F2563" s="605" t="str">
        <f>IFERROR(__xludf.DUMMYFUNCTION("""COMPUTED_VALUE"""),"GALAXY TAB A")</f>
        <v>GALAXY TAB A</v>
      </c>
      <c r="G2563" s="605"/>
      <c r="H2563" s="605"/>
      <c r="I2563" s="605"/>
      <c r="J2563" s="606"/>
      <c r="K2563" s="605"/>
      <c r="L2563" s="605"/>
      <c r="M2563" s="605"/>
      <c r="N2563" s="605"/>
      <c r="O2563" s="605"/>
      <c r="P2563" s="605" t="s">
        <v>3571</v>
      </c>
    </row>
    <row r="2564">
      <c r="A2564" s="605"/>
      <c r="B2564" s="605"/>
      <c r="C2564" s="605"/>
      <c r="D2564" s="605"/>
      <c r="E2564" s="605" t="str">
        <f>IFERROR(__xludf.DUMMYFUNCTION("""COMPUTED_VALUE"""),"SAMSUNG")</f>
        <v>SAMSUNG</v>
      </c>
      <c r="F2564" s="605" t="str">
        <f>IFERROR(__xludf.DUMMYFUNCTION("""COMPUTED_VALUE"""),"GALAXY TAB A")</f>
        <v>GALAXY TAB A</v>
      </c>
      <c r="G2564" s="605"/>
      <c r="H2564" s="605"/>
      <c r="I2564" s="605"/>
      <c r="J2564" s="606"/>
      <c r="K2564" s="605"/>
      <c r="L2564" s="605"/>
      <c r="M2564" s="605"/>
      <c r="N2564" s="605"/>
      <c r="O2564" s="605"/>
      <c r="P2564" s="605" t="s">
        <v>3574</v>
      </c>
    </row>
    <row r="2565">
      <c r="A2565" s="605"/>
      <c r="B2565" s="605"/>
      <c r="C2565" s="605"/>
      <c r="D2565" s="605"/>
      <c r="E2565" s="605" t="str">
        <f>IFERROR(__xludf.DUMMYFUNCTION("""COMPUTED_VALUE"""),"SAMSUNG")</f>
        <v>SAMSUNG</v>
      </c>
      <c r="F2565" s="605" t="str">
        <f>IFERROR(__xludf.DUMMYFUNCTION("""COMPUTED_VALUE"""),"GALAXY TAB A")</f>
        <v>GALAXY TAB A</v>
      </c>
      <c r="G2565" s="605"/>
      <c r="H2565" s="605"/>
      <c r="I2565" s="605"/>
      <c r="J2565" s="606"/>
      <c r="K2565" s="605"/>
      <c r="L2565" s="605"/>
      <c r="M2565" s="605"/>
      <c r="N2565" s="605"/>
      <c r="O2565" s="605"/>
      <c r="P2565" s="605" t="s">
        <v>3577</v>
      </c>
    </row>
    <row r="2566">
      <c r="A2566" s="605"/>
      <c r="B2566" s="605"/>
      <c r="C2566" s="605"/>
      <c r="D2566" s="605"/>
      <c r="E2566" s="605" t="str">
        <f>IFERROR(__xludf.DUMMYFUNCTION("""COMPUTED_VALUE"""),"SAMSUNG")</f>
        <v>SAMSUNG</v>
      </c>
      <c r="F2566" s="605" t="str">
        <f>IFERROR(__xludf.DUMMYFUNCTION("""COMPUTED_VALUE"""),"GALAXY TAB A")</f>
        <v>GALAXY TAB A</v>
      </c>
      <c r="G2566" s="605"/>
      <c r="H2566" s="605"/>
      <c r="I2566" s="605"/>
      <c r="J2566" s="606"/>
      <c r="K2566" s="605"/>
      <c r="L2566" s="605"/>
      <c r="M2566" s="605"/>
      <c r="N2566" s="605"/>
      <c r="O2566" s="605"/>
      <c r="P2566" s="605" t="s">
        <v>3580</v>
      </c>
    </row>
    <row r="2567">
      <c r="A2567" s="605"/>
      <c r="B2567" s="605"/>
      <c r="C2567" s="605"/>
      <c r="D2567" s="605"/>
      <c r="E2567" s="605" t="str">
        <f>IFERROR(__xludf.DUMMYFUNCTION("""COMPUTED_VALUE"""),"SAMSUNG")</f>
        <v>SAMSUNG</v>
      </c>
      <c r="F2567" s="605" t="str">
        <f>IFERROR(__xludf.DUMMYFUNCTION("""COMPUTED_VALUE"""),"GALAXY TAB A 10.5")</f>
        <v>GALAXY TAB A 10.5</v>
      </c>
      <c r="G2567" s="605"/>
      <c r="H2567" s="605"/>
      <c r="I2567" s="605"/>
      <c r="J2567" s="606"/>
      <c r="K2567" s="605"/>
      <c r="L2567" s="605"/>
      <c r="M2567" s="605"/>
      <c r="N2567" s="605"/>
      <c r="O2567" s="605"/>
      <c r="P2567" s="605" t="s">
        <v>3583</v>
      </c>
    </row>
    <row r="2568">
      <c r="A2568" s="605"/>
      <c r="B2568" s="605"/>
      <c r="C2568" s="605"/>
      <c r="D2568" s="605"/>
      <c r="E2568" s="605" t="str">
        <f>IFERROR(__xludf.DUMMYFUNCTION("""COMPUTED_VALUE"""),"SAMSUNG")</f>
        <v>SAMSUNG</v>
      </c>
      <c r="F2568" s="605" t="str">
        <f>IFERROR(__xludf.DUMMYFUNCTION("""COMPUTED_VALUE"""),"GALAXY TAB A 8.0")</f>
        <v>GALAXY TAB A 8.0</v>
      </c>
      <c r="G2568" s="605"/>
      <c r="H2568" s="605"/>
      <c r="I2568" s="605"/>
      <c r="J2568" s="606"/>
      <c r="K2568" s="605"/>
      <c r="L2568" s="605"/>
      <c r="M2568" s="605"/>
      <c r="N2568" s="605"/>
      <c r="O2568" s="605"/>
      <c r="P2568" s="605" t="s">
        <v>3586</v>
      </c>
    </row>
    <row r="2569">
      <c r="A2569" s="605"/>
      <c r="B2569" s="605"/>
      <c r="C2569" s="605"/>
      <c r="D2569" s="605"/>
      <c r="E2569" s="605" t="str">
        <f>IFERROR(__xludf.DUMMYFUNCTION("""COMPUTED_VALUE"""),"SAMSUNG")</f>
        <v>SAMSUNG</v>
      </c>
      <c r="F2569" s="605" t="str">
        <f>IFERROR(__xludf.DUMMYFUNCTION("""COMPUTED_VALUE"""),"GALAXY TAB A SMT-580")</f>
        <v>GALAXY TAB A SMT-580</v>
      </c>
      <c r="G2569" s="605"/>
      <c r="H2569" s="605"/>
      <c r="I2569" s="605"/>
      <c r="J2569" s="606"/>
      <c r="K2569" s="605"/>
      <c r="L2569" s="605"/>
      <c r="M2569" s="605"/>
      <c r="N2569" s="605"/>
      <c r="O2569" s="605"/>
      <c r="P2569" s="605" t="s">
        <v>3589</v>
      </c>
    </row>
    <row r="2570">
      <c r="A2570" s="605"/>
      <c r="B2570" s="605"/>
      <c r="C2570" s="605"/>
      <c r="D2570" s="605"/>
      <c r="E2570" s="605" t="str">
        <f>IFERROR(__xludf.DUMMYFUNCTION("""COMPUTED_VALUE"""),"SAMSUNG")</f>
        <v>SAMSUNG</v>
      </c>
      <c r="F2570" s="605" t="str">
        <f>IFERROR(__xludf.DUMMYFUNCTION("""COMPUTED_VALUE"""),"GALAXY TAB A SMT580")</f>
        <v>GALAXY TAB A SMT580</v>
      </c>
      <c r="G2570" s="605"/>
      <c r="H2570" s="605"/>
      <c r="I2570" s="605"/>
      <c r="J2570" s="606"/>
      <c r="K2570" s="605"/>
      <c r="L2570" s="605"/>
      <c r="M2570" s="605"/>
      <c r="N2570" s="605"/>
      <c r="O2570" s="605"/>
      <c r="P2570" s="605" t="s">
        <v>3592</v>
      </c>
    </row>
    <row r="2571">
      <c r="A2571" s="605"/>
      <c r="B2571" s="605"/>
      <c r="C2571" s="605"/>
      <c r="D2571" s="605"/>
      <c r="E2571" s="605" t="str">
        <f>IFERROR(__xludf.DUMMYFUNCTION("""COMPUTED_VALUE"""),"SAMSUNG")</f>
        <v>SAMSUNG</v>
      </c>
      <c r="F2571" s="605" t="str">
        <f>IFERROR(__xludf.DUMMYFUNCTION("""COMPUTED_VALUE"""),"GALAXY TAB A6 SM-T580")</f>
        <v>GALAXY TAB A6 SM-T580</v>
      </c>
      <c r="G2571" s="605"/>
      <c r="H2571" s="605"/>
      <c r="I2571" s="605"/>
      <c r="J2571" s="606"/>
      <c r="K2571" s="605"/>
      <c r="L2571" s="605"/>
      <c r="M2571" s="605"/>
      <c r="N2571" s="605"/>
      <c r="O2571" s="605"/>
      <c r="P2571" s="605" t="s">
        <v>3595</v>
      </c>
    </row>
    <row r="2572">
      <c r="A2572" s="605"/>
      <c r="B2572" s="605"/>
      <c r="C2572" s="605"/>
      <c r="D2572" s="605"/>
      <c r="E2572" s="605" t="str">
        <f>IFERROR(__xludf.DUMMYFUNCTION("""COMPUTED_VALUE"""),"SAMSUNG")</f>
        <v>SAMSUNG</v>
      </c>
      <c r="F2572" s="605" t="str">
        <f>IFERROR(__xludf.DUMMYFUNCTION("""COMPUTED_VALUE"""),"GT P3113 TAB 2")</f>
        <v>GT P3113 TAB 2</v>
      </c>
      <c r="G2572" s="605"/>
      <c r="H2572" s="605"/>
      <c r="I2572" s="605"/>
      <c r="J2572" s="606"/>
      <c r="K2572" s="605"/>
      <c r="L2572" s="605"/>
      <c r="M2572" s="605"/>
      <c r="N2572" s="605"/>
      <c r="O2572" s="605"/>
      <c r="P2572" s="605" t="s">
        <v>2938</v>
      </c>
    </row>
    <row r="2573">
      <c r="A2573" s="605"/>
      <c r="B2573" s="605"/>
      <c r="C2573" s="605"/>
      <c r="D2573" s="605"/>
      <c r="E2573" s="605" t="str">
        <f>IFERROR(__xludf.DUMMYFUNCTION("""COMPUTED_VALUE"""),"SAMSUNG")</f>
        <v>SAMSUNG</v>
      </c>
      <c r="F2573" s="605" t="str">
        <f>IFERROR(__xludf.DUMMYFUNCTION("""COMPUTED_VALUE"""),"GALAXY TAB 2")</f>
        <v>GALAXY TAB 2</v>
      </c>
      <c r="G2573" s="605"/>
      <c r="H2573" s="605"/>
      <c r="I2573" s="605"/>
      <c r="J2573" s="606"/>
      <c r="K2573" s="605"/>
      <c r="L2573" s="605"/>
      <c r="M2573" s="605"/>
      <c r="N2573" s="605"/>
      <c r="O2573" s="605"/>
      <c r="P2573" s="605" t="s">
        <v>3598</v>
      </c>
    </row>
    <row r="2574">
      <c r="A2574" s="605"/>
      <c r="B2574" s="605"/>
      <c r="C2574" s="605"/>
      <c r="D2574" s="605"/>
      <c r="E2574" s="605" t="str">
        <f>IFERROR(__xludf.DUMMYFUNCTION("""COMPUTED_VALUE"""),"SAMSUNG")</f>
        <v>SAMSUNG</v>
      </c>
      <c r="F2574" s="605" t="str">
        <f>IFERROR(__xludf.DUMMYFUNCTION("""COMPUTED_VALUE"""),"HG55EE690DB")</f>
        <v>HG55EE690DB</v>
      </c>
      <c r="G2574" s="605"/>
      <c r="H2574" s="605"/>
      <c r="I2574" s="605"/>
      <c r="J2574" s="606"/>
      <c r="K2574" s="605"/>
      <c r="L2574" s="605"/>
      <c r="M2574" s="605"/>
      <c r="N2574" s="605"/>
      <c r="O2574" s="605"/>
      <c r="P2574" s="605" t="s">
        <v>3601</v>
      </c>
    </row>
    <row r="2575">
      <c r="A2575" s="605"/>
      <c r="B2575" s="605"/>
      <c r="C2575" s="605"/>
      <c r="D2575" s="605"/>
      <c r="E2575" s="605" t="str">
        <f>IFERROR(__xludf.DUMMYFUNCTION("""COMPUTED_VALUE"""),"SAMSUNG")</f>
        <v>SAMSUNG</v>
      </c>
      <c r="F2575" s="605" t="str">
        <f>IFERROR(__xludf.DUMMYFUNCTION("""COMPUTED_VALUE"""),"HG5AAC690EW")</f>
        <v>HG5AAC690EW</v>
      </c>
      <c r="G2575" s="605"/>
      <c r="H2575" s="605"/>
      <c r="I2575" s="605"/>
      <c r="J2575" s="606"/>
      <c r="K2575" s="605"/>
      <c r="L2575" s="605"/>
      <c r="M2575" s="605"/>
      <c r="N2575" s="605"/>
      <c r="O2575" s="605"/>
      <c r="P2575" s="605" t="s">
        <v>3604</v>
      </c>
    </row>
    <row r="2576">
      <c r="A2576" s="605"/>
      <c r="B2576" s="605"/>
      <c r="C2576" s="605"/>
      <c r="D2576" s="605"/>
      <c r="E2576" s="605" t="str">
        <f>IFERROR(__xludf.DUMMYFUNCTION("""COMPUTED_VALUE"""),"SAMSUNG")</f>
        <v>SAMSUNG</v>
      </c>
      <c r="F2576" s="605" t="str">
        <f>IFERROR(__xludf.DUMMYFUNCTION("""COMPUTED_VALUE"""),"J5500")</f>
        <v>J5500</v>
      </c>
      <c r="G2576" s="605"/>
      <c r="H2576" s="605"/>
      <c r="I2576" s="605"/>
      <c r="J2576" s="606"/>
      <c r="K2576" s="605"/>
      <c r="L2576" s="605"/>
      <c r="M2576" s="605"/>
      <c r="N2576" s="605"/>
      <c r="O2576" s="605"/>
      <c r="P2576" s="605" t="s">
        <v>3607</v>
      </c>
    </row>
    <row r="2577">
      <c r="A2577" s="605"/>
      <c r="B2577" s="605"/>
      <c r="C2577" s="605"/>
      <c r="D2577" s="605"/>
      <c r="E2577" s="605" t="str">
        <f>IFERROR(__xludf.DUMMYFUNCTION("""COMPUTED_VALUE"""),"SAMSUNG")</f>
        <v>SAMSUNG</v>
      </c>
      <c r="F2577" s="605" t="str">
        <f>IFERROR(__xludf.DUMMYFUNCTION("""COMPUTED_VALUE"""),"QLED65")</f>
        <v>QLED65</v>
      </c>
      <c r="G2577" s="605"/>
      <c r="H2577" s="605"/>
      <c r="I2577" s="605"/>
      <c r="J2577" s="606"/>
      <c r="K2577" s="605"/>
      <c r="L2577" s="605"/>
      <c r="M2577" s="605"/>
      <c r="N2577" s="605"/>
      <c r="O2577" s="605"/>
      <c r="P2577" s="605" t="s">
        <v>3610</v>
      </c>
    </row>
    <row r="2578">
      <c r="A2578" s="605"/>
      <c r="B2578" s="605"/>
      <c r="C2578" s="605"/>
      <c r="D2578" s="605"/>
      <c r="E2578" s="605" t="str">
        <f>IFERROR(__xludf.DUMMYFUNCTION("""COMPUTED_VALUE"""),"SAMSUNG")</f>
        <v>SAMSUNG</v>
      </c>
      <c r="F2578" s="605" t="str">
        <f>IFERROR(__xludf.DUMMYFUNCTION("""COMPUTED_VALUE"""),"LH32 PMFP")</f>
        <v>LH32 PMFP</v>
      </c>
      <c r="G2578" s="605"/>
      <c r="H2578" s="605"/>
      <c r="I2578" s="605"/>
      <c r="J2578" s="606"/>
      <c r="K2578" s="605"/>
      <c r="L2578" s="605"/>
      <c r="M2578" s="605"/>
      <c r="N2578" s="605"/>
      <c r="O2578" s="605"/>
      <c r="P2578" s="605" t="s">
        <v>3613</v>
      </c>
    </row>
    <row r="2579">
      <c r="A2579" s="605"/>
      <c r="B2579" s="605"/>
      <c r="C2579" s="605"/>
      <c r="D2579" s="605"/>
      <c r="E2579" s="605" t="str">
        <f>IFERROR(__xludf.DUMMYFUNCTION("""COMPUTED_VALUE"""),"SAMSUNG")</f>
        <v>SAMSUNG</v>
      </c>
      <c r="F2579" s="605" t="str">
        <f>IFERROR(__xludf.DUMMYFUNCTION("""COMPUTED_VALUE"""),"LH40MDCP")</f>
        <v>LH40MDCP</v>
      </c>
      <c r="G2579" s="605"/>
      <c r="H2579" s="605"/>
      <c r="I2579" s="605"/>
      <c r="J2579" s="606"/>
      <c r="K2579" s="605"/>
      <c r="L2579" s="605"/>
      <c r="M2579" s="605"/>
      <c r="N2579" s="605"/>
      <c r="O2579" s="605"/>
      <c r="P2579" s="605" t="s">
        <v>3616</v>
      </c>
    </row>
    <row r="2580">
      <c r="A2580" s="605"/>
      <c r="B2580" s="605"/>
      <c r="C2580" s="605"/>
      <c r="D2580" s="605"/>
      <c r="E2580" s="605" t="str">
        <f>IFERROR(__xludf.DUMMYFUNCTION("""COMPUTED_VALUE"""),"SAMSUNG")</f>
        <v>SAMSUNG</v>
      </c>
      <c r="F2580" s="605" t="str">
        <f>IFERROR(__xludf.DUMMYFUNCTION("""COMPUTED_VALUE"""),"SAMSUNG LH40 MEPLGC")</f>
        <v>SAMSUNG LH40 MEPLGC</v>
      </c>
      <c r="G2580" s="605"/>
      <c r="H2580" s="605"/>
      <c r="I2580" s="605"/>
      <c r="J2580" s="606"/>
      <c r="K2580" s="605"/>
      <c r="L2580" s="605"/>
      <c r="M2580" s="605"/>
      <c r="N2580" s="605"/>
      <c r="O2580" s="605"/>
      <c r="P2580" s="605" t="s">
        <v>3619</v>
      </c>
    </row>
    <row r="2581">
      <c r="A2581" s="605"/>
      <c r="B2581" s="605"/>
      <c r="C2581" s="605"/>
      <c r="D2581" s="605"/>
      <c r="E2581" s="605" t="str">
        <f>IFERROR(__xludf.DUMMYFUNCTION("""COMPUTED_VALUE"""),"SAMSUNG")</f>
        <v>SAMSUNG</v>
      </c>
      <c r="F2581" s="605" t="str">
        <f>IFERROR(__xludf.DUMMYFUNCTION("""COMPUTED_VALUE"""),"LH46MECPLGA/ZA")</f>
        <v>LH46MECPLGA/ZA</v>
      </c>
      <c r="G2581" s="605"/>
      <c r="H2581" s="605"/>
      <c r="I2581" s="605"/>
      <c r="J2581" s="606"/>
      <c r="K2581" s="605"/>
      <c r="L2581" s="605"/>
      <c r="M2581" s="605"/>
      <c r="N2581" s="605"/>
      <c r="O2581" s="605"/>
      <c r="P2581" s="605" t="s">
        <v>3622</v>
      </c>
    </row>
    <row r="2582">
      <c r="A2582" s="605"/>
      <c r="B2582" s="605"/>
      <c r="C2582" s="605"/>
      <c r="D2582" s="605"/>
      <c r="E2582" s="605" t="str">
        <f>IFERROR(__xludf.DUMMYFUNCTION("""COMPUTED_VALUE"""),"SAMSUNG")</f>
        <v>SAMSUNG</v>
      </c>
      <c r="F2582" s="605" t="str">
        <f>IFERROR(__xludf.DUMMYFUNCTION("""COMPUTED_VALUE"""),"LH48DMDPLGC/EN")</f>
        <v>LH48DMDPLGC/EN</v>
      </c>
      <c r="G2582" s="605"/>
      <c r="H2582" s="605"/>
      <c r="I2582" s="605"/>
      <c r="J2582" s="606"/>
      <c r="K2582" s="605"/>
      <c r="L2582" s="605"/>
      <c r="M2582" s="605"/>
      <c r="N2582" s="605"/>
      <c r="O2582" s="605"/>
      <c r="P2582" s="605" t="s">
        <v>3625</v>
      </c>
    </row>
    <row r="2583">
      <c r="A2583" s="605"/>
      <c r="B2583" s="605"/>
      <c r="C2583" s="605"/>
      <c r="D2583" s="605"/>
      <c r="E2583" s="605" t="str">
        <f>IFERROR(__xludf.DUMMYFUNCTION("""COMPUTED_VALUE"""),"SAMSUNG")</f>
        <v>SAMSUNG</v>
      </c>
      <c r="F2583" s="605" t="str">
        <f>IFERROR(__xludf.DUMMYFUNCTION("""COMPUTED_VALUE"""),"LH55 DMEPLGA")</f>
        <v>LH55 DMEPLGA</v>
      </c>
      <c r="G2583" s="605"/>
      <c r="H2583" s="605"/>
      <c r="I2583" s="605"/>
      <c r="J2583" s="606"/>
      <c r="K2583" s="605"/>
      <c r="L2583" s="605"/>
      <c r="M2583" s="605"/>
      <c r="N2583" s="605"/>
      <c r="O2583" s="605"/>
      <c r="P2583" s="605" t="s">
        <v>2941</v>
      </c>
    </row>
    <row r="2584">
      <c r="A2584" s="605"/>
      <c r="B2584" s="605"/>
      <c r="C2584" s="605"/>
      <c r="D2584" s="605"/>
      <c r="E2584" s="605" t="str">
        <f>IFERROR(__xludf.DUMMYFUNCTION("""COMPUTED_VALUE"""),"SAMSUNG")</f>
        <v>SAMSUNG</v>
      </c>
      <c r="F2584" s="605" t="str">
        <f>IFERROR(__xludf.DUMMYFUNCTION("""COMPUTED_VALUE"""),"LH55DMEPLGA/GO")</f>
        <v>LH55DMEPLGA/GO</v>
      </c>
      <c r="G2584" s="605"/>
      <c r="H2584" s="605"/>
      <c r="I2584" s="605"/>
      <c r="J2584" s="606"/>
      <c r="K2584" s="605"/>
      <c r="L2584" s="605"/>
      <c r="M2584" s="605"/>
      <c r="N2584" s="605"/>
      <c r="O2584" s="605"/>
      <c r="P2584" s="605" t="s">
        <v>3628</v>
      </c>
    </row>
    <row r="2585">
      <c r="A2585" s="605"/>
      <c r="B2585" s="605"/>
      <c r="C2585" s="605"/>
      <c r="D2585" s="605"/>
      <c r="E2585" s="605" t="str">
        <f>IFERROR(__xludf.DUMMYFUNCTION("""COMPUTED_VALUE"""),"SAMSUNG")</f>
        <v>SAMSUNG</v>
      </c>
      <c r="F2585" s="605" t="str">
        <f>IFERROR(__xludf.DUMMYFUNCTION("""COMPUTED_VALUE"""),"ME55C")</f>
        <v>ME55C</v>
      </c>
      <c r="G2585" s="605"/>
      <c r="H2585" s="605"/>
      <c r="I2585" s="605"/>
      <c r="J2585" s="606"/>
      <c r="K2585" s="605"/>
      <c r="L2585" s="605"/>
      <c r="M2585" s="605"/>
      <c r="N2585" s="605"/>
      <c r="O2585" s="605"/>
      <c r="P2585" s="605" t="s">
        <v>3631</v>
      </c>
    </row>
    <row r="2586">
      <c r="A2586" s="605"/>
      <c r="B2586" s="605"/>
      <c r="C2586" s="605"/>
      <c r="D2586" s="605"/>
      <c r="E2586" s="605" t="str">
        <f>IFERROR(__xludf.DUMMYFUNCTION("""COMPUTED_VALUE"""),"SAMSUNG")</f>
        <v>SAMSUNG</v>
      </c>
      <c r="F2586" s="605" t="str">
        <f>IFERROR(__xludf.DUMMYFUNCTION("""COMPUTED_VALUE"""),"LH55MECPLGA/ZA")</f>
        <v>LH55MECPLGA/ZA</v>
      </c>
      <c r="G2586" s="605"/>
      <c r="H2586" s="605"/>
      <c r="I2586" s="605"/>
      <c r="J2586" s="606"/>
      <c r="K2586" s="605"/>
      <c r="L2586" s="605"/>
      <c r="M2586" s="605"/>
      <c r="N2586" s="605"/>
      <c r="O2586" s="605"/>
      <c r="P2586" s="605" t="s">
        <v>3634</v>
      </c>
    </row>
    <row r="2587">
      <c r="A2587" s="605"/>
      <c r="B2587" s="605"/>
      <c r="C2587" s="605"/>
      <c r="D2587" s="605"/>
      <c r="E2587" s="605" t="str">
        <f>IFERROR(__xludf.DUMMYFUNCTION("""COMPUTED_VALUE"""),"SAMSUNG")</f>
        <v>SAMSUNG</v>
      </c>
      <c r="F2587" s="605" t="str">
        <f>IFERROR(__xludf.DUMMYFUNCTION("""COMPUTED_VALUE"""),"LH55PMFPBGC")</f>
        <v>LH55PMFPBGC</v>
      </c>
      <c r="G2587" s="605"/>
      <c r="H2587" s="605"/>
      <c r="I2587" s="605"/>
      <c r="J2587" s="606"/>
      <c r="K2587" s="605"/>
      <c r="L2587" s="605"/>
      <c r="M2587" s="605"/>
      <c r="N2587" s="605"/>
      <c r="O2587" s="605"/>
      <c r="P2587" s="605" t="s">
        <v>3637</v>
      </c>
    </row>
    <row r="2588">
      <c r="A2588" s="605"/>
      <c r="B2588" s="605"/>
      <c r="C2588" s="605"/>
      <c r="D2588" s="605"/>
      <c r="E2588" s="605" t="str">
        <f>IFERROR(__xludf.DUMMYFUNCTION("""COMPUTED_VALUE"""),"SAMSUNG")</f>
        <v>SAMSUNG</v>
      </c>
      <c r="F2588" s="605" t="str">
        <f>IFERROR(__xludf.DUMMYFUNCTION("""COMPUTED_VALUE"""),"DM55E")</f>
        <v>DM55E</v>
      </c>
      <c r="G2588" s="605"/>
      <c r="H2588" s="605"/>
      <c r="I2588" s="605"/>
      <c r="J2588" s="606"/>
      <c r="K2588" s="605"/>
      <c r="L2588" s="605"/>
      <c r="M2588" s="605"/>
      <c r="N2588" s="605"/>
      <c r="O2588" s="605"/>
      <c r="P2588" s="605" t="s">
        <v>3639</v>
      </c>
    </row>
    <row r="2589">
      <c r="A2589" s="605"/>
      <c r="B2589" s="605"/>
      <c r="C2589" s="605"/>
      <c r="D2589" s="605"/>
      <c r="E2589" s="605" t="str">
        <f>IFERROR(__xludf.DUMMYFUNCTION("""COMPUTED_VALUE"""),"SAMSUNG")</f>
        <v>SAMSUNG</v>
      </c>
      <c r="F2589" s="605" t="str">
        <f>IFERROR(__xludf.DUMMYFUNCTION("""COMPUTED_VALUE"""),"LH55DMEPLGA/GO")</f>
        <v>LH55DMEPLGA/GO</v>
      </c>
      <c r="G2589" s="605"/>
      <c r="H2589" s="605"/>
      <c r="I2589" s="605"/>
      <c r="J2589" s="606"/>
      <c r="K2589" s="605"/>
      <c r="L2589" s="605"/>
      <c r="M2589" s="605"/>
      <c r="N2589" s="605"/>
      <c r="O2589" s="605"/>
      <c r="P2589" s="605" t="s">
        <v>3642</v>
      </c>
    </row>
    <row r="2590">
      <c r="A2590" s="605"/>
      <c r="B2590" s="605"/>
      <c r="C2590" s="605"/>
      <c r="D2590" s="605"/>
      <c r="E2590" s="605" t="str">
        <f>IFERROR(__xludf.DUMMYFUNCTION("""COMPUTED_VALUE"""),"SAMSUNG")</f>
        <v>SAMSUNG</v>
      </c>
      <c r="F2590" s="605" t="str">
        <f>IFERROR(__xludf.DUMMYFUNCTION("""COMPUTED_VALUE"""),"ME46B")</f>
        <v>ME46B</v>
      </c>
      <c r="G2590" s="605"/>
      <c r="H2590" s="605"/>
      <c r="I2590" s="605"/>
      <c r="J2590" s="606"/>
      <c r="K2590" s="605"/>
      <c r="L2590" s="605"/>
      <c r="M2590" s="605"/>
      <c r="N2590" s="605"/>
      <c r="O2590" s="605"/>
      <c r="P2590" s="605" t="s">
        <v>3645</v>
      </c>
    </row>
    <row r="2591">
      <c r="A2591" s="605"/>
      <c r="B2591" s="605"/>
      <c r="C2591" s="605"/>
      <c r="D2591" s="605"/>
      <c r="E2591" s="605" t="str">
        <f>IFERROR(__xludf.DUMMYFUNCTION("""COMPUTED_VALUE"""),"SAMSUNG")</f>
        <v>SAMSUNG</v>
      </c>
      <c r="F2591" s="605" t="str">
        <f>IFERROR(__xludf.DUMMYFUNCTION("""COMPUTED_VALUE"""),"ME55B")</f>
        <v>ME55B</v>
      </c>
      <c r="G2591" s="605"/>
      <c r="H2591" s="605"/>
      <c r="I2591" s="605"/>
      <c r="J2591" s="606"/>
      <c r="K2591" s="605"/>
      <c r="L2591" s="605"/>
      <c r="M2591" s="605"/>
      <c r="N2591" s="605"/>
      <c r="O2591" s="605"/>
      <c r="P2591" s="605" t="s">
        <v>3648</v>
      </c>
    </row>
    <row r="2592">
      <c r="A2592" s="605"/>
      <c r="B2592" s="605"/>
      <c r="C2592" s="605"/>
      <c r="D2592" s="605"/>
      <c r="E2592" s="605" t="str">
        <f>IFERROR(__xludf.DUMMYFUNCTION("""COMPUTED_VALUE"""),"SAMSUNG")</f>
        <v>SAMSUNG</v>
      </c>
      <c r="F2592" s="605" t="str">
        <f>IFERROR(__xludf.DUMMYFUNCTION("""COMPUTED_VALUE"""),"ME55C")</f>
        <v>ME55C</v>
      </c>
      <c r="G2592" s="605"/>
      <c r="H2592" s="605"/>
      <c r="I2592" s="605"/>
      <c r="J2592" s="606"/>
      <c r="K2592" s="605"/>
      <c r="L2592" s="605"/>
      <c r="M2592" s="605"/>
      <c r="N2592" s="605"/>
      <c r="O2592" s="605"/>
      <c r="P2592" s="605" t="s">
        <v>3651</v>
      </c>
    </row>
    <row r="2593">
      <c r="A2593" s="605"/>
      <c r="B2593" s="605"/>
      <c r="C2593" s="605"/>
      <c r="D2593" s="605"/>
      <c r="E2593" s="605" t="str">
        <f>IFERROR(__xludf.DUMMYFUNCTION("""COMPUTED_VALUE"""),"SAMSUNG")</f>
        <v>SAMSUNG</v>
      </c>
      <c r="F2593" s="605" t="str">
        <f>IFERROR(__xludf.DUMMYFUNCTION("""COMPUTED_VALUE"""),"ME75C")</f>
        <v>ME75C</v>
      </c>
      <c r="G2593" s="605"/>
      <c r="H2593" s="605"/>
      <c r="I2593" s="605"/>
      <c r="J2593" s="606"/>
      <c r="K2593" s="605"/>
      <c r="L2593" s="605"/>
      <c r="M2593" s="605"/>
      <c r="N2593" s="605"/>
      <c r="O2593" s="605"/>
      <c r="P2593" s="605" t="s">
        <v>3654</v>
      </c>
    </row>
    <row r="2594">
      <c r="A2594" s="605"/>
      <c r="B2594" s="605"/>
      <c r="C2594" s="605"/>
      <c r="D2594" s="605"/>
      <c r="E2594" s="605" t="str">
        <f>IFERROR(__xludf.DUMMYFUNCTION("""COMPUTED_VALUE"""),"SAMSUNG")</f>
        <v>SAMSUNG</v>
      </c>
      <c r="F2594" s="605" t="str">
        <f>IFERROR(__xludf.DUMMYFUNCTION("""COMPUTED_VALUE"""),"NEXUS 10")</f>
        <v>NEXUS 10</v>
      </c>
      <c r="G2594" s="605"/>
      <c r="H2594" s="605"/>
      <c r="I2594" s="605"/>
      <c r="J2594" s="606"/>
      <c r="K2594" s="605"/>
      <c r="L2594" s="605"/>
      <c r="M2594" s="605"/>
      <c r="N2594" s="605"/>
      <c r="O2594" s="605"/>
      <c r="P2594" s="605" t="s">
        <v>2944</v>
      </c>
    </row>
    <row r="2595">
      <c r="A2595" s="605"/>
      <c r="B2595" s="605"/>
      <c r="C2595" s="605"/>
      <c r="D2595" s="605"/>
      <c r="E2595" s="605" t="str">
        <f>IFERROR(__xludf.DUMMYFUNCTION("""COMPUTED_VALUE"""),"SAMSUNG")</f>
        <v>SAMSUNG</v>
      </c>
      <c r="F2595" s="605" t="str">
        <f>IFERROR(__xludf.DUMMYFUNCTION("""COMPUTED_VALUE"""),"NOT VERIFIED")</f>
        <v>NOT VERIFIED</v>
      </c>
      <c r="G2595" s="605"/>
      <c r="H2595" s="605"/>
      <c r="I2595" s="605"/>
      <c r="J2595" s="606"/>
      <c r="K2595" s="605"/>
      <c r="L2595" s="605"/>
      <c r="M2595" s="605"/>
      <c r="N2595" s="605"/>
      <c r="O2595" s="605"/>
      <c r="P2595" s="605" t="s">
        <v>3657</v>
      </c>
    </row>
    <row r="2596">
      <c r="A2596" s="605"/>
      <c r="B2596" s="605"/>
      <c r="C2596" s="605"/>
      <c r="D2596" s="605"/>
      <c r="E2596" s="605" t="str">
        <f>IFERROR(__xludf.DUMMYFUNCTION("""COMPUTED_VALUE"""),"SAMSUNG")</f>
        <v>SAMSUNG</v>
      </c>
      <c r="F2596" s="605" t="str">
        <f>IFERROR(__xludf.DUMMYFUNCTION("""COMPUTED_VALUE"""),"ONE CONNECT")</f>
        <v>ONE CONNECT</v>
      </c>
      <c r="G2596" s="605"/>
      <c r="H2596" s="605"/>
      <c r="I2596" s="605"/>
      <c r="J2596" s="606"/>
      <c r="K2596" s="605"/>
      <c r="L2596" s="605"/>
      <c r="M2596" s="605"/>
      <c r="N2596" s="605"/>
      <c r="O2596" s="605"/>
      <c r="P2596" s="605" t="s">
        <v>3660</v>
      </c>
    </row>
    <row r="2597">
      <c r="A2597" s="605"/>
      <c r="B2597" s="605"/>
      <c r="C2597" s="605"/>
      <c r="D2597" s="605"/>
      <c r="E2597" s="605" t="str">
        <f>IFERROR(__xludf.DUMMYFUNCTION("""COMPUTED_VALUE"""),"SAMSUNG")</f>
        <v>SAMSUNG</v>
      </c>
      <c r="F2597" s="605" t="str">
        <f>IFERROR(__xludf.DUMMYFUNCTION("""COMPUTED_VALUE"""),"PH49F")</f>
        <v>PH49F</v>
      </c>
      <c r="G2597" s="605"/>
      <c r="H2597" s="605"/>
      <c r="I2597" s="605"/>
      <c r="J2597" s="606"/>
      <c r="K2597" s="605"/>
      <c r="L2597" s="605"/>
      <c r="M2597" s="605"/>
      <c r="N2597" s="605"/>
      <c r="O2597" s="605"/>
      <c r="P2597" s="605" t="s">
        <v>3663</v>
      </c>
    </row>
    <row r="2598">
      <c r="A2598" s="605"/>
      <c r="B2598" s="605"/>
      <c r="C2598" s="605"/>
      <c r="D2598" s="605"/>
      <c r="E2598" s="605" t="str">
        <f>IFERROR(__xludf.DUMMYFUNCTION("""COMPUTED_VALUE"""),"SAMSUNG")</f>
        <v>SAMSUNG</v>
      </c>
      <c r="F2598" s="605" t="str">
        <f>IFERROR(__xludf.DUMMYFUNCTION("""COMPUTED_VALUE"""),"PHF55")</f>
        <v>PHF55</v>
      </c>
      <c r="G2598" s="605"/>
      <c r="H2598" s="605"/>
      <c r="I2598" s="605"/>
      <c r="J2598" s="606"/>
      <c r="K2598" s="605"/>
      <c r="L2598" s="605"/>
      <c r="M2598" s="605"/>
      <c r="N2598" s="605"/>
      <c r="O2598" s="605"/>
      <c r="P2598" s="605" t="s">
        <v>3666</v>
      </c>
    </row>
    <row r="2599">
      <c r="A2599" s="605"/>
      <c r="B2599" s="605"/>
      <c r="C2599" s="605"/>
      <c r="D2599" s="605"/>
      <c r="E2599" s="605" t="str">
        <f>IFERROR(__xludf.DUMMYFUNCTION("""COMPUTED_VALUE"""),"SAMSUNG")</f>
        <v>SAMSUNG</v>
      </c>
      <c r="F2599" s="605" t="str">
        <f>IFERROR(__xludf.DUMMYFUNCTION("""COMPUTED_VALUE"""),"PM49F")</f>
        <v>PM49F</v>
      </c>
      <c r="G2599" s="605"/>
      <c r="H2599" s="605"/>
      <c r="I2599" s="605"/>
      <c r="J2599" s="606"/>
      <c r="K2599" s="605"/>
      <c r="L2599" s="605"/>
      <c r="M2599" s="605"/>
      <c r="N2599" s="605"/>
      <c r="O2599" s="605"/>
      <c r="P2599" s="605" t="s">
        <v>3669</v>
      </c>
    </row>
    <row r="2600">
      <c r="A2600" s="605"/>
      <c r="B2600" s="605"/>
      <c r="C2600" s="605"/>
      <c r="D2600" s="605"/>
      <c r="E2600" s="605" t="str">
        <f>IFERROR(__xludf.DUMMYFUNCTION("""COMPUTED_VALUE"""),"SAMSUNG")</f>
        <v>SAMSUNG</v>
      </c>
      <c r="F2600" s="605" t="str">
        <f>IFERROR(__xludf.DUMMYFUNCTION("""COMPUTED_VALUE"""),"PM49H")</f>
        <v>PM49H</v>
      </c>
      <c r="G2600" s="605"/>
      <c r="H2600" s="605"/>
      <c r="I2600" s="605"/>
      <c r="J2600" s="606"/>
      <c r="K2600" s="605"/>
      <c r="L2600" s="605"/>
      <c r="M2600" s="605"/>
      <c r="N2600" s="605"/>
      <c r="O2600" s="605"/>
      <c r="P2600" s="605" t="s">
        <v>3672</v>
      </c>
    </row>
    <row r="2601">
      <c r="A2601" s="605"/>
      <c r="B2601" s="605"/>
      <c r="C2601" s="605"/>
      <c r="D2601" s="605"/>
      <c r="E2601" s="605" t="str">
        <f>IFERROR(__xludf.DUMMYFUNCTION("""COMPUTED_VALUE"""),"SAMSUNG")</f>
        <v>SAMSUNG</v>
      </c>
      <c r="F2601" s="605" t="str">
        <f>IFERROR(__xludf.DUMMYFUNCTION("""COMPUTED_VALUE"""),"PM55H")</f>
        <v>PM55H</v>
      </c>
      <c r="G2601" s="605"/>
      <c r="H2601" s="605"/>
      <c r="I2601" s="605"/>
      <c r="J2601" s="606"/>
      <c r="K2601" s="605"/>
      <c r="L2601" s="605"/>
      <c r="M2601" s="605"/>
      <c r="N2601" s="605"/>
      <c r="O2601" s="605"/>
      <c r="P2601" s="605" t="s">
        <v>3675</v>
      </c>
    </row>
    <row r="2602">
      <c r="A2602" s="605"/>
      <c r="B2602" s="605"/>
      <c r="C2602" s="605"/>
      <c r="D2602" s="605"/>
      <c r="E2602" s="605" t="str">
        <f>IFERROR(__xludf.DUMMYFUNCTION("""COMPUTED_VALUE"""),"SAMSUNG")</f>
        <v>SAMSUNG</v>
      </c>
      <c r="F2602" s="605" t="str">
        <f>IFERROR(__xludf.DUMMYFUNCTION("""COMPUTED_VALUE"""),"QA75Q7FNAKXXT")</f>
        <v>QA75Q7FNAKXXT</v>
      </c>
      <c r="G2602" s="605"/>
      <c r="H2602" s="605"/>
      <c r="I2602" s="605"/>
      <c r="J2602" s="606"/>
      <c r="K2602" s="605"/>
      <c r="L2602" s="605"/>
      <c r="M2602" s="605"/>
      <c r="N2602" s="605"/>
      <c r="O2602" s="605"/>
      <c r="P2602" s="605" t="s">
        <v>3678</v>
      </c>
    </row>
    <row r="2603">
      <c r="A2603" s="605"/>
      <c r="B2603" s="605"/>
      <c r="C2603" s="605"/>
      <c r="D2603" s="605"/>
      <c r="E2603" s="605" t="str">
        <f>IFERROR(__xludf.DUMMYFUNCTION("""COMPUTED_VALUE"""),"SAMSUNG")</f>
        <v>SAMSUNG</v>
      </c>
      <c r="F2603" s="605" t="str">
        <f>IFERROR(__xludf.DUMMYFUNCTION("""COMPUTED_VALUE"""),"QMH SERIES")</f>
        <v>QMH SERIES</v>
      </c>
      <c r="G2603" s="605"/>
      <c r="H2603" s="605"/>
      <c r="I2603" s="605"/>
      <c r="J2603" s="606"/>
      <c r="K2603" s="605"/>
      <c r="L2603" s="605"/>
      <c r="M2603" s="605"/>
      <c r="N2603" s="605"/>
      <c r="O2603" s="605"/>
      <c r="P2603" s="605" t="s">
        <v>3681</v>
      </c>
    </row>
    <row r="2604">
      <c r="A2604" s="605"/>
      <c r="B2604" s="605"/>
      <c r="C2604" s="605"/>
      <c r="D2604" s="605"/>
      <c r="E2604" s="605" t="str">
        <f>IFERROR(__xludf.DUMMYFUNCTION("""COMPUTED_VALUE"""),"SAMSUNG")</f>
        <v>SAMSUNG</v>
      </c>
      <c r="F2604" s="605" t="str">
        <f>IFERROR(__xludf.DUMMYFUNCTION("""COMPUTED_VALUE"""),"QMH SERIES")</f>
        <v>QMH SERIES</v>
      </c>
      <c r="G2604" s="605"/>
      <c r="H2604" s="605"/>
      <c r="I2604" s="605"/>
      <c r="J2604" s="606"/>
      <c r="K2604" s="605"/>
      <c r="L2604" s="605"/>
      <c r="M2604" s="605"/>
      <c r="N2604" s="605"/>
      <c r="O2604" s="605"/>
      <c r="P2604" s="605" t="s">
        <v>3684</v>
      </c>
    </row>
    <row r="2605">
      <c r="A2605" s="605"/>
      <c r="B2605" s="605"/>
      <c r="C2605" s="605"/>
      <c r="D2605" s="605"/>
      <c r="E2605" s="605" t="str">
        <f>IFERROR(__xludf.DUMMYFUNCTION("""COMPUTED_VALUE"""),"SAMSUNG")</f>
        <v>SAMSUNG</v>
      </c>
      <c r="F2605" s="605" t="str">
        <f>IFERROR(__xludf.DUMMYFUNCTION("""COMPUTED_VALUE"""),"QMH SERIES")</f>
        <v>QMH SERIES</v>
      </c>
      <c r="G2605" s="605"/>
      <c r="H2605" s="605"/>
      <c r="I2605" s="605"/>
      <c r="J2605" s="606"/>
      <c r="K2605" s="605"/>
      <c r="L2605" s="605"/>
      <c r="M2605" s="605"/>
      <c r="N2605" s="605"/>
      <c r="O2605" s="605"/>
      <c r="P2605" s="605" t="s">
        <v>2947</v>
      </c>
    </row>
    <row r="2606">
      <c r="A2606" s="605"/>
      <c r="B2606" s="605"/>
      <c r="C2606" s="605"/>
      <c r="D2606" s="605"/>
      <c r="E2606" s="605" t="str">
        <f>IFERROR(__xludf.DUMMYFUNCTION("""COMPUTED_VALUE"""),"SAMSUNG")</f>
        <v>SAMSUNG</v>
      </c>
      <c r="F2606" s="605" t="str">
        <f>IFERROR(__xludf.DUMMYFUNCTION("""COMPUTED_VALUE"""),"QM55H")</f>
        <v>QM55H</v>
      </c>
      <c r="G2606" s="605"/>
      <c r="H2606" s="605"/>
      <c r="I2606" s="605"/>
      <c r="J2606" s="606"/>
      <c r="K2606" s="605"/>
      <c r="L2606" s="605"/>
      <c r="M2606" s="605"/>
      <c r="N2606" s="605"/>
      <c r="O2606" s="605"/>
      <c r="P2606" s="605" t="s">
        <v>3687</v>
      </c>
    </row>
    <row r="2607">
      <c r="A2607" s="605"/>
      <c r="B2607" s="605"/>
      <c r="C2607" s="605"/>
      <c r="D2607" s="605"/>
      <c r="E2607" s="605" t="str">
        <f>IFERROR(__xludf.DUMMYFUNCTION("""COMPUTED_VALUE"""),"SAMSUNG")</f>
        <v>SAMSUNG</v>
      </c>
      <c r="F2607" s="605" t="str">
        <f>IFERROR(__xludf.DUMMYFUNCTION("""COMPUTED_VALUE"""),"QM65H")</f>
        <v>QM65H</v>
      </c>
      <c r="G2607" s="605"/>
      <c r="H2607" s="605"/>
      <c r="I2607" s="605"/>
      <c r="J2607" s="606"/>
      <c r="K2607" s="605"/>
      <c r="L2607" s="605"/>
      <c r="M2607" s="605"/>
      <c r="N2607" s="605"/>
      <c r="O2607" s="605"/>
      <c r="P2607" s="605" t="s">
        <v>3690</v>
      </c>
    </row>
    <row r="2608">
      <c r="A2608" s="605"/>
      <c r="B2608" s="605"/>
      <c r="C2608" s="605"/>
      <c r="D2608" s="605"/>
      <c r="E2608" s="605" t="str">
        <f>IFERROR(__xludf.DUMMYFUNCTION("""COMPUTED_VALUE"""),"SAMSUNG")</f>
        <v>SAMSUNG</v>
      </c>
      <c r="F2608" s="605" t="str">
        <f>IFERROR(__xludf.DUMMYFUNCTION("""COMPUTED_VALUE"""),"QMH SERIES")</f>
        <v>QMH SERIES</v>
      </c>
      <c r="G2608" s="605"/>
      <c r="H2608" s="605"/>
      <c r="I2608" s="605"/>
      <c r="J2608" s="606"/>
      <c r="K2608" s="605"/>
      <c r="L2608" s="605"/>
      <c r="M2608" s="605"/>
      <c r="N2608" s="605"/>
      <c r="O2608" s="605"/>
      <c r="P2608" s="605" t="s">
        <v>3693</v>
      </c>
    </row>
    <row r="2609">
      <c r="A2609" s="605"/>
      <c r="B2609" s="605"/>
      <c r="C2609" s="605"/>
      <c r="D2609" s="605"/>
      <c r="E2609" s="605" t="str">
        <f>IFERROR(__xludf.DUMMYFUNCTION("""COMPUTED_VALUE"""),"SAMSUNG")</f>
        <v>SAMSUNG</v>
      </c>
      <c r="F2609" s="605" t="str">
        <f>IFERROR(__xludf.DUMMYFUNCTION("""COMPUTED_VALUE"""),"QN49Q60RAFXZA")</f>
        <v>QN49Q60RAFXZA</v>
      </c>
      <c r="G2609" s="605"/>
      <c r="H2609" s="605"/>
      <c r="I2609" s="605"/>
      <c r="J2609" s="606"/>
      <c r="K2609" s="605"/>
      <c r="L2609" s="605"/>
      <c r="M2609" s="605"/>
      <c r="N2609" s="605"/>
      <c r="O2609" s="605"/>
      <c r="P2609" s="605" t="s">
        <v>3696</v>
      </c>
    </row>
    <row r="2610">
      <c r="A2610" s="605"/>
      <c r="B2610" s="605"/>
      <c r="C2610" s="605"/>
      <c r="D2610" s="605"/>
      <c r="E2610" s="605" t="str">
        <f>IFERROR(__xludf.DUMMYFUNCTION("""COMPUTED_VALUE"""),"SAMSUNG")</f>
        <v>SAMSUNG</v>
      </c>
      <c r="F2610" s="605" t="str">
        <f>IFERROR(__xludf.DUMMYFUNCTION("""COMPUTED_VALUE"""),"QN65Q60RAFXZA")</f>
        <v>QN65Q60RAFXZA</v>
      </c>
      <c r="G2610" s="605"/>
      <c r="H2610" s="605"/>
      <c r="I2610" s="605"/>
      <c r="J2610" s="606"/>
      <c r="K2610" s="605"/>
      <c r="L2610" s="605"/>
      <c r="M2610" s="605"/>
      <c r="N2610" s="605"/>
      <c r="O2610" s="605"/>
      <c r="P2610" s="605" t="s">
        <v>3699</v>
      </c>
    </row>
    <row r="2611">
      <c r="A2611" s="605"/>
      <c r="B2611" s="605"/>
      <c r="C2611" s="605"/>
      <c r="D2611" s="605"/>
      <c r="E2611" s="605" t="str">
        <f>IFERROR(__xludf.DUMMYFUNCTION("""COMPUTED_VALUE"""),"SAMSUNG")</f>
        <v>SAMSUNG</v>
      </c>
      <c r="F2611" s="605" t="str">
        <f>IFERROR(__xludf.DUMMYFUNCTION("""COMPUTED_VALUE"""),"RF265BEAESR")</f>
        <v>RF265BEAESR</v>
      </c>
      <c r="G2611" s="605"/>
      <c r="H2611" s="605"/>
      <c r="I2611" s="605"/>
      <c r="J2611" s="606"/>
      <c r="K2611" s="605"/>
      <c r="L2611" s="605"/>
      <c r="M2611" s="605"/>
      <c r="N2611" s="605"/>
      <c r="O2611" s="605"/>
      <c r="P2611" s="605" t="s">
        <v>3702</v>
      </c>
    </row>
    <row r="2612">
      <c r="A2612" s="605"/>
      <c r="B2612" s="605"/>
      <c r="C2612" s="605"/>
      <c r="D2612" s="605"/>
      <c r="E2612" s="605" t="str">
        <f>IFERROR(__xludf.DUMMYFUNCTION("""COMPUTED_VALUE"""),"SAMSUNG")</f>
        <v>SAMSUNG</v>
      </c>
      <c r="F2612" s="605" t="str">
        <f>IFERROR(__xludf.DUMMYFUNCTION("""COMPUTED_VALUE"""),"DM55E")</f>
        <v>DM55E</v>
      </c>
      <c r="G2612" s="605"/>
      <c r="H2612" s="605"/>
      <c r="I2612" s="605"/>
      <c r="J2612" s="606"/>
      <c r="K2612" s="605"/>
      <c r="L2612" s="605"/>
      <c r="M2612" s="605"/>
      <c r="N2612" s="605"/>
      <c r="O2612" s="605"/>
      <c r="P2612" s="605" t="s">
        <v>3705</v>
      </c>
    </row>
    <row r="2613">
      <c r="A2613" s="605"/>
      <c r="B2613" s="605"/>
      <c r="C2613" s="605"/>
      <c r="D2613" s="605"/>
      <c r="E2613" s="605" t="str">
        <f>IFERROR(__xludf.DUMMYFUNCTION("""COMPUTED_VALUE"""),"SAMSUNG")</f>
        <v>SAMSUNG</v>
      </c>
      <c r="F2613" s="605" t="str">
        <f>IFERROR(__xludf.DUMMYFUNCTION("""COMPUTED_VALUE"""),"SM-T377A")</f>
        <v>SM-T377A</v>
      </c>
      <c r="G2613" s="605"/>
      <c r="H2613" s="605"/>
      <c r="I2613" s="605"/>
      <c r="J2613" s="606"/>
      <c r="K2613" s="605"/>
      <c r="L2613" s="605"/>
      <c r="M2613" s="605"/>
      <c r="N2613" s="605"/>
      <c r="O2613" s="605"/>
      <c r="P2613" s="605" t="s">
        <v>3708</v>
      </c>
    </row>
    <row r="2614">
      <c r="A2614" s="605"/>
      <c r="B2614" s="605"/>
      <c r="C2614" s="605"/>
      <c r="D2614" s="605"/>
      <c r="E2614" s="605" t="str">
        <f>IFERROR(__xludf.DUMMYFUNCTION("""COMPUTED_VALUE"""),"SAMSUNG")</f>
        <v>SAMSUNG</v>
      </c>
      <c r="F2614" s="605" t="str">
        <f>IFERROR(__xludf.DUMMYFUNCTION("""COMPUTED_VALUE"""),"SCH-I705")</f>
        <v>SCH-I705</v>
      </c>
      <c r="G2614" s="605"/>
      <c r="H2614" s="605"/>
      <c r="I2614" s="605"/>
      <c r="J2614" s="606"/>
      <c r="K2614" s="605"/>
      <c r="L2614" s="605"/>
      <c r="M2614" s="605"/>
      <c r="N2614" s="605"/>
      <c r="O2614" s="605"/>
      <c r="P2614" s="605" t="s">
        <v>3710</v>
      </c>
    </row>
    <row r="2615">
      <c r="A2615" s="605"/>
      <c r="B2615" s="605"/>
      <c r="C2615" s="605"/>
      <c r="D2615" s="605"/>
      <c r="E2615" s="605" t="str">
        <f>IFERROR(__xludf.DUMMYFUNCTION("""COMPUTED_VALUE"""),"SAMSUNG")</f>
        <v>SAMSUNG</v>
      </c>
      <c r="F2615" s="605" t="str">
        <f>IFERROR(__xludf.DUMMYFUNCTION("""COMPUTED_VALUE"""),"THE SERIF")</f>
        <v>THE SERIF</v>
      </c>
      <c r="G2615" s="605"/>
      <c r="H2615" s="605"/>
      <c r="I2615" s="605"/>
      <c r="J2615" s="606"/>
      <c r="K2615" s="605"/>
      <c r="L2615" s="605"/>
      <c r="M2615" s="605"/>
      <c r="N2615" s="605"/>
      <c r="O2615" s="605"/>
      <c r="P2615" s="605" t="s">
        <v>3713</v>
      </c>
    </row>
    <row r="2616">
      <c r="A2616" s="605"/>
      <c r="B2616" s="605"/>
      <c r="C2616" s="605"/>
      <c r="D2616" s="605"/>
      <c r="E2616" s="605" t="str">
        <f>IFERROR(__xludf.DUMMYFUNCTION("""COMPUTED_VALUE"""),"SAMSUNG")</f>
        <v>SAMSUNG</v>
      </c>
      <c r="F2616" s="605" t="str">
        <f>IFERROR(__xludf.DUMMYFUNCTION("""COMPUTED_VALUE"""),"SM-T113NU")</f>
        <v>SM-T113NU</v>
      </c>
      <c r="G2616" s="605"/>
      <c r="H2616" s="605"/>
      <c r="I2616" s="605"/>
      <c r="J2616" s="606"/>
      <c r="K2616" s="605"/>
      <c r="L2616" s="605"/>
      <c r="M2616" s="605"/>
      <c r="N2616" s="605"/>
      <c r="O2616" s="605"/>
      <c r="P2616" s="605" t="s">
        <v>2950</v>
      </c>
    </row>
    <row r="2617">
      <c r="A2617" s="605"/>
      <c r="B2617" s="605"/>
      <c r="C2617" s="605"/>
      <c r="D2617" s="605"/>
      <c r="E2617" s="605" t="str">
        <f>IFERROR(__xludf.DUMMYFUNCTION("""COMPUTED_VALUE"""),"SAMSUNG")</f>
        <v>SAMSUNG</v>
      </c>
      <c r="F2617" s="605" t="str">
        <f>IFERROR(__xludf.DUMMYFUNCTION("""COMPUTED_VALUE"""),"SM-T210R")</f>
        <v>SM-T210R</v>
      </c>
      <c r="G2617" s="605"/>
      <c r="H2617" s="605"/>
      <c r="I2617" s="605"/>
      <c r="J2617" s="606"/>
      <c r="K2617" s="605"/>
      <c r="L2617" s="605"/>
      <c r="M2617" s="605"/>
      <c r="N2617" s="605"/>
      <c r="O2617" s="605"/>
      <c r="P2617" s="605" t="s">
        <v>3715</v>
      </c>
    </row>
    <row r="2618">
      <c r="A2618" s="605"/>
      <c r="B2618" s="605"/>
      <c r="C2618" s="605"/>
      <c r="D2618" s="605"/>
      <c r="E2618" s="605" t="str">
        <f>IFERROR(__xludf.DUMMYFUNCTION("""COMPUTED_VALUE"""),"SAMSUNG")</f>
        <v>SAMSUNG</v>
      </c>
      <c r="F2618" s="605" t="str">
        <f>IFERROR(__xludf.DUMMYFUNCTION("""COMPUTED_VALUE"""),"SM-T230NU")</f>
        <v>SM-T230NU</v>
      </c>
      <c r="G2618" s="605"/>
      <c r="H2618" s="605"/>
      <c r="I2618" s="605"/>
      <c r="J2618" s="606"/>
      <c r="K2618" s="605"/>
      <c r="L2618" s="605"/>
      <c r="M2618" s="605"/>
      <c r="N2618" s="605"/>
      <c r="O2618" s="605"/>
      <c r="P2618" s="605" t="s">
        <v>3718</v>
      </c>
    </row>
    <row r="2619">
      <c r="A2619" s="605"/>
      <c r="B2619" s="605"/>
      <c r="C2619" s="605"/>
      <c r="D2619" s="605"/>
      <c r="E2619" s="605" t="str">
        <f>IFERROR(__xludf.DUMMYFUNCTION("""COMPUTED_VALUE"""),"SAMSUNG")</f>
        <v>SAMSUNG</v>
      </c>
      <c r="F2619" s="605" t="str">
        <f>IFERROR(__xludf.DUMMYFUNCTION("""COMPUTED_VALUE"""),"SM-T280")</f>
        <v>SM-T280</v>
      </c>
      <c r="G2619" s="605"/>
      <c r="H2619" s="605"/>
      <c r="I2619" s="605"/>
      <c r="J2619" s="606"/>
      <c r="K2619" s="605"/>
      <c r="L2619" s="605"/>
      <c r="M2619" s="605"/>
      <c r="N2619" s="605"/>
      <c r="O2619" s="605"/>
      <c r="P2619" s="605" t="s">
        <v>3721</v>
      </c>
    </row>
    <row r="2620">
      <c r="A2620" s="605"/>
      <c r="B2620" s="605"/>
      <c r="C2620" s="605"/>
      <c r="D2620" s="605"/>
      <c r="E2620" s="605" t="str">
        <f>IFERROR(__xludf.DUMMYFUNCTION("""COMPUTED_VALUE"""),"SAMSUNG")</f>
        <v>SAMSUNG</v>
      </c>
      <c r="F2620" s="605" t="str">
        <f>IFERROR(__xludf.DUMMYFUNCTION("""COMPUTED_VALUE"""),"SM-T290")</f>
        <v>SM-T290</v>
      </c>
      <c r="G2620" s="605"/>
      <c r="H2620" s="605"/>
      <c r="I2620" s="605"/>
      <c r="J2620" s="606"/>
      <c r="K2620" s="605"/>
      <c r="L2620" s="605"/>
      <c r="M2620" s="605"/>
      <c r="N2620" s="605"/>
      <c r="O2620" s="605"/>
      <c r="P2620" s="605" t="s">
        <v>3724</v>
      </c>
    </row>
    <row r="2621">
      <c r="A2621" s="605"/>
      <c r="B2621" s="605"/>
      <c r="C2621" s="605"/>
      <c r="D2621" s="605"/>
      <c r="E2621" s="605" t="str">
        <f>IFERROR(__xludf.DUMMYFUNCTION("""COMPUTED_VALUE"""),"SAMSUNG")</f>
        <v>SAMSUNG</v>
      </c>
      <c r="F2621" s="605" t="str">
        <f>IFERROR(__xludf.DUMMYFUNCTION("""COMPUTED_VALUE"""),"SM-T350")</f>
        <v>SM-T350</v>
      </c>
      <c r="G2621" s="605"/>
      <c r="H2621" s="605"/>
      <c r="I2621" s="605"/>
      <c r="J2621" s="606"/>
      <c r="K2621" s="605"/>
      <c r="L2621" s="605"/>
      <c r="M2621" s="605"/>
      <c r="N2621" s="605"/>
      <c r="O2621" s="605"/>
      <c r="P2621" s="605" t="s">
        <v>3727</v>
      </c>
    </row>
    <row r="2622">
      <c r="A2622" s="605"/>
      <c r="B2622" s="605"/>
      <c r="C2622" s="605"/>
      <c r="D2622" s="605"/>
      <c r="E2622" s="605" t="str">
        <f>IFERROR(__xludf.DUMMYFUNCTION("""COMPUTED_VALUE"""),"SAMSUNG")</f>
        <v>SAMSUNG</v>
      </c>
      <c r="F2622" s="605" t="str">
        <f>IFERROR(__xludf.DUMMYFUNCTION("""COMPUTED_VALUE"""),"SM-T380")</f>
        <v>SM-T380</v>
      </c>
      <c r="G2622" s="605"/>
      <c r="H2622" s="605"/>
      <c r="I2622" s="605"/>
      <c r="J2622" s="606"/>
      <c r="K2622" s="605"/>
      <c r="L2622" s="605"/>
      <c r="M2622" s="605"/>
      <c r="N2622" s="605"/>
      <c r="O2622" s="605"/>
      <c r="P2622" s="605" t="s">
        <v>3730</v>
      </c>
    </row>
    <row r="2623">
      <c r="A2623" s="605"/>
      <c r="B2623" s="605"/>
      <c r="C2623" s="605"/>
      <c r="D2623" s="605"/>
      <c r="E2623" s="605" t="str">
        <f>IFERROR(__xludf.DUMMYFUNCTION("""COMPUTED_VALUE"""),"SAMSUNG")</f>
        <v>SAMSUNG</v>
      </c>
      <c r="F2623" s="605" t="str">
        <f>IFERROR(__xludf.DUMMYFUNCTION("""COMPUTED_VALUE"""),"SM-T550")</f>
        <v>SM-T550</v>
      </c>
      <c r="G2623" s="605"/>
      <c r="H2623" s="605"/>
      <c r="I2623" s="605"/>
      <c r="J2623" s="606"/>
      <c r="K2623" s="605"/>
      <c r="L2623" s="605"/>
      <c r="M2623" s="605"/>
      <c r="N2623" s="605"/>
      <c r="O2623" s="605"/>
      <c r="P2623" s="605" t="s">
        <v>3733</v>
      </c>
    </row>
    <row r="2624">
      <c r="A2624" s="605"/>
      <c r="B2624" s="605"/>
      <c r="C2624" s="605"/>
      <c r="D2624" s="605"/>
      <c r="E2624" s="605" t="str">
        <f>IFERROR(__xludf.DUMMYFUNCTION("""COMPUTED_VALUE"""),"SAMSUNG")</f>
        <v>SAMSUNG</v>
      </c>
      <c r="F2624" s="605" t="str">
        <f>IFERROR(__xludf.DUMMYFUNCTION("""COMPUTED_VALUE"""),"SM-T580")</f>
        <v>SM-T580</v>
      </c>
      <c r="G2624" s="605"/>
      <c r="H2624" s="605"/>
      <c r="I2624" s="605"/>
      <c r="J2624" s="606"/>
      <c r="K2624" s="605"/>
      <c r="L2624" s="605"/>
      <c r="M2624" s="605"/>
      <c r="N2624" s="605"/>
      <c r="O2624" s="605"/>
      <c r="P2624" s="605" t="s">
        <v>3736</v>
      </c>
    </row>
    <row r="2625">
      <c r="A2625" s="605"/>
      <c r="B2625" s="605"/>
      <c r="C2625" s="605"/>
      <c r="D2625" s="605"/>
      <c r="E2625" s="605" t="str">
        <f>IFERROR(__xludf.DUMMYFUNCTION("""COMPUTED_VALUE"""),"SAMSUNG")</f>
        <v>SAMSUNG</v>
      </c>
      <c r="F2625" s="605" t="str">
        <f>IFERROR(__xludf.DUMMYFUNCTION("""COMPUTED_VALUE"""),"SM-T590")</f>
        <v>SM-T590</v>
      </c>
      <c r="G2625" s="605"/>
      <c r="H2625" s="605"/>
      <c r="I2625" s="605"/>
      <c r="J2625" s="606"/>
      <c r="K2625" s="605"/>
      <c r="L2625" s="605"/>
      <c r="M2625" s="605"/>
      <c r="N2625" s="605"/>
      <c r="O2625" s="605"/>
      <c r="P2625" s="605" t="s">
        <v>3739</v>
      </c>
    </row>
    <row r="2626">
      <c r="A2626" s="605"/>
      <c r="B2626" s="605"/>
      <c r="C2626" s="605"/>
      <c r="D2626" s="605"/>
      <c r="E2626" s="605" t="str">
        <f>IFERROR(__xludf.DUMMYFUNCTION("""COMPUTED_VALUE"""),"SAMSUNG")</f>
        <v>SAMSUNG</v>
      </c>
      <c r="F2626" s="605" t="str">
        <f>IFERROR(__xludf.DUMMYFUNCTION("""COMPUTED_VALUE"""),"SM-T813")</f>
        <v>SM-T813</v>
      </c>
      <c r="G2626" s="605"/>
      <c r="H2626" s="605"/>
      <c r="I2626" s="605"/>
      <c r="J2626" s="606"/>
      <c r="K2626" s="605"/>
      <c r="L2626" s="605"/>
      <c r="M2626" s="605"/>
      <c r="N2626" s="605"/>
      <c r="O2626" s="605"/>
      <c r="P2626" s="605" t="s">
        <v>3742</v>
      </c>
    </row>
    <row r="2627">
      <c r="A2627" s="605"/>
      <c r="B2627" s="605"/>
      <c r="C2627" s="605"/>
      <c r="D2627" s="605"/>
      <c r="E2627" s="605" t="str">
        <f>IFERROR(__xludf.DUMMYFUNCTION("""COMPUTED_VALUE"""),"SAMSUNG")</f>
        <v>SAMSUNG</v>
      </c>
      <c r="F2627" s="605" t="str">
        <f>IFERROR(__xludf.DUMMYFUNCTION("""COMPUTED_VALUE"""),"SM-T580")</f>
        <v>SM-T580</v>
      </c>
      <c r="G2627" s="605"/>
      <c r="H2627" s="605"/>
      <c r="I2627" s="605"/>
      <c r="J2627" s="606"/>
      <c r="K2627" s="605"/>
      <c r="L2627" s="605"/>
      <c r="M2627" s="605"/>
      <c r="N2627" s="605"/>
      <c r="O2627" s="605"/>
      <c r="P2627" s="605" t="s">
        <v>2873</v>
      </c>
    </row>
    <row r="2628">
      <c r="A2628" s="605"/>
      <c r="B2628" s="605"/>
      <c r="C2628" s="605"/>
      <c r="D2628" s="605"/>
      <c r="E2628" s="605" t="str">
        <f>IFERROR(__xludf.DUMMYFUNCTION("""COMPUTED_VALUE"""),"SAMSUNG")</f>
        <v>SAMSUNG</v>
      </c>
      <c r="F2628" s="605" t="str">
        <f>IFERROR(__xludf.DUMMYFUNCTION("""COMPUTED_VALUE"""),"SM-T580")</f>
        <v>SM-T580</v>
      </c>
      <c r="G2628" s="605"/>
      <c r="H2628" s="605"/>
      <c r="I2628" s="605"/>
      <c r="J2628" s="606"/>
      <c r="K2628" s="605"/>
      <c r="L2628" s="605"/>
      <c r="M2628" s="605"/>
      <c r="N2628" s="605"/>
      <c r="O2628" s="605"/>
      <c r="P2628" s="605" t="s">
        <v>2953</v>
      </c>
    </row>
    <row r="2629">
      <c r="A2629" s="605"/>
      <c r="B2629" s="605"/>
      <c r="C2629" s="605"/>
      <c r="D2629" s="605"/>
      <c r="E2629" s="605" t="str">
        <f>IFERROR(__xludf.DUMMYFUNCTION("""COMPUTED_VALUE"""),"SAMSUNG")</f>
        <v>SAMSUNG</v>
      </c>
      <c r="F2629" s="605" t="str">
        <f>IFERROR(__xludf.DUMMYFUNCTION("""COMPUTED_VALUE"""),"SMT580")</f>
        <v>SMT580</v>
      </c>
      <c r="G2629" s="605"/>
      <c r="H2629" s="605"/>
      <c r="I2629" s="605"/>
      <c r="J2629" s="606"/>
      <c r="K2629" s="605"/>
      <c r="L2629" s="605"/>
      <c r="M2629" s="605"/>
      <c r="N2629" s="605"/>
      <c r="O2629" s="605"/>
      <c r="P2629" s="605" t="s">
        <v>3745</v>
      </c>
    </row>
    <row r="2630">
      <c r="A2630" s="605"/>
      <c r="B2630" s="605"/>
      <c r="C2630" s="605"/>
      <c r="D2630" s="605"/>
      <c r="E2630" s="605" t="str">
        <f>IFERROR(__xludf.DUMMYFUNCTION("""COMPUTED_VALUE"""),"SAMSUNG")</f>
        <v>SAMSUNG</v>
      </c>
      <c r="F2630" s="605" t="str">
        <f>IFERROR(__xludf.DUMMYFUNCTION("""COMPUTED_VALUE"""),"UN48JU6400")</f>
        <v>UN48JU6400</v>
      </c>
      <c r="G2630" s="605"/>
      <c r="H2630" s="605"/>
      <c r="I2630" s="605"/>
      <c r="J2630" s="606"/>
      <c r="K2630" s="605"/>
      <c r="L2630" s="605"/>
      <c r="M2630" s="605"/>
      <c r="N2630" s="605"/>
      <c r="O2630" s="605"/>
      <c r="P2630" s="605" t="s">
        <v>3748</v>
      </c>
    </row>
    <row r="2631">
      <c r="A2631" s="605"/>
      <c r="B2631" s="605"/>
      <c r="C2631" s="605"/>
      <c r="D2631" s="605"/>
      <c r="E2631" s="605" t="str">
        <f>IFERROR(__xludf.DUMMYFUNCTION("""COMPUTED_VALUE"""),"SAMSUNG")</f>
        <v>SAMSUNG</v>
      </c>
      <c r="F2631" s="605" t="str">
        <f>IFERROR(__xludf.DUMMYFUNCTION("""COMPUTED_VALUE"""),"UA-55H6400")</f>
        <v>UA-55H6400</v>
      </c>
      <c r="G2631" s="605"/>
      <c r="H2631" s="605"/>
      <c r="I2631" s="605"/>
      <c r="J2631" s="606"/>
      <c r="K2631" s="605"/>
      <c r="L2631" s="605"/>
      <c r="M2631" s="605"/>
      <c r="N2631" s="605"/>
      <c r="O2631" s="605"/>
      <c r="P2631" s="605" t="s">
        <v>3751</v>
      </c>
    </row>
    <row r="2632">
      <c r="A2632" s="605"/>
      <c r="B2632" s="605"/>
      <c r="C2632" s="605"/>
      <c r="D2632" s="605"/>
      <c r="E2632" s="605" t="str">
        <f>IFERROR(__xludf.DUMMYFUNCTION("""COMPUTED_VALUE"""),"SAMSUNG")</f>
        <v>SAMSUNG</v>
      </c>
      <c r="F2632" s="605" t="str">
        <f>IFERROR(__xludf.DUMMYFUNCTION("""COMPUTED_VALUE"""),"UE32D5000")</f>
        <v>UE32D5000</v>
      </c>
      <c r="G2632" s="605"/>
      <c r="H2632" s="605"/>
      <c r="I2632" s="605"/>
      <c r="J2632" s="606"/>
      <c r="K2632" s="605"/>
      <c r="L2632" s="605"/>
      <c r="M2632" s="605"/>
      <c r="N2632" s="605"/>
      <c r="O2632" s="605"/>
      <c r="P2632" s="605" t="s">
        <v>3754</v>
      </c>
    </row>
    <row r="2633">
      <c r="A2633" s="605"/>
      <c r="B2633" s="605"/>
      <c r="C2633" s="605"/>
      <c r="D2633" s="605"/>
      <c r="E2633" s="605" t="str">
        <f>IFERROR(__xludf.DUMMYFUNCTION("""COMPUTED_VALUE"""),"SAMSUNG")</f>
        <v>SAMSUNG</v>
      </c>
      <c r="F2633" s="605" t="str">
        <f>IFERROR(__xludf.DUMMYFUNCTION("""COMPUTED_VALUE"""),"UE48KU6500")</f>
        <v>UE48KU6500</v>
      </c>
      <c r="G2633" s="605"/>
      <c r="H2633" s="605"/>
      <c r="I2633" s="605"/>
      <c r="J2633" s="606"/>
      <c r="K2633" s="605"/>
      <c r="L2633" s="605"/>
      <c r="M2633" s="605"/>
      <c r="N2633" s="605"/>
      <c r="O2633" s="605"/>
      <c r="P2633" s="605" t="s">
        <v>3757</v>
      </c>
    </row>
    <row r="2634">
      <c r="A2634" s="605"/>
      <c r="B2634" s="605"/>
      <c r="C2634" s="605"/>
      <c r="D2634" s="605"/>
      <c r="E2634" s="605" t="str">
        <f>IFERROR(__xludf.DUMMYFUNCTION("""COMPUTED_VALUE"""),"SAMSUNG")</f>
        <v>SAMSUNG</v>
      </c>
      <c r="F2634" s="605" t="str">
        <f>IFERROR(__xludf.DUMMYFUNCTION("""COMPUTED_VALUE"""),"UE48KU6400")</f>
        <v>UE48KU6400</v>
      </c>
      <c r="G2634" s="605"/>
      <c r="H2634" s="605"/>
      <c r="I2634" s="605"/>
      <c r="J2634" s="606"/>
      <c r="K2634" s="605"/>
      <c r="L2634" s="605"/>
      <c r="M2634" s="605"/>
      <c r="N2634" s="605"/>
      <c r="O2634" s="605"/>
      <c r="P2634" s="605" t="s">
        <v>3760</v>
      </c>
    </row>
    <row r="2635">
      <c r="A2635" s="605"/>
      <c r="B2635" s="605"/>
      <c r="C2635" s="605"/>
      <c r="D2635" s="605"/>
      <c r="E2635" s="605" t="str">
        <f>IFERROR(__xludf.DUMMYFUNCTION("""COMPUTED_VALUE"""),"SAMSUNG")</f>
        <v>SAMSUNG</v>
      </c>
      <c r="F2635" s="605" t="str">
        <f>IFERROR(__xludf.DUMMYFUNCTION("""COMPUTED_VALUE"""),"UE55ES8000")</f>
        <v>UE55ES8000</v>
      </c>
      <c r="G2635" s="605"/>
      <c r="H2635" s="605"/>
      <c r="I2635" s="605"/>
      <c r="J2635" s="606"/>
      <c r="K2635" s="605"/>
      <c r="L2635" s="605"/>
      <c r="M2635" s="605"/>
      <c r="N2635" s="605"/>
      <c r="O2635" s="605"/>
      <c r="P2635" s="605" t="s">
        <v>3763</v>
      </c>
    </row>
    <row r="2636">
      <c r="A2636" s="605"/>
      <c r="B2636" s="605"/>
      <c r="C2636" s="605"/>
      <c r="D2636" s="605"/>
      <c r="E2636" s="605" t="str">
        <f>IFERROR(__xludf.DUMMYFUNCTION("""COMPUTED_VALUE"""),"SAMSUNG")</f>
        <v>SAMSUNG</v>
      </c>
      <c r="F2636" s="605" t="str">
        <f>IFERROR(__xludf.DUMMYFUNCTION("""COMPUTED_VALUE"""),"UE55F8000AT")</f>
        <v>UE55F8000AT</v>
      </c>
      <c r="G2636" s="605"/>
      <c r="H2636" s="605"/>
      <c r="I2636" s="605"/>
      <c r="J2636" s="606"/>
      <c r="K2636" s="605"/>
      <c r="L2636" s="605"/>
      <c r="M2636" s="605"/>
      <c r="N2636" s="605"/>
      <c r="O2636" s="605"/>
      <c r="P2636" s="605" t="s">
        <v>3766</v>
      </c>
    </row>
    <row r="2637">
      <c r="A2637" s="605"/>
      <c r="B2637" s="605"/>
      <c r="C2637" s="605"/>
      <c r="D2637" s="605"/>
      <c r="E2637" s="605" t="str">
        <f>IFERROR(__xludf.DUMMYFUNCTION("""COMPUTED_VALUE"""),"SAMSUNG")</f>
        <v>SAMSUNG</v>
      </c>
      <c r="F2637" s="605" t="str">
        <f>IFERROR(__xludf.DUMMYFUNCTION("""COMPUTED_VALUE"""),"UE55J5500")</f>
        <v>UE55J5500</v>
      </c>
      <c r="G2637" s="605"/>
      <c r="H2637" s="605"/>
      <c r="I2637" s="605"/>
      <c r="J2637" s="606"/>
      <c r="K2637" s="605"/>
      <c r="L2637" s="605"/>
      <c r="M2637" s="605"/>
      <c r="N2637" s="605"/>
      <c r="O2637" s="605"/>
      <c r="P2637" s="605" t="s">
        <v>3769</v>
      </c>
    </row>
    <row r="2638">
      <c r="A2638" s="605"/>
      <c r="B2638" s="605"/>
      <c r="C2638" s="605"/>
      <c r="D2638" s="605"/>
      <c r="E2638" s="605" t="str">
        <f>IFERROR(__xludf.DUMMYFUNCTION("""COMPUTED_VALUE"""),"SAMSUNG")</f>
        <v>SAMSUNG</v>
      </c>
      <c r="F2638" s="605" t="str">
        <f>IFERROR(__xludf.DUMMYFUNCTION("""COMPUTED_VALUE"""),"UE55JU6400")</f>
        <v>UE55JU6400</v>
      </c>
      <c r="G2638" s="605"/>
      <c r="H2638" s="605"/>
      <c r="I2638" s="605"/>
      <c r="J2638" s="606"/>
      <c r="K2638" s="605"/>
      <c r="L2638" s="605"/>
      <c r="M2638" s="605"/>
      <c r="N2638" s="605"/>
      <c r="O2638" s="605"/>
      <c r="P2638" s="605" t="s">
        <v>3772</v>
      </c>
    </row>
    <row r="2639">
      <c r="A2639" s="605"/>
      <c r="B2639" s="605"/>
      <c r="C2639" s="605"/>
      <c r="D2639" s="605"/>
      <c r="E2639" s="605" t="str">
        <f>IFERROR(__xludf.DUMMYFUNCTION("""COMPUTED_VALUE"""),"SAMSUNG")</f>
        <v>SAMSUNG</v>
      </c>
      <c r="F2639" s="605" t="str">
        <f>IFERROR(__xludf.DUMMYFUNCTION("""COMPUTED_VALUE"""),"UE55KU7000")</f>
        <v>UE55KU7000</v>
      </c>
      <c r="G2639" s="605"/>
      <c r="H2639" s="605"/>
      <c r="I2639" s="605"/>
      <c r="J2639" s="606"/>
      <c r="K2639" s="605"/>
      <c r="L2639" s="605"/>
      <c r="M2639" s="605"/>
      <c r="N2639" s="605"/>
      <c r="O2639" s="605"/>
      <c r="P2639" s="605" t="s">
        <v>2956</v>
      </c>
    </row>
    <row r="2640">
      <c r="A2640" s="605"/>
      <c r="B2640" s="605"/>
      <c r="C2640" s="605"/>
      <c r="D2640" s="605"/>
      <c r="E2640" s="605" t="str">
        <f>IFERROR(__xludf.DUMMYFUNCTION("""COMPUTED_VALUE"""),"SAMSUNG")</f>
        <v>SAMSUNG</v>
      </c>
      <c r="F2640" s="605" t="str">
        <f>IFERROR(__xludf.DUMMYFUNCTION("""COMPUTED_VALUE"""),"UE60D6505VS")</f>
        <v>UE60D6505VS</v>
      </c>
      <c r="G2640" s="605"/>
      <c r="H2640" s="605"/>
      <c r="I2640" s="605"/>
      <c r="J2640" s="606"/>
      <c r="K2640" s="605"/>
      <c r="L2640" s="605"/>
      <c r="M2640" s="605"/>
      <c r="N2640" s="605"/>
      <c r="O2640" s="605"/>
      <c r="P2640" s="605" t="s">
        <v>3775</v>
      </c>
    </row>
    <row r="2641">
      <c r="A2641" s="605"/>
      <c r="B2641" s="605"/>
      <c r="C2641" s="605"/>
      <c r="D2641" s="605"/>
      <c r="E2641" s="605" t="str">
        <f>IFERROR(__xludf.DUMMYFUNCTION("""COMPUTED_VALUE"""),"SAMSUNG")</f>
        <v>SAMSUNG</v>
      </c>
      <c r="F2641" s="605" t="str">
        <f>IFERROR(__xludf.DUMMYFUNCTION("""COMPUTED_VALUE"""),"UE60D8000")</f>
        <v>UE60D8000</v>
      </c>
      <c r="G2641" s="605"/>
      <c r="H2641" s="605"/>
      <c r="I2641" s="605"/>
      <c r="J2641" s="606"/>
      <c r="K2641" s="605"/>
      <c r="L2641" s="605"/>
      <c r="M2641" s="605"/>
      <c r="N2641" s="605"/>
      <c r="O2641" s="605"/>
      <c r="P2641" s="605" t="s">
        <v>3778</v>
      </c>
    </row>
    <row r="2642">
      <c r="A2642" s="605"/>
      <c r="B2642" s="605"/>
      <c r="C2642" s="605"/>
      <c r="D2642" s="605"/>
      <c r="E2642" s="605" t="str">
        <f>IFERROR(__xludf.DUMMYFUNCTION("""COMPUTED_VALUE"""),"SAMSUNG")</f>
        <v>SAMSUNG</v>
      </c>
      <c r="F2642" s="605" t="str">
        <f>IFERROR(__xludf.DUMMYFUNCTION("""COMPUTED_VALUE"""),"UE65JU6400")</f>
        <v>UE65JU6400</v>
      </c>
      <c r="G2642" s="605"/>
      <c r="H2642" s="605"/>
      <c r="I2642" s="605"/>
      <c r="J2642" s="606"/>
      <c r="K2642" s="605"/>
      <c r="L2642" s="605"/>
      <c r="M2642" s="605"/>
      <c r="N2642" s="605"/>
      <c r="O2642" s="605"/>
      <c r="P2642" s="605" t="s">
        <v>3781</v>
      </c>
    </row>
    <row r="2643">
      <c r="A2643" s="605"/>
      <c r="B2643" s="605"/>
      <c r="C2643" s="605"/>
      <c r="D2643" s="605"/>
      <c r="E2643" s="605" t="str">
        <f>IFERROR(__xludf.DUMMYFUNCTION("""COMPUTED_VALUE"""),"SAMSUNG")</f>
        <v>SAMSUNG</v>
      </c>
      <c r="F2643" s="605" t="str">
        <f>IFERROR(__xludf.DUMMYFUNCTION("""COMPUTED_VALUE"""),"UN40C6900VM")</f>
        <v>UN40C6900VM</v>
      </c>
      <c r="G2643" s="605"/>
      <c r="H2643" s="605"/>
      <c r="I2643" s="605"/>
      <c r="J2643" s="606"/>
      <c r="K2643" s="605"/>
      <c r="L2643" s="605"/>
      <c r="M2643" s="605"/>
      <c r="N2643" s="605"/>
      <c r="O2643" s="605"/>
      <c r="P2643" s="605" t="s">
        <v>3784</v>
      </c>
    </row>
    <row r="2644">
      <c r="A2644" s="605"/>
      <c r="B2644" s="605"/>
      <c r="C2644" s="605"/>
      <c r="D2644" s="605"/>
      <c r="E2644" s="605" t="str">
        <f>IFERROR(__xludf.DUMMYFUNCTION("""COMPUTED_VALUE"""),"SAMSUNG")</f>
        <v>SAMSUNG</v>
      </c>
      <c r="F2644" s="605" t="str">
        <f>IFERROR(__xludf.DUMMYFUNCTION("""COMPUTED_VALUE"""),"UN40J5500")</f>
        <v>UN40J5500</v>
      </c>
      <c r="G2644" s="605"/>
      <c r="H2644" s="605"/>
      <c r="I2644" s="605"/>
      <c r="J2644" s="606"/>
      <c r="K2644" s="605"/>
      <c r="L2644" s="605"/>
      <c r="M2644" s="605"/>
      <c r="N2644" s="605"/>
      <c r="O2644" s="605"/>
      <c r="P2644" s="605" t="s">
        <v>3787</v>
      </c>
    </row>
    <row r="2645">
      <c r="A2645" s="605"/>
      <c r="B2645" s="605"/>
      <c r="C2645" s="605"/>
      <c r="D2645" s="605"/>
      <c r="E2645" s="605" t="str">
        <f>IFERROR(__xludf.DUMMYFUNCTION("""COMPUTED_VALUE"""),"SAMSUNG")</f>
        <v>SAMSUNG</v>
      </c>
      <c r="F2645" s="605" t="str">
        <f>IFERROR(__xludf.DUMMYFUNCTION("""COMPUTED_VALUE"""),"UN46F6400")</f>
        <v>UN46F6400</v>
      </c>
      <c r="G2645" s="605"/>
      <c r="H2645" s="605"/>
      <c r="I2645" s="605"/>
      <c r="J2645" s="606"/>
      <c r="K2645" s="605"/>
      <c r="L2645" s="605"/>
      <c r="M2645" s="605"/>
      <c r="N2645" s="605"/>
      <c r="O2645" s="605"/>
      <c r="P2645" s="605" t="s">
        <v>3790</v>
      </c>
    </row>
    <row r="2646">
      <c r="A2646" s="605"/>
      <c r="B2646" s="605"/>
      <c r="C2646" s="605"/>
      <c r="D2646" s="605"/>
      <c r="E2646" s="605" t="str">
        <f>IFERROR(__xludf.DUMMYFUNCTION("""COMPUTED_VALUE"""),"SAMSUNG")</f>
        <v>SAMSUNG</v>
      </c>
      <c r="F2646" s="605" t="str">
        <f>IFERROR(__xludf.DUMMYFUNCTION("""COMPUTED_VALUE"""),"UN49KU6500")</f>
        <v>UN49KU6500</v>
      </c>
      <c r="G2646" s="605"/>
      <c r="H2646" s="605"/>
      <c r="I2646" s="605"/>
      <c r="J2646" s="606"/>
      <c r="K2646" s="605"/>
      <c r="L2646" s="605"/>
      <c r="M2646" s="605"/>
      <c r="N2646" s="605"/>
      <c r="O2646" s="605"/>
      <c r="P2646" s="605" t="s">
        <v>3793</v>
      </c>
    </row>
    <row r="2647">
      <c r="A2647" s="605"/>
      <c r="B2647" s="605"/>
      <c r="C2647" s="605"/>
      <c r="D2647" s="605"/>
      <c r="E2647" s="605" t="str">
        <f>IFERROR(__xludf.DUMMYFUNCTION("""COMPUTED_VALUE"""),"SAMSUNG")</f>
        <v>SAMSUNG</v>
      </c>
      <c r="F2647" s="605" t="str">
        <f>IFERROR(__xludf.DUMMYFUNCTION("""COMPUTED_VALUE"""),"UN50M5300")</f>
        <v>UN50M5300</v>
      </c>
      <c r="G2647" s="605"/>
      <c r="H2647" s="605"/>
      <c r="I2647" s="605"/>
      <c r="J2647" s="606"/>
      <c r="K2647" s="605"/>
      <c r="L2647" s="605"/>
      <c r="M2647" s="605"/>
      <c r="N2647" s="605"/>
      <c r="O2647" s="605"/>
      <c r="P2647" s="605" t="s">
        <v>3796</v>
      </c>
    </row>
    <row r="2648">
      <c r="A2648" s="605"/>
      <c r="B2648" s="605"/>
      <c r="C2648" s="605"/>
      <c r="D2648" s="605"/>
      <c r="E2648" s="605" t="str">
        <f>IFERROR(__xludf.DUMMYFUNCTION("""COMPUTED_VALUE"""),"SAMSUNG")</f>
        <v>SAMSUNG</v>
      </c>
      <c r="F2648" s="605" t="str">
        <f>IFERROR(__xludf.DUMMYFUNCTION("""COMPUTED_VALUE"""),"UN55B7000WFUZA")</f>
        <v>UN55B7000WFUZA</v>
      </c>
      <c r="G2648" s="605"/>
      <c r="H2648" s="605"/>
      <c r="I2648" s="605"/>
      <c r="J2648" s="606"/>
      <c r="K2648" s="605"/>
      <c r="L2648" s="605"/>
      <c r="M2648" s="605"/>
      <c r="N2648" s="605"/>
      <c r="O2648" s="605"/>
      <c r="P2648" s="605" t="s">
        <v>3799</v>
      </c>
    </row>
    <row r="2649">
      <c r="A2649" s="605"/>
      <c r="B2649" s="605"/>
      <c r="C2649" s="605"/>
      <c r="D2649" s="605"/>
      <c r="E2649" s="605" t="str">
        <f>IFERROR(__xludf.DUMMYFUNCTION("""COMPUTED_VALUE"""),"SAMSUNG")</f>
        <v>SAMSUNG</v>
      </c>
      <c r="F2649" s="605" t="str">
        <f>IFERROR(__xludf.DUMMYFUNCTION("""COMPUTED_VALUE"""),"UN55B8000")</f>
        <v>UN55B8000</v>
      </c>
      <c r="G2649" s="605"/>
      <c r="H2649" s="605"/>
      <c r="I2649" s="605"/>
      <c r="J2649" s="606"/>
      <c r="K2649" s="605"/>
      <c r="L2649" s="605"/>
      <c r="M2649" s="605"/>
      <c r="N2649" s="605"/>
      <c r="O2649" s="605"/>
      <c r="P2649" s="605" t="s">
        <v>3802</v>
      </c>
    </row>
    <row r="2650">
      <c r="A2650" s="605"/>
      <c r="B2650" s="605"/>
      <c r="C2650" s="605"/>
      <c r="D2650" s="605"/>
      <c r="E2650" s="605" t="str">
        <f>IFERROR(__xludf.DUMMYFUNCTION("""COMPUTED_VALUE"""),"SAMSUNG")</f>
        <v>SAMSUNG</v>
      </c>
      <c r="F2650" s="605" t="str">
        <f>IFERROR(__xludf.DUMMYFUNCTION("""COMPUTED_VALUE"""),"UN55D7000")</f>
        <v>UN55D7000</v>
      </c>
      <c r="G2650" s="605"/>
      <c r="H2650" s="605"/>
      <c r="I2650" s="605"/>
      <c r="J2650" s="606"/>
      <c r="K2650" s="605"/>
      <c r="L2650" s="605"/>
      <c r="M2650" s="605"/>
      <c r="N2650" s="605"/>
      <c r="O2650" s="605"/>
      <c r="P2650" s="605" t="s">
        <v>2959</v>
      </c>
    </row>
    <row r="2651">
      <c r="A2651" s="605"/>
      <c r="B2651" s="605"/>
      <c r="C2651" s="605"/>
      <c r="D2651" s="605"/>
      <c r="E2651" s="605" t="str">
        <f>IFERROR(__xludf.DUMMYFUNCTION("""COMPUTED_VALUE"""),"SAMSUNG")</f>
        <v>SAMSUNG</v>
      </c>
      <c r="F2651" s="605" t="str">
        <f>IFERROR(__xludf.DUMMYFUNCTION("""COMPUTED_VALUE"""),"UN55D7000")</f>
        <v>UN55D7000</v>
      </c>
      <c r="G2651" s="605"/>
      <c r="H2651" s="605"/>
      <c r="I2651" s="605"/>
      <c r="J2651" s="606"/>
      <c r="K2651" s="605"/>
      <c r="L2651" s="605"/>
      <c r="M2651" s="605"/>
      <c r="N2651" s="605"/>
      <c r="O2651" s="605"/>
      <c r="P2651" s="605" t="s">
        <v>3805</v>
      </c>
    </row>
    <row r="2652">
      <c r="A2652" s="605"/>
      <c r="B2652" s="605"/>
      <c r="C2652" s="605"/>
      <c r="D2652" s="605"/>
      <c r="E2652" s="605" t="str">
        <f>IFERROR(__xludf.DUMMYFUNCTION("""COMPUTED_VALUE"""),"SAMSUNG")</f>
        <v>SAMSUNG</v>
      </c>
      <c r="F2652" s="605" t="str">
        <f>IFERROR(__xludf.DUMMYFUNCTION("""COMPUTED_VALUE"""),"UN55ES8000")</f>
        <v>UN55ES8000</v>
      </c>
      <c r="G2652" s="605"/>
      <c r="H2652" s="605"/>
      <c r="I2652" s="605"/>
      <c r="J2652" s="606"/>
      <c r="K2652" s="605"/>
      <c r="L2652" s="605"/>
      <c r="M2652" s="605"/>
      <c r="N2652" s="605"/>
      <c r="O2652" s="605"/>
      <c r="P2652" s="605" t="s">
        <v>3808</v>
      </c>
    </row>
    <row r="2653">
      <c r="A2653" s="605"/>
      <c r="B2653" s="605"/>
      <c r="C2653" s="605"/>
      <c r="D2653" s="605"/>
      <c r="E2653" s="605" t="str">
        <f>IFERROR(__xludf.DUMMYFUNCTION("""COMPUTED_VALUE"""),"SAMSUNG")</f>
        <v>SAMSUNG</v>
      </c>
      <c r="F2653" s="605" t="str">
        <f>IFERROR(__xludf.DUMMYFUNCTION("""COMPUTED_VALUE"""),"UN55F6400")</f>
        <v>UN55F6400</v>
      </c>
      <c r="G2653" s="605"/>
      <c r="H2653" s="605"/>
      <c r="I2653" s="605"/>
      <c r="J2653" s="606"/>
      <c r="K2653" s="605"/>
      <c r="L2653" s="605"/>
      <c r="M2653" s="605"/>
      <c r="N2653" s="605"/>
      <c r="O2653" s="605"/>
      <c r="P2653" s="605" t="s">
        <v>3811</v>
      </c>
    </row>
    <row r="2654">
      <c r="A2654" s="605"/>
      <c r="B2654" s="605"/>
      <c r="C2654" s="605"/>
      <c r="D2654" s="605"/>
      <c r="E2654" s="605" t="str">
        <f>IFERROR(__xludf.DUMMYFUNCTION("""COMPUTED_VALUE"""),"SAMSUNG")</f>
        <v>SAMSUNG</v>
      </c>
      <c r="F2654" s="605" t="str">
        <f>IFERROR(__xludf.DUMMYFUNCTION("""COMPUTED_VALUE"""),"UN55JS8500")</f>
        <v>UN55JS8500</v>
      </c>
      <c r="G2654" s="605"/>
      <c r="H2654" s="605"/>
      <c r="I2654" s="605"/>
      <c r="J2654" s="606"/>
      <c r="K2654" s="605"/>
      <c r="L2654" s="605"/>
      <c r="M2654" s="605"/>
      <c r="N2654" s="605"/>
      <c r="O2654" s="605"/>
      <c r="P2654" s="605" t="s">
        <v>3814</v>
      </c>
    </row>
    <row r="2655">
      <c r="A2655" s="605"/>
      <c r="B2655" s="605"/>
      <c r="C2655" s="605"/>
      <c r="D2655" s="605"/>
      <c r="E2655" s="605" t="str">
        <f>IFERROR(__xludf.DUMMYFUNCTION("""COMPUTED_VALUE"""),"SAMSUNG")</f>
        <v>SAMSUNG</v>
      </c>
      <c r="F2655" s="605" t="str">
        <f>IFERROR(__xludf.DUMMYFUNCTION("""COMPUTED_VALUE"""),"UN55JU6500")</f>
        <v>UN55JU6500</v>
      </c>
      <c r="G2655" s="605"/>
      <c r="H2655" s="605"/>
      <c r="I2655" s="605"/>
      <c r="J2655" s="606"/>
      <c r="K2655" s="605"/>
      <c r="L2655" s="605"/>
      <c r="M2655" s="605"/>
      <c r="N2655" s="605"/>
      <c r="O2655" s="605"/>
      <c r="P2655" s="605" t="s">
        <v>3817</v>
      </c>
    </row>
    <row r="2656">
      <c r="A2656" s="605"/>
      <c r="B2656" s="605"/>
      <c r="C2656" s="605"/>
      <c r="D2656" s="605"/>
      <c r="E2656" s="605" t="str">
        <f>IFERROR(__xludf.DUMMYFUNCTION("""COMPUTED_VALUE"""),"SAMSUNG")</f>
        <v>SAMSUNG</v>
      </c>
      <c r="F2656" s="605" t="str">
        <f>IFERROR(__xludf.DUMMYFUNCTION("""COMPUTED_VALUE"""),"UN55KU6300")</f>
        <v>UN55KU6300</v>
      </c>
      <c r="G2656" s="605"/>
      <c r="H2656" s="605"/>
      <c r="I2656" s="605"/>
      <c r="J2656" s="606"/>
      <c r="K2656" s="605"/>
      <c r="L2656" s="605"/>
      <c r="M2656" s="605"/>
      <c r="N2656" s="605"/>
      <c r="O2656" s="605"/>
      <c r="P2656" s="605" t="s">
        <v>3820</v>
      </c>
    </row>
    <row r="2657">
      <c r="A2657" s="605"/>
      <c r="B2657" s="605"/>
      <c r="C2657" s="605"/>
      <c r="D2657" s="605"/>
      <c r="E2657" s="605" t="str">
        <f>IFERROR(__xludf.DUMMYFUNCTION("""COMPUTED_VALUE"""),"SAMSUNG")</f>
        <v>SAMSUNG</v>
      </c>
      <c r="F2657" s="605" t="str">
        <f>IFERROR(__xludf.DUMMYFUNCTION("""COMPUTED_VALUE"""),"UN60KU6300")</f>
        <v>UN60KU6300</v>
      </c>
      <c r="G2657" s="605"/>
      <c r="H2657" s="605"/>
      <c r="I2657" s="605"/>
      <c r="J2657" s="606"/>
      <c r="K2657" s="605"/>
      <c r="L2657" s="605"/>
      <c r="M2657" s="605"/>
      <c r="N2657" s="605"/>
      <c r="O2657" s="605"/>
      <c r="P2657" s="605" t="s">
        <v>3823</v>
      </c>
    </row>
    <row r="2658">
      <c r="A2658" s="605"/>
      <c r="B2658" s="605"/>
      <c r="C2658" s="605"/>
      <c r="D2658" s="605"/>
      <c r="E2658" s="605" t="str">
        <f>IFERROR(__xludf.DUMMYFUNCTION("""COMPUTED_VALUE"""),"SAMSUNG")</f>
        <v>SAMSUNG</v>
      </c>
      <c r="F2658" s="605" t="str">
        <f>IFERROR(__xludf.DUMMYFUNCTION("""COMPUTED_VALUE"""),"UN65HU8700")</f>
        <v>UN65HU8700</v>
      </c>
      <c r="G2658" s="605"/>
      <c r="H2658" s="605"/>
      <c r="I2658" s="605"/>
      <c r="J2658" s="606"/>
      <c r="K2658" s="605"/>
      <c r="L2658" s="605"/>
      <c r="M2658" s="605"/>
      <c r="N2658" s="605"/>
      <c r="O2658" s="605"/>
      <c r="P2658" s="605" t="s">
        <v>3826</v>
      </c>
    </row>
    <row r="2659">
      <c r="A2659" s="605"/>
      <c r="B2659" s="605"/>
      <c r="C2659" s="605"/>
      <c r="D2659" s="605"/>
      <c r="E2659" s="605" t="str">
        <f>IFERROR(__xludf.DUMMYFUNCTION("""COMPUTED_VALUE"""),"SAMSUNG")</f>
        <v>SAMSUNG</v>
      </c>
      <c r="F2659" s="605" t="str">
        <f>IFERROR(__xludf.DUMMYFUNCTION("""COMPUTED_VALUE"""),"UN65J5200AF")</f>
        <v>UN65J5200AF</v>
      </c>
      <c r="G2659" s="605"/>
      <c r="H2659" s="605"/>
      <c r="I2659" s="605"/>
      <c r="J2659" s="606"/>
      <c r="K2659" s="605"/>
      <c r="L2659" s="605"/>
      <c r="M2659" s="605"/>
      <c r="N2659" s="605"/>
      <c r="O2659" s="605"/>
      <c r="P2659" s="605" t="s">
        <v>3829</v>
      </c>
    </row>
    <row r="2660">
      <c r="A2660" s="605"/>
      <c r="B2660" s="605"/>
      <c r="C2660" s="605"/>
      <c r="D2660" s="605"/>
      <c r="E2660" s="605" t="str">
        <f>IFERROR(__xludf.DUMMYFUNCTION("""COMPUTED_VALUE"""),"SAMSUNG")</f>
        <v>SAMSUNG</v>
      </c>
      <c r="F2660" s="605" t="str">
        <f>IFERROR(__xludf.DUMMYFUNCTION("""COMPUTED_VALUE"""),"UN65KS8000")</f>
        <v>UN65KS8000</v>
      </c>
      <c r="G2660" s="605"/>
      <c r="H2660" s="605"/>
      <c r="I2660" s="605"/>
      <c r="J2660" s="606"/>
      <c r="K2660" s="605"/>
      <c r="L2660" s="605"/>
      <c r="M2660" s="605"/>
      <c r="N2660" s="605"/>
      <c r="O2660" s="605"/>
      <c r="P2660" s="605" t="s">
        <v>3832</v>
      </c>
    </row>
    <row r="2661">
      <c r="A2661" s="605"/>
      <c r="B2661" s="605"/>
      <c r="C2661" s="605"/>
      <c r="D2661" s="605"/>
      <c r="E2661" s="605" t="str">
        <f>IFERROR(__xludf.DUMMYFUNCTION("""COMPUTED_VALUE"""),"SAMSUNG")</f>
        <v>SAMSUNG</v>
      </c>
      <c r="F2661" s="605" t="str">
        <f>IFERROR(__xludf.DUMMYFUNCTION("""COMPUTED_VALUE"""),"UN65MU6290")</f>
        <v>UN65MU6290</v>
      </c>
      <c r="G2661" s="605"/>
      <c r="H2661" s="605"/>
      <c r="I2661" s="605"/>
      <c r="J2661" s="606"/>
      <c r="K2661" s="605"/>
      <c r="L2661" s="605"/>
      <c r="M2661" s="605"/>
      <c r="N2661" s="605"/>
      <c r="O2661" s="605"/>
      <c r="P2661" s="605" t="s">
        <v>2962</v>
      </c>
    </row>
    <row r="2662">
      <c r="A2662" s="605"/>
      <c r="B2662" s="605"/>
      <c r="C2662" s="605"/>
      <c r="D2662" s="605"/>
      <c r="E2662" s="605" t="str">
        <f>IFERROR(__xludf.DUMMYFUNCTION("""COMPUTED_VALUE"""),"SAMSUNG")</f>
        <v>SAMSUNG</v>
      </c>
      <c r="F2662" s="605" t="str">
        <f>IFERROR(__xludf.DUMMYFUNCTION("""COMPUTED_VALUE"""),"UN65MU8000")</f>
        <v>UN65MU8000</v>
      </c>
      <c r="G2662" s="605"/>
      <c r="H2662" s="605"/>
      <c r="I2662" s="605"/>
      <c r="J2662" s="606"/>
      <c r="K2662" s="605"/>
      <c r="L2662" s="605"/>
      <c r="M2662" s="605"/>
      <c r="N2662" s="605"/>
      <c r="O2662" s="605"/>
      <c r="P2662" s="605" t="s">
        <v>3835</v>
      </c>
    </row>
    <row r="2663">
      <c r="A2663" s="605"/>
      <c r="B2663" s="605"/>
      <c r="C2663" s="605"/>
      <c r="D2663" s="605"/>
      <c r="E2663" s="605" t="str">
        <f>IFERROR(__xludf.DUMMYFUNCTION("""COMPUTED_VALUE"""),"SAMSUNG")</f>
        <v>SAMSUNG</v>
      </c>
      <c r="F2663" s="605" t="str">
        <f>IFERROR(__xludf.DUMMYFUNCTION("""COMPUTED_VALUE"""),"UN65NU8000")</f>
        <v>UN65NU8000</v>
      </c>
      <c r="G2663" s="605"/>
      <c r="H2663" s="605"/>
      <c r="I2663" s="605"/>
      <c r="J2663" s="606"/>
      <c r="K2663" s="605"/>
      <c r="L2663" s="605"/>
      <c r="M2663" s="605"/>
      <c r="N2663" s="605"/>
      <c r="O2663" s="605"/>
      <c r="P2663" s="605" t="s">
        <v>3838</v>
      </c>
    </row>
    <row r="2664">
      <c r="A2664" s="605"/>
      <c r="B2664" s="605"/>
      <c r="C2664" s="605"/>
      <c r="D2664" s="605"/>
      <c r="E2664" s="605" t="str">
        <f>IFERROR(__xludf.DUMMYFUNCTION("""COMPUTED_VALUE"""),"SAMSUNG")</f>
        <v>SAMSUNG</v>
      </c>
      <c r="F2664" s="605" t="str">
        <f>IFERROR(__xludf.DUMMYFUNCTION("""COMPUTED_VALUE"""),"UN75J6300")</f>
        <v>UN75J6300</v>
      </c>
      <c r="G2664" s="605"/>
      <c r="H2664" s="605"/>
      <c r="I2664" s="605"/>
      <c r="J2664" s="606"/>
      <c r="K2664" s="605"/>
      <c r="L2664" s="605"/>
      <c r="M2664" s="605"/>
      <c r="N2664" s="605"/>
      <c r="O2664" s="605"/>
      <c r="P2664" s="605" t="s">
        <v>3841</v>
      </c>
    </row>
    <row r="2665">
      <c r="A2665" s="605"/>
      <c r="B2665" s="605"/>
      <c r="C2665" s="605"/>
      <c r="D2665" s="605"/>
      <c r="E2665" s="605" t="str">
        <f>IFERROR(__xludf.DUMMYFUNCTION("""COMPUTED_VALUE"""),"SAMSUNG")</f>
        <v>SAMSUNG</v>
      </c>
      <c r="F2665" s="605" t="str">
        <f>IFERROR(__xludf.DUMMYFUNCTION("""COMPUTED_VALUE"""),"UN75JU7100")</f>
        <v>UN75JU7100</v>
      </c>
      <c r="G2665" s="605"/>
      <c r="H2665" s="605"/>
      <c r="I2665" s="605"/>
      <c r="J2665" s="606"/>
      <c r="K2665" s="605"/>
      <c r="L2665" s="605"/>
      <c r="M2665" s="605"/>
      <c r="N2665" s="605"/>
      <c r="O2665" s="605"/>
      <c r="P2665" s="605" t="s">
        <v>3844</v>
      </c>
    </row>
    <row r="2666">
      <c r="A2666" s="605"/>
      <c r="B2666" s="605"/>
      <c r="C2666" s="605"/>
      <c r="D2666" s="605"/>
      <c r="E2666" s="605" t="str">
        <f>IFERROR(__xludf.DUMMYFUNCTION("""COMPUTED_VALUE"""),"SAMSUNG")</f>
        <v>SAMSUNG</v>
      </c>
      <c r="F2666" s="605" t="str">
        <f>IFERROR(__xludf.DUMMYFUNCTION("""COMPUTED_VALUE"""),"UN75KS900")</f>
        <v>UN75KS900</v>
      </c>
      <c r="G2666" s="605"/>
      <c r="H2666" s="605"/>
      <c r="I2666" s="605"/>
      <c r="J2666" s="606"/>
      <c r="K2666" s="605"/>
      <c r="L2666" s="605"/>
      <c r="M2666" s="605"/>
      <c r="N2666" s="605"/>
      <c r="O2666" s="605"/>
      <c r="P2666" s="605" t="s">
        <v>3847</v>
      </c>
    </row>
    <row r="2667">
      <c r="A2667" s="605"/>
      <c r="B2667" s="605"/>
      <c r="C2667" s="605"/>
      <c r="D2667" s="605"/>
      <c r="E2667" s="605" t="str">
        <f>IFERROR(__xludf.DUMMYFUNCTION("""COMPUTED_VALUE"""),"SAMSUNG")</f>
        <v>SAMSUNG</v>
      </c>
      <c r="F2667" s="605" t="str">
        <f>IFERROR(__xludf.DUMMYFUNCTION("""COMPUTED_VALUE"""),"UN75NU7100")</f>
        <v>UN75NU7100</v>
      </c>
      <c r="G2667" s="605"/>
      <c r="H2667" s="605"/>
      <c r="I2667" s="605"/>
      <c r="J2667" s="606"/>
      <c r="K2667" s="605"/>
      <c r="L2667" s="605"/>
      <c r="M2667" s="605"/>
      <c r="N2667" s="605"/>
      <c r="O2667" s="605"/>
      <c r="P2667" s="605" t="s">
        <v>3850</v>
      </c>
    </row>
    <row r="2668">
      <c r="A2668" s="605"/>
      <c r="B2668" s="605"/>
      <c r="C2668" s="605"/>
      <c r="D2668" s="605"/>
      <c r="E2668" s="605" t="str">
        <f>IFERROR(__xludf.DUMMYFUNCTION("""COMPUTED_VALUE"""),"SAMSUNG")</f>
        <v>SAMSUNG</v>
      </c>
      <c r="F2668" s="605" t="str">
        <f>IFERROR(__xludf.DUMMYFUNCTION("""COMPUTED_VALUE"""),"XE500C")</f>
        <v>XE500C</v>
      </c>
      <c r="G2668" s="605"/>
      <c r="H2668" s="605"/>
      <c r="I2668" s="605"/>
      <c r="J2668" s="606"/>
      <c r="K2668" s="605"/>
      <c r="L2668" s="605"/>
      <c r="M2668" s="605"/>
      <c r="N2668" s="605"/>
      <c r="O2668" s="605"/>
      <c r="P2668" s="605" t="s">
        <v>3852</v>
      </c>
    </row>
    <row r="2669">
      <c r="A2669" s="605"/>
      <c r="B2669" s="605"/>
      <c r="C2669" s="605"/>
      <c r="D2669" s="605"/>
      <c r="E2669" s="605" t="str">
        <f>IFERROR(__xludf.DUMMYFUNCTION("""COMPUTED_VALUE"""),"SAMSUNG")</f>
        <v>SAMSUNG</v>
      </c>
      <c r="F2669" s="605" t="str">
        <f>IFERROR(__xludf.DUMMYFUNCTION("""COMPUTED_VALUE"""),"SM-T585")</f>
        <v>SM-T585</v>
      </c>
      <c r="G2669" s="605"/>
      <c r="H2669" s="605"/>
      <c r="I2669" s="605"/>
      <c r="J2669" s="606"/>
      <c r="K2669" s="605"/>
      <c r="L2669" s="605"/>
      <c r="M2669" s="605"/>
      <c r="N2669" s="605"/>
      <c r="O2669" s="605"/>
      <c r="P2669" s="605" t="s">
        <v>3855</v>
      </c>
    </row>
    <row r="2670">
      <c r="A2670" s="605"/>
      <c r="B2670" s="605"/>
      <c r="C2670" s="605"/>
      <c r="D2670" s="605"/>
      <c r="E2670" s="605" t="str">
        <f>IFERROR(__xludf.DUMMYFUNCTION("""COMPUTED_VALUE"""),"SAMSUNG")</f>
        <v>SAMSUNG</v>
      </c>
      <c r="F2670" s="605" t="str">
        <f>IFERROR(__xludf.DUMMYFUNCTION("""COMPUTED_VALUE"""),"Q60R")</f>
        <v>Q60R</v>
      </c>
      <c r="G2670" s="605"/>
      <c r="H2670" s="605"/>
      <c r="I2670" s="605"/>
      <c r="J2670" s="606"/>
      <c r="K2670" s="605"/>
      <c r="L2670" s="605"/>
      <c r="M2670" s="605"/>
      <c r="N2670" s="605"/>
      <c r="O2670" s="605"/>
      <c r="P2670" s="605" t="s">
        <v>3858</v>
      </c>
    </row>
    <row r="2671">
      <c r="A2671" s="605"/>
      <c r="B2671" s="605"/>
      <c r="C2671" s="605"/>
      <c r="D2671" s="605"/>
      <c r="E2671" s="605" t="str">
        <f>IFERROR(__xludf.DUMMYFUNCTION("""COMPUTED_VALUE"""),"SAMSUNG")</f>
        <v>SAMSUNG</v>
      </c>
      <c r="F2671" s="605" t="str">
        <f>IFERROR(__xludf.DUMMYFUNCTION("""COMPUTED_VALUE"""),"UN43NU6900F")</f>
        <v>UN43NU6900F</v>
      </c>
      <c r="G2671" s="605"/>
      <c r="H2671" s="605"/>
      <c r="I2671" s="605"/>
      <c r="J2671" s="606"/>
      <c r="K2671" s="605"/>
      <c r="L2671" s="605"/>
      <c r="M2671" s="605"/>
      <c r="N2671" s="605"/>
      <c r="O2671" s="605"/>
      <c r="P2671" s="605" t="s">
        <v>3861</v>
      </c>
    </row>
    <row r="2672">
      <c r="A2672" s="605"/>
      <c r="B2672" s="605"/>
      <c r="C2672" s="605"/>
      <c r="D2672" s="605"/>
      <c r="E2672" s="605" t="str">
        <f>IFERROR(__xludf.DUMMYFUNCTION("""COMPUTED_VALUE"""),"SAMSUNG")</f>
        <v>SAMSUNG</v>
      </c>
      <c r="F2672" s="605" t="str">
        <f>IFERROR(__xludf.DUMMYFUNCTION("""COMPUTED_VALUE"""),"SM-T510")</f>
        <v>SM-T510</v>
      </c>
      <c r="G2672" s="605"/>
      <c r="H2672" s="605"/>
      <c r="I2672" s="605"/>
      <c r="J2672" s="606"/>
      <c r="K2672" s="605"/>
      <c r="L2672" s="605"/>
      <c r="M2672" s="605"/>
      <c r="N2672" s="605"/>
      <c r="O2672" s="605"/>
      <c r="P2672" s="605" t="s">
        <v>2965</v>
      </c>
    </row>
    <row r="2673">
      <c r="A2673" s="605"/>
      <c r="B2673" s="605"/>
      <c r="C2673" s="605"/>
      <c r="D2673" s="605"/>
      <c r="E2673" s="605" t="str">
        <f>IFERROR(__xludf.DUMMYFUNCTION("""COMPUTED_VALUE"""),"SAMSUNG")</f>
        <v>SAMSUNG</v>
      </c>
      <c r="F2673" s="605" t="str">
        <f>IFERROR(__xludf.DUMMYFUNCTION("""COMPUTED_VALUE"""),"GALAXY TAB 7 SM-T870")</f>
        <v>GALAXY TAB 7 SM-T870</v>
      </c>
      <c r="G2673" s="605"/>
      <c r="H2673" s="605"/>
      <c r="I2673" s="605"/>
      <c r="J2673" s="606"/>
      <c r="K2673" s="605"/>
      <c r="L2673" s="605"/>
      <c r="M2673" s="605"/>
      <c r="N2673" s="605"/>
      <c r="O2673" s="605"/>
      <c r="P2673" s="605" t="s">
        <v>3864</v>
      </c>
    </row>
    <row r="2674">
      <c r="A2674" s="605"/>
      <c r="B2674" s="605"/>
      <c r="C2674" s="605"/>
      <c r="D2674" s="605"/>
      <c r="E2674" s="605" t="str">
        <f>IFERROR(__xludf.DUMMYFUNCTION("""COMPUTED_VALUE"""),"SAMSUNG")</f>
        <v>SAMSUNG</v>
      </c>
      <c r="F2674" s="605" t="str">
        <f>IFERROR(__xludf.DUMMYFUNCTION("""COMPUTED_VALUE"""),"GALAXY TAB 7 SM-T870")</f>
        <v>GALAXY TAB 7 SM-T870</v>
      </c>
      <c r="G2674" s="605"/>
      <c r="H2674" s="605"/>
      <c r="I2674" s="605"/>
      <c r="J2674" s="606"/>
      <c r="K2674" s="605"/>
      <c r="L2674" s="605"/>
      <c r="M2674" s="605"/>
      <c r="N2674" s="605"/>
      <c r="O2674" s="605"/>
      <c r="P2674" s="605" t="s">
        <v>3867</v>
      </c>
    </row>
    <row r="2675">
      <c r="A2675" s="605"/>
      <c r="B2675" s="605"/>
      <c r="C2675" s="605"/>
      <c r="D2675" s="605"/>
      <c r="E2675" s="605" t="str">
        <f>IFERROR(__xludf.DUMMYFUNCTION("""COMPUTED_VALUE"""),"SAMSUNG")</f>
        <v>SAMSUNG</v>
      </c>
      <c r="F2675" s="605" t="str">
        <f>IFERROR(__xludf.DUMMYFUNCTION("""COMPUTED_VALUE"""),"GALAXY TAB A 8.0 SM-T295")</f>
        <v>GALAXY TAB A 8.0 SM-T295</v>
      </c>
      <c r="G2675" s="605"/>
      <c r="H2675" s="605"/>
      <c r="I2675" s="605"/>
      <c r="J2675" s="606"/>
      <c r="K2675" s="605"/>
      <c r="L2675" s="605"/>
      <c r="M2675" s="605"/>
      <c r="N2675" s="605"/>
      <c r="O2675" s="605"/>
      <c r="P2675" s="605" t="s">
        <v>3870</v>
      </c>
    </row>
    <row r="2676">
      <c r="A2676" s="605"/>
      <c r="B2676" s="605"/>
      <c r="C2676" s="605"/>
      <c r="D2676" s="605"/>
      <c r="E2676" s="605" t="str">
        <f>IFERROR(__xludf.DUMMYFUNCTION("""COMPUTED_VALUE"""),"SAMSUNG")</f>
        <v>SAMSUNG</v>
      </c>
      <c r="F2676" s="605" t="str">
        <f>IFERROR(__xludf.DUMMYFUNCTION("""COMPUTED_VALUE"""),"GALAXY TAB A 8.0 SM-T295")</f>
        <v>GALAXY TAB A 8.0 SM-T295</v>
      </c>
      <c r="G2676" s="605"/>
      <c r="H2676" s="605"/>
      <c r="I2676" s="605"/>
      <c r="J2676" s="606"/>
      <c r="K2676" s="605"/>
      <c r="L2676" s="605"/>
      <c r="M2676" s="605"/>
      <c r="N2676" s="605"/>
      <c r="O2676" s="605"/>
      <c r="P2676" s="605" t="s">
        <v>3873</v>
      </c>
    </row>
    <row r="2677">
      <c r="A2677" s="605"/>
      <c r="B2677" s="605"/>
      <c r="C2677" s="605"/>
      <c r="D2677" s="605"/>
      <c r="E2677" s="605" t="str">
        <f>IFERROR(__xludf.DUMMYFUNCTION("""COMPUTED_VALUE"""),"SAMSUNG")</f>
        <v>SAMSUNG</v>
      </c>
      <c r="F2677" s="605" t="str">
        <f>IFERROR(__xludf.DUMMYFUNCTION("""COMPUTED_VALUE"""),"QE65Q85RAT")</f>
        <v>QE65Q85RAT</v>
      </c>
      <c r="G2677" s="605"/>
      <c r="H2677" s="605"/>
      <c r="I2677" s="605"/>
      <c r="J2677" s="606"/>
      <c r="K2677" s="605"/>
      <c r="L2677" s="605"/>
      <c r="M2677" s="605"/>
      <c r="N2677" s="605"/>
      <c r="O2677" s="605"/>
      <c r="P2677" s="605" t="s">
        <v>3876</v>
      </c>
    </row>
    <row r="2678">
      <c r="A2678" s="605"/>
      <c r="B2678" s="605"/>
      <c r="C2678" s="605"/>
      <c r="D2678" s="605"/>
      <c r="E2678" s="605" t="str">
        <f>IFERROR(__xludf.DUMMYFUNCTION("""COMPUTED_VALUE"""),"SAMSUNG")</f>
        <v>SAMSUNG</v>
      </c>
      <c r="F2678" s="605" t="str">
        <f>IFERROR(__xludf.DUMMYFUNCTION("""COMPUTED_VALUE"""),"QE65Q85RAT")</f>
        <v>QE65Q85RAT</v>
      </c>
      <c r="G2678" s="605"/>
      <c r="H2678" s="605"/>
      <c r="I2678" s="605"/>
      <c r="J2678" s="606"/>
      <c r="K2678" s="605"/>
      <c r="L2678" s="605"/>
      <c r="M2678" s="605"/>
      <c r="N2678" s="605"/>
      <c r="O2678" s="605"/>
      <c r="P2678" s="605" t="s">
        <v>3879</v>
      </c>
    </row>
    <row r="2679">
      <c r="A2679" s="605"/>
      <c r="B2679" s="605"/>
      <c r="C2679" s="605"/>
      <c r="D2679" s="605"/>
      <c r="E2679" s="605" t="str">
        <f>IFERROR(__xludf.DUMMYFUNCTION("""COMPUTED_VALUE"""),"SAMSUNG")</f>
        <v>SAMSUNG</v>
      </c>
      <c r="F2679" s="605" t="str">
        <f>IFERROR(__xludf.DUMMYFUNCTION("""COMPUTED_VALUE"""),"UN65JU6500")</f>
        <v>UN65JU6500</v>
      </c>
      <c r="G2679" s="605"/>
      <c r="H2679" s="605"/>
      <c r="I2679" s="605"/>
      <c r="J2679" s="606"/>
      <c r="K2679" s="605"/>
      <c r="L2679" s="605"/>
      <c r="M2679" s="605"/>
      <c r="N2679" s="605"/>
      <c r="O2679" s="605"/>
      <c r="P2679" s="605" t="s">
        <v>3882</v>
      </c>
    </row>
    <row r="2680">
      <c r="A2680" s="605"/>
      <c r="B2680" s="605"/>
      <c r="C2680" s="605"/>
      <c r="D2680" s="605"/>
      <c r="E2680" s="605" t="str">
        <f>IFERROR(__xludf.DUMMYFUNCTION("""COMPUTED_VALUE"""),"SAMSUNG")</f>
        <v>SAMSUNG</v>
      </c>
      <c r="F2680" s="605" t="str">
        <f>IFERROR(__xludf.DUMMYFUNCTION("""COMPUTED_VALUE"""),"NEXUS 09")</f>
        <v>NEXUS 09</v>
      </c>
      <c r="G2680" s="605"/>
      <c r="H2680" s="605"/>
      <c r="I2680" s="605"/>
      <c r="J2680" s="606"/>
      <c r="K2680" s="605"/>
      <c r="L2680" s="605"/>
      <c r="M2680" s="605"/>
      <c r="N2680" s="605"/>
      <c r="O2680" s="605"/>
      <c r="P2680" s="605" t="s">
        <v>3885</v>
      </c>
    </row>
    <row r="2681">
      <c r="A2681" s="605"/>
      <c r="B2681" s="605"/>
      <c r="C2681" s="605"/>
      <c r="D2681" s="605"/>
      <c r="E2681" s="605" t="str">
        <f>IFERROR(__xludf.DUMMYFUNCTION("""COMPUTED_VALUE"""),"SAMSUNG")</f>
        <v>SAMSUNG</v>
      </c>
      <c r="F2681" s="605" t="str">
        <f>IFERROR(__xludf.DUMMYFUNCTION("""COMPUTED_VALUE"""),"GALAXY TAB S8 SM-X706B")</f>
        <v>GALAXY TAB S8 SM-X706B</v>
      </c>
      <c r="G2681" s="605"/>
      <c r="H2681" s="605"/>
      <c r="I2681" s="605"/>
      <c r="J2681" s="606"/>
      <c r="K2681" s="605"/>
      <c r="L2681" s="605"/>
      <c r="M2681" s="605"/>
      <c r="N2681" s="605"/>
      <c r="O2681" s="605"/>
      <c r="P2681" s="605" t="s">
        <v>3888</v>
      </c>
    </row>
    <row r="2682">
      <c r="A2682" s="605"/>
      <c r="B2682" s="605"/>
      <c r="C2682" s="605"/>
      <c r="D2682" s="605"/>
      <c r="E2682" s="605" t="str">
        <f>IFERROR(__xludf.DUMMYFUNCTION("""COMPUTED_VALUE"""),"SAMSUNG")</f>
        <v>SAMSUNG</v>
      </c>
      <c r="F2682" s="605" t="str">
        <f>IFERROR(__xludf.DUMMYFUNCTION("""COMPUTED_VALUE"""),"7000")</f>
        <v>7000</v>
      </c>
      <c r="G2682" s="605"/>
      <c r="H2682" s="605"/>
      <c r="I2682" s="605"/>
      <c r="J2682" s="606"/>
      <c r="K2682" s="605"/>
      <c r="L2682" s="605"/>
      <c r="M2682" s="605"/>
      <c r="N2682" s="605"/>
      <c r="O2682" s="605"/>
      <c r="P2682" s="605" t="s">
        <v>3891</v>
      </c>
    </row>
    <row r="2683">
      <c r="A2683" s="605"/>
      <c r="B2683" s="605"/>
      <c r="C2683" s="605"/>
      <c r="D2683" s="605"/>
      <c r="E2683" s="605" t="str">
        <f>IFERROR(__xludf.DUMMYFUNCTION("""COMPUTED_VALUE"""),"SAMSUNG")</f>
        <v>SAMSUNG</v>
      </c>
      <c r="F2683" s="605" t="str">
        <f>IFERROR(__xludf.DUMMYFUNCTION("""COMPUTED_VALUE"""),"UN55AU7700GXZD")</f>
        <v>UN55AU7700GXZD</v>
      </c>
      <c r="G2683" s="605"/>
      <c r="H2683" s="605"/>
      <c r="I2683" s="605"/>
      <c r="J2683" s="606"/>
      <c r="K2683" s="605"/>
      <c r="L2683" s="605"/>
      <c r="M2683" s="605"/>
      <c r="N2683" s="605"/>
      <c r="O2683" s="605"/>
      <c r="P2683" s="605" t="s">
        <v>2968</v>
      </c>
    </row>
    <row r="2684">
      <c r="A2684" s="605"/>
      <c r="B2684" s="605"/>
      <c r="C2684" s="605"/>
      <c r="D2684" s="605"/>
      <c r="E2684" s="605" t="str">
        <f>IFERROR(__xludf.DUMMYFUNCTION("""COMPUTED_VALUE"""),"SAMSUNG")</f>
        <v>SAMSUNG</v>
      </c>
      <c r="F2684" s="605" t="str">
        <f>IFERROR(__xludf.DUMMYFUNCTION("""COMPUTED_VALUE"""),"QB55R")</f>
        <v>QB55R</v>
      </c>
      <c r="G2684" s="605"/>
      <c r="H2684" s="605"/>
      <c r="I2684" s="605"/>
      <c r="J2684" s="606"/>
      <c r="K2684" s="605"/>
      <c r="L2684" s="605"/>
      <c r="M2684" s="605"/>
      <c r="N2684" s="605"/>
      <c r="O2684" s="605"/>
      <c r="P2684" s="605" t="s">
        <v>3894</v>
      </c>
    </row>
    <row r="2685">
      <c r="A2685" s="605"/>
      <c r="B2685" s="605"/>
      <c r="C2685" s="605"/>
      <c r="D2685" s="605"/>
      <c r="E2685" s="605" t="str">
        <f>IFERROR(__xludf.DUMMYFUNCTION("""COMPUTED_VALUE"""),"SAMSUNG")</f>
        <v>SAMSUNG</v>
      </c>
      <c r="F2685" s="605" t="str">
        <f>IFERROR(__xludf.DUMMYFUNCTION("""COMPUTED_VALUE"""),"QB55R")</f>
        <v>QB55R</v>
      </c>
      <c r="G2685" s="605"/>
      <c r="H2685" s="605"/>
      <c r="I2685" s="605"/>
      <c r="J2685" s="606"/>
      <c r="K2685" s="605"/>
      <c r="L2685" s="605"/>
      <c r="M2685" s="605"/>
      <c r="N2685" s="605"/>
      <c r="O2685" s="605"/>
      <c r="P2685" s="605" t="s">
        <v>3897</v>
      </c>
    </row>
    <row r="2686">
      <c r="A2686" s="605"/>
      <c r="B2686" s="605"/>
      <c r="C2686" s="605"/>
      <c r="D2686" s="605"/>
      <c r="E2686" s="605" t="str">
        <f>IFERROR(__xludf.DUMMYFUNCTION("""COMPUTED_VALUE"""),"SAMSUNG")</f>
        <v>SAMSUNG</v>
      </c>
      <c r="F2686" s="605" t="str">
        <f>IFERROR(__xludf.DUMMYFUNCTION("""COMPUTED_VALUE"""),"GALAXY TAB S6 SM-P610")</f>
        <v>GALAXY TAB S6 SM-P610</v>
      </c>
      <c r="G2686" s="605"/>
      <c r="H2686" s="605"/>
      <c r="I2686" s="605"/>
      <c r="J2686" s="606"/>
      <c r="K2686" s="605"/>
      <c r="L2686" s="605"/>
      <c r="M2686" s="605"/>
      <c r="N2686" s="605"/>
      <c r="O2686" s="605"/>
      <c r="P2686" s="605" t="s">
        <v>3900</v>
      </c>
    </row>
    <row r="2687">
      <c r="A2687" s="605"/>
      <c r="B2687" s="605"/>
      <c r="C2687" s="605"/>
      <c r="D2687" s="605"/>
      <c r="E2687" s="605" t="str">
        <f>IFERROR(__xludf.DUMMYFUNCTION("""COMPUTED_VALUE"""),"SAMSUNG")</f>
        <v>SAMSUNG</v>
      </c>
      <c r="F2687" s="605" t="str">
        <f>IFERROR(__xludf.DUMMYFUNCTION("""COMPUTED_VALUE"""),"UN55ES6150F")</f>
        <v>UN55ES6150F</v>
      </c>
      <c r="G2687" s="605"/>
      <c r="H2687" s="605"/>
      <c r="I2687" s="605"/>
      <c r="J2687" s="606"/>
      <c r="K2687" s="605"/>
      <c r="L2687" s="605"/>
      <c r="M2687" s="605"/>
      <c r="N2687" s="605"/>
      <c r="O2687" s="605"/>
      <c r="P2687" s="605" t="s">
        <v>3903</v>
      </c>
    </row>
    <row r="2688">
      <c r="A2688" s="605"/>
      <c r="B2688" s="605"/>
      <c r="C2688" s="605"/>
      <c r="D2688" s="605"/>
      <c r="E2688" s="605" t="str">
        <f>IFERROR(__xludf.DUMMYFUNCTION("""COMPUTED_VALUE"""),"SAMSUNG")</f>
        <v>SAMSUNG</v>
      </c>
      <c r="F2688" s="605" t="str">
        <f>IFERROR(__xludf.DUMMYFUNCTION("""COMPUTED_VALUE"""),"GALAXY A03")</f>
        <v>GALAXY A03</v>
      </c>
      <c r="G2688" s="605"/>
      <c r="H2688" s="605"/>
      <c r="I2688" s="605"/>
      <c r="J2688" s="606"/>
      <c r="K2688" s="605"/>
      <c r="L2688" s="605"/>
      <c r="M2688" s="605"/>
      <c r="N2688" s="605"/>
      <c r="O2688" s="605"/>
      <c r="P2688" s="605" t="s">
        <v>3906</v>
      </c>
    </row>
    <row r="2689">
      <c r="A2689" s="605"/>
      <c r="B2689" s="605"/>
      <c r="C2689" s="605"/>
      <c r="D2689" s="605"/>
      <c r="E2689" s="605" t="str">
        <f>IFERROR(__xludf.DUMMYFUNCTION("""COMPUTED_VALUE"""),"SAMSUNG")</f>
        <v>SAMSUNG</v>
      </c>
      <c r="F2689" s="605" t="str">
        <f>IFERROR(__xludf.DUMMYFUNCTION("""COMPUTED_VALUE"""),"PM43H")</f>
        <v>PM43H</v>
      </c>
      <c r="G2689" s="605"/>
      <c r="H2689" s="605"/>
      <c r="I2689" s="605"/>
      <c r="J2689" s="606"/>
      <c r="K2689" s="605"/>
      <c r="L2689" s="605"/>
      <c r="M2689" s="605"/>
      <c r="N2689" s="605"/>
      <c r="O2689" s="605"/>
      <c r="P2689" s="605" t="s">
        <v>3909</v>
      </c>
    </row>
    <row r="2690">
      <c r="A2690" s="605"/>
      <c r="B2690" s="605"/>
      <c r="C2690" s="605"/>
      <c r="D2690" s="605"/>
      <c r="E2690" s="605" t="str">
        <f>IFERROR(__xludf.DUMMYFUNCTION("""COMPUTED_VALUE"""),"SAMSUNG")</f>
        <v>SAMSUNG</v>
      </c>
      <c r="F2690" s="605" t="str">
        <f>IFERROR(__xludf.DUMMYFUNCTION("""COMPUTED_VALUE"""),"GALAXY A2 CORE")</f>
        <v>GALAXY A2 CORE</v>
      </c>
      <c r="G2690" s="605"/>
      <c r="H2690" s="605"/>
      <c r="I2690" s="605"/>
      <c r="J2690" s="606"/>
      <c r="K2690" s="605"/>
      <c r="L2690" s="605"/>
      <c r="M2690" s="605"/>
      <c r="N2690" s="605"/>
      <c r="O2690" s="605"/>
      <c r="P2690" s="605" t="s">
        <v>3912</v>
      </c>
    </row>
    <row r="2691">
      <c r="A2691" s="605"/>
      <c r="B2691" s="605"/>
      <c r="C2691" s="605"/>
      <c r="D2691" s="605"/>
      <c r="E2691" s="605" t="str">
        <f>IFERROR(__xludf.DUMMYFUNCTION("""COMPUTED_VALUE"""),"SAMSUNG")</f>
        <v>SAMSUNG</v>
      </c>
      <c r="F2691" s="605" t="str">
        <f>IFERROR(__xludf.DUMMYFUNCTION("""COMPUTED_VALUE"""),"GALAXY F04")</f>
        <v>GALAXY F04</v>
      </c>
      <c r="G2691" s="605"/>
      <c r="H2691" s="605"/>
      <c r="I2691" s="605"/>
      <c r="J2691" s="606"/>
      <c r="K2691" s="605"/>
      <c r="L2691" s="605"/>
      <c r="M2691" s="605"/>
      <c r="N2691" s="605"/>
      <c r="O2691" s="605"/>
      <c r="P2691" s="605" t="s">
        <v>3915</v>
      </c>
    </row>
    <row r="2692">
      <c r="A2692" s="605"/>
      <c r="B2692" s="605"/>
      <c r="C2692" s="605"/>
      <c r="D2692" s="605"/>
      <c r="E2692" s="605" t="str">
        <f>IFERROR(__xludf.DUMMYFUNCTION("""COMPUTED_VALUE"""),"SAMSUNG")</f>
        <v>SAMSUNG</v>
      </c>
      <c r="F2692" s="605" t="str">
        <f>IFERROR(__xludf.DUMMYFUNCTION("""COMPUTED_VALUE"""),"GALAXY M13")</f>
        <v>GALAXY M13</v>
      </c>
      <c r="G2692" s="605"/>
      <c r="H2692" s="605"/>
      <c r="I2692" s="605"/>
      <c r="J2692" s="606"/>
      <c r="K2692" s="605"/>
      <c r="L2692" s="605"/>
      <c r="M2692" s="605"/>
      <c r="N2692" s="605"/>
      <c r="O2692" s="605"/>
      <c r="P2692" s="605" t="s">
        <v>3918</v>
      </c>
    </row>
    <row r="2693">
      <c r="A2693" s="605"/>
      <c r="B2693" s="605"/>
      <c r="C2693" s="605"/>
      <c r="D2693" s="605"/>
      <c r="E2693" s="605" t="str">
        <f>IFERROR(__xludf.DUMMYFUNCTION("""COMPUTED_VALUE"""),"SAMSUNG")</f>
        <v>SAMSUNG</v>
      </c>
      <c r="F2693" s="605" t="str">
        <f>IFERROR(__xludf.DUMMYFUNCTION("""COMPUTED_VALUE"""),"SM-T220")</f>
        <v>SM-T220</v>
      </c>
      <c r="G2693" s="605"/>
      <c r="H2693" s="605"/>
      <c r="I2693" s="605"/>
      <c r="J2693" s="606"/>
      <c r="K2693" s="605"/>
      <c r="L2693" s="605"/>
      <c r="M2693" s="605"/>
      <c r="N2693" s="605"/>
      <c r="O2693" s="605"/>
      <c r="P2693" s="605" t="s">
        <v>3920</v>
      </c>
    </row>
    <row r="2694">
      <c r="A2694" s="605"/>
      <c r="B2694" s="605"/>
      <c r="C2694" s="605"/>
      <c r="D2694" s="605"/>
      <c r="E2694" s="605" t="str">
        <f>IFERROR(__xludf.DUMMYFUNCTION("""COMPUTED_VALUE"""),"SAMSUNG")</f>
        <v>SAMSUNG</v>
      </c>
      <c r="F2694" s="605" t="str">
        <f>IFERROR(__xludf.DUMMYFUNCTION("""COMPUTED_VALUE"""),"GALAXY M04")</f>
        <v>GALAXY M04</v>
      </c>
      <c r="G2694" s="605"/>
      <c r="H2694" s="605"/>
      <c r="I2694" s="605"/>
      <c r="J2694" s="606"/>
      <c r="K2694" s="605"/>
      <c r="L2694" s="605"/>
      <c r="M2694" s="605"/>
      <c r="N2694" s="605"/>
      <c r="O2694" s="605"/>
      <c r="P2694" s="605" t="s">
        <v>2971</v>
      </c>
    </row>
    <row r="2695">
      <c r="A2695" s="605"/>
      <c r="B2695" s="605"/>
      <c r="C2695" s="605"/>
      <c r="D2695" s="605"/>
      <c r="E2695" s="605" t="str">
        <f>IFERROR(__xludf.DUMMYFUNCTION("""COMPUTED_VALUE"""),"SAMSUNG")</f>
        <v>SAMSUNG</v>
      </c>
      <c r="F2695" s="605" t="str">
        <f>IFERROR(__xludf.DUMMYFUNCTION("""COMPUTED_VALUE"""),"GALAXY TAB S6 LITE")</f>
        <v>GALAXY TAB S6 LITE</v>
      </c>
      <c r="G2695" s="605"/>
      <c r="H2695" s="605"/>
      <c r="I2695" s="605"/>
      <c r="J2695" s="606"/>
      <c r="K2695" s="605"/>
      <c r="L2695" s="605"/>
      <c r="M2695" s="605"/>
      <c r="N2695" s="605"/>
      <c r="O2695" s="605"/>
      <c r="P2695" s="605" t="s">
        <v>3923</v>
      </c>
    </row>
    <row r="2696">
      <c r="A2696" s="605"/>
      <c r="B2696" s="605"/>
      <c r="C2696" s="605"/>
      <c r="D2696" s="605"/>
      <c r="E2696" s="605" t="str">
        <f>IFERROR(__xludf.DUMMYFUNCTION("""COMPUTED_VALUE"""),"SAMSUNG")</f>
        <v>SAMSUNG</v>
      </c>
      <c r="F2696" s="605" t="str">
        <f>IFERROR(__xludf.DUMMYFUNCTION("""COMPUTED_VALUE"""),"UE65H6400AK")</f>
        <v>UE65H6400AK</v>
      </c>
      <c r="G2696" s="605"/>
      <c r="H2696" s="605"/>
      <c r="I2696" s="605"/>
      <c r="J2696" s="606"/>
      <c r="K2696" s="605"/>
      <c r="L2696" s="605"/>
      <c r="M2696" s="605"/>
      <c r="N2696" s="605"/>
      <c r="O2696" s="605"/>
      <c r="P2696" s="605" t="s">
        <v>3926</v>
      </c>
    </row>
    <row r="2697">
      <c r="A2697" s="605"/>
      <c r="B2697" s="605"/>
      <c r="C2697" s="605"/>
      <c r="D2697" s="605"/>
      <c r="E2697" s="605" t="str">
        <f>IFERROR(__xludf.DUMMYFUNCTION("""COMPUTED_VALUE"""),"SAMSUNG")</f>
        <v>SAMSUNG</v>
      </c>
      <c r="F2697" s="605" t="str">
        <f>IFERROR(__xludf.DUMMYFUNCTION("""COMPUTED_VALUE"""),"GALAXY M15")</f>
        <v>GALAXY M15</v>
      </c>
      <c r="G2697" s="605"/>
      <c r="H2697" s="605"/>
      <c r="I2697" s="605"/>
      <c r="J2697" s="606"/>
      <c r="K2697" s="605"/>
      <c r="L2697" s="605"/>
      <c r="M2697" s="605"/>
      <c r="N2697" s="605"/>
      <c r="O2697" s="605"/>
      <c r="P2697" s="605" t="s">
        <v>3929</v>
      </c>
    </row>
    <row r="2698">
      <c r="A2698" s="605"/>
      <c r="B2698" s="605"/>
      <c r="C2698" s="605"/>
      <c r="D2698" s="605"/>
      <c r="E2698" s="605" t="str">
        <f>IFERROR(__xludf.DUMMYFUNCTION("""COMPUTED_VALUE"""),"SAMSUNG")</f>
        <v>SAMSUNG</v>
      </c>
      <c r="F2698" s="605" t="str">
        <f>IFERROR(__xludf.DUMMYFUNCTION("""COMPUTED_VALUE"""),"CLASS 9 SERIES")</f>
        <v>CLASS 9 SERIES</v>
      </c>
      <c r="G2698" s="605"/>
      <c r="H2698" s="605"/>
      <c r="I2698" s="605"/>
      <c r="J2698" s="606"/>
      <c r="K2698" s="605"/>
      <c r="L2698" s="605"/>
      <c r="M2698" s="605"/>
      <c r="N2698" s="605"/>
      <c r="O2698" s="605"/>
      <c r="P2698" s="605" t="s">
        <v>3931</v>
      </c>
    </row>
    <row r="2699">
      <c r="A2699" s="605"/>
      <c r="B2699" s="605"/>
      <c r="C2699" s="605"/>
      <c r="D2699" s="605"/>
      <c r="E2699" s="605" t="str">
        <f>IFERROR(__xludf.DUMMYFUNCTION("""COMPUTED_VALUE"""),"SAMSUNG")</f>
        <v>SAMSUNG</v>
      </c>
      <c r="F2699" s="605" t="str">
        <f>IFERROR(__xludf.DUMMYFUNCTION("""COMPUTED_VALUE"""),"TAB A8 SM-X200")</f>
        <v>TAB A8 SM-X200</v>
      </c>
      <c r="G2699" s="605"/>
      <c r="H2699" s="605"/>
      <c r="I2699" s="605"/>
      <c r="J2699" s="606"/>
      <c r="K2699" s="605"/>
      <c r="L2699" s="605"/>
      <c r="M2699" s="605"/>
      <c r="N2699" s="605"/>
      <c r="O2699" s="605"/>
      <c r="P2699" s="605" t="s">
        <v>3934</v>
      </c>
    </row>
    <row r="2700">
      <c r="A2700" s="605"/>
      <c r="B2700" s="605"/>
      <c r="C2700" s="605"/>
      <c r="D2700" s="605"/>
      <c r="E2700" s="605" t="str">
        <f>IFERROR(__xludf.DUMMYFUNCTION("""COMPUTED_VALUE"""),"SAMSUNG")</f>
        <v>SAMSUNG</v>
      </c>
      <c r="F2700" s="605" t="str">
        <f>IFERROR(__xludf.DUMMYFUNCTION("""COMPUTED_VALUE"""),"GALAXY TAB A SM-T515")</f>
        <v>GALAXY TAB A SM-T515</v>
      </c>
      <c r="G2700" s="605"/>
      <c r="H2700" s="605"/>
      <c r="I2700" s="605"/>
      <c r="J2700" s="606"/>
      <c r="K2700" s="605"/>
      <c r="L2700" s="605"/>
      <c r="M2700" s="605"/>
      <c r="N2700" s="605"/>
      <c r="O2700" s="605"/>
      <c r="P2700" s="605" t="s">
        <v>3936</v>
      </c>
    </row>
    <row r="2701">
      <c r="A2701" s="605"/>
      <c r="B2701" s="605"/>
      <c r="C2701" s="605"/>
      <c r="D2701" s="605"/>
      <c r="E2701" s="605" t="str">
        <f>IFERROR(__xludf.DUMMYFUNCTION("""COMPUTED_VALUE"""),"SAMSUNG")</f>
        <v>SAMSUNG</v>
      </c>
      <c r="F2701" s="605" t="str">
        <f>IFERROR(__xludf.DUMMYFUNCTION("""COMPUTED_VALUE"""),"Q70 SERIES (65)")</f>
        <v>Q70 SERIES (65)</v>
      </c>
      <c r="G2701" s="605"/>
      <c r="H2701" s="605"/>
      <c r="I2701" s="605"/>
      <c r="J2701" s="606"/>
      <c r="K2701" s="605"/>
      <c r="L2701" s="605"/>
      <c r="M2701" s="605"/>
      <c r="N2701" s="605"/>
      <c r="O2701" s="605"/>
      <c r="P2701" s="605" t="s">
        <v>3939</v>
      </c>
    </row>
    <row r="2702">
      <c r="A2702" s="605"/>
      <c r="B2702" s="605"/>
      <c r="C2702" s="605"/>
      <c r="D2702" s="605"/>
      <c r="E2702" s="605" t="str">
        <f>IFERROR(__xludf.DUMMYFUNCTION("""COMPUTED_VALUE"""),"SAMSUNG")</f>
        <v>SAMSUNG</v>
      </c>
      <c r="F2702" s="605" t="str">
        <f>IFERROR(__xludf.DUMMYFUNCTION("""COMPUTED_VALUE"""),"GALAXY TAB S9")</f>
        <v>GALAXY TAB S9</v>
      </c>
      <c r="G2702" s="605"/>
      <c r="H2702" s="605"/>
      <c r="I2702" s="605"/>
      <c r="J2702" s="606"/>
      <c r="K2702" s="605"/>
      <c r="L2702" s="605"/>
      <c r="M2702" s="605"/>
      <c r="N2702" s="605"/>
      <c r="O2702" s="605"/>
      <c r="P2702" s="605" t="s">
        <v>3942</v>
      </c>
    </row>
    <row r="2703">
      <c r="A2703" s="605"/>
      <c r="B2703" s="605"/>
      <c r="C2703" s="605"/>
      <c r="D2703" s="605"/>
      <c r="E2703" s="605" t="str">
        <f>IFERROR(__xludf.DUMMYFUNCTION("""COMPUTED_VALUE"""),"SAMSUNG")</f>
        <v>SAMSUNG</v>
      </c>
      <c r="F2703" s="605" t="str">
        <f>IFERROR(__xludf.DUMMYFUNCTION("""COMPUTED_VALUE"""),"BE65A-HB")</f>
        <v>BE65A-HB</v>
      </c>
      <c r="G2703" s="605"/>
      <c r="H2703" s="605"/>
      <c r="I2703" s="605"/>
      <c r="J2703" s="606"/>
      <c r="K2703" s="605"/>
      <c r="L2703" s="605"/>
      <c r="M2703" s="605"/>
      <c r="N2703" s="605"/>
      <c r="O2703" s="605"/>
      <c r="P2703" s="605" t="s">
        <v>3944</v>
      </c>
    </row>
    <row r="2704">
      <c r="A2704" s="605"/>
      <c r="B2704" s="605"/>
      <c r="C2704" s="605"/>
      <c r="D2704" s="605"/>
      <c r="E2704" s="605" t="str">
        <f>IFERROR(__xludf.DUMMYFUNCTION("""COMPUTED_VALUE"""),"SAMSUNG")</f>
        <v>SAMSUNG</v>
      </c>
      <c r="F2704" s="605" t="str">
        <f>IFERROR(__xludf.DUMMYFUNCTION("""COMPUTED_VALUE"""),"QN65Q80D")</f>
        <v>QN65Q80D</v>
      </c>
      <c r="G2704" s="605"/>
      <c r="H2704" s="605"/>
      <c r="I2704" s="605"/>
      <c r="J2704" s="606"/>
      <c r="K2704" s="605"/>
      <c r="L2704" s="605"/>
      <c r="M2704" s="605"/>
      <c r="N2704" s="605"/>
      <c r="O2704" s="605"/>
      <c r="P2704" s="605" t="s">
        <v>3947</v>
      </c>
    </row>
    <row r="2705">
      <c r="A2705" s="605"/>
      <c r="B2705" s="605"/>
      <c r="C2705" s="605"/>
      <c r="D2705" s="605"/>
      <c r="E2705" s="605" t="str">
        <f>IFERROR(__xludf.DUMMYFUNCTION("""COMPUTED_VALUE"""),"SAMSUNG")</f>
        <v>SAMSUNG</v>
      </c>
      <c r="F2705" s="605" t="str">
        <f>IFERROR(__xludf.DUMMYFUNCTION("""COMPUTED_VALUE"""),"UA65AU7700KXXT")</f>
        <v>UA65AU7700KXXT</v>
      </c>
      <c r="G2705" s="605"/>
      <c r="H2705" s="605"/>
      <c r="I2705" s="605"/>
      <c r="J2705" s="606"/>
      <c r="K2705" s="605"/>
      <c r="L2705" s="605"/>
      <c r="M2705" s="605"/>
      <c r="N2705" s="605"/>
      <c r="O2705" s="605"/>
      <c r="P2705" s="605" t="s">
        <v>2974</v>
      </c>
    </row>
    <row r="2706">
      <c r="A2706" s="605"/>
      <c r="B2706" s="605"/>
      <c r="C2706" s="605"/>
      <c r="D2706" s="605"/>
      <c r="E2706" s="605" t="str">
        <f>IFERROR(__xludf.DUMMYFUNCTION("""COMPUTED_VALUE"""),"SAMSUNG")</f>
        <v>SAMSUNG</v>
      </c>
      <c r="F2706" s="605" t="str">
        <f>IFERROR(__xludf.DUMMYFUNCTION("""COMPUTED_VALUE"""),"GALAXY TAB A9+")</f>
        <v>GALAXY TAB A9+</v>
      </c>
      <c r="G2706" s="605"/>
      <c r="H2706" s="605"/>
      <c r="I2706" s="605"/>
      <c r="J2706" s="606"/>
      <c r="K2706" s="605"/>
      <c r="L2706" s="605"/>
      <c r="M2706" s="605"/>
      <c r="N2706" s="605"/>
      <c r="O2706" s="605"/>
      <c r="P2706" s="605" t="s">
        <v>3950</v>
      </c>
    </row>
    <row r="2707">
      <c r="A2707" s="605"/>
      <c r="B2707" s="605"/>
      <c r="C2707" s="605"/>
      <c r="D2707" s="605"/>
      <c r="E2707" s="605" t="str">
        <f>IFERROR(__xludf.DUMMYFUNCTION("""COMPUTED_VALUE"""),"SAMSUNG")</f>
        <v>SAMSUNG</v>
      </c>
      <c r="F2707" s="605" t="str">
        <f>IFERROR(__xludf.DUMMYFUNCTION("""COMPUTED_VALUE"""),"PH55F-P")</f>
        <v>PH55F-P</v>
      </c>
      <c r="G2707" s="605"/>
      <c r="H2707" s="605"/>
      <c r="I2707" s="605"/>
      <c r="J2707" s="606"/>
      <c r="K2707" s="605"/>
      <c r="L2707" s="605"/>
      <c r="M2707" s="605"/>
      <c r="N2707" s="605"/>
      <c r="O2707" s="605"/>
      <c r="P2707" s="605" t="s">
        <v>3953</v>
      </c>
    </row>
    <row r="2708">
      <c r="A2708" s="605"/>
      <c r="B2708" s="605"/>
      <c r="C2708" s="605"/>
      <c r="D2708" s="605"/>
      <c r="E2708" s="605" t="str">
        <f>IFERROR(__xludf.DUMMYFUNCTION("""COMPUTED_VALUE"""),"SAMSUNG")</f>
        <v>SAMSUNG</v>
      </c>
      <c r="F2708" s="605" t="str">
        <f>IFERROR(__xludf.DUMMYFUNCTION("""COMPUTED_VALUE"""),"360 CASSETTE")</f>
        <v>360 CASSETTE</v>
      </c>
      <c r="G2708" s="605"/>
      <c r="H2708" s="605"/>
      <c r="I2708" s="605"/>
      <c r="J2708" s="606"/>
      <c r="K2708" s="605"/>
      <c r="L2708" s="605"/>
      <c r="M2708" s="605"/>
      <c r="N2708" s="605"/>
      <c r="O2708" s="605"/>
      <c r="P2708" s="605" t="s">
        <v>3956</v>
      </c>
    </row>
    <row r="2709">
      <c r="A2709" s="605"/>
      <c r="B2709" s="605"/>
      <c r="C2709" s="605"/>
      <c r="D2709" s="605"/>
      <c r="E2709" s="605" t="str">
        <f>IFERROR(__xludf.DUMMYFUNCTION("""COMPUTED_VALUE"""),"SAMSUNG")</f>
        <v>SAMSUNG</v>
      </c>
      <c r="F2709" s="605" t="str">
        <f>IFERROR(__xludf.DUMMYFUNCTION("""COMPUTED_VALUE"""),"AM***CXV** SERIES AC")</f>
        <v>AM***CXV** SERIES AC</v>
      </c>
      <c r="G2709" s="605"/>
      <c r="H2709" s="605"/>
      <c r="I2709" s="605"/>
      <c r="J2709" s="606"/>
      <c r="K2709" s="605"/>
      <c r="L2709" s="605"/>
      <c r="M2709" s="605"/>
      <c r="N2709" s="605"/>
      <c r="O2709" s="605"/>
      <c r="P2709" s="605" t="s">
        <v>3959</v>
      </c>
    </row>
    <row r="2710">
      <c r="A2710" s="605"/>
      <c r="B2710" s="605"/>
      <c r="C2710" s="605"/>
      <c r="D2710" s="605"/>
      <c r="E2710" s="605" t="str">
        <f>IFERROR(__xludf.DUMMYFUNCTION("""COMPUTED_VALUE"""),"SAMSUNG")</f>
        <v>SAMSUNG</v>
      </c>
      <c r="F2710" s="605" t="str">
        <f>IFERROR(__xludf.DUMMYFUNCTION("""COMPUTED_VALUE"""),"MIM-B19N MODBUS GW")</f>
        <v>MIM-B19N MODBUS GW</v>
      </c>
      <c r="G2710" s="605"/>
      <c r="H2710" s="605"/>
      <c r="I2710" s="605"/>
      <c r="J2710" s="606"/>
      <c r="K2710" s="605"/>
      <c r="L2710" s="605"/>
      <c r="M2710" s="605"/>
      <c r="N2710" s="605"/>
      <c r="O2710" s="605"/>
      <c r="P2710" s="605" t="s">
        <v>3962</v>
      </c>
    </row>
    <row r="2711">
      <c r="A2711" s="605"/>
      <c r="B2711" s="605"/>
      <c r="C2711" s="605"/>
      <c r="D2711" s="605"/>
      <c r="E2711" s="605" t="str">
        <f>IFERROR(__xludf.DUMMYFUNCTION("""COMPUTED_VALUE"""),"SAMSUNG")</f>
        <v>SAMSUNG</v>
      </c>
      <c r="F2711" s="605" t="str">
        <f>IFERROR(__xludf.DUMMYFUNCTION("""COMPUTED_VALUE"""),"DVM S2 OUTDOOR")</f>
        <v>DVM S2 OUTDOOR</v>
      </c>
      <c r="G2711" s="605"/>
      <c r="H2711" s="605"/>
      <c r="I2711" s="605"/>
      <c r="J2711" s="606"/>
      <c r="K2711" s="605"/>
      <c r="L2711" s="605"/>
      <c r="M2711" s="605"/>
      <c r="N2711" s="605"/>
      <c r="O2711" s="605"/>
      <c r="P2711" s="605" t="s">
        <v>3965</v>
      </c>
    </row>
    <row r="2712">
      <c r="A2712" s="605"/>
      <c r="B2712" s="605"/>
      <c r="C2712" s="605"/>
      <c r="D2712" s="605"/>
      <c r="E2712" s="605" t="str">
        <f>IFERROR(__xludf.DUMMYFUNCTION("""COMPUTED_VALUE"""),"SAMSUNG")</f>
        <v>SAMSUNG</v>
      </c>
      <c r="F2712" s="605" t="str">
        <f>IFERROR(__xludf.DUMMYFUNCTION("""COMPUTED_VALUE"""),"MSP DUCT AC UNIT")</f>
        <v>MSP DUCT AC UNIT</v>
      </c>
      <c r="G2712" s="605"/>
      <c r="H2712" s="605"/>
      <c r="I2712" s="605"/>
      <c r="J2712" s="606"/>
      <c r="K2712" s="605"/>
      <c r="L2712" s="605"/>
      <c r="M2712" s="605"/>
      <c r="N2712" s="605"/>
      <c r="O2712" s="605"/>
      <c r="P2712" s="605" t="s">
        <v>3968</v>
      </c>
    </row>
    <row r="2713">
      <c r="A2713" s="605"/>
      <c r="B2713" s="605"/>
      <c r="C2713" s="605"/>
      <c r="D2713" s="605"/>
      <c r="E2713" s="605" t="str">
        <f>IFERROR(__xludf.DUMMYFUNCTION("""COMPUTED_VALUE"""),"SAMSUNG")</f>
        <v>SAMSUNG</v>
      </c>
      <c r="F2713" s="605" t="str">
        <f>IFERROR(__xludf.DUMMYFUNCTION("""COMPUTED_VALUE"""),"1-WAY CASSETTE AC")</f>
        <v>1-WAY CASSETTE AC</v>
      </c>
      <c r="G2713" s="605"/>
      <c r="H2713" s="605"/>
      <c r="I2713" s="605"/>
      <c r="J2713" s="606"/>
      <c r="K2713" s="605"/>
      <c r="L2713" s="605"/>
      <c r="M2713" s="605"/>
      <c r="N2713" s="605"/>
      <c r="O2713" s="605"/>
      <c r="P2713" s="605" t="s">
        <v>3971</v>
      </c>
    </row>
    <row r="2714">
      <c r="A2714" s="605"/>
      <c r="B2714" s="605"/>
      <c r="C2714" s="605"/>
      <c r="D2714" s="605"/>
      <c r="E2714" s="605" t="str">
        <f>IFERROR(__xludf.DUMMYFUNCTION("""COMPUTED_VALUE"""),"SAMSUNG")</f>
        <v>SAMSUNG</v>
      </c>
      <c r="F2714" s="605" t="str">
        <f>IFERROR(__xludf.DUMMYFUNCTION("""COMPUTED_VALUE"""),"AC UNIT AM-NN1DKH")</f>
        <v>AC UNIT AM-NN1DKH</v>
      </c>
      <c r="G2714" s="605"/>
      <c r="H2714" s="605"/>
      <c r="I2714" s="605"/>
      <c r="J2714" s="606"/>
      <c r="K2714" s="605"/>
      <c r="L2714" s="605"/>
      <c r="M2714" s="605"/>
      <c r="N2714" s="605"/>
      <c r="O2714" s="605"/>
      <c r="P2714" s="605" t="s">
        <v>3974</v>
      </c>
    </row>
    <row r="2715">
      <c r="A2715" s="605"/>
      <c r="B2715" s="605"/>
      <c r="C2715" s="605"/>
      <c r="D2715" s="605"/>
      <c r="E2715" s="605" t="str">
        <f>IFERROR(__xludf.DUMMYFUNCTION("""COMPUTED_VALUE"""),"SAMSUNG")</f>
        <v>SAMSUNG</v>
      </c>
      <c r="F2715" s="605" t="str">
        <f>IFERROR(__xludf.DUMMYFUNCTION("""COMPUTED_VALUE"""),"DUCT S DVM FCU")</f>
        <v>DUCT S DVM FCU</v>
      </c>
      <c r="G2715" s="605"/>
      <c r="H2715" s="605"/>
      <c r="I2715" s="605"/>
      <c r="J2715" s="606"/>
      <c r="K2715" s="605"/>
      <c r="L2715" s="605"/>
      <c r="M2715" s="605"/>
      <c r="N2715" s="605"/>
      <c r="O2715" s="605"/>
      <c r="P2715" s="605" t="s">
        <v>3977</v>
      </c>
    </row>
    <row r="2716">
      <c r="A2716" s="605"/>
      <c r="B2716" s="605"/>
      <c r="C2716" s="605"/>
      <c r="D2716" s="605"/>
      <c r="E2716" s="605" t="str">
        <f>IFERROR(__xludf.DUMMYFUNCTION("""COMPUTED_VALUE"""),"SAMSUNG")</f>
        <v>SAMSUNG</v>
      </c>
      <c r="F2716" s="605" t="str">
        <f>IFERROR(__xludf.DUMMYFUNCTION("""COMPUTED_VALUE"""),"WIRED REMOTE CNTRLR")</f>
        <v>WIRED REMOTE CNTRLR</v>
      </c>
      <c r="G2716" s="605"/>
      <c r="H2716" s="605"/>
      <c r="I2716" s="605"/>
      <c r="J2716" s="606"/>
      <c r="K2716" s="605"/>
      <c r="L2716" s="605"/>
      <c r="M2716" s="605"/>
      <c r="N2716" s="605"/>
      <c r="O2716" s="605"/>
      <c r="P2716" s="605" t="s">
        <v>2977</v>
      </c>
    </row>
    <row r="2717">
      <c r="A2717" s="605"/>
      <c r="B2717" s="605"/>
      <c r="C2717" s="605"/>
      <c r="D2717" s="605"/>
      <c r="E2717" s="605" t="str">
        <f>IFERROR(__xludf.DUMMYFUNCTION("""COMPUTED_VALUE"""),"SAMSUNG")</f>
        <v>SAMSUNG</v>
      </c>
      <c r="F2717" s="605" t="str">
        <f>IFERROR(__xludf.DUMMYFUNCTION("""COMPUTED_VALUE"""),"2-WAY CASSETTE AC")</f>
        <v>2-WAY CASSETTE AC</v>
      </c>
      <c r="G2717" s="605"/>
      <c r="H2717" s="605"/>
      <c r="I2717" s="605"/>
      <c r="J2717" s="606"/>
      <c r="K2717" s="605"/>
      <c r="L2717" s="605"/>
      <c r="M2717" s="605"/>
      <c r="N2717" s="605"/>
      <c r="O2717" s="605"/>
      <c r="P2717" s="605" t="s">
        <v>3980</v>
      </c>
    </row>
    <row r="2718">
      <c r="A2718" s="605"/>
      <c r="B2718" s="605"/>
      <c r="C2718" s="605"/>
      <c r="D2718" s="605"/>
      <c r="E2718" s="605" t="str">
        <f>IFERROR(__xludf.DUMMYFUNCTION("""COMPUTED_VALUE"""),"SAMSUNG")</f>
        <v>SAMSUNG</v>
      </c>
      <c r="F2718" s="605" t="str">
        <f>IFERROR(__xludf.DUMMYFUNCTION("""COMPUTED_VALUE"""),"HSP DUCT")</f>
        <v>HSP DUCT</v>
      </c>
      <c r="G2718" s="605"/>
      <c r="H2718" s="605"/>
      <c r="I2718" s="605"/>
      <c r="J2718" s="606"/>
      <c r="K2718" s="605"/>
      <c r="L2718" s="605"/>
      <c r="M2718" s="605"/>
      <c r="N2718" s="605"/>
      <c r="O2718" s="605"/>
      <c r="P2718" s="605" t="s">
        <v>3983</v>
      </c>
    </row>
    <row r="2719">
      <c r="A2719" s="605"/>
      <c r="B2719" s="605"/>
      <c r="C2719" s="605"/>
      <c r="D2719" s="605"/>
      <c r="E2719" s="605" t="str">
        <f>IFERROR(__xludf.DUMMYFUNCTION("""COMPUTED_VALUE"""),"SAMSUNG")</f>
        <v>SAMSUNG</v>
      </c>
      <c r="F2719" s="605" t="str">
        <f>IFERROR(__xludf.DUMMYFUNCTION("""COMPUTED_VALUE"""),"FRESH AIR DUCT AC")</f>
        <v>FRESH AIR DUCT AC</v>
      </c>
      <c r="G2719" s="605"/>
      <c r="H2719" s="605"/>
      <c r="I2719" s="605"/>
      <c r="J2719" s="606"/>
      <c r="K2719" s="605"/>
      <c r="L2719" s="605"/>
      <c r="M2719" s="605"/>
      <c r="N2719" s="605"/>
      <c r="O2719" s="605"/>
      <c r="P2719" s="605" t="s">
        <v>3986</v>
      </c>
    </row>
    <row r="2720">
      <c r="A2720" s="605"/>
      <c r="B2720" s="605"/>
      <c r="C2720" s="605"/>
      <c r="D2720" s="605"/>
      <c r="E2720" s="605" t="str">
        <f>IFERROR(__xludf.DUMMYFUNCTION("""COMPUTED_VALUE"""),"SAMSUNG")</f>
        <v>SAMSUNG</v>
      </c>
      <c r="F2720" s="605" t="str">
        <f>IFERROR(__xludf.DUMMYFUNCTION("""COMPUTED_VALUE"""),"SIMPLE TOUCH CNTRLR")</f>
        <v>SIMPLE TOUCH CNTRLR</v>
      </c>
      <c r="G2720" s="605"/>
      <c r="H2720" s="605"/>
      <c r="I2720" s="605"/>
      <c r="J2720" s="606"/>
      <c r="K2720" s="605"/>
      <c r="L2720" s="605"/>
      <c r="M2720" s="605"/>
      <c r="N2720" s="605"/>
      <c r="O2720" s="605"/>
      <c r="P2720" s="605" t="s">
        <v>3989</v>
      </c>
    </row>
    <row r="2721">
      <c r="A2721" s="605"/>
      <c r="B2721" s="605"/>
      <c r="C2721" s="605"/>
      <c r="D2721" s="605"/>
      <c r="E2721" s="605" t="str">
        <f>IFERROR(__xludf.DUMMYFUNCTION("""COMPUTED_VALUE"""),"SAMSUNG")</f>
        <v>SAMSUNG</v>
      </c>
      <c r="F2721" s="605" t="str">
        <f>IFERROR(__xludf.DUMMYFUNCTION("""COMPUTED_VALUE"""),"DVM S (XVGHH, XVAHH)")</f>
        <v>DVM S (XVGHH, XVAHH)</v>
      </c>
      <c r="G2721" s="605"/>
      <c r="H2721" s="605"/>
      <c r="I2721" s="605"/>
      <c r="J2721" s="606"/>
      <c r="K2721" s="605"/>
      <c r="L2721" s="605"/>
      <c r="M2721" s="605"/>
      <c r="N2721" s="605"/>
      <c r="O2721" s="605"/>
      <c r="P2721" s="605" t="s">
        <v>3992</v>
      </c>
    </row>
    <row r="2722">
      <c r="A2722" s="605"/>
      <c r="B2722" s="605"/>
      <c r="C2722" s="605"/>
      <c r="D2722" s="605"/>
      <c r="E2722" s="605" t="str">
        <f>IFERROR(__xludf.DUMMYFUNCTION("""COMPUTED_VALUE"""),"SAMSUNG")</f>
        <v>SAMSUNG</v>
      </c>
      <c r="F2722" s="605" t="str">
        <f>IFERROR(__xludf.DUMMYFUNCTION("""COMPUTED_VALUE"""),"DVM S ECO")</f>
        <v>DVM S ECO</v>
      </c>
      <c r="G2722" s="605"/>
      <c r="H2722" s="605"/>
      <c r="I2722" s="605"/>
      <c r="J2722" s="606"/>
      <c r="K2722" s="605"/>
      <c r="L2722" s="605"/>
      <c r="M2722" s="605"/>
      <c r="N2722" s="605"/>
      <c r="O2722" s="605"/>
      <c r="P2722" s="605" t="s">
        <v>3995</v>
      </c>
    </row>
    <row r="2723">
      <c r="A2723" s="605"/>
      <c r="B2723" s="605"/>
      <c r="C2723" s="605"/>
      <c r="D2723" s="605"/>
      <c r="E2723" s="605" t="str">
        <f>IFERROR(__xludf.DUMMYFUNCTION("""COMPUTED_VALUE"""),"SAMSUNG")</f>
        <v>SAMSUNG</v>
      </c>
      <c r="F2723" s="605" t="str">
        <f>IFERROR(__xludf.DUMMYFUNCTION("""COMPUTED_VALUE"""),"DVM S ECO HEAT PUMP")</f>
        <v>DVM S ECO HEAT PUMP</v>
      </c>
      <c r="G2723" s="605"/>
      <c r="H2723" s="605"/>
      <c r="I2723" s="605"/>
      <c r="J2723" s="606"/>
      <c r="K2723" s="605"/>
      <c r="L2723" s="605"/>
      <c r="M2723" s="605"/>
      <c r="N2723" s="605"/>
      <c r="O2723" s="605"/>
      <c r="P2723" s="605" t="s">
        <v>3998</v>
      </c>
    </row>
    <row r="2724">
      <c r="A2724" s="605"/>
      <c r="B2724" s="605"/>
      <c r="C2724" s="605"/>
      <c r="D2724" s="605"/>
      <c r="E2724" s="605" t="str">
        <f>IFERROR(__xludf.DUMMYFUNCTION("""COMPUTED_VALUE"""),"SAMSUNG")</f>
        <v>SAMSUNG</v>
      </c>
      <c r="F2724" s="605" t="str">
        <f>IFERROR(__xludf.DUMMYFUNCTION("""COMPUTED_VALUE"""),"CLASS 9 SERIES")</f>
        <v>CLASS 9 SERIES</v>
      </c>
      <c r="G2724" s="605"/>
      <c r="H2724" s="605"/>
      <c r="I2724" s="605"/>
      <c r="J2724" s="606"/>
      <c r="K2724" s="605"/>
      <c r="L2724" s="605"/>
      <c r="M2724" s="605"/>
      <c r="N2724" s="605"/>
      <c r="O2724" s="605"/>
      <c r="P2724" s="605" t="s">
        <v>4001</v>
      </c>
    </row>
    <row r="2725">
      <c r="A2725" s="605"/>
      <c r="B2725" s="605"/>
      <c r="C2725" s="605"/>
      <c r="D2725" s="605"/>
      <c r="E2725" s="605" t="str">
        <f>IFERROR(__xludf.DUMMYFUNCTION("""COMPUTED_VALUE"""),"SAN TELEQUIP")</f>
        <v>SAN TELEQUIP</v>
      </c>
      <c r="F2725" s="605" t="str">
        <f>IFERROR(__xludf.DUMMYFUNCTION("""COMPUTED_VALUE"""),"GW BMS04-D")</f>
        <v>GW BMS04-D</v>
      </c>
      <c r="G2725" s="605"/>
      <c r="H2725" s="605"/>
      <c r="I2725" s="605"/>
      <c r="J2725" s="606"/>
      <c r="K2725" s="605"/>
      <c r="L2725" s="605"/>
      <c r="M2725" s="605"/>
      <c r="N2725" s="605"/>
      <c r="O2725" s="605"/>
      <c r="P2725" s="605" t="s">
        <v>4004</v>
      </c>
    </row>
    <row r="2726">
      <c r="A2726" s="605"/>
      <c r="B2726" s="605"/>
      <c r="C2726" s="605"/>
      <c r="D2726" s="605"/>
      <c r="E2726" s="605" t="str">
        <f>IFERROR(__xludf.DUMMYFUNCTION("""COMPUTED_VALUE"""),"SAN TELEQUIP PVT. LTD")</f>
        <v>SAN TELEQUIP PVT. LTD</v>
      </c>
      <c r="F2726" s="605" t="str">
        <f>IFERROR(__xludf.DUMMYFUNCTION("""COMPUTED_VALUE"""),"GW BMS")</f>
        <v>GW BMS</v>
      </c>
      <c r="G2726" s="605"/>
      <c r="H2726" s="605"/>
      <c r="I2726" s="605"/>
      <c r="J2726" s="606"/>
      <c r="K2726" s="605"/>
      <c r="L2726" s="605"/>
      <c r="M2726" s="605"/>
      <c r="N2726" s="605"/>
      <c r="O2726" s="605"/>
      <c r="P2726" s="605" t="s">
        <v>4007</v>
      </c>
    </row>
    <row r="2727">
      <c r="A2727" s="605"/>
      <c r="B2727" s="605"/>
      <c r="C2727" s="605"/>
      <c r="D2727" s="605"/>
      <c r="E2727" s="605" t="str">
        <f>IFERROR(__xludf.DUMMYFUNCTION("""COMPUTED_VALUE"""),"SATEC")</f>
        <v>SATEC</v>
      </c>
      <c r="F2727" s="605" t="str">
        <f>IFERROR(__xludf.DUMMYFUNCTION("""COMPUTED_VALUE"""),"BFM136")</f>
        <v>BFM136</v>
      </c>
      <c r="G2727" s="605"/>
      <c r="H2727" s="605"/>
      <c r="I2727" s="605"/>
      <c r="J2727" s="606"/>
      <c r="K2727" s="605"/>
      <c r="L2727" s="605"/>
      <c r="M2727" s="605"/>
      <c r="N2727" s="605"/>
      <c r="O2727" s="605"/>
      <c r="P2727" s="605" t="s">
        <v>2980</v>
      </c>
    </row>
    <row r="2728">
      <c r="A2728" s="605"/>
      <c r="B2728" s="605"/>
      <c r="C2728" s="605"/>
      <c r="D2728" s="605"/>
      <c r="E2728" s="605" t="str">
        <f>IFERROR(__xludf.DUMMYFUNCTION("""COMPUTED_VALUE"""),"SATO")</f>
        <v>SATO</v>
      </c>
      <c r="F2728" s="605" t="str">
        <f>IFERROR(__xludf.DUMMYFUNCTION("""COMPUTED_VALUE""")," FX3-LX")</f>
        <v> FX3-LX</v>
      </c>
      <c r="G2728" s="605"/>
      <c r="H2728" s="605"/>
      <c r="I2728" s="605"/>
      <c r="J2728" s="606"/>
      <c r="K2728" s="605"/>
      <c r="L2728" s="605"/>
      <c r="M2728" s="605"/>
      <c r="N2728" s="605"/>
      <c r="O2728" s="605"/>
      <c r="P2728" s="605" t="s">
        <v>4010</v>
      </c>
    </row>
    <row r="2729">
      <c r="A2729" s="605"/>
      <c r="B2729" s="605"/>
      <c r="C2729" s="605"/>
      <c r="D2729" s="605"/>
      <c r="E2729" s="605" t="str">
        <f>IFERROR(__xludf.DUMMYFUNCTION("""COMPUTED_VALUE"""),"SAUNTER")</f>
        <v>SAUNTER</v>
      </c>
      <c r="F2729" s="605" t="str">
        <f>IFERROR(__xludf.DUMMYFUNCTION("""COMPUTED_VALUE"""),"EY-AS525F001")</f>
        <v>EY-AS525F001</v>
      </c>
      <c r="G2729" s="605"/>
      <c r="H2729" s="605"/>
      <c r="I2729" s="605"/>
      <c r="J2729" s="606"/>
      <c r="K2729" s="605"/>
      <c r="L2729" s="605"/>
      <c r="M2729" s="605"/>
      <c r="N2729" s="605"/>
      <c r="O2729" s="605"/>
      <c r="P2729" s="605" t="s">
        <v>4013</v>
      </c>
    </row>
    <row r="2730">
      <c r="A2730" s="605"/>
      <c r="B2730" s="605"/>
      <c r="C2730" s="605"/>
      <c r="D2730" s="605"/>
      <c r="E2730" s="605" t="str">
        <f>IFERROR(__xludf.DUMMYFUNCTION("""COMPUTED_VALUE"""),"SAUNTER")</f>
        <v>SAUNTER</v>
      </c>
      <c r="F2730" s="605" t="str">
        <f>IFERROR(__xludf.DUMMYFUNCTION("""COMPUTED_VALUE"""),"EY-RC504FXXX")</f>
        <v>EY-RC504FXXX</v>
      </c>
      <c r="G2730" s="605"/>
      <c r="H2730" s="605"/>
      <c r="I2730" s="605"/>
      <c r="J2730" s="606"/>
      <c r="K2730" s="605"/>
      <c r="L2730" s="605"/>
      <c r="M2730" s="605"/>
      <c r="N2730" s="605"/>
      <c r="O2730" s="605"/>
      <c r="P2730" s="605" t="s">
        <v>4016</v>
      </c>
    </row>
    <row r="2731">
      <c r="A2731" s="605"/>
      <c r="B2731" s="605"/>
      <c r="C2731" s="605"/>
      <c r="D2731" s="605"/>
      <c r="E2731" s="605" t="str">
        <f>IFERROR(__xludf.DUMMYFUNCTION("""COMPUTED_VALUE"""),"SAUTER")</f>
        <v>SAUTER</v>
      </c>
      <c r="F2731" s="605" t="str">
        <f>IFERROR(__xludf.DUMMYFUNCTION("""COMPUTED_VALUE"""),"EY-AS-525")</f>
        <v>EY-AS-525</v>
      </c>
      <c r="G2731" s="605"/>
      <c r="H2731" s="605"/>
      <c r="I2731" s="605"/>
      <c r="J2731" s="606"/>
      <c r="K2731" s="605"/>
      <c r="L2731" s="605"/>
      <c r="M2731" s="605"/>
      <c r="N2731" s="605"/>
      <c r="O2731" s="605"/>
      <c r="P2731" s="605" t="s">
        <v>4019</v>
      </c>
    </row>
    <row r="2732">
      <c r="A2732" s="605"/>
      <c r="B2732" s="605"/>
      <c r="C2732" s="605"/>
      <c r="D2732" s="605"/>
      <c r="E2732" s="605" t="str">
        <f>IFERROR(__xludf.DUMMYFUNCTION("""COMPUTED_VALUE"""),"SAUTER")</f>
        <v>SAUTER</v>
      </c>
      <c r="F2732" s="605" t="str">
        <f>IFERROR(__xludf.DUMMYFUNCTION("""COMPUTED_VALUE"""),"EY-AS524F001")</f>
        <v>EY-AS524F001</v>
      </c>
      <c r="G2732" s="605"/>
      <c r="H2732" s="605"/>
      <c r="I2732" s="605"/>
      <c r="J2732" s="606"/>
      <c r="K2732" s="605"/>
      <c r="L2732" s="605"/>
      <c r="M2732" s="605"/>
      <c r="N2732" s="605"/>
      <c r="O2732" s="605"/>
      <c r="P2732" s="605" t="s">
        <v>4022</v>
      </c>
    </row>
    <row r="2733">
      <c r="A2733" s="605"/>
      <c r="B2733" s="605"/>
      <c r="C2733" s="605"/>
      <c r="D2733" s="605"/>
      <c r="E2733" s="605" t="str">
        <f>IFERROR(__xludf.DUMMYFUNCTION("""COMPUTED_VALUE"""),"SAUTER")</f>
        <v>SAUTER</v>
      </c>
      <c r="F2733" s="605" t="str">
        <f>IFERROR(__xludf.DUMMYFUNCTION("""COMPUTED_VALUE"""),"EY-GT103F001")</f>
        <v>EY-GT103F001</v>
      </c>
      <c r="G2733" s="605"/>
      <c r="H2733" s="605"/>
      <c r="I2733" s="605"/>
      <c r="J2733" s="606"/>
      <c r="K2733" s="605"/>
      <c r="L2733" s="605"/>
      <c r="M2733" s="605"/>
      <c r="N2733" s="605"/>
      <c r="O2733" s="605"/>
      <c r="P2733" s="605" t="s">
        <v>4025</v>
      </c>
    </row>
    <row r="2734">
      <c r="A2734" s="605"/>
      <c r="B2734" s="605"/>
      <c r="C2734" s="605"/>
      <c r="D2734" s="605"/>
      <c r="E2734" s="605" t="str">
        <f>IFERROR(__xludf.DUMMYFUNCTION("""COMPUTED_VALUE"""),"SAUTER")</f>
        <v>SAUTER</v>
      </c>
      <c r="F2734" s="605" t="str">
        <f>IFERROR(__xludf.DUMMYFUNCTION("""COMPUTED_VALUE"""),"EY-RC500F001")</f>
        <v>EY-RC500F001</v>
      </c>
      <c r="G2734" s="605"/>
      <c r="H2734" s="605"/>
      <c r="I2734" s="605"/>
      <c r="J2734" s="606"/>
      <c r="K2734" s="605"/>
      <c r="L2734" s="605"/>
      <c r="M2734" s="605"/>
      <c r="N2734" s="605"/>
      <c r="O2734" s="605"/>
      <c r="P2734" s="605" t="s">
        <v>4028</v>
      </c>
    </row>
    <row r="2735">
      <c r="A2735" s="605"/>
      <c r="B2735" s="605"/>
      <c r="C2735" s="605"/>
      <c r="D2735" s="605"/>
      <c r="E2735" s="605" t="str">
        <f>IFERROR(__xludf.DUMMYFUNCTION("""COMPUTED_VALUE"""),"SAUTER")</f>
        <v>SAUTER</v>
      </c>
      <c r="F2735" s="605" t="str">
        <f>IFERROR(__xludf.DUMMYFUNCTION("""COMPUTED_VALUE"""),"EY-RC504F001")</f>
        <v>EY-RC504F001</v>
      </c>
      <c r="G2735" s="605"/>
      <c r="H2735" s="605"/>
      <c r="I2735" s="605"/>
      <c r="J2735" s="606"/>
      <c r="K2735" s="605"/>
      <c r="L2735" s="605"/>
      <c r="M2735" s="605"/>
      <c r="N2735" s="605"/>
      <c r="O2735" s="605"/>
      <c r="P2735" s="605" t="s">
        <v>4031</v>
      </c>
    </row>
    <row r="2736">
      <c r="A2736" s="605"/>
      <c r="B2736" s="605"/>
      <c r="C2736" s="605"/>
      <c r="D2736" s="605"/>
      <c r="E2736" s="605" t="str">
        <f>IFERROR(__xludf.DUMMYFUNCTION("""COMPUTED_VALUE"""),"SAUTER")</f>
        <v>SAUTER</v>
      </c>
      <c r="F2736" s="605" t="str">
        <f>IFERROR(__xludf.DUMMYFUNCTION("""COMPUTED_VALUE"""),"EY-AS-525")</f>
        <v>EY-AS-525</v>
      </c>
      <c r="G2736" s="605"/>
      <c r="H2736" s="605"/>
      <c r="I2736" s="605"/>
      <c r="J2736" s="606"/>
      <c r="K2736" s="605"/>
      <c r="L2736" s="605"/>
      <c r="M2736" s="605"/>
      <c r="N2736" s="605"/>
      <c r="O2736" s="605"/>
      <c r="P2736" s="605" t="s">
        <v>4034</v>
      </c>
    </row>
    <row r="2737">
      <c r="A2737" s="605"/>
      <c r="B2737" s="605"/>
      <c r="C2737" s="605"/>
      <c r="D2737" s="605"/>
      <c r="E2737" s="605" t="str">
        <f>IFERROR(__xludf.DUMMYFUNCTION("""COMPUTED_VALUE"""),"SAUTER")</f>
        <v>SAUTER</v>
      </c>
      <c r="F2737" s="605" t="str">
        <f>IFERROR(__xludf.DUMMYFUNCTION("""COMPUTED_VALUE"""),"EY-GTW103S")</f>
        <v>EY-GTW103S</v>
      </c>
      <c r="G2737" s="605"/>
      <c r="H2737" s="605"/>
      <c r="I2737" s="605"/>
      <c r="J2737" s="606"/>
      <c r="K2737" s="605"/>
      <c r="L2737" s="605"/>
      <c r="M2737" s="605"/>
      <c r="N2737" s="605"/>
      <c r="O2737" s="605"/>
      <c r="P2737" s="605" t="s">
        <v>4037</v>
      </c>
    </row>
    <row r="2738">
      <c r="A2738" s="605"/>
      <c r="B2738" s="605"/>
      <c r="C2738" s="605"/>
      <c r="D2738" s="605"/>
      <c r="E2738" s="605" t="str">
        <f>IFERROR(__xludf.DUMMYFUNCTION("""COMPUTED_VALUE"""),"SAUTER")</f>
        <v>SAUTER</v>
      </c>
      <c r="F2738" s="605" t="str">
        <f>IFERROR(__xludf.DUMMYFUNCTION("""COMPUTED_VALUE"""),"EY-RC505FXXX")</f>
        <v>EY-RC505FXXX</v>
      </c>
      <c r="G2738" s="605"/>
      <c r="H2738" s="605"/>
      <c r="I2738" s="605"/>
      <c r="J2738" s="606"/>
      <c r="K2738" s="605"/>
      <c r="L2738" s="605"/>
      <c r="M2738" s="605"/>
      <c r="N2738" s="605"/>
      <c r="O2738" s="605"/>
      <c r="P2738" s="605" t="s">
        <v>2876</v>
      </c>
    </row>
    <row r="2739">
      <c r="A2739" s="605"/>
      <c r="B2739" s="605"/>
      <c r="C2739" s="605"/>
      <c r="D2739" s="605"/>
      <c r="E2739" s="605" t="str">
        <f>IFERROR(__xludf.DUMMYFUNCTION("""COMPUTED_VALUE"""),"SAUTER")</f>
        <v>SAUTER</v>
      </c>
      <c r="F2739" s="605" t="str">
        <f>IFERROR(__xludf.DUMMYFUNCTION("""COMPUTED_VALUE"""),"ASV305BF7000W")</f>
        <v>ASV305BF7000W</v>
      </c>
      <c r="G2739" s="605"/>
      <c r="H2739" s="605"/>
      <c r="I2739" s="605"/>
      <c r="J2739" s="606"/>
      <c r="K2739" s="605"/>
      <c r="L2739" s="605"/>
      <c r="M2739" s="605"/>
      <c r="N2739" s="605"/>
      <c r="O2739" s="605"/>
      <c r="P2739" s="605" t="s">
        <v>2983</v>
      </c>
    </row>
    <row r="2740">
      <c r="A2740" s="605"/>
      <c r="B2740" s="605"/>
      <c r="C2740" s="605"/>
      <c r="D2740" s="605"/>
      <c r="E2740" s="605" t="str">
        <f>IFERROR(__xludf.DUMMYFUNCTION("""COMPUTED_VALUE"""),"SAUTER")</f>
        <v>SAUTER</v>
      </c>
      <c r="F2740" s="605" t="str">
        <f>IFERROR(__xludf.DUMMYFUNCTION("""COMPUTED_VALUE"""),"ASV305BF7XXXW")</f>
        <v>ASV305BF7XXXW</v>
      </c>
      <c r="G2740" s="605"/>
      <c r="H2740" s="605"/>
      <c r="I2740" s="605"/>
      <c r="J2740" s="606"/>
      <c r="K2740" s="605"/>
      <c r="L2740" s="605"/>
      <c r="M2740" s="605"/>
      <c r="N2740" s="605"/>
      <c r="O2740" s="605"/>
      <c r="P2740" s="605" t="s">
        <v>4040</v>
      </c>
    </row>
    <row r="2741">
      <c r="A2741" s="605"/>
      <c r="B2741" s="605"/>
      <c r="C2741" s="605"/>
      <c r="D2741" s="605"/>
      <c r="E2741" s="605" t="str">
        <f>IFERROR(__xludf.DUMMYFUNCTION("""COMPUTED_VALUE"""),"SAUTER")</f>
        <v>SAUTER</v>
      </c>
      <c r="F2741" s="605" t="str">
        <f>IFERROR(__xludf.DUMMYFUNCTION("""COMPUTED_VALUE"""),"EY-GT485")</f>
        <v>EY-GT485</v>
      </c>
      <c r="G2741" s="605"/>
      <c r="H2741" s="605"/>
      <c r="I2741" s="605"/>
      <c r="J2741" s="606"/>
      <c r="K2741" s="605"/>
      <c r="L2741" s="605"/>
      <c r="M2741" s="605"/>
      <c r="N2741" s="605"/>
      <c r="O2741" s="605"/>
      <c r="P2741" s="605" t="s">
        <v>4043</v>
      </c>
    </row>
    <row r="2742">
      <c r="A2742" s="605"/>
      <c r="B2742" s="605"/>
      <c r="C2742" s="605"/>
      <c r="D2742" s="605"/>
      <c r="E2742" s="605" t="str">
        <f>IFERROR(__xludf.DUMMYFUNCTION("""COMPUTED_VALUE"""),"SAVARIA")</f>
        <v>SAVARIA</v>
      </c>
      <c r="F2742" s="605" t="str">
        <f>IFERROR(__xludf.DUMMYFUNCTION("""COMPUTED_VALUE"""),"COMMANDER")</f>
        <v>COMMANDER</v>
      </c>
      <c r="G2742" s="605"/>
      <c r="H2742" s="605"/>
      <c r="I2742" s="605"/>
      <c r="J2742" s="606"/>
      <c r="K2742" s="605"/>
      <c r="L2742" s="605"/>
      <c r="M2742" s="605"/>
      <c r="N2742" s="605"/>
      <c r="O2742" s="605"/>
      <c r="P2742" s="605" t="s">
        <v>4046</v>
      </c>
    </row>
    <row r="2743">
      <c r="A2743" s="605"/>
      <c r="B2743" s="605"/>
      <c r="C2743" s="605"/>
      <c r="D2743" s="605"/>
      <c r="E2743" s="605" t="str">
        <f>IFERROR(__xludf.DUMMYFUNCTION("""COMPUTED_VALUE"""),"SCHAERER")</f>
        <v>SCHAERER</v>
      </c>
      <c r="F2743" s="605" t="str">
        <f>IFERROR(__xludf.DUMMYFUNCTION("""COMPUTED_VALUE"""),"COFFEE SOUL")</f>
        <v>COFFEE SOUL</v>
      </c>
      <c r="G2743" s="605"/>
      <c r="H2743" s="605"/>
      <c r="I2743" s="605"/>
      <c r="J2743" s="606"/>
      <c r="K2743" s="605"/>
      <c r="L2743" s="605"/>
      <c r="M2743" s="605"/>
      <c r="N2743" s="605"/>
      <c r="O2743" s="605"/>
      <c r="P2743" s="605" t="s">
        <v>4049</v>
      </c>
    </row>
    <row r="2744">
      <c r="A2744" s="605"/>
      <c r="B2744" s="605"/>
      <c r="C2744" s="605"/>
      <c r="D2744" s="605"/>
      <c r="E2744" s="605" t="str">
        <f>IFERROR(__xludf.DUMMYFUNCTION("""COMPUTED_VALUE"""),"SCHAERER")</f>
        <v>SCHAERER</v>
      </c>
      <c r="F2744" s="605" t="str">
        <f>IFERROR(__xludf.DUMMYFUNCTION("""COMPUTED_VALUE"""),"COFFEE CLUB")</f>
        <v>COFFEE CLUB</v>
      </c>
      <c r="G2744" s="605"/>
      <c r="H2744" s="605"/>
      <c r="I2744" s="605"/>
      <c r="J2744" s="606"/>
      <c r="K2744" s="605"/>
      <c r="L2744" s="605"/>
      <c r="M2744" s="605"/>
      <c r="N2744" s="605"/>
      <c r="O2744" s="605"/>
      <c r="P2744" s="605" t="s">
        <v>4051</v>
      </c>
    </row>
    <row r="2745">
      <c r="A2745" s="605"/>
      <c r="B2745" s="605"/>
      <c r="C2745" s="605"/>
      <c r="D2745" s="605"/>
      <c r="E2745" s="605" t="str">
        <f>IFERROR(__xludf.DUMMYFUNCTION("""COMPUTED_VALUE"""),"SCHAERER")</f>
        <v>SCHAERER</v>
      </c>
      <c r="F2745" s="605" t="str">
        <f>IFERROR(__xludf.DUMMYFUNCTION("""COMPUTED_VALUE"""),"COFFEE ART PLUS")</f>
        <v>COFFEE ART PLUS</v>
      </c>
      <c r="G2745" s="605"/>
      <c r="H2745" s="605"/>
      <c r="I2745" s="605"/>
      <c r="J2745" s="606"/>
      <c r="K2745" s="605"/>
      <c r="L2745" s="605"/>
      <c r="M2745" s="605"/>
      <c r="N2745" s="605"/>
      <c r="O2745" s="605"/>
      <c r="P2745" s="605" t="s">
        <v>4054</v>
      </c>
    </row>
    <row r="2746">
      <c r="A2746" s="605"/>
      <c r="B2746" s="605"/>
      <c r="C2746" s="605"/>
      <c r="D2746" s="605"/>
      <c r="E2746" s="605" t="str">
        <f>IFERROR(__xludf.DUMMYFUNCTION("""COMPUTED_VALUE"""),"SCHNEIDER")</f>
        <v>SCHNEIDER</v>
      </c>
      <c r="F2746" s="605" t="str">
        <f>IFERROR(__xludf.DUMMYFUNCTION("""COMPUTED_VALUE"""),"AS-B")</f>
        <v>AS-B</v>
      </c>
      <c r="G2746" s="605"/>
      <c r="H2746" s="605"/>
      <c r="I2746" s="605"/>
      <c r="J2746" s="606"/>
      <c r="K2746" s="605"/>
      <c r="L2746" s="605"/>
      <c r="M2746" s="605"/>
      <c r="N2746" s="605"/>
      <c r="O2746" s="605"/>
      <c r="P2746" s="605" t="s">
        <v>4057</v>
      </c>
    </row>
    <row r="2747">
      <c r="A2747" s="605"/>
      <c r="B2747" s="605"/>
      <c r="C2747" s="605"/>
      <c r="D2747" s="605"/>
      <c r="E2747" s="605" t="str">
        <f>IFERROR(__xludf.DUMMYFUNCTION("""COMPUTED_VALUE"""),"SCHNEIDER")</f>
        <v>SCHNEIDER</v>
      </c>
      <c r="F2747" s="605" t="str">
        <f>IFERROR(__xludf.DUMMYFUNCTION("""COMPUTED_VALUE"""),"AS-P")</f>
        <v>AS-P</v>
      </c>
      <c r="G2747" s="605"/>
      <c r="H2747" s="605"/>
      <c r="I2747" s="605"/>
      <c r="J2747" s="606"/>
      <c r="K2747" s="605"/>
      <c r="L2747" s="605"/>
      <c r="M2747" s="605"/>
      <c r="N2747" s="605"/>
      <c r="O2747" s="605"/>
      <c r="P2747" s="605" t="s">
        <v>4060</v>
      </c>
    </row>
    <row r="2748">
      <c r="A2748" s="605"/>
      <c r="B2748" s="605"/>
      <c r="C2748" s="605"/>
      <c r="D2748" s="605"/>
      <c r="E2748" s="605" t="str">
        <f>IFERROR(__xludf.DUMMYFUNCTION("""COMPUTED_VALUE"""),"SCHNEIDER")</f>
        <v>SCHNEIDER</v>
      </c>
      <c r="F2748" s="605" t="str">
        <f>IFERROR(__xludf.DUMMYFUNCTION("""COMPUTED_VALUE"""),"AUTOMATION SERVER")</f>
        <v>AUTOMATION SERVER</v>
      </c>
      <c r="G2748" s="605"/>
      <c r="H2748" s="605"/>
      <c r="I2748" s="605"/>
      <c r="J2748" s="606"/>
      <c r="K2748" s="605"/>
      <c r="L2748" s="605"/>
      <c r="M2748" s="605"/>
      <c r="N2748" s="605"/>
      <c r="O2748" s="605"/>
      <c r="P2748" s="605" t="s">
        <v>4063</v>
      </c>
    </row>
    <row r="2749">
      <c r="A2749" s="605"/>
      <c r="B2749" s="605"/>
      <c r="C2749" s="605"/>
      <c r="D2749" s="605"/>
      <c r="E2749" s="605" t="str">
        <f>IFERROR(__xludf.DUMMYFUNCTION("""COMPUTED_VALUE"""),"SCHNEIDER")</f>
        <v>SCHNEIDER</v>
      </c>
      <c r="F2749" s="605" t="str">
        <f>IFERROR(__xludf.DUMMYFUNCTION("""COMPUTED_VALUE"""),"BCX1 SERIES")</f>
        <v>BCX1 SERIES</v>
      </c>
      <c r="G2749" s="605"/>
      <c r="H2749" s="605"/>
      <c r="I2749" s="605"/>
      <c r="J2749" s="606"/>
      <c r="K2749" s="605"/>
      <c r="L2749" s="605"/>
      <c r="M2749" s="605"/>
      <c r="N2749" s="605"/>
      <c r="O2749" s="605"/>
      <c r="P2749" s="605" t="s">
        <v>4066</v>
      </c>
    </row>
    <row r="2750">
      <c r="A2750" s="605"/>
      <c r="B2750" s="605"/>
      <c r="C2750" s="605"/>
      <c r="D2750" s="605"/>
      <c r="E2750" s="605" t="str">
        <f>IFERROR(__xludf.DUMMYFUNCTION("""COMPUTED_VALUE"""),"SCHNEIDER")</f>
        <v>SCHNEIDER</v>
      </c>
      <c r="F2750" s="605" t="str">
        <f>IFERROR(__xludf.DUMMYFUNCTION("""COMPUTED_VALUE"""),"BCX1 SERIES")</f>
        <v>BCX1 SERIES</v>
      </c>
      <c r="G2750" s="605"/>
      <c r="H2750" s="605"/>
      <c r="I2750" s="605"/>
      <c r="J2750" s="606"/>
      <c r="K2750" s="605"/>
      <c r="L2750" s="605"/>
      <c r="M2750" s="605"/>
      <c r="N2750" s="605"/>
      <c r="O2750" s="605"/>
      <c r="P2750" s="605" t="s">
        <v>2985</v>
      </c>
    </row>
    <row r="2751">
      <c r="A2751" s="605"/>
      <c r="B2751" s="605"/>
      <c r="C2751" s="605"/>
      <c r="D2751" s="605"/>
      <c r="E2751" s="605" t="str">
        <f>IFERROR(__xludf.DUMMYFUNCTION("""COMPUTED_VALUE"""),"SCHNEIDER")</f>
        <v>SCHNEIDER</v>
      </c>
      <c r="F2751" s="605" t="str">
        <f>IFERROR(__xludf.DUMMYFUNCTION("""COMPUTED_VALUE"""),"BCX1 SERIES")</f>
        <v>BCX1 SERIES</v>
      </c>
      <c r="G2751" s="605"/>
      <c r="H2751" s="605"/>
      <c r="I2751" s="605"/>
      <c r="J2751" s="606"/>
      <c r="K2751" s="605"/>
      <c r="L2751" s="605"/>
      <c r="M2751" s="605"/>
      <c r="N2751" s="605"/>
      <c r="O2751" s="605"/>
      <c r="P2751" s="605" t="s">
        <v>4069</v>
      </c>
    </row>
    <row r="2752">
      <c r="A2752" s="605"/>
      <c r="B2752" s="605"/>
      <c r="C2752" s="605"/>
      <c r="D2752" s="605"/>
      <c r="E2752" s="605" t="str">
        <f>IFERROR(__xludf.DUMMYFUNCTION("""COMPUTED_VALUE"""),"SCHNEIDER")</f>
        <v>SCHNEIDER</v>
      </c>
      <c r="F2752" s="605" t="str">
        <f>IFERROR(__xludf.DUMMYFUNCTION("""COMPUTED_VALUE"""),"BCX1 SERIES")</f>
        <v>BCX1 SERIES</v>
      </c>
      <c r="G2752" s="605"/>
      <c r="H2752" s="605"/>
      <c r="I2752" s="605"/>
      <c r="J2752" s="606"/>
      <c r="K2752" s="605"/>
      <c r="L2752" s="605"/>
      <c r="M2752" s="605"/>
      <c r="N2752" s="605"/>
      <c r="O2752" s="605"/>
      <c r="P2752" s="605" t="s">
        <v>4072</v>
      </c>
    </row>
    <row r="2753">
      <c r="A2753" s="605"/>
      <c r="B2753" s="605"/>
      <c r="C2753" s="605"/>
      <c r="D2753" s="605"/>
      <c r="E2753" s="605" t="str">
        <f>IFERROR(__xludf.DUMMYFUNCTION("""COMPUTED_VALUE"""),"SCHNEIDER")</f>
        <v>SCHNEIDER</v>
      </c>
      <c r="F2753" s="605" t="str">
        <f>IFERROR(__xludf.DUMMYFUNCTION("""COMPUTED_VALUE"""),"EGX150")</f>
        <v>EGX150</v>
      </c>
      <c r="G2753" s="605"/>
      <c r="H2753" s="605"/>
      <c r="I2753" s="605"/>
      <c r="J2753" s="606"/>
      <c r="K2753" s="605"/>
      <c r="L2753" s="605"/>
      <c r="M2753" s="605"/>
      <c r="N2753" s="605"/>
      <c r="O2753" s="605"/>
      <c r="P2753" s="605" t="s">
        <v>4075</v>
      </c>
    </row>
    <row r="2754">
      <c r="A2754" s="605"/>
      <c r="B2754" s="605"/>
      <c r="C2754" s="605"/>
      <c r="D2754" s="605"/>
      <c r="E2754" s="605" t="str">
        <f>IFERROR(__xludf.DUMMYFUNCTION("""COMPUTED_VALUE"""),"SCHNEIDER")</f>
        <v>SCHNEIDER</v>
      </c>
      <c r="F2754" s="605" t="str">
        <f>IFERROR(__xludf.DUMMYFUNCTION("""COMPUTED_VALUE"""),"ENTERPRISE SERVER")</f>
        <v>ENTERPRISE SERVER</v>
      </c>
      <c r="G2754" s="605"/>
      <c r="H2754" s="605"/>
      <c r="I2754" s="605"/>
      <c r="J2754" s="606"/>
      <c r="K2754" s="605"/>
      <c r="L2754" s="605"/>
      <c r="M2754" s="605"/>
      <c r="N2754" s="605"/>
      <c r="O2754" s="605"/>
      <c r="P2754" s="605" t="s">
        <v>4078</v>
      </c>
    </row>
    <row r="2755">
      <c r="A2755" s="605"/>
      <c r="B2755" s="605"/>
      <c r="C2755" s="605"/>
      <c r="D2755" s="605"/>
      <c r="E2755" s="605" t="str">
        <f>IFERROR(__xludf.DUMMYFUNCTION("""COMPUTED_VALUE"""),"SCHNEIDER")</f>
        <v>SCHNEIDER</v>
      </c>
      <c r="F2755" s="605" t="str">
        <f>IFERROR(__xludf.DUMMYFUNCTION("""COMPUTED_VALUE"""),"G3HT20KHB2")</f>
        <v>G3HT20KHB2</v>
      </c>
      <c r="G2755" s="605"/>
      <c r="H2755" s="605"/>
      <c r="I2755" s="605"/>
      <c r="J2755" s="606"/>
      <c r="K2755" s="605"/>
      <c r="L2755" s="605"/>
      <c r="M2755" s="605"/>
      <c r="N2755" s="605"/>
      <c r="O2755" s="605"/>
      <c r="P2755" s="605" t="s">
        <v>4081</v>
      </c>
    </row>
    <row r="2756">
      <c r="A2756" s="605"/>
      <c r="B2756" s="605"/>
      <c r="C2756" s="605"/>
      <c r="D2756" s="605"/>
      <c r="E2756" s="605" t="str">
        <f>IFERROR(__xludf.DUMMYFUNCTION("""COMPUTED_VALUE"""),"SCHNEIDER")</f>
        <v>SCHNEIDER</v>
      </c>
      <c r="F2756" s="605" t="str">
        <f>IFERROR(__xludf.DUMMYFUNCTION("""COMPUTED_VALUE"""),"GALAXY 5000")</f>
        <v>GALAXY 5000</v>
      </c>
      <c r="G2756" s="605"/>
      <c r="H2756" s="605"/>
      <c r="I2756" s="605"/>
      <c r="J2756" s="606"/>
      <c r="K2756" s="605"/>
      <c r="L2756" s="605"/>
      <c r="M2756" s="605"/>
      <c r="N2756" s="605"/>
      <c r="O2756" s="605"/>
      <c r="P2756" s="605" t="s">
        <v>4084</v>
      </c>
    </row>
    <row r="2757">
      <c r="A2757" s="605"/>
      <c r="B2757" s="605"/>
      <c r="C2757" s="605"/>
      <c r="D2757" s="605"/>
      <c r="E2757" s="605" t="str">
        <f>IFERROR(__xludf.DUMMYFUNCTION("""COMPUTED_VALUE"""),"SCHNEIDER")</f>
        <v>SCHNEIDER</v>
      </c>
      <c r="F2757" s="605" t="str">
        <f>IFERROR(__xludf.DUMMYFUNCTION("""COMPUTED_VALUE"""),"GALAXY 5500")</f>
        <v>GALAXY 5500</v>
      </c>
      <c r="G2757" s="605"/>
      <c r="H2757" s="605"/>
      <c r="I2757" s="605"/>
      <c r="J2757" s="606"/>
      <c r="K2757" s="605"/>
      <c r="L2757" s="605"/>
      <c r="M2757" s="605"/>
      <c r="N2757" s="605"/>
      <c r="O2757" s="605"/>
      <c r="P2757" s="605" t="s">
        <v>4087</v>
      </c>
    </row>
    <row r="2758">
      <c r="A2758" s="605"/>
      <c r="B2758" s="605"/>
      <c r="C2758" s="605"/>
      <c r="D2758" s="605"/>
      <c r="E2758" s="605" t="str">
        <f>IFERROR(__xludf.DUMMYFUNCTION("""COMPUTED_VALUE"""),"SCHNEIDER")</f>
        <v>SCHNEIDER</v>
      </c>
      <c r="F2758" s="605" t="str">
        <f>IFERROR(__xludf.DUMMYFUNCTION("""COMPUTED_VALUE"""),"GALAXY 6000")</f>
        <v>GALAXY 6000</v>
      </c>
      <c r="G2758" s="605"/>
      <c r="H2758" s="605"/>
      <c r="I2758" s="605"/>
      <c r="J2758" s="606"/>
      <c r="K2758" s="605"/>
      <c r="L2758" s="605"/>
      <c r="M2758" s="605"/>
      <c r="N2758" s="605"/>
      <c r="O2758" s="605"/>
      <c r="P2758" s="605" t="s">
        <v>4090</v>
      </c>
    </row>
    <row r="2759">
      <c r="A2759" s="605"/>
      <c r="B2759" s="605"/>
      <c r="C2759" s="605"/>
      <c r="D2759" s="605"/>
      <c r="E2759" s="605" t="str">
        <f>IFERROR(__xludf.DUMMYFUNCTION("""COMPUTED_VALUE"""),"SCHNEIDER")</f>
        <v>SCHNEIDER</v>
      </c>
      <c r="F2759" s="605" t="str">
        <f>IFERROR(__xludf.DUMMYFUNCTION("""COMPUTED_VALUE"""),"GALAXY 7000")</f>
        <v>GALAXY 7000</v>
      </c>
      <c r="G2759" s="605"/>
      <c r="H2759" s="605"/>
      <c r="I2759" s="605"/>
      <c r="J2759" s="606"/>
      <c r="K2759" s="605"/>
      <c r="L2759" s="605"/>
      <c r="M2759" s="605"/>
      <c r="N2759" s="605"/>
      <c r="O2759" s="605"/>
      <c r="P2759" s="605" t="s">
        <v>4093</v>
      </c>
    </row>
    <row r="2760">
      <c r="A2760" s="605"/>
      <c r="B2760" s="605"/>
      <c r="C2760" s="605"/>
      <c r="D2760" s="605"/>
      <c r="E2760" s="605" t="str">
        <f>IFERROR(__xludf.DUMMYFUNCTION("""COMPUTED_VALUE"""),"SCHNEIDER")</f>
        <v>SCHNEIDER</v>
      </c>
      <c r="F2760" s="605" t="str">
        <f>IFERROR(__xludf.DUMMYFUNCTION("""COMPUTED_VALUE"""),"GALAXY VM")</f>
        <v>GALAXY VM</v>
      </c>
      <c r="G2760" s="605"/>
      <c r="H2760" s="605"/>
      <c r="I2760" s="605"/>
      <c r="J2760" s="606"/>
      <c r="K2760" s="605"/>
      <c r="L2760" s="605"/>
      <c r="M2760" s="605"/>
      <c r="N2760" s="605"/>
      <c r="O2760" s="605"/>
      <c r="P2760" s="605" t="s">
        <v>4096</v>
      </c>
    </row>
    <row r="2761">
      <c r="A2761" s="605"/>
      <c r="B2761" s="605"/>
      <c r="C2761" s="605"/>
      <c r="D2761" s="605"/>
      <c r="E2761" s="605" t="str">
        <f>IFERROR(__xludf.DUMMYFUNCTION("""COMPUTED_VALUE"""),"SCHNEIDER")</f>
        <v>SCHNEIDER</v>
      </c>
      <c r="F2761" s="605" t="str">
        <f>IFERROR(__xludf.DUMMYFUNCTION("""COMPUTED_VALUE"""),"LSS100100")</f>
        <v>LSS100100</v>
      </c>
      <c r="G2761" s="605"/>
      <c r="H2761" s="605"/>
      <c r="I2761" s="605"/>
      <c r="J2761" s="606"/>
      <c r="K2761" s="605"/>
      <c r="L2761" s="605"/>
      <c r="M2761" s="605"/>
      <c r="N2761" s="605"/>
      <c r="O2761" s="605"/>
      <c r="P2761" s="605" t="s">
        <v>2988</v>
      </c>
    </row>
    <row r="2762">
      <c r="A2762" s="605"/>
      <c r="B2762" s="605"/>
      <c r="C2762" s="605"/>
      <c r="D2762" s="605"/>
      <c r="E2762" s="605" t="str">
        <f>IFERROR(__xludf.DUMMYFUNCTION("""COMPUTED_VALUE"""),"SCHNEIDER")</f>
        <v>SCHNEIDER</v>
      </c>
      <c r="F2762" s="605" t="str">
        <f>IFERROR(__xludf.DUMMYFUNCTION("""COMPUTED_VALUE"""),"ISX20K20F")</f>
        <v>ISX20K20F</v>
      </c>
      <c r="G2762" s="605"/>
      <c r="H2762" s="605"/>
      <c r="I2762" s="605"/>
      <c r="J2762" s="606"/>
      <c r="K2762" s="605"/>
      <c r="L2762" s="605"/>
      <c r="M2762" s="605"/>
      <c r="N2762" s="605"/>
      <c r="O2762" s="605"/>
      <c r="P2762" s="605" t="s">
        <v>4099</v>
      </c>
    </row>
    <row r="2763">
      <c r="A2763" s="605"/>
      <c r="B2763" s="605"/>
      <c r="C2763" s="605"/>
      <c r="D2763" s="605"/>
      <c r="E2763" s="605" t="str">
        <f>IFERROR(__xludf.DUMMYFUNCTION("""COMPUTED_VALUE"""),"SCHNEIDER")</f>
        <v>SCHNEIDER</v>
      </c>
      <c r="F2763" s="605" t="str">
        <f>IFERROR(__xludf.DUMMYFUNCTION("""COMPUTED_VALUE"""),"LINK 150")</f>
        <v>LINK 150</v>
      </c>
      <c r="G2763" s="605"/>
      <c r="H2763" s="605"/>
      <c r="I2763" s="605"/>
      <c r="J2763" s="606"/>
      <c r="K2763" s="605"/>
      <c r="L2763" s="605"/>
      <c r="M2763" s="605"/>
      <c r="N2763" s="605"/>
      <c r="O2763" s="605"/>
      <c r="P2763" s="605" t="s">
        <v>4102</v>
      </c>
    </row>
    <row r="2764">
      <c r="A2764" s="605"/>
      <c r="B2764" s="605"/>
      <c r="C2764" s="605"/>
      <c r="D2764" s="605"/>
      <c r="E2764" s="605" t="str">
        <f>IFERROR(__xludf.DUMMYFUNCTION("""COMPUTED_VALUE"""),"SCHNEIDER")</f>
        <v>SCHNEIDER</v>
      </c>
      <c r="F2764" s="605" t="str">
        <f>IFERROR(__xludf.DUMMYFUNCTION("""COMPUTED_VALUE"""),"M172")</f>
        <v>M172</v>
      </c>
      <c r="G2764" s="605"/>
      <c r="H2764" s="605"/>
      <c r="I2764" s="605"/>
      <c r="J2764" s="606"/>
      <c r="K2764" s="605"/>
      <c r="L2764" s="605"/>
      <c r="M2764" s="605"/>
      <c r="N2764" s="605"/>
      <c r="O2764" s="605"/>
      <c r="P2764" s="605" t="s">
        <v>4105</v>
      </c>
    </row>
    <row r="2765">
      <c r="A2765" s="605"/>
      <c r="B2765" s="605"/>
      <c r="C2765" s="605"/>
      <c r="D2765" s="605"/>
      <c r="E2765" s="605" t="str">
        <f>IFERROR(__xludf.DUMMYFUNCTION("""COMPUTED_VALUE"""),"SCHNEIDER")</f>
        <v>SCHNEIDER</v>
      </c>
      <c r="F2765" s="605" t="str">
        <f>IFERROR(__xludf.DUMMYFUNCTION("""COMPUTED_VALUE"""),"MAGELIS")</f>
        <v>MAGELIS</v>
      </c>
      <c r="G2765" s="605"/>
      <c r="H2765" s="605"/>
      <c r="I2765" s="605"/>
      <c r="J2765" s="606"/>
      <c r="K2765" s="605"/>
      <c r="L2765" s="605"/>
      <c r="M2765" s="605"/>
      <c r="N2765" s="605"/>
      <c r="O2765" s="605"/>
      <c r="P2765" s="605" t="s">
        <v>4108</v>
      </c>
    </row>
    <row r="2766">
      <c r="A2766" s="605"/>
      <c r="B2766" s="605"/>
      <c r="C2766" s="605"/>
      <c r="D2766" s="605"/>
      <c r="E2766" s="605" t="str">
        <f>IFERROR(__xludf.DUMMYFUNCTION("""COMPUTED_VALUE"""),"SCHNEIDER")</f>
        <v>SCHNEIDER</v>
      </c>
      <c r="F2766" s="605" t="str">
        <f>IFERROR(__xludf.DUMMYFUNCTION("""COMPUTED_VALUE"""),"PM168-42-255")</f>
        <v>PM168-42-255</v>
      </c>
      <c r="G2766" s="605"/>
      <c r="H2766" s="605"/>
      <c r="I2766" s="605"/>
      <c r="J2766" s="606"/>
      <c r="K2766" s="605"/>
      <c r="L2766" s="605"/>
      <c r="M2766" s="605"/>
      <c r="N2766" s="605"/>
      <c r="O2766" s="605"/>
      <c r="P2766" s="605" t="s">
        <v>4111</v>
      </c>
    </row>
    <row r="2767">
      <c r="A2767" s="605"/>
      <c r="B2767" s="605"/>
      <c r="C2767" s="605"/>
      <c r="D2767" s="605"/>
      <c r="E2767" s="605" t="str">
        <f>IFERROR(__xludf.DUMMYFUNCTION("""COMPUTED_VALUE"""),"SCHNEIDER")</f>
        <v>SCHNEIDER</v>
      </c>
      <c r="F2767" s="605" t="str">
        <f>IFERROR(__xludf.DUMMYFUNCTION("""COMPUTED_VALUE"""),"POWERLOGIC EGX100")</f>
        <v>POWERLOGIC EGX100</v>
      </c>
      <c r="G2767" s="605"/>
      <c r="H2767" s="605"/>
      <c r="I2767" s="605"/>
      <c r="J2767" s="606"/>
      <c r="K2767" s="605"/>
      <c r="L2767" s="605"/>
      <c r="M2767" s="605"/>
      <c r="N2767" s="605"/>
      <c r="O2767" s="605"/>
      <c r="P2767" s="605" t="s">
        <v>4114</v>
      </c>
    </row>
    <row r="2768">
      <c r="A2768" s="605"/>
      <c r="B2768" s="605"/>
      <c r="C2768" s="605"/>
      <c r="D2768" s="605"/>
      <c r="E2768" s="605" t="str">
        <f>IFERROR(__xludf.DUMMYFUNCTION("""COMPUTED_VALUE"""),"SCHNEIDER")</f>
        <v>SCHNEIDER</v>
      </c>
      <c r="F2768" s="605" t="str">
        <f>IFERROR(__xludf.DUMMYFUNCTION("""COMPUTED_VALUE"""),"POWERLOGIC PM3255")</f>
        <v>POWERLOGIC PM3255</v>
      </c>
      <c r="G2768" s="605"/>
      <c r="H2768" s="605"/>
      <c r="I2768" s="605"/>
      <c r="J2768" s="606"/>
      <c r="K2768" s="605"/>
      <c r="L2768" s="605"/>
      <c r="M2768" s="605"/>
      <c r="N2768" s="605"/>
      <c r="O2768" s="605"/>
      <c r="P2768" s="605" t="s">
        <v>4117</v>
      </c>
    </row>
    <row r="2769">
      <c r="A2769" s="605"/>
      <c r="B2769" s="605"/>
      <c r="C2769" s="605"/>
      <c r="D2769" s="605"/>
      <c r="E2769" s="605" t="str">
        <f>IFERROR(__xludf.DUMMYFUNCTION("""COMPUTED_VALUE"""),"SCHNEIDER")</f>
        <v>SCHNEIDER</v>
      </c>
      <c r="F2769" s="605" t="str">
        <f>IFERROR(__xludf.DUMMYFUNCTION("""COMPUTED_VALUE"""),"SMARTLINK SI B")</f>
        <v>SMARTLINK SI B</v>
      </c>
      <c r="G2769" s="605"/>
      <c r="H2769" s="605"/>
      <c r="I2769" s="605"/>
      <c r="J2769" s="606"/>
      <c r="K2769" s="605"/>
      <c r="L2769" s="605"/>
      <c r="M2769" s="605"/>
      <c r="N2769" s="605"/>
      <c r="O2769" s="605"/>
      <c r="P2769" s="605" t="s">
        <v>4120</v>
      </c>
    </row>
    <row r="2770">
      <c r="A2770" s="605"/>
      <c r="B2770" s="605"/>
      <c r="C2770" s="605"/>
      <c r="D2770" s="605"/>
      <c r="E2770" s="605" t="str">
        <f>IFERROR(__xludf.DUMMYFUNCTION("""COMPUTED_VALUE"""),"SCHNEIDER")</f>
        <v>SCHNEIDER</v>
      </c>
      <c r="F2770" s="605" t="str">
        <f>IFERROR(__xludf.DUMMYFUNCTION("""COMPUTED_VALUE"""),"N/A")</f>
        <v>N/A</v>
      </c>
      <c r="G2770" s="605"/>
      <c r="H2770" s="605"/>
      <c r="I2770" s="605"/>
      <c r="J2770" s="606"/>
      <c r="K2770" s="605"/>
      <c r="L2770" s="605"/>
      <c r="M2770" s="605"/>
      <c r="N2770" s="605"/>
      <c r="O2770" s="605"/>
      <c r="P2770" s="605" t="s">
        <v>4123</v>
      </c>
    </row>
    <row r="2771">
      <c r="A2771" s="605"/>
      <c r="B2771" s="605"/>
      <c r="C2771" s="605"/>
      <c r="D2771" s="605"/>
      <c r="E2771" s="605" t="str">
        <f>IFERROR(__xludf.DUMMYFUNCTION("""COMPUTED_VALUE"""),"SCHNEIDER")</f>
        <v>SCHNEIDER</v>
      </c>
      <c r="F2771" s="605" t="str">
        <f>IFERROR(__xludf.DUMMYFUNCTION("""COMPUTED_VALUE"""),"SPACELYNK")</f>
        <v>SPACELYNK</v>
      </c>
      <c r="G2771" s="605"/>
      <c r="H2771" s="605"/>
      <c r="I2771" s="605"/>
      <c r="J2771" s="606"/>
      <c r="K2771" s="605"/>
      <c r="L2771" s="605"/>
      <c r="M2771" s="605"/>
      <c r="N2771" s="605"/>
      <c r="O2771" s="605"/>
      <c r="P2771" s="605" t="s">
        <v>4126</v>
      </c>
    </row>
    <row r="2772">
      <c r="A2772" s="605"/>
      <c r="B2772" s="605"/>
      <c r="C2772" s="605"/>
      <c r="D2772" s="605"/>
      <c r="E2772" s="605" t="str">
        <f>IFERROR(__xludf.DUMMYFUNCTION("""COMPUTED_VALUE"""),"SCHNEIDER")</f>
        <v>SCHNEIDER</v>
      </c>
      <c r="F2772" s="605" t="str">
        <f>IFERROR(__xludf.DUMMYFUNCTION("""COMPUTED_VALUE"""),"SR2MOD02")</f>
        <v>SR2MOD02</v>
      </c>
      <c r="G2772" s="605"/>
      <c r="H2772" s="605"/>
      <c r="I2772" s="605"/>
      <c r="J2772" s="606"/>
      <c r="K2772" s="605"/>
      <c r="L2772" s="605"/>
      <c r="M2772" s="605"/>
      <c r="N2772" s="605"/>
      <c r="O2772" s="605"/>
      <c r="P2772" s="605" t="s">
        <v>2991</v>
      </c>
    </row>
    <row r="2773">
      <c r="A2773" s="605"/>
      <c r="B2773" s="605"/>
      <c r="C2773" s="605"/>
      <c r="D2773" s="605"/>
      <c r="E2773" s="605" t="str">
        <f>IFERROR(__xludf.DUMMYFUNCTION("""COMPUTED_VALUE"""),"SCHNEIDER")</f>
        <v>SCHNEIDER</v>
      </c>
      <c r="F2773" s="605" t="str">
        <f>IFERROR(__xludf.DUMMYFUNCTION("""COMPUTED_VALUE"""),"SUVTP30KH")</f>
        <v>SUVTP30KH</v>
      </c>
      <c r="G2773" s="605"/>
      <c r="H2773" s="605"/>
      <c r="I2773" s="605"/>
      <c r="J2773" s="606"/>
      <c r="K2773" s="605"/>
      <c r="L2773" s="605"/>
      <c r="M2773" s="605"/>
      <c r="N2773" s="605"/>
      <c r="O2773" s="605"/>
      <c r="P2773" s="605" t="s">
        <v>4129</v>
      </c>
    </row>
    <row r="2774">
      <c r="A2774" s="605"/>
      <c r="B2774" s="605"/>
      <c r="C2774" s="605"/>
      <c r="D2774" s="605"/>
      <c r="E2774" s="605" t="str">
        <f>IFERROR(__xludf.DUMMYFUNCTION("""COMPUTED_VALUE"""),"SCHNEIDER")</f>
        <v>SCHNEIDER</v>
      </c>
      <c r="F2774" s="605" t="str">
        <f>IFERROR(__xludf.DUMMYFUNCTION("""COMPUTED_VALUE"""),"SXWASB24X10002")</f>
        <v>SXWASB24X10002</v>
      </c>
      <c r="G2774" s="605"/>
      <c r="H2774" s="605"/>
      <c r="I2774" s="605"/>
      <c r="J2774" s="606"/>
      <c r="K2774" s="605"/>
      <c r="L2774" s="605"/>
      <c r="M2774" s="605"/>
      <c r="N2774" s="605"/>
      <c r="O2774" s="605"/>
      <c r="P2774" s="605" t="s">
        <v>4132</v>
      </c>
    </row>
    <row r="2775">
      <c r="A2775" s="605"/>
      <c r="B2775" s="605"/>
      <c r="C2775" s="605"/>
      <c r="D2775" s="605"/>
      <c r="E2775" s="605" t="str">
        <f>IFERROR(__xludf.DUMMYFUNCTION("""COMPUTED_VALUE"""),"SCHNEIDER")</f>
        <v>SCHNEIDER</v>
      </c>
      <c r="F2775" s="605" t="str">
        <f>IFERROR(__xludf.DUMMYFUNCTION("""COMPUTED_VALUE"""),"SXWASPXXX10001")</f>
        <v>SXWASPXXX10001</v>
      </c>
      <c r="G2775" s="605"/>
      <c r="H2775" s="605"/>
      <c r="I2775" s="605"/>
      <c r="J2775" s="606"/>
      <c r="K2775" s="605"/>
      <c r="L2775" s="605"/>
      <c r="M2775" s="605"/>
      <c r="N2775" s="605"/>
      <c r="O2775" s="605"/>
      <c r="P2775" s="605" t="s">
        <v>4135</v>
      </c>
    </row>
    <row r="2776">
      <c r="A2776" s="605"/>
      <c r="B2776" s="605"/>
      <c r="C2776" s="605"/>
      <c r="D2776" s="605"/>
      <c r="E2776" s="605" t="str">
        <f>IFERROR(__xludf.DUMMYFUNCTION("""COMPUTED_VALUE"""),"SCHNEIDER")</f>
        <v>SCHNEIDER</v>
      </c>
      <c r="F2776" s="605" t="str">
        <f>IFERROR(__xludf.DUMMYFUNCTION("""COMPUTED_VALUE"""),"SXWAUTSVR10001")</f>
        <v>SXWAUTSVR10001</v>
      </c>
      <c r="G2776" s="605"/>
      <c r="H2776" s="605"/>
      <c r="I2776" s="605"/>
      <c r="J2776" s="606"/>
      <c r="K2776" s="605"/>
      <c r="L2776" s="605"/>
      <c r="M2776" s="605"/>
      <c r="N2776" s="605"/>
      <c r="O2776" s="605"/>
      <c r="P2776" s="605" t="s">
        <v>4138</v>
      </c>
    </row>
    <row r="2777">
      <c r="A2777" s="605"/>
      <c r="B2777" s="605"/>
      <c r="C2777" s="605"/>
      <c r="D2777" s="605"/>
      <c r="E2777" s="605" t="str">
        <f>IFERROR(__xludf.DUMMYFUNCTION("""COMPUTED_VALUE"""),"SCHNEIDER")</f>
        <v>SCHNEIDER</v>
      </c>
      <c r="F2777" s="605" t="str">
        <f>IFERROR(__xludf.DUMMYFUNCTION("""COMPUTED_VALUE"""),"SYAF16K")</f>
        <v>SYAF16K</v>
      </c>
      <c r="G2777" s="605"/>
      <c r="H2777" s="605"/>
      <c r="I2777" s="605"/>
      <c r="J2777" s="606"/>
      <c r="K2777" s="605"/>
      <c r="L2777" s="605"/>
      <c r="M2777" s="605"/>
      <c r="N2777" s="605"/>
      <c r="O2777" s="605"/>
      <c r="P2777" s="605" t="s">
        <v>4141</v>
      </c>
    </row>
    <row r="2778">
      <c r="A2778" s="605"/>
      <c r="B2778" s="605"/>
      <c r="C2778" s="605"/>
      <c r="D2778" s="605"/>
      <c r="E2778" s="605" t="str">
        <f>IFERROR(__xludf.DUMMYFUNCTION("""COMPUTED_VALUE"""),"SCHNEIDER")</f>
        <v>SCHNEIDER</v>
      </c>
      <c r="F2778" s="605" t="str">
        <f>IFERROR(__xludf.DUMMYFUNCTION("""COMPUTED_VALUE"""),"SYAF16KRHI")</f>
        <v>SYAF16KRHI</v>
      </c>
      <c r="G2778" s="605"/>
      <c r="H2778" s="605"/>
      <c r="I2778" s="605"/>
      <c r="J2778" s="606"/>
      <c r="K2778" s="605"/>
      <c r="L2778" s="605"/>
      <c r="M2778" s="605"/>
      <c r="N2778" s="605"/>
      <c r="O2778" s="605"/>
      <c r="P2778" s="605" t="s">
        <v>4144</v>
      </c>
    </row>
    <row r="2779">
      <c r="A2779" s="605"/>
      <c r="B2779" s="605"/>
      <c r="C2779" s="605"/>
      <c r="D2779" s="605"/>
      <c r="E2779" s="605" t="str">
        <f>IFERROR(__xludf.DUMMYFUNCTION("""COMPUTED_VALUE"""),"SCHNEIDER")</f>
        <v>SCHNEIDER</v>
      </c>
      <c r="F2779" s="605" t="str">
        <f>IFERROR(__xludf.DUMMYFUNCTION("""COMPUTED_VALUE"""),"SYCF160KH")</f>
        <v>SYCF160KH</v>
      </c>
      <c r="G2779" s="605"/>
      <c r="H2779" s="605"/>
      <c r="I2779" s="605"/>
      <c r="J2779" s="606"/>
      <c r="K2779" s="605"/>
      <c r="L2779" s="605"/>
      <c r="M2779" s="605"/>
      <c r="N2779" s="605"/>
      <c r="O2779" s="605"/>
      <c r="P2779" s="605" t="s">
        <v>4147</v>
      </c>
    </row>
    <row r="2780">
      <c r="A2780" s="605"/>
      <c r="B2780" s="605"/>
      <c r="C2780" s="605"/>
      <c r="D2780" s="605"/>
      <c r="E2780" s="605" t="str">
        <f>IFERROR(__xludf.DUMMYFUNCTION("""COMPUTED_VALUE"""),"SCHNEIDER")</f>
        <v>SCHNEIDER</v>
      </c>
      <c r="F2780" s="605" t="str">
        <f>IFERROR(__xludf.DUMMYFUNCTION("""COMPUTED_VALUE"""),"SYCF40KF")</f>
        <v>SYCF40KF</v>
      </c>
      <c r="G2780" s="605"/>
      <c r="H2780" s="605"/>
      <c r="I2780" s="605"/>
      <c r="J2780" s="606"/>
      <c r="K2780" s="605"/>
      <c r="L2780" s="605"/>
      <c r="M2780" s="605"/>
      <c r="N2780" s="605"/>
      <c r="O2780" s="605"/>
      <c r="P2780" s="605" t="s">
        <v>4149</v>
      </c>
    </row>
    <row r="2781">
      <c r="A2781" s="605"/>
      <c r="B2781" s="605"/>
      <c r="C2781" s="605"/>
      <c r="D2781" s="605"/>
      <c r="E2781" s="605" t="str">
        <f>IFERROR(__xludf.DUMMYFUNCTION("""COMPUTED_VALUE"""),"SCHNEIDER")</f>
        <v>SCHNEIDER</v>
      </c>
      <c r="F2781" s="605" t="str">
        <f>IFERROR(__xludf.DUMMYFUNCTION("""COMPUTED_VALUE"""),"SYCF48KH")</f>
        <v>SYCF48KH</v>
      </c>
      <c r="G2781" s="605"/>
      <c r="H2781" s="605"/>
      <c r="I2781" s="605"/>
      <c r="J2781" s="606"/>
      <c r="K2781" s="605"/>
      <c r="L2781" s="605"/>
      <c r="M2781" s="605"/>
      <c r="N2781" s="605"/>
      <c r="O2781" s="605"/>
      <c r="P2781" s="605" t="s">
        <v>4151</v>
      </c>
    </row>
    <row r="2782">
      <c r="A2782" s="605"/>
      <c r="B2782" s="605"/>
      <c r="C2782" s="605"/>
      <c r="D2782" s="605"/>
      <c r="E2782" s="605" t="str">
        <f>IFERROR(__xludf.DUMMYFUNCTION("""COMPUTED_VALUE"""),"SCHNEIDER")</f>
        <v>SCHNEIDER</v>
      </c>
      <c r="F2782" s="605" t="str">
        <f>IFERROR(__xludf.DUMMYFUNCTION("""COMPUTED_VALUE"""),"SYCF80KH")</f>
        <v>SYCF80KH</v>
      </c>
      <c r="G2782" s="605"/>
      <c r="H2782" s="605"/>
      <c r="I2782" s="605"/>
      <c r="J2782" s="606"/>
      <c r="K2782" s="605"/>
      <c r="L2782" s="605"/>
      <c r="M2782" s="605"/>
      <c r="N2782" s="605"/>
      <c r="O2782" s="605"/>
      <c r="P2782" s="605" t="s">
        <v>4153</v>
      </c>
    </row>
    <row r="2783">
      <c r="A2783" s="605"/>
      <c r="B2783" s="605"/>
      <c r="C2783" s="605"/>
      <c r="D2783" s="605"/>
      <c r="E2783" s="605" t="str">
        <f>IFERROR(__xludf.DUMMYFUNCTION("""COMPUTED_VALUE"""),"SCHNEIDER")</f>
        <v>SCHNEIDER</v>
      </c>
      <c r="F2783" s="605" t="str">
        <f>IFERROR(__xludf.DUMMYFUNCTION("""COMPUTED_VALUE"""),"SYMMETRA LX16000 RM")</f>
        <v>SYMMETRA LX16000 RM</v>
      </c>
      <c r="G2783" s="605"/>
      <c r="H2783" s="605"/>
      <c r="I2783" s="605"/>
      <c r="J2783" s="606"/>
      <c r="K2783" s="605"/>
      <c r="L2783" s="605"/>
      <c r="M2783" s="605"/>
      <c r="N2783" s="605"/>
      <c r="O2783" s="605"/>
      <c r="P2783" s="605" t="s">
        <v>2994</v>
      </c>
    </row>
    <row r="2784">
      <c r="A2784" s="605"/>
      <c r="B2784" s="605"/>
      <c r="C2784" s="605"/>
      <c r="D2784" s="605"/>
      <c r="E2784" s="605" t="str">
        <f>IFERROR(__xludf.DUMMYFUNCTION("""COMPUTED_VALUE"""),"SCHNEIDER")</f>
        <v>SCHNEIDER</v>
      </c>
      <c r="F2784" s="605" t="str">
        <f>IFERROR(__xludf.DUMMYFUNCTION("""COMPUTED_VALUE"""),"TAC XENTA 731")</f>
        <v>TAC XENTA 731</v>
      </c>
      <c r="G2784" s="605"/>
      <c r="H2784" s="605"/>
      <c r="I2784" s="605"/>
      <c r="J2784" s="606"/>
      <c r="K2784" s="605"/>
      <c r="L2784" s="605"/>
      <c r="M2784" s="605"/>
      <c r="N2784" s="605"/>
      <c r="O2784" s="605"/>
      <c r="P2784" s="605" t="s">
        <v>4155</v>
      </c>
    </row>
    <row r="2785">
      <c r="A2785" s="605"/>
      <c r="B2785" s="605"/>
      <c r="C2785" s="605"/>
      <c r="D2785" s="605"/>
      <c r="E2785" s="605" t="str">
        <f>IFERROR(__xludf.DUMMYFUNCTION("""COMPUTED_VALUE"""),"SCHNEIDER")</f>
        <v>SCHNEIDER</v>
      </c>
      <c r="F2785" s="605" t="str">
        <f>IFERROR(__xludf.DUMMYFUNCTION("""COMPUTED_VALUE"""),"UN-004-5045")</f>
        <v>UN-004-5045</v>
      </c>
      <c r="G2785" s="605"/>
      <c r="H2785" s="605"/>
      <c r="I2785" s="605"/>
      <c r="J2785" s="606"/>
      <c r="K2785" s="605"/>
      <c r="L2785" s="605"/>
      <c r="M2785" s="605"/>
      <c r="N2785" s="605"/>
      <c r="O2785" s="605"/>
      <c r="P2785" s="605" t="s">
        <v>4158</v>
      </c>
    </row>
    <row r="2786">
      <c r="A2786" s="605"/>
      <c r="B2786" s="605"/>
      <c r="C2786" s="605"/>
      <c r="D2786" s="605"/>
      <c r="E2786" s="605" t="str">
        <f>IFERROR(__xludf.DUMMYFUNCTION("""COMPUTED_VALUE"""),"SCHNEIDER")</f>
        <v>SCHNEIDER</v>
      </c>
      <c r="F2786" s="605" t="str">
        <f>IFERROR(__xludf.DUMMYFUNCTION("""COMPUTED_VALUE"""),"UN-004-5045")</f>
        <v>UN-004-5045</v>
      </c>
      <c r="G2786" s="605"/>
      <c r="H2786" s="605"/>
      <c r="I2786" s="605"/>
      <c r="J2786" s="606"/>
      <c r="K2786" s="605"/>
      <c r="L2786" s="605"/>
      <c r="M2786" s="605"/>
      <c r="N2786" s="605"/>
      <c r="O2786" s="605"/>
      <c r="P2786" s="605" t="s">
        <v>4161</v>
      </c>
    </row>
    <row r="2787">
      <c r="A2787" s="605"/>
      <c r="B2787" s="605"/>
      <c r="C2787" s="605"/>
      <c r="D2787" s="605"/>
      <c r="E2787" s="605" t="str">
        <f>IFERROR(__xludf.DUMMYFUNCTION("""COMPUTED_VALUE"""),"SCHNEIDER")</f>
        <v>SCHNEIDER</v>
      </c>
      <c r="F2787" s="605" t="str">
        <f>IFERROR(__xludf.DUMMYFUNCTION("""COMPUTED_VALUE"""),"UN2-CI4-00")</f>
        <v>UN2-CI4-00</v>
      </c>
      <c r="G2787" s="605"/>
      <c r="H2787" s="605"/>
      <c r="I2787" s="605"/>
      <c r="J2787" s="606"/>
      <c r="K2787" s="605"/>
      <c r="L2787" s="605"/>
      <c r="M2787" s="605"/>
      <c r="N2787" s="605"/>
      <c r="O2787" s="605"/>
      <c r="P2787" s="605" t="s">
        <v>4164</v>
      </c>
    </row>
    <row r="2788">
      <c r="A2788" s="605"/>
      <c r="B2788" s="605"/>
      <c r="C2788" s="605"/>
      <c r="D2788" s="605"/>
      <c r="E2788" s="605" t="str">
        <f>IFERROR(__xludf.DUMMYFUNCTION("""COMPUTED_VALUE"""),"SCHNEIDER")</f>
        <v>SCHNEIDER</v>
      </c>
      <c r="F2788" s="605" t="str">
        <f>IFERROR(__xludf.DUMMYFUNCTION("""COMPUTED_VALUE"""),"APVS9601")</f>
        <v>APVS9601</v>
      </c>
      <c r="G2788" s="605"/>
      <c r="H2788" s="605"/>
      <c r="I2788" s="605"/>
      <c r="J2788" s="606"/>
      <c r="K2788" s="605"/>
      <c r="L2788" s="605"/>
      <c r="M2788" s="605"/>
      <c r="N2788" s="605"/>
      <c r="O2788" s="605"/>
      <c r="P2788" s="605" t="s">
        <v>4167</v>
      </c>
    </row>
    <row r="2789">
      <c r="A2789" s="605"/>
      <c r="B2789" s="605"/>
      <c r="C2789" s="605"/>
      <c r="D2789" s="605"/>
      <c r="E2789" s="605" t="str">
        <f>IFERROR(__xludf.DUMMYFUNCTION("""COMPUTED_VALUE"""),"SCHNEIDER")</f>
        <v>SCHNEIDER</v>
      </c>
      <c r="F2789" s="605" t="str">
        <f>IFERROR(__xludf.DUMMYFUNCTION("""COMPUTED_VALUE"""),"XENTA-511")</f>
        <v>XENTA-511</v>
      </c>
      <c r="G2789" s="605"/>
      <c r="H2789" s="605"/>
      <c r="I2789" s="605"/>
      <c r="J2789" s="606"/>
      <c r="K2789" s="605"/>
      <c r="L2789" s="605"/>
      <c r="M2789" s="605"/>
      <c r="N2789" s="605"/>
      <c r="O2789" s="605"/>
      <c r="P2789" s="605" t="s">
        <v>4170</v>
      </c>
    </row>
    <row r="2790">
      <c r="A2790" s="605"/>
      <c r="B2790" s="605"/>
      <c r="C2790" s="605"/>
      <c r="D2790" s="605"/>
      <c r="E2790" s="605" t="str">
        <f>IFERROR(__xludf.DUMMYFUNCTION("""COMPUTED_VALUE"""),"SCHNEIDER")</f>
        <v>SCHNEIDER</v>
      </c>
      <c r="F2790" s="605" t="str">
        <f>IFERROR(__xludf.DUMMYFUNCTION("""COMPUTED_VALUE"""),"POWERLOGIC ION8650")</f>
        <v>POWERLOGIC ION8650</v>
      </c>
      <c r="G2790" s="605"/>
      <c r="H2790" s="605"/>
      <c r="I2790" s="605"/>
      <c r="J2790" s="606"/>
      <c r="K2790" s="605"/>
      <c r="L2790" s="605"/>
      <c r="M2790" s="605"/>
      <c r="N2790" s="605"/>
      <c r="O2790" s="605"/>
      <c r="P2790" s="605" t="s">
        <v>4173</v>
      </c>
    </row>
    <row r="2791">
      <c r="A2791" s="605"/>
      <c r="B2791" s="605"/>
      <c r="C2791" s="605"/>
      <c r="D2791" s="605"/>
      <c r="E2791" s="605" t="str">
        <f>IFERROR(__xludf.DUMMYFUNCTION("""COMPUTED_VALUE"""),"SCHNEIDER")</f>
        <v>SCHNEIDER</v>
      </c>
      <c r="F2791" s="605" t="str">
        <f>IFERROR(__xludf.DUMMYFUNCTION("""COMPUTED_VALUE"""),"GALAXY VS")</f>
        <v>GALAXY VS</v>
      </c>
      <c r="G2791" s="605"/>
      <c r="H2791" s="605"/>
      <c r="I2791" s="605"/>
      <c r="J2791" s="606"/>
      <c r="K2791" s="605"/>
      <c r="L2791" s="605"/>
      <c r="M2791" s="605"/>
      <c r="N2791" s="605"/>
      <c r="O2791" s="605"/>
      <c r="P2791" s="605" t="s">
        <v>4176</v>
      </c>
    </row>
    <row r="2792">
      <c r="A2792" s="605"/>
      <c r="B2792" s="605"/>
      <c r="C2792" s="605"/>
      <c r="D2792" s="605"/>
      <c r="E2792" s="605" t="str">
        <f>IFERROR(__xludf.DUMMYFUNCTION("""COMPUTED_VALUE"""),"SCHNEIDER")</f>
        <v>SCHNEIDER</v>
      </c>
      <c r="F2792" s="605" t="str">
        <f>IFERROR(__xludf.DUMMYFUNCTION("""COMPUTED_VALUE"""),"PM8000")</f>
        <v>PM8000</v>
      </c>
      <c r="G2792" s="605"/>
      <c r="H2792" s="605"/>
      <c r="I2792" s="605"/>
      <c r="J2792" s="606"/>
      <c r="K2792" s="605"/>
      <c r="L2792" s="605"/>
      <c r="M2792" s="605"/>
      <c r="N2792" s="605"/>
      <c r="O2792" s="605"/>
      <c r="P2792" s="605" t="s">
        <v>4179</v>
      </c>
    </row>
    <row r="2793">
      <c r="A2793" s="605"/>
      <c r="B2793" s="605"/>
      <c r="C2793" s="605"/>
      <c r="D2793" s="605"/>
      <c r="E2793" s="605" t="str">
        <f>IFERROR(__xludf.DUMMYFUNCTION("""COMPUTED_VALUE"""),"SCHNEIDER")</f>
        <v>SCHNEIDER</v>
      </c>
      <c r="F2793" s="605" t="str">
        <f>IFERROR(__xludf.DUMMYFUNCTION("""COMPUTED_VALUE"""),"A9XMZA08")</f>
        <v>A9XMZA08</v>
      </c>
      <c r="G2793" s="605"/>
      <c r="H2793" s="605"/>
      <c r="I2793" s="605"/>
      <c r="J2793" s="606"/>
      <c r="K2793" s="605"/>
      <c r="L2793" s="605"/>
      <c r="M2793" s="605"/>
      <c r="N2793" s="605"/>
      <c r="O2793" s="605"/>
      <c r="P2793" s="605" t="s">
        <v>4182</v>
      </c>
    </row>
    <row r="2794">
      <c r="A2794" s="605"/>
      <c r="B2794" s="605"/>
      <c r="C2794" s="605"/>
      <c r="D2794" s="605"/>
      <c r="E2794" s="605" t="str">
        <f>IFERROR(__xludf.DUMMYFUNCTION("""COMPUTED_VALUE"""),"SCHNEIDER")</f>
        <v>SCHNEIDER</v>
      </c>
      <c r="F2794" s="605" t="str">
        <f>IFERROR(__xludf.DUMMYFUNCTION("""COMPUTED_VALUE"""),"TCSESU053FN0")</f>
        <v>TCSESU053FN0</v>
      </c>
      <c r="G2794" s="605"/>
      <c r="H2794" s="605"/>
      <c r="I2794" s="605"/>
      <c r="J2794" s="606"/>
      <c r="K2794" s="605"/>
      <c r="L2794" s="605"/>
      <c r="M2794" s="605"/>
      <c r="N2794" s="605"/>
      <c r="O2794" s="605"/>
      <c r="P2794" s="605" t="s">
        <v>2997</v>
      </c>
    </row>
    <row r="2795">
      <c r="A2795" s="605"/>
      <c r="B2795" s="605"/>
      <c r="C2795" s="605"/>
      <c r="D2795" s="605"/>
      <c r="E2795" s="605" t="str">
        <f>IFERROR(__xludf.DUMMYFUNCTION("""COMPUTED_VALUE"""),"SCHNEIDER")</f>
        <v>SCHNEIDER</v>
      </c>
      <c r="F2795" s="605" t="str">
        <f>IFERROR(__xludf.DUMMYFUNCTION("""COMPUTED_VALUE"""),"SUVTPF10KB2H")</f>
        <v>SUVTPF10KB2H</v>
      </c>
      <c r="G2795" s="605"/>
      <c r="H2795" s="605"/>
      <c r="I2795" s="605"/>
      <c r="J2795" s="606"/>
      <c r="K2795" s="605"/>
      <c r="L2795" s="605"/>
      <c r="M2795" s="605"/>
      <c r="N2795" s="605"/>
      <c r="O2795" s="605"/>
      <c r="P2795" s="605" t="s">
        <v>4185</v>
      </c>
    </row>
    <row r="2796">
      <c r="A2796" s="605"/>
      <c r="B2796" s="605"/>
      <c r="C2796" s="605"/>
      <c r="D2796" s="605"/>
      <c r="E2796" s="605" t="str">
        <f>IFERROR(__xludf.DUMMYFUNCTION("""COMPUTED_VALUE"""),"SCHNEIDER")</f>
        <v>SCHNEIDER</v>
      </c>
      <c r="F2796" s="605" t="str">
        <f>IFERROR(__xludf.DUMMYFUNCTION("""COMPUTED_VALUE"""),"GALAXY VS")</f>
        <v>GALAXY VS</v>
      </c>
      <c r="G2796" s="605"/>
      <c r="H2796" s="605"/>
      <c r="I2796" s="605"/>
      <c r="J2796" s="606"/>
      <c r="K2796" s="605"/>
      <c r="L2796" s="605"/>
      <c r="M2796" s="605"/>
      <c r="N2796" s="605"/>
      <c r="O2796" s="605"/>
      <c r="P2796" s="605" t="s">
        <v>4188</v>
      </c>
    </row>
    <row r="2797">
      <c r="A2797" s="605"/>
      <c r="B2797" s="605"/>
      <c r="C2797" s="605"/>
      <c r="D2797" s="605"/>
      <c r="E2797" s="605" t="str">
        <f>IFERROR(__xludf.DUMMYFUNCTION("""COMPUTED_VALUE"""),"SCHNEIDER")</f>
        <v>SCHNEIDER</v>
      </c>
      <c r="F2797" s="605" t="str">
        <f>IFERROR(__xludf.DUMMYFUNCTION("""COMPUTED_VALUE"""),"POWERLOGIC PM5300")</f>
        <v>POWERLOGIC PM5300</v>
      </c>
      <c r="G2797" s="605"/>
      <c r="H2797" s="605"/>
      <c r="I2797" s="605"/>
      <c r="J2797" s="606"/>
      <c r="K2797" s="605"/>
      <c r="L2797" s="605"/>
      <c r="M2797" s="605"/>
      <c r="N2797" s="605"/>
      <c r="O2797" s="605"/>
      <c r="P2797" s="605" t="s">
        <v>4191</v>
      </c>
    </row>
    <row r="2798">
      <c r="A2798" s="605"/>
      <c r="B2798" s="605"/>
      <c r="C2798" s="605"/>
      <c r="D2798" s="605"/>
      <c r="E2798" s="605" t="str">
        <f>IFERROR(__xludf.DUMMYFUNCTION("""COMPUTED_VALUE"""),"SCHNEIDER")</f>
        <v>SCHNEIDER</v>
      </c>
      <c r="F2798" s="605" t="str">
        <f>IFERROR(__xludf.DUMMYFUNCTION("""COMPUTED_VALUE"""),"GALAXY VS 10KW")</f>
        <v>GALAXY VS 10KW</v>
      </c>
      <c r="G2798" s="605"/>
      <c r="H2798" s="605"/>
      <c r="I2798" s="605"/>
      <c r="J2798" s="606"/>
      <c r="K2798" s="605"/>
      <c r="L2798" s="605"/>
      <c r="M2798" s="605"/>
      <c r="N2798" s="605"/>
      <c r="O2798" s="605"/>
      <c r="P2798" s="605" t="s">
        <v>4194</v>
      </c>
    </row>
    <row r="2799">
      <c r="A2799" s="605"/>
      <c r="B2799" s="605"/>
      <c r="C2799" s="605"/>
      <c r="D2799" s="605"/>
      <c r="E2799" s="605" t="str">
        <f>IFERROR(__xludf.DUMMYFUNCTION("""COMPUTED_VALUE"""),"SCHNEIDER")</f>
        <v>SCHNEIDER</v>
      </c>
      <c r="F2799" s="605" t="str">
        <f>IFERROR(__xludf.DUMMYFUNCTION("""COMPUTED_VALUE"""),"0N-9580AC")</f>
        <v>0N-9580AC</v>
      </c>
      <c r="G2799" s="605"/>
      <c r="H2799" s="605"/>
      <c r="I2799" s="605"/>
      <c r="J2799" s="606"/>
      <c r="K2799" s="605"/>
      <c r="L2799" s="605"/>
      <c r="M2799" s="605"/>
      <c r="N2799" s="605"/>
      <c r="O2799" s="605"/>
      <c r="P2799" s="605" t="s">
        <v>4197</v>
      </c>
    </row>
    <row r="2800">
      <c r="A2800" s="605"/>
      <c r="B2800" s="605"/>
      <c r="C2800" s="605"/>
      <c r="D2800" s="605"/>
      <c r="E2800" s="605" t="str">
        <f>IFERROR(__xludf.DUMMYFUNCTION("""COMPUTED_VALUE"""),"SCHNEIDER")</f>
        <v>SCHNEIDER</v>
      </c>
      <c r="F2800" s="605" t="str">
        <f>IFERROR(__xludf.DUMMYFUNCTION("""COMPUTED_VALUE"""),"SRT2200RMXLI")</f>
        <v>SRT2200RMXLI</v>
      </c>
      <c r="G2800" s="605"/>
      <c r="H2800" s="605"/>
      <c r="I2800" s="605"/>
      <c r="J2800" s="606"/>
      <c r="K2800" s="605"/>
      <c r="L2800" s="605"/>
      <c r="M2800" s="605"/>
      <c r="N2800" s="605"/>
      <c r="O2800" s="605"/>
      <c r="P2800" s="605" t="s">
        <v>4200</v>
      </c>
    </row>
    <row r="2801">
      <c r="A2801" s="605"/>
      <c r="B2801" s="605"/>
      <c r="C2801" s="605"/>
      <c r="D2801" s="605"/>
      <c r="E2801" s="605" t="str">
        <f>IFERROR(__xludf.DUMMYFUNCTION("""COMPUTED_VALUE"""),"SCHNEIDER")</f>
        <v>SCHNEIDER</v>
      </c>
      <c r="F2801" s="605" t="str">
        <f>IFERROR(__xludf.DUMMYFUNCTION("""COMPUTED_VALUE"""),"POWER LOGIC EGX300")</f>
        <v>POWER LOGIC EGX300</v>
      </c>
      <c r="G2801" s="605"/>
      <c r="H2801" s="605"/>
      <c r="I2801" s="605"/>
      <c r="J2801" s="606"/>
      <c r="K2801" s="605"/>
      <c r="L2801" s="605"/>
      <c r="M2801" s="605"/>
      <c r="N2801" s="605"/>
      <c r="O2801" s="605"/>
      <c r="P2801" s="605" t="s">
        <v>4203</v>
      </c>
    </row>
    <row r="2802">
      <c r="A2802" s="605"/>
      <c r="B2802" s="605"/>
      <c r="C2802" s="605"/>
      <c r="D2802" s="605"/>
      <c r="E2802" s="605" t="str">
        <f>IFERROR(__xludf.DUMMYFUNCTION("""COMPUTED_VALUE"""),"SCHNEIDER")</f>
        <v>SCHNEIDER</v>
      </c>
      <c r="F2802" s="605" t="str">
        <f>IFERROR(__xludf.DUMMYFUNCTION("""COMPUTED_VALUE"""),"POWER LOGIC EGX300")</f>
        <v>POWER LOGIC EGX300</v>
      </c>
      <c r="G2802" s="605"/>
      <c r="H2802" s="605"/>
      <c r="I2802" s="605"/>
      <c r="J2802" s="606"/>
      <c r="K2802" s="605"/>
      <c r="L2802" s="605"/>
      <c r="M2802" s="605"/>
      <c r="N2802" s="605"/>
      <c r="O2802" s="605"/>
      <c r="P2802" s="605" t="s">
        <v>4206</v>
      </c>
    </row>
    <row r="2803">
      <c r="A2803" s="605"/>
      <c r="B2803" s="605"/>
      <c r="C2803" s="605"/>
      <c r="D2803" s="605"/>
      <c r="E2803" s="605" t="str">
        <f>IFERROR(__xludf.DUMMYFUNCTION("""COMPUTED_VALUE"""),"SCHNEIDER")</f>
        <v>SCHNEIDER</v>
      </c>
      <c r="F2803" s="605" t="str">
        <f>IFERROR(__xludf.DUMMYFUNCTION("""COMPUTED_VALUE"""),"TM221CE40R")</f>
        <v>TM221CE40R</v>
      </c>
      <c r="G2803" s="605"/>
      <c r="H2803" s="605"/>
      <c r="I2803" s="605"/>
      <c r="J2803" s="606"/>
      <c r="K2803" s="605"/>
      <c r="L2803" s="605"/>
      <c r="M2803" s="605"/>
      <c r="N2803" s="605"/>
      <c r="O2803" s="605"/>
      <c r="P2803" s="605" t="s">
        <v>4209</v>
      </c>
    </row>
    <row r="2804">
      <c r="A2804" s="605"/>
      <c r="B2804" s="605"/>
      <c r="C2804" s="605"/>
      <c r="D2804" s="605"/>
      <c r="E2804" s="605" t="str">
        <f>IFERROR(__xludf.DUMMYFUNCTION("""COMPUTED_VALUE"""),"SCHNEIDER")</f>
        <v>SCHNEIDER</v>
      </c>
      <c r="F2804" s="605" t="str">
        <f>IFERROR(__xludf.DUMMYFUNCTION("""COMPUTED_VALUE"""),"IP-IO-UIO10")</f>
        <v>IP-IO-UIO10</v>
      </c>
      <c r="G2804" s="605"/>
      <c r="H2804" s="605"/>
      <c r="I2804" s="605"/>
      <c r="J2804" s="606"/>
      <c r="K2804" s="605"/>
      <c r="L2804" s="605"/>
      <c r="M2804" s="605"/>
      <c r="N2804" s="605"/>
      <c r="O2804" s="605"/>
      <c r="P2804" s="605" t="s">
        <v>4212</v>
      </c>
    </row>
    <row r="2805">
      <c r="A2805" s="605"/>
      <c r="B2805" s="605"/>
      <c r="C2805" s="605"/>
      <c r="D2805" s="605"/>
      <c r="E2805" s="605" t="str">
        <f>IFERROR(__xludf.DUMMYFUNCTION("""COMPUTED_VALUE"""),"SCHNEIDER")</f>
        <v>SCHNEIDER</v>
      </c>
      <c r="F2805" s="605" t="str">
        <f>IFERROR(__xludf.DUMMYFUNCTION("""COMPUTED_VALUE"""),"PM5500")</f>
        <v>PM5500</v>
      </c>
      <c r="G2805" s="605"/>
      <c r="H2805" s="605"/>
      <c r="I2805" s="605"/>
      <c r="J2805" s="606"/>
      <c r="K2805" s="605"/>
      <c r="L2805" s="605"/>
      <c r="M2805" s="605"/>
      <c r="N2805" s="605"/>
      <c r="O2805" s="605"/>
      <c r="P2805" s="605" t="s">
        <v>3000</v>
      </c>
    </row>
    <row r="2806">
      <c r="A2806" s="605"/>
      <c r="B2806" s="605"/>
      <c r="C2806" s="605"/>
      <c r="D2806" s="605"/>
      <c r="E2806" s="605" t="str">
        <f>IFERROR(__xludf.DUMMYFUNCTION("""COMPUTED_VALUE"""),"SCHNEIDER")</f>
        <v>SCHNEIDER</v>
      </c>
      <c r="F2806" s="605" t="str">
        <f>IFERROR(__xludf.DUMMYFUNCTION("""COMPUTED_VALUE"""),"EBX510")</f>
        <v>EBX510</v>
      </c>
      <c r="G2806" s="605"/>
      <c r="H2806" s="605"/>
      <c r="I2806" s="605"/>
      <c r="J2806" s="606"/>
      <c r="K2806" s="605"/>
      <c r="L2806" s="605"/>
      <c r="M2806" s="605"/>
      <c r="N2806" s="605"/>
      <c r="O2806" s="605"/>
      <c r="P2806" s="605" t="s">
        <v>4215</v>
      </c>
    </row>
    <row r="2807">
      <c r="A2807" s="605"/>
      <c r="B2807" s="605"/>
      <c r="C2807" s="605"/>
      <c r="D2807" s="605"/>
      <c r="E2807" s="605" t="str">
        <f>IFERROR(__xludf.DUMMYFUNCTION("""COMPUTED_VALUE"""),"SCHNEIDER")</f>
        <v>SCHNEIDER</v>
      </c>
      <c r="F2807" s="605" t="str">
        <f>IFERROR(__xludf.DUMMYFUNCTION("""COMPUTED_VALUE"""),"SMARTX IP CONTROLLER")</f>
        <v>SMARTX IP CONTROLLER</v>
      </c>
      <c r="G2807" s="605"/>
      <c r="H2807" s="605"/>
      <c r="I2807" s="605"/>
      <c r="J2807" s="606"/>
      <c r="K2807" s="605"/>
      <c r="L2807" s="605"/>
      <c r="M2807" s="605"/>
      <c r="N2807" s="605"/>
      <c r="O2807" s="605"/>
      <c r="P2807" s="605" t="s">
        <v>4218</v>
      </c>
    </row>
    <row r="2808">
      <c r="A2808" s="605"/>
      <c r="B2808" s="605"/>
      <c r="C2808" s="605"/>
      <c r="D2808" s="605"/>
      <c r="E2808" s="605" t="str">
        <f>IFERROR(__xludf.DUMMYFUNCTION("""COMPUTED_VALUE"""),"SCHNEIDER")</f>
        <v>SCHNEIDER</v>
      </c>
      <c r="F2808" s="605" t="str">
        <f>IFERROR(__xludf.DUMMYFUNCTION("""COMPUTED_VALUE"""),"EASY UPS S3 DY802")</f>
        <v>EASY UPS S3 DY802</v>
      </c>
      <c r="G2808" s="605"/>
      <c r="H2808" s="605"/>
      <c r="I2808" s="605"/>
      <c r="J2808" s="606"/>
      <c r="K2808" s="605"/>
      <c r="L2808" s="605"/>
      <c r="M2808" s="605"/>
      <c r="N2808" s="605"/>
      <c r="O2808" s="605"/>
      <c r="P2808" s="605" t="s">
        <v>4221</v>
      </c>
    </row>
    <row r="2809">
      <c r="A2809" s="605"/>
      <c r="B2809" s="605"/>
      <c r="C2809" s="605"/>
      <c r="D2809" s="605"/>
      <c r="E2809" s="605" t="str">
        <f>IFERROR(__xludf.DUMMYFUNCTION("""COMPUTED_VALUE"""),"SCHNEIDER")</f>
        <v>SCHNEIDER</v>
      </c>
      <c r="F2809" s="605" t="str">
        <f>IFERROR(__xludf.DUMMYFUNCTION("""COMPUTED_VALUE"""),"TOP-DSP PARALELO ATIVO")</f>
        <v>TOP-DSP PARALELO ATIVO</v>
      </c>
      <c r="G2809" s="605"/>
      <c r="H2809" s="605"/>
      <c r="I2809" s="605"/>
      <c r="J2809" s="606"/>
      <c r="K2809" s="605"/>
      <c r="L2809" s="605"/>
      <c r="M2809" s="605"/>
      <c r="N2809" s="605"/>
      <c r="O2809" s="605"/>
      <c r="P2809" s="605" t="s">
        <v>4224</v>
      </c>
    </row>
    <row r="2810">
      <c r="A2810" s="605"/>
      <c r="B2810" s="605"/>
      <c r="C2810" s="605"/>
      <c r="D2810" s="605"/>
      <c r="E2810" s="605" t="str">
        <f>IFERROR(__xludf.DUMMYFUNCTION("""COMPUTED_VALUE"""),"SCHNEIDER")</f>
        <v>SCHNEIDER</v>
      </c>
      <c r="F2810" s="605" t="str">
        <f>IFERROR(__xludf.DUMMYFUNCTION("""COMPUTED_VALUE"""),"METSEPM8240B011")</f>
        <v>METSEPM8240B011</v>
      </c>
      <c r="G2810" s="605"/>
      <c r="H2810" s="605"/>
      <c r="I2810" s="605"/>
      <c r="J2810" s="606"/>
      <c r="K2810" s="605"/>
      <c r="L2810" s="605"/>
      <c r="M2810" s="605"/>
      <c r="N2810" s="605"/>
      <c r="O2810" s="605"/>
      <c r="P2810" s="605" t="s">
        <v>4227</v>
      </c>
    </row>
    <row r="2811">
      <c r="A2811" s="605"/>
      <c r="B2811" s="605"/>
      <c r="C2811" s="605"/>
      <c r="D2811" s="605"/>
      <c r="E2811" s="605" t="str">
        <f>IFERROR(__xludf.DUMMYFUNCTION("""COMPUTED_VALUE"""),"SCHNEIDER")</f>
        <v>SCHNEIDER</v>
      </c>
      <c r="F2811" s="605" t="str">
        <f>IFERROR(__xludf.DUMMYFUNCTION("""COMPUTED_VALUE"""),"GALAXY VL350KA")</f>
        <v>GALAXY VL350KA</v>
      </c>
      <c r="G2811" s="605"/>
      <c r="H2811" s="605"/>
      <c r="I2811" s="605"/>
      <c r="J2811" s="606"/>
      <c r="K2811" s="605"/>
      <c r="L2811" s="605"/>
      <c r="M2811" s="605"/>
      <c r="N2811" s="605"/>
      <c r="O2811" s="605"/>
      <c r="P2811" s="605" t="s">
        <v>4229</v>
      </c>
    </row>
    <row r="2812">
      <c r="A2812" s="605"/>
      <c r="B2812" s="605"/>
      <c r="C2812" s="605"/>
      <c r="D2812" s="605"/>
      <c r="E2812" s="605" t="str">
        <f>IFERROR(__xludf.DUMMYFUNCTION("""COMPUTED_VALUE"""),"SCHNEIDER")</f>
        <v>SCHNEIDER</v>
      </c>
      <c r="F2812" s="605" t="str">
        <f>IFERROR(__xludf.DUMMYFUNCTION("""COMPUTED_VALUE"""),"PDRPPH2000-M")</f>
        <v>PDRPPH2000-M</v>
      </c>
      <c r="G2812" s="605"/>
      <c r="H2812" s="605"/>
      <c r="I2812" s="605"/>
      <c r="J2812" s="606"/>
      <c r="K2812" s="605"/>
      <c r="L2812" s="605"/>
      <c r="M2812" s="605"/>
      <c r="N2812" s="605"/>
      <c r="O2812" s="605"/>
      <c r="P2812" s="605" t="s">
        <v>4232</v>
      </c>
    </row>
    <row r="2813">
      <c r="A2813" s="605"/>
      <c r="B2813" s="605"/>
      <c r="C2813" s="605"/>
      <c r="D2813" s="605"/>
      <c r="E2813" s="605" t="str">
        <f>IFERROR(__xludf.DUMMYFUNCTION("""COMPUTED_VALUE"""),"SCHNEIDER")</f>
        <v>SCHNEIDER</v>
      </c>
      <c r="F2813" s="605" t="str">
        <f>IFERROR(__xludf.DUMMYFUNCTION("""COMPUTED_VALUE"""),"66074")</f>
        <v>66074</v>
      </c>
      <c r="G2813" s="605"/>
      <c r="H2813" s="605"/>
      <c r="I2813" s="605"/>
      <c r="J2813" s="606"/>
      <c r="K2813" s="605"/>
      <c r="L2813" s="605"/>
      <c r="M2813" s="605"/>
      <c r="N2813" s="605"/>
      <c r="O2813" s="605"/>
      <c r="P2813" s="605" t="s">
        <v>4235</v>
      </c>
    </row>
    <row r="2814">
      <c r="A2814" s="605"/>
      <c r="B2814" s="605"/>
      <c r="C2814" s="605"/>
      <c r="D2814" s="605"/>
      <c r="E2814" s="605" t="str">
        <f>IFERROR(__xludf.DUMMYFUNCTION("""COMPUTED_VALUE"""),"SCHNEIDER")</f>
        <v>SCHNEIDER</v>
      </c>
      <c r="F2814" s="605" t="str">
        <f>IFERROR(__xludf.DUMMYFUNCTION("""COMPUTED_VALUE"""),"EVLINK SMART WALLBOX")</f>
        <v>EVLINK SMART WALLBOX</v>
      </c>
      <c r="G2814" s="605"/>
      <c r="H2814" s="605"/>
      <c r="I2814" s="605"/>
      <c r="J2814" s="606"/>
      <c r="K2814" s="605"/>
      <c r="L2814" s="605"/>
      <c r="M2814" s="605"/>
      <c r="N2814" s="605"/>
      <c r="O2814" s="605"/>
      <c r="P2814" s="605" t="s">
        <v>4237</v>
      </c>
    </row>
    <row r="2815">
      <c r="A2815" s="605"/>
      <c r="B2815" s="605"/>
      <c r="C2815" s="605"/>
      <c r="D2815" s="605"/>
      <c r="E2815" s="605" t="str">
        <f>IFERROR(__xludf.DUMMYFUNCTION("""COMPUTED_VALUE"""),"SCHNEIDER")</f>
        <v>SCHNEIDER</v>
      </c>
      <c r="F2815" s="605" t="str">
        <f>IFERROR(__xludf.DUMMYFUNCTION("""COMPUTED_VALUE"""),"EVLINK SMART WALLBOX")</f>
        <v>EVLINK SMART WALLBOX</v>
      </c>
      <c r="G2815" s="605"/>
      <c r="H2815" s="605"/>
      <c r="I2815" s="605"/>
      <c r="J2815" s="606"/>
      <c r="K2815" s="605"/>
      <c r="L2815" s="605"/>
      <c r="M2815" s="605"/>
      <c r="N2815" s="605"/>
      <c r="O2815" s="605"/>
      <c r="P2815" s="605" t="s">
        <v>4240</v>
      </c>
    </row>
    <row r="2816">
      <c r="A2816" s="605"/>
      <c r="B2816" s="605"/>
      <c r="C2816" s="605"/>
      <c r="D2816" s="605"/>
      <c r="E2816" s="605" t="str">
        <f>IFERROR(__xludf.DUMMYFUNCTION("""COMPUTED_VALUE"""),"SCHNEIDER")</f>
        <v>SCHNEIDER</v>
      </c>
      <c r="F2816" s="605" t="str">
        <f>IFERROR(__xludf.DUMMYFUNCTION("""COMPUTED_VALUE"""),"MODICON M241")</f>
        <v>MODICON M241</v>
      </c>
      <c r="G2816" s="605"/>
      <c r="H2816" s="605"/>
      <c r="I2816" s="605"/>
      <c r="J2816" s="606"/>
      <c r="K2816" s="605"/>
      <c r="L2816" s="605"/>
      <c r="M2816" s="605"/>
      <c r="N2816" s="605"/>
      <c r="O2816" s="605"/>
      <c r="P2816" s="605" t="s">
        <v>3003</v>
      </c>
    </row>
    <row r="2817">
      <c r="A2817" s="605"/>
      <c r="B2817" s="605"/>
      <c r="C2817" s="605"/>
      <c r="D2817" s="605"/>
      <c r="E2817" s="605" t="str">
        <f>IFERROR(__xludf.DUMMYFUNCTION("""COMPUTED_VALUE"""),"SCHNEIDER")</f>
        <v>SCHNEIDER</v>
      </c>
      <c r="F2817" s="605" t="str">
        <f>IFERROR(__xludf.DUMMYFUNCTION("""COMPUTED_VALUE"""),"IEM3155")</f>
        <v>IEM3155</v>
      </c>
      <c r="G2817" s="605"/>
      <c r="H2817" s="605"/>
      <c r="I2817" s="605"/>
      <c r="J2817" s="606"/>
      <c r="K2817" s="605"/>
      <c r="L2817" s="605"/>
      <c r="M2817" s="605"/>
      <c r="N2817" s="605"/>
      <c r="O2817" s="605"/>
      <c r="P2817" s="605" t="s">
        <v>4243</v>
      </c>
    </row>
    <row r="2818">
      <c r="A2818" s="605"/>
      <c r="B2818" s="605"/>
      <c r="C2818" s="605"/>
      <c r="D2818" s="605"/>
      <c r="E2818" s="605" t="str">
        <f>IFERROR(__xludf.DUMMYFUNCTION("""COMPUTED_VALUE"""),"SCHNEIDER")</f>
        <v>SCHNEIDER</v>
      </c>
      <c r="F2818" s="605" t="str">
        <f>IFERROR(__xludf.DUMMYFUNCTION("""COMPUTED_VALUE"""),"IEM3155")</f>
        <v>IEM3155</v>
      </c>
      <c r="G2818" s="605"/>
      <c r="H2818" s="605"/>
      <c r="I2818" s="605"/>
      <c r="J2818" s="606"/>
      <c r="K2818" s="605"/>
      <c r="L2818" s="605"/>
      <c r="M2818" s="605"/>
      <c r="N2818" s="605"/>
      <c r="O2818" s="605"/>
      <c r="P2818" s="605" t="s">
        <v>4246</v>
      </c>
    </row>
    <row r="2819">
      <c r="A2819" s="605"/>
      <c r="B2819" s="605"/>
      <c r="C2819" s="605"/>
      <c r="D2819" s="605"/>
      <c r="E2819" s="605" t="str">
        <f>IFERROR(__xludf.DUMMYFUNCTION("""COMPUTED_VALUE"""),"SCHNEIDER")</f>
        <v>SCHNEIDER</v>
      </c>
      <c r="F2819" s="605" t="str">
        <f>IFERROR(__xludf.DUMMYFUNCTION("""COMPUTED_VALUE"""),"CONNEXIUM SWITCH 5TX")</f>
        <v>CONNEXIUM SWITCH 5TX</v>
      </c>
      <c r="G2819" s="605"/>
      <c r="H2819" s="605"/>
      <c r="I2819" s="605"/>
      <c r="J2819" s="606"/>
      <c r="K2819" s="605"/>
      <c r="L2819" s="605"/>
      <c r="M2819" s="605"/>
      <c r="N2819" s="605"/>
      <c r="O2819" s="605"/>
      <c r="P2819" s="605" t="s">
        <v>4249</v>
      </c>
    </row>
    <row r="2820">
      <c r="A2820" s="605"/>
      <c r="B2820" s="605"/>
      <c r="C2820" s="605"/>
      <c r="D2820" s="605"/>
      <c r="E2820" s="605" t="str">
        <f>IFERROR(__xludf.DUMMYFUNCTION("""COMPUTED_VALUE"""),"SCHNEIDER")</f>
        <v>SCHNEIDER</v>
      </c>
      <c r="F2820" s="605" t="str">
        <f>IFERROR(__xludf.DUMMYFUNCTION("""COMPUTED_VALUE"""),"POWERLOGIC ION9000")</f>
        <v>POWERLOGIC ION9000</v>
      </c>
      <c r="G2820" s="605"/>
      <c r="H2820" s="605"/>
      <c r="I2820" s="605"/>
      <c r="J2820" s="606"/>
      <c r="K2820" s="605"/>
      <c r="L2820" s="605"/>
      <c r="M2820" s="605"/>
      <c r="N2820" s="605"/>
      <c r="O2820" s="605"/>
      <c r="P2820" s="605" t="s">
        <v>4252</v>
      </c>
    </row>
    <row r="2821">
      <c r="A2821" s="605"/>
      <c r="B2821" s="605"/>
      <c r="C2821" s="605"/>
      <c r="D2821" s="605"/>
      <c r="E2821" s="605" t="str">
        <f>IFERROR(__xludf.DUMMYFUNCTION("""COMPUTED_VALUE"""),"SCHNEIDER")</f>
        <v>SCHNEIDER</v>
      </c>
      <c r="F2821" s="605" t="str">
        <f>IFERROR(__xludf.DUMMYFUNCTION("""COMPUTED_VALUE"""),"PM5560")</f>
        <v>PM5560</v>
      </c>
      <c r="G2821" s="605"/>
      <c r="H2821" s="605"/>
      <c r="I2821" s="605"/>
      <c r="J2821" s="606"/>
      <c r="K2821" s="605"/>
      <c r="L2821" s="605"/>
      <c r="M2821" s="605"/>
      <c r="N2821" s="605"/>
      <c r="O2821" s="605"/>
      <c r="P2821" s="605" t="s">
        <v>4255</v>
      </c>
    </row>
    <row r="2822">
      <c r="A2822" s="605"/>
      <c r="B2822" s="605"/>
      <c r="C2822" s="605"/>
      <c r="D2822" s="605"/>
      <c r="E2822" s="605" t="str">
        <f>IFERROR(__xludf.DUMMYFUNCTION("""COMPUTED_VALUE"""),"SCHNEIDER")</f>
        <v>SCHNEIDER</v>
      </c>
      <c r="F2822" s="605" t="str">
        <f>IFERROR(__xludf.DUMMYFUNCTION("""COMPUTED_VALUE"""),"IEM3000")</f>
        <v>IEM3000</v>
      </c>
      <c r="G2822" s="605"/>
      <c r="H2822" s="605"/>
      <c r="I2822" s="605"/>
      <c r="J2822" s="606"/>
      <c r="K2822" s="605"/>
      <c r="L2822" s="605"/>
      <c r="M2822" s="605"/>
      <c r="N2822" s="605"/>
      <c r="O2822" s="605"/>
      <c r="P2822" s="605" t="s">
        <v>4258</v>
      </c>
    </row>
    <row r="2823">
      <c r="A2823" s="605"/>
      <c r="B2823" s="605"/>
      <c r="C2823" s="605"/>
      <c r="D2823" s="605"/>
      <c r="E2823" s="605" t="str">
        <f>IFERROR(__xludf.DUMMYFUNCTION("""COMPUTED_VALUE"""),"SCHNEIDER")</f>
        <v>SCHNEIDER</v>
      </c>
      <c r="F2823" s="605" t="str">
        <f>IFERROR(__xludf.DUMMYFUNCTION("""COMPUTED_VALUE"""),"SE7300F5045B-ECM")</f>
        <v>SE7300F5045B-ECM</v>
      </c>
      <c r="G2823" s="605"/>
      <c r="H2823" s="605"/>
      <c r="I2823" s="605"/>
      <c r="J2823" s="606"/>
      <c r="K2823" s="605"/>
      <c r="L2823" s="605"/>
      <c r="M2823" s="605"/>
      <c r="N2823" s="605"/>
      <c r="O2823" s="605"/>
      <c r="P2823" s="605" t="s">
        <v>4260</v>
      </c>
    </row>
    <row r="2824">
      <c r="A2824" s="605"/>
      <c r="B2824" s="605"/>
      <c r="C2824" s="605"/>
      <c r="D2824" s="605"/>
      <c r="E2824" s="605" t="str">
        <f>IFERROR(__xludf.DUMMYFUNCTION("""COMPUTED_VALUE"""),"SCHNEIDER")</f>
        <v>SCHNEIDER</v>
      </c>
      <c r="F2824" s="605" t="str">
        <f>IFERROR(__xludf.DUMMYFUNCTION("""COMPUTED_VALUE"""),"PM1130H")</f>
        <v>PM1130H</v>
      </c>
      <c r="G2824" s="605"/>
      <c r="H2824" s="605"/>
      <c r="I2824" s="605"/>
      <c r="J2824" s="606"/>
      <c r="K2824" s="605"/>
      <c r="L2824" s="605"/>
      <c r="M2824" s="605"/>
      <c r="N2824" s="605"/>
      <c r="O2824" s="605"/>
      <c r="P2824" s="605" t="s">
        <v>4263</v>
      </c>
    </row>
    <row r="2825">
      <c r="A2825" s="605"/>
      <c r="B2825" s="605"/>
      <c r="C2825" s="605"/>
      <c r="D2825" s="605"/>
      <c r="E2825" s="605" t="str">
        <f>IFERROR(__xludf.DUMMYFUNCTION("""COMPUTED_VALUE"""),"SCHNEIDER")</f>
        <v>SCHNEIDER</v>
      </c>
      <c r="F2825" s="605" t="str">
        <f>IFERROR(__xludf.DUMMYFUNCTION("""COMPUTED_VALUE"""),"POWERLOGIC PM5350")</f>
        <v>POWERLOGIC PM5350</v>
      </c>
      <c r="G2825" s="605"/>
      <c r="H2825" s="605"/>
      <c r="I2825" s="605"/>
      <c r="J2825" s="606"/>
      <c r="K2825" s="605"/>
      <c r="L2825" s="605"/>
      <c r="M2825" s="605"/>
      <c r="N2825" s="605"/>
      <c r="O2825" s="605"/>
      <c r="P2825" s="605" t="s">
        <v>4266</v>
      </c>
    </row>
    <row r="2826">
      <c r="A2826" s="605"/>
      <c r="B2826" s="605"/>
      <c r="C2826" s="605"/>
      <c r="D2826" s="605"/>
      <c r="E2826" s="605" t="str">
        <f>IFERROR(__xludf.DUMMYFUNCTION("""COMPUTED_VALUE"""),"SCHNEIDER")</f>
        <v>SCHNEIDER</v>
      </c>
      <c r="F2826" s="605" t="str">
        <f>IFERROR(__xludf.DUMMYFUNCTION("""COMPUTED_VALUE"""),"LIBSESMGCABIEC")</f>
        <v>LIBSESMGCABIEC</v>
      </c>
      <c r="G2826" s="605"/>
      <c r="H2826" s="605"/>
      <c r="I2826" s="605"/>
      <c r="J2826" s="606"/>
      <c r="K2826" s="605"/>
      <c r="L2826" s="605"/>
      <c r="M2826" s="605"/>
      <c r="N2826" s="605"/>
      <c r="O2826" s="605"/>
      <c r="P2826" s="605" t="s">
        <v>4269</v>
      </c>
    </row>
    <row r="2827">
      <c r="A2827" s="605"/>
      <c r="B2827" s="605"/>
      <c r="C2827" s="605"/>
      <c r="D2827" s="605"/>
      <c r="E2827" s="605" t="str">
        <f>IFERROR(__xludf.DUMMYFUNCTION("""COMPUTED_VALUE"""),"SCHNEIDER")</f>
        <v>SCHNEIDER</v>
      </c>
      <c r="F2827" s="605" t="str">
        <f>IFERROR(__xludf.DUMMYFUNCTION("""COMPUTED_VALUE"""),"POWERLOGIC PM5100")</f>
        <v>POWERLOGIC PM5100</v>
      </c>
      <c r="G2827" s="605"/>
      <c r="H2827" s="605"/>
      <c r="I2827" s="605"/>
      <c r="J2827" s="606"/>
      <c r="K2827" s="605"/>
      <c r="L2827" s="605"/>
      <c r="M2827" s="605"/>
      <c r="N2827" s="605"/>
      <c r="O2827" s="605"/>
      <c r="P2827" s="605" t="s">
        <v>3006</v>
      </c>
    </row>
    <row r="2828">
      <c r="A2828" s="605"/>
      <c r="B2828" s="605"/>
      <c r="C2828" s="605"/>
      <c r="D2828" s="605"/>
      <c r="E2828" s="605" t="str">
        <f>IFERROR(__xludf.DUMMYFUNCTION("""COMPUTED_VALUE"""),"SCHNEIDER")</f>
        <v>SCHNEIDER</v>
      </c>
      <c r="F2828" s="605" t="str">
        <f>IFERROR(__xludf.DUMMYFUNCTION("""COMPUTED_VALUE"""),"POWERLOGIC ION7650")</f>
        <v>POWERLOGIC ION7650</v>
      </c>
      <c r="G2828" s="605"/>
      <c r="H2828" s="605"/>
      <c r="I2828" s="605"/>
      <c r="J2828" s="606"/>
      <c r="K2828" s="605"/>
      <c r="L2828" s="605"/>
      <c r="M2828" s="605"/>
      <c r="N2828" s="605"/>
      <c r="O2828" s="605"/>
      <c r="P2828" s="605" t="s">
        <v>4272</v>
      </c>
    </row>
    <row r="2829">
      <c r="A2829" s="605"/>
      <c r="B2829" s="605"/>
      <c r="C2829" s="605"/>
      <c r="D2829" s="605"/>
      <c r="E2829" s="605" t="str">
        <f>IFERROR(__xludf.DUMMYFUNCTION("""COMPUTED_VALUE"""),"SCHNEIDER")</f>
        <v>SCHNEIDER</v>
      </c>
      <c r="F2829" s="605" t="str">
        <f>IFERROR(__xludf.DUMMYFUNCTION("""COMPUTED_VALUE"""),"S765RD")</f>
        <v>S765RD</v>
      </c>
      <c r="G2829" s="605"/>
      <c r="H2829" s="605"/>
      <c r="I2829" s="605"/>
      <c r="J2829" s="606"/>
      <c r="K2829" s="605"/>
      <c r="L2829" s="605"/>
      <c r="M2829" s="605"/>
      <c r="N2829" s="605"/>
      <c r="O2829" s="605"/>
      <c r="P2829" s="605" t="s">
        <v>4275</v>
      </c>
    </row>
    <row r="2830">
      <c r="A2830" s="605"/>
      <c r="B2830" s="605"/>
      <c r="C2830" s="605"/>
      <c r="D2830" s="605"/>
      <c r="E2830" s="605" t="str">
        <f>IFERROR(__xludf.DUMMYFUNCTION("""COMPUTED_VALUE"""),"SCHNEIDER")</f>
        <v>SCHNEIDER</v>
      </c>
      <c r="F2830" s="605" t="str">
        <f>IFERROR(__xludf.DUMMYFUNCTION("""COMPUTED_VALUE"""),"LIBATTSMGSIEC")</f>
        <v>LIBATTSMGSIEC</v>
      </c>
      <c r="G2830" s="605"/>
      <c r="H2830" s="605"/>
      <c r="I2830" s="605"/>
      <c r="J2830" s="606"/>
      <c r="K2830" s="605"/>
      <c r="L2830" s="605"/>
      <c r="M2830" s="605"/>
      <c r="N2830" s="605"/>
      <c r="O2830" s="605"/>
      <c r="P2830" s="605" t="s">
        <v>4278</v>
      </c>
    </row>
    <row r="2831">
      <c r="A2831" s="605"/>
      <c r="B2831" s="605"/>
      <c r="C2831" s="605"/>
      <c r="D2831" s="605"/>
      <c r="E2831" s="605" t="str">
        <f>IFERROR(__xludf.DUMMYFUNCTION("""COMPUTED_VALUE"""),"SCHNEIDER")</f>
        <v>SCHNEIDER</v>
      </c>
      <c r="F2831" s="605" t="str">
        <f>IFERROR(__xludf.DUMMYFUNCTION("""COMPUTED_VALUE"""),"EASYLOGIC EM6436H RS")</f>
        <v>EASYLOGIC EM6436H RS</v>
      </c>
      <c r="G2831" s="605"/>
      <c r="H2831" s="605"/>
      <c r="I2831" s="605"/>
      <c r="J2831" s="606"/>
      <c r="K2831" s="605"/>
      <c r="L2831" s="605"/>
      <c r="M2831" s="605"/>
      <c r="N2831" s="605"/>
      <c r="O2831" s="605"/>
      <c r="P2831" s="605" t="s">
        <v>4281</v>
      </c>
    </row>
    <row r="2832">
      <c r="A2832" s="605"/>
      <c r="B2832" s="605"/>
      <c r="C2832" s="605"/>
      <c r="D2832" s="605"/>
      <c r="E2832" s="605" t="str">
        <f>IFERROR(__xludf.DUMMYFUNCTION("""COMPUTED_VALUE"""),"SCHNEIDER")</f>
        <v>SCHNEIDER</v>
      </c>
      <c r="F2832" s="605" t="str">
        <f>IFERROR(__xludf.DUMMYFUNCTION("""COMPUTED_VALUE"""),"LIBATTSMGOIEC")</f>
        <v>LIBATTSMGOIEC</v>
      </c>
      <c r="G2832" s="605"/>
      <c r="H2832" s="605"/>
      <c r="I2832" s="605"/>
      <c r="J2832" s="606"/>
      <c r="K2832" s="605"/>
      <c r="L2832" s="605"/>
      <c r="M2832" s="605"/>
      <c r="N2832" s="605"/>
      <c r="O2832" s="605"/>
      <c r="P2832" s="605" t="s">
        <v>4283</v>
      </c>
    </row>
    <row r="2833">
      <c r="A2833" s="605"/>
      <c r="B2833" s="605"/>
      <c r="C2833" s="605"/>
      <c r="D2833" s="605"/>
      <c r="E2833" s="605" t="str">
        <f>IFERROR(__xludf.DUMMYFUNCTION("""COMPUTED_VALUE"""),"SCHNEIDER")</f>
        <v>SCHNEIDER</v>
      </c>
      <c r="F2833" s="605" t="str">
        <f>IFERROR(__xludf.DUMMYFUNCTION("""COMPUTED_VALUE"""),"MP-V-7A")</f>
        <v>MP-V-7A</v>
      </c>
      <c r="G2833" s="605"/>
      <c r="H2833" s="605"/>
      <c r="I2833" s="605"/>
      <c r="J2833" s="606"/>
      <c r="K2833" s="605"/>
      <c r="L2833" s="605"/>
      <c r="M2833" s="605"/>
      <c r="N2833" s="605"/>
      <c r="O2833" s="605"/>
      <c r="P2833" s="605" t="s">
        <v>4286</v>
      </c>
    </row>
    <row r="2834">
      <c r="A2834" s="605"/>
      <c r="B2834" s="605"/>
      <c r="C2834" s="605"/>
      <c r="D2834" s="605"/>
      <c r="E2834" s="605" t="str">
        <f>IFERROR(__xludf.DUMMYFUNCTION("""COMPUTED_VALUE"""),"SCHNEIDER")</f>
        <v>SCHNEIDER</v>
      </c>
      <c r="F2834" s="605" t="str">
        <f>IFERROR(__xludf.DUMMYFUNCTION("""COMPUTED_VALUE"""),"PM2200")</f>
        <v>PM2200</v>
      </c>
      <c r="G2834" s="605"/>
      <c r="H2834" s="605"/>
      <c r="I2834" s="605"/>
      <c r="J2834" s="606"/>
      <c r="K2834" s="605"/>
      <c r="L2834" s="605"/>
      <c r="M2834" s="605"/>
      <c r="N2834" s="605"/>
      <c r="O2834" s="605"/>
      <c r="P2834" s="605" t="s">
        <v>4288</v>
      </c>
    </row>
    <row r="2835">
      <c r="A2835" s="605"/>
      <c r="B2835" s="605"/>
      <c r="C2835" s="605"/>
      <c r="D2835" s="605"/>
      <c r="E2835" s="605" t="str">
        <f>IFERROR(__xludf.DUMMYFUNCTION("""COMPUTED_VALUE"""),"SCHNEIDER")</f>
        <v>SCHNEIDER</v>
      </c>
      <c r="F2835" s="605" t="str">
        <f>IFERROR(__xludf.DUMMYFUNCTION("""COMPUTED_VALUE"""),"MP-C-15A")</f>
        <v>MP-C-15A</v>
      </c>
      <c r="G2835" s="605"/>
      <c r="H2835" s="605"/>
      <c r="I2835" s="605"/>
      <c r="J2835" s="606"/>
      <c r="K2835" s="605"/>
      <c r="L2835" s="605"/>
      <c r="M2835" s="605"/>
      <c r="N2835" s="605"/>
      <c r="O2835" s="605"/>
      <c r="P2835" s="605" t="s">
        <v>4291</v>
      </c>
    </row>
    <row r="2836">
      <c r="A2836" s="605"/>
      <c r="B2836" s="605"/>
      <c r="C2836" s="605"/>
      <c r="D2836" s="605"/>
      <c r="E2836" s="605" t="str">
        <f>IFERROR(__xludf.DUMMYFUNCTION("""COMPUTED_VALUE"""),"SCHNEIDER")</f>
        <v>SCHNEIDER</v>
      </c>
      <c r="F2836" s="605" t="str">
        <f>IFERROR(__xludf.DUMMYFUNCTION("""COMPUTED_VALUE"""),"IEM3250")</f>
        <v>IEM3250</v>
      </c>
      <c r="G2836" s="605"/>
      <c r="H2836" s="605"/>
      <c r="I2836" s="605"/>
      <c r="J2836" s="606"/>
      <c r="K2836" s="605"/>
      <c r="L2836" s="605"/>
      <c r="M2836" s="605"/>
      <c r="N2836" s="605"/>
      <c r="O2836" s="605"/>
      <c r="P2836" s="605" t="s">
        <v>4293</v>
      </c>
    </row>
    <row r="2837">
      <c r="A2837" s="605"/>
      <c r="B2837" s="605"/>
      <c r="C2837" s="605"/>
      <c r="D2837" s="605"/>
      <c r="E2837" s="605" t="str">
        <f>IFERROR(__xludf.DUMMYFUNCTION("""COMPUTED_VALUE"""),"SCHNEIDER")</f>
        <v>SCHNEIDER</v>
      </c>
      <c r="F2837" s="605" t="str">
        <f>IFERROR(__xludf.DUMMYFUNCTION("""COMPUTED_VALUE"""),"KAMODR")</f>
        <v>KAMODR</v>
      </c>
      <c r="G2837" s="605"/>
      <c r="H2837" s="605"/>
      <c r="I2837" s="605"/>
      <c r="J2837" s="606"/>
      <c r="K2837" s="605"/>
      <c r="L2837" s="605"/>
      <c r="M2837" s="605"/>
      <c r="N2837" s="605"/>
      <c r="O2837" s="605"/>
      <c r="P2837" s="605" t="s">
        <v>4296</v>
      </c>
    </row>
    <row r="2838">
      <c r="A2838" s="605"/>
      <c r="B2838" s="605"/>
      <c r="C2838" s="605"/>
      <c r="D2838" s="605"/>
      <c r="E2838" s="605" t="str">
        <f>IFERROR(__xludf.DUMMYFUNCTION("""COMPUTED_VALUE"""),"SCHNEIDER")</f>
        <v>SCHNEIDER</v>
      </c>
      <c r="F2838" s="605" t="str">
        <f>IFERROR(__xludf.DUMMYFUNCTION("""COMPUTED_VALUE"""),"SPACELOGIC SENSOR")</f>
        <v>SPACELOGIC SENSOR</v>
      </c>
      <c r="G2838" s="605"/>
      <c r="H2838" s="605"/>
      <c r="I2838" s="605"/>
      <c r="J2838" s="606"/>
      <c r="K2838" s="605"/>
      <c r="L2838" s="605"/>
      <c r="M2838" s="605"/>
      <c r="N2838" s="605"/>
      <c r="O2838" s="605"/>
      <c r="P2838" s="605" t="s">
        <v>3009</v>
      </c>
    </row>
    <row r="2839">
      <c r="A2839" s="605"/>
      <c r="B2839" s="605"/>
      <c r="C2839" s="605"/>
      <c r="D2839" s="605"/>
      <c r="E2839" s="605" t="str">
        <f>IFERROR(__xludf.DUMMYFUNCTION("""COMPUTED_VALUE"""),"SCHNEIDER")</f>
        <v>SCHNEIDER</v>
      </c>
      <c r="F2839" s="605" t="str">
        <f>IFERROR(__xludf.DUMMYFUNCTION("""COMPUTED_VALUE"""),"IEM2455")</f>
        <v>IEM2455</v>
      </c>
      <c r="G2839" s="605"/>
      <c r="H2839" s="605"/>
      <c r="I2839" s="605"/>
      <c r="J2839" s="606"/>
      <c r="K2839" s="605"/>
      <c r="L2839" s="605"/>
      <c r="M2839" s="605"/>
      <c r="N2839" s="605"/>
      <c r="O2839" s="605"/>
      <c r="P2839" s="605" t="s">
        <v>4298</v>
      </c>
    </row>
    <row r="2840">
      <c r="A2840" s="605"/>
      <c r="B2840" s="605"/>
      <c r="C2840" s="605"/>
      <c r="D2840" s="605"/>
      <c r="E2840" s="605" t="str">
        <f>IFERROR(__xludf.DUMMYFUNCTION("""COMPUTED_VALUE"""),"SCHNEIDER")</f>
        <v>SCHNEIDER</v>
      </c>
      <c r="F2840" s="605" t="str">
        <f>IFERROR(__xludf.DUMMYFUNCTION("""COMPUTED_VALUE"""),"IEM2155")</f>
        <v>IEM2155</v>
      </c>
      <c r="G2840" s="605"/>
      <c r="H2840" s="605"/>
      <c r="I2840" s="605"/>
      <c r="J2840" s="606"/>
      <c r="K2840" s="605"/>
      <c r="L2840" s="605"/>
      <c r="M2840" s="605"/>
      <c r="N2840" s="605"/>
      <c r="O2840" s="605"/>
      <c r="P2840" s="605" t="s">
        <v>4301</v>
      </c>
    </row>
    <row r="2841">
      <c r="A2841" s="605"/>
      <c r="B2841" s="605"/>
      <c r="C2841" s="605"/>
      <c r="D2841" s="605"/>
      <c r="E2841" s="605" t="str">
        <f>IFERROR(__xludf.DUMMYFUNCTION("""COMPUTED_VALUE"""),"SCHNEIDER")</f>
        <v>SCHNEIDER</v>
      </c>
      <c r="F2841" s="605" t="str">
        <f>IFERROR(__xludf.DUMMYFUNCTION("""COMPUTED_VALUE"""),"EASYLOGIC MP-C")</f>
        <v>EASYLOGIC MP-C</v>
      </c>
      <c r="G2841" s="605"/>
      <c r="H2841" s="605"/>
      <c r="I2841" s="605"/>
      <c r="J2841" s="606"/>
      <c r="K2841" s="605"/>
      <c r="L2841" s="605"/>
      <c r="M2841" s="605"/>
      <c r="N2841" s="605"/>
      <c r="O2841" s="605"/>
      <c r="P2841" s="605" t="s">
        <v>4304</v>
      </c>
    </row>
    <row r="2842">
      <c r="A2842" s="605"/>
      <c r="B2842" s="605"/>
      <c r="C2842" s="605"/>
      <c r="D2842" s="605"/>
      <c r="E2842" s="605" t="str">
        <f>IFERROR(__xludf.DUMMYFUNCTION("""COMPUTED_VALUE"""),"SCHNEIDER")</f>
        <v>SCHNEIDER</v>
      </c>
      <c r="F2842" s="605" t="str">
        <f>IFERROR(__xludf.DUMMYFUNCTION("""COMPUTED_VALUE"""),"ALTIVAR 212 VSD")</f>
        <v>ALTIVAR 212 VSD</v>
      </c>
      <c r="G2842" s="605"/>
      <c r="H2842" s="605"/>
      <c r="I2842" s="605"/>
      <c r="J2842" s="606"/>
      <c r="K2842" s="605"/>
      <c r="L2842" s="605"/>
      <c r="M2842" s="605"/>
      <c r="N2842" s="605"/>
      <c r="O2842" s="605"/>
      <c r="P2842" s="605" t="s">
        <v>4307</v>
      </c>
    </row>
    <row r="2843">
      <c r="A2843" s="605"/>
      <c r="B2843" s="605"/>
      <c r="C2843" s="605"/>
      <c r="D2843" s="605"/>
      <c r="E2843" s="605" t="str">
        <f>IFERROR(__xludf.DUMMYFUNCTION("""COMPUTED_VALUE"""),"SCHNEIDER")</f>
        <v>SCHNEIDER</v>
      </c>
      <c r="F2843" s="605" t="str">
        <f>IFERROR(__xludf.DUMMYFUNCTION("""COMPUTED_VALUE"""),"EASY MODICON M200")</f>
        <v>EASY MODICON M200</v>
      </c>
      <c r="G2843" s="605"/>
      <c r="H2843" s="605"/>
      <c r="I2843" s="605"/>
      <c r="J2843" s="606"/>
      <c r="K2843" s="605"/>
      <c r="L2843" s="605"/>
      <c r="M2843" s="605"/>
      <c r="N2843" s="605"/>
      <c r="O2843" s="605"/>
      <c r="P2843" s="605" t="s">
        <v>4310</v>
      </c>
    </row>
    <row r="2844">
      <c r="A2844" s="605"/>
      <c r="B2844" s="605"/>
      <c r="C2844" s="605"/>
      <c r="D2844" s="605"/>
      <c r="E2844" s="605" t="str">
        <f>IFERROR(__xludf.DUMMYFUNCTION("""COMPUTED_VALUE"""),"SCHNEIDER")</f>
        <v>SCHNEIDER</v>
      </c>
      <c r="F2844" s="605" t="str">
        <f>IFERROR(__xludf.DUMMYFUNCTION("""COMPUTED_VALUE"""),"CONZERV EM6438H")</f>
        <v>CONZERV EM6438H</v>
      </c>
      <c r="G2844" s="605"/>
      <c r="H2844" s="605"/>
      <c r="I2844" s="605"/>
      <c r="J2844" s="606"/>
      <c r="K2844" s="605"/>
      <c r="L2844" s="605"/>
      <c r="M2844" s="605"/>
      <c r="N2844" s="605"/>
      <c r="O2844" s="605"/>
      <c r="P2844" s="605" t="s">
        <v>4313</v>
      </c>
    </row>
    <row r="2845">
      <c r="A2845" s="605"/>
      <c r="B2845" s="605"/>
      <c r="C2845" s="605"/>
      <c r="D2845" s="605"/>
      <c r="E2845" s="605" t="str">
        <f>IFERROR(__xludf.DUMMYFUNCTION("""COMPUTED_VALUE"""),"SCHNEIDER")</f>
        <v>SCHNEIDER</v>
      </c>
      <c r="F2845" s="605" t="str">
        <f>IFERROR(__xludf.DUMMYFUNCTION("""COMPUTED_VALUE"""),"EASYLOGIC EM6400NG+")</f>
        <v>EASYLOGIC EM6400NG+</v>
      </c>
      <c r="G2845" s="605"/>
      <c r="H2845" s="605"/>
      <c r="I2845" s="605"/>
      <c r="J2845" s="606"/>
      <c r="K2845" s="605"/>
      <c r="L2845" s="605"/>
      <c r="M2845" s="605"/>
      <c r="N2845" s="605"/>
      <c r="O2845" s="605"/>
      <c r="P2845" s="605" t="s">
        <v>4316</v>
      </c>
    </row>
    <row r="2846">
      <c r="A2846" s="605"/>
      <c r="B2846" s="605"/>
      <c r="C2846" s="605"/>
      <c r="D2846" s="605"/>
      <c r="E2846" s="605" t="str">
        <f>IFERROR(__xludf.DUMMYFUNCTION("""COMPUTED_VALUE"""),"SCHNEIDER")</f>
        <v>SCHNEIDER</v>
      </c>
      <c r="F2846" s="605" t="str">
        <f>IFERROR(__xludf.DUMMYFUNCTION("""COMPUTED_VALUE"""),"KNX/IP ROUTER REG-K")</f>
        <v>KNX/IP ROUTER REG-K</v>
      </c>
      <c r="G2846" s="605"/>
      <c r="H2846" s="605"/>
      <c r="I2846" s="605"/>
      <c r="J2846" s="606"/>
      <c r="K2846" s="605"/>
      <c r="L2846" s="605"/>
      <c r="M2846" s="605"/>
      <c r="N2846" s="605"/>
      <c r="O2846" s="605"/>
      <c r="P2846" s="605" t="s">
        <v>4319</v>
      </c>
    </row>
    <row r="2847">
      <c r="A2847" s="605"/>
      <c r="B2847" s="605"/>
      <c r="C2847" s="605"/>
      <c r="D2847" s="605"/>
      <c r="E2847" s="605" t="str">
        <f>IFERROR(__xludf.DUMMYFUNCTION("""COMPUTED_VALUE"""),"SCHNEIDER")</f>
        <v>SCHNEIDER</v>
      </c>
      <c r="F2847" s="605" t="str">
        <f>IFERROR(__xludf.DUMMYFUNCTION("""COMPUTED_VALUE"""),"HRCPBG28R")</f>
        <v>HRCPBG28R</v>
      </c>
      <c r="G2847" s="605"/>
      <c r="H2847" s="605"/>
      <c r="I2847" s="605"/>
      <c r="J2847" s="606"/>
      <c r="K2847" s="605"/>
      <c r="L2847" s="605"/>
      <c r="M2847" s="605"/>
      <c r="N2847" s="605"/>
      <c r="O2847" s="605"/>
      <c r="P2847" s="605" t="s">
        <v>4322</v>
      </c>
    </row>
    <row r="2848">
      <c r="A2848" s="605"/>
      <c r="B2848" s="605"/>
      <c r="C2848" s="605"/>
      <c r="D2848" s="605"/>
      <c r="E2848" s="605" t="str">
        <f>IFERROR(__xludf.DUMMYFUNCTION("""COMPUTED_VALUE"""),"SCHNEIDER")</f>
        <v>SCHNEIDER</v>
      </c>
      <c r="F2848" s="605" t="str">
        <f>IFERROR(__xludf.DUMMYFUNCTION("""COMPUTED_VALUE"""),"POWERLOGIC PM5300")</f>
        <v>POWERLOGIC PM5300</v>
      </c>
      <c r="G2848" s="605"/>
      <c r="H2848" s="605"/>
      <c r="I2848" s="605"/>
      <c r="J2848" s="606"/>
      <c r="K2848" s="605"/>
      <c r="L2848" s="605"/>
      <c r="M2848" s="605"/>
      <c r="N2848" s="605"/>
      <c r="O2848" s="605"/>
      <c r="P2848" s="605" t="s">
        <v>4325</v>
      </c>
    </row>
    <row r="2849">
      <c r="A2849" s="605"/>
      <c r="B2849" s="605"/>
      <c r="C2849" s="605"/>
      <c r="D2849" s="605"/>
      <c r="E2849" s="605" t="str">
        <f>IFERROR(__xludf.DUMMYFUNCTION("""COMPUTED_VALUE"""),"SCHNEIDER")</f>
        <v>SCHNEIDER</v>
      </c>
      <c r="F2849" s="605" t="str">
        <f>IFERROR(__xludf.DUMMYFUNCTION("""COMPUTED_VALUE"""),"ACCUSINE PCS+")</f>
        <v>ACCUSINE PCS+</v>
      </c>
      <c r="G2849" s="605"/>
      <c r="H2849" s="605"/>
      <c r="I2849" s="605"/>
      <c r="J2849" s="606"/>
      <c r="K2849" s="605"/>
      <c r="L2849" s="605"/>
      <c r="M2849" s="605"/>
      <c r="N2849" s="605"/>
      <c r="O2849" s="605"/>
      <c r="P2849" s="605" t="s">
        <v>2879</v>
      </c>
    </row>
    <row r="2850">
      <c r="A2850" s="605"/>
      <c r="B2850" s="605"/>
      <c r="C2850" s="605"/>
      <c r="D2850" s="605"/>
      <c r="E2850" s="605" t="str">
        <f>IFERROR(__xludf.DUMMYFUNCTION("""COMPUTED_VALUE"""),"SCHNEIDER")</f>
        <v>SCHNEIDER</v>
      </c>
      <c r="F2850" s="605" t="str">
        <f>IFERROR(__xludf.DUMMYFUNCTION("""COMPUTED_VALUE"""),"EASY MODICON M100")</f>
        <v>EASY MODICON M100</v>
      </c>
      <c r="G2850" s="605"/>
      <c r="H2850" s="605"/>
      <c r="I2850" s="605"/>
      <c r="J2850" s="606"/>
      <c r="K2850" s="605"/>
      <c r="L2850" s="605"/>
      <c r="M2850" s="605"/>
      <c r="N2850" s="605"/>
      <c r="O2850" s="605"/>
      <c r="P2850" s="605" t="s">
        <v>3012</v>
      </c>
    </row>
    <row r="2851">
      <c r="A2851" s="605"/>
      <c r="B2851" s="605"/>
      <c r="C2851" s="605"/>
      <c r="D2851" s="605"/>
      <c r="E2851" s="605" t="str">
        <f>IFERROR(__xludf.DUMMYFUNCTION("""COMPUTED_VALUE"""),"SCHNEIDER")</f>
        <v>SCHNEIDER</v>
      </c>
      <c r="F2851" s="605" t="str">
        <f>IFERROR(__xludf.DUMMYFUNCTION("""COMPUTED_VALUE"""),"EASY HARMONY ET6")</f>
        <v>EASY HARMONY ET6</v>
      </c>
      <c r="G2851" s="605"/>
      <c r="H2851" s="605"/>
      <c r="I2851" s="605"/>
      <c r="J2851" s="606"/>
      <c r="K2851" s="605"/>
      <c r="L2851" s="605"/>
      <c r="M2851" s="605"/>
      <c r="N2851" s="605"/>
      <c r="O2851" s="605"/>
      <c r="P2851" s="605" t="s">
        <v>4328</v>
      </c>
    </row>
    <row r="2852">
      <c r="A2852" s="605"/>
      <c r="B2852" s="605"/>
      <c r="C2852" s="605"/>
      <c r="D2852" s="605"/>
      <c r="E2852" s="605" t="str">
        <f>IFERROR(__xludf.DUMMYFUNCTION("""COMPUTED_VALUE"""),"SCHNEIDER")</f>
        <v>SCHNEIDER</v>
      </c>
      <c r="F2852" s="605" t="str">
        <f>IFERROR(__xludf.DUMMYFUNCTION("""COMPUTED_VALUE"""),"HARMONY STU855W")</f>
        <v>HARMONY STU855W</v>
      </c>
      <c r="G2852" s="605"/>
      <c r="H2852" s="605"/>
      <c r="I2852" s="605"/>
      <c r="J2852" s="606"/>
      <c r="K2852" s="605"/>
      <c r="L2852" s="605"/>
      <c r="M2852" s="605"/>
      <c r="N2852" s="605"/>
      <c r="O2852" s="605"/>
      <c r="P2852" s="605" t="s">
        <v>4331</v>
      </c>
    </row>
    <row r="2853">
      <c r="A2853" s="605"/>
      <c r="B2853" s="605"/>
      <c r="C2853" s="605"/>
      <c r="D2853" s="605"/>
      <c r="E2853" s="605" t="str">
        <f>IFERROR(__xludf.DUMMYFUNCTION("""COMPUTED_VALUE"""),"SCHNEIDER")</f>
        <v>SCHNEIDER</v>
      </c>
      <c r="F2853" s="605" t="str">
        <f>IFERROR(__xludf.DUMMYFUNCTION("""COMPUTED_VALUE"""),"IEM3455")</f>
        <v>IEM3455</v>
      </c>
      <c r="G2853" s="605"/>
      <c r="H2853" s="605"/>
      <c r="I2853" s="605"/>
      <c r="J2853" s="606"/>
      <c r="K2853" s="605"/>
      <c r="L2853" s="605"/>
      <c r="M2853" s="605"/>
      <c r="N2853" s="605"/>
      <c r="O2853" s="605"/>
      <c r="P2853" s="605" t="s">
        <v>4334</v>
      </c>
    </row>
    <row r="2854">
      <c r="A2854" s="605"/>
      <c r="B2854" s="605"/>
      <c r="C2854" s="605"/>
      <c r="D2854" s="605"/>
      <c r="E2854" s="605" t="str">
        <f>IFERROR(__xludf.DUMMYFUNCTION("""COMPUTED_VALUE"""),"SCHNEIDER")</f>
        <v>SCHNEIDER</v>
      </c>
      <c r="F2854" s="605" t="str">
        <f>IFERROR(__xludf.DUMMYFUNCTION("""COMPUTED_VALUE"""),"MOTIVAIR M12-F")</f>
        <v>MOTIVAIR M12-F</v>
      </c>
      <c r="G2854" s="605"/>
      <c r="H2854" s="605"/>
      <c r="I2854" s="605"/>
      <c r="J2854" s="606"/>
      <c r="K2854" s="605"/>
      <c r="L2854" s="605"/>
      <c r="M2854" s="605"/>
      <c r="N2854" s="605"/>
      <c r="O2854" s="605"/>
      <c r="P2854" s="605" t="s">
        <v>4337</v>
      </c>
    </row>
    <row r="2855">
      <c r="A2855" s="605"/>
      <c r="B2855" s="605"/>
      <c r="C2855" s="605"/>
      <c r="D2855" s="605"/>
      <c r="E2855" s="605" t="str">
        <f>IFERROR(__xludf.DUMMYFUNCTION("""COMPUTED_VALUE"""),"SCHNEIDER")</f>
        <v>SCHNEIDER</v>
      </c>
      <c r="F2855" s="605" t="str">
        <f>IFERROR(__xludf.DUMMYFUNCTION("""COMPUTED_VALUE"""),"GALAXY VX")</f>
        <v>GALAXY VX</v>
      </c>
      <c r="G2855" s="605"/>
      <c r="H2855" s="605"/>
      <c r="I2855" s="605"/>
      <c r="J2855" s="606"/>
      <c r="K2855" s="605"/>
      <c r="L2855" s="605"/>
      <c r="M2855" s="605"/>
      <c r="N2855" s="605"/>
      <c r="O2855" s="605"/>
      <c r="P2855" s="605" t="s">
        <v>4340</v>
      </c>
    </row>
    <row r="2856">
      <c r="A2856" s="605"/>
      <c r="B2856" s="605"/>
      <c r="C2856" s="605"/>
      <c r="D2856" s="605"/>
      <c r="E2856" s="605" t="str">
        <f>IFERROR(__xludf.DUMMYFUNCTION("""COMPUTED_VALUE"""),"SCHNEIDER")</f>
        <v>SCHNEIDER</v>
      </c>
      <c r="F2856" s="605" t="str">
        <f>IFERROR(__xludf.DUMMYFUNCTION("""COMPUTED_VALUE"""),"POWERLOGIC PM5330")</f>
        <v>POWERLOGIC PM5330</v>
      </c>
      <c r="G2856" s="605"/>
      <c r="H2856" s="605"/>
      <c r="I2856" s="605"/>
      <c r="J2856" s="606"/>
      <c r="K2856" s="605"/>
      <c r="L2856" s="605"/>
      <c r="M2856" s="605"/>
      <c r="N2856" s="605"/>
      <c r="O2856" s="605"/>
      <c r="P2856" s="605" t="s">
        <v>4343</v>
      </c>
    </row>
    <row r="2857">
      <c r="A2857" s="605"/>
      <c r="B2857" s="605"/>
      <c r="C2857" s="605"/>
      <c r="D2857" s="605"/>
      <c r="E2857" s="605" t="str">
        <f>IFERROR(__xludf.DUMMYFUNCTION("""COMPUTED_VALUE"""),"SCHNEIDER")</f>
        <v>SCHNEIDER</v>
      </c>
      <c r="F2857" s="605" t="str">
        <f>IFERROR(__xludf.DUMMYFUNCTION("""COMPUTED_VALUE"""),"MOTIVAIR CDU")</f>
        <v>MOTIVAIR CDU</v>
      </c>
      <c r="G2857" s="605"/>
      <c r="H2857" s="605"/>
      <c r="I2857" s="605"/>
      <c r="J2857" s="606"/>
      <c r="K2857" s="605"/>
      <c r="L2857" s="605"/>
      <c r="M2857" s="605"/>
      <c r="N2857" s="605"/>
      <c r="O2857" s="605"/>
      <c r="P2857" s="605" t="s">
        <v>4346</v>
      </c>
    </row>
    <row r="2858">
      <c r="A2858" s="605"/>
      <c r="B2858" s="605"/>
      <c r="C2858" s="605"/>
      <c r="D2858" s="605"/>
      <c r="E2858" s="605" t="str">
        <f>IFERROR(__xludf.DUMMYFUNCTION("""COMPUTED_VALUE"""),"SCHNEIDER ELECTRIC")</f>
        <v>SCHNEIDER ELECTRIC</v>
      </c>
      <c r="F2858" s="605" t="str">
        <f>IFERROR(__xludf.DUMMYFUNCTION("""COMPUTED_VALUE"""),"INROW RD - ACRD100")</f>
        <v>INROW RD - ACRD100</v>
      </c>
      <c r="G2858" s="605"/>
      <c r="H2858" s="605"/>
      <c r="I2858" s="605"/>
      <c r="J2858" s="606"/>
      <c r="K2858" s="605"/>
      <c r="L2858" s="605"/>
      <c r="M2858" s="605"/>
      <c r="N2858" s="605"/>
      <c r="O2858" s="605"/>
      <c r="P2858" s="605" t="s">
        <v>4349</v>
      </c>
    </row>
    <row r="2859">
      <c r="A2859" s="605"/>
      <c r="B2859" s="605"/>
      <c r="C2859" s="605"/>
      <c r="D2859" s="605"/>
      <c r="E2859" s="605" t="str">
        <f>IFERROR(__xludf.DUMMYFUNCTION("""COMPUTED_VALUE"""),"SCHNEIDER ELECTRIC")</f>
        <v>SCHNEIDER ELECTRIC</v>
      </c>
      <c r="F2859" s="605" t="str">
        <f>IFERROR(__xludf.DUMMYFUNCTION("""COMPUTED_VALUE"""),"ON-96783")</f>
        <v>ON-96783</v>
      </c>
      <c r="G2859" s="605"/>
      <c r="H2859" s="605"/>
      <c r="I2859" s="605"/>
      <c r="J2859" s="606"/>
      <c r="K2859" s="605"/>
      <c r="L2859" s="605"/>
      <c r="M2859" s="605"/>
      <c r="N2859" s="605"/>
      <c r="O2859" s="605"/>
      <c r="P2859" s="605" t="s">
        <v>4352</v>
      </c>
    </row>
    <row r="2860">
      <c r="A2860" s="605"/>
      <c r="B2860" s="605"/>
      <c r="C2860" s="605"/>
      <c r="D2860" s="605"/>
      <c r="E2860" s="605" t="str">
        <f>IFERROR(__xludf.DUMMYFUNCTION("""COMPUTED_VALUE"""),"SCHNEIDER ELECTRIC")</f>
        <v>SCHNEIDER ELECTRIC</v>
      </c>
      <c r="F2860" s="605" t="str">
        <f>IFERROR(__xludf.DUMMYFUNCTION("""COMPUTED_VALUE"""),"ON-96783")</f>
        <v>ON-96783</v>
      </c>
      <c r="G2860" s="605"/>
      <c r="H2860" s="605"/>
      <c r="I2860" s="605"/>
      <c r="J2860" s="606"/>
      <c r="K2860" s="605"/>
      <c r="L2860" s="605"/>
      <c r="M2860" s="605"/>
      <c r="N2860" s="605"/>
      <c r="O2860" s="605"/>
      <c r="P2860" s="605" t="s">
        <v>4355</v>
      </c>
    </row>
    <row r="2861">
      <c r="A2861" s="605"/>
      <c r="B2861" s="605"/>
      <c r="C2861" s="605"/>
      <c r="D2861" s="605"/>
      <c r="E2861" s="605" t="str">
        <f>IFERROR(__xludf.DUMMYFUNCTION("""COMPUTED_VALUE"""),"SCHNEIDER ELECTRIC")</f>
        <v>SCHNEIDER ELECTRIC</v>
      </c>
      <c r="F2861" s="605" t="str">
        <f>IFERROR(__xludf.DUMMYFUNCTION("""COMPUTED_VALUE"""),"EM6400")</f>
        <v>EM6400</v>
      </c>
      <c r="G2861" s="605"/>
      <c r="H2861" s="605"/>
      <c r="I2861" s="605"/>
      <c r="J2861" s="606"/>
      <c r="K2861" s="605"/>
      <c r="L2861" s="605"/>
      <c r="M2861" s="605"/>
      <c r="N2861" s="605"/>
      <c r="O2861" s="605"/>
      <c r="P2861" s="605" t="s">
        <v>3015</v>
      </c>
    </row>
    <row r="2862">
      <c r="A2862" s="605"/>
      <c r="B2862" s="605"/>
      <c r="C2862" s="605"/>
      <c r="D2862" s="605"/>
      <c r="E2862" s="605" t="str">
        <f>IFERROR(__xludf.DUMMYFUNCTION("""COMPUTED_VALUE"""),"SCHNEIDER ELECTRIC")</f>
        <v>SCHNEIDER ELECTRIC</v>
      </c>
      <c r="F2862" s="605" t="str">
        <f>IFERROR(__xludf.DUMMYFUNCTION("""COMPUTED_VALUE"""),"EASY UPS 3M")</f>
        <v>EASY UPS 3M</v>
      </c>
      <c r="G2862" s="605"/>
      <c r="H2862" s="605"/>
      <c r="I2862" s="605"/>
      <c r="J2862" s="606"/>
      <c r="K2862" s="605"/>
      <c r="L2862" s="605"/>
      <c r="M2862" s="605"/>
      <c r="N2862" s="605"/>
      <c r="O2862" s="605"/>
      <c r="P2862" s="605" t="s">
        <v>4358</v>
      </c>
    </row>
    <row r="2863">
      <c r="A2863" s="605"/>
      <c r="B2863" s="605"/>
      <c r="C2863" s="605"/>
      <c r="D2863" s="605"/>
      <c r="E2863" s="605" t="str">
        <f>IFERROR(__xludf.DUMMYFUNCTION("""COMPUTED_VALUE"""),"SCHNEIDER ELECTRIC")</f>
        <v>SCHNEIDER ELECTRIC</v>
      </c>
      <c r="F2863" s="605" t="str">
        <f>IFERROR(__xludf.DUMMYFUNCTION("""COMPUTED_VALUE"""),"A9XMSB11")</f>
        <v>A9XMSB11</v>
      </c>
      <c r="G2863" s="605"/>
      <c r="H2863" s="605"/>
      <c r="I2863" s="605"/>
      <c r="J2863" s="606"/>
      <c r="K2863" s="605"/>
      <c r="L2863" s="605"/>
      <c r="M2863" s="605"/>
      <c r="N2863" s="605"/>
      <c r="O2863" s="605"/>
      <c r="P2863" s="605" t="s">
        <v>4360</v>
      </c>
    </row>
    <row r="2864">
      <c r="A2864" s="605"/>
      <c r="B2864" s="605"/>
      <c r="C2864" s="605"/>
      <c r="D2864" s="605"/>
      <c r="E2864" s="605" t="str">
        <f>IFERROR(__xludf.DUMMYFUNCTION("""COMPUTED_VALUE"""),"SDMO")</f>
        <v>SDMO</v>
      </c>
      <c r="F2864" s="605" t="str">
        <f>IFERROR(__xludf.DUMMYFUNCTION("""COMPUTED_VALUE"""),"J220")</f>
        <v>J220</v>
      </c>
      <c r="G2864" s="605"/>
      <c r="H2864" s="605"/>
      <c r="I2864" s="605"/>
      <c r="J2864" s="606"/>
      <c r="K2864" s="605"/>
      <c r="L2864" s="605"/>
      <c r="M2864" s="605"/>
      <c r="N2864" s="605"/>
      <c r="O2864" s="605"/>
      <c r="P2864" s="605" t="s">
        <v>4363</v>
      </c>
    </row>
    <row r="2865">
      <c r="A2865" s="605"/>
      <c r="B2865" s="605"/>
      <c r="C2865" s="605"/>
      <c r="D2865" s="605"/>
      <c r="E2865" s="605" t="str">
        <f>IFERROR(__xludf.DUMMYFUNCTION("""COMPUTED_VALUE"""),"SE ADAPTOLUX")</f>
        <v>SE ADAPTOLUX</v>
      </c>
      <c r="F2865" s="605" t="str">
        <f>IFERROR(__xludf.DUMMYFUNCTION("""COMPUTED_VALUE"""),"IP-MASTER MA-IP-2")</f>
        <v>IP-MASTER MA-IP-2</v>
      </c>
      <c r="G2865" s="605"/>
      <c r="H2865" s="605"/>
      <c r="I2865" s="605"/>
      <c r="J2865" s="606"/>
      <c r="K2865" s="605"/>
      <c r="L2865" s="605"/>
      <c r="M2865" s="605"/>
      <c r="N2865" s="605"/>
      <c r="O2865" s="605"/>
      <c r="P2865" s="605" t="s">
        <v>4365</v>
      </c>
    </row>
    <row r="2866">
      <c r="A2866" s="605"/>
      <c r="B2866" s="605"/>
      <c r="C2866" s="605"/>
      <c r="D2866" s="605"/>
      <c r="E2866" s="605" t="str">
        <f>IFERROR(__xludf.DUMMYFUNCTION("""COMPUTED_VALUE"""),"SEAGA")</f>
        <v>SEAGA</v>
      </c>
      <c r="F2866" s="605" t="str">
        <f>IFERROR(__xludf.DUMMYFUNCTION("""COMPUTED_VALUE"""),"INF4C")</f>
        <v>INF4C</v>
      </c>
      <c r="G2866" s="605"/>
      <c r="H2866" s="605"/>
      <c r="I2866" s="605"/>
      <c r="J2866" s="606"/>
      <c r="K2866" s="605"/>
      <c r="L2866" s="605"/>
      <c r="M2866" s="605"/>
      <c r="N2866" s="605"/>
      <c r="O2866" s="605"/>
      <c r="P2866" s="605" t="s">
        <v>4368</v>
      </c>
    </row>
    <row r="2867">
      <c r="A2867" s="605"/>
      <c r="B2867" s="605"/>
      <c r="C2867" s="605"/>
      <c r="D2867" s="605"/>
      <c r="E2867" s="605" t="str">
        <f>IFERROR(__xludf.DUMMYFUNCTION("""COMPUTED_VALUE"""),"SEAGA")</f>
        <v>SEAGA</v>
      </c>
      <c r="F2867" s="605" t="str">
        <f>IFERROR(__xludf.DUMMYFUNCTION("""COMPUTED_VALUE"""),"VENDINGMACHINE")</f>
        <v>VENDINGMACHINE</v>
      </c>
      <c r="G2867" s="605"/>
      <c r="H2867" s="605"/>
      <c r="I2867" s="605"/>
      <c r="J2867" s="606"/>
      <c r="K2867" s="605"/>
      <c r="L2867" s="605"/>
      <c r="M2867" s="605"/>
      <c r="N2867" s="605"/>
      <c r="O2867" s="605"/>
      <c r="P2867" s="605" t="s">
        <v>4370</v>
      </c>
    </row>
    <row r="2868">
      <c r="A2868" s="605"/>
      <c r="B2868" s="605"/>
      <c r="C2868" s="605"/>
      <c r="D2868" s="605"/>
      <c r="E2868" s="605" t="str">
        <f>IFERROR(__xludf.DUMMYFUNCTION("""COMPUTED_VALUE"""),"SECOMEA")</f>
        <v>SECOMEA</v>
      </c>
      <c r="F2868" s="605" t="str">
        <f>IFERROR(__xludf.DUMMYFUNCTION("""COMPUTED_VALUE"""),"SITE MANAGER")</f>
        <v>SITE MANAGER</v>
      </c>
      <c r="G2868" s="605"/>
      <c r="H2868" s="605"/>
      <c r="I2868" s="605"/>
      <c r="J2868" s="606"/>
      <c r="K2868" s="605"/>
      <c r="L2868" s="605"/>
      <c r="M2868" s="605"/>
      <c r="N2868" s="605"/>
      <c r="O2868" s="605"/>
      <c r="P2868" s="605" t="s">
        <v>4372</v>
      </c>
    </row>
    <row r="2869">
      <c r="A2869" s="605"/>
      <c r="B2869" s="605"/>
      <c r="C2869" s="605"/>
      <c r="D2869" s="605"/>
      <c r="E2869" s="605" t="str">
        <f>IFERROR(__xludf.DUMMYFUNCTION("""COMPUTED_VALUE"""),"SECURITON")</f>
        <v>SECURITON</v>
      </c>
      <c r="F2869" s="605" t="str">
        <f>IFERROR(__xludf.DUMMYFUNCTION("""COMPUTED_VALUE"""),"ASD 532")</f>
        <v>ASD 532</v>
      </c>
      <c r="G2869" s="605"/>
      <c r="H2869" s="605"/>
      <c r="I2869" s="605"/>
      <c r="J2869" s="606"/>
      <c r="K2869" s="605"/>
      <c r="L2869" s="605"/>
      <c r="M2869" s="605"/>
      <c r="N2869" s="605"/>
      <c r="O2869" s="605"/>
      <c r="P2869" s="605" t="s">
        <v>4374</v>
      </c>
    </row>
    <row r="2870">
      <c r="A2870" s="605"/>
      <c r="B2870" s="605"/>
      <c r="C2870" s="605"/>
      <c r="D2870" s="605"/>
      <c r="E2870" s="605" t="str">
        <f>IFERROR(__xludf.DUMMYFUNCTION("""COMPUTED_VALUE"""),"SEL")</f>
        <v>SEL</v>
      </c>
      <c r="F2870" s="605" t="str">
        <f>IFERROR(__xludf.DUMMYFUNCTION("""COMPUTED_VALUE"""),"SEL-2411")</f>
        <v>SEL-2411</v>
      </c>
      <c r="G2870" s="605"/>
      <c r="H2870" s="605"/>
      <c r="I2870" s="605"/>
      <c r="J2870" s="606"/>
      <c r="K2870" s="605"/>
      <c r="L2870" s="605"/>
      <c r="M2870" s="605"/>
      <c r="N2870" s="605"/>
      <c r="O2870" s="605"/>
      <c r="P2870" s="605" t="s">
        <v>4377</v>
      </c>
    </row>
    <row r="2871">
      <c r="A2871" s="605"/>
      <c r="B2871" s="605"/>
      <c r="C2871" s="605"/>
      <c r="D2871" s="605"/>
      <c r="E2871" s="605" t="str">
        <f>IFERROR(__xludf.DUMMYFUNCTION("""COMPUTED_VALUE"""),"SEL")</f>
        <v>SEL</v>
      </c>
      <c r="F2871" s="605" t="str">
        <f>IFERROR(__xludf.DUMMYFUNCTION("""COMPUTED_VALUE"""),"SEL-3560 RTAC")</f>
        <v>SEL-3560 RTAC</v>
      </c>
      <c r="G2871" s="605"/>
      <c r="H2871" s="605"/>
      <c r="I2871" s="605"/>
      <c r="J2871" s="606"/>
      <c r="K2871" s="605"/>
      <c r="L2871" s="605"/>
      <c r="M2871" s="605"/>
      <c r="N2871" s="605"/>
      <c r="O2871" s="605"/>
      <c r="P2871" s="605" t="s">
        <v>4379</v>
      </c>
    </row>
    <row r="2872">
      <c r="A2872" s="605"/>
      <c r="B2872" s="605"/>
      <c r="C2872" s="605"/>
      <c r="D2872" s="605"/>
      <c r="E2872" s="605" t="str">
        <f>IFERROR(__xludf.DUMMYFUNCTION("""COMPUTED_VALUE"""),"SELEC CONTROLS")</f>
        <v>SELEC CONTROLS</v>
      </c>
      <c r="F2872" s="605" t="str">
        <f>IFERROR(__xludf.DUMMYFUNCTION("""COMPUTED_VALUE"""),"FLEXYS RAIL")</f>
        <v>FLEXYS RAIL</v>
      </c>
      <c r="G2872" s="605"/>
      <c r="H2872" s="605"/>
      <c r="I2872" s="605"/>
      <c r="J2872" s="606"/>
      <c r="K2872" s="605"/>
      <c r="L2872" s="605"/>
      <c r="M2872" s="605"/>
      <c r="N2872" s="605"/>
      <c r="O2872" s="605"/>
      <c r="P2872" s="605" t="s">
        <v>3018</v>
      </c>
    </row>
    <row r="2873">
      <c r="A2873" s="605"/>
      <c r="B2873" s="605"/>
      <c r="C2873" s="605"/>
      <c r="D2873" s="605"/>
      <c r="E2873" s="605" t="str">
        <f>IFERROR(__xludf.DUMMYFUNCTION("""COMPUTED_VALUE"""),"SELEC CONTROLS")</f>
        <v>SELEC CONTROLS</v>
      </c>
      <c r="F2873" s="605" t="str">
        <f>IFERROR(__xludf.DUMMYFUNCTION("""COMPUTED_VALUE"""),"DIGIX-1")</f>
        <v>DIGIX-1</v>
      </c>
      <c r="G2873" s="605"/>
      <c r="H2873" s="605"/>
      <c r="I2873" s="605"/>
      <c r="J2873" s="606"/>
      <c r="K2873" s="605"/>
      <c r="L2873" s="605"/>
      <c r="M2873" s="605"/>
      <c r="N2873" s="605"/>
      <c r="O2873" s="605"/>
      <c r="P2873" s="605" t="s">
        <v>4382</v>
      </c>
    </row>
    <row r="2874">
      <c r="A2874" s="605"/>
      <c r="B2874" s="605"/>
      <c r="C2874" s="605"/>
      <c r="D2874" s="605"/>
      <c r="E2874" s="605" t="str">
        <f>IFERROR(__xludf.DUMMYFUNCTION("""COMPUTED_VALUE"""),"SELEC CONTROLS")</f>
        <v>SELEC CONTROLS</v>
      </c>
      <c r="F2874" s="605" t="str">
        <f>IFERROR(__xludf.DUMMYFUNCTION("""COMPUTED_VALUE"""),"DIGIX-2")</f>
        <v>DIGIX-2</v>
      </c>
      <c r="G2874" s="605"/>
      <c r="H2874" s="605"/>
      <c r="I2874" s="605"/>
      <c r="J2874" s="606"/>
      <c r="K2874" s="605"/>
      <c r="L2874" s="605"/>
      <c r="M2874" s="605"/>
      <c r="N2874" s="605"/>
      <c r="O2874" s="605"/>
      <c r="P2874" s="605" t="s">
        <v>4385</v>
      </c>
    </row>
    <row r="2875">
      <c r="A2875" s="605"/>
      <c r="B2875" s="605"/>
      <c r="C2875" s="605"/>
      <c r="D2875" s="605"/>
      <c r="E2875" s="605" t="str">
        <f>IFERROR(__xludf.DUMMYFUNCTION("""COMPUTED_VALUE"""),"SELEC CONTROLS")</f>
        <v>SELEC CONTROLS</v>
      </c>
      <c r="F2875" s="605" t="str">
        <f>IFERROR(__xludf.DUMMYFUNCTION("""COMPUTED_VALUE"""),"PIC153P")</f>
        <v>PIC153P</v>
      </c>
      <c r="G2875" s="605"/>
      <c r="H2875" s="605"/>
      <c r="I2875" s="605"/>
      <c r="J2875" s="606"/>
      <c r="K2875" s="605"/>
      <c r="L2875" s="605"/>
      <c r="M2875" s="605"/>
      <c r="N2875" s="605"/>
      <c r="O2875" s="605"/>
      <c r="P2875" s="605" t="s">
        <v>4388</v>
      </c>
    </row>
    <row r="2876">
      <c r="A2876" s="605"/>
      <c r="B2876" s="605"/>
      <c r="C2876" s="605"/>
      <c r="D2876" s="605"/>
      <c r="E2876" s="605" t="str">
        <f>IFERROR(__xludf.DUMMYFUNCTION("""COMPUTED_VALUE"""),"SENSAPHONE")</f>
        <v>SENSAPHONE</v>
      </c>
      <c r="F2876" s="605" t="str">
        <f>IFERROR(__xludf.DUMMYFUNCTION("""COMPUTED_VALUE"""),"IMS-4001")</f>
        <v>IMS-4001</v>
      </c>
      <c r="G2876" s="605"/>
      <c r="H2876" s="605"/>
      <c r="I2876" s="605"/>
      <c r="J2876" s="606"/>
      <c r="K2876" s="605"/>
      <c r="L2876" s="605"/>
      <c r="M2876" s="605"/>
      <c r="N2876" s="605"/>
      <c r="O2876" s="605"/>
      <c r="P2876" s="605" t="s">
        <v>4391</v>
      </c>
    </row>
    <row r="2877">
      <c r="A2877" s="605"/>
      <c r="B2877" s="605"/>
      <c r="C2877" s="605"/>
      <c r="D2877" s="605"/>
      <c r="E2877" s="605" t="str">
        <f>IFERROR(__xludf.DUMMYFUNCTION("""COMPUTED_VALUE"""),"SENSAPHONE")</f>
        <v>SENSAPHONE</v>
      </c>
      <c r="F2877" s="605" t="str">
        <f>IFERROR(__xludf.DUMMYFUNCTION("""COMPUTED_VALUE"""),"IMS-4010")</f>
        <v>IMS-4010</v>
      </c>
      <c r="G2877" s="605"/>
      <c r="H2877" s="605"/>
      <c r="I2877" s="605"/>
      <c r="J2877" s="606"/>
      <c r="K2877" s="605"/>
      <c r="L2877" s="605"/>
      <c r="M2877" s="605"/>
      <c r="N2877" s="605"/>
      <c r="O2877" s="605"/>
      <c r="P2877" s="605" t="s">
        <v>4394</v>
      </c>
    </row>
    <row r="2878">
      <c r="A2878" s="605"/>
      <c r="B2878" s="605"/>
      <c r="C2878" s="605"/>
      <c r="D2878" s="605"/>
      <c r="E2878" s="605" t="str">
        <f>IFERROR(__xludf.DUMMYFUNCTION("""COMPUTED_VALUE"""),"SENVA")</f>
        <v>SENVA</v>
      </c>
      <c r="F2878" s="605" t="str">
        <f>IFERROR(__xludf.DUMMYFUNCTION("""COMPUTED_VALUE"""),"CM02AM")</f>
        <v>CM02AM</v>
      </c>
      <c r="G2878" s="605"/>
      <c r="H2878" s="605"/>
      <c r="I2878" s="605"/>
      <c r="J2878" s="606"/>
      <c r="K2878" s="605"/>
      <c r="L2878" s="605"/>
      <c r="M2878" s="605"/>
      <c r="N2878" s="605"/>
      <c r="O2878" s="605"/>
      <c r="P2878" s="605" t="s">
        <v>4397</v>
      </c>
    </row>
    <row r="2879">
      <c r="A2879" s="605"/>
      <c r="B2879" s="605"/>
      <c r="C2879" s="605"/>
      <c r="D2879" s="605"/>
      <c r="E2879" s="605" t="str">
        <f>IFERROR(__xludf.DUMMYFUNCTION("""COMPUTED_VALUE"""),"SFACE900")</f>
        <v>SFACE900</v>
      </c>
      <c r="F2879" s="605" t="str">
        <f>IFERROR(__xludf.DUMMYFUNCTION("""COMPUTED_VALUE"""),"ZKTECO")</f>
        <v>ZKTECO</v>
      </c>
      <c r="G2879" s="605"/>
      <c r="H2879" s="605"/>
      <c r="I2879" s="605"/>
      <c r="J2879" s="606"/>
      <c r="K2879" s="605"/>
      <c r="L2879" s="605"/>
      <c r="M2879" s="605"/>
      <c r="N2879" s="605"/>
      <c r="O2879" s="605"/>
      <c r="P2879" s="605" t="s">
        <v>4400</v>
      </c>
    </row>
    <row r="2880">
      <c r="A2880" s="605"/>
      <c r="B2880" s="605"/>
      <c r="C2880" s="605"/>
      <c r="D2880" s="605"/>
      <c r="E2880" s="605" t="str">
        <f>IFERROR(__xludf.DUMMYFUNCTION("""COMPUTED_VALUE"""),"SHARP")</f>
        <v>SHARP</v>
      </c>
      <c r="F2880" s="605" t="str">
        <f>IFERROR(__xludf.DUMMYFUNCTION("""COMPUTED_VALUE"""),"LC-90LE657U")</f>
        <v>LC-90LE657U</v>
      </c>
      <c r="G2880" s="605"/>
      <c r="H2880" s="605"/>
      <c r="I2880" s="605"/>
      <c r="J2880" s="606"/>
      <c r="K2880" s="605"/>
      <c r="L2880" s="605"/>
      <c r="M2880" s="605"/>
      <c r="N2880" s="605"/>
      <c r="O2880" s="605"/>
      <c r="P2880" s="605" t="s">
        <v>4403</v>
      </c>
    </row>
    <row r="2881">
      <c r="A2881" s="605"/>
      <c r="B2881" s="605"/>
      <c r="C2881" s="605"/>
      <c r="D2881" s="605"/>
      <c r="E2881" s="605" t="str">
        <f>IFERROR(__xludf.DUMMYFUNCTION("""COMPUTED_VALUE"""),"SHARP")</f>
        <v>SHARP</v>
      </c>
      <c r="F2881" s="605" t="str">
        <f>IFERROR(__xludf.DUMMYFUNCTION("""COMPUTED_VALUE"""),"LC-UX30US")</f>
        <v>LC-UX30US</v>
      </c>
      <c r="G2881" s="605"/>
      <c r="H2881" s="605"/>
      <c r="I2881" s="605"/>
      <c r="J2881" s="606"/>
      <c r="K2881" s="605"/>
      <c r="L2881" s="605"/>
      <c r="M2881" s="605"/>
      <c r="N2881" s="605"/>
      <c r="O2881" s="605"/>
      <c r="P2881" s="605" t="s">
        <v>4406</v>
      </c>
    </row>
    <row r="2882">
      <c r="A2882" s="605"/>
      <c r="B2882" s="605"/>
      <c r="C2882" s="605"/>
      <c r="D2882" s="605"/>
      <c r="E2882" s="605" t="str">
        <f>IFERROR(__xludf.DUMMYFUNCTION("""COMPUTED_VALUE"""),"SHARP")</f>
        <v>SHARP</v>
      </c>
      <c r="F2882" s="605" t="str">
        <f>IFERROR(__xludf.DUMMYFUNCTION("""COMPUTED_VALUE"""),"LC70LE836E")</f>
        <v>LC70LE836E</v>
      </c>
      <c r="G2882" s="605"/>
      <c r="H2882" s="605"/>
      <c r="I2882" s="605"/>
      <c r="J2882" s="606"/>
      <c r="K2882" s="605"/>
      <c r="L2882" s="605"/>
      <c r="M2882" s="605"/>
      <c r="N2882" s="605"/>
      <c r="O2882" s="605"/>
      <c r="P2882" s="605" t="s">
        <v>4409</v>
      </c>
    </row>
    <row r="2883">
      <c r="A2883" s="605"/>
      <c r="B2883" s="605"/>
      <c r="C2883" s="605"/>
      <c r="D2883" s="605"/>
      <c r="E2883" s="605" t="str">
        <f>IFERROR(__xludf.DUMMYFUNCTION("""COMPUTED_VALUE"""),"SHENITECH")</f>
        <v>SHENITECH</v>
      </c>
      <c r="F2883" s="605" t="str">
        <f>IFERROR(__xludf.DUMMYFUNCTION("""COMPUTED_VALUE"""),"STUF 280T-DN80")</f>
        <v>STUF 280T-DN80</v>
      </c>
      <c r="G2883" s="605"/>
      <c r="H2883" s="605"/>
      <c r="I2883" s="605"/>
      <c r="J2883" s="606"/>
      <c r="K2883" s="605"/>
      <c r="L2883" s="605"/>
      <c r="M2883" s="605"/>
      <c r="N2883" s="605"/>
      <c r="O2883" s="605"/>
      <c r="P2883" s="605" t="s">
        <v>3021</v>
      </c>
    </row>
    <row r="2884">
      <c r="A2884" s="605"/>
      <c r="B2884" s="605"/>
      <c r="C2884" s="605"/>
      <c r="D2884" s="605"/>
      <c r="E2884" s="605" t="str">
        <f>IFERROR(__xludf.DUMMYFUNCTION("""COMPUTED_VALUE"""),"SHENITECH")</f>
        <v>SHENITECH</v>
      </c>
      <c r="F2884" s="605" t="str">
        <f>IFERROR(__xludf.DUMMYFUNCTION("""COMPUTED_VALUE"""),"MAG888-DN50-5PN25A")</f>
        <v>MAG888-DN50-5PN25A</v>
      </c>
      <c r="G2884" s="605"/>
      <c r="H2884" s="605"/>
      <c r="I2884" s="605"/>
      <c r="J2884" s="606"/>
      <c r="K2884" s="605"/>
      <c r="L2884" s="605"/>
      <c r="M2884" s="605"/>
      <c r="N2884" s="605"/>
      <c r="O2884" s="605"/>
      <c r="P2884" s="605" t="s">
        <v>4412</v>
      </c>
    </row>
    <row r="2885">
      <c r="A2885" s="605"/>
      <c r="B2885" s="605"/>
      <c r="C2885" s="605"/>
      <c r="D2885" s="605"/>
      <c r="E2885" s="605" t="str">
        <f>IFERROR(__xludf.DUMMYFUNCTION("""COMPUTED_VALUE"""),"SHENZEN SHI FANG COMMUNICATION")</f>
        <v>SHENZEN SHI FANG COMMUNICATION</v>
      </c>
      <c r="F2885" s="605" t="str">
        <f>IFERROR(__xludf.DUMMYFUNCTION("""COMPUTED_VALUE"""),"SF-M200U01-1")</f>
        <v>SF-M200U01-1</v>
      </c>
      <c r="G2885" s="605"/>
      <c r="H2885" s="605"/>
      <c r="I2885" s="605"/>
      <c r="J2885" s="606"/>
      <c r="K2885" s="605"/>
      <c r="L2885" s="605"/>
      <c r="M2885" s="605"/>
      <c r="N2885" s="605"/>
      <c r="O2885" s="605"/>
      <c r="P2885" s="605" t="s">
        <v>4415</v>
      </c>
    </row>
    <row r="2886">
      <c r="A2886" s="605"/>
      <c r="B2886" s="605"/>
      <c r="C2886" s="605"/>
      <c r="D2886" s="605"/>
      <c r="E2886" s="605" t="str">
        <f>IFERROR(__xludf.DUMMYFUNCTION("""COMPUTED_VALUE"""),"SHENZEN SHI FANG COMMUNICATION")</f>
        <v>SHENZEN SHI FANG COMMUNICATION</v>
      </c>
      <c r="F2886" s="605" t="str">
        <f>IFERROR(__xludf.DUMMYFUNCTION("""COMPUTED_VALUE"""),"SF-M200U01-1")</f>
        <v>SF-M200U01-1</v>
      </c>
      <c r="G2886" s="605"/>
      <c r="H2886" s="605"/>
      <c r="I2886" s="605"/>
      <c r="J2886" s="606"/>
      <c r="K2886" s="605"/>
      <c r="L2886" s="605"/>
      <c r="M2886" s="605"/>
      <c r="N2886" s="605"/>
      <c r="O2886" s="605"/>
      <c r="P2886" s="605" t="s">
        <v>4418</v>
      </c>
    </row>
    <row r="2887">
      <c r="A2887" s="605"/>
      <c r="B2887" s="605"/>
      <c r="C2887" s="605"/>
      <c r="D2887" s="605"/>
      <c r="E2887" s="605" t="str">
        <f>IFERROR(__xludf.DUMMYFUNCTION("""COMPUTED_VALUE"""),"SHINWOO")</f>
        <v>SHINWOO</v>
      </c>
      <c r="F2887" s="605" t="str">
        <f>IFERROR(__xludf.DUMMYFUNCTION("""COMPUTED_VALUE"""),"GW-F032")</f>
        <v>GW-F032</v>
      </c>
      <c r="G2887" s="605"/>
      <c r="H2887" s="605"/>
      <c r="I2887" s="605"/>
      <c r="J2887" s="606"/>
      <c r="K2887" s="605"/>
      <c r="L2887" s="605"/>
      <c r="M2887" s="605"/>
      <c r="N2887" s="605"/>
      <c r="O2887" s="605"/>
      <c r="P2887" s="605" t="s">
        <v>4421</v>
      </c>
    </row>
    <row r="2888">
      <c r="A2888" s="605"/>
      <c r="B2888" s="605"/>
      <c r="C2888" s="605"/>
      <c r="D2888" s="605"/>
      <c r="E2888" s="605" t="str">
        <f>IFERROR(__xludf.DUMMYFUNCTION("""COMPUTED_VALUE"""),"SHINWOO")</f>
        <v>SHINWOO</v>
      </c>
      <c r="F2888" s="605" t="str">
        <f>IFERROR(__xludf.DUMMYFUNCTION("""COMPUTED_VALUE"""),"SFC-20CM")</f>
        <v>SFC-20CM</v>
      </c>
      <c r="G2888" s="605"/>
      <c r="H2888" s="605"/>
      <c r="I2888" s="605"/>
      <c r="J2888" s="606"/>
      <c r="K2888" s="605"/>
      <c r="L2888" s="605"/>
      <c r="M2888" s="605"/>
      <c r="N2888" s="605"/>
      <c r="O2888" s="605"/>
      <c r="P2888" s="605" t="s">
        <v>4424</v>
      </c>
    </row>
    <row r="2889">
      <c r="A2889" s="605"/>
      <c r="B2889" s="605"/>
      <c r="C2889" s="605"/>
      <c r="D2889" s="605"/>
      <c r="E2889" s="605" t="str">
        <f>IFERROR(__xludf.DUMMYFUNCTION("""COMPUTED_VALUE"""),"SHINWOO")</f>
        <v>SHINWOO</v>
      </c>
      <c r="F2889" s="605" t="str">
        <f>IFERROR(__xludf.DUMMYFUNCTION("""COMPUTED_VALUE"""),"SFC-H SERIES FCU")</f>
        <v>SFC-H SERIES FCU</v>
      </c>
      <c r="G2889" s="605"/>
      <c r="H2889" s="605"/>
      <c r="I2889" s="605"/>
      <c r="J2889" s="606"/>
      <c r="K2889" s="605"/>
      <c r="L2889" s="605"/>
      <c r="M2889" s="605"/>
      <c r="N2889" s="605"/>
      <c r="O2889" s="605"/>
      <c r="P2889" s="605" t="s">
        <v>4427</v>
      </c>
    </row>
    <row r="2890">
      <c r="A2890" s="605"/>
      <c r="B2890" s="605"/>
      <c r="C2890" s="605"/>
      <c r="D2890" s="605"/>
      <c r="E2890" s="605" t="str">
        <f>IFERROR(__xludf.DUMMYFUNCTION("""COMPUTED_VALUE"""),"SICOTRONIC")</f>
        <v>SICOTRONIC</v>
      </c>
      <c r="F2890" s="605" t="str">
        <f>IFERROR(__xludf.DUMMYFUNCTION("""COMPUTED_VALUE"""),"PEAK LOAD OPTIMIZER")</f>
        <v>PEAK LOAD OPTIMIZER</v>
      </c>
      <c r="G2890" s="605"/>
      <c r="H2890" s="605"/>
      <c r="I2890" s="605"/>
      <c r="J2890" s="606"/>
      <c r="K2890" s="605"/>
      <c r="L2890" s="605"/>
      <c r="M2890" s="605"/>
      <c r="N2890" s="605"/>
      <c r="O2890" s="605"/>
      <c r="P2890" s="605" t="s">
        <v>4429</v>
      </c>
    </row>
    <row r="2891">
      <c r="A2891" s="605"/>
      <c r="B2891" s="605"/>
      <c r="C2891" s="605"/>
      <c r="D2891" s="605"/>
      <c r="E2891" s="605" t="str">
        <f>IFERROR(__xludf.DUMMYFUNCTION("""COMPUTED_VALUE"""),"SICOTRONIC")</f>
        <v>SICOTRONIC</v>
      </c>
      <c r="F2891" s="605" t="str">
        <f>IFERROR(__xludf.DUMMYFUNCTION("""COMPUTED_VALUE"""),"ZE5000")</f>
        <v>ZE5000</v>
      </c>
      <c r="G2891" s="605"/>
      <c r="H2891" s="605"/>
      <c r="I2891" s="605"/>
      <c r="J2891" s="606"/>
      <c r="K2891" s="605"/>
      <c r="L2891" s="605"/>
      <c r="M2891" s="605"/>
      <c r="N2891" s="605"/>
      <c r="O2891" s="605"/>
      <c r="P2891" s="605" t="s">
        <v>4432</v>
      </c>
    </row>
    <row r="2892">
      <c r="A2892" s="605"/>
      <c r="B2892" s="605"/>
      <c r="C2892" s="605"/>
      <c r="D2892" s="605"/>
      <c r="E2892" s="605" t="str">
        <f>IFERROR(__xludf.DUMMYFUNCTION("""COMPUTED_VALUE"""),"SIDEWALK LABS")</f>
        <v>SIDEWALK LABS</v>
      </c>
      <c r="F2892" s="605" t="str">
        <f>IFERROR(__xludf.DUMMYFUNCTION("""COMPUTED_VALUE"""),"PEBBLE GATEWAY")</f>
        <v>PEBBLE GATEWAY</v>
      </c>
      <c r="G2892" s="605"/>
      <c r="H2892" s="605"/>
      <c r="I2892" s="605"/>
      <c r="J2892" s="606"/>
      <c r="K2892" s="605"/>
      <c r="L2892" s="605"/>
      <c r="M2892" s="605"/>
      <c r="N2892" s="605"/>
      <c r="O2892" s="605"/>
      <c r="P2892" s="605" t="s">
        <v>4435</v>
      </c>
    </row>
    <row r="2893">
      <c r="A2893" s="605"/>
      <c r="B2893" s="605"/>
      <c r="C2893" s="605"/>
      <c r="D2893" s="605"/>
      <c r="E2893" s="605" t="str">
        <f>IFERROR(__xludf.DUMMYFUNCTION("""COMPUTED_VALUE"""),"SIEMENS")</f>
        <v>SIEMENS</v>
      </c>
      <c r="F2893" s="605" t="str">
        <f>IFERROR(__xludf.DUMMYFUNCTION("""COMPUTED_VALUE"""),"PXG3.L")</f>
        <v>PXG3.L</v>
      </c>
      <c r="G2893" s="605"/>
      <c r="H2893" s="605"/>
      <c r="I2893" s="605"/>
      <c r="J2893" s="606"/>
      <c r="K2893" s="605"/>
      <c r="L2893" s="605"/>
      <c r="M2893" s="605"/>
      <c r="N2893" s="605"/>
      <c r="O2893" s="605"/>
      <c r="P2893" s="605" t="s">
        <v>4437</v>
      </c>
    </row>
    <row r="2894">
      <c r="A2894" s="605"/>
      <c r="B2894" s="605"/>
      <c r="C2894" s="605"/>
      <c r="D2894" s="605"/>
      <c r="E2894" s="605" t="str">
        <f>IFERROR(__xludf.DUMMYFUNCTION("""COMPUTED_VALUE"""),"SIEMENS")</f>
        <v>SIEMENS</v>
      </c>
      <c r="F2894" s="605" t="str">
        <f>IFERROR(__xludf.DUMMYFUNCTION("""COMPUTED_VALUE"""),"5WG1 148-1AB22")</f>
        <v>5WG1 148-1AB22</v>
      </c>
      <c r="G2894" s="605"/>
      <c r="H2894" s="605"/>
      <c r="I2894" s="605"/>
      <c r="J2894" s="606"/>
      <c r="K2894" s="605"/>
      <c r="L2894" s="605"/>
      <c r="M2894" s="605"/>
      <c r="N2894" s="605"/>
      <c r="O2894" s="605"/>
      <c r="P2894" s="605" t="s">
        <v>3024</v>
      </c>
    </row>
    <row r="2895">
      <c r="A2895" s="605"/>
      <c r="B2895" s="605"/>
      <c r="C2895" s="605"/>
      <c r="D2895" s="605"/>
      <c r="E2895" s="605" t="str">
        <f>IFERROR(__xludf.DUMMYFUNCTION("""COMPUTED_VALUE"""),"SIEMENS")</f>
        <v>SIEMENS</v>
      </c>
      <c r="F2895" s="605" t="str">
        <f>IFERROR(__xludf.DUMMYFUNCTION("""COMPUTED_VALUE"""),"6ES7 288-1SR20-0AA0")</f>
        <v>6ES7 288-1SR20-0AA0</v>
      </c>
      <c r="G2895" s="605"/>
      <c r="H2895" s="605"/>
      <c r="I2895" s="605"/>
      <c r="J2895" s="606"/>
      <c r="K2895" s="605"/>
      <c r="L2895" s="605"/>
      <c r="M2895" s="605"/>
      <c r="N2895" s="605"/>
      <c r="O2895" s="605"/>
      <c r="P2895" s="605" t="s">
        <v>4440</v>
      </c>
    </row>
    <row r="2896">
      <c r="A2896" s="605"/>
      <c r="B2896" s="605"/>
      <c r="C2896" s="605"/>
      <c r="D2896" s="605"/>
      <c r="E2896" s="605" t="str">
        <f>IFERROR(__xludf.DUMMYFUNCTION("""COMPUTED_VALUE"""),"SIEMENS")</f>
        <v>SIEMENS</v>
      </c>
      <c r="F2896" s="605" t="str">
        <f>IFERROR(__xludf.DUMMYFUNCTION("""COMPUTED_VALUE"""),"CLIMATIX")</f>
        <v>CLIMATIX</v>
      </c>
      <c r="G2896" s="605"/>
      <c r="H2896" s="605"/>
      <c r="I2896" s="605"/>
      <c r="J2896" s="606"/>
      <c r="K2896" s="605"/>
      <c r="L2896" s="605"/>
      <c r="M2896" s="605"/>
      <c r="N2896" s="605"/>
      <c r="O2896" s="605"/>
      <c r="P2896" s="605" t="s">
        <v>4443</v>
      </c>
    </row>
    <row r="2897">
      <c r="A2897" s="605"/>
      <c r="B2897" s="605"/>
      <c r="C2897" s="605"/>
      <c r="D2897" s="605"/>
      <c r="E2897" s="605" t="str">
        <f>IFERROR(__xludf.DUMMYFUNCTION("""COMPUTED_VALUE"""),"SIEMENS")</f>
        <v>SIEMENS</v>
      </c>
      <c r="F2897" s="605" t="str">
        <f>IFERROR(__xludf.DUMMYFUNCTION("""COMPUTED_VALUE"""),"POL 500")</f>
        <v>POL 500</v>
      </c>
      <c r="G2897" s="605"/>
      <c r="H2897" s="605"/>
      <c r="I2897" s="605"/>
      <c r="J2897" s="606"/>
      <c r="K2897" s="605"/>
      <c r="L2897" s="605"/>
      <c r="M2897" s="605"/>
      <c r="N2897" s="605"/>
      <c r="O2897" s="605"/>
      <c r="P2897" s="605" t="s">
        <v>4446</v>
      </c>
    </row>
    <row r="2898">
      <c r="A2898" s="605"/>
      <c r="B2898" s="605"/>
      <c r="C2898" s="605"/>
      <c r="D2898" s="605"/>
      <c r="E2898" s="605" t="str">
        <f>IFERROR(__xludf.DUMMYFUNCTION("""COMPUTED_VALUE"""),"SIEMENS")</f>
        <v>SIEMENS</v>
      </c>
      <c r="F2898" s="605" t="str">
        <f>IFERROR(__xludf.DUMMYFUNCTION("""COMPUTED_VALUE"""),"CLIMATIX")</f>
        <v>CLIMATIX</v>
      </c>
      <c r="G2898" s="605"/>
      <c r="H2898" s="605"/>
      <c r="I2898" s="605"/>
      <c r="J2898" s="606"/>
      <c r="K2898" s="605"/>
      <c r="L2898" s="605"/>
      <c r="M2898" s="605"/>
      <c r="N2898" s="605"/>
      <c r="O2898" s="605"/>
      <c r="P2898" s="605" t="s">
        <v>4449</v>
      </c>
    </row>
    <row r="2899">
      <c r="A2899" s="605"/>
      <c r="B2899" s="605"/>
      <c r="C2899" s="605"/>
      <c r="D2899" s="605"/>
      <c r="E2899" s="605" t="str">
        <f>IFERROR(__xludf.DUMMYFUNCTION("""COMPUTED_VALUE"""),"SIEMENS")</f>
        <v>SIEMENS</v>
      </c>
      <c r="F2899" s="605" t="str">
        <f>IFERROR(__xludf.DUMMYFUNCTION("""COMPUTED_VALUE"""),"PXC100-E.A")</f>
        <v>PXC100-E.A</v>
      </c>
      <c r="G2899" s="605"/>
      <c r="H2899" s="605"/>
      <c r="I2899" s="605"/>
      <c r="J2899" s="606"/>
      <c r="K2899" s="605"/>
      <c r="L2899" s="605"/>
      <c r="M2899" s="605"/>
      <c r="N2899" s="605"/>
      <c r="O2899" s="605"/>
      <c r="P2899" s="605" t="s">
        <v>4452</v>
      </c>
    </row>
    <row r="2900">
      <c r="A2900" s="605"/>
      <c r="B2900" s="605"/>
      <c r="C2900" s="605"/>
      <c r="D2900" s="605"/>
      <c r="E2900" s="605" t="str">
        <f>IFERROR(__xludf.DUMMYFUNCTION("""COMPUTED_VALUE"""),"SIEMENS")</f>
        <v>SIEMENS</v>
      </c>
      <c r="F2900" s="605" t="str">
        <f>IFERROR(__xludf.DUMMYFUNCTION("""COMPUTED_VALUE"""),"PXC UEC-16")</f>
        <v>PXC UEC-16</v>
      </c>
      <c r="G2900" s="605"/>
      <c r="H2900" s="605"/>
      <c r="I2900" s="605"/>
      <c r="J2900" s="606"/>
      <c r="K2900" s="605"/>
      <c r="L2900" s="605"/>
      <c r="M2900" s="605"/>
      <c r="N2900" s="605"/>
      <c r="O2900" s="605"/>
      <c r="P2900" s="605" t="s">
        <v>4455</v>
      </c>
    </row>
    <row r="2901">
      <c r="A2901" s="605"/>
      <c r="B2901" s="605"/>
      <c r="C2901" s="605"/>
      <c r="D2901" s="605"/>
      <c r="E2901" s="605" t="str">
        <f>IFERROR(__xludf.DUMMYFUNCTION("""COMPUTED_VALUE"""),"SIEMENS")</f>
        <v>SIEMENS</v>
      </c>
      <c r="F2901" s="605" t="str">
        <f>IFERROR(__xludf.DUMMYFUNCTION("""COMPUTED_VALUE"""),"PXG3.L")</f>
        <v>PXG3.L</v>
      </c>
      <c r="G2901" s="605"/>
      <c r="H2901" s="605"/>
      <c r="I2901" s="605"/>
      <c r="J2901" s="606"/>
      <c r="K2901" s="605"/>
      <c r="L2901" s="605"/>
      <c r="M2901" s="605"/>
      <c r="N2901" s="605"/>
      <c r="O2901" s="605"/>
      <c r="P2901" s="605" t="s">
        <v>4457</v>
      </c>
    </row>
    <row r="2902">
      <c r="A2902" s="605"/>
      <c r="B2902" s="605"/>
      <c r="C2902" s="605"/>
      <c r="D2902" s="605"/>
      <c r="E2902" s="605" t="str">
        <f>IFERROR(__xludf.DUMMYFUNCTION("""COMPUTED_VALUE"""),"SIEMENS")</f>
        <v>SIEMENS</v>
      </c>
      <c r="F2902" s="605" t="str">
        <f>IFERROR(__xludf.DUMMYFUNCTION("""COMPUTED_VALUE"""),"PXG3.W100-1")</f>
        <v>PXG3.W100-1</v>
      </c>
      <c r="G2902" s="605"/>
      <c r="H2902" s="605"/>
      <c r="I2902" s="605"/>
      <c r="J2902" s="606"/>
      <c r="K2902" s="605"/>
      <c r="L2902" s="605"/>
      <c r="M2902" s="605"/>
      <c r="N2902" s="605"/>
      <c r="O2902" s="605"/>
      <c r="P2902" s="605" t="s">
        <v>4459</v>
      </c>
    </row>
    <row r="2903">
      <c r="A2903" s="605"/>
      <c r="B2903" s="605"/>
      <c r="C2903" s="605"/>
      <c r="D2903" s="605"/>
      <c r="E2903" s="605" t="str">
        <f>IFERROR(__xludf.DUMMYFUNCTION("""COMPUTED_VALUE"""),"SIEMENS")</f>
        <v>SIEMENS</v>
      </c>
      <c r="F2903" s="605" t="str">
        <f>IFERROR(__xludf.DUMMYFUNCTION("""COMPUTED_VALUE"""),"PXM50")</f>
        <v>PXM50</v>
      </c>
      <c r="G2903" s="605"/>
      <c r="H2903" s="605"/>
      <c r="I2903" s="605"/>
      <c r="J2903" s="606"/>
      <c r="K2903" s="605"/>
      <c r="L2903" s="605"/>
      <c r="M2903" s="605"/>
      <c r="N2903" s="605"/>
      <c r="O2903" s="605"/>
      <c r="P2903" s="605" t="s">
        <v>4461</v>
      </c>
    </row>
    <row r="2904">
      <c r="A2904" s="605"/>
      <c r="B2904" s="605"/>
      <c r="C2904" s="605"/>
      <c r="D2904" s="605"/>
      <c r="E2904" s="605" t="str">
        <f>IFERROR(__xludf.DUMMYFUNCTION("""COMPUTED_VALUE"""),"SIEMENS")</f>
        <v>SIEMENS</v>
      </c>
      <c r="F2904" s="605" t="str">
        <f>IFERROR(__xludf.DUMMYFUNCTION("""COMPUTED_VALUE"""),"RWG1.M12D")</f>
        <v>RWG1.M12D</v>
      </c>
      <c r="G2904" s="605"/>
      <c r="H2904" s="605"/>
      <c r="I2904" s="605"/>
      <c r="J2904" s="606"/>
      <c r="K2904" s="605"/>
      <c r="L2904" s="605"/>
      <c r="M2904" s="605"/>
      <c r="N2904" s="605"/>
      <c r="O2904" s="605"/>
      <c r="P2904" s="605" t="s">
        <v>4464</v>
      </c>
    </row>
    <row r="2905">
      <c r="A2905" s="605"/>
      <c r="B2905" s="605"/>
      <c r="C2905" s="605"/>
      <c r="D2905" s="605"/>
      <c r="E2905" s="605" t="str">
        <f>IFERROR(__xludf.DUMMYFUNCTION("""COMPUTED_VALUE"""),"SIEMENS")</f>
        <v>SIEMENS</v>
      </c>
      <c r="F2905" s="605" t="str">
        <f>IFERROR(__xludf.DUMMYFUNCTION("""COMPUTED_VALUE"""),"SIMATIC S7-1200")</f>
        <v>SIMATIC S7-1200</v>
      </c>
      <c r="G2905" s="605"/>
      <c r="H2905" s="605"/>
      <c r="I2905" s="605"/>
      <c r="J2905" s="606"/>
      <c r="K2905" s="605"/>
      <c r="L2905" s="605"/>
      <c r="M2905" s="605"/>
      <c r="N2905" s="605"/>
      <c r="O2905" s="605"/>
      <c r="P2905" s="605" t="s">
        <v>3027</v>
      </c>
    </row>
    <row r="2906">
      <c r="A2906" s="605"/>
      <c r="B2906" s="605"/>
      <c r="C2906" s="605"/>
      <c r="D2906" s="605"/>
      <c r="E2906" s="605" t="str">
        <f>IFERROR(__xludf.DUMMYFUNCTION("""COMPUTED_VALUE"""),"SIEMENS")</f>
        <v>SIEMENS</v>
      </c>
      <c r="F2906" s="605" t="str">
        <f>IFERROR(__xludf.DUMMYFUNCTION("""COMPUTED_VALUE"""),"TC35")</f>
        <v>TC35</v>
      </c>
      <c r="G2906" s="605"/>
      <c r="H2906" s="605"/>
      <c r="I2906" s="605"/>
      <c r="J2906" s="606"/>
      <c r="K2906" s="605"/>
      <c r="L2906" s="605"/>
      <c r="M2906" s="605"/>
      <c r="N2906" s="605"/>
      <c r="O2906" s="605"/>
      <c r="P2906" s="605" t="s">
        <v>4467</v>
      </c>
    </row>
    <row r="2907">
      <c r="A2907" s="605"/>
      <c r="B2907" s="605"/>
      <c r="C2907" s="605"/>
      <c r="D2907" s="605"/>
      <c r="E2907" s="605" t="str">
        <f>IFERROR(__xludf.DUMMYFUNCTION("""COMPUTED_VALUE"""),"SIEMENS")</f>
        <v>SIEMENS</v>
      </c>
      <c r="F2907" s="605" t="str">
        <f>IFERROR(__xludf.DUMMYFUNCTION("""COMPUTED_VALUE"""),"POL 908")</f>
        <v>POL 908</v>
      </c>
      <c r="G2907" s="605"/>
      <c r="H2907" s="605"/>
      <c r="I2907" s="605"/>
      <c r="J2907" s="606"/>
      <c r="K2907" s="605"/>
      <c r="L2907" s="605"/>
      <c r="M2907" s="605"/>
      <c r="N2907" s="605"/>
      <c r="O2907" s="605"/>
      <c r="P2907" s="605" t="s">
        <v>4470</v>
      </c>
    </row>
    <row r="2908">
      <c r="A2908" s="605"/>
      <c r="B2908" s="605"/>
      <c r="C2908" s="605"/>
      <c r="D2908" s="605"/>
      <c r="E2908" s="605" t="str">
        <f>IFERROR(__xludf.DUMMYFUNCTION("""COMPUTED_VALUE"""),"SIEMENS")</f>
        <v>SIEMENS</v>
      </c>
      <c r="F2908" s="605" t="str">
        <f>IFERROR(__xludf.DUMMYFUNCTION("""COMPUTED_VALUE"""),"POL908")</f>
        <v>POL908</v>
      </c>
      <c r="G2908" s="605"/>
      <c r="H2908" s="605"/>
      <c r="I2908" s="605"/>
      <c r="J2908" s="606"/>
      <c r="K2908" s="605"/>
      <c r="L2908" s="605"/>
      <c r="M2908" s="605"/>
      <c r="N2908" s="605"/>
      <c r="O2908" s="605"/>
      <c r="P2908" s="605" t="s">
        <v>4473</v>
      </c>
    </row>
    <row r="2909">
      <c r="A2909" s="605"/>
      <c r="B2909" s="605"/>
      <c r="C2909" s="605"/>
      <c r="D2909" s="605"/>
      <c r="E2909" s="605" t="str">
        <f>IFERROR(__xludf.DUMMYFUNCTION("""COMPUTED_VALUE"""),"SIEMENS")</f>
        <v>SIEMENS</v>
      </c>
      <c r="F2909" s="605" t="str">
        <f>IFERROR(__xludf.DUMMYFUNCTION("""COMPUTED_VALUE"""),"SIMATIC S7-200")</f>
        <v>SIMATIC S7-200</v>
      </c>
      <c r="G2909" s="605"/>
      <c r="H2909" s="605"/>
      <c r="I2909" s="605"/>
      <c r="J2909" s="606"/>
      <c r="K2909" s="605"/>
      <c r="L2909" s="605"/>
      <c r="M2909" s="605"/>
      <c r="N2909" s="605"/>
      <c r="O2909" s="605"/>
      <c r="P2909" s="605" t="s">
        <v>4476</v>
      </c>
    </row>
    <row r="2910">
      <c r="A2910" s="605"/>
      <c r="B2910" s="605"/>
      <c r="C2910" s="605"/>
      <c r="D2910" s="605"/>
      <c r="E2910" s="605" t="str">
        <f>IFERROR(__xludf.DUMMYFUNCTION("""COMPUTED_VALUE"""),"SIEMENS")</f>
        <v>SIEMENS</v>
      </c>
      <c r="F2910" s="605" t="str">
        <f>IFERROR(__xludf.DUMMYFUNCTION("""COMPUTED_VALUE"""),"PXC4.E16")</f>
        <v>PXC4.E16</v>
      </c>
      <c r="G2910" s="605"/>
      <c r="H2910" s="605"/>
      <c r="I2910" s="605"/>
      <c r="J2910" s="606"/>
      <c r="K2910" s="605"/>
      <c r="L2910" s="605"/>
      <c r="M2910" s="605"/>
      <c r="N2910" s="605"/>
      <c r="O2910" s="605"/>
      <c r="P2910" s="605" t="s">
        <v>4479</v>
      </c>
    </row>
    <row r="2911">
      <c r="A2911" s="605"/>
      <c r="B2911" s="605"/>
      <c r="C2911" s="605"/>
      <c r="D2911" s="605"/>
      <c r="E2911" s="605" t="str">
        <f>IFERROR(__xludf.DUMMYFUNCTION("""COMPUTED_VALUE"""),"SIEMENS")</f>
        <v>SIEMENS</v>
      </c>
      <c r="F2911" s="605" t="str">
        <f>IFERROR(__xludf.DUMMYFUNCTION("""COMPUTED_VALUE"""),"PXC5.E003")</f>
        <v>PXC5.E003</v>
      </c>
      <c r="G2911" s="605"/>
      <c r="H2911" s="605"/>
      <c r="I2911" s="605"/>
      <c r="J2911" s="606"/>
      <c r="K2911" s="605"/>
      <c r="L2911" s="605"/>
      <c r="M2911" s="605"/>
      <c r="N2911" s="605"/>
      <c r="O2911" s="605"/>
      <c r="P2911" s="605" t="s">
        <v>4482</v>
      </c>
    </row>
    <row r="2912">
      <c r="A2912" s="605"/>
      <c r="B2912" s="605"/>
      <c r="C2912" s="605"/>
      <c r="D2912" s="605"/>
      <c r="E2912" s="605" t="str">
        <f>IFERROR(__xludf.DUMMYFUNCTION("""COMPUTED_VALUE"""),"SIEMENS")</f>
        <v>SIEMENS</v>
      </c>
      <c r="F2912" s="605" t="str">
        <f>IFERROR(__xludf.DUMMYFUNCTION("""COMPUTED_VALUE"""),"SIMATIC HMI KTP700")</f>
        <v>SIMATIC HMI KTP700</v>
      </c>
      <c r="G2912" s="605"/>
      <c r="H2912" s="605"/>
      <c r="I2912" s="605"/>
      <c r="J2912" s="606"/>
      <c r="K2912" s="605"/>
      <c r="L2912" s="605"/>
      <c r="M2912" s="605"/>
      <c r="N2912" s="605"/>
      <c r="O2912" s="605"/>
      <c r="P2912" s="605" t="s">
        <v>4485</v>
      </c>
    </row>
    <row r="2913">
      <c r="A2913" s="605"/>
      <c r="B2913" s="605"/>
      <c r="C2913" s="605"/>
      <c r="D2913" s="605"/>
      <c r="E2913" s="605" t="str">
        <f>IFERROR(__xludf.DUMMYFUNCTION("""COMPUTED_VALUE"""),"SIEMENS")</f>
        <v>SIEMENS</v>
      </c>
      <c r="F2913" s="605" t="str">
        <f>IFERROR(__xludf.DUMMYFUNCTION("""COMPUTED_VALUE"""),"POL635")</f>
        <v>POL635</v>
      </c>
      <c r="G2913" s="605"/>
      <c r="H2913" s="605"/>
      <c r="I2913" s="605"/>
      <c r="J2913" s="606"/>
      <c r="K2913" s="605"/>
      <c r="L2913" s="605"/>
      <c r="M2913" s="605"/>
      <c r="N2913" s="605"/>
      <c r="O2913" s="605"/>
      <c r="P2913" s="605" t="s">
        <v>4488</v>
      </c>
    </row>
    <row r="2914">
      <c r="A2914" s="605"/>
      <c r="B2914" s="605"/>
      <c r="C2914" s="605"/>
      <c r="D2914" s="605"/>
      <c r="E2914" s="605" t="str">
        <f>IFERROR(__xludf.DUMMYFUNCTION("""COMPUTED_VALUE"""),"SIEMENS")</f>
        <v>SIEMENS</v>
      </c>
      <c r="F2914" s="605" t="str">
        <f>IFERROR(__xludf.DUMMYFUNCTION("""COMPUTED_VALUE"""),"FC362-ZZ")</f>
        <v>FC362-ZZ</v>
      </c>
      <c r="G2914" s="605"/>
      <c r="H2914" s="605"/>
      <c r="I2914" s="605"/>
      <c r="J2914" s="606"/>
      <c r="K2914" s="605"/>
      <c r="L2914" s="605"/>
      <c r="M2914" s="605"/>
      <c r="N2914" s="605"/>
      <c r="O2914" s="605"/>
      <c r="P2914" s="605" t="s">
        <v>4491</v>
      </c>
    </row>
    <row r="2915">
      <c r="A2915" s="605"/>
      <c r="B2915" s="605"/>
      <c r="C2915" s="605"/>
      <c r="D2915" s="605"/>
      <c r="E2915" s="605" t="str">
        <f>IFERROR(__xludf.DUMMYFUNCTION("""COMPUTED_VALUE"""),"SIEMENS")</f>
        <v>SIEMENS</v>
      </c>
      <c r="F2915" s="605" t="str">
        <f>IFERROR(__xludf.DUMMYFUNCTION("""COMPUTED_VALUE"""),"SCALANCE X005")</f>
        <v>SCALANCE X005</v>
      </c>
      <c r="G2915" s="605"/>
      <c r="H2915" s="605"/>
      <c r="I2915" s="605"/>
      <c r="J2915" s="606"/>
      <c r="K2915" s="605"/>
      <c r="L2915" s="605"/>
      <c r="M2915" s="605"/>
      <c r="N2915" s="605"/>
      <c r="O2915" s="605"/>
      <c r="P2915" s="605" t="s">
        <v>4494</v>
      </c>
    </row>
    <row r="2916">
      <c r="A2916" s="605"/>
      <c r="B2916" s="605"/>
      <c r="C2916" s="605"/>
      <c r="D2916" s="605"/>
      <c r="E2916" s="605" t="str">
        <f>IFERROR(__xludf.DUMMYFUNCTION("""COMPUTED_VALUE"""),"SIEMENS")</f>
        <v>SIEMENS</v>
      </c>
      <c r="F2916" s="605" t="str">
        <f>IFERROR(__xludf.DUMMYFUNCTION("""COMPUTED_VALUE"""),"PXC16.2-EF32.A")</f>
        <v>PXC16.2-EF32.A</v>
      </c>
      <c r="G2916" s="605"/>
      <c r="H2916" s="605"/>
      <c r="I2916" s="605"/>
      <c r="J2916" s="606"/>
      <c r="K2916" s="605"/>
      <c r="L2916" s="605"/>
      <c r="M2916" s="605"/>
      <c r="N2916" s="605"/>
      <c r="O2916" s="605"/>
      <c r="P2916" s="605" t="s">
        <v>3029</v>
      </c>
    </row>
    <row r="2917">
      <c r="A2917" s="605"/>
      <c r="B2917" s="605"/>
      <c r="C2917" s="605"/>
      <c r="D2917" s="605"/>
      <c r="E2917" s="605" t="str">
        <f>IFERROR(__xludf.DUMMYFUNCTION("""COMPUTED_VALUE"""),"SIEMENS")</f>
        <v>SIEMENS</v>
      </c>
      <c r="F2917" s="605" t="str">
        <f>IFERROR(__xludf.DUMMYFUNCTION("""COMPUTED_VALUE"""),"PXC MODULAR SERIES")</f>
        <v>PXC MODULAR SERIES</v>
      </c>
      <c r="G2917" s="605"/>
      <c r="H2917" s="605"/>
      <c r="I2917" s="605"/>
      <c r="J2917" s="606"/>
      <c r="K2917" s="605"/>
      <c r="L2917" s="605"/>
      <c r="M2917" s="605"/>
      <c r="N2917" s="605"/>
      <c r="O2917" s="605"/>
      <c r="P2917" s="605" t="s">
        <v>4497</v>
      </c>
    </row>
    <row r="2918">
      <c r="A2918" s="605"/>
      <c r="B2918" s="605"/>
      <c r="C2918" s="605"/>
      <c r="D2918" s="605"/>
      <c r="E2918" s="605" t="str">
        <f>IFERROR(__xludf.DUMMYFUNCTION("""COMPUTED_VALUE"""),"SIEMENS")</f>
        <v>SIEMENS</v>
      </c>
      <c r="F2918" s="605" t="str">
        <f>IFERROR(__xludf.DUMMYFUNCTION("""COMPUTED_VALUE"""),"TXI2.OPEN")</f>
        <v>TXI2.OPEN</v>
      </c>
      <c r="G2918" s="605"/>
      <c r="H2918" s="605"/>
      <c r="I2918" s="605"/>
      <c r="J2918" s="606"/>
      <c r="K2918" s="605"/>
      <c r="L2918" s="605"/>
      <c r="M2918" s="605"/>
      <c r="N2918" s="605"/>
      <c r="O2918" s="605"/>
      <c r="P2918" s="605" t="s">
        <v>4499</v>
      </c>
    </row>
    <row r="2919">
      <c r="A2919" s="605"/>
      <c r="B2919" s="605"/>
      <c r="C2919" s="605"/>
      <c r="D2919" s="605"/>
      <c r="E2919" s="605" t="str">
        <f>IFERROR(__xludf.DUMMYFUNCTION("""COMPUTED_VALUE"""),"SIEMENS")</f>
        <v>SIEMENS</v>
      </c>
      <c r="F2919" s="605" t="str">
        <f>IFERROR(__xludf.DUMMYFUNCTION("""COMPUTED_VALUE"""),"TXI2-S.OPEN")</f>
        <v>TXI2-S.OPEN</v>
      </c>
      <c r="G2919" s="605"/>
      <c r="H2919" s="605"/>
      <c r="I2919" s="605"/>
      <c r="J2919" s="606"/>
      <c r="K2919" s="605"/>
      <c r="L2919" s="605"/>
      <c r="M2919" s="605"/>
      <c r="N2919" s="605"/>
      <c r="O2919" s="605"/>
      <c r="P2919" s="605" t="s">
        <v>4502</v>
      </c>
    </row>
    <row r="2920">
      <c r="A2920" s="605"/>
      <c r="B2920" s="605"/>
      <c r="C2920" s="605"/>
      <c r="D2920" s="605"/>
      <c r="E2920" s="605" t="str">
        <f>IFERROR(__xludf.DUMMYFUNCTION("""COMPUTED_VALUE"""),"SIEMENS")</f>
        <v>SIEMENS</v>
      </c>
      <c r="F2920" s="605" t="str">
        <f>IFERROR(__xludf.DUMMYFUNCTION("""COMPUTED_VALUE"""),"IP ROUTER SECURE")</f>
        <v>IP ROUTER SECURE</v>
      </c>
      <c r="G2920" s="605"/>
      <c r="H2920" s="605"/>
      <c r="I2920" s="605"/>
      <c r="J2920" s="606"/>
      <c r="K2920" s="605"/>
      <c r="L2920" s="605"/>
      <c r="M2920" s="605"/>
      <c r="N2920" s="605"/>
      <c r="O2920" s="605"/>
      <c r="P2920" s="605" t="s">
        <v>4505</v>
      </c>
    </row>
    <row r="2921">
      <c r="A2921" s="605"/>
      <c r="B2921" s="605"/>
      <c r="C2921" s="605"/>
      <c r="D2921" s="605"/>
      <c r="E2921" s="605" t="str">
        <f>IFERROR(__xludf.DUMMYFUNCTION("""COMPUTED_VALUE"""),"SIEMENS")</f>
        <v>SIEMENS</v>
      </c>
      <c r="F2921" s="605" t="str">
        <f>IFERROR(__xludf.DUMMYFUNCTION("""COMPUTED_VALUE"""),"CLIMATIX")</f>
        <v>CLIMATIX</v>
      </c>
      <c r="G2921" s="605"/>
      <c r="H2921" s="605"/>
      <c r="I2921" s="605"/>
      <c r="J2921" s="606"/>
      <c r="K2921" s="605"/>
      <c r="L2921" s="605"/>
      <c r="M2921" s="605"/>
      <c r="N2921" s="605"/>
      <c r="O2921" s="605"/>
      <c r="P2921" s="605" t="s">
        <v>4508</v>
      </c>
    </row>
    <row r="2922">
      <c r="A2922" s="605"/>
      <c r="B2922" s="605"/>
      <c r="C2922" s="605"/>
      <c r="D2922" s="605"/>
      <c r="E2922" s="605" t="str">
        <f>IFERROR(__xludf.DUMMYFUNCTION("""COMPUTED_VALUE"""),"SIEMENS")</f>
        <v>SIEMENS</v>
      </c>
      <c r="F2922" s="605" t="str">
        <f>IFERROR(__xludf.DUMMYFUNCTION("""COMPUTED_VALUE"""),"PXC001-E.D")</f>
        <v>PXC001-E.D</v>
      </c>
      <c r="G2922" s="605"/>
      <c r="H2922" s="605"/>
      <c r="I2922" s="605"/>
      <c r="J2922" s="606"/>
      <c r="K2922" s="605"/>
      <c r="L2922" s="605"/>
      <c r="M2922" s="605"/>
      <c r="N2922" s="605"/>
      <c r="O2922" s="605"/>
      <c r="P2922" s="605" t="s">
        <v>4511</v>
      </c>
    </row>
    <row r="2923">
      <c r="A2923" s="605"/>
      <c r="B2923" s="605"/>
      <c r="C2923" s="605"/>
      <c r="D2923" s="605"/>
      <c r="E2923" s="605" t="str">
        <f>IFERROR(__xludf.DUMMYFUNCTION("""COMPUTED_VALUE"""),"SIEMENS")</f>
        <v>SIEMENS</v>
      </c>
      <c r="F2923" s="605" t="str">
        <f>IFERROR(__xludf.DUMMYFUNCTION("""COMPUTED_VALUE"""),"PXG3.M")</f>
        <v>PXG3.M</v>
      </c>
      <c r="G2923" s="605"/>
      <c r="H2923" s="605"/>
      <c r="I2923" s="605"/>
      <c r="J2923" s="606"/>
      <c r="K2923" s="605"/>
      <c r="L2923" s="605"/>
      <c r="M2923" s="605"/>
      <c r="N2923" s="605"/>
      <c r="O2923" s="605"/>
      <c r="P2923" s="605" t="s">
        <v>4514</v>
      </c>
    </row>
    <row r="2924">
      <c r="A2924" s="605"/>
      <c r="B2924" s="605"/>
      <c r="C2924" s="605"/>
      <c r="D2924" s="605"/>
      <c r="E2924" s="605" t="str">
        <f>IFERROR(__xludf.DUMMYFUNCTION("""COMPUTED_VALUE"""),"SIEMENS")</f>
        <v>SIEMENS</v>
      </c>
      <c r="F2924" s="605" t="str">
        <f>IFERROR(__xludf.DUMMYFUNCTION("""COMPUTED_VALUE"""),"UH50-A HEAT METER")</f>
        <v>UH50-A HEAT METER</v>
      </c>
      <c r="G2924" s="605"/>
      <c r="H2924" s="605"/>
      <c r="I2924" s="605"/>
      <c r="J2924" s="606"/>
      <c r="K2924" s="605"/>
      <c r="L2924" s="605"/>
      <c r="M2924" s="605"/>
      <c r="N2924" s="605"/>
      <c r="O2924" s="605"/>
      <c r="P2924" s="605" t="s">
        <v>4517</v>
      </c>
    </row>
    <row r="2925">
      <c r="A2925" s="605"/>
      <c r="B2925" s="605"/>
      <c r="C2925" s="605"/>
      <c r="D2925" s="605"/>
      <c r="E2925" s="605" t="str">
        <f>IFERROR(__xludf.DUMMYFUNCTION("""COMPUTED_VALUE"""),"SIEMENS")</f>
        <v>SIEMENS</v>
      </c>
      <c r="F2925" s="605" t="str">
        <f>IFERROR(__xludf.DUMMYFUNCTION("""COMPUTED_VALUE"""),"SIMATIC HMI KTP400")</f>
        <v>SIMATIC HMI KTP400</v>
      </c>
      <c r="G2925" s="605"/>
      <c r="H2925" s="605"/>
      <c r="I2925" s="605"/>
      <c r="J2925" s="606"/>
      <c r="K2925" s="605"/>
      <c r="L2925" s="605"/>
      <c r="M2925" s="605"/>
      <c r="N2925" s="605"/>
      <c r="O2925" s="605"/>
      <c r="P2925" s="605" t="s">
        <v>4520</v>
      </c>
    </row>
    <row r="2926">
      <c r="A2926" s="605"/>
      <c r="B2926" s="605"/>
      <c r="C2926" s="605"/>
      <c r="D2926" s="605"/>
      <c r="E2926" s="605" t="str">
        <f>IFERROR(__xludf.DUMMYFUNCTION("""COMPUTED_VALUE"""),"SIEMENS")</f>
        <v>SIEMENS</v>
      </c>
      <c r="F2926" s="605" t="str">
        <f>IFERROR(__xludf.DUMMYFUNCTION("""COMPUTED_VALUE"""),"UC50 ENERGY METER")</f>
        <v>UC50 ENERGY METER</v>
      </c>
      <c r="G2926" s="605"/>
      <c r="H2926" s="605"/>
      <c r="I2926" s="605"/>
      <c r="J2926" s="606"/>
      <c r="K2926" s="605"/>
      <c r="L2926" s="605"/>
      <c r="M2926" s="605"/>
      <c r="N2926" s="605"/>
      <c r="O2926" s="605"/>
      <c r="P2926" s="605" t="s">
        <v>4523</v>
      </c>
    </row>
    <row r="2927">
      <c r="A2927" s="605"/>
      <c r="B2927" s="605"/>
      <c r="C2927" s="605"/>
      <c r="D2927" s="605"/>
      <c r="E2927" s="605" t="str">
        <f>IFERROR(__xludf.DUMMYFUNCTION("""COMPUTED_VALUE"""),"SIEMENS")</f>
        <v>SIEMENS</v>
      </c>
      <c r="F2927" s="605" t="str">
        <f>IFERROR(__xludf.DUMMYFUNCTION("""COMPUTED_VALUE"""),"PXC7 E400L")</f>
        <v>PXC7 E400L</v>
      </c>
      <c r="G2927" s="605"/>
      <c r="H2927" s="605"/>
      <c r="I2927" s="605"/>
      <c r="J2927" s="606"/>
      <c r="K2927" s="605"/>
      <c r="L2927" s="605"/>
      <c r="M2927" s="605"/>
      <c r="N2927" s="605"/>
      <c r="O2927" s="605"/>
      <c r="P2927" s="605" t="s">
        <v>3032</v>
      </c>
    </row>
    <row r="2928">
      <c r="A2928" s="605"/>
      <c r="B2928" s="605"/>
      <c r="C2928" s="605"/>
      <c r="D2928" s="605"/>
      <c r="E2928" s="605" t="str">
        <f>IFERROR(__xludf.DUMMYFUNCTION("""COMPUTED_VALUE"""),"SIERRA")</f>
        <v>SIERRA</v>
      </c>
      <c r="F2928" s="605" t="str">
        <f>IFERROR(__xludf.DUMMYFUNCTION("""COMPUTED_VALUE"""),"FXT009")</f>
        <v>FXT009</v>
      </c>
      <c r="G2928" s="605"/>
      <c r="H2928" s="605"/>
      <c r="I2928" s="605"/>
      <c r="J2928" s="606"/>
      <c r="K2928" s="605"/>
      <c r="L2928" s="605"/>
      <c r="M2928" s="605"/>
      <c r="N2928" s="605"/>
      <c r="O2928" s="605"/>
      <c r="P2928" s="605" t="s">
        <v>4526</v>
      </c>
    </row>
    <row r="2929">
      <c r="A2929" s="605"/>
      <c r="B2929" s="605"/>
      <c r="C2929" s="605"/>
      <c r="D2929" s="605"/>
      <c r="E2929" s="605" t="str">
        <f>IFERROR(__xludf.DUMMYFUNCTION("""COMPUTED_VALUE"""),"SIERRA")</f>
        <v>SIERRA</v>
      </c>
      <c r="F2929" s="605" t="str">
        <f>IFERROR(__xludf.DUMMYFUNCTION("""COMPUTED_VALUE"""),"FXT009")</f>
        <v>FXT009</v>
      </c>
      <c r="G2929" s="605"/>
      <c r="H2929" s="605"/>
      <c r="I2929" s="605"/>
      <c r="J2929" s="606"/>
      <c r="K2929" s="605"/>
      <c r="L2929" s="605"/>
      <c r="M2929" s="605"/>
      <c r="N2929" s="605"/>
      <c r="O2929" s="605"/>
      <c r="P2929" s="605" t="s">
        <v>4529</v>
      </c>
    </row>
    <row r="2930">
      <c r="A2930" s="605"/>
      <c r="B2930" s="605"/>
      <c r="C2930" s="605"/>
      <c r="D2930" s="605"/>
      <c r="E2930" s="605" t="str">
        <f>IFERROR(__xludf.DUMMYFUNCTION("""COMPUTED_VALUE"""),"SIERRA MONITOR")</f>
        <v>SIERRA MONITOR</v>
      </c>
      <c r="F2930" s="605" t="str">
        <f>IFERROR(__xludf.DUMMYFUNCTION("""COMPUTED_VALUE"""),"FS-ROUTER-BAC1")</f>
        <v>FS-ROUTER-BAC1</v>
      </c>
      <c r="G2930" s="605"/>
      <c r="H2930" s="605"/>
      <c r="I2930" s="605"/>
      <c r="J2930" s="606"/>
      <c r="K2930" s="605"/>
      <c r="L2930" s="605"/>
      <c r="M2930" s="605"/>
      <c r="N2930" s="605"/>
      <c r="O2930" s="605"/>
      <c r="P2930" s="605" t="s">
        <v>4532</v>
      </c>
    </row>
    <row r="2931">
      <c r="A2931" s="605"/>
      <c r="B2931" s="605"/>
      <c r="C2931" s="605"/>
      <c r="D2931" s="605"/>
      <c r="E2931" s="605" t="str">
        <f>IFERROR(__xludf.DUMMYFUNCTION("""COMPUTED_VALUE"""),"SIERRA MONITORING")</f>
        <v>SIERRA MONITORING</v>
      </c>
      <c r="F2931" s="605" t="str">
        <f>IFERROR(__xludf.DUMMYFUNCTION("""COMPUTED_VALUE"""),"FFP-485")</f>
        <v>FFP-485</v>
      </c>
      <c r="G2931" s="605"/>
      <c r="H2931" s="605"/>
      <c r="I2931" s="605"/>
      <c r="J2931" s="606"/>
      <c r="K2931" s="605"/>
      <c r="L2931" s="605"/>
      <c r="M2931" s="605"/>
      <c r="N2931" s="605"/>
      <c r="O2931" s="605"/>
      <c r="P2931" s="605" t="s">
        <v>4535</v>
      </c>
    </row>
    <row r="2932">
      <c r="A2932" s="605"/>
      <c r="B2932" s="605"/>
      <c r="C2932" s="605"/>
      <c r="D2932" s="605"/>
      <c r="E2932" s="605" t="str">
        <f>IFERROR(__xludf.DUMMYFUNCTION("""COMPUTED_VALUE"""),"SIERRA MONITORING")</f>
        <v>SIERRA MONITORING</v>
      </c>
      <c r="F2932" s="605" t="str">
        <f>IFERROR(__xludf.DUMMYFUNCTION("""COMPUTED_VALUE"""),"FFP485 BRAIN")</f>
        <v>FFP485 BRAIN</v>
      </c>
      <c r="G2932" s="605"/>
      <c r="H2932" s="605"/>
      <c r="I2932" s="605"/>
      <c r="J2932" s="606"/>
      <c r="K2932" s="605"/>
      <c r="L2932" s="605"/>
      <c r="M2932" s="605"/>
      <c r="N2932" s="605"/>
      <c r="O2932" s="605"/>
      <c r="P2932" s="605" t="s">
        <v>4538</v>
      </c>
    </row>
    <row r="2933">
      <c r="A2933" s="605"/>
      <c r="B2933" s="605"/>
      <c r="C2933" s="605"/>
      <c r="D2933" s="605"/>
      <c r="E2933" s="605" t="str">
        <f>IFERROR(__xludf.DUMMYFUNCTION("""COMPUTED_VALUE"""),"SIERRA MONITORING")</f>
        <v>SIERRA MONITORING</v>
      </c>
      <c r="F2933" s="605" t="str">
        <f>IFERROR(__xludf.DUMMYFUNCTION("""COMPUTED_VALUE"""),"FFP485 BRAIN")</f>
        <v>FFP485 BRAIN</v>
      </c>
      <c r="G2933" s="605"/>
      <c r="H2933" s="605"/>
      <c r="I2933" s="605"/>
      <c r="J2933" s="606"/>
      <c r="K2933" s="605"/>
      <c r="L2933" s="605"/>
      <c r="M2933" s="605"/>
      <c r="N2933" s="605"/>
      <c r="O2933" s="605"/>
      <c r="P2933" s="605" t="s">
        <v>4541</v>
      </c>
    </row>
    <row r="2934">
      <c r="A2934" s="605"/>
      <c r="B2934" s="605"/>
      <c r="C2934" s="605"/>
      <c r="D2934" s="605"/>
      <c r="E2934" s="605" t="str">
        <f>IFERROR(__xludf.DUMMYFUNCTION("""COMPUTED_VALUE"""),"SIERRA MONITORING")</f>
        <v>SIERRA MONITORING</v>
      </c>
      <c r="F2934" s="605" t="str">
        <f>IFERROR(__xludf.DUMMYFUNCTION("""COMPUTED_VALUE"""),"FS-B2010")</f>
        <v>FS-B2010</v>
      </c>
      <c r="G2934" s="605"/>
      <c r="H2934" s="605"/>
      <c r="I2934" s="605"/>
      <c r="J2934" s="606"/>
      <c r="K2934" s="605"/>
      <c r="L2934" s="605"/>
      <c r="M2934" s="605"/>
      <c r="N2934" s="605"/>
      <c r="O2934" s="605"/>
      <c r="P2934" s="605" t="s">
        <v>4544</v>
      </c>
    </row>
    <row r="2935">
      <c r="A2935" s="605"/>
      <c r="B2935" s="605"/>
      <c r="C2935" s="605"/>
      <c r="D2935" s="605"/>
      <c r="E2935" s="605" t="str">
        <f>IFERROR(__xludf.DUMMYFUNCTION("""COMPUTED_VALUE"""),"SIERRA MONITORING")</f>
        <v>SIERRA MONITORING</v>
      </c>
      <c r="F2935" s="605" t="str">
        <f>IFERROR(__xludf.DUMMYFUNCTION("""COMPUTED_VALUE"""),"FS-QS-1010")</f>
        <v>FS-QS-1010</v>
      </c>
      <c r="G2935" s="605"/>
      <c r="H2935" s="605"/>
      <c r="I2935" s="605"/>
      <c r="J2935" s="606"/>
      <c r="K2935" s="605"/>
      <c r="L2935" s="605"/>
      <c r="M2935" s="605"/>
      <c r="N2935" s="605"/>
      <c r="O2935" s="605"/>
      <c r="P2935" s="605" t="s">
        <v>4547</v>
      </c>
    </row>
    <row r="2936">
      <c r="A2936" s="605"/>
      <c r="B2936" s="605"/>
      <c r="C2936" s="605"/>
      <c r="D2936" s="605"/>
      <c r="E2936" s="605" t="str">
        <f>IFERROR(__xludf.DUMMYFUNCTION("""COMPUTED_VALUE"""),"SIERRA MONITORING")</f>
        <v>SIERRA MONITORING</v>
      </c>
      <c r="F2936" s="605" t="str">
        <f>IFERROR(__xludf.DUMMYFUNCTION("""COMPUTED_VALUE"""),"FS-ROUTER-BAC2")</f>
        <v>FS-ROUTER-BAC2</v>
      </c>
      <c r="G2936" s="605"/>
      <c r="H2936" s="605"/>
      <c r="I2936" s="605"/>
      <c r="J2936" s="606"/>
      <c r="K2936" s="605"/>
      <c r="L2936" s="605"/>
      <c r="M2936" s="605"/>
      <c r="N2936" s="605"/>
      <c r="O2936" s="605"/>
      <c r="P2936" s="605" t="s">
        <v>4550</v>
      </c>
    </row>
    <row r="2937">
      <c r="A2937" s="605"/>
      <c r="B2937" s="605"/>
      <c r="C2937" s="605"/>
      <c r="D2937" s="605"/>
      <c r="E2937" s="605" t="str">
        <f>IFERROR(__xludf.DUMMYFUNCTION("""COMPUTED_VALUE"""),"SIERRA MONITORING")</f>
        <v>SIERRA MONITORING</v>
      </c>
      <c r="F2937" s="605" t="str">
        <f>IFERROR(__xludf.DUMMYFUNCTION("""COMPUTED_VALUE"""),"FPC-N42")</f>
        <v>FPC-N42</v>
      </c>
      <c r="G2937" s="605"/>
      <c r="H2937" s="605"/>
      <c r="I2937" s="605"/>
      <c r="J2937" s="606"/>
      <c r="K2937" s="605"/>
      <c r="L2937" s="605"/>
      <c r="M2937" s="605"/>
      <c r="N2937" s="605"/>
      <c r="O2937" s="605"/>
      <c r="P2937" s="605" t="s">
        <v>4553</v>
      </c>
    </row>
    <row r="2938">
      <c r="A2938" s="605"/>
      <c r="B2938" s="605"/>
      <c r="C2938" s="605"/>
      <c r="D2938" s="605"/>
      <c r="E2938" s="605" t="str">
        <f>IFERROR(__xludf.DUMMYFUNCTION("""COMPUTED_VALUE"""),"SIERRA MONITORING")</f>
        <v>SIERRA MONITORING</v>
      </c>
      <c r="F2938" s="605" t="str">
        <f>IFERROR(__xludf.DUMMYFUNCTION("""COMPUTED_VALUE"""),"FPC-N54A-0104")</f>
        <v>FPC-N54A-0104</v>
      </c>
      <c r="G2938" s="605"/>
      <c r="H2938" s="605"/>
      <c r="I2938" s="605"/>
      <c r="J2938" s="606"/>
      <c r="K2938" s="605"/>
      <c r="L2938" s="605"/>
      <c r="M2938" s="605"/>
      <c r="N2938" s="605"/>
      <c r="O2938" s="605"/>
      <c r="P2938" s="605" t="s">
        <v>3035</v>
      </c>
    </row>
    <row r="2939">
      <c r="A2939" s="605"/>
      <c r="B2939" s="605"/>
      <c r="C2939" s="605"/>
      <c r="D2939" s="605"/>
      <c r="E2939" s="605" t="str">
        <f>IFERROR(__xludf.DUMMYFUNCTION("""COMPUTED_VALUE"""),"SIERRA MONITORING")</f>
        <v>SIERRA MONITORING</v>
      </c>
      <c r="F2939" s="605" t="str">
        <f>IFERROR(__xludf.DUMMYFUNCTION("""COMPUTED_VALUE"""),"FPC-N38-0717")</f>
        <v>FPC-N38-0717</v>
      </c>
      <c r="G2939" s="605"/>
      <c r="H2939" s="605"/>
      <c r="I2939" s="605"/>
      <c r="J2939" s="606"/>
      <c r="K2939" s="605"/>
      <c r="L2939" s="605"/>
      <c r="M2939" s="605"/>
      <c r="N2939" s="605"/>
      <c r="O2939" s="605"/>
      <c r="P2939" s="605" t="s">
        <v>4556</v>
      </c>
    </row>
    <row r="2940">
      <c r="A2940" s="605"/>
      <c r="B2940" s="605"/>
      <c r="C2940" s="605"/>
      <c r="D2940" s="605"/>
      <c r="E2940" s="605" t="str">
        <f>IFERROR(__xludf.DUMMYFUNCTION("""COMPUTED_VALUE"""),"SIERRA MONITORING")</f>
        <v>SIERRA MONITORING</v>
      </c>
      <c r="F2940" s="605" t="str">
        <f>IFERROR(__xludf.DUMMYFUNCTION("""COMPUTED_VALUE"""),"FS-ROUTER-BAC2")</f>
        <v>FS-ROUTER-BAC2</v>
      </c>
      <c r="G2940" s="605"/>
      <c r="H2940" s="605"/>
      <c r="I2940" s="605"/>
      <c r="J2940" s="606"/>
      <c r="K2940" s="605"/>
      <c r="L2940" s="605"/>
      <c r="M2940" s="605"/>
      <c r="N2940" s="605"/>
      <c r="O2940" s="605"/>
      <c r="P2940" s="605" t="s">
        <v>4559</v>
      </c>
    </row>
    <row r="2941">
      <c r="A2941" s="605"/>
      <c r="B2941" s="605"/>
      <c r="C2941" s="605"/>
      <c r="D2941" s="605"/>
      <c r="E2941" s="605" t="str">
        <f>IFERROR(__xludf.DUMMYFUNCTION("""COMPUTED_VALUE"""),"SIERRA MONITORING")</f>
        <v>SIERRA MONITORING</v>
      </c>
      <c r="F2941" s="605" t="str">
        <f>IFERROR(__xludf.DUMMYFUNCTION("""COMPUTED_VALUE"""),"FS FPC-N34")</f>
        <v>FS FPC-N34</v>
      </c>
      <c r="G2941" s="605"/>
      <c r="H2941" s="605"/>
      <c r="I2941" s="605"/>
      <c r="J2941" s="606"/>
      <c r="K2941" s="605"/>
      <c r="L2941" s="605"/>
      <c r="M2941" s="605"/>
      <c r="N2941" s="605"/>
      <c r="O2941" s="605"/>
      <c r="P2941" s="605" t="s">
        <v>4562</v>
      </c>
    </row>
    <row r="2942">
      <c r="A2942" s="605"/>
      <c r="B2942" s="605"/>
      <c r="C2942" s="605"/>
      <c r="D2942" s="605"/>
      <c r="E2942" s="605" t="str">
        <f>IFERROR(__xludf.DUMMYFUNCTION("""COMPUTED_VALUE"""),"SIERRA MONITORING")</f>
        <v>SIERRA MONITORING</v>
      </c>
      <c r="F2942" s="605" t="str">
        <f>IFERROR(__xludf.DUMMYFUNCTION("""COMPUTED_VALUE"""),"FPC-N54-0104")</f>
        <v>FPC-N54-0104</v>
      </c>
      <c r="G2942" s="605"/>
      <c r="H2942" s="605"/>
      <c r="I2942" s="605"/>
      <c r="J2942" s="606"/>
      <c r="K2942" s="605"/>
      <c r="L2942" s="605"/>
      <c r="M2942" s="605"/>
      <c r="N2942" s="605"/>
      <c r="O2942" s="605"/>
      <c r="P2942" s="605" t="s">
        <v>4565</v>
      </c>
    </row>
    <row r="2943">
      <c r="A2943" s="605"/>
      <c r="B2943" s="605"/>
      <c r="C2943" s="605"/>
      <c r="D2943" s="605"/>
      <c r="E2943" s="605" t="str">
        <f>IFERROR(__xludf.DUMMYFUNCTION("""COMPUTED_VALUE"""),"SIERRA MONITORING")</f>
        <v>SIERRA MONITORING</v>
      </c>
      <c r="F2943" s="605" t="str">
        <f>IFERROR(__xludf.DUMMYFUNCTION("""COMPUTED_VALUE"""),"FS-QS-2210-F")</f>
        <v>FS-QS-2210-F</v>
      </c>
      <c r="G2943" s="605"/>
      <c r="H2943" s="605"/>
      <c r="I2943" s="605"/>
      <c r="J2943" s="606"/>
      <c r="K2943" s="605"/>
      <c r="L2943" s="605"/>
      <c r="M2943" s="605"/>
      <c r="N2943" s="605"/>
      <c r="O2943" s="605"/>
      <c r="P2943" s="605" t="s">
        <v>4568</v>
      </c>
    </row>
    <row r="2944">
      <c r="A2944" s="605"/>
      <c r="B2944" s="605"/>
      <c r="C2944" s="605"/>
      <c r="D2944" s="605"/>
      <c r="E2944" s="605" t="str">
        <f>IFERROR(__xludf.DUMMYFUNCTION("""COMPUTED_VALUE"""),"SIGNIFI")</f>
        <v>SIGNIFI</v>
      </c>
      <c r="F2944" s="605" t="str">
        <f>IFERROR(__xludf.DUMMYFUNCTION("""COMPUTED_VALUE"""),"GRAB &amp; GO CNTRL UNIT")</f>
        <v>GRAB &amp; GO CNTRL UNIT</v>
      </c>
      <c r="G2944" s="605"/>
      <c r="H2944" s="605"/>
      <c r="I2944" s="605"/>
      <c r="J2944" s="606"/>
      <c r="K2944" s="605"/>
      <c r="L2944" s="605"/>
      <c r="M2944" s="605"/>
      <c r="N2944" s="605"/>
      <c r="O2944" s="605"/>
      <c r="P2944" s="605" t="s">
        <v>4570</v>
      </c>
    </row>
    <row r="2945">
      <c r="A2945" s="605"/>
      <c r="B2945" s="605"/>
      <c r="C2945" s="605"/>
      <c r="D2945" s="605"/>
      <c r="E2945" s="605" t="str">
        <f>IFERROR(__xludf.DUMMYFUNCTION("""COMPUTED_VALUE"""),"SIKLU")</f>
        <v>SIKLU</v>
      </c>
      <c r="F2945" s="605" t="str">
        <f>IFERROR(__xludf.DUMMYFUNCTION("""COMPUTED_VALUE"""),"EH-1200FX")</f>
        <v>EH-1200FX</v>
      </c>
      <c r="G2945" s="605"/>
      <c r="H2945" s="605"/>
      <c r="I2945" s="605"/>
      <c r="J2945" s="606"/>
      <c r="K2945" s="605"/>
      <c r="L2945" s="605"/>
      <c r="M2945" s="605"/>
      <c r="N2945" s="605"/>
      <c r="O2945" s="605"/>
      <c r="P2945" s="605" t="s">
        <v>4573</v>
      </c>
    </row>
    <row r="2946">
      <c r="A2946" s="605"/>
      <c r="B2946" s="605"/>
      <c r="C2946" s="605"/>
      <c r="D2946" s="605"/>
      <c r="E2946" s="605" t="str">
        <f>IFERROR(__xludf.DUMMYFUNCTION("""COMPUTED_VALUE"""),"SIMBADDA")</f>
        <v>SIMBADDA</v>
      </c>
      <c r="F2946" s="605" t="str">
        <f>IFERROR(__xludf.DUMMYFUNCTION("""COMPUTED_VALUE"""),"N/A")</f>
        <v>N/A</v>
      </c>
      <c r="G2946" s="605"/>
      <c r="H2946" s="605"/>
      <c r="I2946" s="605"/>
      <c r="J2946" s="606"/>
      <c r="K2946" s="605"/>
      <c r="L2946" s="605"/>
      <c r="M2946" s="605"/>
      <c r="N2946" s="605"/>
      <c r="O2946" s="605"/>
      <c r="P2946" s="605" t="s">
        <v>4576</v>
      </c>
    </row>
    <row r="2947">
      <c r="A2947" s="605"/>
      <c r="B2947" s="605"/>
      <c r="C2947" s="605"/>
      <c r="D2947" s="605"/>
      <c r="E2947" s="605" t="str">
        <f>IFERROR(__xludf.DUMMYFUNCTION("""COMPUTED_VALUE"""),"SIMPLYNUC")</f>
        <v>SIMPLYNUC</v>
      </c>
      <c r="F2947" s="605" t="str">
        <f>IFERROR(__xludf.DUMMYFUNCTION("""COMPUTED_VALUE"""),"NUC7I5DNFE")</f>
        <v>NUC7I5DNFE</v>
      </c>
      <c r="G2947" s="605"/>
      <c r="H2947" s="605"/>
      <c r="I2947" s="605"/>
      <c r="J2947" s="606"/>
      <c r="K2947" s="605"/>
      <c r="L2947" s="605"/>
      <c r="M2947" s="605"/>
      <c r="N2947" s="605"/>
      <c r="O2947" s="605"/>
      <c r="P2947" s="605" t="s">
        <v>4579</v>
      </c>
    </row>
    <row r="2948">
      <c r="A2948" s="605"/>
      <c r="B2948" s="605"/>
      <c r="C2948" s="605"/>
      <c r="D2948" s="605"/>
      <c r="E2948" s="605" t="str">
        <f>IFERROR(__xludf.DUMMYFUNCTION("""COMPUTED_VALUE"""),"SMA")</f>
        <v>SMA</v>
      </c>
      <c r="F2948" s="605" t="str">
        <f>IFERROR(__xludf.DUMMYFUNCTION("""COMPUTED_VALUE"""),"NOT VERIFIED")</f>
        <v>NOT VERIFIED</v>
      </c>
      <c r="G2948" s="605"/>
      <c r="H2948" s="605"/>
      <c r="I2948" s="605"/>
      <c r="J2948" s="606"/>
      <c r="K2948" s="605"/>
      <c r="L2948" s="605"/>
      <c r="M2948" s="605"/>
      <c r="N2948" s="605"/>
      <c r="O2948" s="605"/>
      <c r="P2948" s="605" t="s">
        <v>4582</v>
      </c>
    </row>
    <row r="2949">
      <c r="A2949" s="605"/>
      <c r="B2949" s="605"/>
      <c r="C2949" s="605"/>
      <c r="D2949" s="605"/>
      <c r="E2949" s="605" t="str">
        <f>IFERROR(__xludf.DUMMYFUNCTION("""COMPUTED_VALUE"""),"SMA")</f>
        <v>SMA</v>
      </c>
      <c r="F2949" s="605" t="str">
        <f>IFERROR(__xludf.DUMMYFUNCTION("""COMPUTED_VALUE"""),"ENNEXOS")</f>
        <v>ENNEXOS</v>
      </c>
      <c r="G2949" s="605"/>
      <c r="H2949" s="605"/>
      <c r="I2949" s="605"/>
      <c r="J2949" s="606"/>
      <c r="K2949" s="605"/>
      <c r="L2949" s="605"/>
      <c r="M2949" s="605"/>
      <c r="N2949" s="605"/>
      <c r="O2949" s="605"/>
      <c r="P2949" s="605" t="s">
        <v>3038</v>
      </c>
    </row>
    <row r="2950">
      <c r="A2950" s="605"/>
      <c r="B2950" s="605"/>
      <c r="C2950" s="605"/>
      <c r="D2950" s="605"/>
      <c r="E2950" s="605" t="str">
        <f>IFERROR(__xludf.DUMMYFUNCTION("""COMPUTED_VALUE"""),"SMA")</f>
        <v>SMA</v>
      </c>
      <c r="F2950" s="605" t="str">
        <f>IFERROR(__xludf.DUMMYFUNCTION("""COMPUTED_VALUE"""),"SUNNY TRIPOWER")</f>
        <v>SUNNY TRIPOWER</v>
      </c>
      <c r="G2950" s="605"/>
      <c r="H2950" s="605"/>
      <c r="I2950" s="605"/>
      <c r="J2950" s="606"/>
      <c r="K2950" s="605"/>
      <c r="L2950" s="605"/>
      <c r="M2950" s="605"/>
      <c r="N2950" s="605"/>
      <c r="O2950" s="605"/>
      <c r="P2950" s="605" t="s">
        <v>4585</v>
      </c>
    </row>
    <row r="2951">
      <c r="A2951" s="605"/>
      <c r="B2951" s="605"/>
      <c r="C2951" s="605"/>
      <c r="D2951" s="605"/>
      <c r="E2951" s="605" t="str">
        <f>IFERROR(__xludf.DUMMYFUNCTION("""COMPUTED_VALUE"""),"SMA")</f>
        <v>SMA</v>
      </c>
      <c r="F2951" s="605" t="str">
        <f>IFERROR(__xludf.DUMMYFUNCTION("""COMPUTED_VALUE"""),"CLUSTER CONTROLLER")</f>
        <v>CLUSTER CONTROLLER</v>
      </c>
      <c r="G2951" s="605"/>
      <c r="H2951" s="605"/>
      <c r="I2951" s="605"/>
      <c r="J2951" s="606"/>
      <c r="K2951" s="605"/>
      <c r="L2951" s="605"/>
      <c r="M2951" s="605"/>
      <c r="N2951" s="605"/>
      <c r="O2951" s="605"/>
      <c r="P2951" s="605" t="s">
        <v>4588</v>
      </c>
    </row>
    <row r="2952">
      <c r="A2952" s="605"/>
      <c r="B2952" s="605"/>
      <c r="C2952" s="605"/>
      <c r="D2952" s="605"/>
      <c r="E2952" s="605" t="str">
        <f>IFERROR(__xludf.DUMMYFUNCTION("""COMPUTED_VALUE"""),"SMARTBUILD")</f>
        <v>SMARTBUILD</v>
      </c>
      <c r="F2952" s="605" t="str">
        <f>IFERROR(__xludf.DUMMYFUNCTION("""COMPUTED_VALUE"""),"WAP-912")</f>
        <v>WAP-912</v>
      </c>
      <c r="G2952" s="605"/>
      <c r="H2952" s="605"/>
      <c r="I2952" s="605"/>
      <c r="J2952" s="606"/>
      <c r="K2952" s="605"/>
      <c r="L2952" s="605"/>
      <c r="M2952" s="605"/>
      <c r="N2952" s="605"/>
      <c r="O2952" s="605"/>
      <c r="P2952" s="605" t="s">
        <v>4591</v>
      </c>
    </row>
    <row r="2953">
      <c r="A2953" s="605"/>
      <c r="B2953" s="605"/>
      <c r="C2953" s="605"/>
      <c r="D2953" s="605"/>
      <c r="E2953" s="605" t="str">
        <f>IFERROR(__xludf.DUMMYFUNCTION("""COMPUTED_VALUE"""),"SMARTSENSE")</f>
        <v>SMARTSENSE</v>
      </c>
      <c r="F2953" s="605" t="str">
        <f>IFERROR(__xludf.DUMMYFUNCTION("""COMPUTED_VALUE"""),"TM-CELL-600-WS")</f>
        <v>TM-CELL-600-WS</v>
      </c>
      <c r="G2953" s="605"/>
      <c r="H2953" s="605"/>
      <c r="I2953" s="605"/>
      <c r="J2953" s="606"/>
      <c r="K2953" s="605"/>
      <c r="L2953" s="605"/>
      <c r="M2953" s="605"/>
      <c r="N2953" s="605"/>
      <c r="O2953" s="605"/>
      <c r="P2953" s="605" t="s">
        <v>4594</v>
      </c>
    </row>
    <row r="2954">
      <c r="A2954" s="605"/>
      <c r="B2954" s="605"/>
      <c r="C2954" s="605"/>
      <c r="D2954" s="605"/>
      <c r="E2954" s="605" t="str">
        <f>IFERROR(__xludf.DUMMYFUNCTION("""COMPUTED_VALUE"""),"SMSEAGLE")</f>
        <v>SMSEAGLE</v>
      </c>
      <c r="F2954" s="605" t="str">
        <f>IFERROR(__xludf.DUMMYFUNCTION("""COMPUTED_VALUE"""),"NXS-9700-4G")</f>
        <v>NXS-9700-4G</v>
      </c>
      <c r="G2954" s="605"/>
      <c r="H2954" s="605"/>
      <c r="I2954" s="605"/>
      <c r="J2954" s="606"/>
      <c r="K2954" s="605"/>
      <c r="L2954" s="605"/>
      <c r="M2954" s="605"/>
      <c r="N2954" s="605"/>
      <c r="O2954" s="605"/>
      <c r="P2954" s="605" t="s">
        <v>4597</v>
      </c>
    </row>
    <row r="2955">
      <c r="A2955" s="605"/>
      <c r="B2955" s="605"/>
      <c r="C2955" s="605"/>
      <c r="D2955" s="605"/>
      <c r="E2955" s="605" t="str">
        <f>IFERROR(__xludf.DUMMYFUNCTION("""COMPUTED_VALUE"""),"SOCOMEC")</f>
        <v>SOCOMEC</v>
      </c>
      <c r="F2955" s="605" t="str">
        <f>IFERROR(__xludf.DUMMYFUNCTION("""COMPUTED_VALUE"""),"DELPHYS GP 2.0")</f>
        <v>DELPHYS GP 2.0</v>
      </c>
      <c r="G2955" s="605"/>
      <c r="H2955" s="605"/>
      <c r="I2955" s="605"/>
      <c r="J2955" s="606"/>
      <c r="K2955" s="605"/>
      <c r="L2955" s="605"/>
      <c r="M2955" s="605"/>
      <c r="N2955" s="605"/>
      <c r="O2955" s="605"/>
      <c r="P2955" s="605" t="s">
        <v>4600</v>
      </c>
    </row>
    <row r="2956">
      <c r="A2956" s="605"/>
      <c r="B2956" s="605"/>
      <c r="C2956" s="605"/>
      <c r="D2956" s="605"/>
      <c r="E2956" s="605" t="str">
        <f>IFERROR(__xludf.DUMMYFUNCTION("""COMPUTED_VALUE"""),"SOCOMEC")</f>
        <v>SOCOMEC</v>
      </c>
      <c r="F2956" s="605" t="str">
        <f>IFERROR(__xludf.DUMMYFUNCTION("""COMPUTED_VALUE"""),"GREEN POWER 2.0")</f>
        <v>GREEN POWER 2.0</v>
      </c>
      <c r="G2956" s="605"/>
      <c r="H2956" s="605"/>
      <c r="I2956" s="605"/>
      <c r="J2956" s="606"/>
      <c r="K2956" s="605"/>
      <c r="L2956" s="605"/>
      <c r="M2956" s="605"/>
      <c r="N2956" s="605"/>
      <c r="O2956" s="605"/>
      <c r="P2956" s="605" t="s">
        <v>4602</v>
      </c>
    </row>
    <row r="2957">
      <c r="A2957" s="605"/>
      <c r="B2957" s="605"/>
      <c r="C2957" s="605"/>
      <c r="D2957" s="605"/>
      <c r="E2957" s="605" t="str">
        <f>IFERROR(__xludf.DUMMYFUNCTION("""COMPUTED_VALUE"""),"SOCOMEC")</f>
        <v>SOCOMEC</v>
      </c>
      <c r="F2957" s="605" t="str">
        <f>IFERROR(__xludf.DUMMYFUNCTION("""COMPUTED_VALUE"""),"MASTE 049 C")</f>
        <v>MASTE 049 C</v>
      </c>
      <c r="G2957" s="605"/>
      <c r="H2957" s="605"/>
      <c r="I2957" s="605"/>
      <c r="J2957" s="606"/>
      <c r="K2957" s="605"/>
      <c r="L2957" s="605"/>
      <c r="M2957" s="605"/>
      <c r="N2957" s="605"/>
      <c r="O2957" s="605"/>
      <c r="P2957" s="605" t="s">
        <v>4605</v>
      </c>
    </row>
    <row r="2958">
      <c r="A2958" s="605"/>
      <c r="B2958" s="605"/>
      <c r="C2958" s="605"/>
      <c r="D2958" s="605"/>
      <c r="E2958" s="605" t="str">
        <f>IFERROR(__xludf.DUMMYFUNCTION("""COMPUTED_VALUE"""),"SOCOMEC")</f>
        <v>SOCOMEC</v>
      </c>
      <c r="F2958" s="605" t="str">
        <f>IFERROR(__xludf.DUMMYFUNCTION("""COMPUTED_VALUE"""),"MASTERYS GP")</f>
        <v>MASTERYS GP</v>
      </c>
      <c r="G2958" s="605"/>
      <c r="H2958" s="605"/>
      <c r="I2958" s="605"/>
      <c r="J2958" s="606"/>
      <c r="K2958" s="605"/>
      <c r="L2958" s="605"/>
      <c r="M2958" s="605"/>
      <c r="N2958" s="605"/>
      <c r="O2958" s="605"/>
      <c r="P2958" s="605" t="s">
        <v>4607</v>
      </c>
    </row>
    <row r="2959">
      <c r="A2959" s="605"/>
      <c r="B2959" s="605"/>
      <c r="C2959" s="605"/>
      <c r="D2959" s="605"/>
      <c r="E2959" s="605" t="str">
        <f>IFERROR(__xludf.DUMMYFUNCTION("""COMPUTED_VALUE"""),"SOCOMEC")</f>
        <v>SOCOMEC</v>
      </c>
      <c r="F2959" s="605" t="str">
        <f>IFERROR(__xludf.DUMMYFUNCTION("""COMPUTED_VALUE"""),"MASTERYS MC")</f>
        <v>MASTERYS MC</v>
      </c>
      <c r="G2959" s="605"/>
      <c r="H2959" s="605"/>
      <c r="I2959" s="605"/>
      <c r="J2959" s="606"/>
      <c r="K2959" s="605"/>
      <c r="L2959" s="605"/>
      <c r="M2959" s="605"/>
      <c r="N2959" s="605"/>
      <c r="O2959" s="605"/>
      <c r="P2959" s="605" t="s">
        <v>4610</v>
      </c>
    </row>
    <row r="2960">
      <c r="A2960" s="605"/>
      <c r="B2960" s="605"/>
      <c r="C2960" s="605"/>
      <c r="D2960" s="605"/>
      <c r="E2960" s="605" t="str">
        <f>IFERROR(__xludf.DUMMYFUNCTION("""COMPUTED_VALUE"""),"SOCOMEC")</f>
        <v>SOCOMEC</v>
      </c>
      <c r="F2960" s="605" t="str">
        <f>IFERROR(__xludf.DUMMYFUNCTION("""COMPUTED_VALUE"""),"MGP4GP330S-00")</f>
        <v>MGP4GP330S-00</v>
      </c>
      <c r="G2960" s="605"/>
      <c r="H2960" s="605"/>
      <c r="I2960" s="605"/>
      <c r="J2960" s="606"/>
      <c r="K2960" s="605"/>
      <c r="L2960" s="605"/>
      <c r="M2960" s="605"/>
      <c r="N2960" s="605"/>
      <c r="O2960" s="605"/>
      <c r="P2960" s="605" t="s">
        <v>2882</v>
      </c>
    </row>
    <row r="2961">
      <c r="A2961" s="605"/>
      <c r="B2961" s="605"/>
      <c r="C2961" s="605"/>
      <c r="D2961" s="605"/>
      <c r="E2961" s="605" t="str">
        <f>IFERROR(__xludf.DUMMYFUNCTION("""COMPUTED_VALUE"""),"SOCOMEC")</f>
        <v>SOCOMEC</v>
      </c>
      <c r="F2961" s="605" t="str">
        <f>IFERROR(__xludf.DUMMYFUNCTION("""COMPUTED_VALUE"""),"MASTERYS GP")</f>
        <v>MASTERYS GP</v>
      </c>
      <c r="G2961" s="605"/>
      <c r="H2961" s="605"/>
      <c r="I2961" s="605"/>
      <c r="J2961" s="606"/>
      <c r="K2961" s="605"/>
      <c r="L2961" s="605"/>
      <c r="M2961" s="605"/>
      <c r="N2961" s="605"/>
      <c r="O2961" s="605"/>
      <c r="P2961" s="605" t="s">
        <v>3040</v>
      </c>
    </row>
    <row r="2962">
      <c r="A2962" s="605"/>
      <c r="B2962" s="605"/>
      <c r="C2962" s="605"/>
      <c r="D2962" s="605"/>
      <c r="E2962" s="605" t="str">
        <f>IFERROR(__xludf.DUMMYFUNCTION("""COMPUTED_VALUE"""),"SOCOMEC")</f>
        <v>SOCOMEC</v>
      </c>
      <c r="F2962" s="605" t="str">
        <f>IFERROR(__xludf.DUMMYFUNCTION("""COMPUTED_VALUE"""),"48990300")</f>
        <v>48990300</v>
      </c>
      <c r="G2962" s="605"/>
      <c r="H2962" s="605"/>
      <c r="I2962" s="605"/>
      <c r="J2962" s="606"/>
      <c r="K2962" s="605"/>
      <c r="L2962" s="605"/>
      <c r="M2962" s="605"/>
      <c r="N2962" s="605"/>
      <c r="O2962" s="605"/>
      <c r="P2962" s="605" t="s">
        <v>4613</v>
      </c>
    </row>
    <row r="2963">
      <c r="A2963" s="605"/>
      <c r="B2963" s="605"/>
      <c r="C2963" s="605"/>
      <c r="D2963" s="605"/>
      <c r="E2963" s="605" t="str">
        <f>IFERROR(__xludf.DUMMYFUNCTION("""COMPUTED_VALUE"""),"SOCOMEC")</f>
        <v>SOCOMEC</v>
      </c>
      <c r="F2963" s="605" t="str">
        <f>IFERROR(__xludf.DUMMYFUNCTION("""COMPUTED_VALUE"""),"NRT2-U3300")</f>
        <v>NRT2-U3300</v>
      </c>
      <c r="G2963" s="605"/>
      <c r="H2963" s="605"/>
      <c r="I2963" s="605"/>
      <c r="J2963" s="606"/>
      <c r="K2963" s="605"/>
      <c r="L2963" s="605"/>
      <c r="M2963" s="605"/>
      <c r="N2963" s="605"/>
      <c r="O2963" s="605"/>
      <c r="P2963" s="605" t="s">
        <v>4616</v>
      </c>
    </row>
    <row r="2964">
      <c r="A2964" s="605"/>
      <c r="B2964" s="605"/>
      <c r="C2964" s="605"/>
      <c r="D2964" s="605"/>
      <c r="E2964" s="605" t="str">
        <f>IFERROR(__xludf.DUMMYFUNCTION("""COMPUTED_VALUE"""),"SOCOMEC")</f>
        <v>SOCOMEC</v>
      </c>
      <c r="F2964" s="605" t="str">
        <f>IFERROR(__xludf.DUMMYFUNCTION("""COMPUTED_VALUE"""),"NETYS PE")</f>
        <v>NETYS PE</v>
      </c>
      <c r="G2964" s="605"/>
      <c r="H2964" s="605"/>
      <c r="I2964" s="605"/>
      <c r="J2964" s="606"/>
      <c r="K2964" s="605"/>
      <c r="L2964" s="605"/>
      <c r="M2964" s="605"/>
      <c r="N2964" s="605"/>
      <c r="O2964" s="605"/>
      <c r="P2964" s="605" t="s">
        <v>4619</v>
      </c>
    </row>
    <row r="2965">
      <c r="A2965" s="605"/>
      <c r="B2965" s="605"/>
      <c r="C2965" s="605"/>
      <c r="D2965" s="605"/>
      <c r="E2965" s="605" t="str">
        <f>IFERROR(__xludf.DUMMYFUNCTION("""COMPUTED_VALUE"""),"SOCOMEC")</f>
        <v>SOCOMEC</v>
      </c>
      <c r="F2965" s="605" t="str">
        <f>IFERROR(__xludf.DUMMYFUNCTION("""COMPUTED_VALUE"""),"NET VISION 7")</f>
        <v>NET VISION 7</v>
      </c>
      <c r="G2965" s="605"/>
      <c r="H2965" s="605"/>
      <c r="I2965" s="605"/>
      <c r="J2965" s="606"/>
      <c r="K2965" s="605"/>
      <c r="L2965" s="605"/>
      <c r="M2965" s="605"/>
      <c r="N2965" s="605"/>
      <c r="O2965" s="605"/>
      <c r="P2965" s="605" t="s">
        <v>4622</v>
      </c>
    </row>
    <row r="2966">
      <c r="A2966" s="605"/>
      <c r="B2966" s="605"/>
      <c r="C2966" s="605"/>
      <c r="D2966" s="605"/>
      <c r="E2966" s="605" t="str">
        <f>IFERROR(__xludf.DUMMYFUNCTION("""COMPUTED_VALUE"""),"SOCOMEC")</f>
        <v>SOCOMEC</v>
      </c>
      <c r="F2966" s="605" t="str">
        <f>IFERROR(__xludf.DUMMYFUNCTION("""COMPUTED_VALUE"""),"NET-VISION7CARD")</f>
        <v>NET-VISION7CARD</v>
      </c>
      <c r="G2966" s="605"/>
      <c r="H2966" s="605"/>
      <c r="I2966" s="605"/>
      <c r="J2966" s="606"/>
      <c r="K2966" s="605"/>
      <c r="L2966" s="605"/>
      <c r="M2966" s="605"/>
      <c r="N2966" s="605"/>
      <c r="O2966" s="605"/>
      <c r="P2966" s="605" t="s">
        <v>4625</v>
      </c>
    </row>
    <row r="2967">
      <c r="A2967" s="605"/>
      <c r="B2967" s="605"/>
      <c r="C2967" s="605"/>
      <c r="D2967" s="605"/>
      <c r="E2967" s="605" t="str">
        <f>IFERROR(__xludf.DUMMYFUNCTION("""COMPUTED_VALUE"""),"SOCOMEC")</f>
        <v>SOCOMEC</v>
      </c>
      <c r="F2967" s="605" t="str">
        <f>IFERROR(__xludf.DUMMYFUNCTION("""COMPUTED_VALUE"""),"MODULYS GP")</f>
        <v>MODULYS GP</v>
      </c>
      <c r="G2967" s="605"/>
      <c r="H2967" s="605"/>
      <c r="I2967" s="605"/>
      <c r="J2967" s="606"/>
      <c r="K2967" s="605"/>
      <c r="L2967" s="605"/>
      <c r="M2967" s="605"/>
      <c r="N2967" s="605"/>
      <c r="O2967" s="605"/>
      <c r="P2967" s="605" t="s">
        <v>4628</v>
      </c>
    </row>
    <row r="2968">
      <c r="A2968" s="605"/>
      <c r="B2968" s="605"/>
      <c r="C2968" s="605"/>
      <c r="D2968" s="605"/>
      <c r="E2968" s="605" t="str">
        <f>IFERROR(__xludf.DUMMYFUNCTION("""COMPUTED_VALUE"""),"SOCOMEC")</f>
        <v>SOCOMEC</v>
      </c>
      <c r="F2968" s="605" t="str">
        <f>IFERROR(__xludf.DUMMYFUNCTION("""COMPUTED_VALUE"""),"ITYS PRO")</f>
        <v>ITYS PRO</v>
      </c>
      <c r="G2968" s="605"/>
      <c r="H2968" s="605"/>
      <c r="I2968" s="605"/>
      <c r="J2968" s="606"/>
      <c r="K2968" s="605"/>
      <c r="L2968" s="605"/>
      <c r="M2968" s="605"/>
      <c r="N2968" s="605"/>
      <c r="O2968" s="605"/>
      <c r="P2968" s="605" t="s">
        <v>4631</v>
      </c>
    </row>
    <row r="2969">
      <c r="A2969" s="605"/>
      <c r="B2969" s="605"/>
      <c r="C2969" s="605"/>
      <c r="D2969" s="605"/>
      <c r="E2969" s="605" t="str">
        <f>IFERROR(__xludf.DUMMYFUNCTION("""COMPUTED_VALUE"""),"SOCOMEC")</f>
        <v>SOCOMEC</v>
      </c>
      <c r="F2969" s="605" t="str">
        <f>IFERROR(__xludf.DUMMYFUNCTION("""COMPUTED_VALUE"""),"DIRIS A-20")</f>
        <v>DIRIS A-20</v>
      </c>
      <c r="G2969" s="605"/>
      <c r="H2969" s="605"/>
      <c r="I2969" s="605"/>
      <c r="J2969" s="606"/>
      <c r="K2969" s="605"/>
      <c r="L2969" s="605"/>
      <c r="M2969" s="605"/>
      <c r="N2969" s="605"/>
      <c r="O2969" s="605"/>
      <c r="P2969" s="605" t="s">
        <v>4634</v>
      </c>
    </row>
    <row r="2970">
      <c r="A2970" s="605"/>
      <c r="B2970" s="605"/>
      <c r="C2970" s="605"/>
      <c r="D2970" s="605"/>
      <c r="E2970" s="605" t="str">
        <f>IFERROR(__xludf.DUMMYFUNCTION("""COMPUTED_VALUE"""),"SOCOMEC")</f>
        <v>SOCOMEC</v>
      </c>
      <c r="F2970" s="605" t="str">
        <f>IFERROR(__xludf.DUMMYFUNCTION("""COMPUTED_VALUE"""),"COUNTIS E34")</f>
        <v>COUNTIS E34</v>
      </c>
      <c r="G2970" s="605"/>
      <c r="H2970" s="605"/>
      <c r="I2970" s="605"/>
      <c r="J2970" s="606"/>
      <c r="K2970" s="605"/>
      <c r="L2970" s="605"/>
      <c r="M2970" s="605"/>
      <c r="N2970" s="605"/>
      <c r="O2970" s="605"/>
      <c r="P2970" s="605" t="s">
        <v>4637</v>
      </c>
    </row>
    <row r="2971">
      <c r="A2971" s="605"/>
      <c r="B2971" s="605"/>
      <c r="C2971" s="605"/>
      <c r="D2971" s="605"/>
      <c r="E2971" s="605" t="str">
        <f>IFERROR(__xludf.DUMMYFUNCTION("""COMPUTED_VALUE"""),"SOCOMEC")</f>
        <v>SOCOMEC</v>
      </c>
      <c r="F2971" s="605" t="str">
        <f>IFERROR(__xludf.DUMMYFUNCTION("""COMPUTED_VALUE"""),"COUNTIS E44")</f>
        <v>COUNTIS E44</v>
      </c>
      <c r="G2971" s="605"/>
      <c r="H2971" s="605"/>
      <c r="I2971" s="605"/>
      <c r="J2971" s="606"/>
      <c r="K2971" s="605"/>
      <c r="L2971" s="605"/>
      <c r="M2971" s="605"/>
      <c r="N2971" s="605"/>
      <c r="O2971" s="605"/>
      <c r="P2971" s="605" t="s">
        <v>4639</v>
      </c>
    </row>
    <row r="2972">
      <c r="A2972" s="605"/>
      <c r="B2972" s="605"/>
      <c r="C2972" s="605"/>
      <c r="D2972" s="605"/>
      <c r="E2972" s="605" t="str">
        <f>IFERROR(__xludf.DUMMYFUNCTION("""COMPUTED_VALUE"""),"SOCOMEC")</f>
        <v>SOCOMEC</v>
      </c>
      <c r="F2972" s="605" t="str">
        <f>IFERROR(__xludf.DUMMYFUNCTION("""COMPUTED_VALUE"""),"COUNTIS E24")</f>
        <v>COUNTIS E24</v>
      </c>
      <c r="G2972" s="605"/>
      <c r="H2972" s="605"/>
      <c r="I2972" s="605"/>
      <c r="J2972" s="606"/>
      <c r="K2972" s="605"/>
      <c r="L2972" s="605"/>
      <c r="M2972" s="605"/>
      <c r="N2972" s="605"/>
      <c r="O2972" s="605"/>
      <c r="P2972" s="605" t="s">
        <v>3043</v>
      </c>
    </row>
    <row r="2973">
      <c r="A2973" s="605"/>
      <c r="B2973" s="605"/>
      <c r="C2973" s="605"/>
      <c r="D2973" s="605"/>
      <c r="E2973" s="605" t="str">
        <f>IFERROR(__xludf.DUMMYFUNCTION("""COMPUTED_VALUE"""),"SOCOMEC")</f>
        <v>SOCOMEC</v>
      </c>
      <c r="F2973" s="605" t="str">
        <f>IFERROR(__xludf.DUMMYFUNCTION("""COMPUTED_VALUE"""),"DIRIS A-10")</f>
        <v>DIRIS A-10</v>
      </c>
      <c r="G2973" s="605"/>
      <c r="H2973" s="605"/>
      <c r="I2973" s="605"/>
      <c r="J2973" s="606"/>
      <c r="K2973" s="605"/>
      <c r="L2973" s="605"/>
      <c r="M2973" s="605"/>
      <c r="N2973" s="605"/>
      <c r="O2973" s="605"/>
      <c r="P2973" s="605" t="s">
        <v>4641</v>
      </c>
    </row>
    <row r="2974">
      <c r="A2974" s="605"/>
      <c r="B2974" s="605"/>
      <c r="C2974" s="605"/>
      <c r="D2974" s="605"/>
      <c r="E2974" s="605" t="str">
        <f>IFERROR(__xludf.DUMMYFUNCTION("""COMPUTED_VALUE"""),"SOCOMEC")</f>
        <v>SOCOMEC</v>
      </c>
      <c r="F2974" s="605" t="str">
        <f>IFERROR(__xludf.DUMMYFUNCTION("""COMPUTED_VALUE"""),"DELPHYS MP ELITE+")</f>
        <v>DELPHYS MP ELITE+</v>
      </c>
      <c r="G2974" s="605"/>
      <c r="H2974" s="605"/>
      <c r="I2974" s="605"/>
      <c r="J2974" s="606"/>
      <c r="K2974" s="605"/>
      <c r="L2974" s="605"/>
      <c r="M2974" s="605"/>
      <c r="N2974" s="605"/>
      <c r="O2974" s="605"/>
      <c r="P2974" s="605" t="s">
        <v>4644</v>
      </c>
    </row>
    <row r="2975">
      <c r="A2975" s="605"/>
      <c r="B2975" s="605"/>
      <c r="C2975" s="605"/>
      <c r="D2975" s="605"/>
      <c r="E2975" s="605" t="str">
        <f>IFERROR(__xludf.DUMMYFUNCTION("""COMPUTED_VALUE"""),"SOCOMEC")</f>
        <v>SOCOMEC</v>
      </c>
      <c r="F2975" s="605" t="str">
        <f>IFERROR(__xludf.DUMMYFUNCTION("""COMPUTED_VALUE"""),"ADC+SL CARD")</f>
        <v>ADC+SL CARD</v>
      </c>
      <c r="G2975" s="605"/>
      <c r="H2975" s="605"/>
      <c r="I2975" s="605"/>
      <c r="J2975" s="606"/>
      <c r="K2975" s="605"/>
      <c r="L2975" s="605"/>
      <c r="M2975" s="605"/>
      <c r="N2975" s="605"/>
      <c r="O2975" s="605"/>
      <c r="P2975" s="605" t="s">
        <v>4647</v>
      </c>
    </row>
    <row r="2976">
      <c r="A2976" s="605"/>
      <c r="B2976" s="605"/>
      <c r="C2976" s="605"/>
      <c r="D2976" s="605"/>
      <c r="E2976" s="605" t="str">
        <f>IFERROR(__xludf.DUMMYFUNCTION("""COMPUTED_VALUE"""),"SOCOMEC")</f>
        <v>SOCOMEC</v>
      </c>
      <c r="F2976" s="605" t="str">
        <f>IFERROR(__xludf.DUMMYFUNCTION("""COMPUTED_VALUE"""),"NET-VISION8CARD")</f>
        <v>NET-VISION8CARD</v>
      </c>
      <c r="G2976" s="605"/>
      <c r="H2976" s="605"/>
      <c r="I2976" s="605"/>
      <c r="J2976" s="606"/>
      <c r="K2976" s="605"/>
      <c r="L2976" s="605"/>
      <c r="M2976" s="605"/>
      <c r="N2976" s="605"/>
      <c r="O2976" s="605"/>
      <c r="P2976" s="605" t="s">
        <v>4650</v>
      </c>
    </row>
    <row r="2977">
      <c r="A2977" s="605"/>
      <c r="B2977" s="605"/>
      <c r="C2977" s="605"/>
      <c r="D2977" s="605"/>
      <c r="E2977" s="605" t="str">
        <f>IFERROR(__xludf.DUMMYFUNCTION("""COMPUTED_VALUE"""),"SOLAREDGE")</f>
        <v>SOLAREDGE</v>
      </c>
      <c r="F2977" s="605" t="str">
        <f>IFERROR(__xludf.DUMMYFUNCTION("""COMPUTED_VALUE"""),"SE1000H")</f>
        <v>SE1000H</v>
      </c>
      <c r="G2977" s="605"/>
      <c r="H2977" s="605"/>
      <c r="I2977" s="605"/>
      <c r="J2977" s="606"/>
      <c r="K2977" s="605"/>
      <c r="L2977" s="605"/>
      <c r="M2977" s="605"/>
      <c r="N2977" s="605"/>
      <c r="O2977" s="605"/>
      <c r="P2977" s="605" t="s">
        <v>4653</v>
      </c>
    </row>
    <row r="2978">
      <c r="A2978" s="605"/>
      <c r="B2978" s="605"/>
      <c r="C2978" s="605"/>
      <c r="D2978" s="605"/>
      <c r="E2978" s="605" t="str">
        <f>IFERROR(__xludf.DUMMYFUNCTION("""COMPUTED_VALUE"""),"SOLAREDGE")</f>
        <v>SOLAREDGE</v>
      </c>
      <c r="F2978" s="605" t="str">
        <f>IFERROR(__xludf.DUMMYFUNCTION("""COMPUTED_VALUE"""),"SE1000CCGG GATEWAY")</f>
        <v>SE1000CCGG GATEWAY</v>
      </c>
      <c r="G2978" s="605"/>
      <c r="H2978" s="605"/>
      <c r="I2978" s="605"/>
      <c r="J2978" s="606"/>
      <c r="K2978" s="605"/>
      <c r="L2978" s="605"/>
      <c r="M2978" s="605"/>
      <c r="N2978" s="605"/>
      <c r="O2978" s="605"/>
      <c r="P2978" s="605" t="s">
        <v>4656</v>
      </c>
    </row>
    <row r="2979">
      <c r="A2979" s="605"/>
      <c r="B2979" s="605"/>
      <c r="C2979" s="605"/>
      <c r="D2979" s="605"/>
      <c r="E2979" s="605" t="str">
        <f>IFERROR(__xludf.DUMMYFUNCTION("""COMPUTED_VALUE"""),"SOMFY")</f>
        <v>SOMFY</v>
      </c>
      <c r="F2979" s="605" t="str">
        <f>IFERROR(__xludf.DUMMYFUNCTION("""COMPUTED_VALUE"""),"ANIMEO")</f>
        <v>ANIMEO</v>
      </c>
      <c r="G2979" s="605"/>
      <c r="H2979" s="605"/>
      <c r="I2979" s="605"/>
      <c r="J2979" s="606"/>
      <c r="K2979" s="605"/>
      <c r="L2979" s="605"/>
      <c r="M2979" s="605"/>
      <c r="N2979" s="605"/>
      <c r="O2979" s="605"/>
      <c r="P2979" s="605" t="s">
        <v>4659</v>
      </c>
    </row>
    <row r="2980">
      <c r="A2980" s="605"/>
      <c r="B2980" s="605"/>
      <c r="C2980" s="605"/>
      <c r="D2980" s="605"/>
      <c r="E2980" s="605" t="str">
        <f>IFERROR(__xludf.DUMMYFUNCTION("""COMPUTED_VALUE"""),"SOMFY")</f>
        <v>SOMFY</v>
      </c>
      <c r="F2980" s="605" t="str">
        <f>IFERROR(__xludf.DUMMYFUNCTION("""COMPUTED_VALUE"""),"ANIMEO")</f>
        <v>ANIMEO</v>
      </c>
      <c r="G2980" s="605"/>
      <c r="H2980" s="605"/>
      <c r="I2980" s="605"/>
      <c r="J2980" s="606"/>
      <c r="K2980" s="605"/>
      <c r="L2980" s="605"/>
      <c r="M2980" s="605"/>
      <c r="N2980" s="605"/>
      <c r="O2980" s="605"/>
      <c r="P2980" s="605" t="s">
        <v>4662</v>
      </c>
    </row>
    <row r="2981">
      <c r="A2981" s="605"/>
      <c r="B2981" s="605"/>
      <c r="C2981" s="605"/>
      <c r="D2981" s="605"/>
      <c r="E2981" s="605" t="str">
        <f>IFERROR(__xludf.DUMMYFUNCTION("""COMPUTED_VALUE"""),"SOMFY")</f>
        <v>SOMFY</v>
      </c>
      <c r="F2981" s="605" t="str">
        <f>IFERROR(__xludf.DUMMYFUNCTION("""COMPUTED_VALUE"""),"ANIMEO")</f>
        <v>ANIMEO</v>
      </c>
      <c r="G2981" s="605"/>
      <c r="H2981" s="605"/>
      <c r="I2981" s="605"/>
      <c r="J2981" s="606"/>
      <c r="K2981" s="605"/>
      <c r="L2981" s="605"/>
      <c r="M2981" s="605"/>
      <c r="N2981" s="605"/>
      <c r="O2981" s="605"/>
      <c r="P2981" s="605" t="s">
        <v>4665</v>
      </c>
    </row>
    <row r="2982">
      <c r="A2982" s="605"/>
      <c r="B2982" s="605"/>
      <c r="C2982" s="605"/>
      <c r="D2982" s="605"/>
      <c r="E2982" s="605" t="str">
        <f>IFERROR(__xludf.DUMMYFUNCTION("""COMPUTED_VALUE"""),"SOMFY")</f>
        <v>SOMFY</v>
      </c>
      <c r="F2982" s="605" t="str">
        <f>IFERROR(__xludf.DUMMYFUNCTION("""COMPUTED_VALUE"""),"IP/RS485")</f>
        <v>IP/RS485</v>
      </c>
      <c r="G2982" s="605"/>
      <c r="H2982" s="605"/>
      <c r="I2982" s="605"/>
      <c r="J2982" s="606"/>
      <c r="K2982" s="605"/>
      <c r="L2982" s="605"/>
      <c r="M2982" s="605"/>
      <c r="N2982" s="605"/>
      <c r="O2982" s="605"/>
      <c r="P2982" s="605" t="s">
        <v>4668</v>
      </c>
    </row>
    <row r="2983">
      <c r="A2983" s="605"/>
      <c r="B2983" s="605"/>
      <c r="C2983" s="605"/>
      <c r="D2983" s="605"/>
      <c r="E2983" s="605" t="str">
        <f>IFERROR(__xludf.DUMMYFUNCTION("""COMPUTED_VALUE"""),"SOMFY")</f>
        <v>SOMFY</v>
      </c>
      <c r="F2983" s="605" t="str">
        <f>IFERROR(__xludf.DUMMYFUNCTION("""COMPUTED_VALUE"""),"IP/RS485")</f>
        <v>IP/RS485</v>
      </c>
      <c r="G2983" s="605"/>
      <c r="H2983" s="605"/>
      <c r="I2983" s="605"/>
      <c r="J2983" s="606"/>
      <c r="K2983" s="605"/>
      <c r="L2983" s="605"/>
      <c r="M2983" s="605"/>
      <c r="N2983" s="605"/>
      <c r="O2983" s="605"/>
      <c r="P2983" s="605" t="s">
        <v>3046</v>
      </c>
    </row>
    <row r="2984">
      <c r="A2984" s="605"/>
      <c r="B2984" s="605"/>
      <c r="C2984" s="605"/>
      <c r="D2984" s="605"/>
      <c r="E2984" s="605" t="str">
        <f>IFERROR(__xludf.DUMMYFUNCTION("""COMPUTED_VALUE"""),"SOMFY")</f>
        <v>SOMFY</v>
      </c>
      <c r="F2984" s="605" t="str">
        <f>IFERROR(__xludf.DUMMYFUNCTION("""COMPUTED_VALUE"""),"IP/RS485")</f>
        <v>IP/RS485</v>
      </c>
      <c r="G2984" s="605"/>
      <c r="H2984" s="605"/>
      <c r="I2984" s="605"/>
      <c r="J2984" s="606"/>
      <c r="K2984" s="605"/>
      <c r="L2984" s="605"/>
      <c r="M2984" s="605"/>
      <c r="N2984" s="605"/>
      <c r="O2984" s="605"/>
      <c r="P2984" s="605" t="s">
        <v>4671</v>
      </c>
    </row>
    <row r="2985">
      <c r="A2985" s="605"/>
      <c r="B2985" s="605"/>
      <c r="C2985" s="605"/>
      <c r="D2985" s="605"/>
      <c r="E2985" s="605" t="str">
        <f>IFERROR(__xludf.DUMMYFUNCTION("""COMPUTED_VALUE"""),"SOMFY")</f>
        <v>SOMFY</v>
      </c>
      <c r="F2985" s="605" t="str">
        <f>IFERROR(__xludf.DUMMYFUNCTION("""COMPUTED_VALUE"""),"IP/RS485")</f>
        <v>IP/RS485</v>
      </c>
      <c r="G2985" s="605"/>
      <c r="H2985" s="605"/>
      <c r="I2985" s="605"/>
      <c r="J2985" s="606"/>
      <c r="K2985" s="605"/>
      <c r="L2985" s="605"/>
      <c r="M2985" s="605"/>
      <c r="N2985" s="605"/>
      <c r="O2985" s="605"/>
      <c r="P2985" s="605" t="s">
        <v>4674</v>
      </c>
    </row>
    <row r="2986">
      <c r="A2986" s="605"/>
      <c r="B2986" s="605"/>
      <c r="C2986" s="605"/>
      <c r="D2986" s="605"/>
      <c r="E2986" s="605" t="str">
        <f>IFERROR(__xludf.DUMMYFUNCTION("""COMPUTED_VALUE"""),"SOMFY")</f>
        <v>SOMFY</v>
      </c>
      <c r="F2986" s="605" t="str">
        <f>IFERROR(__xludf.DUMMYFUNCTION("""COMPUTED_VALUE"""),"IP/RS485")</f>
        <v>IP/RS485</v>
      </c>
      <c r="G2986" s="605"/>
      <c r="H2986" s="605"/>
      <c r="I2986" s="605"/>
      <c r="J2986" s="606"/>
      <c r="K2986" s="605"/>
      <c r="L2986" s="605"/>
      <c r="M2986" s="605"/>
      <c r="N2986" s="605"/>
      <c r="O2986" s="605"/>
      <c r="P2986" s="605" t="s">
        <v>4677</v>
      </c>
    </row>
    <row r="2987">
      <c r="A2987" s="605"/>
      <c r="B2987" s="605"/>
      <c r="C2987" s="605"/>
      <c r="D2987" s="605"/>
      <c r="E2987" s="605" t="str">
        <f>IFERROR(__xludf.DUMMYFUNCTION("""COMPUTED_VALUE"""),"SOMFY")</f>
        <v>SOMFY</v>
      </c>
      <c r="F2987" s="605" t="str">
        <f>IFERROR(__xludf.DUMMYFUNCTION("""COMPUTED_VALUE"""),"IP SUB CONTROLLLER")</f>
        <v>IP SUB CONTROLLLER</v>
      </c>
      <c r="G2987" s="605"/>
      <c r="H2987" s="605"/>
      <c r="I2987" s="605"/>
      <c r="J2987" s="606"/>
      <c r="K2987" s="605"/>
      <c r="L2987" s="605"/>
      <c r="M2987" s="605"/>
      <c r="N2987" s="605"/>
      <c r="O2987" s="605"/>
      <c r="P2987" s="605" t="s">
        <v>4680</v>
      </c>
    </row>
    <row r="2988">
      <c r="A2988" s="605"/>
      <c r="B2988" s="605"/>
      <c r="C2988" s="605"/>
      <c r="D2988" s="605"/>
      <c r="E2988" s="605" t="str">
        <f>IFERROR(__xludf.DUMMYFUNCTION("""COMPUTED_VALUE"""),"SOMFY")</f>
        <v>SOMFY</v>
      </c>
      <c r="F2988" s="605" t="str">
        <f>IFERROR(__xludf.DUMMYFUNCTION("""COMPUTED_VALUE"""),"ANIMEO")</f>
        <v>ANIMEO</v>
      </c>
      <c r="G2988" s="605"/>
      <c r="H2988" s="605"/>
      <c r="I2988" s="605"/>
      <c r="J2988" s="606"/>
      <c r="K2988" s="605"/>
      <c r="L2988" s="605"/>
      <c r="M2988" s="605"/>
      <c r="N2988" s="605"/>
      <c r="O2988" s="605"/>
      <c r="P2988" s="605" t="s">
        <v>4682</v>
      </c>
    </row>
    <row r="2989">
      <c r="A2989" s="605"/>
      <c r="B2989" s="605"/>
      <c r="C2989" s="605"/>
      <c r="D2989" s="605"/>
      <c r="E2989" s="605" t="str">
        <f>IFERROR(__xludf.DUMMYFUNCTION("""COMPUTED_VALUE"""),"SOMFY")</f>
        <v>SOMFY</v>
      </c>
      <c r="F2989" s="605" t="str">
        <f>IFERROR(__xludf.DUMMYFUNCTION("""COMPUTED_VALUE"""),"RS485 RTS TRANSMITER")</f>
        <v>RS485 RTS TRANSMITER</v>
      </c>
      <c r="G2989" s="605"/>
      <c r="H2989" s="605"/>
      <c r="I2989" s="605"/>
      <c r="J2989" s="606"/>
      <c r="K2989" s="605"/>
      <c r="L2989" s="605"/>
      <c r="M2989" s="605"/>
      <c r="N2989" s="605"/>
      <c r="O2989" s="605"/>
      <c r="P2989" s="605" t="s">
        <v>4685</v>
      </c>
    </row>
    <row r="2990">
      <c r="A2990" s="605"/>
      <c r="B2990" s="605"/>
      <c r="C2990" s="605"/>
      <c r="D2990" s="605"/>
      <c r="E2990" s="605" t="str">
        <f>IFERROR(__xludf.DUMMYFUNCTION("""COMPUTED_VALUE"""),"SONCCI")</f>
        <v>SONCCI</v>
      </c>
      <c r="F2990" s="605" t="str">
        <f>IFERROR(__xludf.DUMMYFUNCTION("""COMPUTED_VALUE"""),"NOT VERIFIED")</f>
        <v>NOT VERIFIED</v>
      </c>
      <c r="G2990" s="605"/>
      <c r="H2990" s="605"/>
      <c r="I2990" s="605"/>
      <c r="J2990" s="606"/>
      <c r="K2990" s="605"/>
      <c r="L2990" s="605"/>
      <c r="M2990" s="605"/>
      <c r="N2990" s="605"/>
      <c r="O2990" s="605"/>
      <c r="P2990" s="605" t="s">
        <v>4687</v>
      </c>
    </row>
    <row r="2991">
      <c r="A2991" s="605"/>
      <c r="B2991" s="605"/>
      <c r="C2991" s="605"/>
      <c r="D2991" s="605"/>
      <c r="E2991" s="605" t="str">
        <f>IFERROR(__xludf.DUMMYFUNCTION("""COMPUTED_VALUE"""),"SONOS")</f>
        <v>SONOS</v>
      </c>
      <c r="F2991" s="605" t="str">
        <f>IFERROR(__xludf.DUMMYFUNCTION("""COMPUTED_VALUE"""),"PLAY 3")</f>
        <v>PLAY 3</v>
      </c>
      <c r="G2991" s="605"/>
      <c r="H2991" s="605"/>
      <c r="I2991" s="605"/>
      <c r="J2991" s="606"/>
      <c r="K2991" s="605"/>
      <c r="L2991" s="605"/>
      <c r="M2991" s="605"/>
      <c r="N2991" s="605"/>
      <c r="O2991" s="605"/>
      <c r="P2991" s="605" t="s">
        <v>4690</v>
      </c>
    </row>
    <row r="2992">
      <c r="A2992" s="605"/>
      <c r="B2992" s="605"/>
      <c r="C2992" s="605"/>
      <c r="D2992" s="605"/>
      <c r="E2992" s="605" t="str">
        <f>IFERROR(__xludf.DUMMYFUNCTION("""COMPUTED_VALUE"""),"SONOS")</f>
        <v>SONOS</v>
      </c>
      <c r="F2992" s="605" t="str">
        <f>IFERROR(__xludf.DUMMYFUNCTION("""COMPUTED_VALUE"""),"BRIDGE")</f>
        <v>BRIDGE</v>
      </c>
      <c r="G2992" s="605"/>
      <c r="H2992" s="605"/>
      <c r="I2992" s="605"/>
      <c r="J2992" s="606"/>
      <c r="K2992" s="605"/>
      <c r="L2992" s="605"/>
      <c r="M2992" s="605"/>
      <c r="N2992" s="605"/>
      <c r="O2992" s="605"/>
      <c r="P2992" s="605" t="s">
        <v>4693</v>
      </c>
    </row>
    <row r="2993">
      <c r="A2993" s="605"/>
      <c r="B2993" s="605"/>
      <c r="C2993" s="605"/>
      <c r="D2993" s="605"/>
      <c r="E2993" s="605" t="str">
        <f>IFERROR(__xludf.DUMMYFUNCTION("""COMPUTED_VALUE"""),"SONOS")</f>
        <v>SONOS</v>
      </c>
      <c r="F2993" s="605" t="str">
        <f>IFERROR(__xludf.DUMMYFUNCTION("""COMPUTED_VALUE"""),"BRIDGE")</f>
        <v>BRIDGE</v>
      </c>
      <c r="G2993" s="605"/>
      <c r="H2993" s="605"/>
      <c r="I2993" s="605"/>
      <c r="J2993" s="606"/>
      <c r="K2993" s="605"/>
      <c r="L2993" s="605"/>
      <c r="M2993" s="605"/>
      <c r="N2993" s="605"/>
      <c r="O2993" s="605"/>
      <c r="P2993" s="605" t="s">
        <v>4696</v>
      </c>
    </row>
    <row r="2994">
      <c r="A2994" s="605"/>
      <c r="B2994" s="605"/>
      <c r="C2994" s="605"/>
      <c r="D2994" s="605"/>
      <c r="E2994" s="605" t="str">
        <f>IFERROR(__xludf.DUMMYFUNCTION("""COMPUTED_VALUE"""),"SONOS")</f>
        <v>SONOS</v>
      </c>
      <c r="F2994" s="605" t="str">
        <f>IFERROR(__xludf.DUMMYFUNCTION("""COMPUTED_VALUE"""),"BRIDGE")</f>
        <v>BRIDGE</v>
      </c>
      <c r="G2994" s="605"/>
      <c r="H2994" s="605"/>
      <c r="I2994" s="605"/>
      <c r="J2994" s="606"/>
      <c r="K2994" s="605"/>
      <c r="L2994" s="605"/>
      <c r="M2994" s="605"/>
      <c r="N2994" s="605"/>
      <c r="O2994" s="605"/>
      <c r="P2994" s="605" t="s">
        <v>3048</v>
      </c>
    </row>
    <row r="2995">
      <c r="A2995" s="605"/>
      <c r="B2995" s="605"/>
      <c r="C2995" s="605"/>
      <c r="D2995" s="605"/>
      <c r="E2995" s="605" t="str">
        <f>IFERROR(__xludf.DUMMYFUNCTION("""COMPUTED_VALUE"""),"SONTEX")</f>
        <v>SONTEX</v>
      </c>
      <c r="F2995" s="605" t="str">
        <f>IFERROR(__xludf.DUMMYFUNCTION("""COMPUTED_VALUE"""),"STATIC HEAT METER")</f>
        <v>STATIC HEAT METER</v>
      </c>
      <c r="G2995" s="605"/>
      <c r="H2995" s="605"/>
      <c r="I2995" s="605"/>
      <c r="J2995" s="606"/>
      <c r="K2995" s="605"/>
      <c r="L2995" s="605"/>
      <c r="M2995" s="605"/>
      <c r="N2995" s="605"/>
      <c r="O2995" s="605"/>
      <c r="P2995" s="605" t="s">
        <v>4698</v>
      </c>
    </row>
    <row r="2996">
      <c r="A2996" s="605"/>
      <c r="B2996" s="605"/>
      <c r="C2996" s="605"/>
      <c r="D2996" s="605"/>
      <c r="E2996" s="605" t="str">
        <f>IFERROR(__xludf.DUMMYFUNCTION("""COMPUTED_VALUE"""),"SONY")</f>
        <v>SONY</v>
      </c>
      <c r="F2996" s="605" t="str">
        <f>IFERROR(__xludf.DUMMYFUNCTION("""COMPUTED_VALUE"""),"BRAVIA 2015")</f>
        <v>BRAVIA 2015</v>
      </c>
      <c r="G2996" s="605"/>
      <c r="H2996" s="605"/>
      <c r="I2996" s="605"/>
      <c r="J2996" s="606"/>
      <c r="K2996" s="605"/>
      <c r="L2996" s="605"/>
      <c r="M2996" s="605"/>
      <c r="N2996" s="605"/>
      <c r="O2996" s="605"/>
      <c r="P2996" s="605" t="s">
        <v>4700</v>
      </c>
    </row>
    <row r="2997">
      <c r="A2997" s="605"/>
      <c r="B2997" s="605"/>
      <c r="C2997" s="605"/>
      <c r="D2997" s="605"/>
      <c r="E2997" s="605" t="str">
        <f>IFERROR(__xludf.DUMMYFUNCTION("""COMPUTED_VALUE"""),"SONY")</f>
        <v>SONY</v>
      </c>
      <c r="F2997" s="605" t="str">
        <f>IFERROR(__xludf.DUMMYFUNCTION("""COMPUTED_VALUE"""),"PS 3")</f>
        <v>PS 3</v>
      </c>
      <c r="G2997" s="605"/>
      <c r="H2997" s="605"/>
      <c r="I2997" s="605"/>
      <c r="J2997" s="606"/>
      <c r="K2997" s="605"/>
      <c r="L2997" s="605"/>
      <c r="M2997" s="605"/>
      <c r="N2997" s="605"/>
      <c r="O2997" s="605"/>
      <c r="P2997" s="605" t="s">
        <v>4703</v>
      </c>
    </row>
    <row r="2998">
      <c r="A2998" s="605"/>
      <c r="B2998" s="605"/>
      <c r="C2998" s="605"/>
      <c r="D2998" s="605"/>
      <c r="E2998" s="605" t="str">
        <f>IFERROR(__xludf.DUMMYFUNCTION("""COMPUTED_VALUE"""),"SONY")</f>
        <v>SONY</v>
      </c>
      <c r="F2998" s="605" t="str">
        <f>IFERROR(__xludf.DUMMYFUNCTION("""COMPUTED_VALUE"""),"PS 4")</f>
        <v>PS 4</v>
      </c>
      <c r="G2998" s="605"/>
      <c r="H2998" s="605"/>
      <c r="I2998" s="605"/>
      <c r="J2998" s="606"/>
      <c r="K2998" s="605"/>
      <c r="L2998" s="605"/>
      <c r="M2998" s="605"/>
      <c r="N2998" s="605"/>
      <c r="O2998" s="605"/>
      <c r="P2998" s="605" t="s">
        <v>4706</v>
      </c>
    </row>
    <row r="2999">
      <c r="A2999" s="605"/>
      <c r="B2999" s="605"/>
      <c r="C2999" s="605"/>
      <c r="D2999" s="605"/>
      <c r="E2999" s="605" t="str">
        <f>IFERROR(__xludf.DUMMYFUNCTION("""COMPUTED_VALUE"""),"SONY")</f>
        <v>SONY</v>
      </c>
      <c r="F2999" s="605" t="str">
        <f>IFERROR(__xludf.DUMMYFUNCTION("""COMPUTED_VALUE"""),"PS 4")</f>
        <v>PS 4</v>
      </c>
      <c r="G2999" s="605"/>
      <c r="H2999" s="605"/>
      <c r="I2999" s="605"/>
      <c r="J2999" s="606"/>
      <c r="K2999" s="605"/>
      <c r="L2999" s="605"/>
      <c r="M2999" s="605"/>
      <c r="N2999" s="605"/>
      <c r="O2999" s="605"/>
      <c r="P2999" s="605" t="s">
        <v>4709</v>
      </c>
    </row>
    <row r="3000">
      <c r="A3000" s="605"/>
      <c r="B3000" s="605"/>
      <c r="C3000" s="605"/>
      <c r="D3000" s="605"/>
      <c r="E3000" s="605" t="str">
        <f>IFERROR(__xludf.DUMMYFUNCTION("""COMPUTED_VALUE"""),"SONY")</f>
        <v>SONY</v>
      </c>
      <c r="F3000" s="605" t="str">
        <f>IFERROR(__xludf.DUMMYFUNCTION("""COMPUTED_VALUE"""),"PS 4")</f>
        <v>PS 4</v>
      </c>
      <c r="G3000" s="605"/>
      <c r="H3000" s="605"/>
      <c r="I3000" s="605"/>
      <c r="J3000" s="606"/>
      <c r="K3000" s="605"/>
      <c r="L3000" s="605"/>
      <c r="M3000" s="605"/>
      <c r="N3000" s="605"/>
      <c r="O3000" s="605"/>
      <c r="P3000" s="605" t="s">
        <v>4712</v>
      </c>
    </row>
    <row r="3001">
      <c r="A3001" s="605"/>
      <c r="B3001" s="605"/>
      <c r="C3001" s="605"/>
      <c r="D3001" s="605"/>
      <c r="E3001" s="605" t="str">
        <f>IFERROR(__xludf.DUMMYFUNCTION("""COMPUTED_VALUE"""),"SONY")</f>
        <v>SONY</v>
      </c>
      <c r="F3001" s="605" t="str">
        <f>IFERROR(__xludf.DUMMYFUNCTION("""COMPUTED_VALUE"""),"PS 4")</f>
        <v>PS 4</v>
      </c>
      <c r="G3001" s="605"/>
      <c r="H3001" s="605"/>
      <c r="I3001" s="605"/>
      <c r="J3001" s="606"/>
      <c r="K3001" s="605"/>
      <c r="L3001" s="605"/>
      <c r="M3001" s="605"/>
      <c r="N3001" s="605"/>
      <c r="O3001" s="605"/>
      <c r="P3001" s="605" t="s">
        <v>4715</v>
      </c>
    </row>
    <row r="3002">
      <c r="A3002" s="605"/>
      <c r="B3002" s="605"/>
      <c r="C3002" s="605"/>
      <c r="D3002" s="605"/>
      <c r="E3002" s="605" t="str">
        <f>IFERROR(__xludf.DUMMYFUNCTION("""COMPUTED_VALUE"""),"SONY")</f>
        <v>SONY</v>
      </c>
      <c r="F3002" s="605" t="str">
        <f>IFERROR(__xludf.DUMMYFUNCTION("""COMPUTED_VALUE"""),"PS 4")</f>
        <v>PS 4</v>
      </c>
      <c r="G3002" s="605"/>
      <c r="H3002" s="605"/>
      <c r="I3002" s="605"/>
      <c r="J3002" s="606"/>
      <c r="K3002" s="605"/>
      <c r="L3002" s="605"/>
      <c r="M3002" s="605"/>
      <c r="N3002" s="605"/>
      <c r="O3002" s="605"/>
      <c r="P3002" s="605" t="s">
        <v>4718</v>
      </c>
    </row>
    <row r="3003">
      <c r="A3003" s="605"/>
      <c r="B3003" s="605"/>
      <c r="C3003" s="605"/>
      <c r="D3003" s="605"/>
      <c r="E3003" s="605" t="str">
        <f>IFERROR(__xludf.DUMMYFUNCTION("""COMPUTED_VALUE"""),"SONY")</f>
        <v>SONY</v>
      </c>
      <c r="F3003" s="605" t="str">
        <f>IFERROR(__xludf.DUMMYFUNCTION("""COMPUTED_VALUE"""),"PS 4")</f>
        <v>PS 4</v>
      </c>
      <c r="G3003" s="605"/>
      <c r="H3003" s="605"/>
      <c r="I3003" s="605"/>
      <c r="J3003" s="606"/>
      <c r="K3003" s="605"/>
      <c r="L3003" s="605"/>
      <c r="M3003" s="605"/>
      <c r="N3003" s="605"/>
      <c r="O3003" s="605"/>
      <c r="P3003" s="605" t="s">
        <v>4721</v>
      </c>
    </row>
    <row r="3004">
      <c r="A3004" s="605"/>
      <c r="B3004" s="605"/>
      <c r="C3004" s="605"/>
      <c r="D3004" s="605"/>
      <c r="E3004" s="605" t="str">
        <f>IFERROR(__xludf.DUMMYFUNCTION("""COMPUTED_VALUE"""),"SONY")</f>
        <v>SONY</v>
      </c>
      <c r="F3004" s="605" t="str">
        <f>IFERROR(__xludf.DUMMYFUNCTION("""COMPUTED_VALUE"""),"PS 4")</f>
        <v>PS 4</v>
      </c>
      <c r="G3004" s="605"/>
      <c r="H3004" s="605"/>
      <c r="I3004" s="605"/>
      <c r="J3004" s="606"/>
      <c r="K3004" s="605"/>
      <c r="L3004" s="605"/>
      <c r="M3004" s="605"/>
      <c r="N3004" s="605"/>
      <c r="O3004" s="605"/>
      <c r="P3004" s="605" t="s">
        <v>4724</v>
      </c>
    </row>
    <row r="3005">
      <c r="A3005" s="605"/>
      <c r="B3005" s="605"/>
      <c r="C3005" s="605"/>
      <c r="D3005" s="605"/>
      <c r="E3005" s="605" t="str">
        <f>IFERROR(__xludf.DUMMYFUNCTION("""COMPUTED_VALUE"""),"SONY")</f>
        <v>SONY</v>
      </c>
      <c r="F3005" s="605" t="str">
        <f>IFERROR(__xludf.DUMMYFUNCTION("""COMPUTED_VALUE"""),"PS 4")</f>
        <v>PS 4</v>
      </c>
      <c r="G3005" s="605"/>
      <c r="H3005" s="605"/>
      <c r="I3005" s="605"/>
      <c r="J3005" s="606"/>
      <c r="K3005" s="605"/>
      <c r="L3005" s="605"/>
      <c r="M3005" s="605"/>
      <c r="N3005" s="605"/>
      <c r="O3005" s="605"/>
      <c r="P3005" s="605" t="s">
        <v>3051</v>
      </c>
    </row>
    <row r="3006">
      <c r="A3006" s="605"/>
      <c r="B3006" s="605"/>
      <c r="C3006" s="605"/>
      <c r="D3006" s="605"/>
      <c r="E3006" s="605" t="str">
        <f>IFERROR(__xludf.DUMMYFUNCTION("""COMPUTED_VALUE"""),"SONY")</f>
        <v>SONY</v>
      </c>
      <c r="F3006" s="605" t="str">
        <f>IFERROR(__xludf.DUMMYFUNCTION("""COMPUTED_VALUE"""),"PS 4")</f>
        <v>PS 4</v>
      </c>
      <c r="G3006" s="605"/>
      <c r="H3006" s="605"/>
      <c r="I3006" s="605"/>
      <c r="J3006" s="606"/>
      <c r="K3006" s="605"/>
      <c r="L3006" s="605"/>
      <c r="M3006" s="605"/>
      <c r="N3006" s="605"/>
      <c r="O3006" s="605"/>
      <c r="P3006" s="605" t="s">
        <v>4727</v>
      </c>
    </row>
    <row r="3007">
      <c r="A3007" s="605"/>
      <c r="B3007" s="605"/>
      <c r="C3007" s="605"/>
      <c r="D3007" s="605"/>
      <c r="E3007" s="605" t="str">
        <f>IFERROR(__xludf.DUMMYFUNCTION("""COMPUTED_VALUE"""),"SONY")</f>
        <v>SONY</v>
      </c>
      <c r="F3007" s="605" t="str">
        <f>IFERROR(__xludf.DUMMYFUNCTION("""COMPUTED_VALUE"""),"PS 4")</f>
        <v>PS 4</v>
      </c>
      <c r="G3007" s="605"/>
      <c r="H3007" s="605"/>
      <c r="I3007" s="605"/>
      <c r="J3007" s="606"/>
      <c r="K3007" s="605"/>
      <c r="L3007" s="605"/>
      <c r="M3007" s="605"/>
      <c r="N3007" s="605"/>
      <c r="O3007" s="605"/>
      <c r="P3007" s="605" t="s">
        <v>4730</v>
      </c>
    </row>
    <row r="3008">
      <c r="A3008" s="605"/>
      <c r="B3008" s="605"/>
      <c r="C3008" s="605"/>
      <c r="D3008" s="605"/>
      <c r="E3008" s="605" t="str">
        <f>IFERROR(__xludf.DUMMYFUNCTION("""COMPUTED_VALUE"""),"SONY")</f>
        <v>SONY</v>
      </c>
      <c r="F3008" s="605" t="str">
        <f>IFERROR(__xludf.DUMMYFUNCTION("""COMPUTED_VALUE"""),"CHU-2106B")</f>
        <v>CHU-2106B</v>
      </c>
      <c r="G3008" s="605"/>
      <c r="H3008" s="605"/>
      <c r="I3008" s="605"/>
      <c r="J3008" s="606"/>
      <c r="K3008" s="605"/>
      <c r="L3008" s="605"/>
      <c r="M3008" s="605"/>
      <c r="N3008" s="605"/>
      <c r="O3008" s="605"/>
      <c r="P3008" s="605" t="s">
        <v>4733</v>
      </c>
    </row>
    <row r="3009">
      <c r="A3009" s="605"/>
      <c r="B3009" s="605"/>
      <c r="C3009" s="605"/>
      <c r="D3009" s="605"/>
      <c r="E3009" s="605" t="str">
        <f>IFERROR(__xludf.DUMMYFUNCTION("""COMPUTED_VALUE"""),"SONY")</f>
        <v>SONY</v>
      </c>
      <c r="F3009" s="605" t="str">
        <f>IFERROR(__xludf.DUMMYFUNCTION("""COMPUTED_VALUE"""),"COURTYARD PS4")</f>
        <v>COURTYARD PS4</v>
      </c>
      <c r="G3009" s="605"/>
      <c r="H3009" s="605"/>
      <c r="I3009" s="605"/>
      <c r="J3009" s="606"/>
      <c r="K3009" s="605"/>
      <c r="L3009" s="605"/>
      <c r="M3009" s="605"/>
      <c r="N3009" s="605"/>
      <c r="O3009" s="605"/>
      <c r="P3009" s="605" t="s">
        <v>4735</v>
      </c>
    </row>
    <row r="3010">
      <c r="A3010" s="605"/>
      <c r="B3010" s="605"/>
      <c r="C3010" s="605"/>
      <c r="D3010" s="605"/>
      <c r="E3010" s="605" t="str">
        <f>IFERROR(__xludf.DUMMYFUNCTION("""COMPUTED_VALUE"""),"SONY")</f>
        <v>SONY</v>
      </c>
      <c r="F3010" s="605" t="str">
        <f>IFERROR(__xludf.DUMMYFUNCTION("""COMPUTED_VALUE"""),"CUH 1001A")</f>
        <v>CUH 1001A</v>
      </c>
      <c r="G3010" s="605"/>
      <c r="H3010" s="605"/>
      <c r="I3010" s="605"/>
      <c r="J3010" s="606"/>
      <c r="K3010" s="605"/>
      <c r="L3010" s="605"/>
      <c r="M3010" s="605"/>
      <c r="N3010" s="605"/>
      <c r="O3010" s="605"/>
      <c r="P3010" s="605" t="s">
        <v>4738</v>
      </c>
    </row>
    <row r="3011">
      <c r="A3011" s="605"/>
      <c r="B3011" s="605"/>
      <c r="C3011" s="605"/>
      <c r="D3011" s="605"/>
      <c r="E3011" s="605" t="str">
        <f>IFERROR(__xludf.DUMMYFUNCTION("""COMPUTED_VALUE"""),"SONY")</f>
        <v>SONY</v>
      </c>
      <c r="F3011" s="605" t="str">
        <f>IFERROR(__xludf.DUMMYFUNCTION("""COMPUTED_VALUE"""),"CUH-1001A")</f>
        <v>CUH-1001A</v>
      </c>
      <c r="G3011" s="605"/>
      <c r="H3011" s="605"/>
      <c r="I3011" s="605"/>
      <c r="J3011" s="606"/>
      <c r="K3011" s="605"/>
      <c r="L3011" s="605"/>
      <c r="M3011" s="605"/>
      <c r="N3011" s="605"/>
      <c r="O3011" s="605"/>
      <c r="P3011" s="605" t="s">
        <v>4741</v>
      </c>
    </row>
    <row r="3012">
      <c r="A3012" s="605"/>
      <c r="B3012" s="605"/>
      <c r="C3012" s="605"/>
      <c r="D3012" s="605"/>
      <c r="E3012" s="605" t="str">
        <f>IFERROR(__xludf.DUMMYFUNCTION("""COMPUTED_VALUE"""),"SONY")</f>
        <v>SONY</v>
      </c>
      <c r="F3012" s="605" t="str">
        <f>IFERROR(__xludf.DUMMYFUNCTION("""COMPUTED_VALUE"""),"CUH-1215A")</f>
        <v>CUH-1215A</v>
      </c>
      <c r="G3012" s="605"/>
      <c r="H3012" s="605"/>
      <c r="I3012" s="605"/>
      <c r="J3012" s="606"/>
      <c r="K3012" s="605"/>
      <c r="L3012" s="605"/>
      <c r="M3012" s="605"/>
      <c r="N3012" s="605"/>
      <c r="O3012" s="605"/>
      <c r="P3012" s="605" t="s">
        <v>4744</v>
      </c>
    </row>
    <row r="3013">
      <c r="A3013" s="605"/>
      <c r="B3013" s="605"/>
      <c r="C3013" s="605"/>
      <c r="D3013" s="605"/>
      <c r="E3013" s="605" t="str">
        <f>IFERROR(__xludf.DUMMYFUNCTION("""COMPUTED_VALUE"""),"SONY")</f>
        <v>SONY</v>
      </c>
      <c r="F3013" s="605" t="str">
        <f>IFERROR(__xludf.DUMMYFUNCTION("""COMPUTED_VALUE"""),"PS 4 SLIM")</f>
        <v>PS 4 SLIM</v>
      </c>
      <c r="G3013" s="605"/>
      <c r="H3013" s="605"/>
      <c r="I3013" s="605"/>
      <c r="J3013" s="606"/>
      <c r="K3013" s="605"/>
      <c r="L3013" s="605"/>
      <c r="M3013" s="605"/>
      <c r="N3013" s="605"/>
      <c r="O3013" s="605"/>
      <c r="P3013" s="605" t="s">
        <v>4747</v>
      </c>
    </row>
    <row r="3014">
      <c r="A3014" s="605"/>
      <c r="B3014" s="605"/>
      <c r="C3014" s="605"/>
      <c r="D3014" s="605"/>
      <c r="E3014" s="605" t="str">
        <f>IFERROR(__xludf.DUMMYFUNCTION("""COMPUTED_VALUE"""),"SONY")</f>
        <v>SONY</v>
      </c>
      <c r="F3014" s="605" t="str">
        <f>IFERROR(__xludf.DUMMYFUNCTION("""COMPUTED_VALUE"""),"PS 4 SLIM")</f>
        <v>PS 4 SLIM</v>
      </c>
      <c r="G3014" s="605"/>
      <c r="H3014" s="605"/>
      <c r="I3014" s="605"/>
      <c r="J3014" s="606"/>
      <c r="K3014" s="605"/>
      <c r="L3014" s="605"/>
      <c r="M3014" s="605"/>
      <c r="N3014" s="605"/>
      <c r="O3014" s="605"/>
      <c r="P3014" s="605" t="s">
        <v>4750</v>
      </c>
    </row>
    <row r="3015">
      <c r="A3015" s="605"/>
      <c r="B3015" s="605"/>
      <c r="C3015" s="605"/>
      <c r="D3015" s="605"/>
      <c r="E3015" s="605" t="str">
        <f>IFERROR(__xludf.DUMMYFUNCTION("""COMPUTED_VALUE"""),"SONY")</f>
        <v>SONY</v>
      </c>
      <c r="F3015" s="605" t="str">
        <f>IFERROR(__xludf.DUMMYFUNCTION("""COMPUTED_VALUE"""),"INTERNET TV")</f>
        <v>INTERNET TV</v>
      </c>
      <c r="G3015" s="605"/>
      <c r="H3015" s="605"/>
      <c r="I3015" s="605"/>
      <c r="J3015" s="606"/>
      <c r="K3015" s="605"/>
      <c r="L3015" s="605"/>
      <c r="M3015" s="605"/>
      <c r="N3015" s="605"/>
      <c r="O3015" s="605"/>
      <c r="P3015" s="605" t="s">
        <v>4753</v>
      </c>
    </row>
    <row r="3016">
      <c r="A3016" s="605"/>
      <c r="B3016" s="605"/>
      <c r="C3016" s="605"/>
      <c r="D3016" s="605"/>
      <c r="E3016" s="605" t="str">
        <f>IFERROR(__xludf.DUMMYFUNCTION("""COMPUTED_VALUE"""),"SONY")</f>
        <v>SONY</v>
      </c>
      <c r="F3016" s="605" t="str">
        <f>IFERROR(__xludf.DUMMYFUNCTION("""COMPUTED_VALUE"""),"KD-55X9000E")</f>
        <v>KD-55X9000E</v>
      </c>
      <c r="G3016" s="605"/>
      <c r="H3016" s="605"/>
      <c r="I3016" s="605"/>
      <c r="J3016" s="606"/>
      <c r="K3016" s="605"/>
      <c r="L3016" s="605"/>
      <c r="M3016" s="605"/>
      <c r="N3016" s="605"/>
      <c r="O3016" s="605"/>
      <c r="P3016" s="605" t="s">
        <v>3054</v>
      </c>
    </row>
    <row r="3017">
      <c r="A3017" s="605"/>
      <c r="B3017" s="605"/>
      <c r="C3017" s="605"/>
      <c r="D3017" s="605"/>
      <c r="E3017" s="605" t="str">
        <f>IFERROR(__xludf.DUMMYFUNCTION("""COMPUTED_VALUE"""),"SONY")</f>
        <v>SONY</v>
      </c>
      <c r="F3017" s="605" t="str">
        <f>IFERROR(__xludf.DUMMYFUNCTION("""COMPUTED_VALUE"""),"BRAVIA NSX-GT1")</f>
        <v>BRAVIA NSX-GT1</v>
      </c>
      <c r="G3017" s="605"/>
      <c r="H3017" s="605"/>
      <c r="I3017" s="605"/>
      <c r="J3017" s="606"/>
      <c r="K3017" s="605"/>
      <c r="L3017" s="605"/>
      <c r="M3017" s="605"/>
      <c r="N3017" s="605"/>
      <c r="O3017" s="605"/>
      <c r="P3017" s="605" t="s">
        <v>4756</v>
      </c>
    </row>
    <row r="3018">
      <c r="A3018" s="605"/>
      <c r="B3018" s="605"/>
      <c r="C3018" s="605"/>
      <c r="D3018" s="605"/>
      <c r="E3018" s="605" t="str">
        <f>IFERROR(__xludf.DUMMYFUNCTION("""COMPUTED_VALUE"""),"SONY")</f>
        <v>SONY</v>
      </c>
      <c r="F3018" s="605" t="str">
        <f>IFERROR(__xludf.DUMMYFUNCTION("""COMPUTED_VALUE"""),"NOT VERIFIED")</f>
        <v>NOT VERIFIED</v>
      </c>
      <c r="G3018" s="605"/>
      <c r="H3018" s="605"/>
      <c r="I3018" s="605"/>
      <c r="J3018" s="606"/>
      <c r="K3018" s="605"/>
      <c r="L3018" s="605"/>
      <c r="M3018" s="605"/>
      <c r="N3018" s="605"/>
      <c r="O3018" s="605"/>
      <c r="P3018" s="605" t="s">
        <v>4759</v>
      </c>
    </row>
    <row r="3019">
      <c r="A3019" s="605"/>
      <c r="B3019" s="605"/>
      <c r="C3019" s="605"/>
      <c r="D3019" s="605"/>
      <c r="E3019" s="605" t="str">
        <f>IFERROR(__xludf.DUMMYFUNCTION("""COMPUTED_VALUE"""),"SONY")</f>
        <v>SONY</v>
      </c>
      <c r="F3019" s="605" t="str">
        <f>IFERROR(__xludf.DUMMYFUNCTION("""COMPUTED_VALUE"""),"NSX-46GT1")</f>
        <v>NSX-46GT1</v>
      </c>
      <c r="G3019" s="605"/>
      <c r="H3019" s="605"/>
      <c r="I3019" s="605"/>
      <c r="J3019" s="606"/>
      <c r="K3019" s="605"/>
      <c r="L3019" s="605"/>
      <c r="M3019" s="605"/>
      <c r="N3019" s="605"/>
      <c r="O3019" s="605"/>
      <c r="P3019" s="605" t="s">
        <v>4762</v>
      </c>
    </row>
    <row r="3020">
      <c r="A3020" s="605"/>
      <c r="B3020" s="605"/>
      <c r="C3020" s="605"/>
      <c r="D3020" s="605"/>
      <c r="E3020" s="605" t="str">
        <f>IFERROR(__xludf.DUMMYFUNCTION("""COMPUTED_VALUE"""),"SONY")</f>
        <v>SONY</v>
      </c>
      <c r="F3020" s="605" t="str">
        <f>IFERROR(__xludf.DUMMYFUNCTION("""COMPUTED_VALUE"""),"NSZ-GS7/GS8")</f>
        <v>NSZ-GS7/GS8</v>
      </c>
      <c r="G3020" s="605"/>
      <c r="H3020" s="605"/>
      <c r="I3020" s="605"/>
      <c r="J3020" s="606"/>
      <c r="K3020" s="605"/>
      <c r="L3020" s="605"/>
      <c r="M3020" s="605"/>
      <c r="N3020" s="605"/>
      <c r="O3020" s="605"/>
      <c r="P3020" s="605" t="s">
        <v>4765</v>
      </c>
    </row>
    <row r="3021">
      <c r="A3021" s="605"/>
      <c r="B3021" s="605"/>
      <c r="C3021" s="605"/>
      <c r="D3021" s="605"/>
      <c r="E3021" s="605" t="str">
        <f>IFERROR(__xludf.DUMMYFUNCTION("""COMPUTED_VALUE"""),"SONY")</f>
        <v>SONY</v>
      </c>
      <c r="F3021" s="605" t="str">
        <f>IFERROR(__xludf.DUMMYFUNCTION("""COMPUTED_VALUE"""),"PS3")</f>
        <v>PS3</v>
      </c>
      <c r="G3021" s="605"/>
      <c r="H3021" s="605"/>
      <c r="I3021" s="605"/>
      <c r="J3021" s="606"/>
      <c r="K3021" s="605"/>
      <c r="L3021" s="605"/>
      <c r="M3021" s="605"/>
      <c r="N3021" s="605"/>
      <c r="O3021" s="605"/>
      <c r="P3021" s="605" t="s">
        <v>4768</v>
      </c>
    </row>
    <row r="3022">
      <c r="A3022" s="605"/>
      <c r="B3022" s="605"/>
      <c r="C3022" s="605"/>
      <c r="D3022" s="605"/>
      <c r="E3022" s="605" t="str">
        <f>IFERROR(__xludf.DUMMYFUNCTION("""COMPUTED_VALUE"""),"SONY")</f>
        <v>SONY</v>
      </c>
      <c r="F3022" s="605" t="str">
        <f>IFERROR(__xludf.DUMMYFUNCTION("""COMPUTED_VALUE"""),"PS4")</f>
        <v>PS4</v>
      </c>
      <c r="G3022" s="605"/>
      <c r="H3022" s="605"/>
      <c r="I3022" s="605"/>
      <c r="J3022" s="606"/>
      <c r="K3022" s="605"/>
      <c r="L3022" s="605"/>
      <c r="M3022" s="605"/>
      <c r="N3022" s="605"/>
      <c r="O3022" s="605"/>
      <c r="P3022" s="605" t="s">
        <v>4771</v>
      </c>
    </row>
    <row r="3023">
      <c r="A3023" s="605"/>
      <c r="B3023" s="605"/>
      <c r="C3023" s="605"/>
      <c r="D3023" s="605"/>
      <c r="E3023" s="605" t="str">
        <f>IFERROR(__xludf.DUMMYFUNCTION("""COMPUTED_VALUE"""),"SONY")</f>
        <v>SONY</v>
      </c>
      <c r="F3023" s="605" t="str">
        <f>IFERROR(__xludf.DUMMYFUNCTION("""COMPUTED_VALUE"""),"PS4")</f>
        <v>PS4</v>
      </c>
      <c r="G3023" s="605"/>
      <c r="H3023" s="605"/>
      <c r="I3023" s="605"/>
      <c r="J3023" s="606"/>
      <c r="K3023" s="605"/>
      <c r="L3023" s="605"/>
      <c r="M3023" s="605"/>
      <c r="N3023" s="605"/>
      <c r="O3023" s="605"/>
      <c r="P3023" s="605" t="s">
        <v>4774</v>
      </c>
    </row>
    <row r="3024">
      <c r="A3024" s="605"/>
      <c r="B3024" s="605"/>
      <c r="C3024" s="605"/>
      <c r="D3024" s="605"/>
      <c r="E3024" s="605" t="str">
        <f>IFERROR(__xludf.DUMMYFUNCTION("""COMPUTED_VALUE"""),"SONY")</f>
        <v>SONY</v>
      </c>
      <c r="F3024" s="605" t="str">
        <f>IFERROR(__xludf.DUMMYFUNCTION("""COMPUTED_VALUE"""),"PS4")</f>
        <v>PS4</v>
      </c>
      <c r="G3024" s="605"/>
      <c r="H3024" s="605"/>
      <c r="I3024" s="605"/>
      <c r="J3024" s="606"/>
      <c r="K3024" s="605"/>
      <c r="L3024" s="605"/>
      <c r="M3024" s="605"/>
      <c r="N3024" s="605"/>
      <c r="O3024" s="605"/>
      <c r="P3024" s="605" t="s">
        <v>4777</v>
      </c>
    </row>
    <row r="3025">
      <c r="A3025" s="605"/>
      <c r="B3025" s="605"/>
      <c r="C3025" s="605"/>
      <c r="D3025" s="605"/>
      <c r="E3025" s="605" t="str">
        <f>IFERROR(__xludf.DUMMYFUNCTION("""COMPUTED_VALUE"""),"SONY")</f>
        <v>SONY</v>
      </c>
      <c r="F3025" s="605" t="str">
        <f>IFERROR(__xludf.DUMMYFUNCTION("""COMPUTED_VALUE"""),"PS3")</f>
        <v>PS3</v>
      </c>
      <c r="G3025" s="605"/>
      <c r="H3025" s="605"/>
      <c r="I3025" s="605"/>
      <c r="J3025" s="606"/>
      <c r="K3025" s="605"/>
      <c r="L3025" s="605"/>
      <c r="M3025" s="605"/>
      <c r="N3025" s="605"/>
      <c r="O3025" s="605"/>
      <c r="P3025" s="605" t="s">
        <v>4780</v>
      </c>
    </row>
    <row r="3026">
      <c r="A3026" s="605"/>
      <c r="B3026" s="605"/>
      <c r="C3026" s="605"/>
      <c r="D3026" s="605"/>
      <c r="E3026" s="605" t="str">
        <f>IFERROR(__xludf.DUMMYFUNCTION("""COMPUTED_VALUE"""),"SONY")</f>
        <v>SONY</v>
      </c>
      <c r="F3026" s="605" t="str">
        <f>IFERROR(__xludf.DUMMYFUNCTION("""COMPUTED_VALUE"""),"PS4")</f>
        <v>PS4</v>
      </c>
      <c r="G3026" s="605"/>
      <c r="H3026" s="605"/>
      <c r="I3026" s="605"/>
      <c r="J3026" s="606"/>
      <c r="K3026" s="605"/>
      <c r="L3026" s="605"/>
      <c r="M3026" s="605"/>
      <c r="N3026" s="605"/>
      <c r="O3026" s="605"/>
      <c r="P3026" s="605" t="s">
        <v>4783</v>
      </c>
    </row>
    <row r="3027">
      <c r="A3027" s="605"/>
      <c r="B3027" s="605"/>
      <c r="C3027" s="605"/>
      <c r="D3027" s="605"/>
      <c r="E3027" s="605" t="str">
        <f>IFERROR(__xludf.DUMMYFUNCTION("""COMPUTED_VALUE"""),"SONY")</f>
        <v>SONY</v>
      </c>
      <c r="F3027" s="605" t="str">
        <f>IFERROR(__xludf.DUMMYFUNCTION("""COMPUTED_VALUE"""),"PS4")</f>
        <v>PS4</v>
      </c>
      <c r="G3027" s="605"/>
      <c r="H3027" s="605"/>
      <c r="I3027" s="605"/>
      <c r="J3027" s="606"/>
      <c r="K3027" s="605"/>
      <c r="L3027" s="605"/>
      <c r="M3027" s="605"/>
      <c r="N3027" s="605"/>
      <c r="O3027" s="605"/>
      <c r="P3027" s="605" t="s">
        <v>3057</v>
      </c>
    </row>
    <row r="3028">
      <c r="A3028" s="605"/>
      <c r="B3028" s="605"/>
      <c r="C3028" s="605"/>
      <c r="D3028" s="605"/>
      <c r="E3028" s="605" t="str">
        <f>IFERROR(__xludf.DUMMYFUNCTION("""COMPUTED_VALUE"""),"SONY")</f>
        <v>SONY</v>
      </c>
      <c r="F3028" s="605" t="str">
        <f>IFERROR(__xludf.DUMMYFUNCTION("""COMPUTED_VALUE"""),"XBR-49X800D")</f>
        <v>XBR-49X800D</v>
      </c>
      <c r="G3028" s="605"/>
      <c r="H3028" s="605"/>
      <c r="I3028" s="605"/>
      <c r="J3028" s="606"/>
      <c r="K3028" s="605"/>
      <c r="L3028" s="605"/>
      <c r="M3028" s="605"/>
      <c r="N3028" s="605"/>
      <c r="O3028" s="605"/>
      <c r="P3028" s="605" t="s">
        <v>4786</v>
      </c>
    </row>
    <row r="3029">
      <c r="A3029" s="605"/>
      <c r="B3029" s="605"/>
      <c r="C3029" s="605"/>
      <c r="D3029" s="605"/>
      <c r="E3029" s="605" t="str">
        <f>IFERROR(__xludf.DUMMYFUNCTION("""COMPUTED_VALUE"""),"SONY")</f>
        <v>SONY</v>
      </c>
      <c r="F3029" s="605" t="str">
        <f>IFERROR(__xludf.DUMMYFUNCTION("""COMPUTED_VALUE"""),"FW-65BZ35F")</f>
        <v>FW-65BZ35F</v>
      </c>
      <c r="G3029" s="605"/>
      <c r="H3029" s="605"/>
      <c r="I3029" s="605"/>
      <c r="J3029" s="606"/>
      <c r="K3029" s="605"/>
      <c r="L3029" s="605"/>
      <c r="M3029" s="605"/>
      <c r="N3029" s="605"/>
      <c r="O3029" s="605"/>
      <c r="P3029" s="605" t="s">
        <v>4788</v>
      </c>
    </row>
    <row r="3030">
      <c r="A3030" s="605"/>
      <c r="B3030" s="605"/>
      <c r="C3030" s="605"/>
      <c r="D3030" s="605"/>
      <c r="E3030" s="605" t="str">
        <f>IFERROR(__xludf.DUMMYFUNCTION("""COMPUTED_VALUE"""),"SONY")</f>
        <v>SONY</v>
      </c>
      <c r="F3030" s="605" t="str">
        <f>IFERROR(__xludf.DUMMYFUNCTION("""COMPUTED_VALUE"""),"PLAYSTATION 5")</f>
        <v>PLAYSTATION 5</v>
      </c>
      <c r="G3030" s="605"/>
      <c r="H3030" s="605"/>
      <c r="I3030" s="605"/>
      <c r="J3030" s="606"/>
      <c r="K3030" s="605"/>
      <c r="L3030" s="605"/>
      <c r="M3030" s="605"/>
      <c r="N3030" s="605"/>
      <c r="O3030" s="605"/>
      <c r="P3030" s="605" t="s">
        <v>4791</v>
      </c>
    </row>
    <row r="3031">
      <c r="A3031" s="605"/>
      <c r="B3031" s="605"/>
      <c r="C3031" s="605"/>
      <c r="D3031" s="605"/>
      <c r="E3031" s="605" t="str">
        <f>IFERROR(__xludf.DUMMYFUNCTION("""COMPUTED_VALUE"""),"SONY")</f>
        <v>SONY</v>
      </c>
      <c r="F3031" s="605" t="str">
        <f>IFERROR(__xludf.DUMMYFUNCTION("""COMPUTED_VALUE"""),"KDL-49WE663")</f>
        <v>KDL-49WE663</v>
      </c>
      <c r="G3031" s="605"/>
      <c r="H3031" s="605"/>
      <c r="I3031" s="605"/>
      <c r="J3031" s="606"/>
      <c r="K3031" s="605"/>
      <c r="L3031" s="605"/>
      <c r="M3031" s="605"/>
      <c r="N3031" s="605"/>
      <c r="O3031" s="605"/>
      <c r="P3031" s="605" t="s">
        <v>4794</v>
      </c>
    </row>
    <row r="3032">
      <c r="A3032" s="605"/>
      <c r="B3032" s="605"/>
      <c r="C3032" s="605"/>
      <c r="D3032" s="605"/>
      <c r="E3032" s="605" t="str">
        <f>IFERROR(__xludf.DUMMYFUNCTION("""COMPUTED_VALUE"""),"SONY")</f>
        <v>SONY</v>
      </c>
      <c r="F3032" s="605" t="str">
        <f>IFERROR(__xludf.DUMMYFUNCTION("""COMPUTED_VALUE"""),"PLAYSTATION 2")</f>
        <v>PLAYSTATION 2</v>
      </c>
      <c r="G3032" s="605"/>
      <c r="H3032" s="605"/>
      <c r="I3032" s="605"/>
      <c r="J3032" s="606"/>
      <c r="K3032" s="605"/>
      <c r="L3032" s="605"/>
      <c r="M3032" s="605"/>
      <c r="N3032" s="605"/>
      <c r="O3032" s="605"/>
      <c r="P3032" s="605" t="s">
        <v>4797</v>
      </c>
    </row>
    <row r="3033">
      <c r="A3033" s="605"/>
      <c r="B3033" s="605"/>
      <c r="C3033" s="605"/>
      <c r="D3033" s="605"/>
      <c r="E3033" s="605" t="str">
        <f>IFERROR(__xludf.DUMMYFUNCTION("""COMPUTED_VALUE"""),"SPARE-IT")</f>
        <v>SPARE-IT</v>
      </c>
      <c r="F3033" s="605" t="str">
        <f>IFERROR(__xludf.DUMMYFUNCTION("""COMPUTED_VALUE"""),"V5 SMART SCALE")</f>
        <v>V5 SMART SCALE</v>
      </c>
      <c r="G3033" s="605"/>
      <c r="H3033" s="605"/>
      <c r="I3033" s="605"/>
      <c r="J3033" s="606"/>
      <c r="K3033" s="605"/>
      <c r="L3033" s="605"/>
      <c r="M3033" s="605"/>
      <c r="N3033" s="605"/>
      <c r="O3033" s="605"/>
      <c r="P3033" s="605" t="s">
        <v>4800</v>
      </c>
    </row>
    <row r="3034">
      <c r="A3034" s="605"/>
      <c r="B3034" s="605"/>
      <c r="C3034" s="605"/>
      <c r="D3034" s="605"/>
      <c r="E3034" s="605" t="str">
        <f>IFERROR(__xludf.DUMMYFUNCTION("""COMPUTED_VALUE"""),"SPECTRA")</f>
        <v>SPECTRA</v>
      </c>
      <c r="F3034" s="605" t="str">
        <f>IFERROR(__xludf.DUMMYFUNCTION("""COMPUTED_VALUE"""),"NS-205 CR")</f>
        <v>NS-205 CR</v>
      </c>
      <c r="G3034" s="605"/>
      <c r="H3034" s="605"/>
      <c r="I3034" s="605"/>
      <c r="J3034" s="606"/>
      <c r="K3034" s="605"/>
      <c r="L3034" s="605"/>
      <c r="M3034" s="605"/>
      <c r="N3034" s="605"/>
      <c r="O3034" s="605"/>
      <c r="P3034" s="605" t="s">
        <v>4803</v>
      </c>
    </row>
    <row r="3035">
      <c r="A3035" s="605"/>
      <c r="B3035" s="605"/>
      <c r="C3035" s="605"/>
      <c r="D3035" s="605"/>
      <c r="E3035" s="605" t="str">
        <f>IFERROR(__xludf.DUMMYFUNCTION("""COMPUTED_VALUE"""),"SPEECH PRIVACY SYSTEMS")</f>
        <v>SPEECH PRIVACY SYSTEMS</v>
      </c>
      <c r="F3035" s="605" t="str">
        <f>IFERROR(__xludf.DUMMYFUNCTION("""COMPUTED_VALUE"""),"VA-48-8CH")</f>
        <v>VA-48-8CH</v>
      </c>
      <c r="G3035" s="605"/>
      <c r="H3035" s="605"/>
      <c r="I3035" s="605"/>
      <c r="J3035" s="606"/>
      <c r="K3035" s="605"/>
      <c r="L3035" s="605"/>
      <c r="M3035" s="605"/>
      <c r="N3035" s="605"/>
      <c r="O3035" s="605"/>
      <c r="P3035" s="605" t="s">
        <v>4806</v>
      </c>
    </row>
    <row r="3036">
      <c r="A3036" s="605"/>
      <c r="B3036" s="605"/>
      <c r="C3036" s="605"/>
      <c r="D3036" s="605"/>
      <c r="E3036" s="605" t="str">
        <f>IFERROR(__xludf.DUMMYFUNCTION("""COMPUTED_VALUE"""),"SPIIO")</f>
        <v>SPIIO</v>
      </c>
      <c r="F3036" s="605" t="str">
        <f>IFERROR(__xludf.DUMMYFUNCTION("""COMPUTED_VALUE"""),"SP-110")</f>
        <v>SP-110</v>
      </c>
      <c r="G3036" s="605"/>
      <c r="H3036" s="605"/>
      <c r="I3036" s="605"/>
      <c r="J3036" s="606"/>
      <c r="K3036" s="605"/>
      <c r="L3036" s="605"/>
      <c r="M3036" s="605"/>
      <c r="N3036" s="605"/>
      <c r="O3036" s="605"/>
      <c r="P3036" s="605" t="s">
        <v>4809</v>
      </c>
    </row>
    <row r="3037">
      <c r="A3037" s="605"/>
      <c r="B3037" s="605"/>
      <c r="C3037" s="605"/>
      <c r="D3037" s="605"/>
      <c r="E3037" s="605" t="str">
        <f>IFERROR(__xludf.DUMMYFUNCTION("""COMPUTED_VALUE"""),"SPIIO")</f>
        <v>SPIIO</v>
      </c>
      <c r="F3037" s="605" t="str">
        <f>IFERROR(__xludf.DUMMYFUNCTION("""COMPUTED_VALUE"""),"SP-110")</f>
        <v>SP-110</v>
      </c>
      <c r="G3037" s="605"/>
      <c r="H3037" s="605"/>
      <c r="I3037" s="605"/>
      <c r="J3037" s="606"/>
      <c r="K3037" s="605"/>
      <c r="L3037" s="605"/>
      <c r="M3037" s="605"/>
      <c r="N3037" s="605"/>
      <c r="O3037" s="605"/>
      <c r="P3037" s="605" t="s">
        <v>4812</v>
      </c>
    </row>
    <row r="3038">
      <c r="A3038" s="605"/>
      <c r="B3038" s="605"/>
      <c r="C3038" s="605"/>
      <c r="D3038" s="605"/>
      <c r="E3038" s="605" t="str">
        <f>IFERROR(__xludf.DUMMYFUNCTION("""COMPUTED_VALUE"""),"SPIRE METERING")</f>
        <v>SPIRE METERING</v>
      </c>
      <c r="F3038" s="605" t="str">
        <f>IFERROR(__xludf.DUMMYFUNCTION("""COMPUTED_VALUE"""),"280T-S")</f>
        <v>280T-S</v>
      </c>
      <c r="G3038" s="605"/>
      <c r="H3038" s="605"/>
      <c r="I3038" s="605"/>
      <c r="J3038" s="606"/>
      <c r="K3038" s="605"/>
      <c r="L3038" s="605"/>
      <c r="M3038" s="605"/>
      <c r="N3038" s="605"/>
      <c r="O3038" s="605"/>
      <c r="P3038" s="605" t="s">
        <v>3060</v>
      </c>
    </row>
    <row r="3039">
      <c r="A3039" s="605"/>
      <c r="B3039" s="605"/>
      <c r="C3039" s="605"/>
      <c r="D3039" s="605"/>
      <c r="E3039" s="605" t="str">
        <f>IFERROR(__xludf.DUMMYFUNCTION("""COMPUTED_VALUE"""),"SPX COOLING")</f>
        <v>SPX COOLING</v>
      </c>
      <c r="F3039" s="605" t="str">
        <f>IFERROR(__xludf.DUMMYFUNCTION("""COMPUTED_VALUE"""),"MARLEY NC COOLING")</f>
        <v>MARLEY NC COOLING</v>
      </c>
      <c r="G3039" s="605"/>
      <c r="H3039" s="605"/>
      <c r="I3039" s="605"/>
      <c r="J3039" s="606"/>
      <c r="K3039" s="605"/>
      <c r="L3039" s="605"/>
      <c r="M3039" s="605"/>
      <c r="N3039" s="605"/>
      <c r="O3039" s="605"/>
      <c r="P3039" s="605" t="s">
        <v>4815</v>
      </c>
    </row>
    <row r="3040">
      <c r="A3040" s="605"/>
      <c r="B3040" s="605"/>
      <c r="C3040" s="605"/>
      <c r="D3040" s="605"/>
      <c r="E3040" s="605" t="str">
        <f>IFERROR(__xludf.DUMMYFUNCTION("""COMPUTED_VALUE"""),"SQUARE D")</f>
        <v>SQUARE D</v>
      </c>
      <c r="F3040" s="605" t="str">
        <f>IFERROR(__xludf.DUMMYFUNCTION("""COMPUTED_VALUE"""),"EXN112T3HCUNL")</f>
        <v>EXN112T3HCUNL</v>
      </c>
      <c r="G3040" s="605"/>
      <c r="H3040" s="605"/>
      <c r="I3040" s="605"/>
      <c r="J3040" s="606"/>
      <c r="K3040" s="605"/>
      <c r="L3040" s="605"/>
      <c r="M3040" s="605"/>
      <c r="N3040" s="605"/>
      <c r="O3040" s="605"/>
      <c r="P3040" s="605" t="s">
        <v>4818</v>
      </c>
    </row>
    <row r="3041">
      <c r="A3041" s="605"/>
      <c r="B3041" s="605"/>
      <c r="C3041" s="605"/>
      <c r="D3041" s="605"/>
      <c r="E3041" s="605" t="str">
        <f>IFERROR(__xludf.DUMMYFUNCTION("""COMPUTED_VALUE"""),"SQUARE D")</f>
        <v>SQUARE D</v>
      </c>
      <c r="F3041" s="605" t="str">
        <f>IFERROR(__xludf.DUMMYFUNCTION("""COMPUTED_VALUE"""),"NC74VSHR")</f>
        <v>NC74VSHR</v>
      </c>
      <c r="G3041" s="605"/>
      <c r="H3041" s="605"/>
      <c r="I3041" s="605"/>
      <c r="J3041" s="606"/>
      <c r="K3041" s="605"/>
      <c r="L3041" s="605"/>
      <c r="M3041" s="605"/>
      <c r="N3041" s="605"/>
      <c r="O3041" s="605"/>
      <c r="P3041" s="605" t="s">
        <v>4821</v>
      </c>
    </row>
    <row r="3042">
      <c r="A3042" s="605"/>
      <c r="B3042" s="605"/>
      <c r="C3042" s="605"/>
      <c r="D3042" s="605"/>
      <c r="E3042" s="605" t="str">
        <f>IFERROR(__xludf.DUMMYFUNCTION("""COMPUTED_VALUE"""),"SQUARE D")</f>
        <v>SQUARE D</v>
      </c>
      <c r="F3042" s="605" t="str">
        <f>IFERROR(__xludf.DUMMYFUNCTION("""COMPUTED_VALUE"""),"NC56VSHR")</f>
        <v>NC56VSHR</v>
      </c>
      <c r="G3042" s="605"/>
      <c r="H3042" s="605"/>
      <c r="I3042" s="605"/>
      <c r="J3042" s="606"/>
      <c r="K3042" s="605"/>
      <c r="L3042" s="605"/>
      <c r="M3042" s="605"/>
      <c r="N3042" s="605"/>
      <c r="O3042" s="605"/>
      <c r="P3042" s="605" t="s">
        <v>4824</v>
      </c>
    </row>
    <row r="3043">
      <c r="A3043" s="605"/>
      <c r="B3043" s="605"/>
      <c r="C3043" s="605"/>
      <c r="D3043" s="605"/>
      <c r="E3043" s="605" t="str">
        <f>IFERROR(__xludf.DUMMYFUNCTION("""COMPUTED_VALUE"""),"SQUARE D")</f>
        <v>SQUARE D</v>
      </c>
      <c r="F3043" s="605" t="str">
        <f>IFERROR(__xludf.DUMMYFUNCTION("""COMPUTED_VALUE"""),"NC62SHR")</f>
        <v>NC62SHR</v>
      </c>
      <c r="G3043" s="605"/>
      <c r="H3043" s="605"/>
      <c r="I3043" s="605"/>
      <c r="J3043" s="606"/>
      <c r="K3043" s="605"/>
      <c r="L3043" s="605"/>
      <c r="M3043" s="605"/>
      <c r="N3043" s="605"/>
      <c r="O3043" s="605"/>
      <c r="P3043" s="605" t="s">
        <v>4827</v>
      </c>
    </row>
    <row r="3044">
      <c r="A3044" s="605"/>
      <c r="B3044" s="605"/>
      <c r="C3044" s="605"/>
      <c r="D3044" s="605"/>
      <c r="E3044" s="605" t="str">
        <f>IFERROR(__xludf.DUMMYFUNCTION("""COMPUTED_VALUE"""),"SQUARE D")</f>
        <v>SQUARE D</v>
      </c>
      <c r="F3044" s="605" t="str">
        <f>IFERROR(__xludf.DUMMYFUNCTION("""COMPUTED_VALUE"""),"NC32SHR")</f>
        <v>NC32SHR</v>
      </c>
      <c r="G3044" s="605"/>
      <c r="H3044" s="605"/>
      <c r="I3044" s="605"/>
      <c r="J3044" s="606"/>
      <c r="K3044" s="605"/>
      <c r="L3044" s="605"/>
      <c r="M3044" s="605"/>
      <c r="N3044" s="605"/>
      <c r="O3044" s="605"/>
      <c r="P3044" s="605" t="s">
        <v>4830</v>
      </c>
    </row>
    <row r="3045">
      <c r="A3045" s="605"/>
      <c r="B3045" s="605"/>
      <c r="C3045" s="605"/>
      <c r="D3045" s="605"/>
      <c r="E3045" s="605" t="str">
        <f>IFERROR(__xludf.DUMMYFUNCTION("""COMPUTED_VALUE"""),"SQUNZN")</f>
        <v>SQUNZN</v>
      </c>
      <c r="F3045" s="605" t="str">
        <f>IFERROR(__xludf.DUMMYFUNCTION("""COMPUTED_VALUE"""),"SC500")</f>
        <v>SC500</v>
      </c>
      <c r="G3045" s="605"/>
      <c r="H3045" s="605"/>
      <c r="I3045" s="605"/>
      <c r="J3045" s="606"/>
      <c r="K3045" s="605"/>
      <c r="L3045" s="605"/>
      <c r="M3045" s="605"/>
      <c r="N3045" s="605"/>
      <c r="O3045" s="605"/>
      <c r="P3045" s="605" t="s">
        <v>4833</v>
      </c>
    </row>
    <row r="3046">
      <c r="A3046" s="605"/>
      <c r="B3046" s="605"/>
      <c r="C3046" s="605"/>
      <c r="D3046" s="605"/>
      <c r="E3046" s="605" t="str">
        <f>IFERROR(__xludf.DUMMYFUNCTION("""COMPUTED_VALUE"""),"STAR ELECTRONIC")</f>
        <v>STAR ELECTRONIC</v>
      </c>
      <c r="F3046" s="605" t="str">
        <f>IFERROR(__xludf.DUMMYFUNCTION("""COMPUTED_VALUE"""),"ULTRA-NW")</f>
        <v>ULTRA-NW</v>
      </c>
      <c r="G3046" s="605"/>
      <c r="H3046" s="605"/>
      <c r="I3046" s="605"/>
      <c r="J3046" s="606"/>
      <c r="K3046" s="605"/>
      <c r="L3046" s="605"/>
      <c r="M3046" s="605"/>
      <c r="N3046" s="605"/>
      <c r="O3046" s="605"/>
      <c r="P3046" s="605" t="s">
        <v>4836</v>
      </c>
    </row>
    <row r="3047">
      <c r="A3047" s="605"/>
      <c r="B3047" s="605"/>
      <c r="C3047" s="605"/>
      <c r="D3047" s="605"/>
      <c r="E3047" s="605" t="str">
        <f>IFERROR(__xludf.DUMMYFUNCTION("""COMPUTED_VALUE"""),"STAR ELECTRONIC")</f>
        <v>STAR ELECTRONIC</v>
      </c>
      <c r="F3047" s="605" t="str">
        <f>IFERROR(__xludf.DUMMYFUNCTION("""COMPUTED_VALUE"""),"H2O ALERT PRO")</f>
        <v>H2O ALERT PRO</v>
      </c>
      <c r="G3047" s="605"/>
      <c r="H3047" s="605"/>
      <c r="I3047" s="605"/>
      <c r="J3047" s="606"/>
      <c r="K3047" s="605"/>
      <c r="L3047" s="605"/>
      <c r="M3047" s="605"/>
      <c r="N3047" s="605"/>
      <c r="O3047" s="605"/>
      <c r="P3047" s="605" t="s">
        <v>4839</v>
      </c>
    </row>
    <row r="3048">
      <c r="A3048" s="605"/>
      <c r="B3048" s="605"/>
      <c r="C3048" s="605"/>
      <c r="D3048" s="605"/>
      <c r="E3048" s="605" t="str">
        <f>IFERROR(__xludf.DUMMYFUNCTION("""COMPUTED_VALUE"""),"STARLINE POWER")</f>
        <v>STARLINE POWER</v>
      </c>
      <c r="F3048" s="605" t="str">
        <f>IFERROR(__xludf.DUMMYFUNCTION("""COMPUTED_VALUE"""),"CPM V59")</f>
        <v>CPM V59</v>
      </c>
      <c r="G3048" s="605"/>
      <c r="H3048" s="605"/>
      <c r="I3048" s="605"/>
      <c r="J3048" s="606"/>
      <c r="K3048" s="605"/>
      <c r="L3048" s="605"/>
      <c r="M3048" s="605"/>
      <c r="N3048" s="605"/>
      <c r="O3048" s="605"/>
      <c r="P3048" s="605" t="s">
        <v>4842</v>
      </c>
    </row>
    <row r="3049">
      <c r="A3049" s="605"/>
      <c r="B3049" s="605"/>
      <c r="C3049" s="605"/>
      <c r="D3049" s="605"/>
      <c r="E3049" s="605" t="str">
        <f>IFERROR(__xludf.DUMMYFUNCTION("""COMPUTED_VALUE"""),"STARLINE POWER")</f>
        <v>STARLINE POWER</v>
      </c>
      <c r="F3049" s="605" t="str">
        <f>IFERROR(__xludf.DUMMYFUNCTION("""COMPUTED_VALUE"""),"ENERGY METER MD:3222")</f>
        <v>ENERGY METER MD:3222</v>
      </c>
      <c r="G3049" s="605"/>
      <c r="H3049" s="605"/>
      <c r="I3049" s="605"/>
      <c r="J3049" s="606"/>
      <c r="K3049" s="605"/>
      <c r="L3049" s="605"/>
      <c r="M3049" s="605"/>
      <c r="N3049" s="605"/>
      <c r="O3049" s="605"/>
      <c r="P3049" s="605" t="s">
        <v>3063</v>
      </c>
    </row>
    <row r="3050">
      <c r="A3050" s="605"/>
      <c r="B3050" s="605"/>
      <c r="C3050" s="605"/>
      <c r="D3050" s="605"/>
      <c r="E3050" s="605" t="str">
        <f>IFERROR(__xludf.DUMMYFUNCTION("""COMPUTED_VALUE"""),"STEINEL")</f>
        <v>STEINEL</v>
      </c>
      <c r="F3050" s="605" t="str">
        <f>IFERROR(__xludf.DUMMYFUNCTION("""COMPUTED_VALUE"""),"4007841033965")</f>
        <v>4007841033965</v>
      </c>
      <c r="G3050" s="605"/>
      <c r="H3050" s="605"/>
      <c r="I3050" s="605"/>
      <c r="J3050" s="606"/>
      <c r="K3050" s="605"/>
      <c r="L3050" s="605"/>
      <c r="M3050" s="605"/>
      <c r="N3050" s="605"/>
      <c r="O3050" s="605"/>
      <c r="P3050" s="605" t="s">
        <v>4845</v>
      </c>
    </row>
    <row r="3051">
      <c r="A3051" s="605"/>
      <c r="B3051" s="605"/>
      <c r="C3051" s="605"/>
      <c r="D3051" s="605"/>
      <c r="E3051" s="605" t="str">
        <f>IFERROR(__xludf.DUMMYFUNCTION("""COMPUTED_VALUE"""),"STEINEL")</f>
        <v>STEINEL</v>
      </c>
      <c r="F3051" s="605" t="str">
        <f>IFERROR(__xludf.DUMMYFUNCTION("""COMPUTED_VALUE"""),"DUAL US")</f>
        <v>DUAL US</v>
      </c>
      <c r="G3051" s="605"/>
      <c r="H3051" s="605"/>
      <c r="I3051" s="605"/>
      <c r="J3051" s="606"/>
      <c r="K3051" s="605"/>
      <c r="L3051" s="605"/>
      <c r="M3051" s="605"/>
      <c r="N3051" s="605"/>
      <c r="O3051" s="605"/>
      <c r="P3051" s="605" t="s">
        <v>4848</v>
      </c>
    </row>
    <row r="3052">
      <c r="A3052" s="605"/>
      <c r="B3052" s="605"/>
      <c r="C3052" s="605"/>
      <c r="D3052" s="605"/>
      <c r="E3052" s="605" t="str">
        <f>IFERROR(__xludf.DUMMYFUNCTION("""COMPUTED_VALUE"""),"STEINEL")</f>
        <v>STEINEL</v>
      </c>
      <c r="F3052" s="605" t="str">
        <f>IFERROR(__xludf.DUMMYFUNCTION("""COMPUTED_VALUE"""),"DUALTECH")</f>
        <v>DUALTECH</v>
      </c>
      <c r="G3052" s="605"/>
      <c r="H3052" s="605"/>
      <c r="I3052" s="605"/>
      <c r="J3052" s="606"/>
      <c r="K3052" s="605"/>
      <c r="L3052" s="605"/>
      <c r="M3052" s="605"/>
      <c r="N3052" s="605"/>
      <c r="O3052" s="605"/>
      <c r="P3052" s="605" t="s">
        <v>4851</v>
      </c>
    </row>
    <row r="3053">
      <c r="A3053" s="605"/>
      <c r="B3053" s="605"/>
      <c r="C3053" s="605"/>
      <c r="D3053" s="605"/>
      <c r="E3053" s="605" t="str">
        <f>IFERROR(__xludf.DUMMYFUNCTION("""COMPUTED_VALUE"""),"STONEU")</f>
        <v>STONEU</v>
      </c>
      <c r="F3053" s="605" t="str">
        <f>IFERROR(__xludf.DUMMYFUNCTION("""COMPUTED_VALUE"""),"STU-6895")</f>
        <v>STU-6895</v>
      </c>
      <c r="G3053" s="605"/>
      <c r="H3053" s="605"/>
      <c r="I3053" s="605"/>
      <c r="J3053" s="606"/>
      <c r="K3053" s="605"/>
      <c r="L3053" s="605"/>
      <c r="M3053" s="605"/>
      <c r="N3053" s="605"/>
      <c r="O3053" s="605"/>
      <c r="P3053" s="605" t="s">
        <v>4854</v>
      </c>
    </row>
    <row r="3054">
      <c r="A3054" s="605"/>
      <c r="B3054" s="605"/>
      <c r="C3054" s="605"/>
      <c r="D3054" s="605"/>
      <c r="E3054" s="605" t="str">
        <f>IFERROR(__xludf.DUMMYFUNCTION("""COMPUTED_VALUE"""),"STONEU")</f>
        <v>STONEU</v>
      </c>
      <c r="F3054" s="605" t="str">
        <f>IFERROR(__xludf.DUMMYFUNCTION("""COMPUTED_VALUE"""),"STU-SH000")</f>
        <v>STU-SH000</v>
      </c>
      <c r="G3054" s="605"/>
      <c r="H3054" s="605"/>
      <c r="I3054" s="605"/>
      <c r="J3054" s="606"/>
      <c r="K3054" s="605"/>
      <c r="L3054" s="605"/>
      <c r="M3054" s="605"/>
      <c r="N3054" s="605"/>
      <c r="O3054" s="605"/>
      <c r="P3054" s="605" t="s">
        <v>4857</v>
      </c>
    </row>
    <row r="3055">
      <c r="A3055" s="605"/>
      <c r="B3055" s="605"/>
      <c r="C3055" s="605"/>
      <c r="D3055" s="605"/>
      <c r="E3055" s="605" t="str">
        <f>IFERROR(__xludf.DUMMYFUNCTION("""COMPUTED_VALUE"""),"STONEU")</f>
        <v>STONEU</v>
      </c>
      <c r="F3055" s="605" t="str">
        <f>IFERROR(__xludf.DUMMYFUNCTION("""COMPUTED_VALUE"""),"STU-SH1008M")</f>
        <v>STU-SH1008M</v>
      </c>
      <c r="G3055" s="605"/>
      <c r="H3055" s="605"/>
      <c r="I3055" s="605"/>
      <c r="J3055" s="606"/>
      <c r="K3055" s="605"/>
      <c r="L3055" s="605"/>
      <c r="M3055" s="605"/>
      <c r="N3055" s="605"/>
      <c r="O3055" s="605"/>
      <c r="P3055" s="605" t="s">
        <v>4859</v>
      </c>
    </row>
    <row r="3056">
      <c r="A3056" s="605"/>
      <c r="B3056" s="605"/>
      <c r="C3056" s="605"/>
      <c r="D3056" s="605"/>
      <c r="E3056" s="605" t="str">
        <f>IFERROR(__xludf.DUMMYFUNCTION("""COMPUTED_VALUE"""),"STONEU")</f>
        <v>STONEU</v>
      </c>
      <c r="F3056" s="605" t="str">
        <f>IFERROR(__xludf.DUMMYFUNCTION("""COMPUTED_VALUE"""),"STU-M1206B")</f>
        <v>STU-M1206B</v>
      </c>
      <c r="G3056" s="605"/>
      <c r="H3056" s="605"/>
      <c r="I3056" s="605"/>
      <c r="J3056" s="606"/>
      <c r="K3056" s="605"/>
      <c r="L3056" s="605"/>
      <c r="M3056" s="605"/>
      <c r="N3056" s="605"/>
      <c r="O3056" s="605"/>
      <c r="P3056" s="605" t="s">
        <v>4862</v>
      </c>
    </row>
    <row r="3057">
      <c r="A3057" s="605"/>
      <c r="B3057" s="605"/>
      <c r="C3057" s="605"/>
      <c r="D3057" s="605"/>
      <c r="E3057" s="605" t="str">
        <f>IFERROR(__xludf.DUMMYFUNCTION("""COMPUTED_VALUE"""),"STONEU TECH")</f>
        <v>STONEU TECH</v>
      </c>
      <c r="F3057" s="605" t="str">
        <f>IFERROR(__xludf.DUMMYFUNCTION("""COMPUTED_VALUE"""),"RS485 TO TCP/IP")</f>
        <v>RS485 TO TCP/IP</v>
      </c>
      <c r="G3057" s="605"/>
      <c r="H3057" s="605"/>
      <c r="I3057" s="605"/>
      <c r="J3057" s="606"/>
      <c r="K3057" s="605"/>
      <c r="L3057" s="605"/>
      <c r="M3057" s="605"/>
      <c r="N3057" s="605"/>
      <c r="O3057" s="605"/>
      <c r="P3057" s="605" t="s">
        <v>4864</v>
      </c>
    </row>
    <row r="3058">
      <c r="A3058" s="605"/>
      <c r="B3058" s="605"/>
      <c r="C3058" s="605"/>
      <c r="D3058" s="605"/>
      <c r="E3058" s="605" t="str">
        <f>IFERROR(__xludf.DUMMYFUNCTION("""COMPUTED_VALUE"""),"STULZ")</f>
        <v>STULZ</v>
      </c>
      <c r="F3058" s="605" t="str">
        <f>IFERROR(__xludf.DUMMYFUNCTION("""COMPUTED_VALUE"""),"B2010-02")</f>
        <v>B2010-02</v>
      </c>
      <c r="G3058" s="605"/>
      <c r="H3058" s="605"/>
      <c r="I3058" s="605"/>
      <c r="J3058" s="606"/>
      <c r="K3058" s="605"/>
      <c r="L3058" s="605"/>
      <c r="M3058" s="605"/>
      <c r="N3058" s="605"/>
      <c r="O3058" s="605"/>
      <c r="P3058" s="605" t="s">
        <v>4867</v>
      </c>
    </row>
    <row r="3059">
      <c r="A3059" s="605"/>
      <c r="B3059" s="605"/>
      <c r="C3059" s="605"/>
      <c r="D3059" s="605"/>
      <c r="E3059" s="605" t="str">
        <f>IFERROR(__xludf.DUMMYFUNCTION("""COMPUTED_VALUE"""),"STULZ")</f>
        <v>STULZ</v>
      </c>
      <c r="F3059" s="605" t="str">
        <f>IFERROR(__xludf.DUMMYFUNCTION("""COMPUTED_VALUE"""),"SEC 221")</f>
        <v>SEC 221</v>
      </c>
      <c r="G3059" s="605"/>
      <c r="H3059" s="605"/>
      <c r="I3059" s="605"/>
      <c r="J3059" s="606"/>
      <c r="K3059" s="605"/>
      <c r="L3059" s="605"/>
      <c r="M3059" s="605"/>
      <c r="N3059" s="605"/>
      <c r="O3059" s="605"/>
      <c r="P3059" s="605" t="s">
        <v>4870</v>
      </c>
    </row>
    <row r="3060">
      <c r="A3060" s="605"/>
      <c r="B3060" s="605"/>
      <c r="C3060" s="605"/>
      <c r="D3060" s="605"/>
      <c r="E3060" s="605" t="str">
        <f>IFERROR(__xludf.DUMMYFUNCTION("""COMPUTED_VALUE"""),"STULZ")</f>
        <v>STULZ</v>
      </c>
      <c r="F3060" s="605" t="str">
        <f>IFERROR(__xludf.DUMMYFUNCTION("""COMPUTED_VALUE"""),"SEC 431 A")</f>
        <v>SEC 431 A</v>
      </c>
      <c r="G3060" s="605"/>
      <c r="H3060" s="605"/>
      <c r="I3060" s="605"/>
      <c r="J3060" s="606"/>
      <c r="K3060" s="605"/>
      <c r="L3060" s="605"/>
      <c r="M3060" s="605"/>
      <c r="N3060" s="605"/>
      <c r="O3060" s="605"/>
      <c r="P3060" s="605" t="s">
        <v>3066</v>
      </c>
    </row>
    <row r="3061">
      <c r="A3061" s="605"/>
      <c r="B3061" s="605"/>
      <c r="C3061" s="605"/>
      <c r="D3061" s="605"/>
      <c r="E3061" s="605" t="str">
        <f>IFERROR(__xludf.DUMMYFUNCTION("""COMPUTED_VALUE"""),"STULZ")</f>
        <v>STULZ</v>
      </c>
      <c r="F3061" s="605" t="str">
        <f>IFERROR(__xludf.DUMMYFUNCTION("""COMPUTED_VALUE"""),"SCCR 3000")</f>
        <v>SCCR 3000</v>
      </c>
      <c r="G3061" s="605"/>
      <c r="H3061" s="605"/>
      <c r="I3061" s="605"/>
      <c r="J3061" s="606"/>
      <c r="K3061" s="605"/>
      <c r="L3061" s="605"/>
      <c r="M3061" s="605"/>
      <c r="N3061" s="605"/>
      <c r="O3061" s="605"/>
      <c r="P3061" s="605" t="s">
        <v>4872</v>
      </c>
    </row>
    <row r="3062">
      <c r="A3062" s="605"/>
      <c r="B3062" s="605"/>
      <c r="C3062" s="605"/>
      <c r="D3062" s="605"/>
      <c r="E3062" s="605" t="str">
        <f>IFERROR(__xludf.DUMMYFUNCTION("""COMPUTED_VALUE"""),"STULZ")</f>
        <v>STULZ</v>
      </c>
      <c r="F3062" s="605" t="str">
        <f>IFERROR(__xludf.DUMMYFUNCTION("""COMPUTED_VALUE"""),"SEC 251 A")</f>
        <v>SEC 251 A</v>
      </c>
      <c r="G3062" s="605"/>
      <c r="H3062" s="605"/>
      <c r="I3062" s="605"/>
      <c r="J3062" s="606"/>
      <c r="K3062" s="605"/>
      <c r="L3062" s="605"/>
      <c r="M3062" s="605"/>
      <c r="N3062" s="605"/>
      <c r="O3062" s="605"/>
      <c r="P3062" s="605" t="s">
        <v>4874</v>
      </c>
    </row>
    <row r="3063">
      <c r="A3063" s="605"/>
      <c r="B3063" s="605"/>
      <c r="C3063" s="605"/>
      <c r="D3063" s="605"/>
      <c r="E3063" s="605" t="str">
        <f>IFERROR(__xludf.DUMMYFUNCTION("""COMPUTED_VALUE"""),"STULZ")</f>
        <v>STULZ</v>
      </c>
      <c r="F3063" s="605" t="str">
        <f>IFERROR(__xludf.DUMMYFUNCTION("""COMPUTED_VALUE"""),"SCCR 2000")</f>
        <v>SCCR 2000</v>
      </c>
      <c r="G3063" s="605"/>
      <c r="H3063" s="605"/>
      <c r="I3063" s="605"/>
      <c r="J3063" s="606"/>
      <c r="K3063" s="605"/>
      <c r="L3063" s="605"/>
      <c r="M3063" s="605"/>
      <c r="N3063" s="605"/>
      <c r="O3063" s="605"/>
      <c r="P3063" s="605" t="s">
        <v>4877</v>
      </c>
    </row>
    <row r="3064">
      <c r="A3064" s="605"/>
      <c r="B3064" s="605"/>
      <c r="C3064" s="605"/>
      <c r="D3064" s="605"/>
      <c r="E3064" s="605" t="str">
        <f>IFERROR(__xludf.DUMMYFUNCTION("""COMPUTED_VALUE"""),"STULZ")</f>
        <v>STULZ</v>
      </c>
      <c r="F3064" s="605" t="str">
        <f>IFERROR(__xludf.DUMMYFUNCTION("""COMPUTED_VALUE"""),"SEC 802 A-DP")</f>
        <v>SEC 802 A-DP</v>
      </c>
      <c r="G3064" s="605"/>
      <c r="H3064" s="605"/>
      <c r="I3064" s="605"/>
      <c r="J3064" s="606"/>
      <c r="K3064" s="605"/>
      <c r="L3064" s="605"/>
      <c r="M3064" s="605"/>
      <c r="N3064" s="605"/>
      <c r="O3064" s="605"/>
      <c r="P3064" s="605" t="s">
        <v>4880</v>
      </c>
    </row>
    <row r="3065">
      <c r="A3065" s="605"/>
      <c r="B3065" s="605"/>
      <c r="C3065" s="605"/>
      <c r="D3065" s="605"/>
      <c r="E3065" s="605" t="str">
        <f>IFERROR(__xludf.DUMMYFUNCTION("""COMPUTED_VALUE"""),"STULZ")</f>
        <v>STULZ</v>
      </c>
      <c r="F3065" s="605" t="str">
        <f>IFERROR(__xludf.DUMMYFUNCTION("""COMPUTED_VALUE"""),"SEC 301 A")</f>
        <v>SEC 301 A</v>
      </c>
      <c r="G3065" s="605"/>
      <c r="H3065" s="605"/>
      <c r="I3065" s="605"/>
      <c r="J3065" s="606"/>
      <c r="K3065" s="605"/>
      <c r="L3065" s="605"/>
      <c r="M3065" s="605"/>
      <c r="N3065" s="605"/>
      <c r="O3065" s="605"/>
      <c r="P3065" s="605" t="s">
        <v>4883</v>
      </c>
    </row>
    <row r="3066">
      <c r="A3066" s="605"/>
      <c r="B3066" s="605"/>
      <c r="C3066" s="605"/>
      <c r="D3066" s="605"/>
      <c r="E3066" s="605" t="str">
        <f>IFERROR(__xludf.DUMMYFUNCTION("""COMPUTED_VALUE"""),"STULZ")</f>
        <v>STULZ</v>
      </c>
      <c r="F3066" s="605" t="str">
        <f>IFERROR(__xludf.DUMMYFUNCTION("""COMPUTED_VALUE"""),"350 SCCR")</f>
        <v>350 SCCR</v>
      </c>
      <c r="G3066" s="605"/>
      <c r="H3066" s="605"/>
      <c r="I3066" s="605"/>
      <c r="J3066" s="606"/>
      <c r="K3066" s="605"/>
      <c r="L3066" s="605"/>
      <c r="M3066" s="605"/>
      <c r="N3066" s="605"/>
      <c r="O3066" s="605"/>
      <c r="P3066" s="605" t="s">
        <v>4886</v>
      </c>
    </row>
    <row r="3067">
      <c r="A3067" s="605"/>
      <c r="B3067" s="605"/>
      <c r="C3067" s="605"/>
      <c r="D3067" s="605"/>
      <c r="E3067" s="605" t="str">
        <f>IFERROR(__xludf.DUMMYFUNCTION("""COMPUTED_VALUE"""),"STULZ")</f>
        <v>STULZ</v>
      </c>
      <c r="F3067" s="605" t="str">
        <f>IFERROR(__xludf.DUMMYFUNCTION("""COMPUTED_VALUE"""),"500 SCCR")</f>
        <v>500 SCCR</v>
      </c>
      <c r="G3067" s="605"/>
      <c r="H3067" s="605"/>
      <c r="I3067" s="605"/>
      <c r="J3067" s="606"/>
      <c r="K3067" s="605"/>
      <c r="L3067" s="605"/>
      <c r="M3067" s="605"/>
      <c r="N3067" s="605"/>
      <c r="O3067" s="605"/>
      <c r="P3067" s="605" t="s">
        <v>4889</v>
      </c>
    </row>
    <row r="3068">
      <c r="A3068" s="605"/>
      <c r="B3068" s="605"/>
      <c r="C3068" s="605"/>
      <c r="D3068" s="605"/>
      <c r="E3068" s="605" t="str">
        <f>IFERROR(__xludf.DUMMYFUNCTION("""COMPUTED_VALUE"""),"STULZ")</f>
        <v>STULZ</v>
      </c>
      <c r="F3068" s="605" t="str">
        <f>IFERROR(__xludf.DUMMYFUNCTION("""COMPUTED_VALUE"""),"SEC 521 A")</f>
        <v>SEC 521 A</v>
      </c>
      <c r="G3068" s="605"/>
      <c r="H3068" s="605"/>
      <c r="I3068" s="605"/>
      <c r="J3068" s="606"/>
      <c r="K3068" s="605"/>
      <c r="L3068" s="605"/>
      <c r="M3068" s="605"/>
      <c r="N3068" s="605"/>
      <c r="O3068" s="605"/>
      <c r="P3068" s="605" t="s">
        <v>4892</v>
      </c>
    </row>
    <row r="3069">
      <c r="A3069" s="605"/>
      <c r="B3069" s="605"/>
      <c r="C3069" s="605"/>
      <c r="D3069" s="605"/>
      <c r="E3069" s="605" t="str">
        <f>IFERROR(__xludf.DUMMYFUNCTION("""COMPUTED_VALUE"""),"STULZ")</f>
        <v>STULZ</v>
      </c>
      <c r="F3069" s="605" t="str">
        <f>IFERROR(__xludf.DUMMYFUNCTION("""COMPUTED_VALUE"""),"CSU 361 C")</f>
        <v>CSU 361 C</v>
      </c>
      <c r="G3069" s="605"/>
      <c r="H3069" s="605"/>
      <c r="I3069" s="605"/>
      <c r="J3069" s="606"/>
      <c r="K3069" s="605"/>
      <c r="L3069" s="605"/>
      <c r="M3069" s="605"/>
      <c r="N3069" s="605"/>
      <c r="O3069" s="605"/>
      <c r="P3069" s="605" t="s">
        <v>4895</v>
      </c>
    </row>
    <row r="3070">
      <c r="A3070" s="605"/>
      <c r="B3070" s="605"/>
      <c r="C3070" s="605"/>
      <c r="D3070" s="605"/>
      <c r="E3070" s="605" t="str">
        <f>IFERROR(__xludf.DUMMYFUNCTION("""COMPUTED_VALUE"""),"STULZ")</f>
        <v>STULZ</v>
      </c>
      <c r="F3070" s="605" t="str">
        <f>IFERROR(__xludf.DUMMYFUNCTION("""COMPUTED_VALUE"""),"E2 SERIES CONTROLLER")</f>
        <v>E2 SERIES CONTROLLER</v>
      </c>
      <c r="G3070" s="605"/>
      <c r="H3070" s="605"/>
      <c r="I3070" s="605"/>
      <c r="J3070" s="606"/>
      <c r="K3070" s="605"/>
      <c r="L3070" s="605"/>
      <c r="M3070" s="605"/>
      <c r="N3070" s="605"/>
      <c r="O3070" s="605"/>
      <c r="P3070" s="605" t="s">
        <v>4898</v>
      </c>
    </row>
    <row r="3071">
      <c r="A3071" s="605"/>
      <c r="B3071" s="605"/>
      <c r="C3071" s="605"/>
      <c r="D3071" s="605"/>
      <c r="E3071" s="605" t="str">
        <f>IFERROR(__xludf.DUMMYFUNCTION("""COMPUTED_VALUE"""),"STULZ")</f>
        <v>STULZ</v>
      </c>
      <c r="F3071" s="605" t="str">
        <f>IFERROR(__xludf.DUMMYFUNCTION("""COMPUTED_VALUE"""),"COMPACT PLUS DX")</f>
        <v>COMPACT PLUS DX</v>
      </c>
      <c r="G3071" s="605"/>
      <c r="H3071" s="605"/>
      <c r="I3071" s="605"/>
      <c r="J3071" s="606"/>
      <c r="K3071" s="605"/>
      <c r="L3071" s="605"/>
      <c r="M3071" s="605"/>
      <c r="N3071" s="605"/>
      <c r="O3071" s="605"/>
      <c r="P3071" s="605" t="s">
        <v>2885</v>
      </c>
    </row>
    <row r="3072">
      <c r="A3072" s="605"/>
      <c r="B3072" s="605"/>
      <c r="C3072" s="605"/>
      <c r="D3072" s="605"/>
      <c r="E3072" s="605" t="str">
        <f>IFERROR(__xludf.DUMMYFUNCTION("""COMPUTED_VALUE"""),"STULZ")</f>
        <v>STULZ</v>
      </c>
      <c r="F3072" s="605" t="str">
        <f>IFERROR(__xludf.DUMMYFUNCTION("""COMPUTED_VALUE"""),"CYBERAIR 3PRO DX")</f>
        <v>CYBERAIR 3PRO DX</v>
      </c>
      <c r="G3072" s="605"/>
      <c r="H3072" s="605"/>
      <c r="I3072" s="605"/>
      <c r="J3072" s="606"/>
      <c r="K3072" s="605"/>
      <c r="L3072" s="605"/>
      <c r="M3072" s="605"/>
      <c r="N3072" s="605"/>
      <c r="O3072" s="605"/>
      <c r="P3072" s="605" t="s">
        <v>3069</v>
      </c>
    </row>
    <row r="3073">
      <c r="A3073" s="605"/>
      <c r="B3073" s="605"/>
      <c r="C3073" s="605"/>
      <c r="D3073" s="605"/>
      <c r="E3073" s="605" t="str">
        <f>IFERROR(__xludf.DUMMYFUNCTION("""COMPUTED_VALUE"""),"SUBZERO")</f>
        <v>SUBZERO</v>
      </c>
      <c r="F3073" s="605" t="str">
        <f>IFERROR(__xludf.DUMMYFUNCTION("""COMPUTED_VALUE"""),"CRC 2052")</f>
        <v>CRC 2052</v>
      </c>
      <c r="G3073" s="605"/>
      <c r="H3073" s="605"/>
      <c r="I3073" s="605"/>
      <c r="J3073" s="606"/>
      <c r="K3073" s="605"/>
      <c r="L3073" s="605"/>
      <c r="M3073" s="605"/>
      <c r="N3073" s="605"/>
      <c r="O3073" s="605"/>
      <c r="P3073" s="605" t="s">
        <v>4901</v>
      </c>
    </row>
    <row r="3074">
      <c r="A3074" s="605"/>
      <c r="B3074" s="605"/>
      <c r="C3074" s="605"/>
      <c r="D3074" s="605"/>
      <c r="E3074" s="605" t="str">
        <f>IFERROR(__xludf.DUMMYFUNCTION("""COMPUTED_VALUE"""),"SUBZERO")</f>
        <v>SUBZERO</v>
      </c>
      <c r="F3074" s="605" t="str">
        <f>IFERROR(__xludf.DUMMYFUNCTION("""COMPUTED_VALUE"""),"CRC 2020")</f>
        <v>CRC 2020</v>
      </c>
      <c r="G3074" s="605"/>
      <c r="H3074" s="605"/>
      <c r="I3074" s="605"/>
      <c r="J3074" s="606"/>
      <c r="K3074" s="605"/>
      <c r="L3074" s="605"/>
      <c r="M3074" s="605"/>
      <c r="N3074" s="605"/>
      <c r="O3074" s="605"/>
      <c r="P3074" s="605" t="s">
        <v>4904</v>
      </c>
    </row>
    <row r="3075">
      <c r="A3075" s="605"/>
      <c r="B3075" s="605"/>
      <c r="C3075" s="605"/>
      <c r="D3075" s="605"/>
      <c r="E3075" s="605" t="str">
        <f>IFERROR(__xludf.DUMMYFUNCTION("""COMPUTED_VALUE"""),"SUITABLE TECHNOLOGIES")</f>
        <v>SUITABLE TECHNOLOGIES</v>
      </c>
      <c r="F3075" s="605" t="str">
        <f>IFERROR(__xludf.DUMMYFUNCTION("""COMPUTED_VALUE"""),"BEAMPRO")</f>
        <v>BEAMPRO</v>
      </c>
      <c r="G3075" s="605"/>
      <c r="H3075" s="605"/>
      <c r="I3075" s="605"/>
      <c r="J3075" s="606"/>
      <c r="K3075" s="605"/>
      <c r="L3075" s="605"/>
      <c r="M3075" s="605"/>
      <c r="N3075" s="605"/>
      <c r="O3075" s="605"/>
      <c r="P3075" s="605" t="s">
        <v>4907</v>
      </c>
    </row>
    <row r="3076">
      <c r="A3076" s="605"/>
      <c r="B3076" s="605"/>
      <c r="C3076" s="605"/>
      <c r="D3076" s="605"/>
      <c r="E3076" s="605" t="str">
        <f>IFERROR(__xludf.DUMMYFUNCTION("""COMPUTED_VALUE"""),"SUNFULL")</f>
        <v>SUNFULL</v>
      </c>
      <c r="F3076" s="605" t="str">
        <f>IFERROR(__xludf.DUMMYFUNCTION("""COMPUTED_VALUE"""),"BAC-1002")</f>
        <v>BAC-1002</v>
      </c>
      <c r="G3076" s="605"/>
      <c r="H3076" s="605"/>
      <c r="I3076" s="605"/>
      <c r="J3076" s="606"/>
      <c r="K3076" s="605"/>
      <c r="L3076" s="605"/>
      <c r="M3076" s="605"/>
      <c r="N3076" s="605"/>
      <c r="O3076" s="605"/>
      <c r="P3076" s="605" t="s">
        <v>4910</v>
      </c>
    </row>
    <row r="3077">
      <c r="A3077" s="605"/>
      <c r="B3077" s="605"/>
      <c r="C3077" s="605"/>
      <c r="D3077" s="605"/>
      <c r="E3077" s="605" t="str">
        <f>IFERROR(__xludf.DUMMYFUNCTION("""COMPUTED_VALUE"""),"SUNFULL")</f>
        <v>SUNFULL</v>
      </c>
      <c r="F3077" s="605" t="str">
        <f>IFERROR(__xludf.DUMMYFUNCTION("""COMPUTED_VALUE"""),"BAC-2004")</f>
        <v>BAC-2004</v>
      </c>
      <c r="G3077" s="605"/>
      <c r="H3077" s="605"/>
      <c r="I3077" s="605"/>
      <c r="J3077" s="606"/>
      <c r="K3077" s="605"/>
      <c r="L3077" s="605"/>
      <c r="M3077" s="605"/>
      <c r="N3077" s="605"/>
      <c r="O3077" s="605"/>
      <c r="P3077" s="605" t="s">
        <v>4913</v>
      </c>
    </row>
    <row r="3078">
      <c r="A3078" s="605"/>
      <c r="B3078" s="605"/>
      <c r="C3078" s="605"/>
      <c r="D3078" s="605"/>
      <c r="E3078" s="605" t="str">
        <f>IFERROR(__xludf.DUMMYFUNCTION("""COMPUTED_VALUE"""),"SUNFULL")</f>
        <v>SUNFULL</v>
      </c>
      <c r="F3078" s="605" t="str">
        <f>IFERROR(__xludf.DUMMYFUNCTION("""COMPUTED_VALUE"""),"HMI2004-A9-4G")</f>
        <v>HMI2004-A9-4G</v>
      </c>
      <c r="G3078" s="605"/>
      <c r="H3078" s="605"/>
      <c r="I3078" s="605"/>
      <c r="J3078" s="606"/>
      <c r="K3078" s="605"/>
      <c r="L3078" s="605"/>
      <c r="M3078" s="605"/>
      <c r="N3078" s="605"/>
      <c r="O3078" s="605"/>
      <c r="P3078" s="605" t="s">
        <v>4916</v>
      </c>
    </row>
    <row r="3079">
      <c r="A3079" s="605"/>
      <c r="B3079" s="605"/>
      <c r="C3079" s="605"/>
      <c r="D3079" s="605"/>
      <c r="E3079" s="605" t="str">
        <f>IFERROR(__xludf.DUMMYFUNCTION("""COMPUTED_VALUE"""),"SUNFULL")</f>
        <v>SUNFULL</v>
      </c>
      <c r="F3079" s="605" t="str">
        <f>IFERROR(__xludf.DUMMYFUNCTION("""COMPUTED_VALUE"""),"HMI1004-ARM(A64)")</f>
        <v>HMI1004-ARM(A64)</v>
      </c>
      <c r="G3079" s="605"/>
      <c r="H3079" s="605"/>
      <c r="I3079" s="605"/>
      <c r="J3079" s="606"/>
      <c r="K3079" s="605"/>
      <c r="L3079" s="605"/>
      <c r="M3079" s="605"/>
      <c r="N3079" s="605"/>
      <c r="O3079" s="605"/>
      <c r="P3079" s="605" t="s">
        <v>4919</v>
      </c>
    </row>
    <row r="3080">
      <c r="A3080" s="605"/>
      <c r="B3080" s="605"/>
      <c r="C3080" s="605"/>
      <c r="D3080" s="605"/>
      <c r="E3080" s="605" t="str">
        <f>IFERROR(__xludf.DUMMYFUNCTION("""COMPUTED_VALUE"""),"SUNFULL")</f>
        <v>SUNFULL</v>
      </c>
      <c r="F3080" s="605" t="str">
        <f>IFERROR(__xludf.DUMMYFUNCTION("""COMPUTED_VALUE"""),"HMI1031 SCADA")</f>
        <v>HMI1031 SCADA</v>
      </c>
      <c r="G3080" s="605"/>
      <c r="H3080" s="605"/>
      <c r="I3080" s="605"/>
      <c r="J3080" s="606"/>
      <c r="K3080" s="605"/>
      <c r="L3080" s="605"/>
      <c r="M3080" s="605"/>
      <c r="N3080" s="605"/>
      <c r="O3080" s="605"/>
      <c r="P3080" s="605" t="s">
        <v>4922</v>
      </c>
    </row>
    <row r="3081">
      <c r="A3081" s="605"/>
      <c r="B3081" s="605"/>
      <c r="C3081" s="605"/>
      <c r="D3081" s="605"/>
      <c r="E3081" s="605" t="str">
        <f>IFERROR(__xludf.DUMMYFUNCTION("""COMPUTED_VALUE"""),"SUNLUX TECH")</f>
        <v>SUNLUX TECH</v>
      </c>
      <c r="F3081" s="605" t="str">
        <f>IFERROR(__xludf.DUMMYFUNCTION("""COMPUTED_VALUE"""),"PROTOCON-P5")</f>
        <v>PROTOCON-P5</v>
      </c>
      <c r="G3081" s="605"/>
      <c r="H3081" s="605"/>
      <c r="I3081" s="605"/>
      <c r="J3081" s="606"/>
      <c r="K3081" s="605"/>
      <c r="L3081" s="605"/>
      <c r="M3081" s="605"/>
      <c r="N3081" s="605"/>
      <c r="O3081" s="605"/>
      <c r="P3081" s="605" t="s">
        <v>4925</v>
      </c>
    </row>
    <row r="3082">
      <c r="A3082" s="605"/>
      <c r="B3082" s="605"/>
      <c r="C3082" s="605"/>
      <c r="D3082" s="605"/>
      <c r="E3082" s="605" t="str">
        <f>IFERROR(__xludf.DUMMYFUNCTION("""COMPUTED_VALUE"""),"SUPER MICRO")</f>
        <v>SUPER MICRO</v>
      </c>
      <c r="F3082" s="605" t="str">
        <f>IFERROR(__xludf.DUMMYFUNCTION("""COMPUTED_VALUE"""),"SC811")</f>
        <v>SC811</v>
      </c>
      <c r="G3082" s="605"/>
      <c r="H3082" s="605"/>
      <c r="I3082" s="605"/>
      <c r="J3082" s="606"/>
      <c r="K3082" s="605"/>
      <c r="L3082" s="605"/>
      <c r="M3082" s="605"/>
      <c r="N3082" s="605"/>
      <c r="O3082" s="605"/>
      <c r="P3082" s="605" t="s">
        <v>4928</v>
      </c>
    </row>
    <row r="3083">
      <c r="A3083" s="605"/>
      <c r="B3083" s="605"/>
      <c r="C3083" s="605"/>
      <c r="D3083" s="605"/>
      <c r="E3083" s="605" t="str">
        <f>IFERROR(__xludf.DUMMYFUNCTION("""COMPUTED_VALUE"""),"SUPERIOR REX")</f>
        <v>SUPERIOR REX</v>
      </c>
      <c r="F3083" s="605" t="str">
        <f>IFERROR(__xludf.DUMMYFUNCTION("""COMPUTED_VALUE"""),"HORIZONTAL DD BCU")</f>
        <v>HORIZONTAL DD BCU</v>
      </c>
      <c r="G3083" s="605"/>
      <c r="H3083" s="605"/>
      <c r="I3083" s="605"/>
      <c r="J3083" s="606"/>
      <c r="K3083" s="605"/>
      <c r="L3083" s="605"/>
      <c r="M3083" s="605"/>
      <c r="N3083" s="605"/>
      <c r="O3083" s="605"/>
      <c r="P3083" s="605" t="s">
        <v>3072</v>
      </c>
    </row>
    <row r="3084">
      <c r="A3084" s="605"/>
      <c r="B3084" s="605"/>
      <c r="C3084" s="605"/>
      <c r="D3084" s="605"/>
      <c r="E3084" s="605" t="str">
        <f>IFERROR(__xludf.DUMMYFUNCTION("""COMPUTED_VALUE"""),"SUPERMICRO")</f>
        <v>SUPERMICRO</v>
      </c>
      <c r="F3084" s="605" t="str">
        <f>IFERROR(__xludf.DUMMYFUNCTION("""COMPUTED_VALUE"""),"502-2")</f>
        <v>502-2</v>
      </c>
      <c r="G3084" s="605"/>
      <c r="H3084" s="605"/>
      <c r="I3084" s="605"/>
      <c r="J3084" s="606"/>
      <c r="K3084" s="605"/>
      <c r="L3084" s="605"/>
      <c r="M3084" s="605"/>
      <c r="N3084" s="605"/>
      <c r="O3084" s="605"/>
      <c r="P3084" s="605" t="s">
        <v>4931</v>
      </c>
    </row>
    <row r="3085">
      <c r="A3085" s="605"/>
      <c r="B3085" s="605"/>
      <c r="C3085" s="605"/>
      <c r="D3085" s="605"/>
      <c r="E3085" s="605" t="str">
        <f>IFERROR(__xludf.DUMMYFUNCTION("""COMPUTED_VALUE"""),"SUPREMA")</f>
        <v>SUPREMA</v>
      </c>
      <c r="F3085" s="605" t="str">
        <f>IFERROR(__xludf.DUMMYFUNCTION("""COMPUTED_VALUE"""),"X-STATION")</f>
        <v>X-STATION</v>
      </c>
      <c r="G3085" s="605"/>
      <c r="H3085" s="605"/>
      <c r="I3085" s="605"/>
      <c r="J3085" s="606"/>
      <c r="K3085" s="605"/>
      <c r="L3085" s="605"/>
      <c r="M3085" s="605"/>
      <c r="N3085" s="605"/>
      <c r="O3085" s="605"/>
      <c r="P3085" s="605" t="s">
        <v>4934</v>
      </c>
    </row>
    <row r="3086">
      <c r="A3086" s="605"/>
      <c r="B3086" s="605"/>
      <c r="C3086" s="605"/>
      <c r="D3086" s="605"/>
      <c r="E3086" s="605" t="str">
        <f>IFERROR(__xludf.DUMMYFUNCTION("""COMPUTED_VALUE"""),"SWEGON")</f>
        <v>SWEGON</v>
      </c>
      <c r="F3086" s="605" t="str">
        <f>IFERROR(__xludf.DUMMYFUNCTION("""COMPUTED_VALUE"""),"IQ LOGIC+")</f>
        <v>IQ LOGIC+</v>
      </c>
      <c r="G3086" s="605"/>
      <c r="H3086" s="605"/>
      <c r="I3086" s="605"/>
      <c r="J3086" s="606"/>
      <c r="K3086" s="605"/>
      <c r="L3086" s="605"/>
      <c r="M3086" s="605"/>
      <c r="N3086" s="605"/>
      <c r="O3086" s="605"/>
      <c r="P3086" s="605" t="s">
        <v>4937</v>
      </c>
    </row>
    <row r="3087">
      <c r="A3087" s="605"/>
      <c r="B3087" s="605"/>
      <c r="C3087" s="605"/>
      <c r="D3087" s="605"/>
      <c r="E3087" s="605" t="str">
        <f>IFERROR(__xludf.DUMMYFUNCTION("""COMPUTED_VALUE"""),"SWEGON")</f>
        <v>SWEGON</v>
      </c>
      <c r="F3087" s="605" t="str">
        <f>IFERROR(__xludf.DUMMYFUNCTION("""COMPUTED_VALUE"""),"IQNOMIC")</f>
        <v>IQNOMIC</v>
      </c>
      <c r="G3087" s="605"/>
      <c r="H3087" s="605"/>
      <c r="I3087" s="605"/>
      <c r="J3087" s="606"/>
      <c r="K3087" s="605"/>
      <c r="L3087" s="605"/>
      <c r="M3087" s="605"/>
      <c r="N3087" s="605"/>
      <c r="O3087" s="605"/>
      <c r="P3087" s="605" t="s">
        <v>4940</v>
      </c>
    </row>
    <row r="3088">
      <c r="A3088" s="605"/>
      <c r="B3088" s="605"/>
      <c r="C3088" s="605"/>
      <c r="D3088" s="605"/>
      <c r="E3088" s="605" t="str">
        <f>IFERROR(__xludf.DUMMYFUNCTION("""COMPUTED_VALUE"""),"SWEGON")</f>
        <v>SWEGON</v>
      </c>
      <c r="F3088" s="605" t="str">
        <f>IFERROR(__xludf.DUMMYFUNCTION("""COMPUTED_VALUE"""),"GOLD RX/HC")</f>
        <v>GOLD RX/HC</v>
      </c>
      <c r="G3088" s="605"/>
      <c r="H3088" s="605"/>
      <c r="I3088" s="605"/>
      <c r="J3088" s="606"/>
      <c r="K3088" s="605"/>
      <c r="L3088" s="605"/>
      <c r="M3088" s="605"/>
      <c r="N3088" s="605"/>
      <c r="O3088" s="605"/>
      <c r="P3088" s="605" t="s">
        <v>4943</v>
      </c>
    </row>
    <row r="3089">
      <c r="A3089" s="605"/>
      <c r="B3089" s="605"/>
      <c r="C3089" s="605"/>
      <c r="D3089" s="605"/>
      <c r="E3089" s="605" t="str">
        <f>IFERROR(__xludf.DUMMYFUNCTION("""COMPUTED_VALUE"""),"SWEGON")</f>
        <v>SWEGON</v>
      </c>
      <c r="F3089" s="605" t="str">
        <f>IFERROR(__xludf.DUMMYFUNCTION("""COMPUTED_VALUE"""),"BLUEBOX A2")</f>
        <v>BLUEBOX A2</v>
      </c>
      <c r="G3089" s="605"/>
      <c r="H3089" s="605"/>
      <c r="I3089" s="605"/>
      <c r="J3089" s="606"/>
      <c r="K3089" s="605"/>
      <c r="L3089" s="605"/>
      <c r="M3089" s="605"/>
      <c r="N3089" s="605"/>
      <c r="O3089" s="605"/>
      <c r="P3089" s="605" t="s">
        <v>4946</v>
      </c>
    </row>
    <row r="3090">
      <c r="A3090" s="605"/>
      <c r="B3090" s="605"/>
      <c r="C3090" s="605"/>
      <c r="D3090" s="605"/>
      <c r="E3090" s="605" t="str">
        <f>IFERROR(__xludf.DUMMYFUNCTION("""COMPUTED_VALUE"""),"SWISSCOM")</f>
        <v>SWISSCOM</v>
      </c>
      <c r="F3090" s="605" t="str">
        <f>IFERROR(__xludf.DUMMYFUNCTION("""COMPUTED_VALUE"""),"ST 6840")</f>
        <v>ST 6840</v>
      </c>
      <c r="G3090" s="605"/>
      <c r="H3090" s="605"/>
      <c r="I3090" s="605"/>
      <c r="J3090" s="606"/>
      <c r="K3090" s="605"/>
      <c r="L3090" s="605"/>
      <c r="M3090" s="605"/>
      <c r="N3090" s="605"/>
      <c r="O3090" s="605"/>
      <c r="P3090" s="605" t="s">
        <v>4949</v>
      </c>
    </row>
    <row r="3091">
      <c r="A3091" s="605"/>
      <c r="B3091" s="605"/>
      <c r="C3091" s="605"/>
      <c r="D3091" s="605"/>
      <c r="E3091" s="605" t="str">
        <f>IFERROR(__xludf.DUMMYFUNCTION("""COMPUTED_VALUE"""),"SWISSCOM")</f>
        <v>SWISSCOM</v>
      </c>
      <c r="F3091" s="605" t="str">
        <f>IFERROR(__xludf.DUMMYFUNCTION("""COMPUTED_VALUE"""),"ST 6840 ROUTER")</f>
        <v>ST 6840 ROUTER</v>
      </c>
      <c r="G3091" s="605"/>
      <c r="H3091" s="605"/>
      <c r="I3091" s="605"/>
      <c r="J3091" s="606"/>
      <c r="K3091" s="605"/>
      <c r="L3091" s="605"/>
      <c r="M3091" s="605"/>
      <c r="N3091" s="605"/>
      <c r="O3091" s="605"/>
      <c r="P3091" s="605" t="s">
        <v>4952</v>
      </c>
    </row>
    <row r="3092">
      <c r="A3092" s="605"/>
      <c r="B3092" s="605"/>
      <c r="C3092" s="605"/>
      <c r="D3092" s="605"/>
      <c r="E3092" s="605" t="str">
        <f>IFERROR(__xludf.DUMMYFUNCTION("""COMPUTED_VALUE"""),"SYNAPSYS")</f>
        <v>SYNAPSYS</v>
      </c>
      <c r="F3092" s="605" t="str">
        <f>IFERROR(__xludf.DUMMYFUNCTION("""COMPUTED_VALUE"""),"SIP INTERFACE")</f>
        <v>SIP INTERFACE</v>
      </c>
      <c r="G3092" s="605"/>
      <c r="H3092" s="605"/>
      <c r="I3092" s="605"/>
      <c r="J3092" s="606"/>
      <c r="K3092" s="605"/>
      <c r="L3092" s="605"/>
      <c r="M3092" s="605"/>
      <c r="N3092" s="605"/>
      <c r="O3092" s="605"/>
      <c r="P3092" s="605" t="s">
        <v>4955</v>
      </c>
    </row>
    <row r="3093">
      <c r="A3093" s="605"/>
      <c r="B3093" s="605"/>
      <c r="C3093" s="605"/>
      <c r="D3093" s="605"/>
      <c r="E3093" s="605" t="str">
        <f>IFERROR(__xludf.DUMMYFUNCTION("""COMPUTED_VALUE"""),"SYNAPSYS")</f>
        <v>SYNAPSYS</v>
      </c>
      <c r="F3093" s="605" t="str">
        <f>IFERROR(__xludf.DUMMYFUNCTION("""COMPUTED_VALUE"""),"SIP INTERFACE")</f>
        <v>SIP INTERFACE</v>
      </c>
      <c r="G3093" s="605"/>
      <c r="H3093" s="605"/>
      <c r="I3093" s="605"/>
      <c r="J3093" s="606"/>
      <c r="K3093" s="605"/>
      <c r="L3093" s="605"/>
      <c r="M3093" s="605"/>
      <c r="N3093" s="605"/>
      <c r="O3093" s="605"/>
      <c r="P3093" s="605" t="s">
        <v>4958</v>
      </c>
    </row>
    <row r="3094">
      <c r="A3094" s="605"/>
      <c r="B3094" s="605"/>
      <c r="C3094" s="605"/>
      <c r="D3094" s="605"/>
      <c r="E3094" s="605" t="str">
        <f>IFERROR(__xludf.DUMMYFUNCTION("""COMPUTED_VALUE"""),"SYNAPSYS")</f>
        <v>SYNAPSYS</v>
      </c>
      <c r="F3094" s="605" t="str">
        <f>IFERROR(__xludf.DUMMYFUNCTION("""COMPUTED_VALUE"""),"SIP INTERFACE")</f>
        <v>SIP INTERFACE</v>
      </c>
      <c r="G3094" s="605"/>
      <c r="H3094" s="605"/>
      <c r="I3094" s="605"/>
      <c r="J3094" s="606"/>
      <c r="K3094" s="605"/>
      <c r="L3094" s="605"/>
      <c r="M3094" s="605"/>
      <c r="N3094" s="605"/>
      <c r="O3094" s="605"/>
      <c r="P3094" s="605" t="s">
        <v>3075</v>
      </c>
    </row>
    <row r="3095">
      <c r="A3095" s="605"/>
      <c r="B3095" s="605"/>
      <c r="C3095" s="605"/>
      <c r="D3095" s="605"/>
      <c r="E3095" s="605" t="str">
        <f>IFERROR(__xludf.DUMMYFUNCTION("""COMPUTED_VALUE"""),"SYNAPSYS")</f>
        <v>SYNAPSYS</v>
      </c>
      <c r="F3095" s="605" t="str">
        <f>IFERROR(__xludf.DUMMYFUNCTION("""COMPUTED_VALUE"""),"SIP INTERFACE")</f>
        <v>SIP INTERFACE</v>
      </c>
      <c r="G3095" s="605"/>
      <c r="H3095" s="605"/>
      <c r="I3095" s="605"/>
      <c r="J3095" s="606"/>
      <c r="K3095" s="605"/>
      <c r="L3095" s="605"/>
      <c r="M3095" s="605"/>
      <c r="N3095" s="605"/>
      <c r="O3095" s="605"/>
      <c r="P3095" s="605" t="s">
        <v>4960</v>
      </c>
    </row>
    <row r="3096">
      <c r="A3096" s="605"/>
      <c r="B3096" s="605"/>
      <c r="C3096" s="605"/>
      <c r="D3096" s="605"/>
      <c r="E3096" s="605" t="str">
        <f>IFERROR(__xludf.DUMMYFUNCTION("""COMPUTED_VALUE"""),"SYNAPSYS")</f>
        <v>SYNAPSYS</v>
      </c>
      <c r="F3096" s="605" t="str">
        <f>IFERROR(__xludf.DUMMYFUNCTION("""COMPUTED_VALUE"""),"SIP INTERFACE")</f>
        <v>SIP INTERFACE</v>
      </c>
      <c r="G3096" s="605"/>
      <c r="H3096" s="605"/>
      <c r="I3096" s="605"/>
      <c r="J3096" s="606"/>
      <c r="K3096" s="605"/>
      <c r="L3096" s="605"/>
      <c r="M3096" s="605"/>
      <c r="N3096" s="605"/>
      <c r="O3096" s="605"/>
      <c r="P3096" s="605" t="s">
        <v>4963</v>
      </c>
    </row>
    <row r="3097">
      <c r="A3097" s="605"/>
      <c r="B3097" s="605"/>
      <c r="C3097" s="605"/>
      <c r="D3097" s="605"/>
      <c r="E3097" s="605" t="str">
        <f>IFERROR(__xludf.DUMMYFUNCTION("""COMPUTED_VALUE"""),"SYNAPSYS")</f>
        <v>SYNAPSYS</v>
      </c>
      <c r="F3097" s="605" t="str">
        <f>IFERROR(__xludf.DUMMYFUNCTION("""COMPUTED_VALUE"""),"SIP INTERFACE")</f>
        <v>SIP INTERFACE</v>
      </c>
      <c r="G3097" s="605"/>
      <c r="H3097" s="605"/>
      <c r="I3097" s="605"/>
      <c r="J3097" s="606"/>
      <c r="K3097" s="605"/>
      <c r="L3097" s="605"/>
      <c r="M3097" s="605"/>
      <c r="N3097" s="605"/>
      <c r="O3097" s="605"/>
      <c r="P3097" s="605" t="s">
        <v>4966</v>
      </c>
    </row>
    <row r="3098">
      <c r="A3098" s="605"/>
      <c r="B3098" s="605"/>
      <c r="C3098" s="605"/>
      <c r="D3098" s="605"/>
      <c r="E3098" s="605" t="str">
        <f>IFERROR(__xludf.DUMMYFUNCTION("""COMPUTED_VALUE"""),"SYNAPSYS")</f>
        <v>SYNAPSYS</v>
      </c>
      <c r="F3098" s="605" t="str">
        <f>IFERROR(__xludf.DUMMYFUNCTION("""COMPUTED_VALUE"""),"SIP INTERFACE")</f>
        <v>SIP INTERFACE</v>
      </c>
      <c r="G3098" s="605"/>
      <c r="H3098" s="605"/>
      <c r="I3098" s="605"/>
      <c r="J3098" s="606"/>
      <c r="K3098" s="605"/>
      <c r="L3098" s="605"/>
      <c r="M3098" s="605"/>
      <c r="N3098" s="605"/>
      <c r="O3098" s="605"/>
      <c r="P3098" s="605" t="s">
        <v>4969</v>
      </c>
    </row>
    <row r="3099">
      <c r="A3099" s="605"/>
      <c r="B3099" s="605"/>
      <c r="C3099" s="605"/>
      <c r="D3099" s="605"/>
      <c r="E3099" s="605" t="str">
        <f>IFERROR(__xludf.DUMMYFUNCTION("""COMPUTED_VALUE"""),"SYNAPSYS")</f>
        <v>SYNAPSYS</v>
      </c>
      <c r="F3099" s="605" t="str">
        <f>IFERROR(__xludf.DUMMYFUNCTION("""COMPUTED_VALUE"""),"SIP INTERFACE")</f>
        <v>SIP INTERFACE</v>
      </c>
      <c r="G3099" s="605"/>
      <c r="H3099" s="605"/>
      <c r="I3099" s="605"/>
      <c r="J3099" s="606"/>
      <c r="K3099" s="605"/>
      <c r="L3099" s="605"/>
      <c r="M3099" s="605"/>
      <c r="N3099" s="605"/>
      <c r="O3099" s="605"/>
      <c r="P3099" s="605" t="s">
        <v>4972</v>
      </c>
    </row>
    <row r="3100">
      <c r="A3100" s="605"/>
      <c r="B3100" s="605"/>
      <c r="C3100" s="605"/>
      <c r="D3100" s="605"/>
      <c r="E3100" s="605" t="str">
        <f>IFERROR(__xludf.DUMMYFUNCTION("""COMPUTED_VALUE"""),"SYNAPSYS")</f>
        <v>SYNAPSYS</v>
      </c>
      <c r="F3100" s="605" t="str">
        <f>IFERROR(__xludf.DUMMYFUNCTION("""COMPUTED_VALUE"""),"SIP INTERFACE")</f>
        <v>SIP INTERFACE</v>
      </c>
      <c r="G3100" s="605"/>
      <c r="H3100" s="605"/>
      <c r="I3100" s="605"/>
      <c r="J3100" s="606"/>
      <c r="K3100" s="605"/>
      <c r="L3100" s="605"/>
      <c r="M3100" s="605"/>
      <c r="N3100" s="605"/>
      <c r="O3100" s="605"/>
      <c r="P3100" s="605" t="s">
        <v>4975</v>
      </c>
    </row>
    <row r="3101">
      <c r="A3101" s="605"/>
      <c r="B3101" s="605"/>
      <c r="C3101" s="605"/>
      <c r="D3101" s="605"/>
      <c r="E3101" s="605" t="str">
        <f>IFERROR(__xludf.DUMMYFUNCTION("""COMPUTED_VALUE"""),"SYNAPSYS")</f>
        <v>SYNAPSYS</v>
      </c>
      <c r="F3101" s="605" t="str">
        <f>IFERROR(__xludf.DUMMYFUNCTION("""COMPUTED_VALUE"""),"SIP INTERFACE")</f>
        <v>SIP INTERFACE</v>
      </c>
      <c r="G3101" s="605"/>
      <c r="H3101" s="605"/>
      <c r="I3101" s="605"/>
      <c r="J3101" s="606"/>
      <c r="K3101" s="605"/>
      <c r="L3101" s="605"/>
      <c r="M3101" s="605"/>
      <c r="N3101" s="605"/>
      <c r="O3101" s="605"/>
      <c r="P3101" s="605" t="s">
        <v>4978</v>
      </c>
    </row>
    <row r="3102">
      <c r="A3102" s="605"/>
      <c r="B3102" s="605"/>
      <c r="C3102" s="605"/>
      <c r="D3102" s="605"/>
      <c r="E3102" s="605" t="str">
        <f>IFERROR(__xludf.DUMMYFUNCTION("""COMPUTED_VALUE"""),"SYNAPSYS")</f>
        <v>SYNAPSYS</v>
      </c>
      <c r="F3102" s="605" t="str">
        <f>IFERROR(__xludf.DUMMYFUNCTION("""COMPUTED_VALUE"""),"SIP INTERFACE")</f>
        <v>SIP INTERFACE</v>
      </c>
      <c r="G3102" s="605"/>
      <c r="H3102" s="605"/>
      <c r="I3102" s="605"/>
      <c r="J3102" s="606"/>
      <c r="K3102" s="605"/>
      <c r="L3102" s="605"/>
      <c r="M3102" s="605"/>
      <c r="N3102" s="605"/>
      <c r="O3102" s="605"/>
      <c r="P3102" s="605" t="s">
        <v>4981</v>
      </c>
    </row>
    <row r="3103">
      <c r="A3103" s="605"/>
      <c r="B3103" s="605"/>
      <c r="C3103" s="605"/>
      <c r="D3103" s="605"/>
      <c r="E3103" s="605" t="str">
        <f>IFERROR(__xludf.DUMMYFUNCTION("""COMPUTED_VALUE"""),"SYNAPSYS")</f>
        <v>SYNAPSYS</v>
      </c>
      <c r="F3103" s="605" t="str">
        <f>IFERROR(__xludf.DUMMYFUNCTION("""COMPUTED_VALUE"""),"SIP INTERFACE")</f>
        <v>SIP INTERFACE</v>
      </c>
      <c r="G3103" s="605"/>
      <c r="H3103" s="605"/>
      <c r="I3103" s="605"/>
      <c r="J3103" s="606"/>
      <c r="K3103" s="605"/>
      <c r="L3103" s="605"/>
      <c r="M3103" s="605"/>
      <c r="N3103" s="605"/>
      <c r="O3103" s="605"/>
      <c r="P3103" s="605" t="s">
        <v>4983</v>
      </c>
    </row>
    <row r="3104">
      <c r="A3104" s="605"/>
      <c r="B3104" s="605"/>
      <c r="C3104" s="605"/>
      <c r="D3104" s="605"/>
      <c r="E3104" s="605" t="str">
        <f>IFERROR(__xludf.DUMMYFUNCTION("""COMPUTED_VALUE"""),"SYNAPSYS")</f>
        <v>SYNAPSYS</v>
      </c>
      <c r="F3104" s="605" t="str">
        <f>IFERROR(__xludf.DUMMYFUNCTION("""COMPUTED_VALUE"""),"SIP INTERFACE")</f>
        <v>SIP INTERFACE</v>
      </c>
      <c r="G3104" s="605"/>
      <c r="H3104" s="605"/>
      <c r="I3104" s="605"/>
      <c r="J3104" s="606"/>
      <c r="K3104" s="605"/>
      <c r="L3104" s="605"/>
      <c r="M3104" s="605"/>
      <c r="N3104" s="605"/>
      <c r="O3104" s="605"/>
      <c r="P3104" s="605" t="s">
        <v>4986</v>
      </c>
    </row>
    <row r="3105">
      <c r="A3105" s="605"/>
      <c r="B3105" s="605"/>
      <c r="C3105" s="605"/>
      <c r="D3105" s="605"/>
      <c r="E3105" s="605" t="str">
        <f>IFERROR(__xludf.DUMMYFUNCTION("""COMPUTED_VALUE"""),"SYNAPSYS")</f>
        <v>SYNAPSYS</v>
      </c>
      <c r="F3105" s="605" t="str">
        <f>IFERROR(__xludf.DUMMYFUNCTION("""COMPUTED_VALUE"""),"SIP INTERFACE")</f>
        <v>SIP INTERFACE</v>
      </c>
      <c r="G3105" s="605"/>
      <c r="H3105" s="605"/>
      <c r="I3105" s="605"/>
      <c r="J3105" s="606"/>
      <c r="K3105" s="605"/>
      <c r="L3105" s="605"/>
      <c r="M3105" s="605"/>
      <c r="N3105" s="605"/>
      <c r="O3105" s="605"/>
      <c r="P3105" s="605" t="s">
        <v>3078</v>
      </c>
    </row>
    <row r="3106">
      <c r="A3106" s="605"/>
      <c r="B3106" s="605"/>
      <c r="C3106" s="605"/>
      <c r="D3106" s="605"/>
      <c r="E3106" s="605" t="str">
        <f>IFERROR(__xludf.DUMMYFUNCTION("""COMPUTED_VALUE"""),"SYNAPSYS")</f>
        <v>SYNAPSYS</v>
      </c>
      <c r="F3106" s="605" t="str">
        <f>IFERROR(__xludf.DUMMYFUNCTION("""COMPUTED_VALUE"""),"SIP INTERFACE")</f>
        <v>SIP INTERFACE</v>
      </c>
      <c r="G3106" s="605"/>
      <c r="H3106" s="605"/>
      <c r="I3106" s="605"/>
      <c r="J3106" s="606"/>
      <c r="K3106" s="605"/>
      <c r="L3106" s="605"/>
      <c r="M3106" s="605"/>
      <c r="N3106" s="605"/>
      <c r="O3106" s="605"/>
      <c r="P3106" s="605" t="s">
        <v>4989</v>
      </c>
    </row>
    <row r="3107">
      <c r="A3107" s="605"/>
      <c r="B3107" s="605"/>
      <c r="C3107" s="605"/>
      <c r="D3107" s="605"/>
      <c r="E3107" s="605" t="str">
        <f>IFERROR(__xludf.DUMMYFUNCTION("""COMPUTED_VALUE"""),"SYNAPSYS")</f>
        <v>SYNAPSYS</v>
      </c>
      <c r="F3107" s="605" t="str">
        <f>IFERROR(__xludf.DUMMYFUNCTION("""COMPUTED_VALUE"""),"SIP INTERFACE")</f>
        <v>SIP INTERFACE</v>
      </c>
      <c r="G3107" s="605"/>
      <c r="H3107" s="605"/>
      <c r="I3107" s="605"/>
      <c r="J3107" s="606"/>
      <c r="K3107" s="605"/>
      <c r="L3107" s="605"/>
      <c r="M3107" s="605"/>
      <c r="N3107" s="605"/>
      <c r="O3107" s="605"/>
      <c r="P3107" s="605" t="s">
        <v>4991</v>
      </c>
    </row>
    <row r="3108">
      <c r="A3108" s="605"/>
      <c r="B3108" s="605"/>
      <c r="C3108" s="605"/>
      <c r="D3108" s="605"/>
      <c r="E3108" s="605" t="str">
        <f>IFERROR(__xludf.DUMMYFUNCTION("""COMPUTED_VALUE"""),"SYNAPSYS")</f>
        <v>SYNAPSYS</v>
      </c>
      <c r="F3108" s="605" t="str">
        <f>IFERROR(__xludf.DUMMYFUNCTION("""COMPUTED_VALUE"""),"SIP INTERFACE")</f>
        <v>SIP INTERFACE</v>
      </c>
      <c r="G3108" s="605"/>
      <c r="H3108" s="605"/>
      <c r="I3108" s="605"/>
      <c r="J3108" s="606"/>
      <c r="K3108" s="605"/>
      <c r="L3108" s="605"/>
      <c r="M3108" s="605"/>
      <c r="N3108" s="605"/>
      <c r="O3108" s="605"/>
      <c r="P3108" s="605" t="s">
        <v>4994</v>
      </c>
    </row>
    <row r="3109">
      <c r="A3109" s="605"/>
      <c r="B3109" s="605"/>
      <c r="C3109" s="605"/>
      <c r="D3109" s="605"/>
      <c r="E3109" s="605" t="str">
        <f>IFERROR(__xludf.DUMMYFUNCTION("""COMPUTED_VALUE"""),"SYNAPSYS")</f>
        <v>SYNAPSYS</v>
      </c>
      <c r="F3109" s="605" t="str">
        <f>IFERROR(__xludf.DUMMYFUNCTION("""COMPUTED_VALUE"""),"SIP/BAC/D/16VIQ")</f>
        <v>SIP/BAC/D/16VIQ</v>
      </c>
      <c r="G3109" s="605"/>
      <c r="H3109" s="605"/>
      <c r="I3109" s="605"/>
      <c r="J3109" s="606"/>
      <c r="K3109" s="605"/>
      <c r="L3109" s="605"/>
      <c r="M3109" s="605"/>
      <c r="N3109" s="605"/>
      <c r="O3109" s="605"/>
      <c r="P3109" s="605" t="s">
        <v>4997</v>
      </c>
    </row>
    <row r="3110">
      <c r="A3110" s="605"/>
      <c r="B3110" s="605"/>
      <c r="C3110" s="605"/>
      <c r="D3110" s="605"/>
      <c r="E3110" s="605" t="str">
        <f>IFERROR(__xludf.DUMMYFUNCTION("""COMPUTED_VALUE"""),"SYNAPSYS")</f>
        <v>SYNAPSYS</v>
      </c>
      <c r="F3110" s="605" t="str">
        <f>IFERROR(__xludf.DUMMYFUNCTION("""COMPUTED_VALUE"""),"SIP INTERFACE")</f>
        <v>SIP INTERFACE</v>
      </c>
      <c r="G3110" s="605"/>
      <c r="H3110" s="605"/>
      <c r="I3110" s="605"/>
      <c r="J3110" s="606"/>
      <c r="K3110" s="605"/>
      <c r="L3110" s="605"/>
      <c r="M3110" s="605"/>
      <c r="N3110" s="605"/>
      <c r="O3110" s="605"/>
      <c r="P3110" s="605" t="s">
        <v>5000</v>
      </c>
    </row>
    <row r="3111">
      <c r="A3111" s="605"/>
      <c r="B3111" s="605"/>
      <c r="C3111" s="605"/>
      <c r="D3111" s="605"/>
      <c r="E3111" s="605" t="str">
        <f>IFERROR(__xludf.DUMMYFUNCTION("""COMPUTED_VALUE"""),"SYNAPSYS")</f>
        <v>SYNAPSYS</v>
      </c>
      <c r="F3111" s="605" t="str">
        <f>IFERROR(__xludf.DUMMYFUNCTION("""COMPUTED_VALUE"""),"SIP/BAC/D/4VIQ")</f>
        <v>SIP/BAC/D/4VIQ</v>
      </c>
      <c r="G3111" s="605"/>
      <c r="H3111" s="605"/>
      <c r="I3111" s="605"/>
      <c r="J3111" s="606"/>
      <c r="K3111" s="605"/>
      <c r="L3111" s="605"/>
      <c r="M3111" s="605"/>
      <c r="N3111" s="605"/>
      <c r="O3111" s="605"/>
      <c r="P3111" s="605" t="s">
        <v>5003</v>
      </c>
    </row>
    <row r="3112">
      <c r="A3112" s="605"/>
      <c r="B3112" s="605"/>
      <c r="C3112" s="605"/>
      <c r="D3112" s="605"/>
      <c r="E3112" s="605" t="str">
        <f>IFERROR(__xludf.DUMMYFUNCTION("""COMPUTED_VALUE"""),"SYNAPSYS")</f>
        <v>SYNAPSYS</v>
      </c>
      <c r="F3112" s="605" t="str">
        <f>IFERROR(__xludf.DUMMYFUNCTION("""COMPUTED_VALUE"""),"SIP INTERFACE")</f>
        <v>SIP INTERFACE</v>
      </c>
      <c r="G3112" s="605"/>
      <c r="H3112" s="605"/>
      <c r="I3112" s="605"/>
      <c r="J3112" s="606"/>
      <c r="K3112" s="605"/>
      <c r="L3112" s="605"/>
      <c r="M3112" s="605"/>
      <c r="N3112" s="605"/>
      <c r="O3112" s="605"/>
      <c r="P3112" s="605" t="s">
        <v>5006</v>
      </c>
    </row>
    <row r="3113">
      <c r="A3113" s="605"/>
      <c r="B3113" s="605"/>
      <c r="C3113" s="605"/>
      <c r="D3113" s="605"/>
      <c r="E3113" s="605" t="str">
        <f>IFERROR(__xludf.DUMMYFUNCTION("""COMPUTED_VALUE"""),"SYNAPSYS")</f>
        <v>SYNAPSYS</v>
      </c>
      <c r="F3113" s="605" t="str">
        <f>IFERROR(__xludf.DUMMYFUNCTION("""COMPUTED_VALUE"""),"SIP/MBUS/D/20VIQ")</f>
        <v>SIP/MBUS/D/20VIQ</v>
      </c>
      <c r="G3113" s="605"/>
      <c r="H3113" s="605"/>
      <c r="I3113" s="605"/>
      <c r="J3113" s="606"/>
      <c r="K3113" s="605"/>
      <c r="L3113" s="605"/>
      <c r="M3113" s="605"/>
      <c r="N3113" s="605"/>
      <c r="O3113" s="605"/>
      <c r="P3113" s="605" t="s">
        <v>5009</v>
      </c>
    </row>
    <row r="3114">
      <c r="A3114" s="605"/>
      <c r="B3114" s="605"/>
      <c r="C3114" s="605"/>
      <c r="D3114" s="605"/>
      <c r="E3114" s="605" t="str">
        <f>IFERROR(__xludf.DUMMYFUNCTION("""COMPUTED_VALUE"""),"SYNAPSYS")</f>
        <v>SYNAPSYS</v>
      </c>
      <c r="F3114" s="605" t="str">
        <f>IFERROR(__xludf.DUMMYFUNCTION("""COMPUTED_VALUE"""),"SIP INTERFACE")</f>
        <v>SIP INTERFACE</v>
      </c>
      <c r="G3114" s="605"/>
      <c r="H3114" s="605"/>
      <c r="I3114" s="605"/>
      <c r="J3114" s="606"/>
      <c r="K3114" s="605"/>
      <c r="L3114" s="605"/>
      <c r="M3114" s="605"/>
      <c r="N3114" s="605"/>
      <c r="O3114" s="605"/>
      <c r="P3114" s="605" t="s">
        <v>5012</v>
      </c>
    </row>
    <row r="3115">
      <c r="A3115" s="605"/>
      <c r="B3115" s="605"/>
      <c r="C3115" s="605"/>
      <c r="D3115" s="605"/>
      <c r="E3115" s="605" t="str">
        <f>IFERROR(__xludf.DUMMYFUNCTION("""COMPUTED_VALUE"""),"SYNAPSYS")</f>
        <v>SYNAPSYS</v>
      </c>
      <c r="F3115" s="605" t="str">
        <f>IFERROR(__xludf.DUMMYFUNCTION("""COMPUTED_VALUE"""),"SIP INTERFACE")</f>
        <v>SIP INTERFACE</v>
      </c>
      <c r="G3115" s="605"/>
      <c r="H3115" s="605"/>
      <c r="I3115" s="605"/>
      <c r="J3115" s="606"/>
      <c r="K3115" s="605"/>
      <c r="L3115" s="605"/>
      <c r="M3115" s="605"/>
      <c r="N3115" s="605"/>
      <c r="O3115" s="605"/>
      <c r="P3115" s="605" t="s">
        <v>5015</v>
      </c>
    </row>
    <row r="3116">
      <c r="A3116" s="605"/>
      <c r="B3116" s="605"/>
      <c r="C3116" s="605"/>
      <c r="D3116" s="605"/>
      <c r="E3116" s="605" t="str">
        <f>IFERROR(__xludf.DUMMYFUNCTION("""COMPUTED_VALUE"""),"SYNAPSYS")</f>
        <v>SYNAPSYS</v>
      </c>
      <c r="F3116" s="605" t="str">
        <f>IFERROR(__xludf.DUMMYFUNCTION("""COMPUTED_VALUE"""),"SIP/MODM/D/32VIQ")</f>
        <v>SIP/MODM/D/32VIQ</v>
      </c>
      <c r="G3116" s="605"/>
      <c r="H3116" s="605"/>
      <c r="I3116" s="605"/>
      <c r="J3116" s="606"/>
      <c r="K3116" s="605"/>
      <c r="L3116" s="605"/>
      <c r="M3116" s="605"/>
      <c r="N3116" s="605"/>
      <c r="O3116" s="605"/>
      <c r="P3116" s="605" t="s">
        <v>3081</v>
      </c>
    </row>
    <row r="3117">
      <c r="A3117" s="605"/>
      <c r="B3117" s="605"/>
      <c r="C3117" s="605"/>
      <c r="D3117" s="605"/>
      <c r="E3117" s="605" t="str">
        <f>IFERROR(__xludf.DUMMYFUNCTION("""COMPUTED_VALUE"""),"SYNAPSYS")</f>
        <v>SYNAPSYS</v>
      </c>
      <c r="F3117" s="605" t="str">
        <f>IFERROR(__xludf.DUMMYFUNCTION("""COMPUTED_VALUE"""),"SIP INTERFACE")</f>
        <v>SIP INTERFACE</v>
      </c>
      <c r="G3117" s="605"/>
      <c r="H3117" s="605"/>
      <c r="I3117" s="605"/>
      <c r="J3117" s="606"/>
      <c r="K3117" s="605"/>
      <c r="L3117" s="605"/>
      <c r="M3117" s="605"/>
      <c r="N3117" s="605"/>
      <c r="O3117" s="605"/>
      <c r="P3117" s="605" t="s">
        <v>5018</v>
      </c>
    </row>
    <row r="3118">
      <c r="A3118" s="605"/>
      <c r="B3118" s="605"/>
      <c r="C3118" s="605"/>
      <c r="D3118" s="605"/>
      <c r="E3118" s="605" t="str">
        <f>IFERROR(__xludf.DUMMYFUNCTION("""COMPUTED_VALUE"""),"SYNAPSYS")</f>
        <v>SYNAPSYS</v>
      </c>
      <c r="F3118" s="605" t="str">
        <f>IFERROR(__xludf.DUMMYFUNCTION("""COMPUTED_VALUE"""),"SIP/MODM/D/8VIQ")</f>
        <v>SIP/MODM/D/8VIQ</v>
      </c>
      <c r="G3118" s="605"/>
      <c r="H3118" s="605"/>
      <c r="I3118" s="605"/>
      <c r="J3118" s="606"/>
      <c r="K3118" s="605"/>
      <c r="L3118" s="605"/>
      <c r="M3118" s="605"/>
      <c r="N3118" s="605"/>
      <c r="O3118" s="605"/>
      <c r="P3118" s="605" t="s">
        <v>5021</v>
      </c>
    </row>
    <row r="3119">
      <c r="A3119" s="605"/>
      <c r="B3119" s="605"/>
      <c r="C3119" s="605"/>
      <c r="D3119" s="605"/>
      <c r="E3119" s="605" t="str">
        <f>IFERROR(__xludf.DUMMYFUNCTION("""COMPUTED_VALUE"""),"SYNAPSYS")</f>
        <v>SYNAPSYS</v>
      </c>
      <c r="F3119" s="605" t="str">
        <f>IFERROR(__xludf.DUMMYFUNCTION("""COMPUTED_VALUE"""),"SIP/MODM/P/1VIQ")</f>
        <v>SIP/MODM/P/1VIQ</v>
      </c>
      <c r="G3119" s="605"/>
      <c r="H3119" s="605"/>
      <c r="I3119" s="605"/>
      <c r="J3119" s="606"/>
      <c r="K3119" s="605"/>
      <c r="L3119" s="605"/>
      <c r="M3119" s="605"/>
      <c r="N3119" s="605"/>
      <c r="O3119" s="605"/>
      <c r="P3119" s="605" t="s">
        <v>5024</v>
      </c>
    </row>
    <row r="3120">
      <c r="A3120" s="605"/>
      <c r="B3120" s="605"/>
      <c r="C3120" s="605"/>
      <c r="D3120" s="605"/>
      <c r="E3120" s="605" t="str">
        <f>IFERROR(__xludf.DUMMYFUNCTION("""COMPUTED_VALUE"""),"SYNAPSYS")</f>
        <v>SYNAPSYS</v>
      </c>
      <c r="F3120" s="605" t="str">
        <f>IFERROR(__xludf.DUMMYFUNCTION("""COMPUTED_VALUE"""),"SIP/MODM/S/24VIQ")</f>
        <v>SIP/MODM/S/24VIQ</v>
      </c>
      <c r="G3120" s="605"/>
      <c r="H3120" s="605"/>
      <c r="I3120" s="605"/>
      <c r="J3120" s="606"/>
      <c r="K3120" s="605"/>
      <c r="L3120" s="605"/>
      <c r="M3120" s="605"/>
      <c r="N3120" s="605"/>
      <c r="O3120" s="605"/>
      <c r="P3120" s="605" t="s">
        <v>5027</v>
      </c>
    </row>
    <row r="3121">
      <c r="A3121" s="605"/>
      <c r="B3121" s="605"/>
      <c r="C3121" s="605"/>
      <c r="D3121" s="605"/>
      <c r="E3121" s="605" t="str">
        <f>IFERROR(__xludf.DUMMYFUNCTION("""COMPUTED_VALUE"""),"SYNAPSYS")</f>
        <v>SYNAPSYS</v>
      </c>
      <c r="F3121" s="605" t="str">
        <f>IFERROR(__xludf.DUMMYFUNCTION("""COMPUTED_VALUE""")," SIP INTERFACE")</f>
        <v> SIP INTERFACE</v>
      </c>
      <c r="G3121" s="605"/>
      <c r="H3121" s="605"/>
      <c r="I3121" s="605"/>
      <c r="J3121" s="606"/>
      <c r="K3121" s="605"/>
      <c r="L3121" s="605"/>
      <c r="M3121" s="605"/>
      <c r="N3121" s="605"/>
      <c r="O3121" s="605"/>
      <c r="P3121" s="605" t="s">
        <v>5030</v>
      </c>
    </row>
    <row r="3122">
      <c r="A3122" s="605"/>
      <c r="B3122" s="605"/>
      <c r="C3122" s="605"/>
      <c r="D3122" s="605"/>
      <c r="E3122" s="605" t="str">
        <f>IFERROR(__xludf.DUMMYFUNCTION("""COMPUTED_VALUE"""),"SYNAPSYS")</f>
        <v>SYNAPSYS</v>
      </c>
      <c r="F3122" s="605" t="str">
        <f>IFERROR(__xludf.DUMMYFUNCTION("""COMPUTED_VALUE"""),"SIP/SNMP/D/4VIQ")</f>
        <v>SIP/SNMP/D/4VIQ</v>
      </c>
      <c r="G3122" s="605"/>
      <c r="H3122" s="605"/>
      <c r="I3122" s="605"/>
      <c r="J3122" s="606"/>
      <c r="K3122" s="605"/>
      <c r="L3122" s="605"/>
      <c r="M3122" s="605"/>
      <c r="N3122" s="605"/>
      <c r="O3122" s="605"/>
      <c r="P3122" s="605" t="s">
        <v>5033</v>
      </c>
    </row>
    <row r="3123">
      <c r="A3123" s="605"/>
      <c r="B3123" s="605"/>
      <c r="C3123" s="605"/>
      <c r="D3123" s="605"/>
      <c r="E3123" s="605" t="str">
        <f>IFERROR(__xludf.DUMMYFUNCTION("""COMPUTED_VALUE"""),"SYNAPSYS")</f>
        <v>SYNAPSYS</v>
      </c>
      <c r="F3123" s="605" t="str">
        <f>IFERROR(__xludf.DUMMYFUNCTION("""COMPUTED_VALUE"""),"SIPE/MODM/D/32VIQ")</f>
        <v>SIPE/MODM/D/32VIQ</v>
      </c>
      <c r="G3123" s="605"/>
      <c r="H3123" s="605"/>
      <c r="I3123" s="605"/>
      <c r="J3123" s="606"/>
      <c r="K3123" s="605"/>
      <c r="L3123" s="605"/>
      <c r="M3123" s="605"/>
      <c r="N3123" s="605"/>
      <c r="O3123" s="605"/>
      <c r="P3123" s="605" t="s">
        <v>5036</v>
      </c>
    </row>
    <row r="3124">
      <c r="A3124" s="605"/>
      <c r="B3124" s="605"/>
      <c r="C3124" s="605"/>
      <c r="D3124" s="605"/>
      <c r="E3124" s="605" t="str">
        <f>IFERROR(__xludf.DUMMYFUNCTION("""COMPUTED_VALUE"""),"SYNAPSYS")</f>
        <v>SYNAPSYS</v>
      </c>
      <c r="F3124" s="605" t="str">
        <f>IFERROR(__xludf.DUMMYFUNCTION("""COMPUTED_VALUE"""),"SIP/SNMP/P/D/4VIQ")</f>
        <v>SIP/SNMP/P/D/4VIQ</v>
      </c>
      <c r="G3124" s="605"/>
      <c r="H3124" s="605"/>
      <c r="I3124" s="605"/>
      <c r="J3124" s="606"/>
      <c r="K3124" s="605"/>
      <c r="L3124" s="605"/>
      <c r="M3124" s="605"/>
      <c r="N3124" s="605"/>
      <c r="O3124" s="605"/>
      <c r="P3124" s="605" t="s">
        <v>5039</v>
      </c>
    </row>
    <row r="3125">
      <c r="A3125" s="605"/>
      <c r="B3125" s="605"/>
      <c r="C3125" s="605"/>
      <c r="D3125" s="605"/>
      <c r="E3125" s="605" t="str">
        <f>IFERROR(__xludf.DUMMYFUNCTION("""COMPUTED_VALUE"""),"SYNAPSYS")</f>
        <v>SYNAPSYS</v>
      </c>
      <c r="F3125" s="605" t="str">
        <f>IFERROR(__xludf.DUMMYFUNCTION("""COMPUTED_VALUE"""),"SIPSLICE M-BUS CON")</f>
        <v>SIPSLICE M-BUS CON</v>
      </c>
      <c r="G3125" s="605"/>
      <c r="H3125" s="605"/>
      <c r="I3125" s="605"/>
      <c r="J3125" s="606"/>
      <c r="K3125" s="605"/>
      <c r="L3125" s="605"/>
      <c r="M3125" s="605"/>
      <c r="N3125" s="605"/>
      <c r="O3125" s="605"/>
      <c r="P3125" s="605" t="s">
        <v>5042</v>
      </c>
    </row>
    <row r="3126">
      <c r="A3126" s="605"/>
      <c r="B3126" s="605"/>
      <c r="C3126" s="605"/>
      <c r="D3126" s="605"/>
      <c r="E3126" s="605" t="str">
        <f>IFERROR(__xludf.DUMMYFUNCTION("""COMPUTED_VALUE"""),"SYNEL")</f>
        <v>SYNEL</v>
      </c>
      <c r="F3126" s="605" t="str">
        <f>IFERROR(__xludf.DUMMYFUNCTION("""COMPUTED_VALUE"""),"SYNEL SYNERGYX")</f>
        <v>SYNEL SYNERGYX</v>
      </c>
      <c r="G3126" s="605"/>
      <c r="H3126" s="605"/>
      <c r="I3126" s="605"/>
      <c r="J3126" s="606"/>
      <c r="K3126" s="605"/>
      <c r="L3126" s="605"/>
      <c r="M3126" s="605"/>
      <c r="N3126" s="605"/>
      <c r="O3126" s="605"/>
      <c r="P3126" s="605" t="s">
        <v>5045</v>
      </c>
    </row>
    <row r="3127">
      <c r="A3127" s="605"/>
      <c r="B3127" s="605"/>
      <c r="C3127" s="605"/>
      <c r="D3127" s="605"/>
      <c r="E3127" s="605" t="str">
        <f>IFERROR(__xludf.DUMMYFUNCTION("""COMPUTED_VALUE"""),"SYNEX")</f>
        <v>SYNEX</v>
      </c>
      <c r="F3127" s="605" t="str">
        <f>IFERROR(__xludf.DUMMYFUNCTION("""COMPUTED_VALUE"""),"PLC+HMI")</f>
        <v>PLC+HMI</v>
      </c>
      <c r="G3127" s="605"/>
      <c r="H3127" s="605"/>
      <c r="I3127" s="605"/>
      <c r="J3127" s="606"/>
      <c r="K3127" s="605"/>
      <c r="L3127" s="605"/>
      <c r="M3127" s="605"/>
      <c r="N3127" s="605"/>
      <c r="O3127" s="605"/>
      <c r="P3127" s="605" t="s">
        <v>3084</v>
      </c>
    </row>
    <row r="3128">
      <c r="A3128" s="605"/>
      <c r="B3128" s="605"/>
      <c r="C3128" s="605"/>
      <c r="D3128" s="605"/>
      <c r="E3128" s="605" t="str">
        <f>IFERROR(__xludf.DUMMYFUNCTION("""COMPUTED_VALUE"""),"SYNOLOGY")</f>
        <v>SYNOLOGY</v>
      </c>
      <c r="F3128" s="605" t="str">
        <f>IFERROR(__xludf.DUMMYFUNCTION("""COMPUTED_VALUE"""),"DS416J")</f>
        <v>DS416J</v>
      </c>
      <c r="G3128" s="605"/>
      <c r="H3128" s="605"/>
      <c r="I3128" s="605"/>
      <c r="J3128" s="606"/>
      <c r="K3128" s="605"/>
      <c r="L3128" s="605"/>
      <c r="M3128" s="605"/>
      <c r="N3128" s="605"/>
      <c r="O3128" s="605"/>
      <c r="P3128" s="605" t="s">
        <v>5048</v>
      </c>
    </row>
    <row r="3129">
      <c r="A3129" s="605"/>
      <c r="B3129" s="605"/>
      <c r="C3129" s="605"/>
      <c r="D3129" s="605"/>
      <c r="E3129" s="605" t="str">
        <f>IFERROR(__xludf.DUMMYFUNCTION("""COMPUTED_VALUE"""),"SYSTEMAIR")</f>
        <v>SYSTEMAIR</v>
      </c>
      <c r="F3129" s="605" t="str">
        <f>IFERROR(__xludf.DUMMYFUNCTION("""COMPUTED_VALUE"""),"VAV CONTROLLER")</f>
        <v>VAV CONTROLLER</v>
      </c>
      <c r="G3129" s="605"/>
      <c r="H3129" s="605"/>
      <c r="I3129" s="605"/>
      <c r="J3129" s="606"/>
      <c r="K3129" s="605"/>
      <c r="L3129" s="605"/>
      <c r="M3129" s="605"/>
      <c r="N3129" s="605"/>
      <c r="O3129" s="605"/>
      <c r="P3129" s="605" t="s">
        <v>5051</v>
      </c>
    </row>
    <row r="3130">
      <c r="A3130" s="605"/>
      <c r="B3130" s="605"/>
      <c r="C3130" s="605"/>
      <c r="D3130" s="605"/>
      <c r="E3130" s="605" t="str">
        <f>IFERROR(__xludf.DUMMYFUNCTION("""COMPUTED_VALUE"""),"SYSTEMAIR")</f>
        <v>SYSTEMAIR</v>
      </c>
      <c r="F3130" s="605" t="str">
        <f>IFERROR(__xludf.DUMMYFUNCTION("""COMPUTED_VALUE"""),"VAV CONTROLLER")</f>
        <v>VAV CONTROLLER</v>
      </c>
      <c r="G3130" s="605"/>
      <c r="H3130" s="605"/>
      <c r="I3130" s="605"/>
      <c r="J3130" s="606"/>
      <c r="K3130" s="605"/>
      <c r="L3130" s="605"/>
      <c r="M3130" s="605"/>
      <c r="N3130" s="605"/>
      <c r="O3130" s="605"/>
      <c r="P3130" s="605" t="s">
        <v>5054</v>
      </c>
    </row>
    <row r="3131">
      <c r="A3131" s="605"/>
      <c r="B3131" s="605"/>
      <c r="C3131" s="605"/>
      <c r="D3131" s="605"/>
      <c r="E3131" s="605" t="str">
        <f>IFERROR(__xludf.DUMMYFUNCTION("""COMPUTED_VALUE"""),"SYXTHSENSE&amp;PRODUAL")</f>
        <v>SYXTHSENSE&amp;PRODUAL</v>
      </c>
      <c r="F3131" s="605" t="str">
        <f>IFERROR(__xludf.DUMMYFUNCTION("""COMPUTED_VALUE"""),"SSIES-5P-24V")</f>
        <v>SSIES-5P-24V</v>
      </c>
      <c r="G3131" s="605"/>
      <c r="H3131" s="605"/>
      <c r="I3131" s="605"/>
      <c r="J3131" s="606"/>
      <c r="K3131" s="605"/>
      <c r="L3131" s="605"/>
      <c r="M3131" s="605"/>
      <c r="N3131" s="605"/>
      <c r="O3131" s="605"/>
      <c r="P3131" s="605" t="s">
        <v>5057</v>
      </c>
    </row>
    <row r="3132">
      <c r="A3132" s="605"/>
      <c r="B3132" s="605"/>
      <c r="C3132" s="605"/>
      <c r="D3132" s="605"/>
      <c r="E3132" s="605" t="str">
        <f>IFERROR(__xludf.DUMMYFUNCTION("""COMPUTED_VALUE"""),"T-LINK")</f>
        <v>T-LINK</v>
      </c>
      <c r="F3132" s="605" t="str">
        <f>IFERROR(__xludf.DUMMYFUNCTION("""COMPUTED_VALUE"""),"HUB-SF1008+")</f>
        <v>HUB-SF1008+</v>
      </c>
      <c r="G3132" s="605"/>
      <c r="H3132" s="605"/>
      <c r="I3132" s="605"/>
      <c r="J3132" s="606"/>
      <c r="K3132" s="605"/>
      <c r="L3132" s="605"/>
      <c r="M3132" s="605"/>
      <c r="N3132" s="605"/>
      <c r="O3132" s="605"/>
      <c r="P3132" s="605" t="s">
        <v>5060</v>
      </c>
    </row>
    <row r="3133">
      <c r="A3133" s="605"/>
      <c r="B3133" s="605"/>
      <c r="C3133" s="605"/>
      <c r="D3133" s="605"/>
      <c r="E3133" s="605" t="str">
        <f>IFERROR(__xludf.DUMMYFUNCTION("""COMPUTED_VALUE"""),"TACO")</f>
        <v>TACO</v>
      </c>
      <c r="F3133" s="605" t="str">
        <f>IFERROR(__xludf.DUMMYFUNCTION("""COMPUTED_VALUE"""),"003-B4")</f>
        <v>003-B4</v>
      </c>
      <c r="G3133" s="605"/>
      <c r="H3133" s="605"/>
      <c r="I3133" s="605"/>
      <c r="J3133" s="606"/>
      <c r="K3133" s="605"/>
      <c r="L3133" s="605"/>
      <c r="M3133" s="605"/>
      <c r="N3133" s="605"/>
      <c r="O3133" s="605"/>
      <c r="P3133" s="605" t="s">
        <v>5063</v>
      </c>
    </row>
    <row r="3134">
      <c r="A3134" s="605"/>
      <c r="B3134" s="605"/>
      <c r="C3134" s="605"/>
      <c r="D3134" s="605"/>
      <c r="E3134" s="605" t="str">
        <f>IFERROR(__xludf.DUMMYFUNCTION("""COMPUTED_VALUE"""),"TAS GMBH &amp; CO. KG")</f>
        <v>TAS GMBH &amp; CO. KG</v>
      </c>
      <c r="F3134" s="605" t="str">
        <f>IFERROR(__xludf.DUMMYFUNCTION("""COMPUTED_VALUE"""),"TLL5-D")</f>
        <v>TLL5-D</v>
      </c>
      <c r="G3134" s="605"/>
      <c r="H3134" s="605"/>
      <c r="I3134" s="605"/>
      <c r="J3134" s="606"/>
      <c r="K3134" s="605"/>
      <c r="L3134" s="605"/>
      <c r="M3134" s="605"/>
      <c r="N3134" s="605"/>
      <c r="O3134" s="605"/>
      <c r="P3134" s="605" t="s">
        <v>5066</v>
      </c>
    </row>
    <row r="3135">
      <c r="A3135" s="605"/>
      <c r="B3135" s="605"/>
      <c r="C3135" s="605"/>
      <c r="D3135" s="605"/>
      <c r="E3135" s="605" t="str">
        <f>IFERROR(__xludf.DUMMYFUNCTION("""COMPUTED_VALUE"""),"TATA")</f>
        <v>TATA</v>
      </c>
      <c r="F3135" s="605" t="str">
        <f>IFERROR(__xludf.DUMMYFUNCTION("""COMPUTED_VALUE"""),"MY BISTRO")</f>
        <v>MY BISTRO</v>
      </c>
      <c r="G3135" s="605"/>
      <c r="H3135" s="605"/>
      <c r="I3135" s="605"/>
      <c r="J3135" s="606"/>
      <c r="K3135" s="605"/>
      <c r="L3135" s="605"/>
      <c r="M3135" s="605"/>
      <c r="N3135" s="605"/>
      <c r="O3135" s="605"/>
      <c r="P3135" s="605" t="s">
        <v>5069</v>
      </c>
    </row>
    <row r="3136">
      <c r="A3136" s="605"/>
      <c r="B3136" s="605"/>
      <c r="C3136" s="605"/>
      <c r="D3136" s="605"/>
      <c r="E3136" s="605" t="str">
        <f>IFERROR(__xludf.DUMMYFUNCTION("""COMPUTED_VALUE"""),"TBS")</f>
        <v>TBS</v>
      </c>
      <c r="F3136" s="605" t="str">
        <f>IFERROR(__xludf.DUMMYFUNCTION("""COMPUTED_VALUE"""),"3D")</f>
        <v>3D</v>
      </c>
      <c r="G3136" s="605"/>
      <c r="H3136" s="605"/>
      <c r="I3136" s="605"/>
      <c r="J3136" s="606"/>
      <c r="K3136" s="605"/>
      <c r="L3136" s="605"/>
      <c r="M3136" s="605"/>
      <c r="N3136" s="605"/>
      <c r="O3136" s="605"/>
      <c r="P3136" s="605" t="s">
        <v>5072</v>
      </c>
    </row>
    <row r="3137">
      <c r="A3137" s="605"/>
      <c r="B3137" s="605"/>
      <c r="C3137" s="605"/>
      <c r="D3137" s="605"/>
      <c r="E3137" s="605" t="str">
        <f>IFERROR(__xludf.DUMMYFUNCTION("""COMPUTED_VALUE"""),"TBS")</f>
        <v>TBS</v>
      </c>
      <c r="F3137" s="605" t="str">
        <f>IFERROR(__xludf.DUMMYFUNCTION("""COMPUTED_VALUE"""),"TBS 3D")</f>
        <v>TBS 3D</v>
      </c>
      <c r="G3137" s="605"/>
      <c r="H3137" s="605"/>
      <c r="I3137" s="605"/>
      <c r="J3137" s="606"/>
      <c r="K3137" s="605"/>
      <c r="L3137" s="605"/>
      <c r="M3137" s="605"/>
      <c r="N3137" s="605"/>
      <c r="O3137" s="605"/>
      <c r="P3137" s="605" t="s">
        <v>5074</v>
      </c>
    </row>
    <row r="3138">
      <c r="A3138" s="605"/>
      <c r="B3138" s="605"/>
      <c r="C3138" s="605"/>
      <c r="D3138" s="605"/>
      <c r="E3138" s="605" t="str">
        <f>IFERROR(__xludf.DUMMYFUNCTION("""COMPUTED_VALUE"""),"TBS")</f>
        <v>TBS</v>
      </c>
      <c r="F3138" s="605" t="str">
        <f>IFERROR(__xludf.DUMMYFUNCTION("""COMPUTED_VALUE"""),"2D MOVE")</f>
        <v>2D MOVE</v>
      </c>
      <c r="G3138" s="605"/>
      <c r="H3138" s="605"/>
      <c r="I3138" s="605"/>
      <c r="J3138" s="606"/>
      <c r="K3138" s="605"/>
      <c r="L3138" s="605"/>
      <c r="M3138" s="605"/>
      <c r="N3138" s="605"/>
      <c r="O3138" s="605"/>
      <c r="P3138" s="605" t="s">
        <v>3087</v>
      </c>
    </row>
    <row r="3139">
      <c r="A3139" s="605"/>
      <c r="B3139" s="605"/>
      <c r="C3139" s="605"/>
      <c r="D3139" s="605"/>
      <c r="E3139" s="605" t="str">
        <f>IFERROR(__xludf.DUMMYFUNCTION("""COMPUTED_VALUE"""),"TBS SWITZERLAND")</f>
        <v>TBS SWITZERLAND</v>
      </c>
      <c r="F3139" s="605" t="str">
        <f>IFERROR(__xludf.DUMMYFUNCTION("""COMPUTED_VALUE"""),"TBS 2D")</f>
        <v>TBS 2D</v>
      </c>
      <c r="G3139" s="605"/>
      <c r="H3139" s="605"/>
      <c r="I3139" s="605"/>
      <c r="J3139" s="606"/>
      <c r="K3139" s="605"/>
      <c r="L3139" s="605"/>
      <c r="M3139" s="605"/>
      <c r="N3139" s="605"/>
      <c r="O3139" s="605"/>
      <c r="P3139" s="605" t="s">
        <v>5077</v>
      </c>
    </row>
    <row r="3140">
      <c r="A3140" s="605"/>
      <c r="B3140" s="605"/>
      <c r="C3140" s="605"/>
      <c r="D3140" s="605"/>
      <c r="E3140" s="605" t="str">
        <f>IFERROR(__xludf.DUMMYFUNCTION("""COMPUTED_VALUE"""),"TCL")</f>
        <v>TCL</v>
      </c>
      <c r="F3140" s="605" t="str">
        <f>IFERROR(__xludf.DUMMYFUNCTION("""COMPUTED_VALUE"""),"55S405")</f>
        <v>55S405</v>
      </c>
      <c r="G3140" s="605"/>
      <c r="H3140" s="605"/>
      <c r="I3140" s="605"/>
      <c r="J3140" s="606"/>
      <c r="K3140" s="605"/>
      <c r="L3140" s="605"/>
      <c r="M3140" s="605"/>
      <c r="N3140" s="605"/>
      <c r="O3140" s="605"/>
      <c r="P3140" s="605" t="s">
        <v>5080</v>
      </c>
    </row>
    <row r="3141">
      <c r="A3141" s="605"/>
      <c r="B3141" s="605"/>
      <c r="C3141" s="605"/>
      <c r="D3141" s="605"/>
      <c r="E3141" s="605" t="str">
        <f>IFERROR(__xludf.DUMMYFUNCTION("""COMPUTED_VALUE"""),"TCL")</f>
        <v>TCL</v>
      </c>
      <c r="F3141" s="605" t="str">
        <f>IFERROR(__xludf.DUMMYFUNCTION("""COMPUTED_VALUE"""),"55S517")</f>
        <v>55S517</v>
      </c>
      <c r="G3141" s="605"/>
      <c r="H3141" s="605"/>
      <c r="I3141" s="605"/>
      <c r="J3141" s="606"/>
      <c r="K3141" s="605"/>
      <c r="L3141" s="605"/>
      <c r="M3141" s="605"/>
      <c r="N3141" s="605"/>
      <c r="O3141" s="605"/>
      <c r="P3141" s="605" t="s">
        <v>5083</v>
      </c>
    </row>
    <row r="3142">
      <c r="A3142" s="605"/>
      <c r="B3142" s="605"/>
      <c r="C3142" s="605"/>
      <c r="D3142" s="605"/>
      <c r="E3142" s="605" t="str">
        <f>IFERROR(__xludf.DUMMYFUNCTION("""COMPUTED_VALUE"""),"TCL")</f>
        <v>TCL</v>
      </c>
      <c r="F3142" s="605" t="str">
        <f>IFERROR(__xludf.DUMMYFUNCTION("""COMPUTED_VALUE"""),"65S513")</f>
        <v>65S513</v>
      </c>
      <c r="G3142" s="605"/>
      <c r="H3142" s="605"/>
      <c r="I3142" s="605"/>
      <c r="J3142" s="606"/>
      <c r="K3142" s="605"/>
      <c r="L3142" s="605"/>
      <c r="M3142" s="605"/>
      <c r="N3142" s="605"/>
      <c r="O3142" s="605"/>
      <c r="P3142" s="605" t="s">
        <v>5086</v>
      </c>
    </row>
    <row r="3143">
      <c r="A3143" s="605"/>
      <c r="B3143" s="605"/>
      <c r="C3143" s="605"/>
      <c r="D3143" s="605"/>
      <c r="E3143" s="605" t="str">
        <f>IFERROR(__xludf.DUMMYFUNCTION("""COMPUTED_VALUE"""),"TCL")</f>
        <v>TCL</v>
      </c>
      <c r="F3143" s="605" t="str">
        <f>IFERROR(__xludf.DUMMYFUNCTION("""COMPUTED_VALUE"""),"65S525")</f>
        <v>65S525</v>
      </c>
      <c r="G3143" s="605"/>
      <c r="H3143" s="605"/>
      <c r="I3143" s="605"/>
      <c r="J3143" s="606"/>
      <c r="K3143" s="605"/>
      <c r="L3143" s="605"/>
      <c r="M3143" s="605"/>
      <c r="N3143" s="605"/>
      <c r="O3143" s="605"/>
      <c r="P3143" s="605" t="s">
        <v>5089</v>
      </c>
    </row>
    <row r="3144">
      <c r="A3144" s="605"/>
      <c r="B3144" s="605"/>
      <c r="C3144" s="605"/>
      <c r="D3144" s="605"/>
      <c r="E3144" s="605" t="str">
        <f>IFERROR(__xludf.DUMMYFUNCTION("""COMPUTED_VALUE"""),"TCT VENTURES")</f>
        <v>TCT VENTURES</v>
      </c>
      <c r="F3144" s="605" t="str">
        <f>IFERROR(__xludf.DUMMYFUNCTION("""COMPUTED_VALUE"""),"ROASTEA BEAN2CUP")</f>
        <v>ROASTEA BEAN2CUP</v>
      </c>
      <c r="G3144" s="605"/>
      <c r="H3144" s="605"/>
      <c r="I3144" s="605"/>
      <c r="J3144" s="606"/>
      <c r="K3144" s="605"/>
      <c r="L3144" s="605"/>
      <c r="M3144" s="605"/>
      <c r="N3144" s="605"/>
      <c r="O3144" s="605"/>
      <c r="P3144" s="605" t="s">
        <v>5092</v>
      </c>
    </row>
    <row r="3145">
      <c r="A3145" s="605"/>
      <c r="B3145" s="605"/>
      <c r="C3145" s="605"/>
      <c r="D3145" s="605"/>
      <c r="E3145" s="605" t="str">
        <f>IFERROR(__xludf.DUMMYFUNCTION("""COMPUTED_VALUE"""),"TEABOT")</f>
        <v>TEABOT</v>
      </c>
      <c r="F3145" s="605" t="str">
        <f>IFERROR(__xludf.DUMMYFUNCTION("""COMPUTED_VALUE"""),"MEGA")</f>
        <v>MEGA</v>
      </c>
      <c r="G3145" s="605"/>
      <c r="H3145" s="605"/>
      <c r="I3145" s="605"/>
      <c r="J3145" s="606"/>
      <c r="K3145" s="605"/>
      <c r="L3145" s="605"/>
      <c r="M3145" s="605"/>
      <c r="N3145" s="605"/>
      <c r="O3145" s="605"/>
      <c r="P3145" s="605" t="s">
        <v>5095</v>
      </c>
    </row>
    <row r="3146">
      <c r="A3146" s="605"/>
      <c r="B3146" s="605"/>
      <c r="C3146" s="605"/>
      <c r="D3146" s="605"/>
      <c r="E3146" s="605" t="str">
        <f>IFERROR(__xludf.DUMMYFUNCTION("""COMPUTED_VALUE"""),"TECHNICOLOR")</f>
        <v>TECHNICOLOR</v>
      </c>
      <c r="F3146" s="605" t="str">
        <f>IFERROR(__xludf.DUMMYFUNCTION("""COMPUTED_VALUE"""),"TC4400")</f>
        <v>TC4400</v>
      </c>
      <c r="G3146" s="605"/>
      <c r="H3146" s="605"/>
      <c r="I3146" s="605"/>
      <c r="J3146" s="606"/>
      <c r="K3146" s="605"/>
      <c r="L3146" s="605"/>
      <c r="M3146" s="605"/>
      <c r="N3146" s="605"/>
      <c r="O3146" s="605"/>
      <c r="P3146" s="605" t="s">
        <v>5098</v>
      </c>
    </row>
    <row r="3147">
      <c r="A3147" s="605"/>
      <c r="B3147" s="605"/>
      <c r="C3147" s="605"/>
      <c r="D3147" s="605"/>
      <c r="E3147" s="605" t="str">
        <f>IFERROR(__xludf.DUMMYFUNCTION("""COMPUTED_VALUE"""),"TECHNOGYM")</f>
        <v>TECHNOGYM</v>
      </c>
      <c r="F3147" s="605" t="str">
        <f>IFERROR(__xludf.DUMMYFUNCTION("""COMPUTED_VALUE"""),"EXC RUN 700")</f>
        <v>EXC RUN 700</v>
      </c>
      <c r="G3147" s="605"/>
      <c r="H3147" s="605"/>
      <c r="I3147" s="605"/>
      <c r="J3147" s="606"/>
      <c r="K3147" s="605"/>
      <c r="L3147" s="605"/>
      <c r="M3147" s="605"/>
      <c r="N3147" s="605"/>
      <c r="O3147" s="605"/>
      <c r="P3147" s="605" t="s">
        <v>5101</v>
      </c>
    </row>
    <row r="3148">
      <c r="A3148" s="605"/>
      <c r="B3148" s="605"/>
      <c r="C3148" s="605"/>
      <c r="D3148" s="605"/>
      <c r="E3148" s="605" t="str">
        <f>IFERROR(__xludf.DUMMYFUNCTION("""COMPUTED_VALUE"""),"TECHNOGYM")</f>
        <v>TECHNOGYM</v>
      </c>
      <c r="F3148" s="605" t="str">
        <f>IFERROR(__xludf.DUMMYFUNCTION("""COMPUTED_VALUE"""),"EXC RUN 700")</f>
        <v>EXC RUN 700</v>
      </c>
      <c r="G3148" s="605"/>
      <c r="H3148" s="605"/>
      <c r="I3148" s="605"/>
      <c r="J3148" s="606"/>
      <c r="K3148" s="605"/>
      <c r="L3148" s="605"/>
      <c r="M3148" s="605"/>
      <c r="N3148" s="605"/>
      <c r="O3148" s="605"/>
      <c r="P3148" s="605" t="s">
        <v>5104</v>
      </c>
    </row>
    <row r="3149">
      <c r="A3149" s="605"/>
      <c r="B3149" s="605"/>
      <c r="C3149" s="605"/>
      <c r="D3149" s="605"/>
      <c r="E3149" s="605" t="str">
        <f>IFERROR(__xludf.DUMMYFUNCTION("""COMPUTED_VALUE"""),"TECHNOGYM")</f>
        <v>TECHNOGYM</v>
      </c>
      <c r="F3149" s="605" t="str">
        <f>IFERROR(__xludf.DUMMYFUNCTION("""COMPUTED_VALUE"""),"EXC RUN 700")</f>
        <v>EXC RUN 700</v>
      </c>
      <c r="G3149" s="605"/>
      <c r="H3149" s="605"/>
      <c r="I3149" s="605"/>
      <c r="J3149" s="606"/>
      <c r="K3149" s="605"/>
      <c r="L3149" s="605"/>
      <c r="M3149" s="605"/>
      <c r="N3149" s="605"/>
      <c r="O3149" s="605"/>
      <c r="P3149" s="605" t="s">
        <v>3090</v>
      </c>
    </row>
    <row r="3150">
      <c r="A3150" s="605"/>
      <c r="B3150" s="605"/>
      <c r="C3150" s="605"/>
      <c r="D3150" s="605"/>
      <c r="E3150" s="605" t="str">
        <f>IFERROR(__xludf.DUMMYFUNCTION("""COMPUTED_VALUE"""),"TECHNOGYM")</f>
        <v>TECHNOGYM</v>
      </c>
      <c r="F3150" s="605" t="str">
        <f>IFERROR(__xludf.DUMMYFUNCTION("""COMPUTED_VALUE"""),"EXCITE CLIMB UNITY")</f>
        <v>EXCITE CLIMB UNITY</v>
      </c>
      <c r="G3150" s="605"/>
      <c r="H3150" s="605"/>
      <c r="I3150" s="605"/>
      <c r="J3150" s="606"/>
      <c r="K3150" s="605"/>
      <c r="L3150" s="605"/>
      <c r="M3150" s="605"/>
      <c r="N3150" s="605"/>
      <c r="O3150" s="605"/>
      <c r="P3150" s="605" t="s">
        <v>5107</v>
      </c>
    </row>
    <row r="3151">
      <c r="A3151" s="605"/>
      <c r="B3151" s="605"/>
      <c r="C3151" s="605"/>
      <c r="D3151" s="605"/>
      <c r="E3151" s="605" t="str">
        <f>IFERROR(__xludf.DUMMYFUNCTION("""COMPUTED_VALUE"""),"TECHNOGYM")</f>
        <v>TECHNOGYM</v>
      </c>
      <c r="F3151" s="605" t="str">
        <f>IFERROR(__xludf.DUMMYFUNCTION("""COMPUTED_VALUE"""),"EXCITE RECLINE")</f>
        <v>EXCITE RECLINE</v>
      </c>
      <c r="G3151" s="605"/>
      <c r="H3151" s="605"/>
      <c r="I3151" s="605"/>
      <c r="J3151" s="606"/>
      <c r="K3151" s="605"/>
      <c r="L3151" s="605"/>
      <c r="M3151" s="605"/>
      <c r="N3151" s="605"/>
      <c r="O3151" s="605"/>
      <c r="P3151" s="605" t="s">
        <v>5110</v>
      </c>
    </row>
    <row r="3152">
      <c r="A3152" s="605"/>
      <c r="B3152" s="605"/>
      <c r="C3152" s="605"/>
      <c r="D3152" s="605"/>
      <c r="E3152" s="605" t="str">
        <f>IFERROR(__xludf.DUMMYFUNCTION("""COMPUTED_VALUE"""),"TECHNOGYM")</f>
        <v>TECHNOGYM</v>
      </c>
      <c r="F3152" s="605" t="str">
        <f>IFERROR(__xludf.DUMMYFUNCTION("""COMPUTED_VALUE"""),"EXCITE RUN 1000")</f>
        <v>EXCITE RUN 1000</v>
      </c>
      <c r="G3152" s="605"/>
      <c r="H3152" s="605"/>
      <c r="I3152" s="605"/>
      <c r="J3152" s="606"/>
      <c r="K3152" s="605"/>
      <c r="L3152" s="605"/>
      <c r="M3152" s="605"/>
      <c r="N3152" s="605"/>
      <c r="O3152" s="605"/>
      <c r="P3152" s="605" t="s">
        <v>5113</v>
      </c>
    </row>
    <row r="3153">
      <c r="A3153" s="605"/>
      <c r="B3153" s="605"/>
      <c r="C3153" s="605"/>
      <c r="D3153" s="605"/>
      <c r="E3153" s="605" t="str">
        <f>IFERROR(__xludf.DUMMYFUNCTION("""COMPUTED_VALUE"""),"TECHNOGYM")</f>
        <v>TECHNOGYM</v>
      </c>
      <c r="F3153" s="605" t="str">
        <f>IFERROR(__xludf.DUMMYFUNCTION("""COMPUTED_VALUE"""),"EXCITE RUN 600")</f>
        <v>EXCITE RUN 600</v>
      </c>
      <c r="G3153" s="605"/>
      <c r="H3153" s="605"/>
      <c r="I3153" s="605"/>
      <c r="J3153" s="606"/>
      <c r="K3153" s="605"/>
      <c r="L3153" s="605"/>
      <c r="M3153" s="605"/>
      <c r="N3153" s="605"/>
      <c r="O3153" s="605"/>
      <c r="P3153" s="605" t="s">
        <v>5116</v>
      </c>
    </row>
    <row r="3154">
      <c r="A3154" s="605"/>
      <c r="B3154" s="605"/>
      <c r="C3154" s="605"/>
      <c r="D3154" s="605"/>
      <c r="E3154" s="605" t="str">
        <f>IFERROR(__xludf.DUMMYFUNCTION("""COMPUTED_VALUE"""),"TECHNOGYM")</f>
        <v>TECHNOGYM</v>
      </c>
      <c r="F3154" s="605" t="str">
        <f>IFERROR(__xludf.DUMMYFUNCTION("""COMPUTED_VALUE"""),"EXCITE VARIO")</f>
        <v>EXCITE VARIO</v>
      </c>
      <c r="G3154" s="605"/>
      <c r="H3154" s="605"/>
      <c r="I3154" s="605"/>
      <c r="J3154" s="606"/>
      <c r="K3154" s="605"/>
      <c r="L3154" s="605"/>
      <c r="M3154" s="605"/>
      <c r="N3154" s="605"/>
      <c r="O3154" s="605"/>
      <c r="P3154" s="605" t="s">
        <v>5119</v>
      </c>
    </row>
    <row r="3155">
      <c r="A3155" s="605"/>
      <c r="B3155" s="605"/>
      <c r="C3155" s="605"/>
      <c r="D3155" s="605"/>
      <c r="E3155" s="605" t="str">
        <f>IFERROR(__xludf.DUMMYFUNCTION("""COMPUTED_VALUE"""),"TECHNOGYM")</f>
        <v>TECHNOGYM</v>
      </c>
      <c r="F3155" s="605" t="str">
        <f>IFERROR(__xludf.DUMMYFUNCTION("""COMPUTED_VALUE"""),"EXC RUN 700")</f>
        <v>EXC RUN 700</v>
      </c>
      <c r="G3155" s="605"/>
      <c r="H3155" s="605"/>
      <c r="I3155" s="605"/>
      <c r="J3155" s="606"/>
      <c r="K3155" s="605"/>
      <c r="L3155" s="605"/>
      <c r="M3155" s="605"/>
      <c r="N3155" s="605"/>
      <c r="O3155" s="605"/>
      <c r="P3155" s="605" t="s">
        <v>5122</v>
      </c>
    </row>
    <row r="3156">
      <c r="A3156" s="605"/>
      <c r="B3156" s="605"/>
      <c r="C3156" s="605"/>
      <c r="D3156" s="605"/>
      <c r="E3156" s="605" t="str">
        <f>IFERROR(__xludf.DUMMYFUNCTION("""COMPUTED_VALUE"""),"TECHNOGYM")</f>
        <v>TECHNOGYM</v>
      </c>
      <c r="F3156" s="605" t="str">
        <f>IFERROR(__xludf.DUMMYFUNCTION("""COMPUTED_VALUE"""),"SKILLROW")</f>
        <v>SKILLROW</v>
      </c>
      <c r="G3156" s="605"/>
      <c r="H3156" s="605"/>
      <c r="I3156" s="605"/>
      <c r="J3156" s="606"/>
      <c r="K3156" s="605"/>
      <c r="L3156" s="605"/>
      <c r="M3156" s="605"/>
      <c r="N3156" s="605"/>
      <c r="O3156" s="605"/>
      <c r="P3156" s="605" t="s">
        <v>5125</v>
      </c>
    </row>
    <row r="3157">
      <c r="A3157" s="605"/>
      <c r="B3157" s="605"/>
      <c r="C3157" s="605"/>
      <c r="D3157" s="605"/>
      <c r="E3157" s="605" t="str">
        <f>IFERROR(__xludf.DUMMYFUNCTION("""COMPUTED_VALUE"""),"TECHNOGYM")</f>
        <v>TECHNOGYM</v>
      </c>
      <c r="F3157" s="605" t="str">
        <f>IFERROR(__xludf.DUMMYFUNCTION("""COMPUTED_VALUE"""),"RECLINE EXC 700")</f>
        <v>RECLINE EXC 700</v>
      </c>
      <c r="G3157" s="605"/>
      <c r="H3157" s="605"/>
      <c r="I3157" s="605"/>
      <c r="J3157" s="606"/>
      <c r="K3157" s="605"/>
      <c r="L3157" s="605"/>
      <c r="M3157" s="605"/>
      <c r="N3157" s="605"/>
      <c r="O3157" s="605"/>
      <c r="P3157" s="605" t="s">
        <v>5128</v>
      </c>
    </row>
    <row r="3158">
      <c r="A3158" s="605"/>
      <c r="B3158" s="605"/>
      <c r="C3158" s="605"/>
      <c r="D3158" s="605"/>
      <c r="E3158" s="605" t="str">
        <f>IFERROR(__xludf.DUMMYFUNCTION("""COMPUTED_VALUE"""),"TECHNOGYM")</f>
        <v>TECHNOGYM</v>
      </c>
      <c r="F3158" s="605" t="str">
        <f>IFERROR(__xludf.DUMMYFUNCTION("""COMPUTED_VALUE"""),"CLIMB 1000")</f>
        <v>CLIMB 1000</v>
      </c>
      <c r="G3158" s="605"/>
      <c r="H3158" s="605"/>
      <c r="I3158" s="605"/>
      <c r="J3158" s="606"/>
      <c r="K3158" s="605"/>
      <c r="L3158" s="605"/>
      <c r="M3158" s="605"/>
      <c r="N3158" s="605"/>
      <c r="O3158" s="605"/>
      <c r="P3158" s="605" t="s">
        <v>5131</v>
      </c>
    </row>
    <row r="3159">
      <c r="A3159" s="605"/>
      <c r="B3159" s="605"/>
      <c r="C3159" s="605"/>
      <c r="D3159" s="605"/>
      <c r="E3159" s="605" t="str">
        <f>IFERROR(__xludf.DUMMYFUNCTION("""COMPUTED_VALUE"""),"TECHNOGYM")</f>
        <v>TECHNOGYM</v>
      </c>
      <c r="F3159" s="605" t="str">
        <f>IFERROR(__xludf.DUMMYFUNCTION("""COMPUTED_VALUE"""),"SYNCHRO EXC 700")</f>
        <v>SYNCHRO EXC 700</v>
      </c>
      <c r="G3159" s="605"/>
      <c r="H3159" s="605"/>
      <c r="I3159" s="605"/>
      <c r="J3159" s="606"/>
      <c r="K3159" s="605"/>
      <c r="L3159" s="605"/>
      <c r="M3159" s="605"/>
      <c r="N3159" s="605"/>
      <c r="O3159" s="605"/>
      <c r="P3159" s="605" t="s">
        <v>5134</v>
      </c>
    </row>
    <row r="3160">
      <c r="A3160" s="605"/>
      <c r="B3160" s="605"/>
      <c r="C3160" s="605"/>
      <c r="D3160" s="605"/>
      <c r="E3160" s="605" t="str">
        <f>IFERROR(__xludf.DUMMYFUNCTION("""COMPUTED_VALUE"""),"TELEGARTNER")</f>
        <v>TELEGARTNER</v>
      </c>
      <c r="F3160" s="605" t="str">
        <f>IFERROR(__xludf.DUMMYFUNCTION("""COMPUTED_VALUE"""),"GSM 90 XT")</f>
        <v>GSM 90 XT</v>
      </c>
      <c r="G3160" s="605"/>
      <c r="H3160" s="605"/>
      <c r="I3160" s="605"/>
      <c r="J3160" s="606"/>
      <c r="K3160" s="605"/>
      <c r="L3160" s="605"/>
      <c r="M3160" s="605"/>
      <c r="N3160" s="605"/>
      <c r="O3160" s="605"/>
      <c r="P3160" s="605" t="s">
        <v>3093</v>
      </c>
    </row>
    <row r="3161">
      <c r="A3161" s="605"/>
      <c r="B3161" s="605"/>
      <c r="C3161" s="605"/>
      <c r="D3161" s="605"/>
      <c r="E3161" s="605" t="str">
        <f>IFERROR(__xludf.DUMMYFUNCTION("""COMPUTED_VALUE"""),"TELEZYGOLOGY")</f>
        <v>TELEZYGOLOGY</v>
      </c>
      <c r="F3161" s="605" t="str">
        <f>IFERROR(__xludf.DUMMYFUNCTION("""COMPUTED_VALUE"""),"CUSTOM BUILT")</f>
        <v>CUSTOM BUILT</v>
      </c>
      <c r="G3161" s="605"/>
      <c r="H3161" s="605"/>
      <c r="I3161" s="605"/>
      <c r="J3161" s="606"/>
      <c r="K3161" s="605"/>
      <c r="L3161" s="605"/>
      <c r="M3161" s="605"/>
      <c r="N3161" s="605"/>
      <c r="O3161" s="605"/>
      <c r="P3161" s="605" t="s">
        <v>5137</v>
      </c>
    </row>
    <row r="3162">
      <c r="A3162" s="605"/>
      <c r="B3162" s="605"/>
      <c r="C3162" s="605"/>
      <c r="D3162" s="605"/>
      <c r="E3162" s="605" t="str">
        <f>IFERROR(__xludf.DUMMYFUNCTION("""COMPUTED_VALUE"""),"TELIT CINTERION")</f>
        <v>TELIT CINTERION</v>
      </c>
      <c r="F3162" s="605" t="str">
        <f>IFERROR(__xludf.DUMMYFUNCTION("""COMPUTED_VALUE"""),"UE910-EU")</f>
        <v>UE910-EU</v>
      </c>
      <c r="G3162" s="605"/>
      <c r="H3162" s="605"/>
      <c r="I3162" s="605"/>
      <c r="J3162" s="606"/>
      <c r="K3162" s="605"/>
      <c r="L3162" s="605"/>
      <c r="M3162" s="605"/>
      <c r="N3162" s="605"/>
      <c r="O3162" s="605"/>
      <c r="P3162" s="605" t="s">
        <v>5140</v>
      </c>
    </row>
    <row r="3163">
      <c r="A3163" s="605"/>
      <c r="B3163" s="605"/>
      <c r="C3163" s="605"/>
      <c r="D3163" s="605"/>
      <c r="E3163" s="605" t="str">
        <f>IFERROR(__xludf.DUMMYFUNCTION("""COMPUTED_VALUE"""),"TELTONIKA")</f>
        <v>TELTONIKA</v>
      </c>
      <c r="F3163" s="605" t="str">
        <f>IFERROR(__xludf.DUMMYFUNCTION("""COMPUTED_VALUE"""),"RUT950")</f>
        <v>RUT950</v>
      </c>
      <c r="G3163" s="605"/>
      <c r="H3163" s="605"/>
      <c r="I3163" s="605"/>
      <c r="J3163" s="606"/>
      <c r="K3163" s="605"/>
      <c r="L3163" s="605"/>
      <c r="M3163" s="605"/>
      <c r="N3163" s="605"/>
      <c r="O3163" s="605"/>
      <c r="P3163" s="605" t="s">
        <v>5143</v>
      </c>
    </row>
    <row r="3164">
      <c r="A3164" s="605"/>
      <c r="B3164" s="605"/>
      <c r="C3164" s="605"/>
      <c r="D3164" s="605"/>
      <c r="E3164" s="605" t="str">
        <f>IFERROR(__xludf.DUMMYFUNCTION("""COMPUTED_VALUE"""),"TEMCO CONTROLS")</f>
        <v>TEMCO CONTROLS</v>
      </c>
      <c r="F3164" s="605" t="str">
        <f>IFERROR(__xludf.DUMMYFUNCTION("""COMPUTED_VALUE"""),"T3-22I")</f>
        <v>T3-22I</v>
      </c>
      <c r="G3164" s="605"/>
      <c r="H3164" s="605"/>
      <c r="I3164" s="605"/>
      <c r="J3164" s="606"/>
      <c r="K3164" s="605"/>
      <c r="L3164" s="605"/>
      <c r="M3164" s="605"/>
      <c r="N3164" s="605"/>
      <c r="O3164" s="605"/>
      <c r="P3164" s="605" t="s">
        <v>5146</v>
      </c>
    </row>
    <row r="3165">
      <c r="A3165" s="605"/>
      <c r="B3165" s="605"/>
      <c r="C3165" s="605"/>
      <c r="D3165" s="605"/>
      <c r="E3165" s="605" t="str">
        <f>IFERROR(__xludf.DUMMYFUNCTION("""COMPUTED_VALUE"""),"TEMCO CONTROLS")</f>
        <v>TEMCO CONTROLS</v>
      </c>
      <c r="F3165" s="605" t="str">
        <f>IFERROR(__xludf.DUMMYFUNCTION("""COMPUTED_VALUE"""),"T3E22I EXPANSION I/O")</f>
        <v>T3E22I EXPANSION I/O</v>
      </c>
      <c r="G3165" s="605"/>
      <c r="H3165" s="605"/>
      <c r="I3165" s="605"/>
      <c r="J3165" s="606"/>
      <c r="K3165" s="605"/>
      <c r="L3165" s="605"/>
      <c r="M3165" s="605"/>
      <c r="N3165" s="605"/>
      <c r="O3165" s="605"/>
      <c r="P3165" s="605" t="s">
        <v>5149</v>
      </c>
    </row>
    <row r="3166">
      <c r="A3166" s="605"/>
      <c r="B3166" s="605"/>
      <c r="C3166" s="605"/>
      <c r="D3166" s="605"/>
      <c r="E3166" s="605" t="str">
        <f>IFERROR(__xludf.DUMMYFUNCTION("""COMPUTED_VALUE"""),"TEMPALERT")</f>
        <v>TEMPALERT</v>
      </c>
      <c r="F3166" s="605" t="str">
        <f>IFERROR(__xludf.DUMMYFUNCTION("""COMPUTED_VALUE"""),"GATEWAY")</f>
        <v>GATEWAY</v>
      </c>
      <c r="G3166" s="605"/>
      <c r="H3166" s="605"/>
      <c r="I3166" s="605"/>
      <c r="J3166" s="606"/>
      <c r="K3166" s="605"/>
      <c r="L3166" s="605"/>
      <c r="M3166" s="605"/>
      <c r="N3166" s="605"/>
      <c r="O3166" s="605"/>
      <c r="P3166" s="605" t="s">
        <v>5151</v>
      </c>
    </row>
    <row r="3167">
      <c r="A3167" s="605"/>
      <c r="B3167" s="605"/>
      <c r="C3167" s="605"/>
      <c r="D3167" s="605"/>
      <c r="E3167" s="605" t="str">
        <f>IFERROR(__xludf.DUMMYFUNCTION("""COMPUTED_VALUE"""),"TEMPALERT")</f>
        <v>TEMPALERT</v>
      </c>
      <c r="F3167" s="605" t="str">
        <f>IFERROR(__xludf.DUMMYFUNCTION("""COMPUTED_VALUE"""),"TM-CELL600-WS")</f>
        <v>TM-CELL600-WS</v>
      </c>
      <c r="G3167" s="605"/>
      <c r="H3167" s="605"/>
      <c r="I3167" s="605"/>
      <c r="J3167" s="606"/>
      <c r="K3167" s="605"/>
      <c r="L3167" s="605"/>
      <c r="M3167" s="605"/>
      <c r="N3167" s="605"/>
      <c r="O3167" s="605"/>
      <c r="P3167" s="605" t="s">
        <v>5154</v>
      </c>
    </row>
    <row r="3168">
      <c r="A3168" s="605"/>
      <c r="B3168" s="605"/>
      <c r="C3168" s="605"/>
      <c r="D3168" s="605"/>
      <c r="E3168" s="605" t="str">
        <f>IFERROR(__xludf.DUMMYFUNCTION("""COMPUTED_VALUE"""),"TEMPALERT")</f>
        <v>TEMPALERT</v>
      </c>
      <c r="F3168" s="605" t="str">
        <f>IFERROR(__xludf.DUMMYFUNCTION("""COMPUTED_VALUE"""),"TM-CELL600-WS")</f>
        <v>TM-CELL600-WS</v>
      </c>
      <c r="G3168" s="605"/>
      <c r="H3168" s="605"/>
      <c r="I3168" s="605"/>
      <c r="J3168" s="606"/>
      <c r="K3168" s="605"/>
      <c r="L3168" s="605"/>
      <c r="M3168" s="605"/>
      <c r="N3168" s="605"/>
      <c r="O3168" s="605"/>
      <c r="P3168" s="605" t="s">
        <v>5157</v>
      </c>
    </row>
    <row r="3169">
      <c r="A3169" s="605"/>
      <c r="B3169" s="605"/>
      <c r="C3169" s="605"/>
      <c r="D3169" s="605"/>
      <c r="E3169" s="605" t="str">
        <f>IFERROR(__xludf.DUMMYFUNCTION("""COMPUTED_VALUE"""),"TEMPALERT")</f>
        <v>TEMPALERT</v>
      </c>
      <c r="F3169" s="605" t="str">
        <f>IFERROR(__xludf.DUMMYFUNCTION("""COMPUTED_VALUE"""),"TM-CELL600-WS")</f>
        <v>TM-CELL600-WS</v>
      </c>
      <c r="G3169" s="605"/>
      <c r="H3169" s="605"/>
      <c r="I3169" s="605"/>
      <c r="J3169" s="606"/>
      <c r="K3169" s="605"/>
      <c r="L3169" s="605"/>
      <c r="M3169" s="605"/>
      <c r="N3169" s="605"/>
      <c r="O3169" s="605"/>
      <c r="P3169" s="605" t="s">
        <v>5160</v>
      </c>
    </row>
    <row r="3170">
      <c r="A3170" s="605"/>
      <c r="B3170" s="605"/>
      <c r="C3170" s="605"/>
      <c r="D3170" s="605"/>
      <c r="E3170" s="605" t="str">
        <f>IFERROR(__xludf.DUMMYFUNCTION("""COMPUTED_VALUE"""),"TEMPALERT")</f>
        <v>TEMPALERT</v>
      </c>
      <c r="F3170" s="605" t="str">
        <f>IFERROR(__xludf.DUMMYFUNCTION("""COMPUTED_VALUE"""),"TM-CELL600")</f>
        <v>TM-CELL600</v>
      </c>
      <c r="G3170" s="605"/>
      <c r="H3170" s="605"/>
      <c r="I3170" s="605"/>
      <c r="J3170" s="606"/>
      <c r="K3170" s="605"/>
      <c r="L3170" s="605"/>
      <c r="M3170" s="605"/>
      <c r="N3170" s="605"/>
      <c r="O3170" s="605"/>
      <c r="P3170" s="605" t="s">
        <v>5163</v>
      </c>
    </row>
    <row r="3171">
      <c r="A3171" s="605"/>
      <c r="B3171" s="605"/>
      <c r="C3171" s="605"/>
      <c r="D3171" s="605"/>
      <c r="E3171" s="605" t="str">
        <f>IFERROR(__xludf.DUMMYFUNCTION("""COMPUTED_VALUE"""),"TEMPALERT")</f>
        <v>TEMPALERT</v>
      </c>
      <c r="F3171" s="605" t="str">
        <f>IFERROR(__xludf.DUMMYFUNCTION("""COMPUTED_VALUE"""),"TM-ZP300-DS")</f>
        <v>TM-ZP300-DS</v>
      </c>
      <c r="G3171" s="605"/>
      <c r="H3171" s="605"/>
      <c r="I3171" s="605"/>
      <c r="J3171" s="606"/>
      <c r="K3171" s="605"/>
      <c r="L3171" s="605"/>
      <c r="M3171" s="605"/>
      <c r="N3171" s="605"/>
      <c r="O3171" s="605"/>
      <c r="P3171" s="605" t="s">
        <v>3096</v>
      </c>
    </row>
    <row r="3172">
      <c r="A3172" s="605"/>
      <c r="B3172" s="605"/>
      <c r="C3172" s="605"/>
      <c r="D3172" s="605"/>
      <c r="E3172" s="605" t="str">
        <f>IFERROR(__xludf.DUMMYFUNCTION("""COMPUTED_VALUE"""),"TEMPALERT")</f>
        <v>TEMPALERT</v>
      </c>
      <c r="F3172" s="605" t="str">
        <f>IFERROR(__xludf.DUMMYFUNCTION("""COMPUTED_VALUE"""),"TM-ZP300-DS")</f>
        <v>TM-ZP300-DS</v>
      </c>
      <c r="G3172" s="605"/>
      <c r="H3172" s="605"/>
      <c r="I3172" s="605"/>
      <c r="J3172" s="606"/>
      <c r="K3172" s="605"/>
      <c r="L3172" s="605"/>
      <c r="M3172" s="605"/>
      <c r="N3172" s="605"/>
      <c r="O3172" s="605"/>
      <c r="P3172" s="605" t="s">
        <v>5166</v>
      </c>
    </row>
    <row r="3173">
      <c r="A3173" s="605"/>
      <c r="B3173" s="605"/>
      <c r="C3173" s="605"/>
      <c r="D3173" s="605"/>
      <c r="E3173" s="605" t="str">
        <f>IFERROR(__xludf.DUMMYFUNCTION("""COMPUTED_VALUE"""),"TEMPERZONE")</f>
        <v>TEMPERZONE</v>
      </c>
      <c r="F3173" s="605" t="str">
        <f>IFERROR(__xludf.DUMMYFUNCTION("""COMPUTED_VALUE"""),"UC8")</f>
        <v>UC8</v>
      </c>
      <c r="G3173" s="605"/>
      <c r="H3173" s="605"/>
      <c r="I3173" s="605"/>
      <c r="J3173" s="606"/>
      <c r="K3173" s="605"/>
      <c r="L3173" s="605"/>
      <c r="M3173" s="605"/>
      <c r="N3173" s="605"/>
      <c r="O3173" s="605"/>
      <c r="P3173" s="605" t="s">
        <v>5169</v>
      </c>
    </row>
    <row r="3174">
      <c r="A3174" s="605"/>
      <c r="B3174" s="605"/>
      <c r="C3174" s="605"/>
      <c r="D3174" s="605"/>
      <c r="E3174" s="605" t="str">
        <f>IFERROR(__xludf.DUMMYFUNCTION("""COMPUTED_VALUE"""),"TEMPMASTER")</f>
        <v>TEMPMASTER</v>
      </c>
      <c r="F3174" s="605" t="str">
        <f>IFERROR(__xludf.DUMMYFUNCTION("""COMPUTED_VALUE"""),"OMNI PREMIER RTU")</f>
        <v>OMNI PREMIER RTU</v>
      </c>
      <c r="G3174" s="605"/>
      <c r="H3174" s="605"/>
      <c r="I3174" s="605"/>
      <c r="J3174" s="606"/>
      <c r="K3174" s="605"/>
      <c r="L3174" s="605"/>
      <c r="M3174" s="605"/>
      <c r="N3174" s="605"/>
      <c r="O3174" s="605"/>
      <c r="P3174" s="605" t="s">
        <v>5172</v>
      </c>
    </row>
    <row r="3175">
      <c r="A3175" s="605"/>
      <c r="B3175" s="605"/>
      <c r="C3175" s="605"/>
      <c r="D3175" s="605"/>
      <c r="E3175" s="605" t="str">
        <f>IFERROR(__xludf.DUMMYFUNCTION("""COMPUTED_VALUE"""),"TENDA")</f>
        <v>TENDA</v>
      </c>
      <c r="F3175" s="605" t="str">
        <f>IFERROR(__xludf.DUMMYFUNCTION("""COMPUTED_VALUE"""),"AC1200")</f>
        <v>AC1200</v>
      </c>
      <c r="G3175" s="605"/>
      <c r="H3175" s="605"/>
      <c r="I3175" s="605"/>
      <c r="J3175" s="606"/>
      <c r="K3175" s="605"/>
      <c r="L3175" s="605"/>
      <c r="M3175" s="605"/>
      <c r="N3175" s="605"/>
      <c r="O3175" s="605"/>
      <c r="P3175" s="605" t="s">
        <v>5175</v>
      </c>
    </row>
    <row r="3176">
      <c r="A3176" s="605"/>
      <c r="B3176" s="605"/>
      <c r="C3176" s="605"/>
      <c r="D3176" s="605"/>
      <c r="E3176" s="605" t="str">
        <f>IFERROR(__xludf.DUMMYFUNCTION("""COMPUTED_VALUE"""),"TERRA")</f>
        <v>TERRA</v>
      </c>
      <c r="F3176" s="605" t="str">
        <f>IFERROR(__xludf.DUMMYFUNCTION("""COMPUTED_VALUE"""),"MARATHON 24-7 VPRO")</f>
        <v>MARATHON 24-7 VPRO</v>
      </c>
      <c r="G3176" s="605"/>
      <c r="H3176" s="605"/>
      <c r="I3176" s="605"/>
      <c r="J3176" s="606"/>
      <c r="K3176" s="605"/>
      <c r="L3176" s="605"/>
      <c r="M3176" s="605"/>
      <c r="N3176" s="605"/>
      <c r="O3176" s="605"/>
      <c r="P3176" s="605" t="s">
        <v>5178</v>
      </c>
    </row>
    <row r="3177">
      <c r="A3177" s="605"/>
      <c r="B3177" s="605"/>
      <c r="C3177" s="605"/>
      <c r="D3177" s="605"/>
      <c r="E3177" s="605" t="str">
        <f>IFERROR(__xludf.DUMMYFUNCTION("""COMPUTED_VALUE"""),"TESTO")</f>
        <v>TESTO</v>
      </c>
      <c r="F3177" s="605" t="str">
        <f>IFERROR(__xludf.DUMMYFUNCTION("""COMPUTED_VALUE"""),"160 TH")</f>
        <v>160 TH</v>
      </c>
      <c r="G3177" s="605"/>
      <c r="H3177" s="605"/>
      <c r="I3177" s="605"/>
      <c r="J3177" s="606"/>
      <c r="K3177" s="605"/>
      <c r="L3177" s="605"/>
      <c r="M3177" s="605"/>
      <c r="N3177" s="605"/>
      <c r="O3177" s="605"/>
      <c r="P3177" s="605" t="s">
        <v>5181</v>
      </c>
    </row>
    <row r="3178">
      <c r="A3178" s="605"/>
      <c r="B3178" s="605"/>
      <c r="C3178" s="605"/>
      <c r="D3178" s="605"/>
      <c r="E3178" s="605" t="str">
        <f>IFERROR(__xludf.DUMMYFUNCTION("""COMPUTED_VALUE"""),"TESTO")</f>
        <v>TESTO</v>
      </c>
      <c r="F3178" s="605" t="str">
        <f>IFERROR(__xludf.DUMMYFUNCTION("""COMPUTED_VALUE"""),"SAVERIS")</f>
        <v>SAVERIS</v>
      </c>
      <c r="G3178" s="605"/>
      <c r="H3178" s="605"/>
      <c r="I3178" s="605"/>
      <c r="J3178" s="606"/>
      <c r="K3178" s="605"/>
      <c r="L3178" s="605"/>
      <c r="M3178" s="605"/>
      <c r="N3178" s="605"/>
      <c r="O3178" s="605"/>
      <c r="P3178" s="605" t="s">
        <v>5184</v>
      </c>
    </row>
    <row r="3179">
      <c r="A3179" s="605"/>
      <c r="B3179" s="605"/>
      <c r="C3179" s="605"/>
      <c r="D3179" s="605"/>
      <c r="E3179" s="605" t="str">
        <f>IFERROR(__xludf.DUMMYFUNCTION("""COMPUTED_VALUE"""),"THEBEN")</f>
        <v>THEBEN</v>
      </c>
      <c r="F3179" s="605" t="str">
        <f>IFERROR(__xludf.DUMMYFUNCTION("""COMPUTED_VALUE"""),"RM 8 T KNX")</f>
        <v>RM 8 T KNX</v>
      </c>
      <c r="G3179" s="605"/>
      <c r="H3179" s="605"/>
      <c r="I3179" s="605"/>
      <c r="J3179" s="606"/>
      <c r="K3179" s="605"/>
      <c r="L3179" s="605"/>
      <c r="M3179" s="605"/>
      <c r="N3179" s="605"/>
      <c r="O3179" s="605"/>
      <c r="P3179" s="605" t="s">
        <v>5187</v>
      </c>
    </row>
    <row r="3180">
      <c r="A3180" s="605"/>
      <c r="B3180" s="605"/>
      <c r="C3180" s="605"/>
      <c r="D3180" s="605"/>
      <c r="E3180" s="605" t="str">
        <f>IFERROR(__xludf.DUMMYFUNCTION("""COMPUTED_VALUE"""),"THEBEN")</f>
        <v>THEBEN</v>
      </c>
      <c r="F3180" s="605" t="str">
        <f>IFERROR(__xludf.DUMMYFUNCTION("""COMPUTED_VALUE"""),"DALI GATEWAY S64 KNX")</f>
        <v>DALI GATEWAY S64 KNX</v>
      </c>
      <c r="G3180" s="605"/>
      <c r="H3180" s="605"/>
      <c r="I3180" s="605"/>
      <c r="J3180" s="606"/>
      <c r="K3180" s="605"/>
      <c r="L3180" s="605"/>
      <c r="M3180" s="605"/>
      <c r="N3180" s="605"/>
      <c r="O3180" s="605"/>
      <c r="P3180" s="605" t="s">
        <v>5190</v>
      </c>
    </row>
    <row r="3181">
      <c r="A3181" s="605"/>
      <c r="B3181" s="605"/>
      <c r="C3181" s="605"/>
      <c r="D3181" s="605"/>
      <c r="E3181" s="605" t="str">
        <f>IFERROR(__xludf.DUMMYFUNCTION("""COMPUTED_VALUE"""),"THERMOKON")</f>
        <v>THERMOKON</v>
      </c>
      <c r="F3181" s="605" t="str">
        <f>IFERROR(__xludf.DUMMYFUNCTION("""COMPUTED_VALUE"""),"SR65 VFG")</f>
        <v>SR65 VFG</v>
      </c>
      <c r="G3181" s="605"/>
      <c r="H3181" s="605"/>
      <c r="I3181" s="605"/>
      <c r="J3181" s="606"/>
      <c r="K3181" s="605"/>
      <c r="L3181" s="605"/>
      <c r="M3181" s="605"/>
      <c r="N3181" s="605"/>
      <c r="O3181" s="605"/>
      <c r="P3181" s="605" t="s">
        <v>5193</v>
      </c>
    </row>
    <row r="3182">
      <c r="A3182" s="605"/>
      <c r="B3182" s="605"/>
      <c r="C3182" s="605"/>
      <c r="D3182" s="605"/>
      <c r="E3182" s="605" t="str">
        <f>IFERROR(__xludf.DUMMYFUNCTION("""COMPUTED_VALUE"""),"THERMOKON")</f>
        <v>THERMOKON</v>
      </c>
      <c r="F3182" s="605" t="str">
        <f>IFERROR(__xludf.DUMMYFUNCTION("""COMPUTED_VALUE"""),"STC65+ RS485 MODBUS")</f>
        <v>STC65+ RS485 MODBUS</v>
      </c>
      <c r="G3182" s="605"/>
      <c r="H3182" s="605"/>
      <c r="I3182" s="605"/>
      <c r="J3182" s="606"/>
      <c r="K3182" s="605"/>
      <c r="L3182" s="605"/>
      <c r="M3182" s="605"/>
      <c r="N3182" s="605"/>
      <c r="O3182" s="605"/>
      <c r="P3182" s="605" t="s">
        <v>2887</v>
      </c>
    </row>
    <row r="3183">
      <c r="A3183" s="605"/>
      <c r="B3183" s="605"/>
      <c r="C3183" s="605"/>
      <c r="D3183" s="605"/>
      <c r="E3183" s="605" t="str">
        <f>IFERROR(__xludf.DUMMYFUNCTION("""COMPUTED_VALUE"""),"THERMOPLAN")</f>
        <v>THERMOPLAN</v>
      </c>
      <c r="F3183" s="605" t="str">
        <f>IFERROR(__xludf.DUMMYFUNCTION("""COMPUTED_VALUE"""),"BLACK &amp; WHITE SERIES 4")</f>
        <v>BLACK &amp; WHITE SERIES 4</v>
      </c>
      <c r="G3183" s="605"/>
      <c r="H3183" s="605"/>
      <c r="I3183" s="605"/>
      <c r="J3183" s="606"/>
      <c r="K3183" s="605"/>
      <c r="L3183" s="605"/>
      <c r="M3183" s="605"/>
      <c r="N3183" s="605"/>
      <c r="O3183" s="605"/>
      <c r="P3183" s="605" t="s">
        <v>3099</v>
      </c>
    </row>
    <row r="3184">
      <c r="A3184" s="605"/>
      <c r="B3184" s="605"/>
      <c r="C3184" s="605"/>
      <c r="D3184" s="605"/>
      <c r="E3184" s="605" t="str">
        <f>IFERROR(__xludf.DUMMYFUNCTION("""COMPUTED_VALUE"""),"THERMOPLAN")</f>
        <v>THERMOPLAN</v>
      </c>
      <c r="F3184" s="605" t="str">
        <f>IFERROR(__xludf.DUMMYFUNCTION("""COMPUTED_VALUE"""),"BW4C-CTM P")</f>
        <v>BW4C-CTM P</v>
      </c>
      <c r="G3184" s="605"/>
      <c r="H3184" s="605"/>
      <c r="I3184" s="605"/>
      <c r="J3184" s="606"/>
      <c r="K3184" s="605"/>
      <c r="L3184" s="605"/>
      <c r="M3184" s="605"/>
      <c r="N3184" s="605"/>
      <c r="O3184" s="605"/>
      <c r="P3184" s="605" t="s">
        <v>5196</v>
      </c>
    </row>
    <row r="3185">
      <c r="A3185" s="605"/>
      <c r="B3185" s="605"/>
      <c r="C3185" s="605"/>
      <c r="D3185" s="605"/>
      <c r="E3185" s="605" t="str">
        <f>IFERROR(__xludf.DUMMYFUNCTION("""COMPUTED_VALUE"""),"THERMOPLAN")</f>
        <v>THERMOPLAN</v>
      </c>
      <c r="F3185" s="605" t="str">
        <f>IFERROR(__xludf.DUMMYFUNCTION("""COMPUTED_VALUE"""),"BW4C-CTM P")</f>
        <v>BW4C-CTM P</v>
      </c>
      <c r="G3185" s="605"/>
      <c r="H3185" s="605"/>
      <c r="I3185" s="605"/>
      <c r="J3185" s="606"/>
      <c r="K3185" s="605"/>
      <c r="L3185" s="605"/>
      <c r="M3185" s="605"/>
      <c r="N3185" s="605"/>
      <c r="O3185" s="605"/>
      <c r="P3185" s="605" t="s">
        <v>5199</v>
      </c>
    </row>
    <row r="3186">
      <c r="A3186" s="605"/>
      <c r="B3186" s="605"/>
      <c r="C3186" s="605"/>
      <c r="D3186" s="605"/>
      <c r="E3186" s="605" t="str">
        <f>IFERROR(__xludf.DUMMYFUNCTION("""COMPUTED_VALUE"""),"THERMOPLAN")</f>
        <v>THERMOPLAN</v>
      </c>
      <c r="F3186" s="605" t="str">
        <f>IFERROR(__xludf.DUMMYFUNCTION("""COMPUTED_VALUE"""),"BLACK &amp; WHITE 4")</f>
        <v>BLACK &amp; WHITE 4</v>
      </c>
      <c r="G3186" s="605"/>
      <c r="H3186" s="605"/>
      <c r="I3186" s="605"/>
      <c r="J3186" s="606"/>
      <c r="K3186" s="605"/>
      <c r="L3186" s="605"/>
      <c r="M3186" s="605"/>
      <c r="N3186" s="605"/>
      <c r="O3186" s="605"/>
      <c r="P3186" s="605" t="s">
        <v>5202</v>
      </c>
    </row>
    <row r="3187">
      <c r="A3187" s="605"/>
      <c r="B3187" s="605"/>
      <c r="C3187" s="605"/>
      <c r="D3187" s="605"/>
      <c r="E3187" s="605" t="str">
        <f>IFERROR(__xludf.DUMMYFUNCTION("""COMPUTED_VALUE"""),"THERMOPLAN")</f>
        <v>THERMOPLAN</v>
      </c>
      <c r="F3187" s="605" t="str">
        <f>IFERROR(__xludf.DUMMYFUNCTION("""COMPUTED_VALUE"""),"BLACK &amp; WHITE 4")</f>
        <v>BLACK &amp; WHITE 4</v>
      </c>
      <c r="G3187" s="605"/>
      <c r="H3187" s="605"/>
      <c r="I3187" s="605"/>
      <c r="J3187" s="606"/>
      <c r="K3187" s="605"/>
      <c r="L3187" s="605"/>
      <c r="M3187" s="605"/>
      <c r="N3187" s="605"/>
      <c r="O3187" s="605"/>
      <c r="P3187" s="605" t="s">
        <v>5204</v>
      </c>
    </row>
    <row r="3188">
      <c r="A3188" s="605"/>
      <c r="B3188" s="605"/>
      <c r="C3188" s="605"/>
      <c r="D3188" s="605"/>
      <c r="E3188" s="605" t="str">
        <f>IFERROR(__xludf.DUMMYFUNCTION("""COMPUTED_VALUE"""),"THERMOPLAN")</f>
        <v>THERMOPLAN</v>
      </c>
      <c r="F3188" s="605" t="str">
        <f>IFERROR(__xludf.DUMMYFUNCTION("""COMPUTED_VALUE"""),"BLACK&amp;WHITE 4C")</f>
        <v>BLACK&amp;WHITE 4C</v>
      </c>
      <c r="G3188" s="605"/>
      <c r="H3188" s="605"/>
      <c r="I3188" s="605"/>
      <c r="J3188" s="606"/>
      <c r="K3188" s="605"/>
      <c r="L3188" s="605"/>
      <c r="M3188" s="605"/>
      <c r="N3188" s="605"/>
      <c r="O3188" s="605"/>
      <c r="P3188" s="605" t="s">
        <v>5207</v>
      </c>
    </row>
    <row r="3189">
      <c r="A3189" s="605"/>
      <c r="B3189" s="605"/>
      <c r="C3189" s="605"/>
      <c r="D3189" s="605"/>
      <c r="E3189" s="605" t="str">
        <f>IFERROR(__xludf.DUMMYFUNCTION("""COMPUTED_VALUE"""),"THITTANIX")</f>
        <v>THITTANIX</v>
      </c>
      <c r="F3189" s="605" t="str">
        <f>IFERROR(__xludf.DUMMYFUNCTION("""COMPUTED_VALUE"""),"FIRE DAMPER CON PAN")</f>
        <v>FIRE DAMPER CON PAN</v>
      </c>
      <c r="G3189" s="605"/>
      <c r="H3189" s="605"/>
      <c r="I3189" s="605"/>
      <c r="J3189" s="606"/>
      <c r="K3189" s="605"/>
      <c r="L3189" s="605"/>
      <c r="M3189" s="605"/>
      <c r="N3189" s="605"/>
      <c r="O3189" s="605"/>
      <c r="P3189" s="605" t="s">
        <v>5210</v>
      </c>
    </row>
    <row r="3190">
      <c r="A3190" s="605"/>
      <c r="B3190" s="605"/>
      <c r="C3190" s="605"/>
      <c r="D3190" s="605"/>
      <c r="E3190" s="605" t="str">
        <f>IFERROR(__xludf.DUMMYFUNCTION("""COMPUTED_VALUE"""),"THITTANIX")</f>
        <v>THITTANIX</v>
      </c>
      <c r="F3190" s="605" t="str">
        <f>IFERROR(__xludf.DUMMYFUNCTION("""COMPUTED_VALUE"""),"HYDROGEN CONTROLLER")</f>
        <v>HYDROGEN CONTROLLER</v>
      </c>
      <c r="G3190" s="605"/>
      <c r="H3190" s="605"/>
      <c r="I3190" s="605"/>
      <c r="J3190" s="606"/>
      <c r="K3190" s="605"/>
      <c r="L3190" s="605"/>
      <c r="M3190" s="605"/>
      <c r="N3190" s="605"/>
      <c r="O3190" s="605"/>
      <c r="P3190" s="605" t="s">
        <v>5213</v>
      </c>
    </row>
    <row r="3191">
      <c r="A3191" s="605"/>
      <c r="B3191" s="605"/>
      <c r="C3191" s="605"/>
      <c r="D3191" s="605"/>
      <c r="E3191" s="605" t="str">
        <f>IFERROR(__xludf.DUMMYFUNCTION("""COMPUTED_VALUE"""),"TIME MACHINE KK")</f>
        <v>TIME MACHINE KK</v>
      </c>
      <c r="F3191" s="605" t="str">
        <f>IFERROR(__xludf.DUMMYFUNCTION("""COMPUTED_VALUE"""),"ACALA MESH BASE STATION")</f>
        <v>ACALA MESH BASE STATION</v>
      </c>
      <c r="G3191" s="605"/>
      <c r="H3191" s="605"/>
      <c r="I3191" s="605"/>
      <c r="J3191" s="606"/>
      <c r="K3191" s="605"/>
      <c r="L3191" s="605"/>
      <c r="M3191" s="605"/>
      <c r="N3191" s="605"/>
      <c r="O3191" s="605"/>
      <c r="P3191" s="605" t="s">
        <v>5216</v>
      </c>
    </row>
    <row r="3192">
      <c r="A3192" s="605"/>
      <c r="B3192" s="605"/>
      <c r="C3192" s="605"/>
      <c r="D3192" s="605"/>
      <c r="E3192" s="605" t="str">
        <f>IFERROR(__xludf.DUMMYFUNCTION("""COMPUTED_VALUE"""),"TIMELINK")</f>
        <v>TIMELINK</v>
      </c>
      <c r="F3192" s="605" t="str">
        <f>IFERROR(__xludf.DUMMYFUNCTION("""COMPUTED_VALUE"""),"TLT3000")</f>
        <v>TLT3000</v>
      </c>
      <c r="G3192" s="605"/>
      <c r="H3192" s="605"/>
      <c r="I3192" s="605"/>
      <c r="J3192" s="606"/>
      <c r="K3192" s="605"/>
      <c r="L3192" s="605"/>
      <c r="M3192" s="605"/>
      <c r="N3192" s="605"/>
      <c r="O3192" s="605"/>
      <c r="P3192" s="605" t="s">
        <v>5219</v>
      </c>
    </row>
    <row r="3193">
      <c r="A3193" s="605"/>
      <c r="B3193" s="605"/>
      <c r="C3193" s="605"/>
      <c r="D3193" s="605"/>
      <c r="E3193" s="605" t="str">
        <f>IFERROR(__xludf.DUMMYFUNCTION("""COMPUTED_VALUE"""),"TITUS")</f>
        <v>TITUS</v>
      </c>
      <c r="F3193" s="605" t="str">
        <f>IFERROR(__xludf.DUMMYFUNCTION("""COMPUTED_VALUE"""),"DESV")</f>
        <v>DESV</v>
      </c>
      <c r="G3193" s="605"/>
      <c r="H3193" s="605"/>
      <c r="I3193" s="605"/>
      <c r="J3193" s="606"/>
      <c r="K3193" s="605"/>
      <c r="L3193" s="605"/>
      <c r="M3193" s="605"/>
      <c r="N3193" s="605"/>
      <c r="O3193" s="605"/>
      <c r="P3193" s="605" t="s">
        <v>5222</v>
      </c>
    </row>
    <row r="3194">
      <c r="A3194" s="605"/>
      <c r="B3194" s="605"/>
      <c r="C3194" s="605"/>
      <c r="D3194" s="605"/>
      <c r="E3194" s="605" t="str">
        <f>IFERROR(__xludf.DUMMYFUNCTION("""COMPUTED_VALUE"""),"TIVO")</f>
        <v>TIVO</v>
      </c>
      <c r="F3194" s="605" t="str">
        <f>IFERROR(__xludf.DUMMYFUNCTION("""COMPUTED_VALUE"""),"TCDA93000")</f>
        <v>TCDA93000</v>
      </c>
      <c r="G3194" s="605"/>
      <c r="H3194" s="605"/>
      <c r="I3194" s="605"/>
      <c r="J3194" s="606"/>
      <c r="K3194" s="605"/>
      <c r="L3194" s="605"/>
      <c r="M3194" s="605"/>
      <c r="N3194" s="605"/>
      <c r="O3194" s="605"/>
      <c r="P3194" s="605" t="s">
        <v>3102</v>
      </c>
    </row>
    <row r="3195">
      <c r="A3195" s="605"/>
      <c r="B3195" s="605"/>
      <c r="C3195" s="605"/>
      <c r="D3195" s="605"/>
      <c r="E3195" s="605" t="str">
        <f>IFERROR(__xludf.DUMMYFUNCTION("""COMPUTED_VALUE"""),"TONGDY")</f>
        <v>TONGDY</v>
      </c>
      <c r="F3195" s="605" t="str">
        <f>IFERROR(__xludf.DUMMYFUNCTION("""COMPUTED_VALUE"""),"IAQ MONITOR MSD1819C")</f>
        <v>IAQ MONITOR MSD1819C</v>
      </c>
      <c r="G3195" s="605"/>
      <c r="H3195" s="605"/>
      <c r="I3195" s="605"/>
      <c r="J3195" s="606"/>
      <c r="K3195" s="605"/>
      <c r="L3195" s="605"/>
      <c r="M3195" s="605"/>
      <c r="N3195" s="605"/>
      <c r="O3195" s="605"/>
      <c r="P3195" s="605" t="s">
        <v>5225</v>
      </c>
    </row>
    <row r="3196">
      <c r="A3196" s="605"/>
      <c r="B3196" s="605"/>
      <c r="C3196" s="605"/>
      <c r="D3196" s="605"/>
      <c r="E3196" s="605" t="str">
        <f>IFERROR(__xludf.DUMMYFUNCTION("""COMPUTED_VALUE"""),"TOSHIBA")</f>
        <v>TOSHIBA</v>
      </c>
      <c r="F3196" s="605" t="str">
        <f>IFERROR(__xludf.DUMMYFUNCTION("""COMPUTED_VALUE"""),"C50D-A-138")</f>
        <v>C50D-A-138</v>
      </c>
      <c r="G3196" s="605"/>
      <c r="H3196" s="605"/>
      <c r="I3196" s="605"/>
      <c r="J3196" s="606"/>
      <c r="K3196" s="605"/>
      <c r="L3196" s="605"/>
      <c r="M3196" s="605"/>
      <c r="N3196" s="605"/>
      <c r="O3196" s="605"/>
      <c r="P3196" s="605" t="s">
        <v>5228</v>
      </c>
    </row>
    <row r="3197">
      <c r="A3197" s="605"/>
      <c r="B3197" s="605"/>
      <c r="C3197" s="605"/>
      <c r="D3197" s="605"/>
      <c r="E3197" s="605" t="str">
        <f>IFERROR(__xludf.DUMMYFUNCTION("""COMPUTED_VALUE"""),"TOSHIBA")</f>
        <v>TOSHIBA</v>
      </c>
      <c r="F3197" s="605" t="str">
        <f>IFERROR(__xludf.DUMMYFUNCTION("""COMPUTED_VALUE"""),"DX730")</f>
        <v>DX730</v>
      </c>
      <c r="G3197" s="605"/>
      <c r="H3197" s="605"/>
      <c r="I3197" s="605"/>
      <c r="J3197" s="606"/>
      <c r="K3197" s="605"/>
      <c r="L3197" s="605"/>
      <c r="M3197" s="605"/>
      <c r="N3197" s="605"/>
      <c r="O3197" s="605"/>
      <c r="P3197" s="605" t="s">
        <v>5231</v>
      </c>
    </row>
    <row r="3198">
      <c r="A3198" s="605"/>
      <c r="B3198" s="605"/>
      <c r="C3198" s="605"/>
      <c r="D3198" s="605"/>
      <c r="E3198" s="605" t="str">
        <f>IFERROR(__xludf.DUMMYFUNCTION("""COMPUTED_VALUE"""),"TOSHIBA")</f>
        <v>TOSHIBA</v>
      </c>
      <c r="F3198" s="605" t="str">
        <f>IFERROR(__xludf.DUMMYFUNCTION("""COMPUTED_VALUE"""),"TCBIFMB641TLE")</f>
        <v>TCBIFMB641TLE</v>
      </c>
      <c r="G3198" s="605"/>
      <c r="H3198" s="605"/>
      <c r="I3198" s="605"/>
      <c r="J3198" s="606"/>
      <c r="K3198" s="605"/>
      <c r="L3198" s="605"/>
      <c r="M3198" s="605"/>
      <c r="N3198" s="605"/>
      <c r="O3198" s="605"/>
      <c r="P3198" s="605" t="s">
        <v>5234</v>
      </c>
    </row>
    <row r="3199">
      <c r="A3199" s="605"/>
      <c r="B3199" s="605"/>
      <c r="C3199" s="605"/>
      <c r="D3199" s="605"/>
      <c r="E3199" s="605" t="str">
        <f>IFERROR(__xludf.DUMMYFUNCTION("""COMPUTED_VALUE"""),"TOSHIBA")</f>
        <v>TOSHIBA</v>
      </c>
      <c r="F3199" s="605" t="str">
        <f>IFERROR(__xludf.DUMMYFUNCTION("""COMPUTED_VALUE"""),"TCBIFMB641TLE")</f>
        <v>TCBIFMB641TLE</v>
      </c>
      <c r="G3199" s="605"/>
      <c r="H3199" s="605"/>
      <c r="I3199" s="605"/>
      <c r="J3199" s="606"/>
      <c r="K3199" s="605"/>
      <c r="L3199" s="605"/>
      <c r="M3199" s="605"/>
      <c r="N3199" s="605"/>
      <c r="O3199" s="605"/>
      <c r="P3199" s="605" t="s">
        <v>5237</v>
      </c>
    </row>
    <row r="3200">
      <c r="A3200" s="605"/>
      <c r="B3200" s="605"/>
      <c r="C3200" s="605"/>
      <c r="D3200" s="605"/>
      <c r="E3200" s="605" t="str">
        <f>IFERROR(__xludf.DUMMYFUNCTION("""COMPUTED_VALUE"""),"TP-LINK")</f>
        <v>TP-LINK</v>
      </c>
      <c r="F3200" s="605" t="str">
        <f>IFERROR(__xludf.DUMMYFUNCTION("""COMPUTED_VALUE"""),"AC1200 WIRELESS")</f>
        <v>AC1200 WIRELESS</v>
      </c>
      <c r="G3200" s="605"/>
      <c r="H3200" s="605"/>
      <c r="I3200" s="605"/>
      <c r="J3200" s="606"/>
      <c r="K3200" s="605"/>
      <c r="L3200" s="605"/>
      <c r="M3200" s="605"/>
      <c r="N3200" s="605"/>
      <c r="O3200" s="605"/>
      <c r="P3200" s="605" t="s">
        <v>5240</v>
      </c>
    </row>
    <row r="3201">
      <c r="A3201" s="605"/>
      <c r="B3201" s="605"/>
      <c r="C3201" s="605"/>
      <c r="D3201" s="605"/>
      <c r="E3201" s="605" t="str">
        <f>IFERROR(__xludf.DUMMYFUNCTION("""COMPUTED_VALUE"""),"TP-LINK")</f>
        <v>TP-LINK</v>
      </c>
      <c r="F3201" s="605" t="str">
        <f>IFERROR(__xludf.DUMMYFUNCTION("""COMPUTED_VALUE"""),"ARCHER")</f>
        <v>ARCHER</v>
      </c>
      <c r="G3201" s="605"/>
      <c r="H3201" s="605"/>
      <c r="I3201" s="605"/>
      <c r="J3201" s="606"/>
      <c r="K3201" s="605"/>
      <c r="L3201" s="605"/>
      <c r="M3201" s="605"/>
      <c r="N3201" s="605"/>
      <c r="O3201" s="605"/>
      <c r="P3201" s="605" t="s">
        <v>5243</v>
      </c>
    </row>
    <row r="3202">
      <c r="A3202" s="605"/>
      <c r="B3202" s="605"/>
      <c r="C3202" s="605"/>
      <c r="D3202" s="605"/>
      <c r="E3202" s="605" t="str">
        <f>IFERROR(__xludf.DUMMYFUNCTION("""COMPUTED_VALUE"""),"TP-LINK")</f>
        <v>TP-LINK</v>
      </c>
      <c r="F3202" s="605" t="str">
        <f>IFERROR(__xludf.DUMMYFUNCTION("""COMPUTED_VALUE"""),"ARCHER AC1750")</f>
        <v>ARCHER AC1750</v>
      </c>
      <c r="G3202" s="605"/>
      <c r="H3202" s="605"/>
      <c r="I3202" s="605"/>
      <c r="J3202" s="606"/>
      <c r="K3202" s="605"/>
      <c r="L3202" s="605"/>
      <c r="M3202" s="605"/>
      <c r="N3202" s="605"/>
      <c r="O3202" s="605"/>
      <c r="P3202" s="605" t="s">
        <v>5246</v>
      </c>
    </row>
    <row r="3203">
      <c r="A3203" s="605"/>
      <c r="B3203" s="605"/>
      <c r="C3203" s="605"/>
      <c r="D3203" s="605"/>
      <c r="E3203" s="605" t="str">
        <f>IFERROR(__xludf.DUMMYFUNCTION("""COMPUTED_VALUE"""),"TP-LINK")</f>
        <v>TP-LINK</v>
      </c>
      <c r="F3203" s="605" t="str">
        <f>IFERROR(__xludf.DUMMYFUNCTION("""COMPUTED_VALUE"""),"TL-SF1005D")</f>
        <v>TL-SF1005D</v>
      </c>
      <c r="G3203" s="605"/>
      <c r="H3203" s="605"/>
      <c r="I3203" s="605"/>
      <c r="J3203" s="606"/>
      <c r="K3203" s="605"/>
      <c r="L3203" s="605"/>
      <c r="M3203" s="605"/>
      <c r="N3203" s="605"/>
      <c r="O3203" s="605"/>
      <c r="P3203" s="605" t="s">
        <v>5249</v>
      </c>
    </row>
    <row r="3204">
      <c r="A3204" s="605"/>
      <c r="B3204" s="605"/>
      <c r="C3204" s="605"/>
      <c r="D3204" s="605"/>
      <c r="E3204" s="605" t="str">
        <f>IFERROR(__xludf.DUMMYFUNCTION("""COMPUTED_VALUE"""),"TP-LINK")</f>
        <v>TP-LINK</v>
      </c>
      <c r="F3204" s="605" t="str">
        <f>IFERROR(__xludf.DUMMYFUNCTION("""COMPUTED_VALUE"""),"TL-SF1005D")</f>
        <v>TL-SF1005D</v>
      </c>
      <c r="G3204" s="605"/>
      <c r="H3204" s="605"/>
      <c r="I3204" s="605"/>
      <c r="J3204" s="606"/>
      <c r="K3204" s="605"/>
      <c r="L3204" s="605"/>
      <c r="M3204" s="605"/>
      <c r="N3204" s="605"/>
      <c r="O3204" s="605"/>
      <c r="P3204" s="605" t="s">
        <v>5252</v>
      </c>
    </row>
    <row r="3205">
      <c r="A3205" s="605"/>
      <c r="B3205" s="605"/>
      <c r="C3205" s="605"/>
      <c r="D3205" s="605"/>
      <c r="E3205" s="605" t="str">
        <f>IFERROR(__xludf.DUMMYFUNCTION("""COMPUTED_VALUE"""),"TP-LINK")</f>
        <v>TP-LINK</v>
      </c>
      <c r="F3205" s="605" t="str">
        <f>IFERROR(__xludf.DUMMYFUNCTION("""COMPUTED_VALUE"""),"TL-SF1005D")</f>
        <v>TL-SF1005D</v>
      </c>
      <c r="G3205" s="605"/>
      <c r="H3205" s="605"/>
      <c r="I3205" s="605"/>
      <c r="J3205" s="606"/>
      <c r="K3205" s="605"/>
      <c r="L3205" s="605"/>
      <c r="M3205" s="605"/>
      <c r="N3205" s="605"/>
      <c r="O3205" s="605"/>
      <c r="P3205" s="605" t="s">
        <v>3105</v>
      </c>
    </row>
    <row r="3206">
      <c r="A3206" s="605"/>
      <c r="B3206" s="605"/>
      <c r="C3206" s="605"/>
      <c r="D3206" s="605"/>
      <c r="E3206" s="605" t="str">
        <f>IFERROR(__xludf.DUMMYFUNCTION("""COMPUTED_VALUE"""),"TP-LINK")</f>
        <v>TP-LINK</v>
      </c>
      <c r="F3206" s="605" t="str">
        <f>IFERROR(__xludf.DUMMYFUNCTION("""COMPUTED_VALUE"""),"MR6400")</f>
        <v>MR6400</v>
      </c>
      <c r="G3206" s="605"/>
      <c r="H3206" s="605"/>
      <c r="I3206" s="605"/>
      <c r="J3206" s="606"/>
      <c r="K3206" s="605"/>
      <c r="L3206" s="605"/>
      <c r="M3206" s="605"/>
      <c r="N3206" s="605"/>
      <c r="O3206" s="605"/>
      <c r="P3206" s="605" t="s">
        <v>5255</v>
      </c>
    </row>
    <row r="3207">
      <c r="A3207" s="605"/>
      <c r="B3207" s="605"/>
      <c r="C3207" s="605"/>
      <c r="D3207" s="605"/>
      <c r="E3207" s="605" t="str">
        <f>IFERROR(__xludf.DUMMYFUNCTION("""COMPUTED_VALUE"""),"TP-LINK")</f>
        <v>TP-LINK</v>
      </c>
      <c r="F3207" s="605" t="str">
        <f>IFERROR(__xludf.DUMMYFUNCTION("""COMPUTED_VALUE"""),"R600VPN")</f>
        <v>R600VPN</v>
      </c>
      <c r="G3207" s="605"/>
      <c r="H3207" s="605"/>
      <c r="I3207" s="605"/>
      <c r="J3207" s="606"/>
      <c r="K3207" s="605"/>
      <c r="L3207" s="605"/>
      <c r="M3207" s="605"/>
      <c r="N3207" s="605"/>
      <c r="O3207" s="605"/>
      <c r="P3207" s="605" t="s">
        <v>5258</v>
      </c>
    </row>
    <row r="3208">
      <c r="A3208" s="605"/>
      <c r="B3208" s="605"/>
      <c r="C3208" s="605"/>
      <c r="D3208" s="605"/>
      <c r="E3208" s="605" t="str">
        <f>IFERROR(__xludf.DUMMYFUNCTION("""COMPUTED_VALUE"""),"TP-LINK")</f>
        <v>TP-LINK</v>
      </c>
      <c r="F3208" s="605" t="str">
        <f>IFERROR(__xludf.DUMMYFUNCTION("""COMPUTED_VALUE"""),"RE200E")</f>
        <v>RE200E</v>
      </c>
      <c r="G3208" s="605"/>
      <c r="H3208" s="605"/>
      <c r="I3208" s="605"/>
      <c r="J3208" s="606"/>
      <c r="K3208" s="605"/>
      <c r="L3208" s="605"/>
      <c r="M3208" s="605"/>
      <c r="N3208" s="605"/>
      <c r="O3208" s="605"/>
      <c r="P3208" s="605" t="s">
        <v>5261</v>
      </c>
    </row>
    <row r="3209">
      <c r="A3209" s="605"/>
      <c r="B3209" s="605"/>
      <c r="C3209" s="605"/>
      <c r="D3209" s="605"/>
      <c r="E3209" s="605" t="str">
        <f>IFERROR(__xludf.DUMMYFUNCTION("""COMPUTED_VALUE"""),"TP-LINK")</f>
        <v>TP-LINK</v>
      </c>
      <c r="F3209" s="605" t="str">
        <f>IFERROR(__xludf.DUMMYFUNCTION("""COMPUTED_VALUE"""),"SF-1005D")</f>
        <v>SF-1005D</v>
      </c>
      <c r="G3209" s="605"/>
      <c r="H3209" s="605"/>
      <c r="I3209" s="605"/>
      <c r="J3209" s="606"/>
      <c r="K3209" s="605"/>
      <c r="L3209" s="605"/>
      <c r="M3209" s="605"/>
      <c r="N3209" s="605"/>
      <c r="O3209" s="605"/>
      <c r="P3209" s="605" t="s">
        <v>5264</v>
      </c>
    </row>
    <row r="3210">
      <c r="A3210" s="605"/>
      <c r="B3210" s="605"/>
      <c r="C3210" s="605"/>
      <c r="D3210" s="605"/>
      <c r="E3210" s="605" t="str">
        <f>IFERROR(__xludf.DUMMYFUNCTION("""COMPUTED_VALUE"""),"TP-LINK")</f>
        <v>TP-LINK</v>
      </c>
      <c r="F3210" s="605" t="str">
        <f>IFERROR(__xludf.DUMMYFUNCTION("""COMPUTED_VALUE"""),"SF-1008D")</f>
        <v>SF-1008D</v>
      </c>
      <c r="G3210" s="605"/>
      <c r="H3210" s="605"/>
      <c r="I3210" s="605"/>
      <c r="J3210" s="606"/>
      <c r="K3210" s="605"/>
      <c r="L3210" s="605"/>
      <c r="M3210" s="605"/>
      <c r="N3210" s="605"/>
      <c r="O3210" s="605"/>
      <c r="P3210" s="605" t="s">
        <v>5267</v>
      </c>
    </row>
    <row r="3211">
      <c r="A3211" s="605"/>
      <c r="B3211" s="605"/>
      <c r="C3211" s="605"/>
      <c r="D3211" s="605"/>
      <c r="E3211" s="605" t="str">
        <f>IFERROR(__xludf.DUMMYFUNCTION("""COMPUTED_VALUE"""),"TP-LINK")</f>
        <v>TP-LINK</v>
      </c>
      <c r="F3211" s="605" t="str">
        <f>IFERROR(__xludf.DUMMYFUNCTION("""COMPUTED_VALUE"""),"TL-MR3420")</f>
        <v>TL-MR3420</v>
      </c>
      <c r="G3211" s="605"/>
      <c r="H3211" s="605"/>
      <c r="I3211" s="605"/>
      <c r="J3211" s="606"/>
      <c r="K3211" s="605"/>
      <c r="L3211" s="605"/>
      <c r="M3211" s="605"/>
      <c r="N3211" s="605"/>
      <c r="O3211" s="605"/>
      <c r="P3211" s="605" t="s">
        <v>5270</v>
      </c>
    </row>
    <row r="3212">
      <c r="A3212" s="605"/>
      <c r="B3212" s="605"/>
      <c r="C3212" s="605"/>
      <c r="D3212" s="605"/>
      <c r="E3212" s="605" t="str">
        <f>IFERROR(__xludf.DUMMYFUNCTION("""COMPUTED_VALUE"""),"TP-LINK")</f>
        <v>TP-LINK</v>
      </c>
      <c r="F3212" s="605" t="str">
        <f>IFERROR(__xludf.DUMMYFUNCTION("""COMPUTED_VALUE"""),"TL-MR6400")</f>
        <v>TL-MR6400</v>
      </c>
      <c r="G3212" s="605"/>
      <c r="H3212" s="605"/>
      <c r="I3212" s="605"/>
      <c r="J3212" s="606"/>
      <c r="K3212" s="605"/>
      <c r="L3212" s="605"/>
      <c r="M3212" s="605"/>
      <c r="N3212" s="605"/>
      <c r="O3212" s="605"/>
      <c r="P3212" s="605" t="s">
        <v>5273</v>
      </c>
    </row>
    <row r="3213">
      <c r="A3213" s="605"/>
      <c r="B3213" s="605"/>
      <c r="C3213" s="605"/>
      <c r="D3213" s="605"/>
      <c r="E3213" s="605" t="str">
        <f>IFERROR(__xludf.DUMMYFUNCTION("""COMPUTED_VALUE"""),"TP-LINK")</f>
        <v>TP-LINK</v>
      </c>
      <c r="F3213" s="605" t="str">
        <f>IFERROR(__xludf.DUMMYFUNCTION("""COMPUTED_VALUE"""),"TL-SAF1016D")</f>
        <v>TL-SAF1016D</v>
      </c>
      <c r="G3213" s="605"/>
      <c r="H3213" s="605"/>
      <c r="I3213" s="605"/>
      <c r="J3213" s="606"/>
      <c r="K3213" s="605"/>
      <c r="L3213" s="605"/>
      <c r="M3213" s="605"/>
      <c r="N3213" s="605"/>
      <c r="O3213" s="605"/>
      <c r="P3213" s="605" t="s">
        <v>5276</v>
      </c>
    </row>
    <row r="3214">
      <c r="A3214" s="605"/>
      <c r="B3214" s="605"/>
      <c r="C3214" s="605"/>
      <c r="D3214" s="605"/>
      <c r="E3214" s="605" t="str">
        <f>IFERROR(__xludf.DUMMYFUNCTION("""COMPUTED_VALUE"""),"TP-LINK")</f>
        <v>TP-LINK</v>
      </c>
      <c r="F3214" s="605" t="str">
        <f>IFERROR(__xludf.DUMMYFUNCTION("""COMPUTED_VALUE"""),"TL-SF-1005")</f>
        <v>TL-SF-1005</v>
      </c>
      <c r="G3214" s="605"/>
      <c r="H3214" s="605"/>
      <c r="I3214" s="605"/>
      <c r="J3214" s="606"/>
      <c r="K3214" s="605"/>
      <c r="L3214" s="605"/>
      <c r="M3214" s="605"/>
      <c r="N3214" s="605"/>
      <c r="O3214" s="605"/>
      <c r="P3214" s="605" t="s">
        <v>5279</v>
      </c>
    </row>
    <row r="3215">
      <c r="A3215" s="605"/>
      <c r="B3215" s="605"/>
      <c r="C3215" s="605"/>
      <c r="D3215" s="605"/>
      <c r="E3215" s="605" t="str">
        <f>IFERROR(__xludf.DUMMYFUNCTION("""COMPUTED_VALUE"""),"TP-LINK")</f>
        <v>TP-LINK</v>
      </c>
      <c r="F3215" s="605" t="str">
        <f>IFERROR(__xludf.DUMMYFUNCTION("""COMPUTED_VALUE"""),"TL-SF-1005D")</f>
        <v>TL-SF-1005D</v>
      </c>
      <c r="G3215" s="605"/>
      <c r="H3215" s="605"/>
      <c r="I3215" s="605"/>
      <c r="J3215" s="606"/>
      <c r="K3215" s="605"/>
      <c r="L3215" s="605"/>
      <c r="M3215" s="605"/>
      <c r="N3215" s="605"/>
      <c r="O3215" s="605"/>
      <c r="P3215" s="605" t="s">
        <v>5282</v>
      </c>
    </row>
    <row r="3216">
      <c r="A3216" s="605"/>
      <c r="B3216" s="605"/>
      <c r="C3216" s="605"/>
      <c r="D3216" s="605"/>
      <c r="E3216" s="605" t="str">
        <f>IFERROR(__xludf.DUMMYFUNCTION("""COMPUTED_VALUE"""),"TP-LINK")</f>
        <v>TP-LINK</v>
      </c>
      <c r="F3216" s="605" t="str">
        <f>IFERROR(__xludf.DUMMYFUNCTION("""COMPUTED_VALUE"""),"SF-1008D")</f>
        <v>SF-1008D</v>
      </c>
      <c r="G3216" s="605"/>
      <c r="H3216" s="605"/>
      <c r="I3216" s="605"/>
      <c r="J3216" s="606"/>
      <c r="K3216" s="605"/>
      <c r="L3216" s="605"/>
      <c r="M3216" s="605"/>
      <c r="N3216" s="605"/>
      <c r="O3216" s="605"/>
      <c r="P3216" s="605" t="s">
        <v>3108</v>
      </c>
    </row>
    <row r="3217">
      <c r="A3217" s="605"/>
      <c r="B3217" s="605"/>
      <c r="C3217" s="605"/>
      <c r="D3217" s="605"/>
      <c r="E3217" s="605" t="str">
        <f>IFERROR(__xludf.DUMMYFUNCTION("""COMPUTED_VALUE"""),"TP-LINK")</f>
        <v>TP-LINK</v>
      </c>
      <c r="F3217" s="605" t="str">
        <f>IFERROR(__xludf.DUMMYFUNCTION("""COMPUTED_VALUE"""),"SF-1008D")</f>
        <v>SF-1008D</v>
      </c>
      <c r="G3217" s="605"/>
      <c r="H3217" s="605"/>
      <c r="I3217" s="605"/>
      <c r="J3217" s="606"/>
      <c r="K3217" s="605"/>
      <c r="L3217" s="605"/>
      <c r="M3217" s="605"/>
      <c r="N3217" s="605"/>
      <c r="O3217" s="605"/>
      <c r="P3217" s="605" t="s">
        <v>5285</v>
      </c>
    </row>
    <row r="3218">
      <c r="A3218" s="605"/>
      <c r="B3218" s="605"/>
      <c r="C3218" s="605"/>
      <c r="D3218" s="605"/>
      <c r="E3218" s="605" t="str">
        <f>IFERROR(__xludf.DUMMYFUNCTION("""COMPUTED_VALUE"""),"TP-LINK")</f>
        <v>TP-LINK</v>
      </c>
      <c r="F3218" s="605" t="str">
        <f>IFERROR(__xludf.DUMMYFUNCTION("""COMPUTED_VALUE"""),"SF-1008D")</f>
        <v>SF-1008D</v>
      </c>
      <c r="G3218" s="605"/>
      <c r="H3218" s="605"/>
      <c r="I3218" s="605"/>
      <c r="J3218" s="606"/>
      <c r="K3218" s="605"/>
      <c r="L3218" s="605"/>
      <c r="M3218" s="605"/>
      <c r="N3218" s="605"/>
      <c r="O3218" s="605"/>
      <c r="P3218" s="605" t="s">
        <v>5288</v>
      </c>
    </row>
    <row r="3219">
      <c r="A3219" s="605"/>
      <c r="B3219" s="605"/>
      <c r="C3219" s="605"/>
      <c r="D3219" s="605"/>
      <c r="E3219" s="605" t="str">
        <f>IFERROR(__xludf.DUMMYFUNCTION("""COMPUTED_VALUE"""),"TP-LINK")</f>
        <v>TP-LINK</v>
      </c>
      <c r="F3219" s="605" t="str">
        <f>IFERROR(__xludf.DUMMYFUNCTION("""COMPUTED_VALUE"""),"TL-SF-1008D")</f>
        <v>TL-SF-1008D</v>
      </c>
      <c r="G3219" s="605"/>
      <c r="H3219" s="605"/>
      <c r="I3219" s="605"/>
      <c r="J3219" s="606"/>
      <c r="K3219" s="605"/>
      <c r="L3219" s="605"/>
      <c r="M3219" s="605"/>
      <c r="N3219" s="605"/>
      <c r="O3219" s="605"/>
      <c r="P3219" s="605" t="s">
        <v>5291</v>
      </c>
    </row>
    <row r="3220">
      <c r="A3220" s="605"/>
      <c r="B3220" s="605"/>
      <c r="C3220" s="605"/>
      <c r="D3220" s="605"/>
      <c r="E3220" s="605" t="str">
        <f>IFERROR(__xludf.DUMMYFUNCTION("""COMPUTED_VALUE"""),"TP-LINK")</f>
        <v>TP-LINK</v>
      </c>
      <c r="F3220" s="605" t="str">
        <f>IFERROR(__xludf.DUMMYFUNCTION("""COMPUTED_VALUE"""),"TL-SF1008D")</f>
        <v>TL-SF1008D</v>
      </c>
      <c r="G3220" s="605"/>
      <c r="H3220" s="605"/>
      <c r="I3220" s="605"/>
      <c r="J3220" s="606"/>
      <c r="K3220" s="605"/>
      <c r="L3220" s="605"/>
      <c r="M3220" s="605"/>
      <c r="N3220" s="605"/>
      <c r="O3220" s="605"/>
      <c r="P3220" s="605" t="s">
        <v>5294</v>
      </c>
    </row>
    <row r="3221">
      <c r="A3221" s="605"/>
      <c r="B3221" s="605"/>
      <c r="C3221" s="605"/>
      <c r="D3221" s="605"/>
      <c r="E3221" s="605" t="str">
        <f>IFERROR(__xludf.DUMMYFUNCTION("""COMPUTED_VALUE"""),"TP-LINK")</f>
        <v>TP-LINK</v>
      </c>
      <c r="F3221" s="605" t="str">
        <f>IFERROR(__xludf.DUMMYFUNCTION("""COMPUTED_VALUE"""),"TL-SF1008P")</f>
        <v>TL-SF1008P</v>
      </c>
      <c r="G3221" s="605"/>
      <c r="H3221" s="605"/>
      <c r="I3221" s="605"/>
      <c r="J3221" s="606"/>
      <c r="K3221" s="605"/>
      <c r="L3221" s="605"/>
      <c r="M3221" s="605"/>
      <c r="N3221" s="605"/>
      <c r="O3221" s="605"/>
      <c r="P3221" s="605" t="s">
        <v>5297</v>
      </c>
    </row>
    <row r="3222">
      <c r="A3222" s="605"/>
      <c r="B3222" s="605"/>
      <c r="C3222" s="605"/>
      <c r="D3222" s="605"/>
      <c r="E3222" s="605" t="str">
        <f>IFERROR(__xludf.DUMMYFUNCTION("""COMPUTED_VALUE"""),"TP-LINK")</f>
        <v>TP-LINK</v>
      </c>
      <c r="F3222" s="605" t="str">
        <f>IFERROR(__xludf.DUMMYFUNCTION("""COMPUTED_VALUE"""),"TL-SF1016M")</f>
        <v>TL-SF1016M</v>
      </c>
      <c r="G3222" s="605"/>
      <c r="H3222" s="605"/>
      <c r="I3222" s="605"/>
      <c r="J3222" s="606"/>
      <c r="K3222" s="605"/>
      <c r="L3222" s="605"/>
      <c r="M3222" s="605"/>
      <c r="N3222" s="605"/>
      <c r="O3222" s="605"/>
      <c r="P3222" s="605" t="s">
        <v>5299</v>
      </c>
    </row>
    <row r="3223">
      <c r="A3223" s="605"/>
      <c r="B3223" s="605"/>
      <c r="C3223" s="605"/>
      <c r="D3223" s="605"/>
      <c r="E3223" s="605" t="str">
        <f>IFERROR(__xludf.DUMMYFUNCTION("""COMPUTED_VALUE"""),"TP-LINK")</f>
        <v>TP-LINK</v>
      </c>
      <c r="F3223" s="605" t="str">
        <f>IFERROR(__xludf.DUMMYFUNCTION("""COMPUTED_VALUE"""),"TL-SF1024")</f>
        <v>TL-SF1024</v>
      </c>
      <c r="G3223" s="605"/>
      <c r="H3223" s="605"/>
      <c r="I3223" s="605"/>
      <c r="J3223" s="606"/>
      <c r="K3223" s="605"/>
      <c r="L3223" s="605"/>
      <c r="M3223" s="605"/>
      <c r="N3223" s="605"/>
      <c r="O3223" s="605"/>
      <c r="P3223" s="605" t="s">
        <v>5302</v>
      </c>
    </row>
    <row r="3224">
      <c r="A3224" s="605"/>
      <c r="B3224" s="605"/>
      <c r="C3224" s="605"/>
      <c r="D3224" s="605"/>
      <c r="E3224" s="605" t="str">
        <f>IFERROR(__xludf.DUMMYFUNCTION("""COMPUTED_VALUE"""),"TP-LINK")</f>
        <v>TP-LINK</v>
      </c>
      <c r="F3224" s="605" t="str">
        <f>IFERROR(__xludf.DUMMYFUNCTION("""COMPUTED_VALUE"""),"TL-SF1024")</f>
        <v>TL-SF1024</v>
      </c>
      <c r="G3224" s="605"/>
      <c r="H3224" s="605"/>
      <c r="I3224" s="605"/>
      <c r="J3224" s="606"/>
      <c r="K3224" s="605"/>
      <c r="L3224" s="605"/>
      <c r="M3224" s="605"/>
      <c r="N3224" s="605"/>
      <c r="O3224" s="605"/>
      <c r="P3224" s="605" t="s">
        <v>5304</v>
      </c>
    </row>
    <row r="3225">
      <c r="A3225" s="605"/>
      <c r="B3225" s="605"/>
      <c r="C3225" s="605"/>
      <c r="D3225" s="605"/>
      <c r="E3225" s="605" t="str">
        <f>IFERROR(__xludf.DUMMYFUNCTION("""COMPUTED_VALUE"""),"TP-LINK")</f>
        <v>TP-LINK</v>
      </c>
      <c r="F3225" s="605" t="str">
        <f>IFERROR(__xludf.DUMMYFUNCTION("""COMPUTED_VALUE"""),"TL-SF1024")</f>
        <v>TL-SF1024</v>
      </c>
      <c r="G3225" s="605"/>
      <c r="H3225" s="605"/>
      <c r="I3225" s="605"/>
      <c r="J3225" s="606"/>
      <c r="K3225" s="605"/>
      <c r="L3225" s="605"/>
      <c r="M3225" s="605"/>
      <c r="N3225" s="605"/>
      <c r="O3225" s="605"/>
      <c r="P3225" s="605" t="s">
        <v>5307</v>
      </c>
    </row>
    <row r="3226">
      <c r="A3226" s="605"/>
      <c r="B3226" s="605"/>
      <c r="C3226" s="605"/>
      <c r="D3226" s="605"/>
      <c r="E3226" s="605" t="str">
        <f>IFERROR(__xludf.DUMMYFUNCTION("""COMPUTED_VALUE"""),"TP-LINK")</f>
        <v>TP-LINK</v>
      </c>
      <c r="F3226" s="605" t="str">
        <f>IFERROR(__xludf.DUMMYFUNCTION("""COMPUTED_VALUE"""),"SG1008D")</f>
        <v>SG1008D</v>
      </c>
      <c r="G3226" s="605"/>
      <c r="H3226" s="605"/>
      <c r="I3226" s="605"/>
      <c r="J3226" s="606"/>
      <c r="K3226" s="605"/>
      <c r="L3226" s="605"/>
      <c r="M3226" s="605"/>
      <c r="N3226" s="605"/>
      <c r="O3226" s="605"/>
      <c r="P3226" s="605" t="s">
        <v>5310</v>
      </c>
    </row>
    <row r="3227">
      <c r="A3227" s="605"/>
      <c r="B3227" s="605"/>
      <c r="C3227" s="605"/>
      <c r="D3227" s="605"/>
      <c r="E3227" s="605" t="str">
        <f>IFERROR(__xludf.DUMMYFUNCTION("""COMPUTED_VALUE"""),"TP-LINK")</f>
        <v>TP-LINK</v>
      </c>
      <c r="F3227" s="605" t="str">
        <f>IFERROR(__xludf.DUMMYFUNCTION("""COMPUTED_VALUE"""),"TL-SF1024")</f>
        <v>TL-SF1024</v>
      </c>
      <c r="G3227" s="605"/>
      <c r="H3227" s="605"/>
      <c r="I3227" s="605"/>
      <c r="J3227" s="606"/>
      <c r="K3227" s="605"/>
      <c r="L3227" s="605"/>
      <c r="M3227" s="605"/>
      <c r="N3227" s="605"/>
      <c r="O3227" s="605"/>
      <c r="P3227" s="605" t="s">
        <v>3111</v>
      </c>
    </row>
    <row r="3228">
      <c r="A3228" s="605"/>
      <c r="B3228" s="605"/>
      <c r="C3228" s="605"/>
      <c r="D3228" s="605"/>
      <c r="E3228" s="605" t="str">
        <f>IFERROR(__xludf.DUMMYFUNCTION("""COMPUTED_VALUE"""),"TP-LINK")</f>
        <v>TP-LINK</v>
      </c>
      <c r="F3228" s="605" t="str">
        <f>IFERROR(__xludf.DUMMYFUNCTION("""COMPUTED_VALUE"""),"TL-SG105")</f>
        <v>TL-SG105</v>
      </c>
      <c r="G3228" s="605"/>
      <c r="H3228" s="605"/>
      <c r="I3228" s="605"/>
      <c r="J3228" s="606"/>
      <c r="K3228" s="605"/>
      <c r="L3228" s="605"/>
      <c r="M3228" s="605"/>
      <c r="N3228" s="605"/>
      <c r="O3228" s="605"/>
      <c r="P3228" s="605" t="s">
        <v>5313</v>
      </c>
    </row>
    <row r="3229">
      <c r="A3229" s="605"/>
      <c r="B3229" s="605"/>
      <c r="C3229" s="605"/>
      <c r="D3229" s="605"/>
      <c r="E3229" s="605" t="str">
        <f>IFERROR(__xludf.DUMMYFUNCTION("""COMPUTED_VALUE"""),"TP-LINK")</f>
        <v>TP-LINK</v>
      </c>
      <c r="F3229" s="605" t="str">
        <f>IFERROR(__xludf.DUMMYFUNCTION("""COMPUTED_VALUE"""),"TL-SG105E")</f>
        <v>TL-SG105E</v>
      </c>
      <c r="G3229" s="605"/>
      <c r="H3229" s="605"/>
      <c r="I3229" s="605"/>
      <c r="J3229" s="606"/>
      <c r="K3229" s="605"/>
      <c r="L3229" s="605"/>
      <c r="M3229" s="605"/>
      <c r="N3229" s="605"/>
      <c r="O3229" s="605"/>
      <c r="P3229" s="605" t="s">
        <v>5316</v>
      </c>
    </row>
    <row r="3230">
      <c r="A3230" s="605"/>
      <c r="B3230" s="605"/>
      <c r="C3230" s="605"/>
      <c r="D3230" s="605"/>
      <c r="E3230" s="605" t="str">
        <f>IFERROR(__xludf.DUMMYFUNCTION("""COMPUTED_VALUE"""),"TP-LINK")</f>
        <v>TP-LINK</v>
      </c>
      <c r="F3230" s="605" t="str">
        <f>IFERROR(__xludf.DUMMYFUNCTION("""COMPUTED_VALUE"""),"TL-SG105E")</f>
        <v>TL-SG105E</v>
      </c>
      <c r="G3230" s="605"/>
      <c r="H3230" s="605"/>
      <c r="I3230" s="605"/>
      <c r="J3230" s="606"/>
      <c r="K3230" s="605"/>
      <c r="L3230" s="605"/>
      <c r="M3230" s="605"/>
      <c r="N3230" s="605"/>
      <c r="O3230" s="605"/>
      <c r="P3230" s="605" t="s">
        <v>5319</v>
      </c>
    </row>
    <row r="3231">
      <c r="A3231" s="605"/>
      <c r="B3231" s="605"/>
      <c r="C3231" s="605"/>
      <c r="D3231" s="605"/>
      <c r="E3231" s="605" t="str">
        <f>IFERROR(__xludf.DUMMYFUNCTION("""COMPUTED_VALUE"""),"TP-LINK")</f>
        <v>TP-LINK</v>
      </c>
      <c r="F3231" s="605" t="str">
        <f>IFERROR(__xludf.DUMMYFUNCTION("""COMPUTED_VALUE"""),"TL-SG1218P")</f>
        <v>TL-SG1218P</v>
      </c>
      <c r="G3231" s="605"/>
      <c r="H3231" s="605"/>
      <c r="I3231" s="605"/>
      <c r="J3231" s="606"/>
      <c r="K3231" s="605"/>
      <c r="L3231" s="605"/>
      <c r="M3231" s="605"/>
      <c r="N3231" s="605"/>
      <c r="O3231" s="605"/>
      <c r="P3231" s="605" t="s">
        <v>5322</v>
      </c>
    </row>
    <row r="3232">
      <c r="A3232" s="605"/>
      <c r="B3232" s="605"/>
      <c r="C3232" s="605"/>
      <c r="D3232" s="605"/>
      <c r="E3232" s="605" t="str">
        <f>IFERROR(__xludf.DUMMYFUNCTION("""COMPUTED_VALUE"""),"TP-LINK")</f>
        <v>TP-LINK</v>
      </c>
      <c r="F3232" s="605" t="str">
        <f>IFERROR(__xludf.DUMMYFUNCTION("""COMPUTED_VALUE"""),"TL-WR841N")</f>
        <v>TL-WR841N</v>
      </c>
      <c r="G3232" s="605"/>
      <c r="H3232" s="605"/>
      <c r="I3232" s="605"/>
      <c r="J3232" s="606"/>
      <c r="K3232" s="605"/>
      <c r="L3232" s="605"/>
      <c r="M3232" s="605"/>
      <c r="N3232" s="605"/>
      <c r="O3232" s="605"/>
      <c r="P3232" s="605" t="s">
        <v>5325</v>
      </c>
    </row>
    <row r="3233">
      <c r="A3233" s="605"/>
      <c r="B3233" s="605"/>
      <c r="C3233" s="605"/>
      <c r="D3233" s="605"/>
      <c r="E3233" s="605" t="str">
        <f>IFERROR(__xludf.DUMMYFUNCTION("""COMPUTED_VALUE"""),"TP-LINK")</f>
        <v>TP-LINK</v>
      </c>
      <c r="F3233" s="605" t="str">
        <f>IFERROR(__xludf.DUMMYFUNCTION("""COMPUTED_VALUE"""),"EAP110")</f>
        <v>EAP110</v>
      </c>
      <c r="G3233" s="605"/>
      <c r="H3233" s="605"/>
      <c r="I3233" s="605"/>
      <c r="J3233" s="606"/>
      <c r="K3233" s="605"/>
      <c r="L3233" s="605"/>
      <c r="M3233" s="605"/>
      <c r="N3233" s="605"/>
      <c r="O3233" s="605"/>
      <c r="P3233" s="605" t="s">
        <v>5328</v>
      </c>
    </row>
    <row r="3234">
      <c r="A3234" s="605"/>
      <c r="B3234" s="605"/>
      <c r="C3234" s="605"/>
      <c r="D3234" s="605"/>
      <c r="E3234" s="605" t="str">
        <f>IFERROR(__xludf.DUMMYFUNCTION("""COMPUTED_VALUE"""),"TP-LINK")</f>
        <v>TP-LINK</v>
      </c>
      <c r="F3234" s="605" t="str">
        <f>IFERROR(__xludf.DUMMYFUNCTION("""COMPUTED_VALUE"""),"T2500G-10TS")</f>
        <v>T2500G-10TS</v>
      </c>
      <c r="G3234" s="605"/>
      <c r="H3234" s="605"/>
      <c r="I3234" s="605"/>
      <c r="J3234" s="606"/>
      <c r="K3234" s="605"/>
      <c r="L3234" s="605"/>
      <c r="M3234" s="605"/>
      <c r="N3234" s="605"/>
      <c r="O3234" s="605"/>
      <c r="P3234" s="605" t="s">
        <v>5331</v>
      </c>
    </row>
    <row r="3235">
      <c r="A3235" s="605"/>
      <c r="B3235" s="605"/>
      <c r="C3235" s="605"/>
      <c r="D3235" s="605"/>
      <c r="E3235" s="605" t="str">
        <f>IFERROR(__xludf.DUMMYFUNCTION("""COMPUTED_VALUE"""),"TP-LINK")</f>
        <v>TP-LINK</v>
      </c>
      <c r="F3235" s="605" t="str">
        <f>IFERROR(__xludf.DUMMYFUNCTION("""COMPUTED_VALUE"""),"LS1008")</f>
        <v>LS1008</v>
      </c>
      <c r="G3235" s="605"/>
      <c r="H3235" s="605"/>
      <c r="I3235" s="605"/>
      <c r="J3235" s="606"/>
      <c r="K3235" s="605"/>
      <c r="L3235" s="605"/>
      <c r="M3235" s="605"/>
      <c r="N3235" s="605"/>
      <c r="O3235" s="605"/>
      <c r="P3235" s="605" t="s">
        <v>5334</v>
      </c>
    </row>
    <row r="3236">
      <c r="A3236" s="605"/>
      <c r="B3236" s="605"/>
      <c r="C3236" s="605"/>
      <c r="D3236" s="605"/>
      <c r="E3236" s="605" t="str">
        <f>IFERROR(__xludf.DUMMYFUNCTION("""COMPUTED_VALUE"""),"TP-LINK")</f>
        <v>TP-LINK</v>
      </c>
      <c r="F3236" s="605" t="str">
        <f>IFERROR(__xludf.DUMMYFUNCTION("""COMPUTED_VALUE"""),"TL-WR702N")</f>
        <v>TL-WR702N</v>
      </c>
      <c r="G3236" s="605"/>
      <c r="H3236" s="605"/>
      <c r="I3236" s="605"/>
      <c r="J3236" s="606"/>
      <c r="K3236" s="605"/>
      <c r="L3236" s="605"/>
      <c r="M3236" s="605"/>
      <c r="N3236" s="605"/>
      <c r="O3236" s="605"/>
      <c r="P3236" s="605" t="s">
        <v>5337</v>
      </c>
    </row>
    <row r="3237">
      <c r="A3237" s="605"/>
      <c r="B3237" s="605"/>
      <c r="C3237" s="605"/>
      <c r="D3237" s="605"/>
      <c r="E3237" s="605" t="str">
        <f>IFERROR(__xludf.DUMMYFUNCTION("""COMPUTED_VALUE"""),"TP-LINK")</f>
        <v>TP-LINK</v>
      </c>
      <c r="F3237" s="605" t="str">
        <f>IFERROR(__xludf.DUMMYFUNCTION("""COMPUTED_VALUE"""),"ARCHER MR200")</f>
        <v>ARCHER MR200</v>
      </c>
      <c r="G3237" s="605"/>
      <c r="H3237" s="605"/>
      <c r="I3237" s="605"/>
      <c r="J3237" s="606"/>
      <c r="K3237" s="605"/>
      <c r="L3237" s="605"/>
      <c r="M3237" s="605"/>
      <c r="N3237" s="605"/>
      <c r="O3237" s="605"/>
      <c r="P3237" s="605" t="s">
        <v>5340</v>
      </c>
    </row>
    <row r="3238">
      <c r="A3238" s="605"/>
      <c r="B3238" s="605"/>
      <c r="C3238" s="605"/>
      <c r="D3238" s="605"/>
      <c r="E3238" s="605" t="str">
        <f>IFERROR(__xludf.DUMMYFUNCTION("""COMPUTED_VALUE"""),"TP-LINK")</f>
        <v>TP-LINK</v>
      </c>
      <c r="F3238" s="605" t="str">
        <f>IFERROR(__xludf.DUMMYFUNCTION("""COMPUTED_VALUE"""),"TL-WR840N")</f>
        <v>TL-WR840N</v>
      </c>
      <c r="G3238" s="605"/>
      <c r="H3238" s="605"/>
      <c r="I3238" s="605"/>
      <c r="J3238" s="606"/>
      <c r="K3238" s="605"/>
      <c r="L3238" s="605"/>
      <c r="M3238" s="605"/>
      <c r="N3238" s="605"/>
      <c r="O3238" s="605"/>
      <c r="P3238" s="605" t="s">
        <v>3113</v>
      </c>
    </row>
    <row r="3239">
      <c r="A3239" s="605"/>
      <c r="B3239" s="605"/>
      <c r="C3239" s="605"/>
      <c r="D3239" s="605"/>
      <c r="E3239" s="605" t="str">
        <f>IFERROR(__xludf.DUMMYFUNCTION("""COMPUTED_VALUE"""),"TP-LINK")</f>
        <v>TP-LINK</v>
      </c>
      <c r="F3239" s="605" t="str">
        <f>IFERROR(__xludf.DUMMYFUNCTION("""COMPUTED_VALUE"""),"ARCHER MR400")</f>
        <v>ARCHER MR400</v>
      </c>
      <c r="G3239" s="605"/>
      <c r="H3239" s="605"/>
      <c r="I3239" s="605"/>
      <c r="J3239" s="606"/>
      <c r="K3239" s="605"/>
      <c r="L3239" s="605"/>
      <c r="M3239" s="605"/>
      <c r="N3239" s="605"/>
      <c r="O3239" s="605"/>
      <c r="P3239" s="605" t="s">
        <v>5342</v>
      </c>
    </row>
    <row r="3240">
      <c r="A3240" s="605"/>
      <c r="B3240" s="605"/>
      <c r="C3240" s="605"/>
      <c r="D3240" s="605"/>
      <c r="E3240" s="605" t="str">
        <f>IFERROR(__xludf.DUMMYFUNCTION("""COMPUTED_VALUE"""),"TP-LINK")</f>
        <v>TP-LINK</v>
      </c>
      <c r="F3240" s="605" t="str">
        <f>IFERROR(__xludf.DUMMYFUNCTION("""COMPUTED_VALUE"""),"ARCHER MR400")</f>
        <v>ARCHER MR400</v>
      </c>
      <c r="G3240" s="605"/>
      <c r="H3240" s="605"/>
      <c r="I3240" s="605"/>
      <c r="J3240" s="606"/>
      <c r="K3240" s="605"/>
      <c r="L3240" s="605"/>
      <c r="M3240" s="605"/>
      <c r="N3240" s="605"/>
      <c r="O3240" s="605"/>
      <c r="P3240" s="605" t="s">
        <v>5345</v>
      </c>
    </row>
    <row r="3241">
      <c r="A3241" s="605"/>
      <c r="B3241" s="605"/>
      <c r="C3241" s="605"/>
      <c r="D3241" s="605"/>
      <c r="E3241" s="605" t="str">
        <f>IFERROR(__xludf.DUMMYFUNCTION("""COMPUTED_VALUE"""),"TP-LINK")</f>
        <v>TP-LINK</v>
      </c>
      <c r="F3241" s="605" t="str">
        <f>IFERROR(__xludf.DUMMYFUNCTION("""COMPUTED_VALUE"""),"TL-SG2008 I GRADE")</f>
        <v>TL-SG2008 I GRADE</v>
      </c>
      <c r="G3241" s="605"/>
      <c r="H3241" s="605"/>
      <c r="I3241" s="605"/>
      <c r="J3241" s="606"/>
      <c r="K3241" s="605"/>
      <c r="L3241" s="605"/>
      <c r="M3241" s="605"/>
      <c r="N3241" s="605"/>
      <c r="O3241" s="605"/>
      <c r="P3241" s="605" t="s">
        <v>5348</v>
      </c>
    </row>
    <row r="3242">
      <c r="A3242" s="605"/>
      <c r="B3242" s="605"/>
      <c r="C3242" s="605"/>
      <c r="D3242" s="605"/>
      <c r="E3242" s="605" t="str">
        <f>IFERROR(__xludf.DUMMYFUNCTION("""COMPUTED_VALUE"""),"TP-LINK")</f>
        <v>TP-LINK</v>
      </c>
      <c r="F3242" s="605" t="str">
        <f>IFERROR(__xludf.DUMMYFUNCTION("""COMPUTED_VALUE"""),"LS1008")</f>
        <v>LS1008</v>
      </c>
      <c r="G3242" s="605"/>
      <c r="H3242" s="605"/>
      <c r="I3242" s="605"/>
      <c r="J3242" s="606"/>
      <c r="K3242" s="605"/>
      <c r="L3242" s="605"/>
      <c r="M3242" s="605"/>
      <c r="N3242" s="605"/>
      <c r="O3242" s="605"/>
      <c r="P3242" s="605" t="s">
        <v>5351</v>
      </c>
    </row>
    <row r="3243">
      <c r="A3243" s="605"/>
      <c r="B3243" s="605"/>
      <c r="C3243" s="605"/>
      <c r="D3243" s="605"/>
      <c r="E3243" s="605" t="str">
        <f>IFERROR(__xludf.DUMMYFUNCTION("""COMPUTED_VALUE"""),"TPLINK")</f>
        <v>TPLINK</v>
      </c>
      <c r="F3243" s="605" t="str">
        <f>IFERROR(__xludf.DUMMYFUNCTION("""COMPUTED_VALUE"""),"LS1005")</f>
        <v>LS1005</v>
      </c>
      <c r="G3243" s="605"/>
      <c r="H3243" s="605"/>
      <c r="I3243" s="605"/>
      <c r="J3243" s="606"/>
      <c r="K3243" s="605"/>
      <c r="L3243" s="605"/>
      <c r="M3243" s="605"/>
      <c r="N3243" s="605"/>
      <c r="O3243" s="605"/>
      <c r="P3243" s="605" t="s">
        <v>5354</v>
      </c>
    </row>
    <row r="3244">
      <c r="A3244" s="605"/>
      <c r="B3244" s="605"/>
      <c r="C3244" s="605"/>
      <c r="D3244" s="605"/>
      <c r="E3244" s="605" t="str">
        <f>IFERROR(__xludf.DUMMYFUNCTION("""COMPUTED_VALUE"""),"TPLINK")</f>
        <v>TPLINK</v>
      </c>
      <c r="F3244" s="605" t="str">
        <f>IFERROR(__xludf.DUMMYFUNCTION("""COMPUTED_VALUE"""),"TL-SG1016DE")</f>
        <v>TL-SG1016DE</v>
      </c>
      <c r="G3244" s="605"/>
      <c r="H3244" s="605"/>
      <c r="I3244" s="605"/>
      <c r="J3244" s="606"/>
      <c r="K3244" s="605"/>
      <c r="L3244" s="605"/>
      <c r="M3244" s="605"/>
      <c r="N3244" s="605"/>
      <c r="O3244" s="605"/>
      <c r="P3244" s="605" t="s">
        <v>5357</v>
      </c>
    </row>
    <row r="3245">
      <c r="A3245" s="605"/>
      <c r="B3245" s="605"/>
      <c r="C3245" s="605"/>
      <c r="D3245" s="605"/>
      <c r="E3245" s="605" t="str">
        <f>IFERROR(__xludf.DUMMYFUNCTION("""COMPUTED_VALUE"""),"TRAKA")</f>
        <v>TRAKA</v>
      </c>
      <c r="F3245" s="605" t="str">
        <f>IFERROR(__xludf.DUMMYFUNCTION("""COMPUTED_VALUE"""),"ASSA ABLOY")</f>
        <v>ASSA ABLOY</v>
      </c>
      <c r="G3245" s="605"/>
      <c r="H3245" s="605"/>
      <c r="I3245" s="605"/>
      <c r="J3245" s="606"/>
      <c r="K3245" s="605"/>
      <c r="L3245" s="605"/>
      <c r="M3245" s="605"/>
      <c r="N3245" s="605"/>
      <c r="O3245" s="605"/>
      <c r="P3245" s="605" t="s">
        <v>5360</v>
      </c>
    </row>
    <row r="3246">
      <c r="A3246" s="605"/>
      <c r="B3246" s="605"/>
      <c r="C3246" s="605"/>
      <c r="D3246" s="605"/>
      <c r="E3246" s="605" t="str">
        <f>IFERROR(__xludf.DUMMYFUNCTION("""COMPUTED_VALUE"""),"TRAKA")</f>
        <v>TRAKA</v>
      </c>
      <c r="F3246" s="605" t="str">
        <f>IFERROR(__xludf.DUMMYFUNCTION("""COMPUTED_VALUE"""),"V SERIES")</f>
        <v>V SERIES</v>
      </c>
      <c r="G3246" s="605"/>
      <c r="H3246" s="605"/>
      <c r="I3246" s="605"/>
      <c r="J3246" s="606"/>
      <c r="K3246" s="605"/>
      <c r="L3246" s="605"/>
      <c r="M3246" s="605"/>
      <c r="N3246" s="605"/>
      <c r="O3246" s="605"/>
      <c r="P3246" s="605" t="s">
        <v>5363</v>
      </c>
    </row>
    <row r="3247">
      <c r="A3247" s="605"/>
      <c r="B3247" s="605"/>
      <c r="C3247" s="605"/>
      <c r="D3247" s="605"/>
      <c r="E3247" s="605" t="str">
        <f>IFERROR(__xludf.DUMMYFUNCTION("""COMPUTED_VALUE"""),"TRAKA")</f>
        <v>TRAKA</v>
      </c>
      <c r="F3247" s="605" t="str">
        <f>IFERROR(__xludf.DUMMYFUNCTION("""COMPUTED_VALUE"""),"KC-1-0156")</f>
        <v>KC-1-0156</v>
      </c>
      <c r="G3247" s="605"/>
      <c r="H3247" s="605"/>
      <c r="I3247" s="605"/>
      <c r="J3247" s="606"/>
      <c r="K3247" s="605"/>
      <c r="L3247" s="605"/>
      <c r="M3247" s="605"/>
      <c r="N3247" s="605"/>
      <c r="O3247" s="605"/>
      <c r="P3247" s="605" t="s">
        <v>5366</v>
      </c>
    </row>
    <row r="3248">
      <c r="A3248" s="605"/>
      <c r="B3248" s="605"/>
      <c r="C3248" s="605"/>
      <c r="D3248" s="605"/>
      <c r="E3248" s="605" t="str">
        <f>IFERROR(__xludf.DUMMYFUNCTION("""COMPUTED_VALUE"""),"TRAKA")</f>
        <v>TRAKA</v>
      </c>
      <c r="F3248" s="605" t="str">
        <f>IFERROR(__xludf.DUMMYFUNCTION("""COMPUTED_VALUE"""),"TOUCH PRO V")</f>
        <v>TOUCH PRO V</v>
      </c>
      <c r="G3248" s="605"/>
      <c r="H3248" s="605"/>
      <c r="I3248" s="605"/>
      <c r="J3248" s="606"/>
      <c r="K3248" s="605"/>
      <c r="L3248" s="605"/>
      <c r="M3248" s="605"/>
      <c r="N3248" s="605"/>
      <c r="O3248" s="605"/>
      <c r="P3248" s="605" t="s">
        <v>5369</v>
      </c>
    </row>
    <row r="3249">
      <c r="A3249" s="605"/>
      <c r="B3249" s="605"/>
      <c r="C3249" s="605"/>
      <c r="D3249" s="605"/>
      <c r="E3249" s="605" t="str">
        <f>IFERROR(__xludf.DUMMYFUNCTION("""COMPUTED_VALUE"""),"TRANE")</f>
        <v>TRANE</v>
      </c>
      <c r="F3249" s="605" t="str">
        <f>IFERROR(__xludf.DUMMYFUNCTION("""COMPUTED_VALUE"""),"2TEC3F60A1000AA")</f>
        <v>2TEC3F60A1000AA</v>
      </c>
      <c r="G3249" s="605"/>
      <c r="H3249" s="605"/>
      <c r="I3249" s="605"/>
      <c r="J3249" s="606"/>
      <c r="K3249" s="605"/>
      <c r="L3249" s="605"/>
      <c r="M3249" s="605"/>
      <c r="N3249" s="605"/>
      <c r="O3249" s="605"/>
      <c r="P3249" s="605" t="s">
        <v>3116</v>
      </c>
    </row>
    <row r="3250">
      <c r="A3250" s="605"/>
      <c r="B3250" s="605"/>
      <c r="C3250" s="605"/>
      <c r="D3250" s="605"/>
      <c r="E3250" s="605" t="str">
        <f>IFERROR(__xludf.DUMMYFUNCTION("""COMPUTED_VALUE"""),"TRANE")</f>
        <v>TRANE</v>
      </c>
      <c r="F3250" s="605" t="str">
        <f>IFERROR(__xludf.DUMMYFUNCTION("""COMPUTED_VALUE"""),"BCI-C")</f>
        <v>BCI-C</v>
      </c>
      <c r="G3250" s="605"/>
      <c r="H3250" s="605"/>
      <c r="I3250" s="605"/>
      <c r="J3250" s="606"/>
      <c r="K3250" s="605"/>
      <c r="L3250" s="605"/>
      <c r="M3250" s="605"/>
      <c r="N3250" s="605"/>
      <c r="O3250" s="605"/>
      <c r="P3250" s="605" t="s">
        <v>5372</v>
      </c>
    </row>
    <row r="3251">
      <c r="A3251" s="605"/>
      <c r="B3251" s="605"/>
      <c r="C3251" s="605"/>
      <c r="D3251" s="605"/>
      <c r="E3251" s="605" t="str">
        <f>IFERROR(__xludf.DUMMYFUNCTION("""COMPUTED_VALUE"""),"TRANE")</f>
        <v>TRANE</v>
      </c>
      <c r="F3251" s="605" t="str">
        <f>IFERROR(__xludf.DUMMYFUNCTION("""COMPUTED_VALUE"""),"BCU")</f>
        <v>BCU</v>
      </c>
      <c r="G3251" s="605"/>
      <c r="H3251" s="605"/>
      <c r="I3251" s="605"/>
      <c r="J3251" s="606"/>
      <c r="K3251" s="605"/>
      <c r="L3251" s="605"/>
      <c r="M3251" s="605"/>
      <c r="N3251" s="605"/>
      <c r="O3251" s="605"/>
      <c r="P3251" s="605" t="s">
        <v>5375</v>
      </c>
    </row>
    <row r="3252">
      <c r="A3252" s="605"/>
      <c r="B3252" s="605"/>
      <c r="C3252" s="605"/>
      <c r="D3252" s="605"/>
      <c r="E3252" s="605" t="str">
        <f>IFERROR(__xludf.DUMMYFUNCTION("""COMPUTED_VALUE"""),"TRANE")</f>
        <v>TRANE</v>
      </c>
      <c r="F3252" s="605" t="str">
        <f>IFERROR(__xludf.DUMMYFUNCTION("""COMPUTED_VALUE"""),"PM014")</f>
        <v>PM014</v>
      </c>
      <c r="G3252" s="605"/>
      <c r="H3252" s="605"/>
      <c r="I3252" s="605"/>
      <c r="J3252" s="606"/>
      <c r="K3252" s="605"/>
      <c r="L3252" s="605"/>
      <c r="M3252" s="605"/>
      <c r="N3252" s="605"/>
      <c r="O3252" s="605"/>
      <c r="P3252" s="605" t="s">
        <v>5378</v>
      </c>
    </row>
    <row r="3253">
      <c r="A3253" s="605"/>
      <c r="B3253" s="605"/>
      <c r="C3253" s="605"/>
      <c r="D3253" s="605"/>
      <c r="E3253" s="605" t="str">
        <f>IFERROR(__xludf.DUMMYFUNCTION("""COMPUTED_VALUE"""),"TRANE")</f>
        <v>TRANE</v>
      </c>
      <c r="F3253" s="605" t="str">
        <f>IFERROR(__xludf.DUMMYFUNCTION("""COMPUTED_VALUE"""),"TRACER SC")</f>
        <v>TRACER SC</v>
      </c>
      <c r="G3253" s="605"/>
      <c r="H3253" s="605"/>
      <c r="I3253" s="605"/>
      <c r="J3253" s="606"/>
      <c r="K3253" s="605"/>
      <c r="L3253" s="605"/>
      <c r="M3253" s="605"/>
      <c r="N3253" s="605"/>
      <c r="O3253" s="605"/>
      <c r="P3253" s="605" t="s">
        <v>5381</v>
      </c>
    </row>
    <row r="3254">
      <c r="A3254" s="605"/>
      <c r="B3254" s="605"/>
      <c r="C3254" s="605"/>
      <c r="D3254" s="605"/>
      <c r="E3254" s="605" t="str">
        <f>IFERROR(__xludf.DUMMYFUNCTION("""COMPUTED_VALUE"""),"TRANE")</f>
        <v>TRANE</v>
      </c>
      <c r="F3254" s="605" t="str">
        <f>IFERROR(__xludf.DUMMYFUNCTION("""COMPUTED_VALUE"""),"TRACER SC+")</f>
        <v>TRACER SC+</v>
      </c>
      <c r="G3254" s="605"/>
      <c r="H3254" s="605"/>
      <c r="I3254" s="605"/>
      <c r="J3254" s="606"/>
      <c r="K3254" s="605"/>
      <c r="L3254" s="605"/>
      <c r="M3254" s="605"/>
      <c r="N3254" s="605"/>
      <c r="O3254" s="605"/>
      <c r="P3254" s="605" t="s">
        <v>5384</v>
      </c>
    </row>
    <row r="3255">
      <c r="A3255" s="605"/>
      <c r="B3255" s="605"/>
      <c r="C3255" s="605"/>
      <c r="D3255" s="605"/>
      <c r="E3255" s="605" t="str">
        <f>IFERROR(__xludf.DUMMYFUNCTION("""COMPUTED_VALUE"""),"TRANE")</f>
        <v>TRANE</v>
      </c>
      <c r="F3255" s="605" t="str">
        <f>IFERROR(__xludf.DUMMYFUNCTION("""COMPUTED_VALUE"""),"TRACER SUMMIT")</f>
        <v>TRACER SUMMIT</v>
      </c>
      <c r="G3255" s="605"/>
      <c r="H3255" s="605"/>
      <c r="I3255" s="605"/>
      <c r="J3255" s="606"/>
      <c r="K3255" s="605"/>
      <c r="L3255" s="605"/>
      <c r="M3255" s="605"/>
      <c r="N3255" s="605"/>
      <c r="O3255" s="605"/>
      <c r="P3255" s="605" t="s">
        <v>5387</v>
      </c>
    </row>
    <row r="3256">
      <c r="A3256" s="605"/>
      <c r="B3256" s="605"/>
      <c r="C3256" s="605"/>
      <c r="D3256" s="605"/>
      <c r="E3256" s="605" t="str">
        <f>IFERROR(__xludf.DUMMYFUNCTION("""COMPUTED_VALUE"""),"TRANE")</f>
        <v>TRANE</v>
      </c>
      <c r="F3256" s="605" t="str">
        <f>IFERROR(__xludf.DUMMYFUNCTION("""COMPUTED_VALUE"""),"TRACER SUMMIT BCU")</f>
        <v>TRACER SUMMIT BCU</v>
      </c>
      <c r="G3256" s="605"/>
      <c r="H3256" s="605"/>
      <c r="I3256" s="605"/>
      <c r="J3256" s="606"/>
      <c r="K3256" s="605"/>
      <c r="L3256" s="605"/>
      <c r="M3256" s="605"/>
      <c r="N3256" s="605"/>
      <c r="O3256" s="605"/>
      <c r="P3256" s="605" t="s">
        <v>5390</v>
      </c>
    </row>
    <row r="3257">
      <c r="A3257" s="605"/>
      <c r="B3257" s="605"/>
      <c r="C3257" s="605"/>
      <c r="D3257" s="605"/>
      <c r="E3257" s="605" t="str">
        <f>IFERROR(__xludf.DUMMYFUNCTION("""COMPUTED_VALUE"""),"TRANE")</f>
        <v>TRANE</v>
      </c>
      <c r="F3257" s="605" t="str">
        <f>IFERROR(__xludf.DUMMYFUNCTION("""COMPUTED_VALUE"""),"TRACER UC600")</f>
        <v>TRACER UC600</v>
      </c>
      <c r="G3257" s="605"/>
      <c r="H3257" s="605"/>
      <c r="I3257" s="605"/>
      <c r="J3257" s="606"/>
      <c r="K3257" s="605"/>
      <c r="L3257" s="605"/>
      <c r="M3257" s="605"/>
      <c r="N3257" s="605"/>
      <c r="O3257" s="605"/>
      <c r="P3257" s="605" t="s">
        <v>5393</v>
      </c>
    </row>
    <row r="3258">
      <c r="A3258" s="605"/>
      <c r="B3258" s="605"/>
      <c r="C3258" s="605"/>
      <c r="D3258" s="605"/>
      <c r="E3258" s="605" t="str">
        <f>IFERROR(__xludf.DUMMYFUNCTION("""COMPUTED_VALUE"""),"TRANE")</f>
        <v>TRANE</v>
      </c>
      <c r="F3258" s="605" t="str">
        <f>IFERROR(__xludf.DUMMYFUNCTION("""COMPUTED_VALUE"""),"TWE030P13FB0")</f>
        <v>TWE030P13FB0</v>
      </c>
      <c r="G3258" s="605"/>
      <c r="H3258" s="605"/>
      <c r="I3258" s="605"/>
      <c r="J3258" s="606"/>
      <c r="K3258" s="605"/>
      <c r="L3258" s="605"/>
      <c r="M3258" s="605"/>
      <c r="N3258" s="605"/>
      <c r="O3258" s="605"/>
      <c r="P3258" s="605" t="s">
        <v>5396</v>
      </c>
    </row>
    <row r="3259">
      <c r="A3259" s="605"/>
      <c r="B3259" s="605"/>
      <c r="C3259" s="605"/>
      <c r="D3259" s="605"/>
      <c r="E3259" s="605" t="str">
        <f>IFERROR(__xludf.DUMMYFUNCTION("""COMPUTED_VALUE"""),"TRANE")</f>
        <v>TRANE</v>
      </c>
      <c r="F3259" s="605" t="str">
        <f>IFERROR(__xludf.DUMMYFUNCTION("""COMPUTED_VALUE"""),"TWE048P13FB0")</f>
        <v>TWE048P13FB0</v>
      </c>
      <c r="G3259" s="605"/>
      <c r="H3259" s="605"/>
      <c r="I3259" s="605"/>
      <c r="J3259" s="606"/>
      <c r="K3259" s="605"/>
      <c r="L3259" s="605"/>
      <c r="M3259" s="605"/>
      <c r="N3259" s="605"/>
      <c r="O3259" s="605"/>
      <c r="P3259" s="605" t="s">
        <v>5398</v>
      </c>
    </row>
    <row r="3260">
      <c r="A3260" s="605"/>
      <c r="B3260" s="605"/>
      <c r="C3260" s="605"/>
      <c r="D3260" s="605"/>
      <c r="E3260" s="605" t="str">
        <f>IFERROR(__xludf.DUMMYFUNCTION("""COMPUTED_VALUE"""),"TRANE")</f>
        <v>TRANE</v>
      </c>
      <c r="F3260" s="605" t="str">
        <f>IFERROR(__xludf.DUMMYFUNCTION("""COMPUTED_VALUE"""),"TWE060A400CA")</f>
        <v>TWE060A400CA</v>
      </c>
      <c r="G3260" s="605"/>
      <c r="H3260" s="605"/>
      <c r="I3260" s="605"/>
      <c r="J3260" s="606"/>
      <c r="K3260" s="605"/>
      <c r="L3260" s="605"/>
      <c r="M3260" s="605"/>
      <c r="N3260" s="605"/>
      <c r="O3260" s="605"/>
      <c r="P3260" s="605" t="s">
        <v>3119</v>
      </c>
    </row>
    <row r="3261">
      <c r="A3261" s="605"/>
      <c r="B3261" s="605"/>
      <c r="C3261" s="605"/>
      <c r="D3261" s="605"/>
      <c r="E3261" s="605" t="str">
        <f>IFERROR(__xludf.DUMMYFUNCTION("""COMPUTED_VALUE"""),"TRANE")</f>
        <v>TRANE</v>
      </c>
      <c r="F3261" s="605" t="str">
        <f>IFERROR(__xludf.DUMMYFUNCTION("""COMPUTED_VALUE"""),"TRACER UC600")</f>
        <v>TRACER UC600</v>
      </c>
      <c r="G3261" s="605"/>
      <c r="H3261" s="605"/>
      <c r="I3261" s="605"/>
      <c r="J3261" s="606"/>
      <c r="K3261" s="605"/>
      <c r="L3261" s="605"/>
      <c r="M3261" s="605"/>
      <c r="N3261" s="605"/>
      <c r="O3261" s="605"/>
      <c r="P3261" s="605" t="s">
        <v>5401</v>
      </c>
    </row>
    <row r="3262">
      <c r="A3262" s="605"/>
      <c r="B3262" s="605"/>
      <c r="C3262" s="605"/>
      <c r="D3262" s="605"/>
      <c r="E3262" s="605" t="str">
        <f>IFERROR(__xludf.DUMMYFUNCTION("""COMPUTED_VALUE"""),"TRANE")</f>
        <v>TRANE</v>
      </c>
      <c r="F3262" s="605" t="str">
        <f>IFERROR(__xludf.DUMMYFUNCTION("""COMPUTED_VALUE"""),"TRACER XM70")</f>
        <v>TRACER XM70</v>
      </c>
      <c r="G3262" s="605"/>
      <c r="H3262" s="605"/>
      <c r="I3262" s="605"/>
      <c r="J3262" s="606"/>
      <c r="K3262" s="605"/>
      <c r="L3262" s="605"/>
      <c r="M3262" s="605"/>
      <c r="N3262" s="605"/>
      <c r="O3262" s="605"/>
      <c r="P3262" s="605" t="s">
        <v>5404</v>
      </c>
    </row>
    <row r="3263">
      <c r="A3263" s="605"/>
      <c r="B3263" s="605"/>
      <c r="C3263" s="605"/>
      <c r="D3263" s="605"/>
      <c r="E3263" s="605" t="str">
        <f>IFERROR(__xludf.DUMMYFUNCTION("""COMPUTED_VALUE"""),"TRANE")</f>
        <v>TRANE</v>
      </c>
      <c r="F3263" s="605" t="str">
        <f>IFERROR(__xludf.DUMMYFUNCTION("""COMPUTED_VALUE"""),"NTYWST09A112A")</f>
        <v>NTYWST09A112A</v>
      </c>
      <c r="G3263" s="605"/>
      <c r="H3263" s="605"/>
      <c r="I3263" s="605"/>
      <c r="J3263" s="606"/>
      <c r="K3263" s="605"/>
      <c r="L3263" s="605"/>
      <c r="M3263" s="605"/>
      <c r="N3263" s="605"/>
      <c r="O3263" s="605"/>
      <c r="P3263" s="605" t="s">
        <v>5407</v>
      </c>
    </row>
    <row r="3264">
      <c r="A3264" s="605"/>
      <c r="B3264" s="605"/>
      <c r="C3264" s="605"/>
      <c r="D3264" s="605"/>
      <c r="E3264" s="605" t="str">
        <f>IFERROR(__xludf.DUMMYFUNCTION("""COMPUTED_VALUE"""),"TRANE")</f>
        <v>TRANE</v>
      </c>
      <c r="F3264" s="605" t="str">
        <f>IFERROR(__xludf.DUMMYFUNCTION("""COMPUTED_VALUE"""),"TURYP2644BN40AN")</f>
        <v>TURYP2644BN40AN</v>
      </c>
      <c r="G3264" s="605"/>
      <c r="H3264" s="605"/>
      <c r="I3264" s="605"/>
      <c r="J3264" s="606"/>
      <c r="K3264" s="605"/>
      <c r="L3264" s="605"/>
      <c r="M3264" s="605"/>
      <c r="N3264" s="605"/>
      <c r="O3264" s="605"/>
      <c r="P3264" s="605" t="s">
        <v>5410</v>
      </c>
    </row>
    <row r="3265">
      <c r="A3265" s="605"/>
      <c r="B3265" s="605"/>
      <c r="C3265" s="605"/>
      <c r="D3265" s="605"/>
      <c r="E3265" s="605" t="str">
        <f>IFERROR(__xludf.DUMMYFUNCTION("""COMPUTED_VALUE"""),"TRANE")</f>
        <v>TRANE</v>
      </c>
      <c r="F3265" s="605" t="str">
        <f>IFERROR(__xludf.DUMMYFUNCTION("""COMPUTED_VALUE"""),"TPEFYP018MH142A")</f>
        <v>TPEFYP018MH142A</v>
      </c>
      <c r="G3265" s="605"/>
      <c r="H3265" s="605"/>
      <c r="I3265" s="605"/>
      <c r="J3265" s="606"/>
      <c r="K3265" s="605"/>
      <c r="L3265" s="605"/>
      <c r="M3265" s="605"/>
      <c r="N3265" s="605"/>
      <c r="O3265" s="605"/>
      <c r="P3265" s="605" t="s">
        <v>5413</v>
      </c>
    </row>
    <row r="3266">
      <c r="A3266" s="605"/>
      <c r="B3266" s="605"/>
      <c r="C3266" s="605"/>
      <c r="D3266" s="605"/>
      <c r="E3266" s="605" t="str">
        <f>IFERROR(__xludf.DUMMYFUNCTION("""COMPUTED_VALUE"""),"TRANE")</f>
        <v>TRANE</v>
      </c>
      <c r="F3266" s="605" t="str">
        <f>IFERROR(__xludf.DUMMYFUNCTION("""COMPUTED_VALUE"""),"TPEFYP008MA143A")</f>
        <v>TPEFYP008MA143A</v>
      </c>
      <c r="G3266" s="605"/>
      <c r="H3266" s="605"/>
      <c r="I3266" s="605"/>
      <c r="J3266" s="606"/>
      <c r="K3266" s="605"/>
      <c r="L3266" s="605"/>
      <c r="M3266" s="605"/>
      <c r="N3266" s="605"/>
      <c r="O3266" s="605"/>
      <c r="P3266" s="605" t="s">
        <v>5416</v>
      </c>
    </row>
    <row r="3267">
      <c r="A3267" s="605"/>
      <c r="B3267" s="605"/>
      <c r="C3267" s="605"/>
      <c r="D3267" s="605"/>
      <c r="E3267" s="605" t="str">
        <f>IFERROR(__xludf.DUMMYFUNCTION("""COMPUTED_VALUE"""),"TRANE")</f>
        <v>TRANE</v>
      </c>
      <c r="F3267" s="605" t="str">
        <f>IFERROR(__xludf.DUMMYFUNCTION("""COMPUTED_VALUE"""),"TPEFYP006MA143A")</f>
        <v>TPEFYP006MA143A</v>
      </c>
      <c r="G3267" s="605"/>
      <c r="H3267" s="605"/>
      <c r="I3267" s="605"/>
      <c r="J3267" s="606"/>
      <c r="K3267" s="605"/>
      <c r="L3267" s="605"/>
      <c r="M3267" s="605"/>
      <c r="N3267" s="605"/>
      <c r="O3267" s="605"/>
      <c r="P3267" s="605" t="s">
        <v>5419</v>
      </c>
    </row>
    <row r="3268">
      <c r="A3268" s="605"/>
      <c r="B3268" s="605"/>
      <c r="C3268" s="605"/>
      <c r="D3268" s="605"/>
      <c r="E3268" s="605" t="str">
        <f>IFERROR(__xludf.DUMMYFUNCTION("""COMPUTED_VALUE"""),"TRANE")</f>
        <v>TRANE</v>
      </c>
      <c r="F3268" s="605" t="str">
        <f>IFERROR(__xludf.DUMMYFUNCTION("""COMPUTED_VALUE"""),"TPEFYP006MA13A")</f>
        <v>TPEFYP006MA13A</v>
      </c>
      <c r="G3268" s="605"/>
      <c r="H3268" s="605"/>
      <c r="I3268" s="605"/>
      <c r="J3268" s="606"/>
      <c r="K3268" s="605"/>
      <c r="L3268" s="605"/>
      <c r="M3268" s="605"/>
      <c r="N3268" s="605"/>
      <c r="O3268" s="605"/>
      <c r="P3268" s="605" t="s">
        <v>5422</v>
      </c>
    </row>
    <row r="3269">
      <c r="A3269" s="605"/>
      <c r="B3269" s="605"/>
      <c r="C3269" s="605"/>
      <c r="D3269" s="605"/>
      <c r="E3269" s="605" t="str">
        <f>IFERROR(__xludf.DUMMYFUNCTION("""COMPUTED_VALUE"""),"TRANE")</f>
        <v>TRANE</v>
      </c>
      <c r="F3269" s="605" t="str">
        <f>IFERROR(__xludf.DUMMYFUNCTION("""COMPUTED_VALUE"""),"PKA-A30KA7")</f>
        <v>PKA-A30KA7</v>
      </c>
      <c r="G3269" s="605"/>
      <c r="H3269" s="605"/>
      <c r="I3269" s="605"/>
      <c r="J3269" s="606"/>
      <c r="K3269" s="605"/>
      <c r="L3269" s="605"/>
      <c r="M3269" s="605"/>
      <c r="N3269" s="605"/>
      <c r="O3269" s="605"/>
      <c r="P3269" s="605" t="s">
        <v>5425</v>
      </c>
    </row>
    <row r="3270">
      <c r="A3270" s="605"/>
      <c r="B3270" s="605"/>
      <c r="C3270" s="605"/>
      <c r="D3270" s="605"/>
      <c r="E3270" s="605" t="str">
        <f>IFERROR(__xludf.DUMMYFUNCTION("""COMPUTED_VALUE"""),"TRANE")</f>
        <v>TRANE</v>
      </c>
      <c r="F3270" s="605" t="str">
        <f>IFERROR(__xludf.DUMMYFUNCTION("""COMPUTED_VALUE"""),"NTXDKS12A112A")</f>
        <v>NTXDKS12A112A</v>
      </c>
      <c r="G3270" s="605"/>
      <c r="H3270" s="605"/>
      <c r="I3270" s="605"/>
      <c r="J3270" s="606"/>
      <c r="K3270" s="605"/>
      <c r="L3270" s="605"/>
      <c r="M3270" s="605"/>
      <c r="N3270" s="605"/>
      <c r="O3270" s="605"/>
      <c r="P3270" s="605" t="s">
        <v>5428</v>
      </c>
    </row>
    <row r="3271">
      <c r="A3271" s="605"/>
      <c r="B3271" s="605"/>
      <c r="C3271" s="605"/>
      <c r="D3271" s="605"/>
      <c r="E3271" s="605" t="str">
        <f>IFERROR(__xludf.DUMMYFUNCTION("""COMPUTED_VALUE"""),"TRANE")</f>
        <v>TRANE</v>
      </c>
      <c r="F3271" s="605" t="str">
        <f>IFERROR(__xludf.DUMMYFUNCTION("""COMPUTED_VALUE"""),"TPEFYP048MH142A")</f>
        <v>TPEFYP048MH142A</v>
      </c>
      <c r="G3271" s="605"/>
      <c r="H3271" s="605"/>
      <c r="I3271" s="605"/>
      <c r="J3271" s="606"/>
      <c r="K3271" s="605"/>
      <c r="L3271" s="605"/>
      <c r="M3271" s="605"/>
      <c r="N3271" s="605"/>
      <c r="O3271" s="605"/>
      <c r="P3271" s="605" t="s">
        <v>3122</v>
      </c>
    </row>
    <row r="3272">
      <c r="A3272" s="605"/>
      <c r="B3272" s="605"/>
      <c r="C3272" s="605"/>
      <c r="D3272" s="605"/>
      <c r="E3272" s="605" t="str">
        <f>IFERROR(__xludf.DUMMYFUNCTION("""COMPUTED_VALUE"""),"TRANE")</f>
        <v>TRANE</v>
      </c>
      <c r="F3272" s="605" t="str">
        <f>IFERROR(__xludf.DUMMYFUNCTION("""COMPUTED_VALUE"""),"TPEFYP030MH142A")</f>
        <v>TPEFYP030MH142A</v>
      </c>
      <c r="G3272" s="605"/>
      <c r="H3272" s="605"/>
      <c r="I3272" s="605"/>
      <c r="J3272" s="606"/>
      <c r="K3272" s="605"/>
      <c r="L3272" s="605"/>
      <c r="M3272" s="605"/>
      <c r="N3272" s="605"/>
      <c r="O3272" s="605"/>
      <c r="P3272" s="605" t="s">
        <v>5431</v>
      </c>
    </row>
    <row r="3273">
      <c r="A3273" s="605"/>
      <c r="B3273" s="605"/>
      <c r="C3273" s="605"/>
      <c r="D3273" s="605"/>
      <c r="E3273" s="605" t="str">
        <f>IFERROR(__xludf.DUMMYFUNCTION("""COMPUTED_VALUE"""),"TRANE")</f>
        <v>TRANE</v>
      </c>
      <c r="F3273" s="605" t="str">
        <f>IFERROR(__xludf.DUMMYFUNCTION("""COMPUTED_VALUE"""),"TPEFYP036MH142A")</f>
        <v>TPEFYP036MH142A</v>
      </c>
      <c r="G3273" s="605"/>
      <c r="H3273" s="605"/>
      <c r="I3273" s="605"/>
      <c r="J3273" s="606"/>
      <c r="K3273" s="605"/>
      <c r="L3273" s="605"/>
      <c r="M3273" s="605"/>
      <c r="N3273" s="605"/>
      <c r="O3273" s="605"/>
      <c r="P3273" s="605" t="s">
        <v>5434</v>
      </c>
    </row>
    <row r="3274">
      <c r="A3274" s="605"/>
      <c r="B3274" s="605"/>
      <c r="C3274" s="605"/>
      <c r="D3274" s="605"/>
      <c r="E3274" s="605" t="str">
        <f>IFERROR(__xludf.DUMMYFUNCTION("""COMPUTED_VALUE"""),"TRANE")</f>
        <v>TRANE</v>
      </c>
      <c r="F3274" s="605" t="str">
        <f>IFERROR(__xludf.DUMMYFUNCTION("""COMPUTED_VALUE"""),"TPEFYP054MH142A")</f>
        <v>TPEFYP054MH142A</v>
      </c>
      <c r="G3274" s="605"/>
      <c r="H3274" s="605"/>
      <c r="I3274" s="605"/>
      <c r="J3274" s="606"/>
      <c r="K3274" s="605"/>
      <c r="L3274" s="605"/>
      <c r="M3274" s="605"/>
      <c r="N3274" s="605"/>
      <c r="O3274" s="605"/>
      <c r="P3274" s="605" t="s">
        <v>5436</v>
      </c>
    </row>
    <row r="3275">
      <c r="A3275" s="605"/>
      <c r="B3275" s="605"/>
      <c r="C3275" s="605"/>
      <c r="D3275" s="605"/>
      <c r="E3275" s="605" t="str">
        <f>IFERROR(__xludf.DUMMYFUNCTION("""COMPUTED_VALUE"""),"TRANE")</f>
        <v>TRANE</v>
      </c>
      <c r="F3275" s="605" t="str">
        <f>IFERROR(__xludf.DUMMYFUNCTION("""COMPUTED_VALUE"""),"TPEFYP072MH140A")</f>
        <v>TPEFYP072MH140A</v>
      </c>
      <c r="G3275" s="605"/>
      <c r="H3275" s="605"/>
      <c r="I3275" s="605"/>
      <c r="J3275" s="606"/>
      <c r="K3275" s="605"/>
      <c r="L3275" s="605"/>
      <c r="M3275" s="605"/>
      <c r="N3275" s="605"/>
      <c r="O3275" s="605"/>
      <c r="P3275" s="605" t="s">
        <v>5439</v>
      </c>
    </row>
    <row r="3276">
      <c r="A3276" s="605"/>
      <c r="B3276" s="605"/>
      <c r="C3276" s="605"/>
      <c r="D3276" s="605"/>
      <c r="E3276" s="605" t="str">
        <f>IFERROR(__xludf.DUMMYFUNCTION("""COMPUTED_VALUE"""),"TRANE")</f>
        <v>TRANE</v>
      </c>
      <c r="F3276" s="605" t="str">
        <f>IFERROR(__xludf.DUMMYFUNCTION("""COMPUTED_VALUE"""),"TPEFYP096MH140A")</f>
        <v>TPEFYP096MH140A</v>
      </c>
      <c r="G3276" s="605"/>
      <c r="H3276" s="605"/>
      <c r="I3276" s="605"/>
      <c r="J3276" s="606"/>
      <c r="K3276" s="605"/>
      <c r="L3276" s="605"/>
      <c r="M3276" s="605"/>
      <c r="N3276" s="605"/>
      <c r="O3276" s="605"/>
      <c r="P3276" s="605" t="s">
        <v>5442</v>
      </c>
    </row>
    <row r="3277">
      <c r="A3277" s="605"/>
      <c r="B3277" s="605"/>
      <c r="C3277" s="605"/>
      <c r="D3277" s="605"/>
      <c r="E3277" s="605" t="str">
        <f>IFERROR(__xludf.DUMMYFUNCTION("""COMPUTED_VALUE"""),"TRANE")</f>
        <v>TRANE</v>
      </c>
      <c r="F3277" s="605" t="str">
        <f>IFERROR(__xludf.DUMMYFUNCTION("""COMPUTED_VALUE"""),"UC210")</f>
        <v>UC210</v>
      </c>
      <c r="G3277" s="605"/>
      <c r="H3277" s="605"/>
      <c r="I3277" s="605"/>
      <c r="J3277" s="606"/>
      <c r="K3277" s="605"/>
      <c r="L3277" s="605"/>
      <c r="M3277" s="605"/>
      <c r="N3277" s="605"/>
      <c r="O3277" s="605"/>
      <c r="P3277" s="605" t="s">
        <v>5445</v>
      </c>
    </row>
    <row r="3278">
      <c r="A3278" s="605"/>
      <c r="B3278" s="605"/>
      <c r="C3278" s="605"/>
      <c r="D3278" s="605"/>
      <c r="E3278" s="605" t="str">
        <f>IFERROR(__xludf.DUMMYFUNCTION("""COMPUTED_VALUE"""),"TRANE")</f>
        <v>TRANE</v>
      </c>
      <c r="F3278" s="605" t="str">
        <f>IFERROR(__xludf.DUMMYFUNCTION("""COMPUTED_VALUE"""),"TE-200A")</f>
        <v>TE-200A</v>
      </c>
      <c r="G3278" s="605"/>
      <c r="H3278" s="605"/>
      <c r="I3278" s="605"/>
      <c r="J3278" s="606"/>
      <c r="K3278" s="605"/>
      <c r="L3278" s="605"/>
      <c r="M3278" s="605"/>
      <c r="N3278" s="605"/>
      <c r="O3278" s="605"/>
      <c r="P3278" s="605" t="s">
        <v>5448</v>
      </c>
    </row>
    <row r="3279">
      <c r="A3279" s="605"/>
      <c r="B3279" s="605"/>
      <c r="C3279" s="605"/>
      <c r="D3279" s="605"/>
      <c r="E3279" s="605" t="str">
        <f>IFERROR(__xludf.DUMMYFUNCTION("""COMPUTED_VALUE"""),"TRANE")</f>
        <v>TRANE</v>
      </c>
      <c r="F3279" s="605" t="str">
        <f>IFERROR(__xludf.DUMMYFUNCTION("""COMPUTED_VALUE"""),"PUY-A30NHA7")</f>
        <v>PUY-A30NHA7</v>
      </c>
      <c r="G3279" s="605"/>
      <c r="H3279" s="605"/>
      <c r="I3279" s="605"/>
      <c r="J3279" s="606"/>
      <c r="K3279" s="605"/>
      <c r="L3279" s="605"/>
      <c r="M3279" s="605"/>
      <c r="N3279" s="605"/>
      <c r="O3279" s="605"/>
      <c r="P3279" s="605" t="s">
        <v>5450</v>
      </c>
    </row>
    <row r="3280">
      <c r="A3280" s="605"/>
      <c r="B3280" s="605"/>
      <c r="C3280" s="605"/>
      <c r="D3280" s="605"/>
      <c r="E3280" s="605" t="str">
        <f>IFERROR(__xludf.DUMMYFUNCTION("""COMPUTED_VALUE"""),"TRANE")</f>
        <v>TRANE</v>
      </c>
      <c r="F3280" s="605" t="str">
        <f>IFERROR(__xludf.DUMMYFUNCTION("""COMPUTED_VALUE"""),"NTYSST09A112AB")</f>
        <v>NTYSST09A112AB</v>
      </c>
      <c r="G3280" s="605"/>
      <c r="H3280" s="605"/>
      <c r="I3280" s="605"/>
      <c r="J3280" s="606"/>
      <c r="K3280" s="605"/>
      <c r="L3280" s="605"/>
      <c r="M3280" s="605"/>
      <c r="N3280" s="605"/>
      <c r="O3280" s="605"/>
      <c r="P3280" s="605" t="s">
        <v>5453</v>
      </c>
    </row>
    <row r="3281">
      <c r="A3281" s="605"/>
      <c r="B3281" s="605"/>
      <c r="C3281" s="605"/>
      <c r="D3281" s="605"/>
      <c r="E3281" s="605" t="str">
        <f>IFERROR(__xludf.DUMMYFUNCTION("""COMPUTED_VALUE"""),"TRANE")</f>
        <v>TRANE</v>
      </c>
      <c r="F3281" s="605" t="str">
        <f>IFERROR(__xludf.DUMMYFUNCTION("""COMPUTED_VALUE"""),"TPEFYP024MH142A")</f>
        <v>TPEFYP024MH142A</v>
      </c>
      <c r="G3281" s="605"/>
      <c r="H3281" s="605"/>
      <c r="I3281" s="605"/>
      <c r="J3281" s="606"/>
      <c r="K3281" s="605"/>
      <c r="L3281" s="605"/>
      <c r="M3281" s="605"/>
      <c r="N3281" s="605"/>
      <c r="O3281" s="605"/>
      <c r="P3281" s="605" t="s">
        <v>5456</v>
      </c>
    </row>
    <row r="3282">
      <c r="A3282" s="605"/>
      <c r="B3282" s="605"/>
      <c r="C3282" s="605"/>
      <c r="D3282" s="605"/>
      <c r="E3282" s="605" t="str">
        <f>IFERROR(__xludf.DUMMYFUNCTION("""COMPUTED_VALUE"""),"TRANE")</f>
        <v>TRANE</v>
      </c>
      <c r="F3282" s="605" t="str">
        <f>IFERROR(__xludf.DUMMYFUNCTION("""COMPUTED_VALUE"""),"NTXSKS12A112A")</f>
        <v>NTXSKS12A112A</v>
      </c>
      <c r="G3282" s="605"/>
      <c r="H3282" s="605"/>
      <c r="I3282" s="605"/>
      <c r="J3282" s="606"/>
      <c r="K3282" s="605"/>
      <c r="L3282" s="605"/>
      <c r="M3282" s="605"/>
      <c r="N3282" s="605"/>
      <c r="O3282" s="605"/>
      <c r="P3282" s="605" t="s">
        <v>3125</v>
      </c>
    </row>
    <row r="3283">
      <c r="A3283" s="605"/>
      <c r="B3283" s="605"/>
      <c r="C3283" s="605"/>
      <c r="D3283" s="605"/>
      <c r="E3283" s="605" t="str">
        <f>IFERROR(__xludf.DUMMYFUNCTION("""COMPUTED_VALUE"""),"TRANE")</f>
        <v>TRANE</v>
      </c>
      <c r="F3283" s="605" t="str">
        <f>IFERROR(__xludf.DUMMYFUNCTION("""COMPUTED_VALUE"""),"VCEF")</f>
        <v>VCEF</v>
      </c>
      <c r="G3283" s="605"/>
      <c r="H3283" s="605"/>
      <c r="I3283" s="605"/>
      <c r="J3283" s="606"/>
      <c r="K3283" s="605"/>
      <c r="L3283" s="605"/>
      <c r="M3283" s="605"/>
      <c r="N3283" s="605"/>
      <c r="O3283" s="605"/>
      <c r="P3283" s="605" t="s">
        <v>5459</v>
      </c>
    </row>
    <row r="3284">
      <c r="A3284" s="605"/>
      <c r="B3284" s="605"/>
      <c r="C3284" s="605"/>
      <c r="D3284" s="605"/>
      <c r="E3284" s="605" t="str">
        <f>IFERROR(__xludf.DUMMYFUNCTION("""COMPUTED_VALUE"""),"TRANE")</f>
        <v>TRANE</v>
      </c>
      <c r="F3284" s="605" t="str">
        <f>IFERROR(__xludf.DUMMYFUNCTION("""COMPUTED_VALUE"""),"VPEF")</f>
        <v>VPEF</v>
      </c>
      <c r="G3284" s="605"/>
      <c r="H3284" s="605"/>
      <c r="I3284" s="605"/>
      <c r="J3284" s="606"/>
      <c r="K3284" s="605"/>
      <c r="L3284" s="605"/>
      <c r="M3284" s="605"/>
      <c r="N3284" s="605"/>
      <c r="O3284" s="605"/>
      <c r="P3284" s="605" t="s">
        <v>5462</v>
      </c>
    </row>
    <row r="3285">
      <c r="A3285" s="605"/>
      <c r="B3285" s="605"/>
      <c r="C3285" s="605"/>
      <c r="D3285" s="605"/>
      <c r="E3285" s="605" t="str">
        <f>IFERROR(__xludf.DUMMYFUNCTION("""COMPUTED_VALUE"""),"TRANE")</f>
        <v>TRANE</v>
      </c>
      <c r="F3285" s="605" t="str">
        <f>IFERROR(__xludf.DUMMYFUNCTION("""COMPUTED_VALUE"""),"YHD")</f>
        <v>YHD</v>
      </c>
      <c r="G3285" s="605"/>
      <c r="H3285" s="605"/>
      <c r="I3285" s="605"/>
      <c r="J3285" s="606"/>
      <c r="K3285" s="605"/>
      <c r="L3285" s="605"/>
      <c r="M3285" s="605"/>
      <c r="N3285" s="605"/>
      <c r="O3285" s="605"/>
      <c r="P3285" s="605" t="s">
        <v>5465</v>
      </c>
    </row>
    <row r="3286">
      <c r="A3286" s="605"/>
      <c r="B3286" s="605"/>
      <c r="C3286" s="605"/>
      <c r="D3286" s="605"/>
      <c r="E3286" s="605" t="str">
        <f>IFERROR(__xludf.DUMMYFUNCTION("""COMPUTED_VALUE"""),"TRANE")</f>
        <v>TRANE</v>
      </c>
      <c r="F3286" s="605" t="str">
        <f>IFERROR(__xludf.DUMMYFUNCTION("""COMPUTED_VALUE"""),"YHC")</f>
        <v>YHC</v>
      </c>
      <c r="G3286" s="605"/>
      <c r="H3286" s="605"/>
      <c r="I3286" s="605"/>
      <c r="J3286" s="606"/>
      <c r="K3286" s="605"/>
      <c r="L3286" s="605"/>
      <c r="M3286" s="605"/>
      <c r="N3286" s="605"/>
      <c r="O3286" s="605"/>
      <c r="P3286" s="605" t="s">
        <v>5468</v>
      </c>
    </row>
    <row r="3287">
      <c r="A3287" s="605"/>
      <c r="B3287" s="605"/>
      <c r="C3287" s="605"/>
      <c r="D3287" s="605"/>
      <c r="E3287" s="605" t="str">
        <f>IFERROR(__xludf.DUMMYFUNCTION("""COMPUTED_VALUE"""),"TRANE")</f>
        <v>TRANE</v>
      </c>
      <c r="F3287" s="605" t="str">
        <f>IFERROR(__xludf.DUMMYFUNCTION("""COMPUTED_VALUE"""),"YZD")</f>
        <v>YZD</v>
      </c>
      <c r="G3287" s="605"/>
      <c r="H3287" s="605"/>
      <c r="I3287" s="605"/>
      <c r="J3287" s="606"/>
      <c r="K3287" s="605"/>
      <c r="L3287" s="605"/>
      <c r="M3287" s="605"/>
      <c r="N3287" s="605"/>
      <c r="O3287" s="605"/>
      <c r="P3287" s="605" t="s">
        <v>5471</v>
      </c>
    </row>
    <row r="3288">
      <c r="A3288" s="605"/>
      <c r="B3288" s="605"/>
      <c r="C3288" s="605"/>
      <c r="D3288" s="605"/>
      <c r="E3288" s="605" t="str">
        <f>IFERROR(__xludf.DUMMYFUNCTION("""COMPUTED_VALUE"""),"TRANE")</f>
        <v>TRANE</v>
      </c>
      <c r="F3288" s="605" t="str">
        <f>IFERROR(__xludf.DUMMYFUNCTION("""COMPUTED_VALUE"""),"TPEFYP")</f>
        <v>TPEFYP</v>
      </c>
      <c r="G3288" s="605"/>
      <c r="H3288" s="605"/>
      <c r="I3288" s="605"/>
      <c r="J3288" s="606"/>
      <c r="K3288" s="605"/>
      <c r="L3288" s="605"/>
      <c r="M3288" s="605"/>
      <c r="N3288" s="605"/>
      <c r="O3288" s="605"/>
      <c r="P3288" s="605" t="s">
        <v>5474</v>
      </c>
    </row>
    <row r="3289">
      <c r="A3289" s="605"/>
      <c r="B3289" s="605"/>
      <c r="C3289" s="605"/>
      <c r="D3289" s="605"/>
      <c r="E3289" s="605" t="str">
        <f>IFERROR(__xludf.DUMMYFUNCTION("""COMPUTED_VALUE"""),"TRANE")</f>
        <v>TRANE</v>
      </c>
      <c r="F3289" s="605" t="str">
        <f>IFERROR(__xludf.DUMMYFUNCTION("""COMPUTED_VALUE"""),"BACNET CONTROLLER")</f>
        <v>BACNET CONTROLLER</v>
      </c>
      <c r="G3289" s="605"/>
      <c r="H3289" s="605"/>
      <c r="I3289" s="605"/>
      <c r="J3289" s="606"/>
      <c r="K3289" s="605"/>
      <c r="L3289" s="605"/>
      <c r="M3289" s="605"/>
      <c r="N3289" s="605"/>
      <c r="O3289" s="605"/>
      <c r="P3289" s="605" t="s">
        <v>5477</v>
      </c>
    </row>
    <row r="3290">
      <c r="A3290" s="605"/>
      <c r="B3290" s="605"/>
      <c r="C3290" s="605"/>
      <c r="D3290" s="605"/>
      <c r="E3290" s="605" t="str">
        <f>IFERROR(__xludf.DUMMYFUNCTION("""COMPUTED_VALUE"""),"TRANE")</f>
        <v>TRANE</v>
      </c>
      <c r="F3290" s="605" t="str">
        <f>IFERROR(__xludf.DUMMYFUNCTION("""COMPUTED_VALUE"""),"TR-150 VFD")</f>
        <v>TR-150 VFD</v>
      </c>
      <c r="G3290" s="605"/>
      <c r="H3290" s="605"/>
      <c r="I3290" s="605"/>
      <c r="J3290" s="606"/>
      <c r="K3290" s="605"/>
      <c r="L3290" s="605"/>
      <c r="M3290" s="605"/>
      <c r="N3290" s="605"/>
      <c r="O3290" s="605"/>
      <c r="P3290" s="605" t="s">
        <v>5480</v>
      </c>
    </row>
    <row r="3291">
      <c r="A3291" s="605"/>
      <c r="B3291" s="605"/>
      <c r="C3291" s="605"/>
      <c r="D3291" s="605"/>
      <c r="E3291" s="605" t="str">
        <f>IFERROR(__xludf.DUMMYFUNCTION("""COMPUTED_VALUE"""),"TRANE")</f>
        <v>TRANE</v>
      </c>
      <c r="F3291" s="605" t="str">
        <f>IFERROR(__xludf.DUMMYFUNCTION("""COMPUTED_VALUE"""),"TRACER UC800")</f>
        <v>TRACER UC800</v>
      </c>
      <c r="G3291" s="605"/>
      <c r="H3291" s="605"/>
      <c r="I3291" s="605"/>
      <c r="J3291" s="606"/>
      <c r="K3291" s="605"/>
      <c r="L3291" s="605"/>
      <c r="M3291" s="605"/>
      <c r="N3291" s="605"/>
      <c r="O3291" s="605"/>
      <c r="P3291" s="605" t="s">
        <v>5483</v>
      </c>
    </row>
    <row r="3292">
      <c r="A3292" s="605"/>
      <c r="B3292" s="605"/>
      <c r="C3292" s="605"/>
      <c r="D3292" s="605"/>
      <c r="E3292" s="605" t="str">
        <f>IFERROR(__xludf.DUMMYFUNCTION("""COMPUTED_VALUE"""),"TRANE")</f>
        <v>TRANE</v>
      </c>
      <c r="F3292" s="605" t="str">
        <f>IFERROR(__xludf.DUMMYFUNCTION("""COMPUTED_VALUE"""),"SYMBIO 500")</f>
        <v>SYMBIO 500</v>
      </c>
      <c r="G3292" s="605"/>
      <c r="H3292" s="605"/>
      <c r="I3292" s="605"/>
      <c r="J3292" s="606"/>
      <c r="K3292" s="605"/>
      <c r="L3292" s="605"/>
      <c r="M3292" s="605"/>
      <c r="N3292" s="605"/>
      <c r="O3292" s="605"/>
      <c r="P3292" s="605" t="s">
        <v>5486</v>
      </c>
    </row>
    <row r="3293">
      <c r="A3293" s="605"/>
      <c r="B3293" s="605"/>
      <c r="C3293" s="605"/>
      <c r="D3293" s="605"/>
      <c r="E3293" s="605" t="str">
        <f>IFERROR(__xludf.DUMMYFUNCTION("""COMPUTED_VALUE"""),"TRANE")</f>
        <v>TRANE</v>
      </c>
      <c r="F3293" s="605" t="str">
        <f>IFERROR(__xludf.DUMMYFUNCTION("""COMPUTED_VALUE"""),"ADAPTIVIEW")</f>
        <v>ADAPTIVIEW</v>
      </c>
      <c r="G3293" s="605"/>
      <c r="H3293" s="605"/>
      <c r="I3293" s="605"/>
      <c r="J3293" s="606"/>
      <c r="K3293" s="605"/>
      <c r="L3293" s="605"/>
      <c r="M3293" s="605"/>
      <c r="N3293" s="605"/>
      <c r="O3293" s="605"/>
      <c r="P3293" s="605" t="s">
        <v>2890</v>
      </c>
    </row>
    <row r="3294">
      <c r="A3294" s="605"/>
      <c r="B3294" s="605"/>
      <c r="C3294" s="605"/>
      <c r="D3294" s="605"/>
      <c r="E3294" s="605" t="str">
        <f>IFERROR(__xludf.DUMMYFUNCTION("""COMPUTED_VALUE"""),"TRANE")</f>
        <v>TRANE</v>
      </c>
      <c r="F3294" s="605" t="str">
        <f>IFERROR(__xludf.DUMMYFUNCTION("""COMPUTED_VALUE"""),"INTELLIPAK")</f>
        <v>INTELLIPAK</v>
      </c>
      <c r="G3294" s="605"/>
      <c r="H3294" s="605"/>
      <c r="I3294" s="605"/>
      <c r="J3294" s="606"/>
      <c r="K3294" s="605"/>
      <c r="L3294" s="605"/>
      <c r="M3294" s="605"/>
      <c r="N3294" s="605"/>
      <c r="O3294" s="605"/>
      <c r="P3294" s="605" t="s">
        <v>3128</v>
      </c>
    </row>
    <row r="3295">
      <c r="A3295" s="605"/>
      <c r="B3295" s="605"/>
      <c r="C3295" s="605"/>
      <c r="D3295" s="605"/>
      <c r="E3295" s="605" t="str">
        <f>IFERROR(__xludf.DUMMYFUNCTION("""COMPUTED_VALUE"""),"TRANE")</f>
        <v>TRANE</v>
      </c>
      <c r="F3295" s="605" t="str">
        <f>IFERROR(__xludf.DUMMYFUNCTION("""COMPUTED_VALUE"""),"TCMBM BC CONTROLLER")</f>
        <v>TCMBM BC CONTROLLER</v>
      </c>
      <c r="G3295" s="605"/>
      <c r="H3295" s="605"/>
      <c r="I3295" s="605"/>
      <c r="J3295" s="606"/>
      <c r="K3295" s="605"/>
      <c r="L3295" s="605"/>
      <c r="M3295" s="605"/>
      <c r="N3295" s="605"/>
      <c r="O3295" s="605"/>
      <c r="P3295" s="605" t="s">
        <v>5489</v>
      </c>
    </row>
    <row r="3296">
      <c r="A3296" s="605"/>
      <c r="B3296" s="605"/>
      <c r="C3296" s="605"/>
      <c r="D3296" s="605"/>
      <c r="E3296" s="605" t="str">
        <f>IFERROR(__xludf.DUMMYFUNCTION("""COMPUTED_VALUE"""),"TRANE")</f>
        <v>TRANE</v>
      </c>
      <c r="F3296" s="605" t="str">
        <f>IFERROR(__xludf.DUMMYFUNCTION("""COMPUTED_VALUE"""),"TVR MINI PLUS R410A")</f>
        <v>TVR MINI PLUS R410A</v>
      </c>
      <c r="G3296" s="605"/>
      <c r="H3296" s="605"/>
      <c r="I3296" s="605"/>
      <c r="J3296" s="606"/>
      <c r="K3296" s="605"/>
      <c r="L3296" s="605"/>
      <c r="M3296" s="605"/>
      <c r="N3296" s="605"/>
      <c r="O3296" s="605"/>
      <c r="P3296" s="605" t="s">
        <v>5492</v>
      </c>
    </row>
    <row r="3297">
      <c r="A3297" s="605"/>
      <c r="B3297" s="605"/>
      <c r="C3297" s="605"/>
      <c r="D3297" s="605"/>
      <c r="E3297" s="605" t="str">
        <f>IFERROR(__xludf.DUMMYFUNCTION("""COMPUTED_VALUE"""),"TRANSACT")</f>
        <v>TRANSACT</v>
      </c>
      <c r="F3297" s="605" t="str">
        <f>IFERROR(__xludf.DUMMYFUNCTION("""COMPUTED_VALUE"""),"ACCUDATE XL2E")</f>
        <v>ACCUDATE XL2E</v>
      </c>
      <c r="G3297" s="605"/>
      <c r="H3297" s="605"/>
      <c r="I3297" s="605"/>
      <c r="J3297" s="606"/>
      <c r="K3297" s="605"/>
      <c r="L3297" s="605"/>
      <c r="M3297" s="605"/>
      <c r="N3297" s="605"/>
      <c r="O3297" s="605"/>
      <c r="P3297" s="605" t="s">
        <v>5495</v>
      </c>
    </row>
    <row r="3298">
      <c r="A3298" s="605"/>
      <c r="B3298" s="605"/>
      <c r="C3298" s="605"/>
      <c r="D3298" s="605"/>
      <c r="E3298" s="605" t="str">
        <f>IFERROR(__xludf.DUMMYFUNCTION("""COMPUTED_VALUE"""),"TRANSITION NETWORKS")</f>
        <v>TRANSITION NETWORKS</v>
      </c>
      <c r="F3298" s="605" t="str">
        <f>IFERROR(__xludf.DUMMYFUNCTION("""COMPUTED_VALUE"""),"SM10T2DPA")</f>
        <v>SM10T2DPA</v>
      </c>
      <c r="G3298" s="605"/>
      <c r="H3298" s="605"/>
      <c r="I3298" s="605"/>
      <c r="J3298" s="606"/>
      <c r="K3298" s="605"/>
      <c r="L3298" s="605"/>
      <c r="M3298" s="605"/>
      <c r="N3298" s="605"/>
      <c r="O3298" s="605"/>
      <c r="P3298" s="605" t="s">
        <v>5498</v>
      </c>
    </row>
    <row r="3299">
      <c r="A3299" s="605"/>
      <c r="B3299" s="605"/>
      <c r="C3299" s="605"/>
      <c r="D3299" s="605"/>
      <c r="E3299" s="605" t="str">
        <f>IFERROR(__xludf.DUMMYFUNCTION("""COMPUTED_VALUE"""),"TRANSITION NETWORKS")</f>
        <v>TRANSITION NETWORKS</v>
      </c>
      <c r="F3299" s="605" t="str">
        <f>IFERROR(__xludf.DUMMYFUNCTION("""COMPUTED_VALUE"""),"SM8TAT2DPA")</f>
        <v>SM8TAT2DPA</v>
      </c>
      <c r="G3299" s="605"/>
      <c r="H3299" s="605"/>
      <c r="I3299" s="605"/>
      <c r="J3299" s="606"/>
      <c r="K3299" s="605"/>
      <c r="L3299" s="605"/>
      <c r="M3299" s="605"/>
      <c r="N3299" s="605"/>
      <c r="O3299" s="605"/>
      <c r="P3299" s="605" t="s">
        <v>5501</v>
      </c>
    </row>
    <row r="3300">
      <c r="A3300" s="605"/>
      <c r="B3300" s="605"/>
      <c r="C3300" s="605"/>
      <c r="D3300" s="605"/>
      <c r="E3300" s="605" t="str">
        <f>IFERROR(__xludf.DUMMYFUNCTION("""COMPUTED_VALUE"""),"TRAXON E:CUE")</f>
        <v>TRAXON E:CUE</v>
      </c>
      <c r="F3300" s="605" t="str">
        <f>IFERROR(__xludf.DUMMYFUNCTION("""COMPUTED_VALUE"""),"BUTLER S2")</f>
        <v>BUTLER S2</v>
      </c>
      <c r="G3300" s="605"/>
      <c r="H3300" s="605"/>
      <c r="I3300" s="605"/>
      <c r="J3300" s="606"/>
      <c r="K3300" s="605"/>
      <c r="L3300" s="605"/>
      <c r="M3300" s="605"/>
      <c r="N3300" s="605"/>
      <c r="O3300" s="605"/>
      <c r="P3300" s="605" t="s">
        <v>5503</v>
      </c>
    </row>
    <row r="3301">
      <c r="A3301" s="605"/>
      <c r="B3301" s="605"/>
      <c r="C3301" s="605"/>
      <c r="D3301" s="605"/>
      <c r="E3301" s="605" t="str">
        <f>IFERROR(__xludf.DUMMYFUNCTION("""COMPUTED_VALUE"""),"TREND")</f>
        <v>TREND</v>
      </c>
      <c r="F3301" s="605" t="str">
        <f>IFERROR(__xludf.DUMMYFUNCTION("""COMPUTED_VALUE"""),"IQ3 XCITE")</f>
        <v>IQ3 XCITE</v>
      </c>
      <c r="G3301" s="605"/>
      <c r="H3301" s="605"/>
      <c r="I3301" s="605"/>
      <c r="J3301" s="606"/>
      <c r="K3301" s="605"/>
      <c r="L3301" s="605"/>
      <c r="M3301" s="605"/>
      <c r="N3301" s="605"/>
      <c r="O3301" s="605"/>
      <c r="P3301" s="605" t="s">
        <v>5505</v>
      </c>
    </row>
    <row r="3302">
      <c r="A3302" s="605"/>
      <c r="B3302" s="605"/>
      <c r="C3302" s="605"/>
      <c r="D3302" s="605"/>
      <c r="E3302" s="605" t="str">
        <f>IFERROR(__xludf.DUMMYFUNCTION("""COMPUTED_VALUE"""),"TREND")</f>
        <v>TREND</v>
      </c>
      <c r="F3302" s="605" t="str">
        <f>IFERROR(__xludf.DUMMYFUNCTION("""COMPUTED_VALUE"""),"IQ3XACT")</f>
        <v>IQ3XACT</v>
      </c>
      <c r="G3302" s="605"/>
      <c r="H3302" s="605"/>
      <c r="I3302" s="605"/>
      <c r="J3302" s="606"/>
      <c r="K3302" s="605"/>
      <c r="L3302" s="605"/>
      <c r="M3302" s="605"/>
      <c r="N3302" s="605"/>
      <c r="O3302" s="605"/>
      <c r="P3302" s="605" t="s">
        <v>5507</v>
      </c>
    </row>
    <row r="3303">
      <c r="A3303" s="605"/>
      <c r="B3303" s="605"/>
      <c r="C3303" s="605"/>
      <c r="D3303" s="605"/>
      <c r="E3303" s="605" t="str">
        <f>IFERROR(__xludf.DUMMYFUNCTION("""COMPUTED_VALUE"""),"TREND")</f>
        <v>TREND</v>
      </c>
      <c r="F3303" s="605" t="str">
        <f>IFERROR(__xludf.DUMMYFUNCTION("""COMPUTED_VALUE"""),"IQ3 XCITE")</f>
        <v>IQ3 XCITE</v>
      </c>
      <c r="G3303" s="605"/>
      <c r="H3303" s="605"/>
      <c r="I3303" s="605"/>
      <c r="J3303" s="606"/>
      <c r="K3303" s="605"/>
      <c r="L3303" s="605"/>
      <c r="M3303" s="605"/>
      <c r="N3303" s="605"/>
      <c r="O3303" s="605"/>
      <c r="P3303" s="605" t="s">
        <v>5509</v>
      </c>
    </row>
    <row r="3304">
      <c r="A3304" s="605"/>
      <c r="B3304" s="605"/>
      <c r="C3304" s="605"/>
      <c r="D3304" s="605"/>
      <c r="E3304" s="605" t="str">
        <f>IFERROR(__xludf.DUMMYFUNCTION("""COMPUTED_VALUE"""),"TREND")</f>
        <v>TREND</v>
      </c>
      <c r="F3304" s="605" t="str">
        <f>IFERROR(__xludf.DUMMYFUNCTION("""COMPUTED_VALUE"""),"IQ4E")</f>
        <v>IQ4E</v>
      </c>
      <c r="G3304" s="605"/>
      <c r="H3304" s="605"/>
      <c r="I3304" s="605"/>
      <c r="J3304" s="606"/>
      <c r="K3304" s="605"/>
      <c r="L3304" s="605"/>
      <c r="M3304" s="605"/>
      <c r="N3304" s="605"/>
      <c r="O3304" s="605"/>
      <c r="P3304" s="605" t="s">
        <v>5511</v>
      </c>
    </row>
    <row r="3305">
      <c r="A3305" s="605"/>
      <c r="B3305" s="605"/>
      <c r="C3305" s="605"/>
      <c r="D3305" s="605"/>
      <c r="E3305" s="605" t="str">
        <f>IFERROR(__xludf.DUMMYFUNCTION("""COMPUTED_VALUE"""),"TREND")</f>
        <v>TREND</v>
      </c>
      <c r="F3305" s="605" t="str">
        <f>IFERROR(__xludf.DUMMYFUNCTION("""COMPUTED_VALUE"""),"IQ422")</f>
        <v>IQ422</v>
      </c>
      <c r="G3305" s="605"/>
      <c r="H3305" s="605"/>
      <c r="I3305" s="605"/>
      <c r="J3305" s="606"/>
      <c r="K3305" s="605"/>
      <c r="L3305" s="605"/>
      <c r="M3305" s="605"/>
      <c r="N3305" s="605"/>
      <c r="O3305" s="605"/>
      <c r="P3305" s="605" t="s">
        <v>3131</v>
      </c>
    </row>
    <row r="3306">
      <c r="A3306" s="605"/>
      <c r="B3306" s="605"/>
      <c r="C3306" s="605"/>
      <c r="D3306" s="605"/>
      <c r="E3306" s="605" t="str">
        <f>IFERROR(__xludf.DUMMYFUNCTION("""COMPUTED_VALUE"""),"TREND")</f>
        <v>TREND</v>
      </c>
      <c r="F3306" s="605" t="str">
        <f>IFERROR(__xludf.DUMMYFUNCTION("""COMPUTED_VALUE"""),"IQ4E")</f>
        <v>IQ4E</v>
      </c>
      <c r="G3306" s="605"/>
      <c r="H3306" s="605"/>
      <c r="I3306" s="605"/>
      <c r="J3306" s="606"/>
      <c r="K3306" s="605"/>
      <c r="L3306" s="605"/>
      <c r="M3306" s="605"/>
      <c r="N3306" s="605"/>
      <c r="O3306" s="605"/>
      <c r="P3306" s="605" t="s">
        <v>5513</v>
      </c>
    </row>
    <row r="3307">
      <c r="A3307" s="605"/>
      <c r="B3307" s="605"/>
      <c r="C3307" s="605"/>
      <c r="D3307" s="605"/>
      <c r="E3307" s="605" t="str">
        <f>IFERROR(__xludf.DUMMYFUNCTION("""COMPUTED_VALUE"""),"TREND")</f>
        <v>TREND</v>
      </c>
      <c r="F3307" s="605" t="str">
        <f>IFERROR(__xludf.DUMMYFUNCTION("""COMPUTED_VALUE"""),"IQ4NC")</f>
        <v>IQ4NC</v>
      </c>
      <c r="G3307" s="605"/>
      <c r="H3307" s="605"/>
      <c r="I3307" s="605"/>
      <c r="J3307" s="606"/>
      <c r="K3307" s="605"/>
      <c r="L3307" s="605"/>
      <c r="M3307" s="605"/>
      <c r="N3307" s="605"/>
      <c r="O3307" s="605"/>
      <c r="P3307" s="605" t="s">
        <v>5517</v>
      </c>
    </row>
    <row r="3308">
      <c r="A3308" s="605"/>
      <c r="B3308" s="605"/>
      <c r="C3308" s="605"/>
      <c r="D3308" s="605"/>
      <c r="E3308" s="605" t="str">
        <f>IFERROR(__xludf.DUMMYFUNCTION("""COMPUTED_VALUE"""),"TREND")</f>
        <v>TREND</v>
      </c>
      <c r="F3308" s="605" t="str">
        <f>IFERROR(__xludf.DUMMYFUNCTION("""COMPUTED_VALUE"""),"IQVIEW")</f>
        <v>IQVIEW</v>
      </c>
      <c r="G3308" s="605"/>
      <c r="H3308" s="605"/>
      <c r="I3308" s="605"/>
      <c r="J3308" s="606"/>
      <c r="K3308" s="605"/>
      <c r="L3308" s="605"/>
      <c r="M3308" s="605"/>
      <c r="N3308" s="605"/>
      <c r="O3308" s="605"/>
      <c r="P3308" s="605" t="s">
        <v>5520</v>
      </c>
    </row>
    <row r="3309">
      <c r="A3309" s="605"/>
      <c r="B3309" s="605"/>
      <c r="C3309" s="605"/>
      <c r="D3309" s="605"/>
      <c r="E3309" s="605" t="str">
        <f>IFERROR(__xludf.DUMMYFUNCTION("""COMPUTED_VALUE"""),"TREND")</f>
        <v>TREND</v>
      </c>
      <c r="F3309" s="605" t="str">
        <f>IFERROR(__xludf.DUMMYFUNCTION("""COMPUTED_VALUE"""),"TONN6")</f>
        <v>TONN6</v>
      </c>
      <c r="G3309" s="605"/>
      <c r="H3309" s="605"/>
      <c r="I3309" s="605"/>
      <c r="J3309" s="606"/>
      <c r="K3309" s="605"/>
      <c r="L3309" s="605"/>
      <c r="M3309" s="605"/>
      <c r="N3309" s="605"/>
      <c r="O3309" s="605"/>
      <c r="P3309" s="605" t="s">
        <v>5523</v>
      </c>
    </row>
    <row r="3310">
      <c r="A3310" s="605"/>
      <c r="B3310" s="605"/>
      <c r="C3310" s="605"/>
      <c r="D3310" s="605"/>
      <c r="E3310" s="605" t="str">
        <f>IFERROR(__xludf.DUMMYFUNCTION("""COMPUTED_VALUE"""),"TREND")</f>
        <v>TREND</v>
      </c>
      <c r="F3310" s="605" t="str">
        <f>IFERROR(__xludf.DUMMYFUNCTION("""COMPUTED_VALUE"""),"TONN8")</f>
        <v>TONN8</v>
      </c>
      <c r="G3310" s="605"/>
      <c r="H3310" s="605"/>
      <c r="I3310" s="605"/>
      <c r="J3310" s="606"/>
      <c r="K3310" s="605"/>
      <c r="L3310" s="605"/>
      <c r="M3310" s="605"/>
      <c r="N3310" s="605"/>
      <c r="O3310" s="605"/>
      <c r="P3310" s="605" t="s">
        <v>5526</v>
      </c>
    </row>
    <row r="3311">
      <c r="A3311" s="605"/>
      <c r="B3311" s="605"/>
      <c r="C3311" s="605"/>
      <c r="D3311" s="605"/>
      <c r="E3311" s="605" t="str">
        <f>IFERROR(__xludf.DUMMYFUNCTION("""COMPUTED_VALUE"""),"TREND")</f>
        <v>TREND</v>
      </c>
      <c r="F3311" s="605" t="str">
        <f>IFERROR(__xludf.DUMMYFUNCTION("""COMPUTED_VALUE"""),"IQ412")</f>
        <v>IQ412</v>
      </c>
      <c r="G3311" s="605"/>
      <c r="H3311" s="605"/>
      <c r="I3311" s="605"/>
      <c r="J3311" s="606"/>
      <c r="K3311" s="605"/>
      <c r="L3311" s="605"/>
      <c r="M3311" s="605"/>
      <c r="N3311" s="605"/>
      <c r="O3311" s="605"/>
      <c r="P3311" s="605" t="s">
        <v>5529</v>
      </c>
    </row>
    <row r="3312">
      <c r="A3312" s="605"/>
      <c r="B3312" s="605"/>
      <c r="C3312" s="605"/>
      <c r="D3312" s="605"/>
      <c r="E3312" s="605" t="str">
        <f>IFERROR(__xludf.DUMMYFUNCTION("""COMPUTED_VALUE"""),"TREND")</f>
        <v>TREND</v>
      </c>
      <c r="F3312" s="605" t="str">
        <f>IFERROR(__xludf.DUMMYFUNCTION("""COMPUTED_VALUE"""),"TONN-8100-24")</f>
        <v>TONN-8100-24</v>
      </c>
      <c r="G3312" s="605"/>
      <c r="H3312" s="605"/>
      <c r="I3312" s="605"/>
      <c r="J3312" s="606"/>
      <c r="K3312" s="605"/>
      <c r="L3312" s="605"/>
      <c r="M3312" s="605"/>
      <c r="N3312" s="605"/>
      <c r="O3312" s="605"/>
      <c r="P3312" s="605" t="s">
        <v>5532</v>
      </c>
    </row>
    <row r="3313">
      <c r="A3313" s="605"/>
      <c r="B3313" s="605"/>
      <c r="C3313" s="605"/>
      <c r="D3313" s="605"/>
      <c r="E3313" s="605" t="str">
        <f>IFERROR(__xludf.DUMMYFUNCTION("""COMPUTED_VALUE"""),"TREND")</f>
        <v>TREND</v>
      </c>
      <c r="F3313" s="605" t="str">
        <f>IFERROR(__xludf.DUMMYFUNCTION("""COMPUTED_VALUE"""),"IQ ECO35")</f>
        <v>IQ ECO35</v>
      </c>
      <c r="G3313" s="605"/>
      <c r="H3313" s="605"/>
      <c r="I3313" s="605"/>
      <c r="J3313" s="606"/>
      <c r="K3313" s="605"/>
      <c r="L3313" s="605"/>
      <c r="M3313" s="605"/>
      <c r="N3313" s="605"/>
      <c r="O3313" s="605"/>
      <c r="P3313" s="605" t="s">
        <v>5535</v>
      </c>
    </row>
    <row r="3314">
      <c r="A3314" s="605"/>
      <c r="B3314" s="605"/>
      <c r="C3314" s="605"/>
      <c r="D3314" s="605"/>
      <c r="E3314" s="605" t="str">
        <f>IFERROR(__xludf.DUMMYFUNCTION("""COMPUTED_VALUE"""),"TREND")</f>
        <v>TREND</v>
      </c>
      <c r="F3314" s="605" t="str">
        <f>IFERROR(__xludf.DUMMYFUNCTION("""COMPUTED_VALUE"""),"3XTEND/EINC L")</f>
        <v>3XTEND/EINC L</v>
      </c>
      <c r="G3314" s="605"/>
      <c r="H3314" s="605"/>
      <c r="I3314" s="605"/>
      <c r="J3314" s="606"/>
      <c r="K3314" s="605"/>
      <c r="L3314" s="605"/>
      <c r="M3314" s="605"/>
      <c r="N3314" s="605"/>
      <c r="O3314" s="605"/>
      <c r="P3314" s="605" t="s">
        <v>5538</v>
      </c>
    </row>
    <row r="3315">
      <c r="A3315" s="605"/>
      <c r="B3315" s="605"/>
      <c r="C3315" s="605"/>
      <c r="D3315" s="605"/>
      <c r="E3315" s="605" t="str">
        <f>IFERROR(__xludf.DUMMYFUNCTION("""COMPUTED_VALUE"""),"TRENDNET")</f>
        <v>TRENDNET</v>
      </c>
      <c r="F3315" s="605" t="str">
        <f>IFERROR(__xludf.DUMMYFUNCTION("""COMPUTED_VALUE"""),"5-PORT GIGABIT GREENNET")</f>
        <v>5-PORT GIGABIT GREENNET</v>
      </c>
      <c r="G3315" s="605"/>
      <c r="H3315" s="605"/>
      <c r="I3315" s="605"/>
      <c r="J3315" s="606"/>
      <c r="K3315" s="605"/>
      <c r="L3315" s="605"/>
      <c r="M3315" s="605"/>
      <c r="N3315" s="605"/>
      <c r="O3315" s="605"/>
      <c r="P3315" s="605" t="s">
        <v>5541</v>
      </c>
    </row>
    <row r="3316">
      <c r="A3316" s="605"/>
      <c r="B3316" s="605"/>
      <c r="C3316" s="605"/>
      <c r="D3316" s="605"/>
      <c r="E3316" s="605" t="str">
        <f>IFERROR(__xludf.DUMMYFUNCTION("""COMPUTED_VALUE"""),"TRENDNET")</f>
        <v>TRENDNET</v>
      </c>
      <c r="F3316" s="605" t="str">
        <f>IFERROR(__xludf.DUMMYFUNCTION("""COMPUTED_VALUE"""),"TEG-S16G")</f>
        <v>TEG-S16G</v>
      </c>
      <c r="G3316" s="605"/>
      <c r="H3316" s="605"/>
      <c r="I3316" s="605"/>
      <c r="J3316" s="606"/>
      <c r="K3316" s="605"/>
      <c r="L3316" s="605"/>
      <c r="M3316" s="605"/>
      <c r="N3316" s="605"/>
      <c r="O3316" s="605"/>
      <c r="P3316" s="605" t="s">
        <v>3134</v>
      </c>
    </row>
    <row r="3317">
      <c r="A3317" s="605"/>
      <c r="B3317" s="605"/>
      <c r="C3317" s="605"/>
      <c r="D3317" s="605"/>
      <c r="E3317" s="605" t="str">
        <f>IFERROR(__xludf.DUMMYFUNCTION("""COMPUTED_VALUE"""),"TRENDNET")</f>
        <v>TRENDNET</v>
      </c>
      <c r="F3317" s="605" t="str">
        <f>IFERROR(__xludf.DUMMYFUNCTION("""COMPUTED_VALUE"""),"TE100-S5")</f>
        <v>TE100-S5</v>
      </c>
      <c r="G3317" s="605"/>
      <c r="H3317" s="605"/>
      <c r="I3317" s="605"/>
      <c r="J3317" s="606"/>
      <c r="K3317" s="605"/>
      <c r="L3317" s="605"/>
      <c r="M3317" s="605"/>
      <c r="N3317" s="605"/>
      <c r="O3317" s="605"/>
      <c r="P3317" s="605" t="s">
        <v>5544</v>
      </c>
    </row>
    <row r="3318">
      <c r="A3318" s="605"/>
      <c r="B3318" s="605"/>
      <c r="C3318" s="605"/>
      <c r="D3318" s="605"/>
      <c r="E3318" s="605" t="str">
        <f>IFERROR(__xludf.DUMMYFUNCTION("""COMPUTED_VALUE"""),"TRENDNET")</f>
        <v>TRENDNET</v>
      </c>
      <c r="F3318" s="605" t="str">
        <f>IFERROR(__xludf.DUMMYFUNCTION("""COMPUTED_VALUE"""),"TEG-S81G")</f>
        <v>TEG-S81G</v>
      </c>
      <c r="G3318" s="605"/>
      <c r="H3318" s="605"/>
      <c r="I3318" s="605"/>
      <c r="J3318" s="606"/>
      <c r="K3318" s="605"/>
      <c r="L3318" s="605"/>
      <c r="M3318" s="605"/>
      <c r="N3318" s="605"/>
      <c r="O3318" s="605"/>
      <c r="P3318" s="605" t="s">
        <v>5546</v>
      </c>
    </row>
    <row r="3319">
      <c r="A3319" s="605"/>
      <c r="B3319" s="605"/>
      <c r="C3319" s="605"/>
      <c r="D3319" s="605"/>
      <c r="E3319" s="605" t="str">
        <f>IFERROR(__xludf.DUMMYFUNCTION("""COMPUTED_VALUE"""),"TRIACTA")</f>
        <v>TRIACTA</v>
      </c>
      <c r="F3319" s="605" t="str">
        <f>IFERROR(__xludf.DUMMYFUNCTION("""COMPUTED_VALUE"""),"POWERHAWK 4206")</f>
        <v>POWERHAWK 4206</v>
      </c>
      <c r="G3319" s="605"/>
      <c r="H3319" s="605"/>
      <c r="I3319" s="605"/>
      <c r="J3319" s="606"/>
      <c r="K3319" s="605"/>
      <c r="L3319" s="605"/>
      <c r="M3319" s="605"/>
      <c r="N3319" s="605"/>
      <c r="O3319" s="605"/>
      <c r="P3319" s="605" t="s">
        <v>5549</v>
      </c>
    </row>
    <row r="3320">
      <c r="A3320" s="605"/>
      <c r="B3320" s="605"/>
      <c r="C3320" s="605"/>
      <c r="D3320" s="605"/>
      <c r="E3320" s="605" t="str">
        <f>IFERROR(__xludf.DUMMYFUNCTION("""COMPUTED_VALUE"""),"TRIACTA")</f>
        <v>TRIACTA</v>
      </c>
      <c r="F3320" s="605" t="str">
        <f>IFERROR(__xludf.DUMMYFUNCTION("""COMPUTED_VALUE"""),"POWERHAWK 4224")</f>
        <v>POWERHAWK 4224</v>
      </c>
      <c r="G3320" s="605"/>
      <c r="H3320" s="605"/>
      <c r="I3320" s="605"/>
      <c r="J3320" s="606"/>
      <c r="K3320" s="605"/>
      <c r="L3320" s="605"/>
      <c r="M3320" s="605"/>
      <c r="N3320" s="605"/>
      <c r="O3320" s="605"/>
      <c r="P3320" s="605" t="s">
        <v>5552</v>
      </c>
    </row>
    <row r="3321">
      <c r="A3321" s="605"/>
      <c r="B3321" s="605"/>
      <c r="C3321" s="605"/>
      <c r="D3321" s="605"/>
      <c r="E3321" s="605" t="str">
        <f>IFERROR(__xludf.DUMMYFUNCTION("""COMPUTED_VALUE"""),"TRIDIUM")</f>
        <v>TRIDIUM</v>
      </c>
      <c r="F3321" s="605" t="str">
        <f>IFERROR(__xludf.DUMMYFUNCTION("""COMPUTED_VALUE"""),"JACE 8000")</f>
        <v>JACE 8000</v>
      </c>
      <c r="G3321" s="605"/>
      <c r="H3321" s="605"/>
      <c r="I3321" s="605"/>
      <c r="J3321" s="606"/>
      <c r="K3321" s="605"/>
      <c r="L3321" s="605"/>
      <c r="M3321" s="605"/>
      <c r="N3321" s="605"/>
      <c r="O3321" s="605"/>
      <c r="P3321" s="605" t="s">
        <v>5555</v>
      </c>
    </row>
    <row r="3322">
      <c r="A3322" s="605"/>
      <c r="B3322" s="605"/>
      <c r="C3322" s="605"/>
      <c r="D3322" s="605"/>
      <c r="E3322" s="605" t="str">
        <f>IFERROR(__xludf.DUMMYFUNCTION("""COMPUTED_VALUE"""),"TRIDIUM")</f>
        <v>TRIDIUM</v>
      </c>
      <c r="F3322" s="605" t="str">
        <f>IFERROR(__xludf.DUMMYFUNCTION("""COMPUTED_VALUE"""),"JACE 8000")</f>
        <v>JACE 8000</v>
      </c>
      <c r="G3322" s="605"/>
      <c r="H3322" s="605"/>
      <c r="I3322" s="605"/>
      <c r="J3322" s="606"/>
      <c r="K3322" s="605"/>
      <c r="L3322" s="605"/>
      <c r="M3322" s="605"/>
      <c r="N3322" s="605"/>
      <c r="O3322" s="605"/>
      <c r="P3322" s="605" t="s">
        <v>5558</v>
      </c>
    </row>
    <row r="3323">
      <c r="A3323" s="605"/>
      <c r="B3323" s="605"/>
      <c r="C3323" s="605"/>
      <c r="D3323" s="605"/>
      <c r="E3323" s="605" t="str">
        <f>IFERROR(__xludf.DUMMYFUNCTION("""COMPUTED_VALUE"""),"TRIDIUM")</f>
        <v>TRIDIUM</v>
      </c>
      <c r="F3323" s="605" t="str">
        <f>IFERROR(__xludf.DUMMYFUNCTION("""COMPUTED_VALUE"""),"NIAGARA AX")</f>
        <v>NIAGARA AX</v>
      </c>
      <c r="G3323" s="605"/>
      <c r="H3323" s="605"/>
      <c r="I3323" s="605"/>
      <c r="J3323" s="606"/>
      <c r="K3323" s="605"/>
      <c r="L3323" s="605"/>
      <c r="M3323" s="605"/>
      <c r="N3323" s="605"/>
      <c r="O3323" s="605"/>
      <c r="P3323" s="605" t="s">
        <v>5561</v>
      </c>
    </row>
    <row r="3324">
      <c r="A3324" s="605"/>
      <c r="B3324" s="605"/>
      <c r="C3324" s="605"/>
      <c r="D3324" s="605"/>
      <c r="E3324" s="605" t="str">
        <f>IFERROR(__xludf.DUMMYFUNCTION("""COMPUTED_VALUE"""),"TRIDIUM")</f>
        <v>TRIDIUM</v>
      </c>
      <c r="F3324" s="605" t="str">
        <f>IFERROR(__xludf.DUMMYFUNCTION("""COMPUTED_VALUE"""),"NIAGARA N4")</f>
        <v>NIAGARA N4</v>
      </c>
      <c r="G3324" s="605"/>
      <c r="H3324" s="605"/>
      <c r="I3324" s="605"/>
      <c r="J3324" s="606"/>
      <c r="K3324" s="605"/>
      <c r="L3324" s="605"/>
      <c r="M3324" s="605"/>
      <c r="N3324" s="605"/>
      <c r="O3324" s="605"/>
      <c r="P3324" s="605" t="s">
        <v>5564</v>
      </c>
    </row>
    <row r="3325">
      <c r="A3325" s="605"/>
      <c r="B3325" s="605"/>
      <c r="C3325" s="605"/>
      <c r="D3325" s="605"/>
      <c r="E3325" s="605" t="str">
        <f>IFERROR(__xludf.DUMMYFUNCTION("""COMPUTED_VALUE"""),"TRIDIUM")</f>
        <v>TRIDIUM</v>
      </c>
      <c r="F3325" s="605" t="str">
        <f>IFERROR(__xludf.DUMMYFUNCTION("""COMPUTED_VALUE"""),"NIAGARA N4")</f>
        <v>NIAGARA N4</v>
      </c>
      <c r="G3325" s="605"/>
      <c r="H3325" s="605"/>
      <c r="I3325" s="605"/>
      <c r="J3325" s="606"/>
      <c r="K3325" s="605"/>
      <c r="L3325" s="605"/>
      <c r="M3325" s="605"/>
      <c r="N3325" s="605"/>
      <c r="O3325" s="605"/>
      <c r="P3325" s="605" t="s">
        <v>5567</v>
      </c>
    </row>
    <row r="3326">
      <c r="A3326" s="605"/>
      <c r="B3326" s="605"/>
      <c r="C3326" s="605"/>
      <c r="D3326" s="605"/>
      <c r="E3326" s="605" t="str">
        <f>IFERROR(__xludf.DUMMYFUNCTION("""COMPUTED_VALUE"""),"TRIDIUM")</f>
        <v>TRIDIUM</v>
      </c>
      <c r="F3326" s="605" t="str">
        <f>IFERROR(__xludf.DUMMYFUNCTION("""COMPUTED_VALUE"""),"VYKON")</f>
        <v>VYKON</v>
      </c>
      <c r="G3326" s="605"/>
      <c r="H3326" s="605"/>
      <c r="I3326" s="605"/>
      <c r="J3326" s="606"/>
      <c r="K3326" s="605"/>
      <c r="L3326" s="605"/>
      <c r="M3326" s="605"/>
      <c r="N3326" s="605"/>
      <c r="O3326" s="605"/>
      <c r="P3326" s="605" t="s">
        <v>5570</v>
      </c>
    </row>
    <row r="3327">
      <c r="A3327" s="605"/>
      <c r="B3327" s="605"/>
      <c r="C3327" s="605"/>
      <c r="D3327" s="605"/>
      <c r="E3327" s="605" t="str">
        <f>IFERROR(__xludf.DUMMYFUNCTION("""COMPUTED_VALUE"""),"TRIDIUM")</f>
        <v>TRIDIUM</v>
      </c>
      <c r="F3327" s="605" t="str">
        <f>IFERROR(__xludf.DUMMYFUNCTION("""COMPUTED_VALUE"""),"EDGE 10")</f>
        <v>EDGE 10</v>
      </c>
      <c r="G3327" s="605"/>
      <c r="H3327" s="605"/>
      <c r="I3327" s="605"/>
      <c r="J3327" s="606"/>
      <c r="K3327" s="605"/>
      <c r="L3327" s="605"/>
      <c r="M3327" s="605"/>
      <c r="N3327" s="605"/>
      <c r="O3327" s="605"/>
      <c r="P3327" s="605" t="s">
        <v>3137</v>
      </c>
    </row>
    <row r="3328">
      <c r="A3328" s="605"/>
      <c r="B3328" s="605"/>
      <c r="C3328" s="605"/>
      <c r="D3328" s="605"/>
      <c r="E3328" s="605" t="str">
        <f>IFERROR(__xludf.DUMMYFUNCTION("""COMPUTED_VALUE"""),"TRIDIUM")</f>
        <v>TRIDIUM</v>
      </c>
      <c r="F3328" s="605" t="str">
        <f>IFERROR(__xludf.DUMMYFUNCTION("""COMPUTED_VALUE"""),"JACE 6E")</f>
        <v>JACE 6E</v>
      </c>
      <c r="G3328" s="605"/>
      <c r="H3328" s="605"/>
      <c r="I3328" s="605"/>
      <c r="J3328" s="606"/>
      <c r="K3328" s="605"/>
      <c r="L3328" s="605"/>
      <c r="M3328" s="605"/>
      <c r="N3328" s="605"/>
      <c r="O3328" s="605"/>
      <c r="P3328" s="605" t="s">
        <v>5573</v>
      </c>
    </row>
    <row r="3329">
      <c r="A3329" s="605"/>
      <c r="B3329" s="605"/>
      <c r="C3329" s="605"/>
      <c r="D3329" s="605"/>
      <c r="E3329" s="605" t="str">
        <f>IFERROR(__xludf.DUMMYFUNCTION("""COMPUTED_VALUE"""),"TRIDIUM")</f>
        <v>TRIDIUM</v>
      </c>
      <c r="F3329" s="605" t="str">
        <f>IFERROR(__xludf.DUMMYFUNCTION("""COMPUTED_VALUE"""),"IO-R-34")</f>
        <v>IO-R-34</v>
      </c>
      <c r="G3329" s="605"/>
      <c r="H3329" s="605"/>
      <c r="I3329" s="605"/>
      <c r="J3329" s="606"/>
      <c r="K3329" s="605"/>
      <c r="L3329" s="605"/>
      <c r="M3329" s="605"/>
      <c r="N3329" s="605"/>
      <c r="O3329" s="605"/>
      <c r="P3329" s="605" t="s">
        <v>5576</v>
      </c>
    </row>
    <row r="3330">
      <c r="A3330" s="605"/>
      <c r="B3330" s="605"/>
      <c r="C3330" s="605"/>
      <c r="D3330" s="605"/>
      <c r="E3330" s="605" t="str">
        <f>IFERROR(__xludf.DUMMYFUNCTION("""COMPUTED_VALUE"""),"TRIDIUM")</f>
        <v>TRIDIUM</v>
      </c>
      <c r="F3330" s="605" t="str">
        <f>IFERROR(__xludf.DUMMYFUNCTION("""COMPUTED_VALUE"""),"IO-R-16")</f>
        <v>IO-R-16</v>
      </c>
      <c r="G3330" s="605"/>
      <c r="H3330" s="605"/>
      <c r="I3330" s="605"/>
      <c r="J3330" s="606"/>
      <c r="K3330" s="605"/>
      <c r="L3330" s="605"/>
      <c r="M3330" s="605"/>
      <c r="N3330" s="605"/>
      <c r="O3330" s="605"/>
      <c r="P3330" s="605" t="s">
        <v>5579</v>
      </c>
    </row>
    <row r="3331">
      <c r="A3331" s="605"/>
      <c r="B3331" s="605"/>
      <c r="C3331" s="605"/>
      <c r="D3331" s="605"/>
      <c r="E3331" s="605" t="str">
        <f>IFERROR(__xludf.DUMMYFUNCTION("""COMPUTED_VALUE"""),"TROX")</f>
        <v>TROX</v>
      </c>
      <c r="F3331" s="605" t="str">
        <f>IFERROR(__xludf.DUMMYFUNCTION("""COMPUTED_VALUE"""),"TVB-A")</f>
        <v>TVB-A</v>
      </c>
      <c r="G3331" s="605"/>
      <c r="H3331" s="605"/>
      <c r="I3331" s="605"/>
      <c r="J3331" s="606"/>
      <c r="K3331" s="605"/>
      <c r="L3331" s="605"/>
      <c r="M3331" s="605"/>
      <c r="N3331" s="605"/>
      <c r="O3331" s="605"/>
      <c r="P3331" s="605" t="s">
        <v>5582</v>
      </c>
    </row>
    <row r="3332">
      <c r="A3332" s="605"/>
      <c r="B3332" s="605"/>
      <c r="C3332" s="605"/>
      <c r="D3332" s="605"/>
      <c r="E3332" s="605" t="str">
        <f>IFERROR(__xludf.DUMMYFUNCTION("""COMPUTED_VALUE"""),"TTK")</f>
        <v>TTK</v>
      </c>
      <c r="F3332" s="605" t="str">
        <f>IFERROR(__xludf.DUMMYFUNCTION("""COMPUTED_VALUE"""),"FG-BBOX")</f>
        <v>FG-BBOX</v>
      </c>
      <c r="G3332" s="605"/>
      <c r="H3332" s="605"/>
      <c r="I3332" s="605"/>
      <c r="J3332" s="606"/>
      <c r="K3332" s="605"/>
      <c r="L3332" s="605"/>
      <c r="M3332" s="605"/>
      <c r="N3332" s="605"/>
      <c r="O3332" s="605"/>
      <c r="P3332" s="605" t="s">
        <v>5585</v>
      </c>
    </row>
    <row r="3333">
      <c r="A3333" s="605"/>
      <c r="B3333" s="605"/>
      <c r="C3333" s="605"/>
      <c r="D3333" s="605"/>
      <c r="E3333" s="605" t="str">
        <f>IFERROR(__xludf.DUMMYFUNCTION("""COMPUTED_VALUE"""),"TTK")</f>
        <v>TTK</v>
      </c>
      <c r="F3333" s="605" t="str">
        <f>IFERROR(__xludf.DUMMYFUNCTION("""COMPUTED_VALUE"""),"FG-NET")</f>
        <v>FG-NET</v>
      </c>
      <c r="G3333" s="605"/>
      <c r="H3333" s="605"/>
      <c r="I3333" s="605"/>
      <c r="J3333" s="606"/>
      <c r="K3333" s="605"/>
      <c r="L3333" s="605"/>
      <c r="M3333" s="605"/>
      <c r="N3333" s="605"/>
      <c r="O3333" s="605"/>
      <c r="P3333" s="605" t="s">
        <v>5588</v>
      </c>
    </row>
    <row r="3334">
      <c r="A3334" s="605"/>
      <c r="B3334" s="605"/>
      <c r="C3334" s="605"/>
      <c r="D3334" s="605"/>
      <c r="E3334" s="605" t="str">
        <f>IFERROR(__xludf.DUMMYFUNCTION("""COMPUTED_VALUE"""),"TTK")</f>
        <v>TTK</v>
      </c>
      <c r="F3334" s="605" t="str">
        <f>IFERROR(__xludf.DUMMYFUNCTION("""COMPUTED_VALUE"""),"FG-RELAY")</f>
        <v>FG-RELAY</v>
      </c>
      <c r="G3334" s="605"/>
      <c r="H3334" s="605"/>
      <c r="I3334" s="605"/>
      <c r="J3334" s="606"/>
      <c r="K3334" s="605"/>
      <c r="L3334" s="605"/>
      <c r="M3334" s="605"/>
      <c r="N3334" s="605"/>
      <c r="O3334" s="605"/>
      <c r="P3334" s="605" t="s">
        <v>5591</v>
      </c>
    </row>
    <row r="3335">
      <c r="A3335" s="605"/>
      <c r="B3335" s="605"/>
      <c r="C3335" s="605"/>
      <c r="D3335" s="605"/>
      <c r="E3335" s="605" t="str">
        <f>IFERROR(__xludf.DUMMYFUNCTION("""COMPUTED_VALUE"""),"TTK SAS")</f>
        <v>TTK SAS</v>
      </c>
      <c r="F3335" s="605" t="str">
        <f>IFERROR(__xludf.DUMMYFUNCTION("""COMPUTED_VALUE"""),"TTK-FG-NET")</f>
        <v>TTK-FG-NET</v>
      </c>
      <c r="G3335" s="605"/>
      <c r="H3335" s="605"/>
      <c r="I3335" s="605"/>
      <c r="J3335" s="606"/>
      <c r="K3335" s="605"/>
      <c r="L3335" s="605"/>
      <c r="M3335" s="605"/>
      <c r="N3335" s="605"/>
      <c r="O3335" s="605"/>
      <c r="P3335" s="605" t="s">
        <v>5594</v>
      </c>
    </row>
    <row r="3336">
      <c r="A3336" s="605"/>
      <c r="B3336" s="605"/>
      <c r="C3336" s="605"/>
      <c r="D3336" s="605"/>
      <c r="E3336" s="605" t="str">
        <f>IFERROR(__xludf.DUMMYFUNCTION("""COMPUTED_VALUE"""),"TURBOCHEF")</f>
        <v>TURBOCHEF</v>
      </c>
      <c r="F3336" s="605" t="str">
        <f>IFERROR(__xludf.DUMMYFUNCTION("""COMPUTED_VALUE"""),"SOTA")</f>
        <v>SOTA</v>
      </c>
      <c r="G3336" s="605"/>
      <c r="H3336" s="605"/>
      <c r="I3336" s="605"/>
      <c r="J3336" s="606"/>
      <c r="K3336" s="605"/>
      <c r="L3336" s="605"/>
      <c r="M3336" s="605"/>
      <c r="N3336" s="605"/>
      <c r="O3336" s="605"/>
      <c r="P3336" s="605" t="s">
        <v>5597</v>
      </c>
    </row>
    <row r="3337">
      <c r="A3337" s="605"/>
      <c r="B3337" s="605"/>
      <c r="C3337" s="605"/>
      <c r="D3337" s="605"/>
      <c r="E3337" s="605" t="str">
        <f>IFERROR(__xludf.DUMMYFUNCTION("""COMPUTED_VALUE"""),"TURBOCHEF")</f>
        <v>TURBOCHEF</v>
      </c>
      <c r="F3337" s="605" t="str">
        <f>IFERROR(__xludf.DUMMYFUNCTION("""COMPUTED_VALUE"""),"ENCORE 2")</f>
        <v>ENCORE 2</v>
      </c>
      <c r="G3337" s="605"/>
      <c r="H3337" s="605"/>
      <c r="I3337" s="605"/>
      <c r="J3337" s="606"/>
      <c r="K3337" s="605"/>
      <c r="L3337" s="605"/>
      <c r="M3337" s="605"/>
      <c r="N3337" s="605"/>
      <c r="O3337" s="605"/>
      <c r="P3337" s="605" t="s">
        <v>5600</v>
      </c>
    </row>
    <row r="3338">
      <c r="A3338" s="605"/>
      <c r="B3338" s="605"/>
      <c r="C3338" s="605"/>
      <c r="D3338" s="605"/>
      <c r="E3338" s="605" t="str">
        <f>IFERROR(__xludf.DUMMYFUNCTION("""COMPUTED_VALUE"""),"TURBOCHEF")</f>
        <v>TURBOCHEF</v>
      </c>
      <c r="F3338" s="605" t="str">
        <f>IFERROR(__xludf.DUMMYFUNCTION("""COMPUTED_VALUE"""),"I3 TOUCH")</f>
        <v>I3 TOUCH</v>
      </c>
      <c r="G3338" s="605"/>
      <c r="H3338" s="605"/>
      <c r="I3338" s="605"/>
      <c r="J3338" s="606"/>
      <c r="K3338" s="605"/>
      <c r="L3338" s="605"/>
      <c r="M3338" s="605"/>
      <c r="N3338" s="605"/>
      <c r="O3338" s="605"/>
      <c r="P3338" s="605" t="s">
        <v>3140</v>
      </c>
    </row>
    <row r="3339">
      <c r="A3339" s="605"/>
      <c r="B3339" s="605"/>
      <c r="C3339" s="605"/>
      <c r="D3339" s="605"/>
      <c r="E3339" s="605" t="str">
        <f>IFERROR(__xludf.DUMMYFUNCTION("""COMPUTED_VALUE"""),"TURBOCHEF")</f>
        <v>TURBOCHEF</v>
      </c>
      <c r="F3339" s="605" t="str">
        <f>IFERROR(__xludf.DUMMYFUNCTION("""COMPUTED_VALUE"""),"PLEXOR A3")</f>
        <v>PLEXOR A3</v>
      </c>
      <c r="G3339" s="605"/>
      <c r="H3339" s="605"/>
      <c r="I3339" s="605"/>
      <c r="J3339" s="606"/>
      <c r="K3339" s="605"/>
      <c r="L3339" s="605"/>
      <c r="M3339" s="605"/>
      <c r="N3339" s="605"/>
      <c r="O3339" s="605"/>
      <c r="P3339" s="605" t="s">
        <v>5603</v>
      </c>
    </row>
    <row r="3340">
      <c r="A3340" s="605"/>
      <c r="B3340" s="605"/>
      <c r="C3340" s="605"/>
      <c r="D3340" s="605"/>
      <c r="E3340" s="605" t="str">
        <f>IFERROR(__xludf.DUMMYFUNCTION("""COMPUTED_VALUE"""),"TURBOCHEF")</f>
        <v>TURBOCHEF</v>
      </c>
      <c r="F3340" s="605" t="str">
        <f>IFERROR(__xludf.DUMMYFUNCTION("""COMPUTED_VALUE"""),"BULLET")</f>
        <v>BULLET</v>
      </c>
      <c r="G3340" s="605"/>
      <c r="H3340" s="605"/>
      <c r="I3340" s="605"/>
      <c r="J3340" s="606"/>
      <c r="K3340" s="605"/>
      <c r="L3340" s="605"/>
      <c r="M3340" s="605"/>
      <c r="N3340" s="605"/>
      <c r="O3340" s="605"/>
      <c r="P3340" s="605" t="s">
        <v>5606</v>
      </c>
    </row>
    <row r="3341">
      <c r="A3341" s="605"/>
      <c r="B3341" s="605"/>
      <c r="C3341" s="605"/>
      <c r="D3341" s="605"/>
      <c r="E3341" s="605" t="str">
        <f>IFERROR(__xludf.DUMMYFUNCTION("""COMPUTED_VALUE"""),"TYRELL")</f>
        <v>TYRELL</v>
      </c>
      <c r="F3341" s="605" t="str">
        <f>IFERROR(__xludf.DUMMYFUNCTION("""COMPUTED_VALUE"""),"TYRELL JACE8000")</f>
        <v>TYRELL JACE8000</v>
      </c>
      <c r="G3341" s="605"/>
      <c r="H3341" s="605"/>
      <c r="I3341" s="605"/>
      <c r="J3341" s="606"/>
      <c r="K3341" s="605"/>
      <c r="L3341" s="605"/>
      <c r="M3341" s="605"/>
      <c r="N3341" s="605"/>
      <c r="O3341" s="605"/>
      <c r="P3341" s="605" t="s">
        <v>5609</v>
      </c>
    </row>
    <row r="3342">
      <c r="A3342" s="605"/>
      <c r="B3342" s="605"/>
      <c r="C3342" s="605"/>
      <c r="D3342" s="605"/>
      <c r="E3342" s="605" t="str">
        <f>IFERROR(__xludf.DUMMYFUNCTION("""COMPUTED_VALUE"""),"TYRELL")</f>
        <v>TYRELL</v>
      </c>
      <c r="F3342" s="605" t="str">
        <f>IFERROR(__xludf.DUMMYFUNCTION("""COMPUTED_VALUE"""),"NOT VERIFIED")</f>
        <v>NOT VERIFIED</v>
      </c>
      <c r="G3342" s="605"/>
      <c r="H3342" s="605"/>
      <c r="I3342" s="605"/>
      <c r="J3342" s="606"/>
      <c r="K3342" s="605"/>
      <c r="L3342" s="605"/>
      <c r="M3342" s="605"/>
      <c r="N3342" s="605"/>
      <c r="O3342" s="605"/>
      <c r="P3342" s="605" t="s">
        <v>5612</v>
      </c>
    </row>
    <row r="3343">
      <c r="A3343" s="605"/>
      <c r="B3343" s="605"/>
      <c r="C3343" s="605"/>
      <c r="D3343" s="605"/>
      <c r="E3343" s="605" t="str">
        <f>IFERROR(__xludf.DUMMYFUNCTION("""COMPUTED_VALUE"""),"TYRELL")</f>
        <v>TYRELL</v>
      </c>
      <c r="F3343" s="605" t="str">
        <f>IFERROR(__xludf.DUMMYFUNCTION("""COMPUTED_VALUE"""),"EBMS IOT CONTROLLER")</f>
        <v>EBMS IOT CONTROLLER</v>
      </c>
      <c r="G3343" s="605"/>
      <c r="H3343" s="605"/>
      <c r="I3343" s="605"/>
      <c r="J3343" s="606"/>
      <c r="K3343" s="605"/>
      <c r="L3343" s="605"/>
      <c r="M3343" s="605"/>
      <c r="N3343" s="605"/>
      <c r="O3343" s="605"/>
      <c r="P3343" s="605" t="s">
        <v>5615</v>
      </c>
    </row>
    <row r="3344">
      <c r="A3344" s="605"/>
      <c r="B3344" s="605"/>
      <c r="C3344" s="605"/>
      <c r="D3344" s="605"/>
      <c r="E3344" s="605" t="str">
        <f>IFERROR(__xludf.DUMMYFUNCTION("""COMPUTED_VALUE"""),"TZ")</f>
        <v>TZ</v>
      </c>
      <c r="F3344" s="605" t="str">
        <f>IFERROR(__xludf.DUMMYFUNCTION("""COMPUTED_VALUE"""),"COURIER")</f>
        <v>COURIER</v>
      </c>
      <c r="G3344" s="605"/>
      <c r="H3344" s="605"/>
      <c r="I3344" s="605"/>
      <c r="J3344" s="606"/>
      <c r="K3344" s="605"/>
      <c r="L3344" s="605"/>
      <c r="M3344" s="605"/>
      <c r="N3344" s="605"/>
      <c r="O3344" s="605"/>
      <c r="P3344" s="605" t="s">
        <v>5618</v>
      </c>
    </row>
    <row r="3345">
      <c r="A3345" s="605"/>
      <c r="B3345" s="605"/>
      <c r="C3345" s="605"/>
      <c r="D3345" s="605"/>
      <c r="E3345" s="605" t="str">
        <f>IFERROR(__xludf.DUMMYFUNCTION("""COMPUTED_VALUE"""),"TZ")</f>
        <v>TZ</v>
      </c>
      <c r="F3345" s="605" t="str">
        <f>IFERROR(__xludf.DUMMYFUNCTION("""COMPUTED_VALUE"""),"NOT VERIFIED")</f>
        <v>NOT VERIFIED</v>
      </c>
      <c r="G3345" s="605"/>
      <c r="H3345" s="605"/>
      <c r="I3345" s="605"/>
      <c r="J3345" s="606"/>
      <c r="K3345" s="605"/>
      <c r="L3345" s="605"/>
      <c r="M3345" s="605"/>
      <c r="N3345" s="605"/>
      <c r="O3345" s="605"/>
      <c r="P3345" s="605" t="s">
        <v>5621</v>
      </c>
    </row>
    <row r="3346">
      <c r="A3346" s="605"/>
      <c r="B3346" s="605"/>
      <c r="C3346" s="605"/>
      <c r="D3346" s="605"/>
      <c r="E3346" s="605" t="str">
        <f>IFERROR(__xludf.DUMMYFUNCTION("""COMPUTED_VALUE"""),"TZ")</f>
        <v>TZ</v>
      </c>
      <c r="F3346" s="605" t="str">
        <f>IFERROR(__xludf.DUMMYFUNCTION("""COMPUTED_VALUE"""),"TZ PAD")</f>
        <v>TZ PAD</v>
      </c>
      <c r="G3346" s="605"/>
      <c r="H3346" s="605"/>
      <c r="I3346" s="605"/>
      <c r="J3346" s="606"/>
      <c r="K3346" s="605"/>
      <c r="L3346" s="605"/>
      <c r="M3346" s="605"/>
      <c r="N3346" s="605"/>
      <c r="O3346" s="605"/>
      <c r="P3346" s="605" t="s">
        <v>5624</v>
      </c>
    </row>
    <row r="3347">
      <c r="A3347" s="605"/>
      <c r="B3347" s="605"/>
      <c r="C3347" s="605"/>
      <c r="D3347" s="605"/>
      <c r="E3347" s="605" t="str">
        <f>IFERROR(__xludf.DUMMYFUNCTION("""COMPUTED_VALUE"""),"UBIQUITI")</f>
        <v>UBIQUITI</v>
      </c>
      <c r="F3347" s="605" t="str">
        <f>IFERROR(__xludf.DUMMYFUNCTION("""COMPUTED_VALUE"""),"EDGEROUTER X")</f>
        <v>EDGEROUTER X</v>
      </c>
      <c r="G3347" s="605"/>
      <c r="H3347" s="605"/>
      <c r="I3347" s="605"/>
      <c r="J3347" s="606"/>
      <c r="K3347" s="605"/>
      <c r="L3347" s="605"/>
      <c r="M3347" s="605"/>
      <c r="N3347" s="605"/>
      <c r="O3347" s="605"/>
      <c r="P3347" s="605" t="s">
        <v>5627</v>
      </c>
    </row>
    <row r="3348">
      <c r="A3348" s="605"/>
      <c r="B3348" s="605"/>
      <c r="C3348" s="605"/>
      <c r="D3348" s="605"/>
      <c r="E3348" s="605" t="str">
        <f>IFERROR(__xludf.DUMMYFUNCTION("""COMPUTED_VALUE"""),"UBIQUITI")</f>
        <v>UBIQUITI</v>
      </c>
      <c r="F3348" s="605" t="str">
        <f>IFERROR(__xludf.DUMMYFUNCTION("""COMPUTED_VALUE"""),"EDGEROUTER X")</f>
        <v>EDGEROUTER X</v>
      </c>
      <c r="G3348" s="605"/>
      <c r="H3348" s="605"/>
      <c r="I3348" s="605"/>
      <c r="J3348" s="606"/>
      <c r="K3348" s="605"/>
      <c r="L3348" s="605"/>
      <c r="M3348" s="605"/>
      <c r="N3348" s="605"/>
      <c r="O3348" s="605"/>
      <c r="P3348" s="605" t="s">
        <v>5630</v>
      </c>
    </row>
    <row r="3349">
      <c r="A3349" s="605"/>
      <c r="B3349" s="605"/>
      <c r="C3349" s="605"/>
      <c r="D3349" s="605"/>
      <c r="E3349" s="605" t="str">
        <f>IFERROR(__xludf.DUMMYFUNCTION("""COMPUTED_VALUE"""),"UBIQUITI")</f>
        <v>UBIQUITI</v>
      </c>
      <c r="F3349" s="605" t="str">
        <f>IFERROR(__xludf.DUMMYFUNCTION("""COMPUTED_VALUE"""),"EDGEWATER X")</f>
        <v>EDGEWATER X</v>
      </c>
      <c r="G3349" s="605"/>
      <c r="H3349" s="605"/>
      <c r="I3349" s="605"/>
      <c r="J3349" s="606"/>
      <c r="K3349" s="605"/>
      <c r="L3349" s="605"/>
      <c r="M3349" s="605"/>
      <c r="N3349" s="605"/>
      <c r="O3349" s="605"/>
      <c r="P3349" s="605" t="s">
        <v>3143</v>
      </c>
    </row>
    <row r="3350">
      <c r="A3350" s="605"/>
      <c r="B3350" s="605"/>
      <c r="C3350" s="605"/>
      <c r="D3350" s="605"/>
      <c r="E3350" s="605" t="str">
        <f>IFERROR(__xludf.DUMMYFUNCTION("""COMPUTED_VALUE"""),"UBIQUITI")</f>
        <v>UBIQUITI</v>
      </c>
      <c r="F3350" s="605" t="str">
        <f>IFERROR(__xludf.DUMMYFUNCTION("""COMPUTED_VALUE"""),"ERPRO-8")</f>
        <v>ERPRO-8</v>
      </c>
      <c r="G3350" s="605"/>
      <c r="H3350" s="605"/>
      <c r="I3350" s="605"/>
      <c r="J3350" s="606"/>
      <c r="K3350" s="605"/>
      <c r="L3350" s="605"/>
      <c r="M3350" s="605"/>
      <c r="N3350" s="605"/>
      <c r="O3350" s="605"/>
      <c r="P3350" s="605" t="s">
        <v>5633</v>
      </c>
    </row>
    <row r="3351">
      <c r="A3351" s="605"/>
      <c r="B3351" s="605"/>
      <c r="C3351" s="605"/>
      <c r="D3351" s="605"/>
      <c r="E3351" s="605" t="str">
        <f>IFERROR(__xludf.DUMMYFUNCTION("""COMPUTED_VALUE"""),"UBIQUITI")</f>
        <v>UBIQUITI</v>
      </c>
      <c r="F3351" s="605" t="str">
        <f>IFERROR(__xludf.DUMMYFUNCTION("""COMPUTED_VALUE"""),"ES-24-LITE")</f>
        <v>ES-24-LITE</v>
      </c>
      <c r="G3351" s="605"/>
      <c r="H3351" s="605"/>
      <c r="I3351" s="605"/>
      <c r="J3351" s="606"/>
      <c r="K3351" s="605"/>
      <c r="L3351" s="605"/>
      <c r="M3351" s="605"/>
      <c r="N3351" s="605"/>
      <c r="O3351" s="605"/>
      <c r="P3351" s="605" t="s">
        <v>5636</v>
      </c>
    </row>
    <row r="3352">
      <c r="A3352" s="605"/>
      <c r="B3352" s="605"/>
      <c r="C3352" s="605"/>
      <c r="D3352" s="605"/>
      <c r="E3352" s="605" t="str">
        <f>IFERROR(__xludf.DUMMYFUNCTION("""COMPUTED_VALUE"""),"UBIQUITI")</f>
        <v>UBIQUITI</v>
      </c>
      <c r="F3352" s="605" t="str">
        <f>IFERROR(__xludf.DUMMYFUNCTION("""COMPUTED_VALUE"""),"UAP-AC")</f>
        <v>UAP-AC</v>
      </c>
      <c r="G3352" s="605"/>
      <c r="H3352" s="605"/>
      <c r="I3352" s="605"/>
      <c r="J3352" s="606"/>
      <c r="K3352" s="605"/>
      <c r="L3352" s="605"/>
      <c r="M3352" s="605"/>
      <c r="N3352" s="605"/>
      <c r="O3352" s="605"/>
      <c r="P3352" s="605" t="s">
        <v>5639</v>
      </c>
    </row>
    <row r="3353">
      <c r="A3353" s="605"/>
      <c r="B3353" s="605"/>
      <c r="C3353" s="605"/>
      <c r="D3353" s="605"/>
      <c r="E3353" s="605" t="str">
        <f>IFERROR(__xludf.DUMMYFUNCTION("""COMPUTED_VALUE"""),"UBIQUITI")</f>
        <v>UBIQUITI</v>
      </c>
      <c r="F3353" s="605" t="str">
        <f>IFERROR(__xludf.DUMMYFUNCTION("""COMPUTED_VALUE"""),"SWITCH 48 POE (500W)")</f>
        <v>SWITCH 48 POE (500W)</v>
      </c>
      <c r="G3353" s="605"/>
      <c r="H3353" s="605"/>
      <c r="I3353" s="605"/>
      <c r="J3353" s="606"/>
      <c r="K3353" s="605"/>
      <c r="L3353" s="605"/>
      <c r="M3353" s="605"/>
      <c r="N3353" s="605"/>
      <c r="O3353" s="605"/>
      <c r="P3353" s="605" t="s">
        <v>5642</v>
      </c>
    </row>
    <row r="3354">
      <c r="A3354" s="605"/>
      <c r="B3354" s="605"/>
      <c r="C3354" s="605"/>
      <c r="D3354" s="605"/>
      <c r="E3354" s="605" t="str">
        <f>IFERROR(__xludf.DUMMYFUNCTION("""COMPUTED_VALUE"""),"UGE")</f>
        <v>UGE</v>
      </c>
      <c r="F3354" s="605" t="str">
        <f>IFERROR(__xludf.DUMMYFUNCTION("""COMPUTED_VALUE"""),"VIEWUGE")</f>
        <v>VIEWUGE</v>
      </c>
      <c r="G3354" s="605"/>
      <c r="H3354" s="605"/>
      <c r="I3354" s="605"/>
      <c r="J3354" s="606"/>
      <c r="K3354" s="605"/>
      <c r="L3354" s="605"/>
      <c r="M3354" s="605"/>
      <c r="N3354" s="605"/>
      <c r="O3354" s="605"/>
      <c r="P3354" s="605" t="s">
        <v>5645</v>
      </c>
    </row>
    <row r="3355">
      <c r="A3355" s="605"/>
      <c r="B3355" s="605"/>
      <c r="C3355" s="605"/>
      <c r="D3355" s="605"/>
      <c r="E3355" s="605" t="str">
        <f>IFERROR(__xludf.DUMMYFUNCTION("""COMPUTED_VALUE"""),"UKG")</f>
        <v>UKG</v>
      </c>
      <c r="F3355" s="605" t="str">
        <f>IFERROR(__xludf.DUMMYFUNCTION("""COMPUTED_VALUE"""),"INTOUCH DX G2")</f>
        <v>INTOUCH DX G2</v>
      </c>
      <c r="G3355" s="605"/>
      <c r="H3355" s="605"/>
      <c r="I3355" s="605"/>
      <c r="J3355" s="606"/>
      <c r="K3355" s="605"/>
      <c r="L3355" s="605"/>
      <c r="M3355" s="605"/>
      <c r="N3355" s="605"/>
      <c r="O3355" s="605"/>
      <c r="P3355" s="605" t="s">
        <v>5648</v>
      </c>
    </row>
    <row r="3356">
      <c r="A3356" s="605"/>
      <c r="B3356" s="605"/>
      <c r="C3356" s="605"/>
      <c r="D3356" s="605"/>
      <c r="E3356" s="605" t="str">
        <f>IFERROR(__xludf.DUMMYFUNCTION("""COMPUTED_VALUE"""),"ULTIMAKER")</f>
        <v>ULTIMAKER</v>
      </c>
      <c r="F3356" s="605" t="str">
        <f>IFERROR(__xludf.DUMMYFUNCTION("""COMPUTED_VALUE"""),"2+ CONNECT")</f>
        <v>2+ CONNECT</v>
      </c>
      <c r="G3356" s="605"/>
      <c r="H3356" s="605"/>
      <c r="I3356" s="605"/>
      <c r="J3356" s="606"/>
      <c r="K3356" s="605"/>
      <c r="L3356" s="605"/>
      <c r="M3356" s="605"/>
      <c r="N3356" s="605"/>
      <c r="O3356" s="605"/>
      <c r="P3356" s="605" t="s">
        <v>5651</v>
      </c>
    </row>
    <row r="3357">
      <c r="A3357" s="605"/>
      <c r="B3357" s="605"/>
      <c r="C3357" s="605"/>
      <c r="D3357" s="605"/>
      <c r="E3357" s="605" t="str">
        <f>IFERROR(__xludf.DUMMYFUNCTION("""COMPUTED_VALUE"""),"UMIDIGI")</f>
        <v>UMIDIGI</v>
      </c>
      <c r="F3357" s="605" t="str">
        <f>IFERROR(__xludf.DUMMYFUNCTION("""COMPUTED_VALUE"""),"G2 TAB")</f>
        <v>G2 TAB</v>
      </c>
      <c r="G3357" s="605"/>
      <c r="H3357" s="605"/>
      <c r="I3357" s="605"/>
      <c r="J3357" s="606"/>
      <c r="K3357" s="605"/>
      <c r="L3357" s="605"/>
      <c r="M3357" s="605"/>
      <c r="N3357" s="605"/>
      <c r="O3357" s="605"/>
      <c r="P3357" s="605" t="s">
        <v>5654</v>
      </c>
    </row>
    <row r="3358">
      <c r="A3358" s="605"/>
      <c r="B3358" s="605"/>
      <c r="C3358" s="605"/>
      <c r="D3358" s="605"/>
      <c r="E3358" s="605" t="str">
        <f>IFERROR(__xludf.DUMMYFUNCTION("""COMPUTED_VALUE"""),"UNITED TECHNOLOGIES (UTC)")</f>
        <v>UNITED TECHNOLOGIES (UTC)</v>
      </c>
      <c r="F3358" s="605" t="str">
        <f>IFERROR(__xludf.DUMMYFUNCTION("""COMPUTED_VALUE"""),"UTC5501")</f>
        <v>UTC5501</v>
      </c>
      <c r="G3358" s="605"/>
      <c r="H3358" s="605"/>
      <c r="I3358" s="605"/>
      <c r="J3358" s="606"/>
      <c r="K3358" s="605"/>
      <c r="L3358" s="605"/>
      <c r="M3358" s="605"/>
      <c r="N3358" s="605"/>
      <c r="O3358" s="605"/>
      <c r="P3358" s="605" t="s">
        <v>5657</v>
      </c>
    </row>
    <row r="3359">
      <c r="A3359" s="605"/>
      <c r="B3359" s="605"/>
      <c r="C3359" s="605"/>
      <c r="D3359" s="605"/>
      <c r="E3359" s="605" t="str">
        <f>IFERROR(__xludf.DUMMYFUNCTION("""COMPUTED_VALUE"""),"UNITED TECHNOLOGIES (UTC)")</f>
        <v>UNITED TECHNOLOGIES (UTC)</v>
      </c>
      <c r="F3359" s="605" t="str">
        <f>IFERROR(__xludf.DUMMYFUNCTION("""COMPUTED_VALUE"""),"UTC5501")</f>
        <v>UTC5501</v>
      </c>
      <c r="G3359" s="605"/>
      <c r="H3359" s="605"/>
      <c r="I3359" s="605"/>
      <c r="J3359" s="606"/>
      <c r="K3359" s="605"/>
      <c r="L3359" s="605"/>
      <c r="M3359" s="605"/>
      <c r="N3359" s="605"/>
      <c r="O3359" s="605"/>
      <c r="P3359" s="605" t="s">
        <v>5660</v>
      </c>
    </row>
    <row r="3360">
      <c r="A3360" s="605"/>
      <c r="B3360" s="605"/>
      <c r="C3360" s="605"/>
      <c r="D3360" s="605"/>
      <c r="E3360" s="605" t="str">
        <f>IFERROR(__xludf.DUMMYFUNCTION("""COMPUTED_VALUE"""),"UNKNOWN")</f>
        <v>UNKNOWN</v>
      </c>
      <c r="F3360" s="605" t="str">
        <f>IFERROR(__xludf.DUMMYFUNCTION("""COMPUTED_VALUE"""),"E-JET LXSG-50E")</f>
        <v>E-JET LXSG-50E</v>
      </c>
      <c r="G3360" s="605"/>
      <c r="H3360" s="605"/>
      <c r="I3360" s="605"/>
      <c r="J3360" s="606"/>
      <c r="K3360" s="605"/>
      <c r="L3360" s="605"/>
      <c r="M3360" s="605"/>
      <c r="N3360" s="605"/>
      <c r="O3360" s="605"/>
      <c r="P3360" s="605" t="s">
        <v>3146</v>
      </c>
    </row>
    <row r="3361">
      <c r="A3361" s="605"/>
      <c r="B3361" s="605"/>
      <c r="C3361" s="605"/>
      <c r="D3361" s="605"/>
      <c r="E3361" s="605" t="str">
        <f>IFERROR(__xludf.DUMMYFUNCTION("""COMPUTED_VALUE"""),"USR IOT")</f>
        <v>USR IOT</v>
      </c>
      <c r="F3361" s="605" t="str">
        <f>IFERROR(__xludf.DUMMYFUNCTION("""COMPUTED_VALUE"""),"USR-N580")</f>
        <v>USR-N580</v>
      </c>
      <c r="G3361" s="605"/>
      <c r="H3361" s="605"/>
      <c r="I3361" s="605"/>
      <c r="J3361" s="606"/>
      <c r="K3361" s="605"/>
      <c r="L3361" s="605"/>
      <c r="M3361" s="605"/>
      <c r="N3361" s="605"/>
      <c r="O3361" s="605"/>
      <c r="P3361" s="605" t="s">
        <v>5663</v>
      </c>
    </row>
    <row r="3362">
      <c r="A3362" s="605"/>
      <c r="B3362" s="605"/>
      <c r="C3362" s="605"/>
      <c r="D3362" s="605"/>
      <c r="E3362" s="605" t="str">
        <f>IFERROR(__xludf.DUMMYFUNCTION("""COMPUTED_VALUE"""),"USYSTEMS")</f>
        <v>USYSTEMS</v>
      </c>
      <c r="F3362" s="605" t="str">
        <f>IFERROR(__xludf.DUMMYFUNCTION("""COMPUTED_VALUE"""),"COLDLOGIK RDHX'S")</f>
        <v>COLDLOGIK RDHX'S</v>
      </c>
      <c r="G3362" s="605"/>
      <c r="H3362" s="605"/>
      <c r="I3362" s="605"/>
      <c r="J3362" s="606"/>
      <c r="K3362" s="605"/>
      <c r="L3362" s="605"/>
      <c r="M3362" s="605"/>
      <c r="N3362" s="605"/>
      <c r="O3362" s="605"/>
      <c r="P3362" s="605" t="s">
        <v>5665</v>
      </c>
    </row>
    <row r="3363">
      <c r="A3363" s="605"/>
      <c r="B3363" s="605"/>
      <c r="C3363" s="605"/>
      <c r="D3363" s="605"/>
      <c r="E3363" s="605" t="str">
        <f>IFERROR(__xludf.DUMMYFUNCTION("""COMPUTED_VALUE"""),"VAISALA")</f>
        <v>VAISALA</v>
      </c>
      <c r="F3363" s="605" t="str">
        <f>IFERROR(__xludf.DUMMYFUNCTION("""COMPUTED_VALUE"""),"WXT530")</f>
        <v>WXT530</v>
      </c>
      <c r="G3363" s="605"/>
      <c r="H3363" s="605"/>
      <c r="I3363" s="605"/>
      <c r="J3363" s="606"/>
      <c r="K3363" s="605"/>
      <c r="L3363" s="605"/>
      <c r="M3363" s="605"/>
      <c r="N3363" s="605"/>
      <c r="O3363" s="605"/>
      <c r="P3363" s="605" t="s">
        <v>5668</v>
      </c>
    </row>
    <row r="3364">
      <c r="A3364" s="605"/>
      <c r="B3364" s="605"/>
      <c r="C3364" s="605"/>
      <c r="D3364" s="605"/>
      <c r="E3364" s="605" t="str">
        <f>IFERROR(__xludf.DUMMYFUNCTION("""COMPUTED_VALUE"""),"VAISALA")</f>
        <v>VAISALA</v>
      </c>
      <c r="F3364" s="605" t="str">
        <f>IFERROR(__xludf.DUMMYFUNCTION("""COMPUTED_VALUE"""),"AIR QUALITY SENSOR")</f>
        <v>AIR QUALITY SENSOR</v>
      </c>
      <c r="G3364" s="605"/>
      <c r="H3364" s="605"/>
      <c r="I3364" s="605"/>
      <c r="J3364" s="606"/>
      <c r="K3364" s="605"/>
      <c r="L3364" s="605"/>
      <c r="M3364" s="605"/>
      <c r="N3364" s="605"/>
      <c r="O3364" s="605"/>
      <c r="P3364" s="605" t="s">
        <v>5671</v>
      </c>
    </row>
    <row r="3365">
      <c r="A3365" s="605"/>
      <c r="B3365" s="605"/>
      <c r="C3365" s="605"/>
      <c r="D3365" s="605"/>
      <c r="E3365" s="605" t="str">
        <f>IFERROR(__xludf.DUMMYFUNCTION("""COMPUTED_VALUE"""),"VALENT")</f>
        <v>VALENT</v>
      </c>
      <c r="F3365" s="605" t="str">
        <f>IFERROR(__xludf.DUMMYFUNCTION("""COMPUTED_VALUE"""),"VXE-112-36-30H-12.5D-E")</f>
        <v>VXE-112-36-30H-12.5D-E</v>
      </c>
      <c r="G3365" s="605"/>
      <c r="H3365" s="605"/>
      <c r="I3365" s="605"/>
      <c r="J3365" s="606"/>
      <c r="K3365" s="605"/>
      <c r="L3365" s="605"/>
      <c r="M3365" s="605"/>
      <c r="N3365" s="605"/>
      <c r="O3365" s="605"/>
      <c r="P3365" s="605" t="s">
        <v>5673</v>
      </c>
    </row>
    <row r="3366">
      <c r="A3366" s="605"/>
      <c r="B3366" s="605"/>
      <c r="C3366" s="605"/>
      <c r="D3366" s="605"/>
      <c r="E3366" s="605" t="str">
        <f>IFERROR(__xludf.DUMMYFUNCTION("""COMPUTED_VALUE"""),"VALENT")</f>
        <v>VALENT</v>
      </c>
      <c r="F3366" s="605" t="str">
        <f>IFERROR(__xludf.DUMMYFUNCTION("""COMPUTED_VALUE"""),"VXE")</f>
        <v>VXE</v>
      </c>
      <c r="G3366" s="605"/>
      <c r="H3366" s="605"/>
      <c r="I3366" s="605"/>
      <c r="J3366" s="606"/>
      <c r="K3366" s="605"/>
      <c r="L3366" s="605"/>
      <c r="M3366" s="605"/>
      <c r="N3366" s="605"/>
      <c r="O3366" s="605"/>
      <c r="P3366" s="605" t="s">
        <v>5676</v>
      </c>
    </row>
    <row r="3367">
      <c r="A3367" s="605"/>
      <c r="B3367" s="605"/>
      <c r="C3367" s="605"/>
      <c r="D3367" s="605"/>
      <c r="E3367" s="605" t="str">
        <f>IFERROR(__xludf.DUMMYFUNCTION("""COMPUTED_VALUE"""),"VANTAGE")</f>
        <v>VANTAGE</v>
      </c>
      <c r="F3367" s="605" t="str">
        <f>IFERROR(__xludf.DUMMYFUNCTION("""COMPUTED_VALUE"""),"IRX II")</f>
        <v>IRX II</v>
      </c>
      <c r="G3367" s="605"/>
      <c r="H3367" s="605"/>
      <c r="I3367" s="605"/>
      <c r="J3367" s="606"/>
      <c r="K3367" s="605"/>
      <c r="L3367" s="605"/>
      <c r="M3367" s="605"/>
      <c r="N3367" s="605"/>
      <c r="O3367" s="605"/>
      <c r="P3367" s="605" t="s">
        <v>5679</v>
      </c>
    </row>
    <row r="3368">
      <c r="A3368" s="605"/>
      <c r="B3368" s="605"/>
      <c r="C3368" s="605"/>
      <c r="D3368" s="605"/>
      <c r="E3368" s="605" t="str">
        <f>IFERROR(__xludf.DUMMYFUNCTION("""COMPUTED_VALUE"""),"VANTAGE")</f>
        <v>VANTAGE</v>
      </c>
      <c r="F3368" s="605" t="str">
        <f>IFERROR(__xludf.DUMMYFUNCTION("""COMPUTED_VALUE"""),"IC-DIN-II-LITE")</f>
        <v>IC-DIN-II-LITE</v>
      </c>
      <c r="G3368" s="605"/>
      <c r="H3368" s="605"/>
      <c r="I3368" s="605"/>
      <c r="J3368" s="606"/>
      <c r="K3368" s="605"/>
      <c r="L3368" s="605"/>
      <c r="M3368" s="605"/>
      <c r="N3368" s="605"/>
      <c r="O3368" s="605"/>
      <c r="P3368" s="605" t="s">
        <v>5681</v>
      </c>
    </row>
    <row r="3369">
      <c r="A3369" s="605"/>
      <c r="B3369" s="605"/>
      <c r="C3369" s="605"/>
      <c r="D3369" s="605"/>
      <c r="E3369" s="605" t="str">
        <f>IFERROR(__xludf.DUMMYFUNCTION("""COMPUTED_VALUE"""),"VANTAGE")</f>
        <v>VANTAGE</v>
      </c>
      <c r="F3369" s="605" t="str">
        <f>IFERROR(__xludf.DUMMYFUNCTION("""COMPUTED_VALUE"""),"IC-DIN-II-LITE")</f>
        <v>IC-DIN-II-LITE</v>
      </c>
      <c r="G3369" s="605"/>
      <c r="H3369" s="605"/>
      <c r="I3369" s="605"/>
      <c r="J3369" s="606"/>
      <c r="K3369" s="605"/>
      <c r="L3369" s="605"/>
      <c r="M3369" s="605"/>
      <c r="N3369" s="605"/>
      <c r="O3369" s="605"/>
      <c r="P3369" s="605" t="s">
        <v>5684</v>
      </c>
    </row>
    <row r="3370">
      <c r="A3370" s="605"/>
      <c r="B3370" s="605"/>
      <c r="C3370" s="605"/>
      <c r="D3370" s="605"/>
      <c r="E3370" s="605" t="str">
        <f>IFERROR(__xludf.DUMMYFUNCTION("""COMPUTED_VALUE"""),"VANTAGE")</f>
        <v>VANTAGE</v>
      </c>
      <c r="F3370" s="605" t="str">
        <f>IFERROR(__xludf.DUMMYFUNCTION("""COMPUTED_VALUE"""),"EQUINOX41")</f>
        <v>EQUINOX41</v>
      </c>
      <c r="G3370" s="605"/>
      <c r="H3370" s="605"/>
      <c r="I3370" s="605"/>
      <c r="J3370" s="606"/>
      <c r="K3370" s="605"/>
      <c r="L3370" s="605"/>
      <c r="M3370" s="605"/>
      <c r="N3370" s="605"/>
      <c r="O3370" s="605"/>
      <c r="P3370" s="605" t="s">
        <v>5687</v>
      </c>
    </row>
    <row r="3371">
      <c r="A3371" s="605"/>
      <c r="B3371" s="605"/>
      <c r="C3371" s="605"/>
      <c r="D3371" s="605"/>
      <c r="E3371" s="605" t="str">
        <f>IFERROR(__xludf.DUMMYFUNCTION("""COMPUTED_VALUE"""),"VENDIMAN")</f>
        <v>VENDIMAN</v>
      </c>
      <c r="F3371" s="605" t="str">
        <f>IFERROR(__xludf.DUMMYFUNCTION("""COMPUTED_VALUE"""),"VENDINGMACHINE")</f>
        <v>VENDINGMACHINE</v>
      </c>
      <c r="G3371" s="605"/>
      <c r="H3371" s="605"/>
      <c r="I3371" s="605"/>
      <c r="J3371" s="606"/>
      <c r="K3371" s="605"/>
      <c r="L3371" s="605"/>
      <c r="M3371" s="605"/>
      <c r="N3371" s="605"/>
      <c r="O3371" s="605"/>
      <c r="P3371" s="605" t="s">
        <v>3149</v>
      </c>
    </row>
    <row r="3372">
      <c r="A3372" s="605"/>
      <c r="B3372" s="605"/>
      <c r="C3372" s="605"/>
      <c r="D3372" s="605"/>
      <c r="E3372" s="605" t="str">
        <f>IFERROR(__xludf.DUMMYFUNCTION("""COMPUTED_VALUE"""),"VENDIMAN")</f>
        <v>VENDIMAN</v>
      </c>
      <c r="F3372" s="605" t="str">
        <f>IFERROR(__xludf.DUMMYFUNCTION("""COMPUTED_VALUE"""),"UPT1000F")</f>
        <v>UPT1000F</v>
      </c>
      <c r="G3372" s="605"/>
      <c r="H3372" s="605"/>
      <c r="I3372" s="605"/>
      <c r="J3372" s="606"/>
      <c r="K3372" s="605"/>
      <c r="L3372" s="605"/>
      <c r="M3372" s="605"/>
      <c r="N3372" s="605"/>
      <c r="O3372" s="605"/>
      <c r="P3372" s="605" t="s">
        <v>5690</v>
      </c>
    </row>
    <row r="3373">
      <c r="A3373" s="605"/>
      <c r="B3373" s="605"/>
      <c r="C3373" s="605"/>
      <c r="D3373" s="605"/>
      <c r="E3373" s="605" t="str">
        <f>IFERROR(__xludf.DUMMYFUNCTION("""COMPUTED_VALUE"""),"VENTO CONNECT")</f>
        <v>VENTO CONNECT</v>
      </c>
      <c r="F3373" s="605" t="str">
        <f>IFERROR(__xludf.DUMMYFUNCTION("""COMPUTED_VALUE"""),"IMI PNEUMATEX")</f>
        <v>IMI PNEUMATEX</v>
      </c>
      <c r="G3373" s="605"/>
      <c r="H3373" s="605"/>
      <c r="I3373" s="605"/>
      <c r="J3373" s="606"/>
      <c r="K3373" s="605"/>
      <c r="L3373" s="605"/>
      <c r="M3373" s="605"/>
      <c r="N3373" s="605"/>
      <c r="O3373" s="605"/>
      <c r="P3373" s="605" t="s">
        <v>5693</v>
      </c>
    </row>
    <row r="3374">
      <c r="A3374" s="605"/>
      <c r="B3374" s="605"/>
      <c r="C3374" s="605"/>
      <c r="D3374" s="605"/>
      <c r="E3374" s="605" t="str">
        <f>IFERROR(__xludf.DUMMYFUNCTION("""COMPUTED_VALUE"""),"VENTURER")</f>
        <v>VENTURER</v>
      </c>
      <c r="F3374" s="605" t="str">
        <f>IFERROR(__xludf.DUMMYFUNCTION("""COMPUTED_VALUE"""),"VOYAGER")</f>
        <v>VOYAGER</v>
      </c>
      <c r="G3374" s="605"/>
      <c r="H3374" s="605"/>
      <c r="I3374" s="605"/>
      <c r="J3374" s="606"/>
      <c r="K3374" s="605"/>
      <c r="L3374" s="605"/>
      <c r="M3374" s="605"/>
      <c r="N3374" s="605"/>
      <c r="O3374" s="605"/>
      <c r="P3374" s="605" t="s">
        <v>5696</v>
      </c>
    </row>
    <row r="3375">
      <c r="A3375" s="605"/>
      <c r="B3375" s="605"/>
      <c r="C3375" s="605"/>
      <c r="D3375" s="605"/>
      <c r="E3375" s="605" t="str">
        <f>IFERROR(__xludf.DUMMYFUNCTION("""COMPUTED_VALUE"""),"VENTURER")</f>
        <v>VENTURER</v>
      </c>
      <c r="F3375" s="605" t="str">
        <f>IFERROR(__xludf.DUMMYFUNCTION("""COMPUTED_VALUE"""),"CHALLENGER 10")</f>
        <v>CHALLENGER 10</v>
      </c>
      <c r="G3375" s="605"/>
      <c r="H3375" s="605"/>
      <c r="I3375" s="605"/>
      <c r="J3375" s="606"/>
      <c r="K3375" s="605"/>
      <c r="L3375" s="605"/>
      <c r="M3375" s="605"/>
      <c r="N3375" s="605"/>
      <c r="O3375" s="605"/>
      <c r="P3375" s="605" t="s">
        <v>5698</v>
      </c>
    </row>
    <row r="3376">
      <c r="A3376" s="605"/>
      <c r="B3376" s="605"/>
      <c r="C3376" s="605"/>
      <c r="D3376" s="605"/>
      <c r="E3376" s="605" t="str">
        <f>IFERROR(__xludf.DUMMYFUNCTION("""COMPUTED_VALUE"""),"VERDIGRIS")</f>
        <v>VERDIGRIS</v>
      </c>
      <c r="F3376" s="605" t="str">
        <f>IFERROR(__xludf.DUMMYFUNCTION("""COMPUTED_VALUE"""),"EINSTEIN VERSION 2")</f>
        <v>EINSTEIN VERSION 2</v>
      </c>
      <c r="G3376" s="605"/>
      <c r="H3376" s="605"/>
      <c r="I3376" s="605"/>
      <c r="J3376" s="606"/>
      <c r="K3376" s="605"/>
      <c r="L3376" s="605"/>
      <c r="M3376" s="605"/>
      <c r="N3376" s="605"/>
      <c r="O3376" s="605"/>
      <c r="P3376" s="605" t="s">
        <v>5701</v>
      </c>
    </row>
    <row r="3377">
      <c r="A3377" s="605"/>
      <c r="B3377" s="605"/>
      <c r="C3377" s="605"/>
      <c r="D3377" s="605"/>
      <c r="E3377" s="605" t="str">
        <f>IFERROR(__xludf.DUMMYFUNCTION("""COMPUTED_VALUE"""),"VERIS")</f>
        <v>VERIS</v>
      </c>
      <c r="F3377" s="605" t="str">
        <f>IFERROR(__xludf.DUMMYFUNCTION("""COMPUTED_VALUE"""),"H8238")</f>
        <v>H8238</v>
      </c>
      <c r="G3377" s="605"/>
      <c r="H3377" s="605"/>
      <c r="I3377" s="605"/>
      <c r="J3377" s="606"/>
      <c r="K3377" s="605"/>
      <c r="L3377" s="605"/>
      <c r="M3377" s="605"/>
      <c r="N3377" s="605"/>
      <c r="O3377" s="605"/>
      <c r="P3377" s="605" t="s">
        <v>5704</v>
      </c>
    </row>
    <row r="3378">
      <c r="A3378" s="605"/>
      <c r="B3378" s="605"/>
      <c r="C3378" s="605"/>
      <c r="D3378" s="605"/>
      <c r="E3378" s="605" t="str">
        <f>IFERROR(__xludf.DUMMYFUNCTION("""COMPUTED_VALUE"""),"VERIS")</f>
        <v>VERIS</v>
      </c>
      <c r="F3378" s="605" t="str">
        <f>IFERROR(__xludf.DUMMYFUNCTION("""COMPUTED_VALUE"""),"E5X SERIES METER")</f>
        <v>E5X SERIES METER</v>
      </c>
      <c r="G3378" s="605"/>
      <c r="H3378" s="605"/>
      <c r="I3378" s="605"/>
      <c r="J3378" s="606"/>
      <c r="K3378" s="605"/>
      <c r="L3378" s="605"/>
      <c r="M3378" s="605"/>
      <c r="N3378" s="605"/>
      <c r="O3378" s="605"/>
      <c r="P3378" s="605" t="s">
        <v>5707</v>
      </c>
    </row>
    <row r="3379">
      <c r="A3379" s="605"/>
      <c r="B3379" s="605"/>
      <c r="C3379" s="605"/>
      <c r="D3379" s="605"/>
      <c r="E3379" s="605" t="str">
        <f>IFERROR(__xludf.DUMMYFUNCTION("""COMPUTED_VALUE"""),"VERIS")</f>
        <v>VERIS</v>
      </c>
      <c r="F3379" s="605" t="str">
        <f>IFERROR(__xludf.DUMMYFUNCTION("""COMPUTED_VALUE"""),"E30 A/B/C")</f>
        <v>E30 A/B/C</v>
      </c>
      <c r="G3379" s="605"/>
      <c r="H3379" s="605"/>
      <c r="I3379" s="605"/>
      <c r="J3379" s="606"/>
      <c r="K3379" s="605"/>
      <c r="L3379" s="605"/>
      <c r="M3379" s="605"/>
      <c r="N3379" s="605"/>
      <c r="O3379" s="605"/>
      <c r="P3379" s="605" t="s">
        <v>5710</v>
      </c>
    </row>
    <row r="3380">
      <c r="A3380" s="605"/>
      <c r="B3380" s="605"/>
      <c r="C3380" s="605"/>
      <c r="D3380" s="605"/>
      <c r="E3380" s="605" t="str">
        <f>IFERROR(__xludf.DUMMYFUNCTION("""COMPUTED_VALUE"""),"VERIS")</f>
        <v>VERIS</v>
      </c>
      <c r="F3380" s="605" t="str">
        <f>IFERROR(__xludf.DUMMYFUNCTION("""COMPUTED_VALUE"""),"E34E08 MULTI-CIRCUIT")</f>
        <v>E34E08 MULTI-CIRCUIT</v>
      </c>
      <c r="G3380" s="605"/>
      <c r="H3380" s="605"/>
      <c r="I3380" s="605"/>
      <c r="J3380" s="606"/>
      <c r="K3380" s="605"/>
      <c r="L3380" s="605"/>
      <c r="M3380" s="605"/>
      <c r="N3380" s="605"/>
      <c r="O3380" s="605"/>
      <c r="P3380" s="605" t="s">
        <v>5713</v>
      </c>
    </row>
    <row r="3381">
      <c r="A3381" s="605"/>
      <c r="B3381" s="605"/>
      <c r="C3381" s="605"/>
      <c r="D3381" s="605"/>
      <c r="E3381" s="605" t="str">
        <f>IFERROR(__xludf.DUMMYFUNCTION("""COMPUTED_VALUE"""),"VERIS")</f>
        <v>VERIS</v>
      </c>
      <c r="F3381" s="605" t="str">
        <f>IFERROR(__xludf.DUMMYFUNCTION("""COMPUTED_VALUE"""),"HW PROTOCOL SERIES")</f>
        <v>HW PROTOCOL SERIES</v>
      </c>
      <c r="G3381" s="605"/>
      <c r="H3381" s="605"/>
      <c r="I3381" s="605"/>
      <c r="J3381" s="606"/>
      <c r="K3381" s="605"/>
      <c r="L3381" s="605"/>
      <c r="M3381" s="605"/>
      <c r="N3381" s="605"/>
      <c r="O3381" s="605"/>
      <c r="P3381" s="605" t="s">
        <v>5716</v>
      </c>
    </row>
    <row r="3382">
      <c r="A3382" s="605"/>
      <c r="B3382" s="605"/>
      <c r="C3382" s="605"/>
      <c r="D3382" s="605"/>
      <c r="E3382" s="605" t="str">
        <f>IFERROR(__xludf.DUMMYFUNCTION("""COMPUTED_VALUE"""),"VERIS")</f>
        <v>VERIS</v>
      </c>
      <c r="F3382" s="605" t="str">
        <f>IFERROR(__xludf.DUMMYFUNCTION("""COMPUTED_VALUE"""),"WALL CO2 SENSOR")</f>
        <v>WALL CO2 SENSOR</v>
      </c>
      <c r="G3382" s="605"/>
      <c r="H3382" s="605"/>
      <c r="I3382" s="605"/>
      <c r="J3382" s="606"/>
      <c r="K3382" s="605"/>
      <c r="L3382" s="605"/>
      <c r="M3382" s="605"/>
      <c r="N3382" s="605"/>
      <c r="O3382" s="605"/>
      <c r="P3382" s="605" t="s">
        <v>3152</v>
      </c>
    </row>
    <row r="3383">
      <c r="A3383" s="605"/>
      <c r="B3383" s="605"/>
      <c r="C3383" s="605"/>
      <c r="D3383" s="605"/>
      <c r="E3383" s="605" t="str">
        <f>IFERROR(__xludf.DUMMYFUNCTION("""COMPUTED_VALUE"""),"VERIS INDUSTRIES")</f>
        <v>VERIS INDUSTRIES</v>
      </c>
      <c r="F3383" s="605" t="str">
        <f>IFERROR(__xludf.DUMMYFUNCTION("""COMPUTED_VALUE"""),"H8822")</f>
        <v>H8822</v>
      </c>
      <c r="G3383" s="605"/>
      <c r="H3383" s="605"/>
      <c r="I3383" s="605"/>
      <c r="J3383" s="606"/>
      <c r="K3383" s="605"/>
      <c r="L3383" s="605"/>
      <c r="M3383" s="605"/>
      <c r="N3383" s="605"/>
      <c r="O3383" s="605"/>
      <c r="P3383" s="605" t="s">
        <v>5719</v>
      </c>
    </row>
    <row r="3384">
      <c r="A3384" s="605"/>
      <c r="B3384" s="605"/>
      <c r="C3384" s="605"/>
      <c r="D3384" s="605"/>
      <c r="E3384" s="605" t="str">
        <f>IFERROR(__xludf.DUMMYFUNCTION("""COMPUTED_VALUE"""),"VERIZON")</f>
        <v>VERIZON</v>
      </c>
      <c r="F3384" s="605" t="str">
        <f>IFERROR(__xludf.DUMMYFUNCTION("""COMPUTED_VALUE"""),"FSNO21VA")</f>
        <v>FSNO21VA</v>
      </c>
      <c r="G3384" s="605"/>
      <c r="H3384" s="605"/>
      <c r="I3384" s="605"/>
      <c r="J3384" s="606"/>
      <c r="K3384" s="605"/>
      <c r="L3384" s="605"/>
      <c r="M3384" s="605"/>
      <c r="N3384" s="605"/>
      <c r="O3384" s="605"/>
      <c r="P3384" s="605" t="s">
        <v>5722</v>
      </c>
    </row>
    <row r="3385">
      <c r="A3385" s="605"/>
      <c r="B3385" s="605"/>
      <c r="C3385" s="605"/>
      <c r="D3385" s="605"/>
      <c r="E3385" s="605" t="str">
        <f>IFERROR(__xludf.DUMMYFUNCTION("""COMPUTED_VALUE"""),"VERIZON")</f>
        <v>VERIZON</v>
      </c>
      <c r="F3385" s="605" t="str">
        <f>IFERROR(__xludf.DUMMYFUNCTION("""COMPUTED_VALUE"""),"MIFI 8800L")</f>
        <v>MIFI 8800L</v>
      </c>
      <c r="G3385" s="605"/>
      <c r="H3385" s="605"/>
      <c r="I3385" s="605"/>
      <c r="J3385" s="606"/>
      <c r="K3385" s="605"/>
      <c r="L3385" s="605"/>
      <c r="M3385" s="605"/>
      <c r="N3385" s="605"/>
      <c r="O3385" s="605"/>
      <c r="P3385" s="605" t="s">
        <v>5725</v>
      </c>
    </row>
    <row r="3386">
      <c r="A3386" s="605"/>
      <c r="B3386" s="605"/>
      <c r="C3386" s="605"/>
      <c r="D3386" s="605"/>
      <c r="E3386" s="605" t="str">
        <f>IFERROR(__xludf.DUMMYFUNCTION("""COMPUTED_VALUE"""),"VERTIV")</f>
        <v>VERTIV</v>
      </c>
      <c r="F3386" s="605" t="str">
        <f>IFERROR(__xludf.DUMMYFUNCTION("""COMPUTED_VALUE"""),"LIEBART APM")</f>
        <v>LIEBART APM</v>
      </c>
      <c r="G3386" s="605"/>
      <c r="H3386" s="605"/>
      <c r="I3386" s="605"/>
      <c r="J3386" s="606"/>
      <c r="K3386" s="605"/>
      <c r="L3386" s="605"/>
      <c r="M3386" s="605"/>
      <c r="N3386" s="605"/>
      <c r="O3386" s="605"/>
      <c r="P3386" s="605" t="s">
        <v>5728</v>
      </c>
    </row>
    <row r="3387">
      <c r="A3387" s="605"/>
      <c r="B3387" s="605"/>
      <c r="C3387" s="605"/>
      <c r="D3387" s="605"/>
      <c r="E3387" s="605" t="str">
        <f>IFERROR(__xludf.DUMMYFUNCTION("""COMPUTED_VALUE"""),"VERTIV")</f>
        <v>VERTIV</v>
      </c>
      <c r="F3387" s="605" t="str">
        <f>IFERROR(__xludf.DUMMYFUNCTION("""COMPUTED_VALUE"""),"LIEDERT APS")</f>
        <v>LIEDERT APS</v>
      </c>
      <c r="G3387" s="605"/>
      <c r="H3387" s="605"/>
      <c r="I3387" s="605"/>
      <c r="J3387" s="606"/>
      <c r="K3387" s="605"/>
      <c r="L3387" s="605"/>
      <c r="M3387" s="605"/>
      <c r="N3387" s="605"/>
      <c r="O3387" s="605"/>
      <c r="P3387" s="605" t="s">
        <v>5731</v>
      </c>
    </row>
    <row r="3388">
      <c r="A3388" s="605"/>
      <c r="B3388" s="605"/>
      <c r="C3388" s="605"/>
      <c r="D3388" s="605"/>
      <c r="E3388" s="605" t="str">
        <f>IFERROR(__xludf.DUMMYFUNCTION("""COMPUTED_VALUE"""),"VERTIV")</f>
        <v>VERTIV</v>
      </c>
      <c r="F3388" s="605" t="str">
        <f>IFERROR(__xludf.DUMMYFUNCTION("""COMPUTED_VALUE"""),"LIEBERT PFD067A-AH1")</f>
        <v>LIEBERT PFD067A-AH1</v>
      </c>
      <c r="G3388" s="605"/>
      <c r="H3388" s="605"/>
      <c r="I3388" s="605"/>
      <c r="J3388" s="606"/>
      <c r="K3388" s="605"/>
      <c r="L3388" s="605"/>
      <c r="M3388" s="605"/>
      <c r="N3388" s="605"/>
      <c r="O3388" s="605"/>
      <c r="P3388" s="605" t="s">
        <v>5733</v>
      </c>
    </row>
    <row r="3389">
      <c r="A3389" s="605"/>
      <c r="B3389" s="605"/>
      <c r="C3389" s="605"/>
      <c r="D3389" s="605"/>
      <c r="E3389" s="605" t="str">
        <f>IFERROR(__xludf.DUMMYFUNCTION("""COMPUTED_VALUE"""),"VERTIV")</f>
        <v>VERTIV</v>
      </c>
      <c r="F3389" s="605" t="str">
        <f>IFERROR(__xludf.DUMMYFUNCTION("""COMPUTED_VALUE"""),"LIEBERT PFD067A-AH1")</f>
        <v>LIEBERT PFD067A-AH1</v>
      </c>
      <c r="G3389" s="605"/>
      <c r="H3389" s="605"/>
      <c r="I3389" s="605"/>
      <c r="J3389" s="606"/>
      <c r="K3389" s="605"/>
      <c r="L3389" s="605"/>
      <c r="M3389" s="605"/>
      <c r="N3389" s="605"/>
      <c r="O3389" s="605"/>
      <c r="P3389" s="605" t="s">
        <v>5736</v>
      </c>
    </row>
    <row r="3390">
      <c r="A3390" s="605"/>
      <c r="B3390" s="605"/>
      <c r="C3390" s="605"/>
      <c r="D3390" s="605"/>
      <c r="E3390" s="605" t="str">
        <f>IFERROR(__xludf.DUMMYFUNCTION("""COMPUTED_VALUE"""),"VERTIV")</f>
        <v>VERTIV</v>
      </c>
      <c r="F3390" s="605" t="str">
        <f>IFERROR(__xludf.DUMMYFUNCTION("""COMPUTED_VALUE"""),"LIEBERT APM")</f>
        <v>LIEBERT APM</v>
      </c>
      <c r="G3390" s="605"/>
      <c r="H3390" s="605"/>
      <c r="I3390" s="605"/>
      <c r="J3390" s="606"/>
      <c r="K3390" s="605"/>
      <c r="L3390" s="605"/>
      <c r="M3390" s="605"/>
      <c r="N3390" s="605"/>
      <c r="O3390" s="605"/>
      <c r="P3390" s="605" t="s">
        <v>5739</v>
      </c>
    </row>
    <row r="3391">
      <c r="A3391" s="605"/>
      <c r="B3391" s="605"/>
      <c r="C3391" s="605"/>
      <c r="D3391" s="605"/>
      <c r="E3391" s="605" t="str">
        <f>IFERROR(__xludf.DUMMYFUNCTION("""COMPUTED_VALUE"""),"VERTIV")</f>
        <v>VERTIV</v>
      </c>
      <c r="F3391" s="605" t="str">
        <f>IFERROR(__xludf.DUMMYFUNCTION("""COMPUTED_VALUE"""),"208V-60HZ-EXM")</f>
        <v>208V-60HZ-EXM</v>
      </c>
      <c r="G3391" s="605"/>
      <c r="H3391" s="605"/>
      <c r="I3391" s="605"/>
      <c r="J3391" s="606"/>
      <c r="K3391" s="605"/>
      <c r="L3391" s="605"/>
      <c r="M3391" s="605"/>
      <c r="N3391" s="605"/>
      <c r="O3391" s="605"/>
      <c r="P3391" s="605" t="s">
        <v>5742</v>
      </c>
    </row>
    <row r="3392">
      <c r="A3392" s="605"/>
      <c r="B3392" s="605"/>
      <c r="C3392" s="605"/>
      <c r="D3392" s="605"/>
      <c r="E3392" s="605" t="str">
        <f>IFERROR(__xludf.DUMMYFUNCTION("""COMPUTED_VALUE"""),"VERTIV")</f>
        <v>VERTIV</v>
      </c>
      <c r="F3392" s="605" t="str">
        <f>IFERROR(__xludf.DUMMYFUNCTION("""COMPUTED_VALUE"""),"208V-60HZ-EXM")</f>
        <v>208V-60HZ-EXM</v>
      </c>
      <c r="G3392" s="605"/>
      <c r="H3392" s="605"/>
      <c r="I3392" s="605"/>
      <c r="J3392" s="606"/>
      <c r="K3392" s="605"/>
      <c r="L3392" s="605"/>
      <c r="M3392" s="605"/>
      <c r="N3392" s="605"/>
      <c r="O3392" s="605"/>
      <c r="P3392" s="605" t="s">
        <v>5745</v>
      </c>
    </row>
    <row r="3393">
      <c r="A3393" s="605"/>
      <c r="B3393" s="605"/>
      <c r="C3393" s="605"/>
      <c r="D3393" s="605"/>
      <c r="E3393" s="605" t="str">
        <f>IFERROR(__xludf.DUMMYFUNCTION("""COMPUTED_VALUE"""),"VERTIV")</f>
        <v>VERTIV</v>
      </c>
      <c r="F3393" s="605" t="str">
        <f>IFERROR(__xludf.DUMMYFUNCTION("""COMPUTED_VALUE"""),"LIEBERT EXM UPS")</f>
        <v>LIEBERT EXM UPS</v>
      </c>
      <c r="G3393" s="605"/>
      <c r="H3393" s="605"/>
      <c r="I3393" s="605"/>
      <c r="J3393" s="606"/>
      <c r="K3393" s="605"/>
      <c r="L3393" s="605"/>
      <c r="M3393" s="605"/>
      <c r="N3393" s="605"/>
      <c r="O3393" s="605"/>
      <c r="P3393" s="605" t="s">
        <v>3155</v>
      </c>
    </row>
    <row r="3394">
      <c r="A3394" s="605"/>
      <c r="B3394" s="605"/>
      <c r="C3394" s="605"/>
      <c r="D3394" s="605"/>
      <c r="E3394" s="605" t="str">
        <f>IFERROR(__xludf.DUMMYFUNCTION("""COMPUTED_VALUE"""),"VERTIV")</f>
        <v>VERTIV</v>
      </c>
      <c r="F3394" s="605" t="str">
        <f>IFERROR(__xludf.DUMMYFUNCTION("""COMPUTED_VALUE"""),"LIEBERT CRV")</f>
        <v>LIEBERT CRV</v>
      </c>
      <c r="G3394" s="605"/>
      <c r="H3394" s="605"/>
      <c r="I3394" s="605"/>
      <c r="J3394" s="606"/>
      <c r="K3394" s="605"/>
      <c r="L3394" s="605"/>
      <c r="M3394" s="605"/>
      <c r="N3394" s="605"/>
      <c r="O3394" s="605"/>
      <c r="P3394" s="605" t="s">
        <v>5748</v>
      </c>
    </row>
    <row r="3395">
      <c r="A3395" s="605"/>
      <c r="B3395" s="605"/>
      <c r="C3395" s="605"/>
      <c r="D3395" s="605"/>
      <c r="E3395" s="605" t="str">
        <f>IFERROR(__xludf.DUMMYFUNCTION("""COMPUTED_VALUE"""),"VERTIV")</f>
        <v>VERTIV</v>
      </c>
      <c r="F3395" s="605" t="str">
        <f>IFERROR(__xludf.DUMMYFUNCTION("""COMPUTED_VALUE"""),"LIEBERT PDX")</f>
        <v>LIEBERT PDX</v>
      </c>
      <c r="G3395" s="605"/>
      <c r="H3395" s="605"/>
      <c r="I3395" s="605"/>
      <c r="J3395" s="606"/>
      <c r="K3395" s="605"/>
      <c r="L3395" s="605"/>
      <c r="M3395" s="605"/>
      <c r="N3395" s="605"/>
      <c r="O3395" s="605"/>
      <c r="P3395" s="605" t="s">
        <v>5751</v>
      </c>
    </row>
    <row r="3396">
      <c r="A3396" s="605"/>
      <c r="B3396" s="605"/>
      <c r="C3396" s="605"/>
      <c r="D3396" s="605"/>
      <c r="E3396" s="605" t="str">
        <f>IFERROR(__xludf.DUMMYFUNCTION("""COMPUTED_VALUE"""),"VERTIV")</f>
        <v>VERTIV</v>
      </c>
      <c r="F3396" s="605" t="str">
        <f>IFERROR(__xludf.DUMMYFUNCTION("""COMPUTED_VALUE"""),"RDU101")</f>
        <v>RDU101</v>
      </c>
      <c r="G3396" s="605"/>
      <c r="H3396" s="605"/>
      <c r="I3396" s="605"/>
      <c r="J3396" s="606"/>
      <c r="K3396" s="605"/>
      <c r="L3396" s="605"/>
      <c r="M3396" s="605"/>
      <c r="N3396" s="605"/>
      <c r="O3396" s="605"/>
      <c r="P3396" s="605" t="s">
        <v>5754</v>
      </c>
    </row>
    <row r="3397">
      <c r="A3397" s="605"/>
      <c r="B3397" s="605"/>
      <c r="C3397" s="605"/>
      <c r="D3397" s="605"/>
      <c r="E3397" s="605" t="str">
        <f>IFERROR(__xludf.DUMMYFUNCTION("""COMPUTED_VALUE"""),"VERTIV")</f>
        <v>VERTIV</v>
      </c>
      <c r="F3397" s="605" t="str">
        <f>IFERROR(__xludf.DUMMYFUNCTION("""COMPUTED_VALUE"""),"IS-UNITY-DP")</f>
        <v>IS-UNITY-DP</v>
      </c>
      <c r="G3397" s="605"/>
      <c r="H3397" s="605"/>
      <c r="I3397" s="605"/>
      <c r="J3397" s="606"/>
      <c r="K3397" s="605"/>
      <c r="L3397" s="605"/>
      <c r="M3397" s="605"/>
      <c r="N3397" s="605"/>
      <c r="O3397" s="605"/>
      <c r="P3397" s="605" t="s">
        <v>5757</v>
      </c>
    </row>
    <row r="3398">
      <c r="A3398" s="605"/>
      <c r="B3398" s="605"/>
      <c r="C3398" s="605"/>
      <c r="D3398" s="605"/>
      <c r="E3398" s="605" t="str">
        <f>IFERROR(__xludf.DUMMYFUNCTION("""COMPUTED_VALUE"""),"VERTIV")</f>
        <v>VERTIV</v>
      </c>
      <c r="F3398" s="605" t="str">
        <f>IFERROR(__xludf.DUMMYFUNCTION("""COMPUTED_VALUE"""),"IS-UNITY-SNMP")</f>
        <v>IS-UNITY-SNMP</v>
      </c>
      <c r="G3398" s="605"/>
      <c r="H3398" s="605"/>
      <c r="I3398" s="605"/>
      <c r="J3398" s="606"/>
      <c r="K3398" s="605"/>
      <c r="L3398" s="605"/>
      <c r="M3398" s="605"/>
      <c r="N3398" s="605"/>
      <c r="O3398" s="605"/>
      <c r="P3398" s="605" t="s">
        <v>5760</v>
      </c>
    </row>
    <row r="3399">
      <c r="A3399" s="605"/>
      <c r="B3399" s="605"/>
      <c r="C3399" s="605"/>
      <c r="D3399" s="605"/>
      <c r="E3399" s="605" t="str">
        <f>IFERROR(__xludf.DUMMYFUNCTION("""COMPUTED_VALUE"""),"VERTIV")</f>
        <v>VERTIV</v>
      </c>
      <c r="F3399" s="605" t="str">
        <f>IFERROR(__xludf.DUMMYFUNCTION("""COMPUTED_VALUE"""),"LIEBERT-ICOM CONTROLLER")</f>
        <v>LIEBERT-ICOM CONTROLLER</v>
      </c>
      <c r="G3399" s="605"/>
      <c r="H3399" s="605"/>
      <c r="I3399" s="605"/>
      <c r="J3399" s="606"/>
      <c r="K3399" s="605"/>
      <c r="L3399" s="605"/>
      <c r="M3399" s="605"/>
      <c r="N3399" s="605"/>
      <c r="O3399" s="605"/>
      <c r="P3399" s="605" t="s">
        <v>5763</v>
      </c>
    </row>
    <row r="3400">
      <c r="A3400" s="605"/>
      <c r="B3400" s="605"/>
      <c r="C3400" s="605"/>
      <c r="D3400" s="605"/>
      <c r="E3400" s="605" t="str">
        <f>IFERROR(__xludf.DUMMYFUNCTION("""COMPUTED_VALUE"""),"VERTIV")</f>
        <v>VERTIV</v>
      </c>
      <c r="F3400" s="605" t="str">
        <f>IFERROR(__xludf.DUMMYFUNCTION("""COMPUTED_VALUE"""),"LIEBERT-ICOM DISPLAY")</f>
        <v>LIEBERT-ICOM DISPLAY</v>
      </c>
      <c r="G3400" s="605"/>
      <c r="H3400" s="605"/>
      <c r="I3400" s="605"/>
      <c r="J3400" s="606"/>
      <c r="K3400" s="605"/>
      <c r="L3400" s="605"/>
      <c r="M3400" s="605"/>
      <c r="N3400" s="605"/>
      <c r="O3400" s="605"/>
      <c r="P3400" s="605" t="s">
        <v>5766</v>
      </c>
    </row>
    <row r="3401">
      <c r="A3401" s="605"/>
      <c r="B3401" s="605"/>
      <c r="C3401" s="605"/>
      <c r="D3401" s="605"/>
      <c r="E3401" s="605" t="str">
        <f>IFERROR(__xludf.DUMMYFUNCTION("""COMPUTED_VALUE"""),"VERTIV")</f>
        <v>VERTIV</v>
      </c>
      <c r="F3401" s="605" t="str">
        <f>IFERROR(__xludf.DUMMYFUNCTION("""COMPUTED_VALUE"""),"LIEBERT EXS")</f>
        <v>LIEBERT EXS</v>
      </c>
      <c r="G3401" s="605"/>
      <c r="H3401" s="605"/>
      <c r="I3401" s="605"/>
      <c r="J3401" s="606"/>
      <c r="K3401" s="605"/>
      <c r="L3401" s="605"/>
      <c r="M3401" s="605"/>
      <c r="N3401" s="605"/>
      <c r="O3401" s="605"/>
      <c r="P3401" s="605" t="s">
        <v>5769</v>
      </c>
    </row>
    <row r="3402">
      <c r="A3402" s="605"/>
      <c r="B3402" s="605"/>
      <c r="C3402" s="605"/>
      <c r="D3402" s="605"/>
      <c r="E3402" s="605" t="str">
        <f>IFERROR(__xludf.DUMMYFUNCTION("""COMPUTED_VALUE"""),"VERTIV")</f>
        <v>VERTIV</v>
      </c>
      <c r="F3402" s="605" t="str">
        <f>IFERROR(__xludf.DUMMYFUNCTION("""COMPUTED_VALUE"""),"ITA2")</f>
        <v>ITA2</v>
      </c>
      <c r="G3402" s="605"/>
      <c r="H3402" s="605"/>
      <c r="I3402" s="605"/>
      <c r="J3402" s="606"/>
      <c r="K3402" s="605"/>
      <c r="L3402" s="605"/>
      <c r="M3402" s="605"/>
      <c r="N3402" s="605"/>
      <c r="O3402" s="605"/>
      <c r="P3402" s="605" t="s">
        <v>5772</v>
      </c>
    </row>
    <row r="3403">
      <c r="A3403" s="605"/>
      <c r="B3403" s="605"/>
      <c r="C3403" s="605"/>
      <c r="D3403" s="605"/>
      <c r="E3403" s="605" t="str">
        <f>IFERROR(__xludf.DUMMYFUNCTION("""COMPUTED_VALUE"""),"VERTIV")</f>
        <v>VERTIV</v>
      </c>
      <c r="F3403" s="605" t="str">
        <f>IFERROR(__xludf.DUMMYFUNCTION("""COMPUTED_VALUE"""),"LIEBERT EXL S1")</f>
        <v>LIEBERT EXL S1</v>
      </c>
      <c r="G3403" s="605"/>
      <c r="H3403" s="605"/>
      <c r="I3403" s="605"/>
      <c r="J3403" s="606"/>
      <c r="K3403" s="605"/>
      <c r="L3403" s="605"/>
      <c r="M3403" s="605"/>
      <c r="N3403" s="605"/>
      <c r="O3403" s="605"/>
      <c r="P3403" s="605" t="s">
        <v>5775</v>
      </c>
    </row>
    <row r="3404">
      <c r="A3404" s="605"/>
      <c r="B3404" s="605"/>
      <c r="C3404" s="605"/>
      <c r="D3404" s="605"/>
      <c r="E3404" s="605" t="str">
        <f>IFERROR(__xludf.DUMMYFUNCTION("""COMPUTED_VALUE"""),"VERTIV")</f>
        <v>VERTIV</v>
      </c>
      <c r="F3404" s="605" t="str">
        <f>IFERROR(__xludf.DUMMYFUNCTION("""COMPUTED_VALUE"""),"IS-UNITY-ICOM2")</f>
        <v>IS-UNITY-ICOM2</v>
      </c>
      <c r="G3404" s="605"/>
      <c r="H3404" s="605"/>
      <c r="I3404" s="605"/>
      <c r="J3404" s="606"/>
      <c r="K3404" s="605"/>
      <c r="L3404" s="605"/>
      <c r="M3404" s="605"/>
      <c r="N3404" s="605"/>
      <c r="O3404" s="605"/>
      <c r="P3404" s="605" t="s">
        <v>8988</v>
      </c>
    </row>
    <row r="3405">
      <c r="A3405" s="605"/>
      <c r="B3405" s="605"/>
      <c r="C3405" s="605"/>
      <c r="D3405" s="605"/>
      <c r="E3405" s="605" t="str">
        <f>IFERROR(__xludf.DUMMYFUNCTION("""COMPUTED_VALUE"""),"VIABOT")</f>
        <v>VIABOT</v>
      </c>
      <c r="F3405" s="605" t="str">
        <f>IFERROR(__xludf.DUMMYFUNCTION("""COMPUTED_VALUE"""),"RASPBERRY PI MODEL 3 B+")</f>
        <v>RASPBERRY PI MODEL 3 B+</v>
      </c>
      <c r="G3405" s="605"/>
      <c r="H3405" s="605"/>
      <c r="I3405" s="605"/>
      <c r="J3405" s="606"/>
      <c r="K3405" s="605"/>
      <c r="L3405" s="605"/>
      <c r="M3405" s="605"/>
      <c r="N3405" s="605"/>
      <c r="O3405" s="605"/>
      <c r="P3405" s="605" t="s">
        <v>9009</v>
      </c>
    </row>
    <row r="3406">
      <c r="A3406" s="605"/>
      <c r="B3406" s="605"/>
      <c r="C3406" s="605"/>
      <c r="D3406" s="605"/>
      <c r="E3406" s="605" t="str">
        <f>IFERROR(__xludf.DUMMYFUNCTION("""COMPUTED_VALUE"""),"VIEW INC")</f>
        <v>VIEW INC</v>
      </c>
      <c r="F3406" s="605" t="str">
        <f>IFERROR(__xludf.DUMMYFUNCTION("""COMPUTED_VALUE"""),"VS-NWC")</f>
        <v>VS-NWC</v>
      </c>
      <c r="G3406" s="605"/>
      <c r="H3406" s="605"/>
      <c r="I3406" s="605"/>
      <c r="J3406" s="606"/>
      <c r="K3406" s="605"/>
      <c r="L3406" s="605"/>
      <c r="M3406" s="605"/>
      <c r="N3406" s="605"/>
      <c r="O3406" s="605"/>
      <c r="P3406" s="605" t="s">
        <v>9011</v>
      </c>
    </row>
    <row r="3407">
      <c r="A3407" s="605"/>
      <c r="B3407" s="605"/>
      <c r="C3407" s="605"/>
      <c r="D3407" s="605"/>
      <c r="E3407" s="605" t="str">
        <f>IFERROR(__xludf.DUMMYFUNCTION("""COMPUTED_VALUE"""),"VIEW INC")</f>
        <v>VIEW INC</v>
      </c>
      <c r="F3407" s="605" t="str">
        <f>IFERROR(__xludf.DUMMYFUNCTION("""COMPUTED_VALUE"""),"VN-CPHEL")</f>
        <v>VN-CPHEL</v>
      </c>
      <c r="G3407" s="605"/>
      <c r="H3407" s="605"/>
      <c r="I3407" s="605"/>
      <c r="J3407" s="606"/>
      <c r="K3407" s="605"/>
      <c r="L3407" s="605"/>
      <c r="M3407" s="605"/>
      <c r="N3407" s="605"/>
      <c r="O3407" s="605"/>
      <c r="P3407" s="605" t="s">
        <v>9013</v>
      </c>
    </row>
    <row r="3408">
      <c r="A3408" s="605"/>
      <c r="B3408" s="605"/>
      <c r="C3408" s="605"/>
      <c r="D3408" s="605"/>
      <c r="E3408" s="605" t="str">
        <f>IFERROR(__xludf.DUMMYFUNCTION("""COMPUTED_VALUE"""),"VIEW INC")</f>
        <v>VIEW INC</v>
      </c>
      <c r="F3408" s="605" t="str">
        <f>IFERROR(__xludf.DUMMYFUNCTION("""COMPUTED_VALUE"""),"VS-SKY")</f>
        <v>VS-SKY</v>
      </c>
      <c r="G3408" s="605"/>
      <c r="H3408" s="605"/>
      <c r="I3408" s="605"/>
      <c r="J3408" s="606"/>
      <c r="K3408" s="605"/>
      <c r="L3408" s="605"/>
      <c r="M3408" s="605"/>
      <c r="N3408" s="605"/>
      <c r="O3408" s="605"/>
      <c r="P3408" s="605" t="s">
        <v>9015</v>
      </c>
    </row>
    <row r="3409">
      <c r="A3409" s="605"/>
      <c r="B3409" s="605"/>
      <c r="C3409" s="605"/>
      <c r="D3409" s="605"/>
      <c r="E3409" s="605" t="str">
        <f>IFERROR(__xludf.DUMMYFUNCTION("""COMPUTED_VALUE"""),"VIEW INC")</f>
        <v>VIEW INC</v>
      </c>
      <c r="F3409" s="605" t="str">
        <f>IFERROR(__xludf.DUMMYFUNCTION("""COMPUTED_VALUE"""),"VS-FAN")</f>
        <v>VS-FAN</v>
      </c>
      <c r="G3409" s="605"/>
      <c r="H3409" s="605"/>
      <c r="I3409" s="605"/>
      <c r="J3409" s="606"/>
      <c r="K3409" s="605"/>
      <c r="L3409" s="605"/>
      <c r="M3409" s="605"/>
      <c r="N3409" s="605"/>
      <c r="O3409" s="605"/>
      <c r="P3409" s="605" t="s">
        <v>9017</v>
      </c>
    </row>
    <row r="3410">
      <c r="A3410" s="605"/>
      <c r="B3410" s="605"/>
      <c r="C3410" s="605"/>
      <c r="D3410" s="605"/>
      <c r="E3410" s="605" t="str">
        <f>IFERROR(__xludf.DUMMYFUNCTION("""COMPUTED_VALUE"""),"VIEW INC")</f>
        <v>VIEW INC</v>
      </c>
      <c r="F3410" s="605" t="str">
        <f>IFERROR(__xludf.DUMMYFUNCTION("""COMPUTED_VALUE"""),"VS-EQ")</f>
        <v>VS-EQ</v>
      </c>
      <c r="G3410" s="605"/>
      <c r="H3410" s="605"/>
      <c r="I3410" s="605"/>
      <c r="J3410" s="606"/>
      <c r="K3410" s="605"/>
      <c r="L3410" s="605"/>
      <c r="M3410" s="605"/>
      <c r="N3410" s="605"/>
      <c r="O3410" s="605"/>
      <c r="P3410" s="605" t="s">
        <v>9019</v>
      </c>
    </row>
    <row r="3411">
      <c r="A3411" s="605"/>
      <c r="B3411" s="605"/>
      <c r="C3411" s="605"/>
      <c r="D3411" s="605"/>
      <c r="E3411" s="605" t="str">
        <f>IFERROR(__xludf.DUMMYFUNCTION("""COMPUTED_VALUE"""),"VIEW SONIC")</f>
        <v>VIEW SONIC</v>
      </c>
      <c r="F3411" s="605" t="str">
        <f>IFERROR(__xludf.DUMMYFUNCTION("""COMPUTED_VALUE"""),"NUC5CPYH")</f>
        <v>NUC5CPYH</v>
      </c>
      <c r="G3411" s="605"/>
      <c r="H3411" s="605"/>
      <c r="I3411" s="605"/>
      <c r="J3411" s="606"/>
      <c r="K3411" s="605"/>
      <c r="L3411" s="605"/>
      <c r="M3411" s="605"/>
      <c r="N3411" s="605"/>
      <c r="O3411" s="605"/>
      <c r="P3411" s="605" t="s">
        <v>9023</v>
      </c>
    </row>
    <row r="3412">
      <c r="A3412" s="605"/>
      <c r="B3412" s="605"/>
      <c r="C3412" s="605"/>
      <c r="D3412" s="605"/>
      <c r="E3412" s="605" t="str">
        <f>IFERROR(__xludf.DUMMYFUNCTION("""COMPUTED_VALUE"""),"VIGILANCE")</f>
        <v>VIGILANCE</v>
      </c>
      <c r="F3412" s="605" t="str">
        <f>IFERROR(__xludf.DUMMYFUNCTION("""COMPUTED_VALUE"""),"VT 300")</f>
        <v>VT 300</v>
      </c>
      <c r="G3412" s="605"/>
      <c r="H3412" s="605"/>
      <c r="I3412" s="605"/>
      <c r="J3412" s="606"/>
      <c r="K3412" s="605"/>
      <c r="L3412" s="605"/>
      <c r="M3412" s="605"/>
      <c r="N3412" s="605"/>
      <c r="O3412" s="605"/>
      <c r="P3412" s="605" t="s">
        <v>8993</v>
      </c>
    </row>
    <row r="3413">
      <c r="A3413" s="605"/>
      <c r="B3413" s="605"/>
      <c r="C3413" s="605"/>
      <c r="D3413" s="605"/>
      <c r="E3413" s="605" t="str">
        <f>IFERROR(__xludf.DUMMYFUNCTION("""COMPUTED_VALUE"""),"VIRRY")</f>
        <v>VIRRY</v>
      </c>
      <c r="F3413" s="605" t="str">
        <f>IFERROR(__xludf.DUMMYFUNCTION("""COMPUTED_VALUE"""),"SC-200")</f>
        <v>SC-200</v>
      </c>
      <c r="G3413" s="605"/>
      <c r="H3413" s="605"/>
      <c r="I3413" s="605"/>
      <c r="J3413" s="606"/>
      <c r="K3413" s="605"/>
      <c r="L3413" s="605"/>
      <c r="M3413" s="605"/>
      <c r="N3413" s="605"/>
      <c r="O3413" s="605"/>
      <c r="P3413" s="605" t="s">
        <v>8995</v>
      </c>
    </row>
    <row r="3414">
      <c r="A3414" s="605"/>
      <c r="B3414" s="605"/>
      <c r="C3414" s="605"/>
      <c r="D3414" s="605"/>
      <c r="E3414" s="605" t="str">
        <f>IFERROR(__xludf.DUMMYFUNCTION("""COMPUTED_VALUE"""),"VISAM")</f>
        <v>VISAM</v>
      </c>
      <c r="F3414" s="605" t="str">
        <f>IFERROR(__xludf.DUMMYFUNCTION("""COMPUTED_VALUE"""),"VTP-UC72")</f>
        <v>VTP-UC72</v>
      </c>
      <c r="G3414" s="605"/>
      <c r="H3414" s="605"/>
      <c r="I3414" s="605"/>
      <c r="J3414" s="606"/>
      <c r="K3414" s="605"/>
      <c r="L3414" s="605"/>
      <c r="M3414" s="605"/>
      <c r="N3414" s="605"/>
      <c r="O3414" s="605"/>
      <c r="P3414" s="605" t="s">
        <v>8997</v>
      </c>
    </row>
    <row r="3415">
      <c r="A3415" s="605"/>
      <c r="B3415" s="605"/>
      <c r="C3415" s="605"/>
      <c r="D3415" s="605"/>
      <c r="E3415" s="605" t="str">
        <f>IFERROR(__xludf.DUMMYFUNCTION("""COMPUTED_VALUE"""),"VIVREAU")</f>
        <v>VIVREAU</v>
      </c>
      <c r="F3415" s="605" t="str">
        <f>IFERROR(__xludf.DUMMYFUNCTION("""COMPUTED_VALUE"""),"DE012-0233")</f>
        <v>DE012-0233</v>
      </c>
      <c r="G3415" s="605"/>
      <c r="H3415" s="605"/>
      <c r="I3415" s="605"/>
      <c r="J3415" s="606"/>
      <c r="K3415" s="605"/>
      <c r="L3415" s="605"/>
      <c r="M3415" s="605"/>
      <c r="N3415" s="605"/>
      <c r="O3415" s="605"/>
      <c r="P3415" s="605" t="s">
        <v>8999</v>
      </c>
    </row>
    <row r="3416">
      <c r="A3416" s="605"/>
      <c r="B3416" s="605"/>
      <c r="C3416" s="605"/>
      <c r="D3416" s="605"/>
      <c r="E3416" s="605" t="str">
        <f>IFERROR(__xludf.DUMMYFUNCTION("""COMPUTED_VALUE"""),"VIZIO")</f>
        <v>VIZIO</v>
      </c>
      <c r="F3416" s="605" t="str">
        <f>IFERROR(__xludf.DUMMYFUNCTION("""COMPUTED_VALUE"""),"E70U-D3")</f>
        <v>E70U-D3</v>
      </c>
      <c r="G3416" s="605"/>
      <c r="H3416" s="605"/>
      <c r="I3416" s="605"/>
      <c r="J3416" s="606"/>
      <c r="K3416" s="605"/>
      <c r="L3416" s="605"/>
      <c r="M3416" s="605"/>
      <c r="N3416" s="605"/>
      <c r="O3416" s="605"/>
      <c r="P3416" s="605" t="s">
        <v>9001</v>
      </c>
    </row>
    <row r="3417">
      <c r="A3417" s="605"/>
      <c r="B3417" s="605"/>
      <c r="C3417" s="605"/>
      <c r="D3417" s="605"/>
      <c r="E3417" s="605" t="str">
        <f>IFERROR(__xludf.DUMMYFUNCTION("""COMPUTED_VALUE"""),"VIZIO")</f>
        <v>VIZIO</v>
      </c>
      <c r="F3417" s="605" t="str">
        <f>IFERROR(__xludf.DUMMYFUNCTION("""COMPUTED_VALUE"""),"P602UI-B3")</f>
        <v>P602UI-B3</v>
      </c>
      <c r="G3417" s="605"/>
      <c r="H3417" s="605"/>
      <c r="I3417" s="605"/>
      <c r="J3417" s="606"/>
      <c r="K3417" s="605"/>
      <c r="L3417" s="605"/>
      <c r="M3417" s="605"/>
      <c r="N3417" s="605"/>
      <c r="O3417" s="605"/>
      <c r="P3417" s="605" t="s">
        <v>9003</v>
      </c>
    </row>
    <row r="3418">
      <c r="A3418" s="605"/>
      <c r="B3418" s="605"/>
      <c r="C3418" s="605"/>
      <c r="D3418" s="605"/>
      <c r="E3418" s="605" t="str">
        <f>IFERROR(__xludf.DUMMYFUNCTION("""COMPUTED_VALUE"""),"VIZIO")</f>
        <v>VIZIO</v>
      </c>
      <c r="F3418" s="605" t="str">
        <f>IFERROR(__xludf.DUMMYFUNCTION("""COMPUTED_VALUE"""),"P75-C1")</f>
        <v>P75-C1</v>
      </c>
      <c r="G3418" s="605"/>
      <c r="H3418" s="605"/>
      <c r="I3418" s="605"/>
      <c r="J3418" s="606"/>
      <c r="K3418" s="605"/>
      <c r="L3418" s="605"/>
      <c r="M3418" s="605"/>
      <c r="N3418" s="605"/>
      <c r="O3418" s="605"/>
      <c r="P3418" s="605" t="s">
        <v>9005</v>
      </c>
    </row>
    <row r="3419">
      <c r="A3419" s="605"/>
      <c r="B3419" s="605"/>
      <c r="C3419" s="605"/>
      <c r="D3419" s="605"/>
      <c r="E3419" s="605" t="str">
        <f>IFERROR(__xludf.DUMMYFUNCTION("""COMPUTED_VALUE"""),"VIZIO")</f>
        <v>VIZIO</v>
      </c>
      <c r="F3419" s="605" t="str">
        <f>IFERROR(__xludf.DUMMYFUNCTION("""COMPUTED_VALUE"""),"P42HDTV10A")</f>
        <v>P42HDTV10A</v>
      </c>
      <c r="G3419" s="605"/>
      <c r="H3419" s="605"/>
      <c r="I3419" s="605"/>
      <c r="J3419" s="606"/>
      <c r="K3419" s="605"/>
      <c r="L3419" s="605"/>
      <c r="M3419" s="605"/>
      <c r="N3419" s="605"/>
      <c r="O3419" s="605"/>
      <c r="P3419" s="605" t="s">
        <v>9007</v>
      </c>
    </row>
    <row r="3420">
      <c r="A3420" s="605"/>
      <c r="B3420" s="605"/>
      <c r="C3420" s="605"/>
      <c r="D3420" s="605"/>
      <c r="E3420" s="605" t="str">
        <f>IFERROR(__xludf.DUMMYFUNCTION("""COMPUTED_VALUE"""),"VKI")</f>
        <v>VKI</v>
      </c>
      <c r="F3420" s="605" t="str">
        <f>IFERROR(__xludf.DUMMYFUNCTION("""COMPUTED_VALUE"""),"ECCELLENZA TOUCH")</f>
        <v>ECCELLENZA TOUCH</v>
      </c>
      <c r="G3420" s="605"/>
      <c r="H3420" s="605"/>
      <c r="I3420" s="605"/>
      <c r="J3420" s="606"/>
      <c r="K3420" s="605"/>
      <c r="L3420" s="605"/>
      <c r="M3420" s="605"/>
      <c r="N3420" s="605"/>
      <c r="O3420" s="605"/>
      <c r="P3420" s="605" t="s">
        <v>9288</v>
      </c>
    </row>
    <row r="3421">
      <c r="A3421" s="605"/>
      <c r="B3421" s="605"/>
      <c r="C3421" s="605"/>
      <c r="D3421" s="605"/>
      <c r="E3421" s="605" t="str">
        <f>IFERROR(__xludf.DUMMYFUNCTION("""COMPUTED_VALUE"""),"VSI")</f>
        <v>VSI</v>
      </c>
      <c r="F3421" s="605" t="str">
        <f>IFERROR(__xludf.DUMMYFUNCTION("""COMPUTED_VALUE"""),"SMART TERMINAL")</f>
        <v>SMART TERMINAL</v>
      </c>
      <c r="G3421" s="605"/>
      <c r="H3421" s="605"/>
      <c r="I3421" s="605"/>
      <c r="J3421" s="606"/>
      <c r="K3421" s="605"/>
      <c r="L3421" s="605"/>
      <c r="M3421" s="605"/>
      <c r="N3421" s="605"/>
      <c r="O3421" s="605"/>
      <c r="P3421" s="605" t="s">
        <v>9096</v>
      </c>
    </row>
    <row r="3422">
      <c r="A3422" s="605"/>
      <c r="B3422" s="605"/>
      <c r="C3422" s="605"/>
      <c r="D3422" s="605"/>
      <c r="E3422" s="605" t="str">
        <f>IFERROR(__xludf.DUMMYFUNCTION("""COMPUTED_VALUE"""),"VYKON")</f>
        <v>VYKON</v>
      </c>
      <c r="F3422" s="605" t="str">
        <f>IFERROR(__xludf.DUMMYFUNCTION("""COMPUTED_VALUE"""),"JACE-300E")</f>
        <v>JACE-300E</v>
      </c>
      <c r="G3422" s="605"/>
      <c r="H3422" s="605"/>
      <c r="I3422" s="605"/>
      <c r="J3422" s="606"/>
      <c r="K3422" s="605"/>
      <c r="L3422" s="605"/>
      <c r="M3422" s="605"/>
      <c r="N3422" s="605"/>
      <c r="O3422" s="605"/>
      <c r="P3422" s="605" t="s">
        <v>9120</v>
      </c>
    </row>
    <row r="3423">
      <c r="A3423" s="605"/>
      <c r="B3423" s="605"/>
      <c r="C3423" s="605"/>
      <c r="D3423" s="605"/>
      <c r="E3423" s="605" t="str">
        <f>IFERROR(__xludf.DUMMYFUNCTION("""COMPUTED_VALUE"""),"VYKON")</f>
        <v>VYKON</v>
      </c>
      <c r="F3423" s="605" t="str">
        <f>IFERROR(__xludf.DUMMYFUNCTION("""COMPUTED_VALUE"""),"JACE 8000")</f>
        <v>JACE 8000</v>
      </c>
      <c r="G3423" s="605"/>
      <c r="H3423" s="605"/>
      <c r="I3423" s="605"/>
      <c r="J3423" s="606"/>
      <c r="K3423" s="605"/>
      <c r="L3423" s="605"/>
      <c r="M3423" s="605"/>
      <c r="N3423" s="605"/>
      <c r="O3423" s="605"/>
      <c r="P3423" s="605" t="s">
        <v>9122</v>
      </c>
    </row>
    <row r="3424">
      <c r="A3424" s="605"/>
      <c r="B3424" s="605"/>
      <c r="C3424" s="605"/>
      <c r="D3424" s="605"/>
      <c r="E3424" s="605" t="str">
        <f>IFERROR(__xludf.DUMMYFUNCTION("""COMPUTED_VALUE"""),"VYKON")</f>
        <v>VYKON</v>
      </c>
      <c r="F3424" s="605" t="str">
        <f>IFERROR(__xludf.DUMMYFUNCTION("""COMPUTED_VALUE"""),"JACE 501")</f>
        <v>JACE 501</v>
      </c>
      <c r="G3424" s="605"/>
      <c r="H3424" s="605"/>
      <c r="I3424" s="605"/>
      <c r="J3424" s="606"/>
      <c r="K3424" s="605"/>
      <c r="L3424" s="605"/>
      <c r="M3424" s="605"/>
      <c r="N3424" s="605"/>
      <c r="O3424" s="605"/>
      <c r="P3424" s="605" t="s">
        <v>9125</v>
      </c>
    </row>
    <row r="3425">
      <c r="A3425" s="605"/>
      <c r="B3425" s="605"/>
      <c r="C3425" s="605"/>
      <c r="D3425" s="605"/>
      <c r="E3425" s="605" t="str">
        <f>IFERROR(__xludf.DUMMYFUNCTION("""COMPUTED_VALUE"""),"WAGO")</f>
        <v>WAGO</v>
      </c>
      <c r="F3425" s="605" t="str">
        <f>IFERROR(__xludf.DUMMYFUNCTION("""COMPUTED_VALUE"""),"852-101")</f>
        <v>852-101</v>
      </c>
      <c r="G3425" s="605"/>
      <c r="H3425" s="605"/>
      <c r="I3425" s="605"/>
      <c r="J3425" s="606"/>
      <c r="K3425" s="605"/>
      <c r="L3425" s="605"/>
      <c r="M3425" s="605"/>
      <c r="N3425" s="605"/>
      <c r="O3425" s="605"/>
      <c r="P3425" s="605" t="s">
        <v>9127</v>
      </c>
    </row>
    <row r="3426">
      <c r="A3426" s="605"/>
      <c r="B3426" s="605"/>
      <c r="C3426" s="605"/>
      <c r="D3426" s="605"/>
      <c r="E3426" s="605" t="str">
        <f>IFERROR(__xludf.DUMMYFUNCTION("""COMPUTED_VALUE"""),"WAGO")</f>
        <v>WAGO</v>
      </c>
      <c r="F3426" s="605" t="str">
        <f>IFERROR(__xludf.DUMMYFUNCTION("""COMPUTED_VALUE"""),"852-111")</f>
        <v>852-111</v>
      </c>
      <c r="G3426" s="605"/>
      <c r="H3426" s="605"/>
      <c r="I3426" s="605"/>
      <c r="J3426" s="606"/>
      <c r="K3426" s="605"/>
      <c r="L3426" s="605"/>
      <c r="M3426" s="605"/>
      <c r="N3426" s="605"/>
      <c r="O3426" s="605"/>
      <c r="P3426" s="605" t="s">
        <v>9129</v>
      </c>
    </row>
    <row r="3427">
      <c r="A3427" s="605"/>
      <c r="B3427" s="605"/>
      <c r="C3427" s="605"/>
      <c r="D3427" s="605"/>
      <c r="E3427" s="605" t="str">
        <f>IFERROR(__xludf.DUMMYFUNCTION("""COMPUTED_VALUE"""),"WAGO")</f>
        <v>WAGO</v>
      </c>
      <c r="F3427" s="605" t="str">
        <f>IFERROR(__xludf.DUMMYFUNCTION("""COMPUTED_VALUE"""),"852-112")</f>
        <v>852-112</v>
      </c>
      <c r="G3427" s="605"/>
      <c r="H3427" s="605"/>
      <c r="I3427" s="605"/>
      <c r="J3427" s="606"/>
      <c r="K3427" s="605"/>
      <c r="L3427" s="605"/>
      <c r="M3427" s="605"/>
      <c r="N3427" s="605"/>
      <c r="O3427" s="605"/>
      <c r="P3427" s="605" t="s">
        <v>9131</v>
      </c>
    </row>
    <row r="3428">
      <c r="A3428" s="605"/>
      <c r="B3428" s="605"/>
      <c r="C3428" s="605"/>
      <c r="D3428" s="605"/>
      <c r="E3428" s="605" t="str">
        <f>IFERROR(__xludf.DUMMYFUNCTION("""COMPUTED_VALUE"""),"WAGO")</f>
        <v>WAGO</v>
      </c>
      <c r="F3428" s="605" t="str">
        <f>IFERROR(__xludf.DUMMYFUNCTION("""COMPUTED_VALUE"""),"750-831")</f>
        <v>750-831</v>
      </c>
      <c r="G3428" s="605"/>
      <c r="H3428" s="605"/>
      <c r="I3428" s="605"/>
      <c r="J3428" s="606"/>
      <c r="K3428" s="605"/>
      <c r="L3428" s="605"/>
      <c r="M3428" s="605"/>
      <c r="N3428" s="605"/>
      <c r="O3428" s="605"/>
      <c r="P3428" s="605" t="s">
        <v>9133</v>
      </c>
    </row>
    <row r="3429">
      <c r="A3429" s="605"/>
      <c r="B3429" s="605"/>
      <c r="C3429" s="605"/>
      <c r="D3429" s="605"/>
      <c r="E3429" s="605" t="str">
        <f>IFERROR(__xludf.DUMMYFUNCTION("""COMPUTED_VALUE"""),"WAGO")</f>
        <v>WAGO</v>
      </c>
      <c r="F3429" s="605" t="str">
        <f>IFERROR(__xludf.DUMMYFUNCTION("""COMPUTED_VALUE"""),"750-881")</f>
        <v>750-881</v>
      </c>
      <c r="G3429" s="605"/>
      <c r="H3429" s="605"/>
      <c r="I3429" s="605"/>
      <c r="J3429" s="606"/>
      <c r="K3429" s="605"/>
      <c r="L3429" s="605"/>
      <c r="M3429" s="605"/>
      <c r="N3429" s="605"/>
      <c r="O3429" s="605"/>
      <c r="P3429" s="605" t="s">
        <v>9135</v>
      </c>
    </row>
    <row r="3430">
      <c r="A3430" s="605"/>
      <c r="B3430" s="605"/>
      <c r="C3430" s="605"/>
      <c r="D3430" s="605"/>
      <c r="E3430" s="605" t="str">
        <f>IFERROR(__xludf.DUMMYFUNCTION("""COMPUTED_VALUE"""),"WAGO")</f>
        <v>WAGO</v>
      </c>
      <c r="F3430" s="605" t="str">
        <f>IFERROR(__xludf.DUMMYFUNCTION("""COMPUTED_VALUE"""),"WAGO 750-889")</f>
        <v>WAGO 750-889</v>
      </c>
      <c r="G3430" s="605"/>
      <c r="H3430" s="605"/>
      <c r="I3430" s="605"/>
      <c r="J3430" s="606"/>
      <c r="K3430" s="605"/>
      <c r="L3430" s="605"/>
      <c r="M3430" s="605"/>
      <c r="N3430" s="605"/>
      <c r="O3430" s="605"/>
      <c r="P3430" s="605" t="s">
        <v>9137</v>
      </c>
    </row>
    <row r="3431">
      <c r="A3431" s="605"/>
      <c r="B3431" s="605"/>
      <c r="C3431" s="605"/>
      <c r="D3431" s="605"/>
      <c r="E3431" s="605" t="str">
        <f>IFERROR(__xludf.DUMMYFUNCTION("""COMPUTED_VALUE"""),"WALCHEM")</f>
        <v>WALCHEM</v>
      </c>
      <c r="F3431" s="605" t="str">
        <f>IFERROR(__xludf.DUMMYFUNCTION("""COMPUTED_VALUE"""),"CEC81-5NNNN")</f>
        <v>CEC81-5NNNN</v>
      </c>
      <c r="G3431" s="605"/>
      <c r="H3431" s="605"/>
      <c r="I3431" s="605"/>
      <c r="J3431" s="606"/>
      <c r="K3431" s="605"/>
      <c r="L3431" s="605"/>
      <c r="M3431" s="605"/>
      <c r="N3431" s="605"/>
      <c r="O3431" s="605"/>
      <c r="P3431" s="605" t="s">
        <v>9139</v>
      </c>
    </row>
    <row r="3432">
      <c r="A3432" s="605"/>
      <c r="B3432" s="605"/>
      <c r="C3432" s="605"/>
      <c r="D3432" s="605"/>
      <c r="E3432" s="605" t="str">
        <f>IFERROR(__xludf.DUMMYFUNCTION("""COMPUTED_VALUE"""),"WALCHEM")</f>
        <v>WALCHEM</v>
      </c>
      <c r="F3432" s="605" t="str">
        <f>IFERROR(__xludf.DUMMYFUNCTION("""COMPUTED_VALUE"""),"CEC8-32NANN")</f>
        <v>CEC8-32NANN</v>
      </c>
      <c r="G3432" s="605"/>
      <c r="H3432" s="605"/>
      <c r="I3432" s="605"/>
      <c r="J3432" s="606"/>
      <c r="K3432" s="605"/>
      <c r="L3432" s="605"/>
      <c r="M3432" s="605"/>
      <c r="N3432" s="605"/>
      <c r="O3432" s="605"/>
      <c r="P3432" s="605" t="s">
        <v>9103</v>
      </c>
    </row>
    <row r="3433">
      <c r="A3433" s="605"/>
      <c r="B3433" s="605"/>
      <c r="C3433" s="605"/>
      <c r="D3433" s="605"/>
      <c r="E3433" s="605" t="str">
        <f>IFERROR(__xludf.DUMMYFUNCTION("""COMPUTED_VALUE"""),"WALCHEM")</f>
        <v>WALCHEM</v>
      </c>
      <c r="F3433" s="605" t="str">
        <f>IFERROR(__xludf.DUMMYFUNCTION("""COMPUTED_VALUE"""),"WCT600PSNNE-FN")</f>
        <v>WCT600PSNNE-FN</v>
      </c>
      <c r="G3433" s="605"/>
      <c r="H3433" s="605"/>
      <c r="I3433" s="605"/>
      <c r="J3433" s="606"/>
      <c r="K3433" s="605"/>
      <c r="L3433" s="605"/>
      <c r="M3433" s="605"/>
      <c r="N3433" s="605"/>
      <c r="O3433" s="605"/>
      <c r="P3433" s="605" t="s">
        <v>9142</v>
      </c>
    </row>
    <row r="3434">
      <c r="A3434" s="605"/>
      <c r="B3434" s="605"/>
      <c r="C3434" s="605"/>
      <c r="D3434" s="605"/>
      <c r="E3434" s="605" t="str">
        <f>IFERROR(__xludf.DUMMYFUNCTION("""COMPUTED_VALUE"""),"WALCHEM")</f>
        <v>WALCHEM</v>
      </c>
      <c r="F3434" s="605" t="str">
        <f>IFERROR(__xludf.DUMMYFUNCTION("""COMPUTED_VALUE"""),"CEC81-2NNNN")</f>
        <v>CEC81-2NNNN</v>
      </c>
      <c r="G3434" s="605"/>
      <c r="H3434" s="605"/>
      <c r="I3434" s="605"/>
      <c r="J3434" s="606"/>
      <c r="K3434" s="605"/>
      <c r="L3434" s="605"/>
      <c r="M3434" s="605"/>
      <c r="N3434" s="605"/>
      <c r="O3434" s="605"/>
      <c r="P3434" s="605" t="s">
        <v>9144</v>
      </c>
    </row>
    <row r="3435">
      <c r="A3435" s="605"/>
      <c r="B3435" s="605"/>
      <c r="C3435" s="605"/>
      <c r="D3435" s="605"/>
      <c r="E3435" s="605" t="str">
        <f>IFERROR(__xludf.DUMMYFUNCTION("""COMPUTED_VALUE"""),"WATTBIKE")</f>
        <v>WATTBIKE</v>
      </c>
      <c r="F3435" s="605" t="str">
        <f>IFERROR(__xludf.DUMMYFUNCTION("""COMPUTED_VALUE"""),"PRO")</f>
        <v>PRO</v>
      </c>
      <c r="G3435" s="605"/>
      <c r="H3435" s="605"/>
      <c r="I3435" s="605"/>
      <c r="J3435" s="606"/>
      <c r="K3435" s="605"/>
      <c r="L3435" s="605"/>
      <c r="M3435" s="605"/>
      <c r="N3435" s="605"/>
      <c r="O3435" s="605"/>
      <c r="P3435" s="605" t="s">
        <v>9146</v>
      </c>
    </row>
    <row r="3436">
      <c r="A3436" s="605"/>
      <c r="B3436" s="605"/>
      <c r="C3436" s="605"/>
      <c r="D3436" s="605"/>
      <c r="E3436" s="605" t="str">
        <f>IFERROR(__xludf.DUMMYFUNCTION("""COMPUTED_VALUE"""),"WATTBIKE")</f>
        <v>WATTBIKE</v>
      </c>
      <c r="F3436" s="605" t="str">
        <f>IFERROR(__xludf.DUMMYFUNCTION("""COMPUTED_VALUE"""),"PRO")</f>
        <v>PRO</v>
      </c>
      <c r="G3436" s="605"/>
      <c r="H3436" s="605"/>
      <c r="I3436" s="605"/>
      <c r="J3436" s="606"/>
      <c r="K3436" s="605"/>
      <c r="L3436" s="605"/>
      <c r="M3436" s="605"/>
      <c r="N3436" s="605"/>
      <c r="O3436" s="605"/>
      <c r="P3436" s="605" t="s">
        <v>9148</v>
      </c>
    </row>
    <row r="3437">
      <c r="A3437" s="605"/>
      <c r="B3437" s="605"/>
      <c r="C3437" s="605"/>
      <c r="D3437" s="605"/>
      <c r="E3437" s="605" t="str">
        <f>IFERROR(__xludf.DUMMYFUNCTION("""COMPUTED_VALUE"""),"WATTBIKE")</f>
        <v>WATTBIKE</v>
      </c>
      <c r="F3437" s="605" t="str">
        <f>IFERROR(__xludf.DUMMYFUNCTION("""COMPUTED_VALUE"""),"WPM MODELB")</f>
        <v>WPM MODELB</v>
      </c>
      <c r="G3437" s="605"/>
      <c r="H3437" s="605"/>
      <c r="I3437" s="605"/>
      <c r="J3437" s="606"/>
      <c r="K3437" s="605"/>
      <c r="L3437" s="605"/>
      <c r="M3437" s="605"/>
      <c r="N3437" s="605"/>
      <c r="O3437" s="605"/>
      <c r="P3437" s="605" t="s">
        <v>9150</v>
      </c>
    </row>
    <row r="3438">
      <c r="A3438" s="605"/>
      <c r="B3438" s="605"/>
      <c r="C3438" s="605"/>
      <c r="D3438" s="605"/>
      <c r="E3438" s="605" t="str">
        <f>IFERROR(__xludf.DUMMYFUNCTION("""COMPUTED_VALUE"""),"WATTMASTER CONTROLS")</f>
        <v>WATTMASTER CONTROLS</v>
      </c>
      <c r="F3438" s="605" t="str">
        <f>IFERROR(__xludf.DUMMYFUNCTION("""COMPUTED_VALUE"""),"SYSMANAGER")</f>
        <v>SYSMANAGER</v>
      </c>
      <c r="G3438" s="605"/>
      <c r="H3438" s="605"/>
      <c r="I3438" s="605"/>
      <c r="J3438" s="606"/>
      <c r="K3438" s="605"/>
      <c r="L3438" s="605"/>
      <c r="M3438" s="605"/>
      <c r="N3438" s="605"/>
      <c r="O3438" s="605"/>
      <c r="P3438" s="605" t="s">
        <v>9153</v>
      </c>
    </row>
    <row r="3439">
      <c r="A3439" s="605"/>
      <c r="B3439" s="605"/>
      <c r="C3439" s="605"/>
      <c r="D3439" s="605"/>
      <c r="E3439" s="605" t="str">
        <f>IFERROR(__xludf.DUMMYFUNCTION("""COMPUTED_VALUE"""),"WATTSTOPPER")</f>
        <v>WATTSTOPPER</v>
      </c>
      <c r="F3439" s="605" t="str">
        <f>IFERROR(__xludf.DUMMYFUNCTION("""COMPUTED_VALUE"""),"CUSTOM BUILD")</f>
        <v>CUSTOM BUILD</v>
      </c>
      <c r="G3439" s="605"/>
      <c r="H3439" s="605"/>
      <c r="I3439" s="605"/>
      <c r="J3439" s="606"/>
      <c r="K3439" s="605"/>
      <c r="L3439" s="605"/>
      <c r="M3439" s="605"/>
      <c r="N3439" s="605"/>
      <c r="O3439" s="605"/>
      <c r="P3439" s="605" t="s">
        <v>9155</v>
      </c>
    </row>
    <row r="3440">
      <c r="A3440" s="605"/>
      <c r="B3440" s="605"/>
      <c r="C3440" s="605"/>
      <c r="D3440" s="605"/>
      <c r="E3440" s="605" t="str">
        <f>IFERROR(__xludf.DUMMYFUNCTION("""COMPUTED_VALUE"""),"WATTSTOPPER")</f>
        <v>WATTSTOPPER</v>
      </c>
      <c r="F3440" s="605" t="str">
        <f>IFERROR(__xludf.DUMMYFUNCTION("""COMPUTED_VALUE"""),"HLINKCC")</f>
        <v>HLINKCC</v>
      </c>
      <c r="G3440" s="605"/>
      <c r="H3440" s="605"/>
      <c r="I3440" s="605"/>
      <c r="J3440" s="606"/>
      <c r="K3440" s="605"/>
      <c r="L3440" s="605"/>
      <c r="M3440" s="605"/>
      <c r="N3440" s="605"/>
      <c r="O3440" s="605"/>
      <c r="P3440" s="605" t="s">
        <v>9157</v>
      </c>
    </row>
    <row r="3441">
      <c r="A3441" s="605"/>
      <c r="B3441" s="605"/>
      <c r="C3441" s="605"/>
      <c r="D3441" s="605"/>
      <c r="E3441" s="605" t="str">
        <f>IFERROR(__xludf.DUMMYFUNCTION("""COMPUTED_VALUE"""),"WATTSTOPPER")</f>
        <v>WATTSTOPPER</v>
      </c>
      <c r="F3441" s="605" t="str">
        <f>IFERROR(__xludf.DUMMYFUNCTION("""COMPUTED_VALUE"""),"LP8")</f>
        <v>LP8</v>
      </c>
      <c r="G3441" s="605"/>
      <c r="H3441" s="605"/>
      <c r="I3441" s="605"/>
      <c r="J3441" s="606"/>
      <c r="K3441" s="605"/>
      <c r="L3441" s="605"/>
      <c r="M3441" s="605"/>
      <c r="N3441" s="605"/>
      <c r="O3441" s="605"/>
      <c r="P3441" s="605" t="s">
        <v>9159</v>
      </c>
    </row>
    <row r="3442">
      <c r="A3442" s="605"/>
      <c r="B3442" s="605"/>
      <c r="C3442" s="605"/>
      <c r="D3442" s="605"/>
      <c r="E3442" s="605" t="str">
        <f>IFERROR(__xludf.DUMMYFUNCTION("""COMPUTED_VALUE"""),"WATTSTOPPER")</f>
        <v>WATTSTOPPER</v>
      </c>
      <c r="F3442" s="605" t="str">
        <f>IFERROR(__xludf.DUMMYFUNCTION("""COMPUTED_VALUE"""),"WEBLINK")</f>
        <v>WEBLINK</v>
      </c>
      <c r="G3442" s="605"/>
      <c r="H3442" s="605"/>
      <c r="I3442" s="605"/>
      <c r="J3442" s="606"/>
      <c r="K3442" s="605"/>
      <c r="L3442" s="605"/>
      <c r="M3442" s="605"/>
      <c r="N3442" s="605"/>
      <c r="O3442" s="605"/>
      <c r="P3442" s="605" t="s">
        <v>9161</v>
      </c>
    </row>
    <row r="3443">
      <c r="A3443" s="605"/>
      <c r="B3443" s="605"/>
      <c r="C3443" s="605"/>
      <c r="D3443" s="605"/>
      <c r="E3443" s="605" t="str">
        <f>IFERROR(__xludf.DUMMYFUNCTION("""COMPUTED_VALUE"""),"WEATHERMATIC")</f>
        <v>WEATHERMATIC</v>
      </c>
      <c r="F3443" s="605" t="str">
        <f>IFERROR(__xludf.DUMMYFUNCTION("""COMPUTED_VALUE"""),"SL4800")</f>
        <v>SL4800</v>
      </c>
      <c r="G3443" s="605"/>
      <c r="H3443" s="605"/>
      <c r="I3443" s="605"/>
      <c r="J3443" s="606"/>
      <c r="K3443" s="605"/>
      <c r="L3443" s="605"/>
      <c r="M3443" s="605"/>
      <c r="N3443" s="605"/>
      <c r="O3443" s="605"/>
      <c r="P3443" s="605" t="s">
        <v>9105</v>
      </c>
    </row>
    <row r="3444">
      <c r="A3444" s="605"/>
      <c r="B3444" s="605"/>
      <c r="C3444" s="605"/>
      <c r="D3444" s="605"/>
      <c r="E3444" s="605" t="str">
        <f>IFERROR(__xludf.DUMMYFUNCTION("""COMPUTED_VALUE"""),"WEATHERTRAK")</f>
        <v>WEATHERTRAK</v>
      </c>
      <c r="F3444" s="605" t="str">
        <f>IFERROR(__xludf.DUMMYFUNCTION("""COMPUTED_VALUE"""),"N/A")</f>
        <v>N/A</v>
      </c>
      <c r="G3444" s="605"/>
      <c r="H3444" s="605"/>
      <c r="I3444" s="605"/>
      <c r="J3444" s="606"/>
      <c r="K3444" s="605"/>
      <c r="L3444" s="605"/>
      <c r="M3444" s="605"/>
      <c r="N3444" s="605"/>
      <c r="O3444" s="605"/>
      <c r="P3444" s="605" t="s">
        <v>9164</v>
      </c>
    </row>
    <row r="3445">
      <c r="A3445" s="605"/>
      <c r="B3445" s="605"/>
      <c r="C3445" s="605"/>
      <c r="D3445" s="605"/>
      <c r="E3445" s="605" t="str">
        <f>IFERROR(__xludf.DUMMYFUNCTION("""COMPUTED_VALUE"""),"WEATHERTRAK")</f>
        <v>WEATHERTRAK</v>
      </c>
      <c r="F3445" s="605" t="str">
        <f>IFERROR(__xludf.DUMMYFUNCTION("""COMPUTED_VALUE"""),"ET PRO3")</f>
        <v>ET PRO3</v>
      </c>
      <c r="G3445" s="605"/>
      <c r="H3445" s="605"/>
      <c r="I3445" s="605"/>
      <c r="J3445" s="606"/>
      <c r="K3445" s="605"/>
      <c r="L3445" s="605"/>
      <c r="M3445" s="605"/>
      <c r="N3445" s="605"/>
      <c r="O3445" s="605"/>
      <c r="P3445" s="605" t="s">
        <v>9166</v>
      </c>
    </row>
    <row r="3446">
      <c r="A3446" s="605"/>
      <c r="B3446" s="605"/>
      <c r="C3446" s="605"/>
      <c r="D3446" s="605"/>
      <c r="E3446" s="605" t="str">
        <f>IFERROR(__xludf.DUMMYFUNCTION("""COMPUTED_VALUE"""),"WEATHERTRAK")</f>
        <v>WEATHERTRAK</v>
      </c>
      <c r="F3446" s="605" t="str">
        <f>IFERROR(__xludf.DUMMYFUNCTION("""COMPUTED_VALUE"""),"ET PRO3")</f>
        <v>ET PRO3</v>
      </c>
      <c r="G3446" s="605"/>
      <c r="H3446" s="605"/>
      <c r="I3446" s="605"/>
      <c r="J3446" s="606"/>
      <c r="K3446" s="605"/>
      <c r="L3446" s="605"/>
      <c r="M3446" s="605"/>
      <c r="N3446" s="605"/>
      <c r="O3446" s="605"/>
      <c r="P3446" s="605" t="s">
        <v>9168</v>
      </c>
    </row>
    <row r="3447">
      <c r="A3447" s="605"/>
      <c r="B3447" s="605"/>
      <c r="C3447" s="605"/>
      <c r="D3447" s="605"/>
      <c r="E3447" s="605" t="str">
        <f>IFERROR(__xludf.DUMMYFUNCTION("""COMPUTED_VALUE"""),"WEATHERTRAK")</f>
        <v>WEATHERTRAK</v>
      </c>
      <c r="F3447" s="605" t="str">
        <f>IFERROR(__xludf.DUMMYFUNCTION("""COMPUTED_VALUE"""),"ET PRO3")</f>
        <v>ET PRO3</v>
      </c>
      <c r="G3447" s="605"/>
      <c r="H3447" s="605"/>
      <c r="I3447" s="605"/>
      <c r="J3447" s="606"/>
      <c r="K3447" s="605"/>
      <c r="L3447" s="605"/>
      <c r="M3447" s="605"/>
      <c r="N3447" s="605"/>
      <c r="O3447" s="605"/>
      <c r="P3447" s="605" t="s">
        <v>9170</v>
      </c>
    </row>
    <row r="3448">
      <c r="A3448" s="605"/>
      <c r="B3448" s="605"/>
      <c r="C3448" s="605"/>
      <c r="D3448" s="605"/>
      <c r="E3448" s="605" t="str">
        <f>IFERROR(__xludf.DUMMYFUNCTION("""COMPUTED_VALUE"""),"WEATHERTRAK")</f>
        <v>WEATHERTRAK</v>
      </c>
      <c r="F3448" s="605" t="str">
        <f>IFERROR(__xludf.DUMMYFUNCTION("""COMPUTED_VALUE"""),"ET PRO3")</f>
        <v>ET PRO3</v>
      </c>
      <c r="G3448" s="605"/>
      <c r="H3448" s="605"/>
      <c r="I3448" s="605"/>
      <c r="J3448" s="606"/>
      <c r="K3448" s="605"/>
      <c r="L3448" s="605"/>
      <c r="M3448" s="605"/>
      <c r="N3448" s="605"/>
      <c r="O3448" s="605"/>
      <c r="P3448" s="605" t="s">
        <v>9172</v>
      </c>
    </row>
    <row r="3449">
      <c r="A3449" s="605"/>
      <c r="B3449" s="605"/>
      <c r="C3449" s="605"/>
      <c r="D3449" s="605"/>
      <c r="E3449" s="605" t="str">
        <f>IFERROR(__xludf.DUMMYFUNCTION("""COMPUTED_VALUE"""),"WEATHERTRAK")</f>
        <v>WEATHERTRAK</v>
      </c>
      <c r="F3449" s="605" t="str">
        <f>IFERROR(__xludf.DUMMYFUNCTION("""COMPUTED_VALUE"""),"ET PRO3")</f>
        <v>ET PRO3</v>
      </c>
      <c r="G3449" s="605"/>
      <c r="H3449" s="605"/>
      <c r="I3449" s="605"/>
      <c r="J3449" s="606"/>
      <c r="K3449" s="605"/>
      <c r="L3449" s="605"/>
      <c r="M3449" s="605"/>
      <c r="N3449" s="605"/>
      <c r="O3449" s="605"/>
      <c r="P3449" s="605" t="s">
        <v>9174</v>
      </c>
    </row>
    <row r="3450">
      <c r="A3450" s="605"/>
      <c r="B3450" s="605"/>
      <c r="C3450" s="605"/>
      <c r="D3450" s="605"/>
      <c r="E3450" s="605" t="str">
        <f>IFERROR(__xludf.DUMMYFUNCTION("""COMPUTED_VALUE"""),"WEATHERTRAK")</f>
        <v>WEATHERTRAK</v>
      </c>
      <c r="F3450" s="605" t="str">
        <f>IFERROR(__xludf.DUMMYFUNCTION("""COMPUTED_VALUE"""),"ET PRO3")</f>
        <v>ET PRO3</v>
      </c>
      <c r="G3450" s="605"/>
      <c r="H3450" s="605"/>
      <c r="I3450" s="605"/>
      <c r="J3450" s="606"/>
      <c r="K3450" s="605"/>
      <c r="L3450" s="605"/>
      <c r="M3450" s="605"/>
      <c r="N3450" s="605"/>
      <c r="O3450" s="605"/>
      <c r="P3450" s="605" t="s">
        <v>9177</v>
      </c>
    </row>
    <row r="3451">
      <c r="A3451" s="605"/>
      <c r="B3451" s="605"/>
      <c r="C3451" s="605"/>
      <c r="D3451" s="605"/>
      <c r="E3451" s="605" t="str">
        <f>IFERROR(__xludf.DUMMYFUNCTION("""COMPUTED_VALUE"""),"WEATHERTRAK")</f>
        <v>WEATHERTRAK</v>
      </c>
      <c r="F3451" s="605" t="str">
        <f>IFERROR(__xludf.DUMMYFUNCTION("""COMPUTED_VALUE"""),"ET PRO2")</f>
        <v>ET PRO2</v>
      </c>
      <c r="G3451" s="605"/>
      <c r="H3451" s="605"/>
      <c r="I3451" s="605"/>
      <c r="J3451" s="606"/>
      <c r="K3451" s="605"/>
      <c r="L3451" s="605"/>
      <c r="M3451" s="605"/>
      <c r="N3451" s="605"/>
      <c r="O3451" s="605"/>
      <c r="P3451" s="605" t="s">
        <v>9179</v>
      </c>
    </row>
    <row r="3452">
      <c r="A3452" s="605"/>
      <c r="B3452" s="605"/>
      <c r="C3452" s="605"/>
      <c r="D3452" s="605"/>
      <c r="E3452" s="605" t="str">
        <f>IFERROR(__xludf.DUMMYFUNCTION("""COMPUTED_VALUE"""),"WEATHERTRAK")</f>
        <v>WEATHERTRAK</v>
      </c>
      <c r="F3452" s="605" t="str">
        <f>IFERROR(__xludf.DUMMYFUNCTION("""COMPUTED_VALUE"""),"ET PRO3")</f>
        <v>ET PRO3</v>
      </c>
      <c r="G3452" s="605"/>
      <c r="H3452" s="605"/>
      <c r="I3452" s="605"/>
      <c r="J3452" s="606"/>
      <c r="K3452" s="605"/>
      <c r="L3452" s="605"/>
      <c r="M3452" s="605"/>
      <c r="N3452" s="605"/>
      <c r="O3452" s="605"/>
      <c r="P3452" s="605" t="s">
        <v>9181</v>
      </c>
    </row>
    <row r="3453">
      <c r="A3453" s="605"/>
      <c r="B3453" s="605"/>
      <c r="C3453" s="605"/>
      <c r="D3453" s="605"/>
      <c r="E3453" s="605" t="str">
        <f>IFERROR(__xludf.DUMMYFUNCTION("""COMPUTED_VALUE"""),"WEATHERTRAK")</f>
        <v>WEATHERTRAK</v>
      </c>
      <c r="F3453" s="605" t="str">
        <f>IFERROR(__xludf.DUMMYFUNCTION("""COMPUTED_VALUE"""),"FLOWLINK-CT")</f>
        <v>FLOWLINK-CT</v>
      </c>
      <c r="G3453" s="605"/>
      <c r="H3453" s="605"/>
      <c r="I3453" s="605"/>
      <c r="J3453" s="606"/>
      <c r="K3453" s="605"/>
      <c r="L3453" s="605"/>
      <c r="M3453" s="605"/>
      <c r="N3453" s="605"/>
      <c r="O3453" s="605"/>
      <c r="P3453" s="605" t="s">
        <v>9183</v>
      </c>
    </row>
    <row r="3454">
      <c r="A3454" s="605"/>
      <c r="B3454" s="605"/>
      <c r="C3454" s="605"/>
      <c r="D3454" s="605"/>
      <c r="E3454" s="605" t="str">
        <f>IFERROR(__xludf.DUMMYFUNCTION("""COMPUTED_VALUE"""),"WEATHERTRAK")</f>
        <v>WEATHERTRAK</v>
      </c>
      <c r="F3454" s="605" t="str">
        <f>IFERROR(__xludf.DUMMYFUNCTION("""COMPUTED_VALUE"""),"OPTIFLOW XR")</f>
        <v>OPTIFLOW XR</v>
      </c>
      <c r="G3454" s="605"/>
      <c r="H3454" s="605"/>
      <c r="I3454" s="605"/>
      <c r="J3454" s="606"/>
      <c r="K3454" s="605"/>
      <c r="L3454" s="605"/>
      <c r="M3454" s="605"/>
      <c r="N3454" s="605"/>
      <c r="O3454" s="605"/>
      <c r="P3454" s="605" t="s">
        <v>9107</v>
      </c>
    </row>
    <row r="3455">
      <c r="A3455" s="605"/>
      <c r="B3455" s="605"/>
      <c r="C3455" s="605"/>
      <c r="D3455" s="605"/>
      <c r="E3455" s="605" t="str">
        <f>IFERROR(__xludf.DUMMYFUNCTION("""COMPUTED_VALUE"""),"WEATHERTRAK")</f>
        <v>WEATHERTRAK</v>
      </c>
      <c r="F3455" s="605" t="str">
        <f>IFERROR(__xludf.DUMMYFUNCTION("""COMPUTED_VALUE"""),"OPTIFLOW XR")</f>
        <v>OPTIFLOW XR</v>
      </c>
      <c r="G3455" s="605"/>
      <c r="H3455" s="605"/>
      <c r="I3455" s="605"/>
      <c r="J3455" s="606"/>
      <c r="K3455" s="605"/>
      <c r="L3455" s="605"/>
      <c r="M3455" s="605"/>
      <c r="N3455" s="605"/>
      <c r="O3455" s="605"/>
      <c r="P3455" s="605" t="s">
        <v>9185</v>
      </c>
    </row>
    <row r="3456">
      <c r="A3456" s="605"/>
      <c r="B3456" s="605"/>
      <c r="C3456" s="605"/>
      <c r="D3456" s="605"/>
      <c r="E3456" s="605" t="str">
        <f>IFERROR(__xludf.DUMMYFUNCTION("""COMPUTED_VALUE"""),"WEATHERTRAK")</f>
        <v>WEATHERTRAK</v>
      </c>
      <c r="F3456" s="605" t="str">
        <f>IFERROR(__xludf.DUMMYFUNCTION("""COMPUTED_VALUE"""),"ET PRO2")</f>
        <v>ET PRO2</v>
      </c>
      <c r="G3456" s="605"/>
      <c r="H3456" s="605"/>
      <c r="I3456" s="605"/>
      <c r="J3456" s="606"/>
      <c r="K3456" s="605"/>
      <c r="L3456" s="605"/>
      <c r="M3456" s="605"/>
      <c r="N3456" s="605"/>
      <c r="O3456" s="605"/>
      <c r="P3456" s="605" t="s">
        <v>9187</v>
      </c>
    </row>
    <row r="3457">
      <c r="A3457" s="605"/>
      <c r="B3457" s="605"/>
      <c r="C3457" s="605"/>
      <c r="D3457" s="605"/>
      <c r="E3457" s="605" t="str">
        <f>IFERROR(__xludf.DUMMYFUNCTION("""COMPUTED_VALUE"""),"WEATHERTRAK")</f>
        <v>WEATHERTRAK</v>
      </c>
      <c r="F3457" s="605" t="str">
        <f>IFERROR(__xludf.DUMMYFUNCTION("""COMPUTED_VALUE"""),"ET PRO2")</f>
        <v>ET PRO2</v>
      </c>
      <c r="G3457" s="605"/>
      <c r="H3457" s="605"/>
      <c r="I3457" s="605"/>
      <c r="J3457" s="606"/>
      <c r="K3457" s="605"/>
      <c r="L3457" s="605"/>
      <c r="M3457" s="605"/>
      <c r="N3457" s="605"/>
      <c r="O3457" s="605"/>
      <c r="P3457" s="605" t="s">
        <v>9189</v>
      </c>
    </row>
    <row r="3458">
      <c r="A3458" s="605"/>
      <c r="B3458" s="605"/>
      <c r="C3458" s="605"/>
      <c r="D3458" s="605"/>
      <c r="E3458" s="605" t="str">
        <f>IFERROR(__xludf.DUMMYFUNCTION("""COMPUTED_VALUE"""),"WEATHERTRAK")</f>
        <v>WEATHERTRAK</v>
      </c>
      <c r="F3458" s="605" t="str">
        <f>IFERROR(__xludf.DUMMYFUNCTION("""COMPUTED_VALUE"""),"PRO 3")</f>
        <v>PRO 3</v>
      </c>
      <c r="G3458" s="605"/>
      <c r="H3458" s="605"/>
      <c r="I3458" s="605"/>
      <c r="J3458" s="606"/>
      <c r="K3458" s="605"/>
      <c r="L3458" s="605"/>
      <c r="M3458" s="605"/>
      <c r="N3458" s="605"/>
      <c r="O3458" s="605"/>
      <c r="P3458" s="605" t="s">
        <v>9191</v>
      </c>
    </row>
    <row r="3459">
      <c r="A3459" s="605"/>
      <c r="B3459" s="605"/>
      <c r="C3459" s="605"/>
      <c r="D3459" s="605"/>
      <c r="E3459" s="605" t="str">
        <f>IFERROR(__xludf.DUMMYFUNCTION("""COMPUTED_VALUE"""),"WEATHERTRAK")</f>
        <v>WEATHERTRAK</v>
      </c>
      <c r="F3459" s="605" t="str">
        <f>IFERROR(__xludf.DUMMYFUNCTION("""COMPUTED_VALUE"""),"ET PRO2")</f>
        <v>ET PRO2</v>
      </c>
      <c r="G3459" s="605"/>
      <c r="H3459" s="605"/>
      <c r="I3459" s="605"/>
      <c r="J3459" s="606"/>
      <c r="K3459" s="605"/>
      <c r="L3459" s="605"/>
      <c r="M3459" s="605"/>
      <c r="N3459" s="605"/>
      <c r="O3459" s="605"/>
      <c r="P3459" s="605" t="s">
        <v>9193</v>
      </c>
    </row>
    <row r="3460">
      <c r="A3460" s="605"/>
      <c r="B3460" s="605"/>
      <c r="C3460" s="605"/>
      <c r="D3460" s="605"/>
      <c r="E3460" s="605" t="str">
        <f>IFERROR(__xludf.DUMMYFUNCTION("""COMPUTED_VALUE"""),"WEATHERTRAK")</f>
        <v>WEATHERTRAK</v>
      </c>
      <c r="F3460" s="605" t="str">
        <f>IFERROR(__xludf.DUMMYFUNCTION("""COMPUTED_VALUE"""),"PRO3")</f>
        <v>PRO3</v>
      </c>
      <c r="G3460" s="605"/>
      <c r="H3460" s="605"/>
      <c r="I3460" s="605"/>
      <c r="J3460" s="606"/>
      <c r="K3460" s="605"/>
      <c r="L3460" s="605"/>
      <c r="M3460" s="605"/>
      <c r="N3460" s="605"/>
      <c r="O3460" s="605"/>
      <c r="P3460" s="605" t="s">
        <v>9195</v>
      </c>
    </row>
    <row r="3461">
      <c r="A3461" s="605"/>
      <c r="B3461" s="605"/>
      <c r="C3461" s="605"/>
      <c r="D3461" s="605"/>
      <c r="E3461" s="605" t="str">
        <f>IFERROR(__xludf.DUMMYFUNCTION("""COMPUTED_VALUE"""),"WEATHERTRAK")</f>
        <v>WEATHERTRAK</v>
      </c>
      <c r="F3461" s="605" t="str">
        <f>IFERROR(__xludf.DUMMYFUNCTION("""COMPUTED_VALUE"""),"PRO3 (PBT 2-WIRE)")</f>
        <v>PRO3 (PBT 2-WIRE)</v>
      </c>
      <c r="G3461" s="605"/>
      <c r="H3461" s="605"/>
      <c r="I3461" s="605"/>
      <c r="J3461" s="606"/>
      <c r="K3461" s="605"/>
      <c r="L3461" s="605"/>
      <c r="M3461" s="605"/>
      <c r="N3461" s="605"/>
      <c r="O3461" s="605"/>
      <c r="P3461" s="605" t="s">
        <v>9197</v>
      </c>
    </row>
    <row r="3462">
      <c r="A3462" s="605"/>
      <c r="B3462" s="605"/>
      <c r="C3462" s="605"/>
      <c r="D3462" s="605"/>
      <c r="E3462" s="605" t="str">
        <f>IFERROR(__xludf.DUMMYFUNCTION("""COMPUTED_VALUE"""),"WEATHERTRAK")</f>
        <v>WEATHERTRAK</v>
      </c>
      <c r="F3462" s="605" t="str">
        <f>IFERROR(__xludf.DUMMYFUNCTION("""COMPUTED_VALUE"""),"WEATHERTRAK")</f>
        <v>WEATHERTRAK</v>
      </c>
      <c r="G3462" s="605"/>
      <c r="H3462" s="605"/>
      <c r="I3462" s="605"/>
      <c r="J3462" s="606"/>
      <c r="K3462" s="605"/>
      <c r="L3462" s="605"/>
      <c r="M3462" s="605"/>
      <c r="N3462" s="605"/>
      <c r="O3462" s="605"/>
      <c r="P3462" s="605" t="s">
        <v>9199</v>
      </c>
    </row>
    <row r="3463">
      <c r="A3463" s="605"/>
      <c r="B3463" s="605"/>
      <c r="C3463" s="605"/>
      <c r="D3463" s="605"/>
      <c r="E3463" s="605" t="str">
        <f>IFERROR(__xludf.DUMMYFUNCTION("""COMPUTED_VALUE"""),"WEATHERTRAK")</f>
        <v>WEATHERTRAK</v>
      </c>
      <c r="F3463" s="605" t="str">
        <f>IFERROR(__xludf.DUMMYFUNCTION("""COMPUTED_VALUE"""),"WEATHERTRAK PRO3")</f>
        <v>WEATHERTRAK PRO3</v>
      </c>
      <c r="G3463" s="605"/>
      <c r="H3463" s="605"/>
      <c r="I3463" s="605"/>
      <c r="J3463" s="606"/>
      <c r="K3463" s="605"/>
      <c r="L3463" s="605"/>
      <c r="M3463" s="605"/>
      <c r="N3463" s="605"/>
      <c r="O3463" s="605"/>
      <c r="P3463" s="605" t="s">
        <v>9201</v>
      </c>
    </row>
    <row r="3464">
      <c r="A3464" s="605"/>
      <c r="B3464" s="605"/>
      <c r="C3464" s="605"/>
      <c r="D3464" s="605"/>
      <c r="E3464" s="605" t="str">
        <f>IFERROR(__xludf.DUMMYFUNCTION("""COMPUTED_VALUE"""),"WEATHERTRAK")</f>
        <v>WEATHERTRAK</v>
      </c>
      <c r="F3464" s="605" t="str">
        <f>IFERROR(__xludf.DUMMYFUNCTION("""COMPUTED_VALUE"""),"WTPRO3-12-CWM")</f>
        <v>WTPRO3-12-CWM</v>
      </c>
      <c r="G3464" s="605"/>
      <c r="H3464" s="605"/>
      <c r="I3464" s="605"/>
      <c r="J3464" s="606"/>
      <c r="K3464" s="605"/>
      <c r="L3464" s="605"/>
      <c r="M3464" s="605"/>
      <c r="N3464" s="605"/>
      <c r="O3464" s="605"/>
      <c r="P3464" s="605" t="s">
        <v>9203</v>
      </c>
    </row>
    <row r="3465">
      <c r="A3465" s="605"/>
      <c r="B3465" s="605"/>
      <c r="C3465" s="605"/>
      <c r="D3465" s="605"/>
      <c r="E3465" s="605" t="str">
        <f>IFERROR(__xludf.DUMMYFUNCTION("""COMPUTED_VALUE"""),"WEATHERTRAK")</f>
        <v>WEATHERTRAK</v>
      </c>
      <c r="F3465" s="605" t="str">
        <f>IFERROR(__xludf.DUMMYFUNCTION("""COMPUTED_VALUE"""),"WTPRO3-C-2W48-CH1")</f>
        <v>WTPRO3-C-2W48-CH1</v>
      </c>
      <c r="G3465" s="605"/>
      <c r="H3465" s="605"/>
      <c r="I3465" s="605"/>
      <c r="J3465" s="606"/>
      <c r="K3465" s="605"/>
      <c r="L3465" s="605"/>
      <c r="M3465" s="605"/>
      <c r="N3465" s="605"/>
      <c r="O3465" s="605"/>
      <c r="P3465" s="605" t="s">
        <v>9109</v>
      </c>
    </row>
    <row r="3466">
      <c r="A3466" s="605"/>
      <c r="B3466" s="605"/>
      <c r="C3466" s="605"/>
      <c r="D3466" s="605"/>
      <c r="E3466" s="605" t="str">
        <f>IFERROR(__xludf.DUMMYFUNCTION("""COMPUTED_VALUE"""),"WEBCTRL")</f>
        <v>WEBCTRL</v>
      </c>
      <c r="F3466" s="605" t="str">
        <f>IFERROR(__xludf.DUMMYFUNCTION("""COMPUTED_VALUE"""),"NOT VERIFIED")</f>
        <v>NOT VERIFIED</v>
      </c>
      <c r="G3466" s="605"/>
      <c r="H3466" s="605"/>
      <c r="I3466" s="605"/>
      <c r="J3466" s="606"/>
      <c r="K3466" s="605"/>
      <c r="L3466" s="605"/>
      <c r="M3466" s="605"/>
      <c r="N3466" s="605"/>
      <c r="O3466" s="605"/>
      <c r="P3466" s="605" t="s">
        <v>9205</v>
      </c>
    </row>
    <row r="3467">
      <c r="A3467" s="605"/>
      <c r="B3467" s="605"/>
      <c r="C3467" s="605"/>
      <c r="D3467" s="605"/>
      <c r="E3467" s="605" t="str">
        <f>IFERROR(__xludf.DUMMYFUNCTION("""COMPUTED_VALUE"""),"WEGOT")</f>
        <v>WEGOT</v>
      </c>
      <c r="F3467" s="605" t="str">
        <f>IFERROR(__xludf.DUMMYFUNCTION("""COMPUTED_VALUE"""),"AQUA")</f>
        <v>AQUA</v>
      </c>
      <c r="G3467" s="605"/>
      <c r="H3467" s="605"/>
      <c r="I3467" s="605"/>
      <c r="J3467" s="606"/>
      <c r="K3467" s="605"/>
      <c r="L3467" s="605"/>
      <c r="M3467" s="605"/>
      <c r="N3467" s="605"/>
      <c r="O3467" s="605"/>
      <c r="P3467" s="605" t="s">
        <v>9111</v>
      </c>
    </row>
    <row r="3468">
      <c r="A3468" s="605"/>
      <c r="B3468" s="605"/>
      <c r="C3468" s="605"/>
      <c r="D3468" s="605"/>
      <c r="E3468" s="605" t="str">
        <f>IFERROR(__xludf.DUMMYFUNCTION("""COMPUTED_VALUE"""),"WEIDMUELLER")</f>
        <v>WEIDMUELLER</v>
      </c>
      <c r="F3468" s="605" t="str">
        <f>IFERROR(__xludf.DUMMYFUNCTION("""COMPUTED_VALUE"""),"IE-SW-EL08-8TX")</f>
        <v>IE-SW-EL08-8TX</v>
      </c>
      <c r="G3468" s="605"/>
      <c r="H3468" s="605"/>
      <c r="I3468" s="605"/>
      <c r="J3468" s="606"/>
      <c r="K3468" s="605"/>
      <c r="L3468" s="605"/>
      <c r="M3468" s="605"/>
      <c r="N3468" s="605"/>
      <c r="O3468" s="605"/>
      <c r="P3468" s="605" t="s">
        <v>9114</v>
      </c>
    </row>
    <row r="3469">
      <c r="A3469" s="605"/>
      <c r="B3469" s="605"/>
      <c r="C3469" s="605"/>
      <c r="D3469" s="605"/>
      <c r="E3469" s="605" t="str">
        <f>IFERROR(__xludf.DUMMYFUNCTION("""COMPUTED_VALUE"""),"WEIDMULLER")</f>
        <v>WEIDMULLER</v>
      </c>
      <c r="F3469" s="605" t="str">
        <f>IFERROR(__xludf.DUMMYFUNCTION("""COMPUTED_VALUE"""),"IE-SW-BL05-5TX")</f>
        <v>IE-SW-BL05-5TX</v>
      </c>
      <c r="G3469" s="605"/>
      <c r="H3469" s="605"/>
      <c r="I3469" s="605"/>
      <c r="J3469" s="606"/>
      <c r="K3469" s="605"/>
      <c r="L3469" s="605"/>
      <c r="M3469" s="605"/>
      <c r="N3469" s="605"/>
      <c r="O3469" s="605"/>
      <c r="P3469" s="605" t="s">
        <v>9116</v>
      </c>
    </row>
    <row r="3470">
      <c r="A3470" s="605"/>
      <c r="B3470" s="605"/>
      <c r="C3470" s="605"/>
      <c r="D3470" s="605"/>
      <c r="E3470" s="605" t="str">
        <f>IFERROR(__xludf.DUMMYFUNCTION("""COMPUTED_VALUE"""),"WEIDMULLER")</f>
        <v>WEIDMULLER</v>
      </c>
      <c r="F3470" s="605" t="str">
        <f>IFERROR(__xludf.DUMMYFUNCTION("""COMPUTED_VALUE"""),"IE-SW-BL08-8TX")</f>
        <v>IE-SW-BL08-8TX</v>
      </c>
      <c r="G3470" s="605"/>
      <c r="H3470" s="605"/>
      <c r="I3470" s="605"/>
      <c r="J3470" s="606"/>
      <c r="K3470" s="605"/>
      <c r="L3470" s="605"/>
      <c r="M3470" s="605"/>
      <c r="N3470" s="605"/>
      <c r="O3470" s="605"/>
      <c r="P3470" s="605" t="s">
        <v>9118</v>
      </c>
    </row>
    <row r="3471">
      <c r="A3471" s="605"/>
      <c r="B3471" s="605"/>
      <c r="C3471" s="605"/>
      <c r="D3471" s="605"/>
      <c r="E3471" s="605" t="str">
        <f>IFERROR(__xludf.DUMMYFUNCTION("""COMPUTED_VALUE"""),"WEIDMULLER")</f>
        <v>WEIDMULLER</v>
      </c>
      <c r="F3471" s="605" t="str">
        <f>IFERROR(__xludf.DUMMYFUNCTION("""COMPUTED_VALUE"""),"IE-SW8-ECO")</f>
        <v>IE-SW8-ECO</v>
      </c>
      <c r="G3471" s="605"/>
      <c r="H3471" s="605"/>
      <c r="I3471" s="605"/>
      <c r="J3471" s="606"/>
      <c r="K3471" s="605"/>
      <c r="L3471" s="605"/>
      <c r="M3471" s="605"/>
      <c r="N3471" s="605"/>
      <c r="O3471" s="605"/>
      <c r="P3471" s="605" t="s">
        <v>9025</v>
      </c>
    </row>
    <row r="3472">
      <c r="A3472" s="605"/>
      <c r="B3472" s="605"/>
      <c r="C3472" s="605"/>
      <c r="D3472" s="605"/>
      <c r="E3472" s="605" t="str">
        <f>IFERROR(__xludf.DUMMYFUNCTION("""COMPUTED_VALUE"""),"WEIDMULLER")</f>
        <v>WEIDMULLER</v>
      </c>
      <c r="F3472" s="605" t="str">
        <f>IFERROR(__xludf.DUMMYFUNCTION("""COMPUTED_VALUE"""),"IE-SW-BL08-8TX")</f>
        <v>IE-SW-BL08-8TX</v>
      </c>
      <c r="G3472" s="605"/>
      <c r="H3472" s="605"/>
      <c r="I3472" s="605"/>
      <c r="J3472" s="606"/>
      <c r="K3472" s="605"/>
      <c r="L3472" s="605"/>
      <c r="M3472" s="605"/>
      <c r="N3472" s="605"/>
      <c r="O3472" s="605"/>
      <c r="P3472" s="605"/>
    </row>
    <row r="3473">
      <c r="A3473" s="605"/>
      <c r="B3473" s="605"/>
      <c r="C3473" s="605"/>
      <c r="D3473" s="605"/>
      <c r="E3473" s="605" t="str">
        <f>IFERROR(__xludf.DUMMYFUNCTION("""COMPUTED_VALUE"""),"WEINTEK")</f>
        <v>WEINTEK</v>
      </c>
      <c r="F3473" s="605" t="str">
        <f>IFERROR(__xludf.DUMMYFUNCTION("""COMPUTED_VALUE"""),"MT8071IE")</f>
        <v>MT8071IE</v>
      </c>
      <c r="G3473" s="605"/>
      <c r="H3473" s="605"/>
      <c r="I3473" s="605"/>
      <c r="J3473" s="606"/>
      <c r="K3473" s="605"/>
      <c r="L3473" s="605"/>
      <c r="M3473" s="605"/>
      <c r="N3473" s="605"/>
      <c r="O3473" s="605"/>
      <c r="P3473" s="605"/>
    </row>
    <row r="3474">
      <c r="A3474" s="605"/>
      <c r="B3474" s="605"/>
      <c r="C3474" s="605"/>
      <c r="D3474" s="605"/>
      <c r="E3474" s="605" t="str">
        <f>IFERROR(__xludf.DUMMYFUNCTION("""COMPUTED_VALUE"""),"WEINTEK")</f>
        <v>WEINTEK</v>
      </c>
      <c r="F3474" s="605" t="str">
        <f>IFERROR(__xludf.DUMMYFUNCTION("""COMPUTED_VALUE"""),"MT8071IE")</f>
        <v>MT8071IE</v>
      </c>
      <c r="G3474" s="605"/>
      <c r="H3474" s="605"/>
      <c r="I3474" s="605"/>
      <c r="J3474" s="606"/>
      <c r="K3474" s="605"/>
      <c r="L3474" s="605"/>
      <c r="M3474" s="605"/>
      <c r="N3474" s="605"/>
      <c r="O3474" s="605"/>
      <c r="P3474" s="605"/>
    </row>
    <row r="3475">
      <c r="A3475" s="605"/>
      <c r="B3475" s="605"/>
      <c r="C3475" s="605"/>
      <c r="D3475" s="605"/>
      <c r="E3475" s="605" t="str">
        <f>IFERROR(__xludf.DUMMYFUNCTION("""COMPUTED_VALUE"""),"WEINZIERL")</f>
        <v>WEINZIERL</v>
      </c>
      <c r="F3475" s="605" t="str">
        <f>IFERROR(__xludf.DUMMYFUNCTION("""COMPUTED_VALUE"""),"KNX IP INTERFACE 730")</f>
        <v>KNX IP INTERFACE 730</v>
      </c>
      <c r="G3475" s="605"/>
      <c r="H3475" s="605"/>
      <c r="I3475" s="605"/>
      <c r="J3475" s="606"/>
      <c r="K3475" s="605"/>
      <c r="L3475" s="605"/>
      <c r="M3475" s="605"/>
      <c r="N3475" s="605"/>
      <c r="O3475" s="605"/>
      <c r="P3475" s="605"/>
    </row>
    <row r="3476">
      <c r="A3476" s="605"/>
      <c r="B3476" s="605"/>
      <c r="C3476" s="605"/>
      <c r="D3476" s="605"/>
      <c r="E3476" s="605" t="str">
        <f>IFERROR(__xludf.DUMMYFUNCTION("""COMPUTED_VALUE"""),"WESTELL")</f>
        <v>WESTELL</v>
      </c>
      <c r="F3476" s="605" t="str">
        <f>IFERROR(__xludf.DUMMYFUNCTION("""COMPUTED_VALUE"""),"ADSL2+ ROUTER")</f>
        <v>ADSL2+ ROUTER</v>
      </c>
      <c r="G3476" s="605"/>
      <c r="H3476" s="605"/>
      <c r="I3476" s="605"/>
      <c r="J3476" s="606"/>
      <c r="K3476" s="605"/>
      <c r="L3476" s="605"/>
      <c r="M3476" s="605"/>
      <c r="N3476" s="605"/>
      <c r="O3476" s="605"/>
      <c r="P3476" s="605"/>
    </row>
    <row r="3477">
      <c r="A3477" s="605"/>
      <c r="B3477" s="605"/>
      <c r="C3477" s="605"/>
      <c r="D3477" s="605"/>
      <c r="E3477" s="605" t="str">
        <f>IFERROR(__xludf.DUMMYFUNCTION("""COMPUTED_VALUE"""),"WESTERMO")</f>
        <v>WESTERMO</v>
      </c>
      <c r="F3477" s="605" t="str">
        <f>IFERROR(__xludf.DUMMYFUNCTION("""COMPUTED_VALUE"""),"SDI-550")</f>
        <v>SDI-550</v>
      </c>
      <c r="G3477" s="605"/>
      <c r="H3477" s="605"/>
      <c r="I3477" s="605"/>
      <c r="J3477" s="606"/>
      <c r="K3477" s="605"/>
      <c r="L3477" s="605"/>
      <c r="M3477" s="605"/>
      <c r="N3477" s="605"/>
      <c r="O3477" s="605"/>
      <c r="P3477" s="605"/>
    </row>
    <row r="3478">
      <c r="A3478" s="605"/>
      <c r="B3478" s="605"/>
      <c r="C3478" s="605"/>
      <c r="D3478" s="605"/>
      <c r="E3478" s="605" t="str">
        <f>IFERROR(__xludf.DUMMYFUNCTION("""COMPUTED_VALUE"""),"WESTERMO")</f>
        <v>WESTERMO</v>
      </c>
      <c r="F3478" s="605" t="str">
        <f>IFERROR(__xludf.DUMMYFUNCTION("""COMPUTED_VALUE"""),"EDW100")</f>
        <v>EDW100</v>
      </c>
      <c r="G3478" s="605"/>
      <c r="H3478" s="605"/>
      <c r="I3478" s="605"/>
      <c r="J3478" s="606"/>
      <c r="K3478" s="605"/>
      <c r="L3478" s="605"/>
      <c r="M3478" s="605"/>
      <c r="N3478" s="605"/>
      <c r="O3478" s="605"/>
      <c r="P3478" s="605"/>
    </row>
    <row r="3479">
      <c r="A3479" s="605"/>
      <c r="B3479" s="605"/>
      <c r="C3479" s="605"/>
      <c r="D3479" s="605"/>
      <c r="E3479" s="605" t="str">
        <f>IFERROR(__xludf.DUMMYFUNCTION("""COMPUTED_VALUE"""),"WETEK")</f>
        <v>WETEK</v>
      </c>
      <c r="F3479" s="605" t="str">
        <f>IFERROR(__xludf.DUMMYFUNCTION("""COMPUTED_VALUE"""),"AIRTV")</f>
        <v>AIRTV</v>
      </c>
      <c r="G3479" s="605"/>
      <c r="H3479" s="605"/>
      <c r="I3479" s="605"/>
      <c r="J3479" s="606"/>
      <c r="K3479" s="605"/>
      <c r="L3479" s="605"/>
      <c r="M3479" s="605"/>
      <c r="N3479" s="605"/>
      <c r="O3479" s="605"/>
      <c r="P3479" s="605"/>
    </row>
    <row r="3480">
      <c r="A3480" s="605"/>
      <c r="B3480" s="605"/>
      <c r="C3480" s="605"/>
      <c r="D3480" s="605"/>
      <c r="E3480" s="605" t="str">
        <f>IFERROR(__xludf.DUMMYFUNCTION("""COMPUTED_VALUE"""),"WETEK")</f>
        <v>WETEK</v>
      </c>
      <c r="F3480" s="605" t="str">
        <f>IFERROR(__xludf.DUMMYFUNCTION("""COMPUTED_VALUE"""),"AIRTV")</f>
        <v>AIRTV</v>
      </c>
      <c r="G3480" s="605"/>
      <c r="H3480" s="605"/>
      <c r="I3480" s="605"/>
      <c r="J3480" s="606"/>
      <c r="K3480" s="605"/>
      <c r="L3480" s="605"/>
      <c r="M3480" s="605"/>
      <c r="N3480" s="605"/>
      <c r="O3480" s="605"/>
      <c r="P3480" s="605"/>
    </row>
    <row r="3481">
      <c r="A3481" s="605"/>
      <c r="B3481" s="605"/>
      <c r="C3481" s="605"/>
      <c r="D3481" s="605"/>
      <c r="E3481" s="605" t="str">
        <f>IFERROR(__xludf.DUMMYFUNCTION("""COMPUTED_VALUE"""),"WILO")</f>
        <v>WILO</v>
      </c>
      <c r="F3481" s="605" t="str">
        <f>IFERROR(__xludf.DUMMYFUNCTION("""COMPUTED_VALUE"""),"CO 2MHIL903 BC")</f>
        <v>CO 2MHIL903 BC</v>
      </c>
      <c r="G3481" s="605"/>
      <c r="H3481" s="605"/>
      <c r="I3481" s="605"/>
      <c r="J3481" s="606"/>
      <c r="K3481" s="605"/>
      <c r="L3481" s="605"/>
      <c r="M3481" s="605"/>
      <c r="N3481" s="605"/>
      <c r="O3481" s="605"/>
      <c r="P3481" s="605"/>
    </row>
    <row r="3482">
      <c r="A3482" s="605"/>
      <c r="B3482" s="605"/>
      <c r="C3482" s="605"/>
      <c r="D3482" s="605"/>
      <c r="E3482" s="605" t="str">
        <f>IFERROR(__xludf.DUMMYFUNCTION("""COMPUTED_VALUE"""),"WILO")</f>
        <v>WILO</v>
      </c>
      <c r="F3482" s="605" t="str">
        <f>IFERROR(__xludf.DUMMYFUNCTION("""COMPUTED_VALUE"""),"WEH-2-306-T/CE-2D")</f>
        <v>WEH-2-306-T/CE-2D</v>
      </c>
      <c r="G3482" s="605"/>
      <c r="H3482" s="605"/>
      <c r="I3482" s="605"/>
      <c r="J3482" s="606"/>
      <c r="K3482" s="605"/>
      <c r="L3482" s="605"/>
      <c r="M3482" s="605"/>
      <c r="N3482" s="605"/>
      <c r="O3482" s="605"/>
      <c r="P3482" s="605"/>
    </row>
    <row r="3483">
      <c r="A3483" s="605"/>
      <c r="B3483" s="605"/>
      <c r="C3483" s="605"/>
      <c r="D3483" s="605"/>
      <c r="E3483" s="605" t="str">
        <f>IFERROR(__xludf.DUMMYFUNCTION("""COMPUTED_VALUE"""),"WINLAND ELECTRONICS")</f>
        <v>WINLAND ELECTRONICS</v>
      </c>
      <c r="F3483" s="605" t="str">
        <f>IFERROR(__xludf.DUMMYFUNCTION("""COMPUTED_VALUE"""),"EA200-12")</f>
        <v>EA200-12</v>
      </c>
      <c r="G3483" s="605"/>
      <c r="H3483" s="605"/>
      <c r="I3483" s="605"/>
      <c r="J3483" s="606"/>
      <c r="K3483" s="605"/>
      <c r="L3483" s="605"/>
      <c r="M3483" s="605"/>
      <c r="N3483" s="605"/>
      <c r="O3483" s="605"/>
      <c r="P3483" s="605"/>
    </row>
    <row r="3484">
      <c r="A3484" s="605"/>
      <c r="B3484" s="605"/>
      <c r="C3484" s="605"/>
      <c r="D3484" s="605"/>
      <c r="E3484" s="605" t="str">
        <f>IFERROR(__xludf.DUMMYFUNCTION("""COMPUTED_VALUE"""),"WINTERHALTER")</f>
        <v>WINTERHALTER</v>
      </c>
      <c r="F3484" s="605" t="str">
        <f>IFERROR(__xludf.DUMMYFUNCTION("""COMPUTED_VALUE"""),"UC SERIES")</f>
        <v>UC SERIES</v>
      </c>
      <c r="G3484" s="605"/>
      <c r="H3484" s="605"/>
      <c r="I3484" s="605"/>
      <c r="J3484" s="606"/>
      <c r="K3484" s="605"/>
      <c r="L3484" s="605"/>
      <c r="M3484" s="605"/>
      <c r="N3484" s="605"/>
      <c r="O3484" s="605"/>
      <c r="P3484" s="605"/>
    </row>
    <row r="3485">
      <c r="A3485" s="605"/>
      <c r="B3485" s="605"/>
      <c r="C3485" s="605"/>
      <c r="D3485" s="605"/>
      <c r="E3485" s="605" t="str">
        <f>IFERROR(__xludf.DUMMYFUNCTION("""COMPUTED_VALUE"""),"WITTENBORG")</f>
        <v>WITTENBORG</v>
      </c>
      <c r="F3485" s="605" t="str">
        <f>IFERROR(__xludf.DUMMYFUNCTION("""COMPUTED_VALUE"""),"9100")</f>
        <v>9100</v>
      </c>
      <c r="G3485" s="605"/>
      <c r="H3485" s="605"/>
      <c r="I3485" s="605"/>
      <c r="J3485" s="606"/>
      <c r="K3485" s="605"/>
      <c r="L3485" s="605"/>
      <c r="M3485" s="605"/>
      <c r="N3485" s="605"/>
      <c r="O3485" s="605"/>
      <c r="P3485" s="605"/>
    </row>
    <row r="3486">
      <c r="A3486" s="605"/>
      <c r="B3486" s="605"/>
      <c r="C3486" s="605"/>
      <c r="D3486" s="605"/>
      <c r="E3486" s="605" t="str">
        <f>IFERROR(__xludf.DUMMYFUNCTION("""COMPUTED_VALUE"""),"WMF")</f>
        <v>WMF</v>
      </c>
      <c r="F3486" s="605" t="str">
        <f>IFERROR(__xludf.DUMMYFUNCTION("""COMPUTED_VALUE"""),"WMF 5000 S")</f>
        <v>WMF 5000 S</v>
      </c>
      <c r="G3486" s="605"/>
      <c r="H3486" s="605"/>
      <c r="I3486" s="605"/>
      <c r="J3486" s="606"/>
      <c r="K3486" s="605"/>
      <c r="L3486" s="605"/>
      <c r="M3486" s="605"/>
      <c r="N3486" s="605"/>
      <c r="O3486" s="605"/>
      <c r="P3486" s="605"/>
    </row>
    <row r="3487">
      <c r="A3487" s="605"/>
      <c r="B3487" s="605"/>
      <c r="C3487" s="605"/>
      <c r="D3487" s="605"/>
      <c r="E3487" s="605" t="str">
        <f>IFERROR(__xludf.DUMMYFUNCTION("""COMPUTED_VALUE"""),"WMF")</f>
        <v>WMF</v>
      </c>
      <c r="F3487" s="605" t="str">
        <f>IFERROR(__xludf.DUMMYFUNCTION("""COMPUTED_VALUE"""),"WMF 5000 S")</f>
        <v>WMF 5000 S</v>
      </c>
      <c r="G3487" s="605"/>
      <c r="H3487" s="605"/>
      <c r="I3487" s="605"/>
      <c r="J3487" s="606"/>
      <c r="K3487" s="605"/>
      <c r="L3487" s="605"/>
      <c r="M3487" s="605"/>
      <c r="N3487" s="605"/>
      <c r="O3487" s="605"/>
      <c r="P3487" s="605"/>
    </row>
    <row r="3488">
      <c r="A3488" s="605"/>
      <c r="B3488" s="605"/>
      <c r="C3488" s="605"/>
      <c r="D3488" s="605"/>
      <c r="E3488" s="605" t="str">
        <f>IFERROR(__xludf.DUMMYFUNCTION("""COMPUTED_VALUE"""),"WMF")</f>
        <v>WMF</v>
      </c>
      <c r="F3488" s="605" t="str">
        <f>IFERROR(__xludf.DUMMYFUNCTION("""COMPUTED_VALUE"""),"WMF 5000 S")</f>
        <v>WMF 5000 S</v>
      </c>
      <c r="G3488" s="605"/>
      <c r="H3488" s="605"/>
      <c r="I3488" s="605"/>
      <c r="J3488" s="606"/>
      <c r="K3488" s="605"/>
      <c r="L3488" s="605"/>
      <c r="M3488" s="605"/>
      <c r="N3488" s="605"/>
      <c r="O3488" s="605"/>
      <c r="P3488" s="605"/>
    </row>
    <row r="3489">
      <c r="A3489" s="605"/>
      <c r="B3489" s="605"/>
      <c r="C3489" s="605"/>
      <c r="D3489" s="605"/>
      <c r="E3489" s="605" t="str">
        <f>IFERROR(__xludf.DUMMYFUNCTION("""COMPUTED_VALUE"""),"WMF")</f>
        <v>WMF</v>
      </c>
      <c r="F3489" s="605" t="str">
        <f>IFERROR(__xludf.DUMMYFUNCTION("""COMPUTED_VALUE"""),"WMF 5000 S")</f>
        <v>WMF 5000 S</v>
      </c>
      <c r="G3489" s="605"/>
      <c r="H3489" s="605"/>
      <c r="I3489" s="605"/>
      <c r="J3489" s="606"/>
      <c r="K3489" s="605"/>
      <c r="L3489" s="605"/>
      <c r="M3489" s="605"/>
      <c r="N3489" s="605"/>
      <c r="O3489" s="605"/>
      <c r="P3489" s="605"/>
    </row>
    <row r="3490">
      <c r="A3490" s="605"/>
      <c r="B3490" s="605"/>
      <c r="C3490" s="605"/>
      <c r="D3490" s="605"/>
      <c r="E3490" s="605" t="str">
        <f>IFERROR(__xludf.DUMMYFUNCTION("""COMPUTED_VALUE"""),"WMF")</f>
        <v>WMF</v>
      </c>
      <c r="F3490" s="605" t="str">
        <f>IFERROR(__xludf.DUMMYFUNCTION("""COMPUTED_VALUE"""),"9000 S+")</f>
        <v>9000 S+</v>
      </c>
      <c r="G3490" s="605"/>
      <c r="H3490" s="605"/>
      <c r="I3490" s="605"/>
      <c r="J3490" s="606"/>
      <c r="K3490" s="605"/>
      <c r="L3490" s="605"/>
      <c r="M3490" s="605"/>
      <c r="N3490" s="605"/>
      <c r="O3490" s="605"/>
      <c r="P3490" s="605"/>
    </row>
    <row r="3491">
      <c r="A3491" s="605"/>
      <c r="B3491" s="605"/>
      <c r="C3491" s="605"/>
      <c r="D3491" s="605"/>
      <c r="E3491" s="605" t="str">
        <f>IFERROR(__xludf.DUMMYFUNCTION("""COMPUTED_VALUE"""),"WMF")</f>
        <v>WMF</v>
      </c>
      <c r="F3491" s="605" t="str">
        <f>IFERROR(__xludf.DUMMYFUNCTION("""COMPUTED_VALUE"""),"1100 S")</f>
        <v>1100 S</v>
      </c>
      <c r="G3491" s="605"/>
      <c r="H3491" s="605"/>
      <c r="I3491" s="605"/>
      <c r="J3491" s="606"/>
      <c r="K3491" s="605"/>
      <c r="L3491" s="605"/>
      <c r="M3491" s="605"/>
      <c r="N3491" s="605"/>
      <c r="O3491" s="605"/>
      <c r="P3491" s="605"/>
    </row>
    <row r="3492">
      <c r="A3492" s="605"/>
      <c r="B3492" s="605"/>
      <c r="C3492" s="605"/>
      <c r="D3492" s="605"/>
      <c r="E3492" s="605" t="str">
        <f>IFERROR(__xludf.DUMMYFUNCTION("""COMPUTED_VALUE"""),"WOODWARD")</f>
        <v>WOODWARD</v>
      </c>
      <c r="F3492" s="605" t="str">
        <f>IFERROR(__xludf.DUMMYFUNCTION("""COMPUTED_VALUE"""),"EASYGEN-3200XT")</f>
        <v>EASYGEN-3200XT</v>
      </c>
      <c r="G3492" s="605"/>
      <c r="H3492" s="605"/>
      <c r="I3492" s="605"/>
      <c r="J3492" s="606"/>
      <c r="K3492" s="605"/>
      <c r="L3492" s="605"/>
      <c r="M3492" s="605"/>
      <c r="N3492" s="605"/>
      <c r="O3492" s="605"/>
      <c r="P3492" s="605"/>
    </row>
    <row r="3493">
      <c r="A3493" s="605"/>
      <c r="B3493" s="605"/>
      <c r="C3493" s="605"/>
      <c r="D3493" s="605"/>
      <c r="E3493" s="605" t="str">
        <f>IFERROR(__xludf.DUMMYFUNCTION("""COMPUTED_VALUE"""),"WOODWAY")</f>
        <v>WOODWAY</v>
      </c>
      <c r="F3493" s="605" t="str">
        <f>IFERROR(__xludf.DUMMYFUNCTION("""COMPUTED_VALUE"""),"DESMO '05")</f>
        <v>DESMO '05</v>
      </c>
      <c r="G3493" s="605"/>
      <c r="H3493" s="605"/>
      <c r="I3493" s="605"/>
      <c r="J3493" s="606"/>
      <c r="K3493" s="605"/>
      <c r="L3493" s="605"/>
      <c r="M3493" s="605"/>
      <c r="N3493" s="605"/>
      <c r="O3493" s="605"/>
      <c r="P3493" s="605"/>
    </row>
    <row r="3494">
      <c r="A3494" s="605"/>
      <c r="B3494" s="605"/>
      <c r="C3494" s="605"/>
      <c r="D3494" s="605"/>
      <c r="E3494" s="605" t="str">
        <f>IFERROR(__xludf.DUMMYFUNCTION("""COMPUTED_VALUE"""),"WOODWAY")</f>
        <v>WOODWAY</v>
      </c>
      <c r="F3494" s="605" t="str">
        <f>IFERROR(__xludf.DUMMYFUNCTION("""COMPUTED_VALUE"""),"PRO 4700")</f>
        <v>PRO 4700</v>
      </c>
      <c r="G3494" s="605"/>
      <c r="H3494" s="605"/>
      <c r="I3494" s="605"/>
      <c r="J3494" s="606"/>
      <c r="K3494" s="605"/>
      <c r="L3494" s="605"/>
      <c r="M3494" s="605"/>
      <c r="N3494" s="605"/>
      <c r="O3494" s="605"/>
      <c r="P3494" s="605"/>
    </row>
    <row r="3495">
      <c r="A3495" s="605"/>
      <c r="B3495" s="605"/>
      <c r="C3495" s="605"/>
      <c r="D3495" s="605"/>
      <c r="E3495" s="605" t="str">
        <f>IFERROR(__xludf.DUMMYFUNCTION("""COMPUTED_VALUE"""),"WTEC")</f>
        <v>WTEC</v>
      </c>
      <c r="F3495" s="605" t="str">
        <f>IFERROR(__xludf.DUMMYFUNCTION("""COMPUTED_VALUE"""),"SDIR-1-B")</f>
        <v>SDIR-1-B</v>
      </c>
      <c r="G3495" s="605"/>
      <c r="H3495" s="605"/>
      <c r="I3495" s="605"/>
      <c r="J3495" s="606"/>
      <c r="K3495" s="605"/>
      <c r="L3495" s="605"/>
      <c r="M3495" s="605"/>
      <c r="N3495" s="605"/>
      <c r="O3495" s="605"/>
      <c r="P3495" s="605"/>
    </row>
    <row r="3496">
      <c r="A3496" s="605"/>
      <c r="B3496" s="605"/>
      <c r="C3496" s="605"/>
      <c r="D3496" s="605"/>
      <c r="E3496" s="605" t="str">
        <f>IFERROR(__xludf.DUMMYFUNCTION("""COMPUTED_VALUE"""),"WTEC")</f>
        <v>WTEC</v>
      </c>
      <c r="F3496" s="605" t="str">
        <f>IFERROR(__xludf.DUMMYFUNCTION("""COMPUTED_VALUE"""),"SENG-1-4834-250")</f>
        <v>SENG-1-4834-250</v>
      </c>
      <c r="G3496" s="605"/>
      <c r="H3496" s="605"/>
      <c r="I3496" s="605"/>
      <c r="J3496" s="606"/>
      <c r="K3496" s="605"/>
      <c r="L3496" s="605"/>
      <c r="M3496" s="605"/>
      <c r="N3496" s="605"/>
      <c r="O3496" s="605"/>
      <c r="P3496" s="605"/>
    </row>
    <row r="3497">
      <c r="A3497" s="605"/>
      <c r="B3497" s="605"/>
      <c r="C3497" s="605"/>
      <c r="D3497" s="605"/>
      <c r="E3497" s="605" t="str">
        <f>IFERROR(__xludf.DUMMYFUNCTION("""COMPUTED_VALUE"""),"XBOX")</f>
        <v>XBOX</v>
      </c>
      <c r="F3497" s="605" t="str">
        <f>IFERROR(__xludf.DUMMYFUNCTION("""COMPUTED_VALUE"""),"1681")</f>
        <v>1681</v>
      </c>
      <c r="G3497" s="605"/>
      <c r="H3497" s="605"/>
      <c r="I3497" s="605"/>
      <c r="J3497" s="606"/>
      <c r="K3497" s="605"/>
      <c r="L3497" s="605"/>
      <c r="M3497" s="605"/>
      <c r="N3497" s="605"/>
      <c r="O3497" s="605"/>
      <c r="P3497" s="605"/>
    </row>
    <row r="3498">
      <c r="A3498" s="605"/>
      <c r="B3498" s="605"/>
      <c r="C3498" s="605"/>
      <c r="D3498" s="605"/>
      <c r="E3498" s="605" t="str">
        <f>IFERROR(__xludf.DUMMYFUNCTION("""COMPUTED_VALUE"""),"XBOX")</f>
        <v>XBOX</v>
      </c>
      <c r="F3498" s="605" t="str">
        <f>IFERROR(__xludf.DUMMYFUNCTION("""COMPUTED_VALUE"""),"MODEL 1540")</f>
        <v>MODEL 1540</v>
      </c>
      <c r="G3498" s="605"/>
      <c r="H3498" s="605"/>
      <c r="I3498" s="605"/>
      <c r="J3498" s="606"/>
      <c r="K3498" s="605"/>
      <c r="L3498" s="605"/>
      <c r="M3498" s="605"/>
      <c r="N3498" s="605"/>
      <c r="O3498" s="605"/>
      <c r="P3498" s="605"/>
    </row>
    <row r="3499">
      <c r="A3499" s="605"/>
      <c r="B3499" s="605"/>
      <c r="C3499" s="605"/>
      <c r="D3499" s="605"/>
      <c r="E3499" s="605" t="str">
        <f>IFERROR(__xludf.DUMMYFUNCTION("""COMPUTED_VALUE"""),"XIAOMI")</f>
        <v>XIAOMI</v>
      </c>
      <c r="F3499" s="605" t="str">
        <f>IFERROR(__xludf.DUMMYFUNCTION("""COMPUTED_VALUE"""),"BEDSIDE LAMP 2")</f>
        <v>BEDSIDE LAMP 2</v>
      </c>
      <c r="G3499" s="605"/>
      <c r="H3499" s="605"/>
      <c r="I3499" s="605"/>
      <c r="J3499" s="606"/>
      <c r="K3499" s="605"/>
      <c r="L3499" s="605"/>
      <c r="M3499" s="605"/>
      <c r="N3499" s="605"/>
      <c r="O3499" s="605"/>
      <c r="P3499" s="605"/>
    </row>
    <row r="3500">
      <c r="A3500" s="605"/>
      <c r="B3500" s="605"/>
      <c r="C3500" s="605"/>
      <c r="D3500" s="605"/>
      <c r="E3500" s="605" t="str">
        <f>IFERROR(__xludf.DUMMYFUNCTION("""COMPUTED_VALUE"""),"XIAOMI")</f>
        <v>XIAOMI</v>
      </c>
      <c r="F3500" s="605" t="str">
        <f>IFERROR(__xludf.DUMMYFUNCTION("""COMPUTED_VALUE"""),"REDMI 7A")</f>
        <v>REDMI 7A</v>
      </c>
      <c r="G3500" s="605"/>
      <c r="H3500" s="605"/>
      <c r="I3500" s="605"/>
      <c r="J3500" s="606"/>
      <c r="K3500" s="605"/>
      <c r="L3500" s="605"/>
      <c r="M3500" s="605"/>
      <c r="N3500" s="605"/>
      <c r="O3500" s="605"/>
      <c r="P3500" s="605"/>
    </row>
    <row r="3501">
      <c r="A3501" s="605"/>
      <c r="B3501" s="605"/>
      <c r="C3501" s="605"/>
      <c r="D3501" s="605"/>
      <c r="E3501" s="605" t="str">
        <f>IFERROR(__xludf.DUMMYFUNCTION("""COMPUTED_VALUE"""),"XORO")</f>
        <v>XORO</v>
      </c>
      <c r="F3501" s="605" t="str">
        <f>IFERROR(__xludf.DUMMYFUNCTION("""COMPUTED_VALUE"""),"MEGAPAD 1404 V2")</f>
        <v>MEGAPAD 1404 V2</v>
      </c>
      <c r="G3501" s="605"/>
      <c r="H3501" s="605"/>
      <c r="I3501" s="605"/>
      <c r="J3501" s="606"/>
      <c r="K3501" s="605"/>
      <c r="L3501" s="605"/>
      <c r="M3501" s="605"/>
      <c r="N3501" s="605"/>
      <c r="O3501" s="605"/>
      <c r="P3501" s="605"/>
    </row>
    <row r="3502">
      <c r="A3502" s="605"/>
      <c r="B3502" s="605"/>
      <c r="C3502" s="605"/>
      <c r="D3502" s="605"/>
      <c r="E3502" s="605" t="str">
        <f>IFERROR(__xludf.DUMMYFUNCTION("""COMPUTED_VALUE"""),"XTRALIS")</f>
        <v>XTRALIS</v>
      </c>
      <c r="F3502" s="605" t="str">
        <f>IFERROR(__xludf.DUMMYFUNCTION("""COMPUTED_VALUE"""),"VHX-1420")</f>
        <v>VHX-1420</v>
      </c>
      <c r="G3502" s="605"/>
      <c r="H3502" s="605"/>
      <c r="I3502" s="605"/>
      <c r="J3502" s="606"/>
      <c r="K3502" s="605"/>
      <c r="L3502" s="605"/>
      <c r="M3502" s="605"/>
      <c r="N3502" s="605"/>
      <c r="O3502" s="605"/>
      <c r="P3502" s="605"/>
    </row>
    <row r="3503">
      <c r="A3503" s="605"/>
      <c r="B3503" s="605"/>
      <c r="C3503" s="605"/>
      <c r="D3503" s="605"/>
      <c r="E3503" s="605" t="str">
        <f>IFERROR(__xludf.DUMMYFUNCTION("""COMPUTED_VALUE"""),"XYLEM")</f>
        <v>XYLEM</v>
      </c>
      <c r="F3503" s="605" t="str">
        <f>IFERROR(__xludf.DUMMYFUNCTION("""COMPUTED_VALUE"""),"ACLARA KV2C")</f>
        <v>ACLARA KV2C</v>
      </c>
      <c r="G3503" s="605"/>
      <c r="H3503" s="605"/>
      <c r="I3503" s="605"/>
      <c r="J3503" s="606"/>
      <c r="K3503" s="605"/>
      <c r="L3503" s="605"/>
      <c r="M3503" s="605"/>
      <c r="N3503" s="605"/>
      <c r="O3503" s="605"/>
      <c r="P3503" s="605"/>
    </row>
    <row r="3504">
      <c r="A3504" s="605"/>
      <c r="B3504" s="605"/>
      <c r="C3504" s="605"/>
      <c r="D3504" s="605"/>
      <c r="E3504" s="605" t="str">
        <f>IFERROR(__xludf.DUMMYFUNCTION("""COMPUTED_VALUE"""),"XYLEM")</f>
        <v>XYLEM</v>
      </c>
      <c r="F3504" s="605" t="str">
        <f>IFERROR(__xludf.DUMMYFUNCTION("""COMPUTED_VALUE"""),"POLLUSTAT")</f>
        <v>POLLUSTAT</v>
      </c>
      <c r="G3504" s="605"/>
      <c r="H3504" s="605"/>
      <c r="I3504" s="605"/>
      <c r="J3504" s="606"/>
      <c r="K3504" s="605"/>
      <c r="L3504" s="605"/>
      <c r="M3504" s="605"/>
      <c r="N3504" s="605"/>
      <c r="O3504" s="605"/>
      <c r="P3504" s="605"/>
    </row>
    <row r="3505">
      <c r="A3505" s="605"/>
      <c r="B3505" s="605"/>
      <c r="C3505" s="605"/>
      <c r="D3505" s="605"/>
      <c r="E3505" s="605" t="str">
        <f>IFERROR(__xludf.DUMMYFUNCTION("""COMPUTED_VALUE"""),"XYLEM")</f>
        <v>XYLEM</v>
      </c>
      <c r="F3505" s="605" t="str">
        <f>IFERROR(__xludf.DUMMYFUNCTION("""COMPUTED_VALUE"""),"SENSUS POLLUTHERM")</f>
        <v>SENSUS POLLUTHERM</v>
      </c>
      <c r="G3505" s="605"/>
      <c r="H3505" s="605"/>
      <c r="I3505" s="605"/>
      <c r="J3505" s="606"/>
      <c r="K3505" s="605"/>
      <c r="L3505" s="605"/>
      <c r="M3505" s="605"/>
      <c r="N3505" s="605"/>
      <c r="O3505" s="605"/>
      <c r="P3505" s="605"/>
    </row>
    <row r="3506">
      <c r="A3506" s="605"/>
      <c r="B3506" s="605"/>
      <c r="C3506" s="605"/>
      <c r="D3506" s="605"/>
      <c r="E3506" s="605" t="str">
        <f>IFERROR(__xludf.DUMMYFUNCTION("""COMPUTED_VALUE"""),"XYLEM")</f>
        <v>XYLEM</v>
      </c>
      <c r="F3506" s="605" t="str">
        <f>IFERROR(__xludf.DUMMYFUNCTION("""COMPUTED_VALUE"""),"HRI-B SENSOR (DATA)")</f>
        <v>HRI-B SENSOR (DATA)</v>
      </c>
      <c r="G3506" s="605"/>
      <c r="H3506" s="605"/>
      <c r="I3506" s="605"/>
      <c r="J3506" s="606"/>
      <c r="K3506" s="605"/>
      <c r="L3506" s="605"/>
      <c r="M3506" s="605"/>
      <c r="N3506" s="605"/>
      <c r="O3506" s="605"/>
      <c r="P3506" s="605"/>
    </row>
    <row r="3507">
      <c r="A3507" s="605"/>
      <c r="B3507" s="605"/>
      <c r="C3507" s="605"/>
      <c r="D3507" s="605"/>
      <c r="E3507" s="605" t="str">
        <f>IFERROR(__xludf.DUMMYFUNCTION("""COMPUTED_VALUE"""),"XYLEM")</f>
        <v>XYLEM</v>
      </c>
      <c r="F3507" s="605" t="str">
        <f>IFERROR(__xludf.DUMMYFUNCTION("""COMPUTED_VALUE"""),"SERIES E-1510")</f>
        <v>SERIES E-1510</v>
      </c>
      <c r="G3507" s="605"/>
      <c r="H3507" s="605"/>
      <c r="I3507" s="605"/>
      <c r="J3507" s="606"/>
      <c r="K3507" s="605"/>
      <c r="L3507" s="605"/>
      <c r="M3507" s="605"/>
      <c r="N3507" s="605"/>
      <c r="O3507" s="605"/>
      <c r="P3507" s="605"/>
    </row>
    <row r="3508">
      <c r="A3508" s="605"/>
      <c r="B3508" s="605"/>
      <c r="C3508" s="605"/>
      <c r="D3508" s="605"/>
      <c r="E3508" s="605" t="str">
        <f>IFERROR(__xludf.DUMMYFUNCTION("""COMPUTED_VALUE"""),"YAMAHA")</f>
        <v>YAMAHA</v>
      </c>
      <c r="F3508" s="605" t="str">
        <f>IFERROR(__xludf.DUMMYFUNCTION("""COMPUTED_VALUE"""),"RTX1210")</f>
        <v>RTX1210</v>
      </c>
      <c r="G3508" s="605"/>
      <c r="H3508" s="605"/>
      <c r="I3508" s="605"/>
      <c r="J3508" s="606"/>
      <c r="K3508" s="605"/>
      <c r="L3508" s="605"/>
      <c r="M3508" s="605"/>
      <c r="N3508" s="605"/>
      <c r="O3508" s="605"/>
      <c r="P3508" s="605"/>
    </row>
    <row r="3509">
      <c r="A3509" s="605"/>
      <c r="B3509" s="605"/>
      <c r="C3509" s="605"/>
      <c r="D3509" s="605"/>
      <c r="E3509" s="605" t="str">
        <f>IFERROR(__xludf.DUMMYFUNCTION("""COMPUTED_VALUE"""),"YAMAHA")</f>
        <v>YAMAHA</v>
      </c>
      <c r="F3509" s="605" t="str">
        <f>IFERROR(__xludf.DUMMYFUNCTION("""COMPUTED_VALUE"""),"RTX830")</f>
        <v>RTX830</v>
      </c>
      <c r="G3509" s="605"/>
      <c r="H3509" s="605"/>
      <c r="I3509" s="605"/>
      <c r="J3509" s="606"/>
      <c r="K3509" s="605"/>
      <c r="L3509" s="605"/>
      <c r="M3509" s="605"/>
      <c r="N3509" s="605"/>
      <c r="O3509" s="605"/>
      <c r="P3509" s="605"/>
    </row>
    <row r="3510">
      <c r="A3510" s="605"/>
      <c r="B3510" s="605"/>
      <c r="C3510" s="605"/>
      <c r="D3510" s="605"/>
      <c r="E3510" s="605" t="str">
        <f>IFERROR(__xludf.DUMMYFUNCTION("""COMPUTED_VALUE"""),"YAP ENG")</f>
        <v>YAP ENG</v>
      </c>
      <c r="F3510" s="605" t="str">
        <f>IFERROR(__xludf.DUMMYFUNCTION("""COMPUTED_VALUE"""),"N/A")</f>
        <v>N/A</v>
      </c>
      <c r="G3510" s="605"/>
      <c r="H3510" s="605"/>
      <c r="I3510" s="605"/>
      <c r="J3510" s="606"/>
      <c r="K3510" s="605"/>
      <c r="L3510" s="605"/>
      <c r="M3510" s="605"/>
      <c r="N3510" s="605"/>
      <c r="O3510" s="605"/>
      <c r="P3510" s="605"/>
    </row>
    <row r="3511">
      <c r="A3511" s="605"/>
      <c r="B3511" s="605"/>
      <c r="C3511" s="605"/>
      <c r="D3511" s="605"/>
      <c r="E3511" s="605" t="str">
        <f>IFERROR(__xludf.DUMMYFUNCTION("""COMPUTED_VALUE"""),"YASKAWA")</f>
        <v>YASKAWA</v>
      </c>
      <c r="F3511" s="605" t="str">
        <f>IFERROR(__xludf.DUMMYFUNCTION("""COMPUTED_VALUE"""),"GA500")</f>
        <v>GA500</v>
      </c>
      <c r="G3511" s="605"/>
      <c r="H3511" s="605"/>
      <c r="I3511" s="605"/>
      <c r="J3511" s="606"/>
      <c r="K3511" s="605"/>
      <c r="L3511" s="605"/>
      <c r="M3511" s="605"/>
      <c r="N3511" s="605"/>
      <c r="O3511" s="605"/>
      <c r="P3511" s="605"/>
    </row>
    <row r="3512">
      <c r="A3512" s="605"/>
      <c r="B3512" s="605"/>
      <c r="C3512" s="605"/>
      <c r="D3512" s="605"/>
      <c r="E3512" s="605" t="str">
        <f>IFERROR(__xludf.DUMMYFUNCTION("""COMPUTED_VALUE"""),"YEELIGHT")</f>
        <v>YEELIGHT</v>
      </c>
      <c r="F3512" s="605" t="str">
        <f>IFERROR(__xludf.DUMMYFUNCTION("""COMPUTED_VALUE"""),"LED LIGHT STRIP 1S")</f>
        <v>LED LIGHT STRIP 1S</v>
      </c>
      <c r="G3512" s="605"/>
      <c r="H3512" s="605"/>
      <c r="I3512" s="605"/>
      <c r="J3512" s="606"/>
      <c r="K3512" s="605"/>
      <c r="L3512" s="605"/>
      <c r="M3512" s="605"/>
      <c r="N3512" s="605"/>
      <c r="O3512" s="605"/>
      <c r="P3512" s="605"/>
    </row>
    <row r="3513">
      <c r="A3513" s="605"/>
      <c r="B3513" s="605"/>
      <c r="C3513" s="605"/>
      <c r="D3513" s="605"/>
      <c r="E3513" s="605" t="str">
        <f>IFERROR(__xludf.DUMMYFUNCTION("""COMPUTED_VALUE"""),"YEELIGHT")</f>
        <v>YEELIGHT</v>
      </c>
      <c r="F3513" s="605" t="str">
        <f>IFERROR(__xludf.DUMMYFUNCTION("""COMPUTED_VALUE"""),"LED LIGHT BULB")</f>
        <v>LED LIGHT BULB</v>
      </c>
      <c r="G3513" s="605"/>
      <c r="H3513" s="605"/>
      <c r="I3513" s="605"/>
      <c r="J3513" s="606"/>
      <c r="K3513" s="605"/>
      <c r="L3513" s="605"/>
      <c r="M3513" s="605"/>
      <c r="N3513" s="605"/>
      <c r="O3513" s="605"/>
      <c r="P3513" s="605"/>
    </row>
    <row r="3514">
      <c r="A3514" s="605"/>
      <c r="B3514" s="605"/>
      <c r="C3514" s="605"/>
      <c r="D3514" s="605"/>
      <c r="E3514" s="605" t="str">
        <f>IFERROR(__xludf.DUMMYFUNCTION("""COMPUTED_VALUE"""),"YES.")</f>
        <v>YES.</v>
      </c>
      <c r="F3514" s="605" t="str">
        <f>IFERROR(__xludf.DUMMYFUNCTION("""COMPUTED_VALUE"""),"HD SATELLITE TV BOX")</f>
        <v>HD SATELLITE TV BOX</v>
      </c>
      <c r="G3514" s="605"/>
      <c r="H3514" s="605"/>
      <c r="I3514" s="605"/>
      <c r="J3514" s="606"/>
      <c r="K3514" s="605"/>
      <c r="L3514" s="605"/>
      <c r="M3514" s="605"/>
      <c r="N3514" s="605"/>
      <c r="O3514" s="605"/>
      <c r="P3514" s="605"/>
    </row>
    <row r="3515">
      <c r="A3515" s="605"/>
      <c r="B3515" s="605"/>
      <c r="C3515" s="605"/>
      <c r="D3515" s="605"/>
      <c r="E3515" s="605" t="str">
        <f>IFERROR(__xludf.DUMMYFUNCTION("""COMPUTED_VALUE"""),"YORK")</f>
        <v>YORK</v>
      </c>
      <c r="F3515" s="605" t="str">
        <f>IFERROR(__xludf.DUMMYFUNCTION("""COMPUTED_VALUE"""),"YEFN24")</f>
        <v>YEFN24</v>
      </c>
      <c r="G3515" s="605"/>
      <c r="H3515" s="605"/>
      <c r="I3515" s="605"/>
      <c r="J3515" s="606"/>
      <c r="K3515" s="605"/>
      <c r="L3515" s="605"/>
      <c r="M3515" s="605"/>
      <c r="N3515" s="605"/>
      <c r="O3515" s="605"/>
      <c r="P3515" s="605"/>
    </row>
    <row r="3516">
      <c r="A3516" s="605"/>
      <c r="B3516" s="605"/>
      <c r="C3516" s="605"/>
      <c r="D3516" s="605"/>
      <c r="E3516" s="605" t="str">
        <f>IFERROR(__xludf.DUMMYFUNCTION("""COMPUTED_VALUE"""),"YORK")</f>
        <v>YORK</v>
      </c>
      <c r="F3516" s="605" t="str">
        <f>IFERROR(__xludf.DUMMYFUNCTION("""COMPUTED_VALUE"""),"YAH1FB")</f>
        <v>YAH1FB</v>
      </c>
      <c r="G3516" s="605"/>
      <c r="H3516" s="605"/>
      <c r="I3516" s="605"/>
      <c r="J3516" s="606"/>
      <c r="K3516" s="605"/>
      <c r="L3516" s="605"/>
      <c r="M3516" s="605"/>
      <c r="N3516" s="605"/>
      <c r="O3516" s="605"/>
      <c r="P3516" s="605"/>
    </row>
    <row r="3517">
      <c r="A3517" s="605"/>
      <c r="B3517" s="605"/>
      <c r="C3517" s="605"/>
      <c r="D3517" s="605"/>
      <c r="E3517" s="605" t="str">
        <f>IFERROR(__xludf.DUMMYFUNCTION("""COMPUTED_VALUE"""),"YORK")</f>
        <v>YORK</v>
      </c>
      <c r="F3517" s="605" t="str">
        <f>IFERROR(__xludf.DUMMYFUNCTION("""COMPUTED_VALUE"""),"Y1GW04CDE")</f>
        <v>Y1GW04CDE</v>
      </c>
      <c r="G3517" s="605"/>
      <c r="H3517" s="605"/>
      <c r="I3517" s="605"/>
      <c r="J3517" s="606"/>
      <c r="K3517" s="605"/>
      <c r="L3517" s="605"/>
      <c r="M3517" s="605"/>
      <c r="N3517" s="605"/>
      <c r="O3517" s="605"/>
      <c r="P3517" s="605"/>
    </row>
    <row r="3518">
      <c r="A3518" s="605"/>
      <c r="B3518" s="605"/>
      <c r="C3518" s="605"/>
      <c r="D3518" s="605"/>
      <c r="E3518" s="605" t="str">
        <f>IFERROR(__xludf.DUMMYFUNCTION("""COMPUTED_VALUE"""),"YORK")</f>
        <v>YORK</v>
      </c>
      <c r="F3518" s="605" t="str">
        <f>IFERROR(__xludf.DUMMYFUNCTION("""COMPUTED_VALUE"""),"YKGW12CDE")</f>
        <v>YKGW12CDE</v>
      </c>
      <c r="G3518" s="605"/>
      <c r="H3518" s="605"/>
      <c r="I3518" s="605"/>
      <c r="J3518" s="606"/>
      <c r="K3518" s="605"/>
      <c r="L3518" s="605"/>
      <c r="M3518" s="605"/>
      <c r="N3518" s="605"/>
      <c r="O3518" s="605"/>
      <c r="P3518" s="605"/>
    </row>
    <row r="3519">
      <c r="A3519" s="605"/>
      <c r="B3519" s="605"/>
      <c r="C3519" s="605"/>
      <c r="D3519" s="605"/>
      <c r="E3519" s="605" t="str">
        <f>IFERROR(__xludf.DUMMYFUNCTION("""COMPUTED_VALUE"""),"YORK")</f>
        <v>YORK</v>
      </c>
      <c r="F3519" s="605" t="str">
        <f>IFERROR(__xludf.DUMMYFUNCTION("""COMPUTED_VALUE"""),"YKGW06CDE")</f>
        <v>YKGW06CDE</v>
      </c>
      <c r="G3519" s="605"/>
      <c r="H3519" s="605"/>
      <c r="I3519" s="605"/>
      <c r="J3519" s="606"/>
      <c r="K3519" s="605"/>
      <c r="L3519" s="605"/>
      <c r="M3519" s="605"/>
      <c r="N3519" s="605"/>
      <c r="O3519" s="605"/>
      <c r="P3519" s="605"/>
    </row>
    <row r="3520">
      <c r="A3520" s="605"/>
      <c r="B3520" s="605"/>
      <c r="C3520" s="605"/>
      <c r="D3520" s="605"/>
      <c r="E3520" s="605" t="str">
        <f>IFERROR(__xludf.DUMMYFUNCTION("""COMPUTED_VALUE"""),"YORK")</f>
        <v>YORK</v>
      </c>
      <c r="F3520" s="605" t="str">
        <f>IFERROR(__xludf.DUMMYFUNCTION("""COMPUTED_VALUE"""),"YMAE")</f>
        <v>YMAE</v>
      </c>
      <c r="G3520" s="605"/>
      <c r="H3520" s="605"/>
      <c r="I3520" s="605"/>
      <c r="J3520" s="606"/>
      <c r="K3520" s="605"/>
      <c r="L3520" s="605"/>
      <c r="M3520" s="605"/>
      <c r="N3520" s="605"/>
      <c r="O3520" s="605"/>
      <c r="P3520" s="605"/>
    </row>
    <row r="3521">
      <c r="A3521" s="605"/>
      <c r="B3521" s="605"/>
      <c r="C3521" s="605"/>
      <c r="D3521" s="605"/>
      <c r="E3521" s="605" t="str">
        <f>IFERROR(__xludf.DUMMYFUNCTION("""COMPUTED_VALUE"""),"YORK")</f>
        <v>YORK</v>
      </c>
      <c r="F3521" s="605" t="str">
        <f>IFERROR(__xludf.DUMMYFUNCTION("""COMPUTED_VALUE"""),"YK CHILLERS STYLE H")</f>
        <v>YK CHILLERS STYLE H</v>
      </c>
      <c r="G3521" s="605"/>
      <c r="H3521" s="605"/>
      <c r="I3521" s="605"/>
      <c r="J3521" s="606"/>
      <c r="K3521" s="605"/>
      <c r="L3521" s="605"/>
      <c r="M3521" s="605"/>
      <c r="N3521" s="605"/>
      <c r="O3521" s="605"/>
      <c r="P3521" s="605"/>
    </row>
    <row r="3522">
      <c r="A3522" s="605"/>
      <c r="B3522" s="605"/>
      <c r="C3522" s="605"/>
      <c r="D3522" s="605"/>
      <c r="E3522" s="605" t="str">
        <f>IFERROR(__xludf.DUMMYFUNCTION("""COMPUTED_VALUE"""),"YORK")</f>
        <v>YORK</v>
      </c>
      <c r="F3522" s="605" t="str">
        <f>IFERROR(__xludf.DUMMYFUNCTION("""COMPUTED_VALUE"""),"YMC2 SERIES")</f>
        <v>YMC2 SERIES</v>
      </c>
      <c r="G3522" s="605"/>
      <c r="H3522" s="605"/>
      <c r="I3522" s="605"/>
      <c r="J3522" s="606"/>
      <c r="K3522" s="605"/>
      <c r="L3522" s="605"/>
      <c r="M3522" s="605"/>
      <c r="N3522" s="605"/>
      <c r="O3522" s="605"/>
      <c r="P3522" s="605"/>
    </row>
    <row r="3523">
      <c r="A3523" s="605"/>
      <c r="B3523" s="605"/>
      <c r="C3523" s="605"/>
      <c r="D3523" s="605"/>
      <c r="E3523" s="605" t="str">
        <f>IFERROR(__xludf.DUMMYFUNCTION("""COMPUTED_VALUE"""),"YUNHUI")</f>
        <v>YUNHUI</v>
      </c>
      <c r="F3523" s="605" t="str">
        <f>IFERROR(__xludf.DUMMYFUNCTION("""COMPUTED_VALUE"""),"LS530C")</f>
        <v>LS530C</v>
      </c>
      <c r="G3523" s="605"/>
      <c r="H3523" s="605"/>
      <c r="I3523" s="605"/>
      <c r="J3523" s="606"/>
      <c r="K3523" s="605"/>
      <c r="L3523" s="605"/>
      <c r="M3523" s="605"/>
      <c r="N3523" s="605"/>
      <c r="O3523" s="605"/>
      <c r="P3523" s="605"/>
    </row>
    <row r="3524">
      <c r="A3524" s="605"/>
      <c r="B3524" s="605"/>
      <c r="C3524" s="605"/>
      <c r="D3524" s="605"/>
      <c r="E3524" s="605" t="str">
        <f>IFERROR(__xludf.DUMMYFUNCTION("""COMPUTED_VALUE"""),"YUTAKA")</f>
        <v>YUTAKA</v>
      </c>
      <c r="F3524" s="605" t="str">
        <f>IFERROR(__xludf.DUMMYFUNCTION("""COMPUTED_VALUE"""),"GTP1000")</f>
        <v>GTP1000</v>
      </c>
      <c r="G3524" s="605"/>
      <c r="H3524" s="605"/>
      <c r="I3524" s="605"/>
      <c r="J3524" s="606"/>
      <c r="K3524" s="605"/>
      <c r="L3524" s="605"/>
      <c r="M3524" s="605"/>
      <c r="N3524" s="605"/>
      <c r="O3524" s="605"/>
      <c r="P3524" s="605"/>
    </row>
    <row r="3525">
      <c r="A3525" s="605"/>
      <c r="B3525" s="605"/>
      <c r="C3525" s="605"/>
      <c r="D3525" s="605"/>
      <c r="E3525" s="605" t="str">
        <f>IFERROR(__xludf.DUMMYFUNCTION("""COMPUTED_VALUE"""),"ZAN COMPUTE")</f>
        <v>ZAN COMPUTE</v>
      </c>
      <c r="F3525" s="605" t="str">
        <f>IFERROR(__xludf.DUMMYFUNCTION("""COMPUTED_VALUE"""),"ROUTER")</f>
        <v>ROUTER</v>
      </c>
      <c r="G3525" s="605"/>
      <c r="H3525" s="605"/>
      <c r="I3525" s="605"/>
      <c r="J3525" s="606"/>
      <c r="K3525" s="605"/>
      <c r="L3525" s="605"/>
      <c r="M3525" s="605"/>
      <c r="N3525" s="605"/>
      <c r="O3525" s="605"/>
      <c r="P3525" s="605"/>
    </row>
    <row r="3526">
      <c r="A3526" s="605"/>
      <c r="B3526" s="605"/>
      <c r="C3526" s="605"/>
      <c r="D3526" s="605"/>
      <c r="E3526" s="605" t="str">
        <f>IFERROR(__xludf.DUMMYFUNCTION("""COMPUTED_VALUE"""),"ZEBRA")</f>
        <v>ZEBRA</v>
      </c>
      <c r="F3526" s="605" t="str">
        <f>IFERROR(__xludf.DUMMYFUNCTION("""COMPUTED_VALUE"""),"FX9600-42320A50-US")</f>
        <v>FX9600-42320A50-US</v>
      </c>
      <c r="G3526" s="605"/>
      <c r="H3526" s="605"/>
      <c r="I3526" s="605"/>
      <c r="J3526" s="606"/>
      <c r="K3526" s="605"/>
      <c r="L3526" s="605"/>
      <c r="M3526" s="605"/>
      <c r="N3526" s="605"/>
      <c r="O3526" s="605"/>
      <c r="P3526" s="605"/>
    </row>
    <row r="3527">
      <c r="A3527" s="605"/>
      <c r="B3527" s="605"/>
      <c r="C3527" s="605"/>
      <c r="D3527" s="605"/>
      <c r="E3527" s="605" t="str">
        <f>IFERROR(__xludf.DUMMYFUNCTION("""COMPUTED_VALUE"""),"ZECO AIRCON")</f>
        <v>ZECO AIRCON</v>
      </c>
      <c r="F3527" s="605" t="str">
        <f>IFERROR(__xludf.DUMMYFUNCTION("""COMPUTED_VALUE"""),"CEILING SUSPENDEDAHU")</f>
        <v>CEILING SUSPENDEDAHU</v>
      </c>
      <c r="G3527" s="605"/>
      <c r="H3527" s="605"/>
      <c r="I3527" s="605"/>
      <c r="J3527" s="606"/>
      <c r="K3527" s="605"/>
      <c r="L3527" s="605"/>
      <c r="M3527" s="605"/>
      <c r="N3527" s="605"/>
      <c r="O3527" s="605"/>
      <c r="P3527" s="605"/>
    </row>
    <row r="3528">
      <c r="A3528" s="605"/>
      <c r="B3528" s="605"/>
      <c r="C3528" s="605"/>
      <c r="D3528" s="605"/>
      <c r="E3528" s="605" t="str">
        <f>IFERROR(__xludf.DUMMYFUNCTION("""COMPUTED_VALUE"""),"ZIEGLER")</f>
        <v>ZIEGLER</v>
      </c>
      <c r="F3528" s="605" t="str">
        <f>IFERROR(__xludf.DUMMYFUNCTION("""COMPUTED_VALUE"""),"ZAM LC60")</f>
        <v>ZAM LC60</v>
      </c>
      <c r="G3528" s="605"/>
      <c r="H3528" s="605"/>
      <c r="I3528" s="605"/>
      <c r="J3528" s="606"/>
      <c r="K3528" s="605"/>
      <c r="L3528" s="605"/>
      <c r="M3528" s="605"/>
      <c r="N3528" s="605"/>
      <c r="O3528" s="605"/>
      <c r="P3528" s="605"/>
    </row>
    <row r="3529">
      <c r="A3529" s="605"/>
      <c r="B3529" s="605"/>
      <c r="C3529" s="605"/>
      <c r="D3529" s="605"/>
      <c r="E3529" s="605" t="str">
        <f>IFERROR(__xludf.DUMMYFUNCTION("""COMPUTED_VALUE"""),"ZIEHL")</f>
        <v>ZIEHL</v>
      </c>
      <c r="F3529" s="605" t="str">
        <f>IFERROR(__xludf.DUMMYFUNCTION("""COMPUTED_VALUE"""),"EBM-PAPST K3G630")</f>
        <v>EBM-PAPST K3G630</v>
      </c>
      <c r="G3529" s="605"/>
      <c r="H3529" s="605"/>
      <c r="I3529" s="605"/>
      <c r="J3529" s="606"/>
      <c r="K3529" s="605"/>
      <c r="L3529" s="605"/>
      <c r="M3529" s="605"/>
      <c r="N3529" s="605"/>
      <c r="O3529" s="605"/>
      <c r="P3529" s="605"/>
    </row>
    <row r="3530">
      <c r="A3530" s="605"/>
      <c r="B3530" s="605"/>
      <c r="C3530" s="605"/>
      <c r="D3530" s="605"/>
      <c r="E3530" s="605" t="str">
        <f>IFERROR(__xludf.DUMMYFUNCTION("""COMPUTED_VALUE"""),"ZIEHL")</f>
        <v>ZIEHL</v>
      </c>
      <c r="F3530" s="605" t="str">
        <f>IFERROR(__xludf.DUMMYFUNCTION("""COMPUTED_VALUE"""),"GR31C")</f>
        <v>GR31C</v>
      </c>
      <c r="G3530" s="605"/>
      <c r="H3530" s="605"/>
      <c r="I3530" s="605"/>
      <c r="J3530" s="606"/>
      <c r="K3530" s="605"/>
      <c r="L3530" s="605"/>
      <c r="M3530" s="605"/>
      <c r="N3530" s="605"/>
      <c r="O3530" s="605"/>
      <c r="P3530" s="605"/>
    </row>
    <row r="3531">
      <c r="A3531" s="605"/>
      <c r="B3531" s="605"/>
      <c r="C3531" s="605"/>
      <c r="D3531" s="605"/>
      <c r="E3531" s="605" t="str">
        <f>IFERROR(__xludf.DUMMYFUNCTION("""COMPUTED_VALUE"""),"ZIEHL")</f>
        <v>ZIEHL</v>
      </c>
      <c r="F3531" s="605" t="str">
        <f>IFERROR(__xludf.DUMMYFUNCTION("""COMPUTED_VALUE"""),"GR28C")</f>
        <v>GR28C</v>
      </c>
      <c r="G3531" s="605"/>
      <c r="H3531" s="605"/>
      <c r="I3531" s="605"/>
      <c r="J3531" s="606"/>
      <c r="K3531" s="605"/>
      <c r="L3531" s="605"/>
      <c r="M3531" s="605"/>
      <c r="N3531" s="605"/>
      <c r="O3531" s="605"/>
      <c r="P3531" s="605"/>
    </row>
    <row r="3532">
      <c r="A3532" s="605"/>
      <c r="B3532" s="605"/>
      <c r="C3532" s="605"/>
      <c r="D3532" s="605"/>
      <c r="E3532" s="605" t="str">
        <f>IFERROR(__xludf.DUMMYFUNCTION("""COMPUTED_VALUE"""),"ZIEHL-ABEGG")</f>
        <v>ZIEHL-ABEGG</v>
      </c>
      <c r="F3532" s="605" t="str">
        <f>IFERROR(__xludf.DUMMYFUNCTION("""COMPUTED_VALUE"""),"C-ECBLUE")</f>
        <v>C-ECBLUE</v>
      </c>
      <c r="G3532" s="605"/>
      <c r="H3532" s="605"/>
      <c r="I3532" s="605"/>
      <c r="J3532" s="606"/>
      <c r="K3532" s="605"/>
      <c r="L3532" s="605"/>
      <c r="M3532" s="605"/>
      <c r="N3532" s="605"/>
      <c r="O3532" s="605"/>
      <c r="P3532" s="605"/>
    </row>
    <row r="3533">
      <c r="A3533" s="605"/>
      <c r="B3533" s="605"/>
      <c r="C3533" s="605"/>
      <c r="D3533" s="605"/>
      <c r="E3533" s="605" t="str">
        <f>IFERROR(__xludf.DUMMYFUNCTION("""COMPUTED_VALUE"""),"ZIP")</f>
        <v>ZIP</v>
      </c>
      <c r="F3533" s="605" t="str">
        <f>IFERROR(__xludf.DUMMYFUNCTION("""COMPUTED_VALUE"""),"HYDROTAP G4 BC")</f>
        <v>HYDROTAP G4 BC</v>
      </c>
      <c r="G3533" s="605"/>
      <c r="H3533" s="605"/>
      <c r="I3533" s="605"/>
      <c r="J3533" s="606"/>
      <c r="K3533" s="605"/>
      <c r="L3533" s="605"/>
      <c r="M3533" s="605"/>
      <c r="N3533" s="605"/>
      <c r="O3533" s="605"/>
      <c r="P3533" s="605"/>
    </row>
    <row r="3534">
      <c r="A3534" s="605"/>
      <c r="B3534" s="605"/>
      <c r="C3534" s="605"/>
      <c r="D3534" s="605"/>
      <c r="E3534" s="605" t="str">
        <f>IFERROR(__xludf.DUMMYFUNCTION("""COMPUTED_VALUE"""),"ZIP")</f>
        <v>ZIP</v>
      </c>
      <c r="F3534" s="605" t="str">
        <f>IFERROR(__xludf.DUMMYFUNCTION("""COMPUTED_VALUE"""),"HYDROTAP G5")</f>
        <v>HYDROTAP G5</v>
      </c>
      <c r="G3534" s="605"/>
      <c r="H3534" s="605"/>
      <c r="I3534" s="605"/>
      <c r="J3534" s="606"/>
      <c r="K3534" s="605"/>
      <c r="L3534" s="605"/>
      <c r="M3534" s="605"/>
      <c r="N3534" s="605"/>
      <c r="O3534" s="605"/>
      <c r="P3534" s="605"/>
    </row>
    <row r="3535">
      <c r="A3535" s="605"/>
      <c r="B3535" s="605"/>
      <c r="C3535" s="605"/>
      <c r="D3535" s="605"/>
      <c r="E3535" s="605" t="str">
        <f>IFERROR(__xludf.DUMMYFUNCTION("""COMPUTED_VALUE"""),"ZIP ASSIST")</f>
        <v>ZIP ASSIST</v>
      </c>
      <c r="F3535" s="605" t="str">
        <f>IFERROR(__xludf.DUMMYFUNCTION("""COMPUTED_VALUE"""),"CMMS")</f>
        <v>CMMS</v>
      </c>
      <c r="G3535" s="605"/>
      <c r="H3535" s="605"/>
      <c r="I3535" s="605"/>
      <c r="J3535" s="606"/>
      <c r="K3535" s="605"/>
      <c r="L3535" s="605"/>
      <c r="M3535" s="605"/>
      <c r="N3535" s="605"/>
      <c r="O3535" s="605"/>
      <c r="P3535" s="605"/>
    </row>
    <row r="3536">
      <c r="A3536" s="605"/>
      <c r="B3536" s="605"/>
      <c r="C3536" s="605"/>
      <c r="D3536" s="605"/>
      <c r="E3536" s="605" t="str">
        <f>IFERROR(__xludf.DUMMYFUNCTION("""COMPUTED_VALUE"""),"ZKTECO")</f>
        <v>ZKTECO</v>
      </c>
      <c r="F3536" s="605" t="str">
        <f>IFERROR(__xludf.DUMMYFUNCTION("""COMPUTED_VALUE"""),"SFACE900")</f>
        <v>SFACE900</v>
      </c>
      <c r="G3536" s="605"/>
      <c r="H3536" s="605"/>
      <c r="I3536" s="605"/>
      <c r="J3536" s="606"/>
      <c r="K3536" s="605"/>
      <c r="L3536" s="605"/>
      <c r="M3536" s="605"/>
      <c r="N3536" s="605"/>
      <c r="O3536" s="605"/>
      <c r="P3536" s="605"/>
    </row>
    <row r="3537">
      <c r="A3537" s="605"/>
      <c r="B3537" s="605"/>
      <c r="C3537" s="605"/>
      <c r="D3537" s="605"/>
      <c r="E3537" s="605" t="str">
        <f>IFERROR(__xludf.DUMMYFUNCTION("""COMPUTED_VALUE"""),"ZOTAC")</f>
        <v>ZOTAC</v>
      </c>
      <c r="F3537" s="605" t="str">
        <f>IFERROR(__xludf.DUMMYFUNCTION("""COMPUTED_VALUE"""),"ZBOX-CI325NANO")</f>
        <v>ZBOX-CI325NANO</v>
      </c>
      <c r="G3537" s="605"/>
      <c r="H3537" s="605"/>
      <c r="I3537" s="605"/>
      <c r="J3537" s="606"/>
      <c r="K3537" s="605"/>
      <c r="L3537" s="605"/>
      <c r="M3537" s="605"/>
      <c r="N3537" s="605"/>
      <c r="O3537" s="605"/>
      <c r="P3537" s="605"/>
    </row>
    <row r="3538">
      <c r="A3538" s="605"/>
      <c r="B3538" s="605"/>
      <c r="C3538" s="605"/>
      <c r="D3538" s="605"/>
      <c r="E3538" s="605" t="str">
        <f>IFERROR(__xludf.DUMMYFUNCTION("""COMPUTED_VALUE"""),"ZTE")</f>
        <v>ZTE</v>
      </c>
      <c r="F3538" s="605" t="str">
        <f>IFERROR(__xludf.DUMMYFUNCTION("""COMPUTED_VALUE"""),"ZXHN F650")</f>
        <v>ZXHN F650</v>
      </c>
      <c r="G3538" s="605"/>
      <c r="H3538" s="605"/>
      <c r="I3538" s="605"/>
      <c r="J3538" s="606"/>
      <c r="K3538" s="605"/>
      <c r="L3538" s="605"/>
      <c r="M3538" s="605"/>
      <c r="N3538" s="605"/>
      <c r="O3538" s="605"/>
      <c r="P3538" s="605"/>
    </row>
    <row r="3539">
      <c r="A3539" s="605"/>
      <c r="B3539" s="605"/>
      <c r="C3539" s="605"/>
      <c r="D3539" s="605"/>
      <c r="E3539" s="605" t="str">
        <f>IFERROR(__xludf.DUMMYFUNCTION("""COMPUTED_VALUE"""),"ZTE")</f>
        <v>ZTE</v>
      </c>
      <c r="F3539" s="605" t="str">
        <f>IFERROR(__xludf.DUMMYFUNCTION("""COMPUTED_VALUE"""),"​​USB STICK U03")</f>
        <v>​​USB STICK U03</v>
      </c>
      <c r="G3539" s="605"/>
      <c r="H3539" s="605"/>
      <c r="I3539" s="605"/>
      <c r="J3539" s="606"/>
      <c r="K3539" s="605"/>
      <c r="L3539" s="605"/>
      <c r="M3539" s="605"/>
      <c r="N3539" s="605"/>
      <c r="O3539" s="605"/>
      <c r="P3539" s="605"/>
    </row>
    <row r="3540">
      <c r="A3540" s="605"/>
      <c r="B3540" s="605"/>
      <c r="C3540" s="605"/>
      <c r="D3540" s="605"/>
      <c r="E3540" s="605" t="str">
        <f>IFERROR(__xludf.DUMMYFUNCTION("""COMPUTED_VALUE"""),"ZTE")</f>
        <v>ZTE</v>
      </c>
      <c r="F3540" s="605" t="str">
        <f>IFERROR(__xludf.DUMMYFUNCTION("""COMPUTED_VALUE"""),"USB STICK U03")</f>
        <v>USB STICK U03</v>
      </c>
      <c r="G3540" s="605"/>
      <c r="H3540" s="605"/>
      <c r="I3540" s="605"/>
      <c r="J3540" s="606"/>
      <c r="K3540" s="605"/>
      <c r="L3540" s="605"/>
      <c r="M3540" s="605"/>
      <c r="N3540" s="605"/>
      <c r="O3540" s="605"/>
      <c r="P3540" s="605"/>
    </row>
    <row r="3541">
      <c r="A3541" s="605"/>
      <c r="B3541" s="605"/>
      <c r="C3541" s="605"/>
      <c r="D3541" s="605"/>
      <c r="E3541" s="605" t="str">
        <f>IFERROR(__xludf.DUMMYFUNCTION("""COMPUTED_VALUE"""),"ZUMTOBEL")</f>
        <v>ZUMTOBEL</v>
      </c>
      <c r="F3541" s="605" t="str">
        <f>IFERROR(__xludf.DUMMYFUNCTION("""COMPUTED_VALUE"""),"LITECOM CCD")</f>
        <v>LITECOM CCD</v>
      </c>
      <c r="G3541" s="605"/>
      <c r="H3541" s="605"/>
      <c r="I3541" s="605"/>
      <c r="J3541" s="606"/>
      <c r="K3541" s="605"/>
      <c r="L3541" s="605"/>
      <c r="M3541" s="605"/>
      <c r="N3541" s="605"/>
      <c r="O3541" s="605"/>
      <c r="P3541" s="605"/>
    </row>
    <row r="3542">
      <c r="A3542" s="605"/>
      <c r="B3542" s="605"/>
      <c r="C3542" s="605"/>
      <c r="D3542" s="605"/>
      <c r="E3542" s="605" t="str">
        <f>IFERROR(__xludf.DUMMYFUNCTION("""COMPUTED_VALUE"""),"ZUMTOBEL")</f>
        <v>ZUMTOBEL</v>
      </c>
      <c r="F3542" s="605" t="str">
        <f>IFERROR(__xludf.DUMMYFUNCTION("""COMPUTED_VALUE"""),"LITECOM CCD")</f>
        <v>LITECOM CCD</v>
      </c>
      <c r="G3542" s="605"/>
      <c r="H3542" s="605"/>
      <c r="I3542" s="605"/>
      <c r="J3542" s="606"/>
      <c r="K3542" s="605"/>
      <c r="L3542" s="605"/>
      <c r="M3542" s="605"/>
      <c r="N3542" s="605"/>
      <c r="O3542" s="605"/>
      <c r="P3542" s="605"/>
    </row>
    <row r="3543">
      <c r="A3543" s="605"/>
      <c r="B3543" s="605"/>
      <c r="C3543" s="605"/>
      <c r="D3543" s="605"/>
      <c r="E3543" s="605" t="str">
        <f>IFERROR(__xludf.DUMMYFUNCTION("""COMPUTED_VALUE"""),"ZYXEL")</f>
        <v>ZYXEL</v>
      </c>
      <c r="F3543" s="605" t="str">
        <f>IFERROR(__xludf.DUMMYFUNCTION("""COMPUTED_VALUE"""),"AMG1302-T10A")</f>
        <v>AMG1302-T10A</v>
      </c>
      <c r="G3543" s="605"/>
      <c r="H3543" s="605"/>
      <c r="I3543" s="605"/>
      <c r="J3543" s="606"/>
      <c r="K3543" s="605"/>
      <c r="L3543" s="605"/>
      <c r="M3543" s="605"/>
      <c r="N3543" s="605"/>
      <c r="O3543" s="605"/>
      <c r="P3543" s="605"/>
    </row>
    <row r="3544">
      <c r="A3544" s="605"/>
      <c r="B3544" s="605"/>
      <c r="C3544" s="605"/>
      <c r="D3544" s="605"/>
      <c r="E3544" s="605" t="str">
        <f>IFERROR(__xludf.DUMMYFUNCTION("""COMPUTED_VALUE"""),"ZYXEL")</f>
        <v>ZYXEL</v>
      </c>
      <c r="F3544" s="605" t="str">
        <f>IFERROR(__xludf.DUMMYFUNCTION("""COMPUTED_VALUE"""),"S-108B V2")</f>
        <v>S-108B V2</v>
      </c>
      <c r="G3544" s="605"/>
      <c r="H3544" s="605"/>
      <c r="I3544" s="605"/>
      <c r="J3544" s="606"/>
      <c r="K3544" s="605"/>
      <c r="L3544" s="605"/>
      <c r="M3544" s="605"/>
      <c r="N3544" s="605"/>
      <c r="O3544" s="605"/>
      <c r="P3544" s="605"/>
    </row>
    <row r="3545">
      <c r="A3545" s="605"/>
      <c r="B3545" s="605"/>
      <c r="C3545" s="605"/>
      <c r="D3545" s="605"/>
      <c r="E3545" s="605" t="str">
        <f>IFERROR(__xludf.DUMMYFUNCTION("""COMPUTED_VALUE"""),"ZYXEL")</f>
        <v>ZYXEL</v>
      </c>
      <c r="F3545" s="605" t="str">
        <f>IFERROR(__xludf.DUMMYFUNCTION("""COMPUTED_VALUE"""),"GS1920-48HP")</f>
        <v>GS1920-48HP</v>
      </c>
      <c r="G3545" s="605"/>
      <c r="H3545" s="605"/>
      <c r="I3545" s="605"/>
      <c r="J3545" s="606"/>
      <c r="K3545" s="605"/>
      <c r="L3545" s="605"/>
      <c r="M3545" s="605"/>
      <c r="N3545" s="605"/>
      <c r="O3545" s="605"/>
      <c r="P3545" s="605"/>
    </row>
    <row r="3546">
      <c r="A3546" s="605"/>
      <c r="B3546" s="605"/>
      <c r="C3546" s="605"/>
      <c r="D3546" s="605"/>
      <c r="E3546" s="605" t="str">
        <f>IFERROR(__xludf.DUMMYFUNCTION("""COMPUTED_VALUE"""),"ZYXEL")</f>
        <v>ZYXEL</v>
      </c>
      <c r="F3546" s="605" t="str">
        <f>IFERROR(__xludf.DUMMYFUNCTION("""COMPUTED_VALUE"""),"P-660HN-I")</f>
        <v>P-660HN-I</v>
      </c>
      <c r="G3546" s="605"/>
      <c r="H3546" s="605"/>
      <c r="I3546" s="605"/>
      <c r="J3546" s="606"/>
      <c r="K3546" s="605"/>
      <c r="L3546" s="605"/>
      <c r="M3546" s="605"/>
      <c r="N3546" s="605"/>
      <c r="O3546" s="605"/>
      <c r="P3546" s="605"/>
    </row>
    <row r="3547">
      <c r="A3547" s="605"/>
      <c r="B3547" s="605"/>
      <c r="C3547" s="605"/>
      <c r="D3547" s="605"/>
      <c r="E3547" s="605" t="str">
        <f>IFERROR(__xludf.DUMMYFUNCTION("""COMPUTED_VALUE"""),"ZYXEL")</f>
        <v>ZYXEL</v>
      </c>
      <c r="F3547" s="605" t="str">
        <f>IFERROR(__xludf.DUMMYFUNCTION("""COMPUTED_VALUE"""),"ZYWALL USG 20")</f>
        <v>ZYWALL USG 20</v>
      </c>
      <c r="G3547" s="605"/>
      <c r="H3547" s="605"/>
      <c r="I3547" s="605"/>
      <c r="J3547" s="606"/>
      <c r="K3547" s="605"/>
      <c r="L3547" s="605"/>
      <c r="M3547" s="605"/>
      <c r="N3547" s="605"/>
      <c r="O3547" s="605"/>
      <c r="P3547" s="605"/>
    </row>
    <row r="3548">
      <c r="A3548" s="605"/>
      <c r="B3548" s="605"/>
      <c r="C3548" s="605"/>
      <c r="D3548" s="605"/>
      <c r="E3548" s="605" t="str">
        <f>IFERROR(__xludf.DUMMYFUNCTION("""COMPUTED_VALUE"""),"ZYXEL")</f>
        <v>ZYXEL</v>
      </c>
      <c r="F3548" s="605" t="str">
        <f>IFERROR(__xludf.DUMMYFUNCTION("""COMPUTED_VALUE"""),"C1100Z")</f>
        <v>C1100Z</v>
      </c>
      <c r="G3548" s="605"/>
      <c r="H3548" s="605"/>
      <c r="I3548" s="605"/>
      <c r="J3548" s="606"/>
      <c r="K3548" s="605"/>
      <c r="L3548" s="605"/>
      <c r="M3548" s="605"/>
      <c r="N3548" s="605"/>
      <c r="O3548" s="605"/>
      <c r="P3548" s="605"/>
    </row>
    <row r="3549">
      <c r="A3549" s="605"/>
      <c r="B3549" s="605"/>
      <c r="C3549" s="605"/>
      <c r="D3549" s="605"/>
      <c r="E3549" s="605" t="str">
        <f>IFERROR(__xludf.DUMMYFUNCTION("""COMPUTED_VALUE"""),"ZYXEL")</f>
        <v>ZYXEL</v>
      </c>
      <c r="F3549" s="605" t="str">
        <f>IFERROR(__xludf.DUMMYFUNCTION("""COMPUTED_VALUE"""),"EMG2926-Q10A")</f>
        <v>EMG2926-Q10A</v>
      </c>
      <c r="G3549" s="605"/>
      <c r="H3549" s="605"/>
      <c r="I3549" s="605"/>
      <c r="J3549" s="606"/>
      <c r="K3549" s="605"/>
      <c r="L3549" s="605"/>
      <c r="M3549" s="605"/>
      <c r="N3549" s="605"/>
      <c r="O3549" s="605"/>
      <c r="P3549" s="605"/>
    </row>
    <row r="3550">
      <c r="A3550" s="605"/>
      <c r="B3550" s="605"/>
      <c r="C3550" s="605"/>
      <c r="D3550" s="605"/>
      <c r="E3550" s="605"/>
      <c r="F3550" s="605"/>
      <c r="G3550" s="605"/>
      <c r="H3550" s="605"/>
      <c r="I3550" s="605"/>
      <c r="J3550" s="606"/>
      <c r="K3550" s="605"/>
      <c r="L3550" s="605"/>
      <c r="M3550" s="605"/>
      <c r="N3550" s="605"/>
      <c r="O3550" s="605"/>
      <c r="P3550" s="605"/>
    </row>
    <row r="3551">
      <c r="A3551" s="605"/>
      <c r="B3551" s="605"/>
      <c r="C3551" s="605"/>
      <c r="D3551" s="605"/>
      <c r="E3551" s="605"/>
      <c r="F3551" s="605"/>
      <c r="G3551" s="605"/>
      <c r="H3551" s="605"/>
      <c r="I3551" s="605"/>
      <c r="J3551" s="606"/>
      <c r="K3551" s="605"/>
      <c r="L3551" s="605"/>
      <c r="M3551" s="605"/>
      <c r="N3551" s="605"/>
      <c r="O3551" s="605"/>
      <c r="P3551" s="605"/>
    </row>
    <row r="3552">
      <c r="A3552" s="605"/>
      <c r="B3552" s="605"/>
      <c r="C3552" s="605"/>
      <c r="D3552" s="605"/>
      <c r="E3552" s="605"/>
      <c r="F3552" s="605"/>
      <c r="G3552" s="605"/>
      <c r="H3552" s="605"/>
      <c r="I3552" s="605"/>
      <c r="J3552" s="606"/>
      <c r="K3552" s="605"/>
      <c r="L3552" s="605"/>
      <c r="M3552" s="605"/>
      <c r="N3552" s="605"/>
      <c r="O3552" s="605"/>
      <c r="P3552" s="605"/>
    </row>
    <row r="3553">
      <c r="A3553" s="605"/>
      <c r="B3553" s="605"/>
      <c r="C3553" s="605"/>
      <c r="D3553" s="605"/>
      <c r="E3553" s="605"/>
      <c r="F3553" s="605"/>
      <c r="G3553" s="605"/>
      <c r="H3553" s="605"/>
      <c r="I3553" s="605"/>
      <c r="J3553" s="606"/>
      <c r="K3553" s="605"/>
      <c r="L3553" s="605"/>
      <c r="M3553" s="605"/>
      <c r="N3553" s="605"/>
      <c r="O3553" s="605"/>
      <c r="P3553" s="605"/>
    </row>
    <row r="3554">
      <c r="A3554" s="605"/>
      <c r="B3554" s="605"/>
      <c r="C3554" s="605"/>
      <c r="D3554" s="605"/>
      <c r="E3554" s="605"/>
      <c r="F3554" s="605"/>
      <c r="G3554" s="605"/>
      <c r="H3554" s="605"/>
      <c r="I3554" s="605"/>
      <c r="J3554" s="606"/>
      <c r="K3554" s="605"/>
      <c r="L3554" s="605"/>
      <c r="M3554" s="605"/>
      <c r="N3554" s="605"/>
      <c r="O3554" s="605"/>
      <c r="P3554" s="605"/>
    </row>
    <row r="3555">
      <c r="A3555" s="605"/>
      <c r="B3555" s="605"/>
      <c r="C3555" s="605"/>
      <c r="D3555" s="605"/>
      <c r="E3555" s="605"/>
      <c r="F3555" s="605"/>
      <c r="G3555" s="605"/>
      <c r="H3555" s="605"/>
      <c r="I3555" s="605"/>
      <c r="J3555" s="606"/>
      <c r="K3555" s="605"/>
      <c r="L3555" s="605"/>
      <c r="M3555" s="605"/>
      <c r="N3555" s="605"/>
      <c r="O3555" s="605"/>
      <c r="P3555" s="605"/>
    </row>
    <row r="3556">
      <c r="A3556" s="605"/>
      <c r="B3556" s="605"/>
      <c r="C3556" s="605"/>
      <c r="D3556" s="605"/>
      <c r="E3556" s="605"/>
      <c r="F3556" s="605"/>
      <c r="G3556" s="605"/>
      <c r="H3556" s="605"/>
      <c r="I3556" s="605"/>
      <c r="J3556" s="606"/>
      <c r="K3556" s="605"/>
      <c r="L3556" s="605"/>
      <c r="M3556" s="605"/>
      <c r="N3556" s="605"/>
      <c r="O3556" s="605"/>
      <c r="P3556" s="605"/>
    </row>
    <row r="3557">
      <c r="A3557" s="605"/>
      <c r="B3557" s="605"/>
      <c r="C3557" s="605"/>
      <c r="D3557" s="605"/>
      <c r="E3557" s="605"/>
      <c r="F3557" s="605"/>
      <c r="G3557" s="605"/>
      <c r="H3557" s="605"/>
      <c r="I3557" s="605"/>
      <c r="J3557" s="606"/>
      <c r="K3557" s="605"/>
      <c r="L3557" s="605"/>
      <c r="M3557" s="605"/>
      <c r="N3557" s="605"/>
      <c r="O3557" s="605"/>
      <c r="P3557" s="605"/>
    </row>
    <row r="3558">
      <c r="A3558" s="605"/>
      <c r="B3558" s="605"/>
      <c r="C3558" s="605"/>
      <c r="D3558" s="605"/>
      <c r="E3558" s="605"/>
      <c r="F3558" s="605"/>
      <c r="G3558" s="605"/>
      <c r="H3558" s="605"/>
      <c r="I3558" s="605"/>
      <c r="J3558" s="606"/>
      <c r="K3558" s="605"/>
      <c r="L3558" s="605"/>
      <c r="M3558" s="605"/>
      <c r="N3558" s="605"/>
      <c r="O3558" s="605"/>
      <c r="P3558" s="605"/>
    </row>
    <row r="3559">
      <c r="A3559" s="605"/>
      <c r="B3559" s="605"/>
      <c r="C3559" s="605"/>
      <c r="D3559" s="605"/>
      <c r="E3559" s="605"/>
      <c r="F3559" s="605"/>
      <c r="G3559" s="605"/>
      <c r="H3559" s="605"/>
      <c r="I3559" s="605"/>
      <c r="J3559" s="606"/>
      <c r="K3559" s="605"/>
      <c r="L3559" s="605"/>
      <c r="M3559" s="605"/>
      <c r="N3559" s="605"/>
      <c r="O3559" s="605"/>
      <c r="P3559" s="605"/>
    </row>
    <row r="3560">
      <c r="A3560" s="605"/>
      <c r="B3560" s="605"/>
      <c r="C3560" s="605"/>
      <c r="D3560" s="605"/>
      <c r="E3560" s="605"/>
      <c r="F3560" s="605"/>
      <c r="G3560" s="605"/>
      <c r="H3560" s="605"/>
      <c r="I3560" s="605"/>
      <c r="J3560" s="606"/>
      <c r="K3560" s="605"/>
      <c r="L3560" s="605"/>
      <c r="M3560" s="605"/>
      <c r="N3560" s="605"/>
      <c r="O3560" s="605"/>
      <c r="P3560" s="605"/>
    </row>
    <row r="3561">
      <c r="A3561" s="605"/>
      <c r="B3561" s="605"/>
      <c r="C3561" s="605"/>
      <c r="D3561" s="605"/>
      <c r="E3561" s="605"/>
      <c r="F3561" s="605"/>
      <c r="G3561" s="605"/>
      <c r="H3561" s="605"/>
      <c r="I3561" s="605"/>
      <c r="J3561" s="606"/>
      <c r="K3561" s="605"/>
      <c r="L3561" s="605"/>
      <c r="M3561" s="605"/>
      <c r="N3561" s="605"/>
      <c r="O3561" s="605"/>
      <c r="P3561" s="605"/>
    </row>
    <row r="3562">
      <c r="A3562" s="605"/>
      <c r="B3562" s="605"/>
      <c r="C3562" s="605"/>
      <c r="D3562" s="605"/>
      <c r="E3562" s="605"/>
      <c r="F3562" s="605"/>
      <c r="G3562" s="605"/>
      <c r="H3562" s="605"/>
      <c r="I3562" s="605"/>
      <c r="J3562" s="606"/>
      <c r="K3562" s="605"/>
      <c r="L3562" s="605"/>
      <c r="M3562" s="605"/>
      <c r="N3562" s="605"/>
      <c r="O3562" s="605"/>
      <c r="P3562" s="605"/>
    </row>
    <row r="3563">
      <c r="A3563" s="605"/>
      <c r="B3563" s="605"/>
      <c r="C3563" s="605"/>
      <c r="D3563" s="605"/>
      <c r="E3563" s="605"/>
      <c r="F3563" s="605"/>
      <c r="G3563" s="605"/>
      <c r="H3563" s="605"/>
      <c r="I3563" s="605"/>
      <c r="J3563" s="606"/>
      <c r="K3563" s="605"/>
      <c r="L3563" s="605"/>
      <c r="M3563" s="605"/>
      <c r="N3563" s="605"/>
      <c r="O3563" s="605"/>
      <c r="P3563" s="605"/>
    </row>
    <row r="3564">
      <c r="A3564" s="605"/>
      <c r="B3564" s="605"/>
      <c r="C3564" s="605"/>
      <c r="D3564" s="605"/>
      <c r="E3564" s="605"/>
      <c r="F3564" s="605"/>
      <c r="G3564" s="605"/>
      <c r="H3564" s="605"/>
      <c r="I3564" s="605"/>
      <c r="J3564" s="606"/>
      <c r="K3564" s="605"/>
      <c r="L3564" s="605"/>
      <c r="M3564" s="605"/>
      <c r="N3564" s="605"/>
      <c r="O3564" s="605"/>
      <c r="P3564" s="605"/>
    </row>
    <row r="3565">
      <c r="A3565" s="605"/>
      <c r="B3565" s="605"/>
      <c r="C3565" s="605"/>
      <c r="D3565" s="605"/>
      <c r="E3565" s="605"/>
      <c r="F3565" s="605"/>
      <c r="G3565" s="605"/>
      <c r="H3565" s="605"/>
      <c r="I3565" s="605"/>
      <c r="J3565" s="606"/>
      <c r="K3565" s="605"/>
      <c r="L3565" s="605"/>
      <c r="M3565" s="605"/>
      <c r="N3565" s="605"/>
      <c r="O3565" s="605"/>
      <c r="P3565" s="605"/>
    </row>
    <row r="3566">
      <c r="A3566" s="605"/>
      <c r="B3566" s="605"/>
      <c r="C3566" s="605"/>
      <c r="D3566" s="605"/>
      <c r="E3566" s="605"/>
      <c r="F3566" s="605"/>
      <c r="G3566" s="605"/>
      <c r="H3566" s="605"/>
      <c r="I3566" s="605"/>
      <c r="J3566" s="606"/>
      <c r="K3566" s="605"/>
      <c r="L3566" s="605"/>
      <c r="M3566" s="605"/>
      <c r="N3566" s="605"/>
      <c r="O3566" s="605"/>
      <c r="P3566" s="605"/>
    </row>
    <row r="3567">
      <c r="A3567" s="605"/>
      <c r="B3567" s="605"/>
      <c r="C3567" s="605"/>
      <c r="D3567" s="605"/>
      <c r="E3567" s="605"/>
      <c r="F3567" s="605"/>
      <c r="G3567" s="605"/>
      <c r="H3567" s="605"/>
      <c r="I3567" s="605"/>
      <c r="J3567" s="606"/>
      <c r="K3567" s="605"/>
      <c r="L3567" s="605"/>
      <c r="M3567" s="605"/>
      <c r="N3567" s="605"/>
      <c r="O3567" s="605"/>
      <c r="P3567" s="605"/>
    </row>
    <row r="3568">
      <c r="A3568" s="605"/>
      <c r="B3568" s="605"/>
      <c r="C3568" s="605"/>
      <c r="D3568" s="605"/>
      <c r="E3568" s="605"/>
      <c r="F3568" s="605"/>
      <c r="G3568" s="605"/>
      <c r="H3568" s="605"/>
      <c r="I3568" s="605"/>
      <c r="J3568" s="606"/>
      <c r="K3568" s="605"/>
      <c r="L3568" s="605"/>
      <c r="M3568" s="605"/>
      <c r="N3568" s="605"/>
      <c r="O3568" s="605"/>
      <c r="P3568" s="605"/>
    </row>
    <row r="3569">
      <c r="A3569" s="605"/>
      <c r="B3569" s="605"/>
      <c r="C3569" s="605"/>
      <c r="D3569" s="605"/>
      <c r="E3569" s="605"/>
      <c r="F3569" s="605"/>
      <c r="G3569" s="605"/>
      <c r="H3569" s="605"/>
      <c r="I3569" s="605"/>
      <c r="J3569" s="606"/>
      <c r="K3569" s="605"/>
      <c r="L3569" s="605"/>
      <c r="M3569" s="605"/>
      <c r="N3569" s="605"/>
      <c r="O3569" s="605"/>
      <c r="P3569" s="605"/>
    </row>
    <row r="3570">
      <c r="A3570" s="605"/>
      <c r="B3570" s="605"/>
      <c r="C3570" s="605"/>
      <c r="D3570" s="605"/>
      <c r="E3570" s="605"/>
      <c r="F3570" s="605"/>
      <c r="G3570" s="605"/>
      <c r="H3570" s="605"/>
      <c r="I3570" s="605"/>
      <c r="J3570" s="606"/>
      <c r="K3570" s="605"/>
      <c r="L3570" s="605"/>
      <c r="M3570" s="605"/>
      <c r="N3570" s="605"/>
      <c r="O3570" s="605"/>
      <c r="P3570" s="605"/>
    </row>
    <row r="3571">
      <c r="A3571" s="605"/>
      <c r="B3571" s="605"/>
      <c r="C3571" s="605"/>
      <c r="D3571" s="605"/>
      <c r="E3571" s="605"/>
      <c r="F3571" s="605"/>
      <c r="G3571" s="605"/>
      <c r="H3571" s="605"/>
      <c r="I3571" s="605"/>
      <c r="J3571" s="606"/>
      <c r="K3571" s="605"/>
      <c r="L3571" s="605"/>
      <c r="M3571" s="605"/>
      <c r="N3571" s="605"/>
      <c r="O3571" s="605"/>
      <c r="P3571" s="605"/>
    </row>
    <row r="3572">
      <c r="A3572" s="605"/>
      <c r="B3572" s="605"/>
      <c r="C3572" s="605"/>
      <c r="D3572" s="605"/>
      <c r="E3572" s="605"/>
      <c r="F3572" s="605"/>
      <c r="G3572" s="605"/>
      <c r="H3572" s="605"/>
      <c r="I3572" s="605"/>
      <c r="J3572" s="606"/>
      <c r="K3572" s="605"/>
      <c r="L3572" s="605"/>
      <c r="M3572" s="605"/>
      <c r="N3572" s="605"/>
      <c r="O3572" s="605"/>
      <c r="P3572" s="605"/>
    </row>
    <row r="3573">
      <c r="A3573" s="605"/>
      <c r="B3573" s="605"/>
      <c r="C3573" s="605"/>
      <c r="D3573" s="605"/>
      <c r="E3573" s="605"/>
      <c r="F3573" s="605"/>
      <c r="G3573" s="605"/>
      <c r="H3573" s="605"/>
      <c r="I3573" s="605"/>
      <c r="J3573" s="606"/>
      <c r="K3573" s="605"/>
      <c r="L3573" s="605"/>
      <c r="M3573" s="605"/>
      <c r="N3573" s="605"/>
      <c r="O3573" s="605"/>
      <c r="P3573" s="605"/>
    </row>
    <row r="3574">
      <c r="A3574" s="605"/>
      <c r="B3574" s="605"/>
      <c r="C3574" s="605"/>
      <c r="D3574" s="605"/>
      <c r="E3574" s="605"/>
      <c r="F3574" s="605"/>
      <c r="G3574" s="605"/>
      <c r="H3574" s="605"/>
      <c r="I3574" s="605"/>
      <c r="J3574" s="606"/>
      <c r="K3574" s="605"/>
      <c r="L3574" s="605"/>
      <c r="M3574" s="605"/>
      <c r="N3574" s="605"/>
      <c r="O3574" s="605"/>
      <c r="P3574" s="605"/>
    </row>
    <row r="3575">
      <c r="A3575" s="605"/>
      <c r="B3575" s="605"/>
      <c r="C3575" s="605"/>
      <c r="D3575" s="605"/>
      <c r="E3575" s="605"/>
      <c r="F3575" s="605"/>
      <c r="G3575" s="605"/>
      <c r="H3575" s="605"/>
      <c r="I3575" s="605"/>
      <c r="J3575" s="606"/>
      <c r="K3575" s="605"/>
      <c r="L3575" s="605"/>
      <c r="M3575" s="605"/>
      <c r="N3575" s="605"/>
      <c r="O3575" s="605"/>
      <c r="P3575" s="605"/>
    </row>
    <row r="3576">
      <c r="A3576" s="605"/>
      <c r="B3576" s="605"/>
      <c r="C3576" s="605"/>
      <c r="D3576" s="605"/>
      <c r="E3576" s="605"/>
      <c r="F3576" s="605"/>
      <c r="G3576" s="605"/>
      <c r="H3576" s="605"/>
      <c r="I3576" s="605"/>
      <c r="J3576" s="606"/>
      <c r="K3576" s="605"/>
      <c r="L3576" s="605"/>
      <c r="M3576" s="605"/>
      <c r="N3576" s="605"/>
      <c r="O3576" s="605"/>
      <c r="P3576" s="605"/>
    </row>
    <row r="3577">
      <c r="A3577" s="605"/>
      <c r="B3577" s="605"/>
      <c r="C3577" s="605"/>
      <c r="D3577" s="605"/>
      <c r="E3577" s="605"/>
      <c r="F3577" s="605"/>
      <c r="G3577" s="605"/>
      <c r="H3577" s="605"/>
      <c r="I3577" s="605"/>
      <c r="J3577" s="606"/>
      <c r="K3577" s="605"/>
      <c r="L3577" s="605"/>
      <c r="M3577" s="605"/>
      <c r="N3577" s="605"/>
      <c r="O3577" s="605"/>
      <c r="P3577" s="605"/>
    </row>
    <row r="3578">
      <c r="A3578" s="605"/>
      <c r="B3578" s="605"/>
      <c r="C3578" s="605"/>
      <c r="D3578" s="605"/>
      <c r="E3578" s="605"/>
      <c r="F3578" s="605"/>
      <c r="G3578" s="605"/>
      <c r="H3578" s="605"/>
      <c r="I3578" s="605"/>
      <c r="J3578" s="606"/>
      <c r="K3578" s="605"/>
      <c r="L3578" s="605"/>
      <c r="M3578" s="605"/>
      <c r="N3578" s="605"/>
      <c r="O3578" s="605"/>
      <c r="P3578" s="605"/>
    </row>
    <row r="3579">
      <c r="A3579" s="605"/>
      <c r="B3579" s="605"/>
      <c r="C3579" s="605"/>
      <c r="D3579" s="605"/>
      <c r="E3579" s="605"/>
      <c r="F3579" s="605"/>
      <c r="G3579" s="605"/>
      <c r="H3579" s="605"/>
      <c r="I3579" s="605"/>
      <c r="J3579" s="606"/>
      <c r="K3579" s="605"/>
      <c r="L3579" s="605"/>
      <c r="M3579" s="605"/>
      <c r="N3579" s="605"/>
      <c r="O3579" s="605"/>
      <c r="P3579" s="605"/>
    </row>
    <row r="3580">
      <c r="A3580" s="605"/>
      <c r="B3580" s="605"/>
      <c r="C3580" s="605"/>
      <c r="D3580" s="605"/>
      <c r="E3580" s="605"/>
      <c r="F3580" s="605"/>
      <c r="G3580" s="605"/>
      <c r="H3580" s="605"/>
      <c r="I3580" s="605"/>
      <c r="J3580" s="606"/>
      <c r="K3580" s="605"/>
      <c r="L3580" s="605"/>
      <c r="M3580" s="605"/>
      <c r="N3580" s="605"/>
      <c r="O3580" s="605"/>
      <c r="P3580" s="605"/>
    </row>
    <row r="3581">
      <c r="A3581" s="605"/>
      <c r="B3581" s="605"/>
      <c r="C3581" s="605"/>
      <c r="D3581" s="605"/>
      <c r="E3581" s="605"/>
      <c r="F3581" s="605"/>
      <c r="G3581" s="605"/>
      <c r="H3581" s="605"/>
      <c r="I3581" s="605"/>
      <c r="J3581" s="606"/>
      <c r="K3581" s="605"/>
      <c r="L3581" s="605"/>
      <c r="M3581" s="605"/>
      <c r="N3581" s="605"/>
      <c r="O3581" s="605"/>
      <c r="P3581" s="605"/>
    </row>
    <row r="3582">
      <c r="A3582" s="605"/>
      <c r="B3582" s="605"/>
      <c r="C3582" s="605"/>
      <c r="D3582" s="605"/>
      <c r="E3582" s="605"/>
      <c r="F3582" s="605"/>
      <c r="G3582" s="605"/>
      <c r="H3582" s="605"/>
      <c r="I3582" s="605"/>
      <c r="J3582" s="606"/>
      <c r="K3582" s="605"/>
      <c r="L3582" s="605"/>
      <c r="M3582" s="605"/>
      <c r="N3582" s="605"/>
      <c r="O3582" s="605"/>
      <c r="P3582" s="605"/>
    </row>
    <row r="3583">
      <c r="A3583" s="605"/>
      <c r="B3583" s="605"/>
      <c r="C3583" s="605"/>
      <c r="D3583" s="605"/>
      <c r="E3583" s="605"/>
      <c r="F3583" s="605"/>
      <c r="G3583" s="605"/>
      <c r="H3583" s="605"/>
      <c r="I3583" s="605"/>
      <c r="J3583" s="606"/>
      <c r="K3583" s="605"/>
      <c r="L3583" s="605"/>
      <c r="M3583" s="605"/>
      <c r="N3583" s="605"/>
      <c r="O3583" s="605"/>
      <c r="P3583" s="605"/>
    </row>
    <row r="3584">
      <c r="A3584" s="605"/>
      <c r="B3584" s="605"/>
      <c r="C3584" s="605"/>
      <c r="D3584" s="605"/>
      <c r="E3584" s="605"/>
      <c r="F3584" s="605"/>
      <c r="G3584" s="605"/>
      <c r="H3584" s="605"/>
      <c r="I3584" s="605"/>
      <c r="J3584" s="606"/>
      <c r="K3584" s="605"/>
      <c r="L3584" s="605"/>
      <c r="M3584" s="605"/>
      <c r="N3584" s="605"/>
      <c r="O3584" s="605"/>
      <c r="P3584" s="605"/>
    </row>
    <row r="3585">
      <c r="A3585" s="605"/>
      <c r="B3585" s="605"/>
      <c r="C3585" s="605"/>
      <c r="D3585" s="605"/>
      <c r="E3585" s="605"/>
      <c r="F3585" s="605"/>
      <c r="G3585" s="605"/>
      <c r="H3585" s="605"/>
      <c r="I3585" s="605"/>
      <c r="J3585" s="606"/>
      <c r="K3585" s="605"/>
      <c r="L3585" s="605"/>
      <c r="M3585" s="605"/>
      <c r="N3585" s="605"/>
      <c r="O3585" s="605"/>
      <c r="P3585" s="605"/>
    </row>
    <row r="3586">
      <c r="A3586" s="605"/>
      <c r="B3586" s="605"/>
      <c r="C3586" s="605"/>
      <c r="D3586" s="605"/>
      <c r="E3586" s="605"/>
      <c r="F3586" s="605"/>
      <c r="G3586" s="605"/>
      <c r="H3586" s="605"/>
      <c r="I3586" s="605"/>
      <c r="J3586" s="606"/>
      <c r="K3586" s="605"/>
      <c r="L3586" s="605"/>
      <c r="M3586" s="605"/>
      <c r="N3586" s="605"/>
      <c r="O3586" s="605"/>
      <c r="P3586" s="605"/>
    </row>
    <row r="3587">
      <c r="A3587" s="605"/>
      <c r="B3587" s="605"/>
      <c r="C3587" s="605"/>
      <c r="D3587" s="605"/>
      <c r="E3587" s="605"/>
      <c r="F3587" s="605"/>
      <c r="G3587" s="605"/>
      <c r="H3587" s="605"/>
      <c r="I3587" s="605"/>
      <c r="J3587" s="606"/>
      <c r="K3587" s="605"/>
      <c r="L3587" s="605"/>
      <c r="M3587" s="605"/>
      <c r="N3587" s="605"/>
      <c r="O3587" s="605"/>
      <c r="P3587" s="605"/>
    </row>
    <row r="3588">
      <c r="A3588" s="605"/>
      <c r="B3588" s="605"/>
      <c r="C3588" s="605"/>
      <c r="D3588" s="605"/>
      <c r="E3588" s="605"/>
      <c r="F3588" s="605"/>
      <c r="G3588" s="605"/>
      <c r="H3588" s="605"/>
      <c r="I3588" s="605"/>
      <c r="J3588" s="606"/>
      <c r="K3588" s="605"/>
      <c r="L3588" s="605"/>
      <c r="M3588" s="605"/>
      <c r="N3588" s="605"/>
      <c r="O3588" s="605"/>
      <c r="P3588" s="605"/>
    </row>
    <row r="3589">
      <c r="A3589" s="605"/>
      <c r="B3589" s="605"/>
      <c r="C3589" s="605"/>
      <c r="D3589" s="605"/>
      <c r="E3589" s="605"/>
      <c r="F3589" s="605"/>
      <c r="G3589" s="605"/>
      <c r="H3589" s="605"/>
      <c r="I3589" s="605"/>
      <c r="J3589" s="606"/>
      <c r="K3589" s="605"/>
      <c r="L3589" s="605"/>
      <c r="M3589" s="605"/>
      <c r="N3589" s="605"/>
      <c r="O3589" s="605"/>
      <c r="P3589" s="605"/>
    </row>
    <row r="3590">
      <c r="A3590" s="605"/>
      <c r="B3590" s="605"/>
      <c r="C3590" s="605"/>
      <c r="D3590" s="605"/>
      <c r="E3590" s="605"/>
      <c r="F3590" s="605"/>
      <c r="G3590" s="605"/>
      <c r="H3590" s="605"/>
      <c r="I3590" s="605"/>
      <c r="J3590" s="606"/>
      <c r="K3590" s="605"/>
      <c r="L3590" s="605"/>
      <c r="M3590" s="605"/>
      <c r="N3590" s="605"/>
      <c r="O3590" s="605"/>
      <c r="P3590" s="605"/>
    </row>
    <row r="3591">
      <c r="A3591" s="605"/>
      <c r="B3591" s="605"/>
      <c r="C3591" s="605"/>
      <c r="D3591" s="605"/>
      <c r="E3591" s="605"/>
      <c r="F3591" s="605"/>
      <c r="G3591" s="605"/>
      <c r="H3591" s="605"/>
      <c r="I3591" s="605"/>
      <c r="J3591" s="606"/>
      <c r="K3591" s="605"/>
      <c r="L3591" s="605"/>
      <c r="M3591" s="605"/>
      <c r="N3591" s="605"/>
      <c r="O3591" s="605"/>
      <c r="P3591" s="605"/>
    </row>
    <row r="3592">
      <c r="A3592" s="605"/>
      <c r="B3592" s="605"/>
      <c r="C3592" s="605"/>
      <c r="D3592" s="605"/>
      <c r="E3592" s="605"/>
      <c r="F3592" s="605"/>
      <c r="G3592" s="605"/>
      <c r="H3592" s="605"/>
      <c r="I3592" s="605"/>
      <c r="J3592" s="606"/>
      <c r="K3592" s="605"/>
      <c r="L3592" s="605"/>
      <c r="M3592" s="605"/>
      <c r="N3592" s="605"/>
      <c r="O3592" s="605"/>
      <c r="P3592" s="605"/>
    </row>
    <row r="3593">
      <c r="A3593" s="605"/>
      <c r="B3593" s="605"/>
      <c r="C3593" s="605"/>
      <c r="D3593" s="605"/>
      <c r="E3593" s="605"/>
      <c r="F3593" s="605"/>
      <c r="G3593" s="605"/>
      <c r="H3593" s="605"/>
      <c r="I3593" s="605"/>
      <c r="J3593" s="606"/>
      <c r="K3593" s="605"/>
      <c r="L3593" s="605"/>
      <c r="M3593" s="605"/>
      <c r="N3593" s="605"/>
      <c r="O3593" s="605"/>
      <c r="P3593" s="605"/>
    </row>
    <row r="3594">
      <c r="A3594" s="605"/>
      <c r="B3594" s="605"/>
      <c r="C3594" s="605"/>
      <c r="D3594" s="605"/>
      <c r="E3594" s="605"/>
      <c r="F3594" s="605"/>
      <c r="G3594" s="605"/>
      <c r="H3594" s="605"/>
      <c r="I3594" s="605"/>
      <c r="J3594" s="606"/>
      <c r="K3594" s="605"/>
      <c r="L3594" s="605"/>
      <c r="M3594" s="605"/>
      <c r="N3594" s="605"/>
      <c r="O3594" s="605"/>
      <c r="P3594" s="605"/>
    </row>
    <row r="3595">
      <c r="A3595" s="605"/>
      <c r="B3595" s="605"/>
      <c r="C3595" s="605"/>
      <c r="D3595" s="605"/>
      <c r="E3595" s="605"/>
      <c r="F3595" s="605"/>
      <c r="G3595" s="605"/>
      <c r="H3595" s="605"/>
      <c r="I3595" s="605"/>
      <c r="J3595" s="606"/>
      <c r="K3595" s="605"/>
      <c r="L3595" s="605"/>
      <c r="M3595" s="605"/>
      <c r="N3595" s="605"/>
      <c r="O3595" s="605"/>
      <c r="P3595" s="605"/>
    </row>
    <row r="3596">
      <c r="A3596" s="605"/>
      <c r="B3596" s="605"/>
      <c r="C3596" s="605"/>
      <c r="D3596" s="605"/>
      <c r="E3596" s="605"/>
      <c r="F3596" s="605"/>
      <c r="G3596" s="605"/>
      <c r="H3596" s="605"/>
      <c r="I3596" s="605"/>
      <c r="J3596" s="606"/>
      <c r="K3596" s="605"/>
      <c r="L3596" s="605"/>
      <c r="M3596" s="605"/>
      <c r="N3596" s="605"/>
      <c r="O3596" s="605"/>
      <c r="P3596" s="605"/>
    </row>
    <row r="3597">
      <c r="A3597" s="605"/>
      <c r="B3597" s="605"/>
      <c r="C3597" s="605"/>
      <c r="D3597" s="605"/>
      <c r="E3597" s="605"/>
      <c r="F3597" s="605"/>
      <c r="G3597" s="605"/>
      <c r="H3597" s="605"/>
      <c r="I3597" s="605"/>
      <c r="J3597" s="606"/>
      <c r="K3597" s="605"/>
      <c r="L3597" s="605"/>
      <c r="M3597" s="605"/>
      <c r="N3597" s="605"/>
      <c r="O3597" s="605"/>
      <c r="P3597" s="605"/>
    </row>
    <row r="3598">
      <c r="A3598" s="605"/>
      <c r="B3598" s="605"/>
      <c r="C3598" s="605"/>
      <c r="D3598" s="605"/>
      <c r="E3598" s="605"/>
      <c r="F3598" s="605"/>
      <c r="G3598" s="605"/>
      <c r="H3598" s="605"/>
      <c r="I3598" s="605"/>
      <c r="J3598" s="606"/>
      <c r="K3598" s="605"/>
      <c r="L3598" s="605"/>
      <c r="M3598" s="605"/>
      <c r="N3598" s="605"/>
      <c r="O3598" s="605"/>
      <c r="P3598" s="605"/>
    </row>
    <row r="3599">
      <c r="A3599" s="605"/>
      <c r="B3599" s="605"/>
      <c r="C3599" s="605"/>
      <c r="D3599" s="605"/>
      <c r="E3599" s="605"/>
      <c r="F3599" s="605"/>
      <c r="G3599" s="605"/>
      <c r="H3599" s="605"/>
      <c r="I3599" s="605"/>
      <c r="J3599" s="606"/>
      <c r="K3599" s="605"/>
      <c r="L3599" s="605"/>
      <c r="M3599" s="605"/>
      <c r="N3599" s="605"/>
      <c r="O3599" s="605"/>
      <c r="P3599" s="605"/>
    </row>
    <row r="3600">
      <c r="A3600" s="605"/>
      <c r="B3600" s="605"/>
      <c r="C3600" s="605"/>
      <c r="D3600" s="605"/>
      <c r="E3600" s="605"/>
      <c r="F3600" s="605"/>
      <c r="G3600" s="605"/>
      <c r="H3600" s="605"/>
      <c r="I3600" s="605"/>
      <c r="J3600" s="606"/>
      <c r="K3600" s="605"/>
      <c r="L3600" s="605"/>
      <c r="M3600" s="605"/>
      <c r="N3600" s="605"/>
      <c r="O3600" s="605"/>
      <c r="P3600" s="605"/>
    </row>
    <row r="3601">
      <c r="A3601" s="605"/>
      <c r="B3601" s="605"/>
      <c r="C3601" s="605"/>
      <c r="D3601" s="605"/>
      <c r="E3601" s="605"/>
      <c r="F3601" s="605"/>
      <c r="G3601" s="605"/>
      <c r="H3601" s="605"/>
      <c r="I3601" s="605"/>
      <c r="J3601" s="606"/>
      <c r="K3601" s="605"/>
      <c r="L3601" s="605"/>
      <c r="M3601" s="605"/>
      <c r="N3601" s="605"/>
      <c r="O3601" s="605"/>
      <c r="P3601" s="605"/>
    </row>
    <row r="3602">
      <c r="A3602" s="605"/>
      <c r="B3602" s="605"/>
      <c r="C3602" s="605"/>
      <c r="D3602" s="605"/>
      <c r="E3602" s="605"/>
      <c r="F3602" s="605"/>
      <c r="G3602" s="605"/>
      <c r="H3602" s="605"/>
      <c r="I3602" s="605"/>
      <c r="J3602" s="606"/>
      <c r="K3602" s="605"/>
      <c r="L3602" s="605"/>
      <c r="M3602" s="605"/>
      <c r="N3602" s="605"/>
      <c r="O3602" s="605"/>
      <c r="P3602" s="605"/>
    </row>
    <row r="3603">
      <c r="A3603" s="605"/>
      <c r="B3603" s="605"/>
      <c r="C3603" s="605"/>
      <c r="D3603" s="605"/>
      <c r="E3603" s="605"/>
      <c r="F3603" s="605"/>
      <c r="G3603" s="605"/>
      <c r="H3603" s="605"/>
      <c r="I3603" s="605"/>
      <c r="J3603" s="606"/>
      <c r="K3603" s="605"/>
      <c r="L3603" s="605"/>
      <c r="M3603" s="605"/>
      <c r="N3603" s="605"/>
      <c r="O3603" s="605"/>
      <c r="P3603" s="605"/>
    </row>
    <row r="3604">
      <c r="A3604" s="605"/>
      <c r="B3604" s="605"/>
      <c r="C3604" s="605"/>
      <c r="D3604" s="605"/>
      <c r="E3604" s="605"/>
      <c r="F3604" s="605"/>
      <c r="G3604" s="605"/>
      <c r="H3604" s="605"/>
      <c r="I3604" s="605"/>
      <c r="J3604" s="606"/>
      <c r="K3604" s="605"/>
      <c r="L3604" s="605"/>
      <c r="M3604" s="605"/>
      <c r="N3604" s="605"/>
      <c r="O3604" s="605"/>
      <c r="P3604" s="605"/>
    </row>
    <row r="3605">
      <c r="A3605" s="605"/>
      <c r="B3605" s="605"/>
      <c r="C3605" s="605"/>
      <c r="D3605" s="605"/>
      <c r="E3605" s="605"/>
      <c r="F3605" s="605"/>
      <c r="G3605" s="605"/>
      <c r="H3605" s="605"/>
      <c r="I3605" s="605"/>
      <c r="J3605" s="606"/>
      <c r="K3605" s="605"/>
      <c r="L3605" s="605"/>
      <c r="M3605" s="605"/>
      <c r="N3605" s="605"/>
      <c r="O3605" s="605"/>
      <c r="P3605" s="605"/>
    </row>
    <row r="3606">
      <c r="A3606" s="605"/>
      <c r="B3606" s="605"/>
      <c r="C3606" s="605"/>
      <c r="D3606" s="605"/>
      <c r="E3606" s="605"/>
      <c r="F3606" s="605"/>
      <c r="G3606" s="605"/>
      <c r="H3606" s="605"/>
      <c r="I3606" s="605"/>
      <c r="J3606" s="606"/>
      <c r="K3606" s="605"/>
      <c r="L3606" s="605"/>
      <c r="M3606" s="605"/>
      <c r="N3606" s="605"/>
      <c r="O3606" s="605"/>
      <c r="P3606" s="605"/>
    </row>
    <row r="3607">
      <c r="A3607" s="605"/>
      <c r="B3607" s="605"/>
      <c r="C3607" s="605"/>
      <c r="D3607" s="605"/>
      <c r="E3607" s="605"/>
      <c r="F3607" s="605"/>
      <c r="G3607" s="605"/>
      <c r="H3607" s="605"/>
      <c r="I3607" s="605"/>
      <c r="J3607" s="606"/>
      <c r="K3607" s="605"/>
      <c r="L3607" s="605"/>
      <c r="M3607" s="605"/>
      <c r="N3607" s="605"/>
      <c r="O3607" s="605"/>
      <c r="P3607" s="605"/>
    </row>
    <row r="3608">
      <c r="A3608" s="605"/>
      <c r="B3608" s="605"/>
      <c r="C3608" s="605"/>
      <c r="D3608" s="605"/>
      <c r="E3608" s="605"/>
      <c r="F3608" s="605"/>
      <c r="G3608" s="605"/>
      <c r="H3608" s="605"/>
      <c r="I3608" s="605"/>
      <c r="J3608" s="606"/>
      <c r="K3608" s="605"/>
      <c r="L3608" s="605"/>
      <c r="M3608" s="605"/>
      <c r="N3608" s="605"/>
      <c r="O3608" s="605"/>
      <c r="P3608" s="605"/>
    </row>
    <row r="3609">
      <c r="A3609" s="605"/>
      <c r="B3609" s="605"/>
      <c r="C3609" s="605"/>
      <c r="D3609" s="605"/>
      <c r="E3609" s="605"/>
      <c r="F3609" s="605"/>
      <c r="G3609" s="605"/>
      <c r="H3609" s="605"/>
      <c r="I3609" s="605"/>
      <c r="J3609" s="606"/>
      <c r="K3609" s="605"/>
      <c r="L3609" s="605"/>
      <c r="M3609" s="605"/>
      <c r="N3609" s="605"/>
      <c r="O3609" s="605"/>
      <c r="P3609" s="605"/>
    </row>
    <row r="3610">
      <c r="A3610" s="605"/>
      <c r="B3610" s="605"/>
      <c r="C3610" s="605"/>
      <c r="D3610" s="605"/>
      <c r="E3610" s="605"/>
      <c r="F3610" s="605"/>
      <c r="G3610" s="605"/>
      <c r="H3610" s="605"/>
      <c r="I3610" s="605"/>
      <c r="J3610" s="606"/>
      <c r="K3610" s="605"/>
      <c r="L3610" s="605"/>
      <c r="M3610" s="605"/>
      <c r="N3610" s="605"/>
      <c r="O3610" s="605"/>
      <c r="P3610" s="605"/>
    </row>
    <row r="3611">
      <c r="A3611" s="605"/>
      <c r="B3611" s="605"/>
      <c r="C3611" s="605"/>
      <c r="D3611" s="605"/>
      <c r="E3611" s="605"/>
      <c r="F3611" s="605"/>
      <c r="G3611" s="605"/>
      <c r="H3611" s="605"/>
      <c r="I3611" s="605"/>
      <c r="J3611" s="606"/>
      <c r="K3611" s="605"/>
      <c r="L3611" s="605"/>
      <c r="M3611" s="605"/>
      <c r="N3611" s="605"/>
      <c r="O3611" s="605"/>
      <c r="P3611" s="605"/>
    </row>
    <row r="3612">
      <c r="A3612" s="605"/>
      <c r="B3612" s="605"/>
      <c r="C3612" s="605"/>
      <c r="D3612" s="605"/>
      <c r="E3612" s="605"/>
      <c r="F3612" s="605"/>
      <c r="G3612" s="605"/>
      <c r="H3612" s="605"/>
      <c r="I3612" s="605"/>
      <c r="J3612" s="606"/>
      <c r="K3612" s="605"/>
      <c r="L3612" s="605"/>
      <c r="M3612" s="605"/>
      <c r="N3612" s="605"/>
      <c r="O3612" s="605"/>
      <c r="P3612" s="605"/>
    </row>
    <row r="3613">
      <c r="A3613" s="605"/>
      <c r="B3613" s="605"/>
      <c r="C3613" s="605"/>
      <c r="D3613" s="605"/>
      <c r="E3613" s="605"/>
      <c r="F3613" s="605"/>
      <c r="G3613" s="605"/>
      <c r="H3613" s="605"/>
      <c r="I3613" s="605"/>
      <c r="J3613" s="606"/>
      <c r="K3613" s="605"/>
      <c r="L3613" s="605"/>
      <c r="M3613" s="605"/>
      <c r="N3613" s="605"/>
      <c r="O3613" s="605"/>
      <c r="P3613" s="605"/>
    </row>
    <row r="3614">
      <c r="A3614" s="605"/>
      <c r="B3614" s="605"/>
      <c r="C3614" s="605"/>
      <c r="D3614" s="605"/>
      <c r="E3614" s="605"/>
      <c r="F3614" s="605"/>
      <c r="G3614" s="605"/>
      <c r="H3614" s="605"/>
      <c r="I3614" s="605"/>
      <c r="J3614" s="606"/>
      <c r="K3614" s="605"/>
      <c r="L3614" s="605"/>
      <c r="M3614" s="605"/>
      <c r="N3614" s="605"/>
      <c r="O3614" s="605"/>
      <c r="P3614" s="605"/>
    </row>
    <row r="3615">
      <c r="A3615" s="605"/>
      <c r="B3615" s="605"/>
      <c r="C3615" s="605"/>
      <c r="D3615" s="605"/>
      <c r="E3615" s="605"/>
      <c r="F3615" s="605"/>
      <c r="G3615" s="605"/>
      <c r="H3615" s="605"/>
      <c r="I3615" s="605"/>
      <c r="J3615" s="606"/>
      <c r="K3615" s="605"/>
      <c r="L3615" s="605"/>
      <c r="M3615" s="605"/>
      <c r="N3615" s="605"/>
      <c r="O3615" s="605"/>
      <c r="P3615" s="605"/>
    </row>
    <row r="3616">
      <c r="A3616" s="605"/>
      <c r="B3616" s="605"/>
      <c r="C3616" s="605"/>
      <c r="D3616" s="605"/>
      <c r="E3616" s="605"/>
      <c r="F3616" s="605"/>
      <c r="G3616" s="605"/>
      <c r="H3616" s="605"/>
      <c r="I3616" s="605"/>
      <c r="J3616" s="606"/>
      <c r="K3616" s="605"/>
      <c r="L3616" s="605"/>
      <c r="M3616" s="605"/>
      <c r="N3616" s="605"/>
      <c r="O3616" s="605"/>
      <c r="P3616" s="605"/>
    </row>
    <row r="3617">
      <c r="A3617" s="605"/>
      <c r="B3617" s="605"/>
      <c r="C3617" s="605"/>
      <c r="D3617" s="605"/>
      <c r="E3617" s="605"/>
      <c r="F3617" s="605"/>
      <c r="G3617" s="605"/>
      <c r="H3617" s="605"/>
      <c r="I3617" s="605"/>
      <c r="J3617" s="606"/>
      <c r="K3617" s="605"/>
      <c r="L3617" s="605"/>
      <c r="M3617" s="605"/>
      <c r="N3617" s="605"/>
      <c r="O3617" s="605"/>
      <c r="P3617" s="605"/>
    </row>
    <row r="3618">
      <c r="A3618" s="605"/>
      <c r="B3618" s="605"/>
      <c r="C3618" s="605"/>
      <c r="D3618" s="605"/>
      <c r="E3618" s="605"/>
      <c r="F3618" s="605"/>
      <c r="G3618" s="605"/>
      <c r="H3618" s="605"/>
      <c r="I3618" s="605"/>
      <c r="J3618" s="606"/>
      <c r="K3618" s="605"/>
      <c r="L3618" s="605"/>
      <c r="M3618" s="605"/>
      <c r="N3618" s="605"/>
      <c r="O3618" s="605"/>
      <c r="P3618" s="605"/>
    </row>
    <row r="3619">
      <c r="A3619" s="605"/>
      <c r="B3619" s="605"/>
      <c r="C3619" s="605"/>
      <c r="D3619" s="605"/>
      <c r="E3619" s="605"/>
      <c r="F3619" s="605"/>
      <c r="G3619" s="605"/>
      <c r="H3619" s="605"/>
      <c r="I3619" s="605"/>
      <c r="J3619" s="606"/>
      <c r="K3619" s="605"/>
      <c r="L3619" s="605"/>
      <c r="M3619" s="605"/>
      <c r="N3619" s="605"/>
      <c r="O3619" s="605"/>
      <c r="P3619" s="605"/>
    </row>
    <row r="3620">
      <c r="A3620" s="605"/>
      <c r="B3620" s="605"/>
      <c r="C3620" s="605"/>
      <c r="D3620" s="605"/>
      <c r="E3620" s="605"/>
      <c r="F3620" s="605"/>
      <c r="G3620" s="605"/>
      <c r="H3620" s="605"/>
      <c r="I3620" s="605"/>
      <c r="J3620" s="606"/>
      <c r="K3620" s="605"/>
      <c r="L3620" s="605"/>
      <c r="M3620" s="605"/>
      <c r="N3620" s="605"/>
      <c r="O3620" s="605"/>
      <c r="P3620" s="605"/>
    </row>
    <row r="3621">
      <c r="A3621" s="605"/>
      <c r="B3621" s="605"/>
      <c r="C3621" s="605"/>
      <c r="D3621" s="605"/>
      <c r="E3621" s="605"/>
      <c r="F3621" s="605"/>
      <c r="G3621" s="605"/>
      <c r="H3621" s="605"/>
      <c r="I3621" s="605"/>
      <c r="J3621" s="606"/>
      <c r="K3621" s="605"/>
      <c r="L3621" s="605"/>
      <c r="M3621" s="605"/>
      <c r="N3621" s="605"/>
      <c r="O3621" s="605"/>
      <c r="P3621" s="605"/>
    </row>
    <row r="3622">
      <c r="A3622" s="605"/>
      <c r="B3622" s="605"/>
      <c r="C3622" s="605"/>
      <c r="D3622" s="605"/>
      <c r="E3622" s="605"/>
      <c r="F3622" s="605"/>
      <c r="G3622" s="605"/>
      <c r="H3622" s="605"/>
      <c r="I3622" s="605"/>
      <c r="J3622" s="606"/>
      <c r="K3622" s="605"/>
      <c r="L3622" s="605"/>
      <c r="M3622" s="605"/>
      <c r="N3622" s="605"/>
      <c r="O3622" s="605"/>
      <c r="P3622" s="605"/>
    </row>
    <row r="3623">
      <c r="A3623" s="605"/>
      <c r="B3623" s="605"/>
      <c r="C3623" s="605"/>
      <c r="D3623" s="605"/>
      <c r="E3623" s="605"/>
      <c r="F3623" s="605"/>
      <c r="G3623" s="605"/>
      <c r="H3623" s="605"/>
      <c r="I3623" s="605"/>
      <c r="J3623" s="606"/>
      <c r="K3623" s="605"/>
      <c r="L3623" s="605"/>
      <c r="M3623" s="605"/>
      <c r="N3623" s="605"/>
      <c r="O3623" s="605"/>
      <c r="P3623" s="605"/>
    </row>
    <row r="3624">
      <c r="A3624" s="605"/>
      <c r="B3624" s="605"/>
      <c r="C3624" s="605"/>
      <c r="D3624" s="605"/>
      <c r="E3624" s="605"/>
      <c r="F3624" s="605"/>
      <c r="G3624" s="605"/>
      <c r="H3624" s="605"/>
      <c r="I3624" s="605"/>
      <c r="J3624" s="606"/>
      <c r="K3624" s="605"/>
      <c r="L3624" s="605"/>
      <c r="M3624" s="605"/>
      <c r="N3624" s="605"/>
      <c r="O3624" s="605"/>
      <c r="P3624" s="605"/>
    </row>
    <row r="3625">
      <c r="A3625" s="605"/>
      <c r="B3625" s="605"/>
      <c r="C3625" s="605"/>
      <c r="D3625" s="605"/>
      <c r="E3625" s="605"/>
      <c r="F3625" s="605"/>
      <c r="G3625" s="605"/>
      <c r="H3625" s="605"/>
      <c r="I3625" s="605"/>
      <c r="J3625" s="606"/>
      <c r="K3625" s="605"/>
      <c r="L3625" s="605"/>
      <c r="M3625" s="605"/>
      <c r="N3625" s="605"/>
      <c r="O3625" s="605"/>
      <c r="P3625" s="605"/>
    </row>
    <row r="3626">
      <c r="A3626" s="605"/>
      <c r="B3626" s="605"/>
      <c r="C3626" s="605"/>
      <c r="D3626" s="605"/>
      <c r="E3626" s="605"/>
      <c r="F3626" s="605"/>
      <c r="G3626" s="605"/>
      <c r="H3626" s="605"/>
      <c r="I3626" s="605"/>
      <c r="J3626" s="606"/>
      <c r="K3626" s="605"/>
      <c r="L3626" s="605"/>
      <c r="M3626" s="605"/>
      <c r="N3626" s="605"/>
      <c r="O3626" s="605"/>
      <c r="P3626" s="605"/>
    </row>
    <row r="3627">
      <c r="A3627" s="605"/>
      <c r="B3627" s="605"/>
      <c r="C3627" s="605"/>
      <c r="D3627" s="605"/>
      <c r="E3627" s="605"/>
      <c r="F3627" s="605"/>
      <c r="G3627" s="605"/>
      <c r="H3627" s="605"/>
      <c r="I3627" s="605"/>
      <c r="J3627" s="606"/>
      <c r="K3627" s="605"/>
      <c r="L3627" s="605"/>
      <c r="M3627" s="605"/>
      <c r="N3627" s="605"/>
      <c r="O3627" s="605"/>
      <c r="P3627" s="605"/>
    </row>
    <row r="3628">
      <c r="A3628" s="605"/>
      <c r="B3628" s="605"/>
      <c r="C3628" s="605"/>
      <c r="D3628" s="605"/>
      <c r="E3628" s="605"/>
      <c r="F3628" s="605"/>
      <c r="G3628" s="605"/>
      <c r="H3628" s="605"/>
      <c r="I3628" s="605"/>
      <c r="J3628" s="606"/>
      <c r="K3628" s="605"/>
      <c r="L3628" s="605"/>
      <c r="M3628" s="605"/>
      <c r="N3628" s="605"/>
      <c r="O3628" s="605"/>
      <c r="P3628" s="605"/>
    </row>
    <row r="3629">
      <c r="A3629" s="605"/>
      <c r="B3629" s="605"/>
      <c r="C3629" s="605"/>
      <c r="D3629" s="605"/>
      <c r="E3629" s="605"/>
      <c r="F3629" s="605"/>
      <c r="G3629" s="605"/>
      <c r="H3629" s="605"/>
      <c r="I3629" s="605"/>
      <c r="J3629" s="606"/>
      <c r="K3629" s="605"/>
      <c r="L3629" s="605"/>
      <c r="M3629" s="605"/>
      <c r="N3629" s="605"/>
      <c r="O3629" s="605"/>
      <c r="P3629" s="605"/>
    </row>
    <row r="3630">
      <c r="A3630" s="605"/>
      <c r="B3630" s="605"/>
      <c r="C3630" s="605"/>
      <c r="D3630" s="605"/>
      <c r="E3630" s="605"/>
      <c r="F3630" s="605"/>
      <c r="G3630" s="605"/>
      <c r="H3630" s="605"/>
      <c r="I3630" s="605"/>
      <c r="J3630" s="606"/>
      <c r="K3630" s="605"/>
      <c r="L3630" s="605"/>
      <c r="M3630" s="605"/>
      <c r="N3630" s="605"/>
      <c r="O3630" s="605"/>
      <c r="P3630" s="605"/>
    </row>
    <row r="3631">
      <c r="A3631" s="605"/>
      <c r="B3631" s="605"/>
      <c r="C3631" s="605"/>
      <c r="D3631" s="605"/>
      <c r="E3631" s="605"/>
      <c r="F3631" s="605"/>
      <c r="G3631" s="605"/>
      <c r="H3631" s="605"/>
      <c r="I3631" s="605"/>
      <c r="J3631" s="606"/>
      <c r="K3631" s="605"/>
      <c r="L3631" s="605"/>
      <c r="M3631" s="605"/>
      <c r="N3631" s="605"/>
      <c r="O3631" s="605"/>
      <c r="P3631" s="605"/>
    </row>
    <row r="3632">
      <c r="A3632" s="605"/>
      <c r="B3632" s="605"/>
      <c r="C3632" s="605"/>
      <c r="D3632" s="605"/>
      <c r="E3632" s="605"/>
      <c r="F3632" s="605"/>
      <c r="G3632" s="605"/>
      <c r="H3632" s="605"/>
      <c r="I3632" s="605"/>
      <c r="J3632" s="606"/>
      <c r="K3632" s="605"/>
      <c r="L3632" s="605"/>
      <c r="M3632" s="605"/>
      <c r="N3632" s="605"/>
      <c r="O3632" s="605"/>
      <c r="P3632" s="605"/>
    </row>
    <row r="3633">
      <c r="A3633" s="605"/>
      <c r="B3633" s="605"/>
      <c r="C3633" s="605"/>
      <c r="D3633" s="605"/>
      <c r="E3633" s="605"/>
      <c r="F3633" s="605"/>
      <c r="G3633" s="605"/>
      <c r="H3633" s="605"/>
      <c r="I3633" s="605"/>
      <c r="J3633" s="606"/>
      <c r="K3633" s="605"/>
      <c r="L3633" s="605"/>
      <c r="M3633" s="605"/>
      <c r="N3633" s="605"/>
      <c r="O3633" s="605"/>
      <c r="P3633" s="605"/>
    </row>
    <row r="3634">
      <c r="A3634" s="605"/>
      <c r="B3634" s="605"/>
      <c r="C3634" s="605"/>
      <c r="D3634" s="605"/>
      <c r="E3634" s="605"/>
      <c r="F3634" s="605"/>
      <c r="G3634" s="605"/>
      <c r="H3634" s="605"/>
      <c r="I3634" s="605"/>
      <c r="J3634" s="606"/>
      <c r="K3634" s="605"/>
      <c r="L3634" s="605"/>
      <c r="M3634" s="605"/>
      <c r="N3634" s="605"/>
      <c r="O3634" s="605"/>
      <c r="P3634" s="605"/>
    </row>
    <row r="3635">
      <c r="A3635" s="605"/>
      <c r="B3635" s="605"/>
      <c r="C3635" s="605"/>
      <c r="D3635" s="605"/>
      <c r="E3635" s="605"/>
      <c r="F3635" s="605"/>
      <c r="G3635" s="605"/>
      <c r="H3635" s="605"/>
      <c r="I3635" s="605"/>
      <c r="J3635" s="606"/>
      <c r="K3635" s="605"/>
      <c r="L3635" s="605"/>
      <c r="M3635" s="605"/>
      <c r="N3635" s="605"/>
      <c r="O3635" s="605"/>
      <c r="P3635" s="605"/>
    </row>
    <row r="3636">
      <c r="A3636" s="605"/>
      <c r="B3636" s="605"/>
      <c r="C3636" s="605"/>
      <c r="D3636" s="605"/>
      <c r="E3636" s="605"/>
      <c r="F3636" s="605"/>
      <c r="G3636" s="605"/>
      <c r="H3636" s="605"/>
      <c r="I3636" s="605"/>
      <c r="J3636" s="606"/>
      <c r="K3636" s="605"/>
      <c r="L3636" s="605"/>
      <c r="M3636" s="605"/>
      <c r="N3636" s="605"/>
      <c r="O3636" s="605"/>
      <c r="P3636" s="605"/>
    </row>
    <row r="3637">
      <c r="A3637" s="605"/>
      <c r="B3637" s="605"/>
      <c r="C3637" s="605"/>
      <c r="D3637" s="605"/>
      <c r="E3637" s="605"/>
      <c r="F3637" s="605"/>
      <c r="G3637" s="605"/>
      <c r="H3637" s="605"/>
      <c r="I3637" s="605"/>
      <c r="J3637" s="606"/>
      <c r="K3637" s="605"/>
      <c r="L3637" s="605"/>
      <c r="M3637" s="605"/>
      <c r="N3637" s="605"/>
      <c r="O3637" s="605"/>
      <c r="P3637" s="605"/>
    </row>
    <row r="3638">
      <c r="A3638" s="605"/>
      <c r="B3638" s="605"/>
      <c r="C3638" s="605"/>
      <c r="D3638" s="605"/>
      <c r="E3638" s="605"/>
      <c r="F3638" s="605"/>
      <c r="G3638" s="605"/>
      <c r="H3638" s="605"/>
      <c r="I3638" s="605"/>
      <c r="J3638" s="606"/>
      <c r="K3638" s="605"/>
      <c r="L3638" s="605"/>
      <c r="M3638" s="605"/>
      <c r="N3638" s="605"/>
      <c r="O3638" s="605"/>
      <c r="P3638" s="605"/>
    </row>
    <row r="3639">
      <c r="A3639" s="605"/>
      <c r="B3639" s="605"/>
      <c r="C3639" s="605"/>
      <c r="D3639" s="605"/>
      <c r="E3639" s="605"/>
      <c r="F3639" s="605"/>
      <c r="G3639" s="605"/>
      <c r="H3639" s="605"/>
      <c r="I3639" s="605"/>
      <c r="J3639" s="606"/>
      <c r="K3639" s="605"/>
      <c r="L3639" s="605"/>
      <c r="M3639" s="605"/>
      <c r="N3639" s="605"/>
      <c r="O3639" s="605"/>
      <c r="P3639" s="605"/>
    </row>
    <row r="3640">
      <c r="A3640" s="605"/>
      <c r="B3640" s="605"/>
      <c r="C3640" s="605"/>
      <c r="D3640" s="605"/>
      <c r="E3640" s="605"/>
      <c r="F3640" s="605"/>
      <c r="G3640" s="605"/>
      <c r="H3640" s="605"/>
      <c r="I3640" s="605"/>
      <c r="J3640" s="606"/>
      <c r="K3640" s="605"/>
      <c r="L3640" s="605"/>
      <c r="M3640" s="605"/>
      <c r="N3640" s="605"/>
      <c r="O3640" s="605"/>
      <c r="P3640" s="605"/>
    </row>
    <row r="3641">
      <c r="A3641" s="605"/>
      <c r="B3641" s="605"/>
      <c r="C3641" s="605"/>
      <c r="D3641" s="605"/>
      <c r="E3641" s="605"/>
      <c r="F3641" s="605"/>
      <c r="G3641" s="605"/>
      <c r="H3641" s="605"/>
      <c r="I3641" s="605"/>
      <c r="J3641" s="606"/>
      <c r="K3641" s="605"/>
      <c r="L3641" s="605"/>
      <c r="M3641" s="605"/>
      <c r="N3641" s="605"/>
      <c r="O3641" s="605"/>
      <c r="P3641" s="605"/>
    </row>
    <row r="3642">
      <c r="A3642" s="605"/>
      <c r="B3642" s="605"/>
      <c r="C3642" s="605"/>
      <c r="D3642" s="605"/>
      <c r="E3642" s="605"/>
      <c r="F3642" s="605"/>
      <c r="G3642" s="605"/>
      <c r="H3642" s="605"/>
      <c r="I3642" s="605"/>
      <c r="J3642" s="606"/>
      <c r="K3642" s="605"/>
      <c r="L3642" s="605"/>
      <c r="M3642" s="605"/>
      <c r="N3642" s="605"/>
      <c r="O3642" s="605"/>
      <c r="P3642" s="605"/>
    </row>
    <row r="3643">
      <c r="A3643" s="605"/>
      <c r="B3643" s="605"/>
      <c r="C3643" s="605"/>
      <c r="D3643" s="605"/>
      <c r="E3643" s="605"/>
      <c r="F3643" s="605"/>
      <c r="G3643" s="605"/>
      <c r="H3643" s="605"/>
      <c r="I3643" s="605"/>
      <c r="J3643" s="606"/>
      <c r="K3643" s="605"/>
      <c r="L3643" s="605"/>
      <c r="M3643" s="605"/>
      <c r="N3643" s="605"/>
      <c r="O3643" s="605"/>
      <c r="P3643" s="605"/>
    </row>
    <row r="3644">
      <c r="A3644" s="605"/>
      <c r="B3644" s="605"/>
      <c r="C3644" s="605"/>
      <c r="D3644" s="605"/>
      <c r="E3644" s="605"/>
      <c r="F3644" s="605"/>
      <c r="G3644" s="605"/>
      <c r="H3644" s="605"/>
      <c r="I3644" s="605"/>
      <c r="J3644" s="606"/>
      <c r="K3644" s="605"/>
      <c r="L3644" s="605"/>
      <c r="M3644" s="605"/>
      <c r="N3644" s="605"/>
      <c r="O3644" s="605"/>
      <c r="P3644" s="605"/>
    </row>
    <row r="3645">
      <c r="A3645" s="605"/>
      <c r="B3645" s="605"/>
      <c r="C3645" s="605"/>
      <c r="D3645" s="605"/>
      <c r="E3645" s="605"/>
      <c r="F3645" s="605"/>
      <c r="G3645" s="605"/>
      <c r="H3645" s="605"/>
      <c r="I3645" s="605"/>
      <c r="J3645" s="606"/>
      <c r="K3645" s="605"/>
      <c r="L3645" s="605"/>
      <c r="M3645" s="605"/>
      <c r="N3645" s="605"/>
      <c r="O3645" s="605"/>
      <c r="P3645" s="605"/>
    </row>
    <row r="3646">
      <c r="A3646" s="605"/>
      <c r="B3646" s="605"/>
      <c r="C3646" s="605"/>
      <c r="D3646" s="605"/>
      <c r="E3646" s="605"/>
      <c r="F3646" s="605"/>
      <c r="G3646" s="605"/>
      <c r="H3646" s="605"/>
      <c r="I3646" s="605"/>
      <c r="J3646" s="606"/>
      <c r="K3646" s="605"/>
      <c r="L3646" s="605"/>
      <c r="M3646" s="605"/>
      <c r="N3646" s="605"/>
      <c r="O3646" s="605"/>
      <c r="P3646" s="605"/>
    </row>
    <row r="3647">
      <c r="A3647" s="605"/>
      <c r="B3647" s="605"/>
      <c r="C3647" s="605"/>
      <c r="D3647" s="605"/>
      <c r="E3647" s="605"/>
      <c r="F3647" s="605"/>
      <c r="G3647" s="605"/>
      <c r="H3647" s="605"/>
      <c r="I3647" s="605"/>
      <c r="J3647" s="606"/>
      <c r="K3647" s="605"/>
      <c r="L3647" s="605"/>
      <c r="M3647" s="605"/>
      <c r="N3647" s="605"/>
      <c r="O3647" s="605"/>
      <c r="P3647" s="605"/>
    </row>
    <row r="3648">
      <c r="A3648" s="605"/>
      <c r="B3648" s="605"/>
      <c r="C3648" s="605"/>
      <c r="D3648" s="605"/>
      <c r="E3648" s="605"/>
      <c r="F3648" s="605"/>
      <c r="G3648" s="605"/>
      <c r="H3648" s="605"/>
      <c r="I3648" s="605"/>
      <c r="J3648" s="606"/>
      <c r="K3648" s="605"/>
      <c r="L3648" s="605"/>
      <c r="M3648" s="605"/>
      <c r="N3648" s="605"/>
      <c r="O3648" s="605"/>
      <c r="P3648" s="605"/>
    </row>
    <row r="3649">
      <c r="A3649" s="605"/>
      <c r="B3649" s="605"/>
      <c r="C3649" s="605"/>
      <c r="D3649" s="605"/>
      <c r="E3649" s="605"/>
      <c r="F3649" s="605"/>
      <c r="G3649" s="605"/>
      <c r="H3649" s="605"/>
      <c r="I3649" s="605"/>
      <c r="J3649" s="606"/>
      <c r="K3649" s="605"/>
      <c r="L3649" s="605"/>
      <c r="M3649" s="605"/>
      <c r="N3649" s="605"/>
      <c r="O3649" s="605"/>
      <c r="P3649" s="605"/>
    </row>
    <row r="3650">
      <c r="A3650" s="605"/>
      <c r="B3650" s="605"/>
      <c r="C3650" s="605"/>
      <c r="D3650" s="605"/>
      <c r="E3650" s="605"/>
      <c r="F3650" s="605"/>
      <c r="G3650" s="605"/>
      <c r="H3650" s="605"/>
      <c r="I3650" s="605"/>
      <c r="J3650" s="606"/>
      <c r="K3650" s="605"/>
      <c r="L3650" s="605"/>
      <c r="M3650" s="605"/>
      <c r="N3650" s="605"/>
      <c r="O3650" s="605"/>
      <c r="P3650" s="605"/>
    </row>
    <row r="3651">
      <c r="A3651" s="605"/>
      <c r="B3651" s="605"/>
      <c r="C3651" s="605"/>
      <c r="D3651" s="605"/>
      <c r="E3651" s="605"/>
      <c r="F3651" s="605"/>
      <c r="G3651" s="605"/>
      <c r="H3651" s="605"/>
      <c r="I3651" s="605"/>
      <c r="J3651" s="606"/>
      <c r="K3651" s="605"/>
      <c r="L3651" s="605"/>
      <c r="M3651" s="605"/>
      <c r="N3651" s="605"/>
      <c r="O3651" s="605"/>
      <c r="P3651" s="605"/>
    </row>
    <row r="3652">
      <c r="A3652" s="605"/>
      <c r="B3652" s="605"/>
      <c r="C3652" s="605"/>
      <c r="D3652" s="605"/>
      <c r="E3652" s="605"/>
      <c r="F3652" s="605"/>
      <c r="G3652" s="605"/>
      <c r="H3652" s="605"/>
      <c r="I3652" s="605"/>
      <c r="J3652" s="606"/>
      <c r="K3652" s="605"/>
      <c r="L3652" s="605"/>
      <c r="M3652" s="605"/>
      <c r="N3652" s="605"/>
      <c r="O3652" s="605"/>
      <c r="P3652" s="605"/>
    </row>
    <row r="3653">
      <c r="A3653" s="605"/>
      <c r="B3653" s="605"/>
      <c r="C3653" s="605"/>
      <c r="D3653" s="605"/>
      <c r="E3653" s="605"/>
      <c r="F3653" s="605"/>
      <c r="G3653" s="605"/>
      <c r="H3653" s="605"/>
      <c r="I3653" s="605"/>
      <c r="J3653" s="606"/>
      <c r="K3653" s="605"/>
      <c r="L3653" s="605"/>
      <c r="M3653" s="605"/>
      <c r="N3653" s="605"/>
      <c r="O3653" s="605"/>
      <c r="P3653" s="605"/>
    </row>
    <row r="3654">
      <c r="A3654" s="605"/>
      <c r="B3654" s="605"/>
      <c r="C3654" s="605"/>
      <c r="D3654" s="605"/>
      <c r="E3654" s="605"/>
      <c r="F3654" s="605"/>
      <c r="G3654" s="605"/>
      <c r="H3654" s="605"/>
      <c r="I3654" s="605"/>
      <c r="J3654" s="606"/>
      <c r="K3654" s="605"/>
      <c r="L3654" s="605"/>
      <c r="M3654" s="605"/>
      <c r="N3654" s="605"/>
      <c r="O3654" s="605"/>
      <c r="P3654" s="605"/>
    </row>
    <row r="3655">
      <c r="A3655" s="605"/>
      <c r="B3655" s="605"/>
      <c r="C3655" s="605"/>
      <c r="D3655" s="605"/>
      <c r="E3655" s="605"/>
      <c r="F3655" s="605"/>
      <c r="G3655" s="605"/>
      <c r="H3655" s="605"/>
      <c r="I3655" s="605"/>
      <c r="J3655" s="606"/>
      <c r="K3655" s="605"/>
      <c r="L3655" s="605"/>
      <c r="M3655" s="605"/>
      <c r="N3655" s="605"/>
      <c r="O3655" s="605"/>
      <c r="P3655" s="605"/>
    </row>
    <row r="3656">
      <c r="A3656" s="605"/>
      <c r="B3656" s="605"/>
      <c r="C3656" s="605"/>
      <c r="D3656" s="605"/>
      <c r="E3656" s="605"/>
      <c r="F3656" s="605"/>
      <c r="G3656" s="605"/>
      <c r="H3656" s="605"/>
      <c r="I3656" s="605"/>
      <c r="J3656" s="606"/>
      <c r="K3656" s="605"/>
      <c r="L3656" s="605"/>
      <c r="M3656" s="605"/>
      <c r="N3656" s="605"/>
      <c r="O3656" s="605"/>
      <c r="P3656" s="605"/>
    </row>
    <row r="3657">
      <c r="A3657" s="605"/>
      <c r="B3657" s="605"/>
      <c r="C3657" s="605"/>
      <c r="D3657" s="605"/>
      <c r="E3657" s="605"/>
      <c r="F3657" s="605"/>
      <c r="G3657" s="605"/>
      <c r="H3657" s="605"/>
      <c r="I3657" s="605"/>
      <c r="J3657" s="606"/>
      <c r="K3657" s="605"/>
      <c r="L3657" s="605"/>
      <c r="M3657" s="605"/>
      <c r="N3657" s="605"/>
      <c r="O3657" s="605"/>
      <c r="P3657" s="605"/>
    </row>
    <row r="3658">
      <c r="A3658" s="605"/>
      <c r="B3658" s="605"/>
      <c r="C3658" s="605"/>
      <c r="D3658" s="605"/>
      <c r="E3658" s="605"/>
      <c r="F3658" s="605"/>
      <c r="G3658" s="605"/>
      <c r="H3658" s="605"/>
      <c r="I3658" s="605"/>
      <c r="J3658" s="606"/>
      <c r="K3658" s="605"/>
      <c r="L3658" s="605"/>
      <c r="M3658" s="605"/>
      <c r="N3658" s="605"/>
      <c r="O3658" s="605"/>
      <c r="P3658" s="605"/>
    </row>
    <row r="3659">
      <c r="A3659" s="605"/>
      <c r="B3659" s="605"/>
      <c r="C3659" s="605"/>
      <c r="D3659" s="605"/>
      <c r="E3659" s="605"/>
      <c r="F3659" s="605"/>
      <c r="G3659" s="605"/>
      <c r="H3659" s="605"/>
      <c r="I3659" s="605"/>
      <c r="J3659" s="606"/>
      <c r="K3659" s="605"/>
      <c r="L3659" s="605"/>
      <c r="M3659" s="605"/>
      <c r="N3659" s="605"/>
      <c r="O3659" s="605"/>
      <c r="P3659" s="605"/>
    </row>
    <row r="3660">
      <c r="A3660" s="605"/>
      <c r="B3660" s="605"/>
      <c r="C3660" s="605"/>
      <c r="D3660" s="605"/>
      <c r="E3660" s="605"/>
      <c r="F3660" s="605"/>
      <c r="G3660" s="605"/>
      <c r="H3660" s="605"/>
      <c r="I3660" s="605"/>
      <c r="J3660" s="606"/>
      <c r="K3660" s="605"/>
      <c r="L3660" s="605"/>
      <c r="M3660" s="605"/>
      <c r="N3660" s="605"/>
      <c r="O3660" s="605"/>
      <c r="P3660" s="605"/>
    </row>
    <row r="3661">
      <c r="A3661" s="605"/>
      <c r="B3661" s="605"/>
      <c r="C3661" s="605"/>
      <c r="D3661" s="605"/>
      <c r="E3661" s="605"/>
      <c r="F3661" s="605"/>
      <c r="G3661" s="605"/>
      <c r="H3661" s="605"/>
      <c r="I3661" s="605"/>
      <c r="J3661" s="606"/>
      <c r="K3661" s="605"/>
      <c r="L3661" s="605"/>
      <c r="M3661" s="605"/>
      <c r="N3661" s="605"/>
      <c r="O3661" s="605"/>
      <c r="P3661" s="605"/>
    </row>
    <row r="3662">
      <c r="A3662" s="605"/>
      <c r="B3662" s="605"/>
      <c r="C3662" s="605"/>
      <c r="D3662" s="605"/>
      <c r="E3662" s="605"/>
      <c r="F3662" s="605"/>
      <c r="G3662" s="605"/>
      <c r="H3662" s="605"/>
      <c r="I3662" s="605"/>
      <c r="J3662" s="606"/>
      <c r="K3662" s="605"/>
      <c r="L3662" s="605"/>
      <c r="M3662" s="605"/>
      <c r="N3662" s="605"/>
      <c r="O3662" s="605"/>
      <c r="P3662" s="605"/>
    </row>
    <row r="3663">
      <c r="A3663" s="605"/>
      <c r="B3663" s="605"/>
      <c r="C3663" s="605"/>
      <c r="D3663" s="605"/>
      <c r="E3663" s="605"/>
      <c r="F3663" s="605"/>
      <c r="G3663" s="605"/>
      <c r="H3663" s="605"/>
      <c r="I3663" s="605"/>
      <c r="J3663" s="606"/>
      <c r="K3663" s="605"/>
      <c r="L3663" s="605"/>
      <c r="M3663" s="605"/>
      <c r="N3663" s="605"/>
      <c r="O3663" s="605"/>
      <c r="P3663" s="605"/>
    </row>
    <row r="3664">
      <c r="A3664" s="605"/>
      <c r="B3664" s="605"/>
      <c r="C3664" s="605"/>
      <c r="D3664" s="605"/>
      <c r="E3664" s="605"/>
      <c r="F3664" s="605"/>
      <c r="G3664" s="605"/>
      <c r="H3664" s="605"/>
      <c r="I3664" s="605"/>
      <c r="J3664" s="606"/>
      <c r="K3664" s="605"/>
      <c r="L3664" s="605"/>
      <c r="M3664" s="605"/>
      <c r="N3664" s="605"/>
      <c r="O3664" s="605"/>
      <c r="P3664" s="605"/>
    </row>
    <row r="3665">
      <c r="A3665" s="605"/>
      <c r="B3665" s="605"/>
      <c r="C3665" s="605"/>
      <c r="D3665" s="605"/>
      <c r="E3665" s="605"/>
      <c r="F3665" s="605"/>
      <c r="G3665" s="605"/>
      <c r="H3665" s="605"/>
      <c r="I3665" s="605"/>
      <c r="J3665" s="606"/>
      <c r="K3665" s="605"/>
      <c r="L3665" s="605"/>
      <c r="M3665" s="605"/>
      <c r="N3665" s="605"/>
      <c r="O3665" s="605"/>
      <c r="P3665" s="605"/>
    </row>
    <row r="3666">
      <c r="A3666" s="605"/>
      <c r="B3666" s="605"/>
      <c r="C3666" s="605"/>
      <c r="D3666" s="605"/>
      <c r="E3666" s="605"/>
      <c r="F3666" s="605"/>
      <c r="G3666" s="605"/>
      <c r="H3666" s="605"/>
      <c r="I3666" s="605"/>
      <c r="J3666" s="606"/>
      <c r="K3666" s="605"/>
      <c r="L3666" s="605"/>
      <c r="M3666" s="605"/>
      <c r="N3666" s="605"/>
      <c r="O3666" s="605"/>
      <c r="P3666" s="605"/>
    </row>
    <row r="3667">
      <c r="A3667" s="605"/>
      <c r="B3667" s="605"/>
      <c r="C3667" s="605"/>
      <c r="D3667" s="605"/>
      <c r="E3667" s="605"/>
      <c r="F3667" s="605"/>
      <c r="G3667" s="605"/>
      <c r="H3667" s="605"/>
      <c r="I3667" s="605"/>
      <c r="J3667" s="606"/>
      <c r="K3667" s="605"/>
      <c r="L3667" s="605"/>
      <c r="M3667" s="605"/>
      <c r="N3667" s="605"/>
      <c r="O3667" s="605"/>
      <c r="P3667" s="605"/>
    </row>
    <row r="3668">
      <c r="A3668" s="605"/>
      <c r="B3668" s="605"/>
      <c r="C3668" s="605"/>
      <c r="D3668" s="605"/>
      <c r="E3668" s="605"/>
      <c r="F3668" s="605"/>
      <c r="G3668" s="605"/>
      <c r="H3668" s="605"/>
      <c r="I3668" s="605"/>
      <c r="J3668" s="606"/>
      <c r="K3668" s="605"/>
      <c r="L3668" s="605"/>
      <c r="M3668" s="605"/>
      <c r="N3668" s="605"/>
      <c r="O3668" s="605"/>
      <c r="P3668" s="605"/>
    </row>
    <row r="3669">
      <c r="A3669" s="605"/>
      <c r="B3669" s="605"/>
      <c r="C3669" s="605"/>
      <c r="D3669" s="605"/>
      <c r="E3669" s="605"/>
      <c r="F3669" s="605"/>
      <c r="G3669" s="605"/>
      <c r="H3669" s="605"/>
      <c r="I3669" s="605"/>
      <c r="J3669" s="606"/>
      <c r="K3669" s="605"/>
      <c r="L3669" s="605"/>
      <c r="M3669" s="605"/>
      <c r="N3669" s="605"/>
      <c r="O3669" s="605"/>
      <c r="P3669" s="605"/>
    </row>
    <row r="3670">
      <c r="A3670" s="605"/>
      <c r="B3670" s="605"/>
      <c r="C3670" s="605"/>
      <c r="D3670" s="605"/>
      <c r="E3670" s="605"/>
      <c r="F3670" s="605"/>
      <c r="G3670" s="605"/>
      <c r="H3670" s="605"/>
      <c r="I3670" s="605"/>
      <c r="J3670" s="606"/>
      <c r="K3670" s="605"/>
      <c r="L3670" s="605"/>
      <c r="M3670" s="605"/>
      <c r="N3670" s="605"/>
      <c r="O3670" s="605"/>
      <c r="P3670" s="605"/>
    </row>
    <row r="3671">
      <c r="A3671" s="605"/>
      <c r="B3671" s="605"/>
      <c r="C3671" s="605"/>
      <c r="D3671" s="605"/>
      <c r="E3671" s="605"/>
      <c r="F3671" s="605"/>
      <c r="G3671" s="605"/>
      <c r="H3671" s="605"/>
      <c r="I3671" s="605"/>
      <c r="J3671" s="606"/>
      <c r="K3671" s="605"/>
      <c r="L3671" s="605"/>
      <c r="M3671" s="605"/>
      <c r="N3671" s="605"/>
      <c r="O3671" s="605"/>
      <c r="P3671" s="605"/>
    </row>
    <row r="3672">
      <c r="A3672" s="605"/>
      <c r="B3672" s="605"/>
      <c r="C3672" s="605"/>
      <c r="D3672" s="605"/>
      <c r="E3672" s="605"/>
      <c r="F3672" s="605"/>
      <c r="G3672" s="605"/>
      <c r="H3672" s="605"/>
      <c r="I3672" s="605"/>
      <c r="J3672" s="606"/>
      <c r="K3672" s="605"/>
      <c r="L3672" s="605"/>
      <c r="M3672" s="605"/>
      <c r="N3672" s="605"/>
      <c r="O3672" s="605"/>
      <c r="P3672" s="605"/>
    </row>
    <row r="3673">
      <c r="A3673" s="605"/>
      <c r="B3673" s="605"/>
      <c r="C3673" s="605"/>
      <c r="D3673" s="605"/>
      <c r="E3673" s="605"/>
      <c r="F3673" s="605"/>
      <c r="G3673" s="605"/>
      <c r="H3673" s="605"/>
      <c r="I3673" s="605"/>
      <c r="J3673" s="606"/>
      <c r="K3673" s="605"/>
      <c r="L3673" s="605"/>
      <c r="M3673" s="605"/>
      <c r="N3673" s="605"/>
      <c r="O3673" s="605"/>
      <c r="P3673" s="605"/>
    </row>
    <row r="3674">
      <c r="A3674" s="605"/>
      <c r="B3674" s="605"/>
      <c r="C3674" s="605"/>
      <c r="D3674" s="605"/>
      <c r="E3674" s="605"/>
      <c r="F3674" s="605"/>
      <c r="G3674" s="605"/>
      <c r="H3674" s="605"/>
      <c r="I3674" s="605"/>
      <c r="J3674" s="606"/>
      <c r="K3674" s="605"/>
      <c r="L3674" s="605"/>
      <c r="M3674" s="605"/>
      <c r="N3674" s="605"/>
      <c r="O3674" s="605"/>
      <c r="P3674" s="605"/>
    </row>
    <row r="3675">
      <c r="A3675" s="605"/>
      <c r="B3675" s="605"/>
      <c r="C3675" s="605"/>
      <c r="D3675" s="605"/>
      <c r="E3675" s="605"/>
      <c r="F3675" s="605"/>
      <c r="G3675" s="605"/>
      <c r="H3675" s="605"/>
      <c r="I3675" s="605"/>
      <c r="J3675" s="606"/>
      <c r="K3675" s="605"/>
      <c r="L3675" s="605"/>
      <c r="M3675" s="605"/>
      <c r="N3675" s="605"/>
      <c r="O3675" s="605"/>
      <c r="P3675" s="605"/>
    </row>
    <row r="3676">
      <c r="A3676" s="605"/>
      <c r="B3676" s="605"/>
      <c r="C3676" s="605"/>
      <c r="D3676" s="605"/>
      <c r="E3676" s="605"/>
      <c r="F3676" s="605"/>
      <c r="G3676" s="605"/>
      <c r="H3676" s="605"/>
      <c r="I3676" s="605"/>
      <c r="J3676" s="606"/>
      <c r="K3676" s="605"/>
      <c r="L3676" s="605"/>
      <c r="M3676" s="605"/>
      <c r="N3676" s="605"/>
      <c r="O3676" s="605"/>
      <c r="P3676" s="605"/>
    </row>
    <row r="3677">
      <c r="A3677" s="605"/>
      <c r="B3677" s="605"/>
      <c r="C3677" s="605"/>
      <c r="D3677" s="605"/>
      <c r="E3677" s="605"/>
      <c r="F3677" s="605"/>
      <c r="G3677" s="605"/>
      <c r="H3677" s="605"/>
      <c r="I3677" s="605"/>
      <c r="J3677" s="606"/>
      <c r="K3677" s="605"/>
      <c r="L3677" s="605"/>
      <c r="M3677" s="605"/>
      <c r="N3677" s="605"/>
      <c r="O3677" s="605"/>
      <c r="P3677" s="605"/>
    </row>
    <row r="3678">
      <c r="A3678" s="605"/>
      <c r="B3678" s="605"/>
      <c r="C3678" s="605"/>
      <c r="D3678" s="605"/>
      <c r="E3678" s="605"/>
      <c r="F3678" s="605"/>
      <c r="G3678" s="605"/>
      <c r="H3678" s="605"/>
      <c r="I3678" s="605"/>
      <c r="J3678" s="606"/>
      <c r="K3678" s="605"/>
      <c r="L3678" s="605"/>
      <c r="M3678" s="605"/>
      <c r="N3678" s="605"/>
      <c r="O3678" s="605"/>
      <c r="P3678" s="605"/>
    </row>
    <row r="3679">
      <c r="A3679" s="605"/>
      <c r="B3679" s="605"/>
      <c r="C3679" s="605"/>
      <c r="D3679" s="605"/>
      <c r="E3679" s="605"/>
      <c r="F3679" s="605"/>
      <c r="G3679" s="605"/>
      <c r="H3679" s="605"/>
      <c r="I3679" s="605"/>
      <c r="J3679" s="606"/>
      <c r="K3679" s="605"/>
      <c r="L3679" s="605"/>
      <c r="M3679" s="605"/>
      <c r="N3679" s="605"/>
      <c r="O3679" s="605"/>
      <c r="P3679" s="605"/>
    </row>
    <row r="3680">
      <c r="A3680" s="605"/>
      <c r="B3680" s="605"/>
      <c r="C3680" s="605"/>
      <c r="D3680" s="605"/>
      <c r="E3680" s="605"/>
      <c r="F3680" s="605"/>
      <c r="G3680" s="605"/>
      <c r="H3680" s="605"/>
      <c r="I3680" s="605"/>
      <c r="J3680" s="606"/>
      <c r="K3680" s="605"/>
      <c r="L3680" s="605"/>
      <c r="M3680" s="605"/>
      <c r="N3680" s="605"/>
      <c r="O3680" s="605"/>
      <c r="P3680" s="605"/>
    </row>
    <row r="3681">
      <c r="A3681" s="605"/>
      <c r="B3681" s="605"/>
      <c r="C3681" s="605"/>
      <c r="D3681" s="605"/>
      <c r="E3681" s="605"/>
      <c r="F3681" s="605"/>
      <c r="G3681" s="605"/>
      <c r="H3681" s="605"/>
      <c r="I3681" s="605"/>
      <c r="J3681" s="606"/>
      <c r="K3681" s="605"/>
      <c r="L3681" s="605"/>
      <c r="M3681" s="605"/>
      <c r="N3681" s="605"/>
      <c r="O3681" s="605"/>
      <c r="P3681" s="605"/>
    </row>
    <row r="3682">
      <c r="A3682" s="605"/>
      <c r="B3682" s="605"/>
      <c r="C3682" s="605"/>
      <c r="D3682" s="605"/>
      <c r="E3682" s="605"/>
      <c r="F3682" s="605"/>
      <c r="G3682" s="605"/>
      <c r="H3682" s="605"/>
      <c r="I3682" s="605"/>
      <c r="J3682" s="606"/>
      <c r="K3682" s="605"/>
      <c r="L3682" s="605"/>
      <c r="M3682" s="605"/>
      <c r="N3682" s="605"/>
      <c r="O3682" s="605"/>
      <c r="P3682" s="605"/>
    </row>
    <row r="3683">
      <c r="A3683" s="605"/>
      <c r="B3683" s="605"/>
      <c r="C3683" s="605"/>
      <c r="D3683" s="605"/>
      <c r="E3683" s="605"/>
      <c r="F3683" s="605"/>
      <c r="G3683" s="605"/>
      <c r="H3683" s="605"/>
      <c r="I3683" s="605"/>
      <c r="J3683" s="606"/>
      <c r="K3683" s="605"/>
      <c r="L3683" s="605"/>
      <c r="M3683" s="605"/>
      <c r="N3683" s="605"/>
      <c r="O3683" s="605"/>
      <c r="P3683" s="605"/>
    </row>
    <row r="3684">
      <c r="A3684" s="605"/>
      <c r="B3684" s="605"/>
      <c r="C3684" s="605"/>
      <c r="D3684" s="605"/>
      <c r="E3684" s="605"/>
      <c r="F3684" s="605"/>
      <c r="G3684" s="605"/>
      <c r="H3684" s="605"/>
      <c r="I3684" s="605"/>
      <c r="J3684" s="606"/>
      <c r="K3684" s="605"/>
      <c r="L3684" s="605"/>
      <c r="M3684" s="605"/>
      <c r="N3684" s="605"/>
      <c r="O3684" s="605"/>
      <c r="P3684" s="605"/>
    </row>
    <row r="3685">
      <c r="A3685" s="605"/>
      <c r="B3685" s="605"/>
      <c r="C3685" s="605"/>
      <c r="D3685" s="605"/>
      <c r="E3685" s="605"/>
      <c r="F3685" s="605"/>
      <c r="G3685" s="605"/>
      <c r="H3685" s="605"/>
      <c r="I3685" s="605"/>
      <c r="J3685" s="606"/>
      <c r="K3685" s="605"/>
      <c r="L3685" s="605"/>
      <c r="M3685" s="605"/>
      <c r="N3685" s="605"/>
      <c r="O3685" s="605"/>
      <c r="P3685" s="605"/>
    </row>
    <row r="3686">
      <c r="A3686" s="605"/>
      <c r="B3686" s="605"/>
      <c r="C3686" s="605"/>
      <c r="D3686" s="605"/>
      <c r="E3686" s="605"/>
      <c r="F3686" s="605"/>
      <c r="G3686" s="605"/>
      <c r="H3686" s="605"/>
      <c r="I3686" s="605"/>
      <c r="J3686" s="606"/>
      <c r="K3686" s="605"/>
      <c r="L3686" s="605"/>
      <c r="M3686" s="605"/>
      <c r="N3686" s="605"/>
      <c r="O3686" s="605"/>
      <c r="P3686" s="605"/>
    </row>
    <row r="3687">
      <c r="A3687" s="605"/>
      <c r="B3687" s="605"/>
      <c r="C3687" s="605"/>
      <c r="D3687" s="605"/>
      <c r="E3687" s="605"/>
      <c r="F3687" s="605"/>
      <c r="G3687" s="605"/>
      <c r="H3687" s="605"/>
      <c r="I3687" s="605"/>
      <c r="J3687" s="606"/>
      <c r="K3687" s="605"/>
      <c r="L3687" s="605"/>
      <c r="M3687" s="605"/>
      <c r="N3687" s="605"/>
      <c r="O3687" s="605"/>
      <c r="P3687" s="605"/>
    </row>
    <row r="3688">
      <c r="A3688" s="605"/>
      <c r="B3688" s="605"/>
      <c r="C3688" s="605"/>
      <c r="D3688" s="605"/>
      <c r="E3688" s="605"/>
      <c r="F3688" s="605"/>
      <c r="G3688" s="605"/>
      <c r="H3688" s="605"/>
      <c r="I3688" s="605"/>
      <c r="J3688" s="606"/>
      <c r="K3688" s="605"/>
      <c r="L3688" s="605"/>
      <c r="M3688" s="605"/>
      <c r="N3688" s="605"/>
      <c r="O3688" s="605"/>
      <c r="P3688" s="605"/>
    </row>
    <row r="3689">
      <c r="A3689" s="605"/>
      <c r="B3689" s="605"/>
      <c r="C3689" s="605"/>
      <c r="D3689" s="605"/>
      <c r="E3689" s="605"/>
      <c r="F3689" s="605"/>
      <c r="G3689" s="605"/>
      <c r="H3689" s="605"/>
      <c r="I3689" s="605"/>
      <c r="J3689" s="606"/>
      <c r="K3689" s="605"/>
      <c r="L3689" s="605"/>
      <c r="M3689" s="605"/>
      <c r="N3689" s="605"/>
      <c r="O3689" s="605"/>
      <c r="P3689" s="605"/>
    </row>
    <row r="3690">
      <c r="A3690" s="605"/>
      <c r="B3690" s="605"/>
      <c r="C3690" s="605"/>
      <c r="D3690" s="605"/>
      <c r="E3690" s="605"/>
      <c r="F3690" s="605"/>
      <c r="G3690" s="605"/>
      <c r="H3690" s="605"/>
      <c r="I3690" s="605"/>
      <c r="J3690" s="606"/>
      <c r="K3690" s="605"/>
      <c r="L3690" s="605"/>
      <c r="M3690" s="605"/>
      <c r="N3690" s="605"/>
      <c r="O3690" s="605"/>
      <c r="P3690" s="605"/>
    </row>
    <row r="3691">
      <c r="A3691" s="605"/>
      <c r="B3691" s="605"/>
      <c r="C3691" s="605"/>
      <c r="D3691" s="605"/>
      <c r="E3691" s="605"/>
      <c r="F3691" s="605"/>
      <c r="G3691" s="605"/>
      <c r="H3691" s="605"/>
      <c r="I3691" s="605"/>
      <c r="J3691" s="606"/>
      <c r="K3691" s="605"/>
      <c r="L3691" s="605"/>
      <c r="M3691" s="605"/>
      <c r="N3691" s="605"/>
      <c r="O3691" s="605"/>
      <c r="P3691" s="605"/>
    </row>
    <row r="3692">
      <c r="A3692" s="605"/>
      <c r="B3692" s="605"/>
      <c r="C3692" s="605"/>
      <c r="D3692" s="605"/>
      <c r="E3692" s="605"/>
      <c r="F3692" s="605"/>
      <c r="G3692" s="605"/>
      <c r="H3692" s="605"/>
      <c r="I3692" s="605"/>
      <c r="J3692" s="606"/>
      <c r="K3692" s="605"/>
      <c r="L3692" s="605"/>
      <c r="M3692" s="605"/>
      <c r="N3692" s="605"/>
      <c r="O3692" s="605"/>
      <c r="P3692" s="605"/>
    </row>
    <row r="3693">
      <c r="A3693" s="605"/>
      <c r="B3693" s="605"/>
      <c r="C3693" s="605"/>
      <c r="D3693" s="605"/>
      <c r="E3693" s="605"/>
      <c r="F3693" s="605"/>
      <c r="G3693" s="605"/>
      <c r="H3693" s="605"/>
      <c r="I3693" s="605"/>
      <c r="J3693" s="606"/>
      <c r="K3693" s="605"/>
      <c r="L3693" s="605"/>
      <c r="M3693" s="605"/>
      <c r="N3693" s="605"/>
      <c r="O3693" s="605"/>
      <c r="P3693" s="605"/>
    </row>
    <row r="3694">
      <c r="A3694" s="605"/>
      <c r="B3694" s="605"/>
      <c r="C3694" s="605"/>
      <c r="D3694" s="605"/>
      <c r="E3694" s="605"/>
      <c r="F3694" s="605"/>
      <c r="G3694" s="605"/>
      <c r="H3694" s="605"/>
      <c r="I3694" s="605"/>
      <c r="J3694" s="606"/>
      <c r="K3694" s="605"/>
      <c r="L3694" s="605"/>
      <c r="M3694" s="605"/>
      <c r="N3694" s="605"/>
      <c r="O3694" s="605"/>
      <c r="P3694" s="605"/>
    </row>
    <row r="3695">
      <c r="A3695" s="605"/>
      <c r="B3695" s="605"/>
      <c r="C3695" s="605"/>
      <c r="D3695" s="605"/>
      <c r="E3695" s="605"/>
      <c r="F3695" s="605"/>
      <c r="G3695" s="605"/>
      <c r="H3695" s="605"/>
      <c r="I3695" s="605"/>
      <c r="J3695" s="606"/>
      <c r="K3695" s="605"/>
      <c r="L3695" s="605"/>
      <c r="M3695" s="605"/>
      <c r="N3695" s="605"/>
      <c r="O3695" s="605"/>
      <c r="P3695" s="605"/>
    </row>
    <row r="3696">
      <c r="A3696" s="605"/>
      <c r="B3696" s="605"/>
      <c r="C3696" s="605"/>
      <c r="D3696" s="605"/>
      <c r="E3696" s="605"/>
      <c r="F3696" s="605"/>
      <c r="G3696" s="605"/>
      <c r="H3696" s="605"/>
      <c r="I3696" s="605"/>
      <c r="J3696" s="606"/>
      <c r="K3696" s="605"/>
      <c r="L3696" s="605"/>
      <c r="M3696" s="605"/>
      <c r="N3696" s="605"/>
      <c r="O3696" s="605"/>
      <c r="P3696" s="605"/>
    </row>
    <row r="3697">
      <c r="A3697" s="605"/>
      <c r="B3697" s="605"/>
      <c r="C3697" s="605"/>
      <c r="D3697" s="605"/>
      <c r="E3697" s="605"/>
      <c r="F3697" s="605"/>
      <c r="G3697" s="605"/>
      <c r="H3697" s="605"/>
      <c r="I3697" s="605"/>
      <c r="J3697" s="606"/>
      <c r="K3697" s="605"/>
      <c r="L3697" s="605"/>
      <c r="M3697" s="605"/>
      <c r="N3697" s="605"/>
      <c r="O3697" s="605"/>
      <c r="P3697" s="605"/>
    </row>
    <row r="3698">
      <c r="A3698" s="605"/>
      <c r="B3698" s="605"/>
      <c r="C3698" s="605"/>
      <c r="D3698" s="605"/>
      <c r="E3698" s="605"/>
      <c r="F3698" s="605"/>
      <c r="G3698" s="605"/>
      <c r="H3698" s="605"/>
      <c r="I3698" s="605"/>
      <c r="J3698" s="606"/>
      <c r="K3698" s="605"/>
      <c r="L3698" s="605"/>
      <c r="M3698" s="605"/>
      <c r="N3698" s="605"/>
      <c r="O3698" s="605"/>
      <c r="P3698" s="605"/>
    </row>
    <row r="3699">
      <c r="A3699" s="605"/>
      <c r="B3699" s="605"/>
      <c r="C3699" s="605"/>
      <c r="D3699" s="605"/>
      <c r="E3699" s="605"/>
      <c r="F3699" s="605"/>
      <c r="G3699" s="605"/>
      <c r="H3699" s="605"/>
      <c r="I3699" s="605"/>
      <c r="J3699" s="606"/>
      <c r="K3699" s="605"/>
      <c r="L3699" s="605"/>
      <c r="M3699" s="605"/>
      <c r="N3699" s="605"/>
      <c r="O3699" s="605"/>
      <c r="P3699" s="605"/>
    </row>
    <row r="3700">
      <c r="A3700" s="605"/>
      <c r="B3700" s="605"/>
      <c r="C3700" s="605"/>
      <c r="D3700" s="605"/>
      <c r="E3700" s="605"/>
      <c r="F3700" s="605"/>
      <c r="G3700" s="605"/>
      <c r="H3700" s="605"/>
      <c r="I3700" s="605"/>
      <c r="J3700" s="606"/>
      <c r="K3700" s="605"/>
      <c r="L3700" s="605"/>
      <c r="M3700" s="605"/>
      <c r="N3700" s="605"/>
      <c r="O3700" s="605"/>
      <c r="P3700" s="605"/>
    </row>
    <row r="3701">
      <c r="A3701" s="605"/>
      <c r="B3701" s="605"/>
      <c r="C3701" s="605"/>
      <c r="D3701" s="605"/>
      <c r="E3701" s="605"/>
      <c r="F3701" s="605"/>
      <c r="G3701" s="605"/>
      <c r="H3701" s="605"/>
      <c r="I3701" s="605"/>
      <c r="J3701" s="606"/>
      <c r="K3701" s="605"/>
      <c r="L3701" s="605"/>
      <c r="M3701" s="605"/>
      <c r="N3701" s="605"/>
      <c r="O3701" s="605"/>
      <c r="P3701" s="605"/>
    </row>
    <row r="3702">
      <c r="A3702" s="605"/>
      <c r="B3702" s="605"/>
      <c r="C3702" s="605"/>
      <c r="D3702" s="605"/>
      <c r="E3702" s="605"/>
      <c r="F3702" s="605"/>
      <c r="G3702" s="605"/>
      <c r="H3702" s="605"/>
      <c r="I3702" s="605"/>
      <c r="J3702" s="606"/>
      <c r="K3702" s="605"/>
      <c r="L3702" s="605"/>
      <c r="M3702" s="605"/>
      <c r="N3702" s="605"/>
      <c r="O3702" s="605"/>
      <c r="P3702" s="605"/>
    </row>
    <row r="3703">
      <c r="A3703" s="605"/>
      <c r="B3703" s="605"/>
      <c r="C3703" s="605"/>
      <c r="D3703" s="605"/>
      <c r="E3703" s="605"/>
      <c r="F3703" s="605"/>
      <c r="G3703" s="605"/>
      <c r="H3703" s="605"/>
      <c r="I3703" s="605"/>
      <c r="J3703" s="606"/>
      <c r="K3703" s="605"/>
      <c r="L3703" s="605"/>
      <c r="M3703" s="605"/>
      <c r="N3703" s="605"/>
      <c r="O3703" s="605"/>
      <c r="P3703" s="605"/>
    </row>
    <row r="3704">
      <c r="A3704" s="605"/>
      <c r="B3704" s="605"/>
      <c r="C3704" s="605"/>
      <c r="D3704" s="605"/>
      <c r="E3704" s="605"/>
      <c r="F3704" s="605"/>
      <c r="G3704" s="605"/>
      <c r="H3704" s="605"/>
      <c r="I3704" s="605"/>
      <c r="J3704" s="606"/>
      <c r="K3704" s="605"/>
      <c r="L3704" s="605"/>
      <c r="M3704" s="605"/>
      <c r="N3704" s="605"/>
      <c r="O3704" s="605"/>
      <c r="P3704" s="605"/>
    </row>
    <row r="3705">
      <c r="A3705" s="605"/>
      <c r="B3705" s="605"/>
      <c r="C3705" s="605"/>
      <c r="D3705" s="605"/>
      <c r="E3705" s="605"/>
      <c r="F3705" s="605"/>
      <c r="G3705" s="605"/>
      <c r="H3705" s="605"/>
      <c r="I3705" s="605"/>
      <c r="J3705" s="606"/>
      <c r="K3705" s="605"/>
      <c r="L3705" s="605"/>
      <c r="M3705" s="605"/>
      <c r="N3705" s="605"/>
      <c r="O3705" s="605"/>
      <c r="P3705" s="605"/>
    </row>
    <row r="3706">
      <c r="A3706" s="605"/>
      <c r="B3706" s="605"/>
      <c r="C3706" s="605"/>
      <c r="D3706" s="605"/>
      <c r="E3706" s="605"/>
      <c r="F3706" s="605"/>
      <c r="G3706" s="605"/>
      <c r="H3706" s="605"/>
      <c r="I3706" s="605"/>
      <c r="J3706" s="606"/>
      <c r="K3706" s="605"/>
      <c r="L3706" s="605"/>
      <c r="M3706" s="605"/>
      <c r="N3706" s="605"/>
      <c r="O3706" s="605"/>
      <c r="P3706" s="605"/>
    </row>
    <row r="3707">
      <c r="A3707" s="605"/>
      <c r="B3707" s="605"/>
      <c r="C3707" s="605"/>
      <c r="D3707" s="605"/>
      <c r="E3707" s="605"/>
      <c r="F3707" s="605"/>
      <c r="G3707" s="605"/>
      <c r="H3707" s="605"/>
      <c r="I3707" s="605"/>
      <c r="J3707" s="606"/>
      <c r="K3707" s="605"/>
      <c r="L3707" s="605"/>
      <c r="M3707" s="605"/>
      <c r="N3707" s="605"/>
      <c r="O3707" s="605"/>
      <c r="P3707" s="605"/>
    </row>
    <row r="3708">
      <c r="A3708" s="605"/>
      <c r="B3708" s="605"/>
      <c r="C3708" s="605"/>
      <c r="D3708" s="605"/>
      <c r="E3708" s="605"/>
      <c r="F3708" s="605"/>
      <c r="G3708" s="605"/>
      <c r="H3708" s="605"/>
      <c r="I3708" s="605"/>
      <c r="J3708" s="606"/>
      <c r="K3708" s="605"/>
      <c r="L3708" s="605"/>
      <c r="M3708" s="605"/>
      <c r="N3708" s="605"/>
      <c r="O3708" s="605"/>
      <c r="P3708" s="605"/>
    </row>
    <row r="3709">
      <c r="A3709" s="605"/>
      <c r="B3709" s="605"/>
      <c r="C3709" s="605"/>
      <c r="D3709" s="605"/>
      <c r="E3709" s="605"/>
      <c r="F3709" s="605"/>
      <c r="G3709" s="605"/>
      <c r="H3709" s="605"/>
      <c r="I3709" s="605"/>
      <c r="J3709" s="606"/>
      <c r="K3709" s="605"/>
      <c r="L3709" s="605"/>
      <c r="M3709" s="605"/>
      <c r="N3709" s="605"/>
      <c r="O3709" s="605"/>
      <c r="P3709" s="605"/>
    </row>
    <row r="3710">
      <c r="A3710" s="605"/>
      <c r="B3710" s="605"/>
      <c r="C3710" s="605"/>
      <c r="D3710" s="605"/>
      <c r="E3710" s="605"/>
      <c r="F3710" s="605"/>
      <c r="G3710" s="605"/>
      <c r="H3710" s="605"/>
      <c r="I3710" s="605"/>
      <c r="J3710" s="606"/>
      <c r="K3710" s="605"/>
      <c r="L3710" s="605"/>
      <c r="M3710" s="605"/>
      <c r="N3710" s="605"/>
      <c r="O3710" s="605"/>
      <c r="P3710" s="605"/>
    </row>
    <row r="3711">
      <c r="A3711" s="605"/>
      <c r="B3711" s="605"/>
      <c r="C3711" s="605"/>
      <c r="D3711" s="605"/>
      <c r="E3711" s="605"/>
      <c r="F3711" s="605"/>
      <c r="G3711" s="605"/>
      <c r="H3711" s="605"/>
      <c r="I3711" s="605"/>
      <c r="J3711" s="606"/>
      <c r="K3711" s="605"/>
      <c r="L3711" s="605"/>
      <c r="M3711" s="605"/>
      <c r="N3711" s="605"/>
      <c r="O3711" s="605"/>
      <c r="P3711" s="605"/>
    </row>
    <row r="3712">
      <c r="A3712" s="605"/>
      <c r="B3712" s="605"/>
      <c r="C3712" s="605"/>
      <c r="D3712" s="605"/>
      <c r="E3712" s="605"/>
      <c r="F3712" s="605"/>
      <c r="G3712" s="605"/>
      <c r="H3712" s="605"/>
      <c r="I3712" s="605"/>
      <c r="J3712" s="606"/>
      <c r="K3712" s="605"/>
      <c r="L3712" s="605"/>
      <c r="M3712" s="605"/>
      <c r="N3712" s="605"/>
      <c r="O3712" s="605"/>
      <c r="P3712" s="605"/>
    </row>
    <row r="3713">
      <c r="A3713" s="605"/>
      <c r="B3713" s="605"/>
      <c r="C3713" s="605"/>
      <c r="D3713" s="605"/>
      <c r="E3713" s="605"/>
      <c r="F3713" s="605"/>
      <c r="G3713" s="605"/>
      <c r="H3713" s="605"/>
      <c r="I3713" s="605"/>
      <c r="J3713" s="606"/>
      <c r="K3713" s="605"/>
      <c r="L3713" s="605"/>
      <c r="M3713" s="605"/>
      <c r="N3713" s="605"/>
      <c r="O3713" s="605"/>
      <c r="P3713" s="605"/>
    </row>
    <row r="3714">
      <c r="A3714" s="605"/>
      <c r="B3714" s="605"/>
      <c r="C3714" s="605"/>
      <c r="D3714" s="605"/>
      <c r="E3714" s="605"/>
      <c r="F3714" s="605"/>
      <c r="G3714" s="605"/>
      <c r="H3714" s="605"/>
      <c r="I3714" s="605"/>
      <c r="J3714" s="606"/>
      <c r="K3714" s="605"/>
      <c r="L3714" s="605"/>
      <c r="M3714" s="605"/>
      <c r="N3714" s="605"/>
      <c r="O3714" s="605"/>
      <c r="P3714" s="605"/>
    </row>
    <row r="3715">
      <c r="A3715" s="605"/>
      <c r="B3715" s="605"/>
      <c r="C3715" s="605"/>
      <c r="D3715" s="605"/>
      <c r="E3715" s="605"/>
      <c r="F3715" s="605"/>
      <c r="G3715" s="605"/>
      <c r="H3715" s="605"/>
      <c r="I3715" s="605"/>
      <c r="J3715" s="606"/>
      <c r="K3715" s="605"/>
      <c r="L3715" s="605"/>
      <c r="M3715" s="605"/>
      <c r="N3715" s="605"/>
      <c r="O3715" s="605"/>
      <c r="P3715" s="605"/>
    </row>
    <row r="3716">
      <c r="A3716" s="605"/>
      <c r="B3716" s="605"/>
      <c r="C3716" s="605"/>
      <c r="D3716" s="605"/>
      <c r="E3716" s="605"/>
      <c r="F3716" s="605"/>
      <c r="G3716" s="605"/>
      <c r="H3716" s="605"/>
      <c r="I3716" s="605"/>
      <c r="J3716" s="606"/>
      <c r="K3716" s="605"/>
      <c r="L3716" s="605"/>
      <c r="M3716" s="605"/>
      <c r="N3716" s="605"/>
      <c r="O3716" s="605"/>
      <c r="P3716" s="605"/>
    </row>
    <row r="3717">
      <c r="A3717" s="605"/>
      <c r="B3717" s="605"/>
      <c r="C3717" s="605"/>
      <c r="D3717" s="605"/>
      <c r="E3717" s="605"/>
      <c r="F3717" s="605"/>
      <c r="G3717" s="605"/>
      <c r="H3717" s="605"/>
      <c r="I3717" s="605"/>
      <c r="J3717" s="606"/>
      <c r="K3717" s="605"/>
      <c r="L3717" s="605"/>
      <c r="M3717" s="605"/>
      <c r="N3717" s="605"/>
      <c r="O3717" s="605"/>
      <c r="P3717" s="605"/>
    </row>
    <row r="3718">
      <c r="A3718" s="605"/>
      <c r="B3718" s="605"/>
      <c r="C3718" s="605"/>
      <c r="D3718" s="605"/>
      <c r="E3718" s="605"/>
      <c r="F3718" s="605"/>
      <c r="G3718" s="605"/>
      <c r="H3718" s="605"/>
      <c r="I3718" s="605"/>
      <c r="J3718" s="606"/>
      <c r="K3718" s="605"/>
      <c r="L3718" s="605"/>
      <c r="M3718" s="605"/>
      <c r="N3718" s="605"/>
      <c r="O3718" s="605"/>
      <c r="P3718" s="605"/>
    </row>
    <row r="3719">
      <c r="A3719" s="605"/>
      <c r="B3719" s="605"/>
      <c r="C3719" s="605"/>
      <c r="D3719" s="605"/>
      <c r="E3719" s="605"/>
      <c r="F3719" s="605"/>
      <c r="G3719" s="605"/>
      <c r="H3719" s="605"/>
      <c r="I3719" s="605"/>
      <c r="J3719" s="606"/>
      <c r="K3719" s="605"/>
      <c r="L3719" s="605"/>
      <c r="M3719" s="605"/>
      <c r="N3719" s="605"/>
      <c r="O3719" s="605"/>
      <c r="P3719" s="605"/>
    </row>
    <row r="3720">
      <c r="A3720" s="605"/>
      <c r="B3720" s="605"/>
      <c r="C3720" s="605"/>
      <c r="D3720" s="605"/>
      <c r="E3720" s="605"/>
      <c r="F3720" s="605"/>
      <c r="G3720" s="605"/>
      <c r="H3720" s="605"/>
      <c r="I3720" s="605"/>
      <c r="J3720" s="606"/>
      <c r="K3720" s="605"/>
      <c r="L3720" s="605"/>
      <c r="M3720" s="605"/>
      <c r="N3720" s="605"/>
      <c r="O3720" s="605"/>
      <c r="P3720" s="605"/>
    </row>
    <row r="3721">
      <c r="A3721" s="605"/>
      <c r="B3721" s="605"/>
      <c r="C3721" s="605"/>
      <c r="D3721" s="605"/>
      <c r="E3721" s="605"/>
      <c r="F3721" s="605"/>
      <c r="G3721" s="605"/>
      <c r="H3721" s="605"/>
      <c r="I3721" s="605"/>
      <c r="J3721" s="606"/>
      <c r="K3721" s="605"/>
      <c r="L3721" s="605"/>
      <c r="M3721" s="605"/>
      <c r="N3721" s="605"/>
      <c r="O3721" s="605"/>
      <c r="P3721" s="605"/>
    </row>
    <row r="3722">
      <c r="A3722" s="605"/>
      <c r="B3722" s="605"/>
      <c r="C3722" s="605"/>
      <c r="D3722" s="605"/>
      <c r="E3722" s="605"/>
      <c r="F3722" s="605"/>
      <c r="G3722" s="605"/>
      <c r="H3722" s="605"/>
      <c r="I3722" s="605"/>
      <c r="J3722" s="606"/>
      <c r="K3722" s="605"/>
      <c r="L3722" s="605"/>
      <c r="M3722" s="605"/>
      <c r="N3722" s="605"/>
      <c r="O3722" s="605"/>
      <c r="P3722" s="605"/>
    </row>
    <row r="3723">
      <c r="A3723" s="605"/>
      <c r="B3723" s="605"/>
      <c r="C3723" s="605"/>
      <c r="D3723" s="605"/>
      <c r="E3723" s="605"/>
      <c r="F3723" s="605"/>
      <c r="G3723" s="605"/>
      <c r="H3723" s="605"/>
      <c r="I3723" s="605"/>
      <c r="J3723" s="606"/>
      <c r="K3723" s="605"/>
      <c r="L3723" s="605"/>
      <c r="M3723" s="605"/>
      <c r="N3723" s="605"/>
      <c r="O3723" s="605"/>
      <c r="P3723" s="605"/>
    </row>
    <row r="3724">
      <c r="A3724" s="605"/>
      <c r="B3724" s="605"/>
      <c r="C3724" s="605"/>
      <c r="D3724" s="605"/>
      <c r="E3724" s="605"/>
      <c r="F3724" s="605"/>
      <c r="G3724" s="605"/>
      <c r="H3724" s="605"/>
      <c r="I3724" s="605"/>
      <c r="J3724" s="606"/>
      <c r="K3724" s="605"/>
      <c r="L3724" s="605"/>
      <c r="M3724" s="605"/>
      <c r="N3724" s="605"/>
      <c r="O3724" s="605"/>
      <c r="P3724" s="605"/>
    </row>
    <row r="3725">
      <c r="A3725" s="605"/>
      <c r="B3725" s="605"/>
      <c r="C3725" s="605"/>
      <c r="D3725" s="605"/>
      <c r="E3725" s="605"/>
      <c r="F3725" s="605"/>
      <c r="G3725" s="605"/>
      <c r="H3725" s="605"/>
      <c r="I3725" s="605"/>
      <c r="J3725" s="606"/>
      <c r="K3725" s="605"/>
      <c r="L3725" s="605"/>
      <c r="M3725" s="605"/>
      <c r="N3725" s="605"/>
      <c r="O3725" s="605"/>
      <c r="P3725" s="605"/>
    </row>
    <row r="3726">
      <c r="A3726" s="605"/>
      <c r="B3726" s="605"/>
      <c r="C3726" s="605"/>
      <c r="D3726" s="605"/>
      <c r="E3726" s="605"/>
      <c r="F3726" s="605"/>
      <c r="G3726" s="605"/>
      <c r="H3726" s="605"/>
      <c r="I3726" s="605"/>
      <c r="J3726" s="606"/>
      <c r="K3726" s="605"/>
      <c r="L3726" s="605"/>
      <c r="M3726" s="605"/>
      <c r="N3726" s="605"/>
      <c r="O3726" s="605"/>
      <c r="P3726" s="605"/>
    </row>
    <row r="3727">
      <c r="A3727" s="605"/>
      <c r="B3727" s="605"/>
      <c r="C3727" s="605"/>
      <c r="D3727" s="605"/>
      <c r="E3727" s="605"/>
      <c r="F3727" s="605"/>
      <c r="G3727" s="605"/>
      <c r="H3727" s="605"/>
      <c r="I3727" s="605"/>
      <c r="J3727" s="606"/>
      <c r="K3727" s="605"/>
      <c r="L3727" s="605"/>
      <c r="M3727" s="605"/>
      <c r="N3727" s="605"/>
      <c r="O3727" s="605"/>
      <c r="P3727" s="605"/>
    </row>
    <row r="3728">
      <c r="A3728" s="605"/>
      <c r="B3728" s="605"/>
      <c r="C3728" s="605"/>
      <c r="D3728" s="605"/>
      <c r="E3728" s="605"/>
      <c r="F3728" s="605"/>
      <c r="G3728" s="605"/>
      <c r="H3728" s="605"/>
      <c r="I3728" s="605"/>
      <c r="J3728" s="606"/>
      <c r="K3728" s="605"/>
      <c r="L3728" s="605"/>
      <c r="M3728" s="605"/>
      <c r="N3728" s="605"/>
      <c r="O3728" s="605"/>
      <c r="P3728" s="605"/>
    </row>
    <row r="3729">
      <c r="A3729" s="605"/>
      <c r="B3729" s="605"/>
      <c r="C3729" s="605"/>
      <c r="D3729" s="605"/>
      <c r="E3729" s="605"/>
      <c r="F3729" s="605"/>
      <c r="G3729" s="605"/>
      <c r="H3729" s="605"/>
      <c r="I3729" s="605"/>
      <c r="J3729" s="606"/>
      <c r="K3729" s="605"/>
      <c r="L3729" s="605"/>
      <c r="M3729" s="605"/>
      <c r="N3729" s="605"/>
      <c r="O3729" s="605"/>
      <c r="P3729" s="605"/>
    </row>
    <row r="3730">
      <c r="A3730" s="605"/>
      <c r="B3730" s="605"/>
      <c r="C3730" s="605"/>
      <c r="D3730" s="605"/>
      <c r="E3730" s="605"/>
      <c r="F3730" s="605"/>
      <c r="G3730" s="605"/>
      <c r="H3730" s="605"/>
      <c r="I3730" s="605"/>
      <c r="J3730" s="606"/>
      <c r="K3730" s="605"/>
      <c r="L3730" s="605"/>
      <c r="M3730" s="605"/>
      <c r="N3730" s="605"/>
      <c r="O3730" s="605"/>
      <c r="P3730" s="605"/>
    </row>
    <row r="3731">
      <c r="A3731" s="605"/>
      <c r="B3731" s="605"/>
      <c r="C3731" s="605"/>
      <c r="D3731" s="605"/>
      <c r="E3731" s="605"/>
      <c r="F3731" s="605"/>
      <c r="G3731" s="605"/>
      <c r="H3731" s="605"/>
      <c r="I3731" s="605"/>
      <c r="J3731" s="606"/>
      <c r="K3731" s="605"/>
      <c r="L3731" s="605"/>
      <c r="M3731" s="605"/>
      <c r="N3731" s="605"/>
      <c r="O3731" s="605"/>
      <c r="P3731" s="605"/>
    </row>
    <row r="3732">
      <c r="A3732" s="605"/>
      <c r="B3732" s="605"/>
      <c r="C3732" s="605"/>
      <c r="D3732" s="605"/>
      <c r="E3732" s="605"/>
      <c r="F3732" s="605"/>
      <c r="G3732" s="605"/>
      <c r="H3732" s="605"/>
      <c r="I3732" s="605"/>
      <c r="J3732" s="606"/>
      <c r="K3732" s="605"/>
      <c r="L3732" s="605"/>
      <c r="M3732" s="605"/>
      <c r="N3732" s="605"/>
      <c r="O3732" s="605"/>
      <c r="P3732" s="605"/>
    </row>
    <row r="3733">
      <c r="A3733" s="605"/>
      <c r="B3733" s="605"/>
      <c r="C3733" s="605"/>
      <c r="D3733" s="605"/>
      <c r="E3733" s="605"/>
      <c r="F3733" s="605"/>
      <c r="G3733" s="605"/>
      <c r="H3733" s="605"/>
      <c r="I3733" s="605"/>
      <c r="J3733" s="606"/>
      <c r="K3733" s="605"/>
      <c r="L3733" s="605"/>
      <c r="M3733" s="605"/>
      <c r="N3733" s="605"/>
      <c r="O3733" s="605"/>
      <c r="P3733" s="605"/>
    </row>
    <row r="3734">
      <c r="A3734" s="605"/>
      <c r="B3734" s="605"/>
      <c r="C3734" s="605"/>
      <c r="D3734" s="605"/>
      <c r="E3734" s="605"/>
      <c r="F3734" s="605"/>
      <c r="G3734" s="605"/>
      <c r="H3734" s="605"/>
      <c r="I3734" s="605"/>
      <c r="J3734" s="606"/>
      <c r="K3734" s="605"/>
      <c r="L3734" s="605"/>
      <c r="M3734" s="605"/>
      <c r="N3734" s="605"/>
      <c r="O3734" s="605"/>
      <c r="P3734" s="605"/>
    </row>
    <row r="3735">
      <c r="A3735" s="605"/>
      <c r="B3735" s="605"/>
      <c r="C3735" s="605"/>
      <c r="D3735" s="605"/>
      <c r="E3735" s="605"/>
      <c r="F3735" s="605"/>
      <c r="G3735" s="605"/>
      <c r="H3735" s="605"/>
      <c r="I3735" s="605"/>
      <c r="J3735" s="606"/>
      <c r="K3735" s="605"/>
      <c r="L3735" s="605"/>
      <c r="M3735" s="605"/>
      <c r="N3735" s="605"/>
      <c r="O3735" s="605"/>
      <c r="P3735" s="605"/>
    </row>
    <row r="3736">
      <c r="A3736" s="605"/>
      <c r="B3736" s="605"/>
      <c r="C3736" s="605"/>
      <c r="D3736" s="605"/>
      <c r="E3736" s="605"/>
      <c r="F3736" s="605"/>
      <c r="G3736" s="605"/>
      <c r="H3736" s="605"/>
      <c r="I3736" s="605"/>
      <c r="J3736" s="606"/>
      <c r="K3736" s="605"/>
      <c r="L3736" s="605"/>
      <c r="M3736" s="605"/>
      <c r="N3736" s="605"/>
      <c r="O3736" s="605"/>
      <c r="P3736" s="605"/>
    </row>
    <row r="3737">
      <c r="A3737" s="605"/>
      <c r="B3737" s="605"/>
      <c r="C3737" s="605"/>
      <c r="D3737" s="605"/>
      <c r="E3737" s="605"/>
      <c r="F3737" s="605"/>
      <c r="G3737" s="605"/>
      <c r="H3737" s="605"/>
      <c r="I3737" s="605"/>
      <c r="J3737" s="606"/>
      <c r="K3737" s="605"/>
      <c r="L3737" s="605"/>
      <c r="M3737" s="605"/>
      <c r="N3737" s="605"/>
      <c r="O3737" s="605"/>
      <c r="P3737" s="605"/>
    </row>
    <row r="3738">
      <c r="A3738" s="605"/>
      <c r="B3738" s="605"/>
      <c r="C3738" s="605"/>
      <c r="D3738" s="605"/>
      <c r="E3738" s="605"/>
      <c r="F3738" s="605"/>
      <c r="G3738" s="605"/>
      <c r="H3738" s="605"/>
      <c r="I3738" s="605"/>
      <c r="J3738" s="606"/>
      <c r="K3738" s="605"/>
      <c r="L3738" s="605"/>
      <c r="M3738" s="605"/>
      <c r="N3738" s="605"/>
      <c r="O3738" s="605"/>
      <c r="P3738" s="605"/>
    </row>
    <row r="3739">
      <c r="A3739" s="605"/>
      <c r="B3739" s="605"/>
      <c r="C3739" s="605"/>
      <c r="D3739" s="605"/>
      <c r="E3739" s="605"/>
      <c r="F3739" s="605"/>
      <c r="G3739" s="605"/>
      <c r="H3739" s="605"/>
      <c r="I3739" s="605"/>
      <c r="J3739" s="606"/>
      <c r="K3739" s="605"/>
      <c r="L3739" s="605"/>
      <c r="M3739" s="605"/>
      <c r="N3739" s="605"/>
      <c r="O3739" s="605"/>
      <c r="P3739" s="605"/>
    </row>
    <row r="3740">
      <c r="A3740" s="605"/>
      <c r="B3740" s="605"/>
      <c r="C3740" s="605"/>
      <c r="D3740" s="605"/>
      <c r="E3740" s="605"/>
      <c r="F3740" s="605"/>
      <c r="G3740" s="605"/>
      <c r="H3740" s="605"/>
      <c r="I3740" s="605"/>
      <c r="J3740" s="606"/>
      <c r="K3740" s="605"/>
      <c r="L3740" s="605"/>
      <c r="M3740" s="605"/>
      <c r="N3740" s="605"/>
      <c r="O3740" s="605"/>
      <c r="P3740" s="605"/>
    </row>
    <row r="3741">
      <c r="A3741" s="605"/>
      <c r="B3741" s="605"/>
      <c r="C3741" s="605"/>
      <c r="D3741" s="605"/>
      <c r="E3741" s="605"/>
      <c r="F3741" s="605"/>
      <c r="G3741" s="605"/>
      <c r="H3741" s="605"/>
      <c r="I3741" s="605"/>
      <c r="J3741" s="606"/>
      <c r="K3741" s="605"/>
      <c r="L3741" s="605"/>
      <c r="M3741" s="605"/>
      <c r="N3741" s="605"/>
      <c r="O3741" s="605"/>
      <c r="P3741" s="605"/>
    </row>
    <row r="3742">
      <c r="A3742" s="605"/>
      <c r="B3742" s="605"/>
      <c r="C3742" s="605"/>
      <c r="D3742" s="605"/>
      <c r="E3742" s="605"/>
      <c r="F3742" s="605"/>
      <c r="G3742" s="605"/>
      <c r="H3742" s="605"/>
      <c r="I3742" s="605"/>
      <c r="J3742" s="606"/>
      <c r="K3742" s="605"/>
      <c r="L3742" s="605"/>
      <c r="M3742" s="605"/>
      <c r="N3742" s="605"/>
      <c r="O3742" s="605"/>
      <c r="P3742" s="605"/>
    </row>
    <row r="3743">
      <c r="A3743" s="605"/>
      <c r="B3743" s="605"/>
      <c r="C3743" s="605"/>
      <c r="D3743" s="605"/>
      <c r="E3743" s="605"/>
      <c r="F3743" s="605"/>
      <c r="G3743" s="605"/>
      <c r="H3743" s="605"/>
      <c r="I3743" s="605"/>
      <c r="J3743" s="606"/>
      <c r="K3743" s="605"/>
      <c r="L3743" s="605"/>
      <c r="M3743" s="605"/>
      <c r="N3743" s="605"/>
      <c r="O3743" s="605"/>
      <c r="P3743" s="605"/>
    </row>
    <row r="3744">
      <c r="A3744" s="605"/>
      <c r="B3744" s="605"/>
      <c r="C3744" s="605"/>
      <c r="D3744" s="605"/>
      <c r="E3744" s="605"/>
      <c r="F3744" s="605"/>
      <c r="G3744" s="605"/>
      <c r="H3744" s="605"/>
      <c r="I3744" s="605"/>
      <c r="J3744" s="606"/>
      <c r="K3744" s="605"/>
      <c r="L3744" s="605"/>
      <c r="M3744" s="605"/>
      <c r="N3744" s="605"/>
      <c r="O3744" s="605"/>
      <c r="P3744" s="605"/>
    </row>
    <row r="3745">
      <c r="A3745" s="605"/>
      <c r="B3745" s="605"/>
      <c r="C3745" s="605"/>
      <c r="D3745" s="605"/>
      <c r="E3745" s="605"/>
      <c r="F3745" s="605"/>
      <c r="G3745" s="605"/>
      <c r="H3745" s="605"/>
      <c r="I3745" s="605"/>
      <c r="J3745" s="606"/>
      <c r="K3745" s="605"/>
      <c r="L3745" s="605"/>
      <c r="M3745" s="605"/>
      <c r="N3745" s="605"/>
      <c r="O3745" s="605"/>
      <c r="P3745" s="605"/>
    </row>
    <row r="3746">
      <c r="A3746" s="605"/>
      <c r="B3746" s="605"/>
      <c r="C3746" s="605"/>
      <c r="D3746" s="605"/>
      <c r="E3746" s="605"/>
      <c r="F3746" s="605"/>
      <c r="G3746" s="605"/>
      <c r="H3746" s="605"/>
      <c r="I3746" s="605"/>
      <c r="J3746" s="606"/>
      <c r="K3746" s="605"/>
      <c r="L3746" s="605"/>
      <c r="M3746" s="605"/>
      <c r="N3746" s="605"/>
      <c r="O3746" s="605"/>
      <c r="P3746" s="605"/>
    </row>
    <row r="3747">
      <c r="A3747" s="605"/>
      <c r="B3747" s="605"/>
      <c r="C3747" s="605"/>
      <c r="D3747" s="605"/>
      <c r="E3747" s="605"/>
      <c r="F3747" s="605"/>
      <c r="G3747" s="605"/>
      <c r="H3747" s="605"/>
      <c r="I3747" s="605"/>
      <c r="J3747" s="606"/>
      <c r="K3747" s="605"/>
      <c r="L3747" s="605"/>
      <c r="M3747" s="605"/>
      <c r="N3747" s="605"/>
      <c r="O3747" s="605"/>
      <c r="P3747" s="605"/>
    </row>
    <row r="3748">
      <c r="A3748" s="605"/>
      <c r="B3748" s="605"/>
      <c r="C3748" s="605"/>
      <c r="D3748" s="605"/>
      <c r="E3748" s="605"/>
      <c r="F3748" s="605"/>
      <c r="G3748" s="605"/>
      <c r="H3748" s="605"/>
      <c r="I3748" s="605"/>
      <c r="J3748" s="606"/>
      <c r="K3748" s="605"/>
      <c r="L3748" s="605"/>
      <c r="M3748" s="605"/>
      <c r="N3748" s="605"/>
      <c r="O3748" s="605"/>
      <c r="P3748" s="605"/>
    </row>
    <row r="3749">
      <c r="A3749" s="605"/>
      <c r="B3749" s="605"/>
      <c r="C3749" s="605"/>
      <c r="D3749" s="605"/>
      <c r="E3749" s="605"/>
      <c r="F3749" s="605"/>
      <c r="G3749" s="605"/>
      <c r="H3749" s="605"/>
      <c r="I3749" s="605"/>
      <c r="J3749" s="606"/>
      <c r="K3749" s="605"/>
      <c r="L3749" s="605"/>
      <c r="M3749" s="605"/>
      <c r="N3749" s="605"/>
      <c r="O3749" s="605"/>
      <c r="P3749" s="605"/>
    </row>
    <row r="3750">
      <c r="A3750" s="605"/>
      <c r="B3750" s="605"/>
      <c r="C3750" s="605"/>
      <c r="D3750" s="605"/>
      <c r="E3750" s="605"/>
      <c r="F3750" s="605"/>
      <c r="G3750" s="605"/>
      <c r="H3750" s="605"/>
      <c r="I3750" s="605"/>
      <c r="J3750" s="606"/>
      <c r="K3750" s="605"/>
      <c r="L3750" s="605"/>
      <c r="M3750" s="605"/>
      <c r="N3750" s="605"/>
      <c r="O3750" s="605"/>
      <c r="P3750" s="605"/>
    </row>
    <row r="3751">
      <c r="A3751" s="605"/>
      <c r="B3751" s="605"/>
      <c r="C3751" s="605"/>
      <c r="D3751" s="605"/>
      <c r="E3751" s="605"/>
      <c r="F3751" s="605"/>
      <c r="G3751" s="605"/>
      <c r="H3751" s="605"/>
      <c r="I3751" s="605"/>
      <c r="J3751" s="606"/>
      <c r="K3751" s="605"/>
      <c r="L3751" s="605"/>
      <c r="M3751" s="605"/>
      <c r="N3751" s="605"/>
      <c r="O3751" s="605"/>
      <c r="P3751" s="605"/>
    </row>
    <row r="3752">
      <c r="A3752" s="605"/>
      <c r="B3752" s="605"/>
      <c r="C3752" s="605"/>
      <c r="D3752" s="605"/>
      <c r="E3752" s="605"/>
      <c r="F3752" s="605"/>
      <c r="G3752" s="605"/>
      <c r="H3752" s="605"/>
      <c r="I3752" s="605"/>
      <c r="J3752" s="606"/>
      <c r="K3752" s="605"/>
      <c r="L3752" s="605"/>
      <c r="M3752" s="605"/>
      <c r="N3752" s="605"/>
      <c r="O3752" s="605"/>
      <c r="P3752" s="605"/>
    </row>
    <row r="3753">
      <c r="A3753" s="605"/>
      <c r="B3753" s="605"/>
      <c r="C3753" s="605"/>
      <c r="D3753" s="605"/>
      <c r="E3753" s="605"/>
      <c r="F3753" s="605"/>
      <c r="G3753" s="605"/>
      <c r="H3753" s="605"/>
      <c r="I3753" s="605"/>
      <c r="J3753" s="606"/>
      <c r="K3753" s="605"/>
      <c r="L3753" s="605"/>
      <c r="M3753" s="605"/>
      <c r="N3753" s="605"/>
      <c r="O3753" s="605"/>
      <c r="P3753" s="605"/>
    </row>
    <row r="3754">
      <c r="A3754" s="605"/>
      <c r="B3754" s="605"/>
      <c r="C3754" s="605"/>
      <c r="D3754" s="605"/>
      <c r="E3754" s="605"/>
      <c r="F3754" s="605"/>
      <c r="G3754" s="605"/>
      <c r="H3754" s="605"/>
      <c r="I3754" s="605"/>
      <c r="J3754" s="606"/>
      <c r="K3754" s="605"/>
      <c r="L3754" s="605"/>
      <c r="M3754" s="605"/>
      <c r="N3754" s="605"/>
      <c r="O3754" s="605"/>
      <c r="P3754" s="605"/>
    </row>
    <row r="3755">
      <c r="A3755" s="605"/>
      <c r="B3755" s="605"/>
      <c r="C3755" s="605"/>
      <c r="D3755" s="605"/>
      <c r="E3755" s="605"/>
      <c r="F3755" s="605"/>
      <c r="G3755" s="605"/>
      <c r="H3755" s="605"/>
      <c r="I3755" s="605"/>
      <c r="J3755" s="606"/>
      <c r="K3755" s="605"/>
      <c r="L3755" s="605"/>
      <c r="M3755" s="605"/>
      <c r="N3755" s="605"/>
      <c r="O3755" s="605"/>
      <c r="P3755" s="605"/>
    </row>
    <row r="3756">
      <c r="A3756" s="605"/>
      <c r="B3756" s="605"/>
      <c r="C3756" s="605"/>
      <c r="D3756" s="605"/>
      <c r="E3756" s="605"/>
      <c r="F3756" s="605"/>
      <c r="G3756" s="605"/>
      <c r="H3756" s="605"/>
      <c r="I3756" s="605"/>
      <c r="J3756" s="606"/>
      <c r="K3756" s="605"/>
      <c r="L3756" s="605"/>
      <c r="M3756" s="605"/>
      <c r="N3756" s="605"/>
      <c r="O3756" s="605"/>
      <c r="P3756" s="605"/>
    </row>
    <row r="3757">
      <c r="A3757" s="605"/>
      <c r="B3757" s="605"/>
      <c r="C3757" s="605"/>
      <c r="D3757" s="605"/>
      <c r="E3757" s="605"/>
      <c r="F3757" s="605"/>
      <c r="G3757" s="605"/>
      <c r="H3757" s="605"/>
      <c r="I3757" s="605"/>
      <c r="J3757" s="606"/>
      <c r="K3757" s="605"/>
      <c r="L3757" s="605"/>
      <c r="M3757" s="605"/>
      <c r="N3757" s="605"/>
      <c r="O3757" s="605"/>
      <c r="P3757" s="605"/>
    </row>
    <row r="3758">
      <c r="A3758" s="605"/>
      <c r="B3758" s="605"/>
      <c r="C3758" s="605"/>
      <c r="D3758" s="605"/>
      <c r="E3758" s="605"/>
      <c r="F3758" s="605"/>
      <c r="G3758" s="605"/>
      <c r="H3758" s="605"/>
      <c r="I3758" s="605"/>
      <c r="J3758" s="606"/>
      <c r="K3758" s="605"/>
      <c r="L3758" s="605"/>
      <c r="M3758" s="605"/>
      <c r="N3758" s="605"/>
      <c r="O3758" s="605"/>
      <c r="P3758" s="605"/>
    </row>
    <row r="3759">
      <c r="A3759" s="605"/>
      <c r="B3759" s="605"/>
      <c r="C3759" s="605"/>
      <c r="D3759" s="605"/>
      <c r="E3759" s="605"/>
      <c r="F3759" s="605"/>
      <c r="G3759" s="605"/>
      <c r="H3759" s="605"/>
      <c r="I3759" s="605"/>
      <c r="J3759" s="606"/>
      <c r="K3759" s="605"/>
      <c r="L3759" s="605"/>
      <c r="M3759" s="605"/>
      <c r="N3759" s="605"/>
      <c r="O3759" s="605"/>
      <c r="P3759" s="605"/>
    </row>
    <row r="3760">
      <c r="A3760" s="605"/>
      <c r="B3760" s="605"/>
      <c r="C3760" s="605"/>
      <c r="D3760" s="605"/>
      <c r="E3760" s="605"/>
      <c r="F3760" s="605"/>
      <c r="G3760" s="605"/>
      <c r="H3760" s="605"/>
      <c r="I3760" s="605"/>
      <c r="J3760" s="606"/>
      <c r="K3760" s="605"/>
      <c r="L3760" s="605"/>
      <c r="M3760" s="605"/>
      <c r="N3760" s="605"/>
      <c r="O3760" s="605"/>
      <c r="P3760" s="605"/>
    </row>
    <row r="3761">
      <c r="A3761" s="605"/>
      <c r="B3761" s="605"/>
      <c r="C3761" s="605"/>
      <c r="D3761" s="605"/>
      <c r="E3761" s="605"/>
      <c r="F3761" s="605"/>
      <c r="G3761" s="605"/>
      <c r="H3761" s="605"/>
      <c r="I3761" s="605"/>
      <c r="J3761" s="606"/>
      <c r="K3761" s="605"/>
      <c r="L3761" s="605"/>
      <c r="M3761" s="605"/>
      <c r="N3761" s="605"/>
      <c r="O3761" s="605"/>
      <c r="P3761" s="605"/>
    </row>
    <row r="3762">
      <c r="A3762" s="605"/>
      <c r="B3762" s="605"/>
      <c r="C3762" s="605"/>
      <c r="D3762" s="605"/>
      <c r="E3762" s="605"/>
      <c r="F3762" s="605"/>
      <c r="G3762" s="605"/>
      <c r="H3762" s="605"/>
      <c r="I3762" s="605"/>
      <c r="J3762" s="606"/>
      <c r="K3762" s="605"/>
      <c r="L3762" s="605"/>
      <c r="M3762" s="605"/>
      <c r="N3762" s="605"/>
      <c r="O3762" s="605"/>
      <c r="P3762" s="605"/>
    </row>
    <row r="3763">
      <c r="A3763" s="605"/>
      <c r="B3763" s="605"/>
      <c r="C3763" s="605"/>
      <c r="D3763" s="605"/>
      <c r="E3763" s="605"/>
      <c r="F3763" s="605"/>
      <c r="G3763" s="605"/>
      <c r="H3763" s="605"/>
      <c r="I3763" s="605"/>
      <c r="J3763" s="606"/>
      <c r="K3763" s="605"/>
      <c r="L3763" s="605"/>
      <c r="M3763" s="605"/>
      <c r="N3763" s="605"/>
      <c r="O3763" s="605"/>
      <c r="P3763" s="605"/>
    </row>
    <row r="3764">
      <c r="A3764" s="605"/>
      <c r="B3764" s="605"/>
      <c r="C3764" s="605"/>
      <c r="D3764" s="605"/>
      <c r="E3764" s="605"/>
      <c r="F3764" s="605"/>
      <c r="G3764" s="605"/>
      <c r="H3764" s="605"/>
      <c r="I3764" s="605"/>
      <c r="J3764" s="606"/>
      <c r="K3764" s="605"/>
      <c r="L3764" s="605"/>
      <c r="M3764" s="605"/>
      <c r="N3764" s="605"/>
      <c r="O3764" s="605"/>
      <c r="P3764" s="605"/>
    </row>
    <row r="3765">
      <c r="A3765" s="605"/>
      <c r="B3765" s="605"/>
      <c r="C3765" s="605"/>
      <c r="D3765" s="605"/>
      <c r="E3765" s="605"/>
      <c r="F3765" s="605"/>
      <c r="G3765" s="605"/>
      <c r="H3765" s="605"/>
      <c r="I3765" s="605"/>
      <c r="J3765" s="606"/>
      <c r="K3765" s="605"/>
      <c r="L3765" s="605"/>
      <c r="M3765" s="605"/>
      <c r="N3765" s="605"/>
      <c r="O3765" s="605"/>
      <c r="P3765" s="605"/>
    </row>
    <row r="3766">
      <c r="A3766" s="605"/>
      <c r="B3766" s="605"/>
      <c r="C3766" s="605"/>
      <c r="D3766" s="605"/>
      <c r="E3766" s="605"/>
      <c r="F3766" s="605"/>
      <c r="G3766" s="605"/>
      <c r="H3766" s="605"/>
      <c r="I3766" s="605"/>
      <c r="J3766" s="606"/>
      <c r="K3766" s="605"/>
      <c r="L3766" s="605"/>
      <c r="M3766" s="605"/>
      <c r="N3766" s="605"/>
      <c r="O3766" s="605"/>
      <c r="P3766" s="605"/>
    </row>
    <row r="3767">
      <c r="A3767" s="605"/>
      <c r="B3767" s="605"/>
      <c r="C3767" s="605"/>
      <c r="D3767" s="605"/>
      <c r="E3767" s="605"/>
      <c r="F3767" s="605"/>
      <c r="G3767" s="605"/>
      <c r="H3767" s="605"/>
      <c r="I3767" s="605"/>
      <c r="J3767" s="606"/>
      <c r="K3767" s="605"/>
      <c r="L3767" s="605"/>
      <c r="M3767" s="605"/>
      <c r="N3767" s="605"/>
      <c r="O3767" s="605"/>
      <c r="P3767" s="605"/>
    </row>
    <row r="3768">
      <c r="A3768" s="605"/>
      <c r="B3768" s="605"/>
      <c r="C3768" s="605"/>
      <c r="D3768" s="605"/>
      <c r="E3768" s="605"/>
      <c r="F3768" s="605"/>
      <c r="G3768" s="605"/>
      <c r="H3768" s="605"/>
      <c r="I3768" s="605"/>
      <c r="J3768" s="606"/>
      <c r="K3768" s="605"/>
      <c r="L3768" s="605"/>
      <c r="M3768" s="605"/>
      <c r="N3768" s="605"/>
      <c r="O3768" s="605"/>
      <c r="P3768" s="605"/>
    </row>
    <row r="3769">
      <c r="A3769" s="605"/>
      <c r="B3769" s="605"/>
      <c r="C3769" s="605"/>
      <c r="D3769" s="605"/>
      <c r="E3769" s="605"/>
      <c r="F3769" s="605"/>
      <c r="G3769" s="605"/>
      <c r="H3769" s="605"/>
      <c r="I3769" s="605"/>
      <c r="J3769" s="606"/>
      <c r="K3769" s="605"/>
      <c r="L3769" s="605"/>
      <c r="M3769" s="605"/>
      <c r="N3769" s="605"/>
      <c r="O3769" s="605"/>
      <c r="P3769" s="605"/>
    </row>
    <row r="3770">
      <c r="A3770" s="605"/>
      <c r="B3770" s="605"/>
      <c r="C3770" s="605"/>
      <c r="D3770" s="605"/>
      <c r="E3770" s="605"/>
      <c r="F3770" s="605"/>
      <c r="G3770" s="605"/>
      <c r="H3770" s="605"/>
      <c r="I3770" s="605"/>
      <c r="J3770" s="606"/>
      <c r="K3770" s="605"/>
      <c r="L3770" s="605"/>
      <c r="M3770" s="605"/>
      <c r="N3770" s="605"/>
      <c r="O3770" s="605"/>
      <c r="P3770" s="605"/>
    </row>
    <row r="3771">
      <c r="A3771" s="605"/>
      <c r="B3771" s="605"/>
      <c r="C3771" s="605"/>
      <c r="D3771" s="605"/>
      <c r="E3771" s="605"/>
      <c r="F3771" s="605"/>
      <c r="G3771" s="605"/>
      <c r="H3771" s="605"/>
      <c r="I3771" s="605"/>
      <c r="J3771" s="606"/>
      <c r="K3771" s="605"/>
      <c r="L3771" s="605"/>
      <c r="M3771" s="605"/>
      <c r="N3771" s="605"/>
      <c r="O3771" s="605"/>
      <c r="P3771" s="605"/>
    </row>
    <row r="3772">
      <c r="A3772" s="605"/>
      <c r="B3772" s="605"/>
      <c r="C3772" s="605"/>
      <c r="D3772" s="605"/>
      <c r="E3772" s="605"/>
      <c r="F3772" s="605"/>
      <c r="G3772" s="605"/>
      <c r="H3772" s="605"/>
      <c r="I3772" s="605"/>
      <c r="J3772" s="606"/>
      <c r="K3772" s="605"/>
      <c r="L3772" s="605"/>
      <c r="M3772" s="605"/>
      <c r="N3772" s="605"/>
      <c r="O3772" s="605"/>
      <c r="P3772" s="605"/>
    </row>
    <row r="3773">
      <c r="A3773" s="605"/>
      <c r="B3773" s="605"/>
      <c r="C3773" s="605"/>
      <c r="D3773" s="605"/>
      <c r="E3773" s="605"/>
      <c r="F3773" s="605"/>
      <c r="G3773" s="605"/>
      <c r="H3773" s="605"/>
      <c r="I3773" s="605"/>
      <c r="J3773" s="606"/>
      <c r="K3773" s="605"/>
      <c r="L3773" s="605"/>
      <c r="M3773" s="605"/>
      <c r="N3773" s="605"/>
      <c r="O3773" s="605"/>
      <c r="P3773" s="605"/>
    </row>
    <row r="3774">
      <c r="A3774" s="605"/>
      <c r="B3774" s="605"/>
      <c r="C3774" s="605"/>
      <c r="D3774" s="605"/>
      <c r="E3774" s="605"/>
      <c r="F3774" s="605"/>
      <c r="G3774" s="605"/>
      <c r="H3774" s="605"/>
      <c r="I3774" s="605"/>
      <c r="J3774" s="606"/>
      <c r="K3774" s="605"/>
      <c r="L3774" s="605"/>
      <c r="M3774" s="605"/>
      <c r="N3774" s="605"/>
      <c r="O3774" s="605"/>
      <c r="P3774" s="605"/>
    </row>
    <row r="3775">
      <c r="A3775" s="605"/>
      <c r="B3775" s="605"/>
      <c r="C3775" s="605"/>
      <c r="D3775" s="605"/>
      <c r="E3775" s="605"/>
      <c r="F3775" s="605"/>
      <c r="G3775" s="605"/>
      <c r="H3775" s="605"/>
      <c r="I3775" s="605"/>
      <c r="J3775" s="606"/>
      <c r="K3775" s="605"/>
      <c r="L3775" s="605"/>
      <c r="M3775" s="605"/>
      <c r="N3775" s="605"/>
      <c r="O3775" s="605"/>
      <c r="P3775" s="605"/>
    </row>
    <row r="3776">
      <c r="A3776" s="605"/>
      <c r="B3776" s="605"/>
      <c r="C3776" s="605"/>
      <c r="D3776" s="605"/>
      <c r="E3776" s="605"/>
      <c r="F3776" s="605"/>
      <c r="G3776" s="605"/>
      <c r="H3776" s="605"/>
      <c r="I3776" s="605"/>
      <c r="J3776" s="606"/>
      <c r="K3776" s="605"/>
      <c r="L3776" s="605"/>
      <c r="M3776" s="605"/>
      <c r="N3776" s="605"/>
      <c r="O3776" s="605"/>
      <c r="P3776" s="605"/>
    </row>
    <row r="3777">
      <c r="A3777" s="605"/>
      <c r="B3777" s="605"/>
      <c r="C3777" s="605"/>
      <c r="D3777" s="605"/>
      <c r="E3777" s="605"/>
      <c r="F3777" s="605"/>
      <c r="G3777" s="605"/>
      <c r="H3777" s="605"/>
      <c r="I3777" s="605"/>
      <c r="J3777" s="606"/>
      <c r="K3777" s="605"/>
      <c r="L3777" s="605"/>
      <c r="M3777" s="605"/>
      <c r="N3777" s="605"/>
      <c r="O3777" s="605"/>
      <c r="P3777" s="605"/>
    </row>
    <row r="3778">
      <c r="A3778" s="605"/>
      <c r="B3778" s="605"/>
      <c r="C3778" s="605"/>
      <c r="D3778" s="605"/>
      <c r="E3778" s="605"/>
      <c r="F3778" s="605"/>
      <c r="G3778" s="605"/>
      <c r="H3778" s="605"/>
      <c r="I3778" s="605"/>
      <c r="J3778" s="606"/>
      <c r="K3778" s="605"/>
      <c r="L3778" s="605"/>
      <c r="M3778" s="605"/>
      <c r="N3778" s="605"/>
      <c r="O3778" s="605"/>
      <c r="P3778" s="605"/>
    </row>
    <row r="3779">
      <c r="A3779" s="605"/>
      <c r="B3779" s="605"/>
      <c r="C3779" s="605"/>
      <c r="D3779" s="605"/>
      <c r="E3779" s="605"/>
      <c r="F3779" s="605"/>
      <c r="G3779" s="605"/>
      <c r="H3779" s="605"/>
      <c r="I3779" s="605"/>
      <c r="J3779" s="606"/>
      <c r="K3779" s="605"/>
      <c r="L3779" s="605"/>
      <c r="M3779" s="605"/>
      <c r="N3779" s="605"/>
      <c r="O3779" s="605"/>
      <c r="P3779" s="605"/>
    </row>
    <row r="3780">
      <c r="A3780" s="605"/>
      <c r="B3780" s="605"/>
      <c r="C3780" s="605"/>
      <c r="D3780" s="605"/>
      <c r="E3780" s="605"/>
      <c r="F3780" s="605"/>
      <c r="G3780" s="605"/>
      <c r="H3780" s="605"/>
      <c r="I3780" s="605"/>
      <c r="J3780" s="606"/>
      <c r="K3780" s="605"/>
      <c r="L3780" s="605"/>
      <c r="M3780" s="605"/>
      <c r="N3780" s="605"/>
      <c r="O3780" s="605"/>
      <c r="P3780" s="605"/>
    </row>
    <row r="3781">
      <c r="A3781" s="605"/>
      <c r="B3781" s="605"/>
      <c r="C3781" s="605"/>
      <c r="D3781" s="605"/>
      <c r="E3781" s="605"/>
      <c r="F3781" s="605"/>
      <c r="G3781" s="605"/>
      <c r="H3781" s="605"/>
      <c r="I3781" s="605"/>
      <c r="J3781" s="606"/>
      <c r="K3781" s="605"/>
      <c r="L3781" s="605"/>
      <c r="M3781" s="605"/>
      <c r="N3781" s="605"/>
      <c r="O3781" s="605"/>
      <c r="P3781" s="605"/>
    </row>
    <row r="3782">
      <c r="A3782" s="605"/>
      <c r="B3782" s="605"/>
      <c r="C3782" s="605"/>
      <c r="D3782" s="605"/>
      <c r="E3782" s="605"/>
      <c r="F3782" s="605"/>
      <c r="G3782" s="605"/>
      <c r="H3782" s="605"/>
      <c r="I3782" s="605"/>
      <c r="J3782" s="606"/>
      <c r="K3782" s="605"/>
      <c r="L3782" s="605"/>
      <c r="M3782" s="605"/>
      <c r="N3782" s="605"/>
      <c r="O3782" s="605"/>
      <c r="P3782" s="605"/>
    </row>
    <row r="3783">
      <c r="A3783" s="605"/>
      <c r="B3783" s="605"/>
      <c r="C3783" s="605"/>
      <c r="D3783" s="605"/>
      <c r="E3783" s="605"/>
      <c r="F3783" s="605"/>
      <c r="G3783" s="605"/>
      <c r="H3783" s="605"/>
      <c r="I3783" s="605"/>
      <c r="J3783" s="606"/>
      <c r="K3783" s="605"/>
      <c r="L3783" s="605"/>
      <c r="M3783" s="605"/>
      <c r="N3783" s="605"/>
      <c r="O3783" s="605"/>
      <c r="P3783" s="605"/>
    </row>
    <row r="3784">
      <c r="A3784" s="605"/>
      <c r="B3784" s="605"/>
      <c r="C3784" s="605"/>
      <c r="D3784" s="605"/>
      <c r="E3784" s="605"/>
      <c r="F3784" s="605"/>
      <c r="G3784" s="605"/>
      <c r="H3784" s="605"/>
      <c r="I3784" s="605"/>
      <c r="J3784" s="606"/>
      <c r="K3784" s="605"/>
      <c r="L3784" s="605"/>
      <c r="M3784" s="605"/>
      <c r="N3784" s="605"/>
      <c r="O3784" s="605"/>
      <c r="P3784" s="605"/>
    </row>
    <row r="3785">
      <c r="A3785" s="605"/>
      <c r="B3785" s="605"/>
      <c r="C3785" s="605"/>
      <c r="D3785" s="605"/>
      <c r="E3785" s="605"/>
      <c r="F3785" s="605"/>
      <c r="G3785" s="605"/>
      <c r="H3785" s="605"/>
      <c r="I3785" s="605"/>
      <c r="J3785" s="606"/>
      <c r="K3785" s="605"/>
      <c r="L3785" s="605"/>
      <c r="M3785" s="605"/>
      <c r="N3785" s="605"/>
      <c r="O3785" s="605"/>
      <c r="P3785" s="605"/>
    </row>
    <row r="3786">
      <c r="A3786" s="605"/>
      <c r="B3786" s="605"/>
      <c r="C3786" s="605"/>
      <c r="D3786" s="605"/>
      <c r="E3786" s="605"/>
      <c r="F3786" s="605"/>
      <c r="G3786" s="605"/>
      <c r="H3786" s="605"/>
      <c r="I3786" s="605"/>
      <c r="J3786" s="606"/>
      <c r="K3786" s="605"/>
      <c r="L3786" s="605"/>
      <c r="M3786" s="605"/>
      <c r="N3786" s="605"/>
      <c r="O3786" s="605"/>
      <c r="P3786" s="605"/>
    </row>
    <row r="3787">
      <c r="A3787" s="605"/>
      <c r="B3787" s="605"/>
      <c r="C3787" s="605"/>
      <c r="D3787" s="605"/>
      <c r="E3787" s="605"/>
      <c r="F3787" s="605"/>
      <c r="G3787" s="605"/>
      <c r="H3787" s="605"/>
      <c r="I3787" s="605"/>
      <c r="J3787" s="606"/>
      <c r="K3787" s="605"/>
      <c r="L3787" s="605"/>
      <c r="M3787" s="605"/>
      <c r="N3787" s="605"/>
      <c r="O3787" s="605"/>
      <c r="P3787" s="605"/>
    </row>
    <row r="3788">
      <c r="A3788" s="605"/>
      <c r="B3788" s="605"/>
      <c r="C3788" s="605"/>
      <c r="D3788" s="605"/>
      <c r="E3788" s="605"/>
      <c r="F3788" s="605"/>
      <c r="G3788" s="605"/>
      <c r="H3788" s="605"/>
      <c r="I3788" s="605"/>
      <c r="J3788" s="606"/>
      <c r="K3788" s="605"/>
      <c r="L3788" s="605"/>
      <c r="M3788" s="605"/>
      <c r="N3788" s="605"/>
      <c r="O3788" s="605"/>
      <c r="P3788" s="605"/>
    </row>
    <row r="3789">
      <c r="A3789" s="605"/>
      <c r="B3789" s="605"/>
      <c r="C3789" s="605"/>
      <c r="D3789" s="605"/>
      <c r="E3789" s="605"/>
      <c r="F3789" s="605"/>
      <c r="G3789" s="605"/>
      <c r="H3789" s="605"/>
      <c r="I3789" s="605"/>
      <c r="J3789" s="606"/>
      <c r="K3789" s="605"/>
      <c r="L3789" s="605"/>
      <c r="M3789" s="605"/>
      <c r="N3789" s="605"/>
      <c r="O3789" s="605"/>
      <c r="P3789" s="605"/>
    </row>
    <row r="3790">
      <c r="A3790" s="605"/>
      <c r="B3790" s="605"/>
      <c r="C3790" s="605"/>
      <c r="D3790" s="605"/>
      <c r="E3790" s="605"/>
      <c r="F3790" s="605"/>
      <c r="G3790" s="605"/>
      <c r="H3790" s="605"/>
      <c r="I3790" s="605"/>
      <c r="J3790" s="606"/>
      <c r="K3790" s="605"/>
      <c r="L3790" s="605"/>
      <c r="M3790" s="605"/>
      <c r="N3790" s="605"/>
      <c r="O3790" s="605"/>
      <c r="P3790" s="605"/>
    </row>
    <row r="3791">
      <c r="A3791" s="605"/>
      <c r="B3791" s="605"/>
      <c r="C3791" s="605"/>
      <c r="D3791" s="605"/>
      <c r="E3791" s="605"/>
      <c r="F3791" s="605"/>
      <c r="G3791" s="605"/>
      <c r="H3791" s="605"/>
      <c r="I3791" s="605"/>
      <c r="J3791" s="606"/>
      <c r="K3791" s="605"/>
      <c r="L3791" s="605"/>
      <c r="M3791" s="605"/>
      <c r="N3791" s="605"/>
      <c r="O3791" s="605"/>
      <c r="P3791" s="605"/>
    </row>
    <row r="3792">
      <c r="A3792" s="605"/>
      <c r="B3792" s="605"/>
      <c r="C3792" s="605"/>
      <c r="D3792" s="605"/>
      <c r="E3792" s="605"/>
      <c r="F3792" s="605"/>
      <c r="G3792" s="605"/>
      <c r="H3792" s="605"/>
      <c r="I3792" s="605"/>
      <c r="J3792" s="606"/>
      <c r="K3792" s="605"/>
      <c r="L3792" s="605"/>
      <c r="M3792" s="605"/>
      <c r="N3792" s="605"/>
      <c r="O3792" s="605"/>
      <c r="P3792" s="605"/>
    </row>
    <row r="3793">
      <c r="A3793" s="605"/>
      <c r="B3793" s="605"/>
      <c r="C3793" s="605"/>
      <c r="D3793" s="605"/>
      <c r="E3793" s="605"/>
      <c r="F3793" s="605"/>
      <c r="G3793" s="605"/>
      <c r="H3793" s="605"/>
      <c r="I3793" s="605"/>
      <c r="J3793" s="606"/>
      <c r="K3793" s="605"/>
      <c r="L3793" s="605"/>
      <c r="M3793" s="605"/>
      <c r="N3793" s="605"/>
      <c r="O3793" s="605"/>
      <c r="P3793" s="605"/>
    </row>
    <row r="3794">
      <c r="A3794" s="605"/>
      <c r="B3794" s="605"/>
      <c r="C3794" s="605"/>
      <c r="D3794" s="605"/>
      <c r="E3794" s="605"/>
      <c r="F3794" s="605"/>
      <c r="G3794" s="605"/>
      <c r="H3794" s="605"/>
      <c r="I3794" s="605"/>
      <c r="J3794" s="606"/>
      <c r="K3794" s="605"/>
      <c r="L3794" s="605"/>
      <c r="M3794" s="605"/>
      <c r="N3794" s="605"/>
      <c r="O3794" s="605"/>
      <c r="P3794" s="605"/>
    </row>
    <row r="3795">
      <c r="A3795" s="605"/>
      <c r="B3795" s="605"/>
      <c r="C3795" s="605"/>
      <c r="D3795" s="605"/>
      <c r="E3795" s="605"/>
      <c r="F3795" s="605"/>
      <c r="G3795" s="605"/>
      <c r="H3795" s="605"/>
      <c r="I3795" s="605"/>
      <c r="J3795" s="606"/>
      <c r="K3795" s="605"/>
      <c r="L3795" s="605"/>
      <c r="M3795" s="605"/>
      <c r="N3795" s="605"/>
      <c r="O3795" s="605"/>
      <c r="P3795" s="605"/>
    </row>
    <row r="3796">
      <c r="A3796" s="605"/>
      <c r="B3796" s="605"/>
      <c r="C3796" s="605"/>
      <c r="D3796" s="605"/>
      <c r="E3796" s="605"/>
      <c r="F3796" s="605"/>
      <c r="G3796" s="605"/>
      <c r="H3796" s="605"/>
      <c r="I3796" s="605"/>
      <c r="J3796" s="606"/>
      <c r="K3796" s="605"/>
      <c r="L3796" s="605"/>
      <c r="M3796" s="605"/>
      <c r="N3796" s="605"/>
      <c r="O3796" s="605"/>
      <c r="P3796" s="605"/>
    </row>
    <row r="3797">
      <c r="A3797" s="605"/>
      <c r="B3797" s="605"/>
      <c r="C3797" s="605"/>
      <c r="D3797" s="605"/>
      <c r="E3797" s="605"/>
      <c r="F3797" s="605"/>
      <c r="G3797" s="605"/>
      <c r="H3797" s="605"/>
      <c r="I3797" s="605"/>
      <c r="J3797" s="606"/>
      <c r="K3797" s="605"/>
      <c r="L3797" s="605"/>
      <c r="M3797" s="605"/>
      <c r="N3797" s="605"/>
      <c r="O3797" s="605"/>
      <c r="P3797" s="605"/>
    </row>
    <row r="3798">
      <c r="A3798" s="605"/>
      <c r="B3798" s="605"/>
      <c r="C3798" s="605"/>
      <c r="D3798" s="605"/>
      <c r="E3798" s="605"/>
      <c r="F3798" s="605"/>
      <c r="G3798" s="605"/>
      <c r="H3798" s="605"/>
      <c r="I3798" s="605"/>
      <c r="J3798" s="606"/>
      <c r="K3798" s="605"/>
      <c r="L3798" s="605"/>
      <c r="M3798" s="605"/>
      <c r="N3798" s="605"/>
      <c r="O3798" s="605"/>
      <c r="P3798" s="605"/>
    </row>
    <row r="3799">
      <c r="A3799" s="605"/>
      <c r="B3799" s="605"/>
      <c r="C3799" s="605"/>
      <c r="D3799" s="605"/>
      <c r="E3799" s="605"/>
      <c r="F3799" s="605"/>
      <c r="G3799" s="605"/>
      <c r="H3799" s="605"/>
      <c r="I3799" s="605"/>
      <c r="J3799" s="606"/>
      <c r="K3799" s="605"/>
      <c r="L3799" s="605"/>
      <c r="M3799" s="605"/>
      <c r="N3799" s="605"/>
      <c r="O3799" s="605"/>
      <c r="P3799" s="605"/>
    </row>
    <row r="3800">
      <c r="A3800" s="605"/>
      <c r="B3800" s="605"/>
      <c r="C3800" s="605"/>
      <c r="D3800" s="605"/>
      <c r="E3800" s="605"/>
      <c r="F3800" s="605"/>
      <c r="G3800" s="605"/>
      <c r="H3800" s="605"/>
      <c r="I3800" s="605"/>
      <c r="J3800" s="606"/>
      <c r="K3800" s="605"/>
      <c r="L3800" s="605"/>
      <c r="M3800" s="605"/>
      <c r="N3800" s="605"/>
      <c r="O3800" s="605"/>
      <c r="P3800" s="605"/>
    </row>
    <row r="3801">
      <c r="A3801" s="605"/>
      <c r="B3801" s="605"/>
      <c r="C3801" s="605"/>
      <c r="D3801" s="605"/>
      <c r="E3801" s="605"/>
      <c r="F3801" s="605"/>
      <c r="G3801" s="605"/>
      <c r="H3801" s="605"/>
      <c r="I3801" s="605"/>
      <c r="J3801" s="606"/>
      <c r="K3801" s="605"/>
      <c r="L3801" s="605"/>
      <c r="M3801" s="605"/>
      <c r="N3801" s="605"/>
      <c r="O3801" s="605"/>
      <c r="P3801" s="605"/>
    </row>
    <row r="3802">
      <c r="A3802" s="605"/>
      <c r="B3802" s="605"/>
      <c r="C3802" s="605"/>
      <c r="D3802" s="605"/>
      <c r="E3802" s="605"/>
      <c r="F3802" s="605"/>
      <c r="G3802" s="605"/>
      <c r="H3802" s="605"/>
      <c r="I3802" s="605"/>
      <c r="J3802" s="606"/>
      <c r="K3802" s="605"/>
      <c r="L3802" s="605"/>
      <c r="M3802" s="605"/>
      <c r="N3802" s="605"/>
      <c r="O3802" s="605"/>
      <c r="P3802" s="605"/>
    </row>
    <row r="3803">
      <c r="A3803" s="605"/>
      <c r="B3803" s="605"/>
      <c r="C3803" s="605"/>
      <c r="D3803" s="605"/>
      <c r="E3803" s="605"/>
      <c r="F3803" s="605"/>
      <c r="G3803" s="605"/>
      <c r="H3803" s="605"/>
      <c r="I3803" s="605"/>
      <c r="J3803" s="606"/>
      <c r="K3803" s="605"/>
      <c r="L3803" s="605"/>
      <c r="M3803" s="605"/>
      <c r="N3803" s="605"/>
      <c r="O3803" s="605"/>
      <c r="P3803" s="605"/>
    </row>
    <row r="3804">
      <c r="A3804" s="605"/>
      <c r="B3804" s="605"/>
      <c r="C3804" s="605"/>
      <c r="D3804" s="605"/>
      <c r="E3804" s="605"/>
      <c r="F3804" s="605"/>
      <c r="G3804" s="605"/>
      <c r="H3804" s="605"/>
      <c r="I3804" s="605"/>
      <c r="J3804" s="606"/>
      <c r="K3804" s="605"/>
      <c r="L3804" s="605"/>
      <c r="M3804" s="605"/>
      <c r="N3804" s="605"/>
      <c r="O3804" s="605"/>
      <c r="P3804" s="605"/>
    </row>
    <row r="3805">
      <c r="A3805" s="605"/>
      <c r="B3805" s="605"/>
      <c r="C3805" s="605"/>
      <c r="D3805" s="605"/>
      <c r="E3805" s="605"/>
      <c r="F3805" s="605"/>
      <c r="G3805" s="605"/>
      <c r="H3805" s="605"/>
      <c r="I3805" s="605"/>
      <c r="J3805" s="606"/>
      <c r="K3805" s="605"/>
      <c r="L3805" s="605"/>
      <c r="M3805" s="605"/>
      <c r="N3805" s="605"/>
      <c r="O3805" s="605"/>
      <c r="P3805" s="605"/>
    </row>
    <row r="3806">
      <c r="A3806" s="605"/>
      <c r="B3806" s="605"/>
      <c r="C3806" s="605"/>
      <c r="D3806" s="605"/>
      <c r="E3806" s="605"/>
      <c r="F3806" s="605"/>
      <c r="G3806" s="605"/>
      <c r="H3806" s="605"/>
      <c r="I3806" s="605"/>
      <c r="J3806" s="606"/>
      <c r="K3806" s="605"/>
      <c r="L3806" s="605"/>
      <c r="M3806" s="605"/>
      <c r="N3806" s="605"/>
      <c r="O3806" s="605"/>
      <c r="P3806" s="605"/>
    </row>
    <row r="3807">
      <c r="A3807" s="605"/>
      <c r="B3807" s="605"/>
      <c r="C3807" s="605"/>
      <c r="D3807" s="605"/>
      <c r="E3807" s="605"/>
      <c r="F3807" s="605"/>
      <c r="G3807" s="605"/>
      <c r="H3807" s="605"/>
      <c r="I3807" s="605"/>
      <c r="J3807" s="606"/>
      <c r="K3807" s="605"/>
      <c r="L3807" s="605"/>
      <c r="M3807" s="605"/>
      <c r="N3807" s="605"/>
      <c r="O3807" s="605"/>
      <c r="P3807" s="605"/>
    </row>
    <row r="3808">
      <c r="A3808" s="605"/>
      <c r="B3808" s="605"/>
      <c r="C3808" s="605"/>
      <c r="D3808" s="605"/>
      <c r="E3808" s="605"/>
      <c r="F3808" s="605"/>
      <c r="G3808" s="605"/>
      <c r="H3808" s="605"/>
      <c r="I3808" s="605"/>
      <c r="J3808" s="606"/>
      <c r="K3808" s="605"/>
      <c r="L3808" s="605"/>
      <c r="M3808" s="605"/>
      <c r="N3808" s="605"/>
      <c r="O3808" s="605"/>
      <c r="P3808" s="605"/>
    </row>
    <row r="3809">
      <c r="A3809" s="605"/>
      <c r="B3809" s="605"/>
      <c r="C3809" s="605"/>
      <c r="D3809" s="605"/>
      <c r="E3809" s="605"/>
      <c r="F3809" s="605"/>
      <c r="G3809" s="605"/>
      <c r="H3809" s="605"/>
      <c r="I3809" s="605"/>
      <c r="J3809" s="606"/>
      <c r="K3809" s="605"/>
      <c r="L3809" s="605"/>
      <c r="M3809" s="605"/>
      <c r="N3809" s="605"/>
      <c r="O3809" s="605"/>
      <c r="P3809" s="605"/>
    </row>
    <row r="3810">
      <c r="A3810" s="605"/>
      <c r="B3810" s="605"/>
      <c r="C3810" s="605"/>
      <c r="D3810" s="605"/>
      <c r="E3810" s="605"/>
      <c r="F3810" s="605"/>
      <c r="G3810" s="605"/>
      <c r="H3810" s="605"/>
      <c r="I3810" s="605"/>
      <c r="J3810" s="606"/>
      <c r="K3810" s="605"/>
      <c r="L3810" s="605"/>
      <c r="M3810" s="605"/>
      <c r="N3810" s="605"/>
      <c r="O3810" s="605"/>
      <c r="P3810" s="605"/>
    </row>
    <row r="3811">
      <c r="A3811" s="605"/>
      <c r="B3811" s="605"/>
      <c r="C3811" s="605"/>
      <c r="D3811" s="605"/>
      <c r="E3811" s="605"/>
      <c r="F3811" s="605"/>
      <c r="G3811" s="605"/>
      <c r="H3811" s="605"/>
      <c r="I3811" s="605"/>
      <c r="J3811" s="606"/>
      <c r="K3811" s="605"/>
      <c r="L3811" s="605"/>
      <c r="M3811" s="605"/>
      <c r="N3811" s="605"/>
      <c r="O3811" s="605"/>
      <c r="P3811" s="605"/>
    </row>
    <row r="3812">
      <c r="A3812" s="605"/>
      <c r="B3812" s="605"/>
      <c r="C3812" s="605"/>
      <c r="D3812" s="605"/>
      <c r="E3812" s="605"/>
      <c r="F3812" s="605"/>
      <c r="G3812" s="605"/>
      <c r="H3812" s="605"/>
      <c r="I3812" s="605"/>
      <c r="J3812" s="606"/>
      <c r="K3812" s="605"/>
      <c r="L3812" s="605"/>
      <c r="M3812" s="605"/>
      <c r="N3812" s="605"/>
      <c r="O3812" s="605"/>
      <c r="P3812" s="605"/>
    </row>
    <row r="3813">
      <c r="A3813" s="605"/>
      <c r="B3813" s="605"/>
      <c r="C3813" s="605"/>
      <c r="D3813" s="605"/>
      <c r="E3813" s="605"/>
      <c r="F3813" s="605"/>
      <c r="G3813" s="605"/>
      <c r="H3813" s="605"/>
      <c r="I3813" s="605"/>
      <c r="J3813" s="606"/>
      <c r="K3813" s="605"/>
      <c r="L3813" s="605"/>
      <c r="M3813" s="605"/>
      <c r="N3813" s="605"/>
      <c r="O3813" s="605"/>
      <c r="P3813" s="605"/>
    </row>
    <row r="3814">
      <c r="A3814" s="605"/>
      <c r="B3814" s="605"/>
      <c r="C3814" s="605"/>
      <c r="D3814" s="605"/>
      <c r="E3814" s="605"/>
      <c r="F3814" s="605"/>
      <c r="G3814" s="605"/>
      <c r="H3814" s="605"/>
      <c r="I3814" s="605"/>
      <c r="J3814" s="606"/>
      <c r="K3814" s="605"/>
      <c r="L3814" s="605"/>
      <c r="M3814" s="605"/>
      <c r="N3814" s="605"/>
      <c r="O3814" s="605"/>
      <c r="P3814" s="605"/>
    </row>
    <row r="3815">
      <c r="A3815" s="605"/>
      <c r="B3815" s="605"/>
      <c r="C3815" s="605"/>
      <c r="D3815" s="605"/>
      <c r="E3815" s="605"/>
      <c r="F3815" s="605"/>
      <c r="G3815" s="605"/>
      <c r="H3815" s="605"/>
      <c r="I3815" s="605"/>
      <c r="J3815" s="606"/>
      <c r="K3815" s="605"/>
      <c r="L3815" s="605"/>
      <c r="M3815" s="605"/>
      <c r="N3815" s="605"/>
      <c r="O3815" s="605"/>
      <c r="P3815" s="605"/>
    </row>
    <row r="3816">
      <c r="A3816" s="605"/>
      <c r="B3816" s="605"/>
      <c r="C3816" s="605"/>
      <c r="D3816" s="605"/>
      <c r="E3816" s="605"/>
      <c r="F3816" s="605"/>
      <c r="G3816" s="605"/>
      <c r="H3816" s="605"/>
      <c r="I3816" s="605"/>
      <c r="J3816" s="606"/>
      <c r="K3816" s="605"/>
      <c r="L3816" s="605"/>
      <c r="M3816" s="605"/>
      <c r="N3816" s="605"/>
      <c r="O3816" s="605"/>
      <c r="P3816" s="605"/>
    </row>
    <row r="3817">
      <c r="A3817" s="605"/>
      <c r="B3817" s="605"/>
      <c r="C3817" s="605"/>
      <c r="D3817" s="605"/>
      <c r="E3817" s="605"/>
      <c r="F3817" s="605"/>
      <c r="G3817" s="605"/>
      <c r="H3817" s="605"/>
      <c r="I3817" s="605"/>
      <c r="J3817" s="606"/>
      <c r="K3817" s="605"/>
      <c r="L3817" s="605"/>
      <c r="M3817" s="605"/>
      <c r="N3817" s="605"/>
      <c r="O3817" s="605"/>
      <c r="P3817" s="605"/>
    </row>
    <row r="3818">
      <c r="A3818" s="605"/>
      <c r="B3818" s="605"/>
      <c r="C3818" s="605"/>
      <c r="D3818" s="605"/>
      <c r="E3818" s="605"/>
      <c r="F3818" s="605"/>
      <c r="G3818" s="605"/>
      <c r="H3818" s="605"/>
      <c r="I3818" s="605"/>
      <c r="J3818" s="606"/>
      <c r="K3818" s="605"/>
      <c r="L3818" s="605"/>
      <c r="M3818" s="605"/>
      <c r="N3818" s="605"/>
      <c r="O3818" s="605"/>
      <c r="P3818" s="605"/>
    </row>
    <row r="3819">
      <c r="A3819" s="605"/>
      <c r="B3819" s="605"/>
      <c r="C3819" s="605"/>
      <c r="D3819" s="605"/>
      <c r="E3819" s="605"/>
      <c r="F3819" s="605"/>
      <c r="G3819" s="605"/>
      <c r="H3819" s="605"/>
      <c r="I3819" s="605"/>
      <c r="J3819" s="606"/>
      <c r="K3819" s="605"/>
      <c r="L3819" s="605"/>
      <c r="M3819" s="605"/>
      <c r="N3819" s="605"/>
      <c r="O3819" s="605"/>
      <c r="P3819" s="605"/>
    </row>
    <row r="3820">
      <c r="A3820" s="605"/>
      <c r="B3820" s="605"/>
      <c r="C3820" s="605"/>
      <c r="D3820" s="605"/>
      <c r="E3820" s="605"/>
      <c r="F3820" s="605"/>
      <c r="G3820" s="605"/>
      <c r="H3820" s="605"/>
      <c r="I3820" s="605"/>
      <c r="J3820" s="606"/>
      <c r="K3820" s="605"/>
      <c r="L3820" s="605"/>
      <c r="M3820" s="605"/>
      <c r="N3820" s="605"/>
      <c r="O3820" s="605"/>
      <c r="P3820" s="605"/>
    </row>
    <row r="3821">
      <c r="A3821" s="605"/>
      <c r="B3821" s="605"/>
      <c r="C3821" s="605"/>
      <c r="D3821" s="605"/>
      <c r="E3821" s="605"/>
      <c r="F3821" s="605"/>
      <c r="G3821" s="605"/>
      <c r="H3821" s="605"/>
      <c r="I3821" s="605"/>
      <c r="J3821" s="606"/>
      <c r="K3821" s="605"/>
      <c r="L3821" s="605"/>
      <c r="M3821" s="605"/>
      <c r="N3821" s="605"/>
      <c r="O3821" s="605"/>
      <c r="P3821" s="605"/>
    </row>
    <row r="3822">
      <c r="A3822" s="605"/>
      <c r="B3822" s="605"/>
      <c r="C3822" s="605"/>
      <c r="D3822" s="605"/>
      <c r="E3822" s="605"/>
      <c r="F3822" s="605"/>
      <c r="G3822" s="605"/>
      <c r="H3822" s="605"/>
      <c r="I3822" s="605"/>
      <c r="J3822" s="606"/>
      <c r="K3822" s="605"/>
      <c r="L3822" s="605"/>
      <c r="M3822" s="605"/>
      <c r="N3822" s="605"/>
      <c r="O3822" s="605"/>
      <c r="P3822" s="605"/>
    </row>
    <row r="3823">
      <c r="A3823" s="605"/>
      <c r="B3823" s="605"/>
      <c r="C3823" s="605"/>
      <c r="D3823" s="605"/>
      <c r="E3823" s="605"/>
      <c r="F3823" s="605"/>
      <c r="G3823" s="605"/>
      <c r="H3823" s="605"/>
      <c r="I3823" s="605"/>
      <c r="J3823" s="606"/>
      <c r="K3823" s="605"/>
      <c r="L3823" s="605"/>
      <c r="M3823" s="605"/>
      <c r="N3823" s="605"/>
      <c r="O3823" s="605"/>
      <c r="P3823" s="605"/>
    </row>
    <row r="3824">
      <c r="A3824" s="605"/>
      <c r="B3824" s="605"/>
      <c r="C3824" s="605"/>
      <c r="D3824" s="605"/>
      <c r="E3824" s="605"/>
      <c r="F3824" s="605"/>
      <c r="G3824" s="605"/>
      <c r="H3824" s="605"/>
      <c r="I3824" s="605"/>
      <c r="J3824" s="606"/>
      <c r="K3824" s="605"/>
      <c r="L3824" s="605"/>
      <c r="M3824" s="605"/>
      <c r="N3824" s="605"/>
      <c r="O3824" s="605"/>
      <c r="P3824" s="605"/>
    </row>
    <row r="3825">
      <c r="A3825" s="605"/>
      <c r="B3825" s="605"/>
      <c r="C3825" s="605"/>
      <c r="D3825" s="605"/>
      <c r="E3825" s="605"/>
      <c r="F3825" s="605"/>
      <c r="G3825" s="605"/>
      <c r="H3825" s="605"/>
      <c r="I3825" s="605"/>
      <c r="J3825" s="606"/>
      <c r="K3825" s="605"/>
      <c r="L3825" s="605"/>
      <c r="M3825" s="605"/>
      <c r="N3825" s="605"/>
      <c r="O3825" s="605"/>
      <c r="P3825" s="605"/>
    </row>
    <row r="3826">
      <c r="A3826" s="605"/>
      <c r="B3826" s="605"/>
      <c r="C3826" s="605"/>
      <c r="D3826" s="605"/>
      <c r="E3826" s="605"/>
      <c r="F3826" s="605"/>
      <c r="G3826" s="605"/>
      <c r="H3826" s="605"/>
      <c r="I3826" s="605"/>
      <c r="J3826" s="606"/>
      <c r="K3826" s="605"/>
      <c r="L3826" s="605"/>
      <c r="M3826" s="605"/>
      <c r="N3826" s="605"/>
      <c r="O3826" s="605"/>
      <c r="P3826" s="605"/>
    </row>
    <row r="3827">
      <c r="A3827" s="605"/>
      <c r="B3827" s="605"/>
      <c r="C3827" s="605"/>
      <c r="D3827" s="605"/>
      <c r="E3827" s="605"/>
      <c r="F3827" s="605"/>
      <c r="G3827" s="605"/>
      <c r="H3827" s="605"/>
      <c r="I3827" s="605"/>
      <c r="J3827" s="606"/>
      <c r="K3827" s="605"/>
      <c r="L3827" s="605"/>
      <c r="M3827" s="605"/>
      <c r="N3827" s="605"/>
      <c r="O3827" s="605"/>
      <c r="P3827" s="605"/>
    </row>
    <row r="3828">
      <c r="A3828" s="605"/>
      <c r="B3828" s="605"/>
      <c r="C3828" s="605"/>
      <c r="D3828" s="605"/>
      <c r="E3828" s="605"/>
      <c r="F3828" s="605"/>
      <c r="G3828" s="605"/>
      <c r="H3828" s="605"/>
      <c r="I3828" s="605"/>
      <c r="J3828" s="606"/>
      <c r="K3828" s="605"/>
      <c r="L3828" s="605"/>
      <c r="M3828" s="605"/>
      <c r="N3828" s="605"/>
      <c r="O3828" s="605"/>
      <c r="P3828" s="605"/>
    </row>
    <row r="3829">
      <c r="A3829" s="605"/>
      <c r="B3829" s="605"/>
      <c r="C3829" s="605"/>
      <c r="D3829" s="605"/>
      <c r="E3829" s="605"/>
      <c r="F3829" s="605"/>
      <c r="G3829" s="605"/>
      <c r="H3829" s="605"/>
      <c r="I3829" s="605"/>
      <c r="J3829" s="606"/>
      <c r="K3829" s="605"/>
      <c r="L3829" s="605"/>
      <c r="M3829" s="605"/>
      <c r="N3829" s="605"/>
      <c r="O3829" s="605"/>
      <c r="P3829" s="605"/>
    </row>
    <row r="3830">
      <c r="A3830" s="605"/>
      <c r="B3830" s="605"/>
      <c r="C3830" s="605"/>
      <c r="D3830" s="605"/>
      <c r="E3830" s="605"/>
      <c r="F3830" s="605"/>
      <c r="G3830" s="605"/>
      <c r="H3830" s="605"/>
      <c r="I3830" s="605"/>
      <c r="J3830" s="606"/>
      <c r="K3830" s="605"/>
      <c r="L3830" s="605"/>
      <c r="M3830" s="605"/>
      <c r="N3830" s="605"/>
      <c r="O3830" s="605"/>
      <c r="P3830" s="605"/>
    </row>
    <row r="3831">
      <c r="A3831" s="605"/>
      <c r="B3831" s="605"/>
      <c r="C3831" s="605"/>
      <c r="D3831" s="605"/>
      <c r="E3831" s="605"/>
      <c r="F3831" s="605"/>
      <c r="G3831" s="605"/>
      <c r="H3831" s="605"/>
      <c r="I3831" s="605"/>
      <c r="J3831" s="606"/>
      <c r="K3831" s="605"/>
      <c r="L3831" s="605"/>
      <c r="M3831" s="605"/>
      <c r="N3831" s="605"/>
      <c r="O3831" s="605"/>
      <c r="P3831" s="605"/>
    </row>
    <row r="3832">
      <c r="A3832" s="605"/>
      <c r="B3832" s="605"/>
      <c r="C3832" s="605"/>
      <c r="D3832" s="605"/>
      <c r="E3832" s="605"/>
      <c r="F3832" s="605"/>
      <c r="G3832" s="605"/>
      <c r="H3832" s="605"/>
      <c r="I3832" s="605"/>
      <c r="J3832" s="606"/>
      <c r="K3832" s="605"/>
      <c r="L3832" s="605"/>
      <c r="M3832" s="605"/>
      <c r="N3832" s="605"/>
      <c r="O3832" s="605"/>
      <c r="P3832" s="605"/>
    </row>
    <row r="3833">
      <c r="A3833" s="605"/>
      <c r="B3833" s="605"/>
      <c r="C3833" s="605"/>
      <c r="D3833" s="605"/>
      <c r="E3833" s="605"/>
      <c r="F3833" s="605"/>
      <c r="G3833" s="605"/>
      <c r="H3833" s="605"/>
      <c r="I3833" s="605"/>
      <c r="J3833" s="606"/>
      <c r="K3833" s="605"/>
      <c r="L3833" s="605"/>
      <c r="M3833" s="605"/>
      <c r="N3833" s="605"/>
      <c r="O3833" s="605"/>
      <c r="P3833" s="605"/>
    </row>
    <row r="3834">
      <c r="A3834" s="605"/>
      <c r="B3834" s="605"/>
      <c r="C3834" s="605"/>
      <c r="D3834" s="605"/>
      <c r="E3834" s="605"/>
      <c r="F3834" s="605"/>
      <c r="G3834" s="605"/>
      <c r="H3834" s="605"/>
      <c r="I3834" s="605"/>
      <c r="J3834" s="606"/>
      <c r="K3834" s="605"/>
      <c r="L3834" s="605"/>
      <c r="M3834" s="605"/>
      <c r="N3834" s="605"/>
      <c r="O3834" s="605"/>
      <c r="P3834" s="605"/>
    </row>
    <row r="3835">
      <c r="A3835" s="605"/>
      <c r="B3835" s="605"/>
      <c r="C3835" s="605"/>
      <c r="D3835" s="605"/>
      <c r="E3835" s="605"/>
      <c r="F3835" s="605"/>
      <c r="G3835" s="605"/>
      <c r="H3835" s="605"/>
      <c r="I3835" s="605"/>
      <c r="J3835" s="606"/>
      <c r="K3835" s="605"/>
      <c r="L3835" s="605"/>
      <c r="M3835" s="605"/>
      <c r="N3835" s="605"/>
      <c r="O3835" s="605"/>
      <c r="P3835" s="605"/>
    </row>
    <row r="3836">
      <c r="A3836" s="605"/>
      <c r="B3836" s="605"/>
      <c r="C3836" s="605"/>
      <c r="D3836" s="605"/>
      <c r="E3836" s="605"/>
      <c r="F3836" s="605"/>
      <c r="G3836" s="605"/>
      <c r="H3836" s="605"/>
      <c r="I3836" s="605"/>
      <c r="J3836" s="606"/>
      <c r="K3836" s="605"/>
      <c r="L3836" s="605"/>
      <c r="M3836" s="605"/>
      <c r="N3836" s="605"/>
      <c r="O3836" s="605"/>
      <c r="P3836" s="605"/>
    </row>
    <row r="3837">
      <c r="A3837" s="605"/>
      <c r="B3837" s="605"/>
      <c r="C3837" s="605"/>
      <c r="D3837" s="605"/>
      <c r="E3837" s="605"/>
      <c r="F3837" s="605"/>
      <c r="G3837" s="605"/>
      <c r="H3837" s="605"/>
      <c r="I3837" s="605"/>
      <c r="J3837" s="606"/>
      <c r="K3837" s="605"/>
      <c r="L3837" s="605"/>
      <c r="M3837" s="605"/>
      <c r="N3837" s="605"/>
      <c r="O3837" s="605"/>
      <c r="P3837" s="605"/>
    </row>
    <row r="3838">
      <c r="A3838" s="605"/>
      <c r="B3838" s="605"/>
      <c r="C3838" s="605"/>
      <c r="D3838" s="605"/>
      <c r="E3838" s="605"/>
      <c r="F3838" s="605"/>
      <c r="G3838" s="605"/>
      <c r="H3838" s="605"/>
      <c r="I3838" s="605"/>
      <c r="J3838" s="606"/>
      <c r="K3838" s="605"/>
      <c r="L3838" s="605"/>
      <c r="M3838" s="605"/>
      <c r="N3838" s="605"/>
      <c r="O3838" s="605"/>
      <c r="P3838" s="605"/>
    </row>
    <row r="3839">
      <c r="A3839" s="605"/>
      <c r="B3839" s="605"/>
      <c r="C3839" s="605"/>
      <c r="D3839" s="605"/>
      <c r="E3839" s="605"/>
      <c r="F3839" s="605"/>
      <c r="G3839" s="605"/>
      <c r="H3839" s="605"/>
      <c r="I3839" s="605"/>
      <c r="J3839" s="606"/>
      <c r="K3839" s="605"/>
      <c r="L3839" s="605"/>
      <c r="M3839" s="605"/>
      <c r="N3839" s="605"/>
      <c r="O3839" s="605"/>
      <c r="P3839" s="605"/>
    </row>
    <row r="3840">
      <c r="A3840" s="605"/>
      <c r="B3840" s="605"/>
      <c r="C3840" s="605"/>
      <c r="D3840" s="605"/>
      <c r="E3840" s="605"/>
      <c r="F3840" s="605"/>
      <c r="G3840" s="605"/>
      <c r="H3840" s="605"/>
      <c r="I3840" s="605"/>
      <c r="J3840" s="606"/>
      <c r="K3840" s="605"/>
      <c r="L3840" s="605"/>
      <c r="M3840" s="605"/>
      <c r="N3840" s="605"/>
      <c r="O3840" s="605"/>
      <c r="P3840" s="605"/>
    </row>
    <row r="3841">
      <c r="A3841" s="605"/>
      <c r="B3841" s="605"/>
      <c r="C3841" s="605"/>
      <c r="D3841" s="605"/>
      <c r="E3841" s="605"/>
      <c r="F3841" s="605"/>
      <c r="G3841" s="605"/>
      <c r="H3841" s="605"/>
      <c r="I3841" s="605"/>
      <c r="J3841" s="606"/>
      <c r="K3841" s="605"/>
      <c r="L3841" s="605"/>
      <c r="M3841" s="605"/>
      <c r="N3841" s="605"/>
      <c r="O3841" s="605"/>
      <c r="P3841" s="605"/>
    </row>
    <row r="3842">
      <c r="A3842" s="605"/>
      <c r="B3842" s="605"/>
      <c r="C3842" s="605"/>
      <c r="D3842" s="605"/>
      <c r="E3842" s="605"/>
      <c r="F3842" s="605"/>
      <c r="G3842" s="605"/>
      <c r="H3842" s="605"/>
      <c r="I3842" s="605"/>
      <c r="J3842" s="606"/>
      <c r="K3842" s="605"/>
      <c r="L3842" s="605"/>
      <c r="M3842" s="605"/>
      <c r="N3842" s="605"/>
      <c r="O3842" s="605"/>
      <c r="P3842" s="605"/>
    </row>
    <row r="3843">
      <c r="A3843" s="605"/>
      <c r="B3843" s="605"/>
      <c r="C3843" s="605"/>
      <c r="D3843" s="605"/>
      <c r="E3843" s="605"/>
      <c r="F3843" s="605"/>
      <c r="G3843" s="605"/>
      <c r="H3843" s="605"/>
      <c r="I3843" s="605"/>
      <c r="J3843" s="606"/>
      <c r="K3843" s="605"/>
      <c r="L3843" s="605"/>
      <c r="M3843" s="605"/>
      <c r="N3843" s="605"/>
      <c r="O3843" s="605"/>
      <c r="P3843" s="605"/>
    </row>
    <row r="3844">
      <c r="A3844" s="605"/>
      <c r="B3844" s="605"/>
      <c r="C3844" s="605"/>
      <c r="D3844" s="605"/>
      <c r="E3844" s="605"/>
      <c r="F3844" s="605"/>
      <c r="G3844" s="605"/>
      <c r="H3844" s="605"/>
      <c r="I3844" s="605"/>
      <c r="J3844" s="606"/>
      <c r="K3844" s="605"/>
      <c r="L3844" s="605"/>
      <c r="M3844" s="605"/>
      <c r="N3844" s="605"/>
      <c r="O3844" s="605"/>
      <c r="P3844" s="605"/>
    </row>
    <row r="3845">
      <c r="A3845" s="605"/>
      <c r="B3845" s="605"/>
      <c r="C3845" s="605"/>
      <c r="D3845" s="605"/>
      <c r="E3845" s="605"/>
      <c r="F3845" s="605"/>
      <c r="G3845" s="605"/>
      <c r="H3845" s="605"/>
      <c r="I3845" s="605"/>
      <c r="J3845" s="606"/>
      <c r="K3845" s="605"/>
      <c r="L3845" s="605"/>
      <c r="M3845" s="605"/>
      <c r="N3845" s="605"/>
      <c r="O3845" s="605"/>
      <c r="P3845" s="605"/>
    </row>
    <row r="3846">
      <c r="A3846" s="605"/>
      <c r="B3846" s="605"/>
      <c r="C3846" s="605"/>
      <c r="D3846" s="605"/>
      <c r="E3846" s="605"/>
      <c r="F3846" s="605"/>
      <c r="G3846" s="605"/>
      <c r="H3846" s="605"/>
      <c r="I3846" s="605"/>
      <c r="J3846" s="606"/>
      <c r="K3846" s="605"/>
      <c r="L3846" s="605"/>
      <c r="M3846" s="605"/>
      <c r="N3846" s="605"/>
      <c r="O3846" s="605"/>
      <c r="P3846" s="605"/>
    </row>
    <row r="3847">
      <c r="A3847" s="605"/>
      <c r="B3847" s="605"/>
      <c r="C3847" s="605"/>
      <c r="D3847" s="605"/>
      <c r="E3847" s="605"/>
      <c r="F3847" s="605"/>
      <c r="G3847" s="605"/>
      <c r="H3847" s="605"/>
      <c r="I3847" s="605"/>
      <c r="J3847" s="606"/>
      <c r="K3847" s="605"/>
      <c r="L3847" s="605"/>
      <c r="M3847" s="605"/>
      <c r="N3847" s="605"/>
      <c r="O3847" s="605"/>
      <c r="P3847" s="605"/>
    </row>
    <row r="3848">
      <c r="A3848" s="605"/>
      <c r="B3848" s="605"/>
      <c r="C3848" s="605"/>
      <c r="D3848" s="605"/>
      <c r="E3848" s="605"/>
      <c r="F3848" s="605"/>
      <c r="G3848" s="605"/>
      <c r="H3848" s="605"/>
      <c r="I3848" s="605"/>
      <c r="J3848" s="606"/>
      <c r="K3848" s="605"/>
      <c r="L3848" s="605"/>
      <c r="M3848" s="605"/>
      <c r="N3848" s="605"/>
      <c r="O3848" s="605"/>
      <c r="P3848" s="605"/>
    </row>
    <row r="3849">
      <c r="A3849" s="605"/>
      <c r="B3849" s="605"/>
      <c r="C3849" s="605"/>
      <c r="D3849" s="605"/>
      <c r="E3849" s="605"/>
      <c r="F3849" s="605"/>
      <c r="G3849" s="605"/>
      <c r="H3849" s="605"/>
      <c r="I3849" s="605"/>
      <c r="J3849" s="606"/>
      <c r="K3849" s="605"/>
      <c r="L3849" s="605"/>
      <c r="M3849" s="605"/>
      <c r="N3849" s="605"/>
      <c r="O3849" s="605"/>
      <c r="P3849" s="605"/>
    </row>
    <row r="3850">
      <c r="A3850" s="605"/>
      <c r="B3850" s="605"/>
      <c r="C3850" s="605"/>
      <c r="D3850" s="605"/>
      <c r="E3850" s="605"/>
      <c r="F3850" s="605"/>
      <c r="G3850" s="605"/>
      <c r="H3850" s="605"/>
      <c r="I3850" s="605"/>
      <c r="J3850" s="606"/>
      <c r="K3850" s="605"/>
      <c r="L3850" s="605"/>
      <c r="M3850" s="605"/>
      <c r="N3850" s="605"/>
      <c r="O3850" s="605"/>
      <c r="P3850" s="605"/>
    </row>
    <row r="3851">
      <c r="A3851" s="605"/>
      <c r="B3851" s="605"/>
      <c r="C3851" s="605"/>
      <c r="D3851" s="605"/>
      <c r="E3851" s="605"/>
      <c r="F3851" s="605"/>
      <c r="G3851" s="605"/>
      <c r="H3851" s="605"/>
      <c r="I3851" s="605"/>
      <c r="J3851" s="606"/>
      <c r="K3851" s="605"/>
      <c r="L3851" s="605"/>
      <c r="M3851" s="605"/>
      <c r="N3851" s="605"/>
      <c r="O3851" s="605"/>
      <c r="P3851" s="605"/>
    </row>
    <row r="3852">
      <c r="A3852" s="605"/>
      <c r="B3852" s="605"/>
      <c r="C3852" s="605"/>
      <c r="D3852" s="605"/>
      <c r="E3852" s="605"/>
      <c r="F3852" s="605"/>
      <c r="G3852" s="605"/>
      <c r="H3852" s="605"/>
      <c r="I3852" s="605"/>
      <c r="J3852" s="606"/>
      <c r="K3852" s="605"/>
      <c r="L3852" s="605"/>
      <c r="M3852" s="605"/>
      <c r="N3852" s="605"/>
      <c r="O3852" s="605"/>
      <c r="P3852" s="605"/>
    </row>
    <row r="3853">
      <c r="A3853" s="605"/>
      <c r="B3853" s="605"/>
      <c r="C3853" s="605"/>
      <c r="D3853" s="605"/>
      <c r="E3853" s="605"/>
      <c r="F3853" s="605"/>
      <c r="G3853" s="605"/>
      <c r="H3853" s="605"/>
      <c r="I3853" s="605"/>
      <c r="J3853" s="606"/>
      <c r="K3853" s="605"/>
      <c r="L3853" s="605"/>
      <c r="M3853" s="605"/>
      <c r="N3853" s="605"/>
      <c r="O3853" s="605"/>
      <c r="P3853" s="605"/>
    </row>
    <row r="3854">
      <c r="A3854" s="605"/>
      <c r="B3854" s="605"/>
      <c r="C3854" s="605"/>
      <c r="D3854" s="605"/>
      <c r="E3854" s="605"/>
      <c r="F3854" s="605"/>
      <c r="G3854" s="605"/>
      <c r="H3854" s="605"/>
      <c r="I3854" s="605"/>
      <c r="J3854" s="606"/>
      <c r="K3854" s="605"/>
      <c r="L3854" s="605"/>
      <c r="M3854" s="605"/>
      <c r="N3854" s="605"/>
      <c r="O3854" s="605"/>
      <c r="P3854" s="605"/>
    </row>
    <row r="3855">
      <c r="A3855" s="605"/>
      <c r="B3855" s="605"/>
      <c r="C3855" s="605"/>
      <c r="D3855" s="605"/>
      <c r="E3855" s="605"/>
      <c r="F3855" s="605"/>
      <c r="G3855" s="605"/>
      <c r="H3855" s="605"/>
      <c r="I3855" s="605"/>
      <c r="J3855" s="606"/>
      <c r="K3855" s="605"/>
      <c r="L3855" s="605"/>
      <c r="M3855" s="605"/>
      <c r="N3855" s="605"/>
      <c r="O3855" s="605"/>
      <c r="P3855" s="605"/>
    </row>
    <row r="3856">
      <c r="A3856" s="605"/>
      <c r="B3856" s="605"/>
      <c r="C3856" s="605"/>
      <c r="D3856" s="605"/>
      <c r="E3856" s="605"/>
      <c r="F3856" s="605"/>
      <c r="G3856" s="605"/>
      <c r="H3856" s="605"/>
      <c r="I3856" s="605"/>
      <c r="J3856" s="606"/>
      <c r="K3856" s="605"/>
      <c r="L3856" s="605"/>
      <c r="M3856" s="605"/>
      <c r="N3856" s="605"/>
      <c r="O3856" s="605"/>
      <c r="P3856" s="605"/>
    </row>
    <row r="3857">
      <c r="A3857" s="605"/>
      <c r="B3857" s="605"/>
      <c r="C3857" s="605"/>
      <c r="D3857" s="605"/>
      <c r="E3857" s="605"/>
      <c r="F3857" s="605"/>
      <c r="G3857" s="605"/>
      <c r="H3857" s="605"/>
      <c r="I3857" s="605"/>
      <c r="J3857" s="606"/>
      <c r="K3857" s="605"/>
      <c r="L3857" s="605"/>
      <c r="M3857" s="605"/>
      <c r="N3857" s="605"/>
      <c r="O3857" s="605"/>
      <c r="P3857" s="605"/>
    </row>
    <row r="3858">
      <c r="A3858" s="605"/>
      <c r="B3858" s="605"/>
      <c r="C3858" s="605"/>
      <c r="D3858" s="605"/>
      <c r="E3858" s="605"/>
      <c r="F3858" s="605"/>
      <c r="G3858" s="605"/>
      <c r="H3858" s="605"/>
      <c r="I3858" s="605"/>
      <c r="J3858" s="606"/>
      <c r="K3858" s="605"/>
      <c r="L3858" s="605"/>
      <c r="M3858" s="605"/>
      <c r="N3858" s="605"/>
      <c r="O3858" s="605"/>
      <c r="P3858" s="605"/>
    </row>
    <row r="3859">
      <c r="A3859" s="605"/>
      <c r="B3859" s="605"/>
      <c r="C3859" s="605"/>
      <c r="D3859" s="605"/>
      <c r="E3859" s="605"/>
      <c r="F3859" s="605"/>
      <c r="G3859" s="605"/>
      <c r="H3859" s="605"/>
      <c r="I3859" s="605"/>
      <c r="J3859" s="606"/>
      <c r="K3859" s="605"/>
      <c r="L3859" s="605"/>
      <c r="M3859" s="605"/>
      <c r="N3859" s="605"/>
      <c r="O3859" s="605"/>
      <c r="P3859" s="605"/>
    </row>
    <row r="3860">
      <c r="A3860" s="605"/>
      <c r="B3860" s="605"/>
      <c r="C3860" s="605"/>
      <c r="D3860" s="605"/>
      <c r="E3860" s="605"/>
      <c r="F3860" s="605"/>
      <c r="G3860" s="605"/>
      <c r="H3860" s="605"/>
      <c r="I3860" s="605"/>
      <c r="J3860" s="606"/>
      <c r="K3860" s="605"/>
      <c r="L3860" s="605"/>
      <c r="M3860" s="605"/>
      <c r="N3860" s="605"/>
      <c r="O3860" s="605"/>
      <c r="P3860" s="605"/>
    </row>
    <row r="3861">
      <c r="A3861" s="605"/>
      <c r="B3861" s="605"/>
      <c r="C3861" s="605"/>
      <c r="D3861" s="605"/>
      <c r="E3861" s="605"/>
      <c r="F3861" s="605"/>
      <c r="G3861" s="605"/>
      <c r="H3861" s="605"/>
      <c r="I3861" s="605"/>
      <c r="J3861" s="606"/>
      <c r="K3861" s="605"/>
      <c r="L3861" s="605"/>
      <c r="M3861" s="605"/>
      <c r="N3861" s="605"/>
      <c r="O3861" s="605"/>
      <c r="P3861" s="605"/>
    </row>
    <row r="3862">
      <c r="A3862" s="605"/>
      <c r="B3862" s="605"/>
      <c r="C3862" s="605"/>
      <c r="D3862" s="605"/>
      <c r="E3862" s="605"/>
      <c r="F3862" s="605"/>
      <c r="G3862" s="605"/>
      <c r="H3862" s="605"/>
      <c r="I3862" s="605"/>
      <c r="J3862" s="606"/>
      <c r="K3862" s="605"/>
      <c r="L3862" s="605"/>
      <c r="M3862" s="605"/>
      <c r="N3862" s="605"/>
      <c r="O3862" s="605"/>
      <c r="P3862" s="605"/>
    </row>
    <row r="3863">
      <c r="A3863" s="605"/>
      <c r="B3863" s="605"/>
      <c r="C3863" s="605"/>
      <c r="D3863" s="605"/>
      <c r="E3863" s="605"/>
      <c r="F3863" s="605"/>
      <c r="G3863" s="605"/>
      <c r="H3863" s="605"/>
      <c r="I3863" s="605"/>
      <c r="J3863" s="606"/>
      <c r="K3863" s="605"/>
      <c r="L3863" s="605"/>
      <c r="M3863" s="605"/>
      <c r="N3863" s="605"/>
      <c r="O3863" s="605"/>
      <c r="P3863" s="605"/>
    </row>
    <row r="3864">
      <c r="A3864" s="605"/>
      <c r="B3864" s="605"/>
      <c r="C3864" s="605"/>
      <c r="D3864" s="605"/>
      <c r="E3864" s="605"/>
      <c r="F3864" s="605"/>
      <c r="G3864" s="605"/>
      <c r="H3864" s="605"/>
      <c r="I3864" s="605"/>
      <c r="J3864" s="606"/>
      <c r="K3864" s="605"/>
      <c r="L3864" s="605"/>
      <c r="M3864" s="605"/>
      <c r="N3864" s="605"/>
      <c r="O3864" s="605"/>
      <c r="P3864" s="605"/>
    </row>
    <row r="3865">
      <c r="A3865" s="605"/>
      <c r="B3865" s="605"/>
      <c r="C3865" s="605"/>
      <c r="D3865" s="605"/>
      <c r="E3865" s="605"/>
      <c r="F3865" s="605"/>
      <c r="G3865" s="605"/>
      <c r="H3865" s="605"/>
      <c r="I3865" s="605"/>
      <c r="J3865" s="606"/>
      <c r="K3865" s="605"/>
      <c r="L3865" s="605"/>
      <c r="M3865" s="605"/>
      <c r="N3865" s="605"/>
      <c r="O3865" s="605"/>
      <c r="P3865" s="605"/>
    </row>
    <row r="3866">
      <c r="A3866" s="605"/>
      <c r="B3866" s="605"/>
      <c r="C3866" s="605"/>
      <c r="D3866" s="605"/>
      <c r="E3866" s="605"/>
      <c r="F3866" s="605"/>
      <c r="G3866" s="605"/>
      <c r="H3866" s="605"/>
      <c r="I3866" s="605"/>
      <c r="J3866" s="606"/>
      <c r="K3866" s="605"/>
      <c r="L3866" s="605"/>
      <c r="M3866" s="605"/>
      <c r="N3866" s="605"/>
      <c r="O3866" s="605"/>
      <c r="P3866" s="605"/>
    </row>
    <row r="3867">
      <c r="A3867" s="605"/>
      <c r="B3867" s="605"/>
      <c r="C3867" s="605"/>
      <c r="D3867" s="605"/>
      <c r="E3867" s="605"/>
      <c r="F3867" s="605"/>
      <c r="G3867" s="605"/>
      <c r="H3867" s="605"/>
      <c r="I3867" s="605"/>
      <c r="J3867" s="606"/>
      <c r="K3867" s="605"/>
      <c r="L3867" s="605"/>
      <c r="M3867" s="605"/>
      <c r="N3867" s="605"/>
      <c r="O3867" s="605"/>
      <c r="P3867" s="605"/>
    </row>
    <row r="3868">
      <c r="A3868" s="605"/>
      <c r="B3868" s="605"/>
      <c r="C3868" s="605"/>
      <c r="D3868" s="605"/>
      <c r="E3868" s="605"/>
      <c r="F3868" s="605"/>
      <c r="G3868" s="605"/>
      <c r="H3868" s="605"/>
      <c r="I3868" s="605"/>
      <c r="J3868" s="606"/>
      <c r="K3868" s="605"/>
      <c r="L3868" s="605"/>
      <c r="M3868" s="605"/>
      <c r="N3868" s="605"/>
      <c r="O3868" s="605"/>
      <c r="P3868" s="605"/>
    </row>
    <row r="3869">
      <c r="A3869" s="605"/>
      <c r="B3869" s="605"/>
      <c r="C3869" s="605"/>
      <c r="D3869" s="605"/>
      <c r="E3869" s="605"/>
      <c r="F3869" s="605"/>
      <c r="G3869" s="605"/>
      <c r="H3869" s="605"/>
      <c r="I3869" s="605"/>
      <c r="J3869" s="606"/>
      <c r="K3869" s="605"/>
      <c r="L3869" s="605"/>
      <c r="M3869" s="605"/>
      <c r="N3869" s="605"/>
      <c r="O3869" s="605"/>
      <c r="P3869" s="605"/>
    </row>
    <row r="3870">
      <c r="A3870" s="605"/>
      <c r="B3870" s="605"/>
      <c r="C3870" s="605"/>
      <c r="D3870" s="605"/>
      <c r="E3870" s="605"/>
      <c r="F3870" s="605"/>
      <c r="G3870" s="605"/>
      <c r="H3870" s="605"/>
      <c r="I3870" s="605"/>
      <c r="J3870" s="606"/>
      <c r="K3870" s="605"/>
      <c r="L3870" s="605"/>
      <c r="M3870" s="605"/>
      <c r="N3870" s="605"/>
      <c r="O3870" s="605"/>
      <c r="P3870" s="605"/>
    </row>
    <row r="3871">
      <c r="A3871" s="605"/>
      <c r="B3871" s="605"/>
      <c r="C3871" s="605"/>
      <c r="D3871" s="605"/>
      <c r="E3871" s="605"/>
      <c r="F3871" s="605"/>
      <c r="G3871" s="605"/>
      <c r="H3871" s="605"/>
      <c r="I3871" s="605"/>
      <c r="J3871" s="606"/>
      <c r="K3871" s="605"/>
      <c r="L3871" s="605"/>
      <c r="M3871" s="605"/>
      <c r="N3871" s="605"/>
      <c r="O3871" s="605"/>
      <c r="P3871" s="605"/>
    </row>
    <row r="3872">
      <c r="A3872" s="605"/>
      <c r="B3872" s="605"/>
      <c r="C3872" s="605"/>
      <c r="D3872" s="605"/>
      <c r="E3872" s="605"/>
      <c r="F3872" s="605"/>
      <c r="G3872" s="605"/>
      <c r="H3872" s="605"/>
      <c r="I3872" s="605"/>
      <c r="J3872" s="606"/>
      <c r="K3872" s="605"/>
      <c r="L3872" s="605"/>
      <c r="M3872" s="605"/>
      <c r="N3872" s="605"/>
      <c r="O3872" s="605"/>
      <c r="P3872" s="605"/>
    </row>
    <row r="3873">
      <c r="A3873" s="605"/>
      <c r="B3873" s="605"/>
      <c r="C3873" s="605"/>
      <c r="D3873" s="605"/>
      <c r="E3873" s="605"/>
      <c r="F3873" s="605"/>
      <c r="G3873" s="605"/>
      <c r="H3873" s="605"/>
      <c r="I3873" s="605"/>
      <c r="J3873" s="606"/>
      <c r="K3873" s="605"/>
      <c r="L3873" s="605"/>
      <c r="M3873" s="605"/>
      <c r="N3873" s="605"/>
      <c r="O3873" s="605"/>
      <c r="P3873" s="605"/>
    </row>
    <row r="3874">
      <c r="A3874" s="605"/>
      <c r="B3874" s="605"/>
      <c r="C3874" s="605"/>
      <c r="D3874" s="605"/>
      <c r="E3874" s="605"/>
      <c r="F3874" s="605"/>
      <c r="G3874" s="605"/>
      <c r="H3874" s="605"/>
      <c r="I3874" s="605"/>
      <c r="J3874" s="606"/>
      <c r="K3874" s="605"/>
      <c r="L3874" s="605"/>
      <c r="M3874" s="605"/>
      <c r="N3874" s="605"/>
      <c r="O3874" s="605"/>
      <c r="P3874" s="605"/>
    </row>
    <row r="3875">
      <c r="A3875" s="605"/>
      <c r="B3875" s="605"/>
      <c r="C3875" s="605"/>
      <c r="D3875" s="605"/>
      <c r="E3875" s="605"/>
      <c r="F3875" s="605"/>
      <c r="G3875" s="605"/>
      <c r="H3875" s="605"/>
      <c r="I3875" s="605"/>
      <c r="J3875" s="606"/>
      <c r="K3875" s="605"/>
      <c r="L3875" s="605"/>
      <c r="M3875" s="605"/>
      <c r="N3875" s="605"/>
      <c r="O3875" s="605"/>
      <c r="P3875" s="605"/>
    </row>
    <row r="3876">
      <c r="A3876" s="605"/>
      <c r="B3876" s="605"/>
      <c r="C3876" s="605"/>
      <c r="D3876" s="605"/>
      <c r="E3876" s="605"/>
      <c r="F3876" s="605"/>
      <c r="G3876" s="605"/>
      <c r="H3876" s="605"/>
      <c r="I3876" s="605"/>
      <c r="J3876" s="606"/>
      <c r="K3876" s="605"/>
      <c r="L3876" s="605"/>
      <c r="M3876" s="605"/>
      <c r="N3876" s="605"/>
      <c r="O3876" s="605"/>
      <c r="P3876" s="605"/>
    </row>
    <row r="3877">
      <c r="A3877" s="605"/>
      <c r="B3877" s="605"/>
      <c r="C3877" s="605"/>
      <c r="D3877" s="605"/>
      <c r="E3877" s="605"/>
      <c r="F3877" s="605"/>
      <c r="G3877" s="605"/>
      <c r="H3877" s="605"/>
      <c r="I3877" s="605"/>
      <c r="J3877" s="606"/>
      <c r="K3877" s="605"/>
      <c r="L3877" s="605"/>
      <c r="M3877" s="605"/>
      <c r="N3877" s="605"/>
      <c r="O3877" s="605"/>
      <c r="P3877" s="605"/>
    </row>
    <row r="3878">
      <c r="A3878" s="605"/>
      <c r="B3878" s="605"/>
      <c r="C3878" s="605"/>
      <c r="D3878" s="605"/>
      <c r="E3878" s="605"/>
      <c r="F3878" s="605"/>
      <c r="G3878" s="605"/>
      <c r="H3878" s="605"/>
      <c r="I3878" s="605"/>
      <c r="J3878" s="606"/>
      <c r="K3878" s="605"/>
      <c r="L3878" s="605"/>
      <c r="M3878" s="605"/>
      <c r="N3878" s="605"/>
      <c r="O3878" s="605"/>
      <c r="P3878" s="605"/>
    </row>
    <row r="3879">
      <c r="A3879" s="605"/>
      <c r="B3879" s="605"/>
      <c r="C3879" s="605"/>
      <c r="D3879" s="605"/>
      <c r="E3879" s="605"/>
      <c r="F3879" s="605"/>
      <c r="G3879" s="605"/>
      <c r="H3879" s="605"/>
      <c r="I3879" s="605"/>
      <c r="J3879" s="606"/>
      <c r="K3879" s="605"/>
      <c r="L3879" s="605"/>
      <c r="M3879" s="605"/>
      <c r="N3879" s="605"/>
      <c r="O3879" s="605"/>
      <c r="P3879" s="605"/>
    </row>
    <row r="3880">
      <c r="A3880" s="605"/>
      <c r="B3880" s="605"/>
      <c r="C3880" s="605"/>
      <c r="D3880" s="605"/>
      <c r="E3880" s="605"/>
      <c r="F3880" s="605"/>
      <c r="G3880" s="605"/>
      <c r="H3880" s="605"/>
      <c r="I3880" s="605"/>
      <c r="J3880" s="606"/>
      <c r="K3880" s="605"/>
      <c r="L3880" s="605"/>
      <c r="M3880" s="605"/>
      <c r="N3880" s="605"/>
      <c r="O3880" s="605"/>
      <c r="P3880" s="605"/>
    </row>
    <row r="3881">
      <c r="A3881" s="605"/>
      <c r="B3881" s="605"/>
      <c r="C3881" s="605"/>
      <c r="D3881" s="605"/>
      <c r="E3881" s="605"/>
      <c r="F3881" s="605"/>
      <c r="G3881" s="605"/>
      <c r="H3881" s="605"/>
      <c r="I3881" s="605"/>
      <c r="J3881" s="606"/>
      <c r="K3881" s="605"/>
      <c r="L3881" s="605"/>
      <c r="M3881" s="605"/>
      <c r="N3881" s="605"/>
      <c r="O3881" s="605"/>
      <c r="P3881" s="605"/>
    </row>
    <row r="3882">
      <c r="A3882" s="605"/>
      <c r="B3882" s="605"/>
      <c r="C3882" s="605"/>
      <c r="D3882" s="605"/>
      <c r="E3882" s="605"/>
      <c r="F3882" s="605"/>
      <c r="G3882" s="605"/>
      <c r="H3882" s="605"/>
      <c r="I3882" s="605"/>
      <c r="J3882" s="606"/>
      <c r="K3882" s="605"/>
      <c r="L3882" s="605"/>
      <c r="M3882" s="605"/>
      <c r="N3882" s="605"/>
      <c r="O3882" s="605"/>
      <c r="P3882" s="605"/>
    </row>
  </sheetData>
  <autoFilter ref="$A$1:$M$502"/>
  <conditionalFormatting sqref="A1:B3882 C1:C5 D1:I3882 C7:C12 C14:C3882">
    <cfRule type="expression" dxfId="16" priority="1">
      <formula>countif(A:A,A1)&gt;1</formula>
    </cfRule>
  </conditionalFormatting>
  <hyperlinks>
    <hyperlink r:id="rId1" ref="M173"/>
    <hyperlink r:id="rId2" ref="D403"/>
    <hyperlink r:id="rId3" ref="E1767"/>
  </hyperlinks>
  <drawing r:id="rId4"/>
</worksheet>
</file>